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comments4.xml" ContentType="application/vnd.openxmlformats-officedocument.spreadsheetml.comments+xml"/>
  <Override PartName="/xl/drawings/drawing3.xml" ContentType="application/vnd.openxmlformats-officedocument.drawing+xml"/>
  <Override PartName="/xl/comments5.xml" ContentType="application/vnd.openxmlformats-officedocument.spreadsheetml.comments+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4.xml" ContentType="application/vnd.openxmlformats-officedocument.drawing+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drawings/drawing5.xml" ContentType="application/vnd.openxmlformats-officedocument.drawing+xml"/>
  <Override PartName="/xl/comments6.xml" ContentType="application/vnd.openxmlformats-officedocument.spreadsheetml.comments+xml"/>
  <Override PartName="/xl/charts/chart34.xml" ContentType="application/vnd.openxmlformats-officedocument.drawingml.chart+xml"/>
  <Override PartName="/xl/charts/chart35.xml" ContentType="application/vnd.openxmlformats-officedocument.drawingml.chart+xml"/>
  <Override PartName="/xl/drawings/drawing6.xml" ContentType="application/vnd.openxmlformats-officedocument.drawing+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drawings/drawing7.xml" ContentType="application/vnd.openxmlformats-officedocument.drawing+xml"/>
  <Override PartName="/xl/comments7.xml" ContentType="application/vnd.openxmlformats-officedocument.spreadsheetml.comments+xml"/>
  <Override PartName="/xl/charts/chart56.xml" ContentType="application/vnd.openxmlformats-officedocument.drawingml.chart+xml"/>
  <Override PartName="/xl/drawings/drawing8.xml" ContentType="application/vnd.openxmlformats-officedocument.drawing+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drawings/drawing9.xml" ContentType="application/vnd.openxmlformats-officedocument.drawing+xml"/>
  <Override PartName="/xl/comments8.xml" ContentType="application/vnd.openxmlformats-officedocument.spreadsheetml.comments+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drawings/drawing10.xml" ContentType="application/vnd.openxmlformats-officedocument.drawingml.chartshapes+xml"/>
  <Override PartName="/xl/charts/chart82.xml" ContentType="application/vnd.openxmlformats-officedocument.drawingml.chart+xml"/>
  <Override PartName="/xl/charts/chart83.xml" ContentType="application/vnd.openxmlformats-officedocument.drawingml.chart+xml"/>
  <Override PartName="/xl/drawings/drawing11.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drawings/drawing1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1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omments9.xml" ContentType="application/vnd.openxmlformats-officedocument.spreadsheetml.comment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126" codeName="{22E68647-3C60-695B-3CA0-4895CD717B8A}"/>
  <workbookPr saveExternalLinkValues="0" codeName="ThisWorkbook"/>
  <mc:AlternateContent xmlns:mc="http://schemas.openxmlformats.org/markup-compatibility/2006">
    <mc:Choice Requires="x15">
      <x15ac:absPath xmlns:x15ac="http://schemas.microsoft.com/office/spreadsheetml/2010/11/ac" url="C:\gitrepo\FDMS\fdms\sample_data\"/>
    </mc:Choice>
  </mc:AlternateContent>
  <xr:revisionPtr revIDLastSave="0" documentId="13_ncr:1_{6E1D24C3-2847-40A0-83E7-3E2557F7C3D8}" xr6:coauthVersionLast="40" xr6:coauthVersionMax="40" xr10:uidLastSave="{00000000-0000-0000-0000-000000000000}"/>
  <bookViews>
    <workbookView xWindow="0" yWindow="0" windowWidth="14385" windowHeight="5010" firstSheet="12" activeTab="18" xr2:uid="{00000000-000D-0000-FFFF-FFFF00000000}"/>
  </bookViews>
  <sheets>
    <sheet name="BACKGROUND CALC" sheetId="24" r:id="rId1"/>
    <sheet name="T" sheetId="9" r:id="rId2"/>
    <sheet name="Manual" sheetId="10" r:id="rId3"/>
    <sheet name="InputY" sheetId="1" r:id="rId4"/>
    <sheet name="InputQ" sheetId="16" r:id="rId5"/>
    <sheet name="InputDFM" sheetId="25" r:id="rId6"/>
    <sheet name="VVP1" sheetId="11" r:id="rId7"/>
    <sheet name="VVP2" sheetId="12" r:id="rId8"/>
    <sheet name="VVP3" sheetId="14" r:id="rId9"/>
    <sheet name="Q1" sheetId="17" r:id="rId10"/>
    <sheet name="Q2" sheetId="18" r:id="rId11"/>
    <sheet name="Labour1" sheetId="8" r:id="rId12"/>
    <sheet name="Labour2" sheetId="19" r:id="rId13"/>
    <sheet name="Sector1" sheetId="7" r:id="rId14"/>
    <sheet name="Sector2" sheetId="6" r:id="rId15"/>
    <sheet name="Sector3" sheetId="15" r:id="rId16"/>
    <sheet name="Transfer" sheetId="2" r:id="rId17"/>
    <sheet name="Tables" sheetId="20" r:id="rId18"/>
    <sheet name="Transfer FDMS+ A" sheetId="21" r:id="rId19"/>
    <sheet name="Transfer FDMS+ Q" sheetId="22" r:id="rId20"/>
  </sheets>
  <functionGroups builtInGroupCount="19"/>
  <externalReferences>
    <externalReference r:id="rId21"/>
  </externalReferences>
  <definedNames>
    <definedName name="_xlnm._FilterDatabase" localSheetId="3" hidden="1">InputY!$D$3:$E$503</definedName>
    <definedName name="_MatMult_A" hidden="1">#REF!</definedName>
    <definedName name="_MatMult_AxB" localSheetId="18" hidden="1">#REF!</definedName>
    <definedName name="_MatMult_AxB" localSheetId="19" hidden="1">#REF!</definedName>
    <definedName name="_MatMult_AxB" hidden="1">#REF!</definedName>
    <definedName name="_MatMult_B" hidden="1">#REF!</definedName>
    <definedName name="Country">Transfer!$E$94</definedName>
    <definedName name="Currency">Transfer!$H$94</definedName>
    <definedName name="dfgsdfg" hidden="1">{"'15.01L'!$A$1:$I$62"}</definedName>
    <definedName name="dsfsdf" hidden="1">{"'15.01L'!$A$1:$I$62"}</definedName>
    <definedName name="f">[1]Transfer!$H$95</definedName>
    <definedName name="fdms_web_query.cfm?cty_SE" localSheetId="5">InputDFM!$A$9:$N$48</definedName>
    <definedName name="HMTL_Ctl" localSheetId="16" hidden="1">{"'15.01L'!$A$1:$I$62"}</definedName>
    <definedName name="HMTL_Ctl" localSheetId="18" hidden="1">{"'15.01L'!$A$1:$I$62"}</definedName>
    <definedName name="HMTL_Ctl" localSheetId="19" hidden="1">{"'15.01L'!$A$1:$I$62"}</definedName>
    <definedName name="HMTL_Ctl" hidden="1">{"'15.01L'!$A$1:$I$62"}</definedName>
    <definedName name="HMTL_Ctl2" localSheetId="16" hidden="1">{"'15.01L'!$A$1:$I$62"}</definedName>
    <definedName name="HMTL_Ctl2" localSheetId="18" hidden="1">{"'15.01L'!$A$1:$I$62"}</definedName>
    <definedName name="HMTL_Ctl2" localSheetId="19" hidden="1">{"'15.01L'!$A$1:$I$62"}</definedName>
    <definedName name="HMTL_Ctl2" hidden="1">{"'15.01L'!$A$1:$I$62"}</definedName>
    <definedName name="HTML_CodePage" hidden="1">1252</definedName>
    <definedName name="HTML_Control" localSheetId="16" hidden="1">{"'15.01L'!$A$1:$I$62"}</definedName>
    <definedName name="HTML_Control" localSheetId="18" hidden="1">{"'15.01L'!$A$1:$I$62"}</definedName>
    <definedName name="HTML_Control" localSheetId="19" hidden="1">{"'15.01L'!$A$1:$I$62"}</definedName>
    <definedName name="HTML_Control" hidden="1">{"'15.01L'!$A$1:$I$62"}</definedName>
    <definedName name="HTML_Control1" localSheetId="16" hidden="1">{"'15.01L'!$A$1:$I$62"}</definedName>
    <definedName name="HTML_Control1" localSheetId="18" hidden="1">{"'15.01L'!$A$1:$I$62"}</definedName>
    <definedName name="HTML_Control1" localSheetId="19" hidden="1">{"'15.01L'!$A$1:$I$62"}</definedName>
    <definedName name="HTML_Control1" hidden="1">{"'15.01L'!$A$1:$I$62"}</definedName>
    <definedName name="HTML_Control2" localSheetId="16" hidden="1">{"'15.01L'!$A$1:$I$62"}</definedName>
    <definedName name="HTML_Control2" localSheetId="18" hidden="1">{"'15.01L'!$A$1:$I$62"}</definedName>
    <definedName name="HTML_Control2" localSheetId="19" hidden="1">{"'15.01L'!$A$1:$I$62"}</definedName>
    <definedName name="HTML_Control2" hidden="1">{"'15.01L'!$A$1:$I$62"}</definedName>
    <definedName name="HTML_Control22" localSheetId="16" hidden="1">{"'15.01L'!$A$1:$I$62"}</definedName>
    <definedName name="HTML_Control22" localSheetId="18" hidden="1">{"'15.01L'!$A$1:$I$62"}</definedName>
    <definedName name="HTML_Control22" localSheetId="19" hidden="1">{"'15.01L'!$A$1:$I$62"}</definedName>
    <definedName name="HTML_Control22" hidden="1">{"'15.01L'!$A$1:$I$62"}</definedName>
    <definedName name="HTML_Control3" localSheetId="16" hidden="1">{"'15.01L'!$A$1:$I$62"}</definedName>
    <definedName name="HTML_Control3" localSheetId="18" hidden="1">{"'15.01L'!$A$1:$I$62"}</definedName>
    <definedName name="HTML_Control3" localSheetId="19" hidden="1">{"'15.01L'!$A$1:$I$62"}</definedName>
    <definedName name="HTML_Control3" hidden="1">{"'15.01L'!$A$1:$I$62"}</definedName>
    <definedName name="HTML_Control33" localSheetId="16" hidden="1">{"'15.01L'!$A$1:$I$62"}</definedName>
    <definedName name="HTML_Control33" localSheetId="18" hidden="1">{"'15.01L'!$A$1:$I$62"}</definedName>
    <definedName name="HTML_Control33" localSheetId="19" hidden="1">{"'15.01L'!$A$1:$I$62"}</definedName>
    <definedName name="HTML_Control33" hidden="1">{"'15.01L'!$A$1:$I$62"}</definedName>
    <definedName name="HTML_Description" hidden="1">""</definedName>
    <definedName name="HTML_Email" hidden="1">""</definedName>
    <definedName name="HTML_Header" hidden="1">"15.01L"</definedName>
    <definedName name="HTML_LastUpdate" hidden="1">"19.11.98"</definedName>
    <definedName name="HTML_LineAfter" hidden="1">FALSE</definedName>
    <definedName name="HTML_LineBefore" hidden="1">FALSE</definedName>
    <definedName name="HTML_Name" hidden="1">"Weitzer &amp; Partner"</definedName>
    <definedName name="HTML_OBDlg2" hidden="1">TRUE</definedName>
    <definedName name="HTML_OBDlg4" hidden="1">TRUE</definedName>
    <definedName name="HTML_OS" hidden="1">0</definedName>
    <definedName name="HTML_PathFile" hidden="1">"C:\jb98\3d\daten\Kap15.ok\j-1501l.htm"</definedName>
    <definedName name="HTML_Title" hidden="1">"j-1501L"</definedName>
    <definedName name="Last_forecast_year">Transfer!$H$95</definedName>
    <definedName name="limcount" hidden="1">1</definedName>
    <definedName name="_xlnm.Print_Area" localSheetId="9">'Q1'!$BO$310:$BZ$321</definedName>
    <definedName name="_xlnm.Print_Area" localSheetId="15">Sector3!$A$1:$N$489</definedName>
    <definedName name="_xlnm.Print_Area" localSheetId="17">Tables!$B$527:$N$543</definedName>
    <definedName name="_xlnm.Print_Area" localSheetId="8">'VVP3'!$A$1:$N$301</definedName>
    <definedName name="qy_additional_impact.cfm?cty_SE" localSheetId="5">InputDFM!$A$9:$N$46</definedName>
    <definedName name="qy_transfer_matrix.cfm?cty_SE" localSheetId="5">InputDFM!$A$1:$N$8</definedName>
    <definedName name="qy_transfer_matrix.cfm?cty_SE_1" localSheetId="5">InputDFM!$A$1:$N$8</definedName>
    <definedName name="reyherhefgf" hidden="1">{"'15.01L'!$A$1:$I$62"}</definedName>
    <definedName name="rtyertyerther" hidden="1">{"'15.01L'!$A$1:$I$62"}</definedName>
    <definedName name="rtyertyertyerthdfg" hidden="1">{"'15.01L'!$A$1:$I$62"}</definedName>
    <definedName name="sdfgsdfgdfg" hidden="1">{"'15.01L'!$A$1:$I$62"}</definedName>
    <definedName name="sfghertyertyerty" hidden="1">{"'15.01L'!$A$1:$I$62"}</definedName>
    <definedName name="Table_0">Tables!$B$9:$I$46</definedName>
    <definedName name="Table_1">Tables!$B$51:$K$78</definedName>
    <definedName name="Table_10">Tables!$B$400:$N$441</definedName>
    <definedName name="Table_10a">Tables!$B$446:$M$468</definedName>
    <definedName name="Table_10b">Tables!$B$473:$N$489</definedName>
    <definedName name="Table_11">Tables!$B$493:$M$519</definedName>
    <definedName name="Table_12">Tables!$B$527:$N$543</definedName>
    <definedName name="Table_2">Tables!$B$92:$Q$124</definedName>
    <definedName name="Table_3">Tables!$B$136:$K$156</definedName>
    <definedName name="Table_4">Tables!$B$166:$N$203</definedName>
    <definedName name="Table_5">Tables!$B$214:$I$261</definedName>
    <definedName name="Table_6">Tables!$B$269:$N$285</definedName>
    <definedName name="Table_7">Tables!$B$296:$M$318</definedName>
    <definedName name="Table_8">Tables!$B$329:$N$355</definedName>
    <definedName name="Table_9">Tables!$B$366:$N$390</definedName>
    <definedName name="test">Transfer!$H$95</definedName>
    <definedName name="vdd">[1]Transfer!$H$95</definedName>
    <definedName name="wrtyer5y3e5rthgf" hidden="1">{"'15.01L'!$A$1:$I$62"}</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V2" i="16" l="1"/>
  <c r="CV3" i="16" s="1"/>
  <c r="AI263" i="7" l="1"/>
  <c r="AJ263" i="7" s="1"/>
  <c r="AI262" i="7"/>
  <c r="AJ262" i="7" s="1"/>
  <c r="AI206" i="7"/>
  <c r="AJ206" i="7" s="1"/>
  <c r="AK206" i="7" s="1"/>
  <c r="AI199" i="7"/>
  <c r="AJ199" i="7" s="1"/>
  <c r="AK199" i="7" s="1"/>
  <c r="AL286" i="7" l="1"/>
  <c r="AL211" i="7"/>
  <c r="AL285" i="7" s="1"/>
  <c r="AL26" i="7"/>
  <c r="AN25" i="7"/>
  <c r="AN211" i="7" s="1"/>
  <c r="AN285" i="7" s="1"/>
  <c r="AP25" i="7" l="1"/>
  <c r="AP211" i="7" s="1"/>
  <c r="AP285" i="7" s="1"/>
  <c r="ED106" i="11"/>
  <c r="ED105" i="11"/>
  <c r="DY106" i="11"/>
  <c r="DY105" i="11"/>
  <c r="DT106" i="11"/>
  <c r="DT105" i="11"/>
  <c r="AJ19" i="7" l="1"/>
  <c r="AG118" i="8" l="1"/>
  <c r="CV286" i="17" l="1"/>
  <c r="CV281" i="17"/>
  <c r="CV280" i="17"/>
  <c r="CV279" i="17"/>
  <c r="CV278" i="17"/>
  <c r="CV277" i="17"/>
  <c r="CV283" i="17"/>
  <c r="CV258" i="17"/>
  <c r="CV201" i="17"/>
  <c r="CV144" i="17"/>
  <c r="CV198" i="17" s="1"/>
  <c r="CV105" i="17"/>
  <c r="CV228" i="17"/>
  <c r="CV171" i="17"/>
  <c r="CV124" i="17"/>
  <c r="CV142" i="17" s="1"/>
  <c r="CV71" i="17"/>
  <c r="CV41" i="17"/>
  <c r="CV22" i="17"/>
  <c r="CV262" i="17"/>
  <c r="CV267" i="17" s="1"/>
  <c r="CV232" i="17"/>
  <c r="CV245" i="17" s="1"/>
  <c r="CV205" i="17"/>
  <c r="CV210" i="17" s="1"/>
  <c r="CV175" i="17"/>
  <c r="CV188" i="17" s="1"/>
  <c r="CV148" i="17"/>
  <c r="CV153" i="17" s="1"/>
  <c r="CV128" i="17"/>
  <c r="CV133" i="17" s="1"/>
  <c r="CV114" i="17"/>
  <c r="CV75" i="17"/>
  <c r="CV91" i="17" s="1"/>
  <c r="CV45" i="17"/>
  <c r="CV50" i="17" s="1"/>
  <c r="CV26" i="17"/>
  <c r="CV31" i="17" s="1"/>
  <c r="CV141" i="17" l="1"/>
  <c r="CV143" i="17" s="1"/>
  <c r="CV101" i="17"/>
  <c r="CV102" i="17"/>
  <c r="CV199" i="17"/>
  <c r="CV200" i="17" s="1"/>
  <c r="CV255" i="17"/>
  <c r="CV134" i="17"/>
  <c r="CV10" i="17" s="1"/>
  <c r="AF120" i="21"/>
  <c r="AF119" i="21"/>
  <c r="AF118" i="21"/>
  <c r="AF117" i="21"/>
  <c r="DF348" i="17"/>
  <c r="DF262" i="17"/>
  <c r="DF267" i="17" s="1"/>
  <c r="DE262" i="17"/>
  <c r="DE267" i="17" s="1"/>
  <c r="DD262" i="17"/>
  <c r="DD267" i="17" s="1"/>
  <c r="DC262" i="17"/>
  <c r="DC267" i="17" s="1"/>
  <c r="DF240" i="17"/>
  <c r="DF14" i="17" s="1"/>
  <c r="DC20" i="22" s="1"/>
  <c r="DE240" i="17"/>
  <c r="DE14" i="17" s="1"/>
  <c r="DB20" i="22" s="1"/>
  <c r="DD240" i="17"/>
  <c r="DD14" i="17" s="1"/>
  <c r="DA20" i="22" s="1"/>
  <c r="DC240" i="17"/>
  <c r="DC14" i="17" s="1"/>
  <c r="CZ20" i="22" s="1"/>
  <c r="DF232" i="17"/>
  <c r="DF245" i="17" s="1"/>
  <c r="DE232" i="17"/>
  <c r="DE245" i="17" s="1"/>
  <c r="DD232" i="17"/>
  <c r="DD245" i="17" s="1"/>
  <c r="DC232" i="17"/>
  <c r="DC245" i="17" s="1"/>
  <c r="DF205" i="17"/>
  <c r="DF210" i="17" s="1"/>
  <c r="DE205" i="17"/>
  <c r="DE210" i="17" s="1"/>
  <c r="DD205" i="17"/>
  <c r="DD210" i="17" s="1"/>
  <c r="DC205" i="17"/>
  <c r="DC210" i="17" s="1"/>
  <c r="DF183" i="17"/>
  <c r="DF12" i="17" s="1"/>
  <c r="DC18" i="22" s="1"/>
  <c r="DE183" i="17"/>
  <c r="DE12" i="17" s="1"/>
  <c r="DB18" i="22" s="1"/>
  <c r="DD183" i="17"/>
  <c r="DD12" i="17" s="1"/>
  <c r="DA18" i="22" s="1"/>
  <c r="DC183" i="17"/>
  <c r="DC12" i="17" s="1"/>
  <c r="CZ18" i="22" s="1"/>
  <c r="DF175" i="17"/>
  <c r="DF188" i="17" s="1"/>
  <c r="DE175" i="17"/>
  <c r="DE188" i="17" s="1"/>
  <c r="DD175" i="17"/>
  <c r="DD188" i="17" s="1"/>
  <c r="DC175" i="17"/>
  <c r="DC188" i="17" s="1"/>
  <c r="DF148" i="17"/>
  <c r="DF153" i="17" s="1"/>
  <c r="DE148" i="17"/>
  <c r="DE153" i="17" s="1"/>
  <c r="DD148" i="17"/>
  <c r="DD153" i="17" s="1"/>
  <c r="DC148" i="17"/>
  <c r="DC153" i="17" s="1"/>
  <c r="DF142" i="17"/>
  <c r="DE142" i="17"/>
  <c r="DD142" i="17"/>
  <c r="DC142" i="17"/>
  <c r="DF129" i="17"/>
  <c r="DE129" i="17"/>
  <c r="DD129" i="17"/>
  <c r="DC129" i="17"/>
  <c r="DF128" i="17"/>
  <c r="DF133" i="17" s="1"/>
  <c r="DE128" i="17"/>
  <c r="DE133" i="17" s="1"/>
  <c r="DD128" i="17"/>
  <c r="DD133" i="17" s="1"/>
  <c r="DC128" i="17"/>
  <c r="DC133" i="17" s="1"/>
  <c r="DF125" i="17"/>
  <c r="DF114" i="17"/>
  <c r="DE114" i="17"/>
  <c r="DD114" i="17"/>
  <c r="DC114" i="17"/>
  <c r="DF86" i="17"/>
  <c r="DF8" i="17" s="1"/>
  <c r="DC14" i="22" s="1"/>
  <c r="DE86" i="17"/>
  <c r="DE8" i="17" s="1"/>
  <c r="DB14" i="22" s="1"/>
  <c r="DD86" i="17"/>
  <c r="DD8" i="17" s="1"/>
  <c r="DA14" i="22" s="1"/>
  <c r="DC86" i="17"/>
  <c r="DC8" i="17" s="1"/>
  <c r="CZ14" i="22" s="1"/>
  <c r="DF75" i="17"/>
  <c r="DF91" i="17" s="1"/>
  <c r="DE75" i="17"/>
  <c r="DE91" i="17" s="1"/>
  <c r="DD75" i="17"/>
  <c r="DD91" i="17" s="1"/>
  <c r="DC75" i="17"/>
  <c r="DC91" i="17" s="1"/>
  <c r="DF45" i="17"/>
  <c r="DF50" i="17" s="1"/>
  <c r="DE45" i="17"/>
  <c r="DE50" i="17" s="1"/>
  <c r="DD45" i="17"/>
  <c r="DD50" i="17" s="1"/>
  <c r="DC45" i="17"/>
  <c r="DC50" i="17" s="1"/>
  <c r="DF26" i="17"/>
  <c r="DF31" i="17" s="1"/>
  <c r="DE26" i="17"/>
  <c r="DE31" i="17" s="1"/>
  <c r="DD26" i="17"/>
  <c r="DD31" i="17" s="1"/>
  <c r="DC26" i="17"/>
  <c r="DC31" i="17" s="1"/>
  <c r="DF7" i="17"/>
  <c r="DC13" i="22" s="1"/>
  <c r="DE7" i="17"/>
  <c r="DB13" i="22" s="1"/>
  <c r="DD7" i="17"/>
  <c r="DA13" i="22" s="1"/>
  <c r="DC7" i="17"/>
  <c r="CZ13" i="22" s="1"/>
  <c r="DF6" i="17"/>
  <c r="DC12" i="22" s="1"/>
  <c r="DE6" i="17"/>
  <c r="DB12" i="22" s="1"/>
  <c r="DD6" i="17"/>
  <c r="DA12" i="22" s="1"/>
  <c r="DC6" i="17"/>
  <c r="CZ12" i="22" s="1"/>
  <c r="AJ60" i="7"/>
  <c r="FC96" i="6"/>
  <c r="FC95" i="6"/>
  <c r="FC93" i="6"/>
  <c r="FA93" i="6"/>
  <c r="EZ93" i="6"/>
  <c r="EY93" i="6"/>
  <c r="FC92" i="6"/>
  <c r="FA92" i="6"/>
  <c r="EZ92" i="6"/>
  <c r="EY92" i="6"/>
  <c r="FC90" i="6"/>
  <c r="FA90" i="6"/>
  <c r="EZ90" i="6"/>
  <c r="EY90" i="6"/>
  <c r="FC88" i="6"/>
  <c r="FC87" i="6"/>
  <c r="FA87" i="6"/>
  <c r="EZ87" i="6"/>
  <c r="EY87" i="6"/>
  <c r="FC86" i="6"/>
  <c r="FA86" i="6"/>
  <c r="EZ86" i="6"/>
  <c r="EY86" i="6"/>
  <c r="FC85" i="6"/>
  <c r="FA85" i="6"/>
  <c r="FC83" i="6"/>
  <c r="FC82" i="6"/>
  <c r="FC80" i="6"/>
  <c r="FB80" i="6"/>
  <c r="FA80" i="6"/>
  <c r="FC78" i="6"/>
  <c r="FC76" i="6"/>
  <c r="FB76" i="6"/>
  <c r="FA76" i="6"/>
  <c r="FC75" i="6"/>
  <c r="FA75" i="6"/>
  <c r="EZ75" i="6"/>
  <c r="EY75" i="6"/>
  <c r="FC74" i="6"/>
  <c r="FA74" i="6"/>
  <c r="EZ74" i="6"/>
  <c r="EY74" i="6"/>
  <c r="FC72" i="6"/>
  <c r="FA72" i="6"/>
  <c r="EZ72" i="6"/>
  <c r="FC71" i="6"/>
  <c r="FC70" i="6"/>
  <c r="FA70" i="6"/>
  <c r="EZ70" i="6"/>
  <c r="EY70" i="6"/>
  <c r="FC68" i="6"/>
  <c r="FA68" i="6"/>
  <c r="EZ68" i="6"/>
  <c r="EY68" i="6"/>
  <c r="FA66" i="6"/>
  <c r="EZ66" i="6"/>
  <c r="FA65" i="6"/>
  <c r="EZ65" i="6"/>
  <c r="FC64" i="6"/>
  <c r="FB64" i="6"/>
  <c r="FA64" i="6"/>
  <c r="EY64" i="6"/>
  <c r="FC63" i="6"/>
  <c r="FB63" i="6"/>
  <c r="FA63" i="6"/>
  <c r="EY63" i="6"/>
  <c r="FB62" i="6"/>
  <c r="FA62" i="6"/>
  <c r="FC61" i="6"/>
  <c r="FC59" i="6"/>
  <c r="FC58" i="6"/>
  <c r="FC57" i="6"/>
  <c r="FC56" i="6"/>
  <c r="FB56" i="6"/>
  <c r="FA56" i="6"/>
  <c r="EZ56" i="6"/>
  <c r="FC55" i="6"/>
  <c r="FB55" i="6"/>
  <c r="FA55" i="6"/>
  <c r="EZ55" i="6"/>
  <c r="FC54" i="6"/>
  <c r="FB54" i="6"/>
  <c r="FA54" i="6"/>
  <c r="EZ54" i="6"/>
  <c r="AF681" i="7"/>
  <c r="AF645" i="7"/>
  <c r="AF620" i="7"/>
  <c r="AF440" i="7"/>
  <c r="AF122" i="7"/>
  <c r="AF118" i="7"/>
  <c r="ED11" i="11"/>
  <c r="EB11" i="11"/>
  <c r="ED8" i="11"/>
  <c r="EB8" i="11"/>
  <c r="ED7" i="11"/>
  <c r="EB7" i="11"/>
  <c r="AF366" i="12"/>
  <c r="AF352" i="12"/>
  <c r="AF326" i="12"/>
  <c r="AF294" i="12"/>
  <c r="AF235" i="12"/>
  <c r="AF198" i="12"/>
  <c r="AF130" i="12"/>
  <c r="AF124" i="12"/>
  <c r="AF110" i="12"/>
  <c r="AF109" i="12"/>
  <c r="AF88" i="12"/>
  <c r="AF87" i="12"/>
  <c r="AF67" i="12"/>
  <c r="AF48" i="12"/>
  <c r="AF41" i="12"/>
  <c r="AF40" i="12"/>
  <c r="AF36" i="12"/>
  <c r="AF35" i="12"/>
  <c r="AF16" i="12"/>
  <c r="AF10" i="12"/>
  <c r="AI19" i="7" l="1"/>
  <c r="AH19" i="7" s="1"/>
  <c r="AC37" i="8" l="1"/>
  <c r="AC5" i="8" l="1"/>
  <c r="AC7" i="8"/>
  <c r="AC9" i="8"/>
  <c r="CT262" i="17"/>
  <c r="CT267" i="17" s="1"/>
  <c r="CS262" i="17"/>
  <c r="CS267" i="17" s="1"/>
  <c r="CR262" i="17"/>
  <c r="CR267" i="17" s="1"/>
  <c r="CQ262" i="17"/>
  <c r="CQ267" i="17" s="1"/>
  <c r="CT232" i="17"/>
  <c r="CT245" i="17" s="1"/>
  <c r="CS232" i="17"/>
  <c r="CS245" i="17" s="1"/>
  <c r="CR232" i="17"/>
  <c r="CR245" i="17" s="1"/>
  <c r="CQ232" i="17"/>
  <c r="CQ245" i="17" s="1"/>
  <c r="CT205" i="17"/>
  <c r="CT210" i="17" s="1"/>
  <c r="CS205" i="17"/>
  <c r="CS210" i="17" s="1"/>
  <c r="CR205" i="17"/>
  <c r="CR210" i="17" s="1"/>
  <c r="CQ205" i="17"/>
  <c r="CQ210" i="17" s="1"/>
  <c r="CT175" i="17"/>
  <c r="CT188" i="17" s="1"/>
  <c r="CS175" i="17"/>
  <c r="CS188" i="17" s="1"/>
  <c r="CR175" i="17"/>
  <c r="CR188" i="17" s="1"/>
  <c r="CQ175" i="17"/>
  <c r="CQ188" i="17" s="1"/>
  <c r="CT148" i="17"/>
  <c r="CT153" i="17" s="1"/>
  <c r="CS148" i="17"/>
  <c r="CS153" i="17" s="1"/>
  <c r="CR148" i="17"/>
  <c r="CR153" i="17" s="1"/>
  <c r="CQ148" i="17"/>
  <c r="CQ153" i="17" s="1"/>
  <c r="CT128" i="17"/>
  <c r="CT133" i="17" s="1"/>
  <c r="CS128" i="17"/>
  <c r="CS133" i="17" s="1"/>
  <c r="CR128" i="17"/>
  <c r="CR133" i="17" s="1"/>
  <c r="CQ128" i="17"/>
  <c r="CQ133" i="17" s="1"/>
  <c r="CT114" i="17"/>
  <c r="CS114" i="17"/>
  <c r="CR114" i="17"/>
  <c r="CQ114" i="17"/>
  <c r="CT75" i="17"/>
  <c r="CT91" i="17" s="1"/>
  <c r="CS75" i="17"/>
  <c r="CS91" i="17" s="1"/>
  <c r="CR75" i="17"/>
  <c r="CR91" i="17" s="1"/>
  <c r="CQ75" i="17"/>
  <c r="CQ91" i="17" s="1"/>
  <c r="CT45" i="17"/>
  <c r="CT50" i="17" s="1"/>
  <c r="CS45" i="17"/>
  <c r="CS50" i="17" s="1"/>
  <c r="CR45" i="17"/>
  <c r="CR50" i="17" s="1"/>
  <c r="CQ45" i="17"/>
  <c r="CQ50" i="17" s="1"/>
  <c r="CT26" i="17"/>
  <c r="CT31" i="17" s="1"/>
  <c r="CS26" i="17"/>
  <c r="CS31" i="17" s="1"/>
  <c r="CR26" i="17"/>
  <c r="CR31" i="17" s="1"/>
  <c r="CQ26" i="17"/>
  <c r="CQ31" i="17" s="1"/>
  <c r="AC130" i="12"/>
  <c r="AC124" i="12"/>
  <c r="AC100" i="8"/>
  <c r="AC8" i="8" l="1"/>
  <c r="AC6" i="8"/>
  <c r="DB348" i="17"/>
  <c r="CM350" i="17"/>
  <c r="CN348" i="17"/>
  <c r="CM348" i="17"/>
  <c r="X605" i="7" l="1"/>
  <c r="Y605" i="7"/>
  <c r="Z605" i="7"/>
  <c r="AA605" i="7"/>
  <c r="AB605" i="7"/>
  <c r="AC605" i="7"/>
  <c r="AC606" i="7" l="1"/>
  <c r="AB602" i="7"/>
  <c r="AA606" i="7"/>
  <c r="Z602" i="7"/>
  <c r="Y606" i="7"/>
  <c r="AC602" i="7"/>
  <c r="AB606" i="7"/>
  <c r="AA602" i="7"/>
  <c r="Z606" i="7"/>
  <c r="Y602" i="7"/>
  <c r="AD645" i="7" l="1"/>
  <c r="AE645" i="7"/>
  <c r="AD681" i="7"/>
  <c r="AE681" i="7"/>
  <c r="CW286" i="17" l="1"/>
  <c r="CU286" i="17"/>
  <c r="CW281" i="17"/>
  <c r="CU281" i="17"/>
  <c r="CW280" i="17"/>
  <c r="CU280" i="17"/>
  <c r="CW279" i="17"/>
  <c r="CU279" i="17"/>
  <c r="CW278" i="17"/>
  <c r="CU278" i="17"/>
  <c r="CW277" i="17"/>
  <c r="CU277" i="17"/>
  <c r="CW283" i="17"/>
  <c r="CU283" i="17"/>
  <c r="CU258" i="17"/>
  <c r="CT258" i="17"/>
  <c r="CS258" i="17"/>
  <c r="CR258" i="17"/>
  <c r="CV268" i="17" s="1"/>
  <c r="CQ258" i="17"/>
  <c r="CU201" i="17"/>
  <c r="CT201" i="17"/>
  <c r="CS201" i="17"/>
  <c r="CR201" i="17"/>
  <c r="CV211" i="17" s="1"/>
  <c r="CQ201" i="17"/>
  <c r="CU144" i="17"/>
  <c r="CT144" i="17"/>
  <c r="CS144" i="17"/>
  <c r="CR144" i="17"/>
  <c r="CV154" i="17" s="1"/>
  <c r="CQ144" i="17"/>
  <c r="CU105" i="17"/>
  <c r="CT105" i="17"/>
  <c r="CS105" i="17"/>
  <c r="CR105" i="17"/>
  <c r="CV115" i="17" s="1"/>
  <c r="CQ105" i="17"/>
  <c r="CU228" i="17"/>
  <c r="CT228" i="17"/>
  <c r="CS228" i="17"/>
  <c r="CR228" i="17"/>
  <c r="CV246" i="17" s="1"/>
  <c r="CQ228" i="17"/>
  <c r="CU171" i="17"/>
  <c r="CT171" i="17"/>
  <c r="CS171" i="17"/>
  <c r="CR171" i="17"/>
  <c r="CV189" i="17" s="1"/>
  <c r="CQ171" i="17"/>
  <c r="CU124" i="17"/>
  <c r="CV129" i="17" s="1"/>
  <c r="CT124" i="17"/>
  <c r="CS124" i="17"/>
  <c r="CR124" i="17"/>
  <c r="CQ124" i="17"/>
  <c r="CU71" i="17"/>
  <c r="CT71" i="17"/>
  <c r="CS71" i="17"/>
  <c r="CR71" i="17"/>
  <c r="CV92" i="17" s="1"/>
  <c r="CQ71" i="17"/>
  <c r="CU41" i="17"/>
  <c r="CT41" i="17"/>
  <c r="CS41" i="17"/>
  <c r="CR41" i="17"/>
  <c r="CV51" i="17" s="1"/>
  <c r="CQ41" i="17"/>
  <c r="CU22" i="17"/>
  <c r="CT22" i="17"/>
  <c r="CS22" i="17"/>
  <c r="CR22" i="17"/>
  <c r="CV32" i="17" s="1"/>
  <c r="CQ22" i="17"/>
  <c r="AC30" i="8"/>
  <c r="AC618" i="7"/>
  <c r="AB618" i="7"/>
  <c r="AA618" i="7"/>
  <c r="AC616" i="7"/>
  <c r="AB616" i="7"/>
  <c r="AA616" i="7"/>
  <c r="CU307" i="17"/>
  <c r="CV307" i="17" s="1"/>
  <c r="CW307" i="17" s="1"/>
  <c r="CQ307" i="17"/>
  <c r="CR307" i="17" s="1"/>
  <c r="CS307" i="17" s="1"/>
  <c r="CT307" i="17" s="1"/>
  <c r="CU306" i="17"/>
  <c r="CV306" i="17" s="1"/>
  <c r="CW306" i="17" s="1"/>
  <c r="CQ306" i="17"/>
  <c r="CR306" i="17" s="1"/>
  <c r="CS306" i="17" s="1"/>
  <c r="CT306" i="17" s="1"/>
  <c r="CU305" i="17"/>
  <c r="CV305" i="17" s="1"/>
  <c r="CW305" i="17" s="1"/>
  <c r="CQ305" i="17"/>
  <c r="CR305" i="17" s="1"/>
  <c r="CS305" i="17" s="1"/>
  <c r="CT305" i="17" s="1"/>
  <c r="CU304" i="17"/>
  <c r="CV304" i="17" s="1"/>
  <c r="CW304" i="17" s="1"/>
  <c r="CQ304" i="17"/>
  <c r="CR304" i="17" s="1"/>
  <c r="CS304" i="17" s="1"/>
  <c r="CT304" i="17" s="1"/>
  <c r="CU303" i="17"/>
  <c r="CV303" i="17" s="1"/>
  <c r="CW303" i="17" s="1"/>
  <c r="CQ303" i="17"/>
  <c r="AC342" i="12"/>
  <c r="AC363" i="12"/>
  <c r="DP41" i="11" s="1"/>
  <c r="AC362" i="12"/>
  <c r="AC321" i="12"/>
  <c r="AC320" i="12"/>
  <c r="AC289" i="12"/>
  <c r="AC288" i="12"/>
  <c r="AC89" i="8"/>
  <c r="AC45" i="12"/>
  <c r="AC228" i="12"/>
  <c r="AC718" i="7" s="1"/>
  <c r="AC517" i="7"/>
  <c r="AC394" i="7"/>
  <c r="AC321" i="7"/>
  <c r="AC322" i="7"/>
  <c r="AC296" i="7"/>
  <c r="AC257" i="7"/>
  <c r="AC300" i="7"/>
  <c r="AC254" i="7"/>
  <c r="AC199" i="7"/>
  <c r="AC208" i="8"/>
  <c r="AC216" i="8"/>
  <c r="AC46" i="7"/>
  <c r="AC9" i="7"/>
  <c r="AC73" i="7"/>
  <c r="AC802" i="7"/>
  <c r="AC801" i="7"/>
  <c r="AC163" i="7"/>
  <c r="AC172" i="7" s="1"/>
  <c r="AC631" i="7"/>
  <c r="AC664" i="7"/>
  <c r="AC519" i="7"/>
  <c r="AC541" i="7"/>
  <c r="AC229" i="12"/>
  <c r="AC481" i="7"/>
  <c r="AC484" i="7"/>
  <c r="AC480" i="7"/>
  <c r="AB480" i="7"/>
  <c r="AA480" i="7"/>
  <c r="AC483" i="7"/>
  <c r="AC396" i="7"/>
  <c r="AC325" i="7"/>
  <c r="AC418" i="7"/>
  <c r="AC326" i="7"/>
  <c r="AC298" i="7"/>
  <c r="AC251" i="7"/>
  <c r="AC252" i="7"/>
  <c r="AC201" i="7"/>
  <c r="AC753" i="7" s="1"/>
  <c r="AC203" i="7"/>
  <c r="AC139" i="7"/>
  <c r="AC137" i="7"/>
  <c r="AC746" i="7" s="1"/>
  <c r="AC48" i="7"/>
  <c r="AC11" i="7"/>
  <c r="AC50" i="7"/>
  <c r="AC13" i="7"/>
  <c r="AC210" i="8"/>
  <c r="AC420" i="7"/>
  <c r="AC83" i="7"/>
  <c r="AC417" i="7"/>
  <c r="AC230" i="12"/>
  <c r="AC735" i="7" s="1"/>
  <c r="AC518" i="7"/>
  <c r="AC395" i="7"/>
  <c r="AC323" i="7"/>
  <c r="AC324" i="7"/>
  <c r="AC297" i="7"/>
  <c r="AC255" i="7"/>
  <c r="AC200" i="7"/>
  <c r="AC209" i="8"/>
  <c r="AC47" i="7"/>
  <c r="AC10" i="7"/>
  <c r="AC78" i="7"/>
  <c r="AC114" i="7"/>
  <c r="AC45" i="7"/>
  <c r="AC8" i="7"/>
  <c r="AC134" i="8"/>
  <c r="AC213" i="8"/>
  <c r="AC88" i="7"/>
  <c r="AC352" i="12" s="1"/>
  <c r="AC341" i="12"/>
  <c r="AC792" i="7"/>
  <c r="AC784" i="7"/>
  <c r="AB784" i="7"/>
  <c r="AA784" i="7"/>
  <c r="Z784" i="7"/>
  <c r="AC311" i="12"/>
  <c r="AH16" i="7" s="1"/>
  <c r="AC309" i="12"/>
  <c r="AC310" i="12"/>
  <c r="AC279" i="12"/>
  <c r="AC277" i="12"/>
  <c r="AC278" i="12"/>
  <c r="AC564" i="7"/>
  <c r="AB564" i="7"/>
  <c r="AA564" i="7"/>
  <c r="Z564" i="7"/>
  <c r="AC300" i="12"/>
  <c r="AC268" i="12"/>
  <c r="AC250" i="12"/>
  <c r="AC260" i="12"/>
  <c r="AC542" i="7" s="1"/>
  <c r="AC212" i="12"/>
  <c r="AC211" i="12"/>
  <c r="AC206" i="12"/>
  <c r="AC210" i="12"/>
  <c r="AC205" i="12"/>
  <c r="AC204" i="12"/>
  <c r="AC425" i="7"/>
  <c r="AC185" i="12"/>
  <c r="AC125" i="12"/>
  <c r="AC159" i="12"/>
  <c r="AC105" i="12"/>
  <c r="AC103" i="12"/>
  <c r="AC104" i="12"/>
  <c r="AC83" i="12"/>
  <c r="AC81" i="12"/>
  <c r="AC82" i="12"/>
  <c r="AC94" i="12"/>
  <c r="AC72" i="12"/>
  <c r="AC54" i="12"/>
  <c r="AC64" i="12"/>
  <c r="AC29" i="12"/>
  <c r="AC17" i="12" s="1"/>
  <c r="AC28" i="12"/>
  <c r="AC27" i="12"/>
  <c r="AC23" i="12"/>
  <c r="AC22" i="12"/>
  <c r="AC21" i="12"/>
  <c r="AC13" i="12"/>
  <c r="AC7" i="12"/>
  <c r="AC31" i="8"/>
  <c r="AC33" i="8"/>
  <c r="AC31" i="12" l="1"/>
  <c r="CW308" i="17"/>
  <c r="AC607" i="7"/>
  <c r="AC299" i="7"/>
  <c r="AC314" i="7" s="1"/>
  <c r="AC197" i="7"/>
  <c r="CV191" i="17"/>
  <c r="CV184" i="17"/>
  <c r="CV183" i="17" s="1"/>
  <c r="CV12" i="17" s="1"/>
  <c r="CV213" i="17"/>
  <c r="CV206" i="17"/>
  <c r="CV13" i="17" s="1"/>
  <c r="CV241" i="17"/>
  <c r="CV240" i="17" s="1"/>
  <c r="CV14" i="17" s="1"/>
  <c r="CV248" i="17"/>
  <c r="CV94" i="17"/>
  <c r="CV87" i="17"/>
  <c r="CV86" i="17" s="1"/>
  <c r="CV8" i="17" s="1"/>
  <c r="CV110" i="17"/>
  <c r="CV9" i="17" s="1"/>
  <c r="CV117" i="17"/>
  <c r="CV34" i="17"/>
  <c r="CV27" i="17"/>
  <c r="CV6" i="17" s="1"/>
  <c r="CV46" i="17"/>
  <c r="CV7" i="17" s="1"/>
  <c r="CV53" i="17"/>
  <c r="CV270" i="17"/>
  <c r="CV263" i="17"/>
  <c r="CV15" i="17" s="1"/>
  <c r="CV149" i="17"/>
  <c r="CV11" i="17" s="1"/>
  <c r="CV156" i="17"/>
  <c r="CV308" i="17"/>
  <c r="CU27" i="17"/>
  <c r="CU46" i="17"/>
  <c r="CU87" i="17"/>
  <c r="CU129" i="17"/>
  <c r="CU184" i="17"/>
  <c r="CU241" i="17"/>
  <c r="CU110" i="17"/>
  <c r="CU149" i="17"/>
  <c r="CU206" i="17"/>
  <c r="CU263" i="17"/>
  <c r="CU308" i="17"/>
  <c r="AC414" i="7"/>
  <c r="AC294" i="7"/>
  <c r="DP42" i="11"/>
  <c r="AB620" i="7"/>
  <c r="AC620" i="7"/>
  <c r="AC621" i="7" s="1"/>
  <c r="AA620" i="7"/>
  <c r="AC555" i="7"/>
  <c r="CX305" i="17"/>
  <c r="CY305" i="17"/>
  <c r="CX307" i="17"/>
  <c r="CY307" i="17"/>
  <c r="CX304" i="17"/>
  <c r="CY304" i="17"/>
  <c r="CX306" i="17"/>
  <c r="CY306" i="17"/>
  <c r="AC81" i="7"/>
  <c r="AC76" i="7"/>
  <c r="AA573" i="7"/>
  <c r="AC573" i="7"/>
  <c r="AC579" i="7"/>
  <c r="AC698" i="7"/>
  <c r="AC612" i="7"/>
  <c r="AC26" i="7"/>
  <c r="AC130" i="7"/>
  <c r="AC28" i="7"/>
  <c r="AC728" i="7"/>
  <c r="AC281" i="7"/>
  <c r="AC343" i="7"/>
  <c r="AC729" i="7"/>
  <c r="AC407" i="7"/>
  <c r="AC100" i="7"/>
  <c r="AC416" i="7"/>
  <c r="AC86" i="7"/>
  <c r="AC659" i="7"/>
  <c r="AC673" i="7" s="1"/>
  <c r="AC67" i="7"/>
  <c r="AC745" i="7"/>
  <c r="AC65" i="7"/>
  <c r="AC625" i="7"/>
  <c r="AC636" i="7" s="1"/>
  <c r="AC693" i="7"/>
  <c r="AC244" i="7"/>
  <c r="AC278" i="7"/>
  <c r="AC657" i="7"/>
  <c r="AC671" i="7" s="1"/>
  <c r="AC313" i="7"/>
  <c r="AC444" i="7"/>
  <c r="AC656" i="7"/>
  <c r="AC670" i="7" s="1"/>
  <c r="AC408" i="7"/>
  <c r="AC503" i="7"/>
  <c r="AC695" i="7"/>
  <c r="AC504" i="7"/>
  <c r="AC696" i="7"/>
  <c r="AC554" i="7"/>
  <c r="AC760" i="7"/>
  <c r="AC75" i="7"/>
  <c r="AC27" i="7"/>
  <c r="AC706" i="7"/>
  <c r="AC280" i="7"/>
  <c r="AC712" i="7"/>
  <c r="AC283" i="7"/>
  <c r="AC708" i="7"/>
  <c r="AC341" i="7"/>
  <c r="AC406" i="7"/>
  <c r="AC450" i="7"/>
  <c r="AB573" i="7"/>
  <c r="AC101" i="7"/>
  <c r="AC62" i="7"/>
  <c r="AC80" i="7"/>
  <c r="AC99" i="7"/>
  <c r="AC64" i="7"/>
  <c r="AC238" i="7"/>
  <c r="AC730" i="7"/>
  <c r="AC312" i="7"/>
  <c r="AC342" i="7"/>
  <c r="AC731" i="7"/>
  <c r="AC531" i="7"/>
  <c r="AC741" i="7"/>
  <c r="AC443" i="7"/>
  <c r="AC655" i="7"/>
  <c r="AC669" i="7" s="1"/>
  <c r="AC445" i="7"/>
  <c r="AC624" i="7"/>
  <c r="AC691" i="7"/>
  <c r="AC31" i="7"/>
  <c r="AC29" i="7"/>
  <c r="AC85" i="7"/>
  <c r="AC658" i="7"/>
  <c r="AC672" i="7" s="1"/>
  <c r="AC161" i="7"/>
  <c r="AC171" i="7" s="1"/>
  <c r="AC694" i="7"/>
  <c r="AC277" i="7"/>
  <c r="AC253" i="7"/>
  <c r="AC345" i="7"/>
  <c r="AC747" i="7"/>
  <c r="AC344" i="7"/>
  <c r="AC506" i="7"/>
  <c r="AC630" i="7"/>
  <c r="AC641" i="7" s="1"/>
  <c r="AC507" i="7"/>
  <c r="AC759" i="7"/>
  <c r="AC662" i="7"/>
  <c r="AC676" i="7" s="1"/>
  <c r="AC763" i="7"/>
  <c r="AC532" i="7"/>
  <c r="AC761" i="7"/>
  <c r="AC642" i="7"/>
  <c r="AC98" i="7"/>
  <c r="AC63" i="7"/>
  <c r="AC230" i="7"/>
  <c r="AC315" i="7"/>
  <c r="AC707" i="7"/>
  <c r="AC713" i="7"/>
  <c r="AC311" i="7"/>
  <c r="AC340" i="7"/>
  <c r="AC714" i="7"/>
  <c r="AC530" i="7"/>
  <c r="AC724" i="7"/>
  <c r="AC109" i="7"/>
  <c r="AC421" i="7" s="1"/>
  <c r="AC428" i="7" s="1"/>
  <c r="AC108" i="7"/>
  <c r="AC107" i="7"/>
  <c r="AC422" i="7"/>
  <c r="AC751" i="7"/>
  <c r="AC154" i="7"/>
  <c r="AC156" i="7"/>
  <c r="AC754" i="7"/>
  <c r="AC485" i="7"/>
  <c r="AC508" i="7" s="1"/>
  <c r="AC482" i="7"/>
  <c r="AC505" i="7" s="1"/>
  <c r="AB492" i="7"/>
  <c r="BC492" i="7" s="1"/>
  <c r="AC49" i="7"/>
  <c r="AC423" i="7"/>
  <c r="AC419" i="7"/>
  <c r="AC755" i="7"/>
  <c r="AC492" i="7"/>
  <c r="CT43" i="17"/>
  <c r="AC52" i="12"/>
  <c r="CT260" i="17"/>
  <c r="AC183" i="1"/>
  <c r="AC136" i="8"/>
  <c r="AC322" i="12"/>
  <c r="DP110" i="11"/>
  <c r="CR303" i="17"/>
  <c r="CQ308" i="17"/>
  <c r="CS53" i="17"/>
  <c r="CS102" i="17"/>
  <c r="CS46" i="17"/>
  <c r="CS156" i="17"/>
  <c r="CS198" i="17"/>
  <c r="CS149" i="17"/>
  <c r="CQ255" i="17"/>
  <c r="CT24" i="17"/>
  <c r="AC51" i="12"/>
  <c r="CT146" i="17"/>
  <c r="AC92" i="12"/>
  <c r="DP48" i="11"/>
  <c r="AC298" i="12"/>
  <c r="AC312" i="12"/>
  <c r="DP15" i="11"/>
  <c r="DP71" i="11"/>
  <c r="AC241" i="12"/>
  <c r="DP109" i="11"/>
  <c r="CR34" i="17"/>
  <c r="CR101" i="17"/>
  <c r="CR27" i="17"/>
  <c r="CR94" i="17"/>
  <c r="CR87" i="17"/>
  <c r="CR86" i="17" s="1"/>
  <c r="CT241" i="17"/>
  <c r="CT240" i="17" s="1"/>
  <c r="CR117" i="17"/>
  <c r="CR141" i="17"/>
  <c r="CR110" i="17"/>
  <c r="DP58" i="11"/>
  <c r="AC266" i="12"/>
  <c r="DP87" i="11"/>
  <c r="AC299" i="12"/>
  <c r="DP13" i="11"/>
  <c r="DP88" i="11"/>
  <c r="AC280" i="12"/>
  <c r="CQ101" i="17"/>
  <c r="CT23" i="17"/>
  <c r="CT34" i="17" s="1"/>
  <c r="CT72" i="17"/>
  <c r="CT94" i="17" s="1"/>
  <c r="CS134" i="17"/>
  <c r="CS142" i="17"/>
  <c r="CS129" i="17"/>
  <c r="CQ199" i="17"/>
  <c r="CT172" i="17"/>
  <c r="CV190" i="17" s="1"/>
  <c r="CS248" i="17"/>
  <c r="CS241" i="17"/>
  <c r="CS240" i="17" s="1"/>
  <c r="CQ141" i="17"/>
  <c r="CT263" i="17"/>
  <c r="CS263" i="17"/>
  <c r="CS270" i="17"/>
  <c r="AC32" i="8"/>
  <c r="AC243" i="8"/>
  <c r="CT173" i="17"/>
  <c r="AC93" i="12"/>
  <c r="AC115" i="12"/>
  <c r="AC242" i="8"/>
  <c r="DP62" i="11"/>
  <c r="AC213" i="12"/>
  <c r="DP63" i="11"/>
  <c r="DP86" i="11"/>
  <c r="DP116" i="11"/>
  <c r="DP17" i="11"/>
  <c r="AC233" i="8"/>
  <c r="CT102" i="17"/>
  <c r="CT46" i="17"/>
  <c r="CT142" i="17"/>
  <c r="CT129" i="17"/>
  <c r="CR191" i="17"/>
  <c r="CR199" i="17"/>
  <c r="CR184" i="17"/>
  <c r="CR183" i="17" s="1"/>
  <c r="CT198" i="17"/>
  <c r="CT149" i="17"/>
  <c r="CR213" i="17"/>
  <c r="CR255" i="17"/>
  <c r="CR206" i="17"/>
  <c r="CT107" i="17"/>
  <c r="AC70" i="12"/>
  <c r="CT230" i="17"/>
  <c r="AC123" i="12"/>
  <c r="DP47" i="11"/>
  <c r="DP101" i="11"/>
  <c r="AC113" i="8"/>
  <c r="DP70" i="11"/>
  <c r="AC242" i="12"/>
  <c r="DP95" i="11"/>
  <c r="CS34" i="17"/>
  <c r="CS101" i="17"/>
  <c r="CS27" i="17"/>
  <c r="CQ102" i="17"/>
  <c r="CT42" i="17"/>
  <c r="CV52" i="17" s="1"/>
  <c r="CS94" i="17"/>
  <c r="CS87" i="17"/>
  <c r="CS86" i="17" s="1"/>
  <c r="CQ134" i="17"/>
  <c r="CQ142" i="17"/>
  <c r="CT125" i="17"/>
  <c r="CS191" i="17"/>
  <c r="CS199" i="17"/>
  <c r="CS184" i="17"/>
  <c r="CS183" i="17" s="1"/>
  <c r="CT229" i="17"/>
  <c r="CV247" i="17" s="1"/>
  <c r="CS141" i="17"/>
  <c r="CS110" i="17"/>
  <c r="CS117" i="17"/>
  <c r="CQ198" i="17"/>
  <c r="CT206" i="17"/>
  <c r="CS255" i="17"/>
  <c r="CS213" i="17"/>
  <c r="CR270" i="17"/>
  <c r="CT259" i="17"/>
  <c r="CV269" i="17" s="1"/>
  <c r="AC98" i="8"/>
  <c r="AC35" i="8"/>
  <c r="AC11" i="8" s="1"/>
  <c r="CT126" i="17"/>
  <c r="AC71" i="12"/>
  <c r="AC114" i="12"/>
  <c r="AC247" i="12"/>
  <c r="DP7" i="11"/>
  <c r="DP35" i="11"/>
  <c r="DP57" i="11"/>
  <c r="DP81" i="11"/>
  <c r="AC267" i="12"/>
  <c r="DP11" i="11"/>
  <c r="DP102" i="11"/>
  <c r="AC231" i="8"/>
  <c r="AC189" i="8"/>
  <c r="AC229" i="8"/>
  <c r="DP72" i="11"/>
  <c r="AC243" i="12"/>
  <c r="AC230" i="8"/>
  <c r="AC188" i="8"/>
  <c r="AB183" i="1"/>
  <c r="AC214" i="8"/>
  <c r="AC228" i="8"/>
  <c r="DP94" i="11"/>
  <c r="AC290" i="12"/>
  <c r="CT101" i="17"/>
  <c r="CT27" i="17"/>
  <c r="CR53" i="17"/>
  <c r="CR102" i="17"/>
  <c r="CR46" i="17"/>
  <c r="CT87" i="17"/>
  <c r="CT86" i="17" s="1"/>
  <c r="CR134" i="17"/>
  <c r="CR142" i="17"/>
  <c r="CR129" i="17"/>
  <c r="CT199" i="17"/>
  <c r="CT184" i="17"/>
  <c r="CT183" i="17" s="1"/>
  <c r="CR248" i="17"/>
  <c r="CR241" i="17"/>
  <c r="CR240" i="17" s="1"/>
  <c r="CT141" i="17"/>
  <c r="CT110" i="17"/>
  <c r="CR156" i="17"/>
  <c r="CR198" i="17"/>
  <c r="CR149" i="17"/>
  <c r="CT255" i="17"/>
  <c r="CR263" i="17"/>
  <c r="AC76" i="8"/>
  <c r="AC191" i="8" s="1"/>
  <c r="AC29" i="8"/>
  <c r="CT73" i="17"/>
  <c r="AC53" i="12"/>
  <c r="CT203" i="17"/>
  <c r="AC122" i="12"/>
  <c r="AC248" i="12"/>
  <c r="DP49" i="11"/>
  <c r="DP8" i="11"/>
  <c r="AC194" i="12"/>
  <c r="DP59" i="11"/>
  <c r="AC207" i="12"/>
  <c r="AC249" i="12"/>
  <c r="DP9" i="11"/>
  <c r="DP64" i="11"/>
  <c r="AC214" i="12"/>
  <c r="AC231" i="12"/>
  <c r="BC3" i="7"/>
  <c r="BC4" i="7"/>
  <c r="BC5" i="7"/>
  <c r="BC6" i="7"/>
  <c r="BC24" i="7"/>
  <c r="BC32" i="7"/>
  <c r="BC40" i="7"/>
  <c r="BC41" i="7"/>
  <c r="BC42" i="7"/>
  <c r="BC43" i="7"/>
  <c r="BC52" i="7"/>
  <c r="BC60" i="7"/>
  <c r="BC68" i="7"/>
  <c r="BC69" i="7"/>
  <c r="BC70" i="7"/>
  <c r="BC71" i="7"/>
  <c r="BC74" i="7"/>
  <c r="BC79" i="7"/>
  <c r="BC84" i="7"/>
  <c r="BC90" i="7"/>
  <c r="BC96" i="7"/>
  <c r="BC102" i="7"/>
  <c r="BC103" i="7"/>
  <c r="BC104" i="7"/>
  <c r="BC105" i="7"/>
  <c r="BC110" i="7"/>
  <c r="BC111" i="7"/>
  <c r="BC116" i="7"/>
  <c r="BC121" i="7"/>
  <c r="BC125" i="7"/>
  <c r="BC131" i="7"/>
  <c r="BC132" i="7"/>
  <c r="BC133" i="7"/>
  <c r="BC134" i="7"/>
  <c r="BC151" i="7"/>
  <c r="BC159" i="7"/>
  <c r="BC164" i="7"/>
  <c r="BC169" i="7"/>
  <c r="BC173" i="7"/>
  <c r="BC174" i="7"/>
  <c r="BC175" i="7"/>
  <c r="BC176" i="7"/>
  <c r="BC182" i="7"/>
  <c r="BC188" i="7"/>
  <c r="BC194" i="7"/>
  <c r="BC195" i="7"/>
  <c r="BC196" i="7"/>
  <c r="BC212" i="7"/>
  <c r="BC217" i="7"/>
  <c r="BC224" i="7"/>
  <c r="BC232" i="7"/>
  <c r="BC240" i="7"/>
  <c r="BC246" i="7"/>
  <c r="BC247" i="7"/>
  <c r="BC248" i="7"/>
  <c r="BC249" i="7"/>
  <c r="BC272" i="7"/>
  <c r="BC275" i="7"/>
  <c r="BC284" i="7"/>
  <c r="BC285" i="7"/>
  <c r="BC291" i="7"/>
  <c r="BC292" i="7"/>
  <c r="BC302" i="7"/>
  <c r="BC309" i="7"/>
  <c r="BC316" i="7"/>
  <c r="BC317" i="7"/>
  <c r="BC318" i="7"/>
  <c r="BC329" i="7"/>
  <c r="BC338" i="7"/>
  <c r="BC347" i="7"/>
  <c r="BC348" i="7"/>
  <c r="BC349" i="7"/>
  <c r="BC350" i="7"/>
  <c r="BC356" i="7"/>
  <c r="BC362" i="7"/>
  <c r="BC368" i="7"/>
  <c r="BC369" i="7"/>
  <c r="BC370" i="7"/>
  <c r="BC371" i="7"/>
  <c r="BC377" i="7"/>
  <c r="BC383" i="7"/>
  <c r="BC389" i="7"/>
  <c r="BC390" i="7"/>
  <c r="BC391" i="7"/>
  <c r="BC392" i="7"/>
  <c r="BC398" i="7"/>
  <c r="BC404" i="7"/>
  <c r="BC410" i="7"/>
  <c r="BC411" i="7"/>
  <c r="BC412" i="7"/>
  <c r="BC413" i="7"/>
  <c r="BC427" i="7"/>
  <c r="BC440" i="7"/>
  <c r="BC451" i="7"/>
  <c r="BC452" i="7"/>
  <c r="BC453" i="7"/>
  <c r="BC454" i="7"/>
  <c r="BC460" i="7"/>
  <c r="BC466" i="7"/>
  <c r="BC472" i="7"/>
  <c r="BC475" i="7"/>
  <c r="BC476" i="7"/>
  <c r="BC477" i="7"/>
  <c r="BC478" i="7"/>
  <c r="BC490" i="7"/>
  <c r="BC501" i="7"/>
  <c r="BC512" i="7"/>
  <c r="BC513" i="7"/>
  <c r="BC514" i="7"/>
  <c r="BC515" i="7"/>
  <c r="BC522" i="7"/>
  <c r="BC528" i="7"/>
  <c r="BC534" i="7"/>
  <c r="BC535" i="7"/>
  <c r="BC536" i="7"/>
  <c r="BC537" i="7"/>
  <c r="BC544" i="7"/>
  <c r="BC550" i="7"/>
  <c r="BC556" i="7"/>
  <c r="BC557" i="7"/>
  <c r="BC558" i="7"/>
  <c r="BC559" i="7"/>
  <c r="BC568" i="7"/>
  <c r="BC574" i="7"/>
  <c r="BC580" i="7"/>
  <c r="BC581" i="7"/>
  <c r="BC582" i="7"/>
  <c r="BC583" i="7"/>
  <c r="BC590" i="7"/>
  <c r="BC595" i="7"/>
  <c r="BC600" i="7"/>
  <c r="BC608" i="7"/>
  <c r="BC614" i="7"/>
  <c r="BC616" i="7"/>
  <c r="BC617" i="7"/>
  <c r="BC618" i="7"/>
  <c r="BC619" i="7"/>
  <c r="BC622" i="7"/>
  <c r="BC633" i="7"/>
  <c r="BC643" i="7"/>
  <c r="BC645" i="7"/>
  <c r="BC646" i="7"/>
  <c r="BC647" i="7"/>
  <c r="BC648" i="7"/>
  <c r="BC652" i="7"/>
  <c r="BC666" i="7"/>
  <c r="BC679" i="7"/>
  <c r="BC681" i="7"/>
  <c r="BC682" i="7"/>
  <c r="BC683" i="7"/>
  <c r="BC684" i="7"/>
  <c r="BC688" i="7"/>
  <c r="BC689" i="7"/>
  <c r="BC700" i="7"/>
  <c r="BC701" i="7"/>
  <c r="BC702" i="7"/>
  <c r="BC703" i="7"/>
  <c r="BC704" i="7"/>
  <c r="BC710" i="7"/>
  <c r="BC716" i="7"/>
  <c r="BC721" i="7"/>
  <c r="BC726" i="7"/>
  <c r="BC733" i="7"/>
  <c r="BC738" i="7"/>
  <c r="BC743" i="7"/>
  <c r="BC749" i="7"/>
  <c r="BC757" i="7"/>
  <c r="BC766" i="7"/>
  <c r="BC776" i="7"/>
  <c r="BC787" i="7"/>
  <c r="BC794" i="7"/>
  <c r="BC795" i="7"/>
  <c r="BC797" i="7"/>
  <c r="BC798" i="7"/>
  <c r="BC799" i="7"/>
  <c r="BC803" i="7"/>
  <c r="BC804" i="7"/>
  <c r="BC805" i="7"/>
  <c r="BC806" i="7"/>
  <c r="BC807" i="7"/>
  <c r="BC1" i="7"/>
  <c r="DC306" i="17" l="1"/>
  <c r="DD306" i="17" s="1"/>
  <c r="DE306" i="17" s="1"/>
  <c r="DF306" i="17" s="1"/>
  <c r="AF374" i="12" s="1"/>
  <c r="AF126" i="21" s="1"/>
  <c r="DC304" i="17"/>
  <c r="DD304" i="17" s="1"/>
  <c r="DE304" i="17" s="1"/>
  <c r="DF304" i="17" s="1"/>
  <c r="AF372" i="12" s="1"/>
  <c r="AF125" i="21" s="1"/>
  <c r="DC307" i="17"/>
  <c r="DD307" i="17" s="1"/>
  <c r="DE307" i="17" s="1"/>
  <c r="DF307" i="17" s="1"/>
  <c r="AF375" i="12" s="1"/>
  <c r="AF128" i="21" s="1"/>
  <c r="DC305" i="17"/>
  <c r="DD305" i="17" s="1"/>
  <c r="DE305" i="17" s="1"/>
  <c r="DF305" i="17" s="1"/>
  <c r="AF373" i="12" s="1"/>
  <c r="AF127" i="21" s="1"/>
  <c r="CV33" i="17"/>
  <c r="CV93" i="17"/>
  <c r="AC448" i="7"/>
  <c r="AC446" i="7"/>
  <c r="AC447" i="7"/>
  <c r="AC82" i="7"/>
  <c r="AC128" i="7"/>
  <c r="AC762" i="7"/>
  <c r="AC626" i="7"/>
  <c r="AC637" i="7" s="1"/>
  <c r="AC289" i="7"/>
  <c r="AC279" i="7"/>
  <c r="AC715" i="7"/>
  <c r="AC709" i="7"/>
  <c r="AC748" i="7"/>
  <c r="AC628" i="7" s="1"/>
  <c r="AC639" i="7" s="1"/>
  <c r="AC769" i="7"/>
  <c r="AC66" i="7"/>
  <c r="AC127" i="7"/>
  <c r="AC77" i="7"/>
  <c r="AC87" i="7"/>
  <c r="AC129" i="7"/>
  <c r="AC635" i="7"/>
  <c r="AC442" i="7"/>
  <c r="AC654" i="7"/>
  <c r="AC732" i="7"/>
  <c r="AC149" i="12"/>
  <c r="CR200" i="17"/>
  <c r="CQ143" i="17"/>
  <c r="AC269" i="12"/>
  <c r="CR143" i="17"/>
  <c r="CT200" i="17"/>
  <c r="AC781" i="7"/>
  <c r="CQ200" i="17"/>
  <c r="AC301" i="12"/>
  <c r="AC301" i="7"/>
  <c r="AC244" i="12"/>
  <c r="AC232" i="12"/>
  <c r="AC212" i="8"/>
  <c r="AC99" i="8"/>
  <c r="AC148" i="12"/>
  <c r="DP73" i="11"/>
  <c r="AC244" i="8"/>
  <c r="AC248" i="8" s="1"/>
  <c r="AC153" i="12"/>
  <c r="CT191" i="17"/>
  <c r="AC251" i="12"/>
  <c r="AC247" i="8"/>
  <c r="CS260" i="17"/>
  <c r="AC187" i="8"/>
  <c r="CT248" i="17"/>
  <c r="AC155" i="12"/>
  <c r="AC151" i="12"/>
  <c r="AC135" i="8"/>
  <c r="DP10" i="11"/>
  <c r="DP12" i="11" s="1"/>
  <c r="DP14" i="11" s="1"/>
  <c r="DP16" i="11" s="1"/>
  <c r="CT53" i="17"/>
  <c r="CT145" i="17"/>
  <c r="CV155" i="17" s="1"/>
  <c r="CT270" i="17"/>
  <c r="DP51" i="11"/>
  <c r="AC147" i="12"/>
  <c r="CR308" i="17"/>
  <c r="CS303" i="17"/>
  <c r="DP103" i="11"/>
  <c r="CS200" i="17"/>
  <c r="AC101" i="8"/>
  <c r="CT143" i="17"/>
  <c r="AC34" i="8"/>
  <c r="AC36" i="8"/>
  <c r="CT202" i="17"/>
  <c r="CV212" i="17" s="1"/>
  <c r="CS143" i="17"/>
  <c r="DP50" i="11"/>
  <c r="CS24" i="17"/>
  <c r="AD118" i="7"/>
  <c r="AC249" i="8" l="1"/>
  <c r="AC764" i="7"/>
  <c r="AC765" i="7" s="1"/>
  <c r="AC663" i="7"/>
  <c r="AC677" i="7" s="1"/>
  <c r="AC668" i="7"/>
  <c r="CT213" i="17"/>
  <c r="CT156" i="17"/>
  <c r="CS203" i="17"/>
  <c r="DP78" i="11"/>
  <c r="DP75" i="11"/>
  <c r="DP77" i="11"/>
  <c r="CT303" i="17"/>
  <c r="CS308" i="17"/>
  <c r="AC114" i="8"/>
  <c r="AC77" i="8"/>
  <c r="DP76" i="11"/>
  <c r="AE118" i="7"/>
  <c r="CT308" i="17" l="1"/>
  <c r="AC78" i="8"/>
  <c r="AC159" i="8"/>
  <c r="AE120" i="21"/>
  <c r="AE119" i="21"/>
  <c r="AE118" i="21"/>
  <c r="AE117" i="21"/>
  <c r="EW96" i="6"/>
  <c r="EW95" i="6"/>
  <c r="EW93" i="6"/>
  <c r="EU93" i="6"/>
  <c r="ET93" i="6"/>
  <c r="ES93" i="6"/>
  <c r="EW92" i="6"/>
  <c r="EU92" i="6"/>
  <c r="ET92" i="6"/>
  <c r="ES92" i="6"/>
  <c r="EW90" i="6"/>
  <c r="EU90" i="6"/>
  <c r="ET90" i="6"/>
  <c r="ES90" i="6"/>
  <c r="EW88" i="6"/>
  <c r="EW87" i="6"/>
  <c r="EU87" i="6"/>
  <c r="ET87" i="6"/>
  <c r="ES87" i="6"/>
  <c r="EW86" i="6"/>
  <c r="EU86" i="6"/>
  <c r="ET86" i="6"/>
  <c r="ES86" i="6"/>
  <c r="EW85" i="6"/>
  <c r="EU85" i="6"/>
  <c r="EW83" i="6"/>
  <c r="EW82" i="6"/>
  <c r="EW80" i="6"/>
  <c r="EV80" i="6"/>
  <c r="EU80" i="6"/>
  <c r="EW78" i="6"/>
  <c r="EW76" i="6"/>
  <c r="EV76" i="6"/>
  <c r="EU76" i="6"/>
  <c r="EW75" i="6"/>
  <c r="EU75" i="6"/>
  <c r="ET75" i="6"/>
  <c r="ES75" i="6"/>
  <c r="EW74" i="6"/>
  <c r="EU74" i="6"/>
  <c r="ET74" i="6"/>
  <c r="ES74" i="6"/>
  <c r="EW72" i="6"/>
  <c r="EU72" i="6"/>
  <c r="ET72" i="6"/>
  <c r="EW71" i="6"/>
  <c r="EW70" i="6"/>
  <c r="EU70" i="6"/>
  <c r="ET70" i="6"/>
  <c r="ES70" i="6"/>
  <c r="EW68" i="6"/>
  <c r="EU68" i="6"/>
  <c r="ET68" i="6"/>
  <c r="ES68" i="6"/>
  <c r="EU66" i="6"/>
  <c r="ET66" i="6"/>
  <c r="EU65" i="6"/>
  <c r="ET65" i="6"/>
  <c r="EW64" i="6"/>
  <c r="EV64" i="6"/>
  <c r="EU64" i="6"/>
  <c r="ES64" i="6"/>
  <c r="EW63" i="6"/>
  <c r="EV63" i="6"/>
  <c r="EU63" i="6"/>
  <c r="ES63" i="6"/>
  <c r="EV62" i="6"/>
  <c r="EU62" i="6"/>
  <c r="EW61" i="6"/>
  <c r="EW59" i="6"/>
  <c r="EW58" i="6"/>
  <c r="EW57" i="6"/>
  <c r="EW56" i="6"/>
  <c r="EV56" i="6"/>
  <c r="EU56" i="6"/>
  <c r="ET56" i="6"/>
  <c r="EW55" i="6"/>
  <c r="EV55" i="6"/>
  <c r="EU55" i="6"/>
  <c r="ET55" i="6"/>
  <c r="EW54" i="6"/>
  <c r="EV54" i="6"/>
  <c r="EU54" i="6"/>
  <c r="ET54" i="6"/>
  <c r="AE620" i="7"/>
  <c r="AE122" i="7"/>
  <c r="DB262" i="17"/>
  <c r="DB267" i="17" s="1"/>
  <c r="DA262" i="17"/>
  <c r="DA267" i="17" s="1"/>
  <c r="CZ262" i="17"/>
  <c r="CZ267" i="17" s="1"/>
  <c r="CY262" i="17"/>
  <c r="CY267" i="17" s="1"/>
  <c r="DB240" i="17"/>
  <c r="DB14" i="17" s="1"/>
  <c r="CY20" i="22" s="1"/>
  <c r="DA240" i="17"/>
  <c r="DA14" i="17" s="1"/>
  <c r="CX20" i="22" s="1"/>
  <c r="CZ240" i="17"/>
  <c r="CZ14" i="17" s="1"/>
  <c r="CW20" i="22" s="1"/>
  <c r="CY240" i="17"/>
  <c r="CY14" i="17" s="1"/>
  <c r="CV20" i="22" s="1"/>
  <c r="DB232" i="17"/>
  <c r="DB245" i="17" s="1"/>
  <c r="DA232" i="17"/>
  <c r="DA245" i="17" s="1"/>
  <c r="CZ232" i="17"/>
  <c r="CZ245" i="17" s="1"/>
  <c r="CY232" i="17"/>
  <c r="CY245" i="17" s="1"/>
  <c r="DB205" i="17"/>
  <c r="DB210" i="17" s="1"/>
  <c r="DA205" i="17"/>
  <c r="DA210" i="17" s="1"/>
  <c r="CZ205" i="17"/>
  <c r="CZ210" i="17" s="1"/>
  <c r="CY205" i="17"/>
  <c r="CY210" i="17" s="1"/>
  <c r="DB183" i="17"/>
  <c r="DB12" i="17" s="1"/>
  <c r="CY18" i="22" s="1"/>
  <c r="DA183" i="17"/>
  <c r="DA12" i="17" s="1"/>
  <c r="CX18" i="22" s="1"/>
  <c r="CZ183" i="17"/>
  <c r="CZ12" i="17" s="1"/>
  <c r="CW18" i="22" s="1"/>
  <c r="CY183" i="17"/>
  <c r="CY12" i="17" s="1"/>
  <c r="CV18" i="22" s="1"/>
  <c r="DB175" i="17"/>
  <c r="DB188" i="17" s="1"/>
  <c r="DA175" i="17"/>
  <c r="DA188" i="17" s="1"/>
  <c r="CZ175" i="17"/>
  <c r="CZ188" i="17" s="1"/>
  <c r="CY175" i="17"/>
  <c r="CY188" i="17" s="1"/>
  <c r="DB148" i="17"/>
  <c r="DB153" i="17" s="1"/>
  <c r="DA148" i="17"/>
  <c r="DA153" i="17" s="1"/>
  <c r="CZ148" i="17"/>
  <c r="CZ153" i="17" s="1"/>
  <c r="CY148" i="17"/>
  <c r="CY153" i="17" s="1"/>
  <c r="DB142" i="17"/>
  <c r="DA142" i="17"/>
  <c r="CZ142" i="17"/>
  <c r="CY142" i="17"/>
  <c r="DB129" i="17"/>
  <c r="DA129" i="17"/>
  <c r="CZ129" i="17"/>
  <c r="CY129" i="17"/>
  <c r="DB128" i="17"/>
  <c r="DB133" i="17" s="1"/>
  <c r="DA128" i="17"/>
  <c r="DA133" i="17" s="1"/>
  <c r="CZ128" i="17"/>
  <c r="CZ133" i="17" s="1"/>
  <c r="CY128" i="17"/>
  <c r="CY133" i="17" s="1"/>
  <c r="DB125" i="17"/>
  <c r="DF130" i="17" s="1"/>
  <c r="DB114" i="17"/>
  <c r="DA114" i="17"/>
  <c r="CZ114" i="17"/>
  <c r="CY114" i="17"/>
  <c r="DB86" i="17"/>
  <c r="DB8" i="17" s="1"/>
  <c r="CY14" i="22" s="1"/>
  <c r="DA86" i="17"/>
  <c r="DA8" i="17" s="1"/>
  <c r="CX14" i="22" s="1"/>
  <c r="CZ86" i="17"/>
  <c r="CZ8" i="17" s="1"/>
  <c r="CW14" i="22" s="1"/>
  <c r="CY86" i="17"/>
  <c r="CY8" i="17" s="1"/>
  <c r="CV14" i="22" s="1"/>
  <c r="DB75" i="17"/>
  <c r="DB91" i="17" s="1"/>
  <c r="DA75" i="17"/>
  <c r="DA91" i="17" s="1"/>
  <c r="CZ75" i="17"/>
  <c r="CZ91" i="17" s="1"/>
  <c r="CY75" i="17"/>
  <c r="CY91" i="17" s="1"/>
  <c r="DB45" i="17"/>
  <c r="DB50" i="17" s="1"/>
  <c r="DA45" i="17"/>
  <c r="DA50" i="17" s="1"/>
  <c r="CZ45" i="17"/>
  <c r="CZ50" i="17" s="1"/>
  <c r="CY45" i="17"/>
  <c r="CY50" i="17" s="1"/>
  <c r="DB26" i="17"/>
  <c r="DB31" i="17" s="1"/>
  <c r="DA26" i="17"/>
  <c r="DA31" i="17" s="1"/>
  <c r="CZ26" i="17"/>
  <c r="CZ31" i="17" s="1"/>
  <c r="CY26" i="17"/>
  <c r="CY31" i="17" s="1"/>
  <c r="DB7" i="17"/>
  <c r="CY13" i="22" s="1"/>
  <c r="DA7" i="17"/>
  <c r="CX13" i="22" s="1"/>
  <c r="CZ7" i="17"/>
  <c r="CW13" i="22" s="1"/>
  <c r="CY7" i="17"/>
  <c r="CV13" i="22" s="1"/>
  <c r="DB6" i="17"/>
  <c r="CY12" i="22" s="1"/>
  <c r="DA6" i="17"/>
  <c r="CX12" i="22" s="1"/>
  <c r="CZ6" i="17"/>
  <c r="CW12" i="22" s="1"/>
  <c r="CY6" i="17"/>
  <c r="CV12" i="22" s="1"/>
  <c r="AE366" i="12"/>
  <c r="AE326" i="12"/>
  <c r="AE294" i="12"/>
  <c r="AE235" i="12"/>
  <c r="AE198" i="12"/>
  <c r="AE130" i="12"/>
  <c r="AE124" i="12"/>
  <c r="AE110" i="12"/>
  <c r="AE109" i="12"/>
  <c r="AE88" i="12"/>
  <c r="AE87" i="12"/>
  <c r="AE67" i="12"/>
  <c r="AE48" i="12"/>
  <c r="AE41" i="12"/>
  <c r="AE40" i="12"/>
  <c r="AE36" i="12"/>
  <c r="AE35" i="12"/>
  <c r="AE16" i="12"/>
  <c r="AE10" i="12"/>
  <c r="DY11" i="11"/>
  <c r="DW11" i="11"/>
  <c r="DY8" i="11"/>
  <c r="DW8" i="11"/>
  <c r="DY7" i="11"/>
  <c r="DW7" i="11"/>
  <c r="CY303" i="17" l="1"/>
  <c r="AC115" i="8"/>
  <c r="DC303" i="17" l="1"/>
  <c r="DD303" i="17" s="1"/>
  <c r="T10" i="22"/>
  <c r="S10" i="22"/>
  <c r="R10" i="22"/>
  <c r="Q10" i="22"/>
  <c r="P10" i="22"/>
  <c r="O10" i="22"/>
  <c r="N10" i="22"/>
  <c r="M10" i="22"/>
  <c r="L10" i="22"/>
  <c r="K10" i="22"/>
  <c r="J10" i="22"/>
  <c r="I10" i="22"/>
  <c r="F9" i="22"/>
  <c r="G9" i="22" s="1"/>
  <c r="H9" i="22" s="1"/>
  <c r="I9" i="22" s="1"/>
  <c r="J9" i="22" s="1"/>
  <c r="K9" i="22" s="1"/>
  <c r="L9" i="22" s="1"/>
  <c r="M9" i="22" s="1"/>
  <c r="N9" i="22" s="1"/>
  <c r="O9" i="22" s="1"/>
  <c r="P9" i="22" s="1"/>
  <c r="Q9" i="22" s="1"/>
  <c r="G7" i="22"/>
  <c r="B28" i="22" s="1"/>
  <c r="B160" i="21"/>
  <c r="A160" i="21"/>
  <c r="B159" i="21"/>
  <c r="A159" i="21"/>
  <c r="B158" i="21"/>
  <c r="A158" i="21"/>
  <c r="B157" i="21"/>
  <c r="A157" i="21"/>
  <c r="B156" i="21"/>
  <c r="A156" i="21"/>
  <c r="B155" i="21"/>
  <c r="A155" i="21"/>
  <c r="B154" i="21"/>
  <c r="A154" i="21"/>
  <c r="B153" i="21"/>
  <c r="A153" i="21"/>
  <c r="B152" i="21"/>
  <c r="A152" i="21"/>
  <c r="B151" i="21"/>
  <c r="A151" i="21"/>
  <c r="B150" i="21"/>
  <c r="A150" i="21"/>
  <c r="B149" i="21"/>
  <c r="A149" i="21"/>
  <c r="B148" i="21"/>
  <c r="A148" i="21"/>
  <c r="B147" i="21"/>
  <c r="A147" i="21"/>
  <c r="B146" i="21"/>
  <c r="A146" i="21"/>
  <c r="B145" i="21"/>
  <c r="A145" i="21"/>
  <c r="B144" i="21"/>
  <c r="A144" i="21"/>
  <c r="B143" i="21"/>
  <c r="A143" i="21"/>
  <c r="B142" i="21"/>
  <c r="A142" i="21"/>
  <c r="B141" i="21"/>
  <c r="A141" i="21"/>
  <c r="B140" i="21"/>
  <c r="A140" i="21"/>
  <c r="B139" i="21"/>
  <c r="A139" i="21"/>
  <c r="B138" i="21"/>
  <c r="A138" i="21"/>
  <c r="B137" i="21"/>
  <c r="A137" i="21"/>
  <c r="B136" i="21"/>
  <c r="A136" i="21"/>
  <c r="B135" i="21"/>
  <c r="A135" i="21"/>
  <c r="B134" i="21"/>
  <c r="A134" i="21"/>
  <c r="B133" i="21"/>
  <c r="A133" i="21"/>
  <c r="B132" i="21"/>
  <c r="A132" i="21"/>
  <c r="B131" i="21"/>
  <c r="A131" i="21"/>
  <c r="B130" i="21"/>
  <c r="A130" i="21"/>
  <c r="B129" i="21"/>
  <c r="A129" i="21"/>
  <c r="B128" i="21"/>
  <c r="A128" i="21"/>
  <c r="B127" i="21"/>
  <c r="A127" i="21"/>
  <c r="B126" i="21"/>
  <c r="A126" i="21"/>
  <c r="B125" i="21"/>
  <c r="A125" i="21"/>
  <c r="B124" i="21"/>
  <c r="A124" i="21"/>
  <c r="I123" i="21"/>
  <c r="H123" i="21"/>
  <c r="B123" i="21"/>
  <c r="A123" i="21"/>
  <c r="I122" i="21"/>
  <c r="H122" i="21"/>
  <c r="B122" i="21"/>
  <c r="A122" i="21"/>
  <c r="I121" i="21"/>
  <c r="H121" i="21"/>
  <c r="B121" i="21"/>
  <c r="A121" i="21"/>
  <c r="AD120" i="21"/>
  <c r="AC120" i="21"/>
  <c r="AB120" i="21"/>
  <c r="AA120" i="21"/>
  <c r="Z120" i="21"/>
  <c r="B120" i="21"/>
  <c r="A120" i="21"/>
  <c r="AD119" i="21"/>
  <c r="AC119" i="21"/>
  <c r="AB119" i="21"/>
  <c r="AA119" i="21"/>
  <c r="Z119" i="21"/>
  <c r="B119" i="21"/>
  <c r="A119" i="21"/>
  <c r="AD118" i="21"/>
  <c r="AC118" i="21"/>
  <c r="AB118" i="21"/>
  <c r="AA118" i="21"/>
  <c r="Z118" i="21"/>
  <c r="B118" i="21"/>
  <c r="A118" i="21"/>
  <c r="AD117" i="21"/>
  <c r="AC117" i="21"/>
  <c r="AB117" i="21"/>
  <c r="AA117" i="21"/>
  <c r="Z117" i="21"/>
  <c r="B117" i="21"/>
  <c r="A117" i="21"/>
  <c r="B116" i="21"/>
  <c r="A116" i="21"/>
  <c r="B115" i="21"/>
  <c r="A115" i="21"/>
  <c r="B114" i="21"/>
  <c r="A114" i="21"/>
  <c r="B113" i="21"/>
  <c r="A113" i="21"/>
  <c r="B112" i="21"/>
  <c r="A112" i="21"/>
  <c r="B111" i="21"/>
  <c r="A111" i="21"/>
  <c r="B110" i="21"/>
  <c r="A110" i="21"/>
  <c r="B109" i="21"/>
  <c r="A109" i="21"/>
  <c r="B108" i="21"/>
  <c r="A108" i="21"/>
  <c r="B107" i="21"/>
  <c r="A107" i="21"/>
  <c r="B106" i="21"/>
  <c r="A106" i="21"/>
  <c r="B105" i="21"/>
  <c r="A105" i="21"/>
  <c r="H104" i="21"/>
  <c r="B104" i="21"/>
  <c r="A104" i="21"/>
  <c r="H103" i="21"/>
  <c r="B103" i="21"/>
  <c r="A103" i="21"/>
  <c r="B102" i="21"/>
  <c r="A102" i="21"/>
  <c r="B101" i="21"/>
  <c r="A101" i="21"/>
  <c r="B100" i="21"/>
  <c r="A100" i="21"/>
  <c r="B99" i="21"/>
  <c r="A99" i="21"/>
  <c r="B98" i="21"/>
  <c r="A98" i="21"/>
  <c r="B97" i="21"/>
  <c r="A97" i="21"/>
  <c r="B96" i="21"/>
  <c r="A96" i="21"/>
  <c r="B95" i="21"/>
  <c r="A95" i="21"/>
  <c r="B94" i="21"/>
  <c r="A94" i="21"/>
  <c r="B93" i="21"/>
  <c r="A93" i="21"/>
  <c r="B92" i="21"/>
  <c r="A92" i="21"/>
  <c r="B91" i="21"/>
  <c r="A91" i="21"/>
  <c r="B90" i="21"/>
  <c r="A90" i="21"/>
  <c r="B89" i="21"/>
  <c r="A89" i="21"/>
  <c r="B88" i="21"/>
  <c r="A88" i="21"/>
  <c r="B87" i="21"/>
  <c r="A87" i="21"/>
  <c r="B86" i="21"/>
  <c r="A86" i="21"/>
  <c r="B85" i="21"/>
  <c r="A85" i="21"/>
  <c r="B84" i="21"/>
  <c r="A84" i="21"/>
  <c r="B83" i="21"/>
  <c r="A83" i="21"/>
  <c r="B82" i="21"/>
  <c r="A82" i="21"/>
  <c r="B81" i="21"/>
  <c r="A81" i="21"/>
  <c r="B80" i="21"/>
  <c r="A80" i="21"/>
  <c r="B79" i="21"/>
  <c r="A79" i="21"/>
  <c r="B78" i="21"/>
  <c r="A78" i="21"/>
  <c r="B77" i="21"/>
  <c r="A77" i="21"/>
  <c r="B76" i="21"/>
  <c r="A76" i="21"/>
  <c r="B75" i="21"/>
  <c r="A75" i="21"/>
  <c r="B74" i="21"/>
  <c r="A74" i="21"/>
  <c r="B73" i="21"/>
  <c r="A73" i="21"/>
  <c r="B72" i="21"/>
  <c r="A72" i="21"/>
  <c r="B71" i="21"/>
  <c r="A71" i="21"/>
  <c r="B70" i="21"/>
  <c r="A70" i="21"/>
  <c r="B69" i="21"/>
  <c r="A69" i="21"/>
  <c r="B68" i="21"/>
  <c r="A68" i="21"/>
  <c r="B67" i="21"/>
  <c r="A67" i="21"/>
  <c r="B66" i="21"/>
  <c r="A66" i="21"/>
  <c r="B65" i="21"/>
  <c r="A65" i="21"/>
  <c r="B64" i="21"/>
  <c r="A64" i="21"/>
  <c r="B63" i="21"/>
  <c r="A63" i="21"/>
  <c r="B62" i="21"/>
  <c r="A62" i="21"/>
  <c r="K61" i="21"/>
  <c r="B61" i="21"/>
  <c r="A61" i="21"/>
  <c r="B60" i="21"/>
  <c r="A60" i="21"/>
  <c r="B59" i="21"/>
  <c r="A59" i="21"/>
  <c r="B58" i="21"/>
  <c r="A58" i="21"/>
  <c r="B57" i="21"/>
  <c r="A57" i="21"/>
  <c r="B56" i="21"/>
  <c r="A56" i="21"/>
  <c r="B55" i="21"/>
  <c r="A55" i="21"/>
  <c r="B54" i="21"/>
  <c r="A54" i="21"/>
  <c r="B53" i="21"/>
  <c r="A53" i="21"/>
  <c r="B52" i="21"/>
  <c r="A52" i="21"/>
  <c r="B51" i="21"/>
  <c r="A51" i="21"/>
  <c r="B50" i="21"/>
  <c r="A50" i="21"/>
  <c r="B49" i="21"/>
  <c r="A49" i="21"/>
  <c r="B48" i="21"/>
  <c r="A48" i="21"/>
  <c r="B47" i="21"/>
  <c r="A47" i="21"/>
  <c r="B46" i="21"/>
  <c r="A46" i="21"/>
  <c r="B45" i="21"/>
  <c r="A45" i="21"/>
  <c r="B44" i="21"/>
  <c r="A44" i="21"/>
  <c r="B43" i="21"/>
  <c r="A43" i="21"/>
  <c r="B42" i="21"/>
  <c r="A42" i="21"/>
  <c r="B41" i="21"/>
  <c r="A41" i="21"/>
  <c r="B40" i="21"/>
  <c r="A40" i="21"/>
  <c r="B39" i="21"/>
  <c r="A39" i="21"/>
  <c r="B38" i="21"/>
  <c r="A38" i="21"/>
  <c r="B37" i="21"/>
  <c r="A37" i="21"/>
  <c r="B36" i="21"/>
  <c r="A36" i="21"/>
  <c r="B35" i="21"/>
  <c r="A35" i="21"/>
  <c r="B34" i="21"/>
  <c r="A34" i="21"/>
  <c r="B33" i="21"/>
  <c r="A33" i="21"/>
  <c r="B32" i="21"/>
  <c r="A32" i="21"/>
  <c r="B31" i="21"/>
  <c r="A31" i="21"/>
  <c r="B30" i="21"/>
  <c r="A30" i="21"/>
  <c r="B29" i="21"/>
  <c r="A29" i="21"/>
  <c r="B28" i="21"/>
  <c r="A28" i="21"/>
  <c r="B27" i="21"/>
  <c r="A27" i="21"/>
  <c r="B26" i="21"/>
  <c r="A26" i="21"/>
  <c r="B25" i="21"/>
  <c r="A25" i="21"/>
  <c r="B24" i="21"/>
  <c r="A24" i="21"/>
  <c r="B23" i="21"/>
  <c r="A23" i="21"/>
  <c r="B22" i="21"/>
  <c r="A22" i="21"/>
  <c r="B21" i="21"/>
  <c r="A21" i="21"/>
  <c r="B20" i="21"/>
  <c r="A20" i="21"/>
  <c r="B19" i="21"/>
  <c r="A19" i="21"/>
  <c r="B18" i="21"/>
  <c r="A18" i="21"/>
  <c r="B17" i="21"/>
  <c r="A17" i="21"/>
  <c r="B16" i="21"/>
  <c r="A16" i="21"/>
  <c r="B15" i="21"/>
  <c r="A15" i="21"/>
  <c r="B14" i="21"/>
  <c r="A14" i="21"/>
  <c r="B13" i="21"/>
  <c r="A13" i="21"/>
  <c r="B12" i="21"/>
  <c r="A12" i="21"/>
  <c r="I11" i="21"/>
  <c r="I104" i="21" s="1"/>
  <c r="I9" i="21"/>
  <c r="J9" i="21" s="1"/>
  <c r="K9" i="21" s="1"/>
  <c r="L9" i="21" s="1"/>
  <c r="M9" i="21" s="1"/>
  <c r="N9" i="21" s="1"/>
  <c r="O9" i="21" s="1"/>
  <c r="P9" i="21" s="1"/>
  <c r="Q9" i="21" s="1"/>
  <c r="R9" i="21" s="1"/>
  <c r="S9" i="21" s="1"/>
  <c r="T9" i="21" s="1"/>
  <c r="U9" i="21" s="1"/>
  <c r="V9" i="21" s="1"/>
  <c r="W9" i="21" s="1"/>
  <c r="X9" i="21" s="1"/>
  <c r="Y9" i="21" s="1"/>
  <c r="Z9" i="21" s="1"/>
  <c r="AA9" i="21" s="1"/>
  <c r="AB9" i="21" s="1"/>
  <c r="AC9" i="21" s="1"/>
  <c r="AD9" i="21" s="1"/>
  <c r="AE9" i="21" s="1"/>
  <c r="AF9" i="21" s="1"/>
  <c r="J6" i="21"/>
  <c r="G6" i="22" s="1"/>
  <c r="J5" i="21"/>
  <c r="G5" i="22" s="1"/>
  <c r="AU543" i="20"/>
  <c r="AD543" i="20"/>
  <c r="M543" i="20"/>
  <c r="AM532" i="20"/>
  <c r="AP532" i="20" s="1"/>
  <c r="AR532" i="20" s="1"/>
  <c r="AT532" i="20" s="1"/>
  <c r="V532" i="20"/>
  <c r="Y532" i="20" s="1"/>
  <c r="AA532" i="20" s="1"/>
  <c r="AC532" i="20" s="1"/>
  <c r="AT531" i="20"/>
  <c r="AK531" i="20"/>
  <c r="AC531" i="20"/>
  <c r="T531" i="20"/>
  <c r="L531" i="20"/>
  <c r="C531" i="20"/>
  <c r="AK530" i="20"/>
  <c r="T530" i="20"/>
  <c r="C530" i="20"/>
  <c r="AT519" i="20"/>
  <c r="AC519" i="20"/>
  <c r="L519" i="20"/>
  <c r="AM498" i="20"/>
  <c r="AO498" i="20" s="1"/>
  <c r="AQ498" i="20" s="1"/>
  <c r="AS498" i="20" s="1"/>
  <c r="X498" i="20"/>
  <c r="Z498" i="20" s="1"/>
  <c r="AB498" i="20" s="1"/>
  <c r="V498" i="20"/>
  <c r="AS497" i="20"/>
  <c r="AB497" i="20"/>
  <c r="K497" i="20"/>
  <c r="AK496" i="20"/>
  <c r="T496" i="20"/>
  <c r="C496" i="20"/>
  <c r="AK495" i="20"/>
  <c r="T495" i="20"/>
  <c r="C495" i="20"/>
  <c r="AU489" i="20"/>
  <c r="AD489" i="20"/>
  <c r="M489" i="20"/>
  <c r="AP478" i="20"/>
  <c r="AR478" i="20" s="1"/>
  <c r="AT478" i="20" s="1"/>
  <c r="W478" i="20"/>
  <c r="Y478" i="20" s="1"/>
  <c r="AA478" i="20" s="1"/>
  <c r="AC478" i="20" s="1"/>
  <c r="AT477" i="20"/>
  <c r="AC477" i="20"/>
  <c r="L477" i="20"/>
  <c r="AK476" i="20"/>
  <c r="T476" i="20"/>
  <c r="C476" i="20"/>
  <c r="AK475" i="20"/>
  <c r="T475" i="20"/>
  <c r="C475" i="20"/>
  <c r="AT468" i="20"/>
  <c r="AC468" i="20"/>
  <c r="L468" i="20"/>
  <c r="AC467" i="20"/>
  <c r="AA467" i="20"/>
  <c r="Y467" i="20"/>
  <c r="AC466" i="20"/>
  <c r="AA466" i="20"/>
  <c r="Y466" i="20"/>
  <c r="AC465" i="20"/>
  <c r="AB465" i="20"/>
  <c r="AA465" i="20"/>
  <c r="Z465" i="20"/>
  <c r="Y465" i="20"/>
  <c r="AC464" i="20"/>
  <c r="AA464" i="20"/>
  <c r="Y464" i="20"/>
  <c r="AO463" i="20"/>
  <c r="AC463" i="20"/>
  <c r="AB463" i="20"/>
  <c r="AA463" i="20"/>
  <c r="Z463" i="20"/>
  <c r="Y463" i="20"/>
  <c r="G463" i="20"/>
  <c r="AC461" i="20"/>
  <c r="AA461" i="20"/>
  <c r="Y461" i="20"/>
  <c r="AC460" i="20"/>
  <c r="AA460" i="20"/>
  <c r="Y460" i="20"/>
  <c r="AC459" i="20"/>
  <c r="AB459" i="20"/>
  <c r="AA459" i="20"/>
  <c r="Z459" i="20"/>
  <c r="Y459" i="20"/>
  <c r="AC458" i="20"/>
  <c r="AA458" i="20"/>
  <c r="Y458" i="20"/>
  <c r="AC457" i="20"/>
  <c r="AB457" i="20"/>
  <c r="AA457" i="20"/>
  <c r="Z457" i="20"/>
  <c r="Y457" i="20"/>
  <c r="AC455" i="20"/>
  <c r="AA455" i="20"/>
  <c r="Y455" i="20"/>
  <c r="AC454" i="20"/>
  <c r="AA454" i="20"/>
  <c r="Y454" i="20"/>
  <c r="AC453" i="20"/>
  <c r="AB453" i="20"/>
  <c r="AA453" i="20"/>
  <c r="Z453" i="20"/>
  <c r="Y453" i="20"/>
  <c r="AC452" i="20"/>
  <c r="AA452" i="20"/>
  <c r="Y452" i="20"/>
  <c r="AO451" i="20"/>
  <c r="AC451" i="20"/>
  <c r="AB451" i="20"/>
  <c r="AA451" i="20"/>
  <c r="Z451" i="20"/>
  <c r="Y451" i="20"/>
  <c r="G451" i="20"/>
  <c r="AO450" i="20"/>
  <c r="X450" i="20"/>
  <c r="X456" i="20" s="1"/>
  <c r="X462" i="20" s="1"/>
  <c r="AS449" i="20"/>
  <c r="AB449" i="20"/>
  <c r="K449" i="20"/>
  <c r="AK448" i="20"/>
  <c r="T448" i="20"/>
  <c r="C448" i="20"/>
  <c r="AU441" i="20"/>
  <c r="AD441" i="20"/>
  <c r="M441" i="20"/>
  <c r="AC436" i="20"/>
  <c r="AA436" i="20"/>
  <c r="Y436" i="20"/>
  <c r="W436" i="20"/>
  <c r="AD424" i="20"/>
  <c r="AB424" i="20"/>
  <c r="Z424" i="20"/>
  <c r="X424" i="20"/>
  <c r="W405" i="20"/>
  <c r="Y405" i="20" s="1"/>
  <c r="AA405" i="20" s="1"/>
  <c r="AC405" i="20" s="1"/>
  <c r="AT404" i="20"/>
  <c r="AC404" i="20"/>
  <c r="L404" i="20"/>
  <c r="AK403" i="20"/>
  <c r="T403" i="20"/>
  <c r="C403" i="20"/>
  <c r="AK402" i="20"/>
  <c r="T402" i="20"/>
  <c r="C402" i="20"/>
  <c r="AU390" i="20"/>
  <c r="AD390" i="20"/>
  <c r="M390" i="20"/>
  <c r="AN373" i="20"/>
  <c r="AP373" i="20" s="1"/>
  <c r="AR373" i="20" s="1"/>
  <c r="AT373" i="20" s="1"/>
  <c r="W373" i="20"/>
  <c r="Y373" i="20" s="1"/>
  <c r="AA373" i="20" s="1"/>
  <c r="AC373" i="20" s="1"/>
  <c r="AT372" i="20"/>
  <c r="AC372" i="20"/>
  <c r="L372" i="20"/>
  <c r="AK371" i="20"/>
  <c r="T371" i="20"/>
  <c r="C371" i="20"/>
  <c r="AK370" i="20"/>
  <c r="T370" i="20"/>
  <c r="C370" i="20"/>
  <c r="AU355" i="20"/>
  <c r="AD355" i="20"/>
  <c r="M355" i="20"/>
  <c r="AN336" i="20"/>
  <c r="AP336" i="20" s="1"/>
  <c r="AR336" i="20" s="1"/>
  <c r="AT336" i="20" s="1"/>
  <c r="W336" i="20"/>
  <c r="Y336" i="20" s="1"/>
  <c r="AA336" i="20" s="1"/>
  <c r="AC336" i="20" s="1"/>
  <c r="AT335" i="20"/>
  <c r="AC335" i="20"/>
  <c r="L335" i="20"/>
  <c r="AK334" i="20"/>
  <c r="T334" i="20"/>
  <c r="C334" i="20"/>
  <c r="AK333" i="20"/>
  <c r="T333" i="20"/>
  <c r="C333" i="20"/>
  <c r="AT318" i="20"/>
  <c r="AC318" i="20"/>
  <c r="L318" i="20"/>
  <c r="AM301" i="20"/>
  <c r="AO301" i="20" s="1"/>
  <c r="AQ301" i="20" s="1"/>
  <c r="AS301" i="20" s="1"/>
  <c r="V301" i="20"/>
  <c r="X301" i="20" s="1"/>
  <c r="Z301" i="20" s="1"/>
  <c r="AB301" i="20" s="1"/>
  <c r="AS300" i="20"/>
  <c r="AB300" i="20"/>
  <c r="K300" i="20"/>
  <c r="AK299" i="20"/>
  <c r="T299" i="20"/>
  <c r="C299" i="20"/>
  <c r="AU285" i="20"/>
  <c r="AD285" i="20"/>
  <c r="M285" i="20"/>
  <c r="T283" i="20"/>
  <c r="C283" i="20"/>
  <c r="T282" i="20"/>
  <c r="C282" i="20"/>
  <c r="T281" i="20"/>
  <c r="C281" i="20"/>
  <c r="T280" i="20"/>
  <c r="C280" i="20"/>
  <c r="T279" i="20"/>
  <c r="C279" i="20"/>
  <c r="AN275" i="20"/>
  <c r="AP275" i="20" s="1"/>
  <c r="AR275" i="20" s="1"/>
  <c r="AT275" i="20" s="1"/>
  <c r="W275" i="20"/>
  <c r="Y275" i="20" s="1"/>
  <c r="AA275" i="20" s="1"/>
  <c r="AC275" i="20" s="1"/>
  <c r="AT274" i="20"/>
  <c r="AC274" i="20"/>
  <c r="L274" i="20"/>
  <c r="AK273" i="20"/>
  <c r="T273" i="20"/>
  <c r="C273" i="20"/>
  <c r="AK272" i="20"/>
  <c r="T272" i="20"/>
  <c r="C272" i="20"/>
  <c r="AP261" i="20"/>
  <c r="Y261" i="20"/>
  <c r="H261" i="20"/>
  <c r="V219" i="20"/>
  <c r="W219" i="20" s="1"/>
  <c r="X219" i="20" s="1"/>
  <c r="Y219" i="20" s="1"/>
  <c r="AO218" i="20"/>
  <c r="X218" i="20"/>
  <c r="G218" i="20"/>
  <c r="AK217" i="20"/>
  <c r="T217" i="20"/>
  <c r="C217" i="20"/>
  <c r="AK216" i="20"/>
  <c r="T216" i="20"/>
  <c r="C216" i="20"/>
  <c r="Y214" i="20"/>
  <c r="AU203" i="20"/>
  <c r="AD203" i="20"/>
  <c r="M203" i="20"/>
  <c r="AD191" i="20"/>
  <c r="AB191" i="20"/>
  <c r="Z191" i="20"/>
  <c r="X191" i="20"/>
  <c r="AD190" i="20"/>
  <c r="AB190" i="20"/>
  <c r="Z190" i="20"/>
  <c r="X190" i="20"/>
  <c r="AD189" i="20"/>
  <c r="AB189" i="20"/>
  <c r="Z189" i="20"/>
  <c r="X189" i="20"/>
  <c r="AD188" i="20"/>
  <c r="AB188" i="20"/>
  <c r="Z188" i="20"/>
  <c r="X188" i="20"/>
  <c r="AD178" i="20"/>
  <c r="AB178" i="20"/>
  <c r="Z178" i="20"/>
  <c r="X178" i="20"/>
  <c r="AN172" i="20"/>
  <c r="AP172" i="20" s="1"/>
  <c r="AR172" i="20" s="1"/>
  <c r="AT172" i="20" s="1"/>
  <c r="W172" i="20"/>
  <c r="Y172" i="20" s="1"/>
  <c r="AA172" i="20" s="1"/>
  <c r="AC172" i="20" s="1"/>
  <c r="AT170" i="20"/>
  <c r="AC170" i="20"/>
  <c r="L170" i="20"/>
  <c r="AK169" i="20"/>
  <c r="T169" i="20"/>
  <c r="C169" i="20"/>
  <c r="AK168" i="20"/>
  <c r="T168" i="20"/>
  <c r="C168" i="20"/>
  <c r="AR156" i="20"/>
  <c r="AA156" i="20"/>
  <c r="J156" i="20"/>
  <c r="AN143" i="20"/>
  <c r="AP143" i="20" s="1"/>
  <c r="AQ143" i="20" s="1"/>
  <c r="AR143" i="20" s="1"/>
  <c r="W143" i="20"/>
  <c r="Y143" i="20" s="1"/>
  <c r="Z143" i="20" s="1"/>
  <c r="AA143" i="20" s="1"/>
  <c r="AQ142" i="20"/>
  <c r="Z142" i="20"/>
  <c r="I142" i="20"/>
  <c r="AK140" i="20"/>
  <c r="T140" i="20"/>
  <c r="C140" i="20"/>
  <c r="AK139" i="20"/>
  <c r="T139" i="20"/>
  <c r="C139" i="20"/>
  <c r="AX124" i="20"/>
  <c r="AG124" i="20"/>
  <c r="P124" i="20"/>
  <c r="AM99" i="20"/>
  <c r="AQ99" i="20" s="1"/>
  <c r="AU99" i="20" s="1"/>
  <c r="V99" i="20"/>
  <c r="Z99" i="20" s="1"/>
  <c r="AD99" i="20" s="1"/>
  <c r="AW98" i="20"/>
  <c r="AF98" i="20"/>
  <c r="O98" i="20"/>
  <c r="AK96" i="20"/>
  <c r="T96" i="20"/>
  <c r="C96" i="20"/>
  <c r="AK95" i="20"/>
  <c r="T95" i="20"/>
  <c r="C95" i="20"/>
  <c r="AR78" i="20"/>
  <c r="AA78" i="20"/>
  <c r="J78" i="20"/>
  <c r="AN58" i="20"/>
  <c r="AP58" i="20" s="1"/>
  <c r="AQ58" i="20" s="1"/>
  <c r="AR58" i="20" s="1"/>
  <c r="W58" i="20"/>
  <c r="Y58" i="20" s="1"/>
  <c r="Z58" i="20" s="1"/>
  <c r="AA58" i="20" s="1"/>
  <c r="AQ57" i="20"/>
  <c r="Z57" i="20"/>
  <c r="I57" i="20"/>
  <c r="AK55" i="20"/>
  <c r="T55" i="20"/>
  <c r="C55" i="20"/>
  <c r="AK54" i="20"/>
  <c r="T54" i="20"/>
  <c r="C54" i="20"/>
  <c r="AA51" i="20"/>
  <c r="AP46" i="20"/>
  <c r="Y46" i="20"/>
  <c r="H46" i="20"/>
  <c r="H38" i="20"/>
  <c r="G38" i="20"/>
  <c r="F38" i="20"/>
  <c r="E38" i="20"/>
  <c r="AM16" i="20"/>
  <c r="AM219" i="20" s="1"/>
  <c r="AN219" i="20" s="1"/>
  <c r="AO219" i="20" s="1"/>
  <c r="AP219" i="20" s="1"/>
  <c r="V16" i="20"/>
  <c r="W16" i="20" s="1"/>
  <c r="X16" i="20" s="1"/>
  <c r="Y16" i="20" s="1"/>
  <c r="E16" i="20"/>
  <c r="E532" i="20" s="1"/>
  <c r="H532" i="20" s="1"/>
  <c r="J532" i="20" s="1"/>
  <c r="L532" i="20" s="1"/>
  <c r="AO15" i="20"/>
  <c r="X15" i="20"/>
  <c r="G15" i="20"/>
  <c r="AK13" i="20"/>
  <c r="T13" i="20"/>
  <c r="C13" i="20"/>
  <c r="AK12" i="20"/>
  <c r="T12" i="20"/>
  <c r="C12" i="20"/>
  <c r="AK10" i="20"/>
  <c r="T10" i="20"/>
  <c r="C10" i="20"/>
  <c r="W6" i="20"/>
  <c r="W5" i="20"/>
  <c r="W4" i="20"/>
  <c r="W3" i="20"/>
  <c r="W2" i="20"/>
  <c r="D302" i="2"/>
  <c r="B302" i="2"/>
  <c r="B301" i="2"/>
  <c r="D300" i="2"/>
  <c r="B300" i="2"/>
  <c r="B299" i="2"/>
  <c r="G298" i="2"/>
  <c r="F298" i="2"/>
  <c r="E298" i="2"/>
  <c r="D298" i="2"/>
  <c r="C298" i="2"/>
  <c r="B298" i="2"/>
  <c r="G297" i="2"/>
  <c r="F297" i="2"/>
  <c r="E297" i="2"/>
  <c r="D297" i="2"/>
  <c r="C297" i="2"/>
  <c r="B297" i="2"/>
  <c r="B296" i="2"/>
  <c r="B295" i="2"/>
  <c r="B294" i="2"/>
  <c r="B293" i="2"/>
  <c r="B292" i="2"/>
  <c r="B291" i="2"/>
  <c r="B290" i="2"/>
  <c r="B289" i="2"/>
  <c r="B288" i="2"/>
  <c r="B287" i="2"/>
  <c r="B286" i="2"/>
  <c r="B285" i="2"/>
  <c r="B284" i="2"/>
  <c r="AO280" i="2"/>
  <c r="BF280" i="2" s="1"/>
  <c r="AN280" i="2"/>
  <c r="BE280" i="2" s="1"/>
  <c r="AM280" i="2"/>
  <c r="BD280" i="2" s="1"/>
  <c r="AL280" i="2"/>
  <c r="BC280" i="2" s="1"/>
  <c r="AK280" i="2"/>
  <c r="BB280" i="2" s="1"/>
  <c r="AJ280" i="2"/>
  <c r="BA280" i="2" s="1"/>
  <c r="AI280" i="2"/>
  <c r="AZ280" i="2" s="1"/>
  <c r="AH280" i="2"/>
  <c r="AY280" i="2" s="1"/>
  <c r="AG280" i="2"/>
  <c r="AX280" i="2" s="1"/>
  <c r="AF280" i="2"/>
  <c r="AW280" i="2" s="1"/>
  <c r="AE280" i="2"/>
  <c r="AV280" i="2" s="1"/>
  <c r="AD280" i="2"/>
  <c r="AU280" i="2" s="1"/>
  <c r="AC280" i="2"/>
  <c r="AB280" i="2"/>
  <c r="C280" i="2"/>
  <c r="E300" i="2" s="1"/>
  <c r="F300" i="2" s="1"/>
  <c r="G300" i="2" s="1"/>
  <c r="AO279" i="2"/>
  <c r="BF279" i="2" s="1"/>
  <c r="AN279" i="2"/>
  <c r="BE279" i="2" s="1"/>
  <c r="AM279" i="2"/>
  <c r="BD279" i="2" s="1"/>
  <c r="AL279" i="2"/>
  <c r="BC279" i="2" s="1"/>
  <c r="AK279" i="2"/>
  <c r="BB279" i="2" s="1"/>
  <c r="AJ279" i="2"/>
  <c r="BA279" i="2" s="1"/>
  <c r="AI279" i="2"/>
  <c r="AZ279" i="2" s="1"/>
  <c r="AH279" i="2"/>
  <c r="AY279" i="2" s="1"/>
  <c r="AG279" i="2"/>
  <c r="AX279" i="2" s="1"/>
  <c r="AF279" i="2"/>
  <c r="AW279" i="2" s="1"/>
  <c r="AE279" i="2"/>
  <c r="AV279" i="2" s="1"/>
  <c r="AD279" i="2"/>
  <c r="AU279" i="2" s="1"/>
  <c r="AC279" i="2"/>
  <c r="AT279" i="2" s="1"/>
  <c r="AB279" i="2"/>
  <c r="AO278" i="2"/>
  <c r="BF278" i="2" s="1"/>
  <c r="AN278" i="2"/>
  <c r="BE278" i="2" s="1"/>
  <c r="AM278" i="2"/>
  <c r="BD278" i="2" s="1"/>
  <c r="AL278" i="2"/>
  <c r="BC278" i="2" s="1"/>
  <c r="AK278" i="2"/>
  <c r="BB278" i="2" s="1"/>
  <c r="AJ278" i="2"/>
  <c r="BA278" i="2" s="1"/>
  <c r="AI278" i="2"/>
  <c r="AZ278" i="2" s="1"/>
  <c r="AH278" i="2"/>
  <c r="AY278" i="2" s="1"/>
  <c r="AG278" i="2"/>
  <c r="AX278" i="2" s="1"/>
  <c r="AF278" i="2"/>
  <c r="AW278" i="2" s="1"/>
  <c r="AE278" i="2"/>
  <c r="AV278" i="2" s="1"/>
  <c r="AD278" i="2"/>
  <c r="AU278" i="2" s="1"/>
  <c r="AC278" i="2"/>
  <c r="AT278" i="2" s="1"/>
  <c r="AB278" i="2"/>
  <c r="AO277" i="2"/>
  <c r="BF277" i="2" s="1"/>
  <c r="AN277" i="2"/>
  <c r="BE277" i="2" s="1"/>
  <c r="AM277" i="2"/>
  <c r="BD277" i="2" s="1"/>
  <c r="AL277" i="2"/>
  <c r="BC277" i="2" s="1"/>
  <c r="AK277" i="2"/>
  <c r="BB277" i="2" s="1"/>
  <c r="AJ277" i="2"/>
  <c r="BA277" i="2" s="1"/>
  <c r="AI277" i="2"/>
  <c r="AZ277" i="2" s="1"/>
  <c r="AH277" i="2"/>
  <c r="AY277" i="2" s="1"/>
  <c r="AG277" i="2"/>
  <c r="AF277" i="2"/>
  <c r="AE277" i="2"/>
  <c r="AD277" i="2"/>
  <c r="AC277" i="2"/>
  <c r="AB277" i="2"/>
  <c r="AO276" i="2"/>
  <c r="BF276" i="2" s="1"/>
  <c r="AN276" i="2"/>
  <c r="BE276" i="2" s="1"/>
  <c r="AM276" i="2"/>
  <c r="BD276" i="2" s="1"/>
  <c r="AL276" i="2"/>
  <c r="BC276" i="2" s="1"/>
  <c r="AK276" i="2"/>
  <c r="BB276" i="2" s="1"/>
  <c r="AJ276" i="2"/>
  <c r="BA276" i="2" s="1"/>
  <c r="AI276" i="2"/>
  <c r="AZ276" i="2" s="1"/>
  <c r="AH276" i="2"/>
  <c r="AY276" i="2" s="1"/>
  <c r="AG276" i="2"/>
  <c r="AF276" i="2"/>
  <c r="AE276" i="2"/>
  <c r="AD276" i="2"/>
  <c r="AC276" i="2"/>
  <c r="AB276" i="2"/>
  <c r="AO275" i="2"/>
  <c r="BF275" i="2" s="1"/>
  <c r="AN275" i="2"/>
  <c r="BE275" i="2" s="1"/>
  <c r="AM275" i="2"/>
  <c r="BD275" i="2" s="1"/>
  <c r="AL275" i="2"/>
  <c r="BC275" i="2" s="1"/>
  <c r="AK275" i="2"/>
  <c r="BB275" i="2" s="1"/>
  <c r="AJ275" i="2"/>
  <c r="BA275" i="2" s="1"/>
  <c r="AI275" i="2"/>
  <c r="AZ275" i="2" s="1"/>
  <c r="AH275" i="2"/>
  <c r="AY275" i="2" s="1"/>
  <c r="AG275" i="2"/>
  <c r="AF275" i="2"/>
  <c r="AE275" i="2"/>
  <c r="AD275" i="2"/>
  <c r="AC275" i="2"/>
  <c r="AB275" i="2"/>
  <c r="AO274" i="2"/>
  <c r="BF274" i="2" s="1"/>
  <c r="AN274" i="2"/>
  <c r="BE274" i="2" s="1"/>
  <c r="AM274" i="2"/>
  <c r="BD274" i="2" s="1"/>
  <c r="AL274" i="2"/>
  <c r="BC274" i="2" s="1"/>
  <c r="AK274" i="2"/>
  <c r="BB274" i="2" s="1"/>
  <c r="AJ274" i="2"/>
  <c r="BA274" i="2" s="1"/>
  <c r="AI274" i="2"/>
  <c r="AZ274" i="2" s="1"/>
  <c r="AH274" i="2"/>
  <c r="AY274" i="2" s="1"/>
  <c r="AG274" i="2"/>
  <c r="AF274" i="2"/>
  <c r="AE274" i="2"/>
  <c r="AD274" i="2"/>
  <c r="AC274" i="2"/>
  <c r="AB274" i="2"/>
  <c r="AO273" i="2"/>
  <c r="BF273" i="2" s="1"/>
  <c r="AN273" i="2"/>
  <c r="BE273" i="2" s="1"/>
  <c r="AM273" i="2"/>
  <c r="BD273" i="2" s="1"/>
  <c r="AL273" i="2"/>
  <c r="BC273" i="2" s="1"/>
  <c r="AK273" i="2"/>
  <c r="BB273" i="2" s="1"/>
  <c r="AJ273" i="2"/>
  <c r="BA273" i="2" s="1"/>
  <c r="AI273" i="2"/>
  <c r="AZ273" i="2" s="1"/>
  <c r="AH273" i="2"/>
  <c r="AY273" i="2" s="1"/>
  <c r="AG273" i="2"/>
  <c r="AF273" i="2"/>
  <c r="AE273" i="2"/>
  <c r="AD273" i="2"/>
  <c r="AC273" i="2"/>
  <c r="AB273" i="2"/>
  <c r="AO272" i="2"/>
  <c r="BF272" i="2" s="1"/>
  <c r="AN272" i="2"/>
  <c r="BE272" i="2" s="1"/>
  <c r="AM272" i="2"/>
  <c r="BD272" i="2" s="1"/>
  <c r="AL272" i="2"/>
  <c r="BC272" i="2" s="1"/>
  <c r="AK272" i="2"/>
  <c r="BB272" i="2" s="1"/>
  <c r="AJ272" i="2"/>
  <c r="BA272" i="2" s="1"/>
  <c r="AI272" i="2"/>
  <c r="AZ272" i="2" s="1"/>
  <c r="AH272" i="2"/>
  <c r="AY272" i="2" s="1"/>
  <c r="AG272" i="2"/>
  <c r="AF272" i="2"/>
  <c r="AE272" i="2"/>
  <c r="AD272" i="2"/>
  <c r="AC272" i="2"/>
  <c r="AB272" i="2"/>
  <c r="AO271" i="2"/>
  <c r="AX122" i="20" s="1"/>
  <c r="AN271" i="2"/>
  <c r="AW122" i="20" s="1"/>
  <c r="AM271" i="2"/>
  <c r="AV122" i="20" s="1"/>
  <c r="AL271" i="2"/>
  <c r="AU122" i="20" s="1"/>
  <c r="AK271" i="2"/>
  <c r="AT122" i="20" s="1"/>
  <c r="AJ271" i="2"/>
  <c r="AS122" i="20" s="1"/>
  <c r="AI271" i="2"/>
  <c r="AR122" i="20" s="1"/>
  <c r="AH271" i="2"/>
  <c r="AQ122" i="20" s="1"/>
  <c r="AG271" i="2"/>
  <c r="AP122" i="20" s="1"/>
  <c r="AF271" i="2"/>
  <c r="AO122" i="20" s="1"/>
  <c r="AE271" i="2"/>
  <c r="AN122" i="20" s="1"/>
  <c r="AD271" i="2"/>
  <c r="AM122" i="20" s="1"/>
  <c r="AC271" i="2"/>
  <c r="AT271" i="2" s="1"/>
  <c r="AB271" i="2"/>
  <c r="O271" i="2"/>
  <c r="N271" i="2"/>
  <c r="M271" i="2"/>
  <c r="L271" i="2"/>
  <c r="K271" i="2"/>
  <c r="J271" i="2"/>
  <c r="I271" i="2"/>
  <c r="AO270" i="2"/>
  <c r="AX121" i="20" s="1"/>
  <c r="AN270" i="2"/>
  <c r="AW121" i="20" s="1"/>
  <c r="AM270" i="2"/>
  <c r="AV121" i="20" s="1"/>
  <c r="AL270" i="2"/>
  <c r="AU121" i="20" s="1"/>
  <c r="AK270" i="2"/>
  <c r="AT121" i="20" s="1"/>
  <c r="AJ270" i="2"/>
  <c r="AS121" i="20" s="1"/>
  <c r="AI270" i="2"/>
  <c r="AR121" i="20" s="1"/>
  <c r="AH270" i="2"/>
  <c r="AQ121" i="20" s="1"/>
  <c r="AG270" i="2"/>
  <c r="AP121" i="20" s="1"/>
  <c r="AF270" i="2"/>
  <c r="AO121" i="20" s="1"/>
  <c r="AE270" i="2"/>
  <c r="AN121" i="20" s="1"/>
  <c r="AD270" i="2"/>
  <c r="AM121" i="20" s="1"/>
  <c r="AC270" i="2"/>
  <c r="AT270" i="2" s="1"/>
  <c r="AB270" i="2"/>
  <c r="O270" i="2"/>
  <c r="N270" i="2"/>
  <c r="M270" i="2"/>
  <c r="L270" i="2"/>
  <c r="K270" i="2"/>
  <c r="J270" i="2"/>
  <c r="I270" i="2"/>
  <c r="AO269" i="2"/>
  <c r="AX120" i="20" s="1"/>
  <c r="AN269" i="2"/>
  <c r="AW120" i="20" s="1"/>
  <c r="AM269" i="2"/>
  <c r="AV120" i="20" s="1"/>
  <c r="AL269" i="2"/>
  <c r="AU120" i="20" s="1"/>
  <c r="AK269" i="2"/>
  <c r="AT120" i="20" s="1"/>
  <c r="AJ269" i="2"/>
  <c r="AS120" i="20" s="1"/>
  <c r="AI269" i="2"/>
  <c r="AR120" i="20" s="1"/>
  <c r="AH269" i="2"/>
  <c r="AQ120" i="20" s="1"/>
  <c r="AG269" i="2"/>
  <c r="AP120" i="20" s="1"/>
  <c r="AF269" i="2"/>
  <c r="AO120" i="20" s="1"/>
  <c r="AE269" i="2"/>
  <c r="AN120" i="20" s="1"/>
  <c r="AD269" i="2"/>
  <c r="AM120" i="20" s="1"/>
  <c r="AC269" i="2"/>
  <c r="AT269" i="2" s="1"/>
  <c r="AB269" i="2"/>
  <c r="O269" i="2"/>
  <c r="N269" i="2"/>
  <c r="M269" i="2"/>
  <c r="L269" i="2"/>
  <c r="K269" i="2"/>
  <c r="J269" i="2"/>
  <c r="I269" i="2"/>
  <c r="AO268" i="2"/>
  <c r="AX119" i="20" s="1"/>
  <c r="AN268" i="2"/>
  <c r="AW119" i="20" s="1"/>
  <c r="AM268" i="2"/>
  <c r="AV119" i="20" s="1"/>
  <c r="AL268" i="2"/>
  <c r="AU119" i="20" s="1"/>
  <c r="AK268" i="2"/>
  <c r="AT119" i="20" s="1"/>
  <c r="AJ268" i="2"/>
  <c r="AS119" i="20" s="1"/>
  <c r="AI268" i="2"/>
  <c r="AR119" i="20" s="1"/>
  <c r="AH268" i="2"/>
  <c r="AQ119" i="20" s="1"/>
  <c r="AG268" i="2"/>
  <c r="AP119" i="20" s="1"/>
  <c r="AF268" i="2"/>
  <c r="AO119" i="20" s="1"/>
  <c r="AE268" i="2"/>
  <c r="AN119" i="20" s="1"/>
  <c r="AD268" i="2"/>
  <c r="AM119" i="20" s="1"/>
  <c r="AC268" i="2"/>
  <c r="AT268" i="2" s="1"/>
  <c r="AB268" i="2"/>
  <c r="O268" i="2"/>
  <c r="N268" i="2"/>
  <c r="M268" i="2"/>
  <c r="L268" i="2"/>
  <c r="K268" i="2"/>
  <c r="J268" i="2"/>
  <c r="I268" i="2"/>
  <c r="AO267" i="2"/>
  <c r="AX118" i="20" s="1"/>
  <c r="AN267" i="2"/>
  <c r="AW118" i="20" s="1"/>
  <c r="AM267" i="2"/>
  <c r="AV118" i="20" s="1"/>
  <c r="AL267" i="2"/>
  <c r="AU118" i="20" s="1"/>
  <c r="AK267" i="2"/>
  <c r="AT118" i="20" s="1"/>
  <c r="AJ267" i="2"/>
  <c r="AS118" i="20" s="1"/>
  <c r="AI267" i="2"/>
  <c r="AR118" i="20" s="1"/>
  <c r="AH267" i="2"/>
  <c r="AQ118" i="20" s="1"/>
  <c r="AG267" i="2"/>
  <c r="AP118" i="20" s="1"/>
  <c r="AF267" i="2"/>
  <c r="AO118" i="20" s="1"/>
  <c r="AE267" i="2"/>
  <c r="AN118" i="20" s="1"/>
  <c r="AD267" i="2"/>
  <c r="AM118" i="20" s="1"/>
  <c r="AC267" i="2"/>
  <c r="AT267" i="2" s="1"/>
  <c r="AB267" i="2"/>
  <c r="O267" i="2"/>
  <c r="N267" i="2"/>
  <c r="M267" i="2"/>
  <c r="L267" i="2"/>
  <c r="K267" i="2"/>
  <c r="J267" i="2"/>
  <c r="I267" i="2"/>
  <c r="AO266" i="2"/>
  <c r="AX123" i="20" s="1"/>
  <c r="AN266" i="2"/>
  <c r="AW123" i="20" s="1"/>
  <c r="AM266" i="2"/>
  <c r="AV123" i="20" s="1"/>
  <c r="AL266" i="2"/>
  <c r="AU123" i="20" s="1"/>
  <c r="AK266" i="2"/>
  <c r="AT123" i="20" s="1"/>
  <c r="AJ266" i="2"/>
  <c r="AS123" i="20" s="1"/>
  <c r="AI266" i="2"/>
  <c r="AR123" i="20" s="1"/>
  <c r="AH266" i="2"/>
  <c r="AQ123" i="20" s="1"/>
  <c r="AG266" i="2"/>
  <c r="AP123" i="20" s="1"/>
  <c r="AF266" i="2"/>
  <c r="AO123" i="20" s="1"/>
  <c r="AE266" i="2"/>
  <c r="AN123" i="20" s="1"/>
  <c r="AD266" i="2"/>
  <c r="AM123" i="20" s="1"/>
  <c r="AC266" i="2"/>
  <c r="AT266" i="2" s="1"/>
  <c r="AB266" i="2"/>
  <c r="AO265" i="2"/>
  <c r="BF265" i="2" s="1"/>
  <c r="AN265" i="2"/>
  <c r="BE265" i="2" s="1"/>
  <c r="AM265" i="2"/>
  <c r="BD265" i="2" s="1"/>
  <c r="AL265" i="2"/>
  <c r="BC265" i="2" s="1"/>
  <c r="AK265" i="2"/>
  <c r="BB265" i="2" s="1"/>
  <c r="AJ265" i="2"/>
  <c r="BA265" i="2" s="1"/>
  <c r="AI265" i="2"/>
  <c r="AZ265" i="2" s="1"/>
  <c r="AH265" i="2"/>
  <c r="AY265" i="2" s="1"/>
  <c r="AG265" i="2"/>
  <c r="AF265" i="2"/>
  <c r="AE265" i="2"/>
  <c r="AD265" i="2"/>
  <c r="AC265" i="2"/>
  <c r="AB265" i="2"/>
  <c r="AO264" i="2"/>
  <c r="BF264" i="2" s="1"/>
  <c r="AN264" i="2"/>
  <c r="BE264" i="2" s="1"/>
  <c r="AM264" i="2"/>
  <c r="BD264" i="2" s="1"/>
  <c r="AL264" i="2"/>
  <c r="BC264" i="2" s="1"/>
  <c r="AK264" i="2"/>
  <c r="BB264" i="2" s="1"/>
  <c r="AJ264" i="2"/>
  <c r="BA264" i="2" s="1"/>
  <c r="AI264" i="2"/>
  <c r="AZ264" i="2" s="1"/>
  <c r="AH264" i="2"/>
  <c r="AY264" i="2" s="1"/>
  <c r="AG264" i="2"/>
  <c r="AF264" i="2"/>
  <c r="AE264" i="2"/>
  <c r="AD264" i="2"/>
  <c r="AC264" i="2"/>
  <c r="AB264" i="2"/>
  <c r="AO263" i="2"/>
  <c r="BF263" i="2" s="1"/>
  <c r="AN263" i="2"/>
  <c r="BE263" i="2" s="1"/>
  <c r="AM263" i="2"/>
  <c r="BD263" i="2" s="1"/>
  <c r="AL263" i="2"/>
  <c r="BC263" i="2" s="1"/>
  <c r="AK263" i="2"/>
  <c r="BB263" i="2" s="1"/>
  <c r="AJ263" i="2"/>
  <c r="BA263" i="2" s="1"/>
  <c r="AI263" i="2"/>
  <c r="AZ263" i="2" s="1"/>
  <c r="AH263" i="2"/>
  <c r="AY263" i="2" s="1"/>
  <c r="AG263" i="2"/>
  <c r="AF263" i="2"/>
  <c r="AE263" i="2"/>
  <c r="AD263" i="2"/>
  <c r="AC263" i="2"/>
  <c r="AB263" i="2"/>
  <c r="AO262" i="2"/>
  <c r="BF262" i="2" s="1"/>
  <c r="AN262" i="2"/>
  <c r="BE262" i="2" s="1"/>
  <c r="AM262" i="2"/>
  <c r="BD262" i="2" s="1"/>
  <c r="AL262" i="2"/>
  <c r="BC262" i="2" s="1"/>
  <c r="AK262" i="2"/>
  <c r="BB262" i="2" s="1"/>
  <c r="AJ262" i="2"/>
  <c r="BA262" i="2" s="1"/>
  <c r="AI262" i="2"/>
  <c r="AZ262" i="2" s="1"/>
  <c r="AH262" i="2"/>
  <c r="AY262" i="2" s="1"/>
  <c r="AG262" i="2"/>
  <c r="AF262" i="2"/>
  <c r="AE262" i="2"/>
  <c r="AD262" i="2"/>
  <c r="AC262" i="2"/>
  <c r="AB262" i="2"/>
  <c r="AO261" i="2"/>
  <c r="BF261" i="2" s="1"/>
  <c r="AN261" i="2"/>
  <c r="BE261" i="2" s="1"/>
  <c r="AM261" i="2"/>
  <c r="BD261" i="2" s="1"/>
  <c r="AL261" i="2"/>
  <c r="BC261" i="2" s="1"/>
  <c r="AK261" i="2"/>
  <c r="BB261" i="2" s="1"/>
  <c r="AJ261" i="2"/>
  <c r="BA261" i="2" s="1"/>
  <c r="AI261" i="2"/>
  <c r="AZ261" i="2" s="1"/>
  <c r="AH261" i="2"/>
  <c r="AY261" i="2" s="1"/>
  <c r="AG261" i="2"/>
  <c r="AF261" i="2"/>
  <c r="AE261" i="2"/>
  <c r="AD261" i="2"/>
  <c r="AC261" i="2"/>
  <c r="AB261" i="2"/>
  <c r="AO260" i="2"/>
  <c r="BF260" i="2" s="1"/>
  <c r="AN260" i="2"/>
  <c r="BE260" i="2" s="1"/>
  <c r="AM260" i="2"/>
  <c r="BD260" i="2" s="1"/>
  <c r="AL260" i="2"/>
  <c r="BC260" i="2" s="1"/>
  <c r="AK260" i="2"/>
  <c r="BB260" i="2" s="1"/>
  <c r="AJ260" i="2"/>
  <c r="BA260" i="2" s="1"/>
  <c r="AI260" i="2"/>
  <c r="AZ260" i="2" s="1"/>
  <c r="AH260" i="2"/>
  <c r="AY260" i="2" s="1"/>
  <c r="AG260" i="2"/>
  <c r="AX260" i="2" s="1"/>
  <c r="AF260" i="2"/>
  <c r="AW260" i="2" s="1"/>
  <c r="AE260" i="2"/>
  <c r="AV260" i="2" s="1"/>
  <c r="AD260" i="2"/>
  <c r="AU260" i="2" s="1"/>
  <c r="AC260" i="2"/>
  <c r="AO465" i="20" s="1"/>
  <c r="AB260" i="2"/>
  <c r="AO259" i="2"/>
  <c r="BF259" i="2" s="1"/>
  <c r="AN259" i="2"/>
  <c r="BE259" i="2" s="1"/>
  <c r="AM259" i="2"/>
  <c r="BD259" i="2" s="1"/>
  <c r="AL259" i="2"/>
  <c r="BC259" i="2" s="1"/>
  <c r="AK259" i="2"/>
  <c r="BB259" i="2" s="1"/>
  <c r="AJ259" i="2"/>
  <c r="BA259" i="2" s="1"/>
  <c r="AI259" i="2"/>
  <c r="AZ259" i="2" s="1"/>
  <c r="AH259" i="2"/>
  <c r="AY259" i="2" s="1"/>
  <c r="AG259" i="2"/>
  <c r="AX259" i="2" s="1"/>
  <c r="AF259" i="2"/>
  <c r="AW259" i="2" s="1"/>
  <c r="AE259" i="2"/>
  <c r="AV259" i="2" s="1"/>
  <c r="AD259" i="2"/>
  <c r="AU259" i="2" s="1"/>
  <c r="AC259" i="2"/>
  <c r="AO459" i="20" s="1"/>
  <c r="AB259" i="2"/>
  <c r="AO258" i="2"/>
  <c r="BF258" i="2" s="1"/>
  <c r="AN258" i="2"/>
  <c r="BE258" i="2" s="1"/>
  <c r="AM258" i="2"/>
  <c r="BD258" i="2" s="1"/>
  <c r="AL258" i="2"/>
  <c r="BC258" i="2" s="1"/>
  <c r="AK258" i="2"/>
  <c r="BB258" i="2" s="1"/>
  <c r="AJ258" i="2"/>
  <c r="BA258" i="2" s="1"/>
  <c r="AI258" i="2"/>
  <c r="AZ258" i="2" s="1"/>
  <c r="AH258" i="2"/>
  <c r="AY258" i="2" s="1"/>
  <c r="AG258" i="2"/>
  <c r="AX258" i="2" s="1"/>
  <c r="AF258" i="2"/>
  <c r="AW258" i="2" s="1"/>
  <c r="AE258" i="2"/>
  <c r="AV258" i="2" s="1"/>
  <c r="AD258" i="2"/>
  <c r="AU258" i="2" s="1"/>
  <c r="AC258" i="2"/>
  <c r="AO453" i="20" s="1"/>
  <c r="AB258" i="2"/>
  <c r="AO257" i="2"/>
  <c r="BF257" i="2" s="1"/>
  <c r="AN257" i="2"/>
  <c r="BE257" i="2" s="1"/>
  <c r="AM257" i="2"/>
  <c r="BD257" i="2" s="1"/>
  <c r="AL257" i="2"/>
  <c r="BC257" i="2" s="1"/>
  <c r="AK257" i="2"/>
  <c r="BB257" i="2" s="1"/>
  <c r="AJ257" i="2"/>
  <c r="BA257" i="2" s="1"/>
  <c r="AI257" i="2"/>
  <c r="AZ257" i="2" s="1"/>
  <c r="AH257" i="2"/>
  <c r="AY257" i="2" s="1"/>
  <c r="AG257" i="2"/>
  <c r="AX257" i="2" s="1"/>
  <c r="AF257" i="2"/>
  <c r="AW257" i="2" s="1"/>
  <c r="AE257" i="2"/>
  <c r="AV257" i="2" s="1"/>
  <c r="AD257" i="2"/>
  <c r="AU257" i="2" s="1"/>
  <c r="AC257" i="2"/>
  <c r="AT257" i="2" s="1"/>
  <c r="AB257" i="2"/>
  <c r="AO256" i="2"/>
  <c r="BF256" i="2" s="1"/>
  <c r="AN256" i="2"/>
  <c r="BE256" i="2" s="1"/>
  <c r="AM256" i="2"/>
  <c r="BD256" i="2" s="1"/>
  <c r="AL256" i="2"/>
  <c r="BC256" i="2" s="1"/>
  <c r="AK256" i="2"/>
  <c r="BB256" i="2" s="1"/>
  <c r="AJ256" i="2"/>
  <c r="BA256" i="2" s="1"/>
  <c r="AI256" i="2"/>
  <c r="AZ256" i="2" s="1"/>
  <c r="AH256" i="2"/>
  <c r="AY256" i="2" s="1"/>
  <c r="AG256" i="2"/>
  <c r="AF256" i="2"/>
  <c r="AE256" i="2"/>
  <c r="AD256" i="2"/>
  <c r="AC256" i="2"/>
  <c r="AB256" i="2"/>
  <c r="AO255" i="2"/>
  <c r="BF255" i="2" s="1"/>
  <c r="AN255" i="2"/>
  <c r="BE255" i="2" s="1"/>
  <c r="AM255" i="2"/>
  <c r="BD255" i="2" s="1"/>
  <c r="AL255" i="2"/>
  <c r="BC255" i="2" s="1"/>
  <c r="AK255" i="2"/>
  <c r="BB255" i="2" s="1"/>
  <c r="AJ255" i="2"/>
  <c r="BA255" i="2" s="1"/>
  <c r="AI255" i="2"/>
  <c r="AZ255" i="2" s="1"/>
  <c r="AH255" i="2"/>
  <c r="AY255" i="2" s="1"/>
  <c r="AG255" i="2"/>
  <c r="AF255" i="2"/>
  <c r="AE255" i="2"/>
  <c r="AD255" i="2"/>
  <c r="AC255" i="2"/>
  <c r="AB255" i="2"/>
  <c r="AO254" i="2"/>
  <c r="BF254" i="2" s="1"/>
  <c r="AN254" i="2"/>
  <c r="BE254" i="2" s="1"/>
  <c r="AM254" i="2"/>
  <c r="BD254" i="2" s="1"/>
  <c r="AL254" i="2"/>
  <c r="BC254" i="2" s="1"/>
  <c r="AK254" i="2"/>
  <c r="BB254" i="2" s="1"/>
  <c r="AJ254" i="2"/>
  <c r="BA254" i="2" s="1"/>
  <c r="AI254" i="2"/>
  <c r="AZ254" i="2" s="1"/>
  <c r="AH254" i="2"/>
  <c r="AY254" i="2" s="1"/>
  <c r="AG254" i="2"/>
  <c r="AF254" i="2"/>
  <c r="AE254" i="2"/>
  <c r="AD254" i="2"/>
  <c r="AC254" i="2"/>
  <c r="AB254" i="2"/>
  <c r="AO253" i="2"/>
  <c r="BF253" i="2" s="1"/>
  <c r="AN253" i="2"/>
  <c r="BE253" i="2" s="1"/>
  <c r="AM253" i="2"/>
  <c r="BD253" i="2" s="1"/>
  <c r="AL253" i="2"/>
  <c r="BC253" i="2" s="1"/>
  <c r="AK253" i="2"/>
  <c r="BB253" i="2" s="1"/>
  <c r="AJ253" i="2"/>
  <c r="BA253" i="2" s="1"/>
  <c r="AI253" i="2"/>
  <c r="AZ253" i="2" s="1"/>
  <c r="AH253" i="2"/>
  <c r="AY253" i="2" s="1"/>
  <c r="AG253" i="2"/>
  <c r="AF253" i="2"/>
  <c r="AE253" i="2"/>
  <c r="AD253" i="2"/>
  <c r="AC253" i="2"/>
  <c r="AB253" i="2"/>
  <c r="AO252" i="2"/>
  <c r="BF252" i="2" s="1"/>
  <c r="AN252" i="2"/>
  <c r="BE252" i="2" s="1"/>
  <c r="AM252" i="2"/>
  <c r="BD252" i="2" s="1"/>
  <c r="AL252" i="2"/>
  <c r="BC252" i="2" s="1"/>
  <c r="AK252" i="2"/>
  <c r="BB252" i="2" s="1"/>
  <c r="AJ252" i="2"/>
  <c r="BA252" i="2" s="1"/>
  <c r="AI252" i="2"/>
  <c r="AZ252" i="2" s="1"/>
  <c r="AH252" i="2"/>
  <c r="AY252" i="2" s="1"/>
  <c r="AG252" i="2"/>
  <c r="AF252" i="2"/>
  <c r="AE252" i="2"/>
  <c r="AD252" i="2"/>
  <c r="AC252" i="2"/>
  <c r="AB252" i="2"/>
  <c r="AO251" i="2"/>
  <c r="BF251" i="2" s="1"/>
  <c r="AN251" i="2"/>
  <c r="BE251" i="2" s="1"/>
  <c r="AM251" i="2"/>
  <c r="BD251" i="2" s="1"/>
  <c r="AL251" i="2"/>
  <c r="BC251" i="2" s="1"/>
  <c r="AK251" i="2"/>
  <c r="BB251" i="2" s="1"/>
  <c r="AJ251" i="2"/>
  <c r="BA251" i="2" s="1"/>
  <c r="AI251" i="2"/>
  <c r="AZ251" i="2" s="1"/>
  <c r="AH251" i="2"/>
  <c r="AY251" i="2" s="1"/>
  <c r="AG251" i="2"/>
  <c r="AF251" i="2"/>
  <c r="AE251" i="2"/>
  <c r="AD251" i="2"/>
  <c r="AC251" i="2"/>
  <c r="AB251" i="2"/>
  <c r="AO250" i="2"/>
  <c r="BF250" i="2" s="1"/>
  <c r="AN250" i="2"/>
  <c r="BE250" i="2" s="1"/>
  <c r="AM250" i="2"/>
  <c r="BD250" i="2" s="1"/>
  <c r="AL250" i="2"/>
  <c r="BC250" i="2" s="1"/>
  <c r="AK250" i="2"/>
  <c r="BB250" i="2" s="1"/>
  <c r="AJ250" i="2"/>
  <c r="BA250" i="2" s="1"/>
  <c r="AI250" i="2"/>
  <c r="AZ250" i="2" s="1"/>
  <c r="AH250" i="2"/>
  <c r="AY250" i="2" s="1"/>
  <c r="AG250" i="2"/>
  <c r="AF250" i="2"/>
  <c r="AE250" i="2"/>
  <c r="AD250" i="2"/>
  <c r="AC250" i="2"/>
  <c r="AB250" i="2"/>
  <c r="AO249" i="2"/>
  <c r="BF249" i="2" s="1"/>
  <c r="AN249" i="2"/>
  <c r="BE249" i="2" s="1"/>
  <c r="AM249" i="2"/>
  <c r="BD249" i="2" s="1"/>
  <c r="AL249" i="2"/>
  <c r="BC249" i="2" s="1"/>
  <c r="AK249" i="2"/>
  <c r="BB249" i="2" s="1"/>
  <c r="AJ249" i="2"/>
  <c r="BA249" i="2" s="1"/>
  <c r="AI249" i="2"/>
  <c r="AZ249" i="2" s="1"/>
  <c r="AH249" i="2"/>
  <c r="AY249" i="2" s="1"/>
  <c r="AG249" i="2"/>
  <c r="AF249" i="2"/>
  <c r="AE249" i="2"/>
  <c r="AD249" i="2"/>
  <c r="AC249" i="2"/>
  <c r="AB249" i="2"/>
  <c r="AO248" i="2"/>
  <c r="BF248" i="2" s="1"/>
  <c r="AN248" i="2"/>
  <c r="BE248" i="2" s="1"/>
  <c r="AM248" i="2"/>
  <c r="BD248" i="2" s="1"/>
  <c r="AL248" i="2"/>
  <c r="BC248" i="2" s="1"/>
  <c r="AK248" i="2"/>
  <c r="BB248" i="2" s="1"/>
  <c r="AJ248" i="2"/>
  <c r="BA248" i="2" s="1"/>
  <c r="AI248" i="2"/>
  <c r="AZ248" i="2" s="1"/>
  <c r="AH248" i="2"/>
  <c r="AY248" i="2" s="1"/>
  <c r="AG248" i="2"/>
  <c r="AF248" i="2"/>
  <c r="AE248" i="2"/>
  <c r="AD248" i="2"/>
  <c r="AC248" i="2"/>
  <c r="AB248" i="2"/>
  <c r="AO247" i="2"/>
  <c r="BF247" i="2" s="1"/>
  <c r="AN247" i="2"/>
  <c r="BE247" i="2" s="1"/>
  <c r="AM247" i="2"/>
  <c r="BD247" i="2" s="1"/>
  <c r="AL247" i="2"/>
  <c r="BC247" i="2" s="1"/>
  <c r="AK247" i="2"/>
  <c r="BB247" i="2" s="1"/>
  <c r="AJ247" i="2"/>
  <c r="BA247" i="2" s="1"/>
  <c r="AI247" i="2"/>
  <c r="AZ247" i="2" s="1"/>
  <c r="AH247" i="2"/>
  <c r="AY247" i="2" s="1"/>
  <c r="AG247" i="2"/>
  <c r="AF247" i="2"/>
  <c r="AE247" i="2"/>
  <c r="AD247" i="2"/>
  <c r="AC247" i="2"/>
  <c r="AB247" i="2"/>
  <c r="AO246" i="2"/>
  <c r="BF246" i="2" s="1"/>
  <c r="AN246" i="2"/>
  <c r="BE246" i="2" s="1"/>
  <c r="AM246" i="2"/>
  <c r="BD246" i="2" s="1"/>
  <c r="AL246" i="2"/>
  <c r="BC246" i="2" s="1"/>
  <c r="AK246" i="2"/>
  <c r="BB246" i="2" s="1"/>
  <c r="AJ246" i="2"/>
  <c r="BA246" i="2" s="1"/>
  <c r="AI246" i="2"/>
  <c r="AZ246" i="2" s="1"/>
  <c r="AH246" i="2"/>
  <c r="AY246" i="2" s="1"/>
  <c r="AG246" i="2"/>
  <c r="AF246" i="2"/>
  <c r="AE246" i="2"/>
  <c r="AD246" i="2"/>
  <c r="AC246" i="2"/>
  <c r="AB246" i="2"/>
  <c r="AO245" i="2"/>
  <c r="BF245" i="2" s="1"/>
  <c r="AN245" i="2"/>
  <c r="BE245" i="2" s="1"/>
  <c r="AM245" i="2"/>
  <c r="BD245" i="2" s="1"/>
  <c r="AL245" i="2"/>
  <c r="BC245" i="2" s="1"/>
  <c r="AK245" i="2"/>
  <c r="BB245" i="2" s="1"/>
  <c r="AJ245" i="2"/>
  <c r="BA245" i="2" s="1"/>
  <c r="AI245" i="2"/>
  <c r="AZ245" i="2" s="1"/>
  <c r="AH245" i="2"/>
  <c r="AY245" i="2" s="1"/>
  <c r="AG245" i="2"/>
  <c r="AF245" i="2"/>
  <c r="AE245" i="2"/>
  <c r="AD245" i="2"/>
  <c r="AC245" i="2"/>
  <c r="AB245" i="2"/>
  <c r="AO244" i="2"/>
  <c r="BF244" i="2" s="1"/>
  <c r="AN244" i="2"/>
  <c r="BE244" i="2" s="1"/>
  <c r="AM244" i="2"/>
  <c r="BD244" i="2" s="1"/>
  <c r="AL244" i="2"/>
  <c r="BC244" i="2" s="1"/>
  <c r="AK244" i="2"/>
  <c r="BB244" i="2" s="1"/>
  <c r="AJ244" i="2"/>
  <c r="BA244" i="2" s="1"/>
  <c r="AI244" i="2"/>
  <c r="AZ244" i="2" s="1"/>
  <c r="AH244" i="2"/>
  <c r="AY244" i="2" s="1"/>
  <c r="AG244" i="2"/>
  <c r="AF244" i="2"/>
  <c r="AE244" i="2"/>
  <c r="AD244" i="2"/>
  <c r="AC244" i="2"/>
  <c r="AB244" i="2"/>
  <c r="AO243" i="2"/>
  <c r="BF243" i="2" s="1"/>
  <c r="AN243" i="2"/>
  <c r="BE243" i="2" s="1"/>
  <c r="AM243" i="2"/>
  <c r="BD243" i="2" s="1"/>
  <c r="AL243" i="2"/>
  <c r="BC243" i="2" s="1"/>
  <c r="AK243" i="2"/>
  <c r="BB243" i="2" s="1"/>
  <c r="AJ243" i="2"/>
  <c r="BA243" i="2" s="1"/>
  <c r="AI243" i="2"/>
  <c r="AZ243" i="2" s="1"/>
  <c r="AH243" i="2"/>
  <c r="AY243" i="2" s="1"/>
  <c r="AG243" i="2"/>
  <c r="AF243" i="2"/>
  <c r="AE243" i="2"/>
  <c r="AD243" i="2"/>
  <c r="AC243" i="2"/>
  <c r="AB243" i="2"/>
  <c r="AO242" i="2"/>
  <c r="BF242" i="2" s="1"/>
  <c r="AN242" i="2"/>
  <c r="BE242" i="2" s="1"/>
  <c r="AM242" i="2"/>
  <c r="BD242" i="2" s="1"/>
  <c r="AL242" i="2"/>
  <c r="BC242" i="2" s="1"/>
  <c r="AK242" i="2"/>
  <c r="BB242" i="2" s="1"/>
  <c r="AJ242" i="2"/>
  <c r="BA242" i="2" s="1"/>
  <c r="AI242" i="2"/>
  <c r="AZ242" i="2" s="1"/>
  <c r="AH242" i="2"/>
  <c r="AY242" i="2" s="1"/>
  <c r="AG242" i="2"/>
  <c r="AS516" i="20" s="1"/>
  <c r="AF242" i="2"/>
  <c r="AQ516" i="20" s="1"/>
  <c r="AE242" i="2"/>
  <c r="AO516" i="20" s="1"/>
  <c r="AD242" i="2"/>
  <c r="AM516" i="20" s="1"/>
  <c r="AC242" i="2"/>
  <c r="AB242" i="2"/>
  <c r="AO241" i="2"/>
  <c r="BF241" i="2" s="1"/>
  <c r="AN241" i="2"/>
  <c r="BE241" i="2" s="1"/>
  <c r="AM241" i="2"/>
  <c r="BD241" i="2" s="1"/>
  <c r="AL241" i="2"/>
  <c r="BC241" i="2" s="1"/>
  <c r="AK241" i="2"/>
  <c r="BB241" i="2" s="1"/>
  <c r="AJ241" i="2"/>
  <c r="BA241" i="2" s="1"/>
  <c r="AI241" i="2"/>
  <c r="AZ241" i="2" s="1"/>
  <c r="AH241" i="2"/>
  <c r="AY241" i="2" s="1"/>
  <c r="AG241" i="2"/>
  <c r="AS512" i="20" s="1"/>
  <c r="AF241" i="2"/>
  <c r="AQ512" i="20" s="1"/>
  <c r="AE241" i="2"/>
  <c r="AO512" i="20" s="1"/>
  <c r="AD241" i="2"/>
  <c r="AM512" i="20" s="1"/>
  <c r="AC241" i="2"/>
  <c r="AB241" i="2"/>
  <c r="AO240" i="2"/>
  <c r="BF240" i="2" s="1"/>
  <c r="AN240" i="2"/>
  <c r="BE240" i="2" s="1"/>
  <c r="AM240" i="2"/>
  <c r="BD240" i="2" s="1"/>
  <c r="AL240" i="2"/>
  <c r="BC240" i="2" s="1"/>
  <c r="AK240" i="2"/>
  <c r="BB240" i="2" s="1"/>
  <c r="AJ240" i="2"/>
  <c r="BA240" i="2" s="1"/>
  <c r="AI240" i="2"/>
  <c r="AZ240" i="2" s="1"/>
  <c r="AH240" i="2"/>
  <c r="AY240" i="2" s="1"/>
  <c r="AG240" i="2"/>
  <c r="AF240" i="2"/>
  <c r="AE240" i="2"/>
  <c r="AD240" i="2"/>
  <c r="AC240" i="2"/>
  <c r="AB240" i="2"/>
  <c r="AO239" i="2"/>
  <c r="BF239" i="2" s="1"/>
  <c r="AN239" i="2"/>
  <c r="BE239" i="2" s="1"/>
  <c r="AM239" i="2"/>
  <c r="BD239" i="2" s="1"/>
  <c r="AL239" i="2"/>
  <c r="BC239" i="2" s="1"/>
  <c r="AK239" i="2"/>
  <c r="BB239" i="2" s="1"/>
  <c r="AJ239" i="2"/>
  <c r="BA239" i="2" s="1"/>
  <c r="AI239" i="2"/>
  <c r="AZ239" i="2" s="1"/>
  <c r="AH239" i="2"/>
  <c r="AY239" i="2" s="1"/>
  <c r="AG239" i="2"/>
  <c r="AF239" i="2"/>
  <c r="AW239" i="2" s="1"/>
  <c r="AE239" i="2"/>
  <c r="AD239" i="2"/>
  <c r="AU239" i="2" s="1"/>
  <c r="AC239" i="2"/>
  <c r="AT239" i="2" s="1"/>
  <c r="AB239" i="2"/>
  <c r="AO238" i="2"/>
  <c r="BF238" i="2" s="1"/>
  <c r="AN238" i="2"/>
  <c r="BE238" i="2" s="1"/>
  <c r="AM238" i="2"/>
  <c r="BD238" i="2" s="1"/>
  <c r="AL238" i="2"/>
  <c r="BC238" i="2" s="1"/>
  <c r="AK238" i="2"/>
  <c r="BB238" i="2" s="1"/>
  <c r="AJ238" i="2"/>
  <c r="BA238" i="2" s="1"/>
  <c r="AI238" i="2"/>
  <c r="AZ238" i="2" s="1"/>
  <c r="AH238" i="2"/>
  <c r="AY238" i="2" s="1"/>
  <c r="AG238" i="2"/>
  <c r="AF238" i="2"/>
  <c r="AW238" i="2" s="1"/>
  <c r="AE238" i="2"/>
  <c r="AD238" i="2"/>
  <c r="AU238" i="2" s="1"/>
  <c r="AC238" i="2"/>
  <c r="AT238" i="2" s="1"/>
  <c r="AB238" i="2"/>
  <c r="AO237" i="2"/>
  <c r="BF237" i="2" s="1"/>
  <c r="AN237" i="2"/>
  <c r="BE237" i="2" s="1"/>
  <c r="AM237" i="2"/>
  <c r="BD237" i="2" s="1"/>
  <c r="AL237" i="2"/>
  <c r="BC237" i="2" s="1"/>
  <c r="AK237" i="2"/>
  <c r="BB237" i="2" s="1"/>
  <c r="AJ237" i="2"/>
  <c r="BA237" i="2" s="1"/>
  <c r="AI237" i="2"/>
  <c r="AZ237" i="2" s="1"/>
  <c r="AH237" i="2"/>
  <c r="AY237" i="2" s="1"/>
  <c r="AG237" i="2"/>
  <c r="AF237" i="2"/>
  <c r="AE237" i="2"/>
  <c r="AD237" i="2"/>
  <c r="AC237" i="2"/>
  <c r="AB237" i="2"/>
  <c r="AO236" i="2"/>
  <c r="BF236" i="2" s="1"/>
  <c r="AN236" i="2"/>
  <c r="BE236" i="2" s="1"/>
  <c r="AM236" i="2"/>
  <c r="BD236" i="2" s="1"/>
  <c r="AL236" i="2"/>
  <c r="BC236" i="2" s="1"/>
  <c r="AK236" i="2"/>
  <c r="BB236" i="2" s="1"/>
  <c r="AJ236" i="2"/>
  <c r="BA236" i="2" s="1"/>
  <c r="AI236" i="2"/>
  <c r="AZ236" i="2" s="1"/>
  <c r="AH236" i="2"/>
  <c r="AY236" i="2" s="1"/>
  <c r="AG236" i="2"/>
  <c r="AF236" i="2"/>
  <c r="AE236" i="2"/>
  <c r="AD236" i="2"/>
  <c r="AC236" i="2"/>
  <c r="AB236" i="2"/>
  <c r="AO235" i="2"/>
  <c r="BF235" i="2" s="1"/>
  <c r="AN235" i="2"/>
  <c r="BE235" i="2" s="1"/>
  <c r="AM235" i="2"/>
  <c r="BD235" i="2" s="1"/>
  <c r="AL235" i="2"/>
  <c r="BC235" i="2" s="1"/>
  <c r="AK235" i="2"/>
  <c r="BB235" i="2" s="1"/>
  <c r="AJ235" i="2"/>
  <c r="BA235" i="2" s="1"/>
  <c r="AI235" i="2"/>
  <c r="AZ235" i="2" s="1"/>
  <c r="AH235" i="2"/>
  <c r="AY235" i="2" s="1"/>
  <c r="AG235" i="2"/>
  <c r="AF235" i="2"/>
  <c r="AE235" i="2"/>
  <c r="AD235" i="2"/>
  <c r="AC235" i="2"/>
  <c r="AB235" i="2"/>
  <c r="AO234" i="2"/>
  <c r="BF234" i="2" s="1"/>
  <c r="AN234" i="2"/>
  <c r="BE234" i="2" s="1"/>
  <c r="AM234" i="2"/>
  <c r="BD234" i="2" s="1"/>
  <c r="AL234" i="2"/>
  <c r="BC234" i="2" s="1"/>
  <c r="AK234" i="2"/>
  <c r="BB234" i="2" s="1"/>
  <c r="AJ234" i="2"/>
  <c r="BA234" i="2" s="1"/>
  <c r="AI234" i="2"/>
  <c r="AZ234" i="2" s="1"/>
  <c r="AH234" i="2"/>
  <c r="AY234" i="2" s="1"/>
  <c r="AG234" i="2"/>
  <c r="AF234" i="2"/>
  <c r="AE234" i="2"/>
  <c r="AD234" i="2"/>
  <c r="AC234" i="2"/>
  <c r="AB234" i="2"/>
  <c r="AO233" i="2"/>
  <c r="BF233" i="2" s="1"/>
  <c r="AN233" i="2"/>
  <c r="BE233" i="2" s="1"/>
  <c r="AM233" i="2"/>
  <c r="BD233" i="2" s="1"/>
  <c r="AL233" i="2"/>
  <c r="BC233" i="2" s="1"/>
  <c r="AK233" i="2"/>
  <c r="BB233" i="2" s="1"/>
  <c r="AJ233" i="2"/>
  <c r="BA233" i="2" s="1"/>
  <c r="AI233" i="2"/>
  <c r="AZ233" i="2" s="1"/>
  <c r="AH233" i="2"/>
  <c r="AY233" i="2" s="1"/>
  <c r="AG233" i="2"/>
  <c r="AF233" i="2"/>
  <c r="AE233" i="2"/>
  <c r="AD233" i="2"/>
  <c r="AC233" i="2"/>
  <c r="AB233" i="2"/>
  <c r="AO232" i="2"/>
  <c r="BF232" i="2" s="1"/>
  <c r="AN232" i="2"/>
  <c r="BE232" i="2" s="1"/>
  <c r="AM232" i="2"/>
  <c r="BD232" i="2" s="1"/>
  <c r="AL232" i="2"/>
  <c r="BC232" i="2" s="1"/>
  <c r="AK232" i="2"/>
  <c r="BB232" i="2" s="1"/>
  <c r="AJ232" i="2"/>
  <c r="BA232" i="2" s="1"/>
  <c r="AI232" i="2"/>
  <c r="AZ232" i="2" s="1"/>
  <c r="AH232" i="2"/>
  <c r="AY232" i="2" s="1"/>
  <c r="AG232" i="2"/>
  <c r="AF232" i="2"/>
  <c r="AE232" i="2"/>
  <c r="AD232" i="2"/>
  <c r="AC232" i="2"/>
  <c r="AB232" i="2"/>
  <c r="AO231" i="2"/>
  <c r="BF231" i="2" s="1"/>
  <c r="AN231" i="2"/>
  <c r="BE231" i="2" s="1"/>
  <c r="AM231" i="2"/>
  <c r="BD231" i="2" s="1"/>
  <c r="AL231" i="2"/>
  <c r="BC231" i="2" s="1"/>
  <c r="AK231" i="2"/>
  <c r="BB231" i="2" s="1"/>
  <c r="AJ231" i="2"/>
  <c r="BA231" i="2" s="1"/>
  <c r="AI231" i="2"/>
  <c r="AZ231" i="2" s="1"/>
  <c r="AH231" i="2"/>
  <c r="AY231" i="2" s="1"/>
  <c r="AG231" i="2"/>
  <c r="AF231" i="2"/>
  <c r="AE231" i="2"/>
  <c r="AD231" i="2"/>
  <c r="AC231" i="2"/>
  <c r="AB231" i="2"/>
  <c r="AO230" i="2"/>
  <c r="BF230" i="2" s="1"/>
  <c r="AN230" i="2"/>
  <c r="BE230" i="2" s="1"/>
  <c r="AM230" i="2"/>
  <c r="BD230" i="2" s="1"/>
  <c r="AL230" i="2"/>
  <c r="BC230" i="2" s="1"/>
  <c r="AK230" i="2"/>
  <c r="BB230" i="2" s="1"/>
  <c r="AJ230" i="2"/>
  <c r="BA230" i="2" s="1"/>
  <c r="AI230" i="2"/>
  <c r="AZ230" i="2" s="1"/>
  <c r="AH230" i="2"/>
  <c r="AY230" i="2" s="1"/>
  <c r="AG230" i="2"/>
  <c r="AF230" i="2"/>
  <c r="AE230" i="2"/>
  <c r="AD230" i="2"/>
  <c r="AC230" i="2"/>
  <c r="AB230" i="2"/>
  <c r="AO229" i="2"/>
  <c r="BF229" i="2" s="1"/>
  <c r="AN229" i="2"/>
  <c r="BE229" i="2" s="1"/>
  <c r="AM229" i="2"/>
  <c r="BD229" i="2" s="1"/>
  <c r="AL229" i="2"/>
  <c r="BC229" i="2" s="1"/>
  <c r="AK229" i="2"/>
  <c r="BB229" i="2" s="1"/>
  <c r="AJ229" i="2"/>
  <c r="BA229" i="2" s="1"/>
  <c r="AI229" i="2"/>
  <c r="AZ229" i="2" s="1"/>
  <c r="AH229" i="2"/>
  <c r="AY229" i="2" s="1"/>
  <c r="AG229" i="2"/>
  <c r="AF229" i="2"/>
  <c r="AE229" i="2"/>
  <c r="AD229" i="2"/>
  <c r="AC229" i="2"/>
  <c r="AB229" i="2"/>
  <c r="AO228" i="2"/>
  <c r="BF228" i="2" s="1"/>
  <c r="AN228" i="2"/>
  <c r="BE228" i="2" s="1"/>
  <c r="AM228" i="2"/>
  <c r="BD228" i="2" s="1"/>
  <c r="AL228" i="2"/>
  <c r="BC228" i="2" s="1"/>
  <c r="AK228" i="2"/>
  <c r="BB228" i="2" s="1"/>
  <c r="AJ228" i="2"/>
  <c r="BA228" i="2" s="1"/>
  <c r="AI228" i="2"/>
  <c r="AZ228" i="2" s="1"/>
  <c r="AH228" i="2"/>
  <c r="AY228" i="2" s="1"/>
  <c r="AG228" i="2"/>
  <c r="AF228" i="2"/>
  <c r="AE228" i="2"/>
  <c r="AD228" i="2"/>
  <c r="AC228" i="2"/>
  <c r="AB228" i="2"/>
  <c r="AO227" i="2"/>
  <c r="BF227" i="2" s="1"/>
  <c r="AN227" i="2"/>
  <c r="BE227" i="2" s="1"/>
  <c r="AM227" i="2"/>
  <c r="BD227" i="2" s="1"/>
  <c r="AL227" i="2"/>
  <c r="BC227" i="2" s="1"/>
  <c r="AK227" i="2"/>
  <c r="BB227" i="2" s="1"/>
  <c r="AJ227" i="2"/>
  <c r="BA227" i="2" s="1"/>
  <c r="AI227" i="2"/>
  <c r="AZ227" i="2" s="1"/>
  <c r="AH227" i="2"/>
  <c r="AY227" i="2" s="1"/>
  <c r="AG227" i="2"/>
  <c r="AF227" i="2"/>
  <c r="AE227" i="2"/>
  <c r="AD227" i="2"/>
  <c r="AC227" i="2"/>
  <c r="AB227" i="2"/>
  <c r="AO226" i="2"/>
  <c r="BF226" i="2" s="1"/>
  <c r="AN226" i="2"/>
  <c r="BE226" i="2" s="1"/>
  <c r="AM226" i="2"/>
  <c r="BD226" i="2" s="1"/>
  <c r="AL226" i="2"/>
  <c r="BC226" i="2" s="1"/>
  <c r="AK226" i="2"/>
  <c r="BB226" i="2" s="1"/>
  <c r="AJ226" i="2"/>
  <c r="BA226" i="2" s="1"/>
  <c r="AI226" i="2"/>
  <c r="AZ226" i="2" s="1"/>
  <c r="AH226" i="2"/>
  <c r="AY226" i="2" s="1"/>
  <c r="AG226" i="2"/>
  <c r="AF226" i="2"/>
  <c r="AE226" i="2"/>
  <c r="AD226" i="2"/>
  <c r="AC226" i="2"/>
  <c r="AB226" i="2"/>
  <c r="AO225" i="2"/>
  <c r="BF225" i="2" s="1"/>
  <c r="AN225" i="2"/>
  <c r="BE225" i="2" s="1"/>
  <c r="AM225" i="2"/>
  <c r="BD225" i="2" s="1"/>
  <c r="AL225" i="2"/>
  <c r="BC225" i="2" s="1"/>
  <c r="AK225" i="2"/>
  <c r="BB225" i="2" s="1"/>
  <c r="AJ225" i="2"/>
  <c r="BA225" i="2" s="1"/>
  <c r="AI225" i="2"/>
  <c r="AZ225" i="2" s="1"/>
  <c r="AH225" i="2"/>
  <c r="AY225" i="2" s="1"/>
  <c r="AG225" i="2"/>
  <c r="AF225" i="2"/>
  <c r="AE225" i="2"/>
  <c r="AD225" i="2"/>
  <c r="AC225" i="2"/>
  <c r="AB225" i="2"/>
  <c r="AO224" i="2"/>
  <c r="BF224" i="2" s="1"/>
  <c r="AN224" i="2"/>
  <c r="BE224" i="2" s="1"/>
  <c r="AM224" i="2"/>
  <c r="BD224" i="2" s="1"/>
  <c r="AL224" i="2"/>
  <c r="BC224" i="2" s="1"/>
  <c r="AK224" i="2"/>
  <c r="BB224" i="2" s="1"/>
  <c r="AJ224" i="2"/>
  <c r="BA224" i="2" s="1"/>
  <c r="AI224" i="2"/>
  <c r="AZ224" i="2" s="1"/>
  <c r="AH224" i="2"/>
  <c r="AY224" i="2" s="1"/>
  <c r="AG224" i="2"/>
  <c r="AF224" i="2"/>
  <c r="AE224" i="2"/>
  <c r="AD224" i="2"/>
  <c r="AC224" i="2"/>
  <c r="AB224" i="2"/>
  <c r="AO223" i="2"/>
  <c r="BF223" i="2" s="1"/>
  <c r="AN223" i="2"/>
  <c r="BE223" i="2" s="1"/>
  <c r="AM223" i="2"/>
  <c r="BD223" i="2" s="1"/>
  <c r="AL223" i="2"/>
  <c r="BC223" i="2" s="1"/>
  <c r="AK223" i="2"/>
  <c r="BB223" i="2" s="1"/>
  <c r="AJ223" i="2"/>
  <c r="BA223" i="2" s="1"/>
  <c r="AI223" i="2"/>
  <c r="AZ223" i="2" s="1"/>
  <c r="AH223" i="2"/>
  <c r="AY223" i="2" s="1"/>
  <c r="AG223" i="2"/>
  <c r="AF223" i="2"/>
  <c r="AE223" i="2"/>
  <c r="AD223" i="2"/>
  <c r="AC223" i="2"/>
  <c r="AB223" i="2"/>
  <c r="AO222" i="2"/>
  <c r="BF222" i="2" s="1"/>
  <c r="AN222" i="2"/>
  <c r="BE222" i="2" s="1"/>
  <c r="AM222" i="2"/>
  <c r="BD222" i="2" s="1"/>
  <c r="AL222" i="2"/>
  <c r="BC222" i="2" s="1"/>
  <c r="AK222" i="2"/>
  <c r="BB222" i="2" s="1"/>
  <c r="AJ222" i="2"/>
  <c r="BA222" i="2" s="1"/>
  <c r="AI222" i="2"/>
  <c r="AZ222" i="2" s="1"/>
  <c r="AH222" i="2"/>
  <c r="AY222" i="2" s="1"/>
  <c r="AG222" i="2"/>
  <c r="AF222" i="2"/>
  <c r="AE222" i="2"/>
  <c r="AD222" i="2"/>
  <c r="AC222" i="2"/>
  <c r="AB222" i="2"/>
  <c r="AO221" i="2"/>
  <c r="BF221" i="2" s="1"/>
  <c r="AN221" i="2"/>
  <c r="BE221" i="2" s="1"/>
  <c r="AM221" i="2"/>
  <c r="BD221" i="2" s="1"/>
  <c r="AL221" i="2"/>
  <c r="BC221" i="2" s="1"/>
  <c r="AK221" i="2"/>
  <c r="BB221" i="2" s="1"/>
  <c r="AJ221" i="2"/>
  <c r="BA221" i="2" s="1"/>
  <c r="AI221" i="2"/>
  <c r="AZ221" i="2" s="1"/>
  <c r="AH221" i="2"/>
  <c r="AY221" i="2" s="1"/>
  <c r="AG221" i="2"/>
  <c r="AF221" i="2"/>
  <c r="AE221" i="2"/>
  <c r="AD221" i="2"/>
  <c r="AC221" i="2"/>
  <c r="AB221" i="2"/>
  <c r="AO220" i="2"/>
  <c r="BF220" i="2" s="1"/>
  <c r="AN220" i="2"/>
  <c r="BE220" i="2" s="1"/>
  <c r="AM220" i="2"/>
  <c r="BD220" i="2" s="1"/>
  <c r="AL220" i="2"/>
  <c r="BC220" i="2" s="1"/>
  <c r="AK220" i="2"/>
  <c r="BB220" i="2" s="1"/>
  <c r="AJ220" i="2"/>
  <c r="BA220" i="2" s="1"/>
  <c r="AI220" i="2"/>
  <c r="AZ220" i="2" s="1"/>
  <c r="AH220" i="2"/>
  <c r="AY220" i="2" s="1"/>
  <c r="AG220" i="2"/>
  <c r="AF220" i="2"/>
  <c r="AE220" i="2"/>
  <c r="AD220" i="2"/>
  <c r="AC220" i="2"/>
  <c r="AB220" i="2"/>
  <c r="AO219" i="2"/>
  <c r="BF219" i="2" s="1"/>
  <c r="AN219" i="2"/>
  <c r="BE219" i="2" s="1"/>
  <c r="AM219" i="2"/>
  <c r="BD219" i="2" s="1"/>
  <c r="AL219" i="2"/>
  <c r="BC219" i="2" s="1"/>
  <c r="AK219" i="2"/>
  <c r="BB219" i="2" s="1"/>
  <c r="AJ219" i="2"/>
  <c r="BA219" i="2" s="1"/>
  <c r="AI219" i="2"/>
  <c r="AZ219" i="2" s="1"/>
  <c r="AH219" i="2"/>
  <c r="AY219" i="2" s="1"/>
  <c r="AG219" i="2"/>
  <c r="AF219" i="2"/>
  <c r="AE219" i="2"/>
  <c r="AD219" i="2"/>
  <c r="AC219" i="2"/>
  <c r="AB219" i="2"/>
  <c r="AO218" i="2"/>
  <c r="BF218" i="2" s="1"/>
  <c r="AN218" i="2"/>
  <c r="BE218" i="2" s="1"/>
  <c r="AM218" i="2"/>
  <c r="BD218" i="2" s="1"/>
  <c r="AL218" i="2"/>
  <c r="BC218" i="2" s="1"/>
  <c r="AK218" i="2"/>
  <c r="BB218" i="2" s="1"/>
  <c r="AJ218" i="2"/>
  <c r="BA218" i="2" s="1"/>
  <c r="AI218" i="2"/>
  <c r="AZ218" i="2" s="1"/>
  <c r="AH218" i="2"/>
  <c r="AY218" i="2" s="1"/>
  <c r="AG218" i="2"/>
  <c r="AF218" i="2"/>
  <c r="AE218" i="2"/>
  <c r="AD218" i="2"/>
  <c r="AC218" i="2"/>
  <c r="AB218" i="2"/>
  <c r="AO217" i="2"/>
  <c r="BF217" i="2" s="1"/>
  <c r="AN217" i="2"/>
  <c r="BE217" i="2" s="1"/>
  <c r="AM217" i="2"/>
  <c r="BD217" i="2" s="1"/>
  <c r="AL217" i="2"/>
  <c r="BC217" i="2" s="1"/>
  <c r="AK217" i="2"/>
  <c r="BB217" i="2" s="1"/>
  <c r="AJ217" i="2"/>
  <c r="BA217" i="2" s="1"/>
  <c r="AI217" i="2"/>
  <c r="AZ217" i="2" s="1"/>
  <c r="AH217" i="2"/>
  <c r="AY217" i="2" s="1"/>
  <c r="AG217" i="2"/>
  <c r="AF217" i="2"/>
  <c r="AE217" i="2"/>
  <c r="AD217" i="2"/>
  <c r="AC217" i="2"/>
  <c r="AB217" i="2"/>
  <c r="AO216" i="2"/>
  <c r="BF216" i="2" s="1"/>
  <c r="AN216" i="2"/>
  <c r="BE216" i="2" s="1"/>
  <c r="AM216" i="2"/>
  <c r="BD216" i="2" s="1"/>
  <c r="AL216" i="2"/>
  <c r="BC216" i="2" s="1"/>
  <c r="AK216" i="2"/>
  <c r="BB216" i="2" s="1"/>
  <c r="AJ216" i="2"/>
  <c r="BA216" i="2" s="1"/>
  <c r="AI216" i="2"/>
  <c r="AZ216" i="2" s="1"/>
  <c r="AH216" i="2"/>
  <c r="AY216" i="2" s="1"/>
  <c r="AG216" i="2"/>
  <c r="AF216" i="2"/>
  <c r="AE216" i="2"/>
  <c r="AD216" i="2"/>
  <c r="AC216" i="2"/>
  <c r="AB216" i="2"/>
  <c r="AO215" i="2"/>
  <c r="BF215" i="2" s="1"/>
  <c r="AN215" i="2"/>
  <c r="BE215" i="2" s="1"/>
  <c r="AM215" i="2"/>
  <c r="BD215" i="2" s="1"/>
  <c r="AL215" i="2"/>
  <c r="BC215" i="2" s="1"/>
  <c r="AK215" i="2"/>
  <c r="BB215" i="2" s="1"/>
  <c r="AJ215" i="2"/>
  <c r="BA215" i="2" s="1"/>
  <c r="AI215" i="2"/>
  <c r="AZ215" i="2" s="1"/>
  <c r="AH215" i="2"/>
  <c r="AY215" i="2" s="1"/>
  <c r="AG215" i="2"/>
  <c r="AF215" i="2"/>
  <c r="AE215" i="2"/>
  <c r="AD215" i="2"/>
  <c r="AC215" i="2"/>
  <c r="AB215" i="2"/>
  <c r="AO214" i="2"/>
  <c r="BF214" i="2" s="1"/>
  <c r="AN214" i="2"/>
  <c r="BE214" i="2" s="1"/>
  <c r="AM214" i="2"/>
  <c r="BD214" i="2" s="1"/>
  <c r="AL214" i="2"/>
  <c r="BC214" i="2" s="1"/>
  <c r="AK214" i="2"/>
  <c r="BB214" i="2" s="1"/>
  <c r="AJ214" i="2"/>
  <c r="BA214" i="2" s="1"/>
  <c r="AI214" i="2"/>
  <c r="AZ214" i="2" s="1"/>
  <c r="AH214" i="2"/>
  <c r="AY214" i="2" s="1"/>
  <c r="AG214" i="2"/>
  <c r="AF214" i="2"/>
  <c r="AE214" i="2"/>
  <c r="AD214" i="2"/>
  <c r="AC214" i="2"/>
  <c r="AB214" i="2"/>
  <c r="AO213" i="2"/>
  <c r="BF213" i="2" s="1"/>
  <c r="AN213" i="2"/>
  <c r="BE213" i="2" s="1"/>
  <c r="AM213" i="2"/>
  <c r="BD213" i="2" s="1"/>
  <c r="AL213" i="2"/>
  <c r="BC213" i="2" s="1"/>
  <c r="AK213" i="2"/>
  <c r="BB213" i="2" s="1"/>
  <c r="AJ213" i="2"/>
  <c r="BA213" i="2" s="1"/>
  <c r="AI213" i="2"/>
  <c r="AZ213" i="2" s="1"/>
  <c r="AH213" i="2"/>
  <c r="AY213" i="2" s="1"/>
  <c r="AG213" i="2"/>
  <c r="AF213" i="2"/>
  <c r="AE213" i="2"/>
  <c r="AD213" i="2"/>
  <c r="AC213" i="2"/>
  <c r="AB213" i="2"/>
  <c r="AO212" i="2"/>
  <c r="BF212" i="2" s="1"/>
  <c r="AN212" i="2"/>
  <c r="BE212" i="2" s="1"/>
  <c r="AM212" i="2"/>
  <c r="BD212" i="2" s="1"/>
  <c r="AL212" i="2"/>
  <c r="BC212" i="2" s="1"/>
  <c r="AK212" i="2"/>
  <c r="BB212" i="2" s="1"/>
  <c r="AJ212" i="2"/>
  <c r="BA212" i="2" s="1"/>
  <c r="AI212" i="2"/>
  <c r="AZ212" i="2" s="1"/>
  <c r="AH212" i="2"/>
  <c r="AY212" i="2" s="1"/>
  <c r="AG212" i="2"/>
  <c r="AX212" i="2" s="1"/>
  <c r="AF212" i="2"/>
  <c r="AW212" i="2" s="1"/>
  <c r="AE212" i="2"/>
  <c r="AV212" i="2" s="1"/>
  <c r="AD212" i="2"/>
  <c r="AU212" i="2" s="1"/>
  <c r="AC212" i="2"/>
  <c r="AB212" i="2"/>
  <c r="AO211" i="2"/>
  <c r="BF211" i="2" s="1"/>
  <c r="AN211" i="2"/>
  <c r="BE211" i="2" s="1"/>
  <c r="AM211" i="2"/>
  <c r="BD211" i="2" s="1"/>
  <c r="AL211" i="2"/>
  <c r="BC211" i="2" s="1"/>
  <c r="AK211" i="2"/>
  <c r="BB211" i="2" s="1"/>
  <c r="AJ211" i="2"/>
  <c r="BA211" i="2" s="1"/>
  <c r="AI211" i="2"/>
  <c r="AZ211" i="2" s="1"/>
  <c r="AH211" i="2"/>
  <c r="AY211" i="2" s="1"/>
  <c r="AG211" i="2"/>
  <c r="AF211" i="2"/>
  <c r="AE211" i="2"/>
  <c r="AD211" i="2"/>
  <c r="AC211" i="2"/>
  <c r="AB211" i="2"/>
  <c r="AO210" i="2"/>
  <c r="BF210" i="2" s="1"/>
  <c r="AN210" i="2"/>
  <c r="BE210" i="2" s="1"/>
  <c r="AM210" i="2"/>
  <c r="BD210" i="2" s="1"/>
  <c r="AL210" i="2"/>
  <c r="BC210" i="2" s="1"/>
  <c r="AK210" i="2"/>
  <c r="BB210" i="2" s="1"/>
  <c r="AJ210" i="2"/>
  <c r="BA210" i="2" s="1"/>
  <c r="AI210" i="2"/>
  <c r="AZ210" i="2" s="1"/>
  <c r="AH210" i="2"/>
  <c r="AY210" i="2" s="1"/>
  <c r="AG210" i="2"/>
  <c r="AF210" i="2"/>
  <c r="AE210" i="2"/>
  <c r="AD210" i="2"/>
  <c r="AC210" i="2"/>
  <c r="AB210" i="2"/>
  <c r="AO209" i="2"/>
  <c r="BF209" i="2" s="1"/>
  <c r="AN209" i="2"/>
  <c r="BE209" i="2" s="1"/>
  <c r="AM209" i="2"/>
  <c r="BD209" i="2" s="1"/>
  <c r="AL209" i="2"/>
  <c r="BC209" i="2" s="1"/>
  <c r="AK209" i="2"/>
  <c r="BB209" i="2" s="1"/>
  <c r="AJ209" i="2"/>
  <c r="BA209" i="2" s="1"/>
  <c r="AI209" i="2"/>
  <c r="AZ209" i="2" s="1"/>
  <c r="AH209" i="2"/>
  <c r="AY209" i="2" s="1"/>
  <c r="AG209" i="2"/>
  <c r="AF209" i="2"/>
  <c r="AE209" i="2"/>
  <c r="AD209" i="2"/>
  <c r="AC209" i="2"/>
  <c r="AB209" i="2"/>
  <c r="AO208" i="2"/>
  <c r="BF208" i="2" s="1"/>
  <c r="AN208" i="2"/>
  <c r="BE208" i="2" s="1"/>
  <c r="AM208" i="2"/>
  <c r="BD208" i="2" s="1"/>
  <c r="AL208" i="2"/>
  <c r="BC208" i="2" s="1"/>
  <c r="AK208" i="2"/>
  <c r="BB208" i="2" s="1"/>
  <c r="AJ208" i="2"/>
  <c r="BA208" i="2" s="1"/>
  <c r="AI208" i="2"/>
  <c r="AZ208" i="2" s="1"/>
  <c r="AH208" i="2"/>
  <c r="AY208" i="2" s="1"/>
  <c r="AG208" i="2"/>
  <c r="AT383" i="20" s="1"/>
  <c r="AF208" i="2"/>
  <c r="AR383" i="20" s="1"/>
  <c r="AE208" i="2"/>
  <c r="AP383" i="20" s="1"/>
  <c r="AD208" i="2"/>
  <c r="AN383" i="20" s="1"/>
  <c r="AC208" i="2"/>
  <c r="AB208" i="2"/>
  <c r="AO207" i="2"/>
  <c r="BF207" i="2" s="1"/>
  <c r="AN207" i="2"/>
  <c r="BE207" i="2" s="1"/>
  <c r="AM207" i="2"/>
  <c r="BD207" i="2" s="1"/>
  <c r="AL207" i="2"/>
  <c r="BC207" i="2" s="1"/>
  <c r="AK207" i="2"/>
  <c r="BB207" i="2" s="1"/>
  <c r="AJ207" i="2"/>
  <c r="BA207" i="2" s="1"/>
  <c r="AI207" i="2"/>
  <c r="AZ207" i="2" s="1"/>
  <c r="AH207" i="2"/>
  <c r="AY207" i="2" s="1"/>
  <c r="AG207" i="2"/>
  <c r="AF207" i="2"/>
  <c r="AE207" i="2"/>
  <c r="AD207" i="2"/>
  <c r="AC207" i="2"/>
  <c r="AB207" i="2"/>
  <c r="AO206" i="2"/>
  <c r="BF206" i="2" s="1"/>
  <c r="AN206" i="2"/>
  <c r="BE206" i="2" s="1"/>
  <c r="AM206" i="2"/>
  <c r="BD206" i="2" s="1"/>
  <c r="AL206" i="2"/>
  <c r="BC206" i="2" s="1"/>
  <c r="AK206" i="2"/>
  <c r="BB206" i="2" s="1"/>
  <c r="AJ206" i="2"/>
  <c r="BA206" i="2" s="1"/>
  <c r="AI206" i="2"/>
  <c r="AZ206" i="2" s="1"/>
  <c r="AH206" i="2"/>
  <c r="AY206" i="2" s="1"/>
  <c r="AG206" i="2"/>
  <c r="AF206" i="2"/>
  <c r="AE206" i="2"/>
  <c r="AD206" i="2"/>
  <c r="AC206" i="2"/>
  <c r="AB206" i="2"/>
  <c r="AO205" i="2"/>
  <c r="BF205" i="2" s="1"/>
  <c r="AN205" i="2"/>
  <c r="BE205" i="2" s="1"/>
  <c r="AM205" i="2"/>
  <c r="BD205" i="2" s="1"/>
  <c r="AL205" i="2"/>
  <c r="BC205" i="2" s="1"/>
  <c r="AK205" i="2"/>
  <c r="BB205" i="2" s="1"/>
  <c r="AJ205" i="2"/>
  <c r="BA205" i="2" s="1"/>
  <c r="AI205" i="2"/>
  <c r="AZ205" i="2" s="1"/>
  <c r="AH205" i="2"/>
  <c r="AY205" i="2" s="1"/>
  <c r="AG205" i="2"/>
  <c r="AF205" i="2"/>
  <c r="AE205" i="2"/>
  <c r="AD205" i="2"/>
  <c r="AC205" i="2"/>
  <c r="AB205" i="2"/>
  <c r="AO204" i="2"/>
  <c r="BF204" i="2" s="1"/>
  <c r="AN204" i="2"/>
  <c r="BE204" i="2" s="1"/>
  <c r="AM204" i="2"/>
  <c r="BD204" i="2" s="1"/>
  <c r="AL204" i="2"/>
  <c r="BC204" i="2" s="1"/>
  <c r="AK204" i="2"/>
  <c r="BB204" i="2" s="1"/>
  <c r="AJ204" i="2"/>
  <c r="BA204" i="2" s="1"/>
  <c r="AI204" i="2"/>
  <c r="AZ204" i="2" s="1"/>
  <c r="AH204" i="2"/>
  <c r="AY204" i="2" s="1"/>
  <c r="AG204" i="2"/>
  <c r="AF204" i="2"/>
  <c r="AE204" i="2"/>
  <c r="AD204" i="2"/>
  <c r="AC204" i="2"/>
  <c r="AB204" i="2"/>
  <c r="AO203" i="2"/>
  <c r="BF203" i="2" s="1"/>
  <c r="AN203" i="2"/>
  <c r="BE203" i="2" s="1"/>
  <c r="AM203" i="2"/>
  <c r="BD203" i="2" s="1"/>
  <c r="AL203" i="2"/>
  <c r="BC203" i="2" s="1"/>
  <c r="AK203" i="2"/>
  <c r="BB203" i="2" s="1"/>
  <c r="AJ203" i="2"/>
  <c r="BA203" i="2" s="1"/>
  <c r="AI203" i="2"/>
  <c r="AZ203" i="2" s="1"/>
  <c r="AH203" i="2"/>
  <c r="AY203" i="2" s="1"/>
  <c r="AG203" i="2"/>
  <c r="AF203" i="2"/>
  <c r="AE203" i="2"/>
  <c r="AD203" i="2"/>
  <c r="AC203" i="2"/>
  <c r="AB203" i="2"/>
  <c r="AO202" i="2"/>
  <c r="BF202" i="2" s="1"/>
  <c r="AN202" i="2"/>
  <c r="BE202" i="2" s="1"/>
  <c r="AM202" i="2"/>
  <c r="BD202" i="2" s="1"/>
  <c r="AL202" i="2"/>
  <c r="BC202" i="2" s="1"/>
  <c r="AK202" i="2"/>
  <c r="BB202" i="2" s="1"/>
  <c r="AJ202" i="2"/>
  <c r="BA202" i="2" s="1"/>
  <c r="AI202" i="2"/>
  <c r="AZ202" i="2" s="1"/>
  <c r="AH202" i="2"/>
  <c r="AY202" i="2" s="1"/>
  <c r="AG202" i="2"/>
  <c r="AF202" i="2"/>
  <c r="AE202" i="2"/>
  <c r="AD202" i="2"/>
  <c r="AC202" i="2"/>
  <c r="AB202" i="2"/>
  <c r="AO201" i="2"/>
  <c r="BF201" i="2" s="1"/>
  <c r="AN201" i="2"/>
  <c r="BE201" i="2" s="1"/>
  <c r="AM201" i="2"/>
  <c r="BD201" i="2" s="1"/>
  <c r="AL201" i="2"/>
  <c r="BC201" i="2" s="1"/>
  <c r="AK201" i="2"/>
  <c r="BB201" i="2" s="1"/>
  <c r="AJ201" i="2"/>
  <c r="BA201" i="2" s="1"/>
  <c r="AI201" i="2"/>
  <c r="AZ201" i="2" s="1"/>
  <c r="AH201" i="2"/>
  <c r="AY201" i="2" s="1"/>
  <c r="AG201" i="2"/>
  <c r="AF201" i="2"/>
  <c r="AE201" i="2"/>
  <c r="AD201" i="2"/>
  <c r="AC201" i="2"/>
  <c r="AB201" i="2"/>
  <c r="AO200" i="2"/>
  <c r="BF200" i="2" s="1"/>
  <c r="AN200" i="2"/>
  <c r="BE200" i="2" s="1"/>
  <c r="AM200" i="2"/>
  <c r="BD200" i="2" s="1"/>
  <c r="AL200" i="2"/>
  <c r="BC200" i="2" s="1"/>
  <c r="AK200" i="2"/>
  <c r="BB200" i="2" s="1"/>
  <c r="AJ200" i="2"/>
  <c r="BA200" i="2" s="1"/>
  <c r="AI200" i="2"/>
  <c r="AZ200" i="2" s="1"/>
  <c r="AH200" i="2"/>
  <c r="AY200" i="2" s="1"/>
  <c r="AG200" i="2"/>
  <c r="AF200" i="2"/>
  <c r="AE200" i="2"/>
  <c r="AD200" i="2"/>
  <c r="AC200" i="2"/>
  <c r="AB200" i="2"/>
  <c r="AO199" i="2"/>
  <c r="BF199" i="2" s="1"/>
  <c r="AN199" i="2"/>
  <c r="BE199" i="2" s="1"/>
  <c r="AM199" i="2"/>
  <c r="BD199" i="2" s="1"/>
  <c r="AL199" i="2"/>
  <c r="BC199" i="2" s="1"/>
  <c r="AK199" i="2"/>
  <c r="BB199" i="2" s="1"/>
  <c r="AJ199" i="2"/>
  <c r="BA199" i="2" s="1"/>
  <c r="AI199" i="2"/>
  <c r="AZ199" i="2" s="1"/>
  <c r="AH199" i="2"/>
  <c r="AY199" i="2" s="1"/>
  <c r="AG199" i="2"/>
  <c r="AX199" i="2" s="1"/>
  <c r="AF199" i="2"/>
  <c r="AW199" i="2" s="1"/>
  <c r="AE199" i="2"/>
  <c r="AV199" i="2" s="1"/>
  <c r="AD199" i="2"/>
  <c r="AU199" i="2" s="1"/>
  <c r="AC199" i="2"/>
  <c r="AT199" i="2" s="1"/>
  <c r="AB199" i="2"/>
  <c r="AO198" i="2"/>
  <c r="BF198" i="2" s="1"/>
  <c r="AN198" i="2"/>
  <c r="BE198" i="2" s="1"/>
  <c r="AM198" i="2"/>
  <c r="BD198" i="2" s="1"/>
  <c r="AL198" i="2"/>
  <c r="BC198" i="2" s="1"/>
  <c r="AK198" i="2"/>
  <c r="BB198" i="2" s="1"/>
  <c r="AJ198" i="2"/>
  <c r="BA198" i="2" s="1"/>
  <c r="AI198" i="2"/>
  <c r="AZ198" i="2" s="1"/>
  <c r="AH198" i="2"/>
  <c r="AY198" i="2" s="1"/>
  <c r="AG198" i="2"/>
  <c r="AX198" i="2" s="1"/>
  <c r="AF198" i="2"/>
  <c r="AW198" i="2" s="1"/>
  <c r="AE198" i="2"/>
  <c r="AV198" i="2" s="1"/>
  <c r="AD198" i="2"/>
  <c r="AU198" i="2" s="1"/>
  <c r="AC198" i="2"/>
  <c r="AT198" i="2" s="1"/>
  <c r="AB198" i="2"/>
  <c r="AO197" i="2"/>
  <c r="BF197" i="2" s="1"/>
  <c r="AN197" i="2"/>
  <c r="BE197" i="2" s="1"/>
  <c r="AM197" i="2"/>
  <c r="BD197" i="2" s="1"/>
  <c r="AL197" i="2"/>
  <c r="BC197" i="2" s="1"/>
  <c r="AK197" i="2"/>
  <c r="BB197" i="2" s="1"/>
  <c r="AJ197" i="2"/>
  <c r="BA197" i="2" s="1"/>
  <c r="AI197" i="2"/>
  <c r="AZ197" i="2" s="1"/>
  <c r="AH197" i="2"/>
  <c r="AY197" i="2" s="1"/>
  <c r="AG197" i="2"/>
  <c r="AF197" i="2"/>
  <c r="AE197" i="2"/>
  <c r="AD197" i="2"/>
  <c r="AC197" i="2"/>
  <c r="AB197" i="2"/>
  <c r="AO196" i="2"/>
  <c r="BF196" i="2" s="1"/>
  <c r="AN196" i="2"/>
  <c r="BE196" i="2" s="1"/>
  <c r="AM196" i="2"/>
  <c r="BD196" i="2" s="1"/>
  <c r="AL196" i="2"/>
  <c r="BC196" i="2" s="1"/>
  <c r="AK196" i="2"/>
  <c r="BB196" i="2" s="1"/>
  <c r="AJ196" i="2"/>
  <c r="BA196" i="2" s="1"/>
  <c r="AI196" i="2"/>
  <c r="AZ196" i="2" s="1"/>
  <c r="AH196" i="2"/>
  <c r="AY196" i="2" s="1"/>
  <c r="AG196" i="2"/>
  <c r="AF196" i="2"/>
  <c r="AE196" i="2"/>
  <c r="AD196" i="2"/>
  <c r="AC196" i="2"/>
  <c r="AB196" i="2"/>
  <c r="AO195" i="2"/>
  <c r="BF195" i="2" s="1"/>
  <c r="AN195" i="2"/>
  <c r="BE195" i="2" s="1"/>
  <c r="AM195" i="2"/>
  <c r="BD195" i="2" s="1"/>
  <c r="AL195" i="2"/>
  <c r="BC195" i="2" s="1"/>
  <c r="AK195" i="2"/>
  <c r="BB195" i="2" s="1"/>
  <c r="AJ195" i="2"/>
  <c r="BA195" i="2" s="1"/>
  <c r="AI195" i="2"/>
  <c r="AZ195" i="2" s="1"/>
  <c r="AH195" i="2"/>
  <c r="AY195" i="2" s="1"/>
  <c r="AG195" i="2"/>
  <c r="AF195" i="2"/>
  <c r="AE195" i="2"/>
  <c r="AD195" i="2"/>
  <c r="AC195" i="2"/>
  <c r="AB195" i="2"/>
  <c r="AO194" i="2"/>
  <c r="BF194" i="2" s="1"/>
  <c r="AN194" i="2"/>
  <c r="BE194" i="2" s="1"/>
  <c r="AM194" i="2"/>
  <c r="BD194" i="2" s="1"/>
  <c r="AL194" i="2"/>
  <c r="BC194" i="2" s="1"/>
  <c r="AK194" i="2"/>
  <c r="BB194" i="2" s="1"/>
  <c r="AJ194" i="2"/>
  <c r="BA194" i="2" s="1"/>
  <c r="AI194" i="2"/>
  <c r="AZ194" i="2" s="1"/>
  <c r="AH194" i="2"/>
  <c r="AY194" i="2" s="1"/>
  <c r="AG194" i="2"/>
  <c r="AF194" i="2"/>
  <c r="AE194" i="2"/>
  <c r="AD194" i="2"/>
  <c r="AC194" i="2"/>
  <c r="AB194" i="2"/>
  <c r="AO193" i="2"/>
  <c r="BF193" i="2" s="1"/>
  <c r="AN193" i="2"/>
  <c r="BE193" i="2" s="1"/>
  <c r="AM193" i="2"/>
  <c r="BD193" i="2" s="1"/>
  <c r="AL193" i="2"/>
  <c r="BC193" i="2" s="1"/>
  <c r="AK193" i="2"/>
  <c r="BB193" i="2" s="1"/>
  <c r="AJ193" i="2"/>
  <c r="BA193" i="2" s="1"/>
  <c r="AI193" i="2"/>
  <c r="AZ193" i="2" s="1"/>
  <c r="AH193" i="2"/>
  <c r="AY193" i="2" s="1"/>
  <c r="AG193" i="2"/>
  <c r="AF193" i="2"/>
  <c r="AE193" i="2"/>
  <c r="AD193" i="2"/>
  <c r="AC193" i="2"/>
  <c r="AB193" i="2"/>
  <c r="AO192" i="2"/>
  <c r="BF192" i="2" s="1"/>
  <c r="AN192" i="2"/>
  <c r="BE192" i="2" s="1"/>
  <c r="AM192" i="2"/>
  <c r="BD192" i="2" s="1"/>
  <c r="AL192" i="2"/>
  <c r="BC192" i="2" s="1"/>
  <c r="AK192" i="2"/>
  <c r="BB192" i="2" s="1"/>
  <c r="AJ192" i="2"/>
  <c r="BA192" i="2" s="1"/>
  <c r="AI192" i="2"/>
  <c r="AZ192" i="2" s="1"/>
  <c r="AH192" i="2"/>
  <c r="AY192" i="2" s="1"/>
  <c r="AG192" i="2"/>
  <c r="AF192" i="2"/>
  <c r="AE192" i="2"/>
  <c r="AD192" i="2"/>
  <c r="AC192" i="2"/>
  <c r="AB192" i="2"/>
  <c r="AO191" i="2"/>
  <c r="BF191" i="2" s="1"/>
  <c r="AN191" i="2"/>
  <c r="BE191" i="2" s="1"/>
  <c r="AM191" i="2"/>
  <c r="BD191" i="2" s="1"/>
  <c r="AL191" i="2"/>
  <c r="BC191" i="2" s="1"/>
  <c r="AK191" i="2"/>
  <c r="BB191" i="2" s="1"/>
  <c r="AJ191" i="2"/>
  <c r="BA191" i="2" s="1"/>
  <c r="AI191" i="2"/>
  <c r="AZ191" i="2" s="1"/>
  <c r="AH191" i="2"/>
  <c r="AY191" i="2" s="1"/>
  <c r="AG191" i="2"/>
  <c r="AF191" i="2"/>
  <c r="AE191" i="2"/>
  <c r="AD191" i="2"/>
  <c r="AC191" i="2"/>
  <c r="AB191" i="2"/>
  <c r="AO190" i="2"/>
  <c r="BF190" i="2" s="1"/>
  <c r="AN190" i="2"/>
  <c r="BE190" i="2" s="1"/>
  <c r="AM190" i="2"/>
  <c r="BD190" i="2" s="1"/>
  <c r="AL190" i="2"/>
  <c r="BC190" i="2" s="1"/>
  <c r="AK190" i="2"/>
  <c r="BB190" i="2" s="1"/>
  <c r="AJ190" i="2"/>
  <c r="BA190" i="2" s="1"/>
  <c r="AI190" i="2"/>
  <c r="AZ190" i="2" s="1"/>
  <c r="AH190" i="2"/>
  <c r="AY190" i="2" s="1"/>
  <c r="AG190" i="2"/>
  <c r="AF190" i="2"/>
  <c r="AE190" i="2"/>
  <c r="AD190" i="2"/>
  <c r="AC190" i="2"/>
  <c r="AB190" i="2"/>
  <c r="AO189" i="2"/>
  <c r="BF189" i="2" s="1"/>
  <c r="AN189" i="2"/>
  <c r="BE189" i="2" s="1"/>
  <c r="AM189" i="2"/>
  <c r="BD189" i="2" s="1"/>
  <c r="AL189" i="2"/>
  <c r="BC189" i="2" s="1"/>
  <c r="AK189" i="2"/>
  <c r="BB189" i="2" s="1"/>
  <c r="AJ189" i="2"/>
  <c r="BA189" i="2" s="1"/>
  <c r="AI189" i="2"/>
  <c r="AZ189" i="2" s="1"/>
  <c r="AH189" i="2"/>
  <c r="AY189" i="2" s="1"/>
  <c r="AG189" i="2"/>
  <c r="AF189" i="2"/>
  <c r="AE189" i="2"/>
  <c r="AD189" i="2"/>
  <c r="AC189" i="2"/>
  <c r="AB189" i="2"/>
  <c r="AO188" i="2"/>
  <c r="BF188" i="2" s="1"/>
  <c r="AN188" i="2"/>
  <c r="BE188" i="2" s="1"/>
  <c r="AM188" i="2"/>
  <c r="BD188" i="2" s="1"/>
  <c r="AL188" i="2"/>
  <c r="BC188" i="2" s="1"/>
  <c r="AK188" i="2"/>
  <c r="BB188" i="2" s="1"/>
  <c r="AJ188" i="2"/>
  <c r="BA188" i="2" s="1"/>
  <c r="AI188" i="2"/>
  <c r="AZ188" i="2" s="1"/>
  <c r="AH188" i="2"/>
  <c r="AY188" i="2" s="1"/>
  <c r="AG188" i="2"/>
  <c r="AF188" i="2"/>
  <c r="AE188" i="2"/>
  <c r="AD188" i="2"/>
  <c r="AC188" i="2"/>
  <c r="AB188" i="2"/>
  <c r="AO187" i="2"/>
  <c r="BF187" i="2" s="1"/>
  <c r="AN187" i="2"/>
  <c r="BE187" i="2" s="1"/>
  <c r="AM187" i="2"/>
  <c r="BD187" i="2" s="1"/>
  <c r="AL187" i="2"/>
  <c r="BC187" i="2" s="1"/>
  <c r="AK187" i="2"/>
  <c r="BB187" i="2" s="1"/>
  <c r="AJ187" i="2"/>
  <c r="BA187" i="2" s="1"/>
  <c r="AI187" i="2"/>
  <c r="AZ187" i="2" s="1"/>
  <c r="AH187" i="2"/>
  <c r="AY187" i="2" s="1"/>
  <c r="AG187" i="2"/>
  <c r="AF187" i="2"/>
  <c r="AE187" i="2"/>
  <c r="AD187" i="2"/>
  <c r="AC187" i="2"/>
  <c r="AB187" i="2"/>
  <c r="AO186" i="2"/>
  <c r="BF186" i="2" s="1"/>
  <c r="AN186" i="2"/>
  <c r="BE186" i="2" s="1"/>
  <c r="AM186" i="2"/>
  <c r="BD186" i="2" s="1"/>
  <c r="AL186" i="2"/>
  <c r="BC186" i="2" s="1"/>
  <c r="AK186" i="2"/>
  <c r="BB186" i="2" s="1"/>
  <c r="AJ186" i="2"/>
  <c r="BA186" i="2" s="1"/>
  <c r="AI186" i="2"/>
  <c r="AZ186" i="2" s="1"/>
  <c r="AH186" i="2"/>
  <c r="AY186" i="2" s="1"/>
  <c r="AG186" i="2"/>
  <c r="AX186" i="2" s="1"/>
  <c r="AF186" i="2"/>
  <c r="AW186" i="2" s="1"/>
  <c r="AE186" i="2"/>
  <c r="AV186" i="2" s="1"/>
  <c r="AD186" i="2"/>
  <c r="AU186" i="2" s="1"/>
  <c r="AC186" i="2"/>
  <c r="AT186" i="2" s="1"/>
  <c r="AB186" i="2"/>
  <c r="AO185" i="2"/>
  <c r="BF185" i="2" s="1"/>
  <c r="AN185" i="2"/>
  <c r="BE185" i="2" s="1"/>
  <c r="AM185" i="2"/>
  <c r="BD185" i="2" s="1"/>
  <c r="AL185" i="2"/>
  <c r="BC185" i="2" s="1"/>
  <c r="AK185" i="2"/>
  <c r="BB185" i="2" s="1"/>
  <c r="AJ185" i="2"/>
  <c r="BA185" i="2" s="1"/>
  <c r="AI185" i="2"/>
  <c r="AZ185" i="2" s="1"/>
  <c r="AH185" i="2"/>
  <c r="AY185" i="2" s="1"/>
  <c r="AG185" i="2"/>
  <c r="AF185" i="2"/>
  <c r="AE185" i="2"/>
  <c r="AD185" i="2"/>
  <c r="AC185" i="2"/>
  <c r="AB185" i="2"/>
  <c r="AO184" i="2"/>
  <c r="BF184" i="2" s="1"/>
  <c r="AN184" i="2"/>
  <c r="BE184" i="2" s="1"/>
  <c r="AM184" i="2"/>
  <c r="BD184" i="2" s="1"/>
  <c r="AL184" i="2"/>
  <c r="BC184" i="2" s="1"/>
  <c r="AK184" i="2"/>
  <c r="BB184" i="2" s="1"/>
  <c r="AJ184" i="2"/>
  <c r="BA184" i="2" s="1"/>
  <c r="AI184" i="2"/>
  <c r="AZ184" i="2" s="1"/>
  <c r="AH184" i="2"/>
  <c r="AY184" i="2" s="1"/>
  <c r="AG184" i="2"/>
  <c r="AX184" i="2" s="1"/>
  <c r="AF184" i="2"/>
  <c r="AW184" i="2" s="1"/>
  <c r="AE184" i="2"/>
  <c r="AV184" i="2" s="1"/>
  <c r="AD184" i="2"/>
  <c r="AU184" i="2" s="1"/>
  <c r="AC184" i="2"/>
  <c r="AT184" i="2" s="1"/>
  <c r="AB184" i="2"/>
  <c r="AO183" i="2"/>
  <c r="BF183" i="2" s="1"/>
  <c r="AN183" i="2"/>
  <c r="BE183" i="2" s="1"/>
  <c r="AM183" i="2"/>
  <c r="BD183" i="2" s="1"/>
  <c r="AL183" i="2"/>
  <c r="BC183" i="2" s="1"/>
  <c r="AK183" i="2"/>
  <c r="BB183" i="2" s="1"/>
  <c r="AJ183" i="2"/>
  <c r="BA183" i="2" s="1"/>
  <c r="AI183" i="2"/>
  <c r="AZ183" i="2" s="1"/>
  <c r="AH183" i="2"/>
  <c r="AY183" i="2" s="1"/>
  <c r="AG183" i="2"/>
  <c r="AF183" i="2"/>
  <c r="AE183" i="2"/>
  <c r="AD183" i="2"/>
  <c r="AC183" i="2"/>
  <c r="AB183" i="2"/>
  <c r="AO182" i="2"/>
  <c r="BF182" i="2" s="1"/>
  <c r="AN182" i="2"/>
  <c r="BE182" i="2" s="1"/>
  <c r="AM182" i="2"/>
  <c r="BD182" i="2" s="1"/>
  <c r="AL182" i="2"/>
  <c r="BC182" i="2" s="1"/>
  <c r="AK182" i="2"/>
  <c r="BB182" i="2" s="1"/>
  <c r="AJ182" i="2"/>
  <c r="BA182" i="2" s="1"/>
  <c r="AI182" i="2"/>
  <c r="AZ182" i="2" s="1"/>
  <c r="AH182" i="2"/>
  <c r="AY182" i="2" s="1"/>
  <c r="AG182" i="2"/>
  <c r="AX182" i="2" s="1"/>
  <c r="AF182" i="2"/>
  <c r="AW182" i="2" s="1"/>
  <c r="AE182" i="2"/>
  <c r="AV182" i="2" s="1"/>
  <c r="AD182" i="2"/>
  <c r="AU182" i="2" s="1"/>
  <c r="AC182" i="2"/>
  <c r="AT182" i="2" s="1"/>
  <c r="AB182" i="2"/>
  <c r="AO181" i="2"/>
  <c r="BF181" i="2" s="1"/>
  <c r="AN181" i="2"/>
  <c r="BE181" i="2" s="1"/>
  <c r="AM181" i="2"/>
  <c r="BD181" i="2" s="1"/>
  <c r="AL181" i="2"/>
  <c r="BC181" i="2" s="1"/>
  <c r="AK181" i="2"/>
  <c r="BB181" i="2" s="1"/>
  <c r="AJ181" i="2"/>
  <c r="BA181" i="2" s="1"/>
  <c r="AI181" i="2"/>
  <c r="AZ181" i="2" s="1"/>
  <c r="AH181" i="2"/>
  <c r="AY181" i="2" s="1"/>
  <c r="AG181" i="2"/>
  <c r="AX181" i="2" s="1"/>
  <c r="AF181" i="2"/>
  <c r="AW181" i="2" s="1"/>
  <c r="AE181" i="2"/>
  <c r="AV181" i="2" s="1"/>
  <c r="AD181" i="2"/>
  <c r="AU181" i="2" s="1"/>
  <c r="AC181" i="2"/>
  <c r="AT181" i="2" s="1"/>
  <c r="AB181" i="2"/>
  <c r="AO180" i="2"/>
  <c r="BF180" i="2" s="1"/>
  <c r="AN180" i="2"/>
  <c r="BE180" i="2" s="1"/>
  <c r="AM180" i="2"/>
  <c r="BD180" i="2" s="1"/>
  <c r="AL180" i="2"/>
  <c r="BC180" i="2" s="1"/>
  <c r="AK180" i="2"/>
  <c r="BB180" i="2" s="1"/>
  <c r="AJ180" i="2"/>
  <c r="BA180" i="2" s="1"/>
  <c r="AI180" i="2"/>
  <c r="AZ180" i="2" s="1"/>
  <c r="AH180" i="2"/>
  <c r="AY180" i="2" s="1"/>
  <c r="AG180" i="2"/>
  <c r="AX180" i="2" s="1"/>
  <c r="AF180" i="2"/>
  <c r="AW180" i="2" s="1"/>
  <c r="AE180" i="2"/>
  <c r="AV180" i="2" s="1"/>
  <c r="AD180" i="2"/>
  <c r="AU180" i="2" s="1"/>
  <c r="AC180" i="2"/>
  <c r="AT180" i="2" s="1"/>
  <c r="AB180" i="2"/>
  <c r="AO179" i="2"/>
  <c r="BF179" i="2" s="1"/>
  <c r="AN179" i="2"/>
  <c r="BE179" i="2" s="1"/>
  <c r="AM179" i="2"/>
  <c r="BD179" i="2" s="1"/>
  <c r="AL179" i="2"/>
  <c r="BC179" i="2" s="1"/>
  <c r="AK179" i="2"/>
  <c r="BB179" i="2" s="1"/>
  <c r="AJ179" i="2"/>
  <c r="BA179" i="2" s="1"/>
  <c r="AI179" i="2"/>
  <c r="AZ179" i="2" s="1"/>
  <c r="AH179" i="2"/>
  <c r="AY179" i="2" s="1"/>
  <c r="AG179" i="2"/>
  <c r="AF179" i="2"/>
  <c r="AE179" i="2"/>
  <c r="AD179" i="2"/>
  <c r="AC179" i="2"/>
  <c r="AB179" i="2"/>
  <c r="AO178" i="2"/>
  <c r="BF178" i="2" s="1"/>
  <c r="AN178" i="2"/>
  <c r="BE178" i="2" s="1"/>
  <c r="AM178" i="2"/>
  <c r="BD178" i="2" s="1"/>
  <c r="AL178" i="2"/>
  <c r="BC178" i="2" s="1"/>
  <c r="AK178" i="2"/>
  <c r="BB178" i="2" s="1"/>
  <c r="AJ178" i="2"/>
  <c r="BA178" i="2" s="1"/>
  <c r="AI178" i="2"/>
  <c r="AZ178" i="2" s="1"/>
  <c r="AH178" i="2"/>
  <c r="AY178" i="2" s="1"/>
  <c r="AG178" i="2"/>
  <c r="AF178" i="2"/>
  <c r="AE178" i="2"/>
  <c r="AD178" i="2"/>
  <c r="AC178" i="2"/>
  <c r="AB178" i="2"/>
  <c r="AO177" i="2"/>
  <c r="BF177" i="2" s="1"/>
  <c r="AN177" i="2"/>
  <c r="BE177" i="2" s="1"/>
  <c r="AM177" i="2"/>
  <c r="BD177" i="2" s="1"/>
  <c r="AL177" i="2"/>
  <c r="BC177" i="2" s="1"/>
  <c r="AK177" i="2"/>
  <c r="BB177" i="2" s="1"/>
  <c r="AJ177" i="2"/>
  <c r="BA177" i="2" s="1"/>
  <c r="AI177" i="2"/>
  <c r="AZ177" i="2" s="1"/>
  <c r="AH177" i="2"/>
  <c r="AY177" i="2" s="1"/>
  <c r="AG177" i="2"/>
  <c r="AF177" i="2"/>
  <c r="AE177" i="2"/>
  <c r="AD177" i="2"/>
  <c r="AC177" i="2"/>
  <c r="AB177" i="2"/>
  <c r="AO176" i="2"/>
  <c r="BF176" i="2" s="1"/>
  <c r="AN176" i="2"/>
  <c r="BE176" i="2" s="1"/>
  <c r="AM176" i="2"/>
  <c r="BD176" i="2" s="1"/>
  <c r="AL176" i="2"/>
  <c r="BC176" i="2" s="1"/>
  <c r="AK176" i="2"/>
  <c r="BB176" i="2" s="1"/>
  <c r="AJ176" i="2"/>
  <c r="BA176" i="2" s="1"/>
  <c r="AI176" i="2"/>
  <c r="AZ176" i="2" s="1"/>
  <c r="AH176" i="2"/>
  <c r="AY176" i="2" s="1"/>
  <c r="AG176" i="2"/>
  <c r="AF176" i="2"/>
  <c r="AE176" i="2"/>
  <c r="AD176" i="2"/>
  <c r="AC176" i="2"/>
  <c r="AB176" i="2"/>
  <c r="AO175" i="2"/>
  <c r="BF175" i="2" s="1"/>
  <c r="AN175" i="2"/>
  <c r="BE175" i="2" s="1"/>
  <c r="AM175" i="2"/>
  <c r="BD175" i="2" s="1"/>
  <c r="AL175" i="2"/>
  <c r="BC175" i="2" s="1"/>
  <c r="AK175" i="2"/>
  <c r="BB175" i="2" s="1"/>
  <c r="AJ175" i="2"/>
  <c r="BA175" i="2" s="1"/>
  <c r="AI175" i="2"/>
  <c r="AZ175" i="2" s="1"/>
  <c r="AH175" i="2"/>
  <c r="AY175" i="2" s="1"/>
  <c r="AG175" i="2"/>
  <c r="AF175" i="2"/>
  <c r="AE175" i="2"/>
  <c r="AD175" i="2"/>
  <c r="AC175" i="2"/>
  <c r="AB175" i="2"/>
  <c r="AO174" i="2"/>
  <c r="BF174" i="2" s="1"/>
  <c r="AN174" i="2"/>
  <c r="BE174" i="2" s="1"/>
  <c r="AM174" i="2"/>
  <c r="BD174" i="2" s="1"/>
  <c r="AL174" i="2"/>
  <c r="BC174" i="2" s="1"/>
  <c r="AK174" i="2"/>
  <c r="BB174" i="2" s="1"/>
  <c r="AJ174" i="2"/>
  <c r="BA174" i="2" s="1"/>
  <c r="AI174" i="2"/>
  <c r="AZ174" i="2" s="1"/>
  <c r="AH174" i="2"/>
  <c r="AY174" i="2" s="1"/>
  <c r="AG174" i="2"/>
  <c r="AX174" i="2" s="1"/>
  <c r="AF174" i="2"/>
  <c r="AW174" i="2" s="1"/>
  <c r="AE174" i="2"/>
  <c r="AV174" i="2" s="1"/>
  <c r="AD174" i="2"/>
  <c r="AU174" i="2" s="1"/>
  <c r="AC174" i="2"/>
  <c r="AT174" i="2" s="1"/>
  <c r="AB174" i="2"/>
  <c r="AO173" i="2"/>
  <c r="BF173" i="2" s="1"/>
  <c r="AN173" i="2"/>
  <c r="BE173" i="2" s="1"/>
  <c r="AM173" i="2"/>
  <c r="BD173" i="2" s="1"/>
  <c r="AL173" i="2"/>
  <c r="BC173" i="2" s="1"/>
  <c r="AK173" i="2"/>
  <c r="BB173" i="2" s="1"/>
  <c r="AJ173" i="2"/>
  <c r="BA173" i="2" s="1"/>
  <c r="AI173" i="2"/>
  <c r="AZ173" i="2" s="1"/>
  <c r="AH173" i="2"/>
  <c r="AY173" i="2" s="1"/>
  <c r="AG173" i="2"/>
  <c r="AX173" i="2" s="1"/>
  <c r="AF173" i="2"/>
  <c r="AW173" i="2" s="1"/>
  <c r="AE173" i="2"/>
  <c r="AV173" i="2" s="1"/>
  <c r="AD173" i="2"/>
  <c r="AU173" i="2" s="1"/>
  <c r="AC173" i="2"/>
  <c r="AT173" i="2" s="1"/>
  <c r="AB173" i="2"/>
  <c r="AO172" i="2"/>
  <c r="BF172" i="2" s="1"/>
  <c r="AN172" i="2"/>
  <c r="BE172" i="2" s="1"/>
  <c r="AM172" i="2"/>
  <c r="BD172" i="2" s="1"/>
  <c r="AL172" i="2"/>
  <c r="BC172" i="2" s="1"/>
  <c r="AK172" i="2"/>
  <c r="BB172" i="2" s="1"/>
  <c r="AJ172" i="2"/>
  <c r="BA172" i="2" s="1"/>
  <c r="AI172" i="2"/>
  <c r="AZ172" i="2" s="1"/>
  <c r="AH172" i="2"/>
  <c r="AY172" i="2" s="1"/>
  <c r="AG172" i="2"/>
  <c r="AX172" i="2" s="1"/>
  <c r="AF172" i="2"/>
  <c r="AW172" i="2" s="1"/>
  <c r="AE172" i="2"/>
  <c r="AV172" i="2" s="1"/>
  <c r="AD172" i="2"/>
  <c r="AU172" i="2" s="1"/>
  <c r="AC172" i="2"/>
  <c r="AT172" i="2" s="1"/>
  <c r="AB172" i="2"/>
  <c r="AO171" i="2"/>
  <c r="BF171" i="2" s="1"/>
  <c r="AN171" i="2"/>
  <c r="BE171" i="2" s="1"/>
  <c r="AM171" i="2"/>
  <c r="BD171" i="2" s="1"/>
  <c r="AL171" i="2"/>
  <c r="BC171" i="2" s="1"/>
  <c r="AK171" i="2"/>
  <c r="BB171" i="2" s="1"/>
  <c r="AJ171" i="2"/>
  <c r="BA171" i="2" s="1"/>
  <c r="AI171" i="2"/>
  <c r="AZ171" i="2" s="1"/>
  <c r="AH171" i="2"/>
  <c r="AY171" i="2" s="1"/>
  <c r="AG171" i="2"/>
  <c r="AX171" i="2" s="1"/>
  <c r="AF171" i="2"/>
  <c r="AW171" i="2" s="1"/>
  <c r="AE171" i="2"/>
  <c r="AV171" i="2" s="1"/>
  <c r="AD171" i="2"/>
  <c r="AU171" i="2" s="1"/>
  <c r="AC171" i="2"/>
  <c r="AT171" i="2" s="1"/>
  <c r="AB171" i="2"/>
  <c r="AO170" i="2"/>
  <c r="BF170" i="2" s="1"/>
  <c r="AN170" i="2"/>
  <c r="BE170" i="2" s="1"/>
  <c r="AM170" i="2"/>
  <c r="BD170" i="2" s="1"/>
  <c r="AL170" i="2"/>
  <c r="BC170" i="2" s="1"/>
  <c r="AK170" i="2"/>
  <c r="BB170" i="2" s="1"/>
  <c r="AJ170" i="2"/>
  <c r="BA170" i="2" s="1"/>
  <c r="AI170" i="2"/>
  <c r="AZ170" i="2" s="1"/>
  <c r="AH170" i="2"/>
  <c r="AY170" i="2" s="1"/>
  <c r="AG170" i="2"/>
  <c r="AX170" i="2" s="1"/>
  <c r="AF170" i="2"/>
  <c r="AW170" i="2" s="1"/>
  <c r="AE170" i="2"/>
  <c r="AV170" i="2" s="1"/>
  <c r="AD170" i="2"/>
  <c r="AU170" i="2" s="1"/>
  <c r="AC170" i="2"/>
  <c r="AT170" i="2" s="1"/>
  <c r="AB170" i="2"/>
  <c r="AO169" i="2"/>
  <c r="BF169" i="2" s="1"/>
  <c r="AN169" i="2"/>
  <c r="BE169" i="2" s="1"/>
  <c r="AM169" i="2"/>
  <c r="BD169" i="2" s="1"/>
  <c r="AL169" i="2"/>
  <c r="BC169" i="2" s="1"/>
  <c r="AK169" i="2"/>
  <c r="BB169" i="2" s="1"/>
  <c r="AJ169" i="2"/>
  <c r="BA169" i="2" s="1"/>
  <c r="AI169" i="2"/>
  <c r="AZ169" i="2" s="1"/>
  <c r="AH169" i="2"/>
  <c r="AY169" i="2" s="1"/>
  <c r="AG169" i="2"/>
  <c r="AX169" i="2" s="1"/>
  <c r="AF169" i="2"/>
  <c r="AW169" i="2" s="1"/>
  <c r="AE169" i="2"/>
  <c r="AV169" i="2" s="1"/>
  <c r="AD169" i="2"/>
  <c r="AU169" i="2" s="1"/>
  <c r="AC169" i="2"/>
  <c r="AT169" i="2" s="1"/>
  <c r="AB169" i="2"/>
  <c r="AO168" i="2"/>
  <c r="BF168" i="2" s="1"/>
  <c r="AN168" i="2"/>
  <c r="BE168" i="2" s="1"/>
  <c r="AM168" i="2"/>
  <c r="BD168" i="2" s="1"/>
  <c r="AL168" i="2"/>
  <c r="BC168" i="2" s="1"/>
  <c r="AK168" i="2"/>
  <c r="BB168" i="2" s="1"/>
  <c r="AJ168" i="2"/>
  <c r="BA168" i="2" s="1"/>
  <c r="AI168" i="2"/>
  <c r="AZ168" i="2" s="1"/>
  <c r="AH168" i="2"/>
  <c r="AY168" i="2" s="1"/>
  <c r="AG168" i="2"/>
  <c r="AX168" i="2" s="1"/>
  <c r="AF168" i="2"/>
  <c r="AW168" i="2" s="1"/>
  <c r="AE168" i="2"/>
  <c r="AV168" i="2" s="1"/>
  <c r="AD168" i="2"/>
  <c r="AU168" i="2" s="1"/>
  <c r="AC168" i="2"/>
  <c r="AT168" i="2" s="1"/>
  <c r="AB168" i="2"/>
  <c r="AO167" i="2"/>
  <c r="BF167" i="2" s="1"/>
  <c r="AN167" i="2"/>
  <c r="BE167" i="2" s="1"/>
  <c r="AM167" i="2"/>
  <c r="BD167" i="2" s="1"/>
  <c r="AL167" i="2"/>
  <c r="BC167" i="2" s="1"/>
  <c r="AK167" i="2"/>
  <c r="BB167" i="2" s="1"/>
  <c r="AJ167" i="2"/>
  <c r="BA167" i="2" s="1"/>
  <c r="AI167" i="2"/>
  <c r="AZ167" i="2" s="1"/>
  <c r="AH167" i="2"/>
  <c r="AY167" i="2" s="1"/>
  <c r="AG167" i="2"/>
  <c r="AX167" i="2" s="1"/>
  <c r="AF167" i="2"/>
  <c r="AW167" i="2" s="1"/>
  <c r="AE167" i="2"/>
  <c r="AV167" i="2" s="1"/>
  <c r="AD167" i="2"/>
  <c r="AU167" i="2" s="1"/>
  <c r="AC167" i="2"/>
  <c r="AT167" i="2" s="1"/>
  <c r="AB167" i="2"/>
  <c r="AO166" i="2"/>
  <c r="BF166" i="2" s="1"/>
  <c r="AN166" i="2"/>
  <c r="BE166" i="2" s="1"/>
  <c r="AM166" i="2"/>
  <c r="BD166" i="2" s="1"/>
  <c r="AL166" i="2"/>
  <c r="BC166" i="2" s="1"/>
  <c r="AK166" i="2"/>
  <c r="BB166" i="2" s="1"/>
  <c r="AJ166" i="2"/>
  <c r="BA166" i="2" s="1"/>
  <c r="AI166" i="2"/>
  <c r="AZ166" i="2" s="1"/>
  <c r="AH166" i="2"/>
  <c r="AY166" i="2" s="1"/>
  <c r="AG166" i="2"/>
  <c r="AX166" i="2" s="1"/>
  <c r="AF166" i="2"/>
  <c r="AW166" i="2" s="1"/>
  <c r="AE166" i="2"/>
  <c r="AV166" i="2" s="1"/>
  <c r="AD166" i="2"/>
  <c r="AD302" i="2" s="1"/>
  <c r="AC166" i="2"/>
  <c r="AT166" i="2" s="1"/>
  <c r="AB166" i="2"/>
  <c r="AB302" i="2" s="1"/>
  <c r="AO165" i="2"/>
  <c r="BF165" i="2" s="1"/>
  <c r="AN165" i="2"/>
  <c r="BE165" i="2" s="1"/>
  <c r="AM165" i="2"/>
  <c r="BD165" i="2" s="1"/>
  <c r="AL165" i="2"/>
  <c r="BC165" i="2" s="1"/>
  <c r="AK165" i="2"/>
  <c r="BB165" i="2" s="1"/>
  <c r="AJ165" i="2"/>
  <c r="BA165" i="2" s="1"/>
  <c r="AI165" i="2"/>
  <c r="AZ165" i="2" s="1"/>
  <c r="AH165" i="2"/>
  <c r="AY165" i="2" s="1"/>
  <c r="AG165" i="2"/>
  <c r="AX165" i="2" s="1"/>
  <c r="AF165" i="2"/>
  <c r="AW165" i="2" s="1"/>
  <c r="AE165" i="2"/>
  <c r="AV165" i="2" s="1"/>
  <c r="AD165" i="2"/>
  <c r="AU165" i="2" s="1"/>
  <c r="AC165" i="2"/>
  <c r="AT165" i="2" s="1"/>
  <c r="AB165" i="2"/>
  <c r="AO164" i="2"/>
  <c r="BF164" i="2" s="1"/>
  <c r="AN164" i="2"/>
  <c r="BE164" i="2" s="1"/>
  <c r="AM164" i="2"/>
  <c r="BD164" i="2" s="1"/>
  <c r="AL164" i="2"/>
  <c r="AK164" i="2"/>
  <c r="BB164" i="2" s="1"/>
  <c r="AJ164" i="2"/>
  <c r="BA164" i="2" s="1"/>
  <c r="AI164" i="2"/>
  <c r="AZ164" i="2" s="1"/>
  <c r="AH164" i="2"/>
  <c r="AY164" i="2" s="1"/>
  <c r="AG164" i="2"/>
  <c r="AX164" i="2" s="1"/>
  <c r="AF164" i="2"/>
  <c r="AE164" i="2"/>
  <c r="AV164" i="2" s="1"/>
  <c r="AD164" i="2"/>
  <c r="AC164" i="2"/>
  <c r="AT164" i="2" s="1"/>
  <c r="AB164" i="2"/>
  <c r="AO163" i="2"/>
  <c r="BF163" i="2" s="1"/>
  <c r="AN163" i="2"/>
  <c r="BE163" i="2" s="1"/>
  <c r="AM163" i="2"/>
  <c r="BD163" i="2" s="1"/>
  <c r="AL163" i="2"/>
  <c r="BC163" i="2" s="1"/>
  <c r="AK163" i="2"/>
  <c r="BB163" i="2" s="1"/>
  <c r="AJ163" i="2"/>
  <c r="BA163" i="2" s="1"/>
  <c r="AI163" i="2"/>
  <c r="AZ163" i="2" s="1"/>
  <c r="AH163" i="2"/>
  <c r="AY163" i="2" s="1"/>
  <c r="AG163" i="2"/>
  <c r="AF163" i="2"/>
  <c r="AE163" i="2"/>
  <c r="AD163" i="2"/>
  <c r="AC163" i="2"/>
  <c r="AB163" i="2"/>
  <c r="AO162" i="2"/>
  <c r="BF162" i="2" s="1"/>
  <c r="AN162" i="2"/>
  <c r="BE162" i="2" s="1"/>
  <c r="AM162" i="2"/>
  <c r="BD162" i="2" s="1"/>
  <c r="AL162" i="2"/>
  <c r="BC162" i="2" s="1"/>
  <c r="AK162" i="2"/>
  <c r="BB162" i="2" s="1"/>
  <c r="AJ162" i="2"/>
  <c r="BA162" i="2" s="1"/>
  <c r="AI162" i="2"/>
  <c r="AZ162" i="2" s="1"/>
  <c r="AH162" i="2"/>
  <c r="AY162" i="2" s="1"/>
  <c r="AG162" i="2"/>
  <c r="AF162" i="2"/>
  <c r="AE162" i="2"/>
  <c r="AD162" i="2"/>
  <c r="AC162" i="2"/>
  <c r="AB162" i="2"/>
  <c r="AO161" i="2"/>
  <c r="BF161" i="2" s="1"/>
  <c r="AN161" i="2"/>
  <c r="BE161" i="2" s="1"/>
  <c r="AM161" i="2"/>
  <c r="BD161" i="2" s="1"/>
  <c r="AL161" i="2"/>
  <c r="BC161" i="2" s="1"/>
  <c r="AK161" i="2"/>
  <c r="BB161" i="2" s="1"/>
  <c r="AJ161" i="2"/>
  <c r="BA161" i="2" s="1"/>
  <c r="AI161" i="2"/>
  <c r="AZ161" i="2" s="1"/>
  <c r="AH161" i="2"/>
  <c r="AY161" i="2" s="1"/>
  <c r="AG161" i="2"/>
  <c r="AF161" i="2"/>
  <c r="AE161" i="2"/>
  <c r="AD161" i="2"/>
  <c r="AC161" i="2"/>
  <c r="AB161" i="2"/>
  <c r="AO160" i="2"/>
  <c r="BF160" i="2" s="1"/>
  <c r="AN160" i="2"/>
  <c r="BE160" i="2" s="1"/>
  <c r="AM160" i="2"/>
  <c r="BD160" i="2" s="1"/>
  <c r="AL160" i="2"/>
  <c r="BC160" i="2" s="1"/>
  <c r="AK160" i="2"/>
  <c r="AJ160" i="2"/>
  <c r="BA160" i="2" s="1"/>
  <c r="AI160" i="2"/>
  <c r="AZ160" i="2" s="1"/>
  <c r="AH160" i="2"/>
  <c r="AY160" i="2" s="1"/>
  <c r="AG160" i="2"/>
  <c r="AF160" i="2"/>
  <c r="AW160" i="2" s="1"/>
  <c r="AE160" i="2"/>
  <c r="AD160" i="2"/>
  <c r="AU160" i="2" s="1"/>
  <c r="AC160" i="2"/>
  <c r="AB160" i="2"/>
  <c r="AO159" i="2"/>
  <c r="BF159" i="2" s="1"/>
  <c r="AN159" i="2"/>
  <c r="BE159" i="2" s="1"/>
  <c r="AM159" i="2"/>
  <c r="BD159" i="2" s="1"/>
  <c r="AL159" i="2"/>
  <c r="BC159" i="2" s="1"/>
  <c r="AK159" i="2"/>
  <c r="BB159" i="2" s="1"/>
  <c r="AJ159" i="2"/>
  <c r="BA159" i="2" s="1"/>
  <c r="AI159" i="2"/>
  <c r="AZ159" i="2" s="1"/>
  <c r="AH159" i="2"/>
  <c r="AY159" i="2" s="1"/>
  <c r="AG159" i="2"/>
  <c r="AF159" i="2"/>
  <c r="AE159" i="2"/>
  <c r="AD159" i="2"/>
  <c r="AC159" i="2"/>
  <c r="AB159" i="2"/>
  <c r="AO158" i="2"/>
  <c r="BF158" i="2" s="1"/>
  <c r="AN158" i="2"/>
  <c r="BE158" i="2" s="1"/>
  <c r="AM158" i="2"/>
  <c r="BD158" i="2" s="1"/>
  <c r="AL158" i="2"/>
  <c r="BC158" i="2" s="1"/>
  <c r="AK158" i="2"/>
  <c r="BB158" i="2" s="1"/>
  <c r="AJ158" i="2"/>
  <c r="BA158" i="2" s="1"/>
  <c r="AI158" i="2"/>
  <c r="AZ158" i="2" s="1"/>
  <c r="AH158" i="2"/>
  <c r="AY158" i="2" s="1"/>
  <c r="AG158" i="2"/>
  <c r="AG324" i="2" s="1"/>
  <c r="AF158" i="2"/>
  <c r="AF324" i="2" s="1"/>
  <c r="AE158" i="2"/>
  <c r="AE324" i="2" s="1"/>
  <c r="AD158" i="2"/>
  <c r="AC158" i="2"/>
  <c r="AC324" i="2" s="1"/>
  <c r="AB158" i="2"/>
  <c r="AB301" i="2" s="1"/>
  <c r="AO157" i="2"/>
  <c r="BF157" i="2" s="1"/>
  <c r="AN157" i="2"/>
  <c r="BE157" i="2" s="1"/>
  <c r="AM157" i="2"/>
  <c r="BD157" i="2" s="1"/>
  <c r="AL157" i="2"/>
  <c r="BC157" i="2" s="1"/>
  <c r="AK157" i="2"/>
  <c r="BB157" i="2" s="1"/>
  <c r="AJ157" i="2"/>
  <c r="BA157" i="2" s="1"/>
  <c r="AI157" i="2"/>
  <c r="AZ157" i="2" s="1"/>
  <c r="AH157" i="2"/>
  <c r="AY157" i="2" s="1"/>
  <c r="AG157" i="2"/>
  <c r="AG323" i="2" s="1"/>
  <c r="AF157" i="2"/>
  <c r="AF323" i="2" s="1"/>
  <c r="AE157" i="2"/>
  <c r="AE323" i="2" s="1"/>
  <c r="AD157" i="2"/>
  <c r="AD323" i="2" s="1"/>
  <c r="AC157" i="2"/>
  <c r="AC323" i="2" s="1"/>
  <c r="AB157" i="2"/>
  <c r="AO156" i="2"/>
  <c r="BF156" i="2" s="1"/>
  <c r="AN156" i="2"/>
  <c r="BE156" i="2" s="1"/>
  <c r="AM156" i="2"/>
  <c r="BD156" i="2" s="1"/>
  <c r="AL156" i="2"/>
  <c r="BC156" i="2" s="1"/>
  <c r="AK156" i="2"/>
  <c r="BB156" i="2" s="1"/>
  <c r="AJ156" i="2"/>
  <c r="BA156" i="2" s="1"/>
  <c r="AI156" i="2"/>
  <c r="AZ156" i="2" s="1"/>
  <c r="AH156" i="2"/>
  <c r="AY156" i="2" s="1"/>
  <c r="AG156" i="2"/>
  <c r="AX156" i="2" s="1"/>
  <c r="AF156" i="2"/>
  <c r="AW156" i="2" s="1"/>
  <c r="AE156" i="2"/>
  <c r="AV156" i="2" s="1"/>
  <c r="AD156" i="2"/>
  <c r="AU156" i="2" s="1"/>
  <c r="AC156" i="2"/>
  <c r="AT156" i="2" s="1"/>
  <c r="AB156" i="2"/>
  <c r="AO155" i="2"/>
  <c r="BF155" i="2" s="1"/>
  <c r="AN155" i="2"/>
  <c r="BE155" i="2" s="1"/>
  <c r="AM155" i="2"/>
  <c r="BD155" i="2" s="1"/>
  <c r="AL155" i="2"/>
  <c r="BC155" i="2" s="1"/>
  <c r="AK155" i="2"/>
  <c r="BB155" i="2" s="1"/>
  <c r="AJ155" i="2"/>
  <c r="BA155" i="2" s="1"/>
  <c r="AI155" i="2"/>
  <c r="AZ155" i="2" s="1"/>
  <c r="AH155" i="2"/>
  <c r="AY155" i="2" s="1"/>
  <c r="AG155" i="2"/>
  <c r="AF155" i="2"/>
  <c r="AW155" i="2" s="1"/>
  <c r="AE155" i="2"/>
  <c r="AD155" i="2"/>
  <c r="AU155" i="2" s="1"/>
  <c r="AC155" i="2"/>
  <c r="AT155" i="2" s="1"/>
  <c r="AB155" i="2"/>
  <c r="AO154" i="2"/>
  <c r="BF154" i="2" s="1"/>
  <c r="AN154" i="2"/>
  <c r="BE154" i="2" s="1"/>
  <c r="AM154" i="2"/>
  <c r="BD154" i="2" s="1"/>
  <c r="AL154" i="2"/>
  <c r="BC154" i="2" s="1"/>
  <c r="AK154" i="2"/>
  <c r="BB154" i="2" s="1"/>
  <c r="AJ154" i="2"/>
  <c r="BA154" i="2" s="1"/>
  <c r="AI154" i="2"/>
  <c r="AZ154" i="2" s="1"/>
  <c r="AH154" i="2"/>
  <c r="AY154" i="2" s="1"/>
  <c r="AG154" i="2"/>
  <c r="AF154" i="2"/>
  <c r="AE154" i="2"/>
  <c r="AD154" i="2"/>
  <c r="AC154" i="2"/>
  <c r="AB154" i="2"/>
  <c r="AO153" i="2"/>
  <c r="BF153" i="2" s="1"/>
  <c r="AN153" i="2"/>
  <c r="BE153" i="2" s="1"/>
  <c r="AM153" i="2"/>
  <c r="BD153" i="2" s="1"/>
  <c r="AL153" i="2"/>
  <c r="BC153" i="2" s="1"/>
  <c r="AK153" i="2"/>
  <c r="BB153" i="2" s="1"/>
  <c r="AJ153" i="2"/>
  <c r="BA153" i="2" s="1"/>
  <c r="AI153" i="2"/>
  <c r="AZ153" i="2" s="1"/>
  <c r="AH153" i="2"/>
  <c r="AY153" i="2" s="1"/>
  <c r="AG153" i="2"/>
  <c r="AX153" i="2" s="1"/>
  <c r="AF153" i="2"/>
  <c r="AW153" i="2" s="1"/>
  <c r="AE153" i="2"/>
  <c r="AV153" i="2" s="1"/>
  <c r="AD153" i="2"/>
  <c r="AU153" i="2" s="1"/>
  <c r="AC153" i="2"/>
  <c r="AT153" i="2" s="1"/>
  <c r="AB153" i="2"/>
  <c r="AO152" i="2"/>
  <c r="BF152" i="2" s="1"/>
  <c r="AN152" i="2"/>
  <c r="BE152" i="2" s="1"/>
  <c r="AM152" i="2"/>
  <c r="BD152" i="2" s="1"/>
  <c r="AL152" i="2"/>
  <c r="BC152" i="2" s="1"/>
  <c r="AK152" i="2"/>
  <c r="BB152" i="2" s="1"/>
  <c r="AJ152" i="2"/>
  <c r="BA152" i="2" s="1"/>
  <c r="AI152" i="2"/>
  <c r="AZ152" i="2" s="1"/>
  <c r="AH152" i="2"/>
  <c r="AY152" i="2" s="1"/>
  <c r="AG152" i="2"/>
  <c r="AX152" i="2" s="1"/>
  <c r="AF152" i="2"/>
  <c r="AW152" i="2" s="1"/>
  <c r="AE152" i="2"/>
  <c r="AV152" i="2" s="1"/>
  <c r="AD152" i="2"/>
  <c r="AU152" i="2" s="1"/>
  <c r="AC152" i="2"/>
  <c r="AT152" i="2" s="1"/>
  <c r="AB152" i="2"/>
  <c r="AO151" i="2"/>
  <c r="BF151" i="2" s="1"/>
  <c r="AN151" i="2"/>
  <c r="BE151" i="2" s="1"/>
  <c r="AM151" i="2"/>
  <c r="BD151" i="2" s="1"/>
  <c r="AL151" i="2"/>
  <c r="BC151" i="2" s="1"/>
  <c r="AK151" i="2"/>
  <c r="BB151" i="2" s="1"/>
  <c r="AJ151" i="2"/>
  <c r="BA151" i="2" s="1"/>
  <c r="AI151" i="2"/>
  <c r="AZ151" i="2" s="1"/>
  <c r="AH151" i="2"/>
  <c r="AY151" i="2" s="1"/>
  <c r="AG151" i="2"/>
  <c r="AF151" i="2"/>
  <c r="AE151" i="2"/>
  <c r="AD151" i="2"/>
  <c r="AC151" i="2"/>
  <c r="AB151" i="2"/>
  <c r="AO150" i="2"/>
  <c r="BF150" i="2" s="1"/>
  <c r="AN150" i="2"/>
  <c r="BE150" i="2" s="1"/>
  <c r="AM150" i="2"/>
  <c r="BD150" i="2" s="1"/>
  <c r="AL150" i="2"/>
  <c r="BC150" i="2" s="1"/>
  <c r="AK150" i="2"/>
  <c r="BB150" i="2" s="1"/>
  <c r="AJ150" i="2"/>
  <c r="BA150" i="2" s="1"/>
  <c r="AI150" i="2"/>
  <c r="AZ150" i="2" s="1"/>
  <c r="AH150" i="2"/>
  <c r="AY150" i="2" s="1"/>
  <c r="AG150" i="2"/>
  <c r="AF150" i="2"/>
  <c r="AE150" i="2"/>
  <c r="AD150" i="2"/>
  <c r="AC150" i="2"/>
  <c r="AB150" i="2"/>
  <c r="AO149" i="2"/>
  <c r="BF149" i="2" s="1"/>
  <c r="AN149" i="2"/>
  <c r="BE149" i="2" s="1"/>
  <c r="AM149" i="2"/>
  <c r="BD149" i="2" s="1"/>
  <c r="AL149" i="2"/>
  <c r="BC149" i="2" s="1"/>
  <c r="AK149" i="2"/>
  <c r="BB149" i="2" s="1"/>
  <c r="AJ149" i="2"/>
  <c r="BA149" i="2" s="1"/>
  <c r="AI149" i="2"/>
  <c r="AZ149" i="2" s="1"/>
  <c r="AH149" i="2"/>
  <c r="AY149" i="2" s="1"/>
  <c r="AG149" i="2"/>
  <c r="AX149" i="2" s="1"/>
  <c r="AF149" i="2"/>
  <c r="AW149" i="2" s="1"/>
  <c r="AE149" i="2"/>
  <c r="AV149" i="2" s="1"/>
  <c r="AD149" i="2"/>
  <c r="AU149" i="2" s="1"/>
  <c r="AC149" i="2"/>
  <c r="AT149" i="2" s="1"/>
  <c r="AB149" i="2"/>
  <c r="AO148" i="2"/>
  <c r="BF148" i="2" s="1"/>
  <c r="AN148" i="2"/>
  <c r="BE148" i="2" s="1"/>
  <c r="AM148" i="2"/>
  <c r="BD148" i="2" s="1"/>
  <c r="AL148" i="2"/>
  <c r="BC148" i="2" s="1"/>
  <c r="AK148" i="2"/>
  <c r="BB148" i="2" s="1"/>
  <c r="AJ148" i="2"/>
  <c r="BA148" i="2" s="1"/>
  <c r="AI148" i="2"/>
  <c r="AZ148" i="2" s="1"/>
  <c r="AH148" i="2"/>
  <c r="AY148" i="2" s="1"/>
  <c r="AG148" i="2"/>
  <c r="AX148" i="2" s="1"/>
  <c r="AF148" i="2"/>
  <c r="AW148" i="2" s="1"/>
  <c r="AE148" i="2"/>
  <c r="AV148" i="2" s="1"/>
  <c r="AD148" i="2"/>
  <c r="AU148" i="2" s="1"/>
  <c r="AC148" i="2"/>
  <c r="AT148" i="2" s="1"/>
  <c r="AB148" i="2"/>
  <c r="AO147" i="2"/>
  <c r="BF147" i="2" s="1"/>
  <c r="AN147" i="2"/>
  <c r="BE147" i="2" s="1"/>
  <c r="AM147" i="2"/>
  <c r="BD147" i="2" s="1"/>
  <c r="AL147" i="2"/>
  <c r="BC147" i="2" s="1"/>
  <c r="AK147" i="2"/>
  <c r="BB147" i="2" s="1"/>
  <c r="AJ147" i="2"/>
  <c r="BA147" i="2" s="1"/>
  <c r="AI147" i="2"/>
  <c r="AZ147" i="2" s="1"/>
  <c r="AH147" i="2"/>
  <c r="AY147" i="2" s="1"/>
  <c r="AG147" i="2"/>
  <c r="AF147" i="2"/>
  <c r="AE147" i="2"/>
  <c r="AD147" i="2"/>
  <c r="AC147" i="2"/>
  <c r="AB147" i="2"/>
  <c r="AO146" i="2"/>
  <c r="BF146" i="2" s="1"/>
  <c r="AN146" i="2"/>
  <c r="BE146" i="2" s="1"/>
  <c r="AM146" i="2"/>
  <c r="BD146" i="2" s="1"/>
  <c r="AL146" i="2"/>
  <c r="BC146" i="2" s="1"/>
  <c r="AK146" i="2"/>
  <c r="BB146" i="2" s="1"/>
  <c r="AJ146" i="2"/>
  <c r="BA146" i="2" s="1"/>
  <c r="AI146" i="2"/>
  <c r="AZ146" i="2" s="1"/>
  <c r="AH146" i="2"/>
  <c r="AY146" i="2" s="1"/>
  <c r="AG146" i="2"/>
  <c r="AF146" i="2"/>
  <c r="AE146" i="2"/>
  <c r="AD146" i="2"/>
  <c r="AC146" i="2"/>
  <c r="AB146" i="2"/>
  <c r="AO145" i="2"/>
  <c r="BF145" i="2" s="1"/>
  <c r="AN145" i="2"/>
  <c r="BE145" i="2" s="1"/>
  <c r="AM145" i="2"/>
  <c r="BD145" i="2" s="1"/>
  <c r="AL145" i="2"/>
  <c r="BC145" i="2" s="1"/>
  <c r="AK145" i="2"/>
  <c r="BB145" i="2" s="1"/>
  <c r="AJ145" i="2"/>
  <c r="BA145" i="2" s="1"/>
  <c r="AI145" i="2"/>
  <c r="AZ145" i="2" s="1"/>
  <c r="AH145" i="2"/>
  <c r="AY145" i="2" s="1"/>
  <c r="AG145" i="2"/>
  <c r="AF145" i="2"/>
  <c r="AE145" i="2"/>
  <c r="AD145" i="2"/>
  <c r="AC145" i="2"/>
  <c r="AB145" i="2"/>
  <c r="AO144" i="2"/>
  <c r="BF144" i="2" s="1"/>
  <c r="AN144" i="2"/>
  <c r="BE144" i="2" s="1"/>
  <c r="AM144" i="2"/>
  <c r="BD144" i="2" s="1"/>
  <c r="AL144" i="2"/>
  <c r="BC144" i="2" s="1"/>
  <c r="AK144" i="2"/>
  <c r="BB144" i="2" s="1"/>
  <c r="AJ144" i="2"/>
  <c r="BA144" i="2" s="1"/>
  <c r="AI144" i="2"/>
  <c r="AZ144" i="2" s="1"/>
  <c r="AH144" i="2"/>
  <c r="AY144" i="2" s="1"/>
  <c r="AG144" i="2"/>
  <c r="AF144" i="2"/>
  <c r="AE144" i="2"/>
  <c r="AD144" i="2"/>
  <c r="AC144" i="2"/>
  <c r="AB144" i="2"/>
  <c r="AO143" i="2"/>
  <c r="BF143" i="2" s="1"/>
  <c r="AN143" i="2"/>
  <c r="BE143" i="2" s="1"/>
  <c r="AM143" i="2"/>
  <c r="BD143" i="2" s="1"/>
  <c r="AL143" i="2"/>
  <c r="BC143" i="2" s="1"/>
  <c r="AK143" i="2"/>
  <c r="BB143" i="2" s="1"/>
  <c r="AJ143" i="2"/>
  <c r="BA143" i="2" s="1"/>
  <c r="AI143" i="2"/>
  <c r="AZ143" i="2" s="1"/>
  <c r="AH143" i="2"/>
  <c r="AY143" i="2" s="1"/>
  <c r="AG143" i="2"/>
  <c r="AF143" i="2"/>
  <c r="AE143" i="2"/>
  <c r="AD143" i="2"/>
  <c r="AC143" i="2"/>
  <c r="AB143" i="2"/>
  <c r="AO142" i="2"/>
  <c r="BF142" i="2" s="1"/>
  <c r="AN142" i="2"/>
  <c r="BE142" i="2" s="1"/>
  <c r="AM142" i="2"/>
  <c r="BD142" i="2" s="1"/>
  <c r="AL142" i="2"/>
  <c r="BC142" i="2" s="1"/>
  <c r="AK142" i="2"/>
  <c r="BB142" i="2" s="1"/>
  <c r="AJ142" i="2"/>
  <c r="BA142" i="2" s="1"/>
  <c r="AI142" i="2"/>
  <c r="AZ142" i="2" s="1"/>
  <c r="AH142" i="2"/>
  <c r="AY142" i="2" s="1"/>
  <c r="AG142" i="2"/>
  <c r="AF142" i="2"/>
  <c r="AR178" i="20" s="1"/>
  <c r="AE142" i="2"/>
  <c r="AD142" i="2"/>
  <c r="AC142" i="2"/>
  <c r="AB142" i="2"/>
  <c r="AO141" i="2"/>
  <c r="BF141" i="2" s="1"/>
  <c r="AN141" i="2"/>
  <c r="BE141" i="2" s="1"/>
  <c r="AM141" i="2"/>
  <c r="BD141" i="2" s="1"/>
  <c r="AL141" i="2"/>
  <c r="BC141" i="2" s="1"/>
  <c r="AK141" i="2"/>
  <c r="BB141" i="2" s="1"/>
  <c r="AJ141" i="2"/>
  <c r="BA141" i="2" s="1"/>
  <c r="AI141" i="2"/>
  <c r="AZ141" i="2" s="1"/>
  <c r="AH141" i="2"/>
  <c r="AY141" i="2" s="1"/>
  <c r="AG141" i="2"/>
  <c r="AF141" i="2"/>
  <c r="AE141" i="2"/>
  <c r="AD141" i="2"/>
  <c r="AC141" i="2"/>
  <c r="AB141" i="2"/>
  <c r="AO140" i="2"/>
  <c r="BF140" i="2" s="1"/>
  <c r="AN140" i="2"/>
  <c r="BE140" i="2" s="1"/>
  <c r="AM140" i="2"/>
  <c r="BD140" i="2" s="1"/>
  <c r="AL140" i="2"/>
  <c r="BC140" i="2" s="1"/>
  <c r="AK140" i="2"/>
  <c r="BB140" i="2" s="1"/>
  <c r="AJ140" i="2"/>
  <c r="BA140" i="2" s="1"/>
  <c r="AI140" i="2"/>
  <c r="AZ140" i="2" s="1"/>
  <c r="AH140" i="2"/>
  <c r="AY140" i="2" s="1"/>
  <c r="AG140" i="2"/>
  <c r="AF140" i="2"/>
  <c r="AE140" i="2"/>
  <c r="AD140" i="2"/>
  <c r="AC140" i="2"/>
  <c r="AB140" i="2"/>
  <c r="AO139" i="2"/>
  <c r="BF139" i="2" s="1"/>
  <c r="AN139" i="2"/>
  <c r="BE139" i="2" s="1"/>
  <c r="AM139" i="2"/>
  <c r="BD139" i="2" s="1"/>
  <c r="AL139" i="2"/>
  <c r="BC139" i="2" s="1"/>
  <c r="AK139" i="2"/>
  <c r="BB139" i="2" s="1"/>
  <c r="AJ139" i="2"/>
  <c r="BA139" i="2" s="1"/>
  <c r="AI139" i="2"/>
  <c r="AZ139" i="2" s="1"/>
  <c r="AH139" i="2"/>
  <c r="AY139" i="2" s="1"/>
  <c r="AG139" i="2"/>
  <c r="AF139" i="2"/>
  <c r="AE139" i="2"/>
  <c r="AD139" i="2"/>
  <c r="AC139" i="2"/>
  <c r="AB139" i="2"/>
  <c r="AO138" i="2"/>
  <c r="BF138" i="2" s="1"/>
  <c r="AN138" i="2"/>
  <c r="BE138" i="2" s="1"/>
  <c r="AM138" i="2"/>
  <c r="BD138" i="2" s="1"/>
  <c r="AL138" i="2"/>
  <c r="BC138" i="2" s="1"/>
  <c r="AK138" i="2"/>
  <c r="BB138" i="2" s="1"/>
  <c r="AJ138" i="2"/>
  <c r="BA138" i="2" s="1"/>
  <c r="AI138" i="2"/>
  <c r="AZ138" i="2" s="1"/>
  <c r="AH138" i="2"/>
  <c r="AY138" i="2" s="1"/>
  <c r="AG138" i="2"/>
  <c r="AF138" i="2"/>
  <c r="AE138" i="2"/>
  <c r="AD138" i="2"/>
  <c r="AC138" i="2"/>
  <c r="AC320" i="2" s="1"/>
  <c r="AB138" i="2"/>
  <c r="AO137" i="2"/>
  <c r="BF137" i="2" s="1"/>
  <c r="AN137" i="2"/>
  <c r="BE137" i="2" s="1"/>
  <c r="AM137" i="2"/>
  <c r="BD137" i="2" s="1"/>
  <c r="AL137" i="2"/>
  <c r="BC137" i="2" s="1"/>
  <c r="AK137" i="2"/>
  <c r="BB137" i="2" s="1"/>
  <c r="AJ137" i="2"/>
  <c r="BA137" i="2" s="1"/>
  <c r="AI137" i="2"/>
  <c r="AZ137" i="2" s="1"/>
  <c r="AH137" i="2"/>
  <c r="AY137" i="2" s="1"/>
  <c r="AG137" i="2"/>
  <c r="AF137" i="2"/>
  <c r="AE137" i="2"/>
  <c r="AD137" i="2"/>
  <c r="AC137" i="2"/>
  <c r="AB137" i="2"/>
  <c r="AO136" i="2"/>
  <c r="BF136" i="2" s="1"/>
  <c r="AN136" i="2"/>
  <c r="BE136" i="2" s="1"/>
  <c r="AM136" i="2"/>
  <c r="BD136" i="2" s="1"/>
  <c r="AL136" i="2"/>
  <c r="BC136" i="2" s="1"/>
  <c r="AK136" i="2"/>
  <c r="BB136" i="2" s="1"/>
  <c r="AJ136" i="2"/>
  <c r="BA136" i="2" s="1"/>
  <c r="AI136" i="2"/>
  <c r="AZ136" i="2" s="1"/>
  <c r="AH136" i="2"/>
  <c r="AY136" i="2" s="1"/>
  <c r="AG136" i="2"/>
  <c r="AF136" i="2"/>
  <c r="AE136" i="2"/>
  <c r="AD136" i="2"/>
  <c r="AC136" i="2"/>
  <c r="AB136" i="2"/>
  <c r="AO135" i="2"/>
  <c r="BF135" i="2" s="1"/>
  <c r="AN135" i="2"/>
  <c r="BE135" i="2" s="1"/>
  <c r="AM135" i="2"/>
  <c r="BD135" i="2" s="1"/>
  <c r="AL135" i="2"/>
  <c r="BC135" i="2" s="1"/>
  <c r="AK135" i="2"/>
  <c r="BB135" i="2" s="1"/>
  <c r="AJ135" i="2"/>
  <c r="BA135" i="2" s="1"/>
  <c r="AI135" i="2"/>
  <c r="AZ135" i="2" s="1"/>
  <c r="AH135" i="2"/>
  <c r="AY135" i="2" s="1"/>
  <c r="AG135" i="2"/>
  <c r="AX135" i="2" s="1"/>
  <c r="AF135" i="2"/>
  <c r="AW135" i="2" s="1"/>
  <c r="AE135" i="2"/>
  <c r="AV135" i="2" s="1"/>
  <c r="AD135" i="2"/>
  <c r="AU135" i="2" s="1"/>
  <c r="AC135" i="2"/>
  <c r="AT135" i="2" s="1"/>
  <c r="AB135" i="2"/>
  <c r="AO134" i="2"/>
  <c r="BF134" i="2" s="1"/>
  <c r="AN134" i="2"/>
  <c r="BE134" i="2" s="1"/>
  <c r="AM134" i="2"/>
  <c r="BD134" i="2" s="1"/>
  <c r="AL134" i="2"/>
  <c r="BC134" i="2" s="1"/>
  <c r="AK134" i="2"/>
  <c r="BB134" i="2" s="1"/>
  <c r="AJ134" i="2"/>
  <c r="BA134" i="2" s="1"/>
  <c r="AI134" i="2"/>
  <c r="AZ134" i="2" s="1"/>
  <c r="AH134" i="2"/>
  <c r="AY134" i="2" s="1"/>
  <c r="AG134" i="2"/>
  <c r="AX134" i="2" s="1"/>
  <c r="AF134" i="2"/>
  <c r="AW134" i="2" s="1"/>
  <c r="AE134" i="2"/>
  <c r="AV134" i="2" s="1"/>
  <c r="AD134" i="2"/>
  <c r="AU134" i="2" s="1"/>
  <c r="AC134" i="2"/>
  <c r="AT134" i="2" s="1"/>
  <c r="AB134" i="2"/>
  <c r="AO133" i="2"/>
  <c r="BF133" i="2" s="1"/>
  <c r="AN133" i="2"/>
  <c r="BE133" i="2" s="1"/>
  <c r="AM133" i="2"/>
  <c r="BD133" i="2" s="1"/>
  <c r="AL133" i="2"/>
  <c r="BC133" i="2" s="1"/>
  <c r="AK133" i="2"/>
  <c r="BB133" i="2" s="1"/>
  <c r="AJ133" i="2"/>
  <c r="BA133" i="2" s="1"/>
  <c r="AI133" i="2"/>
  <c r="AZ133" i="2" s="1"/>
  <c r="AH133" i="2"/>
  <c r="AY133" i="2" s="1"/>
  <c r="AG133" i="2"/>
  <c r="AF133" i="2"/>
  <c r="AE133" i="2"/>
  <c r="AD133" i="2"/>
  <c r="AC133" i="2"/>
  <c r="AB133" i="2"/>
  <c r="AO132" i="2"/>
  <c r="BF132" i="2" s="1"/>
  <c r="AN132" i="2"/>
  <c r="BE132" i="2" s="1"/>
  <c r="AM132" i="2"/>
  <c r="BD132" i="2" s="1"/>
  <c r="AL132" i="2"/>
  <c r="BC132" i="2" s="1"/>
  <c r="AK132" i="2"/>
  <c r="BB132" i="2" s="1"/>
  <c r="AJ132" i="2"/>
  <c r="BA132" i="2" s="1"/>
  <c r="AI132" i="2"/>
  <c r="AZ132" i="2" s="1"/>
  <c r="AH132" i="2"/>
  <c r="AY132" i="2" s="1"/>
  <c r="AG132" i="2"/>
  <c r="AX132" i="2" s="1"/>
  <c r="AF132" i="2"/>
  <c r="AW132" i="2" s="1"/>
  <c r="AE132" i="2"/>
  <c r="AV132" i="2" s="1"/>
  <c r="AD132" i="2"/>
  <c r="AD300" i="2" s="1"/>
  <c r="AC132" i="2"/>
  <c r="AT132" i="2" s="1"/>
  <c r="AB132" i="2"/>
  <c r="AB300" i="2" s="1"/>
  <c r="AO131" i="2"/>
  <c r="BF131" i="2" s="1"/>
  <c r="AN131" i="2"/>
  <c r="BE131" i="2" s="1"/>
  <c r="AM131" i="2"/>
  <c r="BD131" i="2" s="1"/>
  <c r="AL131" i="2"/>
  <c r="BC131" i="2" s="1"/>
  <c r="AK131" i="2"/>
  <c r="BB131" i="2" s="1"/>
  <c r="AJ131" i="2"/>
  <c r="BA131" i="2" s="1"/>
  <c r="AI131" i="2"/>
  <c r="AZ131" i="2" s="1"/>
  <c r="AH131" i="2"/>
  <c r="AY131" i="2" s="1"/>
  <c r="AG131" i="2"/>
  <c r="AF131" i="2"/>
  <c r="AE131" i="2"/>
  <c r="AD131" i="2"/>
  <c r="AD299" i="2" s="1"/>
  <c r="AC131" i="2"/>
  <c r="AB131" i="2"/>
  <c r="AB299" i="2" s="1"/>
  <c r="AO130" i="2"/>
  <c r="BF130" i="2" s="1"/>
  <c r="AN130" i="2"/>
  <c r="BE130" i="2" s="1"/>
  <c r="AM130" i="2"/>
  <c r="BD130" i="2" s="1"/>
  <c r="AL130" i="2"/>
  <c r="BC130" i="2" s="1"/>
  <c r="AK130" i="2"/>
  <c r="BB130" i="2" s="1"/>
  <c r="AJ130" i="2"/>
  <c r="BA130" i="2" s="1"/>
  <c r="AI130" i="2"/>
  <c r="AZ130" i="2" s="1"/>
  <c r="AH130" i="2"/>
  <c r="AY130" i="2" s="1"/>
  <c r="AG130" i="2"/>
  <c r="AG298" i="2" s="1"/>
  <c r="AF130" i="2"/>
  <c r="AF298" i="2" s="1"/>
  <c r="AE130" i="2"/>
  <c r="AE298" i="2" s="1"/>
  <c r="AD130" i="2"/>
  <c r="AD298" i="2" s="1"/>
  <c r="AC130" i="2"/>
  <c r="AC298" i="2" s="1"/>
  <c r="AB130" i="2"/>
  <c r="AB298" i="2" s="1"/>
  <c r="AO129" i="2"/>
  <c r="BF129" i="2" s="1"/>
  <c r="AN129" i="2"/>
  <c r="BE129" i="2" s="1"/>
  <c r="AM129" i="2"/>
  <c r="BD129" i="2" s="1"/>
  <c r="AL129" i="2"/>
  <c r="BC129" i="2" s="1"/>
  <c r="AK129" i="2"/>
  <c r="BB129" i="2" s="1"/>
  <c r="AJ129" i="2"/>
  <c r="BA129" i="2" s="1"/>
  <c r="AI129" i="2"/>
  <c r="AZ129" i="2" s="1"/>
  <c r="AH129" i="2"/>
  <c r="AY129" i="2" s="1"/>
  <c r="AG129" i="2"/>
  <c r="AG297" i="2" s="1"/>
  <c r="AF129" i="2"/>
  <c r="AF297" i="2" s="1"/>
  <c r="AE129" i="2"/>
  <c r="AE297" i="2" s="1"/>
  <c r="AD129" i="2"/>
  <c r="AD297" i="2" s="1"/>
  <c r="AC129" i="2"/>
  <c r="AC297" i="2" s="1"/>
  <c r="AB129" i="2"/>
  <c r="AB297" i="2" s="1"/>
  <c r="AO128" i="2"/>
  <c r="BF128" i="2" s="1"/>
  <c r="AN128" i="2"/>
  <c r="BE128" i="2" s="1"/>
  <c r="AM128" i="2"/>
  <c r="BD128" i="2" s="1"/>
  <c r="AL128" i="2"/>
  <c r="BC128" i="2" s="1"/>
  <c r="AK128" i="2"/>
  <c r="BB128" i="2" s="1"/>
  <c r="AJ128" i="2"/>
  <c r="BA128" i="2" s="1"/>
  <c r="AI128" i="2"/>
  <c r="AZ128" i="2" s="1"/>
  <c r="AH128" i="2"/>
  <c r="AY128" i="2" s="1"/>
  <c r="AG128" i="2"/>
  <c r="AF128" i="2"/>
  <c r="AE128" i="2"/>
  <c r="AD128" i="2"/>
  <c r="AD296" i="2" s="1"/>
  <c r="AC128" i="2"/>
  <c r="AB128" i="2"/>
  <c r="AB296" i="2" s="1"/>
  <c r="AO127" i="2"/>
  <c r="BF127" i="2" s="1"/>
  <c r="AN127" i="2"/>
  <c r="BE127" i="2" s="1"/>
  <c r="AM127" i="2"/>
  <c r="BD127" i="2" s="1"/>
  <c r="AL127" i="2"/>
  <c r="BC127" i="2" s="1"/>
  <c r="AK127" i="2"/>
  <c r="BB127" i="2" s="1"/>
  <c r="AJ127" i="2"/>
  <c r="BA127" i="2" s="1"/>
  <c r="AI127" i="2"/>
  <c r="AZ127" i="2" s="1"/>
  <c r="AH127" i="2"/>
  <c r="AY127" i="2" s="1"/>
  <c r="AG127" i="2"/>
  <c r="AX127" i="2" s="1"/>
  <c r="AF127" i="2"/>
  <c r="AW127" i="2" s="1"/>
  <c r="AE127" i="2"/>
  <c r="AV127" i="2" s="1"/>
  <c r="AD127" i="2"/>
  <c r="AU127" i="2" s="1"/>
  <c r="AC127" i="2"/>
  <c r="AT127" i="2" s="1"/>
  <c r="AB127" i="2"/>
  <c r="AO126" i="2"/>
  <c r="BF126" i="2" s="1"/>
  <c r="AN126" i="2"/>
  <c r="BE126" i="2" s="1"/>
  <c r="AM126" i="2"/>
  <c r="BD126" i="2" s="1"/>
  <c r="AL126" i="2"/>
  <c r="BC126" i="2" s="1"/>
  <c r="AK126" i="2"/>
  <c r="BB126" i="2" s="1"/>
  <c r="AJ126" i="2"/>
  <c r="BA126" i="2" s="1"/>
  <c r="AI126" i="2"/>
  <c r="AZ126" i="2" s="1"/>
  <c r="AH126" i="2"/>
  <c r="AY126" i="2" s="1"/>
  <c r="AG126" i="2"/>
  <c r="AX126" i="2" s="1"/>
  <c r="AF126" i="2"/>
  <c r="AW126" i="2" s="1"/>
  <c r="AE126" i="2"/>
  <c r="AV126" i="2" s="1"/>
  <c r="AD126" i="2"/>
  <c r="AU126" i="2" s="1"/>
  <c r="AC126" i="2"/>
  <c r="AT126" i="2" s="1"/>
  <c r="AB126" i="2"/>
  <c r="AO125" i="2"/>
  <c r="AX117" i="20" s="1"/>
  <c r="AN125" i="2"/>
  <c r="AW117" i="20" s="1"/>
  <c r="AM125" i="2"/>
  <c r="AV117" i="20" s="1"/>
  <c r="AL125" i="2"/>
  <c r="AU117" i="20" s="1"/>
  <c r="AK125" i="2"/>
  <c r="AT117" i="20" s="1"/>
  <c r="AJ125" i="2"/>
  <c r="AS117" i="20" s="1"/>
  <c r="AI125" i="2"/>
  <c r="AR117" i="20" s="1"/>
  <c r="AH125" i="2"/>
  <c r="AQ117" i="20" s="1"/>
  <c r="AG125" i="2"/>
  <c r="AP117" i="20" s="1"/>
  <c r="AF125" i="2"/>
  <c r="AO117" i="20" s="1"/>
  <c r="AE125" i="2"/>
  <c r="AN117" i="20" s="1"/>
  <c r="AD125" i="2"/>
  <c r="AM117" i="20" s="1"/>
  <c r="AC125" i="2"/>
  <c r="AT125" i="2" s="1"/>
  <c r="AB125" i="2"/>
  <c r="AO124" i="2"/>
  <c r="AX113" i="20" s="1"/>
  <c r="AN124" i="2"/>
  <c r="AW113" i="20" s="1"/>
  <c r="AM124" i="2"/>
  <c r="AV113" i="20" s="1"/>
  <c r="AL124" i="2"/>
  <c r="AU113" i="20" s="1"/>
  <c r="AK124" i="2"/>
  <c r="AT113" i="20" s="1"/>
  <c r="AJ124" i="2"/>
  <c r="AS113" i="20" s="1"/>
  <c r="AI124" i="2"/>
  <c r="AR113" i="20" s="1"/>
  <c r="AH124" i="2"/>
  <c r="AQ113" i="20" s="1"/>
  <c r="AG124" i="2"/>
  <c r="AP113" i="20" s="1"/>
  <c r="AF124" i="2"/>
  <c r="AO113" i="20" s="1"/>
  <c r="AE124" i="2"/>
  <c r="AN113" i="20" s="1"/>
  <c r="AD124" i="2"/>
  <c r="AM113" i="20" s="1"/>
  <c r="AC124" i="2"/>
  <c r="AT124" i="2" s="1"/>
  <c r="AB124" i="2"/>
  <c r="AO123" i="2"/>
  <c r="AX112" i="20" s="1"/>
  <c r="AN123" i="2"/>
  <c r="AW112" i="20" s="1"/>
  <c r="AM123" i="2"/>
  <c r="AV112" i="20" s="1"/>
  <c r="AL123" i="2"/>
  <c r="AU112" i="20" s="1"/>
  <c r="AK123" i="2"/>
  <c r="AT112" i="20" s="1"/>
  <c r="AJ123" i="2"/>
  <c r="AS112" i="20" s="1"/>
  <c r="AI123" i="2"/>
  <c r="AR112" i="20" s="1"/>
  <c r="AH123" i="2"/>
  <c r="AQ112" i="20" s="1"/>
  <c r="AG123" i="2"/>
  <c r="AP112" i="20" s="1"/>
  <c r="AF123" i="2"/>
  <c r="AO112" i="20" s="1"/>
  <c r="AE123" i="2"/>
  <c r="AN112" i="20" s="1"/>
  <c r="AD123" i="2"/>
  <c r="AM112" i="20" s="1"/>
  <c r="AC123" i="2"/>
  <c r="AT123" i="2" s="1"/>
  <c r="AB123" i="2"/>
  <c r="AO122" i="2"/>
  <c r="AX111" i="20" s="1"/>
  <c r="AN122" i="2"/>
  <c r="AW111" i="20" s="1"/>
  <c r="AM122" i="2"/>
  <c r="AV111" i="20" s="1"/>
  <c r="AL122" i="2"/>
  <c r="AU111" i="20" s="1"/>
  <c r="AK122" i="2"/>
  <c r="AT111" i="20" s="1"/>
  <c r="AJ122" i="2"/>
  <c r="AS111" i="20" s="1"/>
  <c r="AI122" i="2"/>
  <c r="AR111" i="20" s="1"/>
  <c r="AH122" i="2"/>
  <c r="AQ111" i="20" s="1"/>
  <c r="AG122" i="2"/>
  <c r="AP111" i="20" s="1"/>
  <c r="AF122" i="2"/>
  <c r="AO111" i="20" s="1"/>
  <c r="AE122" i="2"/>
  <c r="AN111" i="20" s="1"/>
  <c r="AD122" i="2"/>
  <c r="AM111" i="20" s="1"/>
  <c r="AC122" i="2"/>
  <c r="AT122" i="2" s="1"/>
  <c r="AB122" i="2"/>
  <c r="AO121" i="2"/>
  <c r="AX110" i="20" s="1"/>
  <c r="AN121" i="2"/>
  <c r="AW110" i="20" s="1"/>
  <c r="AM121" i="2"/>
  <c r="AV110" i="20" s="1"/>
  <c r="AL121" i="2"/>
  <c r="AU110" i="20" s="1"/>
  <c r="AK121" i="2"/>
  <c r="AT110" i="20" s="1"/>
  <c r="AJ121" i="2"/>
  <c r="AS110" i="20" s="1"/>
  <c r="AI121" i="2"/>
  <c r="AR110" i="20" s="1"/>
  <c r="AH121" i="2"/>
  <c r="AQ110" i="20" s="1"/>
  <c r="AG121" i="2"/>
  <c r="AP110" i="20" s="1"/>
  <c r="AF121" i="2"/>
  <c r="AO110" i="20" s="1"/>
  <c r="AE121" i="2"/>
  <c r="AN110" i="20" s="1"/>
  <c r="AD121" i="2"/>
  <c r="AM110" i="20" s="1"/>
  <c r="AC121" i="2"/>
  <c r="AT121" i="2" s="1"/>
  <c r="AB121" i="2"/>
  <c r="AO120" i="2"/>
  <c r="AX109" i="20" s="1"/>
  <c r="AN120" i="2"/>
  <c r="AW109" i="20" s="1"/>
  <c r="AM120" i="2"/>
  <c r="AV109" i="20" s="1"/>
  <c r="AL120" i="2"/>
  <c r="AU109" i="20" s="1"/>
  <c r="AK120" i="2"/>
  <c r="AT109" i="20" s="1"/>
  <c r="AJ120" i="2"/>
  <c r="AS109" i="20" s="1"/>
  <c r="AI120" i="2"/>
  <c r="AR109" i="20" s="1"/>
  <c r="AH120" i="2"/>
  <c r="AQ109" i="20" s="1"/>
  <c r="AG120" i="2"/>
  <c r="AP109" i="20" s="1"/>
  <c r="AF120" i="2"/>
  <c r="AO109" i="20" s="1"/>
  <c r="AE120" i="2"/>
  <c r="AN109" i="20" s="1"/>
  <c r="AD120" i="2"/>
  <c r="AM109" i="20" s="1"/>
  <c r="AC120" i="2"/>
  <c r="AT120" i="2" s="1"/>
  <c r="AB120" i="2"/>
  <c r="AO119" i="2"/>
  <c r="AX107" i="20" s="1"/>
  <c r="AN119" i="2"/>
  <c r="AW107" i="20" s="1"/>
  <c r="AM119" i="2"/>
  <c r="AV107" i="20" s="1"/>
  <c r="AL119" i="2"/>
  <c r="AU107" i="20" s="1"/>
  <c r="AK119" i="2"/>
  <c r="AT107" i="20" s="1"/>
  <c r="AJ119" i="2"/>
  <c r="AS107" i="20" s="1"/>
  <c r="AI119" i="2"/>
  <c r="AR107" i="20" s="1"/>
  <c r="AH119" i="2"/>
  <c r="AQ107" i="20" s="1"/>
  <c r="AG119" i="2"/>
  <c r="AP107" i="20" s="1"/>
  <c r="AF119" i="2"/>
  <c r="AO107" i="20" s="1"/>
  <c r="AE119" i="2"/>
  <c r="AN107" i="20" s="1"/>
  <c r="AD119" i="2"/>
  <c r="AM107" i="20" s="1"/>
  <c r="AC119" i="2"/>
  <c r="AT119" i="2" s="1"/>
  <c r="AB119" i="2"/>
  <c r="AO118" i="2"/>
  <c r="AX106" i="20" s="1"/>
  <c r="AN118" i="2"/>
  <c r="AW106" i="20" s="1"/>
  <c r="AM118" i="2"/>
  <c r="AV106" i="20" s="1"/>
  <c r="AL118" i="2"/>
  <c r="AU106" i="20" s="1"/>
  <c r="AK118" i="2"/>
  <c r="AT106" i="20" s="1"/>
  <c r="AJ118" i="2"/>
  <c r="AS106" i="20" s="1"/>
  <c r="AI118" i="2"/>
  <c r="AR106" i="20" s="1"/>
  <c r="AH118" i="2"/>
  <c r="AQ106" i="20" s="1"/>
  <c r="AG118" i="2"/>
  <c r="AP106" i="20" s="1"/>
  <c r="AF118" i="2"/>
  <c r="AO106" i="20" s="1"/>
  <c r="AE118" i="2"/>
  <c r="AN106" i="20" s="1"/>
  <c r="AD118" i="2"/>
  <c r="AM106" i="20" s="1"/>
  <c r="AC118" i="2"/>
  <c r="AT118" i="2" s="1"/>
  <c r="AB118" i="2"/>
  <c r="AO117" i="2"/>
  <c r="AX105" i="20" s="1"/>
  <c r="AN117" i="2"/>
  <c r="AW105" i="20" s="1"/>
  <c r="AM117" i="2"/>
  <c r="AV105" i="20" s="1"/>
  <c r="AL117" i="2"/>
  <c r="AU105" i="20" s="1"/>
  <c r="AK117" i="2"/>
  <c r="AT105" i="20" s="1"/>
  <c r="AJ117" i="2"/>
  <c r="AS105" i="20" s="1"/>
  <c r="AI117" i="2"/>
  <c r="AR105" i="20" s="1"/>
  <c r="AH117" i="2"/>
  <c r="AQ105" i="20" s="1"/>
  <c r="AG117" i="2"/>
  <c r="AP105" i="20" s="1"/>
  <c r="AF117" i="2"/>
  <c r="AO105" i="20" s="1"/>
  <c r="AE117" i="2"/>
  <c r="AN105" i="20" s="1"/>
  <c r="AD117" i="2"/>
  <c r="AM105" i="20" s="1"/>
  <c r="AC117" i="2"/>
  <c r="AT117" i="2" s="1"/>
  <c r="AB117" i="2"/>
  <c r="AO116" i="2"/>
  <c r="AX104" i="20" s="1"/>
  <c r="AN116" i="2"/>
  <c r="AW104" i="20" s="1"/>
  <c r="AM116" i="2"/>
  <c r="AV104" i="20" s="1"/>
  <c r="AL116" i="2"/>
  <c r="AU104" i="20" s="1"/>
  <c r="AK116" i="2"/>
  <c r="AT104" i="20" s="1"/>
  <c r="AJ116" i="2"/>
  <c r="AS104" i="20" s="1"/>
  <c r="AI116" i="2"/>
  <c r="AR104" i="20" s="1"/>
  <c r="AH116" i="2"/>
  <c r="AQ104" i="20" s="1"/>
  <c r="AG116" i="2"/>
  <c r="AP104" i="20" s="1"/>
  <c r="AF116" i="2"/>
  <c r="AO104" i="20" s="1"/>
  <c r="AE116" i="2"/>
  <c r="AN104" i="20" s="1"/>
  <c r="AD116" i="2"/>
  <c r="AM104" i="20" s="1"/>
  <c r="AC116" i="2"/>
  <c r="AT116" i="2" s="1"/>
  <c r="AB116" i="2"/>
  <c r="O116" i="2"/>
  <c r="L116" i="2"/>
  <c r="AO115" i="2"/>
  <c r="AX103" i="20" s="1"/>
  <c r="AN115" i="2"/>
  <c r="AW103" i="20" s="1"/>
  <c r="AM115" i="2"/>
  <c r="AV103" i="20" s="1"/>
  <c r="AL115" i="2"/>
  <c r="AU103" i="20" s="1"/>
  <c r="AK115" i="2"/>
  <c r="AT103" i="20" s="1"/>
  <c r="AJ115" i="2"/>
  <c r="AS103" i="20" s="1"/>
  <c r="AI115" i="2"/>
  <c r="AR103" i="20" s="1"/>
  <c r="AH115" i="2"/>
  <c r="AQ103" i="20" s="1"/>
  <c r="AG115" i="2"/>
  <c r="AP103" i="20" s="1"/>
  <c r="AF115" i="2"/>
  <c r="AO103" i="20" s="1"/>
  <c r="AE115" i="2"/>
  <c r="AN103" i="20" s="1"/>
  <c r="AD115" i="2"/>
  <c r="AM103" i="20" s="1"/>
  <c r="AC115" i="2"/>
  <c r="AT115" i="2" s="1"/>
  <c r="AB115" i="2"/>
  <c r="M115" i="2"/>
  <c r="L115" i="2"/>
  <c r="AO114" i="2"/>
  <c r="BF114" i="2" s="1"/>
  <c r="AN114" i="2"/>
  <c r="BE114" i="2" s="1"/>
  <c r="AM114" i="2"/>
  <c r="BD114" i="2" s="1"/>
  <c r="AL114" i="2"/>
  <c r="BC114" i="2" s="1"/>
  <c r="AK114" i="2"/>
  <c r="BB114" i="2" s="1"/>
  <c r="AJ114" i="2"/>
  <c r="BA114" i="2" s="1"/>
  <c r="AI114" i="2"/>
  <c r="AZ114" i="2" s="1"/>
  <c r="AH114" i="2"/>
  <c r="AY114" i="2" s="1"/>
  <c r="AG114" i="2"/>
  <c r="AX114" i="2" s="1"/>
  <c r="AF114" i="2"/>
  <c r="AW114" i="2" s="1"/>
  <c r="AE114" i="2"/>
  <c r="AV114" i="2" s="1"/>
  <c r="AD114" i="2"/>
  <c r="AU114" i="2" s="1"/>
  <c r="AC114" i="2"/>
  <c r="AT114" i="2" s="1"/>
  <c r="AB114" i="2"/>
  <c r="AO113" i="2"/>
  <c r="BF113" i="2" s="1"/>
  <c r="AN113" i="2"/>
  <c r="BE113" i="2" s="1"/>
  <c r="AM113" i="2"/>
  <c r="BD113" i="2" s="1"/>
  <c r="AL113" i="2"/>
  <c r="BC113" i="2" s="1"/>
  <c r="AK113" i="2"/>
  <c r="BB113" i="2" s="1"/>
  <c r="AJ113" i="2"/>
  <c r="BA113" i="2" s="1"/>
  <c r="AI113" i="2"/>
  <c r="AZ113" i="2" s="1"/>
  <c r="AH113" i="2"/>
  <c r="AY113" i="2" s="1"/>
  <c r="AG113" i="2"/>
  <c r="AX113" i="2" s="1"/>
  <c r="AF113" i="2"/>
  <c r="AW113" i="2" s="1"/>
  <c r="AE113" i="2"/>
  <c r="AV113" i="2" s="1"/>
  <c r="AD113" i="2"/>
  <c r="AU113" i="2" s="1"/>
  <c r="AC113" i="2"/>
  <c r="AT113" i="2" s="1"/>
  <c r="AB113" i="2"/>
  <c r="AO112" i="2"/>
  <c r="BF112" i="2" s="1"/>
  <c r="AN112" i="2"/>
  <c r="BE112" i="2" s="1"/>
  <c r="AM112" i="2"/>
  <c r="BD112" i="2" s="1"/>
  <c r="AL112" i="2"/>
  <c r="BC112" i="2" s="1"/>
  <c r="AK112" i="2"/>
  <c r="BB112" i="2" s="1"/>
  <c r="AJ112" i="2"/>
  <c r="BA112" i="2" s="1"/>
  <c r="AI112" i="2"/>
  <c r="AZ112" i="2" s="1"/>
  <c r="AH112" i="2"/>
  <c r="AY112" i="2" s="1"/>
  <c r="AG112" i="2"/>
  <c r="AF112" i="2"/>
  <c r="AE112" i="2"/>
  <c r="AD112" i="2"/>
  <c r="AD295" i="2" s="1"/>
  <c r="AC112" i="2"/>
  <c r="AB112" i="2"/>
  <c r="AB295" i="2" s="1"/>
  <c r="AO111" i="2"/>
  <c r="BF111" i="2" s="1"/>
  <c r="AN111" i="2"/>
  <c r="BE111" i="2" s="1"/>
  <c r="AM111" i="2"/>
  <c r="BD111" i="2" s="1"/>
  <c r="AL111" i="2"/>
  <c r="BC111" i="2" s="1"/>
  <c r="AK111" i="2"/>
  <c r="BB111" i="2" s="1"/>
  <c r="AJ111" i="2"/>
  <c r="BA111" i="2" s="1"/>
  <c r="AI111" i="2"/>
  <c r="AZ111" i="2" s="1"/>
  <c r="AH111" i="2"/>
  <c r="AY111" i="2" s="1"/>
  <c r="AG111" i="2"/>
  <c r="AF111" i="2"/>
  <c r="AE111" i="2"/>
  <c r="AD111" i="2"/>
  <c r="AD294" i="2" s="1"/>
  <c r="AC111" i="2"/>
  <c r="AB111" i="2"/>
  <c r="AB294" i="2" s="1"/>
  <c r="AO110" i="2"/>
  <c r="BF110" i="2" s="1"/>
  <c r="AN110" i="2"/>
  <c r="BE110" i="2" s="1"/>
  <c r="AM110" i="2"/>
  <c r="BD110" i="2" s="1"/>
  <c r="AL110" i="2"/>
  <c r="BC110" i="2" s="1"/>
  <c r="AK110" i="2"/>
  <c r="BB110" i="2" s="1"/>
  <c r="AJ110" i="2"/>
  <c r="BA110" i="2" s="1"/>
  <c r="AI110" i="2"/>
  <c r="AZ110" i="2" s="1"/>
  <c r="AH110" i="2"/>
  <c r="AY110" i="2" s="1"/>
  <c r="AG110" i="2"/>
  <c r="AF110" i="2"/>
  <c r="AF318" i="2" s="1"/>
  <c r="AE110" i="2"/>
  <c r="AD110" i="2"/>
  <c r="AC110" i="2"/>
  <c r="AB110" i="2"/>
  <c r="AB293" i="2" s="1"/>
  <c r="AO109" i="2"/>
  <c r="BF109" i="2" s="1"/>
  <c r="AN109" i="2"/>
  <c r="BE109" i="2" s="1"/>
  <c r="AM109" i="2"/>
  <c r="BD109" i="2" s="1"/>
  <c r="AL109" i="2"/>
  <c r="BC109" i="2" s="1"/>
  <c r="AK109" i="2"/>
  <c r="BB109" i="2" s="1"/>
  <c r="AJ109" i="2"/>
  <c r="BA109" i="2" s="1"/>
  <c r="AI109" i="2"/>
  <c r="AZ109" i="2" s="1"/>
  <c r="AH109" i="2"/>
  <c r="AY109" i="2" s="1"/>
  <c r="AG109" i="2"/>
  <c r="AF109" i="2"/>
  <c r="AE109" i="2"/>
  <c r="AD109" i="2"/>
  <c r="AD292" i="2" s="1"/>
  <c r="AC109" i="2"/>
  <c r="AB109" i="2"/>
  <c r="AB292" i="2" s="1"/>
  <c r="AO108" i="2"/>
  <c r="BF108" i="2" s="1"/>
  <c r="AN108" i="2"/>
  <c r="BE108" i="2" s="1"/>
  <c r="AM108" i="2"/>
  <c r="BD108" i="2" s="1"/>
  <c r="AL108" i="2"/>
  <c r="BC108" i="2" s="1"/>
  <c r="AK108" i="2"/>
  <c r="BB108" i="2" s="1"/>
  <c r="AJ108" i="2"/>
  <c r="BA108" i="2" s="1"/>
  <c r="AI108" i="2"/>
  <c r="AZ108" i="2" s="1"/>
  <c r="AH108" i="2"/>
  <c r="AY108" i="2" s="1"/>
  <c r="AG108" i="2"/>
  <c r="AF108" i="2"/>
  <c r="AE108" i="2"/>
  <c r="AD108" i="2"/>
  <c r="AC108" i="2"/>
  <c r="AB108" i="2"/>
  <c r="AB291" i="2" s="1"/>
  <c r="AO107" i="2"/>
  <c r="BF107" i="2" s="1"/>
  <c r="AN107" i="2"/>
  <c r="BE107" i="2" s="1"/>
  <c r="AM107" i="2"/>
  <c r="BD107" i="2" s="1"/>
  <c r="AL107" i="2"/>
  <c r="BC107" i="2" s="1"/>
  <c r="AK107" i="2"/>
  <c r="BB107" i="2" s="1"/>
  <c r="AJ107" i="2"/>
  <c r="BA107" i="2" s="1"/>
  <c r="AI107" i="2"/>
  <c r="AZ107" i="2" s="1"/>
  <c r="AH107" i="2"/>
  <c r="AY107" i="2" s="1"/>
  <c r="AG107" i="2"/>
  <c r="AF107" i="2"/>
  <c r="AE107" i="2"/>
  <c r="AD107" i="2"/>
  <c r="AC107" i="2"/>
  <c r="AB107" i="2"/>
  <c r="AB290" i="2" s="1"/>
  <c r="AO106" i="2"/>
  <c r="BF106" i="2" s="1"/>
  <c r="AN106" i="2"/>
  <c r="BE106" i="2" s="1"/>
  <c r="AM106" i="2"/>
  <c r="BD106" i="2" s="1"/>
  <c r="AL106" i="2"/>
  <c r="BC106" i="2" s="1"/>
  <c r="AK106" i="2"/>
  <c r="BB106" i="2" s="1"/>
  <c r="AJ106" i="2"/>
  <c r="BA106" i="2" s="1"/>
  <c r="AI106" i="2"/>
  <c r="AZ106" i="2" s="1"/>
  <c r="AH106" i="2"/>
  <c r="AY106" i="2" s="1"/>
  <c r="AG106" i="2"/>
  <c r="AF106" i="2"/>
  <c r="AE106" i="2"/>
  <c r="AD106" i="2"/>
  <c r="AD289" i="2" s="1"/>
  <c r="AC106" i="2"/>
  <c r="AB106" i="2"/>
  <c r="AB289" i="2" s="1"/>
  <c r="AO105" i="2"/>
  <c r="BF105" i="2" s="1"/>
  <c r="AN105" i="2"/>
  <c r="BE105" i="2" s="1"/>
  <c r="AM105" i="2"/>
  <c r="BD105" i="2" s="1"/>
  <c r="AL105" i="2"/>
  <c r="BC105" i="2" s="1"/>
  <c r="AK105" i="2"/>
  <c r="BB105" i="2" s="1"/>
  <c r="AJ105" i="2"/>
  <c r="BA105" i="2" s="1"/>
  <c r="AI105" i="2"/>
  <c r="AZ105" i="2" s="1"/>
  <c r="AH105" i="2"/>
  <c r="AY105" i="2" s="1"/>
  <c r="AG105" i="2"/>
  <c r="AF105" i="2"/>
  <c r="AE105" i="2"/>
  <c r="AD105" i="2"/>
  <c r="AD288" i="2" s="1"/>
  <c r="AC105" i="2"/>
  <c r="AB105" i="2"/>
  <c r="AB288" i="2" s="1"/>
  <c r="AO104" i="2"/>
  <c r="BF104" i="2" s="1"/>
  <c r="AN104" i="2"/>
  <c r="BE104" i="2" s="1"/>
  <c r="AM104" i="2"/>
  <c r="BD104" i="2" s="1"/>
  <c r="AL104" i="2"/>
  <c r="BC104" i="2" s="1"/>
  <c r="AK104" i="2"/>
  <c r="BB104" i="2" s="1"/>
  <c r="AJ104" i="2"/>
  <c r="BA104" i="2" s="1"/>
  <c r="AI104" i="2"/>
  <c r="AZ104" i="2" s="1"/>
  <c r="AH104" i="2"/>
  <c r="AY104" i="2" s="1"/>
  <c r="AG104" i="2"/>
  <c r="AF104" i="2"/>
  <c r="AE104" i="2"/>
  <c r="AD104" i="2"/>
  <c r="AD287" i="2" s="1"/>
  <c r="AC104" i="2"/>
  <c r="AB104" i="2"/>
  <c r="AB287" i="2" s="1"/>
  <c r="AO103" i="2"/>
  <c r="BF103" i="2" s="1"/>
  <c r="AN103" i="2"/>
  <c r="BE103" i="2" s="1"/>
  <c r="AM103" i="2"/>
  <c r="BD103" i="2" s="1"/>
  <c r="AL103" i="2"/>
  <c r="BC103" i="2" s="1"/>
  <c r="AK103" i="2"/>
  <c r="BB103" i="2" s="1"/>
  <c r="AJ103" i="2"/>
  <c r="BA103" i="2" s="1"/>
  <c r="AI103" i="2"/>
  <c r="AZ103" i="2" s="1"/>
  <c r="AH103" i="2"/>
  <c r="AY103" i="2" s="1"/>
  <c r="AG103" i="2"/>
  <c r="AF103" i="2"/>
  <c r="AE103" i="2"/>
  <c r="AD103" i="2"/>
  <c r="AC103" i="2"/>
  <c r="AB103" i="2"/>
  <c r="AB286" i="2" s="1"/>
  <c r="AO102" i="2"/>
  <c r="BF102" i="2" s="1"/>
  <c r="AN102" i="2"/>
  <c r="BE102" i="2" s="1"/>
  <c r="AM102" i="2"/>
  <c r="BD102" i="2" s="1"/>
  <c r="AL102" i="2"/>
  <c r="BC102" i="2" s="1"/>
  <c r="AK102" i="2"/>
  <c r="BB102" i="2" s="1"/>
  <c r="AJ102" i="2"/>
  <c r="BA102" i="2" s="1"/>
  <c r="AI102" i="2"/>
  <c r="AZ102" i="2" s="1"/>
  <c r="AH102" i="2"/>
  <c r="AY102" i="2" s="1"/>
  <c r="AG102" i="2"/>
  <c r="AF102" i="2"/>
  <c r="AE102" i="2"/>
  <c r="AD102" i="2"/>
  <c r="AD285" i="2" s="1"/>
  <c r="AC102" i="2"/>
  <c r="AB102" i="2"/>
  <c r="AB285" i="2" s="1"/>
  <c r="AO101" i="2"/>
  <c r="BF101" i="2" s="1"/>
  <c r="AN101" i="2"/>
  <c r="BE101" i="2" s="1"/>
  <c r="AM101" i="2"/>
  <c r="BD101" i="2" s="1"/>
  <c r="AL101" i="2"/>
  <c r="BC101" i="2" s="1"/>
  <c r="AK101" i="2"/>
  <c r="BB101" i="2" s="1"/>
  <c r="AJ101" i="2"/>
  <c r="BA101" i="2" s="1"/>
  <c r="AI101" i="2"/>
  <c r="AZ101" i="2" s="1"/>
  <c r="AH101" i="2"/>
  <c r="AY101" i="2" s="1"/>
  <c r="AG101" i="2"/>
  <c r="AF101" i="2"/>
  <c r="AE101" i="2"/>
  <c r="AD101" i="2"/>
  <c r="AC101" i="2"/>
  <c r="AB101" i="2"/>
  <c r="AB284" i="2" s="1"/>
  <c r="AC100" i="2"/>
  <c r="AD100" i="2" s="1"/>
  <c r="AE100" i="2" s="1"/>
  <c r="AF100" i="2" s="1"/>
  <c r="AG100" i="2" s="1"/>
  <c r="C100" i="2"/>
  <c r="AO99" i="2"/>
  <c r="AN99" i="2"/>
  <c r="AM99" i="2"/>
  <c r="AL99" i="2"/>
  <c r="AK99" i="2"/>
  <c r="AJ99" i="2"/>
  <c r="AI99" i="2"/>
  <c r="AH99" i="2"/>
  <c r="AG99" i="2"/>
  <c r="AF99" i="2"/>
  <c r="AE99" i="2"/>
  <c r="AD99" i="2"/>
  <c r="O99" i="2"/>
  <c r="N99" i="2"/>
  <c r="M99" i="2"/>
  <c r="L99" i="2"/>
  <c r="K99" i="2"/>
  <c r="J99" i="2"/>
  <c r="I99" i="2"/>
  <c r="H99" i="2"/>
  <c r="G99" i="2"/>
  <c r="F99" i="2"/>
  <c r="E99" i="2"/>
  <c r="D99" i="2"/>
  <c r="AD98" i="2"/>
  <c r="AE98" i="2" s="1"/>
  <c r="AF98" i="2" s="1"/>
  <c r="AG98" i="2" s="1"/>
  <c r="AH98" i="2" s="1"/>
  <c r="AI98" i="2" s="1"/>
  <c r="AJ98" i="2" s="1"/>
  <c r="AK98" i="2" s="1"/>
  <c r="AL98" i="2" s="1"/>
  <c r="AM98" i="2" s="1"/>
  <c r="AN98" i="2" s="1"/>
  <c r="AO98" i="2" s="1"/>
  <c r="D98" i="2"/>
  <c r="E98" i="2" s="1"/>
  <c r="F98" i="2" s="1"/>
  <c r="G98" i="2" s="1"/>
  <c r="H98" i="2" s="1"/>
  <c r="I98" i="2" s="1"/>
  <c r="J98" i="2" s="1"/>
  <c r="K98" i="2" s="1"/>
  <c r="L98" i="2" s="1"/>
  <c r="M98" i="2" s="1"/>
  <c r="N98" i="2" s="1"/>
  <c r="O98" i="2" s="1"/>
  <c r="EQ96" i="6"/>
  <c r="EK96" i="6"/>
  <c r="EE96" i="6"/>
  <c r="DY96" i="6"/>
  <c r="DS96" i="6"/>
  <c r="DM96" i="6"/>
  <c r="DG96" i="6"/>
  <c r="DA96" i="6"/>
  <c r="CU96" i="6"/>
  <c r="CO96" i="6"/>
  <c r="CI96" i="6"/>
  <c r="CC96" i="6"/>
  <c r="BW96" i="6"/>
  <c r="BQ96" i="6"/>
  <c r="BK96" i="6"/>
  <c r="BE96" i="6"/>
  <c r="AY96" i="6"/>
  <c r="AS96" i="6"/>
  <c r="AM96" i="6"/>
  <c r="AG96" i="6"/>
  <c r="AA96" i="6"/>
  <c r="U96" i="6"/>
  <c r="O96" i="6"/>
  <c r="EQ95" i="6"/>
  <c r="EK95" i="6"/>
  <c r="EE95" i="6"/>
  <c r="DY95" i="6"/>
  <c r="DS95" i="6"/>
  <c r="DM95" i="6"/>
  <c r="DG95" i="6"/>
  <c r="DA95" i="6"/>
  <c r="CU95" i="6"/>
  <c r="CO95" i="6"/>
  <c r="CI95" i="6"/>
  <c r="CC95" i="6"/>
  <c r="BW95" i="6"/>
  <c r="BQ95" i="6"/>
  <c r="BK95" i="6"/>
  <c r="BE95" i="6"/>
  <c r="AY95" i="6"/>
  <c r="AS95" i="6"/>
  <c r="AM95" i="6"/>
  <c r="AG95" i="6"/>
  <c r="AA95" i="6"/>
  <c r="U95" i="6"/>
  <c r="O95" i="6"/>
  <c r="EQ93" i="6"/>
  <c r="EO93" i="6"/>
  <c r="EN93" i="6"/>
  <c r="EM93" i="6"/>
  <c r="EK93" i="6"/>
  <c r="EI93" i="6"/>
  <c r="EH93" i="6"/>
  <c r="EG93" i="6"/>
  <c r="EE93" i="6"/>
  <c r="EC93" i="6"/>
  <c r="EB93" i="6"/>
  <c r="EA93" i="6"/>
  <c r="DY93" i="6"/>
  <c r="DW93" i="6"/>
  <c r="DV93" i="6"/>
  <c r="DU93" i="6"/>
  <c r="DS93" i="6"/>
  <c r="DQ93" i="6"/>
  <c r="DP93" i="6"/>
  <c r="DO93" i="6"/>
  <c r="DM93" i="6"/>
  <c r="DK93" i="6"/>
  <c r="DJ93" i="6"/>
  <c r="DI93" i="6"/>
  <c r="DG93" i="6"/>
  <c r="DE93" i="6"/>
  <c r="DD93" i="6"/>
  <c r="DC93" i="6"/>
  <c r="DA93" i="6"/>
  <c r="CY93" i="6"/>
  <c r="CX93" i="6"/>
  <c r="CW93" i="6"/>
  <c r="CU93" i="6"/>
  <c r="CS93" i="6"/>
  <c r="CR93" i="6"/>
  <c r="CQ93" i="6"/>
  <c r="CO93" i="6"/>
  <c r="CM93" i="6"/>
  <c r="CL93" i="6"/>
  <c r="CK93" i="6"/>
  <c r="CI93" i="6"/>
  <c r="CG93" i="6"/>
  <c r="CF93" i="6"/>
  <c r="CE93" i="6"/>
  <c r="CC93" i="6"/>
  <c r="CA93" i="6"/>
  <c r="BZ93" i="6"/>
  <c r="BY93" i="6"/>
  <c r="BW93" i="6"/>
  <c r="BU93" i="6"/>
  <c r="BT93" i="6"/>
  <c r="BS93" i="6"/>
  <c r="BQ93" i="6"/>
  <c r="BO93" i="6"/>
  <c r="BN93" i="6"/>
  <c r="BM93" i="6"/>
  <c r="BK93" i="6"/>
  <c r="BI93" i="6"/>
  <c r="BH93" i="6"/>
  <c r="BG93" i="6"/>
  <c r="BE93" i="6"/>
  <c r="BC93" i="6"/>
  <c r="BB93" i="6"/>
  <c r="BA93" i="6"/>
  <c r="AY93" i="6"/>
  <c r="AW93" i="6"/>
  <c r="AV93" i="6"/>
  <c r="AU93" i="6"/>
  <c r="AS93" i="6"/>
  <c r="AQ93" i="6"/>
  <c r="AP93" i="6"/>
  <c r="AO93" i="6"/>
  <c r="AM93" i="6"/>
  <c r="AK93" i="6"/>
  <c r="AJ93" i="6"/>
  <c r="AI93" i="6"/>
  <c r="AG93" i="6"/>
  <c r="AE93" i="6"/>
  <c r="AD93" i="6"/>
  <c r="AC93" i="6"/>
  <c r="AA93" i="6"/>
  <c r="Y93" i="6"/>
  <c r="X93" i="6"/>
  <c r="W93" i="6"/>
  <c r="U93" i="6"/>
  <c r="S93" i="6"/>
  <c r="R93" i="6"/>
  <c r="Q93" i="6"/>
  <c r="O93" i="6"/>
  <c r="M93" i="6"/>
  <c r="L93" i="6"/>
  <c r="K93" i="6"/>
  <c r="EQ92" i="6"/>
  <c r="EO92" i="6"/>
  <c r="EN92" i="6"/>
  <c r="EM92" i="6"/>
  <c r="EK92" i="6"/>
  <c r="EI92" i="6"/>
  <c r="EH92" i="6"/>
  <c r="EG92" i="6"/>
  <c r="EE92" i="6"/>
  <c r="EC92" i="6"/>
  <c r="EB92" i="6"/>
  <c r="EA92" i="6"/>
  <c r="DY92" i="6"/>
  <c r="DW92" i="6"/>
  <c r="DV92" i="6"/>
  <c r="DU92" i="6"/>
  <c r="DS92" i="6"/>
  <c r="DQ92" i="6"/>
  <c r="DP92" i="6"/>
  <c r="DO92" i="6"/>
  <c r="DM92" i="6"/>
  <c r="DK92" i="6"/>
  <c r="DJ92" i="6"/>
  <c r="DI92" i="6"/>
  <c r="DG92" i="6"/>
  <c r="DE92" i="6"/>
  <c r="DD92" i="6"/>
  <c r="DC92" i="6"/>
  <c r="DA92" i="6"/>
  <c r="CY92" i="6"/>
  <c r="CX92" i="6"/>
  <c r="CW92" i="6"/>
  <c r="CU92" i="6"/>
  <c r="CS92" i="6"/>
  <c r="CR92" i="6"/>
  <c r="CQ92" i="6"/>
  <c r="CO92" i="6"/>
  <c r="CM92" i="6"/>
  <c r="CL92" i="6"/>
  <c r="CK92" i="6"/>
  <c r="CI92" i="6"/>
  <c r="CG92" i="6"/>
  <c r="CF92" i="6"/>
  <c r="CE92" i="6"/>
  <c r="CC92" i="6"/>
  <c r="CA92" i="6"/>
  <c r="BZ92" i="6"/>
  <c r="BY92" i="6"/>
  <c r="BW92" i="6"/>
  <c r="BU92" i="6"/>
  <c r="BT92" i="6"/>
  <c r="BS92" i="6"/>
  <c r="BQ92" i="6"/>
  <c r="BO92" i="6"/>
  <c r="BN92" i="6"/>
  <c r="BM92" i="6"/>
  <c r="BK92" i="6"/>
  <c r="BI92" i="6"/>
  <c r="BH92" i="6"/>
  <c r="BG92" i="6"/>
  <c r="BE92" i="6"/>
  <c r="BC92" i="6"/>
  <c r="BB92" i="6"/>
  <c r="BA92" i="6"/>
  <c r="AY92" i="6"/>
  <c r="AW92" i="6"/>
  <c r="AV92" i="6"/>
  <c r="AU92" i="6"/>
  <c r="AS92" i="6"/>
  <c r="AQ92" i="6"/>
  <c r="AP92" i="6"/>
  <c r="AO92" i="6"/>
  <c r="AM92" i="6"/>
  <c r="AK92" i="6"/>
  <c r="AJ92" i="6"/>
  <c r="AI92" i="6"/>
  <c r="AG92" i="6"/>
  <c r="AE92" i="6"/>
  <c r="AD92" i="6"/>
  <c r="AC92" i="6"/>
  <c r="AA92" i="6"/>
  <c r="Y92" i="6"/>
  <c r="X92" i="6"/>
  <c r="W92" i="6"/>
  <c r="U92" i="6"/>
  <c r="S92" i="6"/>
  <c r="R92" i="6"/>
  <c r="Q92" i="6"/>
  <c r="O92" i="6"/>
  <c r="M92" i="6"/>
  <c r="L92" i="6"/>
  <c r="K92" i="6"/>
  <c r="EQ90" i="6"/>
  <c r="EO90" i="6"/>
  <c r="EN90" i="6"/>
  <c r="EM90" i="6"/>
  <c r="EK90" i="6"/>
  <c r="EI90" i="6"/>
  <c r="EH90" i="6"/>
  <c r="EG90" i="6"/>
  <c r="EE90" i="6"/>
  <c r="EC90" i="6"/>
  <c r="EB90" i="6"/>
  <c r="EA90" i="6"/>
  <c r="DY90" i="6"/>
  <c r="DW90" i="6"/>
  <c r="DV90" i="6"/>
  <c r="DU90" i="6"/>
  <c r="DS90" i="6"/>
  <c r="DQ90" i="6"/>
  <c r="DP90" i="6"/>
  <c r="DO90" i="6"/>
  <c r="DM90" i="6"/>
  <c r="DK90" i="6"/>
  <c r="DJ90" i="6"/>
  <c r="DI90" i="6"/>
  <c r="DG90" i="6"/>
  <c r="DE90" i="6"/>
  <c r="DD90" i="6"/>
  <c r="DC90" i="6"/>
  <c r="DA90" i="6"/>
  <c r="CY90" i="6"/>
  <c r="CX90" i="6"/>
  <c r="CW90" i="6"/>
  <c r="CU90" i="6"/>
  <c r="CS90" i="6"/>
  <c r="CR90" i="6"/>
  <c r="CQ90" i="6"/>
  <c r="CO90" i="6"/>
  <c r="CM90" i="6"/>
  <c r="CL90" i="6"/>
  <c r="CK90" i="6"/>
  <c r="CI90" i="6"/>
  <c r="CG90" i="6"/>
  <c r="CF90" i="6"/>
  <c r="CE90" i="6"/>
  <c r="CC90" i="6"/>
  <c r="CA90" i="6"/>
  <c r="BZ90" i="6"/>
  <c r="BY90" i="6"/>
  <c r="BW90" i="6"/>
  <c r="BU90" i="6"/>
  <c r="BT90" i="6"/>
  <c r="BS90" i="6"/>
  <c r="BQ90" i="6"/>
  <c r="BO90" i="6"/>
  <c r="BN90" i="6"/>
  <c r="BM90" i="6"/>
  <c r="BK90" i="6"/>
  <c r="BI90" i="6"/>
  <c r="BH90" i="6"/>
  <c r="BG90" i="6"/>
  <c r="BE90" i="6"/>
  <c r="BC90" i="6"/>
  <c r="BB90" i="6"/>
  <c r="BA90" i="6"/>
  <c r="AY90" i="6"/>
  <c r="AW90" i="6"/>
  <c r="AV90" i="6"/>
  <c r="AU90" i="6"/>
  <c r="AS90" i="6"/>
  <c r="AQ90" i="6"/>
  <c r="AP90" i="6"/>
  <c r="AO90" i="6"/>
  <c r="AM90" i="6"/>
  <c r="AK90" i="6"/>
  <c r="AJ90" i="6"/>
  <c r="AI90" i="6"/>
  <c r="AG90" i="6"/>
  <c r="AE90" i="6"/>
  <c r="AD90" i="6"/>
  <c r="AC90" i="6"/>
  <c r="AA90" i="6"/>
  <c r="Y90" i="6"/>
  <c r="X90" i="6"/>
  <c r="W90" i="6"/>
  <c r="U90" i="6"/>
  <c r="S90" i="6"/>
  <c r="R90" i="6"/>
  <c r="Q90" i="6"/>
  <c r="O90" i="6"/>
  <c r="M90" i="6"/>
  <c r="L90" i="6"/>
  <c r="K90" i="6"/>
  <c r="EQ88" i="6"/>
  <c r="EK88" i="6"/>
  <c r="EE88" i="6"/>
  <c r="DY88" i="6"/>
  <c r="DS88" i="6"/>
  <c r="DM88" i="6"/>
  <c r="DG88" i="6"/>
  <c r="DA88" i="6"/>
  <c r="CU88" i="6"/>
  <c r="CO88" i="6"/>
  <c r="CI88" i="6"/>
  <c r="CC88" i="6"/>
  <c r="BW88" i="6"/>
  <c r="BQ88" i="6"/>
  <c r="BK88" i="6"/>
  <c r="BE88" i="6"/>
  <c r="AY88" i="6"/>
  <c r="AS88" i="6"/>
  <c r="AM88" i="6"/>
  <c r="AG88" i="6"/>
  <c r="AA88" i="6"/>
  <c r="U88" i="6"/>
  <c r="O88" i="6"/>
  <c r="EQ87" i="6"/>
  <c r="EO87" i="6"/>
  <c r="EN87" i="6"/>
  <c r="EM87" i="6"/>
  <c r="EK87" i="6"/>
  <c r="EI87" i="6"/>
  <c r="EH87" i="6"/>
  <c r="EG87" i="6"/>
  <c r="EE87" i="6"/>
  <c r="EC87" i="6"/>
  <c r="EB87" i="6"/>
  <c r="EA87" i="6"/>
  <c r="DY87" i="6"/>
  <c r="DW87" i="6"/>
  <c r="DV87" i="6"/>
  <c r="DU87" i="6"/>
  <c r="DS87" i="6"/>
  <c r="DQ87" i="6"/>
  <c r="DP87" i="6"/>
  <c r="DO87" i="6"/>
  <c r="DM87" i="6"/>
  <c r="DK87" i="6"/>
  <c r="DJ87" i="6"/>
  <c r="DI87" i="6"/>
  <c r="DG87" i="6"/>
  <c r="DE87" i="6"/>
  <c r="DD87" i="6"/>
  <c r="DC87" i="6"/>
  <c r="DA87" i="6"/>
  <c r="CY87" i="6"/>
  <c r="CX87" i="6"/>
  <c r="CW87" i="6"/>
  <c r="CU87" i="6"/>
  <c r="CS87" i="6"/>
  <c r="CR87" i="6"/>
  <c r="CQ87" i="6"/>
  <c r="CO87" i="6"/>
  <c r="CM87" i="6"/>
  <c r="CL87" i="6"/>
  <c r="CK87" i="6"/>
  <c r="CI87" i="6"/>
  <c r="CG87" i="6"/>
  <c r="CF87" i="6"/>
  <c r="CE87" i="6"/>
  <c r="CC87" i="6"/>
  <c r="CA87" i="6"/>
  <c r="BZ87" i="6"/>
  <c r="BY87" i="6"/>
  <c r="BW87" i="6"/>
  <c r="BU87" i="6"/>
  <c r="BT87" i="6"/>
  <c r="BS87" i="6"/>
  <c r="BQ87" i="6"/>
  <c r="BO87" i="6"/>
  <c r="BN87" i="6"/>
  <c r="BM87" i="6"/>
  <c r="BK87" i="6"/>
  <c r="BI87" i="6"/>
  <c r="BH87" i="6"/>
  <c r="BG87" i="6"/>
  <c r="BE87" i="6"/>
  <c r="BC87" i="6"/>
  <c r="BB87" i="6"/>
  <c r="BA87" i="6"/>
  <c r="AY87" i="6"/>
  <c r="AW87" i="6"/>
  <c r="AV87" i="6"/>
  <c r="AU87" i="6"/>
  <c r="AS87" i="6"/>
  <c r="AQ87" i="6"/>
  <c r="AP87" i="6"/>
  <c r="AO87" i="6"/>
  <c r="AM87" i="6"/>
  <c r="AK87" i="6"/>
  <c r="AJ87" i="6"/>
  <c r="AI87" i="6"/>
  <c r="AG87" i="6"/>
  <c r="AE87" i="6"/>
  <c r="AD87" i="6"/>
  <c r="AC87" i="6"/>
  <c r="AA87" i="6"/>
  <c r="Y87" i="6"/>
  <c r="X87" i="6"/>
  <c r="W87" i="6"/>
  <c r="U87" i="6"/>
  <c r="S87" i="6"/>
  <c r="R87" i="6"/>
  <c r="Q87" i="6"/>
  <c r="O87" i="6"/>
  <c r="M87" i="6"/>
  <c r="L87" i="6"/>
  <c r="K87" i="6"/>
  <c r="EQ86" i="6"/>
  <c r="EO86" i="6"/>
  <c r="EN86" i="6"/>
  <c r="EM86" i="6"/>
  <c r="EK86" i="6"/>
  <c r="EI86" i="6"/>
  <c r="EH86" i="6"/>
  <c r="EG86" i="6"/>
  <c r="EE86" i="6"/>
  <c r="EC86" i="6"/>
  <c r="EB86" i="6"/>
  <c r="EA86" i="6"/>
  <c r="DY86" i="6"/>
  <c r="DW86" i="6"/>
  <c r="DV86" i="6"/>
  <c r="DU86" i="6"/>
  <c r="DS86" i="6"/>
  <c r="DQ86" i="6"/>
  <c r="DP86" i="6"/>
  <c r="DO86" i="6"/>
  <c r="DM86" i="6"/>
  <c r="DK86" i="6"/>
  <c r="DJ86" i="6"/>
  <c r="DI86" i="6"/>
  <c r="DG86" i="6"/>
  <c r="DE86" i="6"/>
  <c r="DD86" i="6"/>
  <c r="DC86" i="6"/>
  <c r="DA86" i="6"/>
  <c r="CY86" i="6"/>
  <c r="CX86" i="6"/>
  <c r="CW86" i="6"/>
  <c r="CU86" i="6"/>
  <c r="CS86" i="6"/>
  <c r="CR86" i="6"/>
  <c r="CQ86" i="6"/>
  <c r="CO86" i="6"/>
  <c r="CM86" i="6"/>
  <c r="CL86" i="6"/>
  <c r="CK86" i="6"/>
  <c r="CI86" i="6"/>
  <c r="CG86" i="6"/>
  <c r="CF86" i="6"/>
  <c r="CE86" i="6"/>
  <c r="CC86" i="6"/>
  <c r="CA86" i="6"/>
  <c r="BZ86" i="6"/>
  <c r="BY86" i="6"/>
  <c r="BW86" i="6"/>
  <c r="BU86" i="6"/>
  <c r="BT86" i="6"/>
  <c r="BS86" i="6"/>
  <c r="BQ86" i="6"/>
  <c r="BO86" i="6"/>
  <c r="BN86" i="6"/>
  <c r="BM86" i="6"/>
  <c r="BK86" i="6"/>
  <c r="BI86" i="6"/>
  <c r="BH86" i="6"/>
  <c r="BG86" i="6"/>
  <c r="BE86" i="6"/>
  <c r="BC86" i="6"/>
  <c r="BB86" i="6"/>
  <c r="BA86" i="6"/>
  <c r="AY86" i="6"/>
  <c r="AW86" i="6"/>
  <c r="AV86" i="6"/>
  <c r="AU86" i="6"/>
  <c r="AS86" i="6"/>
  <c r="AQ86" i="6"/>
  <c r="AP86" i="6"/>
  <c r="AO86" i="6"/>
  <c r="AM86" i="6"/>
  <c r="AK86" i="6"/>
  <c r="AJ86" i="6"/>
  <c r="AI86" i="6"/>
  <c r="AG86" i="6"/>
  <c r="AE86" i="6"/>
  <c r="AD86" i="6"/>
  <c r="AC86" i="6"/>
  <c r="AA86" i="6"/>
  <c r="Y86" i="6"/>
  <c r="X86" i="6"/>
  <c r="W86" i="6"/>
  <c r="U86" i="6"/>
  <c r="S86" i="6"/>
  <c r="R86" i="6"/>
  <c r="Q86" i="6"/>
  <c r="O86" i="6"/>
  <c r="M86" i="6"/>
  <c r="L86" i="6"/>
  <c r="K86" i="6"/>
  <c r="EQ85" i="6"/>
  <c r="EO85" i="6"/>
  <c r="EK85" i="6"/>
  <c r="EI85" i="6"/>
  <c r="EE85" i="6"/>
  <c r="EC85" i="6"/>
  <c r="DY85" i="6"/>
  <c r="DW85" i="6"/>
  <c r="DS85" i="6"/>
  <c r="DQ85" i="6"/>
  <c r="DM85" i="6"/>
  <c r="DK85" i="6"/>
  <c r="DG85" i="6"/>
  <c r="DE85" i="6"/>
  <c r="DA85" i="6"/>
  <c r="CY85" i="6"/>
  <c r="CU85" i="6"/>
  <c r="CS85" i="6"/>
  <c r="CO85" i="6"/>
  <c r="CM85" i="6"/>
  <c r="CI85" i="6"/>
  <c r="CG85" i="6"/>
  <c r="CC85" i="6"/>
  <c r="CA85" i="6"/>
  <c r="BW85" i="6"/>
  <c r="BU85" i="6"/>
  <c r="BQ85" i="6"/>
  <c r="BO85" i="6"/>
  <c r="BK85" i="6"/>
  <c r="BI85" i="6"/>
  <c r="BE85" i="6"/>
  <c r="BC85" i="6"/>
  <c r="AY85" i="6"/>
  <c r="AW85" i="6"/>
  <c r="AS85" i="6"/>
  <c r="AQ85" i="6"/>
  <c r="AM85" i="6"/>
  <c r="AK85" i="6"/>
  <c r="AG85" i="6"/>
  <c r="AE85" i="6"/>
  <c r="AA85" i="6"/>
  <c r="Y85" i="6"/>
  <c r="U85" i="6"/>
  <c r="S85" i="6"/>
  <c r="O85" i="6"/>
  <c r="M85" i="6"/>
  <c r="EQ83" i="6"/>
  <c r="EK83" i="6"/>
  <c r="EE83" i="6"/>
  <c r="DY83" i="6"/>
  <c r="DS83" i="6"/>
  <c r="DM83" i="6"/>
  <c r="DG83" i="6"/>
  <c r="DA83" i="6"/>
  <c r="CU83" i="6"/>
  <c r="CO83" i="6"/>
  <c r="CI83" i="6"/>
  <c r="CC83" i="6"/>
  <c r="BW83" i="6"/>
  <c r="BQ83" i="6"/>
  <c r="BK83" i="6"/>
  <c r="BE83" i="6"/>
  <c r="AY83" i="6"/>
  <c r="AS83" i="6"/>
  <c r="AM83" i="6"/>
  <c r="AG83" i="6"/>
  <c r="AA83" i="6"/>
  <c r="U83" i="6"/>
  <c r="O83" i="6"/>
  <c r="EQ82" i="6"/>
  <c r="EK82" i="6"/>
  <c r="EE82" i="6"/>
  <c r="DY82" i="6"/>
  <c r="DS82" i="6"/>
  <c r="DM82" i="6"/>
  <c r="DG82" i="6"/>
  <c r="DA82" i="6"/>
  <c r="CU82" i="6"/>
  <c r="CO82" i="6"/>
  <c r="CI82" i="6"/>
  <c r="CC82" i="6"/>
  <c r="BW82" i="6"/>
  <c r="BQ82" i="6"/>
  <c r="BK82" i="6"/>
  <c r="BE82" i="6"/>
  <c r="AY82" i="6"/>
  <c r="AS82" i="6"/>
  <c r="AM82" i="6"/>
  <c r="AG82" i="6"/>
  <c r="AA82" i="6"/>
  <c r="U82" i="6"/>
  <c r="O82" i="6"/>
  <c r="EQ80" i="6"/>
  <c r="EP80" i="6"/>
  <c r="EO80" i="6"/>
  <c r="EK80" i="6"/>
  <c r="EJ80" i="6"/>
  <c r="EI80" i="6"/>
  <c r="EE80" i="6"/>
  <c r="ED80" i="6"/>
  <c r="EC80" i="6"/>
  <c r="DY80" i="6"/>
  <c r="DX80" i="6"/>
  <c r="DW80" i="6"/>
  <c r="DS80" i="6"/>
  <c r="DR80" i="6"/>
  <c r="DQ80" i="6"/>
  <c r="DM80" i="6"/>
  <c r="DL80" i="6"/>
  <c r="DK80" i="6"/>
  <c r="DG80" i="6"/>
  <c r="DF80" i="6"/>
  <c r="DE80" i="6"/>
  <c r="DA80" i="6"/>
  <c r="CZ80" i="6"/>
  <c r="CY80" i="6"/>
  <c r="CU80" i="6"/>
  <c r="CT80" i="6"/>
  <c r="CS80" i="6"/>
  <c r="CO80" i="6"/>
  <c r="CN80" i="6"/>
  <c r="CM80" i="6"/>
  <c r="CI80" i="6"/>
  <c r="CH80" i="6"/>
  <c r="CG80" i="6"/>
  <c r="CC80" i="6"/>
  <c r="CB80" i="6"/>
  <c r="CA80" i="6"/>
  <c r="BW80" i="6"/>
  <c r="BV80" i="6"/>
  <c r="BU80" i="6"/>
  <c r="BQ80" i="6"/>
  <c r="BP80" i="6"/>
  <c r="BO80" i="6"/>
  <c r="BK80" i="6"/>
  <c r="BJ80" i="6"/>
  <c r="BI80" i="6"/>
  <c r="BE80" i="6"/>
  <c r="BD80" i="6"/>
  <c r="BC80" i="6"/>
  <c r="AY80" i="6"/>
  <c r="AX80" i="6"/>
  <c r="AW80" i="6"/>
  <c r="AS80" i="6"/>
  <c r="AR80" i="6"/>
  <c r="AQ80" i="6"/>
  <c r="AM80" i="6"/>
  <c r="AL80" i="6"/>
  <c r="AK80" i="6"/>
  <c r="AG80" i="6"/>
  <c r="AF80" i="6"/>
  <c r="AE80" i="6"/>
  <c r="AA80" i="6"/>
  <c r="Z80" i="6"/>
  <c r="Y80" i="6"/>
  <c r="U80" i="6"/>
  <c r="T80" i="6"/>
  <c r="S80" i="6"/>
  <c r="O80" i="6"/>
  <c r="N80" i="6"/>
  <c r="M80" i="6"/>
  <c r="EQ78" i="6"/>
  <c r="EK78" i="6"/>
  <c r="EE78" i="6"/>
  <c r="DY78" i="6"/>
  <c r="DS78" i="6"/>
  <c r="DM78" i="6"/>
  <c r="DG78" i="6"/>
  <c r="DA78" i="6"/>
  <c r="CU78" i="6"/>
  <c r="CO78" i="6"/>
  <c r="CI78" i="6"/>
  <c r="CC78" i="6"/>
  <c r="BW78" i="6"/>
  <c r="BQ78" i="6"/>
  <c r="BK78" i="6"/>
  <c r="BE78" i="6"/>
  <c r="AY78" i="6"/>
  <c r="AS78" i="6"/>
  <c r="AM78" i="6"/>
  <c r="AG78" i="6"/>
  <c r="AA78" i="6"/>
  <c r="U78" i="6"/>
  <c r="O78" i="6"/>
  <c r="EQ76" i="6"/>
  <c r="EP76" i="6"/>
  <c r="EO76" i="6"/>
  <c r="EK76" i="6"/>
  <c r="EJ76" i="6"/>
  <c r="EI76" i="6"/>
  <c r="EE76" i="6"/>
  <c r="ED76" i="6"/>
  <c r="EC76" i="6"/>
  <c r="DY76" i="6"/>
  <c r="DX76" i="6"/>
  <c r="DW76" i="6"/>
  <c r="DS76" i="6"/>
  <c r="DR76" i="6"/>
  <c r="DQ76" i="6"/>
  <c r="DM76" i="6"/>
  <c r="DL76" i="6"/>
  <c r="DK76" i="6"/>
  <c r="DG76" i="6"/>
  <c r="DF76" i="6"/>
  <c r="DE76" i="6"/>
  <c r="DA76" i="6"/>
  <c r="CZ76" i="6"/>
  <c r="CY76" i="6"/>
  <c r="CU76" i="6"/>
  <c r="CT76" i="6"/>
  <c r="CS76" i="6"/>
  <c r="CO76" i="6"/>
  <c r="CN76" i="6"/>
  <c r="CM76" i="6"/>
  <c r="CI76" i="6"/>
  <c r="CH76" i="6"/>
  <c r="CG76" i="6"/>
  <c r="CC76" i="6"/>
  <c r="CB76" i="6"/>
  <c r="CA76" i="6"/>
  <c r="BW76" i="6"/>
  <c r="BV76" i="6"/>
  <c r="BU76" i="6"/>
  <c r="BQ76" i="6"/>
  <c r="BP76" i="6"/>
  <c r="BO76" i="6"/>
  <c r="BK76" i="6"/>
  <c r="BJ76" i="6"/>
  <c r="BI76" i="6"/>
  <c r="BE76" i="6"/>
  <c r="BD76" i="6"/>
  <c r="BC76" i="6"/>
  <c r="AY76" i="6"/>
  <c r="AX76" i="6"/>
  <c r="AW76" i="6"/>
  <c r="AS76" i="6"/>
  <c r="AR76" i="6"/>
  <c r="AQ76" i="6"/>
  <c r="AM76" i="6"/>
  <c r="AL76" i="6"/>
  <c r="AK76" i="6"/>
  <c r="AG76" i="6"/>
  <c r="AF76" i="6"/>
  <c r="AE76" i="6"/>
  <c r="AA76" i="6"/>
  <c r="Z76" i="6"/>
  <c r="Y76" i="6"/>
  <c r="U76" i="6"/>
  <c r="T76" i="6"/>
  <c r="S76" i="6"/>
  <c r="O76" i="6"/>
  <c r="N76" i="6"/>
  <c r="M76" i="6"/>
  <c r="EQ75" i="6"/>
  <c r="EO75" i="6"/>
  <c r="EN75" i="6"/>
  <c r="EM75" i="6"/>
  <c r="EK75" i="6"/>
  <c r="EI75" i="6"/>
  <c r="EH75" i="6"/>
  <c r="EG75" i="6"/>
  <c r="EE75" i="6"/>
  <c r="EC75" i="6"/>
  <c r="EB75" i="6"/>
  <c r="EA75" i="6"/>
  <c r="DY75" i="6"/>
  <c r="DW75" i="6"/>
  <c r="DV75" i="6"/>
  <c r="DU75" i="6"/>
  <c r="DS75" i="6"/>
  <c r="DQ75" i="6"/>
  <c r="DP75" i="6"/>
  <c r="DO75" i="6"/>
  <c r="DM75" i="6"/>
  <c r="DK75" i="6"/>
  <c r="DJ75" i="6"/>
  <c r="DI75" i="6"/>
  <c r="DG75" i="6"/>
  <c r="DE75" i="6"/>
  <c r="DD75" i="6"/>
  <c r="DC75" i="6"/>
  <c r="DA75" i="6"/>
  <c r="CY75" i="6"/>
  <c r="CX75" i="6"/>
  <c r="CW75" i="6"/>
  <c r="CU75" i="6"/>
  <c r="CS75" i="6"/>
  <c r="CR75" i="6"/>
  <c r="CQ75" i="6"/>
  <c r="CO75" i="6"/>
  <c r="CM75" i="6"/>
  <c r="CL75" i="6"/>
  <c r="CK75" i="6"/>
  <c r="CI75" i="6"/>
  <c r="CG75" i="6"/>
  <c r="CF75" i="6"/>
  <c r="CE75" i="6"/>
  <c r="CC75" i="6"/>
  <c r="CA75" i="6"/>
  <c r="BZ75" i="6"/>
  <c r="BY75" i="6"/>
  <c r="BW75" i="6"/>
  <c r="BU75" i="6"/>
  <c r="BT75" i="6"/>
  <c r="BS75" i="6"/>
  <c r="BQ75" i="6"/>
  <c r="BO75" i="6"/>
  <c r="BN75" i="6"/>
  <c r="BM75" i="6"/>
  <c r="BK75" i="6"/>
  <c r="BI75" i="6"/>
  <c r="BH75" i="6"/>
  <c r="BG75" i="6"/>
  <c r="BE75" i="6"/>
  <c r="BC75" i="6"/>
  <c r="BB75" i="6"/>
  <c r="BA75" i="6"/>
  <c r="AY75" i="6"/>
  <c r="AW75" i="6"/>
  <c r="AV75" i="6"/>
  <c r="AU75" i="6"/>
  <c r="AS75" i="6"/>
  <c r="AQ75" i="6"/>
  <c r="AP75" i="6"/>
  <c r="AO75" i="6"/>
  <c r="AM75" i="6"/>
  <c r="AK75" i="6"/>
  <c r="AJ75" i="6"/>
  <c r="AI75" i="6"/>
  <c r="AG75" i="6"/>
  <c r="AE75" i="6"/>
  <c r="AD75" i="6"/>
  <c r="AC75" i="6"/>
  <c r="AA75" i="6"/>
  <c r="Y75" i="6"/>
  <c r="X75" i="6"/>
  <c r="W75" i="6"/>
  <c r="U75" i="6"/>
  <c r="S75" i="6"/>
  <c r="R75" i="6"/>
  <c r="Q75" i="6"/>
  <c r="O75" i="6"/>
  <c r="M75" i="6"/>
  <c r="L75" i="6"/>
  <c r="K75" i="6"/>
  <c r="EQ74" i="6"/>
  <c r="EO74" i="6"/>
  <c r="EN74" i="6"/>
  <c r="EM74" i="6"/>
  <c r="EK74" i="6"/>
  <c r="EI74" i="6"/>
  <c r="EH74" i="6"/>
  <c r="EG74" i="6"/>
  <c r="EE74" i="6"/>
  <c r="EC74" i="6"/>
  <c r="EB74" i="6"/>
  <c r="EA74" i="6"/>
  <c r="DY74" i="6"/>
  <c r="DW74" i="6"/>
  <c r="DV74" i="6"/>
  <c r="DU74" i="6"/>
  <c r="DS74" i="6"/>
  <c r="DQ74" i="6"/>
  <c r="DP74" i="6"/>
  <c r="DO74" i="6"/>
  <c r="DM74" i="6"/>
  <c r="DK74" i="6"/>
  <c r="DJ74" i="6"/>
  <c r="DI74" i="6"/>
  <c r="DG74" i="6"/>
  <c r="DE74" i="6"/>
  <c r="DD74" i="6"/>
  <c r="DC74" i="6"/>
  <c r="DA74" i="6"/>
  <c r="CY74" i="6"/>
  <c r="CX74" i="6"/>
  <c r="CW74" i="6"/>
  <c r="CU74" i="6"/>
  <c r="CS74" i="6"/>
  <c r="CR74" i="6"/>
  <c r="CQ74" i="6"/>
  <c r="CO74" i="6"/>
  <c r="CM74" i="6"/>
  <c r="CL74" i="6"/>
  <c r="CK74" i="6"/>
  <c r="CI74" i="6"/>
  <c r="CG74" i="6"/>
  <c r="CF74" i="6"/>
  <c r="CE74" i="6"/>
  <c r="CC74" i="6"/>
  <c r="CA74" i="6"/>
  <c r="BZ74" i="6"/>
  <c r="BY74" i="6"/>
  <c r="BW74" i="6"/>
  <c r="BU74" i="6"/>
  <c r="BT74" i="6"/>
  <c r="BS74" i="6"/>
  <c r="BQ74" i="6"/>
  <c r="BO74" i="6"/>
  <c r="BN74" i="6"/>
  <c r="BM74" i="6"/>
  <c r="BK74" i="6"/>
  <c r="BI74" i="6"/>
  <c r="BH74" i="6"/>
  <c r="BG74" i="6"/>
  <c r="BE74" i="6"/>
  <c r="BC74" i="6"/>
  <c r="BB74" i="6"/>
  <c r="BA74" i="6"/>
  <c r="AY74" i="6"/>
  <c r="AW74" i="6"/>
  <c r="AV74" i="6"/>
  <c r="AU74" i="6"/>
  <c r="AS74" i="6"/>
  <c r="AQ74" i="6"/>
  <c r="AP74" i="6"/>
  <c r="AO74" i="6"/>
  <c r="AM74" i="6"/>
  <c r="AK74" i="6"/>
  <c r="AJ74" i="6"/>
  <c r="AI74" i="6"/>
  <c r="AG74" i="6"/>
  <c r="AE74" i="6"/>
  <c r="AD74" i="6"/>
  <c r="AC74" i="6"/>
  <c r="AA74" i="6"/>
  <c r="Y74" i="6"/>
  <c r="X74" i="6"/>
  <c r="W74" i="6"/>
  <c r="U74" i="6"/>
  <c r="S74" i="6"/>
  <c r="R74" i="6"/>
  <c r="Q74" i="6"/>
  <c r="O74" i="6"/>
  <c r="M74" i="6"/>
  <c r="L74" i="6"/>
  <c r="K74" i="6"/>
  <c r="EQ72" i="6"/>
  <c r="EO72" i="6"/>
  <c r="EN72" i="6"/>
  <c r="EK72" i="6"/>
  <c r="EI72" i="6"/>
  <c r="EH72" i="6"/>
  <c r="EE72" i="6"/>
  <c r="EC72" i="6"/>
  <c r="EB72" i="6"/>
  <c r="DY72" i="6"/>
  <c r="DW72" i="6"/>
  <c r="DV72" i="6"/>
  <c r="DS72" i="6"/>
  <c r="DQ72" i="6"/>
  <c r="DP72" i="6"/>
  <c r="DM72" i="6"/>
  <c r="DK72" i="6"/>
  <c r="DJ72" i="6"/>
  <c r="DG72" i="6"/>
  <c r="DE72" i="6"/>
  <c r="DD72" i="6"/>
  <c r="DA72" i="6"/>
  <c r="CY72" i="6"/>
  <c r="CX72" i="6"/>
  <c r="CU72" i="6"/>
  <c r="CS72" i="6"/>
  <c r="CR72" i="6"/>
  <c r="CO72" i="6"/>
  <c r="CM72" i="6"/>
  <c r="CL72" i="6"/>
  <c r="CI72" i="6"/>
  <c r="CG72" i="6"/>
  <c r="CF72" i="6"/>
  <c r="CC72" i="6"/>
  <c r="CA72" i="6"/>
  <c r="BZ72" i="6"/>
  <c r="BW72" i="6"/>
  <c r="BU72" i="6"/>
  <c r="BT72" i="6"/>
  <c r="BQ72" i="6"/>
  <c r="BO72" i="6"/>
  <c r="BN72" i="6"/>
  <c r="BK72" i="6"/>
  <c r="BI72" i="6"/>
  <c r="BH72" i="6"/>
  <c r="BE72" i="6"/>
  <c r="BC72" i="6"/>
  <c r="BB72" i="6"/>
  <c r="AY72" i="6"/>
  <c r="AW72" i="6"/>
  <c r="AV72" i="6"/>
  <c r="AS72" i="6"/>
  <c r="AQ72" i="6"/>
  <c r="AP72" i="6"/>
  <c r="AM72" i="6"/>
  <c r="AK72" i="6"/>
  <c r="AJ72" i="6"/>
  <c r="AG72" i="6"/>
  <c r="AE72" i="6"/>
  <c r="AD72" i="6"/>
  <c r="AA72" i="6"/>
  <c r="Y72" i="6"/>
  <c r="X72" i="6"/>
  <c r="U72" i="6"/>
  <c r="S72" i="6"/>
  <c r="R72" i="6"/>
  <c r="O72" i="6"/>
  <c r="M72" i="6"/>
  <c r="L72" i="6"/>
  <c r="EQ71" i="6"/>
  <c r="EK71" i="6"/>
  <c r="EE71" i="6"/>
  <c r="DY71" i="6"/>
  <c r="DS71" i="6"/>
  <c r="DM71" i="6"/>
  <c r="DG71" i="6"/>
  <c r="DA71" i="6"/>
  <c r="CU71" i="6"/>
  <c r="CO71" i="6"/>
  <c r="CI71" i="6"/>
  <c r="CC71" i="6"/>
  <c r="BW71" i="6"/>
  <c r="BQ71" i="6"/>
  <c r="BK71" i="6"/>
  <c r="BE71" i="6"/>
  <c r="AY71" i="6"/>
  <c r="AS71" i="6"/>
  <c r="AM71" i="6"/>
  <c r="AG71" i="6"/>
  <c r="AA71" i="6"/>
  <c r="U71" i="6"/>
  <c r="O71" i="6"/>
  <c r="EQ70" i="6"/>
  <c r="EO70" i="6"/>
  <c r="EN70" i="6"/>
  <c r="EM70" i="6"/>
  <c r="EK70" i="6"/>
  <c r="EI70" i="6"/>
  <c r="EH70" i="6"/>
  <c r="EG70" i="6"/>
  <c r="EE70" i="6"/>
  <c r="EC70" i="6"/>
  <c r="EB70" i="6"/>
  <c r="EA70" i="6"/>
  <c r="DY70" i="6"/>
  <c r="DW70" i="6"/>
  <c r="DV70" i="6"/>
  <c r="DU70" i="6"/>
  <c r="DS70" i="6"/>
  <c r="DQ70" i="6"/>
  <c r="DP70" i="6"/>
  <c r="DO70" i="6"/>
  <c r="DM70" i="6"/>
  <c r="DK70" i="6"/>
  <c r="DJ70" i="6"/>
  <c r="DI70" i="6"/>
  <c r="DG70" i="6"/>
  <c r="DE70" i="6"/>
  <c r="DD70" i="6"/>
  <c r="DC70" i="6"/>
  <c r="DA70" i="6"/>
  <c r="CY70" i="6"/>
  <c r="CX70" i="6"/>
  <c r="CW70" i="6"/>
  <c r="CU70" i="6"/>
  <c r="CS70" i="6"/>
  <c r="CR70" i="6"/>
  <c r="CQ70" i="6"/>
  <c r="CO70" i="6"/>
  <c r="CM70" i="6"/>
  <c r="CL70" i="6"/>
  <c r="CK70" i="6"/>
  <c r="CI70" i="6"/>
  <c r="CG70" i="6"/>
  <c r="CF70" i="6"/>
  <c r="CE70" i="6"/>
  <c r="CC70" i="6"/>
  <c r="CA70" i="6"/>
  <c r="BZ70" i="6"/>
  <c r="BY70" i="6"/>
  <c r="BW70" i="6"/>
  <c r="BU70" i="6"/>
  <c r="BT70" i="6"/>
  <c r="BS70" i="6"/>
  <c r="BQ70" i="6"/>
  <c r="BO70" i="6"/>
  <c r="BN70" i="6"/>
  <c r="BM70" i="6"/>
  <c r="BK70" i="6"/>
  <c r="BI70" i="6"/>
  <c r="BH70" i="6"/>
  <c r="BG70" i="6"/>
  <c r="BE70" i="6"/>
  <c r="BC70" i="6"/>
  <c r="BB70" i="6"/>
  <c r="BA70" i="6"/>
  <c r="AY70" i="6"/>
  <c r="AW70" i="6"/>
  <c r="AV70" i="6"/>
  <c r="AU70" i="6"/>
  <c r="AS70" i="6"/>
  <c r="AQ70" i="6"/>
  <c r="AP70" i="6"/>
  <c r="AO70" i="6"/>
  <c r="AM70" i="6"/>
  <c r="AK70" i="6"/>
  <c r="AJ70" i="6"/>
  <c r="AI70" i="6"/>
  <c r="AG70" i="6"/>
  <c r="AE70" i="6"/>
  <c r="AD70" i="6"/>
  <c r="AC70" i="6"/>
  <c r="AA70" i="6"/>
  <c r="Y70" i="6"/>
  <c r="X70" i="6"/>
  <c r="W70" i="6"/>
  <c r="U70" i="6"/>
  <c r="S70" i="6"/>
  <c r="R70" i="6"/>
  <c r="Q70" i="6"/>
  <c r="O70" i="6"/>
  <c r="M70" i="6"/>
  <c r="L70" i="6"/>
  <c r="K70" i="6"/>
  <c r="EQ68" i="6"/>
  <c r="EO68" i="6"/>
  <c r="EN68" i="6"/>
  <c r="EM68" i="6"/>
  <c r="EK68" i="6"/>
  <c r="EI68" i="6"/>
  <c r="EH68" i="6"/>
  <c r="EG68" i="6"/>
  <c r="EE68" i="6"/>
  <c r="EC68" i="6"/>
  <c r="EB68" i="6"/>
  <c r="EA68" i="6"/>
  <c r="DY68" i="6"/>
  <c r="DW68" i="6"/>
  <c r="DV68" i="6"/>
  <c r="DU68" i="6"/>
  <c r="DS68" i="6"/>
  <c r="DQ68" i="6"/>
  <c r="DP68" i="6"/>
  <c r="DO68" i="6"/>
  <c r="DM68" i="6"/>
  <c r="DK68" i="6"/>
  <c r="DJ68" i="6"/>
  <c r="DI68" i="6"/>
  <c r="DG68" i="6"/>
  <c r="DE68" i="6"/>
  <c r="DD68" i="6"/>
  <c r="DC68" i="6"/>
  <c r="DA68" i="6"/>
  <c r="CY68" i="6"/>
  <c r="CX68" i="6"/>
  <c r="CW68" i="6"/>
  <c r="CU68" i="6"/>
  <c r="CS68" i="6"/>
  <c r="CR68" i="6"/>
  <c r="CQ68" i="6"/>
  <c r="CO68" i="6"/>
  <c r="CM68" i="6"/>
  <c r="CL68" i="6"/>
  <c r="CK68" i="6"/>
  <c r="CI68" i="6"/>
  <c r="CG68" i="6"/>
  <c r="CF68" i="6"/>
  <c r="CE68" i="6"/>
  <c r="CC68" i="6"/>
  <c r="CA68" i="6"/>
  <c r="BZ68" i="6"/>
  <c r="BY68" i="6"/>
  <c r="BW68" i="6"/>
  <c r="BU68" i="6"/>
  <c r="BT68" i="6"/>
  <c r="BS68" i="6"/>
  <c r="BQ68" i="6"/>
  <c r="BO68" i="6"/>
  <c r="BN68" i="6"/>
  <c r="BM68" i="6"/>
  <c r="BK68" i="6"/>
  <c r="BI68" i="6"/>
  <c r="BH68" i="6"/>
  <c r="BG68" i="6"/>
  <c r="BE68" i="6"/>
  <c r="BC68" i="6"/>
  <c r="BB68" i="6"/>
  <c r="BA68" i="6"/>
  <c r="AY68" i="6"/>
  <c r="AW68" i="6"/>
  <c r="AV68" i="6"/>
  <c r="AU68" i="6"/>
  <c r="AS68" i="6"/>
  <c r="AQ68" i="6"/>
  <c r="AP68" i="6"/>
  <c r="AO68" i="6"/>
  <c r="AM68" i="6"/>
  <c r="AK68" i="6"/>
  <c r="AJ68" i="6"/>
  <c r="AI68" i="6"/>
  <c r="AG68" i="6"/>
  <c r="AE68" i="6"/>
  <c r="AD68" i="6"/>
  <c r="AC68" i="6"/>
  <c r="AA68" i="6"/>
  <c r="Y68" i="6"/>
  <c r="X68" i="6"/>
  <c r="W68" i="6"/>
  <c r="U68" i="6"/>
  <c r="S68" i="6"/>
  <c r="R68" i="6"/>
  <c r="Q68" i="6"/>
  <c r="O68" i="6"/>
  <c r="M68" i="6"/>
  <c r="L68" i="6"/>
  <c r="K68" i="6"/>
  <c r="EO66" i="6"/>
  <c r="EN66" i="6"/>
  <c r="EI66" i="6"/>
  <c r="EH66" i="6"/>
  <c r="EC66" i="6"/>
  <c r="EB66" i="6"/>
  <c r="DW66" i="6"/>
  <c r="DV66" i="6"/>
  <c r="DQ66" i="6"/>
  <c r="DP66" i="6"/>
  <c r="DK66" i="6"/>
  <c r="DJ66" i="6"/>
  <c r="DE66" i="6"/>
  <c r="DD66" i="6"/>
  <c r="CY66" i="6"/>
  <c r="CX66" i="6"/>
  <c r="CS66" i="6"/>
  <c r="CR66" i="6"/>
  <c r="CM66" i="6"/>
  <c r="CL66" i="6"/>
  <c r="CG66" i="6"/>
  <c r="CF66" i="6"/>
  <c r="CA66" i="6"/>
  <c r="BZ66" i="6"/>
  <c r="BU66" i="6"/>
  <c r="BT66" i="6"/>
  <c r="BO66" i="6"/>
  <c r="BN66" i="6"/>
  <c r="BI66" i="6"/>
  <c r="BH66" i="6"/>
  <c r="BC66" i="6"/>
  <c r="BB66" i="6"/>
  <c r="AW66" i="6"/>
  <c r="AV66" i="6"/>
  <c r="AQ66" i="6"/>
  <c r="AP66" i="6"/>
  <c r="AK66" i="6"/>
  <c r="AJ66" i="6"/>
  <c r="AE66" i="6"/>
  <c r="AD66" i="6"/>
  <c r="Y66" i="6"/>
  <c r="X66" i="6"/>
  <c r="S66" i="6"/>
  <c r="R66" i="6"/>
  <c r="M66" i="6"/>
  <c r="L66" i="6"/>
  <c r="EO65" i="6"/>
  <c r="EN65" i="6"/>
  <c r="EI65" i="6"/>
  <c r="EH65" i="6"/>
  <c r="EC65" i="6"/>
  <c r="EB65" i="6"/>
  <c r="DW65" i="6"/>
  <c r="DV65" i="6"/>
  <c r="DQ65" i="6"/>
  <c r="DP65" i="6"/>
  <c r="DK65" i="6"/>
  <c r="DJ65" i="6"/>
  <c r="DE65" i="6"/>
  <c r="DD65" i="6"/>
  <c r="CY65" i="6"/>
  <c r="CX65" i="6"/>
  <c r="CS65" i="6"/>
  <c r="CR65" i="6"/>
  <c r="CM65" i="6"/>
  <c r="CL65" i="6"/>
  <c r="CG65" i="6"/>
  <c r="CF65" i="6"/>
  <c r="CA65" i="6"/>
  <c r="BZ65" i="6"/>
  <c r="BU65" i="6"/>
  <c r="BT65" i="6"/>
  <c r="BO65" i="6"/>
  <c r="BN65" i="6"/>
  <c r="BI65" i="6"/>
  <c r="BH65" i="6"/>
  <c r="BC65" i="6"/>
  <c r="BB65" i="6"/>
  <c r="AW65" i="6"/>
  <c r="AV65" i="6"/>
  <c r="AQ65" i="6"/>
  <c r="AP65" i="6"/>
  <c r="AK65" i="6"/>
  <c r="AJ65" i="6"/>
  <c r="AE65" i="6"/>
  <c r="AD65" i="6"/>
  <c r="Y65" i="6"/>
  <c r="X65" i="6"/>
  <c r="S65" i="6"/>
  <c r="R65" i="6"/>
  <c r="M65" i="6"/>
  <c r="L65" i="6"/>
  <c r="EQ64" i="6"/>
  <c r="EP64" i="6"/>
  <c r="EO64" i="6"/>
  <c r="EM64" i="6"/>
  <c r="EK64" i="6"/>
  <c r="EJ64" i="6"/>
  <c r="EI64" i="6"/>
  <c r="EG64" i="6"/>
  <c r="EE64" i="6"/>
  <c r="ED64" i="6"/>
  <c r="EC64" i="6"/>
  <c r="EA64" i="6"/>
  <c r="DY64" i="6"/>
  <c r="DX64" i="6"/>
  <c r="DW64" i="6"/>
  <c r="DU64" i="6"/>
  <c r="DS64" i="6"/>
  <c r="DR64" i="6"/>
  <c r="DQ64" i="6"/>
  <c r="DO64" i="6"/>
  <c r="DM64" i="6"/>
  <c r="DL64" i="6"/>
  <c r="DK64" i="6"/>
  <c r="DI64" i="6"/>
  <c r="DG64" i="6"/>
  <c r="DF64" i="6"/>
  <c r="DE64" i="6"/>
  <c r="DC64" i="6"/>
  <c r="DA64" i="6"/>
  <c r="CZ64" i="6"/>
  <c r="CY64" i="6"/>
  <c r="CW64" i="6"/>
  <c r="CU64" i="6"/>
  <c r="CT64" i="6"/>
  <c r="CS64" i="6"/>
  <c r="CQ64" i="6"/>
  <c r="CO64" i="6"/>
  <c r="CN64" i="6"/>
  <c r="CM64" i="6"/>
  <c r="CK64" i="6"/>
  <c r="CI64" i="6"/>
  <c r="CH64" i="6"/>
  <c r="CG64" i="6"/>
  <c r="CE64" i="6"/>
  <c r="CC64" i="6"/>
  <c r="CB64" i="6"/>
  <c r="CA64" i="6"/>
  <c r="BY64" i="6"/>
  <c r="BW64" i="6"/>
  <c r="BV64" i="6"/>
  <c r="BU64" i="6"/>
  <c r="BS64" i="6"/>
  <c r="BQ64" i="6"/>
  <c r="BP64" i="6"/>
  <c r="BO64" i="6"/>
  <c r="BM64" i="6"/>
  <c r="BK64" i="6"/>
  <c r="BJ64" i="6"/>
  <c r="BI64" i="6"/>
  <c r="BG64" i="6"/>
  <c r="BE64" i="6"/>
  <c r="BD64" i="6"/>
  <c r="BC64" i="6"/>
  <c r="BA64" i="6"/>
  <c r="AY64" i="6"/>
  <c r="AX64" i="6"/>
  <c r="AW64" i="6"/>
  <c r="AU64" i="6"/>
  <c r="AS64" i="6"/>
  <c r="AR64" i="6"/>
  <c r="AQ64" i="6"/>
  <c r="AO64" i="6"/>
  <c r="AM64" i="6"/>
  <c r="AL64" i="6"/>
  <c r="AK64" i="6"/>
  <c r="AI64" i="6"/>
  <c r="AG64" i="6"/>
  <c r="AF64" i="6"/>
  <c r="AE64" i="6"/>
  <c r="AC64" i="6"/>
  <c r="AA64" i="6"/>
  <c r="Z64" i="6"/>
  <c r="Y64" i="6"/>
  <c r="W64" i="6"/>
  <c r="U64" i="6"/>
  <c r="T64" i="6"/>
  <c r="S64" i="6"/>
  <c r="Q64" i="6"/>
  <c r="O64" i="6"/>
  <c r="N64" i="6"/>
  <c r="M64" i="6"/>
  <c r="K64" i="6"/>
  <c r="EQ63" i="6"/>
  <c r="EP63" i="6"/>
  <c r="EO63" i="6"/>
  <c r="EM63" i="6"/>
  <c r="EK63" i="6"/>
  <c r="EJ63" i="6"/>
  <c r="EI63" i="6"/>
  <c r="EG63" i="6"/>
  <c r="EE63" i="6"/>
  <c r="ED63" i="6"/>
  <c r="EC63" i="6"/>
  <c r="EA63" i="6"/>
  <c r="DY63" i="6"/>
  <c r="DX63" i="6"/>
  <c r="DW63" i="6"/>
  <c r="DU63" i="6"/>
  <c r="DS63" i="6"/>
  <c r="DR63" i="6"/>
  <c r="DQ63" i="6"/>
  <c r="DO63" i="6"/>
  <c r="DM63" i="6"/>
  <c r="DL63" i="6"/>
  <c r="DK63" i="6"/>
  <c r="DI63" i="6"/>
  <c r="DG63" i="6"/>
  <c r="DF63" i="6"/>
  <c r="DE63" i="6"/>
  <c r="DC63" i="6"/>
  <c r="DA63" i="6"/>
  <c r="CZ63" i="6"/>
  <c r="CY63" i="6"/>
  <c r="CW63" i="6"/>
  <c r="CU63" i="6"/>
  <c r="CT63" i="6"/>
  <c r="CS63" i="6"/>
  <c r="CQ63" i="6"/>
  <c r="CO63" i="6"/>
  <c r="CN63" i="6"/>
  <c r="CM63" i="6"/>
  <c r="CK63" i="6"/>
  <c r="CI63" i="6"/>
  <c r="CH63" i="6"/>
  <c r="CG63" i="6"/>
  <c r="CE63" i="6"/>
  <c r="CC63" i="6"/>
  <c r="CB63" i="6"/>
  <c r="CA63" i="6"/>
  <c r="BY63" i="6"/>
  <c r="BW63" i="6"/>
  <c r="BV63" i="6"/>
  <c r="BU63" i="6"/>
  <c r="BS63" i="6"/>
  <c r="BQ63" i="6"/>
  <c r="BP63" i="6"/>
  <c r="BO63" i="6"/>
  <c r="BM63" i="6"/>
  <c r="BK63" i="6"/>
  <c r="BJ63" i="6"/>
  <c r="BI63" i="6"/>
  <c r="BG63" i="6"/>
  <c r="BE63" i="6"/>
  <c r="BD63" i="6"/>
  <c r="BC63" i="6"/>
  <c r="BA63" i="6"/>
  <c r="AY63" i="6"/>
  <c r="AX63" i="6"/>
  <c r="AW63" i="6"/>
  <c r="AU63" i="6"/>
  <c r="AS63" i="6"/>
  <c r="AR63" i="6"/>
  <c r="AQ63" i="6"/>
  <c r="AO63" i="6"/>
  <c r="AM63" i="6"/>
  <c r="AL63" i="6"/>
  <c r="AK63" i="6"/>
  <c r="AI63" i="6"/>
  <c r="AG63" i="6"/>
  <c r="AF63" i="6"/>
  <c r="AE63" i="6"/>
  <c r="AC63" i="6"/>
  <c r="AA63" i="6"/>
  <c r="Z63" i="6"/>
  <c r="Y63" i="6"/>
  <c r="W63" i="6"/>
  <c r="U63" i="6"/>
  <c r="T63" i="6"/>
  <c r="S63" i="6"/>
  <c r="Q63" i="6"/>
  <c r="O63" i="6"/>
  <c r="N63" i="6"/>
  <c r="M63" i="6"/>
  <c r="K63" i="6"/>
  <c r="EP62" i="6"/>
  <c r="EO62" i="6"/>
  <c r="EJ62" i="6"/>
  <c r="EI62" i="6"/>
  <c r="ED62" i="6"/>
  <c r="EC62" i="6"/>
  <c r="DX62" i="6"/>
  <c r="DW62" i="6"/>
  <c r="DR62" i="6"/>
  <c r="DQ62" i="6"/>
  <c r="DL62" i="6"/>
  <c r="DK62" i="6"/>
  <c r="DF62" i="6"/>
  <c r="DE62" i="6"/>
  <c r="CZ62" i="6"/>
  <c r="CY62" i="6"/>
  <c r="CT62" i="6"/>
  <c r="CS62" i="6"/>
  <c r="CN62" i="6"/>
  <c r="CM62" i="6"/>
  <c r="CH62" i="6"/>
  <c r="CG62" i="6"/>
  <c r="CB62" i="6"/>
  <c r="CA62" i="6"/>
  <c r="BV62" i="6"/>
  <c r="BU62" i="6"/>
  <c r="BP62" i="6"/>
  <c r="BO62" i="6"/>
  <c r="BJ62" i="6"/>
  <c r="BI62" i="6"/>
  <c r="BD62" i="6"/>
  <c r="BC62" i="6"/>
  <c r="AX62" i="6"/>
  <c r="AW62" i="6"/>
  <c r="AR62" i="6"/>
  <c r="AQ62" i="6"/>
  <c r="AL62" i="6"/>
  <c r="AK62" i="6"/>
  <c r="AF62" i="6"/>
  <c r="AE62" i="6"/>
  <c r="Z62" i="6"/>
  <c r="Y62" i="6"/>
  <c r="T62" i="6"/>
  <c r="S62" i="6"/>
  <c r="N62" i="6"/>
  <c r="M62" i="6"/>
  <c r="EQ61" i="6"/>
  <c r="EK61" i="6"/>
  <c r="EE61" i="6"/>
  <c r="DY61" i="6"/>
  <c r="DS61" i="6"/>
  <c r="DM61" i="6"/>
  <c r="DG61" i="6"/>
  <c r="DA61" i="6"/>
  <c r="CU61" i="6"/>
  <c r="CO61" i="6"/>
  <c r="CI61" i="6"/>
  <c r="CC61" i="6"/>
  <c r="BW61" i="6"/>
  <c r="BQ61" i="6"/>
  <c r="BK61" i="6"/>
  <c r="BE61" i="6"/>
  <c r="AY61" i="6"/>
  <c r="AS61" i="6"/>
  <c r="AM61" i="6"/>
  <c r="AG61" i="6"/>
  <c r="AA61" i="6"/>
  <c r="U61" i="6"/>
  <c r="O61" i="6"/>
  <c r="EQ59" i="6"/>
  <c r="EK59" i="6"/>
  <c r="EE59" i="6"/>
  <c r="DY59" i="6"/>
  <c r="DS59" i="6"/>
  <c r="DM59" i="6"/>
  <c r="DG59" i="6"/>
  <c r="DA59" i="6"/>
  <c r="CU59" i="6"/>
  <c r="CO59" i="6"/>
  <c r="CI59" i="6"/>
  <c r="CC59" i="6"/>
  <c r="BW59" i="6"/>
  <c r="BQ59" i="6"/>
  <c r="BK59" i="6"/>
  <c r="BE59" i="6"/>
  <c r="AY59" i="6"/>
  <c r="AS59" i="6"/>
  <c r="AM59" i="6"/>
  <c r="AG59" i="6"/>
  <c r="AA59" i="6"/>
  <c r="U59" i="6"/>
  <c r="O59" i="6"/>
  <c r="EQ58" i="6"/>
  <c r="EK58" i="6"/>
  <c r="EE58" i="6"/>
  <c r="DY58" i="6"/>
  <c r="DS58" i="6"/>
  <c r="DM58" i="6"/>
  <c r="DG58" i="6"/>
  <c r="DA58" i="6"/>
  <c r="CU58" i="6"/>
  <c r="CO58" i="6"/>
  <c r="CI58" i="6"/>
  <c r="CC58" i="6"/>
  <c r="BW58" i="6"/>
  <c r="BQ58" i="6"/>
  <c r="BK58" i="6"/>
  <c r="BE58" i="6"/>
  <c r="AY58" i="6"/>
  <c r="AS58" i="6"/>
  <c r="AM58" i="6"/>
  <c r="AG58" i="6"/>
  <c r="AA58" i="6"/>
  <c r="U58" i="6"/>
  <c r="O58" i="6"/>
  <c r="EQ57" i="6"/>
  <c r="EK57" i="6"/>
  <c r="EE57" i="6"/>
  <c r="DY57" i="6"/>
  <c r="DS57" i="6"/>
  <c r="DM57" i="6"/>
  <c r="DG57" i="6"/>
  <c r="DA57" i="6"/>
  <c r="CU57" i="6"/>
  <c r="CO57" i="6"/>
  <c r="CI57" i="6"/>
  <c r="CC57" i="6"/>
  <c r="BW57" i="6"/>
  <c r="BQ57" i="6"/>
  <c r="BK57" i="6"/>
  <c r="BE57" i="6"/>
  <c r="AY57" i="6"/>
  <c r="AS57" i="6"/>
  <c r="AM57" i="6"/>
  <c r="AG57" i="6"/>
  <c r="AA57" i="6"/>
  <c r="U57" i="6"/>
  <c r="O57" i="6"/>
  <c r="EQ56" i="6"/>
  <c r="EP56" i="6"/>
  <c r="EO56" i="6"/>
  <c r="EN56" i="6"/>
  <c r="EK56" i="6"/>
  <c r="EJ56" i="6"/>
  <c r="EI56" i="6"/>
  <c r="EH56" i="6"/>
  <c r="EE56" i="6"/>
  <c r="ED56" i="6"/>
  <c r="EC56" i="6"/>
  <c r="EB56" i="6"/>
  <c r="DY56" i="6"/>
  <c r="DX56" i="6"/>
  <c r="DW56" i="6"/>
  <c r="DV56" i="6"/>
  <c r="DS56" i="6"/>
  <c r="DR56" i="6"/>
  <c r="DQ56" i="6"/>
  <c r="DP56" i="6"/>
  <c r="DM56" i="6"/>
  <c r="DL56" i="6"/>
  <c r="DK56" i="6"/>
  <c r="DJ56" i="6"/>
  <c r="DG56" i="6"/>
  <c r="DF56" i="6"/>
  <c r="DE56" i="6"/>
  <c r="DD56" i="6"/>
  <c r="DA56" i="6"/>
  <c r="CZ56" i="6"/>
  <c r="CY56" i="6"/>
  <c r="CX56" i="6"/>
  <c r="CU56" i="6"/>
  <c r="CT56" i="6"/>
  <c r="CS56" i="6"/>
  <c r="CR56" i="6"/>
  <c r="CO56" i="6"/>
  <c r="CN56" i="6"/>
  <c r="CM56" i="6"/>
  <c r="CL56" i="6"/>
  <c r="CI56" i="6"/>
  <c r="CH56" i="6"/>
  <c r="CG56" i="6"/>
  <c r="CF56" i="6"/>
  <c r="CC56" i="6"/>
  <c r="CB56" i="6"/>
  <c r="CA56" i="6"/>
  <c r="BZ56" i="6"/>
  <c r="BW56" i="6"/>
  <c r="BV56" i="6"/>
  <c r="BU56" i="6"/>
  <c r="BT56" i="6"/>
  <c r="BQ56" i="6"/>
  <c r="BP56" i="6"/>
  <c r="BO56" i="6"/>
  <c r="BN56" i="6"/>
  <c r="BK56" i="6"/>
  <c r="BJ56" i="6"/>
  <c r="BI56" i="6"/>
  <c r="BH56" i="6"/>
  <c r="BE56" i="6"/>
  <c r="BD56" i="6"/>
  <c r="BC56" i="6"/>
  <c r="BB56" i="6"/>
  <c r="AY56" i="6"/>
  <c r="AX56" i="6"/>
  <c r="AW56" i="6"/>
  <c r="AV56" i="6"/>
  <c r="AS56" i="6"/>
  <c r="AR56" i="6"/>
  <c r="AQ56" i="6"/>
  <c r="AP56" i="6"/>
  <c r="AM56" i="6"/>
  <c r="AL56" i="6"/>
  <c r="AK56" i="6"/>
  <c r="AJ56" i="6"/>
  <c r="AG56" i="6"/>
  <c r="AF56" i="6"/>
  <c r="AE56" i="6"/>
  <c r="AD56" i="6"/>
  <c r="AA56" i="6"/>
  <c r="Z56" i="6"/>
  <c r="Y56" i="6"/>
  <c r="X56" i="6"/>
  <c r="U56" i="6"/>
  <c r="T56" i="6"/>
  <c r="S56" i="6"/>
  <c r="R56" i="6"/>
  <c r="O56" i="6"/>
  <c r="N56" i="6"/>
  <c r="M56" i="6"/>
  <c r="L56" i="6"/>
  <c r="EQ55" i="6"/>
  <c r="EP55" i="6"/>
  <c r="EO55" i="6"/>
  <c r="EN55" i="6"/>
  <c r="EK55" i="6"/>
  <c r="EJ55" i="6"/>
  <c r="EI55" i="6"/>
  <c r="EH55" i="6"/>
  <c r="EE55" i="6"/>
  <c r="ED55" i="6"/>
  <c r="EC55" i="6"/>
  <c r="EB55" i="6"/>
  <c r="DY55" i="6"/>
  <c r="DX55" i="6"/>
  <c r="DW55" i="6"/>
  <c r="DV55" i="6"/>
  <c r="DS55" i="6"/>
  <c r="DR55" i="6"/>
  <c r="DQ55" i="6"/>
  <c r="DP55" i="6"/>
  <c r="DM55" i="6"/>
  <c r="DL55" i="6"/>
  <c r="DK55" i="6"/>
  <c r="DJ55" i="6"/>
  <c r="DG55" i="6"/>
  <c r="DF55" i="6"/>
  <c r="DE55" i="6"/>
  <c r="DD55" i="6"/>
  <c r="DA55" i="6"/>
  <c r="CZ55" i="6"/>
  <c r="CY55" i="6"/>
  <c r="CX55" i="6"/>
  <c r="CU55" i="6"/>
  <c r="CT55" i="6"/>
  <c r="CS55" i="6"/>
  <c r="CR55" i="6"/>
  <c r="CO55" i="6"/>
  <c r="CN55" i="6"/>
  <c r="CM55" i="6"/>
  <c r="CL55" i="6"/>
  <c r="CI55" i="6"/>
  <c r="CH55" i="6"/>
  <c r="CG55" i="6"/>
  <c r="CF55" i="6"/>
  <c r="CC55" i="6"/>
  <c r="CB55" i="6"/>
  <c r="CA55" i="6"/>
  <c r="BZ55" i="6"/>
  <c r="BW55" i="6"/>
  <c r="BV55" i="6"/>
  <c r="BU55" i="6"/>
  <c r="BT55" i="6"/>
  <c r="BQ55" i="6"/>
  <c r="BP55" i="6"/>
  <c r="BO55" i="6"/>
  <c r="BN55" i="6"/>
  <c r="BK55" i="6"/>
  <c r="BJ55" i="6"/>
  <c r="BI55" i="6"/>
  <c r="BH55" i="6"/>
  <c r="BE55" i="6"/>
  <c r="BD55" i="6"/>
  <c r="BC55" i="6"/>
  <c r="BB55" i="6"/>
  <c r="AY55" i="6"/>
  <c r="AX55" i="6"/>
  <c r="AW55" i="6"/>
  <c r="AV55" i="6"/>
  <c r="AS55" i="6"/>
  <c r="AR55" i="6"/>
  <c r="AQ55" i="6"/>
  <c r="AP55" i="6"/>
  <c r="AM55" i="6"/>
  <c r="AL55" i="6"/>
  <c r="AK55" i="6"/>
  <c r="AJ55" i="6"/>
  <c r="AG55" i="6"/>
  <c r="AF55" i="6"/>
  <c r="AE55" i="6"/>
  <c r="AD55" i="6"/>
  <c r="AA55" i="6"/>
  <c r="Z55" i="6"/>
  <c r="Y55" i="6"/>
  <c r="X55" i="6"/>
  <c r="U55" i="6"/>
  <c r="T55" i="6"/>
  <c r="S55" i="6"/>
  <c r="R55" i="6"/>
  <c r="O55" i="6"/>
  <c r="N55" i="6"/>
  <c r="M55" i="6"/>
  <c r="L55" i="6"/>
  <c r="EQ54" i="6"/>
  <c r="EP54" i="6"/>
  <c r="EO54" i="6"/>
  <c r="EN54" i="6"/>
  <c r="EK54" i="6"/>
  <c r="EJ54" i="6"/>
  <c r="EI54" i="6"/>
  <c r="EH54" i="6"/>
  <c r="EE54" i="6"/>
  <c r="ED54" i="6"/>
  <c r="EC54" i="6"/>
  <c r="EB54" i="6"/>
  <c r="DY54" i="6"/>
  <c r="DX54" i="6"/>
  <c r="DW54" i="6"/>
  <c r="DV54" i="6"/>
  <c r="DS54" i="6"/>
  <c r="DR54" i="6"/>
  <c r="DQ54" i="6"/>
  <c r="DP54" i="6"/>
  <c r="DM54" i="6"/>
  <c r="DL54" i="6"/>
  <c r="DK54" i="6"/>
  <c r="DJ54" i="6"/>
  <c r="DG54" i="6"/>
  <c r="DF54" i="6"/>
  <c r="DE54" i="6"/>
  <c r="DD54" i="6"/>
  <c r="DA54" i="6"/>
  <c r="CZ54" i="6"/>
  <c r="CY54" i="6"/>
  <c r="CX54" i="6"/>
  <c r="CU54" i="6"/>
  <c r="CT54" i="6"/>
  <c r="CS54" i="6"/>
  <c r="CR54" i="6"/>
  <c r="CO54" i="6"/>
  <c r="CN54" i="6"/>
  <c r="CM54" i="6"/>
  <c r="CL54" i="6"/>
  <c r="CI54" i="6"/>
  <c r="CH54" i="6"/>
  <c r="CG54" i="6"/>
  <c r="CF54" i="6"/>
  <c r="CC54" i="6"/>
  <c r="CB54" i="6"/>
  <c r="CA54" i="6"/>
  <c r="BZ54" i="6"/>
  <c r="BW54" i="6"/>
  <c r="BV54" i="6"/>
  <c r="BU54" i="6"/>
  <c r="BT54" i="6"/>
  <c r="BQ54" i="6"/>
  <c r="BP54" i="6"/>
  <c r="BO54" i="6"/>
  <c r="BN54" i="6"/>
  <c r="BK54" i="6"/>
  <c r="BJ54" i="6"/>
  <c r="BI54" i="6"/>
  <c r="BH54" i="6"/>
  <c r="BE54" i="6"/>
  <c r="BD54" i="6"/>
  <c r="BC54" i="6"/>
  <c r="BB54" i="6"/>
  <c r="AY54" i="6"/>
  <c r="AX54" i="6"/>
  <c r="AW54" i="6"/>
  <c r="AV54" i="6"/>
  <c r="AS54" i="6"/>
  <c r="AR54" i="6"/>
  <c r="AQ54" i="6"/>
  <c r="AP54" i="6"/>
  <c r="AM54" i="6"/>
  <c r="AL54" i="6"/>
  <c r="AK54" i="6"/>
  <c r="AJ54" i="6"/>
  <c r="AG54" i="6"/>
  <c r="AF54" i="6"/>
  <c r="AE54" i="6"/>
  <c r="AD54" i="6"/>
  <c r="AA54" i="6"/>
  <c r="Z54" i="6"/>
  <c r="Y54" i="6"/>
  <c r="X54" i="6"/>
  <c r="U54" i="6"/>
  <c r="T54" i="6"/>
  <c r="S54" i="6"/>
  <c r="R54" i="6"/>
  <c r="O54" i="6"/>
  <c r="N54" i="6"/>
  <c r="M54" i="6"/>
  <c r="L54" i="6"/>
  <c r="AD18" i="6"/>
  <c r="E2" i="6"/>
  <c r="E51" i="6" s="1"/>
  <c r="K51" i="6" s="1"/>
  <c r="Q51" i="6" s="1"/>
  <c r="W51" i="6" s="1"/>
  <c r="AC51" i="6" s="1"/>
  <c r="AI51" i="6" s="1"/>
  <c r="AO51" i="6" s="1"/>
  <c r="AU51" i="6" s="1"/>
  <c r="BA51" i="6" s="1"/>
  <c r="BG51" i="6" s="1"/>
  <c r="BM51" i="6" s="1"/>
  <c r="BS51" i="6" s="1"/>
  <c r="BY51" i="6" s="1"/>
  <c r="CE51" i="6" s="1"/>
  <c r="CK51" i="6" s="1"/>
  <c r="CQ51" i="6" s="1"/>
  <c r="CW51" i="6" s="1"/>
  <c r="DC51" i="6" s="1"/>
  <c r="DI51" i="6" s="1"/>
  <c r="DO51" i="6" s="1"/>
  <c r="DU51" i="6" s="1"/>
  <c r="EA51" i="6" s="1"/>
  <c r="EG51" i="6" s="1"/>
  <c r="EM51" i="6" s="1"/>
  <c r="ES51" i="6" s="1"/>
  <c r="EY51" i="6" s="1"/>
  <c r="Y160" i="21"/>
  <c r="X160" i="21"/>
  <c r="W160" i="21"/>
  <c r="V160" i="21"/>
  <c r="U160" i="21"/>
  <c r="T160" i="21"/>
  <c r="S160" i="21"/>
  <c r="R160" i="21"/>
  <c r="Q160" i="21"/>
  <c r="P160" i="21"/>
  <c r="O160" i="21"/>
  <c r="N160" i="21"/>
  <c r="M160" i="21"/>
  <c r="L160" i="21"/>
  <c r="K160" i="21"/>
  <c r="J160" i="21"/>
  <c r="I160" i="21"/>
  <c r="H160" i="21"/>
  <c r="Y159" i="21"/>
  <c r="X159" i="21"/>
  <c r="W159" i="21"/>
  <c r="V159" i="21"/>
  <c r="U159" i="21"/>
  <c r="T159" i="21"/>
  <c r="S159" i="21"/>
  <c r="R159" i="21"/>
  <c r="Q159" i="21"/>
  <c r="P159" i="21"/>
  <c r="O159" i="21"/>
  <c r="N159" i="21"/>
  <c r="M159" i="21"/>
  <c r="L159" i="21"/>
  <c r="K159" i="21"/>
  <c r="J159" i="21"/>
  <c r="I159" i="21"/>
  <c r="H159" i="21"/>
  <c r="G796" i="7"/>
  <c r="H796" i="7" s="1"/>
  <c r="I796" i="7" s="1"/>
  <c r="J796" i="7" s="1"/>
  <c r="K796" i="7" s="1"/>
  <c r="L796" i="7" s="1"/>
  <c r="M796" i="7" s="1"/>
  <c r="N796" i="7" s="1"/>
  <c r="O796" i="7" s="1"/>
  <c r="P796" i="7" s="1"/>
  <c r="Q796" i="7" s="1"/>
  <c r="R796" i="7" s="1"/>
  <c r="S796" i="7" s="1"/>
  <c r="T796" i="7" s="1"/>
  <c r="U796" i="7" s="1"/>
  <c r="V796" i="7" s="1"/>
  <c r="W796" i="7" s="1"/>
  <c r="X796" i="7" s="1"/>
  <c r="Y796" i="7" s="1"/>
  <c r="Z796" i="7" s="1"/>
  <c r="AA796" i="7" s="1"/>
  <c r="AB796" i="7" s="1"/>
  <c r="A792" i="7"/>
  <c r="G788" i="7"/>
  <c r="H788" i="7" s="1"/>
  <c r="I788" i="7" s="1"/>
  <c r="J788" i="7" s="1"/>
  <c r="K788" i="7" s="1"/>
  <c r="L788" i="7" s="1"/>
  <c r="M788" i="7" s="1"/>
  <c r="N788" i="7" s="1"/>
  <c r="O788" i="7" s="1"/>
  <c r="P788" i="7" s="1"/>
  <c r="Q788" i="7" s="1"/>
  <c r="R788" i="7" s="1"/>
  <c r="S788" i="7" s="1"/>
  <c r="T788" i="7" s="1"/>
  <c r="U788" i="7" s="1"/>
  <c r="V788" i="7" s="1"/>
  <c r="W788" i="7" s="1"/>
  <c r="X788" i="7" s="1"/>
  <c r="Y788" i="7" s="1"/>
  <c r="Z788" i="7" s="1"/>
  <c r="AA788" i="7" s="1"/>
  <c r="AB788" i="7" s="1"/>
  <c r="A784" i="7"/>
  <c r="G777" i="7"/>
  <c r="H777" i="7" s="1"/>
  <c r="I777" i="7" s="1"/>
  <c r="J777" i="7" s="1"/>
  <c r="K777" i="7" s="1"/>
  <c r="L777" i="7" s="1"/>
  <c r="M777" i="7" s="1"/>
  <c r="N777" i="7" s="1"/>
  <c r="O777" i="7" s="1"/>
  <c r="P777" i="7" s="1"/>
  <c r="Q777" i="7" s="1"/>
  <c r="R777" i="7" s="1"/>
  <c r="S777" i="7" s="1"/>
  <c r="T777" i="7" s="1"/>
  <c r="U777" i="7" s="1"/>
  <c r="V777" i="7" s="1"/>
  <c r="W777" i="7" s="1"/>
  <c r="X777" i="7" s="1"/>
  <c r="Y777" i="7" s="1"/>
  <c r="Z777" i="7" s="1"/>
  <c r="AA777" i="7" s="1"/>
  <c r="AB777" i="7" s="1"/>
  <c r="A773" i="7"/>
  <c r="E771" i="7"/>
  <c r="E768" i="7"/>
  <c r="G767" i="7"/>
  <c r="H767" i="7" s="1"/>
  <c r="I767" i="7" s="1"/>
  <c r="J767" i="7" s="1"/>
  <c r="K767" i="7" s="1"/>
  <c r="L767" i="7" s="1"/>
  <c r="M767" i="7" s="1"/>
  <c r="N767" i="7" s="1"/>
  <c r="O767" i="7" s="1"/>
  <c r="P767" i="7" s="1"/>
  <c r="Q767" i="7" s="1"/>
  <c r="R767" i="7" s="1"/>
  <c r="S767" i="7" s="1"/>
  <c r="T767" i="7" s="1"/>
  <c r="U767" i="7" s="1"/>
  <c r="V767" i="7" s="1"/>
  <c r="W767" i="7" s="1"/>
  <c r="X767" i="7" s="1"/>
  <c r="Y767" i="7" s="1"/>
  <c r="Z767" i="7" s="1"/>
  <c r="AA767" i="7" s="1"/>
  <c r="AB767" i="7" s="1"/>
  <c r="F763" i="7"/>
  <c r="E761" i="7"/>
  <c r="F760" i="7"/>
  <c r="E760" i="7"/>
  <c r="E759" i="7"/>
  <c r="G758" i="7"/>
  <c r="H758" i="7" s="1"/>
  <c r="I758" i="7" s="1"/>
  <c r="J758" i="7" s="1"/>
  <c r="K758" i="7" s="1"/>
  <c r="L758" i="7" s="1"/>
  <c r="M758" i="7" s="1"/>
  <c r="N758" i="7" s="1"/>
  <c r="O758" i="7" s="1"/>
  <c r="P758" i="7" s="1"/>
  <c r="Q758" i="7" s="1"/>
  <c r="R758" i="7" s="1"/>
  <c r="S758" i="7" s="1"/>
  <c r="T758" i="7" s="1"/>
  <c r="U758" i="7" s="1"/>
  <c r="V758" i="7" s="1"/>
  <c r="W758" i="7" s="1"/>
  <c r="X758" i="7" s="1"/>
  <c r="Y758" i="7" s="1"/>
  <c r="Z758" i="7" s="1"/>
  <c r="AA758" i="7" s="1"/>
  <c r="AB758" i="7" s="1"/>
  <c r="F752" i="7"/>
  <c r="G750" i="7"/>
  <c r="H750" i="7" s="1"/>
  <c r="I750" i="7" s="1"/>
  <c r="J750" i="7" s="1"/>
  <c r="K750" i="7" s="1"/>
  <c r="L750" i="7" s="1"/>
  <c r="M750" i="7" s="1"/>
  <c r="N750" i="7" s="1"/>
  <c r="O750" i="7" s="1"/>
  <c r="P750" i="7" s="1"/>
  <c r="Q750" i="7" s="1"/>
  <c r="R750" i="7" s="1"/>
  <c r="S750" i="7" s="1"/>
  <c r="T750" i="7" s="1"/>
  <c r="U750" i="7" s="1"/>
  <c r="V750" i="7" s="1"/>
  <c r="W750" i="7" s="1"/>
  <c r="X750" i="7" s="1"/>
  <c r="Y750" i="7" s="1"/>
  <c r="Z750" i="7" s="1"/>
  <c r="AA750" i="7" s="1"/>
  <c r="AB750" i="7" s="1"/>
  <c r="G744" i="7"/>
  <c r="H744" i="7" s="1"/>
  <c r="I744" i="7" s="1"/>
  <c r="J744" i="7" s="1"/>
  <c r="K744" i="7" s="1"/>
  <c r="L744" i="7" s="1"/>
  <c r="M744" i="7" s="1"/>
  <c r="N744" i="7" s="1"/>
  <c r="O744" i="7" s="1"/>
  <c r="P744" i="7" s="1"/>
  <c r="Q744" i="7" s="1"/>
  <c r="R744" i="7" s="1"/>
  <c r="S744" i="7" s="1"/>
  <c r="T744" i="7" s="1"/>
  <c r="U744" i="7" s="1"/>
  <c r="V744" i="7" s="1"/>
  <c r="W744" i="7" s="1"/>
  <c r="X744" i="7" s="1"/>
  <c r="Y744" i="7" s="1"/>
  <c r="Z744" i="7" s="1"/>
  <c r="AA744" i="7" s="1"/>
  <c r="G739" i="7"/>
  <c r="H739" i="7" s="1"/>
  <c r="I739" i="7" s="1"/>
  <c r="J739" i="7" s="1"/>
  <c r="K739" i="7" s="1"/>
  <c r="L739" i="7" s="1"/>
  <c r="M739" i="7" s="1"/>
  <c r="N739" i="7" s="1"/>
  <c r="O739" i="7" s="1"/>
  <c r="P739" i="7" s="1"/>
  <c r="Q739" i="7" s="1"/>
  <c r="R739" i="7" s="1"/>
  <c r="S739" i="7" s="1"/>
  <c r="T739" i="7" s="1"/>
  <c r="U739" i="7" s="1"/>
  <c r="V739" i="7" s="1"/>
  <c r="W739" i="7" s="1"/>
  <c r="X739" i="7" s="1"/>
  <c r="Y739" i="7" s="1"/>
  <c r="Z739" i="7" s="1"/>
  <c r="AA739" i="7" s="1"/>
  <c r="AB739" i="7" s="1"/>
  <c r="G734" i="7"/>
  <c r="H734" i="7" s="1"/>
  <c r="I734" i="7" s="1"/>
  <c r="J734" i="7" s="1"/>
  <c r="K734" i="7" s="1"/>
  <c r="L734" i="7" s="1"/>
  <c r="M734" i="7" s="1"/>
  <c r="N734" i="7" s="1"/>
  <c r="O734" i="7" s="1"/>
  <c r="P734" i="7" s="1"/>
  <c r="Q734" i="7" s="1"/>
  <c r="R734" i="7" s="1"/>
  <c r="S734" i="7" s="1"/>
  <c r="T734" i="7" s="1"/>
  <c r="U734" i="7" s="1"/>
  <c r="V734" i="7" s="1"/>
  <c r="W734" i="7" s="1"/>
  <c r="X734" i="7" s="1"/>
  <c r="Y734" i="7" s="1"/>
  <c r="Z734" i="7" s="1"/>
  <c r="AA734" i="7" s="1"/>
  <c r="AB734" i="7" s="1"/>
  <c r="E731" i="7"/>
  <c r="E730" i="7"/>
  <c r="E729" i="7"/>
  <c r="E728" i="7"/>
  <c r="G727" i="7"/>
  <c r="H727" i="7" s="1"/>
  <c r="I727" i="7" s="1"/>
  <c r="J727" i="7" s="1"/>
  <c r="K727" i="7" s="1"/>
  <c r="L727" i="7" s="1"/>
  <c r="M727" i="7" s="1"/>
  <c r="N727" i="7" s="1"/>
  <c r="O727" i="7" s="1"/>
  <c r="P727" i="7" s="1"/>
  <c r="Q727" i="7" s="1"/>
  <c r="R727" i="7" s="1"/>
  <c r="S727" i="7" s="1"/>
  <c r="T727" i="7" s="1"/>
  <c r="U727" i="7" s="1"/>
  <c r="V727" i="7" s="1"/>
  <c r="W727" i="7" s="1"/>
  <c r="X727" i="7" s="1"/>
  <c r="Y727" i="7" s="1"/>
  <c r="Z727" i="7" s="1"/>
  <c r="AA727" i="7" s="1"/>
  <c r="AB727" i="7" s="1"/>
  <c r="G722" i="7"/>
  <c r="H722" i="7" s="1"/>
  <c r="I722" i="7" s="1"/>
  <c r="J722" i="7" s="1"/>
  <c r="K722" i="7" s="1"/>
  <c r="L722" i="7" s="1"/>
  <c r="M722" i="7" s="1"/>
  <c r="N722" i="7" s="1"/>
  <c r="O722" i="7" s="1"/>
  <c r="P722" i="7" s="1"/>
  <c r="Q722" i="7" s="1"/>
  <c r="R722" i="7" s="1"/>
  <c r="S722" i="7" s="1"/>
  <c r="T722" i="7" s="1"/>
  <c r="U722" i="7" s="1"/>
  <c r="V722" i="7" s="1"/>
  <c r="W722" i="7" s="1"/>
  <c r="X722" i="7" s="1"/>
  <c r="Y722" i="7" s="1"/>
  <c r="Z722" i="7" s="1"/>
  <c r="AA722" i="7" s="1"/>
  <c r="AB722" i="7" s="1"/>
  <c r="G717" i="7"/>
  <c r="H717" i="7" s="1"/>
  <c r="I717" i="7" s="1"/>
  <c r="J717" i="7" s="1"/>
  <c r="K717" i="7" s="1"/>
  <c r="L717" i="7" s="1"/>
  <c r="M717" i="7" s="1"/>
  <c r="N717" i="7" s="1"/>
  <c r="O717" i="7" s="1"/>
  <c r="P717" i="7" s="1"/>
  <c r="Q717" i="7" s="1"/>
  <c r="R717" i="7" s="1"/>
  <c r="S717" i="7" s="1"/>
  <c r="T717" i="7" s="1"/>
  <c r="U717" i="7" s="1"/>
  <c r="V717" i="7" s="1"/>
  <c r="W717" i="7" s="1"/>
  <c r="X717" i="7" s="1"/>
  <c r="Y717" i="7" s="1"/>
  <c r="Z717" i="7" s="1"/>
  <c r="AA717" i="7" s="1"/>
  <c r="AB717" i="7" s="1"/>
  <c r="E714" i="7"/>
  <c r="E713" i="7"/>
  <c r="E712" i="7"/>
  <c r="G711" i="7"/>
  <c r="H711" i="7" s="1"/>
  <c r="I711" i="7" s="1"/>
  <c r="J711" i="7" s="1"/>
  <c r="K711" i="7" s="1"/>
  <c r="L711" i="7" s="1"/>
  <c r="M711" i="7" s="1"/>
  <c r="N711" i="7" s="1"/>
  <c r="O711" i="7" s="1"/>
  <c r="P711" i="7" s="1"/>
  <c r="Q711" i="7" s="1"/>
  <c r="R711" i="7" s="1"/>
  <c r="S711" i="7" s="1"/>
  <c r="T711" i="7" s="1"/>
  <c r="U711" i="7" s="1"/>
  <c r="V711" i="7" s="1"/>
  <c r="W711" i="7" s="1"/>
  <c r="X711" i="7" s="1"/>
  <c r="Y711" i="7" s="1"/>
  <c r="Z711" i="7" s="1"/>
  <c r="AA711" i="7" s="1"/>
  <c r="AB711" i="7" s="1"/>
  <c r="E708" i="7"/>
  <c r="E707" i="7"/>
  <c r="E706" i="7"/>
  <c r="G705" i="7"/>
  <c r="H705" i="7" s="1"/>
  <c r="I705" i="7" s="1"/>
  <c r="J705" i="7" s="1"/>
  <c r="K705" i="7" s="1"/>
  <c r="L705" i="7" s="1"/>
  <c r="M705" i="7" s="1"/>
  <c r="N705" i="7" s="1"/>
  <c r="O705" i="7" s="1"/>
  <c r="P705" i="7" s="1"/>
  <c r="Q705" i="7" s="1"/>
  <c r="R705" i="7" s="1"/>
  <c r="S705" i="7" s="1"/>
  <c r="T705" i="7" s="1"/>
  <c r="U705" i="7" s="1"/>
  <c r="V705" i="7" s="1"/>
  <c r="W705" i="7" s="1"/>
  <c r="X705" i="7" s="1"/>
  <c r="Y705" i="7" s="1"/>
  <c r="Z705" i="7" s="1"/>
  <c r="AA705" i="7" s="1"/>
  <c r="AB705" i="7" s="1"/>
  <c r="F698" i="7"/>
  <c r="E698" i="7"/>
  <c r="E696" i="7"/>
  <c r="E695" i="7"/>
  <c r="E694" i="7"/>
  <c r="E693" i="7"/>
  <c r="E692" i="7"/>
  <c r="E691" i="7"/>
  <c r="G690" i="7"/>
  <c r="H690" i="7" s="1"/>
  <c r="I690" i="7" s="1"/>
  <c r="J690" i="7" s="1"/>
  <c r="K690" i="7" s="1"/>
  <c r="L690" i="7" s="1"/>
  <c r="M690" i="7" s="1"/>
  <c r="N690" i="7" s="1"/>
  <c r="O690" i="7" s="1"/>
  <c r="P690" i="7" s="1"/>
  <c r="Q690" i="7" s="1"/>
  <c r="R690" i="7" s="1"/>
  <c r="S690" i="7" s="1"/>
  <c r="T690" i="7" s="1"/>
  <c r="U690" i="7" s="1"/>
  <c r="V690" i="7" s="1"/>
  <c r="W690" i="7" s="1"/>
  <c r="X690" i="7" s="1"/>
  <c r="Y690" i="7" s="1"/>
  <c r="Z690" i="7" s="1"/>
  <c r="AA690" i="7" s="1"/>
  <c r="AB690" i="7" s="1"/>
  <c r="G685" i="7"/>
  <c r="H685" i="7" s="1"/>
  <c r="I685" i="7" s="1"/>
  <c r="J685" i="7" s="1"/>
  <c r="K685" i="7" s="1"/>
  <c r="L685" i="7" s="1"/>
  <c r="M685" i="7" s="1"/>
  <c r="N685" i="7" s="1"/>
  <c r="O685" i="7" s="1"/>
  <c r="P685" i="7" s="1"/>
  <c r="Q685" i="7" s="1"/>
  <c r="R685" i="7" s="1"/>
  <c r="S685" i="7" s="1"/>
  <c r="T685" i="7" s="1"/>
  <c r="U685" i="7" s="1"/>
  <c r="V685" i="7" s="1"/>
  <c r="W685" i="7" s="1"/>
  <c r="X685" i="7" s="1"/>
  <c r="Y685" i="7" s="1"/>
  <c r="Z685" i="7" s="1"/>
  <c r="AA685" i="7" s="1"/>
  <c r="AB685" i="7" s="1"/>
  <c r="G680" i="7"/>
  <c r="H680" i="7" s="1"/>
  <c r="I680" i="7" s="1"/>
  <c r="J680" i="7" s="1"/>
  <c r="K680" i="7" s="1"/>
  <c r="L680" i="7" s="1"/>
  <c r="M680" i="7" s="1"/>
  <c r="N680" i="7" s="1"/>
  <c r="O680" i="7" s="1"/>
  <c r="P680" i="7" s="1"/>
  <c r="Q680" i="7" s="1"/>
  <c r="R680" i="7" s="1"/>
  <c r="S680" i="7" s="1"/>
  <c r="T680" i="7" s="1"/>
  <c r="U680" i="7" s="1"/>
  <c r="V680" i="7" s="1"/>
  <c r="W680" i="7" s="1"/>
  <c r="X680" i="7" s="1"/>
  <c r="Y680" i="7" s="1"/>
  <c r="Z680" i="7" s="1"/>
  <c r="AA680" i="7" s="1"/>
  <c r="AB680" i="7" s="1"/>
  <c r="E676" i="7"/>
  <c r="G667" i="7"/>
  <c r="H667" i="7" s="1"/>
  <c r="I667" i="7" s="1"/>
  <c r="J667" i="7" s="1"/>
  <c r="K667" i="7" s="1"/>
  <c r="L667" i="7" s="1"/>
  <c r="M667" i="7" s="1"/>
  <c r="N667" i="7" s="1"/>
  <c r="O667" i="7" s="1"/>
  <c r="P667" i="7" s="1"/>
  <c r="Q667" i="7" s="1"/>
  <c r="R667" i="7" s="1"/>
  <c r="S667" i="7" s="1"/>
  <c r="T667" i="7" s="1"/>
  <c r="U667" i="7" s="1"/>
  <c r="V667" i="7" s="1"/>
  <c r="W667" i="7" s="1"/>
  <c r="X667" i="7" s="1"/>
  <c r="Y667" i="7" s="1"/>
  <c r="Z667" i="7" s="1"/>
  <c r="AA667" i="7" s="1"/>
  <c r="AB667" i="7" s="1"/>
  <c r="A664" i="7"/>
  <c r="F662" i="7"/>
  <c r="E662" i="7"/>
  <c r="F654" i="7"/>
  <c r="G653" i="7"/>
  <c r="H653" i="7" s="1"/>
  <c r="I653" i="7" s="1"/>
  <c r="J653" i="7" s="1"/>
  <c r="K653" i="7" s="1"/>
  <c r="L653" i="7" s="1"/>
  <c r="M653" i="7" s="1"/>
  <c r="N653" i="7" s="1"/>
  <c r="O653" i="7" s="1"/>
  <c r="P653" i="7" s="1"/>
  <c r="Q653" i="7" s="1"/>
  <c r="R653" i="7" s="1"/>
  <c r="S653" i="7" s="1"/>
  <c r="T653" i="7" s="1"/>
  <c r="U653" i="7" s="1"/>
  <c r="V653" i="7" s="1"/>
  <c r="W653" i="7" s="1"/>
  <c r="X653" i="7" s="1"/>
  <c r="Y653" i="7" s="1"/>
  <c r="Z653" i="7" s="1"/>
  <c r="AA653" i="7" s="1"/>
  <c r="AB653" i="7" s="1"/>
  <c r="G649" i="7"/>
  <c r="H649" i="7" s="1"/>
  <c r="I649" i="7" s="1"/>
  <c r="J649" i="7" s="1"/>
  <c r="K649" i="7" s="1"/>
  <c r="L649" i="7" s="1"/>
  <c r="M649" i="7" s="1"/>
  <c r="N649" i="7" s="1"/>
  <c r="O649" i="7" s="1"/>
  <c r="P649" i="7" s="1"/>
  <c r="Q649" i="7" s="1"/>
  <c r="R649" i="7" s="1"/>
  <c r="S649" i="7" s="1"/>
  <c r="T649" i="7" s="1"/>
  <c r="U649" i="7" s="1"/>
  <c r="V649" i="7" s="1"/>
  <c r="W649" i="7" s="1"/>
  <c r="X649" i="7" s="1"/>
  <c r="Y649" i="7" s="1"/>
  <c r="Z649" i="7" s="1"/>
  <c r="AA649" i="7" s="1"/>
  <c r="AB649" i="7" s="1"/>
  <c r="G644" i="7"/>
  <c r="H644" i="7" s="1"/>
  <c r="I644" i="7" s="1"/>
  <c r="J644" i="7" s="1"/>
  <c r="K644" i="7" s="1"/>
  <c r="L644" i="7" s="1"/>
  <c r="M644" i="7" s="1"/>
  <c r="N644" i="7" s="1"/>
  <c r="O644" i="7" s="1"/>
  <c r="P644" i="7" s="1"/>
  <c r="Q644" i="7" s="1"/>
  <c r="R644" i="7" s="1"/>
  <c r="S644" i="7" s="1"/>
  <c r="T644" i="7" s="1"/>
  <c r="U644" i="7" s="1"/>
  <c r="V644" i="7" s="1"/>
  <c r="W644" i="7" s="1"/>
  <c r="X644" i="7" s="1"/>
  <c r="Y644" i="7" s="1"/>
  <c r="Z644" i="7" s="1"/>
  <c r="AA644" i="7" s="1"/>
  <c r="AB644" i="7" s="1"/>
  <c r="G634" i="7"/>
  <c r="H634" i="7" s="1"/>
  <c r="I634" i="7" s="1"/>
  <c r="J634" i="7" s="1"/>
  <c r="K634" i="7" s="1"/>
  <c r="L634" i="7" s="1"/>
  <c r="M634" i="7" s="1"/>
  <c r="N634" i="7" s="1"/>
  <c r="O634" i="7" s="1"/>
  <c r="P634" i="7" s="1"/>
  <c r="Q634" i="7" s="1"/>
  <c r="R634" i="7" s="1"/>
  <c r="S634" i="7" s="1"/>
  <c r="T634" i="7" s="1"/>
  <c r="U634" i="7" s="1"/>
  <c r="V634" i="7" s="1"/>
  <c r="W634" i="7" s="1"/>
  <c r="X634" i="7" s="1"/>
  <c r="Y634" i="7" s="1"/>
  <c r="Z634" i="7" s="1"/>
  <c r="AA634" i="7" s="1"/>
  <c r="AB634" i="7" s="1"/>
  <c r="A631" i="7"/>
  <c r="G623" i="7"/>
  <c r="H623" i="7" s="1"/>
  <c r="I623" i="7" s="1"/>
  <c r="J623" i="7" s="1"/>
  <c r="K623" i="7" s="1"/>
  <c r="L623" i="7" s="1"/>
  <c r="M623" i="7" s="1"/>
  <c r="N623" i="7" s="1"/>
  <c r="O623" i="7" s="1"/>
  <c r="P623" i="7" s="1"/>
  <c r="Q623" i="7" s="1"/>
  <c r="R623" i="7" s="1"/>
  <c r="S623" i="7" s="1"/>
  <c r="T623" i="7" s="1"/>
  <c r="U623" i="7" s="1"/>
  <c r="V623" i="7" s="1"/>
  <c r="W623" i="7" s="1"/>
  <c r="X623" i="7" s="1"/>
  <c r="Y623" i="7" s="1"/>
  <c r="Z623" i="7" s="1"/>
  <c r="AA623" i="7" s="1"/>
  <c r="AB623" i="7" s="1"/>
  <c r="AD620" i="7"/>
  <c r="BC620" i="7"/>
  <c r="A618" i="7"/>
  <c r="A616" i="7"/>
  <c r="G615" i="7"/>
  <c r="H615" i="7" s="1"/>
  <c r="I615" i="7" s="1"/>
  <c r="J615" i="7" s="1"/>
  <c r="K615" i="7" s="1"/>
  <c r="L615" i="7" s="1"/>
  <c r="M615" i="7" s="1"/>
  <c r="N615" i="7" s="1"/>
  <c r="O615" i="7" s="1"/>
  <c r="P615" i="7" s="1"/>
  <c r="Q615" i="7" s="1"/>
  <c r="R615" i="7" s="1"/>
  <c r="S615" i="7" s="1"/>
  <c r="T615" i="7" s="1"/>
  <c r="U615" i="7" s="1"/>
  <c r="V615" i="7" s="1"/>
  <c r="W615" i="7" s="1"/>
  <c r="X615" i="7" s="1"/>
  <c r="Y615" i="7" s="1"/>
  <c r="Z615" i="7" s="1"/>
  <c r="AA615" i="7" s="1"/>
  <c r="AB615" i="7" s="1"/>
  <c r="G609" i="7"/>
  <c r="H609" i="7" s="1"/>
  <c r="I609" i="7" s="1"/>
  <c r="J609" i="7" s="1"/>
  <c r="K609" i="7" s="1"/>
  <c r="L609" i="7" s="1"/>
  <c r="M609" i="7" s="1"/>
  <c r="N609" i="7" s="1"/>
  <c r="O609" i="7" s="1"/>
  <c r="P609" i="7" s="1"/>
  <c r="Q609" i="7" s="1"/>
  <c r="R609" i="7" s="1"/>
  <c r="S609" i="7" s="1"/>
  <c r="T609" i="7" s="1"/>
  <c r="U609" i="7" s="1"/>
  <c r="V609" i="7" s="1"/>
  <c r="W609" i="7" s="1"/>
  <c r="X609" i="7" s="1"/>
  <c r="Y609" i="7" s="1"/>
  <c r="Z609" i="7" s="1"/>
  <c r="AA609" i="7" s="1"/>
  <c r="AB609" i="7" s="1"/>
  <c r="A605" i="7"/>
  <c r="E603" i="7"/>
  <c r="G601" i="7"/>
  <c r="H601" i="7" s="1"/>
  <c r="I601" i="7" s="1"/>
  <c r="J601" i="7" s="1"/>
  <c r="K601" i="7" s="1"/>
  <c r="L601" i="7" s="1"/>
  <c r="M601" i="7" s="1"/>
  <c r="N601" i="7" s="1"/>
  <c r="O601" i="7" s="1"/>
  <c r="P601" i="7" s="1"/>
  <c r="Q601" i="7" s="1"/>
  <c r="R601" i="7" s="1"/>
  <c r="S601" i="7" s="1"/>
  <c r="T601" i="7" s="1"/>
  <c r="U601" i="7" s="1"/>
  <c r="V601" i="7" s="1"/>
  <c r="W601" i="7" s="1"/>
  <c r="X601" i="7" s="1"/>
  <c r="Y601" i="7" s="1"/>
  <c r="Z601" i="7" s="1"/>
  <c r="AA601" i="7" s="1"/>
  <c r="AB601" i="7" s="1"/>
  <c r="G596" i="7"/>
  <c r="H596" i="7" s="1"/>
  <c r="I596" i="7" s="1"/>
  <c r="J596" i="7" s="1"/>
  <c r="K596" i="7" s="1"/>
  <c r="L596" i="7" s="1"/>
  <c r="M596" i="7" s="1"/>
  <c r="N596" i="7" s="1"/>
  <c r="O596" i="7" s="1"/>
  <c r="P596" i="7" s="1"/>
  <c r="Q596" i="7" s="1"/>
  <c r="R596" i="7" s="1"/>
  <c r="S596" i="7" s="1"/>
  <c r="T596" i="7" s="1"/>
  <c r="U596" i="7" s="1"/>
  <c r="V596" i="7" s="1"/>
  <c r="W596" i="7" s="1"/>
  <c r="X596" i="7" s="1"/>
  <c r="Y596" i="7" s="1"/>
  <c r="Z596" i="7" s="1"/>
  <c r="AA596" i="7" s="1"/>
  <c r="AB596" i="7" s="1"/>
  <c r="G591" i="7"/>
  <c r="H591" i="7" s="1"/>
  <c r="I591" i="7" s="1"/>
  <c r="J591" i="7" s="1"/>
  <c r="K591" i="7" s="1"/>
  <c r="L591" i="7" s="1"/>
  <c r="M591" i="7" s="1"/>
  <c r="N591" i="7" s="1"/>
  <c r="O591" i="7" s="1"/>
  <c r="P591" i="7" s="1"/>
  <c r="Q591" i="7" s="1"/>
  <c r="R591" i="7" s="1"/>
  <c r="S591" i="7" s="1"/>
  <c r="T591" i="7" s="1"/>
  <c r="U591" i="7" s="1"/>
  <c r="V591" i="7" s="1"/>
  <c r="W591" i="7" s="1"/>
  <c r="X591" i="7" s="1"/>
  <c r="Y591" i="7" s="1"/>
  <c r="Z591" i="7" s="1"/>
  <c r="AA591" i="7" s="1"/>
  <c r="AB591" i="7" s="1"/>
  <c r="G584" i="7"/>
  <c r="H584" i="7" s="1"/>
  <c r="I584" i="7" s="1"/>
  <c r="J584" i="7" s="1"/>
  <c r="K584" i="7" s="1"/>
  <c r="L584" i="7" s="1"/>
  <c r="M584" i="7" s="1"/>
  <c r="N584" i="7" s="1"/>
  <c r="O584" i="7" s="1"/>
  <c r="P584" i="7" s="1"/>
  <c r="Q584" i="7" s="1"/>
  <c r="R584" i="7" s="1"/>
  <c r="S584" i="7" s="1"/>
  <c r="T584" i="7" s="1"/>
  <c r="U584" i="7" s="1"/>
  <c r="V584" i="7" s="1"/>
  <c r="W584" i="7" s="1"/>
  <c r="X584" i="7" s="1"/>
  <c r="Y584" i="7" s="1"/>
  <c r="Z584" i="7" s="1"/>
  <c r="AA584" i="7" s="1"/>
  <c r="AB584" i="7" s="1"/>
  <c r="G575" i="7"/>
  <c r="H575" i="7" s="1"/>
  <c r="I575" i="7" s="1"/>
  <c r="J575" i="7" s="1"/>
  <c r="K575" i="7" s="1"/>
  <c r="L575" i="7" s="1"/>
  <c r="M575" i="7" s="1"/>
  <c r="N575" i="7" s="1"/>
  <c r="O575" i="7" s="1"/>
  <c r="P575" i="7" s="1"/>
  <c r="Q575" i="7" s="1"/>
  <c r="R575" i="7" s="1"/>
  <c r="S575" i="7" s="1"/>
  <c r="T575" i="7" s="1"/>
  <c r="U575" i="7" s="1"/>
  <c r="V575" i="7" s="1"/>
  <c r="W575" i="7" s="1"/>
  <c r="X575" i="7" s="1"/>
  <c r="Y575" i="7" s="1"/>
  <c r="Z575" i="7" s="1"/>
  <c r="AA575" i="7" s="1"/>
  <c r="AB575" i="7" s="1"/>
  <c r="AC575" i="7" s="1"/>
  <c r="G569" i="7"/>
  <c r="H569" i="7" s="1"/>
  <c r="I569" i="7" s="1"/>
  <c r="J569" i="7" s="1"/>
  <c r="K569" i="7" s="1"/>
  <c r="L569" i="7" s="1"/>
  <c r="M569" i="7" s="1"/>
  <c r="N569" i="7" s="1"/>
  <c r="O569" i="7" s="1"/>
  <c r="P569" i="7" s="1"/>
  <c r="Q569" i="7" s="1"/>
  <c r="R569" i="7" s="1"/>
  <c r="S569" i="7" s="1"/>
  <c r="T569" i="7" s="1"/>
  <c r="U569" i="7" s="1"/>
  <c r="V569" i="7" s="1"/>
  <c r="W569" i="7" s="1"/>
  <c r="X569" i="7" s="1"/>
  <c r="Y569" i="7" s="1"/>
  <c r="Z569" i="7" s="1"/>
  <c r="AA569" i="7" s="1"/>
  <c r="AB569" i="7" s="1"/>
  <c r="AC569" i="7" s="1"/>
  <c r="A564" i="7"/>
  <c r="G560" i="7"/>
  <c r="H560" i="7" s="1"/>
  <c r="I560" i="7" s="1"/>
  <c r="J560" i="7" s="1"/>
  <c r="K560" i="7" s="1"/>
  <c r="L560" i="7" s="1"/>
  <c r="M560" i="7" s="1"/>
  <c r="N560" i="7" s="1"/>
  <c r="O560" i="7" s="1"/>
  <c r="P560" i="7" s="1"/>
  <c r="Q560" i="7" s="1"/>
  <c r="R560" i="7" s="1"/>
  <c r="S560" i="7" s="1"/>
  <c r="T560" i="7" s="1"/>
  <c r="U560" i="7" s="1"/>
  <c r="V560" i="7" s="1"/>
  <c r="W560" i="7" s="1"/>
  <c r="X560" i="7" s="1"/>
  <c r="Y560" i="7" s="1"/>
  <c r="Z560" i="7" s="1"/>
  <c r="AA560" i="7" s="1"/>
  <c r="AB560" i="7" s="1"/>
  <c r="G551" i="7"/>
  <c r="H551" i="7" s="1"/>
  <c r="I551" i="7" s="1"/>
  <c r="J551" i="7" s="1"/>
  <c r="K551" i="7" s="1"/>
  <c r="L551" i="7" s="1"/>
  <c r="M551" i="7" s="1"/>
  <c r="N551" i="7" s="1"/>
  <c r="O551" i="7" s="1"/>
  <c r="P551" i="7" s="1"/>
  <c r="Q551" i="7" s="1"/>
  <c r="R551" i="7" s="1"/>
  <c r="S551" i="7" s="1"/>
  <c r="T551" i="7" s="1"/>
  <c r="U551" i="7" s="1"/>
  <c r="V551" i="7" s="1"/>
  <c r="W551" i="7" s="1"/>
  <c r="X551" i="7" s="1"/>
  <c r="Y551" i="7" s="1"/>
  <c r="Z551" i="7" s="1"/>
  <c r="AA551" i="7" s="1"/>
  <c r="AB551" i="7" s="1"/>
  <c r="G545" i="7"/>
  <c r="H545" i="7" s="1"/>
  <c r="I545" i="7" s="1"/>
  <c r="J545" i="7" s="1"/>
  <c r="K545" i="7" s="1"/>
  <c r="L545" i="7" s="1"/>
  <c r="M545" i="7" s="1"/>
  <c r="N545" i="7" s="1"/>
  <c r="O545" i="7" s="1"/>
  <c r="P545" i="7" s="1"/>
  <c r="Q545" i="7" s="1"/>
  <c r="R545" i="7" s="1"/>
  <c r="S545" i="7" s="1"/>
  <c r="T545" i="7" s="1"/>
  <c r="U545" i="7" s="1"/>
  <c r="V545" i="7" s="1"/>
  <c r="W545" i="7" s="1"/>
  <c r="X545" i="7" s="1"/>
  <c r="Y545" i="7" s="1"/>
  <c r="Z545" i="7" s="1"/>
  <c r="AA545" i="7" s="1"/>
  <c r="AB545" i="7" s="1"/>
  <c r="A542" i="7"/>
  <c r="A541" i="7"/>
  <c r="A540" i="7"/>
  <c r="A539" i="7"/>
  <c r="G538" i="7"/>
  <c r="H538" i="7" s="1"/>
  <c r="I538" i="7" s="1"/>
  <c r="J538" i="7" s="1"/>
  <c r="K538" i="7" s="1"/>
  <c r="L538" i="7" s="1"/>
  <c r="M538" i="7" s="1"/>
  <c r="N538" i="7" s="1"/>
  <c r="O538" i="7" s="1"/>
  <c r="P538" i="7" s="1"/>
  <c r="Q538" i="7" s="1"/>
  <c r="R538" i="7" s="1"/>
  <c r="S538" i="7" s="1"/>
  <c r="T538" i="7" s="1"/>
  <c r="U538" i="7" s="1"/>
  <c r="V538" i="7" s="1"/>
  <c r="W538" i="7" s="1"/>
  <c r="X538" i="7" s="1"/>
  <c r="Y538" i="7" s="1"/>
  <c r="Z538" i="7" s="1"/>
  <c r="AA538" i="7" s="1"/>
  <c r="AB538" i="7" s="1"/>
  <c r="G529" i="7"/>
  <c r="H529" i="7" s="1"/>
  <c r="I529" i="7" s="1"/>
  <c r="J529" i="7" s="1"/>
  <c r="K529" i="7" s="1"/>
  <c r="L529" i="7" s="1"/>
  <c r="M529" i="7" s="1"/>
  <c r="N529" i="7" s="1"/>
  <c r="O529" i="7" s="1"/>
  <c r="P529" i="7" s="1"/>
  <c r="Q529" i="7" s="1"/>
  <c r="R529" i="7" s="1"/>
  <c r="S529" i="7" s="1"/>
  <c r="T529" i="7" s="1"/>
  <c r="U529" i="7" s="1"/>
  <c r="V529" i="7" s="1"/>
  <c r="W529" i="7" s="1"/>
  <c r="X529" i="7" s="1"/>
  <c r="Y529" i="7" s="1"/>
  <c r="Z529" i="7" s="1"/>
  <c r="AA529" i="7" s="1"/>
  <c r="AB529" i="7" s="1"/>
  <c r="A520" i="7"/>
  <c r="F519" i="7"/>
  <c r="F761" i="7" s="1"/>
  <c r="A519" i="7"/>
  <c r="F518" i="7"/>
  <c r="A518" i="7"/>
  <c r="F517" i="7"/>
  <c r="A517" i="7"/>
  <c r="G516" i="7"/>
  <c r="G502" i="7"/>
  <c r="H502" i="7" s="1"/>
  <c r="I502" i="7" s="1"/>
  <c r="J502" i="7" s="1"/>
  <c r="K502" i="7" s="1"/>
  <c r="L502" i="7" s="1"/>
  <c r="M502" i="7" s="1"/>
  <c r="N502" i="7" s="1"/>
  <c r="O502" i="7" s="1"/>
  <c r="P502" i="7" s="1"/>
  <c r="Q502" i="7" s="1"/>
  <c r="R502" i="7" s="1"/>
  <c r="S502" i="7" s="1"/>
  <c r="T502" i="7" s="1"/>
  <c r="U502" i="7" s="1"/>
  <c r="V502" i="7" s="1"/>
  <c r="W502" i="7" s="1"/>
  <c r="X502" i="7" s="1"/>
  <c r="Y502" i="7" s="1"/>
  <c r="Z502" i="7" s="1"/>
  <c r="AA502" i="7" s="1"/>
  <c r="AB502" i="7" s="1"/>
  <c r="G491" i="7"/>
  <c r="H491" i="7" s="1"/>
  <c r="I491" i="7" s="1"/>
  <c r="J491" i="7" s="1"/>
  <c r="K491" i="7" s="1"/>
  <c r="L491" i="7" s="1"/>
  <c r="M491" i="7" s="1"/>
  <c r="N491" i="7" s="1"/>
  <c r="O491" i="7" s="1"/>
  <c r="P491" i="7" s="1"/>
  <c r="Q491" i="7" s="1"/>
  <c r="R491" i="7" s="1"/>
  <c r="S491" i="7" s="1"/>
  <c r="T491" i="7" s="1"/>
  <c r="U491" i="7" s="1"/>
  <c r="V491" i="7" s="1"/>
  <c r="W491" i="7" s="1"/>
  <c r="X491" i="7" s="1"/>
  <c r="Y491" i="7" s="1"/>
  <c r="Z491" i="7" s="1"/>
  <c r="AA491" i="7" s="1"/>
  <c r="AB491" i="7" s="1"/>
  <c r="A488" i="7"/>
  <c r="A487" i="7"/>
  <c r="A486" i="7"/>
  <c r="F484" i="7"/>
  <c r="F759" i="7" s="1"/>
  <c r="A484" i="7"/>
  <c r="A483" i="7"/>
  <c r="F482" i="7"/>
  <c r="A481" i="7"/>
  <c r="F480" i="7"/>
  <c r="F695" i="7" s="1"/>
  <c r="A480" i="7"/>
  <c r="G479" i="7"/>
  <c r="H479" i="7" s="1"/>
  <c r="I479" i="7" s="1"/>
  <c r="J479" i="7" s="1"/>
  <c r="K479" i="7" s="1"/>
  <c r="L479" i="7" s="1"/>
  <c r="M479" i="7" s="1"/>
  <c r="N479" i="7" s="1"/>
  <c r="O479" i="7" s="1"/>
  <c r="P479" i="7" s="1"/>
  <c r="Q479" i="7" s="1"/>
  <c r="R479" i="7" s="1"/>
  <c r="S479" i="7" s="1"/>
  <c r="T479" i="7" s="1"/>
  <c r="U479" i="7" s="1"/>
  <c r="V479" i="7" s="1"/>
  <c r="W479" i="7" s="1"/>
  <c r="X479" i="7" s="1"/>
  <c r="Y479" i="7" s="1"/>
  <c r="Z479" i="7" s="1"/>
  <c r="AA479" i="7" s="1"/>
  <c r="AB479" i="7" s="1"/>
  <c r="G473" i="7"/>
  <c r="H473" i="7" s="1"/>
  <c r="I473" i="7" s="1"/>
  <c r="J473" i="7" s="1"/>
  <c r="K473" i="7" s="1"/>
  <c r="L473" i="7" s="1"/>
  <c r="M473" i="7" s="1"/>
  <c r="N473" i="7" s="1"/>
  <c r="O473" i="7" s="1"/>
  <c r="P473" i="7" s="1"/>
  <c r="Q473" i="7" s="1"/>
  <c r="R473" i="7" s="1"/>
  <c r="S473" i="7" s="1"/>
  <c r="T473" i="7" s="1"/>
  <c r="U473" i="7" s="1"/>
  <c r="V473" i="7" s="1"/>
  <c r="W473" i="7" s="1"/>
  <c r="X473" i="7" s="1"/>
  <c r="Y473" i="7" s="1"/>
  <c r="Z473" i="7" s="1"/>
  <c r="AA473" i="7" s="1"/>
  <c r="AB473" i="7" s="1"/>
  <c r="AC473" i="7" s="1"/>
  <c r="G467" i="7"/>
  <c r="H467" i="7" s="1"/>
  <c r="I467" i="7" s="1"/>
  <c r="J467" i="7" s="1"/>
  <c r="K467" i="7" s="1"/>
  <c r="L467" i="7" s="1"/>
  <c r="M467" i="7" s="1"/>
  <c r="N467" i="7" s="1"/>
  <c r="O467" i="7" s="1"/>
  <c r="P467" i="7" s="1"/>
  <c r="Q467" i="7" s="1"/>
  <c r="R467" i="7" s="1"/>
  <c r="S467" i="7" s="1"/>
  <c r="T467" i="7" s="1"/>
  <c r="U467" i="7" s="1"/>
  <c r="V467" i="7" s="1"/>
  <c r="W467" i="7" s="1"/>
  <c r="X467" i="7" s="1"/>
  <c r="Y467" i="7" s="1"/>
  <c r="Z467" i="7" s="1"/>
  <c r="AA467" i="7" s="1"/>
  <c r="AB467" i="7" s="1"/>
  <c r="G461" i="7"/>
  <c r="H461" i="7" s="1"/>
  <c r="I461" i="7" s="1"/>
  <c r="J461" i="7" s="1"/>
  <c r="K461" i="7" s="1"/>
  <c r="L461" i="7" s="1"/>
  <c r="M461" i="7" s="1"/>
  <c r="N461" i="7" s="1"/>
  <c r="O461" i="7" s="1"/>
  <c r="P461" i="7" s="1"/>
  <c r="Q461" i="7" s="1"/>
  <c r="R461" i="7" s="1"/>
  <c r="S461" i="7" s="1"/>
  <c r="T461" i="7" s="1"/>
  <c r="U461" i="7" s="1"/>
  <c r="V461" i="7" s="1"/>
  <c r="W461" i="7" s="1"/>
  <c r="X461" i="7" s="1"/>
  <c r="Y461" i="7" s="1"/>
  <c r="Z461" i="7" s="1"/>
  <c r="AA461" i="7" s="1"/>
  <c r="AB461" i="7" s="1"/>
  <c r="G455" i="7"/>
  <c r="H455" i="7" s="1"/>
  <c r="I455" i="7" s="1"/>
  <c r="J455" i="7" s="1"/>
  <c r="K455" i="7" s="1"/>
  <c r="L455" i="7" s="1"/>
  <c r="M455" i="7" s="1"/>
  <c r="N455" i="7" s="1"/>
  <c r="O455" i="7" s="1"/>
  <c r="P455" i="7" s="1"/>
  <c r="Q455" i="7" s="1"/>
  <c r="R455" i="7" s="1"/>
  <c r="S455" i="7" s="1"/>
  <c r="T455" i="7" s="1"/>
  <c r="U455" i="7" s="1"/>
  <c r="V455" i="7" s="1"/>
  <c r="W455" i="7" s="1"/>
  <c r="X455" i="7" s="1"/>
  <c r="Y455" i="7" s="1"/>
  <c r="Z455" i="7" s="1"/>
  <c r="AA455" i="7" s="1"/>
  <c r="AB455" i="7" s="1"/>
  <c r="G441" i="7"/>
  <c r="H441" i="7" s="1"/>
  <c r="I441" i="7" s="1"/>
  <c r="J441" i="7" s="1"/>
  <c r="K441" i="7" s="1"/>
  <c r="L441" i="7" s="1"/>
  <c r="M441" i="7" s="1"/>
  <c r="N441" i="7" s="1"/>
  <c r="O441" i="7" s="1"/>
  <c r="P441" i="7" s="1"/>
  <c r="Q441" i="7" s="1"/>
  <c r="R441" i="7" s="1"/>
  <c r="S441" i="7" s="1"/>
  <c r="T441" i="7" s="1"/>
  <c r="U441" i="7" s="1"/>
  <c r="V441" i="7" s="1"/>
  <c r="W441" i="7" s="1"/>
  <c r="X441" i="7" s="1"/>
  <c r="Y441" i="7" s="1"/>
  <c r="Z441" i="7" s="1"/>
  <c r="AA441" i="7" s="1"/>
  <c r="AB441" i="7" s="1"/>
  <c r="E439" i="7"/>
  <c r="E438" i="7"/>
  <c r="E432" i="7"/>
  <c r="E431" i="7"/>
  <c r="G429" i="7"/>
  <c r="H429" i="7" s="1"/>
  <c r="I429" i="7" s="1"/>
  <c r="J429" i="7" s="1"/>
  <c r="K429" i="7" s="1"/>
  <c r="L429" i="7" s="1"/>
  <c r="M429" i="7" s="1"/>
  <c r="N429" i="7" s="1"/>
  <c r="O429" i="7" s="1"/>
  <c r="P429" i="7" s="1"/>
  <c r="Q429" i="7" s="1"/>
  <c r="R429" i="7" s="1"/>
  <c r="S429" i="7" s="1"/>
  <c r="T429" i="7" s="1"/>
  <c r="U429" i="7" s="1"/>
  <c r="V429" i="7" s="1"/>
  <c r="W429" i="7" s="1"/>
  <c r="X429" i="7" s="1"/>
  <c r="Y429" i="7" s="1"/>
  <c r="Z429" i="7" s="1"/>
  <c r="AA429" i="7" s="1"/>
  <c r="AB429" i="7" s="1"/>
  <c r="AC429" i="7" s="1"/>
  <c r="A424" i="7"/>
  <c r="F423" i="7"/>
  <c r="E423" i="7"/>
  <c r="E437" i="7" s="1"/>
  <c r="F422" i="7"/>
  <c r="E422" i="7"/>
  <c r="E436" i="7" s="1"/>
  <c r="E421" i="7"/>
  <c r="E435" i="7" s="1"/>
  <c r="E420" i="7"/>
  <c r="E434" i="7" s="1"/>
  <c r="A420" i="7"/>
  <c r="A418" i="7"/>
  <c r="A417" i="7"/>
  <c r="E416" i="7"/>
  <c r="E430" i="7" s="1"/>
  <c r="G415" i="7"/>
  <c r="H415" i="7" s="1"/>
  <c r="I415" i="7" s="1"/>
  <c r="J415" i="7" s="1"/>
  <c r="K415" i="7" s="1"/>
  <c r="L415" i="7" s="1"/>
  <c r="M415" i="7" s="1"/>
  <c r="N415" i="7" s="1"/>
  <c r="O415" i="7" s="1"/>
  <c r="P415" i="7" s="1"/>
  <c r="Q415" i="7" s="1"/>
  <c r="R415" i="7" s="1"/>
  <c r="S415" i="7" s="1"/>
  <c r="T415" i="7" s="1"/>
  <c r="U415" i="7" s="1"/>
  <c r="V415" i="7" s="1"/>
  <c r="W415" i="7" s="1"/>
  <c r="X415" i="7" s="1"/>
  <c r="Y415" i="7" s="1"/>
  <c r="Z415" i="7" s="1"/>
  <c r="AA415" i="7" s="1"/>
  <c r="AB415" i="7" s="1"/>
  <c r="AC415" i="7" s="1"/>
  <c r="G405" i="7"/>
  <c r="H405" i="7" s="1"/>
  <c r="I405" i="7" s="1"/>
  <c r="J405" i="7" s="1"/>
  <c r="K405" i="7" s="1"/>
  <c r="L405" i="7" s="1"/>
  <c r="M405" i="7" s="1"/>
  <c r="N405" i="7" s="1"/>
  <c r="O405" i="7" s="1"/>
  <c r="P405" i="7" s="1"/>
  <c r="Q405" i="7" s="1"/>
  <c r="R405" i="7" s="1"/>
  <c r="S405" i="7" s="1"/>
  <c r="T405" i="7" s="1"/>
  <c r="U405" i="7" s="1"/>
  <c r="V405" i="7" s="1"/>
  <c r="W405" i="7" s="1"/>
  <c r="X405" i="7" s="1"/>
  <c r="Y405" i="7" s="1"/>
  <c r="Z405" i="7" s="1"/>
  <c r="AA405" i="7" s="1"/>
  <c r="AB405" i="7" s="1"/>
  <c r="G399" i="7"/>
  <c r="H399" i="7" s="1"/>
  <c r="I399" i="7" s="1"/>
  <c r="J399" i="7" s="1"/>
  <c r="K399" i="7" s="1"/>
  <c r="L399" i="7" s="1"/>
  <c r="M399" i="7" s="1"/>
  <c r="N399" i="7" s="1"/>
  <c r="O399" i="7" s="1"/>
  <c r="P399" i="7" s="1"/>
  <c r="Q399" i="7" s="1"/>
  <c r="R399" i="7" s="1"/>
  <c r="S399" i="7" s="1"/>
  <c r="T399" i="7" s="1"/>
  <c r="U399" i="7" s="1"/>
  <c r="V399" i="7" s="1"/>
  <c r="W399" i="7" s="1"/>
  <c r="X399" i="7" s="1"/>
  <c r="Y399" i="7" s="1"/>
  <c r="Z399" i="7" s="1"/>
  <c r="AA399" i="7" s="1"/>
  <c r="AB399" i="7" s="1"/>
  <c r="E397" i="7"/>
  <c r="F396" i="7"/>
  <c r="A396" i="7"/>
  <c r="F395" i="7"/>
  <c r="A395" i="7"/>
  <c r="F394" i="7"/>
  <c r="A394" i="7"/>
  <c r="G393" i="7"/>
  <c r="H393" i="7" s="1"/>
  <c r="I393" i="7" s="1"/>
  <c r="J393" i="7" s="1"/>
  <c r="K393" i="7" s="1"/>
  <c r="L393" i="7" s="1"/>
  <c r="M393" i="7" s="1"/>
  <c r="N393" i="7" s="1"/>
  <c r="O393" i="7" s="1"/>
  <c r="P393" i="7" s="1"/>
  <c r="Q393" i="7" s="1"/>
  <c r="R393" i="7" s="1"/>
  <c r="S393" i="7" s="1"/>
  <c r="T393" i="7" s="1"/>
  <c r="U393" i="7" s="1"/>
  <c r="V393" i="7" s="1"/>
  <c r="W393" i="7" s="1"/>
  <c r="X393" i="7" s="1"/>
  <c r="Y393" i="7" s="1"/>
  <c r="Z393" i="7" s="1"/>
  <c r="AA393" i="7" s="1"/>
  <c r="AB393" i="7" s="1"/>
  <c r="G384" i="7"/>
  <c r="H384" i="7" s="1"/>
  <c r="I384" i="7" s="1"/>
  <c r="J384" i="7" s="1"/>
  <c r="K384" i="7" s="1"/>
  <c r="L384" i="7" s="1"/>
  <c r="M384" i="7" s="1"/>
  <c r="N384" i="7" s="1"/>
  <c r="O384" i="7" s="1"/>
  <c r="P384" i="7" s="1"/>
  <c r="Q384" i="7" s="1"/>
  <c r="R384" i="7" s="1"/>
  <c r="S384" i="7" s="1"/>
  <c r="T384" i="7" s="1"/>
  <c r="U384" i="7" s="1"/>
  <c r="V384" i="7" s="1"/>
  <c r="W384" i="7" s="1"/>
  <c r="X384" i="7" s="1"/>
  <c r="Y384" i="7" s="1"/>
  <c r="Z384" i="7" s="1"/>
  <c r="AA384" i="7" s="1"/>
  <c r="AB384" i="7" s="1"/>
  <c r="G378" i="7"/>
  <c r="H378" i="7" s="1"/>
  <c r="I378" i="7" s="1"/>
  <c r="J378" i="7" s="1"/>
  <c r="K378" i="7" s="1"/>
  <c r="L378" i="7" s="1"/>
  <c r="M378" i="7" s="1"/>
  <c r="N378" i="7" s="1"/>
  <c r="O378" i="7" s="1"/>
  <c r="P378" i="7" s="1"/>
  <c r="Q378" i="7" s="1"/>
  <c r="R378" i="7" s="1"/>
  <c r="S378" i="7" s="1"/>
  <c r="T378" i="7" s="1"/>
  <c r="U378" i="7" s="1"/>
  <c r="V378" i="7" s="1"/>
  <c r="W378" i="7" s="1"/>
  <c r="X378" i="7" s="1"/>
  <c r="Y378" i="7" s="1"/>
  <c r="Z378" i="7" s="1"/>
  <c r="AA378" i="7" s="1"/>
  <c r="AB378" i="7" s="1"/>
  <c r="G372" i="7"/>
  <c r="H372" i="7" s="1"/>
  <c r="I372" i="7" s="1"/>
  <c r="J372" i="7" s="1"/>
  <c r="K372" i="7" s="1"/>
  <c r="L372" i="7" s="1"/>
  <c r="M372" i="7" s="1"/>
  <c r="N372" i="7" s="1"/>
  <c r="O372" i="7" s="1"/>
  <c r="P372" i="7" s="1"/>
  <c r="Q372" i="7" s="1"/>
  <c r="R372" i="7" s="1"/>
  <c r="S372" i="7" s="1"/>
  <c r="T372" i="7" s="1"/>
  <c r="U372" i="7" s="1"/>
  <c r="V372" i="7" s="1"/>
  <c r="W372" i="7" s="1"/>
  <c r="X372" i="7" s="1"/>
  <c r="Y372" i="7" s="1"/>
  <c r="Z372" i="7" s="1"/>
  <c r="AA372" i="7" s="1"/>
  <c r="AB372" i="7" s="1"/>
  <c r="G363" i="7"/>
  <c r="H363" i="7" s="1"/>
  <c r="I363" i="7" s="1"/>
  <c r="J363" i="7" s="1"/>
  <c r="K363" i="7" s="1"/>
  <c r="L363" i="7" s="1"/>
  <c r="M363" i="7" s="1"/>
  <c r="N363" i="7" s="1"/>
  <c r="O363" i="7" s="1"/>
  <c r="P363" i="7" s="1"/>
  <c r="Q363" i="7" s="1"/>
  <c r="R363" i="7" s="1"/>
  <c r="S363" i="7" s="1"/>
  <c r="T363" i="7" s="1"/>
  <c r="U363" i="7" s="1"/>
  <c r="V363" i="7" s="1"/>
  <c r="W363" i="7" s="1"/>
  <c r="X363" i="7" s="1"/>
  <c r="Y363" i="7" s="1"/>
  <c r="Z363" i="7" s="1"/>
  <c r="AA363" i="7" s="1"/>
  <c r="AB363" i="7" s="1"/>
  <c r="AC363" i="7" s="1"/>
  <c r="G357" i="7"/>
  <c r="H357" i="7" s="1"/>
  <c r="I357" i="7" s="1"/>
  <c r="J357" i="7" s="1"/>
  <c r="K357" i="7" s="1"/>
  <c r="L357" i="7" s="1"/>
  <c r="M357" i="7" s="1"/>
  <c r="N357" i="7" s="1"/>
  <c r="O357" i="7" s="1"/>
  <c r="P357" i="7" s="1"/>
  <c r="Q357" i="7" s="1"/>
  <c r="R357" i="7" s="1"/>
  <c r="S357" i="7" s="1"/>
  <c r="T357" i="7" s="1"/>
  <c r="U357" i="7" s="1"/>
  <c r="V357" i="7" s="1"/>
  <c r="W357" i="7" s="1"/>
  <c r="X357" i="7" s="1"/>
  <c r="Y357" i="7" s="1"/>
  <c r="Z357" i="7" s="1"/>
  <c r="AA357" i="7" s="1"/>
  <c r="AB357" i="7" s="1"/>
  <c r="G351" i="7"/>
  <c r="H351" i="7" s="1"/>
  <c r="I351" i="7" s="1"/>
  <c r="J351" i="7" s="1"/>
  <c r="K351" i="7" s="1"/>
  <c r="L351" i="7" s="1"/>
  <c r="M351" i="7" s="1"/>
  <c r="N351" i="7" s="1"/>
  <c r="O351" i="7" s="1"/>
  <c r="P351" i="7" s="1"/>
  <c r="Q351" i="7" s="1"/>
  <c r="R351" i="7" s="1"/>
  <c r="S351" i="7" s="1"/>
  <c r="T351" i="7" s="1"/>
  <c r="U351" i="7" s="1"/>
  <c r="V351" i="7" s="1"/>
  <c r="W351" i="7" s="1"/>
  <c r="X351" i="7" s="1"/>
  <c r="Y351" i="7" s="1"/>
  <c r="Z351" i="7" s="1"/>
  <c r="AA351" i="7" s="1"/>
  <c r="AB351" i="7" s="1"/>
  <c r="G339" i="7"/>
  <c r="H339" i="7" s="1"/>
  <c r="I339" i="7" s="1"/>
  <c r="J339" i="7" s="1"/>
  <c r="K339" i="7" s="1"/>
  <c r="L339" i="7" s="1"/>
  <c r="M339" i="7" s="1"/>
  <c r="N339" i="7" s="1"/>
  <c r="O339" i="7" s="1"/>
  <c r="P339" i="7" s="1"/>
  <c r="Q339" i="7" s="1"/>
  <c r="R339" i="7" s="1"/>
  <c r="S339" i="7" s="1"/>
  <c r="T339" i="7" s="1"/>
  <c r="U339" i="7" s="1"/>
  <c r="V339" i="7" s="1"/>
  <c r="W339" i="7" s="1"/>
  <c r="X339" i="7" s="1"/>
  <c r="Y339" i="7" s="1"/>
  <c r="Z339" i="7" s="1"/>
  <c r="AA339" i="7" s="1"/>
  <c r="AB339" i="7" s="1"/>
  <c r="G330" i="7"/>
  <c r="H330" i="7" s="1"/>
  <c r="I330" i="7" s="1"/>
  <c r="J330" i="7" s="1"/>
  <c r="K330" i="7" s="1"/>
  <c r="L330" i="7" s="1"/>
  <c r="M330" i="7" s="1"/>
  <c r="N330" i="7" s="1"/>
  <c r="O330" i="7" s="1"/>
  <c r="P330" i="7" s="1"/>
  <c r="Q330" i="7" s="1"/>
  <c r="R330" i="7" s="1"/>
  <c r="S330" i="7" s="1"/>
  <c r="T330" i="7" s="1"/>
  <c r="U330" i="7" s="1"/>
  <c r="V330" i="7" s="1"/>
  <c r="W330" i="7" s="1"/>
  <c r="X330" i="7" s="1"/>
  <c r="Y330" i="7" s="1"/>
  <c r="Z330" i="7" s="1"/>
  <c r="AA330" i="7" s="1"/>
  <c r="AB330" i="7" s="1"/>
  <c r="A327" i="7"/>
  <c r="F326" i="7"/>
  <c r="A326" i="7"/>
  <c r="F325" i="7"/>
  <c r="A325" i="7"/>
  <c r="F324" i="7"/>
  <c r="F729" i="7" s="1"/>
  <c r="A324" i="7"/>
  <c r="F323" i="7"/>
  <c r="F731" i="7" s="1"/>
  <c r="A323" i="7"/>
  <c r="F322" i="7"/>
  <c r="F708" i="7" s="1"/>
  <c r="A322" i="7"/>
  <c r="F321" i="7"/>
  <c r="F714" i="7" s="1"/>
  <c r="A321" i="7"/>
  <c r="G320" i="7"/>
  <c r="H320" i="7" s="1"/>
  <c r="I320" i="7" s="1"/>
  <c r="J320" i="7" s="1"/>
  <c r="K320" i="7" s="1"/>
  <c r="L320" i="7" s="1"/>
  <c r="M320" i="7" s="1"/>
  <c r="N320" i="7" s="1"/>
  <c r="O320" i="7" s="1"/>
  <c r="P320" i="7" s="1"/>
  <c r="Q320" i="7" s="1"/>
  <c r="R320" i="7" s="1"/>
  <c r="S320" i="7" s="1"/>
  <c r="T320" i="7" s="1"/>
  <c r="U320" i="7" s="1"/>
  <c r="V320" i="7" s="1"/>
  <c r="W320" i="7" s="1"/>
  <c r="X320" i="7" s="1"/>
  <c r="Y320" i="7" s="1"/>
  <c r="Z320" i="7" s="1"/>
  <c r="AA320" i="7" s="1"/>
  <c r="AB320" i="7" s="1"/>
  <c r="G310" i="7"/>
  <c r="H310" i="7" s="1"/>
  <c r="I310" i="7" s="1"/>
  <c r="J310" i="7" s="1"/>
  <c r="K310" i="7" s="1"/>
  <c r="L310" i="7" s="1"/>
  <c r="M310" i="7" s="1"/>
  <c r="N310" i="7" s="1"/>
  <c r="O310" i="7" s="1"/>
  <c r="P310" i="7" s="1"/>
  <c r="Q310" i="7" s="1"/>
  <c r="R310" i="7" s="1"/>
  <c r="S310" i="7" s="1"/>
  <c r="T310" i="7" s="1"/>
  <c r="U310" i="7" s="1"/>
  <c r="V310" i="7" s="1"/>
  <c r="W310" i="7" s="1"/>
  <c r="X310" i="7" s="1"/>
  <c r="Y310" i="7" s="1"/>
  <c r="Z310" i="7" s="1"/>
  <c r="AA310" i="7" s="1"/>
  <c r="AB310" i="7" s="1"/>
  <c r="G303" i="7"/>
  <c r="H303" i="7" s="1"/>
  <c r="I303" i="7" s="1"/>
  <c r="J303" i="7" s="1"/>
  <c r="K303" i="7" s="1"/>
  <c r="L303" i="7" s="1"/>
  <c r="M303" i="7" s="1"/>
  <c r="N303" i="7" s="1"/>
  <c r="O303" i="7" s="1"/>
  <c r="P303" i="7" s="1"/>
  <c r="Q303" i="7" s="1"/>
  <c r="R303" i="7" s="1"/>
  <c r="S303" i="7" s="1"/>
  <c r="T303" i="7" s="1"/>
  <c r="U303" i="7" s="1"/>
  <c r="V303" i="7" s="1"/>
  <c r="W303" i="7" s="1"/>
  <c r="X303" i="7" s="1"/>
  <c r="Y303" i="7" s="1"/>
  <c r="Z303" i="7" s="1"/>
  <c r="AA303" i="7" s="1"/>
  <c r="AB303" i="7" s="1"/>
  <c r="F300" i="7"/>
  <c r="F707" i="7" s="1"/>
  <c r="A300" i="7"/>
  <c r="A299" i="7"/>
  <c r="F298" i="7"/>
  <c r="A298" i="7"/>
  <c r="F297" i="7"/>
  <c r="F730" i="7" s="1"/>
  <c r="A297" i="7"/>
  <c r="F296" i="7"/>
  <c r="F713" i="7" s="1"/>
  <c r="A296" i="7"/>
  <c r="G295" i="7"/>
  <c r="H295" i="7" s="1"/>
  <c r="I295" i="7" s="1"/>
  <c r="J295" i="7" s="1"/>
  <c r="K295" i="7" s="1"/>
  <c r="L295" i="7" s="1"/>
  <c r="M295" i="7" s="1"/>
  <c r="N295" i="7" s="1"/>
  <c r="O295" i="7" s="1"/>
  <c r="P295" i="7" s="1"/>
  <c r="Q295" i="7" s="1"/>
  <c r="R295" i="7" s="1"/>
  <c r="S295" i="7" s="1"/>
  <c r="T295" i="7" s="1"/>
  <c r="U295" i="7" s="1"/>
  <c r="V295" i="7" s="1"/>
  <c r="W295" i="7" s="1"/>
  <c r="X295" i="7" s="1"/>
  <c r="Y295" i="7" s="1"/>
  <c r="Z295" i="7" s="1"/>
  <c r="AA295" i="7" s="1"/>
  <c r="AB295" i="7" s="1"/>
  <c r="G286" i="7"/>
  <c r="H286" i="7" s="1"/>
  <c r="I286" i="7" s="1"/>
  <c r="J286" i="7" s="1"/>
  <c r="K286" i="7" s="1"/>
  <c r="L286" i="7" s="1"/>
  <c r="M286" i="7" s="1"/>
  <c r="N286" i="7" s="1"/>
  <c r="O286" i="7" s="1"/>
  <c r="P286" i="7" s="1"/>
  <c r="Q286" i="7" s="1"/>
  <c r="R286" i="7" s="1"/>
  <c r="S286" i="7" s="1"/>
  <c r="T286" i="7" s="1"/>
  <c r="U286" i="7" s="1"/>
  <c r="V286" i="7" s="1"/>
  <c r="W286" i="7" s="1"/>
  <c r="X286" i="7" s="1"/>
  <c r="Y286" i="7" s="1"/>
  <c r="Z286" i="7" s="1"/>
  <c r="AA286" i="7" s="1"/>
  <c r="AB286" i="7" s="1"/>
  <c r="G276" i="7"/>
  <c r="H276" i="7" s="1"/>
  <c r="I276" i="7" s="1"/>
  <c r="J276" i="7" s="1"/>
  <c r="K276" i="7" s="1"/>
  <c r="L276" i="7" s="1"/>
  <c r="M276" i="7" s="1"/>
  <c r="N276" i="7" s="1"/>
  <c r="O276" i="7" s="1"/>
  <c r="P276" i="7" s="1"/>
  <c r="Q276" i="7" s="1"/>
  <c r="R276" i="7" s="1"/>
  <c r="S276" i="7" s="1"/>
  <c r="T276" i="7" s="1"/>
  <c r="U276" i="7" s="1"/>
  <c r="V276" i="7" s="1"/>
  <c r="W276" i="7" s="1"/>
  <c r="X276" i="7" s="1"/>
  <c r="Y276" i="7" s="1"/>
  <c r="Z276" i="7" s="1"/>
  <c r="AA276" i="7" s="1"/>
  <c r="AB276" i="7" s="1"/>
  <c r="G273" i="7"/>
  <c r="H273" i="7" s="1"/>
  <c r="I273" i="7" s="1"/>
  <c r="J273" i="7" s="1"/>
  <c r="K273" i="7" s="1"/>
  <c r="L273" i="7" s="1"/>
  <c r="M273" i="7" s="1"/>
  <c r="N273" i="7" s="1"/>
  <c r="O273" i="7" s="1"/>
  <c r="P273" i="7" s="1"/>
  <c r="Q273" i="7" s="1"/>
  <c r="R273" i="7" s="1"/>
  <c r="S273" i="7" s="1"/>
  <c r="T273" i="7" s="1"/>
  <c r="U273" i="7" s="1"/>
  <c r="V273" i="7" s="1"/>
  <c r="W273" i="7" s="1"/>
  <c r="X273" i="7" s="1"/>
  <c r="Y273" i="7" s="1"/>
  <c r="Z273" i="7" s="1"/>
  <c r="AA273" i="7" s="1"/>
  <c r="AB273" i="7" s="1"/>
  <c r="E271" i="7"/>
  <c r="G262" i="7"/>
  <c r="H262" i="7" s="1"/>
  <c r="I262" i="7" s="1"/>
  <c r="J262" i="7" s="1"/>
  <c r="K262" i="7" s="1"/>
  <c r="L262" i="7" s="1"/>
  <c r="M262" i="7" s="1"/>
  <c r="N262" i="7" s="1"/>
  <c r="O262" i="7" s="1"/>
  <c r="P262" i="7" s="1"/>
  <c r="Q262" i="7" s="1"/>
  <c r="R262" i="7" s="1"/>
  <c r="S262" i="7" s="1"/>
  <c r="T262" i="7" s="1"/>
  <c r="U262" i="7" s="1"/>
  <c r="V262" i="7" s="1"/>
  <c r="W262" i="7" s="1"/>
  <c r="X262" i="7" s="1"/>
  <c r="Y262" i="7" s="1"/>
  <c r="Z262" i="7" s="1"/>
  <c r="AA262" i="7" s="1"/>
  <c r="AB262" i="7" s="1"/>
  <c r="F257" i="7"/>
  <c r="F712" i="7" s="1"/>
  <c r="A257" i="7"/>
  <c r="A256" i="7"/>
  <c r="F255" i="7"/>
  <c r="F728" i="7" s="1"/>
  <c r="A255" i="7"/>
  <c r="F254" i="7"/>
  <c r="F706" i="7" s="1"/>
  <c r="A254" i="7"/>
  <c r="F252" i="7"/>
  <c r="A252" i="7"/>
  <c r="F251" i="7"/>
  <c r="F694" i="7" s="1"/>
  <c r="A251" i="7"/>
  <c r="G250" i="7"/>
  <c r="H250" i="7" s="1"/>
  <c r="I250" i="7" s="1"/>
  <c r="J250" i="7" s="1"/>
  <c r="K250" i="7" s="1"/>
  <c r="L250" i="7" s="1"/>
  <c r="M250" i="7" s="1"/>
  <c r="N250" i="7" s="1"/>
  <c r="O250" i="7" s="1"/>
  <c r="P250" i="7" s="1"/>
  <c r="Q250" i="7" s="1"/>
  <c r="R250" i="7" s="1"/>
  <c r="S250" i="7" s="1"/>
  <c r="T250" i="7" s="1"/>
  <c r="U250" i="7" s="1"/>
  <c r="V250" i="7" s="1"/>
  <c r="W250" i="7" s="1"/>
  <c r="X250" i="7" s="1"/>
  <c r="Y250" i="7" s="1"/>
  <c r="Z250" i="7" s="1"/>
  <c r="AA250" i="7" s="1"/>
  <c r="AB250" i="7" s="1"/>
  <c r="F242" i="7"/>
  <c r="G241" i="7"/>
  <c r="H241" i="7" s="1"/>
  <c r="I241" i="7" s="1"/>
  <c r="J241" i="7" s="1"/>
  <c r="K241" i="7" s="1"/>
  <c r="L241" i="7" s="1"/>
  <c r="M241" i="7" s="1"/>
  <c r="N241" i="7" s="1"/>
  <c r="O241" i="7" s="1"/>
  <c r="P241" i="7" s="1"/>
  <c r="Q241" i="7" s="1"/>
  <c r="R241" i="7" s="1"/>
  <c r="S241" i="7" s="1"/>
  <c r="T241" i="7" s="1"/>
  <c r="U241" i="7" s="1"/>
  <c r="V241" i="7" s="1"/>
  <c r="W241" i="7" s="1"/>
  <c r="X241" i="7" s="1"/>
  <c r="Y241" i="7" s="1"/>
  <c r="Z241" i="7" s="1"/>
  <c r="AA241" i="7" s="1"/>
  <c r="AB241" i="7" s="1"/>
  <c r="G233" i="7"/>
  <c r="H233" i="7" s="1"/>
  <c r="I233" i="7" s="1"/>
  <c r="J233" i="7" s="1"/>
  <c r="K233" i="7" s="1"/>
  <c r="L233" i="7" s="1"/>
  <c r="M233" i="7" s="1"/>
  <c r="N233" i="7" s="1"/>
  <c r="O233" i="7" s="1"/>
  <c r="P233" i="7" s="1"/>
  <c r="Q233" i="7" s="1"/>
  <c r="R233" i="7" s="1"/>
  <c r="S233" i="7" s="1"/>
  <c r="T233" i="7" s="1"/>
  <c r="U233" i="7" s="1"/>
  <c r="V233" i="7" s="1"/>
  <c r="W233" i="7" s="1"/>
  <c r="X233" i="7" s="1"/>
  <c r="Y233" i="7" s="1"/>
  <c r="Z233" i="7" s="1"/>
  <c r="AA233" i="7" s="1"/>
  <c r="AB233" i="7" s="1"/>
  <c r="G225" i="7"/>
  <c r="H225" i="7" s="1"/>
  <c r="I225" i="7" s="1"/>
  <c r="J225" i="7" s="1"/>
  <c r="K225" i="7" s="1"/>
  <c r="L225" i="7" s="1"/>
  <c r="M225" i="7" s="1"/>
  <c r="N225" i="7" s="1"/>
  <c r="O225" i="7" s="1"/>
  <c r="P225" i="7" s="1"/>
  <c r="Q225" i="7" s="1"/>
  <c r="R225" i="7" s="1"/>
  <c r="S225" i="7" s="1"/>
  <c r="T225" i="7" s="1"/>
  <c r="U225" i="7" s="1"/>
  <c r="V225" i="7" s="1"/>
  <c r="W225" i="7" s="1"/>
  <c r="X225" i="7" s="1"/>
  <c r="Y225" i="7" s="1"/>
  <c r="Z225" i="7" s="1"/>
  <c r="AA225" i="7" s="1"/>
  <c r="AB225" i="7" s="1"/>
  <c r="G218" i="7"/>
  <c r="H218" i="7" s="1"/>
  <c r="I218" i="7" s="1"/>
  <c r="J218" i="7" s="1"/>
  <c r="K218" i="7" s="1"/>
  <c r="L218" i="7" s="1"/>
  <c r="M218" i="7" s="1"/>
  <c r="N218" i="7" s="1"/>
  <c r="O218" i="7" s="1"/>
  <c r="P218" i="7" s="1"/>
  <c r="Q218" i="7" s="1"/>
  <c r="R218" i="7" s="1"/>
  <c r="S218" i="7" s="1"/>
  <c r="T218" i="7" s="1"/>
  <c r="U218" i="7" s="1"/>
  <c r="V218" i="7" s="1"/>
  <c r="W218" i="7" s="1"/>
  <c r="X218" i="7" s="1"/>
  <c r="Y218" i="7" s="1"/>
  <c r="Z218" i="7" s="1"/>
  <c r="AA218" i="7" s="1"/>
  <c r="AB218" i="7" s="1"/>
  <c r="G213" i="7"/>
  <c r="H213" i="7" s="1"/>
  <c r="I213" i="7" s="1"/>
  <c r="J213" i="7" s="1"/>
  <c r="K213" i="7" s="1"/>
  <c r="L213" i="7" s="1"/>
  <c r="M213" i="7" s="1"/>
  <c r="N213" i="7" s="1"/>
  <c r="O213" i="7" s="1"/>
  <c r="P213" i="7" s="1"/>
  <c r="Q213" i="7" s="1"/>
  <c r="R213" i="7" s="1"/>
  <c r="S213" i="7" s="1"/>
  <c r="T213" i="7" s="1"/>
  <c r="U213" i="7" s="1"/>
  <c r="V213" i="7" s="1"/>
  <c r="W213" i="7" s="1"/>
  <c r="X213" i="7" s="1"/>
  <c r="Y213" i="7" s="1"/>
  <c r="Z213" i="7" s="1"/>
  <c r="AA213" i="7" s="1"/>
  <c r="AB213" i="7" s="1"/>
  <c r="G206" i="7"/>
  <c r="H206" i="7" s="1"/>
  <c r="I206" i="7" s="1"/>
  <c r="J206" i="7" s="1"/>
  <c r="K206" i="7" s="1"/>
  <c r="L206" i="7" s="1"/>
  <c r="M206" i="7" s="1"/>
  <c r="N206" i="7" s="1"/>
  <c r="O206" i="7" s="1"/>
  <c r="P206" i="7" s="1"/>
  <c r="Q206" i="7" s="1"/>
  <c r="R206" i="7" s="1"/>
  <c r="S206" i="7" s="1"/>
  <c r="T206" i="7" s="1"/>
  <c r="U206" i="7" s="1"/>
  <c r="V206" i="7" s="1"/>
  <c r="W206" i="7" s="1"/>
  <c r="X206" i="7" s="1"/>
  <c r="Y206" i="7" s="1"/>
  <c r="Z206" i="7" s="1"/>
  <c r="AA206" i="7" s="1"/>
  <c r="AB206" i="7" s="1"/>
  <c r="F203" i="7"/>
  <c r="F693" i="7" s="1"/>
  <c r="A203" i="7"/>
  <c r="A202" i="7"/>
  <c r="F201" i="7"/>
  <c r="A201" i="7"/>
  <c r="F200" i="7"/>
  <c r="A200" i="7"/>
  <c r="F199" i="7"/>
  <c r="A199" i="7"/>
  <c r="G198" i="7"/>
  <c r="H198" i="7" s="1"/>
  <c r="I198" i="7" s="1"/>
  <c r="J198" i="7" s="1"/>
  <c r="K198" i="7" s="1"/>
  <c r="L198" i="7" s="1"/>
  <c r="M198" i="7" s="1"/>
  <c r="N198" i="7" s="1"/>
  <c r="O198" i="7" s="1"/>
  <c r="P198" i="7" s="1"/>
  <c r="Q198" i="7" s="1"/>
  <c r="R198" i="7" s="1"/>
  <c r="S198" i="7" s="1"/>
  <c r="T198" i="7" s="1"/>
  <c r="U198" i="7" s="1"/>
  <c r="V198" i="7" s="1"/>
  <c r="W198" i="7" s="1"/>
  <c r="X198" i="7" s="1"/>
  <c r="Y198" i="7" s="1"/>
  <c r="Z198" i="7" s="1"/>
  <c r="AA198" i="7" s="1"/>
  <c r="AB198" i="7" s="1"/>
  <c r="G189" i="7"/>
  <c r="H189" i="7" s="1"/>
  <c r="I189" i="7" s="1"/>
  <c r="J189" i="7" s="1"/>
  <c r="K189" i="7" s="1"/>
  <c r="L189" i="7" s="1"/>
  <c r="M189" i="7" s="1"/>
  <c r="N189" i="7" s="1"/>
  <c r="O189" i="7" s="1"/>
  <c r="P189" i="7" s="1"/>
  <c r="Q189" i="7" s="1"/>
  <c r="R189" i="7" s="1"/>
  <c r="S189" i="7" s="1"/>
  <c r="T189" i="7" s="1"/>
  <c r="U189" i="7" s="1"/>
  <c r="V189" i="7" s="1"/>
  <c r="W189" i="7" s="1"/>
  <c r="X189" i="7" s="1"/>
  <c r="Y189" i="7" s="1"/>
  <c r="Z189" i="7" s="1"/>
  <c r="AA189" i="7" s="1"/>
  <c r="AB189" i="7" s="1"/>
  <c r="AC189" i="7" s="1"/>
  <c r="G177" i="7"/>
  <c r="H177" i="7" s="1"/>
  <c r="I177" i="7" s="1"/>
  <c r="J177" i="7" s="1"/>
  <c r="K177" i="7" s="1"/>
  <c r="L177" i="7" s="1"/>
  <c r="M177" i="7" s="1"/>
  <c r="N177" i="7" s="1"/>
  <c r="O177" i="7" s="1"/>
  <c r="P177" i="7" s="1"/>
  <c r="Q177" i="7" s="1"/>
  <c r="R177" i="7" s="1"/>
  <c r="S177" i="7" s="1"/>
  <c r="T177" i="7" s="1"/>
  <c r="U177" i="7" s="1"/>
  <c r="V177" i="7" s="1"/>
  <c r="W177" i="7" s="1"/>
  <c r="X177" i="7" s="1"/>
  <c r="Y177" i="7" s="1"/>
  <c r="Z177" i="7" s="1"/>
  <c r="AA177" i="7" s="1"/>
  <c r="AB177" i="7" s="1"/>
  <c r="G170" i="7"/>
  <c r="H170" i="7" s="1"/>
  <c r="I170" i="7" s="1"/>
  <c r="J170" i="7" s="1"/>
  <c r="K170" i="7" s="1"/>
  <c r="L170" i="7" s="1"/>
  <c r="M170" i="7" s="1"/>
  <c r="N170" i="7" s="1"/>
  <c r="O170" i="7" s="1"/>
  <c r="P170" i="7" s="1"/>
  <c r="Q170" i="7" s="1"/>
  <c r="R170" i="7" s="1"/>
  <c r="S170" i="7" s="1"/>
  <c r="T170" i="7" s="1"/>
  <c r="U170" i="7" s="1"/>
  <c r="V170" i="7" s="1"/>
  <c r="W170" i="7" s="1"/>
  <c r="X170" i="7" s="1"/>
  <c r="Y170" i="7" s="1"/>
  <c r="Z170" i="7" s="1"/>
  <c r="AA170" i="7" s="1"/>
  <c r="AB170" i="7" s="1"/>
  <c r="A163" i="7"/>
  <c r="G160" i="7"/>
  <c r="H160" i="7" s="1"/>
  <c r="I160" i="7" s="1"/>
  <c r="J160" i="7" s="1"/>
  <c r="K160" i="7" s="1"/>
  <c r="L160" i="7" s="1"/>
  <c r="M160" i="7" s="1"/>
  <c r="N160" i="7" s="1"/>
  <c r="O160" i="7" s="1"/>
  <c r="P160" i="7" s="1"/>
  <c r="Q160" i="7" s="1"/>
  <c r="R160" i="7" s="1"/>
  <c r="S160" i="7" s="1"/>
  <c r="T160" i="7" s="1"/>
  <c r="U160" i="7" s="1"/>
  <c r="V160" i="7" s="1"/>
  <c r="W160" i="7" s="1"/>
  <c r="X160" i="7" s="1"/>
  <c r="Y160" i="7" s="1"/>
  <c r="Z160" i="7" s="1"/>
  <c r="AA160" i="7" s="1"/>
  <c r="AB160" i="7" s="1"/>
  <c r="G152" i="7"/>
  <c r="H152" i="7" s="1"/>
  <c r="I152" i="7" s="1"/>
  <c r="J152" i="7" s="1"/>
  <c r="K152" i="7" s="1"/>
  <c r="L152" i="7" s="1"/>
  <c r="M152" i="7" s="1"/>
  <c r="N152" i="7" s="1"/>
  <c r="O152" i="7" s="1"/>
  <c r="P152" i="7" s="1"/>
  <c r="Q152" i="7" s="1"/>
  <c r="R152" i="7" s="1"/>
  <c r="S152" i="7" s="1"/>
  <c r="T152" i="7" s="1"/>
  <c r="U152" i="7" s="1"/>
  <c r="V152" i="7" s="1"/>
  <c r="W152" i="7" s="1"/>
  <c r="X152" i="7" s="1"/>
  <c r="Y152" i="7" s="1"/>
  <c r="Z152" i="7" s="1"/>
  <c r="AA152" i="7" s="1"/>
  <c r="AB152" i="7" s="1"/>
  <c r="G144" i="7"/>
  <c r="H144" i="7" s="1"/>
  <c r="I144" i="7" s="1"/>
  <c r="J144" i="7" s="1"/>
  <c r="K144" i="7" s="1"/>
  <c r="L144" i="7" s="1"/>
  <c r="M144" i="7" s="1"/>
  <c r="N144" i="7" s="1"/>
  <c r="O144" i="7" s="1"/>
  <c r="P144" i="7" s="1"/>
  <c r="Q144" i="7" s="1"/>
  <c r="R144" i="7" s="1"/>
  <c r="S144" i="7" s="1"/>
  <c r="T144" i="7" s="1"/>
  <c r="U144" i="7" s="1"/>
  <c r="V144" i="7" s="1"/>
  <c r="W144" i="7" s="1"/>
  <c r="X144" i="7" s="1"/>
  <c r="Y144" i="7" s="1"/>
  <c r="Z144" i="7" s="1"/>
  <c r="AA144" i="7" s="1"/>
  <c r="AB144" i="7" s="1"/>
  <c r="F141" i="7"/>
  <c r="A141" i="7"/>
  <c r="F140" i="7"/>
  <c r="A140" i="7"/>
  <c r="F139" i="7"/>
  <c r="A139" i="7"/>
  <c r="A138" i="7"/>
  <c r="F137" i="7"/>
  <c r="A137" i="7"/>
  <c r="F136" i="7"/>
  <c r="A136" i="7"/>
  <c r="G135" i="7"/>
  <c r="H135" i="7" s="1"/>
  <c r="I135" i="7" s="1"/>
  <c r="J135" i="7" s="1"/>
  <c r="K135" i="7" s="1"/>
  <c r="L135" i="7" s="1"/>
  <c r="M135" i="7" s="1"/>
  <c r="N135" i="7" s="1"/>
  <c r="O135" i="7" s="1"/>
  <c r="P135" i="7" s="1"/>
  <c r="Q135" i="7" s="1"/>
  <c r="R135" i="7" s="1"/>
  <c r="S135" i="7" s="1"/>
  <c r="T135" i="7" s="1"/>
  <c r="U135" i="7" s="1"/>
  <c r="V135" i="7" s="1"/>
  <c r="W135" i="7" s="1"/>
  <c r="X135" i="7" s="1"/>
  <c r="Y135" i="7" s="1"/>
  <c r="Z135" i="7" s="1"/>
  <c r="AA135" i="7" s="1"/>
  <c r="AB135" i="7" s="1"/>
  <c r="G126" i="7"/>
  <c r="H126" i="7" s="1"/>
  <c r="I126" i="7" s="1"/>
  <c r="J126" i="7" s="1"/>
  <c r="K126" i="7" s="1"/>
  <c r="L126" i="7" s="1"/>
  <c r="M126" i="7" s="1"/>
  <c r="N126" i="7" s="1"/>
  <c r="O126" i="7" s="1"/>
  <c r="P126" i="7" s="1"/>
  <c r="Q126" i="7" s="1"/>
  <c r="R126" i="7" s="1"/>
  <c r="S126" i="7" s="1"/>
  <c r="T126" i="7" s="1"/>
  <c r="U126" i="7" s="1"/>
  <c r="V126" i="7" s="1"/>
  <c r="W126" i="7" s="1"/>
  <c r="X126" i="7" s="1"/>
  <c r="Y126" i="7" s="1"/>
  <c r="Z126" i="7" s="1"/>
  <c r="AA126" i="7" s="1"/>
  <c r="AB126" i="7" s="1"/>
  <c r="AD122" i="7"/>
  <c r="G117" i="7"/>
  <c r="H117" i="7" s="1"/>
  <c r="I117" i="7" s="1"/>
  <c r="J117" i="7" s="1"/>
  <c r="K117" i="7" s="1"/>
  <c r="L117" i="7" s="1"/>
  <c r="M117" i="7" s="1"/>
  <c r="N117" i="7" s="1"/>
  <c r="O117" i="7" s="1"/>
  <c r="P117" i="7" s="1"/>
  <c r="Q117" i="7" s="1"/>
  <c r="R117" i="7" s="1"/>
  <c r="S117" i="7" s="1"/>
  <c r="T117" i="7" s="1"/>
  <c r="U117" i="7" s="1"/>
  <c r="V117" i="7" s="1"/>
  <c r="W117" i="7" s="1"/>
  <c r="X117" i="7" s="1"/>
  <c r="Y117" i="7" s="1"/>
  <c r="Z117" i="7" s="1"/>
  <c r="AA117" i="7" s="1"/>
  <c r="AB117" i="7" s="1"/>
  <c r="A114" i="7"/>
  <c r="G106" i="7"/>
  <c r="H106" i="7" s="1"/>
  <c r="I106" i="7" s="1"/>
  <c r="J106" i="7" s="1"/>
  <c r="K106" i="7" s="1"/>
  <c r="L106" i="7" s="1"/>
  <c r="M106" i="7" s="1"/>
  <c r="N106" i="7" s="1"/>
  <c r="O106" i="7" s="1"/>
  <c r="P106" i="7" s="1"/>
  <c r="Q106" i="7" s="1"/>
  <c r="R106" i="7" s="1"/>
  <c r="S106" i="7" s="1"/>
  <c r="T106" i="7" s="1"/>
  <c r="U106" i="7" s="1"/>
  <c r="V106" i="7" s="1"/>
  <c r="W106" i="7" s="1"/>
  <c r="X106" i="7" s="1"/>
  <c r="Y106" i="7" s="1"/>
  <c r="Z106" i="7" s="1"/>
  <c r="AA106" i="7" s="1"/>
  <c r="AB106" i="7" s="1"/>
  <c r="G97" i="7"/>
  <c r="H97" i="7" s="1"/>
  <c r="I97" i="7" s="1"/>
  <c r="J97" i="7" s="1"/>
  <c r="K97" i="7" s="1"/>
  <c r="L97" i="7" s="1"/>
  <c r="M97" i="7" s="1"/>
  <c r="N97" i="7" s="1"/>
  <c r="O97" i="7" s="1"/>
  <c r="P97" i="7" s="1"/>
  <c r="Q97" i="7" s="1"/>
  <c r="R97" i="7" s="1"/>
  <c r="S97" i="7" s="1"/>
  <c r="T97" i="7" s="1"/>
  <c r="U97" i="7" s="1"/>
  <c r="V97" i="7" s="1"/>
  <c r="W97" i="7" s="1"/>
  <c r="X97" i="7" s="1"/>
  <c r="Y97" i="7" s="1"/>
  <c r="Z97" i="7" s="1"/>
  <c r="AA97" i="7" s="1"/>
  <c r="AB97" i="7" s="1"/>
  <c r="G91" i="7"/>
  <c r="H91" i="7" s="1"/>
  <c r="I91" i="7" s="1"/>
  <c r="J91" i="7" s="1"/>
  <c r="K91" i="7" s="1"/>
  <c r="L91" i="7" s="1"/>
  <c r="M91" i="7" s="1"/>
  <c r="N91" i="7" s="1"/>
  <c r="O91" i="7" s="1"/>
  <c r="P91" i="7" s="1"/>
  <c r="Q91" i="7" s="1"/>
  <c r="R91" i="7" s="1"/>
  <c r="S91" i="7" s="1"/>
  <c r="T91" i="7" s="1"/>
  <c r="U91" i="7" s="1"/>
  <c r="V91" i="7" s="1"/>
  <c r="W91" i="7" s="1"/>
  <c r="X91" i="7" s="1"/>
  <c r="Y91" i="7" s="1"/>
  <c r="Z91" i="7" s="1"/>
  <c r="AA91" i="7" s="1"/>
  <c r="AB91" i="7" s="1"/>
  <c r="A88" i="7"/>
  <c r="F83" i="7"/>
  <c r="A83" i="7"/>
  <c r="F78" i="7"/>
  <c r="A78" i="7"/>
  <c r="F73" i="7"/>
  <c r="A73" i="7"/>
  <c r="G72" i="7"/>
  <c r="H72" i="7" s="1"/>
  <c r="I72" i="7" s="1"/>
  <c r="J72" i="7" s="1"/>
  <c r="K72" i="7" s="1"/>
  <c r="L72" i="7" s="1"/>
  <c r="M72" i="7" s="1"/>
  <c r="N72" i="7" s="1"/>
  <c r="O72" i="7" s="1"/>
  <c r="P72" i="7" s="1"/>
  <c r="Q72" i="7" s="1"/>
  <c r="R72" i="7" s="1"/>
  <c r="S72" i="7" s="1"/>
  <c r="T72" i="7" s="1"/>
  <c r="U72" i="7" s="1"/>
  <c r="V72" i="7" s="1"/>
  <c r="W72" i="7" s="1"/>
  <c r="X72" i="7" s="1"/>
  <c r="Y72" i="7" s="1"/>
  <c r="Z72" i="7" s="1"/>
  <c r="AA72" i="7" s="1"/>
  <c r="AB72" i="7" s="1"/>
  <c r="G61" i="7"/>
  <c r="H61" i="7" s="1"/>
  <c r="I61" i="7" s="1"/>
  <c r="J61" i="7" s="1"/>
  <c r="K61" i="7" s="1"/>
  <c r="L61" i="7" s="1"/>
  <c r="M61" i="7" s="1"/>
  <c r="N61" i="7" s="1"/>
  <c r="O61" i="7" s="1"/>
  <c r="P61" i="7" s="1"/>
  <c r="Q61" i="7" s="1"/>
  <c r="R61" i="7" s="1"/>
  <c r="S61" i="7" s="1"/>
  <c r="T61" i="7" s="1"/>
  <c r="U61" i="7" s="1"/>
  <c r="V61" i="7" s="1"/>
  <c r="W61" i="7" s="1"/>
  <c r="X61" i="7" s="1"/>
  <c r="Y61" i="7" s="1"/>
  <c r="Z61" i="7" s="1"/>
  <c r="AA61" i="7" s="1"/>
  <c r="AB61" i="7" s="1"/>
  <c r="G53" i="7"/>
  <c r="H53" i="7" s="1"/>
  <c r="I53" i="7" s="1"/>
  <c r="J53" i="7" s="1"/>
  <c r="K53" i="7" s="1"/>
  <c r="L53" i="7" s="1"/>
  <c r="M53" i="7" s="1"/>
  <c r="N53" i="7" s="1"/>
  <c r="O53" i="7" s="1"/>
  <c r="P53" i="7" s="1"/>
  <c r="Q53" i="7" s="1"/>
  <c r="R53" i="7" s="1"/>
  <c r="S53" i="7" s="1"/>
  <c r="T53" i="7" s="1"/>
  <c r="U53" i="7" s="1"/>
  <c r="V53" i="7" s="1"/>
  <c r="W53" i="7" s="1"/>
  <c r="X53" i="7" s="1"/>
  <c r="Y53" i="7" s="1"/>
  <c r="Z53" i="7" s="1"/>
  <c r="AA53" i="7" s="1"/>
  <c r="AB53" i="7" s="1"/>
  <c r="F50" i="7"/>
  <c r="F59" i="7" s="1"/>
  <c r="A50" i="7"/>
  <c r="F49" i="7"/>
  <c r="F58" i="7" s="1"/>
  <c r="A49" i="7"/>
  <c r="A48" i="7"/>
  <c r="F47" i="7"/>
  <c r="F56" i="7" s="1"/>
  <c r="A47" i="7"/>
  <c r="F46" i="7"/>
  <c r="F55" i="7" s="1"/>
  <c r="A46" i="7"/>
  <c r="F45" i="7"/>
  <c r="F54" i="7" s="1"/>
  <c r="A45" i="7"/>
  <c r="G44" i="7"/>
  <c r="H44" i="7" s="1"/>
  <c r="I44" i="7" s="1"/>
  <c r="J44" i="7" s="1"/>
  <c r="K44" i="7" s="1"/>
  <c r="L44" i="7" s="1"/>
  <c r="M44" i="7" s="1"/>
  <c r="N44" i="7" s="1"/>
  <c r="O44" i="7" s="1"/>
  <c r="P44" i="7" s="1"/>
  <c r="Q44" i="7" s="1"/>
  <c r="R44" i="7" s="1"/>
  <c r="S44" i="7" s="1"/>
  <c r="T44" i="7" s="1"/>
  <c r="U44" i="7" s="1"/>
  <c r="V44" i="7" s="1"/>
  <c r="W44" i="7" s="1"/>
  <c r="X44" i="7" s="1"/>
  <c r="Y44" i="7" s="1"/>
  <c r="Z44" i="7" s="1"/>
  <c r="AA44" i="7" s="1"/>
  <c r="AB44" i="7" s="1"/>
  <c r="G33" i="7"/>
  <c r="H33" i="7" s="1"/>
  <c r="I33" i="7" s="1"/>
  <c r="J33" i="7" s="1"/>
  <c r="K33" i="7" s="1"/>
  <c r="L33" i="7" s="1"/>
  <c r="M33" i="7" s="1"/>
  <c r="N33" i="7" s="1"/>
  <c r="O33" i="7" s="1"/>
  <c r="P33" i="7" s="1"/>
  <c r="Q33" i="7" s="1"/>
  <c r="R33" i="7" s="1"/>
  <c r="S33" i="7" s="1"/>
  <c r="T33" i="7" s="1"/>
  <c r="U33" i="7" s="1"/>
  <c r="V33" i="7" s="1"/>
  <c r="W33" i="7" s="1"/>
  <c r="X33" i="7" s="1"/>
  <c r="Y33" i="7" s="1"/>
  <c r="Z33" i="7" s="1"/>
  <c r="AA33" i="7" s="1"/>
  <c r="AB33" i="7" s="1"/>
  <c r="G25" i="7"/>
  <c r="H25" i="7" s="1"/>
  <c r="I25" i="7" s="1"/>
  <c r="J25" i="7" s="1"/>
  <c r="K25" i="7" s="1"/>
  <c r="L25" i="7" s="1"/>
  <c r="M25" i="7" s="1"/>
  <c r="N25" i="7" s="1"/>
  <c r="O25" i="7" s="1"/>
  <c r="P25" i="7" s="1"/>
  <c r="Q25" i="7" s="1"/>
  <c r="R25" i="7" s="1"/>
  <c r="S25" i="7" s="1"/>
  <c r="T25" i="7" s="1"/>
  <c r="U25" i="7" s="1"/>
  <c r="V25" i="7" s="1"/>
  <c r="W25" i="7" s="1"/>
  <c r="X25" i="7" s="1"/>
  <c r="Y25" i="7" s="1"/>
  <c r="Z25" i="7" s="1"/>
  <c r="AA25" i="7" s="1"/>
  <c r="AB25" i="7" s="1"/>
  <c r="G16" i="7"/>
  <c r="H16" i="7" s="1"/>
  <c r="I16" i="7" s="1"/>
  <c r="J16" i="7" s="1"/>
  <c r="K16" i="7" s="1"/>
  <c r="L16" i="7" s="1"/>
  <c r="M16" i="7" s="1"/>
  <c r="N16" i="7" s="1"/>
  <c r="O16" i="7" s="1"/>
  <c r="P16" i="7" s="1"/>
  <c r="Q16" i="7" s="1"/>
  <c r="R16" i="7" s="1"/>
  <c r="S16" i="7" s="1"/>
  <c r="T16" i="7" s="1"/>
  <c r="U16" i="7" s="1"/>
  <c r="V16" i="7" s="1"/>
  <c r="W16" i="7" s="1"/>
  <c r="X16" i="7" s="1"/>
  <c r="Y16" i="7" s="1"/>
  <c r="Z16" i="7" s="1"/>
  <c r="AA16" i="7" s="1"/>
  <c r="AB16" i="7" s="1"/>
  <c r="F13" i="7"/>
  <c r="A13" i="7"/>
  <c r="F12" i="7"/>
  <c r="F21" i="7" s="1"/>
  <c r="A12" i="7"/>
  <c r="A11" i="7"/>
  <c r="F10" i="7"/>
  <c r="F64" i="7" s="1"/>
  <c r="A10" i="7"/>
  <c r="F9" i="7"/>
  <c r="A9" i="7"/>
  <c r="F8" i="7"/>
  <c r="F62" i="7" s="1"/>
  <c r="A8" i="7"/>
  <c r="G7" i="7"/>
  <c r="H7" i="7" s="1"/>
  <c r="I7" i="7" s="1"/>
  <c r="J7" i="7" s="1"/>
  <c r="K7" i="7" s="1"/>
  <c r="L7" i="7" s="1"/>
  <c r="M7" i="7" s="1"/>
  <c r="N7" i="7" s="1"/>
  <c r="O7" i="7" s="1"/>
  <c r="P7" i="7" s="1"/>
  <c r="Q7" i="7" s="1"/>
  <c r="R7" i="7" s="1"/>
  <c r="S7" i="7" s="1"/>
  <c r="T7" i="7" s="1"/>
  <c r="U7" i="7" s="1"/>
  <c r="V7" i="7" s="1"/>
  <c r="W7" i="7" s="1"/>
  <c r="X7" i="7" s="1"/>
  <c r="Y7" i="7" s="1"/>
  <c r="Z7" i="7" s="1"/>
  <c r="AA7" i="7" s="1"/>
  <c r="AB7" i="7" s="1"/>
  <c r="F253" i="8"/>
  <c r="E253" i="8"/>
  <c r="E252" i="8"/>
  <c r="G251" i="8"/>
  <c r="H251" i="8" s="1"/>
  <c r="I251" i="8" s="1"/>
  <c r="J251" i="8" s="1"/>
  <c r="K251" i="8" s="1"/>
  <c r="L251" i="8" s="1"/>
  <c r="M251" i="8" s="1"/>
  <c r="N251" i="8" s="1"/>
  <c r="O251" i="8" s="1"/>
  <c r="P251" i="8" s="1"/>
  <c r="Q251" i="8" s="1"/>
  <c r="R251" i="8" s="1"/>
  <c r="S251" i="8" s="1"/>
  <c r="T251" i="8" s="1"/>
  <c r="U251" i="8" s="1"/>
  <c r="V251" i="8" s="1"/>
  <c r="W251" i="8" s="1"/>
  <c r="X251" i="8" s="1"/>
  <c r="Y251" i="8" s="1"/>
  <c r="Z251" i="8" s="1"/>
  <c r="AA251" i="8" s="1"/>
  <c r="AB251" i="8" s="1"/>
  <c r="AC251" i="8" s="1"/>
  <c r="AD251" i="8" s="1"/>
  <c r="AE251" i="8" s="1"/>
  <c r="AF251" i="8" s="1"/>
  <c r="F248" i="8"/>
  <c r="E248" i="8"/>
  <c r="F247" i="8"/>
  <c r="E247" i="8"/>
  <c r="G246" i="8"/>
  <c r="H246" i="8" s="1"/>
  <c r="I246" i="8" s="1"/>
  <c r="J246" i="8" s="1"/>
  <c r="K246" i="8" s="1"/>
  <c r="L246" i="8" s="1"/>
  <c r="M246" i="8" s="1"/>
  <c r="N246" i="8" s="1"/>
  <c r="O246" i="8" s="1"/>
  <c r="P246" i="8" s="1"/>
  <c r="Q246" i="8" s="1"/>
  <c r="R246" i="8" s="1"/>
  <c r="S246" i="8" s="1"/>
  <c r="T246" i="8" s="1"/>
  <c r="U246" i="8" s="1"/>
  <c r="V246" i="8" s="1"/>
  <c r="W246" i="8" s="1"/>
  <c r="X246" i="8" s="1"/>
  <c r="Y246" i="8" s="1"/>
  <c r="Z246" i="8" s="1"/>
  <c r="AA246" i="8" s="1"/>
  <c r="AB246" i="8" s="1"/>
  <c r="F242" i="8"/>
  <c r="I241" i="8"/>
  <c r="J241" i="8" s="1"/>
  <c r="K241" i="8" s="1"/>
  <c r="L241" i="8" s="1"/>
  <c r="M241" i="8" s="1"/>
  <c r="N241" i="8" s="1"/>
  <c r="O241" i="8" s="1"/>
  <c r="P241" i="8" s="1"/>
  <c r="Q241" i="8" s="1"/>
  <c r="R241" i="8" s="1"/>
  <c r="S241" i="8" s="1"/>
  <c r="T241" i="8" s="1"/>
  <c r="U241" i="8" s="1"/>
  <c r="V241" i="8" s="1"/>
  <c r="W241" i="8" s="1"/>
  <c r="X241" i="8" s="1"/>
  <c r="Y241" i="8" s="1"/>
  <c r="Z241" i="8" s="1"/>
  <c r="AA241" i="8" s="1"/>
  <c r="AB241" i="8" s="1"/>
  <c r="G241" i="8"/>
  <c r="H241" i="8" s="1"/>
  <c r="G235" i="8"/>
  <c r="H235" i="8" s="1"/>
  <c r="I235" i="8" s="1"/>
  <c r="J235" i="8" s="1"/>
  <c r="K235" i="8" s="1"/>
  <c r="L235" i="8" s="1"/>
  <c r="M235" i="8" s="1"/>
  <c r="N235" i="8" s="1"/>
  <c r="O235" i="8" s="1"/>
  <c r="P235" i="8" s="1"/>
  <c r="Q235" i="8" s="1"/>
  <c r="R235" i="8" s="1"/>
  <c r="S235" i="8" s="1"/>
  <c r="T235" i="8" s="1"/>
  <c r="U235" i="8" s="1"/>
  <c r="V235" i="8" s="1"/>
  <c r="W235" i="8" s="1"/>
  <c r="X235" i="8" s="1"/>
  <c r="Y235" i="8" s="1"/>
  <c r="Z235" i="8" s="1"/>
  <c r="AA235" i="8" s="1"/>
  <c r="AB235" i="8" s="1"/>
  <c r="I227" i="8"/>
  <c r="J227" i="8" s="1"/>
  <c r="K227" i="8" s="1"/>
  <c r="L227" i="8" s="1"/>
  <c r="M227" i="8" s="1"/>
  <c r="N227" i="8" s="1"/>
  <c r="O227" i="8" s="1"/>
  <c r="P227" i="8" s="1"/>
  <c r="Q227" i="8" s="1"/>
  <c r="R227" i="8" s="1"/>
  <c r="S227" i="8" s="1"/>
  <c r="T227" i="8" s="1"/>
  <c r="U227" i="8" s="1"/>
  <c r="V227" i="8" s="1"/>
  <c r="W227" i="8" s="1"/>
  <c r="X227" i="8" s="1"/>
  <c r="Y227" i="8" s="1"/>
  <c r="Z227" i="8" s="1"/>
  <c r="AA227" i="8" s="1"/>
  <c r="AB227" i="8" s="1"/>
  <c r="G227" i="8"/>
  <c r="H227" i="8" s="1"/>
  <c r="G219" i="8"/>
  <c r="H219" i="8" s="1"/>
  <c r="I219" i="8" s="1"/>
  <c r="J219" i="8" s="1"/>
  <c r="K219" i="8" s="1"/>
  <c r="L219" i="8" s="1"/>
  <c r="M219" i="8" s="1"/>
  <c r="N219" i="8" s="1"/>
  <c r="O219" i="8" s="1"/>
  <c r="P219" i="8" s="1"/>
  <c r="Q219" i="8" s="1"/>
  <c r="R219" i="8" s="1"/>
  <c r="S219" i="8" s="1"/>
  <c r="T219" i="8" s="1"/>
  <c r="U219" i="8" s="1"/>
  <c r="V219" i="8" s="1"/>
  <c r="W219" i="8" s="1"/>
  <c r="X219" i="8" s="1"/>
  <c r="Y219" i="8" s="1"/>
  <c r="Z219" i="8" s="1"/>
  <c r="AA219" i="8" s="1"/>
  <c r="AB219" i="8" s="1"/>
  <c r="AC219" i="8" s="1"/>
  <c r="AD219" i="8" s="1"/>
  <c r="AE219" i="8" s="1"/>
  <c r="AF219" i="8" s="1"/>
  <c r="F216" i="8"/>
  <c r="A216" i="8"/>
  <c r="A215" i="8"/>
  <c r="A213" i="8"/>
  <c r="F210" i="8"/>
  <c r="A210" i="8"/>
  <c r="F209" i="8"/>
  <c r="A209" i="8"/>
  <c r="F208" i="8"/>
  <c r="A208" i="8"/>
  <c r="G207" i="8"/>
  <c r="H207" i="8" s="1"/>
  <c r="I207" i="8" s="1"/>
  <c r="J207" i="8" s="1"/>
  <c r="K207" i="8" s="1"/>
  <c r="L207" i="8" s="1"/>
  <c r="M207" i="8" s="1"/>
  <c r="N207" i="8" s="1"/>
  <c r="O207" i="8" s="1"/>
  <c r="P207" i="8" s="1"/>
  <c r="Q207" i="8" s="1"/>
  <c r="R207" i="8" s="1"/>
  <c r="S207" i="8" s="1"/>
  <c r="T207" i="8" s="1"/>
  <c r="U207" i="8" s="1"/>
  <c r="V207" i="8" s="1"/>
  <c r="W207" i="8" s="1"/>
  <c r="X207" i="8" s="1"/>
  <c r="Y207" i="8" s="1"/>
  <c r="Z207" i="8" s="1"/>
  <c r="AA207" i="8" s="1"/>
  <c r="AB207" i="8" s="1"/>
  <c r="G200" i="8"/>
  <c r="H200" i="8" s="1"/>
  <c r="I200" i="8" s="1"/>
  <c r="J200" i="8" s="1"/>
  <c r="K200" i="8" s="1"/>
  <c r="L200" i="8" s="1"/>
  <c r="M200" i="8" s="1"/>
  <c r="N200" i="8" s="1"/>
  <c r="O200" i="8" s="1"/>
  <c r="P200" i="8" s="1"/>
  <c r="Q200" i="8" s="1"/>
  <c r="R200" i="8" s="1"/>
  <c r="S200" i="8" s="1"/>
  <c r="T200" i="8" s="1"/>
  <c r="U200" i="8" s="1"/>
  <c r="V200" i="8" s="1"/>
  <c r="W200" i="8" s="1"/>
  <c r="X200" i="8" s="1"/>
  <c r="Y200" i="8" s="1"/>
  <c r="Z200" i="8" s="1"/>
  <c r="AA200" i="8" s="1"/>
  <c r="AB200" i="8" s="1"/>
  <c r="G193" i="8"/>
  <c r="H193" i="8" s="1"/>
  <c r="I193" i="8" s="1"/>
  <c r="J193" i="8" s="1"/>
  <c r="K193" i="8" s="1"/>
  <c r="L193" i="8" s="1"/>
  <c r="M193" i="8" s="1"/>
  <c r="N193" i="8" s="1"/>
  <c r="O193" i="8" s="1"/>
  <c r="P193" i="8" s="1"/>
  <c r="Q193" i="8" s="1"/>
  <c r="R193" i="8" s="1"/>
  <c r="S193" i="8" s="1"/>
  <c r="T193" i="8" s="1"/>
  <c r="U193" i="8" s="1"/>
  <c r="V193" i="8" s="1"/>
  <c r="W193" i="8" s="1"/>
  <c r="X193" i="8" s="1"/>
  <c r="Y193" i="8" s="1"/>
  <c r="Z193" i="8" s="1"/>
  <c r="AA193" i="8" s="1"/>
  <c r="AB193" i="8" s="1"/>
  <c r="G186" i="8"/>
  <c r="H186" i="8" s="1"/>
  <c r="I186" i="8" s="1"/>
  <c r="J186" i="8" s="1"/>
  <c r="K186" i="8" s="1"/>
  <c r="L186" i="8" s="1"/>
  <c r="M186" i="8" s="1"/>
  <c r="N186" i="8" s="1"/>
  <c r="O186" i="8" s="1"/>
  <c r="P186" i="8" s="1"/>
  <c r="Q186" i="8" s="1"/>
  <c r="R186" i="8" s="1"/>
  <c r="S186" i="8" s="1"/>
  <c r="T186" i="8" s="1"/>
  <c r="U186" i="8" s="1"/>
  <c r="V186" i="8" s="1"/>
  <c r="W186" i="8" s="1"/>
  <c r="X186" i="8" s="1"/>
  <c r="Y186" i="8" s="1"/>
  <c r="Z186" i="8" s="1"/>
  <c r="AA186" i="8" s="1"/>
  <c r="AB186" i="8" s="1"/>
  <c r="AC186" i="8" s="1"/>
  <c r="AD186" i="8" s="1"/>
  <c r="AE186" i="8" s="1"/>
  <c r="AF186" i="8" s="1"/>
  <c r="G176" i="8"/>
  <c r="H176" i="8" s="1"/>
  <c r="I176" i="8" s="1"/>
  <c r="J176" i="8" s="1"/>
  <c r="K176" i="8" s="1"/>
  <c r="L176" i="8" s="1"/>
  <c r="M176" i="8" s="1"/>
  <c r="N176" i="8" s="1"/>
  <c r="O176" i="8" s="1"/>
  <c r="P176" i="8" s="1"/>
  <c r="Q176" i="8" s="1"/>
  <c r="R176" i="8" s="1"/>
  <c r="S176" i="8" s="1"/>
  <c r="T176" i="8" s="1"/>
  <c r="U176" i="8" s="1"/>
  <c r="V176" i="8" s="1"/>
  <c r="W176" i="8" s="1"/>
  <c r="X176" i="8" s="1"/>
  <c r="Y176" i="8" s="1"/>
  <c r="Z176" i="8" s="1"/>
  <c r="AA176" i="8" s="1"/>
  <c r="AB176" i="8" s="1"/>
  <c r="G169" i="8"/>
  <c r="H169" i="8" s="1"/>
  <c r="I169" i="8" s="1"/>
  <c r="J169" i="8" s="1"/>
  <c r="K169" i="8" s="1"/>
  <c r="L169" i="8" s="1"/>
  <c r="M169" i="8" s="1"/>
  <c r="N169" i="8" s="1"/>
  <c r="O169" i="8" s="1"/>
  <c r="P169" i="8" s="1"/>
  <c r="Q169" i="8" s="1"/>
  <c r="R169" i="8" s="1"/>
  <c r="S169" i="8" s="1"/>
  <c r="T169" i="8" s="1"/>
  <c r="U169" i="8" s="1"/>
  <c r="V169" i="8" s="1"/>
  <c r="W169" i="8" s="1"/>
  <c r="X169" i="8" s="1"/>
  <c r="Y169" i="8" s="1"/>
  <c r="Z169" i="8" s="1"/>
  <c r="AA169" i="8" s="1"/>
  <c r="AB169" i="8" s="1"/>
  <c r="G162" i="8"/>
  <c r="H162" i="8" s="1"/>
  <c r="I162" i="8" s="1"/>
  <c r="J162" i="8" s="1"/>
  <c r="K162" i="8" s="1"/>
  <c r="L162" i="8" s="1"/>
  <c r="M162" i="8" s="1"/>
  <c r="N162" i="8" s="1"/>
  <c r="O162" i="8" s="1"/>
  <c r="P162" i="8" s="1"/>
  <c r="Q162" i="8" s="1"/>
  <c r="R162" i="8" s="1"/>
  <c r="S162" i="8" s="1"/>
  <c r="T162" i="8" s="1"/>
  <c r="U162" i="8" s="1"/>
  <c r="V162" i="8" s="1"/>
  <c r="W162" i="8" s="1"/>
  <c r="X162" i="8" s="1"/>
  <c r="Y162" i="8" s="1"/>
  <c r="Z162" i="8" s="1"/>
  <c r="AA162" i="8" s="1"/>
  <c r="AB162" i="8" s="1"/>
  <c r="G155" i="8"/>
  <c r="H155" i="8" s="1"/>
  <c r="I155" i="8" s="1"/>
  <c r="J155" i="8" s="1"/>
  <c r="K155" i="8" s="1"/>
  <c r="L155" i="8" s="1"/>
  <c r="M155" i="8" s="1"/>
  <c r="N155" i="8" s="1"/>
  <c r="O155" i="8" s="1"/>
  <c r="P155" i="8" s="1"/>
  <c r="Q155" i="8" s="1"/>
  <c r="R155" i="8" s="1"/>
  <c r="S155" i="8" s="1"/>
  <c r="T155" i="8" s="1"/>
  <c r="U155" i="8" s="1"/>
  <c r="V155" i="8" s="1"/>
  <c r="W155" i="8" s="1"/>
  <c r="X155" i="8" s="1"/>
  <c r="Y155" i="8" s="1"/>
  <c r="Z155" i="8" s="1"/>
  <c r="AA155" i="8" s="1"/>
  <c r="AB155" i="8" s="1"/>
  <c r="G148" i="8"/>
  <c r="H148" i="8" s="1"/>
  <c r="I148" i="8" s="1"/>
  <c r="J148" i="8" s="1"/>
  <c r="K148" i="8" s="1"/>
  <c r="L148" i="8" s="1"/>
  <c r="M148" i="8" s="1"/>
  <c r="N148" i="8" s="1"/>
  <c r="O148" i="8" s="1"/>
  <c r="P148" i="8" s="1"/>
  <c r="Q148" i="8" s="1"/>
  <c r="R148" i="8" s="1"/>
  <c r="S148" i="8" s="1"/>
  <c r="T148" i="8" s="1"/>
  <c r="U148" i="8" s="1"/>
  <c r="V148" i="8" s="1"/>
  <c r="W148" i="8" s="1"/>
  <c r="X148" i="8" s="1"/>
  <c r="Y148" i="8" s="1"/>
  <c r="Z148" i="8" s="1"/>
  <c r="AA148" i="8" s="1"/>
  <c r="AB148" i="8" s="1"/>
  <c r="AD145" i="8"/>
  <c r="AE145" i="8" s="1"/>
  <c r="AF145" i="8" s="1"/>
  <c r="G141" i="8"/>
  <c r="H141" i="8" s="1"/>
  <c r="I141" i="8" s="1"/>
  <c r="J141" i="8" s="1"/>
  <c r="K141" i="8" s="1"/>
  <c r="L141" i="8" s="1"/>
  <c r="M141" i="8" s="1"/>
  <c r="N141" i="8" s="1"/>
  <c r="O141" i="8" s="1"/>
  <c r="P141" i="8" s="1"/>
  <c r="Q141" i="8" s="1"/>
  <c r="R141" i="8" s="1"/>
  <c r="S141" i="8" s="1"/>
  <c r="T141" i="8" s="1"/>
  <c r="U141" i="8" s="1"/>
  <c r="V141" i="8" s="1"/>
  <c r="W141" i="8" s="1"/>
  <c r="X141" i="8" s="1"/>
  <c r="Y141" i="8" s="1"/>
  <c r="Z141" i="8" s="1"/>
  <c r="AA141" i="8" s="1"/>
  <c r="AB141" i="8" s="1"/>
  <c r="AC141" i="8" s="1"/>
  <c r="AD141" i="8" s="1"/>
  <c r="AE141" i="8" s="1"/>
  <c r="AF141" i="8" s="1"/>
  <c r="A136" i="8"/>
  <c r="A134" i="8"/>
  <c r="G131" i="8"/>
  <c r="H131" i="8" s="1"/>
  <c r="I131" i="8" s="1"/>
  <c r="J131" i="8" s="1"/>
  <c r="K131" i="8" s="1"/>
  <c r="L131" i="8" s="1"/>
  <c r="M131" i="8" s="1"/>
  <c r="N131" i="8" s="1"/>
  <c r="O131" i="8" s="1"/>
  <c r="P131" i="8" s="1"/>
  <c r="Q131" i="8" s="1"/>
  <c r="R131" i="8" s="1"/>
  <c r="S131" i="8" s="1"/>
  <c r="T131" i="8" s="1"/>
  <c r="U131" i="8" s="1"/>
  <c r="V131" i="8" s="1"/>
  <c r="W131" i="8" s="1"/>
  <c r="X131" i="8" s="1"/>
  <c r="Y131" i="8" s="1"/>
  <c r="Z131" i="8" s="1"/>
  <c r="AA131" i="8" s="1"/>
  <c r="AB131" i="8" s="1"/>
  <c r="H117" i="8"/>
  <c r="H124" i="8" s="1"/>
  <c r="G117" i="8"/>
  <c r="G110" i="8"/>
  <c r="H110" i="8" s="1"/>
  <c r="I110" i="8" s="1"/>
  <c r="J110" i="8" s="1"/>
  <c r="K110" i="8" s="1"/>
  <c r="L110" i="8" s="1"/>
  <c r="M110" i="8" s="1"/>
  <c r="N110" i="8" s="1"/>
  <c r="O110" i="8" s="1"/>
  <c r="P110" i="8" s="1"/>
  <c r="Q110" i="8" s="1"/>
  <c r="R110" i="8" s="1"/>
  <c r="S110" i="8" s="1"/>
  <c r="T110" i="8" s="1"/>
  <c r="U110" i="8" s="1"/>
  <c r="V110" i="8" s="1"/>
  <c r="W110" i="8" s="1"/>
  <c r="X110" i="8" s="1"/>
  <c r="Y110" i="8" s="1"/>
  <c r="Z110" i="8" s="1"/>
  <c r="AA110" i="8" s="1"/>
  <c r="AB110" i="8" s="1"/>
  <c r="AC110" i="8" s="1"/>
  <c r="AD110" i="8" s="1"/>
  <c r="AE110" i="8" s="1"/>
  <c r="AF110" i="8" s="1"/>
  <c r="E105" i="8"/>
  <c r="F104" i="8"/>
  <c r="E104" i="8"/>
  <c r="G103" i="8"/>
  <c r="H103" i="8" s="1"/>
  <c r="I103" i="8" s="1"/>
  <c r="J103" i="8" s="1"/>
  <c r="K103" i="8" s="1"/>
  <c r="L103" i="8" s="1"/>
  <c r="M103" i="8" s="1"/>
  <c r="N103" i="8" s="1"/>
  <c r="O103" i="8" s="1"/>
  <c r="P103" i="8" s="1"/>
  <c r="Q103" i="8" s="1"/>
  <c r="R103" i="8" s="1"/>
  <c r="S103" i="8" s="1"/>
  <c r="T103" i="8" s="1"/>
  <c r="U103" i="8" s="1"/>
  <c r="V103" i="8" s="1"/>
  <c r="W103" i="8" s="1"/>
  <c r="X103" i="8" s="1"/>
  <c r="Y103" i="8" s="1"/>
  <c r="Z103" i="8" s="1"/>
  <c r="AA103" i="8" s="1"/>
  <c r="AB103" i="8" s="1"/>
  <c r="AD100" i="8"/>
  <c r="AE100" i="8" s="1"/>
  <c r="AF100" i="8" s="1"/>
  <c r="AB100" i="8"/>
  <c r="AC105" i="8" s="1"/>
  <c r="AA100" i="8"/>
  <c r="Z100" i="8"/>
  <c r="Y100" i="8"/>
  <c r="Y105" i="8" s="1"/>
  <c r="X100" i="8"/>
  <c r="W100" i="8"/>
  <c r="V100" i="8"/>
  <c r="U100" i="8"/>
  <c r="U105" i="8" s="1"/>
  <c r="T100" i="8"/>
  <c r="S100" i="8"/>
  <c r="R100" i="8"/>
  <c r="Q100" i="8"/>
  <c r="P100" i="8"/>
  <c r="O100" i="8"/>
  <c r="N100" i="8"/>
  <c r="M100" i="8"/>
  <c r="L100" i="8"/>
  <c r="K100" i="8"/>
  <c r="J100" i="8"/>
  <c r="I100" i="8"/>
  <c r="I105" i="8" s="1"/>
  <c r="H100" i="8"/>
  <c r="G100" i="8"/>
  <c r="F100" i="8"/>
  <c r="F105" i="8" s="1"/>
  <c r="A100" i="8"/>
  <c r="F98" i="8"/>
  <c r="A98" i="8"/>
  <c r="G97" i="8"/>
  <c r="H97" i="8" s="1"/>
  <c r="I97" i="8" s="1"/>
  <c r="J97" i="8" s="1"/>
  <c r="K97" i="8" s="1"/>
  <c r="L97" i="8" s="1"/>
  <c r="M97" i="8" s="1"/>
  <c r="N97" i="8" s="1"/>
  <c r="O97" i="8" s="1"/>
  <c r="P97" i="8" s="1"/>
  <c r="Q97" i="8" s="1"/>
  <c r="R97" i="8" s="1"/>
  <c r="S97" i="8" s="1"/>
  <c r="T97" i="8" s="1"/>
  <c r="U97" i="8" s="1"/>
  <c r="V97" i="8" s="1"/>
  <c r="W97" i="8" s="1"/>
  <c r="X97" i="8" s="1"/>
  <c r="Y97" i="8" s="1"/>
  <c r="Z97" i="8" s="1"/>
  <c r="AA97" i="8" s="1"/>
  <c r="AB97" i="8" s="1"/>
  <c r="AC97" i="8" s="1"/>
  <c r="AD97" i="8" s="1"/>
  <c r="AE97" i="8" s="1"/>
  <c r="AF97" i="8" s="1"/>
  <c r="E92" i="8"/>
  <c r="G91" i="8"/>
  <c r="H91" i="8" s="1"/>
  <c r="I91" i="8" s="1"/>
  <c r="J91" i="8" s="1"/>
  <c r="K91" i="8" s="1"/>
  <c r="L91" i="8" s="1"/>
  <c r="M91" i="8" s="1"/>
  <c r="N91" i="8" s="1"/>
  <c r="O91" i="8" s="1"/>
  <c r="P91" i="8" s="1"/>
  <c r="Q91" i="8" s="1"/>
  <c r="R91" i="8" s="1"/>
  <c r="S91" i="8" s="1"/>
  <c r="T91" i="8" s="1"/>
  <c r="U91" i="8" s="1"/>
  <c r="V91" i="8" s="1"/>
  <c r="W91" i="8" s="1"/>
  <c r="X91" i="8" s="1"/>
  <c r="Y91" i="8" s="1"/>
  <c r="Z91" i="8" s="1"/>
  <c r="AA91" i="8" s="1"/>
  <c r="AB91" i="8" s="1"/>
  <c r="F89" i="8"/>
  <c r="F92" i="8" s="1"/>
  <c r="A89" i="8"/>
  <c r="G88" i="8"/>
  <c r="H88" i="8" s="1"/>
  <c r="I88" i="8" s="1"/>
  <c r="J88" i="8" s="1"/>
  <c r="K88" i="8" s="1"/>
  <c r="L88" i="8" s="1"/>
  <c r="M88" i="8" s="1"/>
  <c r="N88" i="8" s="1"/>
  <c r="O88" i="8" s="1"/>
  <c r="P88" i="8" s="1"/>
  <c r="Q88" i="8" s="1"/>
  <c r="R88" i="8" s="1"/>
  <c r="S88" i="8" s="1"/>
  <c r="T88" i="8" s="1"/>
  <c r="U88" i="8" s="1"/>
  <c r="V88" i="8" s="1"/>
  <c r="W88" i="8" s="1"/>
  <c r="X88" i="8" s="1"/>
  <c r="Y88" i="8" s="1"/>
  <c r="Z88" i="8" s="1"/>
  <c r="AA88" i="8" s="1"/>
  <c r="AB88" i="8" s="1"/>
  <c r="G80" i="8"/>
  <c r="H80" i="8" s="1"/>
  <c r="I80" i="8" s="1"/>
  <c r="J80" i="8" s="1"/>
  <c r="K80" i="8" s="1"/>
  <c r="L80" i="8" s="1"/>
  <c r="M80" i="8" s="1"/>
  <c r="N80" i="8" s="1"/>
  <c r="O80" i="8" s="1"/>
  <c r="P80" i="8" s="1"/>
  <c r="Q80" i="8" s="1"/>
  <c r="R80" i="8" s="1"/>
  <c r="S80" i="8" s="1"/>
  <c r="T80" i="8" s="1"/>
  <c r="U80" i="8" s="1"/>
  <c r="V80" i="8" s="1"/>
  <c r="W80" i="8" s="1"/>
  <c r="X80" i="8" s="1"/>
  <c r="Y80" i="8" s="1"/>
  <c r="Z80" i="8" s="1"/>
  <c r="AA80" i="8" s="1"/>
  <c r="AB80" i="8" s="1"/>
  <c r="E77" i="8"/>
  <c r="G75" i="8"/>
  <c r="H75" i="8" s="1"/>
  <c r="I75" i="8" s="1"/>
  <c r="J75" i="8" s="1"/>
  <c r="K75" i="8" s="1"/>
  <c r="L75" i="8" s="1"/>
  <c r="M75" i="8" s="1"/>
  <c r="N75" i="8" s="1"/>
  <c r="O75" i="8" s="1"/>
  <c r="P75" i="8" s="1"/>
  <c r="Q75" i="8" s="1"/>
  <c r="R75" i="8" s="1"/>
  <c r="S75" i="8" s="1"/>
  <c r="T75" i="8" s="1"/>
  <c r="U75" i="8" s="1"/>
  <c r="V75" i="8" s="1"/>
  <c r="W75" i="8" s="1"/>
  <c r="X75" i="8" s="1"/>
  <c r="Y75" i="8" s="1"/>
  <c r="Z75" i="8" s="1"/>
  <c r="AA75" i="8" s="1"/>
  <c r="AB75" i="8" s="1"/>
  <c r="AC75" i="8" s="1"/>
  <c r="AD75" i="8" s="1"/>
  <c r="AE75" i="8" s="1"/>
  <c r="AF75" i="8" s="1"/>
  <c r="G67" i="8"/>
  <c r="H67" i="8" s="1"/>
  <c r="I67" i="8" s="1"/>
  <c r="J67" i="8" s="1"/>
  <c r="K67" i="8" s="1"/>
  <c r="L67" i="8" s="1"/>
  <c r="M67" i="8" s="1"/>
  <c r="N67" i="8" s="1"/>
  <c r="O67" i="8" s="1"/>
  <c r="P67" i="8" s="1"/>
  <c r="Q67" i="8" s="1"/>
  <c r="R67" i="8" s="1"/>
  <c r="S67" i="8" s="1"/>
  <c r="T67" i="8" s="1"/>
  <c r="U67" i="8" s="1"/>
  <c r="V67" i="8" s="1"/>
  <c r="W67" i="8" s="1"/>
  <c r="X67" i="8" s="1"/>
  <c r="Y67" i="8" s="1"/>
  <c r="Z67" i="8" s="1"/>
  <c r="AA67" i="8" s="1"/>
  <c r="AB67" i="8" s="1"/>
  <c r="G56" i="8"/>
  <c r="H56" i="8" s="1"/>
  <c r="I56" i="8" s="1"/>
  <c r="J56" i="8" s="1"/>
  <c r="K56" i="8" s="1"/>
  <c r="L56" i="8" s="1"/>
  <c r="M56" i="8" s="1"/>
  <c r="N56" i="8" s="1"/>
  <c r="O56" i="8" s="1"/>
  <c r="P56" i="8" s="1"/>
  <c r="Q56" i="8" s="1"/>
  <c r="R56" i="8" s="1"/>
  <c r="S56" i="8" s="1"/>
  <c r="T56" i="8" s="1"/>
  <c r="U56" i="8" s="1"/>
  <c r="V56" i="8" s="1"/>
  <c r="W56" i="8" s="1"/>
  <c r="X56" i="8" s="1"/>
  <c r="Y56" i="8" s="1"/>
  <c r="Z56" i="8" s="1"/>
  <c r="AA56" i="8" s="1"/>
  <c r="AB56" i="8" s="1"/>
  <c r="AC56" i="8" s="1"/>
  <c r="AD56" i="8" s="1"/>
  <c r="AE56" i="8" s="1"/>
  <c r="AF56" i="8" s="1"/>
  <c r="E56" i="8"/>
  <c r="G45" i="8"/>
  <c r="H45" i="8" s="1"/>
  <c r="I45" i="8" s="1"/>
  <c r="J45" i="8" s="1"/>
  <c r="K45" i="8" s="1"/>
  <c r="L45" i="8" s="1"/>
  <c r="M45" i="8" s="1"/>
  <c r="N45" i="8" s="1"/>
  <c r="O45" i="8" s="1"/>
  <c r="P45" i="8" s="1"/>
  <c r="Q45" i="8" s="1"/>
  <c r="R45" i="8" s="1"/>
  <c r="S45" i="8" s="1"/>
  <c r="T45" i="8" s="1"/>
  <c r="U45" i="8" s="1"/>
  <c r="V45" i="8" s="1"/>
  <c r="W45" i="8" s="1"/>
  <c r="X45" i="8" s="1"/>
  <c r="Y45" i="8" s="1"/>
  <c r="Z45" i="8" s="1"/>
  <c r="AA45" i="8" s="1"/>
  <c r="AB45" i="8" s="1"/>
  <c r="AC45" i="8" s="1"/>
  <c r="AD45" i="8" s="1"/>
  <c r="AE45" i="8" s="1"/>
  <c r="AF45" i="8" s="1"/>
  <c r="F39" i="8"/>
  <c r="A39" i="8"/>
  <c r="A37" i="8"/>
  <c r="F35" i="8"/>
  <c r="A35" i="8"/>
  <c r="F33" i="8"/>
  <c r="A33" i="8"/>
  <c r="F31" i="8"/>
  <c r="A31" i="8"/>
  <c r="A30" i="8"/>
  <c r="G28" i="8"/>
  <c r="H28" i="8" s="1"/>
  <c r="I28" i="8" s="1"/>
  <c r="J28" i="8" s="1"/>
  <c r="K28" i="8" s="1"/>
  <c r="L28" i="8" s="1"/>
  <c r="M28" i="8" s="1"/>
  <c r="N28" i="8" s="1"/>
  <c r="O28" i="8" s="1"/>
  <c r="P28" i="8" s="1"/>
  <c r="Q28" i="8" s="1"/>
  <c r="R28" i="8" s="1"/>
  <c r="S28" i="8" s="1"/>
  <c r="T28" i="8" s="1"/>
  <c r="U28" i="8" s="1"/>
  <c r="V28" i="8" s="1"/>
  <c r="W28" i="8" s="1"/>
  <c r="X28" i="8" s="1"/>
  <c r="Y28" i="8" s="1"/>
  <c r="Z28" i="8" s="1"/>
  <c r="AA28" i="8" s="1"/>
  <c r="AB28" i="8" s="1"/>
  <c r="AC28" i="8" s="1"/>
  <c r="AD28" i="8" s="1"/>
  <c r="AE28" i="8" s="1"/>
  <c r="AF28" i="8" s="1"/>
  <c r="F23" i="8"/>
  <c r="F20" i="8"/>
  <c r="G19" i="8"/>
  <c r="H19" i="8" s="1"/>
  <c r="I19" i="8" s="1"/>
  <c r="J19" i="8" s="1"/>
  <c r="K19" i="8" s="1"/>
  <c r="L19" i="8" s="1"/>
  <c r="M19" i="8" s="1"/>
  <c r="N19" i="8" s="1"/>
  <c r="O19" i="8" s="1"/>
  <c r="P19" i="8" s="1"/>
  <c r="Q19" i="8" s="1"/>
  <c r="R19" i="8" s="1"/>
  <c r="S19" i="8" s="1"/>
  <c r="T19" i="8" s="1"/>
  <c r="U19" i="8" s="1"/>
  <c r="V19" i="8" s="1"/>
  <c r="W19" i="8" s="1"/>
  <c r="X19" i="8" s="1"/>
  <c r="Y19" i="8" s="1"/>
  <c r="Z19" i="8" s="1"/>
  <c r="AA19" i="8" s="1"/>
  <c r="AB19" i="8" s="1"/>
  <c r="F17" i="8"/>
  <c r="J13" i="8"/>
  <c r="K13" i="8" s="1"/>
  <c r="L13" i="8" s="1"/>
  <c r="M13" i="8" s="1"/>
  <c r="N13" i="8" s="1"/>
  <c r="O13" i="8" s="1"/>
  <c r="P13" i="8" s="1"/>
  <c r="Q13" i="8" s="1"/>
  <c r="R13" i="8" s="1"/>
  <c r="S13" i="8" s="1"/>
  <c r="T13" i="8" s="1"/>
  <c r="U13" i="8" s="1"/>
  <c r="V13" i="8" s="1"/>
  <c r="W13" i="8" s="1"/>
  <c r="X13" i="8" s="1"/>
  <c r="Y13" i="8" s="1"/>
  <c r="Z13" i="8" s="1"/>
  <c r="AA13" i="8" s="1"/>
  <c r="AB13" i="8" s="1"/>
  <c r="G13" i="8"/>
  <c r="H13" i="8" s="1"/>
  <c r="I13" i="8" s="1"/>
  <c r="AB9" i="8"/>
  <c r="AC16" i="8" s="1"/>
  <c r="A9" i="8"/>
  <c r="AB7" i="8"/>
  <c r="AC15" i="8" s="1"/>
  <c r="F7" i="8"/>
  <c r="F15" i="8" s="1"/>
  <c r="A7" i="8"/>
  <c r="F5" i="8"/>
  <c r="F14" i="8" s="1"/>
  <c r="A5" i="8"/>
  <c r="G4" i="8"/>
  <c r="H4" i="8" s="1"/>
  <c r="I4" i="8" s="1"/>
  <c r="J4" i="8" s="1"/>
  <c r="K4" i="8" s="1"/>
  <c r="L4" i="8" s="1"/>
  <c r="M4" i="8" s="1"/>
  <c r="N4" i="8" s="1"/>
  <c r="O4" i="8" s="1"/>
  <c r="P4" i="8" s="1"/>
  <c r="Q4" i="8" s="1"/>
  <c r="R4" i="8" s="1"/>
  <c r="S4" i="8" s="1"/>
  <c r="T4" i="8" s="1"/>
  <c r="U4" i="8" s="1"/>
  <c r="V4" i="8" s="1"/>
  <c r="W4" i="8" s="1"/>
  <c r="X4" i="8" s="1"/>
  <c r="Y4" i="8" s="1"/>
  <c r="Z4" i="8" s="1"/>
  <c r="AA4" i="8" s="1"/>
  <c r="AB4" i="8" s="1"/>
  <c r="AC4" i="8" s="1"/>
  <c r="AD4" i="8" s="1"/>
  <c r="AE4" i="8" s="1"/>
  <c r="AF4" i="8" s="1"/>
  <c r="E336" i="17"/>
  <c r="E335" i="17"/>
  <c r="E328" i="17"/>
  <c r="E327" i="17"/>
  <c r="E326" i="17"/>
  <c r="E308" i="17"/>
  <c r="E317" i="17" s="1"/>
  <c r="E307" i="17"/>
  <c r="E315" i="17" s="1"/>
  <c r="E337" i="17" s="1"/>
  <c r="A307" i="17"/>
  <c r="A306" i="17"/>
  <c r="A305" i="17"/>
  <c r="E304" i="17"/>
  <c r="E312" i="17" s="1"/>
  <c r="E325" i="17" s="1"/>
  <c r="A304" i="17"/>
  <c r="E303" i="17"/>
  <c r="E311" i="17" s="1"/>
  <c r="E333" i="17" s="1"/>
  <c r="A303" i="17"/>
  <c r="A286" i="17"/>
  <c r="A283" i="17"/>
  <c r="A281" i="17"/>
  <c r="A280" i="17"/>
  <c r="A279" i="17"/>
  <c r="A278" i="17"/>
  <c r="A277" i="17"/>
  <c r="G275" i="17"/>
  <c r="E263" i="17"/>
  <c r="CX262" i="17"/>
  <c r="CX267" i="17" s="1"/>
  <c r="CW262" i="17"/>
  <c r="CW267" i="17" s="1"/>
  <c r="CU262" i="17"/>
  <c r="CU267" i="17" s="1"/>
  <c r="CP262" i="17"/>
  <c r="CP267" i="17" s="1"/>
  <c r="CO262" i="17"/>
  <c r="CO267" i="17" s="1"/>
  <c r="CN262" i="17"/>
  <c r="CN267" i="17" s="1"/>
  <c r="CM262" i="17"/>
  <c r="CM267" i="17" s="1"/>
  <c r="CL262" i="17"/>
  <c r="CL267" i="17" s="1"/>
  <c r="CK262" i="17"/>
  <c r="CK267" i="17" s="1"/>
  <c r="CJ262" i="17"/>
  <c r="CJ267" i="17" s="1"/>
  <c r="CI262" i="17"/>
  <c r="CI267" i="17" s="1"/>
  <c r="CH262" i="17"/>
  <c r="CH267" i="17" s="1"/>
  <c r="CG262" i="17"/>
  <c r="CG267" i="17" s="1"/>
  <c r="CF262" i="17"/>
  <c r="CF267" i="17" s="1"/>
  <c r="CE262" i="17"/>
  <c r="CE267" i="17" s="1"/>
  <c r="CD262" i="17"/>
  <c r="CD267" i="17" s="1"/>
  <c r="CC262" i="17"/>
  <c r="CC267" i="17" s="1"/>
  <c r="CB262" i="17"/>
  <c r="CB267" i="17" s="1"/>
  <c r="CA262" i="17"/>
  <c r="CA267" i="17" s="1"/>
  <c r="BZ262" i="17"/>
  <c r="BZ267" i="17" s="1"/>
  <c r="BY262" i="17"/>
  <c r="BY267" i="17" s="1"/>
  <c r="BX262" i="17"/>
  <c r="BX267" i="17" s="1"/>
  <c r="BW262" i="17"/>
  <c r="BW267" i="17" s="1"/>
  <c r="BV262" i="17"/>
  <c r="BV267" i="17" s="1"/>
  <c r="BU262" i="17"/>
  <c r="BU267" i="17" s="1"/>
  <c r="BT262" i="17"/>
  <c r="BT267" i="17" s="1"/>
  <c r="BS262" i="17"/>
  <c r="BS267" i="17" s="1"/>
  <c r="BR262" i="17"/>
  <c r="BR267" i="17" s="1"/>
  <c r="BQ262" i="17"/>
  <c r="BQ267" i="17" s="1"/>
  <c r="BP262" i="17"/>
  <c r="BP267" i="17" s="1"/>
  <c r="BO262" i="17"/>
  <c r="BO267" i="17" s="1"/>
  <c r="BN262" i="17"/>
  <c r="BN267" i="17" s="1"/>
  <c r="BM262" i="17"/>
  <c r="BM267" i="17" s="1"/>
  <c r="BL262" i="17"/>
  <c r="BL267" i="17" s="1"/>
  <c r="BK262" i="17"/>
  <c r="BK267" i="17" s="1"/>
  <c r="BJ262" i="17"/>
  <c r="BJ267" i="17" s="1"/>
  <c r="BI262" i="17"/>
  <c r="BI267" i="17" s="1"/>
  <c r="BH262" i="17"/>
  <c r="BH267" i="17" s="1"/>
  <c r="BG262" i="17"/>
  <c r="BG267" i="17" s="1"/>
  <c r="BF262" i="17"/>
  <c r="BF267" i="17" s="1"/>
  <c r="BE262" i="17"/>
  <c r="BE267" i="17" s="1"/>
  <c r="BD262" i="17"/>
  <c r="BD267" i="17" s="1"/>
  <c r="BC262" i="17"/>
  <c r="BC267" i="17" s="1"/>
  <c r="BB262" i="17"/>
  <c r="BB267" i="17" s="1"/>
  <c r="BA262" i="17"/>
  <c r="BA267" i="17" s="1"/>
  <c r="AZ262" i="17"/>
  <c r="AZ267" i="17" s="1"/>
  <c r="AY262" i="17"/>
  <c r="AY267" i="17" s="1"/>
  <c r="AX262" i="17"/>
  <c r="AX267" i="17" s="1"/>
  <c r="AW262" i="17"/>
  <c r="AW267" i="17" s="1"/>
  <c r="AV262" i="17"/>
  <c r="AV267" i="17" s="1"/>
  <c r="AU262" i="17"/>
  <c r="AU267" i="17" s="1"/>
  <c r="AT262" i="17"/>
  <c r="AT267" i="17" s="1"/>
  <c r="AS262" i="17"/>
  <c r="AS267" i="17" s="1"/>
  <c r="AR262" i="17"/>
  <c r="AR267" i="17" s="1"/>
  <c r="AQ262" i="17"/>
  <c r="AQ267" i="17" s="1"/>
  <c r="AP262" i="17"/>
  <c r="AP267" i="17" s="1"/>
  <c r="AO262" i="17"/>
  <c r="AO267" i="17" s="1"/>
  <c r="AN262" i="17"/>
  <c r="AN267" i="17" s="1"/>
  <c r="AM262" i="17"/>
  <c r="AM267" i="17" s="1"/>
  <c r="AL262" i="17"/>
  <c r="AL267" i="17" s="1"/>
  <c r="AK262" i="17"/>
  <c r="AK267" i="17" s="1"/>
  <c r="AJ262" i="17"/>
  <c r="AJ267" i="17" s="1"/>
  <c r="AI262" i="17"/>
  <c r="AI267" i="17" s="1"/>
  <c r="AH262" i="17"/>
  <c r="AH267" i="17" s="1"/>
  <c r="AG262" i="17"/>
  <c r="AG267" i="17" s="1"/>
  <c r="AF262" i="17"/>
  <c r="AF267" i="17" s="1"/>
  <c r="AE262" i="17"/>
  <c r="AE267" i="17" s="1"/>
  <c r="AD262" i="17"/>
  <c r="AD267" i="17" s="1"/>
  <c r="AC262" i="17"/>
  <c r="AC267" i="17" s="1"/>
  <c r="AB262" i="17"/>
  <c r="AB267" i="17" s="1"/>
  <c r="AA262" i="17"/>
  <c r="AA267" i="17" s="1"/>
  <c r="Z262" i="17"/>
  <c r="Z267" i="17" s="1"/>
  <c r="Y262" i="17"/>
  <c r="Y267" i="17" s="1"/>
  <c r="X262" i="17"/>
  <c r="X267" i="17" s="1"/>
  <c r="W262" i="17"/>
  <c r="W267" i="17" s="1"/>
  <c r="V262" i="17"/>
  <c r="V267" i="17" s="1"/>
  <c r="U262" i="17"/>
  <c r="U267" i="17" s="1"/>
  <c r="T262" i="17"/>
  <c r="T267" i="17" s="1"/>
  <c r="S262" i="17"/>
  <c r="S267" i="17" s="1"/>
  <c r="R262" i="17"/>
  <c r="R267" i="17" s="1"/>
  <c r="Q262" i="17"/>
  <c r="Q267" i="17" s="1"/>
  <c r="P262" i="17"/>
  <c r="P267" i="17" s="1"/>
  <c r="O262" i="17"/>
  <c r="O267" i="17" s="1"/>
  <c r="N262" i="17"/>
  <c r="N267" i="17" s="1"/>
  <c r="M262" i="17"/>
  <c r="M267" i="17" s="1"/>
  <c r="L262" i="17"/>
  <c r="L267" i="17" s="1"/>
  <c r="K262" i="17"/>
  <c r="K267" i="17" s="1"/>
  <c r="J262" i="17"/>
  <c r="J267" i="17" s="1"/>
  <c r="I262" i="17"/>
  <c r="I267" i="17" s="1"/>
  <c r="H262" i="17"/>
  <c r="H267" i="17" s="1"/>
  <c r="G262" i="17"/>
  <c r="G267" i="17" s="1"/>
  <c r="A258" i="17"/>
  <c r="E255" i="17"/>
  <c r="G253" i="17"/>
  <c r="CX240" i="17"/>
  <c r="CX14" i="17" s="1"/>
  <c r="CW240" i="17"/>
  <c r="CW14" i="17" s="1"/>
  <c r="CU240" i="17"/>
  <c r="CU14" i="17" s="1"/>
  <c r="CT14" i="17"/>
  <c r="CX232" i="17"/>
  <c r="CX245" i="17" s="1"/>
  <c r="CW232" i="17"/>
  <c r="CW245" i="17" s="1"/>
  <c r="CU232" i="17"/>
  <c r="CU245" i="17" s="1"/>
  <c r="CP232" i="17"/>
  <c r="CP245" i="17" s="1"/>
  <c r="CO232" i="17"/>
  <c r="CO245" i="17" s="1"/>
  <c r="CN232" i="17"/>
  <c r="CN245" i="17" s="1"/>
  <c r="CM232" i="17"/>
  <c r="CM245" i="17" s="1"/>
  <c r="CL232" i="17"/>
  <c r="CL245" i="17" s="1"/>
  <c r="CK232" i="17"/>
  <c r="CK245" i="17" s="1"/>
  <c r="CJ232" i="17"/>
  <c r="CJ245" i="17" s="1"/>
  <c r="CI232" i="17"/>
  <c r="CI245" i="17" s="1"/>
  <c r="CH232" i="17"/>
  <c r="CH245" i="17" s="1"/>
  <c r="CG232" i="17"/>
  <c r="CG245" i="17" s="1"/>
  <c r="CF232" i="17"/>
  <c r="CF245" i="17" s="1"/>
  <c r="CE232" i="17"/>
  <c r="CE245" i="17" s="1"/>
  <c r="CD232" i="17"/>
  <c r="CD245" i="17" s="1"/>
  <c r="CC232" i="17"/>
  <c r="CC245" i="17" s="1"/>
  <c r="CB232" i="17"/>
  <c r="CB245" i="17" s="1"/>
  <c r="CA232" i="17"/>
  <c r="CA245" i="17" s="1"/>
  <c r="BZ232" i="17"/>
  <c r="BZ245" i="17" s="1"/>
  <c r="BY232" i="17"/>
  <c r="BY245" i="17" s="1"/>
  <c r="BX232" i="17"/>
  <c r="BX245" i="17" s="1"/>
  <c r="BW232" i="17"/>
  <c r="BW245" i="17" s="1"/>
  <c r="BV232" i="17"/>
  <c r="BV245" i="17" s="1"/>
  <c r="BU232" i="17"/>
  <c r="BU245" i="17" s="1"/>
  <c r="BT232" i="17"/>
  <c r="BT245" i="17" s="1"/>
  <c r="BS232" i="17"/>
  <c r="BS245" i="17" s="1"/>
  <c r="BR232" i="17"/>
  <c r="BR245" i="17" s="1"/>
  <c r="BQ232" i="17"/>
  <c r="BQ245" i="17" s="1"/>
  <c r="BP232" i="17"/>
  <c r="BP245" i="17" s="1"/>
  <c r="BO232" i="17"/>
  <c r="BO245" i="17" s="1"/>
  <c r="BN232" i="17"/>
  <c r="BN245" i="17" s="1"/>
  <c r="BM232" i="17"/>
  <c r="BM245" i="17" s="1"/>
  <c r="BL232" i="17"/>
  <c r="BL245" i="17" s="1"/>
  <c r="BK232" i="17"/>
  <c r="BK245" i="17" s="1"/>
  <c r="BJ232" i="17"/>
  <c r="BJ245" i="17" s="1"/>
  <c r="BI232" i="17"/>
  <c r="BI245" i="17" s="1"/>
  <c r="BH232" i="17"/>
  <c r="BH245" i="17" s="1"/>
  <c r="BG232" i="17"/>
  <c r="BG245" i="17" s="1"/>
  <c r="BF232" i="17"/>
  <c r="BF245" i="17" s="1"/>
  <c r="BE232" i="17"/>
  <c r="BE245" i="17" s="1"/>
  <c r="BD232" i="17"/>
  <c r="BD245" i="17" s="1"/>
  <c r="BC232" i="17"/>
  <c r="BC245" i="17" s="1"/>
  <c r="BB232" i="17"/>
  <c r="BB245" i="17" s="1"/>
  <c r="BA232" i="17"/>
  <c r="BA245" i="17" s="1"/>
  <c r="AZ232" i="17"/>
  <c r="AZ245" i="17" s="1"/>
  <c r="AY232" i="17"/>
  <c r="AY245" i="17" s="1"/>
  <c r="AX232" i="17"/>
  <c r="AX245" i="17" s="1"/>
  <c r="AW232" i="17"/>
  <c r="AW245" i="17" s="1"/>
  <c r="AV232" i="17"/>
  <c r="AV245" i="17" s="1"/>
  <c r="AU232" i="17"/>
  <c r="AU245" i="17" s="1"/>
  <c r="AT232" i="17"/>
  <c r="AT245" i="17" s="1"/>
  <c r="AS232" i="17"/>
  <c r="AS245" i="17" s="1"/>
  <c r="AR232" i="17"/>
  <c r="AR245" i="17" s="1"/>
  <c r="AQ232" i="17"/>
  <c r="AQ245" i="17" s="1"/>
  <c r="AP232" i="17"/>
  <c r="AP245" i="17" s="1"/>
  <c r="AO232" i="17"/>
  <c r="AO245" i="17" s="1"/>
  <c r="AN232" i="17"/>
  <c r="AN245" i="17" s="1"/>
  <c r="AM232" i="17"/>
  <c r="AM245" i="17" s="1"/>
  <c r="AL232" i="17"/>
  <c r="AL245" i="17" s="1"/>
  <c r="AK232" i="17"/>
  <c r="AK245" i="17" s="1"/>
  <c r="AJ232" i="17"/>
  <c r="AJ245" i="17" s="1"/>
  <c r="AI232" i="17"/>
  <c r="AI245" i="17" s="1"/>
  <c r="AH232" i="17"/>
  <c r="AH245" i="17" s="1"/>
  <c r="AG232" i="17"/>
  <c r="AG245" i="17" s="1"/>
  <c r="AF232" i="17"/>
  <c r="AF245" i="17" s="1"/>
  <c r="AE232" i="17"/>
  <c r="AE245" i="17" s="1"/>
  <c r="AD232" i="17"/>
  <c r="AD245" i="17" s="1"/>
  <c r="AC232" i="17"/>
  <c r="AC245" i="17" s="1"/>
  <c r="AB232" i="17"/>
  <c r="AB245" i="17" s="1"/>
  <c r="AA232" i="17"/>
  <c r="AA245" i="17" s="1"/>
  <c r="Z232" i="17"/>
  <c r="Z245" i="17" s="1"/>
  <c r="Y232" i="17"/>
  <c r="Y245" i="17" s="1"/>
  <c r="X232" i="17"/>
  <c r="X245" i="17" s="1"/>
  <c r="W232" i="17"/>
  <c r="W245" i="17" s="1"/>
  <c r="V232" i="17"/>
  <c r="V245" i="17" s="1"/>
  <c r="U232" i="17"/>
  <c r="U245" i="17" s="1"/>
  <c r="T232" i="17"/>
  <c r="T245" i="17" s="1"/>
  <c r="S232" i="17"/>
  <c r="S245" i="17" s="1"/>
  <c r="R232" i="17"/>
  <c r="R245" i="17" s="1"/>
  <c r="Q232" i="17"/>
  <c r="Q245" i="17" s="1"/>
  <c r="P232" i="17"/>
  <c r="P245" i="17" s="1"/>
  <c r="O232" i="17"/>
  <c r="O245" i="17" s="1"/>
  <c r="N232" i="17"/>
  <c r="N245" i="17" s="1"/>
  <c r="M232" i="17"/>
  <c r="M245" i="17" s="1"/>
  <c r="L232" i="17"/>
  <c r="L245" i="17" s="1"/>
  <c r="K232" i="17"/>
  <c r="K245" i="17" s="1"/>
  <c r="J232" i="17"/>
  <c r="J245" i="17" s="1"/>
  <c r="I232" i="17"/>
  <c r="I245" i="17" s="1"/>
  <c r="H232" i="17"/>
  <c r="H245" i="17" s="1"/>
  <c r="G232" i="17"/>
  <c r="G245" i="17" s="1"/>
  <c r="A228" i="17"/>
  <c r="A227" i="17"/>
  <c r="A223" i="17"/>
  <c r="A220" i="17"/>
  <c r="G218" i="17"/>
  <c r="E206" i="17"/>
  <c r="CX205" i="17"/>
  <c r="CX210" i="17" s="1"/>
  <c r="CW205" i="17"/>
  <c r="CW210" i="17" s="1"/>
  <c r="CU205" i="17"/>
  <c r="CU210" i="17" s="1"/>
  <c r="CP205" i="17"/>
  <c r="CP210" i="17" s="1"/>
  <c r="CO205" i="17"/>
  <c r="CO210" i="17" s="1"/>
  <c r="CN205" i="17"/>
  <c r="CN210" i="17" s="1"/>
  <c r="CM205" i="17"/>
  <c r="CM210" i="17" s="1"/>
  <c r="CL205" i="17"/>
  <c r="CL210" i="17" s="1"/>
  <c r="CK205" i="17"/>
  <c r="CK210" i="17" s="1"/>
  <c r="CJ205" i="17"/>
  <c r="CJ210" i="17" s="1"/>
  <c r="CI205" i="17"/>
  <c r="CI210" i="17" s="1"/>
  <c r="CH205" i="17"/>
  <c r="CH210" i="17" s="1"/>
  <c r="CG205" i="17"/>
  <c r="CG210" i="17" s="1"/>
  <c r="CF205" i="17"/>
  <c r="CF210" i="17" s="1"/>
  <c r="CE205" i="17"/>
  <c r="CE210" i="17" s="1"/>
  <c r="CD205" i="17"/>
  <c r="CD210" i="17" s="1"/>
  <c r="CC205" i="17"/>
  <c r="CC210" i="17" s="1"/>
  <c r="CB205" i="17"/>
  <c r="CB210" i="17" s="1"/>
  <c r="CA205" i="17"/>
  <c r="CA210" i="17" s="1"/>
  <c r="BZ205" i="17"/>
  <c r="BZ210" i="17" s="1"/>
  <c r="BY205" i="17"/>
  <c r="BY210" i="17" s="1"/>
  <c r="BX205" i="17"/>
  <c r="BX210" i="17" s="1"/>
  <c r="BW205" i="17"/>
  <c r="BW210" i="17" s="1"/>
  <c r="BV205" i="17"/>
  <c r="BV210" i="17" s="1"/>
  <c r="BU205" i="17"/>
  <c r="BU210" i="17" s="1"/>
  <c r="BT205" i="17"/>
  <c r="BT210" i="17" s="1"/>
  <c r="BS205" i="17"/>
  <c r="BS210" i="17" s="1"/>
  <c r="BR205" i="17"/>
  <c r="BR210" i="17" s="1"/>
  <c r="BQ205" i="17"/>
  <c r="BQ210" i="17" s="1"/>
  <c r="BP205" i="17"/>
  <c r="BP210" i="17" s="1"/>
  <c r="BO205" i="17"/>
  <c r="BO210" i="17" s="1"/>
  <c r="BN205" i="17"/>
  <c r="BN210" i="17" s="1"/>
  <c r="BM205" i="17"/>
  <c r="BM210" i="17" s="1"/>
  <c r="BL205" i="17"/>
  <c r="BL210" i="17" s="1"/>
  <c r="BK205" i="17"/>
  <c r="BK210" i="17" s="1"/>
  <c r="BJ205" i="17"/>
  <c r="BJ210" i="17" s="1"/>
  <c r="BI205" i="17"/>
  <c r="BI210" i="17" s="1"/>
  <c r="BH205" i="17"/>
  <c r="BH210" i="17" s="1"/>
  <c r="BG205" i="17"/>
  <c r="BG210" i="17" s="1"/>
  <c r="BF205" i="17"/>
  <c r="BF210" i="17" s="1"/>
  <c r="BE205" i="17"/>
  <c r="BE210" i="17" s="1"/>
  <c r="BD205" i="17"/>
  <c r="BD210" i="17" s="1"/>
  <c r="BC205" i="17"/>
  <c r="BC210" i="17" s="1"/>
  <c r="BB205" i="17"/>
  <c r="BB210" i="17" s="1"/>
  <c r="BA205" i="17"/>
  <c r="BA210" i="17" s="1"/>
  <c r="AZ205" i="17"/>
  <c r="AZ210" i="17" s="1"/>
  <c r="AY205" i="17"/>
  <c r="AY210" i="17" s="1"/>
  <c r="AX205" i="17"/>
  <c r="AX210" i="17" s="1"/>
  <c r="AW205" i="17"/>
  <c r="AW210" i="17" s="1"/>
  <c r="AV205" i="17"/>
  <c r="AV210" i="17" s="1"/>
  <c r="AU205" i="17"/>
  <c r="AU210" i="17" s="1"/>
  <c r="AT205" i="17"/>
  <c r="AT210" i="17" s="1"/>
  <c r="AS205" i="17"/>
  <c r="AS210" i="17" s="1"/>
  <c r="AR205" i="17"/>
  <c r="AR210" i="17" s="1"/>
  <c r="AQ205" i="17"/>
  <c r="AQ210" i="17" s="1"/>
  <c r="AP205" i="17"/>
  <c r="AP210" i="17" s="1"/>
  <c r="AO205" i="17"/>
  <c r="AO210" i="17" s="1"/>
  <c r="AN205" i="17"/>
  <c r="AN210" i="17" s="1"/>
  <c r="AM205" i="17"/>
  <c r="AM210" i="17" s="1"/>
  <c r="AL205" i="17"/>
  <c r="AL210" i="17" s="1"/>
  <c r="AK205" i="17"/>
  <c r="AK210" i="17" s="1"/>
  <c r="AJ205" i="17"/>
  <c r="AJ210" i="17" s="1"/>
  <c r="AI205" i="17"/>
  <c r="AI210" i="17" s="1"/>
  <c r="AH205" i="17"/>
  <c r="AH210" i="17" s="1"/>
  <c r="AG205" i="17"/>
  <c r="AG210" i="17" s="1"/>
  <c r="AF205" i="17"/>
  <c r="AF210" i="17" s="1"/>
  <c r="AE205" i="17"/>
  <c r="AE210" i="17" s="1"/>
  <c r="AD205" i="17"/>
  <c r="AD210" i="17" s="1"/>
  <c r="AC205" i="17"/>
  <c r="AC210" i="17" s="1"/>
  <c r="AB205" i="17"/>
  <c r="AB210" i="17" s="1"/>
  <c r="AA205" i="17"/>
  <c r="AA210" i="17" s="1"/>
  <c r="Z205" i="17"/>
  <c r="Z210" i="17" s="1"/>
  <c r="Y205" i="17"/>
  <c r="Y210" i="17" s="1"/>
  <c r="X205" i="17"/>
  <c r="X210" i="17" s="1"/>
  <c r="W205" i="17"/>
  <c r="W210" i="17" s="1"/>
  <c r="V205" i="17"/>
  <c r="V210" i="17" s="1"/>
  <c r="U205" i="17"/>
  <c r="U210" i="17" s="1"/>
  <c r="T205" i="17"/>
  <c r="T210" i="17" s="1"/>
  <c r="S205" i="17"/>
  <c r="S210" i="17" s="1"/>
  <c r="R205" i="17"/>
  <c r="R210" i="17" s="1"/>
  <c r="Q205" i="17"/>
  <c r="Q210" i="17" s="1"/>
  <c r="P205" i="17"/>
  <c r="P210" i="17" s="1"/>
  <c r="O205" i="17"/>
  <c r="O210" i="17" s="1"/>
  <c r="N205" i="17"/>
  <c r="N210" i="17" s="1"/>
  <c r="M205" i="17"/>
  <c r="M210" i="17" s="1"/>
  <c r="L205" i="17"/>
  <c r="L210" i="17" s="1"/>
  <c r="K205" i="17"/>
  <c r="K210" i="17" s="1"/>
  <c r="J205" i="17"/>
  <c r="J210" i="17" s="1"/>
  <c r="I205" i="17"/>
  <c r="I210" i="17" s="1"/>
  <c r="H205" i="17"/>
  <c r="H210" i="17" s="1"/>
  <c r="G205" i="17"/>
  <c r="G210" i="17" s="1"/>
  <c r="A201" i="17"/>
  <c r="E199" i="17"/>
  <c r="E198" i="17"/>
  <c r="G196" i="17"/>
  <c r="CX183" i="17"/>
  <c r="CX12" i="17" s="1"/>
  <c r="CW183" i="17"/>
  <c r="CW12" i="17" s="1"/>
  <c r="CU183" i="17"/>
  <c r="CU12" i="17" s="1"/>
  <c r="CT12" i="17"/>
  <c r="CX175" i="17"/>
  <c r="CX188" i="17" s="1"/>
  <c r="CW175" i="17"/>
  <c r="CW188" i="17" s="1"/>
  <c r="CU175" i="17"/>
  <c r="CU188" i="17" s="1"/>
  <c r="CP175" i="17"/>
  <c r="CP188" i="17" s="1"/>
  <c r="CO175" i="17"/>
  <c r="CO188" i="17" s="1"/>
  <c r="CN175" i="17"/>
  <c r="CN188" i="17" s="1"/>
  <c r="CM175" i="17"/>
  <c r="CM188" i="17" s="1"/>
  <c r="CL175" i="17"/>
  <c r="CL188" i="17" s="1"/>
  <c r="CK175" i="17"/>
  <c r="CK188" i="17" s="1"/>
  <c r="CJ175" i="17"/>
  <c r="CJ188" i="17" s="1"/>
  <c r="CI175" i="17"/>
  <c r="CI188" i="17" s="1"/>
  <c r="CH175" i="17"/>
  <c r="CH188" i="17" s="1"/>
  <c r="CG175" i="17"/>
  <c r="CG188" i="17" s="1"/>
  <c r="CF175" i="17"/>
  <c r="CF188" i="17" s="1"/>
  <c r="CE175" i="17"/>
  <c r="CE188" i="17" s="1"/>
  <c r="CD175" i="17"/>
  <c r="CD188" i="17" s="1"/>
  <c r="CC175" i="17"/>
  <c r="CC188" i="17" s="1"/>
  <c r="CB175" i="17"/>
  <c r="CB188" i="17" s="1"/>
  <c r="CA175" i="17"/>
  <c r="CA188" i="17" s="1"/>
  <c r="BZ175" i="17"/>
  <c r="BZ188" i="17" s="1"/>
  <c r="BY175" i="17"/>
  <c r="BY188" i="17" s="1"/>
  <c r="BX175" i="17"/>
  <c r="BX188" i="17" s="1"/>
  <c r="BW175" i="17"/>
  <c r="BW188" i="17" s="1"/>
  <c r="BV175" i="17"/>
  <c r="BV188" i="17" s="1"/>
  <c r="BU175" i="17"/>
  <c r="BU188" i="17" s="1"/>
  <c r="BT175" i="17"/>
  <c r="BT188" i="17" s="1"/>
  <c r="BS175" i="17"/>
  <c r="BS188" i="17" s="1"/>
  <c r="BR175" i="17"/>
  <c r="BR188" i="17" s="1"/>
  <c r="BQ175" i="17"/>
  <c r="BQ188" i="17" s="1"/>
  <c r="BP175" i="17"/>
  <c r="BP188" i="17" s="1"/>
  <c r="BO175" i="17"/>
  <c r="BO188" i="17" s="1"/>
  <c r="BN175" i="17"/>
  <c r="BN188" i="17" s="1"/>
  <c r="BM175" i="17"/>
  <c r="BM188" i="17" s="1"/>
  <c r="BL175" i="17"/>
  <c r="BL188" i="17" s="1"/>
  <c r="BK175" i="17"/>
  <c r="BK188" i="17" s="1"/>
  <c r="BJ175" i="17"/>
  <c r="BJ188" i="17" s="1"/>
  <c r="BI175" i="17"/>
  <c r="BI188" i="17" s="1"/>
  <c r="BH175" i="17"/>
  <c r="BH188" i="17" s="1"/>
  <c r="BG175" i="17"/>
  <c r="BG188" i="17" s="1"/>
  <c r="BF175" i="17"/>
  <c r="BF188" i="17" s="1"/>
  <c r="BE175" i="17"/>
  <c r="BE188" i="17" s="1"/>
  <c r="BD175" i="17"/>
  <c r="BD188" i="17" s="1"/>
  <c r="BC175" i="17"/>
  <c r="BC188" i="17" s="1"/>
  <c r="BB175" i="17"/>
  <c r="BB188" i="17" s="1"/>
  <c r="BA175" i="17"/>
  <c r="BA188" i="17" s="1"/>
  <c r="AZ175" i="17"/>
  <c r="AZ188" i="17" s="1"/>
  <c r="AY175" i="17"/>
  <c r="AY188" i="17" s="1"/>
  <c r="AX175" i="17"/>
  <c r="AX188" i="17" s="1"/>
  <c r="AW175" i="17"/>
  <c r="AW188" i="17" s="1"/>
  <c r="AV175" i="17"/>
  <c r="AV188" i="17" s="1"/>
  <c r="AU175" i="17"/>
  <c r="AU188" i="17" s="1"/>
  <c r="AT175" i="17"/>
  <c r="AT188" i="17" s="1"/>
  <c r="AS175" i="17"/>
  <c r="AS188" i="17" s="1"/>
  <c r="AR175" i="17"/>
  <c r="AR188" i="17" s="1"/>
  <c r="AQ175" i="17"/>
  <c r="AQ188" i="17" s="1"/>
  <c r="AP175" i="17"/>
  <c r="AP188" i="17" s="1"/>
  <c r="AO175" i="17"/>
  <c r="AO188" i="17" s="1"/>
  <c r="AN175" i="17"/>
  <c r="AN188" i="17" s="1"/>
  <c r="AM175" i="17"/>
  <c r="AM188" i="17" s="1"/>
  <c r="AL175" i="17"/>
  <c r="AL188" i="17" s="1"/>
  <c r="AK175" i="17"/>
  <c r="AK188" i="17" s="1"/>
  <c r="AJ175" i="17"/>
  <c r="AJ188" i="17" s="1"/>
  <c r="AI175" i="17"/>
  <c r="AI188" i="17" s="1"/>
  <c r="AH175" i="17"/>
  <c r="AH188" i="17" s="1"/>
  <c r="AG175" i="17"/>
  <c r="AG188" i="17" s="1"/>
  <c r="AF175" i="17"/>
  <c r="AF188" i="17" s="1"/>
  <c r="AE175" i="17"/>
  <c r="AE188" i="17" s="1"/>
  <c r="AD175" i="17"/>
  <c r="AD188" i="17" s="1"/>
  <c r="AC175" i="17"/>
  <c r="AC188" i="17" s="1"/>
  <c r="AB175" i="17"/>
  <c r="AB188" i="17" s="1"/>
  <c r="AA175" i="17"/>
  <c r="AA188" i="17" s="1"/>
  <c r="Z175" i="17"/>
  <c r="Z188" i="17" s="1"/>
  <c r="Y175" i="17"/>
  <c r="Y188" i="17" s="1"/>
  <c r="X175" i="17"/>
  <c r="X188" i="17" s="1"/>
  <c r="W175" i="17"/>
  <c r="W188" i="17" s="1"/>
  <c r="V175" i="17"/>
  <c r="V188" i="17" s="1"/>
  <c r="U175" i="17"/>
  <c r="U188" i="17" s="1"/>
  <c r="T175" i="17"/>
  <c r="T188" i="17" s="1"/>
  <c r="S175" i="17"/>
  <c r="S188" i="17" s="1"/>
  <c r="R175" i="17"/>
  <c r="R188" i="17" s="1"/>
  <c r="Q175" i="17"/>
  <c r="Q188" i="17" s="1"/>
  <c r="P175" i="17"/>
  <c r="P188" i="17" s="1"/>
  <c r="O175" i="17"/>
  <c r="O188" i="17" s="1"/>
  <c r="N175" i="17"/>
  <c r="N188" i="17" s="1"/>
  <c r="M175" i="17"/>
  <c r="M188" i="17" s="1"/>
  <c r="L175" i="17"/>
  <c r="L188" i="17" s="1"/>
  <c r="K175" i="17"/>
  <c r="K188" i="17" s="1"/>
  <c r="J175" i="17"/>
  <c r="J188" i="17" s="1"/>
  <c r="I175" i="17"/>
  <c r="I188" i="17" s="1"/>
  <c r="H175" i="17"/>
  <c r="H188" i="17" s="1"/>
  <c r="G175" i="17"/>
  <c r="G188" i="17" s="1"/>
  <c r="A171" i="17"/>
  <c r="A170" i="17"/>
  <c r="A166" i="17"/>
  <c r="A163" i="17"/>
  <c r="G161" i="17"/>
  <c r="CX148" i="17"/>
  <c r="CX153" i="17" s="1"/>
  <c r="CW148" i="17"/>
  <c r="CW153" i="17" s="1"/>
  <c r="CU148" i="17"/>
  <c r="CU153" i="17" s="1"/>
  <c r="CP148" i="17"/>
  <c r="CP153" i="17" s="1"/>
  <c r="CO148" i="17"/>
  <c r="CO153" i="17" s="1"/>
  <c r="CN148" i="17"/>
  <c r="CN153" i="17" s="1"/>
  <c r="CM148" i="17"/>
  <c r="CM153" i="17" s="1"/>
  <c r="CL148" i="17"/>
  <c r="CL153" i="17" s="1"/>
  <c r="CK148" i="17"/>
  <c r="CK153" i="17" s="1"/>
  <c r="CJ148" i="17"/>
  <c r="CJ153" i="17" s="1"/>
  <c r="CI148" i="17"/>
  <c r="CI153" i="17" s="1"/>
  <c r="CH148" i="17"/>
  <c r="CH153" i="17" s="1"/>
  <c r="CG148" i="17"/>
  <c r="CG153" i="17" s="1"/>
  <c r="CF148" i="17"/>
  <c r="CF153" i="17" s="1"/>
  <c r="CE148" i="17"/>
  <c r="CE153" i="17" s="1"/>
  <c r="CD148" i="17"/>
  <c r="CD153" i="17" s="1"/>
  <c r="CC148" i="17"/>
  <c r="CC153" i="17" s="1"/>
  <c r="CB148" i="17"/>
  <c r="CB153" i="17" s="1"/>
  <c r="CA148" i="17"/>
  <c r="CA153" i="17" s="1"/>
  <c r="BZ148" i="17"/>
  <c r="BZ153" i="17" s="1"/>
  <c r="BY148" i="17"/>
  <c r="BY153" i="17" s="1"/>
  <c r="BX148" i="17"/>
  <c r="BX153" i="17" s="1"/>
  <c r="BW148" i="17"/>
  <c r="BW153" i="17" s="1"/>
  <c r="BV148" i="17"/>
  <c r="BV153" i="17" s="1"/>
  <c r="BU148" i="17"/>
  <c r="BU153" i="17" s="1"/>
  <c r="BT148" i="17"/>
  <c r="BT153" i="17" s="1"/>
  <c r="BS148" i="17"/>
  <c r="BS153" i="17" s="1"/>
  <c r="BR148" i="17"/>
  <c r="BR153" i="17" s="1"/>
  <c r="BQ148" i="17"/>
  <c r="BQ153" i="17" s="1"/>
  <c r="BP148" i="17"/>
  <c r="BP153" i="17" s="1"/>
  <c r="BO148" i="17"/>
  <c r="BO153" i="17" s="1"/>
  <c r="BN148" i="17"/>
  <c r="BN153" i="17" s="1"/>
  <c r="BM148" i="17"/>
  <c r="BM153" i="17" s="1"/>
  <c r="BL148" i="17"/>
  <c r="BL153" i="17" s="1"/>
  <c r="BK148" i="17"/>
  <c r="BK153" i="17" s="1"/>
  <c r="BJ148" i="17"/>
  <c r="BJ153" i="17" s="1"/>
  <c r="BI148" i="17"/>
  <c r="BI153" i="17" s="1"/>
  <c r="BH148" i="17"/>
  <c r="BH153" i="17" s="1"/>
  <c r="BG148" i="17"/>
  <c r="BG153" i="17" s="1"/>
  <c r="BF148" i="17"/>
  <c r="BF153" i="17" s="1"/>
  <c r="BE148" i="17"/>
  <c r="BE153" i="17" s="1"/>
  <c r="BD148" i="17"/>
  <c r="BD153" i="17" s="1"/>
  <c r="BC148" i="17"/>
  <c r="BC153" i="17" s="1"/>
  <c r="BB148" i="17"/>
  <c r="BB153" i="17" s="1"/>
  <c r="BA148" i="17"/>
  <c r="BA153" i="17" s="1"/>
  <c r="AZ148" i="17"/>
  <c r="AZ153" i="17" s="1"/>
  <c r="AY148" i="17"/>
  <c r="AY153" i="17" s="1"/>
  <c r="AX148" i="17"/>
  <c r="AX153" i="17" s="1"/>
  <c r="AW148" i="17"/>
  <c r="AW153" i="17" s="1"/>
  <c r="AV148" i="17"/>
  <c r="AV153" i="17" s="1"/>
  <c r="AU148" i="17"/>
  <c r="AU153" i="17" s="1"/>
  <c r="AT148" i="17"/>
  <c r="AT153" i="17" s="1"/>
  <c r="AS148" i="17"/>
  <c r="AS153" i="17" s="1"/>
  <c r="AR148" i="17"/>
  <c r="AR153" i="17" s="1"/>
  <c r="AQ148" i="17"/>
  <c r="AQ153" i="17" s="1"/>
  <c r="AP148" i="17"/>
  <c r="AP153" i="17" s="1"/>
  <c r="AO148" i="17"/>
  <c r="AO153" i="17" s="1"/>
  <c r="AN148" i="17"/>
  <c r="AN153" i="17" s="1"/>
  <c r="AM148" i="17"/>
  <c r="AM153" i="17" s="1"/>
  <c r="AL148" i="17"/>
  <c r="AL153" i="17" s="1"/>
  <c r="AK148" i="17"/>
  <c r="AK153" i="17" s="1"/>
  <c r="AJ148" i="17"/>
  <c r="AJ153" i="17" s="1"/>
  <c r="AI148" i="17"/>
  <c r="AI153" i="17" s="1"/>
  <c r="AH148" i="17"/>
  <c r="AH153" i="17" s="1"/>
  <c r="AG148" i="17"/>
  <c r="AG153" i="17" s="1"/>
  <c r="AF148" i="17"/>
  <c r="AF153" i="17" s="1"/>
  <c r="AE148" i="17"/>
  <c r="AE153" i="17" s="1"/>
  <c r="AD148" i="17"/>
  <c r="AD153" i="17" s="1"/>
  <c r="AC148" i="17"/>
  <c r="AC153" i="17" s="1"/>
  <c r="AB148" i="17"/>
  <c r="AB153" i="17" s="1"/>
  <c r="AA148" i="17"/>
  <c r="AA153" i="17" s="1"/>
  <c r="Z148" i="17"/>
  <c r="Z153" i="17" s="1"/>
  <c r="Y148" i="17"/>
  <c r="Y153" i="17" s="1"/>
  <c r="X148" i="17"/>
  <c r="X153" i="17" s="1"/>
  <c r="W148" i="17"/>
  <c r="W153" i="17" s="1"/>
  <c r="V148" i="17"/>
  <c r="V153" i="17" s="1"/>
  <c r="U148" i="17"/>
  <c r="U153" i="17" s="1"/>
  <c r="T148" i="17"/>
  <c r="T153" i="17" s="1"/>
  <c r="S148" i="17"/>
  <c r="S153" i="17" s="1"/>
  <c r="R148" i="17"/>
  <c r="R153" i="17" s="1"/>
  <c r="Q148" i="17"/>
  <c r="Q153" i="17" s="1"/>
  <c r="P148" i="17"/>
  <c r="P153" i="17" s="1"/>
  <c r="O148" i="17"/>
  <c r="O153" i="17" s="1"/>
  <c r="N148" i="17"/>
  <c r="N153" i="17" s="1"/>
  <c r="M148" i="17"/>
  <c r="M153" i="17" s="1"/>
  <c r="L148" i="17"/>
  <c r="L153" i="17" s="1"/>
  <c r="K148" i="17"/>
  <c r="K153" i="17" s="1"/>
  <c r="J148" i="17"/>
  <c r="J153" i="17" s="1"/>
  <c r="I148" i="17"/>
  <c r="I153" i="17" s="1"/>
  <c r="H148" i="17"/>
  <c r="H153" i="17" s="1"/>
  <c r="G148" i="17"/>
  <c r="G153" i="17" s="1"/>
  <c r="A144" i="17"/>
  <c r="CX142" i="17"/>
  <c r="CW142" i="17"/>
  <c r="CU142" i="17"/>
  <c r="E142" i="17"/>
  <c r="G139" i="17"/>
  <c r="CX129" i="17"/>
  <c r="CW129" i="17"/>
  <c r="E129" i="17"/>
  <c r="CX128" i="17"/>
  <c r="CX133" i="17" s="1"/>
  <c r="CW128" i="17"/>
  <c r="CW133" i="17" s="1"/>
  <c r="CU128" i="17"/>
  <c r="CU133" i="17" s="1"/>
  <c r="CP128" i="17"/>
  <c r="CP133" i="17" s="1"/>
  <c r="CO128" i="17"/>
  <c r="CO133" i="17" s="1"/>
  <c r="CN128" i="17"/>
  <c r="CN133" i="17" s="1"/>
  <c r="CM128" i="17"/>
  <c r="CM133" i="17" s="1"/>
  <c r="CL128" i="17"/>
  <c r="CL133" i="17" s="1"/>
  <c r="CK128" i="17"/>
  <c r="CK133" i="17" s="1"/>
  <c r="CJ128" i="17"/>
  <c r="CJ133" i="17" s="1"/>
  <c r="CI128" i="17"/>
  <c r="CI133" i="17" s="1"/>
  <c r="CH128" i="17"/>
  <c r="CH133" i="17" s="1"/>
  <c r="CG128" i="17"/>
  <c r="CG133" i="17" s="1"/>
  <c r="CF128" i="17"/>
  <c r="CF133" i="17" s="1"/>
  <c r="CE128" i="17"/>
  <c r="CE133" i="17" s="1"/>
  <c r="CD128" i="17"/>
  <c r="CD133" i="17" s="1"/>
  <c r="CC128" i="17"/>
  <c r="CC133" i="17" s="1"/>
  <c r="CB128" i="17"/>
  <c r="CB133" i="17" s="1"/>
  <c r="CA128" i="17"/>
  <c r="CA133" i="17" s="1"/>
  <c r="BZ128" i="17"/>
  <c r="BZ133" i="17" s="1"/>
  <c r="BY128" i="17"/>
  <c r="BY133" i="17" s="1"/>
  <c r="BX128" i="17"/>
  <c r="BX133" i="17" s="1"/>
  <c r="BW128" i="17"/>
  <c r="BW133" i="17" s="1"/>
  <c r="BV128" i="17"/>
  <c r="BV133" i="17" s="1"/>
  <c r="BU128" i="17"/>
  <c r="BU133" i="17" s="1"/>
  <c r="BT128" i="17"/>
  <c r="BT133" i="17" s="1"/>
  <c r="BS128" i="17"/>
  <c r="BS133" i="17" s="1"/>
  <c r="BR128" i="17"/>
  <c r="BR133" i="17" s="1"/>
  <c r="BQ128" i="17"/>
  <c r="BQ133" i="17" s="1"/>
  <c r="BP128" i="17"/>
  <c r="BP133" i="17" s="1"/>
  <c r="BO128" i="17"/>
  <c r="BO133" i="17" s="1"/>
  <c r="BN128" i="17"/>
  <c r="BN133" i="17" s="1"/>
  <c r="BM128" i="17"/>
  <c r="BM133" i="17" s="1"/>
  <c r="BL128" i="17"/>
  <c r="BL133" i="17" s="1"/>
  <c r="BK128" i="17"/>
  <c r="BK133" i="17" s="1"/>
  <c r="BJ128" i="17"/>
  <c r="BJ133" i="17" s="1"/>
  <c r="BI128" i="17"/>
  <c r="BI133" i="17" s="1"/>
  <c r="BH128" i="17"/>
  <c r="BH133" i="17" s="1"/>
  <c r="BG128" i="17"/>
  <c r="BG133" i="17" s="1"/>
  <c r="BF128" i="17"/>
  <c r="BF133" i="17" s="1"/>
  <c r="BE128" i="17"/>
  <c r="BE133" i="17" s="1"/>
  <c r="BD128" i="17"/>
  <c r="BD133" i="17" s="1"/>
  <c r="BC128" i="17"/>
  <c r="BC133" i="17" s="1"/>
  <c r="BB128" i="17"/>
  <c r="BB133" i="17" s="1"/>
  <c r="BA128" i="17"/>
  <c r="BA133" i="17" s="1"/>
  <c r="AZ128" i="17"/>
  <c r="AZ133" i="17" s="1"/>
  <c r="AY128" i="17"/>
  <c r="AY133" i="17" s="1"/>
  <c r="AX128" i="17"/>
  <c r="AX133" i="17" s="1"/>
  <c r="AW128" i="17"/>
  <c r="AW133" i="17" s="1"/>
  <c r="AV128" i="17"/>
  <c r="AV133" i="17" s="1"/>
  <c r="AU128" i="17"/>
  <c r="AU133" i="17" s="1"/>
  <c r="AT128" i="17"/>
  <c r="AT133" i="17" s="1"/>
  <c r="AS128" i="17"/>
  <c r="AS133" i="17" s="1"/>
  <c r="AR128" i="17"/>
  <c r="AR133" i="17" s="1"/>
  <c r="AQ128" i="17"/>
  <c r="AQ133" i="17" s="1"/>
  <c r="AP128" i="17"/>
  <c r="AP133" i="17" s="1"/>
  <c r="AO128" i="17"/>
  <c r="AO133" i="17" s="1"/>
  <c r="AN128" i="17"/>
  <c r="AN133" i="17" s="1"/>
  <c r="AM128" i="17"/>
  <c r="AM133" i="17" s="1"/>
  <c r="AL128" i="17"/>
  <c r="AL133" i="17" s="1"/>
  <c r="AK128" i="17"/>
  <c r="AK133" i="17" s="1"/>
  <c r="AJ128" i="17"/>
  <c r="AJ133" i="17" s="1"/>
  <c r="AI128" i="17"/>
  <c r="AI133" i="17" s="1"/>
  <c r="AH128" i="17"/>
  <c r="AH133" i="17" s="1"/>
  <c r="AG128" i="17"/>
  <c r="AG133" i="17" s="1"/>
  <c r="AF128" i="17"/>
  <c r="AF133" i="17" s="1"/>
  <c r="AE128" i="17"/>
  <c r="AE133" i="17" s="1"/>
  <c r="AD128" i="17"/>
  <c r="AD133" i="17" s="1"/>
  <c r="AC128" i="17"/>
  <c r="AC133" i="17" s="1"/>
  <c r="AB128" i="17"/>
  <c r="AB133" i="17" s="1"/>
  <c r="AA128" i="17"/>
  <c r="AA133" i="17" s="1"/>
  <c r="Z128" i="17"/>
  <c r="Z133" i="17" s="1"/>
  <c r="Y128" i="17"/>
  <c r="Y133" i="17" s="1"/>
  <c r="X128" i="17"/>
  <c r="X133" i="17" s="1"/>
  <c r="W128" i="17"/>
  <c r="W133" i="17" s="1"/>
  <c r="V128" i="17"/>
  <c r="V133" i="17" s="1"/>
  <c r="U128" i="17"/>
  <c r="U133" i="17" s="1"/>
  <c r="T128" i="17"/>
  <c r="T133" i="17" s="1"/>
  <c r="S128" i="17"/>
  <c r="S133" i="17" s="1"/>
  <c r="R128" i="17"/>
  <c r="R133" i="17" s="1"/>
  <c r="Q128" i="17"/>
  <c r="Q133" i="17" s="1"/>
  <c r="P128" i="17"/>
  <c r="P133" i="17" s="1"/>
  <c r="O128" i="17"/>
  <c r="O133" i="17" s="1"/>
  <c r="N128" i="17"/>
  <c r="N133" i="17" s="1"/>
  <c r="M128" i="17"/>
  <c r="M133" i="17" s="1"/>
  <c r="L128" i="17"/>
  <c r="L133" i="17" s="1"/>
  <c r="K128" i="17"/>
  <c r="K133" i="17" s="1"/>
  <c r="J128" i="17"/>
  <c r="J133" i="17" s="1"/>
  <c r="I128" i="17"/>
  <c r="I133" i="17" s="1"/>
  <c r="H128" i="17"/>
  <c r="H133" i="17" s="1"/>
  <c r="G128" i="17"/>
  <c r="G133" i="17" s="1"/>
  <c r="CX125" i="17"/>
  <c r="DB130" i="17" s="1"/>
  <c r="A124" i="17"/>
  <c r="G122" i="17"/>
  <c r="CX114" i="17"/>
  <c r="CW114" i="17"/>
  <c r="CU114" i="17"/>
  <c r="CP114" i="17"/>
  <c r="CO114" i="17"/>
  <c r="CN114" i="17"/>
  <c r="CM114" i="17"/>
  <c r="CL114" i="17"/>
  <c r="CK114" i="17"/>
  <c r="CJ114" i="17"/>
  <c r="CI114" i="17"/>
  <c r="CH114" i="17"/>
  <c r="CG114" i="17"/>
  <c r="CF114" i="17"/>
  <c r="CE114" i="17"/>
  <c r="CD114" i="17"/>
  <c r="CC114" i="17"/>
  <c r="CB114" i="17"/>
  <c r="CA114" i="17"/>
  <c r="BZ114" i="17"/>
  <c r="BY114" i="17"/>
  <c r="BX114" i="17"/>
  <c r="BW114" i="17"/>
  <c r="BV114" i="17"/>
  <c r="BU114" i="17"/>
  <c r="BT114" i="17"/>
  <c r="BS114" i="17"/>
  <c r="BR114" i="17"/>
  <c r="BQ114" i="17"/>
  <c r="BP114" i="17"/>
  <c r="BO114" i="17"/>
  <c r="BN114" i="17"/>
  <c r="BM114" i="17"/>
  <c r="BL114" i="17"/>
  <c r="BK114" i="17"/>
  <c r="BJ114" i="17"/>
  <c r="BI114" i="17"/>
  <c r="BH114" i="17"/>
  <c r="BG114" i="17"/>
  <c r="BF114" i="17"/>
  <c r="BE114" i="17"/>
  <c r="BD114" i="17"/>
  <c r="BC114" i="17"/>
  <c r="BB114" i="17"/>
  <c r="BA114" i="17"/>
  <c r="AZ114" i="17"/>
  <c r="AY114" i="17"/>
  <c r="AX114" i="17"/>
  <c r="AW114" i="17"/>
  <c r="AV114" i="17"/>
  <c r="AU114" i="17"/>
  <c r="AT114" i="17"/>
  <c r="AS114" i="17"/>
  <c r="AR114" i="17"/>
  <c r="AQ114" i="17"/>
  <c r="AP114" i="17"/>
  <c r="AO114" i="17"/>
  <c r="AN114" i="17"/>
  <c r="AM114" i="17"/>
  <c r="AL114" i="17"/>
  <c r="AK114" i="17"/>
  <c r="AJ114" i="17"/>
  <c r="AI114" i="17"/>
  <c r="AH114" i="17"/>
  <c r="AG114" i="17"/>
  <c r="AF114" i="17"/>
  <c r="AE114" i="17"/>
  <c r="AD114" i="17"/>
  <c r="AC114" i="17"/>
  <c r="AB114" i="17"/>
  <c r="AA114" i="17"/>
  <c r="Z114" i="17"/>
  <c r="Y114" i="17"/>
  <c r="X114" i="17"/>
  <c r="W114" i="17"/>
  <c r="V114" i="17"/>
  <c r="U114" i="17"/>
  <c r="T114" i="17"/>
  <c r="S114" i="17"/>
  <c r="R114" i="17"/>
  <c r="Q114" i="17"/>
  <c r="P114" i="17"/>
  <c r="O114" i="17"/>
  <c r="N114" i="17"/>
  <c r="M114" i="17"/>
  <c r="L114" i="17"/>
  <c r="K114" i="17"/>
  <c r="J114" i="17"/>
  <c r="I114" i="17"/>
  <c r="H114" i="17"/>
  <c r="G114" i="17"/>
  <c r="E105" i="17"/>
  <c r="E141" i="17" s="1"/>
  <c r="A105" i="17"/>
  <c r="E103" i="17"/>
  <c r="E102" i="17"/>
  <c r="E101" i="17"/>
  <c r="G99" i="17"/>
  <c r="CX86" i="17"/>
  <c r="CX8" i="17" s="1"/>
  <c r="CW86" i="17"/>
  <c r="CW8" i="17" s="1"/>
  <c r="CU86" i="17"/>
  <c r="CU8" i="17" s="1"/>
  <c r="CT8" i="17"/>
  <c r="CX75" i="17"/>
  <c r="CX91" i="17" s="1"/>
  <c r="CW75" i="17"/>
  <c r="CW91" i="17" s="1"/>
  <c r="CU75" i="17"/>
  <c r="CU91" i="17" s="1"/>
  <c r="CP75" i="17"/>
  <c r="CP91" i="17" s="1"/>
  <c r="CO75" i="17"/>
  <c r="CO91" i="17" s="1"/>
  <c r="CN75" i="17"/>
  <c r="CN91" i="17" s="1"/>
  <c r="CM75" i="17"/>
  <c r="CM91" i="17" s="1"/>
  <c r="CL75" i="17"/>
  <c r="CL91" i="17" s="1"/>
  <c r="CK75" i="17"/>
  <c r="CK91" i="17" s="1"/>
  <c r="CJ75" i="17"/>
  <c r="CJ91" i="17" s="1"/>
  <c r="CI75" i="17"/>
  <c r="CI91" i="17" s="1"/>
  <c r="CH75" i="17"/>
  <c r="CH91" i="17" s="1"/>
  <c r="CG75" i="17"/>
  <c r="CG91" i="17" s="1"/>
  <c r="CF75" i="17"/>
  <c r="CF91" i="17" s="1"/>
  <c r="CE75" i="17"/>
  <c r="CE91" i="17" s="1"/>
  <c r="CD75" i="17"/>
  <c r="CD91" i="17" s="1"/>
  <c r="CC75" i="17"/>
  <c r="CC91" i="17" s="1"/>
  <c r="CB75" i="17"/>
  <c r="CB91" i="17" s="1"/>
  <c r="CA75" i="17"/>
  <c r="CA91" i="17" s="1"/>
  <c r="BZ75" i="17"/>
  <c r="BZ91" i="17" s="1"/>
  <c r="BY75" i="17"/>
  <c r="BY91" i="17" s="1"/>
  <c r="BX75" i="17"/>
  <c r="BX91" i="17" s="1"/>
  <c r="BW75" i="17"/>
  <c r="BW91" i="17" s="1"/>
  <c r="BV75" i="17"/>
  <c r="BV91" i="17" s="1"/>
  <c r="BU75" i="17"/>
  <c r="BU91" i="17" s="1"/>
  <c r="BT75" i="17"/>
  <c r="BT91" i="17" s="1"/>
  <c r="BS75" i="17"/>
  <c r="BS91" i="17" s="1"/>
  <c r="BR75" i="17"/>
  <c r="BR91" i="17" s="1"/>
  <c r="BQ75" i="17"/>
  <c r="BQ91" i="17" s="1"/>
  <c r="BP75" i="17"/>
  <c r="BP91" i="17" s="1"/>
  <c r="BO75" i="17"/>
  <c r="BO91" i="17" s="1"/>
  <c r="BN75" i="17"/>
  <c r="BN91" i="17" s="1"/>
  <c r="BM75" i="17"/>
  <c r="BM91" i="17" s="1"/>
  <c r="BL75" i="17"/>
  <c r="BL91" i="17" s="1"/>
  <c r="BK75" i="17"/>
  <c r="BK91" i="17" s="1"/>
  <c r="BJ75" i="17"/>
  <c r="BJ91" i="17" s="1"/>
  <c r="BI75" i="17"/>
  <c r="BI91" i="17" s="1"/>
  <c r="BH75" i="17"/>
  <c r="BH91" i="17" s="1"/>
  <c r="BG75" i="17"/>
  <c r="BG91" i="17" s="1"/>
  <c r="BF75" i="17"/>
  <c r="BF91" i="17" s="1"/>
  <c r="BE75" i="17"/>
  <c r="BE91" i="17" s="1"/>
  <c r="BD75" i="17"/>
  <c r="BD91" i="17" s="1"/>
  <c r="BC75" i="17"/>
  <c r="BC91" i="17" s="1"/>
  <c r="BB75" i="17"/>
  <c r="BB91" i="17" s="1"/>
  <c r="BA75" i="17"/>
  <c r="BA91" i="17" s="1"/>
  <c r="AZ75" i="17"/>
  <c r="AZ91" i="17" s="1"/>
  <c r="AY75" i="17"/>
  <c r="AY91" i="17" s="1"/>
  <c r="AX75" i="17"/>
  <c r="AX91" i="17" s="1"/>
  <c r="AW75" i="17"/>
  <c r="AW91" i="17" s="1"/>
  <c r="AV75" i="17"/>
  <c r="AV91" i="17" s="1"/>
  <c r="AU75" i="17"/>
  <c r="AU91" i="17" s="1"/>
  <c r="AT75" i="17"/>
  <c r="AT91" i="17" s="1"/>
  <c r="AS75" i="17"/>
  <c r="AS91" i="17" s="1"/>
  <c r="AR75" i="17"/>
  <c r="AR91" i="17" s="1"/>
  <c r="AQ75" i="17"/>
  <c r="AQ91" i="17" s="1"/>
  <c r="AP75" i="17"/>
  <c r="AP91" i="17" s="1"/>
  <c r="AO75" i="17"/>
  <c r="AO91" i="17" s="1"/>
  <c r="AN75" i="17"/>
  <c r="AN91" i="17" s="1"/>
  <c r="AM75" i="17"/>
  <c r="AM91" i="17" s="1"/>
  <c r="AL75" i="17"/>
  <c r="AL91" i="17" s="1"/>
  <c r="AK75" i="17"/>
  <c r="AK91" i="17" s="1"/>
  <c r="AJ75" i="17"/>
  <c r="AJ91" i="17" s="1"/>
  <c r="AI75" i="17"/>
  <c r="AI91" i="17" s="1"/>
  <c r="AH75" i="17"/>
  <c r="AH91" i="17" s="1"/>
  <c r="AG75" i="17"/>
  <c r="AG91" i="17" s="1"/>
  <c r="AF75" i="17"/>
  <c r="AF91" i="17" s="1"/>
  <c r="AE75" i="17"/>
  <c r="AE91" i="17" s="1"/>
  <c r="AD75" i="17"/>
  <c r="AD91" i="17" s="1"/>
  <c r="AC75" i="17"/>
  <c r="AC91" i="17" s="1"/>
  <c r="AB75" i="17"/>
  <c r="AB91" i="17" s="1"/>
  <c r="AA75" i="17"/>
  <c r="AA91" i="17" s="1"/>
  <c r="Z75" i="17"/>
  <c r="Z91" i="17" s="1"/>
  <c r="Y75" i="17"/>
  <c r="Y91" i="17" s="1"/>
  <c r="X75" i="17"/>
  <c r="X91" i="17" s="1"/>
  <c r="W75" i="17"/>
  <c r="W91" i="17" s="1"/>
  <c r="V75" i="17"/>
  <c r="V91" i="17" s="1"/>
  <c r="U75" i="17"/>
  <c r="U91" i="17" s="1"/>
  <c r="T75" i="17"/>
  <c r="T91" i="17" s="1"/>
  <c r="S75" i="17"/>
  <c r="S91" i="17" s="1"/>
  <c r="R75" i="17"/>
  <c r="R91" i="17" s="1"/>
  <c r="Q75" i="17"/>
  <c r="Q91" i="17" s="1"/>
  <c r="P75" i="17"/>
  <c r="P91" i="17" s="1"/>
  <c r="O75" i="17"/>
  <c r="O91" i="17" s="1"/>
  <c r="N75" i="17"/>
  <c r="N91" i="17" s="1"/>
  <c r="M75" i="17"/>
  <c r="M91" i="17" s="1"/>
  <c r="L75" i="17"/>
  <c r="L91" i="17" s="1"/>
  <c r="K75" i="17"/>
  <c r="K91" i="17" s="1"/>
  <c r="J75" i="17"/>
  <c r="J91" i="17" s="1"/>
  <c r="I75" i="17"/>
  <c r="I91" i="17" s="1"/>
  <c r="H75" i="17"/>
  <c r="H91" i="17" s="1"/>
  <c r="G75" i="17"/>
  <c r="G91" i="17" s="1"/>
  <c r="A71" i="17"/>
  <c r="A70" i="17"/>
  <c r="A66" i="17"/>
  <c r="A63" i="17"/>
  <c r="A60" i="17"/>
  <c r="G58" i="17"/>
  <c r="E46" i="17"/>
  <c r="CX45" i="17"/>
  <c r="CX50" i="17" s="1"/>
  <c r="CW45" i="17"/>
  <c r="CW50" i="17" s="1"/>
  <c r="CU45" i="17"/>
  <c r="CU50" i="17" s="1"/>
  <c r="CP45" i="17"/>
  <c r="CP50" i="17" s="1"/>
  <c r="CO45" i="17"/>
  <c r="CO50" i="17" s="1"/>
  <c r="CN45" i="17"/>
  <c r="CN50" i="17" s="1"/>
  <c r="CM45" i="17"/>
  <c r="CM50" i="17" s="1"/>
  <c r="CL45" i="17"/>
  <c r="CL50" i="17" s="1"/>
  <c r="CK45" i="17"/>
  <c r="CK50" i="17" s="1"/>
  <c r="CJ45" i="17"/>
  <c r="CJ50" i="17" s="1"/>
  <c r="CI45" i="17"/>
  <c r="CI50" i="17" s="1"/>
  <c r="CH45" i="17"/>
  <c r="CH50" i="17" s="1"/>
  <c r="CG45" i="17"/>
  <c r="CG50" i="17" s="1"/>
  <c r="CF45" i="17"/>
  <c r="CF50" i="17" s="1"/>
  <c r="CE45" i="17"/>
  <c r="CE50" i="17" s="1"/>
  <c r="CD45" i="17"/>
  <c r="CD50" i="17" s="1"/>
  <c r="CC45" i="17"/>
  <c r="CC50" i="17" s="1"/>
  <c r="CB45" i="17"/>
  <c r="CB50" i="17" s="1"/>
  <c r="CA45" i="17"/>
  <c r="CA50" i="17" s="1"/>
  <c r="BZ45" i="17"/>
  <c r="BZ50" i="17" s="1"/>
  <c r="BY45" i="17"/>
  <c r="BY50" i="17" s="1"/>
  <c r="BX45" i="17"/>
  <c r="BX50" i="17" s="1"/>
  <c r="BW45" i="17"/>
  <c r="BW50" i="17" s="1"/>
  <c r="BV45" i="17"/>
  <c r="BV50" i="17" s="1"/>
  <c r="BU45" i="17"/>
  <c r="BU50" i="17" s="1"/>
  <c r="BT45" i="17"/>
  <c r="BT50" i="17" s="1"/>
  <c r="BS45" i="17"/>
  <c r="BS50" i="17" s="1"/>
  <c r="BR45" i="17"/>
  <c r="BR50" i="17" s="1"/>
  <c r="BQ45" i="17"/>
  <c r="BQ50" i="17" s="1"/>
  <c r="BP45" i="17"/>
  <c r="BP50" i="17" s="1"/>
  <c r="BO45" i="17"/>
  <c r="BO50" i="17" s="1"/>
  <c r="BN45" i="17"/>
  <c r="BN50" i="17" s="1"/>
  <c r="BM45" i="17"/>
  <c r="BM50" i="17" s="1"/>
  <c r="BL45" i="17"/>
  <c r="BL50" i="17" s="1"/>
  <c r="BK45" i="17"/>
  <c r="BK50" i="17" s="1"/>
  <c r="BJ45" i="17"/>
  <c r="BJ50" i="17" s="1"/>
  <c r="BI45" i="17"/>
  <c r="BI50" i="17" s="1"/>
  <c r="BH45" i="17"/>
  <c r="BH50" i="17" s="1"/>
  <c r="BG45" i="17"/>
  <c r="BG50" i="17" s="1"/>
  <c r="BF45" i="17"/>
  <c r="BF50" i="17" s="1"/>
  <c r="BE45" i="17"/>
  <c r="BE50" i="17" s="1"/>
  <c r="BD45" i="17"/>
  <c r="BD50" i="17" s="1"/>
  <c r="BC45" i="17"/>
  <c r="BC50" i="17" s="1"/>
  <c r="BB45" i="17"/>
  <c r="BB50" i="17" s="1"/>
  <c r="BA45" i="17"/>
  <c r="BA50" i="17" s="1"/>
  <c r="AZ45" i="17"/>
  <c r="AZ50" i="17" s="1"/>
  <c r="AY45" i="17"/>
  <c r="AY50" i="17" s="1"/>
  <c r="AX45" i="17"/>
  <c r="AX50" i="17" s="1"/>
  <c r="AW45" i="17"/>
  <c r="AW50" i="17" s="1"/>
  <c r="AV45" i="17"/>
  <c r="AV50" i="17" s="1"/>
  <c r="AU45" i="17"/>
  <c r="AU50" i="17" s="1"/>
  <c r="AT45" i="17"/>
  <c r="AT50" i="17" s="1"/>
  <c r="AS45" i="17"/>
  <c r="AS50" i="17" s="1"/>
  <c r="AR45" i="17"/>
  <c r="AR50" i="17" s="1"/>
  <c r="AQ45" i="17"/>
  <c r="AQ50" i="17" s="1"/>
  <c r="AP45" i="17"/>
  <c r="AP50" i="17" s="1"/>
  <c r="AO45" i="17"/>
  <c r="AO50" i="17" s="1"/>
  <c r="AN45" i="17"/>
  <c r="AN50" i="17" s="1"/>
  <c r="AM45" i="17"/>
  <c r="AM50" i="17" s="1"/>
  <c r="AL45" i="17"/>
  <c r="AL50" i="17" s="1"/>
  <c r="AK45" i="17"/>
  <c r="AK50" i="17" s="1"/>
  <c r="AJ45" i="17"/>
  <c r="AJ50" i="17" s="1"/>
  <c r="AI45" i="17"/>
  <c r="AI50" i="17" s="1"/>
  <c r="AH45" i="17"/>
  <c r="AH50" i="17" s="1"/>
  <c r="AG45" i="17"/>
  <c r="AG50" i="17" s="1"/>
  <c r="AF45" i="17"/>
  <c r="AF50" i="17" s="1"/>
  <c r="AE45" i="17"/>
  <c r="AE50" i="17" s="1"/>
  <c r="AD45" i="17"/>
  <c r="AD50" i="17" s="1"/>
  <c r="AC45" i="17"/>
  <c r="AC50" i="17" s="1"/>
  <c r="AB45" i="17"/>
  <c r="AB50" i="17" s="1"/>
  <c r="AA45" i="17"/>
  <c r="AA50" i="17" s="1"/>
  <c r="Z45" i="17"/>
  <c r="Z50" i="17" s="1"/>
  <c r="Y45" i="17"/>
  <c r="Y50" i="17" s="1"/>
  <c r="X45" i="17"/>
  <c r="X50" i="17" s="1"/>
  <c r="W45" i="17"/>
  <c r="W50" i="17" s="1"/>
  <c r="V45" i="17"/>
  <c r="V50" i="17" s="1"/>
  <c r="U45" i="17"/>
  <c r="U50" i="17" s="1"/>
  <c r="T45" i="17"/>
  <c r="T50" i="17" s="1"/>
  <c r="S45" i="17"/>
  <c r="S50" i="17" s="1"/>
  <c r="R45" i="17"/>
  <c r="R50" i="17" s="1"/>
  <c r="Q45" i="17"/>
  <c r="Q50" i="17" s="1"/>
  <c r="P45" i="17"/>
  <c r="P50" i="17" s="1"/>
  <c r="O45" i="17"/>
  <c r="O50" i="17" s="1"/>
  <c r="N45" i="17"/>
  <c r="N50" i="17" s="1"/>
  <c r="M45" i="17"/>
  <c r="M50" i="17" s="1"/>
  <c r="L45" i="17"/>
  <c r="L50" i="17" s="1"/>
  <c r="K45" i="17"/>
  <c r="K50" i="17" s="1"/>
  <c r="J45" i="17"/>
  <c r="J50" i="17" s="1"/>
  <c r="I45" i="17"/>
  <c r="I50" i="17" s="1"/>
  <c r="H45" i="17"/>
  <c r="H50" i="17" s="1"/>
  <c r="G45" i="17"/>
  <c r="G50" i="17" s="1"/>
  <c r="A41" i="17"/>
  <c r="G39" i="17"/>
  <c r="E27" i="17"/>
  <c r="CX26" i="17"/>
  <c r="CX31" i="17" s="1"/>
  <c r="CW26" i="17"/>
  <c r="CW31" i="17" s="1"/>
  <c r="CU26" i="17"/>
  <c r="CU31" i="17" s="1"/>
  <c r="CP26" i="17"/>
  <c r="CP31" i="17" s="1"/>
  <c r="CO26" i="17"/>
  <c r="CO31" i="17" s="1"/>
  <c r="CN26" i="17"/>
  <c r="CN31" i="17" s="1"/>
  <c r="CM26" i="17"/>
  <c r="CM31" i="17" s="1"/>
  <c r="CL26" i="17"/>
  <c r="CL31" i="17" s="1"/>
  <c r="CK26" i="17"/>
  <c r="CK31" i="17" s="1"/>
  <c r="CJ26" i="17"/>
  <c r="CJ31" i="17" s="1"/>
  <c r="CI26" i="17"/>
  <c r="CI31" i="17" s="1"/>
  <c r="CH26" i="17"/>
  <c r="CH31" i="17" s="1"/>
  <c r="CG26" i="17"/>
  <c r="CG31" i="17" s="1"/>
  <c r="CF26" i="17"/>
  <c r="CF31" i="17" s="1"/>
  <c r="CE26" i="17"/>
  <c r="CE31" i="17" s="1"/>
  <c r="CD26" i="17"/>
  <c r="CD31" i="17" s="1"/>
  <c r="CC26" i="17"/>
  <c r="CC31" i="17" s="1"/>
  <c r="CB26" i="17"/>
  <c r="CB31" i="17" s="1"/>
  <c r="CA26" i="17"/>
  <c r="CA31" i="17" s="1"/>
  <c r="BZ26" i="17"/>
  <c r="BZ31" i="17" s="1"/>
  <c r="BY26" i="17"/>
  <c r="BY31" i="17" s="1"/>
  <c r="BX26" i="17"/>
  <c r="BX31" i="17" s="1"/>
  <c r="BW26" i="17"/>
  <c r="BW31" i="17" s="1"/>
  <c r="BV26" i="17"/>
  <c r="BV31" i="17" s="1"/>
  <c r="BU26" i="17"/>
  <c r="BU31" i="17" s="1"/>
  <c r="BT26" i="17"/>
  <c r="BT31" i="17" s="1"/>
  <c r="BS26" i="17"/>
  <c r="BS31" i="17" s="1"/>
  <c r="BR26" i="17"/>
  <c r="BR31" i="17" s="1"/>
  <c r="BQ26" i="17"/>
  <c r="BQ31" i="17" s="1"/>
  <c r="BP26" i="17"/>
  <c r="BP31" i="17" s="1"/>
  <c r="BO26" i="17"/>
  <c r="BO31" i="17" s="1"/>
  <c r="BN26" i="17"/>
  <c r="BN31" i="17" s="1"/>
  <c r="BM26" i="17"/>
  <c r="BM31" i="17" s="1"/>
  <c r="BL26" i="17"/>
  <c r="BL31" i="17" s="1"/>
  <c r="BK26" i="17"/>
  <c r="BK31" i="17" s="1"/>
  <c r="BJ26" i="17"/>
  <c r="BJ31" i="17" s="1"/>
  <c r="BI26" i="17"/>
  <c r="BI31" i="17" s="1"/>
  <c r="BH26" i="17"/>
  <c r="BH31" i="17" s="1"/>
  <c r="BG26" i="17"/>
  <c r="BG31" i="17" s="1"/>
  <c r="BF26" i="17"/>
  <c r="BF31" i="17" s="1"/>
  <c r="BE26" i="17"/>
  <c r="BE31" i="17" s="1"/>
  <c r="BD26" i="17"/>
  <c r="BD31" i="17" s="1"/>
  <c r="BC26" i="17"/>
  <c r="BC31" i="17" s="1"/>
  <c r="BB26" i="17"/>
  <c r="BB31" i="17" s="1"/>
  <c r="BA26" i="17"/>
  <c r="BA31" i="17" s="1"/>
  <c r="AZ26" i="17"/>
  <c r="AZ31" i="17" s="1"/>
  <c r="AY26" i="17"/>
  <c r="AY31" i="17" s="1"/>
  <c r="AX26" i="17"/>
  <c r="AX31" i="17" s="1"/>
  <c r="AW26" i="17"/>
  <c r="AW31" i="17" s="1"/>
  <c r="AV26" i="17"/>
  <c r="AV31" i="17" s="1"/>
  <c r="AU26" i="17"/>
  <c r="AU31" i="17" s="1"/>
  <c r="AT26" i="17"/>
  <c r="AT31" i="17" s="1"/>
  <c r="AS26" i="17"/>
  <c r="AS31" i="17" s="1"/>
  <c r="AR26" i="17"/>
  <c r="AR31" i="17" s="1"/>
  <c r="AQ26" i="17"/>
  <c r="AQ31" i="17" s="1"/>
  <c r="AP26" i="17"/>
  <c r="AP31" i="17" s="1"/>
  <c r="AO26" i="17"/>
  <c r="AO31" i="17" s="1"/>
  <c r="AN26" i="17"/>
  <c r="AN31" i="17" s="1"/>
  <c r="AM26" i="17"/>
  <c r="AM31" i="17" s="1"/>
  <c r="AL26" i="17"/>
  <c r="AL31" i="17" s="1"/>
  <c r="AK26" i="17"/>
  <c r="AK31" i="17" s="1"/>
  <c r="AJ26" i="17"/>
  <c r="AJ31" i="17" s="1"/>
  <c r="AI26" i="17"/>
  <c r="AI31" i="17" s="1"/>
  <c r="AH26" i="17"/>
  <c r="AH31" i="17" s="1"/>
  <c r="AG26" i="17"/>
  <c r="AG31" i="17" s="1"/>
  <c r="AF26" i="17"/>
  <c r="AF31" i="17" s="1"/>
  <c r="AE26" i="17"/>
  <c r="AE31" i="17" s="1"/>
  <c r="AD26" i="17"/>
  <c r="AD31" i="17" s="1"/>
  <c r="AC26" i="17"/>
  <c r="AC31" i="17" s="1"/>
  <c r="AB26" i="17"/>
  <c r="AB31" i="17" s="1"/>
  <c r="AA26" i="17"/>
  <c r="AA31" i="17" s="1"/>
  <c r="Z26" i="17"/>
  <c r="Z31" i="17" s="1"/>
  <c r="Y26" i="17"/>
  <c r="Y31" i="17" s="1"/>
  <c r="X26" i="17"/>
  <c r="X31" i="17" s="1"/>
  <c r="W26" i="17"/>
  <c r="W31" i="17" s="1"/>
  <c r="V26" i="17"/>
  <c r="V31" i="17" s="1"/>
  <c r="U26" i="17"/>
  <c r="U31" i="17" s="1"/>
  <c r="T26" i="17"/>
  <c r="T31" i="17" s="1"/>
  <c r="S26" i="17"/>
  <c r="S31" i="17" s="1"/>
  <c r="R26" i="17"/>
  <c r="R31" i="17" s="1"/>
  <c r="Q26" i="17"/>
  <c r="Q31" i="17" s="1"/>
  <c r="P26" i="17"/>
  <c r="P31" i="17" s="1"/>
  <c r="O26" i="17"/>
  <c r="O31" i="17" s="1"/>
  <c r="N26" i="17"/>
  <c r="N31" i="17" s="1"/>
  <c r="M26" i="17"/>
  <c r="M31" i="17" s="1"/>
  <c r="L26" i="17"/>
  <c r="L31" i="17" s="1"/>
  <c r="K26" i="17"/>
  <c r="K31" i="17" s="1"/>
  <c r="J26" i="17"/>
  <c r="J31" i="17" s="1"/>
  <c r="I26" i="17"/>
  <c r="I31" i="17" s="1"/>
  <c r="H26" i="17"/>
  <c r="H31" i="17" s="1"/>
  <c r="G26" i="17"/>
  <c r="G31" i="17" s="1"/>
  <c r="A22" i="17"/>
  <c r="G20" i="17"/>
  <c r="CX7" i="17"/>
  <c r="CU13" i="22" s="1"/>
  <c r="CW7" i="17"/>
  <c r="N116" i="2" s="1"/>
  <c r="CS13" i="22"/>
  <c r="CU7" i="17"/>
  <c r="CR13" i="22" s="1"/>
  <c r="CT7" i="17"/>
  <c r="CQ13" i="22" s="1"/>
  <c r="CX6" i="17"/>
  <c r="CU12" i="22" s="1"/>
  <c r="CW6" i="17"/>
  <c r="CT12" i="22" s="1"/>
  <c r="CS12" i="22"/>
  <c r="CU6" i="17"/>
  <c r="CR12" i="22" s="1"/>
  <c r="CT6" i="17"/>
  <c r="K115" i="2" s="1"/>
  <c r="G4" i="17"/>
  <c r="G458" i="12"/>
  <c r="H458" i="12" s="1"/>
  <c r="I458" i="12" s="1"/>
  <c r="J458" i="12" s="1"/>
  <c r="K458" i="12" s="1"/>
  <c r="L458" i="12" s="1"/>
  <c r="M458" i="12" s="1"/>
  <c r="N458" i="12" s="1"/>
  <c r="O458" i="12" s="1"/>
  <c r="P458" i="12" s="1"/>
  <c r="Q458" i="12" s="1"/>
  <c r="R458" i="12" s="1"/>
  <c r="S458" i="12" s="1"/>
  <c r="T458" i="12" s="1"/>
  <c r="U458" i="12" s="1"/>
  <c r="V458" i="12" s="1"/>
  <c r="W458" i="12" s="1"/>
  <c r="X458" i="12" s="1"/>
  <c r="Y458" i="12" s="1"/>
  <c r="Z458" i="12" s="1"/>
  <c r="AA458" i="12" s="1"/>
  <c r="AB458" i="12" s="1"/>
  <c r="G455" i="12"/>
  <c r="H455" i="12" s="1"/>
  <c r="I455" i="12" s="1"/>
  <c r="J455" i="12" s="1"/>
  <c r="K455" i="12" s="1"/>
  <c r="L455" i="12" s="1"/>
  <c r="M455" i="12" s="1"/>
  <c r="N455" i="12" s="1"/>
  <c r="O455" i="12" s="1"/>
  <c r="P455" i="12" s="1"/>
  <c r="Q455" i="12" s="1"/>
  <c r="R455" i="12" s="1"/>
  <c r="S455" i="12" s="1"/>
  <c r="T455" i="12" s="1"/>
  <c r="U455" i="12" s="1"/>
  <c r="V455" i="12" s="1"/>
  <c r="W455" i="12" s="1"/>
  <c r="X455" i="12" s="1"/>
  <c r="Y455" i="12" s="1"/>
  <c r="Z455" i="12" s="1"/>
  <c r="AA455" i="12" s="1"/>
  <c r="AB455" i="12" s="1"/>
  <c r="G450" i="12"/>
  <c r="H450" i="12" s="1"/>
  <c r="I450" i="12" s="1"/>
  <c r="J450" i="12" s="1"/>
  <c r="K450" i="12" s="1"/>
  <c r="L450" i="12" s="1"/>
  <c r="M450" i="12" s="1"/>
  <c r="N450" i="12" s="1"/>
  <c r="O450" i="12" s="1"/>
  <c r="P450" i="12" s="1"/>
  <c r="Q450" i="12" s="1"/>
  <c r="R450" i="12" s="1"/>
  <c r="S450" i="12" s="1"/>
  <c r="T450" i="12" s="1"/>
  <c r="U450" i="12" s="1"/>
  <c r="V450" i="12" s="1"/>
  <c r="W450" i="12" s="1"/>
  <c r="X450" i="12" s="1"/>
  <c r="Y450" i="12" s="1"/>
  <c r="Z450" i="12" s="1"/>
  <c r="AA450" i="12" s="1"/>
  <c r="AB450" i="12" s="1"/>
  <c r="G445" i="12"/>
  <c r="H445" i="12" s="1"/>
  <c r="I445" i="12" s="1"/>
  <c r="J445" i="12" s="1"/>
  <c r="K445" i="12" s="1"/>
  <c r="L445" i="12" s="1"/>
  <c r="M445" i="12" s="1"/>
  <c r="N445" i="12" s="1"/>
  <c r="O445" i="12" s="1"/>
  <c r="P445" i="12" s="1"/>
  <c r="Q445" i="12" s="1"/>
  <c r="R445" i="12" s="1"/>
  <c r="S445" i="12" s="1"/>
  <c r="T445" i="12" s="1"/>
  <c r="U445" i="12" s="1"/>
  <c r="V445" i="12" s="1"/>
  <c r="W445" i="12" s="1"/>
  <c r="X445" i="12" s="1"/>
  <c r="Y445" i="12" s="1"/>
  <c r="Z445" i="12" s="1"/>
  <c r="AA445" i="12" s="1"/>
  <c r="AB445" i="12" s="1"/>
  <c r="G440" i="12"/>
  <c r="H440" i="12" s="1"/>
  <c r="I440" i="12" s="1"/>
  <c r="J440" i="12" s="1"/>
  <c r="K440" i="12" s="1"/>
  <c r="L440" i="12" s="1"/>
  <c r="M440" i="12" s="1"/>
  <c r="N440" i="12" s="1"/>
  <c r="O440" i="12" s="1"/>
  <c r="P440" i="12" s="1"/>
  <c r="Q440" i="12" s="1"/>
  <c r="R440" i="12" s="1"/>
  <c r="S440" i="12" s="1"/>
  <c r="T440" i="12" s="1"/>
  <c r="U440" i="12" s="1"/>
  <c r="V440" i="12" s="1"/>
  <c r="W440" i="12" s="1"/>
  <c r="X440" i="12" s="1"/>
  <c r="Y440" i="12" s="1"/>
  <c r="Z440" i="12" s="1"/>
  <c r="AA440" i="12" s="1"/>
  <c r="AB440" i="12" s="1"/>
  <c r="G435" i="12"/>
  <c r="H435" i="12" s="1"/>
  <c r="I435" i="12" s="1"/>
  <c r="J435" i="12" s="1"/>
  <c r="K435" i="12" s="1"/>
  <c r="L435" i="12" s="1"/>
  <c r="M435" i="12" s="1"/>
  <c r="N435" i="12" s="1"/>
  <c r="O435" i="12" s="1"/>
  <c r="P435" i="12" s="1"/>
  <c r="Q435" i="12" s="1"/>
  <c r="R435" i="12" s="1"/>
  <c r="S435" i="12" s="1"/>
  <c r="T435" i="12" s="1"/>
  <c r="U435" i="12" s="1"/>
  <c r="V435" i="12" s="1"/>
  <c r="W435" i="12" s="1"/>
  <c r="X435" i="12" s="1"/>
  <c r="Y435" i="12" s="1"/>
  <c r="Z435" i="12" s="1"/>
  <c r="AA435" i="12" s="1"/>
  <c r="AB435" i="12" s="1"/>
  <c r="G432" i="12"/>
  <c r="H432" i="12" s="1"/>
  <c r="I432" i="12" s="1"/>
  <c r="J432" i="12" s="1"/>
  <c r="K432" i="12" s="1"/>
  <c r="L432" i="12" s="1"/>
  <c r="M432" i="12" s="1"/>
  <c r="N432" i="12" s="1"/>
  <c r="O432" i="12" s="1"/>
  <c r="P432" i="12" s="1"/>
  <c r="Q432" i="12" s="1"/>
  <c r="R432" i="12" s="1"/>
  <c r="S432" i="12" s="1"/>
  <c r="T432" i="12" s="1"/>
  <c r="U432" i="12" s="1"/>
  <c r="V432" i="12" s="1"/>
  <c r="W432" i="12" s="1"/>
  <c r="X432" i="12" s="1"/>
  <c r="Y432" i="12" s="1"/>
  <c r="Z432" i="12" s="1"/>
  <c r="AA432" i="12" s="1"/>
  <c r="AB432" i="12" s="1"/>
  <c r="G429" i="12"/>
  <c r="H429" i="12" s="1"/>
  <c r="I429" i="12" s="1"/>
  <c r="J429" i="12" s="1"/>
  <c r="K429" i="12" s="1"/>
  <c r="L429" i="12" s="1"/>
  <c r="M429" i="12" s="1"/>
  <c r="N429" i="12" s="1"/>
  <c r="O429" i="12" s="1"/>
  <c r="P429" i="12" s="1"/>
  <c r="Q429" i="12" s="1"/>
  <c r="R429" i="12" s="1"/>
  <c r="S429" i="12" s="1"/>
  <c r="T429" i="12" s="1"/>
  <c r="U429" i="12" s="1"/>
  <c r="V429" i="12" s="1"/>
  <c r="W429" i="12" s="1"/>
  <c r="X429" i="12" s="1"/>
  <c r="Y429" i="12" s="1"/>
  <c r="Z429" i="12" s="1"/>
  <c r="AA429" i="12" s="1"/>
  <c r="AB429" i="12" s="1"/>
  <c r="G426" i="12"/>
  <c r="H426" i="12" s="1"/>
  <c r="I426" i="12" s="1"/>
  <c r="J426" i="12" s="1"/>
  <c r="K426" i="12" s="1"/>
  <c r="L426" i="12" s="1"/>
  <c r="M426" i="12" s="1"/>
  <c r="N426" i="12" s="1"/>
  <c r="O426" i="12" s="1"/>
  <c r="P426" i="12" s="1"/>
  <c r="Q426" i="12" s="1"/>
  <c r="R426" i="12" s="1"/>
  <c r="S426" i="12" s="1"/>
  <c r="T426" i="12" s="1"/>
  <c r="U426" i="12" s="1"/>
  <c r="V426" i="12" s="1"/>
  <c r="W426" i="12" s="1"/>
  <c r="X426" i="12" s="1"/>
  <c r="Y426" i="12" s="1"/>
  <c r="Z426" i="12" s="1"/>
  <c r="AA426" i="12" s="1"/>
  <c r="AB426" i="12" s="1"/>
  <c r="G423" i="12"/>
  <c r="H423" i="12" s="1"/>
  <c r="I423" i="12" s="1"/>
  <c r="J423" i="12" s="1"/>
  <c r="K423" i="12" s="1"/>
  <c r="L423" i="12" s="1"/>
  <c r="M423" i="12" s="1"/>
  <c r="N423" i="12" s="1"/>
  <c r="O423" i="12" s="1"/>
  <c r="P423" i="12" s="1"/>
  <c r="Q423" i="12" s="1"/>
  <c r="R423" i="12" s="1"/>
  <c r="S423" i="12" s="1"/>
  <c r="T423" i="12" s="1"/>
  <c r="U423" i="12" s="1"/>
  <c r="V423" i="12" s="1"/>
  <c r="W423" i="12" s="1"/>
  <c r="X423" i="12" s="1"/>
  <c r="Y423" i="12" s="1"/>
  <c r="Z423" i="12" s="1"/>
  <c r="AA423" i="12" s="1"/>
  <c r="AB423" i="12" s="1"/>
  <c r="G411" i="12"/>
  <c r="H411" i="12" s="1"/>
  <c r="I411" i="12" s="1"/>
  <c r="J411" i="12" s="1"/>
  <c r="K411" i="12" s="1"/>
  <c r="L411" i="12" s="1"/>
  <c r="M411" i="12" s="1"/>
  <c r="N411" i="12" s="1"/>
  <c r="O411" i="12" s="1"/>
  <c r="P411" i="12" s="1"/>
  <c r="Q411" i="12" s="1"/>
  <c r="R411" i="12" s="1"/>
  <c r="S411" i="12" s="1"/>
  <c r="T411" i="12" s="1"/>
  <c r="U411" i="12" s="1"/>
  <c r="V411" i="12" s="1"/>
  <c r="W411" i="12" s="1"/>
  <c r="X411" i="12" s="1"/>
  <c r="Y411" i="12" s="1"/>
  <c r="Z411" i="12" s="1"/>
  <c r="AA411" i="12" s="1"/>
  <c r="AB411" i="12" s="1"/>
  <c r="G399" i="12"/>
  <c r="H399" i="12" s="1"/>
  <c r="I399" i="12" s="1"/>
  <c r="J399" i="12" s="1"/>
  <c r="K399" i="12" s="1"/>
  <c r="L399" i="12" s="1"/>
  <c r="M399" i="12" s="1"/>
  <c r="N399" i="12" s="1"/>
  <c r="O399" i="12" s="1"/>
  <c r="P399" i="12" s="1"/>
  <c r="Q399" i="12" s="1"/>
  <c r="R399" i="12" s="1"/>
  <c r="S399" i="12" s="1"/>
  <c r="T399" i="12" s="1"/>
  <c r="U399" i="12" s="1"/>
  <c r="V399" i="12" s="1"/>
  <c r="W399" i="12" s="1"/>
  <c r="X399" i="12" s="1"/>
  <c r="Y399" i="12" s="1"/>
  <c r="Z399" i="12" s="1"/>
  <c r="AA399" i="12" s="1"/>
  <c r="AB399" i="12" s="1"/>
  <c r="G396" i="12"/>
  <c r="H396" i="12" s="1"/>
  <c r="I396" i="12" s="1"/>
  <c r="J396" i="12" s="1"/>
  <c r="K396" i="12" s="1"/>
  <c r="L396" i="12" s="1"/>
  <c r="M396" i="12" s="1"/>
  <c r="N396" i="12" s="1"/>
  <c r="O396" i="12" s="1"/>
  <c r="P396" i="12" s="1"/>
  <c r="Q396" i="12" s="1"/>
  <c r="R396" i="12" s="1"/>
  <c r="S396" i="12" s="1"/>
  <c r="T396" i="12" s="1"/>
  <c r="U396" i="12" s="1"/>
  <c r="V396" i="12" s="1"/>
  <c r="W396" i="12" s="1"/>
  <c r="X396" i="12" s="1"/>
  <c r="Y396" i="12" s="1"/>
  <c r="Z396" i="12" s="1"/>
  <c r="AA396" i="12" s="1"/>
  <c r="AB396" i="12" s="1"/>
  <c r="G393" i="12"/>
  <c r="H393" i="12" s="1"/>
  <c r="I393" i="12" s="1"/>
  <c r="J393" i="12" s="1"/>
  <c r="K393" i="12" s="1"/>
  <c r="L393" i="12" s="1"/>
  <c r="M393" i="12" s="1"/>
  <c r="N393" i="12" s="1"/>
  <c r="O393" i="12" s="1"/>
  <c r="P393" i="12" s="1"/>
  <c r="Q393" i="12" s="1"/>
  <c r="R393" i="12" s="1"/>
  <c r="S393" i="12" s="1"/>
  <c r="T393" i="12" s="1"/>
  <c r="U393" i="12" s="1"/>
  <c r="V393" i="12" s="1"/>
  <c r="W393" i="12" s="1"/>
  <c r="X393" i="12" s="1"/>
  <c r="Y393" i="12" s="1"/>
  <c r="Z393" i="12" s="1"/>
  <c r="AA393" i="12" s="1"/>
  <c r="AB393" i="12" s="1"/>
  <c r="G390" i="12"/>
  <c r="H390" i="12" s="1"/>
  <c r="I390" i="12" s="1"/>
  <c r="J390" i="12" s="1"/>
  <c r="K390" i="12" s="1"/>
  <c r="L390" i="12" s="1"/>
  <c r="M390" i="12" s="1"/>
  <c r="N390" i="12" s="1"/>
  <c r="O390" i="12" s="1"/>
  <c r="P390" i="12" s="1"/>
  <c r="Q390" i="12" s="1"/>
  <c r="R390" i="12" s="1"/>
  <c r="S390" i="12" s="1"/>
  <c r="T390" i="12" s="1"/>
  <c r="U390" i="12" s="1"/>
  <c r="V390" i="12" s="1"/>
  <c r="W390" i="12" s="1"/>
  <c r="X390" i="12" s="1"/>
  <c r="Y390" i="12" s="1"/>
  <c r="Z390" i="12" s="1"/>
  <c r="AA390" i="12" s="1"/>
  <c r="AB390" i="12" s="1"/>
  <c r="G387" i="12"/>
  <c r="H387" i="12" s="1"/>
  <c r="I387" i="12" s="1"/>
  <c r="J387" i="12" s="1"/>
  <c r="K387" i="12" s="1"/>
  <c r="L387" i="12" s="1"/>
  <c r="M387" i="12" s="1"/>
  <c r="N387" i="12" s="1"/>
  <c r="O387" i="12" s="1"/>
  <c r="P387" i="12" s="1"/>
  <c r="Q387" i="12" s="1"/>
  <c r="R387" i="12" s="1"/>
  <c r="S387" i="12" s="1"/>
  <c r="T387" i="12" s="1"/>
  <c r="U387" i="12" s="1"/>
  <c r="V387" i="12" s="1"/>
  <c r="W387" i="12" s="1"/>
  <c r="X387" i="12" s="1"/>
  <c r="Y387" i="12" s="1"/>
  <c r="Z387" i="12" s="1"/>
  <c r="AA387" i="12" s="1"/>
  <c r="AB387" i="12" s="1"/>
  <c r="G377" i="12"/>
  <c r="H377" i="12" s="1"/>
  <c r="I377" i="12" s="1"/>
  <c r="J377" i="12" s="1"/>
  <c r="K377" i="12" s="1"/>
  <c r="L377" i="12" s="1"/>
  <c r="M377" i="12" s="1"/>
  <c r="N377" i="12" s="1"/>
  <c r="O377" i="12" s="1"/>
  <c r="P377" i="12" s="1"/>
  <c r="Q377" i="12" s="1"/>
  <c r="R377" i="12" s="1"/>
  <c r="S377" i="12" s="1"/>
  <c r="T377" i="12" s="1"/>
  <c r="U377" i="12" s="1"/>
  <c r="V377" i="12" s="1"/>
  <c r="W377" i="12" s="1"/>
  <c r="G370" i="12"/>
  <c r="H370" i="12" s="1"/>
  <c r="I370" i="12" s="1"/>
  <c r="J370" i="12" s="1"/>
  <c r="K370" i="12" s="1"/>
  <c r="L370" i="12" s="1"/>
  <c r="M370" i="12" s="1"/>
  <c r="N370" i="12" s="1"/>
  <c r="O370" i="12" s="1"/>
  <c r="P370" i="12" s="1"/>
  <c r="Q370" i="12" s="1"/>
  <c r="R370" i="12" s="1"/>
  <c r="S370" i="12" s="1"/>
  <c r="T370" i="12" s="1"/>
  <c r="U370" i="12" s="1"/>
  <c r="V370" i="12" s="1"/>
  <c r="W370" i="12" s="1"/>
  <c r="X370" i="12" s="1"/>
  <c r="Y370" i="12" s="1"/>
  <c r="Z370" i="12" s="1"/>
  <c r="AA370" i="12" s="1"/>
  <c r="AB370" i="12" s="1"/>
  <c r="AD366" i="12"/>
  <c r="G365" i="12"/>
  <c r="H365" i="12" s="1"/>
  <c r="I365" i="12" s="1"/>
  <c r="J365" i="12" s="1"/>
  <c r="K365" i="12" s="1"/>
  <c r="L365" i="12" s="1"/>
  <c r="M365" i="12" s="1"/>
  <c r="N365" i="12" s="1"/>
  <c r="O365" i="12" s="1"/>
  <c r="P365" i="12" s="1"/>
  <c r="Q365" i="12" s="1"/>
  <c r="R365" i="12" s="1"/>
  <c r="S365" i="12" s="1"/>
  <c r="T365" i="12" s="1"/>
  <c r="U365" i="12" s="1"/>
  <c r="V365" i="12" s="1"/>
  <c r="W365" i="12" s="1"/>
  <c r="X365" i="12" s="1"/>
  <c r="Y365" i="12" s="1"/>
  <c r="Z365" i="12" s="1"/>
  <c r="AA365" i="12" s="1"/>
  <c r="AB365" i="12" s="1"/>
  <c r="A363" i="12"/>
  <c r="A362" i="12"/>
  <c r="G360" i="12"/>
  <c r="H360" i="12" s="1"/>
  <c r="I360" i="12" s="1"/>
  <c r="J360" i="12" s="1"/>
  <c r="K360" i="12" s="1"/>
  <c r="L360" i="12" s="1"/>
  <c r="M360" i="12" s="1"/>
  <c r="N360" i="12" s="1"/>
  <c r="O360" i="12" s="1"/>
  <c r="P360" i="12" s="1"/>
  <c r="Q360" i="12" s="1"/>
  <c r="R360" i="12" s="1"/>
  <c r="S360" i="12" s="1"/>
  <c r="T360" i="12" s="1"/>
  <c r="U360" i="12" s="1"/>
  <c r="V360" i="12" s="1"/>
  <c r="W360" i="12" s="1"/>
  <c r="X360" i="12" s="1"/>
  <c r="Y360" i="12" s="1"/>
  <c r="Z360" i="12" s="1"/>
  <c r="AA360" i="12" s="1"/>
  <c r="AB360" i="12" s="1"/>
  <c r="G354" i="12"/>
  <c r="H354" i="12" s="1"/>
  <c r="I354" i="12" s="1"/>
  <c r="J354" i="12" s="1"/>
  <c r="K354" i="12" s="1"/>
  <c r="L354" i="12" s="1"/>
  <c r="M354" i="12" s="1"/>
  <c r="N354" i="12" s="1"/>
  <c r="O354" i="12" s="1"/>
  <c r="P354" i="12" s="1"/>
  <c r="Q354" i="12" s="1"/>
  <c r="R354" i="12" s="1"/>
  <c r="S354" i="12" s="1"/>
  <c r="T354" i="12" s="1"/>
  <c r="U354" i="12" s="1"/>
  <c r="V354" i="12" s="1"/>
  <c r="W354" i="12" s="1"/>
  <c r="X354" i="12" s="1"/>
  <c r="Y354" i="12" s="1"/>
  <c r="Z354" i="12" s="1"/>
  <c r="AA354" i="12" s="1"/>
  <c r="AB354" i="12" s="1"/>
  <c r="G351" i="12"/>
  <c r="H351" i="12" s="1"/>
  <c r="I351" i="12" s="1"/>
  <c r="J351" i="12" s="1"/>
  <c r="K351" i="12" s="1"/>
  <c r="L351" i="12" s="1"/>
  <c r="M351" i="12" s="1"/>
  <c r="N351" i="12" s="1"/>
  <c r="O351" i="12" s="1"/>
  <c r="P351" i="12" s="1"/>
  <c r="Q351" i="12" s="1"/>
  <c r="R351" i="12" s="1"/>
  <c r="S351" i="12" s="1"/>
  <c r="T351" i="12" s="1"/>
  <c r="U351" i="12" s="1"/>
  <c r="V351" i="12" s="1"/>
  <c r="W351" i="12" s="1"/>
  <c r="X351" i="12" s="1"/>
  <c r="Y351" i="12" s="1"/>
  <c r="Z351" i="12" s="1"/>
  <c r="AA351" i="12" s="1"/>
  <c r="AB351" i="12" s="1"/>
  <c r="G344" i="12"/>
  <c r="H344" i="12" s="1"/>
  <c r="I344" i="12" s="1"/>
  <c r="J344" i="12" s="1"/>
  <c r="K344" i="12" s="1"/>
  <c r="L344" i="12" s="1"/>
  <c r="M344" i="12" s="1"/>
  <c r="N344" i="12" s="1"/>
  <c r="O344" i="12" s="1"/>
  <c r="P344" i="12" s="1"/>
  <c r="Q344" i="12" s="1"/>
  <c r="R344" i="12" s="1"/>
  <c r="S344" i="12" s="1"/>
  <c r="T344" i="12" s="1"/>
  <c r="U344" i="12" s="1"/>
  <c r="V344" i="12" s="1"/>
  <c r="W344" i="12" s="1"/>
  <c r="X344" i="12" s="1"/>
  <c r="Y344" i="12" s="1"/>
  <c r="Z344" i="12" s="1"/>
  <c r="AA344" i="12" s="1"/>
  <c r="AB344" i="12" s="1"/>
  <c r="A342" i="12"/>
  <c r="A341" i="12"/>
  <c r="G337" i="12"/>
  <c r="H337" i="12" s="1"/>
  <c r="I337" i="12" s="1"/>
  <c r="J337" i="12" s="1"/>
  <c r="K337" i="12" s="1"/>
  <c r="L337" i="12" s="1"/>
  <c r="M337" i="12" s="1"/>
  <c r="N337" i="12" s="1"/>
  <c r="O337" i="12" s="1"/>
  <c r="P337" i="12" s="1"/>
  <c r="Q337" i="12" s="1"/>
  <c r="R337" i="12" s="1"/>
  <c r="S337" i="12" s="1"/>
  <c r="T337" i="12" s="1"/>
  <c r="U337" i="12" s="1"/>
  <c r="V337" i="12" s="1"/>
  <c r="W337" i="12" s="1"/>
  <c r="X337" i="12" s="1"/>
  <c r="Y337" i="12" s="1"/>
  <c r="Z337" i="12" s="1"/>
  <c r="AA337" i="12" s="1"/>
  <c r="AB337" i="12" s="1"/>
  <c r="G333" i="12"/>
  <c r="H333" i="12" s="1"/>
  <c r="I333" i="12" s="1"/>
  <c r="J333" i="12" s="1"/>
  <c r="K333" i="12" s="1"/>
  <c r="L333" i="12" s="1"/>
  <c r="M333" i="12" s="1"/>
  <c r="N333" i="12" s="1"/>
  <c r="O333" i="12" s="1"/>
  <c r="P333" i="12" s="1"/>
  <c r="Q333" i="12" s="1"/>
  <c r="R333" i="12" s="1"/>
  <c r="S333" i="12" s="1"/>
  <c r="T333" i="12" s="1"/>
  <c r="U333" i="12" s="1"/>
  <c r="V333" i="12" s="1"/>
  <c r="W333" i="12" s="1"/>
  <c r="X333" i="12" s="1"/>
  <c r="Y333" i="12" s="1"/>
  <c r="Z333" i="12" s="1"/>
  <c r="AA333" i="12" s="1"/>
  <c r="AB333" i="12" s="1"/>
  <c r="G329" i="12"/>
  <c r="H329" i="12" s="1"/>
  <c r="I329" i="12" s="1"/>
  <c r="J329" i="12" s="1"/>
  <c r="K329" i="12" s="1"/>
  <c r="L329" i="12" s="1"/>
  <c r="M329" i="12" s="1"/>
  <c r="N329" i="12" s="1"/>
  <c r="O329" i="12" s="1"/>
  <c r="P329" i="12" s="1"/>
  <c r="Q329" i="12" s="1"/>
  <c r="R329" i="12" s="1"/>
  <c r="S329" i="12" s="1"/>
  <c r="T329" i="12" s="1"/>
  <c r="U329" i="12" s="1"/>
  <c r="V329" i="12" s="1"/>
  <c r="W329" i="12" s="1"/>
  <c r="X329" i="12" s="1"/>
  <c r="Y329" i="12" s="1"/>
  <c r="Z329" i="12" s="1"/>
  <c r="AA329" i="12" s="1"/>
  <c r="AB329" i="12" s="1"/>
  <c r="AD326" i="12"/>
  <c r="G324" i="12"/>
  <c r="H324" i="12" s="1"/>
  <c r="I324" i="12" s="1"/>
  <c r="J324" i="12" s="1"/>
  <c r="K324" i="12" s="1"/>
  <c r="L324" i="12" s="1"/>
  <c r="M324" i="12" s="1"/>
  <c r="N324" i="12" s="1"/>
  <c r="O324" i="12" s="1"/>
  <c r="P324" i="12" s="1"/>
  <c r="Q324" i="12" s="1"/>
  <c r="R324" i="12" s="1"/>
  <c r="S324" i="12" s="1"/>
  <c r="T324" i="12" s="1"/>
  <c r="U324" i="12" s="1"/>
  <c r="V324" i="12" s="1"/>
  <c r="W324" i="12" s="1"/>
  <c r="X324" i="12" s="1"/>
  <c r="Y324" i="12" s="1"/>
  <c r="Z324" i="12" s="1"/>
  <c r="AA324" i="12" s="1"/>
  <c r="AB324" i="12" s="1"/>
  <c r="A321" i="12"/>
  <c r="A320" i="12"/>
  <c r="G319" i="12"/>
  <c r="H319" i="12" s="1"/>
  <c r="I319" i="12" s="1"/>
  <c r="J319" i="12" s="1"/>
  <c r="K319" i="12" s="1"/>
  <c r="L319" i="12" s="1"/>
  <c r="M319" i="12" s="1"/>
  <c r="N319" i="12" s="1"/>
  <c r="O319" i="12" s="1"/>
  <c r="P319" i="12" s="1"/>
  <c r="Q319" i="12" s="1"/>
  <c r="R319" i="12" s="1"/>
  <c r="S319" i="12" s="1"/>
  <c r="T319" i="12" s="1"/>
  <c r="U319" i="12" s="1"/>
  <c r="V319" i="12" s="1"/>
  <c r="W319" i="12" s="1"/>
  <c r="X319" i="12" s="1"/>
  <c r="Y319" i="12" s="1"/>
  <c r="Z319" i="12" s="1"/>
  <c r="AA319" i="12" s="1"/>
  <c r="AB319" i="12" s="1"/>
  <c r="G314" i="12"/>
  <c r="H314" i="12" s="1"/>
  <c r="I314" i="12" s="1"/>
  <c r="J314" i="12" s="1"/>
  <c r="K314" i="12" s="1"/>
  <c r="L314" i="12" s="1"/>
  <c r="M314" i="12" s="1"/>
  <c r="N314" i="12" s="1"/>
  <c r="O314" i="12" s="1"/>
  <c r="P314" i="12" s="1"/>
  <c r="Q314" i="12" s="1"/>
  <c r="R314" i="12" s="1"/>
  <c r="S314" i="12" s="1"/>
  <c r="T314" i="12" s="1"/>
  <c r="U314" i="12" s="1"/>
  <c r="V314" i="12" s="1"/>
  <c r="W314" i="12" s="1"/>
  <c r="X314" i="12" s="1"/>
  <c r="Y314" i="12" s="1"/>
  <c r="Z314" i="12" s="1"/>
  <c r="AA314" i="12" s="1"/>
  <c r="AB314" i="12" s="1"/>
  <c r="A311" i="12"/>
  <c r="A310" i="12"/>
  <c r="A309" i="12"/>
  <c r="G308" i="12"/>
  <c r="H308" i="12" s="1"/>
  <c r="I308" i="12" s="1"/>
  <c r="J308" i="12" s="1"/>
  <c r="K308" i="12" s="1"/>
  <c r="L308" i="12" s="1"/>
  <c r="M308" i="12" s="1"/>
  <c r="N308" i="12" s="1"/>
  <c r="O308" i="12" s="1"/>
  <c r="P308" i="12" s="1"/>
  <c r="Q308" i="12" s="1"/>
  <c r="R308" i="12" s="1"/>
  <c r="S308" i="12" s="1"/>
  <c r="T308" i="12" s="1"/>
  <c r="U308" i="12" s="1"/>
  <c r="V308" i="12" s="1"/>
  <c r="W308" i="12" s="1"/>
  <c r="X308" i="12" s="1"/>
  <c r="Y308" i="12" s="1"/>
  <c r="Z308" i="12" s="1"/>
  <c r="AA308" i="12" s="1"/>
  <c r="AB308" i="12" s="1"/>
  <c r="G303" i="12"/>
  <c r="H303" i="12" s="1"/>
  <c r="I303" i="12" s="1"/>
  <c r="J303" i="12" s="1"/>
  <c r="K303" i="12" s="1"/>
  <c r="L303" i="12" s="1"/>
  <c r="M303" i="12" s="1"/>
  <c r="N303" i="12" s="1"/>
  <c r="O303" i="12" s="1"/>
  <c r="P303" i="12" s="1"/>
  <c r="Q303" i="12" s="1"/>
  <c r="R303" i="12" s="1"/>
  <c r="S303" i="12" s="1"/>
  <c r="T303" i="12" s="1"/>
  <c r="U303" i="12" s="1"/>
  <c r="V303" i="12" s="1"/>
  <c r="W303" i="12" s="1"/>
  <c r="X303" i="12" s="1"/>
  <c r="Y303" i="12" s="1"/>
  <c r="Z303" i="12" s="1"/>
  <c r="AA303" i="12" s="1"/>
  <c r="AB303" i="12" s="1"/>
  <c r="A300" i="12"/>
  <c r="G297" i="12"/>
  <c r="H297" i="12" s="1"/>
  <c r="I297" i="12" s="1"/>
  <c r="J297" i="12" s="1"/>
  <c r="K297" i="12" s="1"/>
  <c r="L297" i="12" s="1"/>
  <c r="M297" i="12" s="1"/>
  <c r="N297" i="12" s="1"/>
  <c r="O297" i="12" s="1"/>
  <c r="P297" i="12" s="1"/>
  <c r="Q297" i="12" s="1"/>
  <c r="R297" i="12" s="1"/>
  <c r="S297" i="12" s="1"/>
  <c r="T297" i="12" s="1"/>
  <c r="U297" i="12" s="1"/>
  <c r="V297" i="12" s="1"/>
  <c r="W297" i="12" s="1"/>
  <c r="X297" i="12" s="1"/>
  <c r="Y297" i="12" s="1"/>
  <c r="Z297" i="12" s="1"/>
  <c r="AA297" i="12" s="1"/>
  <c r="AB297" i="12" s="1"/>
  <c r="AD294" i="12"/>
  <c r="G292" i="12"/>
  <c r="H292" i="12" s="1"/>
  <c r="I292" i="12" s="1"/>
  <c r="J292" i="12" s="1"/>
  <c r="K292" i="12" s="1"/>
  <c r="L292" i="12" s="1"/>
  <c r="M292" i="12" s="1"/>
  <c r="N292" i="12" s="1"/>
  <c r="O292" i="12" s="1"/>
  <c r="P292" i="12" s="1"/>
  <c r="Q292" i="12" s="1"/>
  <c r="R292" i="12" s="1"/>
  <c r="S292" i="12" s="1"/>
  <c r="T292" i="12" s="1"/>
  <c r="U292" i="12" s="1"/>
  <c r="V292" i="12" s="1"/>
  <c r="W292" i="12" s="1"/>
  <c r="X292" i="12" s="1"/>
  <c r="Y292" i="12" s="1"/>
  <c r="Z292" i="12" s="1"/>
  <c r="AA292" i="12" s="1"/>
  <c r="AB292" i="12" s="1"/>
  <c r="A289" i="12"/>
  <c r="A288" i="12"/>
  <c r="G287" i="12"/>
  <c r="H287" i="12" s="1"/>
  <c r="I287" i="12" s="1"/>
  <c r="J287" i="12" s="1"/>
  <c r="K287" i="12" s="1"/>
  <c r="L287" i="12" s="1"/>
  <c r="M287" i="12" s="1"/>
  <c r="N287" i="12" s="1"/>
  <c r="O287" i="12" s="1"/>
  <c r="P287" i="12" s="1"/>
  <c r="Q287" i="12" s="1"/>
  <c r="R287" i="12" s="1"/>
  <c r="S287" i="12" s="1"/>
  <c r="T287" i="12" s="1"/>
  <c r="U287" i="12" s="1"/>
  <c r="V287" i="12" s="1"/>
  <c r="W287" i="12" s="1"/>
  <c r="X287" i="12" s="1"/>
  <c r="Y287" i="12" s="1"/>
  <c r="Z287" i="12" s="1"/>
  <c r="AA287" i="12" s="1"/>
  <c r="AB287" i="12" s="1"/>
  <c r="G282" i="12"/>
  <c r="H282" i="12" s="1"/>
  <c r="I282" i="12" s="1"/>
  <c r="J282" i="12" s="1"/>
  <c r="K282" i="12" s="1"/>
  <c r="L282" i="12" s="1"/>
  <c r="M282" i="12" s="1"/>
  <c r="N282" i="12" s="1"/>
  <c r="O282" i="12" s="1"/>
  <c r="P282" i="12" s="1"/>
  <c r="Q282" i="12" s="1"/>
  <c r="R282" i="12" s="1"/>
  <c r="S282" i="12" s="1"/>
  <c r="T282" i="12" s="1"/>
  <c r="U282" i="12" s="1"/>
  <c r="V282" i="12" s="1"/>
  <c r="W282" i="12" s="1"/>
  <c r="X282" i="12" s="1"/>
  <c r="Y282" i="12" s="1"/>
  <c r="Z282" i="12" s="1"/>
  <c r="AA282" i="12" s="1"/>
  <c r="AB282" i="12" s="1"/>
  <c r="A279" i="12"/>
  <c r="A278" i="12"/>
  <c r="A277" i="12"/>
  <c r="G276" i="12"/>
  <c r="H276" i="12" s="1"/>
  <c r="I276" i="12" s="1"/>
  <c r="J276" i="12" s="1"/>
  <c r="K276" i="12" s="1"/>
  <c r="L276" i="12" s="1"/>
  <c r="M276" i="12" s="1"/>
  <c r="N276" i="12" s="1"/>
  <c r="O276" i="12" s="1"/>
  <c r="P276" i="12" s="1"/>
  <c r="Q276" i="12" s="1"/>
  <c r="R276" i="12" s="1"/>
  <c r="S276" i="12" s="1"/>
  <c r="T276" i="12" s="1"/>
  <c r="U276" i="12" s="1"/>
  <c r="V276" i="12" s="1"/>
  <c r="W276" i="12" s="1"/>
  <c r="X276" i="12" s="1"/>
  <c r="Y276" i="12" s="1"/>
  <c r="Z276" i="12" s="1"/>
  <c r="AA276" i="12" s="1"/>
  <c r="AB276" i="12" s="1"/>
  <c r="G271" i="12"/>
  <c r="H271" i="12" s="1"/>
  <c r="I271" i="12" s="1"/>
  <c r="J271" i="12" s="1"/>
  <c r="K271" i="12" s="1"/>
  <c r="L271" i="12" s="1"/>
  <c r="M271" i="12" s="1"/>
  <c r="N271" i="12" s="1"/>
  <c r="O271" i="12" s="1"/>
  <c r="P271" i="12" s="1"/>
  <c r="Q271" i="12" s="1"/>
  <c r="R271" i="12" s="1"/>
  <c r="S271" i="12" s="1"/>
  <c r="T271" i="12" s="1"/>
  <c r="U271" i="12" s="1"/>
  <c r="V271" i="12" s="1"/>
  <c r="W271" i="12" s="1"/>
  <c r="X271" i="12" s="1"/>
  <c r="Y271" i="12" s="1"/>
  <c r="Z271" i="12" s="1"/>
  <c r="AA271" i="12" s="1"/>
  <c r="AB271" i="12" s="1"/>
  <c r="A268" i="12"/>
  <c r="G265" i="12"/>
  <c r="H265" i="12" s="1"/>
  <c r="I265" i="12" s="1"/>
  <c r="J265" i="12" s="1"/>
  <c r="K265" i="12" s="1"/>
  <c r="L265" i="12" s="1"/>
  <c r="M265" i="12" s="1"/>
  <c r="N265" i="12" s="1"/>
  <c r="O265" i="12" s="1"/>
  <c r="P265" i="12" s="1"/>
  <c r="Q265" i="12" s="1"/>
  <c r="R265" i="12" s="1"/>
  <c r="S265" i="12" s="1"/>
  <c r="T265" i="12" s="1"/>
  <c r="U265" i="12" s="1"/>
  <c r="V265" i="12" s="1"/>
  <c r="W265" i="12" s="1"/>
  <c r="X265" i="12" s="1"/>
  <c r="Y265" i="12" s="1"/>
  <c r="Z265" i="12" s="1"/>
  <c r="AA265" i="12" s="1"/>
  <c r="AB265" i="12" s="1"/>
  <c r="G262" i="12"/>
  <c r="H262" i="12" s="1"/>
  <c r="I262" i="12" s="1"/>
  <c r="J262" i="12" s="1"/>
  <c r="K262" i="12" s="1"/>
  <c r="L262" i="12" s="1"/>
  <c r="M262" i="12" s="1"/>
  <c r="N262" i="12" s="1"/>
  <c r="O262" i="12" s="1"/>
  <c r="P262" i="12" s="1"/>
  <c r="Q262" i="12" s="1"/>
  <c r="R262" i="12" s="1"/>
  <c r="S262" i="12" s="1"/>
  <c r="T262" i="12" s="1"/>
  <c r="U262" i="12" s="1"/>
  <c r="V262" i="12" s="1"/>
  <c r="W262" i="12" s="1"/>
  <c r="X262" i="12" s="1"/>
  <c r="Y262" i="12" s="1"/>
  <c r="Z262" i="12" s="1"/>
  <c r="AA262" i="12" s="1"/>
  <c r="AB262" i="12" s="1"/>
  <c r="A260" i="12"/>
  <c r="G259" i="12"/>
  <c r="H259" i="12" s="1"/>
  <c r="I259" i="12" s="1"/>
  <c r="J259" i="12" s="1"/>
  <c r="K259" i="12" s="1"/>
  <c r="L259" i="12" s="1"/>
  <c r="M259" i="12" s="1"/>
  <c r="N259" i="12" s="1"/>
  <c r="O259" i="12" s="1"/>
  <c r="P259" i="12" s="1"/>
  <c r="Q259" i="12" s="1"/>
  <c r="R259" i="12" s="1"/>
  <c r="S259" i="12" s="1"/>
  <c r="T259" i="12" s="1"/>
  <c r="U259" i="12" s="1"/>
  <c r="V259" i="12" s="1"/>
  <c r="W259" i="12" s="1"/>
  <c r="X259" i="12" s="1"/>
  <c r="Y259" i="12" s="1"/>
  <c r="Z259" i="12" s="1"/>
  <c r="AA259" i="12" s="1"/>
  <c r="AB259" i="12" s="1"/>
  <c r="G253" i="12"/>
  <c r="H253" i="12" s="1"/>
  <c r="I253" i="12" s="1"/>
  <c r="J253" i="12" s="1"/>
  <c r="K253" i="12" s="1"/>
  <c r="L253" i="12" s="1"/>
  <c r="M253" i="12" s="1"/>
  <c r="N253" i="12" s="1"/>
  <c r="O253" i="12" s="1"/>
  <c r="P253" i="12" s="1"/>
  <c r="Q253" i="12" s="1"/>
  <c r="R253" i="12" s="1"/>
  <c r="S253" i="12" s="1"/>
  <c r="T253" i="12" s="1"/>
  <c r="U253" i="12" s="1"/>
  <c r="V253" i="12" s="1"/>
  <c r="W253" i="12" s="1"/>
  <c r="X253" i="12" s="1"/>
  <c r="Y253" i="12" s="1"/>
  <c r="Z253" i="12" s="1"/>
  <c r="AA253" i="12" s="1"/>
  <c r="AB253" i="12" s="1"/>
  <c r="A250" i="12"/>
  <c r="G246" i="12"/>
  <c r="H246" i="12" s="1"/>
  <c r="I246" i="12" s="1"/>
  <c r="J246" i="12" s="1"/>
  <c r="K246" i="12" s="1"/>
  <c r="L246" i="12" s="1"/>
  <c r="M246" i="12" s="1"/>
  <c r="N246" i="12" s="1"/>
  <c r="O246" i="12" s="1"/>
  <c r="P246" i="12" s="1"/>
  <c r="Q246" i="12" s="1"/>
  <c r="R246" i="12" s="1"/>
  <c r="S246" i="12" s="1"/>
  <c r="T246" i="12" s="1"/>
  <c r="U246" i="12" s="1"/>
  <c r="V246" i="12" s="1"/>
  <c r="W246" i="12" s="1"/>
  <c r="X246" i="12" s="1"/>
  <c r="Y246" i="12" s="1"/>
  <c r="Z246" i="12" s="1"/>
  <c r="AA246" i="12" s="1"/>
  <c r="AB246" i="12" s="1"/>
  <c r="G240" i="12"/>
  <c r="H240" i="12" s="1"/>
  <c r="I240" i="12" s="1"/>
  <c r="J240" i="12" s="1"/>
  <c r="K240" i="12" s="1"/>
  <c r="L240" i="12" s="1"/>
  <c r="M240" i="12" s="1"/>
  <c r="N240" i="12" s="1"/>
  <c r="O240" i="12" s="1"/>
  <c r="P240" i="12" s="1"/>
  <c r="Q240" i="12" s="1"/>
  <c r="R240" i="12" s="1"/>
  <c r="S240" i="12" s="1"/>
  <c r="T240" i="12" s="1"/>
  <c r="U240" i="12" s="1"/>
  <c r="V240" i="12" s="1"/>
  <c r="W240" i="12" s="1"/>
  <c r="X240" i="12" s="1"/>
  <c r="Y240" i="12" s="1"/>
  <c r="Z240" i="12" s="1"/>
  <c r="AA240" i="12" s="1"/>
  <c r="AB240" i="12" s="1"/>
  <c r="AD235" i="12"/>
  <c r="G234" i="12"/>
  <c r="H234" i="12" s="1"/>
  <c r="I234" i="12" s="1"/>
  <c r="J234" i="12" s="1"/>
  <c r="K234" i="12" s="1"/>
  <c r="L234" i="12" s="1"/>
  <c r="M234" i="12" s="1"/>
  <c r="N234" i="12" s="1"/>
  <c r="O234" i="12" s="1"/>
  <c r="P234" i="12" s="1"/>
  <c r="Q234" i="12" s="1"/>
  <c r="R234" i="12" s="1"/>
  <c r="S234" i="12" s="1"/>
  <c r="T234" i="12" s="1"/>
  <c r="U234" i="12" s="1"/>
  <c r="V234" i="12" s="1"/>
  <c r="W234" i="12" s="1"/>
  <c r="X234" i="12" s="1"/>
  <c r="Y234" i="12" s="1"/>
  <c r="Z234" i="12" s="1"/>
  <c r="AA234" i="12" s="1"/>
  <c r="AB234" i="12" s="1"/>
  <c r="A230" i="12"/>
  <c r="A229" i="12"/>
  <c r="A228" i="12"/>
  <c r="H227" i="12"/>
  <c r="I227" i="12" s="1"/>
  <c r="J227" i="12" s="1"/>
  <c r="K227" i="12" s="1"/>
  <c r="L227" i="12" s="1"/>
  <c r="M227" i="12" s="1"/>
  <c r="N227" i="12" s="1"/>
  <c r="O227" i="12" s="1"/>
  <c r="P227" i="12" s="1"/>
  <c r="Q227" i="12" s="1"/>
  <c r="R227" i="12" s="1"/>
  <c r="S227" i="12" s="1"/>
  <c r="T227" i="12" s="1"/>
  <c r="U227" i="12" s="1"/>
  <c r="V227" i="12" s="1"/>
  <c r="W227" i="12" s="1"/>
  <c r="X227" i="12" s="1"/>
  <c r="Y227" i="12" s="1"/>
  <c r="Z227" i="12" s="1"/>
  <c r="AA227" i="12" s="1"/>
  <c r="AB227" i="12" s="1"/>
  <c r="G227" i="12"/>
  <c r="H215" i="12"/>
  <c r="I215" i="12" s="1"/>
  <c r="J215" i="12" s="1"/>
  <c r="K215" i="12" s="1"/>
  <c r="L215" i="12" s="1"/>
  <c r="M215" i="12" s="1"/>
  <c r="N215" i="12" s="1"/>
  <c r="O215" i="12" s="1"/>
  <c r="P215" i="12" s="1"/>
  <c r="Q215" i="12" s="1"/>
  <c r="R215" i="12" s="1"/>
  <c r="S215" i="12" s="1"/>
  <c r="T215" i="12" s="1"/>
  <c r="U215" i="12" s="1"/>
  <c r="V215" i="12" s="1"/>
  <c r="W215" i="12" s="1"/>
  <c r="X215" i="12" s="1"/>
  <c r="Y215" i="12" s="1"/>
  <c r="Z215" i="12" s="1"/>
  <c r="AA215" i="12" s="1"/>
  <c r="AB215" i="12" s="1"/>
  <c r="G215" i="12"/>
  <c r="A212" i="12"/>
  <c r="A211" i="12"/>
  <c r="A210" i="12"/>
  <c r="A206" i="12"/>
  <c r="A205" i="12"/>
  <c r="A204" i="12"/>
  <c r="I201" i="12"/>
  <c r="J201" i="12" s="1"/>
  <c r="K201" i="12" s="1"/>
  <c r="L201" i="12" s="1"/>
  <c r="M201" i="12" s="1"/>
  <c r="N201" i="12" s="1"/>
  <c r="O201" i="12" s="1"/>
  <c r="P201" i="12" s="1"/>
  <c r="Q201" i="12" s="1"/>
  <c r="R201" i="12" s="1"/>
  <c r="S201" i="12" s="1"/>
  <c r="T201" i="12" s="1"/>
  <c r="U201" i="12" s="1"/>
  <c r="V201" i="12" s="1"/>
  <c r="W201" i="12" s="1"/>
  <c r="X201" i="12" s="1"/>
  <c r="Y201" i="12" s="1"/>
  <c r="Z201" i="12" s="1"/>
  <c r="AA201" i="12" s="1"/>
  <c r="AB201" i="12" s="1"/>
  <c r="G201" i="12"/>
  <c r="H201" i="12" s="1"/>
  <c r="AD198" i="12"/>
  <c r="G196" i="12"/>
  <c r="H196" i="12" s="1"/>
  <c r="I196" i="12" s="1"/>
  <c r="J196" i="12" s="1"/>
  <c r="K196" i="12" s="1"/>
  <c r="L196" i="12" s="1"/>
  <c r="M196" i="12" s="1"/>
  <c r="N196" i="12" s="1"/>
  <c r="O196" i="12" s="1"/>
  <c r="P196" i="12" s="1"/>
  <c r="Q196" i="12" s="1"/>
  <c r="R196" i="12" s="1"/>
  <c r="S196" i="12" s="1"/>
  <c r="T196" i="12" s="1"/>
  <c r="U196" i="12" s="1"/>
  <c r="V196" i="12" s="1"/>
  <c r="W196" i="12" s="1"/>
  <c r="X196" i="12" s="1"/>
  <c r="Y196" i="12" s="1"/>
  <c r="Z196" i="12" s="1"/>
  <c r="AA196" i="12" s="1"/>
  <c r="AB196" i="12" s="1"/>
  <c r="A193" i="12"/>
  <c r="A192" i="12"/>
  <c r="A191" i="12"/>
  <c r="G190" i="12"/>
  <c r="H190" i="12" s="1"/>
  <c r="I190" i="12" s="1"/>
  <c r="J190" i="12" s="1"/>
  <c r="K190" i="12" s="1"/>
  <c r="L190" i="12" s="1"/>
  <c r="M190" i="12" s="1"/>
  <c r="N190" i="12" s="1"/>
  <c r="O190" i="12" s="1"/>
  <c r="P190" i="12" s="1"/>
  <c r="Q190" i="12" s="1"/>
  <c r="R190" i="12" s="1"/>
  <c r="S190" i="12" s="1"/>
  <c r="T190" i="12" s="1"/>
  <c r="U190" i="12" s="1"/>
  <c r="V190" i="12" s="1"/>
  <c r="W190" i="12" s="1"/>
  <c r="X190" i="12" s="1"/>
  <c r="Y190" i="12" s="1"/>
  <c r="Z190" i="12" s="1"/>
  <c r="AA190" i="12" s="1"/>
  <c r="AB190" i="12" s="1"/>
  <c r="H187" i="12"/>
  <c r="I187" i="12" s="1"/>
  <c r="J187" i="12" s="1"/>
  <c r="K187" i="12" s="1"/>
  <c r="L187" i="12" s="1"/>
  <c r="M187" i="12" s="1"/>
  <c r="N187" i="12" s="1"/>
  <c r="O187" i="12" s="1"/>
  <c r="P187" i="12" s="1"/>
  <c r="Q187" i="12" s="1"/>
  <c r="R187" i="12" s="1"/>
  <c r="S187" i="12" s="1"/>
  <c r="T187" i="12" s="1"/>
  <c r="U187" i="12" s="1"/>
  <c r="V187" i="12" s="1"/>
  <c r="W187" i="12" s="1"/>
  <c r="X187" i="12" s="1"/>
  <c r="Y187" i="12" s="1"/>
  <c r="Z187" i="12" s="1"/>
  <c r="AA187" i="12" s="1"/>
  <c r="AB187" i="12" s="1"/>
  <c r="G187" i="12"/>
  <c r="A185" i="12"/>
  <c r="G184" i="12"/>
  <c r="H184" i="12" s="1"/>
  <c r="I184" i="12" s="1"/>
  <c r="J184" i="12" s="1"/>
  <c r="K184" i="12" s="1"/>
  <c r="L184" i="12" s="1"/>
  <c r="M184" i="12" s="1"/>
  <c r="N184" i="12" s="1"/>
  <c r="O184" i="12" s="1"/>
  <c r="P184" i="12" s="1"/>
  <c r="Q184" i="12" s="1"/>
  <c r="R184" i="12" s="1"/>
  <c r="S184" i="12" s="1"/>
  <c r="T184" i="12" s="1"/>
  <c r="U184" i="12" s="1"/>
  <c r="V184" i="12" s="1"/>
  <c r="W184" i="12" s="1"/>
  <c r="X184" i="12" s="1"/>
  <c r="Y184" i="12" s="1"/>
  <c r="Z184" i="12" s="1"/>
  <c r="AA184" i="12" s="1"/>
  <c r="AB184" i="12" s="1"/>
  <c r="E179" i="12"/>
  <c r="E178" i="12"/>
  <c r="E177" i="12"/>
  <c r="E176" i="12"/>
  <c r="E175" i="12"/>
  <c r="E174" i="12"/>
  <c r="E173" i="12"/>
  <c r="E172" i="12"/>
  <c r="E171" i="12"/>
  <c r="E170" i="12"/>
  <c r="E169" i="12"/>
  <c r="E168" i="12"/>
  <c r="E167" i="12"/>
  <c r="E166" i="12"/>
  <c r="E165" i="12"/>
  <c r="G164" i="12"/>
  <c r="H164" i="12" s="1"/>
  <c r="I164" i="12" s="1"/>
  <c r="J164" i="12" s="1"/>
  <c r="K164" i="12" s="1"/>
  <c r="L164" i="12" s="1"/>
  <c r="M164" i="12" s="1"/>
  <c r="N164" i="12" s="1"/>
  <c r="O164" i="12" s="1"/>
  <c r="P164" i="12" s="1"/>
  <c r="Q164" i="12" s="1"/>
  <c r="R164" i="12" s="1"/>
  <c r="S164" i="12" s="1"/>
  <c r="T164" i="12" s="1"/>
  <c r="U164" i="12" s="1"/>
  <c r="V164" i="12" s="1"/>
  <c r="W164" i="12" s="1"/>
  <c r="X164" i="12" s="1"/>
  <c r="Y164" i="12" s="1"/>
  <c r="Z164" i="12" s="1"/>
  <c r="AA164" i="12" s="1"/>
  <c r="AB164" i="12" s="1"/>
  <c r="G161" i="12"/>
  <c r="H161" i="12" s="1"/>
  <c r="I161" i="12" s="1"/>
  <c r="J161" i="12" s="1"/>
  <c r="K161" i="12" s="1"/>
  <c r="L161" i="12" s="1"/>
  <c r="M161" i="12" s="1"/>
  <c r="N161" i="12" s="1"/>
  <c r="O161" i="12" s="1"/>
  <c r="P161" i="12" s="1"/>
  <c r="Q161" i="12" s="1"/>
  <c r="R161" i="12" s="1"/>
  <c r="S161" i="12" s="1"/>
  <c r="T161" i="12" s="1"/>
  <c r="U161" i="12" s="1"/>
  <c r="V161" i="12" s="1"/>
  <c r="W161" i="12" s="1"/>
  <c r="X161" i="12" s="1"/>
  <c r="Y161" i="12" s="1"/>
  <c r="Z161" i="12" s="1"/>
  <c r="AA161" i="12" s="1"/>
  <c r="AB161" i="12" s="1"/>
  <c r="A159" i="12"/>
  <c r="G158" i="12"/>
  <c r="H158" i="12" s="1"/>
  <c r="I158" i="12" s="1"/>
  <c r="J158" i="12" s="1"/>
  <c r="K158" i="12" s="1"/>
  <c r="L158" i="12" s="1"/>
  <c r="M158" i="12" s="1"/>
  <c r="N158" i="12" s="1"/>
  <c r="O158" i="12" s="1"/>
  <c r="P158" i="12" s="1"/>
  <c r="Q158" i="12" s="1"/>
  <c r="R158" i="12" s="1"/>
  <c r="S158" i="12" s="1"/>
  <c r="T158" i="12" s="1"/>
  <c r="U158" i="12" s="1"/>
  <c r="V158" i="12" s="1"/>
  <c r="W158" i="12" s="1"/>
  <c r="X158" i="12" s="1"/>
  <c r="Y158" i="12" s="1"/>
  <c r="Z158" i="12" s="1"/>
  <c r="AA158" i="12" s="1"/>
  <c r="AB158" i="12" s="1"/>
  <c r="G146" i="12"/>
  <c r="H146" i="12" s="1"/>
  <c r="I146" i="12" s="1"/>
  <c r="J146" i="12" s="1"/>
  <c r="K146" i="12" s="1"/>
  <c r="L146" i="12" s="1"/>
  <c r="M146" i="12" s="1"/>
  <c r="N146" i="12" s="1"/>
  <c r="O146" i="12" s="1"/>
  <c r="P146" i="12" s="1"/>
  <c r="Q146" i="12" s="1"/>
  <c r="R146" i="12" s="1"/>
  <c r="S146" i="12" s="1"/>
  <c r="T146" i="12" s="1"/>
  <c r="U146" i="12" s="1"/>
  <c r="V146" i="12" s="1"/>
  <c r="W146" i="12" s="1"/>
  <c r="X146" i="12" s="1"/>
  <c r="Y146" i="12" s="1"/>
  <c r="Z146" i="12" s="1"/>
  <c r="AA146" i="12" s="1"/>
  <c r="AB146" i="12" s="1"/>
  <c r="G133" i="12"/>
  <c r="H133" i="12" s="1"/>
  <c r="I133" i="12" s="1"/>
  <c r="J133" i="12" s="1"/>
  <c r="K133" i="12" s="1"/>
  <c r="L133" i="12" s="1"/>
  <c r="M133" i="12" s="1"/>
  <c r="N133" i="12" s="1"/>
  <c r="O133" i="12" s="1"/>
  <c r="P133" i="12" s="1"/>
  <c r="Q133" i="12" s="1"/>
  <c r="R133" i="12" s="1"/>
  <c r="S133" i="12" s="1"/>
  <c r="T133" i="12" s="1"/>
  <c r="U133" i="12" s="1"/>
  <c r="V133" i="12" s="1"/>
  <c r="W133" i="12" s="1"/>
  <c r="X133" i="12" s="1"/>
  <c r="Y133" i="12" s="1"/>
  <c r="Z133" i="12" s="1"/>
  <c r="AA133" i="12" s="1"/>
  <c r="AB133" i="12" s="1"/>
  <c r="AD130" i="12"/>
  <c r="AB130" i="12"/>
  <c r="AA130" i="12"/>
  <c r="Z130" i="12"/>
  <c r="Y130" i="12"/>
  <c r="X130" i="12"/>
  <c r="W130" i="12"/>
  <c r="V130" i="12"/>
  <c r="U130" i="12"/>
  <c r="T130" i="12"/>
  <c r="S130" i="12"/>
  <c r="R130" i="12"/>
  <c r="Q130" i="12"/>
  <c r="P130" i="12"/>
  <c r="O130" i="12"/>
  <c r="N130" i="12"/>
  <c r="M130" i="12"/>
  <c r="L130" i="12"/>
  <c r="K130" i="12"/>
  <c r="J130" i="12"/>
  <c r="I130" i="12"/>
  <c r="H130" i="12"/>
  <c r="H127" i="12"/>
  <c r="I127" i="12" s="1"/>
  <c r="J127" i="12" s="1"/>
  <c r="K127" i="12" s="1"/>
  <c r="L127" i="12" s="1"/>
  <c r="M127" i="12" s="1"/>
  <c r="N127" i="12" s="1"/>
  <c r="O127" i="12" s="1"/>
  <c r="P127" i="12" s="1"/>
  <c r="Q127" i="12" s="1"/>
  <c r="R127" i="12" s="1"/>
  <c r="S127" i="12" s="1"/>
  <c r="T127" i="12" s="1"/>
  <c r="U127" i="12" s="1"/>
  <c r="V127" i="12" s="1"/>
  <c r="W127" i="12" s="1"/>
  <c r="X127" i="12" s="1"/>
  <c r="Y127" i="12" s="1"/>
  <c r="Z127" i="12" s="1"/>
  <c r="AA127" i="12" s="1"/>
  <c r="AB127" i="12" s="1"/>
  <c r="G127" i="12"/>
  <c r="A125" i="12"/>
  <c r="AD124" i="12"/>
  <c r="AB124" i="12"/>
  <c r="AA124" i="12"/>
  <c r="Z124" i="12"/>
  <c r="Y124" i="12"/>
  <c r="X124" i="12"/>
  <c r="W124" i="12"/>
  <c r="V124" i="12"/>
  <c r="U124" i="12"/>
  <c r="T124" i="12"/>
  <c r="S124" i="12"/>
  <c r="R124" i="12"/>
  <c r="Q124" i="12"/>
  <c r="P124" i="12"/>
  <c r="O124" i="12"/>
  <c r="N124" i="12"/>
  <c r="M124" i="12"/>
  <c r="L124" i="12"/>
  <c r="K124" i="12"/>
  <c r="J124" i="12"/>
  <c r="I124" i="12"/>
  <c r="H124" i="12"/>
  <c r="G124" i="12"/>
  <c r="G121" i="12"/>
  <c r="H121" i="12" s="1"/>
  <c r="I121" i="12" s="1"/>
  <c r="J121" i="12" s="1"/>
  <c r="K121" i="12" s="1"/>
  <c r="L121" i="12" s="1"/>
  <c r="M121" i="12" s="1"/>
  <c r="N121" i="12" s="1"/>
  <c r="O121" i="12" s="1"/>
  <c r="P121" i="12" s="1"/>
  <c r="Q121" i="12" s="1"/>
  <c r="R121" i="12" s="1"/>
  <c r="S121" i="12" s="1"/>
  <c r="T121" i="12" s="1"/>
  <c r="U121" i="12" s="1"/>
  <c r="V121" i="12" s="1"/>
  <c r="W121" i="12" s="1"/>
  <c r="X121" i="12" s="1"/>
  <c r="Y121" i="12" s="1"/>
  <c r="Z121" i="12" s="1"/>
  <c r="AA121" i="12" s="1"/>
  <c r="AB121" i="12" s="1"/>
  <c r="G117" i="12"/>
  <c r="H117" i="12" s="1"/>
  <c r="I117" i="12" s="1"/>
  <c r="J117" i="12" s="1"/>
  <c r="K117" i="12" s="1"/>
  <c r="L117" i="12" s="1"/>
  <c r="M117" i="12" s="1"/>
  <c r="N117" i="12" s="1"/>
  <c r="O117" i="12" s="1"/>
  <c r="P117" i="12" s="1"/>
  <c r="Q117" i="12" s="1"/>
  <c r="R117" i="12" s="1"/>
  <c r="S117" i="12" s="1"/>
  <c r="T117" i="12" s="1"/>
  <c r="U117" i="12" s="1"/>
  <c r="V117" i="12" s="1"/>
  <c r="W117" i="12" s="1"/>
  <c r="X117" i="12" s="1"/>
  <c r="Y117" i="12" s="1"/>
  <c r="Z117" i="12" s="1"/>
  <c r="AA117" i="12" s="1"/>
  <c r="AB117" i="12" s="1"/>
  <c r="G113" i="12"/>
  <c r="H113" i="12" s="1"/>
  <c r="I113" i="12" s="1"/>
  <c r="J113" i="12" s="1"/>
  <c r="K113" i="12" s="1"/>
  <c r="L113" i="12" s="1"/>
  <c r="M113" i="12" s="1"/>
  <c r="N113" i="12" s="1"/>
  <c r="O113" i="12" s="1"/>
  <c r="P113" i="12" s="1"/>
  <c r="Q113" i="12" s="1"/>
  <c r="R113" i="12" s="1"/>
  <c r="S113" i="12" s="1"/>
  <c r="T113" i="12" s="1"/>
  <c r="U113" i="12" s="1"/>
  <c r="V113" i="12" s="1"/>
  <c r="W113" i="12" s="1"/>
  <c r="X113" i="12" s="1"/>
  <c r="Y113" i="12" s="1"/>
  <c r="Z113" i="12" s="1"/>
  <c r="AA113" i="12" s="1"/>
  <c r="AB113" i="12" s="1"/>
  <c r="AD110" i="12"/>
  <c r="AD109" i="12"/>
  <c r="G108" i="12"/>
  <c r="H108" i="12" s="1"/>
  <c r="I108" i="12" s="1"/>
  <c r="J108" i="12" s="1"/>
  <c r="K108" i="12" s="1"/>
  <c r="L108" i="12" s="1"/>
  <c r="M108" i="12" s="1"/>
  <c r="N108" i="12" s="1"/>
  <c r="O108" i="12" s="1"/>
  <c r="P108" i="12" s="1"/>
  <c r="Q108" i="12" s="1"/>
  <c r="R108" i="12" s="1"/>
  <c r="S108" i="12" s="1"/>
  <c r="T108" i="12" s="1"/>
  <c r="U108" i="12" s="1"/>
  <c r="V108" i="12" s="1"/>
  <c r="W108" i="12" s="1"/>
  <c r="X108" i="12" s="1"/>
  <c r="Y108" i="12" s="1"/>
  <c r="Z108" i="12" s="1"/>
  <c r="AA108" i="12" s="1"/>
  <c r="AB108" i="12" s="1"/>
  <c r="A105" i="12"/>
  <c r="A104" i="12"/>
  <c r="A103" i="12"/>
  <c r="G102" i="12"/>
  <c r="H102" i="12" s="1"/>
  <c r="I102" i="12" s="1"/>
  <c r="J102" i="12" s="1"/>
  <c r="K102" i="12" s="1"/>
  <c r="L102" i="12" s="1"/>
  <c r="M102" i="12" s="1"/>
  <c r="N102" i="12" s="1"/>
  <c r="O102" i="12" s="1"/>
  <c r="P102" i="12" s="1"/>
  <c r="Q102" i="12" s="1"/>
  <c r="R102" i="12" s="1"/>
  <c r="S102" i="12" s="1"/>
  <c r="T102" i="12" s="1"/>
  <c r="U102" i="12" s="1"/>
  <c r="V102" i="12" s="1"/>
  <c r="W102" i="12" s="1"/>
  <c r="X102" i="12" s="1"/>
  <c r="Y102" i="12" s="1"/>
  <c r="Z102" i="12" s="1"/>
  <c r="AA102" i="12" s="1"/>
  <c r="AB102" i="12" s="1"/>
  <c r="G97" i="12"/>
  <c r="H97" i="12" s="1"/>
  <c r="I97" i="12" s="1"/>
  <c r="J97" i="12" s="1"/>
  <c r="K97" i="12" s="1"/>
  <c r="L97" i="12" s="1"/>
  <c r="M97" i="12" s="1"/>
  <c r="N97" i="12" s="1"/>
  <c r="O97" i="12" s="1"/>
  <c r="P97" i="12" s="1"/>
  <c r="Q97" i="12" s="1"/>
  <c r="R97" i="12" s="1"/>
  <c r="S97" i="12" s="1"/>
  <c r="T97" i="12" s="1"/>
  <c r="U97" i="12" s="1"/>
  <c r="V97" i="12" s="1"/>
  <c r="W97" i="12" s="1"/>
  <c r="X97" i="12" s="1"/>
  <c r="Y97" i="12" s="1"/>
  <c r="Z97" i="12" s="1"/>
  <c r="AA97" i="12" s="1"/>
  <c r="AB97" i="12" s="1"/>
  <c r="A94" i="12"/>
  <c r="G91" i="12"/>
  <c r="H91" i="12" s="1"/>
  <c r="I91" i="12" s="1"/>
  <c r="J91" i="12" s="1"/>
  <c r="K91" i="12" s="1"/>
  <c r="L91" i="12" s="1"/>
  <c r="M91" i="12" s="1"/>
  <c r="N91" i="12" s="1"/>
  <c r="O91" i="12" s="1"/>
  <c r="P91" i="12" s="1"/>
  <c r="Q91" i="12" s="1"/>
  <c r="R91" i="12" s="1"/>
  <c r="S91" i="12" s="1"/>
  <c r="T91" i="12" s="1"/>
  <c r="U91" i="12" s="1"/>
  <c r="V91" i="12" s="1"/>
  <c r="W91" i="12" s="1"/>
  <c r="X91" i="12" s="1"/>
  <c r="Y91" i="12" s="1"/>
  <c r="Z91" i="12" s="1"/>
  <c r="AA91" i="12" s="1"/>
  <c r="AB91" i="12" s="1"/>
  <c r="AD88" i="12"/>
  <c r="AD87" i="12"/>
  <c r="G86" i="12"/>
  <c r="H86" i="12" s="1"/>
  <c r="I86" i="12" s="1"/>
  <c r="J86" i="12" s="1"/>
  <c r="K86" i="12" s="1"/>
  <c r="L86" i="12" s="1"/>
  <c r="M86" i="12" s="1"/>
  <c r="N86" i="12" s="1"/>
  <c r="O86" i="12" s="1"/>
  <c r="P86" i="12" s="1"/>
  <c r="Q86" i="12" s="1"/>
  <c r="R86" i="12" s="1"/>
  <c r="S86" i="12" s="1"/>
  <c r="T86" i="12" s="1"/>
  <c r="U86" i="12" s="1"/>
  <c r="V86" i="12" s="1"/>
  <c r="W86" i="12" s="1"/>
  <c r="X86" i="12" s="1"/>
  <c r="Y86" i="12" s="1"/>
  <c r="Z86" i="12" s="1"/>
  <c r="AA86" i="12" s="1"/>
  <c r="AB86" i="12" s="1"/>
  <c r="A83" i="12"/>
  <c r="A82" i="12"/>
  <c r="A81" i="12"/>
  <c r="G80" i="12"/>
  <c r="H80" i="12" s="1"/>
  <c r="I80" i="12" s="1"/>
  <c r="J80" i="12" s="1"/>
  <c r="K80" i="12" s="1"/>
  <c r="L80" i="12" s="1"/>
  <c r="M80" i="12" s="1"/>
  <c r="N80" i="12" s="1"/>
  <c r="O80" i="12" s="1"/>
  <c r="P80" i="12" s="1"/>
  <c r="Q80" i="12" s="1"/>
  <c r="R80" i="12" s="1"/>
  <c r="S80" i="12" s="1"/>
  <c r="T80" i="12" s="1"/>
  <c r="U80" i="12" s="1"/>
  <c r="V80" i="12" s="1"/>
  <c r="W80" i="12" s="1"/>
  <c r="X80" i="12" s="1"/>
  <c r="Y80" i="12" s="1"/>
  <c r="Z80" i="12" s="1"/>
  <c r="AA80" i="12" s="1"/>
  <c r="AB80" i="12" s="1"/>
  <c r="G75" i="12"/>
  <c r="H75" i="12" s="1"/>
  <c r="I75" i="12" s="1"/>
  <c r="J75" i="12" s="1"/>
  <c r="K75" i="12" s="1"/>
  <c r="L75" i="12" s="1"/>
  <c r="M75" i="12" s="1"/>
  <c r="N75" i="12" s="1"/>
  <c r="O75" i="12" s="1"/>
  <c r="P75" i="12" s="1"/>
  <c r="Q75" i="12" s="1"/>
  <c r="R75" i="12" s="1"/>
  <c r="S75" i="12" s="1"/>
  <c r="T75" i="12" s="1"/>
  <c r="U75" i="12" s="1"/>
  <c r="V75" i="12" s="1"/>
  <c r="W75" i="12" s="1"/>
  <c r="X75" i="12" s="1"/>
  <c r="Y75" i="12" s="1"/>
  <c r="Z75" i="12" s="1"/>
  <c r="AA75" i="12" s="1"/>
  <c r="AB75" i="12" s="1"/>
  <c r="A72" i="12"/>
  <c r="G69" i="12"/>
  <c r="H69" i="12" s="1"/>
  <c r="I69" i="12" s="1"/>
  <c r="J69" i="12" s="1"/>
  <c r="K69" i="12" s="1"/>
  <c r="L69" i="12" s="1"/>
  <c r="M69" i="12" s="1"/>
  <c r="N69" i="12" s="1"/>
  <c r="O69" i="12" s="1"/>
  <c r="P69" i="12" s="1"/>
  <c r="Q69" i="12" s="1"/>
  <c r="R69" i="12" s="1"/>
  <c r="S69" i="12" s="1"/>
  <c r="T69" i="12" s="1"/>
  <c r="U69" i="12" s="1"/>
  <c r="V69" i="12" s="1"/>
  <c r="W69" i="12" s="1"/>
  <c r="X69" i="12" s="1"/>
  <c r="Y69" i="12" s="1"/>
  <c r="Z69" i="12" s="1"/>
  <c r="AA69" i="12" s="1"/>
  <c r="AB69" i="12" s="1"/>
  <c r="AD67" i="12"/>
  <c r="G66" i="12"/>
  <c r="H66" i="12" s="1"/>
  <c r="I66" i="12" s="1"/>
  <c r="J66" i="12" s="1"/>
  <c r="K66" i="12" s="1"/>
  <c r="L66" i="12" s="1"/>
  <c r="M66" i="12" s="1"/>
  <c r="N66" i="12" s="1"/>
  <c r="O66" i="12" s="1"/>
  <c r="P66" i="12" s="1"/>
  <c r="Q66" i="12" s="1"/>
  <c r="R66" i="12" s="1"/>
  <c r="S66" i="12" s="1"/>
  <c r="T66" i="12" s="1"/>
  <c r="U66" i="12" s="1"/>
  <c r="V66" i="12" s="1"/>
  <c r="W66" i="12" s="1"/>
  <c r="X66" i="12" s="1"/>
  <c r="Y66" i="12" s="1"/>
  <c r="Z66" i="12" s="1"/>
  <c r="AA66" i="12" s="1"/>
  <c r="AB66" i="12" s="1"/>
  <c r="A64" i="12"/>
  <c r="G63" i="12"/>
  <c r="H63" i="12" s="1"/>
  <c r="I63" i="12" s="1"/>
  <c r="J63" i="12" s="1"/>
  <c r="K63" i="12" s="1"/>
  <c r="L63" i="12" s="1"/>
  <c r="M63" i="12" s="1"/>
  <c r="N63" i="12" s="1"/>
  <c r="O63" i="12" s="1"/>
  <c r="P63" i="12" s="1"/>
  <c r="Q63" i="12" s="1"/>
  <c r="R63" i="12" s="1"/>
  <c r="S63" i="12" s="1"/>
  <c r="T63" i="12" s="1"/>
  <c r="U63" i="12" s="1"/>
  <c r="V63" i="12" s="1"/>
  <c r="W63" i="12" s="1"/>
  <c r="X63" i="12" s="1"/>
  <c r="Y63" i="12" s="1"/>
  <c r="Z63" i="12" s="1"/>
  <c r="AA63" i="12" s="1"/>
  <c r="AB63" i="12" s="1"/>
  <c r="G57" i="12"/>
  <c r="H57" i="12" s="1"/>
  <c r="I57" i="12" s="1"/>
  <c r="J57" i="12" s="1"/>
  <c r="K57" i="12" s="1"/>
  <c r="L57" i="12" s="1"/>
  <c r="M57" i="12" s="1"/>
  <c r="N57" i="12" s="1"/>
  <c r="O57" i="12" s="1"/>
  <c r="P57" i="12" s="1"/>
  <c r="Q57" i="12" s="1"/>
  <c r="R57" i="12" s="1"/>
  <c r="S57" i="12" s="1"/>
  <c r="T57" i="12" s="1"/>
  <c r="U57" i="12" s="1"/>
  <c r="V57" i="12" s="1"/>
  <c r="W57" i="12" s="1"/>
  <c r="X57" i="12" s="1"/>
  <c r="Y57" i="12" s="1"/>
  <c r="Z57" i="12" s="1"/>
  <c r="AA57" i="12" s="1"/>
  <c r="AB57" i="12" s="1"/>
  <c r="A54" i="12"/>
  <c r="G50" i="12"/>
  <c r="H50" i="12" s="1"/>
  <c r="I50" i="12" s="1"/>
  <c r="J50" i="12" s="1"/>
  <c r="K50" i="12" s="1"/>
  <c r="L50" i="12" s="1"/>
  <c r="M50" i="12" s="1"/>
  <c r="N50" i="12" s="1"/>
  <c r="O50" i="12" s="1"/>
  <c r="P50" i="12" s="1"/>
  <c r="Q50" i="12" s="1"/>
  <c r="R50" i="12" s="1"/>
  <c r="S50" i="12" s="1"/>
  <c r="T50" i="12" s="1"/>
  <c r="U50" i="12" s="1"/>
  <c r="V50" i="12" s="1"/>
  <c r="W50" i="12" s="1"/>
  <c r="X50" i="12" s="1"/>
  <c r="Y50" i="12" s="1"/>
  <c r="Z50" i="12" s="1"/>
  <c r="AA50" i="12" s="1"/>
  <c r="AB50" i="12" s="1"/>
  <c r="AD48" i="12"/>
  <c r="G47" i="12"/>
  <c r="H47" i="12" s="1"/>
  <c r="I47" i="12" s="1"/>
  <c r="J47" i="12" s="1"/>
  <c r="K47" i="12" s="1"/>
  <c r="L47" i="12" s="1"/>
  <c r="M47" i="12" s="1"/>
  <c r="N47" i="12" s="1"/>
  <c r="O47" i="12" s="1"/>
  <c r="P47" i="12" s="1"/>
  <c r="Q47" i="12" s="1"/>
  <c r="R47" i="12" s="1"/>
  <c r="S47" i="12" s="1"/>
  <c r="T47" i="12" s="1"/>
  <c r="U47" i="12" s="1"/>
  <c r="V47" i="12" s="1"/>
  <c r="W47" i="12" s="1"/>
  <c r="X47" i="12" s="1"/>
  <c r="Y47" i="12" s="1"/>
  <c r="Z47" i="12" s="1"/>
  <c r="AA47" i="12" s="1"/>
  <c r="AB47" i="12" s="1"/>
  <c r="A45" i="12"/>
  <c r="G44" i="12"/>
  <c r="H44" i="12" s="1"/>
  <c r="I44" i="12" s="1"/>
  <c r="J44" i="12" s="1"/>
  <c r="K44" i="12" s="1"/>
  <c r="L44" i="12" s="1"/>
  <c r="M44" i="12" s="1"/>
  <c r="N44" i="12" s="1"/>
  <c r="O44" i="12" s="1"/>
  <c r="P44" i="12" s="1"/>
  <c r="Q44" i="12" s="1"/>
  <c r="R44" i="12" s="1"/>
  <c r="S44" i="12" s="1"/>
  <c r="T44" i="12" s="1"/>
  <c r="U44" i="12" s="1"/>
  <c r="V44" i="12" s="1"/>
  <c r="W44" i="12" s="1"/>
  <c r="X44" i="12" s="1"/>
  <c r="Y44" i="12" s="1"/>
  <c r="Z44" i="12" s="1"/>
  <c r="AA44" i="12" s="1"/>
  <c r="AB44" i="12" s="1"/>
  <c r="AD41" i="12"/>
  <c r="AD40" i="12"/>
  <c r="AD36" i="12"/>
  <c r="AD35" i="12"/>
  <c r="G32" i="12"/>
  <c r="H32" i="12" s="1"/>
  <c r="I32" i="12" s="1"/>
  <c r="J32" i="12" s="1"/>
  <c r="K32" i="12" s="1"/>
  <c r="L32" i="12" s="1"/>
  <c r="M32" i="12" s="1"/>
  <c r="N32" i="12" s="1"/>
  <c r="O32" i="12" s="1"/>
  <c r="P32" i="12" s="1"/>
  <c r="Q32" i="12" s="1"/>
  <c r="R32" i="12" s="1"/>
  <c r="S32" i="12" s="1"/>
  <c r="T32" i="12" s="1"/>
  <c r="U32" i="12" s="1"/>
  <c r="V32" i="12" s="1"/>
  <c r="W32" i="12" s="1"/>
  <c r="X32" i="12" s="1"/>
  <c r="Y32" i="12" s="1"/>
  <c r="Z32" i="12" s="1"/>
  <c r="AA32" i="12" s="1"/>
  <c r="AB32" i="12" s="1"/>
  <c r="A29" i="12"/>
  <c r="A28" i="12"/>
  <c r="A27" i="12"/>
  <c r="A23" i="12"/>
  <c r="A22" i="12"/>
  <c r="A21" i="12"/>
  <c r="G18" i="12"/>
  <c r="H18" i="12" s="1"/>
  <c r="I18" i="12" s="1"/>
  <c r="J18" i="12" s="1"/>
  <c r="K18" i="12" s="1"/>
  <c r="L18" i="12" s="1"/>
  <c r="M18" i="12" s="1"/>
  <c r="N18" i="12" s="1"/>
  <c r="O18" i="12" s="1"/>
  <c r="P18" i="12" s="1"/>
  <c r="Q18" i="12" s="1"/>
  <c r="R18" i="12" s="1"/>
  <c r="S18" i="12" s="1"/>
  <c r="T18" i="12" s="1"/>
  <c r="U18" i="12" s="1"/>
  <c r="V18" i="12" s="1"/>
  <c r="W18" i="12" s="1"/>
  <c r="X18" i="12" s="1"/>
  <c r="Y18" i="12" s="1"/>
  <c r="Z18" i="12" s="1"/>
  <c r="AA18" i="12" s="1"/>
  <c r="AB18" i="12" s="1"/>
  <c r="AD16" i="12"/>
  <c r="G15" i="12"/>
  <c r="H15" i="12" s="1"/>
  <c r="I15" i="12" s="1"/>
  <c r="J15" i="12" s="1"/>
  <c r="K15" i="12" s="1"/>
  <c r="L15" i="12" s="1"/>
  <c r="M15" i="12" s="1"/>
  <c r="N15" i="12" s="1"/>
  <c r="O15" i="12" s="1"/>
  <c r="P15" i="12" s="1"/>
  <c r="Q15" i="12" s="1"/>
  <c r="R15" i="12" s="1"/>
  <c r="S15" i="12" s="1"/>
  <c r="T15" i="12" s="1"/>
  <c r="U15" i="12" s="1"/>
  <c r="V15" i="12" s="1"/>
  <c r="W15" i="12" s="1"/>
  <c r="X15" i="12" s="1"/>
  <c r="Y15" i="12" s="1"/>
  <c r="Z15" i="12" s="1"/>
  <c r="AA15" i="12" s="1"/>
  <c r="AB15" i="12" s="1"/>
  <c r="A13" i="12"/>
  <c r="G12" i="12"/>
  <c r="H12" i="12" s="1"/>
  <c r="I12" i="12" s="1"/>
  <c r="J12" i="12" s="1"/>
  <c r="K12" i="12" s="1"/>
  <c r="L12" i="12" s="1"/>
  <c r="M12" i="12" s="1"/>
  <c r="N12" i="12" s="1"/>
  <c r="O12" i="12" s="1"/>
  <c r="P12" i="12" s="1"/>
  <c r="Q12" i="12" s="1"/>
  <c r="R12" i="12" s="1"/>
  <c r="S12" i="12" s="1"/>
  <c r="T12" i="12" s="1"/>
  <c r="U12" i="12" s="1"/>
  <c r="V12" i="12" s="1"/>
  <c r="W12" i="12" s="1"/>
  <c r="X12" i="12" s="1"/>
  <c r="Y12" i="12" s="1"/>
  <c r="Z12" i="12" s="1"/>
  <c r="AA12" i="12" s="1"/>
  <c r="AB12" i="12" s="1"/>
  <c r="AD10" i="12"/>
  <c r="G9" i="12"/>
  <c r="H9" i="12" s="1"/>
  <c r="I9" i="12" s="1"/>
  <c r="J9" i="12" s="1"/>
  <c r="K9" i="12" s="1"/>
  <c r="L9" i="12" s="1"/>
  <c r="M9" i="12" s="1"/>
  <c r="N9" i="12" s="1"/>
  <c r="O9" i="12" s="1"/>
  <c r="P9" i="12" s="1"/>
  <c r="Q9" i="12" s="1"/>
  <c r="R9" i="12" s="1"/>
  <c r="S9" i="12" s="1"/>
  <c r="T9" i="12" s="1"/>
  <c r="U9" i="12" s="1"/>
  <c r="V9" i="12" s="1"/>
  <c r="W9" i="12" s="1"/>
  <c r="X9" i="12" s="1"/>
  <c r="Y9" i="12" s="1"/>
  <c r="Z9" i="12" s="1"/>
  <c r="AA9" i="12" s="1"/>
  <c r="AB9" i="12" s="1"/>
  <c r="A7" i="12"/>
  <c r="G6" i="12"/>
  <c r="H6" i="12" s="1"/>
  <c r="I6" i="12" s="1"/>
  <c r="J6" i="12" s="1"/>
  <c r="K6" i="12" s="1"/>
  <c r="L6" i="12" s="1"/>
  <c r="M6" i="12" s="1"/>
  <c r="N6" i="12" s="1"/>
  <c r="O6" i="12" s="1"/>
  <c r="P6" i="12" s="1"/>
  <c r="Q6" i="12" s="1"/>
  <c r="R6" i="12" s="1"/>
  <c r="S6" i="12" s="1"/>
  <c r="T6" i="12" s="1"/>
  <c r="U6" i="12" s="1"/>
  <c r="V6" i="12" s="1"/>
  <c r="W6" i="12" s="1"/>
  <c r="X6" i="12" s="1"/>
  <c r="Y6" i="12" s="1"/>
  <c r="Z6" i="12" s="1"/>
  <c r="AA6" i="12" s="1"/>
  <c r="AB6" i="12" s="1"/>
  <c r="G114" i="11"/>
  <c r="L114" i="11" s="1"/>
  <c r="Q114" i="11" s="1"/>
  <c r="V114" i="11" s="1"/>
  <c r="AA114" i="11" s="1"/>
  <c r="AF114" i="11" s="1"/>
  <c r="AK114" i="11" s="1"/>
  <c r="AP114" i="11" s="1"/>
  <c r="AU114" i="11" s="1"/>
  <c r="AZ114" i="11" s="1"/>
  <c r="BE114" i="11" s="1"/>
  <c r="BJ114" i="11" s="1"/>
  <c r="BO114" i="11" s="1"/>
  <c r="BT114" i="11" s="1"/>
  <c r="BY114" i="11" s="1"/>
  <c r="CD114" i="11" s="1"/>
  <c r="CI114" i="11" s="1"/>
  <c r="CN114" i="11" s="1"/>
  <c r="CS114" i="11" s="1"/>
  <c r="CX114" i="11" s="1"/>
  <c r="DC114" i="11" s="1"/>
  <c r="DH114" i="11" s="1"/>
  <c r="DM114" i="11" s="1"/>
  <c r="DR114" i="11" s="1"/>
  <c r="DW114" i="11" s="1"/>
  <c r="EB114" i="11" s="1"/>
  <c r="G107" i="11"/>
  <c r="L107" i="11" s="1"/>
  <c r="Q107" i="11" s="1"/>
  <c r="V107" i="11" s="1"/>
  <c r="AA107" i="11" s="1"/>
  <c r="AF107" i="11" s="1"/>
  <c r="AK107" i="11" s="1"/>
  <c r="AP107" i="11" s="1"/>
  <c r="AU107" i="11" s="1"/>
  <c r="AZ107" i="11" s="1"/>
  <c r="BE107" i="11" s="1"/>
  <c r="BJ107" i="11" s="1"/>
  <c r="BO107" i="11" s="1"/>
  <c r="BT107" i="11" s="1"/>
  <c r="BY107" i="11" s="1"/>
  <c r="CD107" i="11" s="1"/>
  <c r="CI107" i="11" s="1"/>
  <c r="CN107" i="11" s="1"/>
  <c r="CS107" i="11" s="1"/>
  <c r="CX107" i="11" s="1"/>
  <c r="DC107" i="11" s="1"/>
  <c r="DH107" i="11" s="1"/>
  <c r="DM107" i="11" s="1"/>
  <c r="DR107" i="11" s="1"/>
  <c r="DW107" i="11" s="1"/>
  <c r="EB107" i="11" s="1"/>
  <c r="G99" i="11"/>
  <c r="L99" i="11" s="1"/>
  <c r="Q99" i="11" s="1"/>
  <c r="V99" i="11" s="1"/>
  <c r="AA99" i="11" s="1"/>
  <c r="AF99" i="11" s="1"/>
  <c r="AK99" i="11" s="1"/>
  <c r="AP99" i="11" s="1"/>
  <c r="AU99" i="11" s="1"/>
  <c r="AZ99" i="11" s="1"/>
  <c r="BE99" i="11" s="1"/>
  <c r="BJ99" i="11" s="1"/>
  <c r="BO99" i="11" s="1"/>
  <c r="BT99" i="11" s="1"/>
  <c r="BY99" i="11" s="1"/>
  <c r="CD99" i="11" s="1"/>
  <c r="CI99" i="11" s="1"/>
  <c r="CN99" i="11" s="1"/>
  <c r="CS99" i="11" s="1"/>
  <c r="CX99" i="11" s="1"/>
  <c r="DC99" i="11" s="1"/>
  <c r="DH99" i="11" s="1"/>
  <c r="DM99" i="11" s="1"/>
  <c r="DR99" i="11" s="1"/>
  <c r="DW99" i="11" s="1"/>
  <c r="EB99" i="11" s="1"/>
  <c r="G92" i="11"/>
  <c r="L92" i="11" s="1"/>
  <c r="Q92" i="11" s="1"/>
  <c r="V92" i="11" s="1"/>
  <c r="AA92" i="11" s="1"/>
  <c r="AF92" i="11" s="1"/>
  <c r="AK92" i="11" s="1"/>
  <c r="AP92" i="11" s="1"/>
  <c r="AU92" i="11" s="1"/>
  <c r="AZ92" i="11" s="1"/>
  <c r="BE92" i="11" s="1"/>
  <c r="BJ92" i="11" s="1"/>
  <c r="BO92" i="11" s="1"/>
  <c r="BT92" i="11" s="1"/>
  <c r="BY92" i="11" s="1"/>
  <c r="CD92" i="11" s="1"/>
  <c r="CI92" i="11" s="1"/>
  <c r="CN92" i="11" s="1"/>
  <c r="CS92" i="11" s="1"/>
  <c r="CX92" i="11" s="1"/>
  <c r="DC92" i="11" s="1"/>
  <c r="DH92" i="11" s="1"/>
  <c r="DM92" i="11" s="1"/>
  <c r="DR92" i="11" s="1"/>
  <c r="DW92" i="11" s="1"/>
  <c r="EB92" i="11" s="1"/>
  <c r="G84" i="11"/>
  <c r="L84" i="11" s="1"/>
  <c r="Q84" i="11" s="1"/>
  <c r="V84" i="11" s="1"/>
  <c r="AA84" i="11" s="1"/>
  <c r="AF84" i="11" s="1"/>
  <c r="AK84" i="11" s="1"/>
  <c r="AP84" i="11" s="1"/>
  <c r="AU84" i="11" s="1"/>
  <c r="AZ84" i="11" s="1"/>
  <c r="BE84" i="11" s="1"/>
  <c r="BJ84" i="11" s="1"/>
  <c r="BO84" i="11" s="1"/>
  <c r="BT84" i="11" s="1"/>
  <c r="BY84" i="11" s="1"/>
  <c r="CD84" i="11" s="1"/>
  <c r="CI84" i="11" s="1"/>
  <c r="CN84" i="11" s="1"/>
  <c r="CS84" i="11" s="1"/>
  <c r="CX84" i="11" s="1"/>
  <c r="DC84" i="11" s="1"/>
  <c r="DH84" i="11" s="1"/>
  <c r="G79" i="11"/>
  <c r="L79" i="11" s="1"/>
  <c r="Q79" i="11" s="1"/>
  <c r="V79" i="11" s="1"/>
  <c r="AA79" i="11" s="1"/>
  <c r="AF79" i="11" s="1"/>
  <c r="AK79" i="11" s="1"/>
  <c r="AP79" i="11" s="1"/>
  <c r="AU79" i="11" s="1"/>
  <c r="AZ79" i="11" s="1"/>
  <c r="BE79" i="11" s="1"/>
  <c r="BJ79" i="11" s="1"/>
  <c r="BO79" i="11" s="1"/>
  <c r="BT79" i="11" s="1"/>
  <c r="BY79" i="11" s="1"/>
  <c r="CD79" i="11" s="1"/>
  <c r="CI79" i="11" s="1"/>
  <c r="CN79" i="11" s="1"/>
  <c r="CS79" i="11" s="1"/>
  <c r="CX79" i="11" s="1"/>
  <c r="DC79" i="11" s="1"/>
  <c r="DH79" i="11" s="1"/>
  <c r="DM79" i="11" s="1"/>
  <c r="DR79" i="11" s="1"/>
  <c r="DW79" i="11" s="1"/>
  <c r="EB79" i="11" s="1"/>
  <c r="G68" i="11"/>
  <c r="L68" i="11" s="1"/>
  <c r="Q68" i="11" s="1"/>
  <c r="V68" i="11" s="1"/>
  <c r="AA68" i="11" s="1"/>
  <c r="AF68" i="11" s="1"/>
  <c r="AK68" i="11" s="1"/>
  <c r="AP68" i="11" s="1"/>
  <c r="AU68" i="11" s="1"/>
  <c r="AZ68" i="11" s="1"/>
  <c r="BE68" i="11" s="1"/>
  <c r="BJ68" i="11" s="1"/>
  <c r="BO68" i="11" s="1"/>
  <c r="BT68" i="11" s="1"/>
  <c r="BY68" i="11" s="1"/>
  <c r="CD68" i="11" s="1"/>
  <c r="CI68" i="11" s="1"/>
  <c r="CN68" i="11" s="1"/>
  <c r="CS68" i="11" s="1"/>
  <c r="CX68" i="11" s="1"/>
  <c r="DC68" i="11" s="1"/>
  <c r="DH68" i="11" s="1"/>
  <c r="DM68" i="11" s="1"/>
  <c r="DR68" i="11" s="1"/>
  <c r="DW68" i="11" s="1"/>
  <c r="EB68" i="11" s="1"/>
  <c r="G53" i="11"/>
  <c r="L53" i="11" s="1"/>
  <c r="Q53" i="11" s="1"/>
  <c r="V53" i="11" s="1"/>
  <c r="AA53" i="11" s="1"/>
  <c r="AF53" i="11" s="1"/>
  <c r="AK53" i="11" s="1"/>
  <c r="AP53" i="11" s="1"/>
  <c r="AU53" i="11" s="1"/>
  <c r="AZ53" i="11" s="1"/>
  <c r="BE53" i="11" s="1"/>
  <c r="BJ53" i="11" s="1"/>
  <c r="BO53" i="11" s="1"/>
  <c r="BT53" i="11" s="1"/>
  <c r="BY53" i="11" s="1"/>
  <c r="CD53" i="11" s="1"/>
  <c r="CI53" i="11" s="1"/>
  <c r="CN53" i="11" s="1"/>
  <c r="CS53" i="11" s="1"/>
  <c r="CX53" i="11" s="1"/>
  <c r="DC53" i="11" s="1"/>
  <c r="DH53" i="11" s="1"/>
  <c r="DM53" i="11" s="1"/>
  <c r="DR53" i="11" s="1"/>
  <c r="DW53" i="11" s="1"/>
  <c r="EB53" i="11" s="1"/>
  <c r="L45" i="11"/>
  <c r="Q45" i="11" s="1"/>
  <c r="V45" i="11" s="1"/>
  <c r="AA45" i="11" s="1"/>
  <c r="AF45" i="11" s="1"/>
  <c r="AK45" i="11" s="1"/>
  <c r="AP45" i="11" s="1"/>
  <c r="AU45" i="11" s="1"/>
  <c r="AZ45" i="11" s="1"/>
  <c r="BE45" i="11" s="1"/>
  <c r="BJ45" i="11" s="1"/>
  <c r="BO45" i="11" s="1"/>
  <c r="BT45" i="11" s="1"/>
  <c r="BY45" i="11" s="1"/>
  <c r="CD45" i="11" s="1"/>
  <c r="CI45" i="11" s="1"/>
  <c r="CN45" i="11" s="1"/>
  <c r="CS45" i="11" s="1"/>
  <c r="CX45" i="11" s="1"/>
  <c r="DC45" i="11" s="1"/>
  <c r="DH45" i="11" s="1"/>
  <c r="G45" i="11"/>
  <c r="G39" i="11"/>
  <c r="L39" i="11" s="1"/>
  <c r="Q39" i="11" s="1"/>
  <c r="V39" i="11" s="1"/>
  <c r="AA39" i="11" s="1"/>
  <c r="AF39" i="11" s="1"/>
  <c r="AK39" i="11" s="1"/>
  <c r="AP39" i="11" s="1"/>
  <c r="AU39" i="11" s="1"/>
  <c r="AZ39" i="11" s="1"/>
  <c r="BE39" i="11" s="1"/>
  <c r="BJ39" i="11" s="1"/>
  <c r="BO39" i="11" s="1"/>
  <c r="BT39" i="11" s="1"/>
  <c r="BY39" i="11" s="1"/>
  <c r="CD39" i="11" s="1"/>
  <c r="CI39" i="11" s="1"/>
  <c r="CN39" i="11" s="1"/>
  <c r="CS39" i="11" s="1"/>
  <c r="CX39" i="11" s="1"/>
  <c r="DC39" i="11" s="1"/>
  <c r="DH39" i="11" s="1"/>
  <c r="G33" i="11"/>
  <c r="L33" i="11" s="1"/>
  <c r="Q33" i="11" s="1"/>
  <c r="V33" i="11" s="1"/>
  <c r="AA33" i="11" s="1"/>
  <c r="AF33" i="11" s="1"/>
  <c r="AK33" i="11" s="1"/>
  <c r="AP33" i="11" s="1"/>
  <c r="AU33" i="11" s="1"/>
  <c r="AZ33" i="11" s="1"/>
  <c r="BE33" i="11" s="1"/>
  <c r="BJ33" i="11" s="1"/>
  <c r="BO33" i="11" s="1"/>
  <c r="BT33" i="11" s="1"/>
  <c r="BY33" i="11" s="1"/>
  <c r="CD33" i="11" s="1"/>
  <c r="CI33" i="11" s="1"/>
  <c r="CN33" i="11" s="1"/>
  <c r="CS33" i="11" s="1"/>
  <c r="CX33" i="11" s="1"/>
  <c r="DC33" i="11" s="1"/>
  <c r="DH33" i="11" s="1"/>
  <c r="G20" i="11"/>
  <c r="L20" i="11" s="1"/>
  <c r="Q20" i="11" s="1"/>
  <c r="V20" i="11" s="1"/>
  <c r="AA20" i="11" s="1"/>
  <c r="AF20" i="11" s="1"/>
  <c r="AK20" i="11" s="1"/>
  <c r="AP20" i="11" s="1"/>
  <c r="AU20" i="11" s="1"/>
  <c r="AZ20" i="11" s="1"/>
  <c r="BE20" i="11" s="1"/>
  <c r="BJ20" i="11" s="1"/>
  <c r="BO20" i="11" s="1"/>
  <c r="BT20" i="11" s="1"/>
  <c r="BY20" i="11" s="1"/>
  <c r="CD20" i="11" s="1"/>
  <c r="CI20" i="11" s="1"/>
  <c r="CN20" i="11" s="1"/>
  <c r="CS20" i="11" s="1"/>
  <c r="CX20" i="11" s="1"/>
  <c r="DC20" i="11" s="1"/>
  <c r="DH20" i="11" s="1"/>
  <c r="DT11" i="11"/>
  <c r="DR11" i="11"/>
  <c r="DT8" i="11"/>
  <c r="DR8" i="11"/>
  <c r="DT7" i="11"/>
  <c r="DR7" i="11"/>
  <c r="L5" i="11"/>
  <c r="Q5" i="11" s="1"/>
  <c r="V5" i="11" s="1"/>
  <c r="AA5" i="11" s="1"/>
  <c r="AF5" i="11" s="1"/>
  <c r="AK5" i="11" s="1"/>
  <c r="AP5" i="11" s="1"/>
  <c r="AU5" i="11" s="1"/>
  <c r="AZ5" i="11" s="1"/>
  <c r="BE5" i="11" s="1"/>
  <c r="BJ5" i="11" s="1"/>
  <c r="BO5" i="11" s="1"/>
  <c r="BT5" i="11" s="1"/>
  <c r="BY5" i="11" s="1"/>
  <c r="CD5" i="11" s="1"/>
  <c r="CI5" i="11" s="1"/>
  <c r="CN5" i="11" s="1"/>
  <c r="CS5" i="11" s="1"/>
  <c r="CX5" i="11" s="1"/>
  <c r="DC5" i="11" s="1"/>
  <c r="DH5" i="11" s="1"/>
  <c r="DM5" i="11" s="1"/>
  <c r="DR5" i="11" s="1"/>
  <c r="DW5" i="11" s="1"/>
  <c r="EB5" i="11" s="1"/>
  <c r="G5" i="11"/>
  <c r="D4" i="11"/>
  <c r="BV223" i="17"/>
  <c r="BU223" i="17"/>
  <c r="BT223" i="17"/>
  <c r="BS223" i="17"/>
  <c r="BR223" i="17"/>
  <c r="BQ223" i="17"/>
  <c r="BP223" i="17"/>
  <c r="BO223" i="17"/>
  <c r="BN223" i="17"/>
  <c r="BM223" i="17"/>
  <c r="BL223" i="17"/>
  <c r="BK223" i="17"/>
  <c r="BJ223" i="17"/>
  <c r="BI223" i="17"/>
  <c r="BH223" i="17"/>
  <c r="BG223" i="17"/>
  <c r="BF223" i="17"/>
  <c r="BE223" i="17"/>
  <c r="BD223" i="17"/>
  <c r="BC223" i="17"/>
  <c r="BB223" i="17"/>
  <c r="BA223" i="17"/>
  <c r="AZ223" i="17"/>
  <c r="AY223" i="17"/>
  <c r="AX223" i="17"/>
  <c r="AW223" i="17"/>
  <c r="AV223" i="17"/>
  <c r="AU223" i="17"/>
  <c r="AT223" i="17"/>
  <c r="AS223" i="17"/>
  <c r="AR223" i="17"/>
  <c r="AQ223" i="17"/>
  <c r="AP223" i="17"/>
  <c r="AO223" i="17"/>
  <c r="AN223" i="17"/>
  <c r="AM223" i="17"/>
  <c r="AL223" i="17"/>
  <c r="AK223" i="17"/>
  <c r="AJ223" i="17"/>
  <c r="AI223" i="17"/>
  <c r="AH223" i="17"/>
  <c r="AG223" i="17"/>
  <c r="AF223" i="17"/>
  <c r="AE223" i="17"/>
  <c r="AD223" i="17"/>
  <c r="AC223" i="17"/>
  <c r="AB223" i="17"/>
  <c r="AA223" i="17"/>
  <c r="Z223" i="17"/>
  <c r="Y223" i="17"/>
  <c r="X223" i="17"/>
  <c r="W223" i="17"/>
  <c r="V223" i="17"/>
  <c r="U223" i="17"/>
  <c r="T223" i="17"/>
  <c r="S223" i="17"/>
  <c r="R223" i="17"/>
  <c r="Q223" i="17"/>
  <c r="P223" i="17"/>
  <c r="O223" i="17"/>
  <c r="N223" i="17"/>
  <c r="M223" i="17"/>
  <c r="L223" i="17"/>
  <c r="K223" i="17"/>
  <c r="J223" i="17"/>
  <c r="I223" i="17"/>
  <c r="H223" i="17"/>
  <c r="G223" i="17"/>
  <c r="J224" i="17" s="1"/>
  <c r="BV220" i="17"/>
  <c r="BU220" i="17"/>
  <c r="BT220" i="17"/>
  <c r="BS220" i="17"/>
  <c r="BR220" i="17"/>
  <c r="BQ220" i="17"/>
  <c r="BP220" i="17"/>
  <c r="BO220" i="17"/>
  <c r="BN220" i="17"/>
  <c r="BM220" i="17"/>
  <c r="BL220" i="17"/>
  <c r="BK220" i="17"/>
  <c r="BJ220" i="17"/>
  <c r="BI220" i="17"/>
  <c r="BH220" i="17"/>
  <c r="BG220" i="17"/>
  <c r="BF220" i="17"/>
  <c r="BE220" i="17"/>
  <c r="BD220" i="17"/>
  <c r="BC220" i="17"/>
  <c r="BB220" i="17"/>
  <c r="BA220" i="17"/>
  <c r="AZ220" i="17"/>
  <c r="AY220" i="17"/>
  <c r="AX220" i="17"/>
  <c r="AW220" i="17"/>
  <c r="AV220" i="17"/>
  <c r="AU220" i="17"/>
  <c r="AT220" i="17"/>
  <c r="AS220" i="17"/>
  <c r="AR220" i="17"/>
  <c r="AQ220" i="17"/>
  <c r="AP220" i="17"/>
  <c r="AO220" i="17"/>
  <c r="AN220" i="17"/>
  <c r="AM220" i="17"/>
  <c r="AL220" i="17"/>
  <c r="AK220" i="17"/>
  <c r="AJ220" i="17"/>
  <c r="AI220" i="17"/>
  <c r="AH220" i="17"/>
  <c r="AG220" i="17"/>
  <c r="AF220" i="17"/>
  <c r="AE220" i="17"/>
  <c r="AD220" i="17"/>
  <c r="AC220" i="17"/>
  <c r="AB220" i="17"/>
  <c r="AA220" i="17"/>
  <c r="Z220" i="17"/>
  <c r="Y220" i="17"/>
  <c r="X220" i="17"/>
  <c r="W220" i="17"/>
  <c r="V220" i="17"/>
  <c r="U220" i="17"/>
  <c r="T220" i="17"/>
  <c r="S220" i="17"/>
  <c r="R220" i="17"/>
  <c r="Q220" i="17"/>
  <c r="P220" i="17"/>
  <c r="O220" i="17"/>
  <c r="N220" i="17"/>
  <c r="M220" i="17"/>
  <c r="L220" i="17"/>
  <c r="K220" i="17"/>
  <c r="J220" i="17"/>
  <c r="I220" i="17"/>
  <c r="H220" i="17"/>
  <c r="G220" i="17"/>
  <c r="J221" i="17" s="1"/>
  <c r="CH66" i="17"/>
  <c r="CD66" i="17"/>
  <c r="CC66" i="17"/>
  <c r="BZ66" i="17"/>
  <c r="BY66" i="17"/>
  <c r="BX66" i="17"/>
  <c r="BW66" i="17"/>
  <c r="BV66" i="17"/>
  <c r="BU66" i="17"/>
  <c r="BT66" i="17"/>
  <c r="BS66" i="17"/>
  <c r="BR66" i="17"/>
  <c r="BQ66" i="17"/>
  <c r="BP66" i="17"/>
  <c r="BO66" i="17"/>
  <c r="BN66" i="17"/>
  <c r="BM66" i="17"/>
  <c r="BL66" i="17"/>
  <c r="BK66" i="17"/>
  <c r="BJ66" i="17"/>
  <c r="BI66" i="17"/>
  <c r="BH66" i="17"/>
  <c r="BG66" i="17"/>
  <c r="BF66" i="17"/>
  <c r="BE66" i="17"/>
  <c r="BD66" i="17"/>
  <c r="BC66" i="17"/>
  <c r="BB66" i="17"/>
  <c r="BA66" i="17"/>
  <c r="AZ66" i="17"/>
  <c r="AY66" i="17"/>
  <c r="AX66" i="17"/>
  <c r="AW66" i="17"/>
  <c r="AV66" i="17"/>
  <c r="AU66" i="17"/>
  <c r="AT66" i="17"/>
  <c r="AS66" i="17"/>
  <c r="AR66" i="17"/>
  <c r="AQ66" i="17"/>
  <c r="AP66" i="17"/>
  <c r="AO66" i="17"/>
  <c r="AN66" i="17"/>
  <c r="AM66" i="17"/>
  <c r="AL66" i="17"/>
  <c r="AK66" i="17"/>
  <c r="AJ66" i="17"/>
  <c r="AI66" i="17"/>
  <c r="AH66" i="17"/>
  <c r="AG66" i="17"/>
  <c r="AF66" i="17"/>
  <c r="AE66" i="17"/>
  <c r="AD66" i="17"/>
  <c r="AC66" i="17"/>
  <c r="AB66" i="17"/>
  <c r="AA66" i="17"/>
  <c r="Z66" i="17"/>
  <c r="Y66" i="17"/>
  <c r="X66" i="17"/>
  <c r="W66" i="17"/>
  <c r="V66" i="17"/>
  <c r="U66" i="17"/>
  <c r="T66" i="17"/>
  <c r="S66" i="17"/>
  <c r="R66" i="17"/>
  <c r="Q66" i="17"/>
  <c r="P66" i="17"/>
  <c r="O66" i="17"/>
  <c r="N66" i="17"/>
  <c r="M66" i="17"/>
  <c r="L66" i="17"/>
  <c r="K66" i="17"/>
  <c r="J66" i="17"/>
  <c r="I66" i="17"/>
  <c r="H66" i="17"/>
  <c r="G66" i="17"/>
  <c r="J67" i="17" s="1"/>
  <c r="CH63" i="17"/>
  <c r="CD63" i="17"/>
  <c r="CC63" i="17"/>
  <c r="BZ63" i="17"/>
  <c r="BY63" i="17"/>
  <c r="BX63" i="17"/>
  <c r="BW63" i="17"/>
  <c r="BV63" i="17"/>
  <c r="BU63" i="17"/>
  <c r="BT63" i="17"/>
  <c r="BS63" i="17"/>
  <c r="BR63" i="17"/>
  <c r="BQ63" i="17"/>
  <c r="BP63" i="17"/>
  <c r="BO63" i="17"/>
  <c r="BN63" i="17"/>
  <c r="BM63" i="17"/>
  <c r="BL63" i="17"/>
  <c r="BK63" i="17"/>
  <c r="BJ63" i="17"/>
  <c r="BI63" i="17"/>
  <c r="BH63" i="17"/>
  <c r="BG63" i="17"/>
  <c r="BF63" i="17"/>
  <c r="BE63" i="17"/>
  <c r="BD63" i="17"/>
  <c r="BC63" i="17"/>
  <c r="BB63" i="17"/>
  <c r="BA63" i="17"/>
  <c r="AZ63" i="17"/>
  <c r="AY63" i="17"/>
  <c r="AX63" i="17"/>
  <c r="AW63" i="17"/>
  <c r="AV63" i="17"/>
  <c r="AU63" i="17"/>
  <c r="AT63" i="17"/>
  <c r="AS63" i="17"/>
  <c r="AR63" i="17"/>
  <c r="AQ63" i="17"/>
  <c r="AP63" i="17"/>
  <c r="AO63" i="17"/>
  <c r="AN63" i="17"/>
  <c r="AM63" i="17"/>
  <c r="AL63" i="17"/>
  <c r="AK63" i="17"/>
  <c r="AJ63" i="17"/>
  <c r="AI63" i="17"/>
  <c r="AH63" i="17"/>
  <c r="AG63" i="17"/>
  <c r="AF63" i="17"/>
  <c r="AE63" i="17"/>
  <c r="AD63" i="17"/>
  <c r="AC63" i="17"/>
  <c r="AB63" i="17"/>
  <c r="AA63" i="17"/>
  <c r="Z63" i="17"/>
  <c r="Y63" i="17"/>
  <c r="X63" i="17"/>
  <c r="W63" i="17"/>
  <c r="V63" i="17"/>
  <c r="U63" i="17"/>
  <c r="T63" i="17"/>
  <c r="S63" i="17"/>
  <c r="R63" i="17"/>
  <c r="Q63" i="17"/>
  <c r="P63" i="17"/>
  <c r="O63" i="17"/>
  <c r="N63" i="17"/>
  <c r="M63" i="17"/>
  <c r="L63" i="17"/>
  <c r="K63" i="17"/>
  <c r="J63" i="17"/>
  <c r="I63" i="17"/>
  <c r="H63" i="17"/>
  <c r="G63" i="17"/>
  <c r="J64" i="17" s="1"/>
  <c r="CH60" i="17"/>
  <c r="CD60" i="17"/>
  <c r="CC60" i="17"/>
  <c r="BZ60" i="17"/>
  <c r="BY60" i="17"/>
  <c r="BX60" i="17"/>
  <c r="BW60" i="17"/>
  <c r="BV60" i="17"/>
  <c r="BU60" i="17"/>
  <c r="BT60" i="17"/>
  <c r="BS60" i="17"/>
  <c r="BR60" i="17"/>
  <c r="BQ60" i="17"/>
  <c r="BP60" i="17"/>
  <c r="BO60" i="17"/>
  <c r="BN60" i="17"/>
  <c r="BM60" i="17"/>
  <c r="BL60" i="17"/>
  <c r="BK60" i="17"/>
  <c r="BJ60" i="17"/>
  <c r="BI60" i="17"/>
  <c r="BH60" i="17"/>
  <c r="BG60" i="17"/>
  <c r="BF60" i="17"/>
  <c r="BE60" i="17"/>
  <c r="BD60" i="17"/>
  <c r="BC60" i="17"/>
  <c r="BB60" i="17"/>
  <c r="BA60" i="17"/>
  <c r="AZ60" i="17"/>
  <c r="AY60" i="17"/>
  <c r="AX60" i="17"/>
  <c r="AW60" i="17"/>
  <c r="AV60" i="17"/>
  <c r="AU60" i="17"/>
  <c r="AT60" i="17"/>
  <c r="AS60" i="17"/>
  <c r="AR60" i="17"/>
  <c r="AQ60" i="17"/>
  <c r="AP60" i="17"/>
  <c r="AO60" i="17"/>
  <c r="AN60" i="17"/>
  <c r="AM60" i="17"/>
  <c r="AL60" i="17"/>
  <c r="AK60" i="17"/>
  <c r="AJ60" i="17"/>
  <c r="AI60" i="17"/>
  <c r="AH60" i="17"/>
  <c r="AG60" i="17"/>
  <c r="AF60" i="17"/>
  <c r="AE60" i="17"/>
  <c r="AD60" i="17"/>
  <c r="AC60" i="17"/>
  <c r="AB60" i="17"/>
  <c r="AA60" i="17"/>
  <c r="Z60" i="17"/>
  <c r="Y60" i="17"/>
  <c r="X60" i="17"/>
  <c r="W60" i="17"/>
  <c r="V60" i="17"/>
  <c r="U60" i="17"/>
  <c r="T60" i="17"/>
  <c r="S60" i="17"/>
  <c r="R60" i="17"/>
  <c r="Q60" i="17"/>
  <c r="P60" i="17"/>
  <c r="O60" i="17"/>
  <c r="N60" i="17"/>
  <c r="M60" i="17"/>
  <c r="L60" i="17"/>
  <c r="K60" i="17"/>
  <c r="J60" i="17"/>
  <c r="I60" i="17"/>
  <c r="H60" i="17"/>
  <c r="G60" i="17"/>
  <c r="J61" i="17" s="1"/>
  <c r="BV166" i="17"/>
  <c r="BU166" i="17"/>
  <c r="BT166" i="17"/>
  <c r="BS166" i="17"/>
  <c r="BR166" i="17"/>
  <c r="BQ166" i="17"/>
  <c r="BP166" i="17"/>
  <c r="BO166" i="17"/>
  <c r="BN166" i="17"/>
  <c r="BM166" i="17"/>
  <c r="BL166" i="17"/>
  <c r="BK166" i="17"/>
  <c r="BJ166" i="17"/>
  <c r="BI166" i="17"/>
  <c r="BH166" i="17"/>
  <c r="BG166" i="17"/>
  <c r="BF166" i="17"/>
  <c r="BE166" i="17"/>
  <c r="BD166" i="17"/>
  <c r="BC166" i="17"/>
  <c r="BB166" i="17"/>
  <c r="BA166" i="17"/>
  <c r="AZ166" i="17"/>
  <c r="AY166" i="17"/>
  <c r="AX166" i="17"/>
  <c r="AW166" i="17"/>
  <c r="AV166" i="17"/>
  <c r="AU166" i="17"/>
  <c r="AT166" i="17"/>
  <c r="AS166" i="17"/>
  <c r="AR166" i="17"/>
  <c r="AQ166" i="17"/>
  <c r="AP166" i="17"/>
  <c r="AO166" i="17"/>
  <c r="AN166" i="17"/>
  <c r="AM166" i="17"/>
  <c r="AL166" i="17"/>
  <c r="AK166" i="17"/>
  <c r="AJ166" i="17"/>
  <c r="AI166" i="17"/>
  <c r="AH166" i="17"/>
  <c r="AG166" i="17"/>
  <c r="AF166" i="17"/>
  <c r="AE166" i="17"/>
  <c r="AD166" i="17"/>
  <c r="AC166" i="17"/>
  <c r="AB166" i="17"/>
  <c r="AA166" i="17"/>
  <c r="Z166" i="17"/>
  <c r="Y166" i="17"/>
  <c r="X166" i="17"/>
  <c r="W166" i="17"/>
  <c r="V166" i="17"/>
  <c r="U166" i="17"/>
  <c r="T166" i="17"/>
  <c r="S166" i="17"/>
  <c r="R166" i="17"/>
  <c r="Q166" i="17"/>
  <c r="P166" i="17"/>
  <c r="O166" i="17"/>
  <c r="N166" i="17"/>
  <c r="M166" i="17"/>
  <c r="L166" i="17"/>
  <c r="K166" i="17"/>
  <c r="J166" i="17"/>
  <c r="I166" i="17"/>
  <c r="H166" i="17"/>
  <c r="G166" i="17"/>
  <c r="BV163" i="17"/>
  <c r="BU163" i="17"/>
  <c r="BT163" i="17"/>
  <c r="BS163" i="17"/>
  <c r="BR163" i="17"/>
  <c r="BQ163" i="17"/>
  <c r="BP163" i="17"/>
  <c r="BO163" i="17"/>
  <c r="BN163" i="17"/>
  <c r="BM163" i="17"/>
  <c r="BL163" i="17"/>
  <c r="BK163" i="17"/>
  <c r="BJ163" i="17"/>
  <c r="BI163" i="17"/>
  <c r="BH163" i="17"/>
  <c r="BG163" i="17"/>
  <c r="BF163" i="17"/>
  <c r="BE163" i="17"/>
  <c r="BD163" i="17"/>
  <c r="BC163" i="17"/>
  <c r="BB163" i="17"/>
  <c r="BA163" i="17"/>
  <c r="AZ163" i="17"/>
  <c r="AY163" i="17"/>
  <c r="AX163" i="17"/>
  <c r="AW163" i="17"/>
  <c r="AV163" i="17"/>
  <c r="AU163" i="17"/>
  <c r="AT163" i="17"/>
  <c r="AS163" i="17"/>
  <c r="AR163" i="17"/>
  <c r="AQ163" i="17"/>
  <c r="AP163" i="17"/>
  <c r="AO163" i="17"/>
  <c r="AN163" i="17"/>
  <c r="AM163" i="17"/>
  <c r="AL163" i="17"/>
  <c r="AK163" i="17"/>
  <c r="AJ163" i="17"/>
  <c r="AI163" i="17"/>
  <c r="AH163" i="17"/>
  <c r="AG163" i="17"/>
  <c r="AF163" i="17"/>
  <c r="AE163" i="17"/>
  <c r="AD163" i="17"/>
  <c r="AC163" i="17"/>
  <c r="AB163" i="17"/>
  <c r="AA163" i="17"/>
  <c r="Z163" i="17"/>
  <c r="Y163" i="17"/>
  <c r="X163" i="17"/>
  <c r="W163" i="17"/>
  <c r="V163" i="17"/>
  <c r="U163" i="17"/>
  <c r="T163" i="17"/>
  <c r="S163" i="17"/>
  <c r="R163" i="17"/>
  <c r="Q163" i="17"/>
  <c r="P163" i="17"/>
  <c r="O163" i="17"/>
  <c r="N163" i="17"/>
  <c r="M163" i="17"/>
  <c r="L163" i="17"/>
  <c r="K163" i="17"/>
  <c r="J163" i="17"/>
  <c r="I163" i="17"/>
  <c r="H163" i="17"/>
  <c r="G163" i="17"/>
  <c r="J286" i="17"/>
  <c r="I286" i="17"/>
  <c r="H286" i="17"/>
  <c r="G286" i="17"/>
  <c r="J281" i="17"/>
  <c r="I281" i="17"/>
  <c r="H281" i="17"/>
  <c r="G281" i="17"/>
  <c r="J280" i="17"/>
  <c r="I280" i="17"/>
  <c r="H280" i="17"/>
  <c r="G280" i="17"/>
  <c r="J279" i="17"/>
  <c r="I279" i="17"/>
  <c r="H279" i="17"/>
  <c r="G279" i="17"/>
  <c r="J277" i="17"/>
  <c r="I277" i="17"/>
  <c r="H277" i="17"/>
  <c r="G277" i="17"/>
  <c r="J283" i="17"/>
  <c r="I283" i="17"/>
  <c r="H283" i="17"/>
  <c r="G283" i="17"/>
  <c r="CP258" i="17"/>
  <c r="CO258" i="17"/>
  <c r="CS268" i="17" s="1"/>
  <c r="CN258" i="17"/>
  <c r="CR268" i="17" s="1"/>
  <c r="CM258" i="17"/>
  <c r="CQ268" i="17" s="1"/>
  <c r="CL258" i="17"/>
  <c r="CK258" i="17"/>
  <c r="CJ258" i="17"/>
  <c r="CI258" i="17"/>
  <c r="CH258" i="17"/>
  <c r="CG258" i="17"/>
  <c r="CF258" i="17"/>
  <c r="CE258" i="17"/>
  <c r="CD258" i="17"/>
  <c r="CC258" i="17"/>
  <c r="CB258" i="17"/>
  <c r="CA258" i="17"/>
  <c r="BZ258" i="17"/>
  <c r="BY258" i="17"/>
  <c r="BX258" i="17"/>
  <c r="BW258" i="17"/>
  <c r="BV258" i="17"/>
  <c r="BU258" i="17"/>
  <c r="BT258" i="17"/>
  <c r="BS258" i="17"/>
  <c r="BR258" i="17"/>
  <c r="BQ258" i="17"/>
  <c r="BP258" i="17"/>
  <c r="BO258" i="17"/>
  <c r="BN258" i="17"/>
  <c r="BM258" i="17"/>
  <c r="BL258" i="17"/>
  <c r="BK258" i="17"/>
  <c r="BJ258" i="17"/>
  <c r="BI258" i="17"/>
  <c r="BH258" i="17"/>
  <c r="BG258" i="17"/>
  <c r="BF258" i="17"/>
  <c r="BE258" i="17"/>
  <c r="BD258" i="17"/>
  <c r="BC258" i="17"/>
  <c r="BB258" i="17"/>
  <c r="BA258" i="17"/>
  <c r="AZ258" i="17"/>
  <c r="AY258" i="17"/>
  <c r="AX258" i="17"/>
  <c r="AW258" i="17"/>
  <c r="AV258" i="17"/>
  <c r="AU258" i="17"/>
  <c r="AT258" i="17"/>
  <c r="AS258" i="17"/>
  <c r="AR258" i="17"/>
  <c r="AQ258" i="17"/>
  <c r="AP258" i="17"/>
  <c r="AO258" i="17"/>
  <c r="AN258" i="17"/>
  <c r="AM258" i="17"/>
  <c r="AL258" i="17"/>
  <c r="AK258" i="17"/>
  <c r="AJ258" i="17"/>
  <c r="AI258" i="17"/>
  <c r="AH258" i="17"/>
  <c r="AG258" i="17"/>
  <c r="AF258" i="17"/>
  <c r="AE258" i="17"/>
  <c r="AD258" i="17"/>
  <c r="AC258" i="17"/>
  <c r="AB258" i="17"/>
  <c r="AA258" i="17"/>
  <c r="Z258" i="17"/>
  <c r="Y258" i="17"/>
  <c r="X258" i="17"/>
  <c r="W258" i="17"/>
  <c r="V258" i="17"/>
  <c r="U258" i="17"/>
  <c r="T258" i="17"/>
  <c r="S258" i="17"/>
  <c r="R258" i="17"/>
  <c r="Q258" i="17"/>
  <c r="P258" i="17"/>
  <c r="O258" i="17"/>
  <c r="N258" i="17"/>
  <c r="M258" i="17"/>
  <c r="L258" i="17"/>
  <c r="K258" i="17"/>
  <c r="J258" i="17"/>
  <c r="I258" i="17"/>
  <c r="H258" i="17"/>
  <c r="G258" i="17"/>
  <c r="CP201" i="17"/>
  <c r="CO201" i="17"/>
  <c r="CS211" i="17" s="1"/>
  <c r="CN201" i="17"/>
  <c r="CR211" i="17" s="1"/>
  <c r="CM201" i="17"/>
  <c r="CQ211" i="17" s="1"/>
  <c r="CL201" i="17"/>
  <c r="CK201" i="17"/>
  <c r="CJ201" i="17"/>
  <c r="CI201" i="17"/>
  <c r="CH201" i="17"/>
  <c r="CG201" i="17"/>
  <c r="CF201" i="17"/>
  <c r="CE201" i="17"/>
  <c r="CD201" i="17"/>
  <c r="CC201" i="17"/>
  <c r="CB201" i="17"/>
  <c r="CA201" i="17"/>
  <c r="BZ201" i="17"/>
  <c r="BY201" i="17"/>
  <c r="BX201" i="17"/>
  <c r="BW201" i="17"/>
  <c r="BV201" i="17"/>
  <c r="BU201" i="17"/>
  <c r="BT201" i="17"/>
  <c r="BS201" i="17"/>
  <c r="BR201" i="17"/>
  <c r="BQ201" i="17"/>
  <c r="BP201" i="17"/>
  <c r="BO201" i="17"/>
  <c r="BN201" i="17"/>
  <c r="BM201" i="17"/>
  <c r="BL201" i="17"/>
  <c r="BK201" i="17"/>
  <c r="BJ201" i="17"/>
  <c r="BI201" i="17"/>
  <c r="BH201" i="17"/>
  <c r="BG201" i="17"/>
  <c r="BF201" i="17"/>
  <c r="BE201" i="17"/>
  <c r="BD201" i="17"/>
  <c r="BC201" i="17"/>
  <c r="BB201" i="17"/>
  <c r="BA201" i="17"/>
  <c r="AZ201" i="17"/>
  <c r="AY201" i="17"/>
  <c r="AX201" i="17"/>
  <c r="AW201" i="17"/>
  <c r="AV201" i="17"/>
  <c r="AU201" i="17"/>
  <c r="AT201" i="17"/>
  <c r="AS201" i="17"/>
  <c r="AR201" i="17"/>
  <c r="AQ201" i="17"/>
  <c r="AP201" i="17"/>
  <c r="AO201" i="17"/>
  <c r="AN201" i="17"/>
  <c r="AM201" i="17"/>
  <c r="AL201" i="17"/>
  <c r="AK201" i="17"/>
  <c r="AJ201" i="17"/>
  <c r="AI201" i="17"/>
  <c r="AH201" i="17"/>
  <c r="AG201" i="17"/>
  <c r="AF201" i="17"/>
  <c r="AE201" i="17"/>
  <c r="AD201" i="17"/>
  <c r="AC201" i="17"/>
  <c r="AB201" i="17"/>
  <c r="AA201" i="17"/>
  <c r="Z201" i="17"/>
  <c r="Y201" i="17"/>
  <c r="X201" i="17"/>
  <c r="W201" i="17"/>
  <c r="V201" i="17"/>
  <c r="U201" i="17"/>
  <c r="T201" i="17"/>
  <c r="S201" i="17"/>
  <c r="R201" i="17"/>
  <c r="Q201" i="17"/>
  <c r="P201" i="17"/>
  <c r="O201" i="17"/>
  <c r="N201" i="17"/>
  <c r="M201" i="17"/>
  <c r="L201" i="17"/>
  <c r="K201" i="17"/>
  <c r="J201" i="17"/>
  <c r="I201" i="17"/>
  <c r="H201" i="17"/>
  <c r="G201" i="17"/>
  <c r="CP144" i="17"/>
  <c r="CO144" i="17"/>
  <c r="CS154" i="17" s="1"/>
  <c r="CN144" i="17"/>
  <c r="CR154" i="17" s="1"/>
  <c r="CM144" i="17"/>
  <c r="CQ154" i="17" s="1"/>
  <c r="CL144" i="17"/>
  <c r="CK144" i="17"/>
  <c r="CJ144" i="17"/>
  <c r="CI144" i="17"/>
  <c r="CH144" i="17"/>
  <c r="CG144" i="17"/>
  <c r="CF144" i="17"/>
  <c r="CE144" i="17"/>
  <c r="CD144" i="17"/>
  <c r="CC144" i="17"/>
  <c r="CB144" i="17"/>
  <c r="CA144" i="17"/>
  <c r="BZ144" i="17"/>
  <c r="BY144" i="17"/>
  <c r="BX144" i="17"/>
  <c r="BW144" i="17"/>
  <c r="BV144" i="17"/>
  <c r="BU144" i="17"/>
  <c r="BT144" i="17"/>
  <c r="BS144" i="17"/>
  <c r="BR144" i="17"/>
  <c r="BQ144" i="17"/>
  <c r="BP144" i="17"/>
  <c r="BO144" i="17"/>
  <c r="BN144" i="17"/>
  <c r="BM144" i="17"/>
  <c r="BL144" i="17"/>
  <c r="BK144" i="17"/>
  <c r="BJ144" i="17"/>
  <c r="BI144" i="17"/>
  <c r="BH144" i="17"/>
  <c r="BG144" i="17"/>
  <c r="BF144" i="17"/>
  <c r="BE144" i="17"/>
  <c r="BD144" i="17"/>
  <c r="BC144" i="17"/>
  <c r="BB144" i="17"/>
  <c r="BA144" i="17"/>
  <c r="AZ144" i="17"/>
  <c r="AY144" i="17"/>
  <c r="AX144" i="17"/>
  <c r="AW144" i="17"/>
  <c r="AV144" i="17"/>
  <c r="AU144" i="17"/>
  <c r="AT144" i="17"/>
  <c r="AS144" i="17"/>
  <c r="AR144" i="17"/>
  <c r="AQ144" i="17"/>
  <c r="AP144" i="17"/>
  <c r="AO144" i="17"/>
  <c r="AN144" i="17"/>
  <c r="AM144" i="17"/>
  <c r="AL144" i="17"/>
  <c r="AK144" i="17"/>
  <c r="AJ144" i="17"/>
  <c r="AI144" i="17"/>
  <c r="AH144" i="17"/>
  <c r="AG144" i="17"/>
  <c r="AF144" i="17"/>
  <c r="AE144" i="17"/>
  <c r="AD144" i="17"/>
  <c r="AC144" i="17"/>
  <c r="AB144" i="17"/>
  <c r="AA144" i="17"/>
  <c r="Z144" i="17"/>
  <c r="Y144" i="17"/>
  <c r="X144" i="17"/>
  <c r="W144" i="17"/>
  <c r="V144" i="17"/>
  <c r="U144" i="17"/>
  <c r="T144" i="17"/>
  <c r="S144" i="17"/>
  <c r="R144" i="17"/>
  <c r="Q144" i="17"/>
  <c r="P144" i="17"/>
  <c r="O144" i="17"/>
  <c r="N144" i="17"/>
  <c r="M144" i="17"/>
  <c r="L144" i="17"/>
  <c r="K144" i="17"/>
  <c r="J144" i="17"/>
  <c r="I144" i="17"/>
  <c r="H144" i="17"/>
  <c r="G144" i="17"/>
  <c r="CP105" i="17"/>
  <c r="CO105" i="17"/>
  <c r="CS115" i="17" s="1"/>
  <c r="CN105" i="17"/>
  <c r="CR115" i="17" s="1"/>
  <c r="CM105" i="17"/>
  <c r="CQ115" i="17" s="1"/>
  <c r="CL105" i="17"/>
  <c r="CK105" i="17"/>
  <c r="CJ105" i="17"/>
  <c r="CI105" i="17"/>
  <c r="CH105" i="17"/>
  <c r="CG105" i="17"/>
  <c r="CF105" i="17"/>
  <c r="CE105" i="17"/>
  <c r="CD105" i="17"/>
  <c r="CC105" i="17"/>
  <c r="CB105" i="17"/>
  <c r="CA105" i="17"/>
  <c r="BZ105" i="17"/>
  <c r="BY105" i="17"/>
  <c r="BX105" i="17"/>
  <c r="BW105" i="17"/>
  <c r="BV105" i="17"/>
  <c r="BU105" i="17"/>
  <c r="BT105" i="17"/>
  <c r="BS105" i="17"/>
  <c r="BR105" i="17"/>
  <c r="BQ105" i="17"/>
  <c r="BP105" i="17"/>
  <c r="BO105" i="17"/>
  <c r="BN105" i="17"/>
  <c r="BM105" i="17"/>
  <c r="BL105" i="17"/>
  <c r="BK105" i="17"/>
  <c r="BJ105" i="17"/>
  <c r="BI105" i="17"/>
  <c r="BH105" i="17"/>
  <c r="BG105" i="17"/>
  <c r="BF105" i="17"/>
  <c r="BE105" i="17"/>
  <c r="BD105" i="17"/>
  <c r="BC105" i="17"/>
  <c r="BB105" i="17"/>
  <c r="BA105" i="17"/>
  <c r="AZ105" i="17"/>
  <c r="AY105" i="17"/>
  <c r="AX105" i="17"/>
  <c r="AW105" i="17"/>
  <c r="AV105" i="17"/>
  <c r="AU105" i="17"/>
  <c r="AT105" i="17"/>
  <c r="AS105" i="17"/>
  <c r="AR105" i="17"/>
  <c r="AQ105" i="17"/>
  <c r="AP105" i="17"/>
  <c r="AO105" i="17"/>
  <c r="AN105" i="17"/>
  <c r="AM105" i="17"/>
  <c r="AL105" i="17"/>
  <c r="AK105" i="17"/>
  <c r="AJ105" i="17"/>
  <c r="AI105" i="17"/>
  <c r="AH105" i="17"/>
  <c r="AG105" i="17"/>
  <c r="AF105" i="17"/>
  <c r="AE105" i="17"/>
  <c r="AD105" i="17"/>
  <c r="AC105" i="17"/>
  <c r="AB105" i="17"/>
  <c r="AA105" i="17"/>
  <c r="Z105" i="17"/>
  <c r="Y105" i="17"/>
  <c r="X105" i="17"/>
  <c r="W105" i="17"/>
  <c r="V105" i="17"/>
  <c r="U105" i="17"/>
  <c r="T105" i="17"/>
  <c r="S105" i="17"/>
  <c r="R105" i="17"/>
  <c r="Q105" i="17"/>
  <c r="P105" i="17"/>
  <c r="O105" i="17"/>
  <c r="N105" i="17"/>
  <c r="M105" i="17"/>
  <c r="L105" i="17"/>
  <c r="K105" i="17"/>
  <c r="J105" i="17"/>
  <c r="I105" i="17"/>
  <c r="H105" i="17"/>
  <c r="G105" i="17"/>
  <c r="CS14" i="17"/>
  <c r="CP228" i="17"/>
  <c r="CO228" i="17"/>
  <c r="CS246" i="17" s="1"/>
  <c r="CN228" i="17"/>
  <c r="CR246" i="17" s="1"/>
  <c r="CM228" i="17"/>
  <c r="CQ246" i="17" s="1"/>
  <c r="CL228" i="17"/>
  <c r="CK228" i="17"/>
  <c r="CJ228" i="17"/>
  <c r="CI228" i="17"/>
  <c r="CH228" i="17"/>
  <c r="CG228" i="17"/>
  <c r="CF228" i="17"/>
  <c r="CE228" i="17"/>
  <c r="CD228" i="17"/>
  <c r="CC228" i="17"/>
  <c r="CB228" i="17"/>
  <c r="CA228" i="17"/>
  <c r="BZ228" i="17"/>
  <c r="BY228" i="17"/>
  <c r="BX228" i="17"/>
  <c r="BW228" i="17"/>
  <c r="CS12" i="17"/>
  <c r="CP171" i="17"/>
  <c r="CO171" i="17"/>
  <c r="CS189" i="17" s="1"/>
  <c r="CN171" i="17"/>
  <c r="CR189" i="17" s="1"/>
  <c r="CM171" i="17"/>
  <c r="CQ189" i="17" s="1"/>
  <c r="CL171" i="17"/>
  <c r="CK171" i="17"/>
  <c r="CJ171" i="17"/>
  <c r="CI171" i="17"/>
  <c r="CH171" i="17"/>
  <c r="CG171" i="17"/>
  <c r="CF171" i="17"/>
  <c r="CE171" i="17"/>
  <c r="CD171" i="17"/>
  <c r="CC171" i="17"/>
  <c r="CB171" i="17"/>
  <c r="CA171" i="17"/>
  <c r="BZ171" i="17"/>
  <c r="BY171" i="17"/>
  <c r="BX171" i="17"/>
  <c r="BW171" i="17"/>
  <c r="CP124" i="17"/>
  <c r="CQ129" i="17" s="1"/>
  <c r="CO124" i="17"/>
  <c r="CN124" i="17"/>
  <c r="CM124" i="17"/>
  <c r="CL124" i="17"/>
  <c r="CK124" i="17"/>
  <c r="CJ124" i="17"/>
  <c r="CI124" i="17"/>
  <c r="CH124" i="17"/>
  <c r="CG124" i="17"/>
  <c r="CF124" i="17"/>
  <c r="CE124" i="17"/>
  <c r="CD124" i="17"/>
  <c r="CC124" i="17"/>
  <c r="CB124" i="17"/>
  <c r="CA124" i="17"/>
  <c r="BZ124" i="17"/>
  <c r="BY124" i="17"/>
  <c r="BX124" i="17"/>
  <c r="BW124" i="17"/>
  <c r="BV124" i="17"/>
  <c r="BU124" i="17"/>
  <c r="BT124" i="17"/>
  <c r="BS124" i="17"/>
  <c r="BR124" i="17"/>
  <c r="BQ124" i="17"/>
  <c r="BP124" i="17"/>
  <c r="BO124" i="17"/>
  <c r="BN124" i="17"/>
  <c r="BM124" i="17"/>
  <c r="BL124" i="17"/>
  <c r="BK124" i="17"/>
  <c r="BJ124" i="17"/>
  <c r="BI124" i="17"/>
  <c r="BH124" i="17"/>
  <c r="BG124" i="17"/>
  <c r="BF124" i="17"/>
  <c r="BE124" i="17"/>
  <c r="BD124" i="17"/>
  <c r="BC124" i="17"/>
  <c r="BB124" i="17"/>
  <c r="BA124" i="17"/>
  <c r="AZ124" i="17"/>
  <c r="AY124" i="17"/>
  <c r="AX124" i="17"/>
  <c r="AW124" i="17"/>
  <c r="AV124" i="17"/>
  <c r="AU124" i="17"/>
  <c r="AT124" i="17"/>
  <c r="AS124" i="17"/>
  <c r="AR124" i="17"/>
  <c r="AQ124" i="17"/>
  <c r="AP124" i="17"/>
  <c r="AO124" i="17"/>
  <c r="AN124" i="17"/>
  <c r="AM124" i="17"/>
  <c r="AL124" i="17"/>
  <c r="AK124" i="17"/>
  <c r="AJ124" i="17"/>
  <c r="AI124" i="17"/>
  <c r="AH124" i="17"/>
  <c r="AG124" i="17"/>
  <c r="AF124" i="17"/>
  <c r="AE124" i="17"/>
  <c r="AD124" i="17"/>
  <c r="AC124" i="17"/>
  <c r="AB124" i="17"/>
  <c r="AA124" i="17"/>
  <c r="Z124" i="17"/>
  <c r="Y124" i="17"/>
  <c r="X124" i="17"/>
  <c r="W124" i="17"/>
  <c r="V124" i="17"/>
  <c r="U124" i="17"/>
  <c r="T124" i="17"/>
  <c r="S124" i="17"/>
  <c r="R124" i="17"/>
  <c r="Q124" i="17"/>
  <c r="P124" i="17"/>
  <c r="O124" i="17"/>
  <c r="N124" i="17"/>
  <c r="M124" i="17"/>
  <c r="L124" i="17"/>
  <c r="K124" i="17"/>
  <c r="J124" i="17"/>
  <c r="I124" i="17"/>
  <c r="H124" i="17"/>
  <c r="G124" i="17"/>
  <c r="CS8" i="17"/>
  <c r="CP71" i="17"/>
  <c r="CO71" i="17"/>
  <c r="CS92" i="17" s="1"/>
  <c r="CN71" i="17"/>
  <c r="CR92" i="17" s="1"/>
  <c r="CM71" i="17"/>
  <c r="CQ92" i="17" s="1"/>
  <c r="CL71" i="17"/>
  <c r="CK71" i="17"/>
  <c r="CJ71" i="17"/>
  <c r="CI71" i="17"/>
  <c r="CG71" i="17"/>
  <c r="CF71" i="17"/>
  <c r="CE71" i="17"/>
  <c r="CB71" i="17"/>
  <c r="CA71" i="17"/>
  <c r="CS7" i="17"/>
  <c r="CP13" i="22" s="1"/>
  <c r="CP41" i="17"/>
  <c r="CO41" i="17"/>
  <c r="CS51" i="17" s="1"/>
  <c r="CN41" i="17"/>
  <c r="CR51" i="17" s="1"/>
  <c r="CM41" i="17"/>
  <c r="CQ51" i="17" s="1"/>
  <c r="CL41" i="17"/>
  <c r="CK41" i="17"/>
  <c r="CJ41" i="17"/>
  <c r="CI41" i="17"/>
  <c r="CH41" i="17"/>
  <c r="CG41" i="17"/>
  <c r="CF41" i="17"/>
  <c r="CE41" i="17"/>
  <c r="CD41" i="17"/>
  <c r="CC41" i="17"/>
  <c r="CB41" i="17"/>
  <c r="CA41" i="17"/>
  <c r="BZ41" i="17"/>
  <c r="BY41" i="17"/>
  <c r="BX41" i="17"/>
  <c r="BW41" i="17"/>
  <c r="BV41" i="17"/>
  <c r="BU41" i="17"/>
  <c r="BT41" i="17"/>
  <c r="BS41" i="17"/>
  <c r="BR41" i="17"/>
  <c r="BQ41" i="17"/>
  <c r="BP41" i="17"/>
  <c r="BO41" i="17"/>
  <c r="BN41" i="17"/>
  <c r="BM41" i="17"/>
  <c r="BL41" i="17"/>
  <c r="BK41" i="17"/>
  <c r="BJ41" i="17"/>
  <c r="BI41" i="17"/>
  <c r="BH41" i="17"/>
  <c r="BG41" i="17"/>
  <c r="BF41" i="17"/>
  <c r="BE41" i="17"/>
  <c r="BD41" i="17"/>
  <c r="BC41" i="17"/>
  <c r="BB41" i="17"/>
  <c r="BA41" i="17"/>
  <c r="AZ41" i="17"/>
  <c r="AY41" i="17"/>
  <c r="AX41" i="17"/>
  <c r="AW41" i="17"/>
  <c r="AV41" i="17"/>
  <c r="AU41" i="17"/>
  <c r="AT41" i="17"/>
  <c r="AS41" i="17"/>
  <c r="AR41" i="17"/>
  <c r="AQ41" i="17"/>
  <c r="AP41" i="17"/>
  <c r="AO41" i="17"/>
  <c r="AN41" i="17"/>
  <c r="AM41" i="17"/>
  <c r="AL41" i="17"/>
  <c r="AK41" i="17"/>
  <c r="AJ41" i="17"/>
  <c r="AI41" i="17"/>
  <c r="AH41" i="17"/>
  <c r="AG41" i="17"/>
  <c r="AF41" i="17"/>
  <c r="AE41" i="17"/>
  <c r="AD41" i="17"/>
  <c r="AC41" i="17"/>
  <c r="AB41" i="17"/>
  <c r="AA41" i="17"/>
  <c r="Z41" i="17"/>
  <c r="Y41" i="17"/>
  <c r="X41" i="17"/>
  <c r="W41" i="17"/>
  <c r="V41" i="17"/>
  <c r="U41" i="17"/>
  <c r="T41" i="17"/>
  <c r="S41" i="17"/>
  <c r="R41" i="17"/>
  <c r="Q41" i="17"/>
  <c r="P41" i="17"/>
  <c r="O41" i="17"/>
  <c r="N41" i="17"/>
  <c r="M41" i="17"/>
  <c r="L41" i="17"/>
  <c r="K41" i="17"/>
  <c r="J41" i="17"/>
  <c r="I41" i="17"/>
  <c r="H41" i="17"/>
  <c r="G41" i="17"/>
  <c r="CS6" i="17"/>
  <c r="CP12" i="22" s="1"/>
  <c r="CP22" i="17"/>
  <c r="CO22" i="17"/>
  <c r="CS32" i="17" s="1"/>
  <c r="CN22" i="17"/>
  <c r="CR32" i="17" s="1"/>
  <c r="CM22" i="17"/>
  <c r="CQ32" i="17" s="1"/>
  <c r="CL22" i="17"/>
  <c r="CK22" i="17"/>
  <c r="CJ22" i="17"/>
  <c r="CI22" i="17"/>
  <c r="CH22" i="17"/>
  <c r="CG22" i="17"/>
  <c r="CF22" i="17"/>
  <c r="CE22" i="17"/>
  <c r="CD22" i="17"/>
  <c r="CC22" i="17"/>
  <c r="CB22" i="17"/>
  <c r="CA22" i="17"/>
  <c r="BZ22" i="17"/>
  <c r="BY22" i="17"/>
  <c r="BX22" i="17"/>
  <c r="BW22" i="17"/>
  <c r="BV22" i="17"/>
  <c r="BU22" i="17"/>
  <c r="BT22" i="17"/>
  <c r="BS22" i="17"/>
  <c r="BR22" i="17"/>
  <c r="BQ22" i="17"/>
  <c r="BP22" i="17"/>
  <c r="BO22" i="17"/>
  <c r="BN22" i="17"/>
  <c r="BM22" i="17"/>
  <c r="BL22" i="17"/>
  <c r="BK22" i="17"/>
  <c r="BJ22" i="17"/>
  <c r="BI22" i="17"/>
  <c r="BH22" i="17"/>
  <c r="BG22" i="17"/>
  <c r="BF22" i="17"/>
  <c r="BE22" i="17"/>
  <c r="BD22" i="17"/>
  <c r="BC22" i="17"/>
  <c r="BB22" i="17"/>
  <c r="BA22" i="17"/>
  <c r="AZ22" i="17"/>
  <c r="AY22" i="17"/>
  <c r="AX22" i="17"/>
  <c r="AW22" i="17"/>
  <c r="AV22" i="17"/>
  <c r="AU22" i="17"/>
  <c r="AT22" i="17"/>
  <c r="AS22" i="17"/>
  <c r="AR22" i="17"/>
  <c r="AQ22" i="17"/>
  <c r="AP22" i="17"/>
  <c r="AO22" i="17"/>
  <c r="AN22" i="17"/>
  <c r="AM22" i="17"/>
  <c r="AL22" i="17"/>
  <c r="AK22" i="17"/>
  <c r="AJ22" i="17"/>
  <c r="AI22" i="17"/>
  <c r="AH22" i="17"/>
  <c r="AG22" i="17"/>
  <c r="AF22" i="17"/>
  <c r="AE22" i="17"/>
  <c r="AD22" i="17"/>
  <c r="AC22" i="17"/>
  <c r="AB22" i="17"/>
  <c r="AA22" i="17"/>
  <c r="Z22" i="17"/>
  <c r="Y22" i="17"/>
  <c r="X22" i="17"/>
  <c r="W22" i="17"/>
  <c r="V22" i="17"/>
  <c r="U22" i="17"/>
  <c r="T22" i="17"/>
  <c r="S22" i="17"/>
  <c r="R22" i="17"/>
  <c r="Q22" i="17"/>
  <c r="P22" i="17"/>
  <c r="O22" i="17"/>
  <c r="N22" i="17"/>
  <c r="M22" i="17"/>
  <c r="L22" i="17"/>
  <c r="K22" i="17"/>
  <c r="J22" i="17"/>
  <c r="I22" i="17"/>
  <c r="H22" i="17"/>
  <c r="G22" i="17"/>
  <c r="G2" i="16"/>
  <c r="I3" i="16" s="1"/>
  <c r="Z618" i="7"/>
  <c r="Y618" i="7"/>
  <c r="X618" i="7"/>
  <c r="W618" i="7"/>
  <c r="V618" i="7"/>
  <c r="U618" i="7"/>
  <c r="T618" i="7"/>
  <c r="S618" i="7"/>
  <c r="R618" i="7"/>
  <c r="Q618" i="7"/>
  <c r="P618" i="7"/>
  <c r="O618" i="7"/>
  <c r="Z616" i="7"/>
  <c r="Y616" i="7"/>
  <c r="X616" i="7"/>
  <c r="W616" i="7"/>
  <c r="V616" i="7"/>
  <c r="U616" i="7"/>
  <c r="T616" i="7"/>
  <c r="S616" i="7"/>
  <c r="R616" i="7"/>
  <c r="Q616" i="7"/>
  <c r="P616" i="7"/>
  <c r="O616" i="7"/>
  <c r="CM307" i="17"/>
  <c r="CI307" i="17"/>
  <c r="CJ307" i="17" s="1"/>
  <c r="CK307" i="17" s="1"/>
  <c r="CL307" i="17" s="1"/>
  <c r="CE307" i="17"/>
  <c r="CF307" i="17" s="1"/>
  <c r="CG307" i="17" s="1"/>
  <c r="CH307" i="17" s="1"/>
  <c r="CA307" i="17"/>
  <c r="CB307" i="17" s="1"/>
  <c r="CC307" i="17" s="1"/>
  <c r="CD307" i="17" s="1"/>
  <c r="BW307" i="17"/>
  <c r="BX307" i="17" s="1"/>
  <c r="BY307" i="17" s="1"/>
  <c r="BZ307" i="17" s="1"/>
  <c r="BS307" i="17"/>
  <c r="BT307" i="17" s="1"/>
  <c r="BU307" i="17" s="1"/>
  <c r="BV307" i="17" s="1"/>
  <c r="BO307" i="17"/>
  <c r="BP307" i="17" s="1"/>
  <c r="BQ307" i="17" s="1"/>
  <c r="BR307" i="17" s="1"/>
  <c r="BK307" i="17"/>
  <c r="BL307" i="17" s="1"/>
  <c r="BM307" i="17" s="1"/>
  <c r="BN307" i="17" s="1"/>
  <c r="BG307" i="17"/>
  <c r="BH307" i="17" s="1"/>
  <c r="BI307" i="17" s="1"/>
  <c r="BJ307" i="17" s="1"/>
  <c r="BC307" i="17"/>
  <c r="BD307" i="17" s="1"/>
  <c r="BE307" i="17" s="1"/>
  <c r="BF307" i="17" s="1"/>
  <c r="AY307" i="17"/>
  <c r="AZ307" i="17" s="1"/>
  <c r="BA307" i="17" s="1"/>
  <c r="BB307" i="17" s="1"/>
  <c r="AU307" i="17"/>
  <c r="AV307" i="17" s="1"/>
  <c r="AW307" i="17" s="1"/>
  <c r="AX307" i="17" s="1"/>
  <c r="AQ307" i="17"/>
  <c r="AR307" i="17" s="1"/>
  <c r="AS307" i="17" s="1"/>
  <c r="AT307" i="17" s="1"/>
  <c r="AM307" i="17"/>
  <c r="AN307" i="17" s="1"/>
  <c r="AO307" i="17" s="1"/>
  <c r="AP307" i="17" s="1"/>
  <c r="AI307" i="17"/>
  <c r="AJ307" i="17" s="1"/>
  <c r="AK307" i="17" s="1"/>
  <c r="AL307" i="17" s="1"/>
  <c r="AE307" i="17"/>
  <c r="AF307" i="17" s="1"/>
  <c r="AG307" i="17" s="1"/>
  <c r="AH307" i="17" s="1"/>
  <c r="AA307" i="17"/>
  <c r="AB307" i="17" s="1"/>
  <c r="AC307" i="17" s="1"/>
  <c r="AD307" i="17" s="1"/>
  <c r="W307" i="17"/>
  <c r="X307" i="17" s="1"/>
  <c r="Y307" i="17" s="1"/>
  <c r="Z307" i="17" s="1"/>
  <c r="S307" i="17"/>
  <c r="T307" i="17" s="1"/>
  <c r="U307" i="17" s="1"/>
  <c r="V307" i="17" s="1"/>
  <c r="O307" i="17"/>
  <c r="P307" i="17" s="1"/>
  <c r="Q307" i="17" s="1"/>
  <c r="R307" i="17" s="1"/>
  <c r="K307" i="17"/>
  <c r="L307" i="17" s="1"/>
  <c r="M307" i="17" s="1"/>
  <c r="N307" i="17" s="1"/>
  <c r="H375" i="12" s="1"/>
  <c r="H128" i="21" s="1"/>
  <c r="J307" i="17"/>
  <c r="CM306" i="17"/>
  <c r="CI306" i="17"/>
  <c r="CJ306" i="17" s="1"/>
  <c r="CK306" i="17" s="1"/>
  <c r="CL306" i="17" s="1"/>
  <c r="CE306" i="17"/>
  <c r="CF306" i="17" s="1"/>
  <c r="CG306" i="17" s="1"/>
  <c r="CH306" i="17" s="1"/>
  <c r="CA306" i="17"/>
  <c r="CB306" i="17" s="1"/>
  <c r="CC306" i="17" s="1"/>
  <c r="CD306" i="17" s="1"/>
  <c r="BW306" i="17"/>
  <c r="BX306" i="17" s="1"/>
  <c r="BY306" i="17" s="1"/>
  <c r="BZ306" i="17" s="1"/>
  <c r="BS306" i="17"/>
  <c r="BT306" i="17" s="1"/>
  <c r="BU306" i="17" s="1"/>
  <c r="BV306" i="17" s="1"/>
  <c r="BO306" i="17"/>
  <c r="BP306" i="17" s="1"/>
  <c r="BQ306" i="17" s="1"/>
  <c r="BR306" i="17" s="1"/>
  <c r="BK306" i="17"/>
  <c r="BL306" i="17" s="1"/>
  <c r="BM306" i="17" s="1"/>
  <c r="BN306" i="17" s="1"/>
  <c r="BG306" i="17"/>
  <c r="BH306" i="17" s="1"/>
  <c r="BI306" i="17" s="1"/>
  <c r="BJ306" i="17" s="1"/>
  <c r="BC306" i="17"/>
  <c r="BD306" i="17" s="1"/>
  <c r="BE306" i="17" s="1"/>
  <c r="BF306" i="17" s="1"/>
  <c r="AY306" i="17"/>
  <c r="AZ306" i="17" s="1"/>
  <c r="BA306" i="17" s="1"/>
  <c r="BB306" i="17" s="1"/>
  <c r="AU306" i="17"/>
  <c r="AV306" i="17" s="1"/>
  <c r="AW306" i="17" s="1"/>
  <c r="AX306" i="17" s="1"/>
  <c r="AQ306" i="17"/>
  <c r="AR306" i="17" s="1"/>
  <c r="AS306" i="17" s="1"/>
  <c r="AT306" i="17" s="1"/>
  <c r="AM306" i="17"/>
  <c r="AN306" i="17" s="1"/>
  <c r="AO306" i="17" s="1"/>
  <c r="AP306" i="17" s="1"/>
  <c r="AI306" i="17"/>
  <c r="AJ306" i="17" s="1"/>
  <c r="AK306" i="17" s="1"/>
  <c r="AL306" i="17" s="1"/>
  <c r="AE306" i="17"/>
  <c r="AF306" i="17" s="1"/>
  <c r="AG306" i="17" s="1"/>
  <c r="AH306" i="17" s="1"/>
  <c r="AA306" i="17"/>
  <c r="AB306" i="17" s="1"/>
  <c r="AC306" i="17" s="1"/>
  <c r="AD306" i="17" s="1"/>
  <c r="W306" i="17"/>
  <c r="X306" i="17" s="1"/>
  <c r="Y306" i="17" s="1"/>
  <c r="Z306" i="17" s="1"/>
  <c r="S306" i="17"/>
  <c r="T306" i="17" s="1"/>
  <c r="U306" i="17" s="1"/>
  <c r="V306" i="17" s="1"/>
  <c r="O306" i="17"/>
  <c r="P306" i="17" s="1"/>
  <c r="Q306" i="17" s="1"/>
  <c r="R306" i="17" s="1"/>
  <c r="K306" i="17"/>
  <c r="L306" i="17" s="1"/>
  <c r="M306" i="17" s="1"/>
  <c r="N306" i="17" s="1"/>
  <c r="H374" i="12" s="1"/>
  <c r="H126" i="21" s="1"/>
  <c r="J306" i="17"/>
  <c r="CM305" i="17"/>
  <c r="CI305" i="17"/>
  <c r="CJ305" i="17" s="1"/>
  <c r="CK305" i="17" s="1"/>
  <c r="CL305" i="17" s="1"/>
  <c r="CE305" i="17"/>
  <c r="CF305" i="17" s="1"/>
  <c r="CG305" i="17" s="1"/>
  <c r="CH305" i="17" s="1"/>
  <c r="CA305" i="17"/>
  <c r="CB305" i="17" s="1"/>
  <c r="CC305" i="17" s="1"/>
  <c r="CD305" i="17" s="1"/>
  <c r="BW305" i="17"/>
  <c r="BX305" i="17" s="1"/>
  <c r="BY305" i="17" s="1"/>
  <c r="BZ305" i="17" s="1"/>
  <c r="BS305" i="17"/>
  <c r="BT305" i="17" s="1"/>
  <c r="BU305" i="17" s="1"/>
  <c r="BV305" i="17" s="1"/>
  <c r="BO305" i="17"/>
  <c r="BP305" i="17" s="1"/>
  <c r="BQ305" i="17" s="1"/>
  <c r="BR305" i="17" s="1"/>
  <c r="BK305" i="17"/>
  <c r="BL305" i="17" s="1"/>
  <c r="BM305" i="17" s="1"/>
  <c r="BN305" i="17" s="1"/>
  <c r="BG305" i="17"/>
  <c r="BH305" i="17" s="1"/>
  <c r="BI305" i="17" s="1"/>
  <c r="BJ305" i="17" s="1"/>
  <c r="BC305" i="17"/>
  <c r="BD305" i="17" s="1"/>
  <c r="BE305" i="17" s="1"/>
  <c r="BF305" i="17" s="1"/>
  <c r="AY305" i="17"/>
  <c r="AZ305" i="17" s="1"/>
  <c r="BA305" i="17" s="1"/>
  <c r="BB305" i="17" s="1"/>
  <c r="AU305" i="17"/>
  <c r="AV305" i="17" s="1"/>
  <c r="AW305" i="17" s="1"/>
  <c r="AX305" i="17" s="1"/>
  <c r="AQ305" i="17"/>
  <c r="AR305" i="17" s="1"/>
  <c r="AS305" i="17" s="1"/>
  <c r="AT305" i="17" s="1"/>
  <c r="AM305" i="17"/>
  <c r="AN305" i="17" s="1"/>
  <c r="AO305" i="17" s="1"/>
  <c r="AP305" i="17" s="1"/>
  <c r="AI305" i="17"/>
  <c r="AJ305" i="17" s="1"/>
  <c r="AK305" i="17" s="1"/>
  <c r="AL305" i="17" s="1"/>
  <c r="AE305" i="17"/>
  <c r="AF305" i="17" s="1"/>
  <c r="AG305" i="17" s="1"/>
  <c r="AH305" i="17" s="1"/>
  <c r="AA305" i="17"/>
  <c r="AB305" i="17" s="1"/>
  <c r="AC305" i="17" s="1"/>
  <c r="AD305" i="17" s="1"/>
  <c r="W305" i="17"/>
  <c r="X305" i="17" s="1"/>
  <c r="Y305" i="17" s="1"/>
  <c r="Z305" i="17" s="1"/>
  <c r="S305" i="17"/>
  <c r="T305" i="17" s="1"/>
  <c r="U305" i="17" s="1"/>
  <c r="V305" i="17" s="1"/>
  <c r="O305" i="17"/>
  <c r="P305" i="17" s="1"/>
  <c r="Q305" i="17" s="1"/>
  <c r="R305" i="17" s="1"/>
  <c r="K305" i="17"/>
  <c r="L305" i="17" s="1"/>
  <c r="M305" i="17" s="1"/>
  <c r="N305" i="17" s="1"/>
  <c r="H373" i="12" s="1"/>
  <c r="H127" i="21" s="1"/>
  <c r="J305" i="17"/>
  <c r="CM304" i="17"/>
  <c r="CI304" i="17"/>
  <c r="CJ304" i="17" s="1"/>
  <c r="CK304" i="17" s="1"/>
  <c r="CL304" i="17" s="1"/>
  <c r="CE304" i="17"/>
  <c r="CF304" i="17" s="1"/>
  <c r="CG304" i="17" s="1"/>
  <c r="CH304" i="17" s="1"/>
  <c r="CA304" i="17"/>
  <c r="CB304" i="17" s="1"/>
  <c r="CC304" i="17" s="1"/>
  <c r="CD304" i="17" s="1"/>
  <c r="BW304" i="17"/>
  <c r="BX304" i="17" s="1"/>
  <c r="BY304" i="17" s="1"/>
  <c r="BZ304" i="17" s="1"/>
  <c r="BS304" i="17"/>
  <c r="BT304" i="17" s="1"/>
  <c r="BU304" i="17" s="1"/>
  <c r="BV304" i="17" s="1"/>
  <c r="BO304" i="17"/>
  <c r="BP304" i="17" s="1"/>
  <c r="BQ304" i="17" s="1"/>
  <c r="BR304" i="17" s="1"/>
  <c r="BK304" i="17"/>
  <c r="BL304" i="17" s="1"/>
  <c r="BM304" i="17" s="1"/>
  <c r="BN304" i="17" s="1"/>
  <c r="BG304" i="17"/>
  <c r="BH304" i="17" s="1"/>
  <c r="BI304" i="17" s="1"/>
  <c r="BJ304" i="17" s="1"/>
  <c r="BC304" i="17"/>
  <c r="BD304" i="17" s="1"/>
  <c r="BE304" i="17" s="1"/>
  <c r="BF304" i="17" s="1"/>
  <c r="AY304" i="17"/>
  <c r="AZ304" i="17" s="1"/>
  <c r="BA304" i="17" s="1"/>
  <c r="BB304" i="17" s="1"/>
  <c r="AU304" i="17"/>
  <c r="AV304" i="17" s="1"/>
  <c r="AW304" i="17" s="1"/>
  <c r="AX304" i="17" s="1"/>
  <c r="AQ304" i="17"/>
  <c r="AR304" i="17" s="1"/>
  <c r="AS304" i="17" s="1"/>
  <c r="AT304" i="17" s="1"/>
  <c r="AM304" i="17"/>
  <c r="AN304" i="17" s="1"/>
  <c r="AO304" i="17" s="1"/>
  <c r="AP304" i="17" s="1"/>
  <c r="AI304" i="17"/>
  <c r="AJ304" i="17" s="1"/>
  <c r="AK304" i="17" s="1"/>
  <c r="AL304" i="17" s="1"/>
  <c r="AE304" i="17"/>
  <c r="AF304" i="17" s="1"/>
  <c r="AG304" i="17" s="1"/>
  <c r="AH304" i="17" s="1"/>
  <c r="AA304" i="17"/>
  <c r="AB304" i="17" s="1"/>
  <c r="AC304" i="17" s="1"/>
  <c r="AD304" i="17" s="1"/>
  <c r="W304" i="17"/>
  <c r="X304" i="17" s="1"/>
  <c r="Y304" i="17" s="1"/>
  <c r="Z304" i="17" s="1"/>
  <c r="S304" i="17"/>
  <c r="T304" i="17" s="1"/>
  <c r="U304" i="17" s="1"/>
  <c r="V304" i="17" s="1"/>
  <c r="O304" i="17"/>
  <c r="P304" i="17" s="1"/>
  <c r="Q304" i="17" s="1"/>
  <c r="R304" i="17" s="1"/>
  <c r="K304" i="17"/>
  <c r="L304" i="17" s="1"/>
  <c r="M304" i="17" s="1"/>
  <c r="N304" i="17" s="1"/>
  <c r="H372" i="12" s="1"/>
  <c r="H125" i="21" s="1"/>
  <c r="J304" i="17"/>
  <c r="CM303" i="17"/>
  <c r="CI303" i="17"/>
  <c r="CE303" i="17"/>
  <c r="CA303" i="17"/>
  <c r="BW303" i="17"/>
  <c r="BS303" i="17"/>
  <c r="BO303" i="17"/>
  <c r="BK303" i="17"/>
  <c r="BG303" i="17"/>
  <c r="BC303" i="17"/>
  <c r="AY303" i="17"/>
  <c r="AU303" i="17"/>
  <c r="AQ303" i="17"/>
  <c r="AM303" i="17"/>
  <c r="AI303" i="17"/>
  <c r="AE303" i="17"/>
  <c r="AA303" i="17"/>
  <c r="W303" i="17"/>
  <c r="S303" i="17"/>
  <c r="O303" i="17"/>
  <c r="K303" i="17"/>
  <c r="J303" i="17"/>
  <c r="AB342" i="12"/>
  <c r="AC349" i="12" s="1"/>
  <c r="AA342" i="12"/>
  <c r="Z342" i="12"/>
  <c r="Y342" i="12"/>
  <c r="X342" i="12"/>
  <c r="W342" i="12"/>
  <c r="V342" i="12"/>
  <c r="U342" i="12"/>
  <c r="T342" i="12"/>
  <c r="S342" i="12"/>
  <c r="R342" i="12"/>
  <c r="Q342" i="12"/>
  <c r="P342" i="12"/>
  <c r="O342" i="12"/>
  <c r="N342" i="12"/>
  <c r="M342" i="12"/>
  <c r="L342" i="12"/>
  <c r="K342" i="12"/>
  <c r="J342" i="12"/>
  <c r="I342" i="12"/>
  <c r="H342" i="12"/>
  <c r="G342" i="12"/>
  <c r="E5" i="24" s="1"/>
  <c r="AB363" i="12"/>
  <c r="AA363" i="12"/>
  <c r="Z363" i="12"/>
  <c r="Y363" i="12"/>
  <c r="X363" i="12"/>
  <c r="W363" i="12"/>
  <c r="V363" i="12"/>
  <c r="U363" i="12"/>
  <c r="T363" i="12"/>
  <c r="S363" i="12"/>
  <c r="R363" i="12"/>
  <c r="Q363" i="12"/>
  <c r="P363" i="12"/>
  <c r="O363" i="12"/>
  <c r="N363" i="12"/>
  <c r="M363" i="12"/>
  <c r="L363" i="12"/>
  <c r="K363" i="12"/>
  <c r="J363" i="12"/>
  <c r="I363" i="12"/>
  <c r="H363" i="12"/>
  <c r="G363" i="12"/>
  <c r="AB362" i="12"/>
  <c r="AA362" i="12"/>
  <c r="Z362" i="12"/>
  <c r="Y362" i="12"/>
  <c r="X362" i="12"/>
  <c r="W362" i="12"/>
  <c r="V362" i="12"/>
  <c r="U362" i="12"/>
  <c r="T362" i="12"/>
  <c r="S362" i="12"/>
  <c r="R362" i="12"/>
  <c r="Q362" i="12"/>
  <c r="P362" i="12"/>
  <c r="O362" i="12"/>
  <c r="N362" i="12"/>
  <c r="M362" i="12"/>
  <c r="L362" i="12"/>
  <c r="K362" i="12"/>
  <c r="J362" i="12"/>
  <c r="I362" i="12"/>
  <c r="H362" i="12"/>
  <c r="G362" i="12"/>
  <c r="J42" i="11" s="1"/>
  <c r="AB321" i="12"/>
  <c r="AC326" i="12" s="1"/>
  <c r="AA321" i="12"/>
  <c r="Z321" i="12"/>
  <c r="Y321" i="12"/>
  <c r="X321" i="12"/>
  <c r="W321" i="12"/>
  <c r="V321" i="12"/>
  <c r="U321" i="12"/>
  <c r="T321" i="12"/>
  <c r="S321" i="12"/>
  <c r="R321" i="12"/>
  <c r="Q321" i="12"/>
  <c r="P321" i="12"/>
  <c r="O321" i="12"/>
  <c r="N321" i="12"/>
  <c r="M321" i="12"/>
  <c r="L321" i="12"/>
  <c r="K321" i="12"/>
  <c r="J321" i="12"/>
  <c r="I321" i="12"/>
  <c r="H321" i="12"/>
  <c r="G321" i="12"/>
  <c r="J110" i="11" s="1"/>
  <c r="AB320" i="12"/>
  <c r="AC325" i="12" s="1"/>
  <c r="AA320" i="12"/>
  <c r="Z320" i="12"/>
  <c r="Y320" i="12"/>
  <c r="X320" i="12"/>
  <c r="W320" i="12"/>
  <c r="V320" i="12"/>
  <c r="U320" i="12"/>
  <c r="T320" i="12"/>
  <c r="S320" i="12"/>
  <c r="R320" i="12"/>
  <c r="Q320" i="12"/>
  <c r="P320" i="12"/>
  <c r="O320" i="12"/>
  <c r="N320" i="12"/>
  <c r="M320" i="12"/>
  <c r="L320" i="12"/>
  <c r="K320" i="12"/>
  <c r="J320" i="12"/>
  <c r="I320" i="12"/>
  <c r="H320" i="12"/>
  <c r="G320" i="12"/>
  <c r="AB289" i="12"/>
  <c r="AC294" i="12" s="1"/>
  <c r="AA289" i="12"/>
  <c r="Z289" i="12"/>
  <c r="Y289" i="12"/>
  <c r="X289" i="12"/>
  <c r="W289" i="12"/>
  <c r="V289" i="12"/>
  <c r="U289" i="12"/>
  <c r="T289" i="12"/>
  <c r="S289" i="12"/>
  <c r="R289" i="12"/>
  <c r="Q289" i="12"/>
  <c r="P289" i="12"/>
  <c r="O289" i="12"/>
  <c r="N289" i="12"/>
  <c r="M289" i="12"/>
  <c r="L289" i="12"/>
  <c r="K289" i="12"/>
  <c r="J289" i="12"/>
  <c r="I289" i="12"/>
  <c r="H289" i="12"/>
  <c r="G289" i="12"/>
  <c r="J95" i="11" s="1"/>
  <c r="AB288" i="12"/>
  <c r="AC293" i="12" s="1"/>
  <c r="AA288" i="12"/>
  <c r="Z288" i="12"/>
  <c r="Y288" i="12"/>
  <c r="X288" i="12"/>
  <c r="W288" i="12"/>
  <c r="V288" i="12"/>
  <c r="U288" i="12"/>
  <c r="T288" i="12"/>
  <c r="S288" i="12"/>
  <c r="R288" i="12"/>
  <c r="Q288" i="12"/>
  <c r="P288" i="12"/>
  <c r="O288" i="12"/>
  <c r="N288" i="12"/>
  <c r="M288" i="12"/>
  <c r="L288" i="12"/>
  <c r="K288" i="12"/>
  <c r="J288" i="12"/>
  <c r="I288" i="12"/>
  <c r="H288" i="12"/>
  <c r="G288" i="12"/>
  <c r="AB89" i="8"/>
  <c r="AC92" i="8" s="1"/>
  <c r="AA89" i="8"/>
  <c r="Z89" i="8"/>
  <c r="Y89" i="8"/>
  <c r="X89" i="8"/>
  <c r="W89" i="8"/>
  <c r="V89" i="8"/>
  <c r="U89" i="8"/>
  <c r="T89" i="8"/>
  <c r="S89" i="8"/>
  <c r="R89" i="8"/>
  <c r="Q89" i="8"/>
  <c r="P89" i="8"/>
  <c r="O89" i="8"/>
  <c r="N89" i="8"/>
  <c r="M89" i="8"/>
  <c r="L89" i="8"/>
  <c r="K89" i="8"/>
  <c r="J89" i="8"/>
  <c r="I89" i="8"/>
  <c r="H89" i="8"/>
  <c r="G89" i="8"/>
  <c r="Y39" i="8"/>
  <c r="X39" i="8"/>
  <c r="W39" i="8"/>
  <c r="V39" i="8"/>
  <c r="U39" i="8"/>
  <c r="T39" i="8"/>
  <c r="S39" i="8"/>
  <c r="R39" i="8"/>
  <c r="Q39" i="8"/>
  <c r="P39" i="8"/>
  <c r="O39" i="8"/>
  <c r="N39" i="8"/>
  <c r="M39" i="8"/>
  <c r="L39" i="8"/>
  <c r="K39" i="8"/>
  <c r="J39" i="8"/>
  <c r="I39" i="8"/>
  <c r="H39" i="8"/>
  <c r="G39" i="8"/>
  <c r="AB228" i="12"/>
  <c r="AA228" i="12"/>
  <c r="Z228" i="12"/>
  <c r="Y228" i="12"/>
  <c r="X228" i="12"/>
  <c r="W228" i="12"/>
  <c r="V228" i="12"/>
  <c r="U228" i="12"/>
  <c r="T228" i="12"/>
  <c r="S228" i="12"/>
  <c r="R228" i="12"/>
  <c r="Q228" i="12"/>
  <c r="P228" i="12"/>
  <c r="O228" i="12"/>
  <c r="N228" i="12"/>
  <c r="M228" i="12"/>
  <c r="L228" i="12"/>
  <c r="K228" i="12"/>
  <c r="J228" i="12"/>
  <c r="I228" i="12"/>
  <c r="H228" i="12"/>
  <c r="G228" i="12"/>
  <c r="AB517" i="7"/>
  <c r="AA517" i="7"/>
  <c r="Z517" i="7"/>
  <c r="Y517" i="7"/>
  <c r="X517" i="7"/>
  <c r="W517" i="7"/>
  <c r="V517" i="7"/>
  <c r="U517" i="7"/>
  <c r="T517" i="7"/>
  <c r="S517" i="7"/>
  <c r="R517" i="7"/>
  <c r="Q517" i="7"/>
  <c r="P517" i="7"/>
  <c r="O517" i="7"/>
  <c r="N517" i="7"/>
  <c r="M517" i="7"/>
  <c r="L517" i="7"/>
  <c r="K517" i="7"/>
  <c r="J517" i="7"/>
  <c r="I517" i="7"/>
  <c r="H517" i="7"/>
  <c r="G517" i="7"/>
  <c r="AB394" i="7"/>
  <c r="AA394" i="7"/>
  <c r="Z394" i="7"/>
  <c r="Y394" i="7"/>
  <c r="X394" i="7"/>
  <c r="W394" i="7"/>
  <c r="V394" i="7"/>
  <c r="U394" i="7"/>
  <c r="T394" i="7"/>
  <c r="S394" i="7"/>
  <c r="R394" i="7"/>
  <c r="Q394" i="7"/>
  <c r="P394" i="7"/>
  <c r="O394" i="7"/>
  <c r="N394" i="7"/>
  <c r="M394" i="7"/>
  <c r="L394" i="7"/>
  <c r="K394" i="7"/>
  <c r="J394" i="7"/>
  <c r="I394" i="7"/>
  <c r="H394" i="7"/>
  <c r="G394" i="7"/>
  <c r="AB321" i="7"/>
  <c r="AA321" i="7"/>
  <c r="Z321" i="7"/>
  <c r="Y321" i="7"/>
  <c r="X321" i="7"/>
  <c r="W321" i="7"/>
  <c r="V321" i="7"/>
  <c r="U321" i="7"/>
  <c r="T321" i="7"/>
  <c r="S321" i="7"/>
  <c r="R321" i="7"/>
  <c r="Q321" i="7"/>
  <c r="P321" i="7"/>
  <c r="O321" i="7"/>
  <c r="N321" i="7"/>
  <c r="M321" i="7"/>
  <c r="L321" i="7"/>
  <c r="K321" i="7"/>
  <c r="J321" i="7"/>
  <c r="I321" i="7"/>
  <c r="H321" i="7"/>
  <c r="G321" i="7"/>
  <c r="AB322" i="7"/>
  <c r="AA322" i="7"/>
  <c r="Z322" i="7"/>
  <c r="Y322" i="7"/>
  <c r="X322" i="7"/>
  <c r="W322" i="7"/>
  <c r="V322" i="7"/>
  <c r="U322" i="7"/>
  <c r="T322" i="7"/>
  <c r="S322" i="7"/>
  <c r="R322" i="7"/>
  <c r="Q322" i="7"/>
  <c r="P322" i="7"/>
  <c r="O322" i="7"/>
  <c r="N322" i="7"/>
  <c r="M322" i="7"/>
  <c r="L322" i="7"/>
  <c r="K322" i="7"/>
  <c r="J322" i="7"/>
  <c r="I322" i="7"/>
  <c r="H322" i="7"/>
  <c r="G322" i="7"/>
  <c r="AB296" i="7"/>
  <c r="AA296" i="7"/>
  <c r="Z296" i="7"/>
  <c r="Y296" i="7"/>
  <c r="X296" i="7"/>
  <c r="W296" i="7"/>
  <c r="V296" i="7"/>
  <c r="U296" i="7"/>
  <c r="T296" i="7"/>
  <c r="S296" i="7"/>
  <c r="R296" i="7"/>
  <c r="Q296" i="7"/>
  <c r="P296" i="7"/>
  <c r="O296" i="7"/>
  <c r="N296" i="7"/>
  <c r="M296" i="7"/>
  <c r="L296" i="7"/>
  <c r="K296" i="7"/>
  <c r="J296" i="7"/>
  <c r="I296" i="7"/>
  <c r="H296" i="7"/>
  <c r="G296" i="7"/>
  <c r="AB257" i="7"/>
  <c r="AA257" i="7"/>
  <c r="Z257" i="7"/>
  <c r="Y257" i="7"/>
  <c r="X257" i="7"/>
  <c r="W257" i="7"/>
  <c r="V257" i="7"/>
  <c r="U257" i="7"/>
  <c r="T257" i="7"/>
  <c r="S257" i="7"/>
  <c r="R257" i="7"/>
  <c r="Q257" i="7"/>
  <c r="P257" i="7"/>
  <c r="O257" i="7"/>
  <c r="N257" i="7"/>
  <c r="M257" i="7"/>
  <c r="L257" i="7"/>
  <c r="K257" i="7"/>
  <c r="J257" i="7"/>
  <c r="I257" i="7"/>
  <c r="H257" i="7"/>
  <c r="G257" i="7"/>
  <c r="AB300" i="7"/>
  <c r="AA300" i="7"/>
  <c r="Z300" i="7"/>
  <c r="Y300" i="7"/>
  <c r="X300" i="7"/>
  <c r="W300" i="7"/>
  <c r="V300" i="7"/>
  <c r="U300" i="7"/>
  <c r="T300" i="7"/>
  <c r="S300" i="7"/>
  <c r="R300" i="7"/>
  <c r="Q300" i="7"/>
  <c r="P300" i="7"/>
  <c r="O300" i="7"/>
  <c r="N300" i="7"/>
  <c r="M300" i="7"/>
  <c r="L300" i="7"/>
  <c r="K300" i="7"/>
  <c r="J300" i="7"/>
  <c r="I300" i="7"/>
  <c r="H300" i="7"/>
  <c r="G300" i="7"/>
  <c r="AB254" i="7"/>
  <c r="AA254" i="7"/>
  <c r="Z254" i="7"/>
  <c r="Y254" i="7"/>
  <c r="X254" i="7"/>
  <c r="W254" i="7"/>
  <c r="V254" i="7"/>
  <c r="U254" i="7"/>
  <c r="T254" i="7"/>
  <c r="S254" i="7"/>
  <c r="R254" i="7"/>
  <c r="Q254" i="7"/>
  <c r="P254" i="7"/>
  <c r="O254" i="7"/>
  <c r="N254" i="7"/>
  <c r="M254" i="7"/>
  <c r="L254" i="7"/>
  <c r="K254" i="7"/>
  <c r="J254" i="7"/>
  <c r="I254" i="7"/>
  <c r="H254" i="7"/>
  <c r="G254" i="7"/>
  <c r="AB199" i="7"/>
  <c r="AA199" i="7"/>
  <c r="Z199" i="7"/>
  <c r="Y199" i="7"/>
  <c r="X199" i="7"/>
  <c r="W199" i="7"/>
  <c r="V199" i="7"/>
  <c r="U199" i="7"/>
  <c r="T199" i="7"/>
  <c r="S199" i="7"/>
  <c r="R199" i="7"/>
  <c r="Q199" i="7"/>
  <c r="P199" i="7"/>
  <c r="O199" i="7"/>
  <c r="N199" i="7"/>
  <c r="M199" i="7"/>
  <c r="L199" i="7"/>
  <c r="K199" i="7"/>
  <c r="J199" i="7"/>
  <c r="I199" i="7"/>
  <c r="H199" i="7"/>
  <c r="G199" i="7"/>
  <c r="AB208" i="8"/>
  <c r="AC220" i="8" s="1"/>
  <c r="AA208" i="8"/>
  <c r="Z208" i="8"/>
  <c r="Y208" i="8"/>
  <c r="X208" i="8"/>
  <c r="W208" i="8"/>
  <c r="V208" i="8"/>
  <c r="U208" i="8"/>
  <c r="T208" i="8"/>
  <c r="S208" i="8"/>
  <c r="R208" i="8"/>
  <c r="Q208" i="8"/>
  <c r="P208" i="8"/>
  <c r="O208" i="8"/>
  <c r="N208" i="8"/>
  <c r="M208" i="8"/>
  <c r="L208" i="8"/>
  <c r="K208" i="8"/>
  <c r="J208" i="8"/>
  <c r="I208" i="8"/>
  <c r="H208" i="8"/>
  <c r="G208" i="8"/>
  <c r="AB136" i="8"/>
  <c r="AA136" i="8"/>
  <c r="Z136" i="8"/>
  <c r="Y136" i="8"/>
  <c r="X136" i="8"/>
  <c r="W136" i="8"/>
  <c r="V136" i="8"/>
  <c r="U136" i="8"/>
  <c r="T136" i="8"/>
  <c r="S136" i="8"/>
  <c r="R136" i="8"/>
  <c r="Q136" i="8"/>
  <c r="P136" i="8"/>
  <c r="O136" i="8"/>
  <c r="N136" i="8"/>
  <c r="M136" i="8"/>
  <c r="L136" i="8"/>
  <c r="K136" i="8"/>
  <c r="J136" i="8"/>
  <c r="I136" i="8"/>
  <c r="H136" i="8"/>
  <c r="G136" i="8"/>
  <c r="AB216" i="8"/>
  <c r="AC225" i="8" s="1"/>
  <c r="AA216" i="8"/>
  <c r="Z216" i="8"/>
  <c r="Y216" i="8"/>
  <c r="X216" i="8"/>
  <c r="W216" i="8"/>
  <c r="V216" i="8"/>
  <c r="U216" i="8"/>
  <c r="T216" i="8"/>
  <c r="S216" i="8"/>
  <c r="R216" i="8"/>
  <c r="Q216" i="8"/>
  <c r="P216" i="8"/>
  <c r="O216" i="8"/>
  <c r="N216" i="8"/>
  <c r="M216" i="8"/>
  <c r="L216" i="8"/>
  <c r="K216" i="8"/>
  <c r="J216" i="8"/>
  <c r="I216" i="8"/>
  <c r="H216" i="8"/>
  <c r="G216" i="8"/>
  <c r="AB46" i="7"/>
  <c r="AA46" i="7"/>
  <c r="Z46" i="7"/>
  <c r="Y46" i="7"/>
  <c r="X46" i="7"/>
  <c r="W46" i="7"/>
  <c r="V46" i="7"/>
  <c r="U46" i="7"/>
  <c r="T46" i="7"/>
  <c r="S46" i="7"/>
  <c r="R46" i="7"/>
  <c r="Q46" i="7"/>
  <c r="P46" i="7"/>
  <c r="O46" i="7"/>
  <c r="N46" i="7"/>
  <c r="M46" i="7"/>
  <c r="L46" i="7"/>
  <c r="K46" i="7"/>
  <c r="J46" i="7"/>
  <c r="I46" i="7"/>
  <c r="H46" i="7"/>
  <c r="G46" i="7"/>
  <c r="AB9" i="7"/>
  <c r="AA9" i="7"/>
  <c r="Z9" i="7"/>
  <c r="Y9" i="7"/>
  <c r="X9" i="7"/>
  <c r="W9" i="7"/>
  <c r="V9" i="7"/>
  <c r="U9" i="7"/>
  <c r="T9" i="7"/>
  <c r="S9" i="7"/>
  <c r="R9" i="7"/>
  <c r="Q9" i="7"/>
  <c r="P9" i="7"/>
  <c r="O9" i="7"/>
  <c r="N9" i="7"/>
  <c r="M9" i="7"/>
  <c r="L9" i="7"/>
  <c r="K9" i="7"/>
  <c r="J9" i="7"/>
  <c r="I9" i="7"/>
  <c r="H9" i="7"/>
  <c r="G9" i="7"/>
  <c r="AB73" i="7"/>
  <c r="AA73" i="7"/>
  <c r="Z73" i="7"/>
  <c r="Y73" i="7"/>
  <c r="X73" i="7"/>
  <c r="W73" i="7"/>
  <c r="V73" i="7"/>
  <c r="U73" i="7"/>
  <c r="T73" i="7"/>
  <c r="S73" i="7"/>
  <c r="R73" i="7"/>
  <c r="Q73" i="7"/>
  <c r="P73" i="7"/>
  <c r="O73" i="7"/>
  <c r="N73" i="7"/>
  <c r="M73" i="7"/>
  <c r="L73" i="7"/>
  <c r="K73" i="7"/>
  <c r="J73" i="7"/>
  <c r="I73" i="7"/>
  <c r="H73" i="7"/>
  <c r="G73" i="7"/>
  <c r="AB163" i="7"/>
  <c r="AA163" i="7"/>
  <c r="Z163" i="7"/>
  <c r="Y163" i="7"/>
  <c r="X163" i="7"/>
  <c r="W163" i="7"/>
  <c r="V163" i="7"/>
  <c r="U163" i="7"/>
  <c r="T163" i="7"/>
  <c r="S163" i="7"/>
  <c r="R163" i="7"/>
  <c r="Q163" i="7"/>
  <c r="P163" i="7"/>
  <c r="O163" i="7"/>
  <c r="N163" i="7"/>
  <c r="M163" i="7"/>
  <c r="L163" i="7"/>
  <c r="K163" i="7"/>
  <c r="J163" i="7"/>
  <c r="I163" i="7"/>
  <c r="H163" i="7"/>
  <c r="G163" i="7"/>
  <c r="AB631" i="7"/>
  <c r="AA631" i="7"/>
  <c r="Z631" i="7"/>
  <c r="Y631" i="7"/>
  <c r="X631" i="7"/>
  <c r="W631" i="7"/>
  <c r="V631" i="7"/>
  <c r="U631" i="7"/>
  <c r="T631" i="7"/>
  <c r="S631" i="7"/>
  <c r="R631" i="7"/>
  <c r="Q631" i="7"/>
  <c r="P631" i="7"/>
  <c r="O631" i="7"/>
  <c r="N631" i="7"/>
  <c r="M631" i="7"/>
  <c r="L631" i="7"/>
  <c r="K631" i="7"/>
  <c r="J631" i="7"/>
  <c r="I631" i="7"/>
  <c r="H631" i="7"/>
  <c r="G631" i="7"/>
  <c r="AB664" i="7"/>
  <c r="AA664" i="7"/>
  <c r="Z664" i="7"/>
  <c r="Y664" i="7"/>
  <c r="X664" i="7"/>
  <c r="W664" i="7"/>
  <c r="V664" i="7"/>
  <c r="U664" i="7"/>
  <c r="T664" i="7"/>
  <c r="S664" i="7"/>
  <c r="R664" i="7"/>
  <c r="Q664" i="7"/>
  <c r="P664" i="7"/>
  <c r="O664" i="7"/>
  <c r="N664" i="7"/>
  <c r="M664" i="7"/>
  <c r="L664" i="7"/>
  <c r="K664" i="7"/>
  <c r="J664" i="7"/>
  <c r="I664" i="7"/>
  <c r="H664" i="7"/>
  <c r="G664" i="7"/>
  <c r="W605" i="7"/>
  <c r="V605" i="7"/>
  <c r="U605" i="7"/>
  <c r="T605" i="7"/>
  <c r="S605" i="7"/>
  <c r="R605" i="7"/>
  <c r="Q605" i="7"/>
  <c r="P605" i="7"/>
  <c r="O605" i="7"/>
  <c r="N605" i="7"/>
  <c r="M605" i="7"/>
  <c r="L605" i="7"/>
  <c r="K605" i="7"/>
  <c r="J605" i="7"/>
  <c r="I605" i="7"/>
  <c r="H605" i="7"/>
  <c r="G605" i="7"/>
  <c r="AB519" i="7"/>
  <c r="AA519" i="7"/>
  <c r="Z519" i="7"/>
  <c r="Y519" i="7"/>
  <c r="X519" i="7"/>
  <c r="W519" i="7"/>
  <c r="V519" i="7"/>
  <c r="U519" i="7"/>
  <c r="T519" i="7"/>
  <c r="S519" i="7"/>
  <c r="R519" i="7"/>
  <c r="Q519" i="7"/>
  <c r="P519" i="7"/>
  <c r="O519" i="7"/>
  <c r="N519" i="7"/>
  <c r="M519" i="7"/>
  <c r="L519" i="7"/>
  <c r="K519" i="7"/>
  <c r="J519" i="7"/>
  <c r="I519" i="7"/>
  <c r="H519" i="7"/>
  <c r="G519" i="7"/>
  <c r="AB541" i="7"/>
  <c r="AA541" i="7"/>
  <c r="Z541" i="7"/>
  <c r="Y541" i="7"/>
  <c r="X541" i="7"/>
  <c r="W541" i="7"/>
  <c r="V541" i="7"/>
  <c r="U541" i="7"/>
  <c r="T541" i="7"/>
  <c r="S541" i="7"/>
  <c r="R541" i="7"/>
  <c r="Q541" i="7"/>
  <c r="P541" i="7"/>
  <c r="O541" i="7"/>
  <c r="N541" i="7"/>
  <c r="M541" i="7"/>
  <c r="L541" i="7"/>
  <c r="K541" i="7"/>
  <c r="J541" i="7"/>
  <c r="I541" i="7"/>
  <c r="H541" i="7"/>
  <c r="G541" i="7"/>
  <c r="AB229" i="12"/>
  <c r="AA229" i="12"/>
  <c r="Z229" i="12"/>
  <c r="Y229" i="12"/>
  <c r="X229" i="12"/>
  <c r="W229" i="12"/>
  <c r="V229" i="12"/>
  <c r="U229" i="12"/>
  <c r="T229" i="12"/>
  <c r="S229" i="12"/>
  <c r="R229" i="12"/>
  <c r="Q229" i="12"/>
  <c r="P229" i="12"/>
  <c r="O229" i="12"/>
  <c r="N229" i="12"/>
  <c r="M229" i="12"/>
  <c r="L229" i="12"/>
  <c r="K229" i="12"/>
  <c r="J229" i="12"/>
  <c r="I229" i="12"/>
  <c r="H229" i="12"/>
  <c r="G229" i="12"/>
  <c r="AB481" i="7"/>
  <c r="AA481" i="7"/>
  <c r="Z481" i="7"/>
  <c r="Y481" i="7"/>
  <c r="X481" i="7"/>
  <c r="W481" i="7"/>
  <c r="V481" i="7"/>
  <c r="U481" i="7"/>
  <c r="T481" i="7"/>
  <c r="S481" i="7"/>
  <c r="R481" i="7"/>
  <c r="Q481" i="7"/>
  <c r="P481" i="7"/>
  <c r="O481" i="7"/>
  <c r="N481" i="7"/>
  <c r="M481" i="7"/>
  <c r="L481" i="7"/>
  <c r="K481" i="7"/>
  <c r="J481" i="7"/>
  <c r="I481" i="7"/>
  <c r="H481" i="7"/>
  <c r="G481" i="7"/>
  <c r="AB484" i="7"/>
  <c r="AA484" i="7"/>
  <c r="Z484" i="7"/>
  <c r="Y484" i="7"/>
  <c r="X484" i="7"/>
  <c r="W484" i="7"/>
  <c r="V484" i="7"/>
  <c r="U484" i="7"/>
  <c r="T484" i="7"/>
  <c r="S484" i="7"/>
  <c r="R484" i="7"/>
  <c r="Q484" i="7"/>
  <c r="P484" i="7"/>
  <c r="O484" i="7"/>
  <c r="N484" i="7"/>
  <c r="M484" i="7"/>
  <c r="L484" i="7"/>
  <c r="K484" i="7"/>
  <c r="J484" i="7"/>
  <c r="I484" i="7"/>
  <c r="H484" i="7"/>
  <c r="G484" i="7"/>
  <c r="Z480" i="7"/>
  <c r="Y480" i="7"/>
  <c r="X480" i="7"/>
  <c r="W480" i="7"/>
  <c r="V480" i="7"/>
  <c r="U480" i="7"/>
  <c r="T480" i="7"/>
  <c r="S480" i="7"/>
  <c r="R480" i="7"/>
  <c r="Q480" i="7"/>
  <c r="P480" i="7"/>
  <c r="O480" i="7"/>
  <c r="N480" i="7"/>
  <c r="M480" i="7"/>
  <c r="L480" i="7"/>
  <c r="K480" i="7"/>
  <c r="J480" i="7"/>
  <c r="I480" i="7"/>
  <c r="H480" i="7"/>
  <c r="G480" i="7"/>
  <c r="AB483" i="7"/>
  <c r="AA483" i="7"/>
  <c r="Z483" i="7"/>
  <c r="Y483" i="7"/>
  <c r="X483" i="7"/>
  <c r="W483" i="7"/>
  <c r="V483" i="7"/>
  <c r="U483" i="7"/>
  <c r="T483" i="7"/>
  <c r="S483" i="7"/>
  <c r="R483" i="7"/>
  <c r="Q483" i="7"/>
  <c r="P483" i="7"/>
  <c r="O483" i="7"/>
  <c r="N483" i="7"/>
  <c r="M483" i="7"/>
  <c r="L483" i="7"/>
  <c r="K483" i="7"/>
  <c r="J483" i="7"/>
  <c r="I483" i="7"/>
  <c r="H483" i="7"/>
  <c r="G483" i="7"/>
  <c r="AB396" i="7"/>
  <c r="AA396" i="7"/>
  <c r="Z396" i="7"/>
  <c r="Y396" i="7"/>
  <c r="X396" i="7"/>
  <c r="W396" i="7"/>
  <c r="V396" i="7"/>
  <c r="U396" i="7"/>
  <c r="T396" i="7"/>
  <c r="S396" i="7"/>
  <c r="R396" i="7"/>
  <c r="Q396" i="7"/>
  <c r="P396" i="7"/>
  <c r="O396" i="7"/>
  <c r="N396" i="7"/>
  <c r="M396" i="7"/>
  <c r="L396" i="7"/>
  <c r="K396" i="7"/>
  <c r="J396" i="7"/>
  <c r="I396" i="7"/>
  <c r="H396" i="7"/>
  <c r="G396" i="7"/>
  <c r="AB325" i="7"/>
  <c r="AC335" i="7" s="1"/>
  <c r="AA325" i="7"/>
  <c r="Z325" i="7"/>
  <c r="Y325" i="7"/>
  <c r="X325" i="7"/>
  <c r="W325" i="7"/>
  <c r="V325" i="7"/>
  <c r="U325" i="7"/>
  <c r="T325" i="7"/>
  <c r="S325" i="7"/>
  <c r="R325" i="7"/>
  <c r="Q325" i="7"/>
  <c r="P325" i="7"/>
  <c r="O325" i="7"/>
  <c r="N325" i="7"/>
  <c r="M325" i="7"/>
  <c r="L325" i="7"/>
  <c r="K325" i="7"/>
  <c r="J325" i="7"/>
  <c r="I325" i="7"/>
  <c r="H325" i="7"/>
  <c r="G325" i="7"/>
  <c r="AB418" i="7"/>
  <c r="AA418" i="7"/>
  <c r="Z418" i="7"/>
  <c r="Y418" i="7"/>
  <c r="X418" i="7"/>
  <c r="W418" i="7"/>
  <c r="V418" i="7"/>
  <c r="U418" i="7"/>
  <c r="T418" i="7"/>
  <c r="S418" i="7"/>
  <c r="R418" i="7"/>
  <c r="Q418" i="7"/>
  <c r="P418" i="7"/>
  <c r="O418" i="7"/>
  <c r="N418" i="7"/>
  <c r="M418" i="7"/>
  <c r="L418" i="7"/>
  <c r="K418" i="7"/>
  <c r="J418" i="7"/>
  <c r="I418" i="7"/>
  <c r="H418" i="7"/>
  <c r="G418" i="7"/>
  <c r="AB326" i="7"/>
  <c r="AA326" i="7"/>
  <c r="Z326" i="7"/>
  <c r="Y326" i="7"/>
  <c r="X326" i="7"/>
  <c r="W326" i="7"/>
  <c r="V326" i="7"/>
  <c r="U326" i="7"/>
  <c r="T326" i="7"/>
  <c r="S326" i="7"/>
  <c r="R326" i="7"/>
  <c r="Q326" i="7"/>
  <c r="P326" i="7"/>
  <c r="O326" i="7"/>
  <c r="N326" i="7"/>
  <c r="M326" i="7"/>
  <c r="L326" i="7"/>
  <c r="K326" i="7"/>
  <c r="J326" i="7"/>
  <c r="I326" i="7"/>
  <c r="H326" i="7"/>
  <c r="G326" i="7"/>
  <c r="AB298" i="7"/>
  <c r="AA298" i="7"/>
  <c r="Z298" i="7"/>
  <c r="Y298" i="7"/>
  <c r="X298" i="7"/>
  <c r="W298" i="7"/>
  <c r="V298" i="7"/>
  <c r="U298" i="7"/>
  <c r="T298" i="7"/>
  <c r="S298" i="7"/>
  <c r="R298" i="7"/>
  <c r="Q298" i="7"/>
  <c r="P298" i="7"/>
  <c r="O298" i="7"/>
  <c r="N298" i="7"/>
  <c r="M298" i="7"/>
  <c r="L298" i="7"/>
  <c r="K298" i="7"/>
  <c r="J298" i="7"/>
  <c r="I298" i="7"/>
  <c r="H298" i="7"/>
  <c r="G298" i="7"/>
  <c r="AB251" i="7"/>
  <c r="AA251" i="7"/>
  <c r="Z251" i="7"/>
  <c r="Y251" i="7"/>
  <c r="X251" i="7"/>
  <c r="W251" i="7"/>
  <c r="V251" i="7"/>
  <c r="U251" i="7"/>
  <c r="T251" i="7"/>
  <c r="S251" i="7"/>
  <c r="R251" i="7"/>
  <c r="Q251" i="7"/>
  <c r="P251" i="7"/>
  <c r="O251" i="7"/>
  <c r="N251" i="7"/>
  <c r="M251" i="7"/>
  <c r="L251" i="7"/>
  <c r="K251" i="7"/>
  <c r="J251" i="7"/>
  <c r="I251" i="7"/>
  <c r="H251" i="7"/>
  <c r="G251" i="7"/>
  <c r="AB252" i="7"/>
  <c r="AA252" i="7"/>
  <c r="Z252" i="7"/>
  <c r="Y252" i="7"/>
  <c r="X252" i="7"/>
  <c r="W252" i="7"/>
  <c r="V252" i="7"/>
  <c r="U252" i="7"/>
  <c r="T252" i="7"/>
  <c r="S252" i="7"/>
  <c r="R252" i="7"/>
  <c r="Q252" i="7"/>
  <c r="P252" i="7"/>
  <c r="O252" i="7"/>
  <c r="N252" i="7"/>
  <c r="M252" i="7"/>
  <c r="L252" i="7"/>
  <c r="K252" i="7"/>
  <c r="J252" i="7"/>
  <c r="I252" i="7"/>
  <c r="H252" i="7"/>
  <c r="G252" i="7"/>
  <c r="AB201" i="7"/>
  <c r="AA201" i="7"/>
  <c r="Z201" i="7"/>
  <c r="Y201" i="7"/>
  <c r="X201" i="7"/>
  <c r="W201" i="7"/>
  <c r="V201" i="7"/>
  <c r="U201" i="7"/>
  <c r="T201" i="7"/>
  <c r="S201" i="7"/>
  <c r="R201" i="7"/>
  <c r="Q201" i="7"/>
  <c r="P201" i="7"/>
  <c r="O201" i="7"/>
  <c r="N201" i="7"/>
  <c r="M201" i="7"/>
  <c r="L201" i="7"/>
  <c r="K201" i="7"/>
  <c r="J201" i="7"/>
  <c r="I201" i="7"/>
  <c r="H201" i="7"/>
  <c r="G201" i="7"/>
  <c r="AB203" i="7"/>
  <c r="AA203" i="7"/>
  <c r="Z203" i="7"/>
  <c r="Y203" i="7"/>
  <c r="X203" i="7"/>
  <c r="W203" i="7"/>
  <c r="V203" i="7"/>
  <c r="U203" i="7"/>
  <c r="T203" i="7"/>
  <c r="S203" i="7"/>
  <c r="R203" i="7"/>
  <c r="Q203" i="7"/>
  <c r="P203" i="7"/>
  <c r="O203" i="7"/>
  <c r="N203" i="7"/>
  <c r="M203" i="7"/>
  <c r="L203" i="7"/>
  <c r="K203" i="7"/>
  <c r="J203" i="7"/>
  <c r="I203" i="7"/>
  <c r="H203" i="7"/>
  <c r="G203" i="7"/>
  <c r="AB139" i="7"/>
  <c r="AB161" i="7" s="1"/>
  <c r="AA139" i="7"/>
  <c r="AA161" i="7" s="1"/>
  <c r="Z139" i="7"/>
  <c r="Z161" i="7" s="1"/>
  <c r="Y139" i="7"/>
  <c r="X139" i="7"/>
  <c r="W139" i="7"/>
  <c r="V139" i="7"/>
  <c r="U139" i="7"/>
  <c r="T139" i="7"/>
  <c r="S139" i="7"/>
  <c r="R139" i="7"/>
  <c r="Q139" i="7"/>
  <c r="P139" i="7"/>
  <c r="O139" i="7"/>
  <c r="N139" i="7"/>
  <c r="M139" i="7"/>
  <c r="L139" i="7"/>
  <c r="K139" i="7"/>
  <c r="J139" i="7"/>
  <c r="I139" i="7"/>
  <c r="H139" i="7"/>
  <c r="G139" i="7"/>
  <c r="AB137" i="7"/>
  <c r="AA137" i="7"/>
  <c r="Z137" i="7"/>
  <c r="Y137" i="7"/>
  <c r="X137" i="7"/>
  <c r="W137" i="7"/>
  <c r="V137" i="7"/>
  <c r="U137" i="7"/>
  <c r="T137" i="7"/>
  <c r="S137" i="7"/>
  <c r="R137" i="7"/>
  <c r="Q137" i="7"/>
  <c r="P137" i="7"/>
  <c r="O137" i="7"/>
  <c r="N137" i="7"/>
  <c r="M137" i="7"/>
  <c r="L137" i="7"/>
  <c r="K137" i="7"/>
  <c r="J137" i="7"/>
  <c r="I137" i="7"/>
  <c r="H137" i="7"/>
  <c r="G137" i="7"/>
  <c r="AB48" i="7"/>
  <c r="AA48" i="7"/>
  <c r="Z48" i="7"/>
  <c r="Y48" i="7"/>
  <c r="X48" i="7"/>
  <c r="W48" i="7"/>
  <c r="V48" i="7"/>
  <c r="U48" i="7"/>
  <c r="T48" i="7"/>
  <c r="S48" i="7"/>
  <c r="R48" i="7"/>
  <c r="Q48" i="7"/>
  <c r="P48" i="7"/>
  <c r="O48" i="7"/>
  <c r="N48" i="7"/>
  <c r="M48" i="7"/>
  <c r="L48" i="7"/>
  <c r="K48" i="7"/>
  <c r="J48" i="7"/>
  <c r="I48" i="7"/>
  <c r="H48" i="7"/>
  <c r="G48" i="7"/>
  <c r="AB11" i="7"/>
  <c r="AA11" i="7"/>
  <c r="Z11" i="7"/>
  <c r="Y11" i="7"/>
  <c r="X11" i="7"/>
  <c r="W11" i="7"/>
  <c r="V11" i="7"/>
  <c r="U11" i="7"/>
  <c r="T11" i="7"/>
  <c r="S11" i="7"/>
  <c r="R11" i="7"/>
  <c r="Q11" i="7"/>
  <c r="P11" i="7"/>
  <c r="O11" i="7"/>
  <c r="N11" i="7"/>
  <c r="M11" i="7"/>
  <c r="L11" i="7"/>
  <c r="K11" i="7"/>
  <c r="J11" i="7"/>
  <c r="I11" i="7"/>
  <c r="H11" i="7"/>
  <c r="G11" i="7"/>
  <c r="AB50" i="7"/>
  <c r="AA50" i="7"/>
  <c r="Z50" i="7"/>
  <c r="Y50" i="7"/>
  <c r="X50" i="7"/>
  <c r="W50" i="7"/>
  <c r="V50" i="7"/>
  <c r="U50" i="7"/>
  <c r="T50" i="7"/>
  <c r="S50" i="7"/>
  <c r="R50" i="7"/>
  <c r="Q50" i="7"/>
  <c r="P50" i="7"/>
  <c r="O50" i="7"/>
  <c r="N50" i="7"/>
  <c r="M50" i="7"/>
  <c r="L50" i="7"/>
  <c r="K50" i="7"/>
  <c r="J50" i="7"/>
  <c r="I50" i="7"/>
  <c r="H50" i="7"/>
  <c r="G50" i="7"/>
  <c r="AB13" i="7"/>
  <c r="AA13" i="7"/>
  <c r="Z13" i="7"/>
  <c r="Y13" i="7"/>
  <c r="X13" i="7"/>
  <c r="W13" i="7"/>
  <c r="V13" i="7"/>
  <c r="U13" i="7"/>
  <c r="T13" i="7"/>
  <c r="S13" i="7"/>
  <c r="R13" i="7"/>
  <c r="Q13" i="7"/>
  <c r="P13" i="7"/>
  <c r="O13" i="7"/>
  <c r="N13" i="7"/>
  <c r="M13" i="7"/>
  <c r="L13" i="7"/>
  <c r="K13" i="7"/>
  <c r="J13" i="7"/>
  <c r="I13" i="7"/>
  <c r="H13" i="7"/>
  <c r="G13" i="7"/>
  <c r="AB210" i="8"/>
  <c r="AC222" i="8" s="1"/>
  <c r="AA210" i="8"/>
  <c r="Z210" i="8"/>
  <c r="Y210" i="8"/>
  <c r="X210" i="8"/>
  <c r="W210" i="8"/>
  <c r="V210" i="8"/>
  <c r="U210" i="8"/>
  <c r="T210" i="8"/>
  <c r="S210" i="8"/>
  <c r="R210" i="8"/>
  <c r="Q210" i="8"/>
  <c r="P210" i="8"/>
  <c r="O210" i="8"/>
  <c r="N210" i="8"/>
  <c r="M210" i="8"/>
  <c r="L210" i="8"/>
  <c r="K210" i="8"/>
  <c r="J210" i="8"/>
  <c r="I210" i="8"/>
  <c r="H210" i="8"/>
  <c r="G210" i="8"/>
  <c r="AB420" i="7"/>
  <c r="AA420" i="7"/>
  <c r="Z420" i="7"/>
  <c r="Y420" i="7"/>
  <c r="X420" i="7"/>
  <c r="W420" i="7"/>
  <c r="V420" i="7"/>
  <c r="U420" i="7"/>
  <c r="T420" i="7"/>
  <c r="S420" i="7"/>
  <c r="R420" i="7"/>
  <c r="Q420" i="7"/>
  <c r="P420" i="7"/>
  <c r="O420" i="7"/>
  <c r="N420" i="7"/>
  <c r="M420" i="7"/>
  <c r="L420" i="7"/>
  <c r="K420" i="7"/>
  <c r="J420" i="7"/>
  <c r="I420" i="7"/>
  <c r="H420" i="7"/>
  <c r="G420" i="7"/>
  <c r="AB83" i="7"/>
  <c r="AA83" i="7"/>
  <c r="Z83" i="7"/>
  <c r="Y83" i="7"/>
  <c r="X83" i="7"/>
  <c r="W83" i="7"/>
  <c r="V83" i="7"/>
  <c r="U83" i="7"/>
  <c r="T83" i="7"/>
  <c r="S83" i="7"/>
  <c r="R83" i="7"/>
  <c r="Q83" i="7"/>
  <c r="P83" i="7"/>
  <c r="O83" i="7"/>
  <c r="N83" i="7"/>
  <c r="M83" i="7"/>
  <c r="L83" i="7"/>
  <c r="K83" i="7"/>
  <c r="J83" i="7"/>
  <c r="I83" i="7"/>
  <c r="H83" i="7"/>
  <c r="G83" i="7"/>
  <c r="AB417" i="7"/>
  <c r="AA417" i="7"/>
  <c r="Z417" i="7"/>
  <c r="Y417" i="7"/>
  <c r="X417" i="7"/>
  <c r="W417" i="7"/>
  <c r="V417" i="7"/>
  <c r="U417" i="7"/>
  <c r="T417" i="7"/>
  <c r="S417" i="7"/>
  <c r="R417" i="7"/>
  <c r="Q417" i="7"/>
  <c r="P417" i="7"/>
  <c r="O417" i="7"/>
  <c r="N417" i="7"/>
  <c r="M417" i="7"/>
  <c r="L417" i="7"/>
  <c r="K417" i="7"/>
  <c r="J417" i="7"/>
  <c r="I417" i="7"/>
  <c r="H417" i="7"/>
  <c r="G417" i="7"/>
  <c r="AB230" i="12"/>
  <c r="AA230" i="12"/>
  <c r="Z230" i="12"/>
  <c r="Y230" i="12"/>
  <c r="X230" i="12"/>
  <c r="W230" i="12"/>
  <c r="V230" i="12"/>
  <c r="U230" i="12"/>
  <c r="T230" i="12"/>
  <c r="S230" i="12"/>
  <c r="R230" i="12"/>
  <c r="Q230" i="12"/>
  <c r="P230" i="12"/>
  <c r="O230" i="12"/>
  <c r="N230" i="12"/>
  <c r="M230" i="12"/>
  <c r="L230" i="12"/>
  <c r="K230" i="12"/>
  <c r="J230" i="12"/>
  <c r="I230" i="12"/>
  <c r="H230" i="12"/>
  <c r="G230" i="12"/>
  <c r="AB518" i="7"/>
  <c r="AA518" i="7"/>
  <c r="Z518" i="7"/>
  <c r="Y518" i="7"/>
  <c r="X518" i="7"/>
  <c r="W518" i="7"/>
  <c r="V518" i="7"/>
  <c r="U518" i="7"/>
  <c r="T518" i="7"/>
  <c r="S518" i="7"/>
  <c r="R518" i="7"/>
  <c r="Q518" i="7"/>
  <c r="P518" i="7"/>
  <c r="O518" i="7"/>
  <c r="N518" i="7"/>
  <c r="M518" i="7"/>
  <c r="L518" i="7"/>
  <c r="K518" i="7"/>
  <c r="J518" i="7"/>
  <c r="I518" i="7"/>
  <c r="H518" i="7"/>
  <c r="G518" i="7"/>
  <c r="AB395" i="7"/>
  <c r="AA395" i="7"/>
  <c r="Z395" i="7"/>
  <c r="Y395" i="7"/>
  <c r="X395" i="7"/>
  <c r="W395" i="7"/>
  <c r="V395" i="7"/>
  <c r="U395" i="7"/>
  <c r="T395" i="7"/>
  <c r="S395" i="7"/>
  <c r="R395" i="7"/>
  <c r="Q395" i="7"/>
  <c r="P395" i="7"/>
  <c r="O395" i="7"/>
  <c r="N395" i="7"/>
  <c r="M395" i="7"/>
  <c r="L395" i="7"/>
  <c r="K395" i="7"/>
  <c r="J395" i="7"/>
  <c r="I395" i="7"/>
  <c r="H395" i="7"/>
  <c r="G395" i="7"/>
  <c r="AB323" i="7"/>
  <c r="AA323" i="7"/>
  <c r="Z323" i="7"/>
  <c r="Y323" i="7"/>
  <c r="X323" i="7"/>
  <c r="W323" i="7"/>
  <c r="V323" i="7"/>
  <c r="U323" i="7"/>
  <c r="T323" i="7"/>
  <c r="S323" i="7"/>
  <c r="R323" i="7"/>
  <c r="Q323" i="7"/>
  <c r="P323" i="7"/>
  <c r="O323" i="7"/>
  <c r="N323" i="7"/>
  <c r="M323" i="7"/>
  <c r="L323" i="7"/>
  <c r="K323" i="7"/>
  <c r="J323" i="7"/>
  <c r="I323" i="7"/>
  <c r="H323" i="7"/>
  <c r="G323" i="7"/>
  <c r="AB324" i="7"/>
  <c r="AA324" i="7"/>
  <c r="Z324" i="7"/>
  <c r="Y324" i="7"/>
  <c r="X324" i="7"/>
  <c r="W324" i="7"/>
  <c r="V324" i="7"/>
  <c r="U324" i="7"/>
  <c r="T324" i="7"/>
  <c r="S324" i="7"/>
  <c r="R324" i="7"/>
  <c r="Q324" i="7"/>
  <c r="P324" i="7"/>
  <c r="O324" i="7"/>
  <c r="N324" i="7"/>
  <c r="M324" i="7"/>
  <c r="L324" i="7"/>
  <c r="K324" i="7"/>
  <c r="J324" i="7"/>
  <c r="I324" i="7"/>
  <c r="H324" i="7"/>
  <c r="G324" i="7"/>
  <c r="AB297" i="7"/>
  <c r="AA297" i="7"/>
  <c r="Z297" i="7"/>
  <c r="Y297" i="7"/>
  <c r="X297" i="7"/>
  <c r="W297" i="7"/>
  <c r="V297" i="7"/>
  <c r="U297" i="7"/>
  <c r="T297" i="7"/>
  <c r="S297" i="7"/>
  <c r="R297" i="7"/>
  <c r="Q297" i="7"/>
  <c r="P297" i="7"/>
  <c r="O297" i="7"/>
  <c r="N297" i="7"/>
  <c r="M297" i="7"/>
  <c r="L297" i="7"/>
  <c r="K297" i="7"/>
  <c r="J297" i="7"/>
  <c r="I297" i="7"/>
  <c r="H297" i="7"/>
  <c r="G297" i="7"/>
  <c r="AB255" i="7"/>
  <c r="AA255" i="7"/>
  <c r="Z255" i="7"/>
  <c r="Y255" i="7"/>
  <c r="X255" i="7"/>
  <c r="W255" i="7"/>
  <c r="V255" i="7"/>
  <c r="U255" i="7"/>
  <c r="T255" i="7"/>
  <c r="S255" i="7"/>
  <c r="R255" i="7"/>
  <c r="Q255" i="7"/>
  <c r="P255" i="7"/>
  <c r="O255" i="7"/>
  <c r="N255" i="7"/>
  <c r="M255" i="7"/>
  <c r="L255" i="7"/>
  <c r="K255" i="7"/>
  <c r="J255" i="7"/>
  <c r="I255" i="7"/>
  <c r="H255" i="7"/>
  <c r="G255" i="7"/>
  <c r="AB200" i="7"/>
  <c r="AA200" i="7"/>
  <c r="Z200" i="7"/>
  <c r="Y200" i="7"/>
  <c r="X200" i="7"/>
  <c r="W200" i="7"/>
  <c r="V200" i="7"/>
  <c r="U200" i="7"/>
  <c r="T200" i="7"/>
  <c r="S200" i="7"/>
  <c r="R200" i="7"/>
  <c r="Q200" i="7"/>
  <c r="P200" i="7"/>
  <c r="O200" i="7"/>
  <c r="N200" i="7"/>
  <c r="M200" i="7"/>
  <c r="L200" i="7"/>
  <c r="K200" i="7"/>
  <c r="J200" i="7"/>
  <c r="I200" i="7"/>
  <c r="H200" i="7"/>
  <c r="G200" i="7"/>
  <c r="AB209" i="8"/>
  <c r="AA209" i="8"/>
  <c r="Z209" i="8"/>
  <c r="Y209" i="8"/>
  <c r="X209" i="8"/>
  <c r="W209" i="8"/>
  <c r="V209" i="8"/>
  <c r="U209" i="8"/>
  <c r="T209" i="8"/>
  <c r="S209" i="8"/>
  <c r="R209" i="8"/>
  <c r="Q209" i="8"/>
  <c r="P209" i="8"/>
  <c r="O209" i="8"/>
  <c r="N209" i="8"/>
  <c r="M209" i="8"/>
  <c r="L209" i="8"/>
  <c r="K209" i="8"/>
  <c r="J209" i="8"/>
  <c r="I209" i="8"/>
  <c r="H209" i="8"/>
  <c r="G209" i="8"/>
  <c r="AB47" i="7"/>
  <c r="AA47" i="7"/>
  <c r="Z47" i="7"/>
  <c r="Y47" i="7"/>
  <c r="X47" i="7"/>
  <c r="W47" i="7"/>
  <c r="V47" i="7"/>
  <c r="U47" i="7"/>
  <c r="T47" i="7"/>
  <c r="S47" i="7"/>
  <c r="R47" i="7"/>
  <c r="Q47" i="7"/>
  <c r="P47" i="7"/>
  <c r="O47" i="7"/>
  <c r="N47" i="7"/>
  <c r="M47" i="7"/>
  <c r="L47" i="7"/>
  <c r="K47" i="7"/>
  <c r="J47" i="7"/>
  <c r="I47" i="7"/>
  <c r="H47" i="7"/>
  <c r="G47" i="7"/>
  <c r="AB10" i="7"/>
  <c r="AA10" i="7"/>
  <c r="Z10" i="7"/>
  <c r="Y10" i="7"/>
  <c r="X10" i="7"/>
  <c r="W10" i="7"/>
  <c r="V10" i="7"/>
  <c r="U10" i="7"/>
  <c r="T10" i="7"/>
  <c r="S10" i="7"/>
  <c r="R10" i="7"/>
  <c r="Q10" i="7"/>
  <c r="P10" i="7"/>
  <c r="O10" i="7"/>
  <c r="N10" i="7"/>
  <c r="M10" i="7"/>
  <c r="L10" i="7"/>
  <c r="K10" i="7"/>
  <c r="J10" i="7"/>
  <c r="I10" i="7"/>
  <c r="H10" i="7"/>
  <c r="G10" i="7"/>
  <c r="AB78" i="7"/>
  <c r="AA78" i="7"/>
  <c r="Z78" i="7"/>
  <c r="Y78" i="7"/>
  <c r="X78" i="7"/>
  <c r="W78" i="7"/>
  <c r="V78" i="7"/>
  <c r="U78" i="7"/>
  <c r="T78" i="7"/>
  <c r="S78" i="7"/>
  <c r="R78" i="7"/>
  <c r="Q78" i="7"/>
  <c r="P78" i="7"/>
  <c r="O78" i="7"/>
  <c r="N78" i="7"/>
  <c r="M78" i="7"/>
  <c r="L78" i="7"/>
  <c r="K78" i="7"/>
  <c r="J78" i="7"/>
  <c r="I78" i="7"/>
  <c r="H78" i="7"/>
  <c r="G78" i="7"/>
  <c r="AB114" i="7"/>
  <c r="AA114" i="7"/>
  <c r="Z114" i="7"/>
  <c r="Y114" i="7"/>
  <c r="X114" i="7"/>
  <c r="W114" i="7"/>
  <c r="V114" i="7"/>
  <c r="U114" i="7"/>
  <c r="T114" i="7"/>
  <c r="S114" i="7"/>
  <c r="R114" i="7"/>
  <c r="Q114" i="7"/>
  <c r="P114" i="7"/>
  <c r="O114" i="7"/>
  <c r="N114" i="7"/>
  <c r="M114" i="7"/>
  <c r="L114" i="7"/>
  <c r="K114" i="7"/>
  <c r="J114" i="7"/>
  <c r="I114" i="7"/>
  <c r="H114" i="7"/>
  <c r="G114" i="7"/>
  <c r="AB45" i="7"/>
  <c r="AA45" i="7"/>
  <c r="Z45" i="7"/>
  <c r="Y45" i="7"/>
  <c r="X45" i="7"/>
  <c r="W45" i="7"/>
  <c r="V45" i="7"/>
  <c r="U45" i="7"/>
  <c r="T45" i="7"/>
  <c r="S45" i="7"/>
  <c r="R45" i="7"/>
  <c r="Q45" i="7"/>
  <c r="P45" i="7"/>
  <c r="O45" i="7"/>
  <c r="N45" i="7"/>
  <c r="M45" i="7"/>
  <c r="L45" i="7"/>
  <c r="K45" i="7"/>
  <c r="J45" i="7"/>
  <c r="I45" i="7"/>
  <c r="H45" i="7"/>
  <c r="G45" i="7"/>
  <c r="J118" i="11" s="1"/>
  <c r="AB8" i="7"/>
  <c r="AA8" i="7"/>
  <c r="Z8" i="7"/>
  <c r="Y8" i="7"/>
  <c r="X8" i="7"/>
  <c r="W8" i="7"/>
  <c r="V8" i="7"/>
  <c r="CG117" i="11" s="1"/>
  <c r="U8" i="7"/>
  <c r="T8" i="7"/>
  <c r="BW117" i="11" s="1"/>
  <c r="S8" i="7"/>
  <c r="R8" i="7"/>
  <c r="BM117" i="11" s="1"/>
  <c r="Q8" i="7"/>
  <c r="P8" i="7"/>
  <c r="BC117" i="11" s="1"/>
  <c r="O8" i="7"/>
  <c r="N8" i="7"/>
  <c r="AS117" i="11" s="1"/>
  <c r="M8" i="7"/>
  <c r="L8" i="7"/>
  <c r="AI117" i="11" s="1"/>
  <c r="K8" i="7"/>
  <c r="J8" i="7"/>
  <c r="Y117" i="11" s="1"/>
  <c r="I8" i="7"/>
  <c r="H8" i="7"/>
  <c r="O117" i="11" s="1"/>
  <c r="G8" i="7"/>
  <c r="AB134" i="8"/>
  <c r="AA134" i="8"/>
  <c r="Z134" i="8"/>
  <c r="Y134" i="8"/>
  <c r="X134" i="8"/>
  <c r="W134" i="8"/>
  <c r="V134" i="8"/>
  <c r="U134" i="8"/>
  <c r="T134" i="8"/>
  <c r="S134" i="8"/>
  <c r="R134" i="8"/>
  <c r="Q134" i="8"/>
  <c r="P134" i="8"/>
  <c r="O134" i="8"/>
  <c r="N134" i="8"/>
  <c r="M134" i="8"/>
  <c r="L134" i="8"/>
  <c r="K134" i="8"/>
  <c r="J134" i="8"/>
  <c r="I134" i="8"/>
  <c r="H134" i="8"/>
  <c r="G134" i="8"/>
  <c r="AB213" i="8"/>
  <c r="AC223" i="8" s="1"/>
  <c r="AC274" i="7" s="1"/>
  <c r="AA213" i="8"/>
  <c r="Z213" i="8"/>
  <c r="Y213" i="8"/>
  <c r="X213" i="8"/>
  <c r="W213" i="8"/>
  <c r="V213" i="8"/>
  <c r="U213" i="8"/>
  <c r="T213" i="8"/>
  <c r="S213" i="8"/>
  <c r="R213" i="8"/>
  <c r="Q213" i="8"/>
  <c r="P213" i="8"/>
  <c r="O213" i="8"/>
  <c r="N213" i="8"/>
  <c r="M213" i="8"/>
  <c r="L213" i="8"/>
  <c r="K213" i="8"/>
  <c r="J213" i="8"/>
  <c r="I213" i="8"/>
  <c r="H213" i="8"/>
  <c r="G213" i="8"/>
  <c r="AB88" i="7"/>
  <c r="AB352" i="12" s="1"/>
  <c r="AA88" i="7"/>
  <c r="AA352" i="12" s="1"/>
  <c r="Z88" i="7"/>
  <c r="Z352" i="12" s="1"/>
  <c r="Y88" i="7"/>
  <c r="Y352" i="12" s="1"/>
  <c r="X88" i="7"/>
  <c r="X352" i="12" s="1"/>
  <c r="W88" i="7"/>
  <c r="W352" i="12" s="1"/>
  <c r="V88" i="7"/>
  <c r="V352" i="12" s="1"/>
  <c r="U88" i="7"/>
  <c r="U352" i="12" s="1"/>
  <c r="T88" i="7"/>
  <c r="T352" i="12" s="1"/>
  <c r="S88" i="7"/>
  <c r="S352" i="12" s="1"/>
  <c r="R88" i="7"/>
  <c r="R352" i="12" s="1"/>
  <c r="Q88" i="7"/>
  <c r="Q352" i="12" s="1"/>
  <c r="P88" i="7"/>
  <c r="P352" i="12" s="1"/>
  <c r="O88" i="7"/>
  <c r="O352" i="12" s="1"/>
  <c r="N88" i="7"/>
  <c r="N352" i="12" s="1"/>
  <c r="M88" i="7"/>
  <c r="M352" i="12" s="1"/>
  <c r="L88" i="7"/>
  <c r="L352" i="12" s="1"/>
  <c r="K88" i="7"/>
  <c r="K352" i="12" s="1"/>
  <c r="J88" i="7"/>
  <c r="J352" i="12" s="1"/>
  <c r="I88" i="7"/>
  <c r="I352" i="12" s="1"/>
  <c r="H88" i="7"/>
  <c r="H352" i="12" s="1"/>
  <c r="G88" i="7"/>
  <c r="G101" i="7" s="1"/>
  <c r="AB341" i="12"/>
  <c r="AA341" i="12"/>
  <c r="Z341" i="12"/>
  <c r="Y341" i="12"/>
  <c r="X341" i="12"/>
  <c r="W341" i="12"/>
  <c r="V341" i="12"/>
  <c r="U341" i="12"/>
  <c r="T341" i="12"/>
  <c r="S341" i="12"/>
  <c r="R341" i="12"/>
  <c r="Q341" i="12"/>
  <c r="P341" i="12"/>
  <c r="O341" i="12"/>
  <c r="N341" i="12"/>
  <c r="M341" i="12"/>
  <c r="L341" i="12"/>
  <c r="K341" i="12"/>
  <c r="J341" i="12"/>
  <c r="I341" i="12"/>
  <c r="H341" i="12"/>
  <c r="G341" i="12"/>
  <c r="AB792" i="7"/>
  <c r="BC792" i="7" s="1"/>
  <c r="AA792" i="7"/>
  <c r="Z792" i="7"/>
  <c r="Y792" i="7"/>
  <c r="X792" i="7"/>
  <c r="W792" i="7"/>
  <c r="V792" i="7"/>
  <c r="U792" i="7"/>
  <c r="T792" i="7"/>
  <c r="S792" i="7"/>
  <c r="R792" i="7"/>
  <c r="Q792" i="7"/>
  <c r="P792" i="7"/>
  <c r="O792" i="7"/>
  <c r="N792" i="7"/>
  <c r="M792" i="7"/>
  <c r="L792" i="7"/>
  <c r="K792" i="7"/>
  <c r="J792" i="7"/>
  <c r="I792" i="7"/>
  <c r="H792" i="7"/>
  <c r="G792" i="7"/>
  <c r="BC784" i="7"/>
  <c r="Y784" i="7"/>
  <c r="X784" i="7"/>
  <c r="W784" i="7"/>
  <c r="V784" i="7"/>
  <c r="U784" i="7"/>
  <c r="T784" i="7"/>
  <c r="S784" i="7"/>
  <c r="R784" i="7"/>
  <c r="Q784" i="7"/>
  <c r="P784" i="7"/>
  <c r="O784" i="7"/>
  <c r="N784" i="7"/>
  <c r="M784" i="7"/>
  <c r="L784" i="7"/>
  <c r="K784" i="7"/>
  <c r="J784" i="7"/>
  <c r="I784" i="7"/>
  <c r="H784" i="7"/>
  <c r="G784" i="7"/>
  <c r="AB773" i="7"/>
  <c r="BC773" i="7" s="1"/>
  <c r="AA773" i="7"/>
  <c r="Z773" i="7"/>
  <c r="Y773" i="7"/>
  <c r="X773" i="7"/>
  <c r="W773" i="7"/>
  <c r="V773" i="7"/>
  <c r="U773" i="7"/>
  <c r="T773" i="7"/>
  <c r="S773" i="7"/>
  <c r="R773" i="7"/>
  <c r="Q773" i="7"/>
  <c r="P773" i="7"/>
  <c r="O773" i="7"/>
  <c r="N773" i="7"/>
  <c r="M773" i="7"/>
  <c r="L773" i="7"/>
  <c r="K773" i="7"/>
  <c r="J773" i="7"/>
  <c r="I773" i="7"/>
  <c r="H773" i="7"/>
  <c r="G773" i="7"/>
  <c r="AB311" i="12"/>
  <c r="AA311" i="12"/>
  <c r="Z311" i="12"/>
  <c r="Y311" i="12"/>
  <c r="X311" i="12"/>
  <c r="W311" i="12"/>
  <c r="V311" i="12"/>
  <c r="U311" i="12"/>
  <c r="T311" i="12"/>
  <c r="S311" i="12"/>
  <c r="R311" i="12"/>
  <c r="Q311" i="12"/>
  <c r="P311" i="12"/>
  <c r="O311" i="12"/>
  <c r="N311" i="12"/>
  <c r="M311" i="12"/>
  <c r="L311" i="12"/>
  <c r="K311" i="12"/>
  <c r="J311" i="12"/>
  <c r="I311" i="12"/>
  <c r="H311" i="12"/>
  <c r="G311" i="12"/>
  <c r="AB309" i="12"/>
  <c r="AC315" i="12" s="1"/>
  <c r="AA309" i="12"/>
  <c r="Z309" i="12"/>
  <c r="Y309" i="12"/>
  <c r="X309" i="12"/>
  <c r="W309" i="12"/>
  <c r="V309" i="12"/>
  <c r="U309" i="12"/>
  <c r="T309" i="12"/>
  <c r="S309" i="12"/>
  <c r="R309" i="12"/>
  <c r="Q309" i="12"/>
  <c r="P309" i="12"/>
  <c r="O309" i="12"/>
  <c r="N309" i="12"/>
  <c r="M309" i="12"/>
  <c r="L309" i="12"/>
  <c r="K309" i="12"/>
  <c r="J309" i="12"/>
  <c r="I309" i="12"/>
  <c r="H309" i="12"/>
  <c r="G309" i="12"/>
  <c r="AB310" i="12"/>
  <c r="AC316" i="12" s="1"/>
  <c r="AA310" i="12"/>
  <c r="Z310" i="12"/>
  <c r="Y310" i="12"/>
  <c r="X310" i="12"/>
  <c r="W310" i="12"/>
  <c r="V310" i="12"/>
  <c r="U310" i="12"/>
  <c r="T310" i="12"/>
  <c r="S310" i="12"/>
  <c r="R310" i="12"/>
  <c r="Q310" i="12"/>
  <c r="P310" i="12"/>
  <c r="O310" i="12"/>
  <c r="N310" i="12"/>
  <c r="M310" i="12"/>
  <c r="L310" i="12"/>
  <c r="K310" i="12"/>
  <c r="J310" i="12"/>
  <c r="I310" i="12"/>
  <c r="H310" i="12"/>
  <c r="G310" i="12"/>
  <c r="AB279" i="12"/>
  <c r="AA279" i="12"/>
  <c r="Z279" i="12"/>
  <c r="Y279" i="12"/>
  <c r="X279" i="12"/>
  <c r="W279" i="12"/>
  <c r="V279" i="12"/>
  <c r="U279" i="12"/>
  <c r="T279" i="12"/>
  <c r="S279" i="12"/>
  <c r="R279" i="12"/>
  <c r="Q279" i="12"/>
  <c r="P279" i="12"/>
  <c r="O279" i="12"/>
  <c r="N279" i="12"/>
  <c r="M279" i="12"/>
  <c r="L279" i="12"/>
  <c r="K279" i="12"/>
  <c r="J279" i="12"/>
  <c r="I279" i="12"/>
  <c r="H279" i="12"/>
  <c r="G279" i="12"/>
  <c r="AB277" i="12"/>
  <c r="AC283" i="12" s="1"/>
  <c r="AA277" i="12"/>
  <c r="Z277" i="12"/>
  <c r="Y277" i="12"/>
  <c r="X277" i="12"/>
  <c r="W277" i="12"/>
  <c r="V277" i="12"/>
  <c r="U277" i="12"/>
  <c r="T277" i="12"/>
  <c r="S277" i="12"/>
  <c r="R277" i="12"/>
  <c r="Q277" i="12"/>
  <c r="P277" i="12"/>
  <c r="O277" i="12"/>
  <c r="N277" i="12"/>
  <c r="M277" i="12"/>
  <c r="L277" i="12"/>
  <c r="K277" i="12"/>
  <c r="J277" i="12"/>
  <c r="I277" i="12"/>
  <c r="H277" i="12"/>
  <c r="G277" i="12"/>
  <c r="AB278" i="12"/>
  <c r="AC284" i="12" s="1"/>
  <c r="AA278" i="12"/>
  <c r="Z278" i="12"/>
  <c r="Y278" i="12"/>
  <c r="X278" i="12"/>
  <c r="W278" i="12"/>
  <c r="V278" i="12"/>
  <c r="U278" i="12"/>
  <c r="T278" i="12"/>
  <c r="S278" i="12"/>
  <c r="R278" i="12"/>
  <c r="Q278" i="12"/>
  <c r="P278" i="12"/>
  <c r="O278" i="12"/>
  <c r="N278" i="12"/>
  <c r="M278" i="12"/>
  <c r="L278" i="12"/>
  <c r="K278" i="12"/>
  <c r="J278" i="12"/>
  <c r="I278" i="12"/>
  <c r="H278" i="12"/>
  <c r="G278" i="12"/>
  <c r="Y564" i="7"/>
  <c r="Z573" i="7" s="1"/>
  <c r="X564" i="7"/>
  <c r="W564" i="7"/>
  <c r="V564" i="7"/>
  <c r="U564" i="7"/>
  <c r="T564" i="7"/>
  <c r="S564" i="7"/>
  <c r="R564" i="7"/>
  <c r="Q564" i="7"/>
  <c r="P564" i="7"/>
  <c r="O564" i="7"/>
  <c r="N564" i="7"/>
  <c r="M564" i="7"/>
  <c r="L564" i="7"/>
  <c r="K564" i="7"/>
  <c r="J564" i="7"/>
  <c r="I564" i="7"/>
  <c r="H564" i="7"/>
  <c r="G564" i="7"/>
  <c r="AB300" i="12"/>
  <c r="AA300" i="12"/>
  <c r="Z300" i="12"/>
  <c r="Y300" i="12"/>
  <c r="X300" i="12"/>
  <c r="W300" i="12"/>
  <c r="V300" i="12"/>
  <c r="U300" i="12"/>
  <c r="T300" i="12"/>
  <c r="S300" i="12"/>
  <c r="R300" i="12"/>
  <c r="Q300" i="12"/>
  <c r="P300" i="12"/>
  <c r="O300" i="12"/>
  <c r="N300" i="12"/>
  <c r="M300" i="12"/>
  <c r="L300" i="12"/>
  <c r="K300" i="12"/>
  <c r="J300" i="12"/>
  <c r="I300" i="12"/>
  <c r="H300" i="12"/>
  <c r="G300" i="12"/>
  <c r="AB268" i="12"/>
  <c r="AC274" i="12" s="1"/>
  <c r="AA268" i="12"/>
  <c r="Z268" i="12"/>
  <c r="Y268" i="12"/>
  <c r="X268" i="12"/>
  <c r="W268" i="12"/>
  <c r="V268" i="12"/>
  <c r="U268" i="12"/>
  <c r="T268" i="12"/>
  <c r="S268" i="12"/>
  <c r="R268" i="12"/>
  <c r="Q268" i="12"/>
  <c r="P268" i="12"/>
  <c r="O268" i="12"/>
  <c r="N268" i="12"/>
  <c r="M268" i="12"/>
  <c r="L268" i="12"/>
  <c r="K268" i="12"/>
  <c r="J268" i="12"/>
  <c r="I268" i="12"/>
  <c r="H268" i="12"/>
  <c r="G268" i="12"/>
  <c r="AB250" i="12"/>
  <c r="AC257" i="12" s="1"/>
  <c r="AA250" i="12"/>
  <c r="Z250" i="12"/>
  <c r="Y250" i="12"/>
  <c r="X250" i="12"/>
  <c r="W250" i="12"/>
  <c r="V250" i="12"/>
  <c r="U250" i="12"/>
  <c r="T250" i="12"/>
  <c r="S250" i="12"/>
  <c r="R250" i="12"/>
  <c r="Q250" i="12"/>
  <c r="P250" i="12"/>
  <c r="O250" i="12"/>
  <c r="N250" i="12"/>
  <c r="M250" i="12"/>
  <c r="L250" i="12"/>
  <c r="K250" i="12"/>
  <c r="J250" i="12"/>
  <c r="I250" i="12"/>
  <c r="H250" i="12"/>
  <c r="G250" i="12"/>
  <c r="AB260" i="12"/>
  <c r="AC263" i="12" s="1"/>
  <c r="AA260" i="12"/>
  <c r="Z260" i="12"/>
  <c r="Y542" i="7"/>
  <c r="X542" i="7"/>
  <c r="W542" i="7"/>
  <c r="V542" i="7"/>
  <c r="U542" i="7"/>
  <c r="T542" i="7"/>
  <c r="S542" i="7"/>
  <c r="R542" i="7"/>
  <c r="Q542" i="7"/>
  <c r="P542" i="7"/>
  <c r="O542" i="7"/>
  <c r="N542" i="7"/>
  <c r="M542" i="7"/>
  <c r="L542" i="7"/>
  <c r="K542" i="7"/>
  <c r="J542" i="7"/>
  <c r="I542" i="7"/>
  <c r="H542" i="7"/>
  <c r="G542" i="7"/>
  <c r="AB212" i="12"/>
  <c r="AA212" i="12"/>
  <c r="Z212" i="12"/>
  <c r="Y212" i="12"/>
  <c r="X212" i="12"/>
  <c r="W212" i="12"/>
  <c r="V212" i="12"/>
  <c r="U212" i="12"/>
  <c r="T212" i="12"/>
  <c r="S212" i="12"/>
  <c r="R212" i="12"/>
  <c r="Q212" i="12"/>
  <c r="P212" i="12"/>
  <c r="O212" i="12"/>
  <c r="N212" i="12"/>
  <c r="M212" i="12"/>
  <c r="L212" i="12"/>
  <c r="K212" i="12"/>
  <c r="J212" i="12"/>
  <c r="I212" i="12"/>
  <c r="H212" i="12"/>
  <c r="G212" i="12"/>
  <c r="AB211" i="12"/>
  <c r="AC224" i="12" s="1"/>
  <c r="AA211" i="12"/>
  <c r="Z211" i="12"/>
  <c r="Y211" i="12"/>
  <c r="X211" i="12"/>
  <c r="W211" i="12"/>
  <c r="V211" i="12"/>
  <c r="U211" i="12"/>
  <c r="T211" i="12"/>
  <c r="S211" i="12"/>
  <c r="R211" i="12"/>
  <c r="Q211" i="12"/>
  <c r="P211" i="12"/>
  <c r="O211" i="12"/>
  <c r="N211" i="12"/>
  <c r="M211" i="12"/>
  <c r="L211" i="12"/>
  <c r="K211" i="12"/>
  <c r="J211" i="12"/>
  <c r="I211" i="12"/>
  <c r="H211" i="12"/>
  <c r="G211" i="12"/>
  <c r="AB206" i="12"/>
  <c r="AC220" i="12" s="1"/>
  <c r="AA206" i="12"/>
  <c r="Z206" i="12"/>
  <c r="Y206" i="12"/>
  <c r="X206" i="12"/>
  <c r="W206" i="12"/>
  <c r="V206" i="12"/>
  <c r="U206" i="12"/>
  <c r="T206" i="12"/>
  <c r="S206" i="12"/>
  <c r="R206" i="12"/>
  <c r="Q206" i="12"/>
  <c r="P206" i="12"/>
  <c r="O206" i="12"/>
  <c r="N206" i="12"/>
  <c r="M206" i="12"/>
  <c r="L206" i="12"/>
  <c r="K206" i="12"/>
  <c r="J206" i="12"/>
  <c r="I206" i="12"/>
  <c r="H206" i="12"/>
  <c r="G206" i="12"/>
  <c r="AB210" i="12"/>
  <c r="AC223" i="12" s="1"/>
  <c r="AA210" i="12"/>
  <c r="Z210" i="12"/>
  <c r="Y210" i="12"/>
  <c r="X210" i="12"/>
  <c r="W210" i="12"/>
  <c r="V210" i="12"/>
  <c r="U210" i="12"/>
  <c r="T210" i="12"/>
  <c r="S210" i="12"/>
  <c r="R210" i="12"/>
  <c r="Q210" i="12"/>
  <c r="P210" i="12"/>
  <c r="O210" i="12"/>
  <c r="N210" i="12"/>
  <c r="M210" i="12"/>
  <c r="L210" i="12"/>
  <c r="K210" i="12"/>
  <c r="J210" i="12"/>
  <c r="I210" i="12"/>
  <c r="H210" i="12"/>
  <c r="G210" i="12"/>
  <c r="AB205" i="12"/>
  <c r="AA205" i="12"/>
  <c r="Z205" i="12"/>
  <c r="Y205" i="12"/>
  <c r="X205" i="12"/>
  <c r="W205" i="12"/>
  <c r="V205" i="12"/>
  <c r="U205" i="12"/>
  <c r="T205" i="12"/>
  <c r="S205" i="12"/>
  <c r="R205" i="12"/>
  <c r="Q205" i="12"/>
  <c r="P205" i="12"/>
  <c r="O205" i="12"/>
  <c r="N205" i="12"/>
  <c r="M205" i="12"/>
  <c r="L205" i="12"/>
  <c r="K205" i="12"/>
  <c r="J205" i="12"/>
  <c r="I205" i="12"/>
  <c r="H205" i="12"/>
  <c r="G205" i="12"/>
  <c r="AB204" i="12"/>
  <c r="AC218" i="12" s="1"/>
  <c r="AA204" i="12"/>
  <c r="Z204" i="12"/>
  <c r="Y204" i="12"/>
  <c r="X204" i="12"/>
  <c r="W204" i="12"/>
  <c r="V204" i="12"/>
  <c r="U204" i="12"/>
  <c r="T204" i="12"/>
  <c r="S204" i="12"/>
  <c r="R204" i="12"/>
  <c r="Q204" i="12"/>
  <c r="P204" i="12"/>
  <c r="O204" i="12"/>
  <c r="N204" i="12"/>
  <c r="M204" i="12"/>
  <c r="L204" i="12"/>
  <c r="K204" i="12"/>
  <c r="J204" i="12"/>
  <c r="I204" i="12"/>
  <c r="H204" i="12"/>
  <c r="G204" i="12"/>
  <c r="AC199" i="12"/>
  <c r="AA193" i="12"/>
  <c r="Z193" i="12"/>
  <c r="Y193" i="12"/>
  <c r="X193" i="12"/>
  <c r="W193" i="12"/>
  <c r="V193" i="12"/>
  <c r="U193" i="12"/>
  <c r="T193" i="12"/>
  <c r="S193" i="12"/>
  <c r="R193" i="12"/>
  <c r="Q193" i="12"/>
  <c r="P193" i="12"/>
  <c r="O193" i="12"/>
  <c r="N193" i="12"/>
  <c r="M193" i="12"/>
  <c r="L193" i="12"/>
  <c r="K193" i="12"/>
  <c r="J193" i="12"/>
  <c r="I193" i="12"/>
  <c r="H193" i="12"/>
  <c r="G193" i="12"/>
  <c r="AC198" i="12"/>
  <c r="AA192" i="12"/>
  <c r="Z192" i="12"/>
  <c r="Y192" i="12"/>
  <c r="X192" i="12"/>
  <c r="W192" i="12"/>
  <c r="V192" i="12"/>
  <c r="U192" i="12"/>
  <c r="T192" i="12"/>
  <c r="S192" i="12"/>
  <c r="R192" i="12"/>
  <c r="Q192" i="12"/>
  <c r="P192" i="12"/>
  <c r="O192" i="12"/>
  <c r="N192" i="12"/>
  <c r="M192" i="12"/>
  <c r="L192" i="12"/>
  <c r="K192" i="12"/>
  <c r="J192" i="12"/>
  <c r="I192" i="12"/>
  <c r="H192" i="12"/>
  <c r="G192" i="12"/>
  <c r="AC197" i="12"/>
  <c r="AC433" i="7" s="1"/>
  <c r="AA191" i="12"/>
  <c r="Z191" i="12"/>
  <c r="Y191" i="12"/>
  <c r="X191" i="12"/>
  <c r="W191" i="12"/>
  <c r="V191" i="12"/>
  <c r="U191" i="12"/>
  <c r="T191" i="12"/>
  <c r="S191" i="12"/>
  <c r="R191" i="12"/>
  <c r="Q191" i="12"/>
  <c r="P191" i="12"/>
  <c r="O191" i="12"/>
  <c r="N191" i="12"/>
  <c r="M191" i="12"/>
  <c r="L191" i="12"/>
  <c r="K191" i="12"/>
  <c r="J191" i="12"/>
  <c r="I191" i="12"/>
  <c r="H191" i="12"/>
  <c r="G191" i="12"/>
  <c r="AB185" i="12"/>
  <c r="AA185" i="12"/>
  <c r="Z185" i="12"/>
  <c r="Y185" i="12"/>
  <c r="X185" i="12"/>
  <c r="W185" i="12"/>
  <c r="V185" i="12"/>
  <c r="U185" i="12"/>
  <c r="T185" i="12"/>
  <c r="S185" i="12"/>
  <c r="R185" i="12"/>
  <c r="Q185" i="12"/>
  <c r="P185" i="12"/>
  <c r="O185" i="12"/>
  <c r="N185" i="12"/>
  <c r="M185" i="12"/>
  <c r="L185" i="12"/>
  <c r="K185" i="12"/>
  <c r="J185" i="12"/>
  <c r="I185" i="12"/>
  <c r="H185" i="12"/>
  <c r="G185" i="12"/>
  <c r="AB125" i="12"/>
  <c r="AA125" i="12"/>
  <c r="Z125" i="12"/>
  <c r="Y125" i="12"/>
  <c r="X125" i="12"/>
  <c r="W125" i="12"/>
  <c r="V125" i="12"/>
  <c r="U125" i="12"/>
  <c r="T125" i="12"/>
  <c r="S125" i="12"/>
  <c r="R125" i="12"/>
  <c r="Q125" i="12"/>
  <c r="P125" i="12"/>
  <c r="O125" i="12"/>
  <c r="N125" i="12"/>
  <c r="M125" i="12"/>
  <c r="L125" i="12"/>
  <c r="K125" i="12"/>
  <c r="J125" i="12"/>
  <c r="I125" i="12"/>
  <c r="H125" i="12"/>
  <c r="G125" i="12"/>
  <c r="AB159" i="12"/>
  <c r="AC162" i="12" s="1"/>
  <c r="DM119" i="11" s="1"/>
  <c r="AA159" i="12"/>
  <c r="Z159" i="12"/>
  <c r="Y159" i="12"/>
  <c r="X159" i="12"/>
  <c r="W159" i="12"/>
  <c r="V159" i="12"/>
  <c r="U159" i="12"/>
  <c r="T159" i="12"/>
  <c r="S159" i="12"/>
  <c r="R159" i="12"/>
  <c r="Q159" i="12"/>
  <c r="P159" i="12"/>
  <c r="O159" i="12"/>
  <c r="N159" i="12"/>
  <c r="M159" i="12"/>
  <c r="L159" i="12"/>
  <c r="K159" i="12"/>
  <c r="J159" i="12"/>
  <c r="I159" i="12"/>
  <c r="H159" i="12"/>
  <c r="G159" i="12"/>
  <c r="G242" i="8" s="1"/>
  <c r="AB105" i="12"/>
  <c r="AC111" i="12" s="1"/>
  <c r="AA105" i="12"/>
  <c r="Z105" i="12"/>
  <c r="Y105" i="12"/>
  <c r="X105" i="12"/>
  <c r="W105" i="12"/>
  <c r="V105" i="12"/>
  <c r="U105" i="12"/>
  <c r="T105" i="12"/>
  <c r="S105" i="12"/>
  <c r="R105" i="12"/>
  <c r="Q105" i="12"/>
  <c r="P105" i="12"/>
  <c r="O105" i="12"/>
  <c r="N105" i="12"/>
  <c r="M105" i="12"/>
  <c r="L105" i="12"/>
  <c r="K105" i="12"/>
  <c r="J105" i="12"/>
  <c r="I105" i="12"/>
  <c r="H105" i="12"/>
  <c r="G105" i="12"/>
  <c r="AB103" i="12"/>
  <c r="AC109" i="12" s="1"/>
  <c r="DM101" i="11" s="1"/>
  <c r="AA103" i="12"/>
  <c r="Z103" i="12"/>
  <c r="Y103" i="12"/>
  <c r="X103" i="12"/>
  <c r="W103" i="12"/>
  <c r="V103" i="12"/>
  <c r="U103" i="12"/>
  <c r="T103" i="12"/>
  <c r="S103" i="12"/>
  <c r="R103" i="12"/>
  <c r="Q103" i="12"/>
  <c r="P103" i="12"/>
  <c r="O103" i="12"/>
  <c r="N103" i="12"/>
  <c r="M103" i="12"/>
  <c r="L103" i="12"/>
  <c r="K103" i="12"/>
  <c r="J103" i="12"/>
  <c r="I103" i="12"/>
  <c r="H103" i="12"/>
  <c r="G103" i="12"/>
  <c r="J225" i="17" s="1"/>
  <c r="AB104" i="12"/>
  <c r="AC110" i="12" s="1"/>
  <c r="DM102" i="11" s="1"/>
  <c r="AA104" i="12"/>
  <c r="Z104" i="12"/>
  <c r="Y104" i="12"/>
  <c r="X104" i="12"/>
  <c r="W104" i="12"/>
  <c r="V104" i="12"/>
  <c r="U104" i="12"/>
  <c r="T104" i="12"/>
  <c r="S104" i="12"/>
  <c r="R104" i="12"/>
  <c r="Q104" i="12"/>
  <c r="P104" i="12"/>
  <c r="O104" i="12"/>
  <c r="N104" i="12"/>
  <c r="M104" i="12"/>
  <c r="L104" i="12"/>
  <c r="K104" i="12"/>
  <c r="J104" i="12"/>
  <c r="I104" i="12"/>
  <c r="H104" i="12"/>
  <c r="G104" i="12"/>
  <c r="J222" i="17" s="1"/>
  <c r="AB83" i="12"/>
  <c r="AC89" i="12" s="1"/>
  <c r="AA83" i="12"/>
  <c r="Z83" i="12"/>
  <c r="Y83" i="12"/>
  <c r="X83" i="12"/>
  <c r="W83" i="12"/>
  <c r="V83" i="12"/>
  <c r="U83" i="12"/>
  <c r="T83" i="12"/>
  <c r="S83" i="12"/>
  <c r="R83" i="12"/>
  <c r="Q83" i="12"/>
  <c r="P83" i="12"/>
  <c r="O83" i="12"/>
  <c r="N83" i="12"/>
  <c r="M83" i="12"/>
  <c r="L83" i="12"/>
  <c r="K83" i="12"/>
  <c r="J83" i="12"/>
  <c r="I83" i="12"/>
  <c r="H83" i="12"/>
  <c r="G83" i="12"/>
  <c r="AB81" i="12"/>
  <c r="AC87" i="12" s="1"/>
  <c r="DM86" i="11" s="1"/>
  <c r="AA81" i="12"/>
  <c r="Z81" i="12"/>
  <c r="Y81" i="12"/>
  <c r="X81" i="12"/>
  <c r="W81" i="12"/>
  <c r="V81" i="12"/>
  <c r="U81" i="12"/>
  <c r="T81" i="12"/>
  <c r="S81" i="12"/>
  <c r="R81" i="12"/>
  <c r="Q81" i="12"/>
  <c r="P81" i="12"/>
  <c r="O81" i="12"/>
  <c r="N81" i="12"/>
  <c r="M81" i="12"/>
  <c r="L81" i="12"/>
  <c r="K81" i="12"/>
  <c r="J81" i="12"/>
  <c r="I81" i="12"/>
  <c r="H81" i="12"/>
  <c r="G81" i="12"/>
  <c r="J168" i="17" s="1"/>
  <c r="AB82" i="12"/>
  <c r="AC88" i="12" s="1"/>
  <c r="DM87" i="11" s="1"/>
  <c r="AA82" i="12"/>
  <c r="Z82" i="12"/>
  <c r="Y82" i="12"/>
  <c r="X82" i="12"/>
  <c r="W82" i="12"/>
  <c r="V82" i="12"/>
  <c r="U82" i="12"/>
  <c r="T82" i="12"/>
  <c r="S82" i="12"/>
  <c r="R82" i="12"/>
  <c r="Q82" i="12"/>
  <c r="P82" i="12"/>
  <c r="O82" i="12"/>
  <c r="N82" i="12"/>
  <c r="M82" i="12"/>
  <c r="L82" i="12"/>
  <c r="K82" i="12"/>
  <c r="J82" i="12"/>
  <c r="I82" i="12"/>
  <c r="H82" i="12"/>
  <c r="G82" i="12"/>
  <c r="AB94" i="12"/>
  <c r="AC100" i="12" s="1"/>
  <c r="DM14" i="11" s="1"/>
  <c r="AA94" i="12"/>
  <c r="Z94" i="12"/>
  <c r="Y94" i="12"/>
  <c r="X94" i="12"/>
  <c r="W94" i="12"/>
  <c r="V94" i="12"/>
  <c r="U94" i="12"/>
  <c r="T94" i="12"/>
  <c r="S94" i="12"/>
  <c r="R94" i="12"/>
  <c r="Q94" i="12"/>
  <c r="P94" i="12"/>
  <c r="O94" i="12"/>
  <c r="N94" i="12"/>
  <c r="M94" i="12"/>
  <c r="L94" i="12"/>
  <c r="K94" i="12"/>
  <c r="J94" i="12"/>
  <c r="I94" i="12"/>
  <c r="H94" i="12"/>
  <c r="G94" i="12"/>
  <c r="AB72" i="12"/>
  <c r="AC78" i="12" s="1"/>
  <c r="DM12" i="11" s="1"/>
  <c r="AA72" i="12"/>
  <c r="Z72" i="12"/>
  <c r="Y72" i="12"/>
  <c r="X72" i="12"/>
  <c r="W72" i="12"/>
  <c r="V72" i="12"/>
  <c r="U72" i="12"/>
  <c r="T72" i="12"/>
  <c r="S72" i="12"/>
  <c r="R72" i="12"/>
  <c r="Q72" i="12"/>
  <c r="P72" i="12"/>
  <c r="O72" i="12"/>
  <c r="N72" i="12"/>
  <c r="M72" i="12"/>
  <c r="L72" i="12"/>
  <c r="K72" i="12"/>
  <c r="J72" i="12"/>
  <c r="I72" i="12"/>
  <c r="H72" i="12"/>
  <c r="G72" i="12"/>
  <c r="AB54" i="12"/>
  <c r="AC61" i="12" s="1"/>
  <c r="DM10" i="11" s="1"/>
  <c r="AA54" i="12"/>
  <c r="Z54" i="12"/>
  <c r="Y54" i="12"/>
  <c r="X54" i="12"/>
  <c r="W54" i="12"/>
  <c r="V54" i="12"/>
  <c r="U54" i="12"/>
  <c r="T54" i="12"/>
  <c r="S54" i="12"/>
  <c r="R54" i="12"/>
  <c r="Q54" i="12"/>
  <c r="P54" i="12"/>
  <c r="O54" i="12"/>
  <c r="N54" i="12"/>
  <c r="M54" i="12"/>
  <c r="L54" i="12"/>
  <c r="K54" i="12"/>
  <c r="J54" i="12"/>
  <c r="I54" i="12"/>
  <c r="H54" i="12"/>
  <c r="G54" i="12"/>
  <c r="AB64" i="12"/>
  <c r="AC67" i="12" s="1"/>
  <c r="AA64" i="12"/>
  <c r="Z64" i="12"/>
  <c r="Y64" i="12"/>
  <c r="X64" i="12"/>
  <c r="W64" i="12"/>
  <c r="V64" i="12"/>
  <c r="U64" i="12"/>
  <c r="T64" i="12"/>
  <c r="S64" i="12"/>
  <c r="R64" i="12"/>
  <c r="Q64" i="12"/>
  <c r="P64" i="12"/>
  <c r="O64" i="12"/>
  <c r="N64" i="12"/>
  <c r="M64" i="12"/>
  <c r="L64" i="12"/>
  <c r="K64" i="12"/>
  <c r="J64" i="12"/>
  <c r="I64" i="12"/>
  <c r="H64" i="12"/>
  <c r="G64" i="12"/>
  <c r="AB29" i="12"/>
  <c r="AB17" i="12" s="1"/>
  <c r="AA29" i="12"/>
  <c r="AA17" i="12" s="1"/>
  <c r="Z29" i="12"/>
  <c r="Z17" i="12" s="1"/>
  <c r="Y29" i="12"/>
  <c r="Y17" i="12" s="1"/>
  <c r="X29" i="12"/>
  <c r="X17" i="12" s="1"/>
  <c r="W29" i="12"/>
  <c r="W17" i="12" s="1"/>
  <c r="V29" i="12"/>
  <c r="V17" i="12" s="1"/>
  <c r="U29" i="12"/>
  <c r="T29" i="12"/>
  <c r="S29" i="12"/>
  <c r="R29" i="12"/>
  <c r="Q29" i="12"/>
  <c r="P29" i="12"/>
  <c r="O29" i="12"/>
  <c r="N29" i="12"/>
  <c r="M29" i="12"/>
  <c r="L29" i="12"/>
  <c r="K29" i="12"/>
  <c r="J29" i="12"/>
  <c r="I29" i="12"/>
  <c r="H29" i="12"/>
  <c r="G29" i="12"/>
  <c r="AB28" i="12"/>
  <c r="AC41" i="12" s="1"/>
  <c r="DM63" i="11" s="1"/>
  <c r="AA28" i="12"/>
  <c r="Z28" i="12"/>
  <c r="Y28" i="12"/>
  <c r="X28" i="12"/>
  <c r="W28" i="12"/>
  <c r="V28" i="12"/>
  <c r="U28" i="12"/>
  <c r="T28" i="12"/>
  <c r="S28" i="12"/>
  <c r="R28" i="12"/>
  <c r="Q28" i="12"/>
  <c r="P28" i="12"/>
  <c r="O28" i="12"/>
  <c r="N28" i="12"/>
  <c r="M28" i="12"/>
  <c r="L28" i="12"/>
  <c r="K28" i="12"/>
  <c r="J28" i="12"/>
  <c r="I28" i="12"/>
  <c r="H28" i="12"/>
  <c r="G28" i="12"/>
  <c r="J68" i="17" s="1"/>
  <c r="AB27" i="12"/>
  <c r="AC40" i="12" s="1"/>
  <c r="DM62" i="11" s="1"/>
  <c r="AA27" i="12"/>
  <c r="Z27" i="12"/>
  <c r="Y27" i="12"/>
  <c r="X27" i="12"/>
  <c r="W27" i="12"/>
  <c r="V27" i="12"/>
  <c r="U27" i="12"/>
  <c r="T27" i="12"/>
  <c r="S27" i="12"/>
  <c r="R27" i="12"/>
  <c r="Q27" i="12"/>
  <c r="P27" i="12"/>
  <c r="O27" i="12"/>
  <c r="N27" i="12"/>
  <c r="M27" i="12"/>
  <c r="L27" i="12"/>
  <c r="K27" i="12"/>
  <c r="J27" i="12"/>
  <c r="I27" i="12"/>
  <c r="H27" i="12"/>
  <c r="G27" i="12"/>
  <c r="J62" i="17" s="1"/>
  <c r="AB23" i="12"/>
  <c r="AC37" i="12" s="1"/>
  <c r="AA23" i="12"/>
  <c r="Z23" i="12"/>
  <c r="Y23" i="12"/>
  <c r="X23" i="12"/>
  <c r="W23" i="12"/>
  <c r="V23" i="12"/>
  <c r="U23" i="12"/>
  <c r="T23" i="12"/>
  <c r="S23" i="12"/>
  <c r="R23" i="12"/>
  <c r="Q23" i="12"/>
  <c r="P23" i="12"/>
  <c r="O23" i="12"/>
  <c r="N23" i="12"/>
  <c r="M23" i="12"/>
  <c r="L23" i="12"/>
  <c r="K23" i="12"/>
  <c r="J23" i="12"/>
  <c r="I23" i="12"/>
  <c r="H23" i="12"/>
  <c r="G23" i="12"/>
  <c r="J65" i="17" s="1"/>
  <c r="AB22" i="12"/>
  <c r="AA22" i="12"/>
  <c r="AA31" i="12" s="1"/>
  <c r="Z22" i="12"/>
  <c r="Z31" i="12" s="1"/>
  <c r="Y22" i="12"/>
  <c r="Y31" i="12" s="1"/>
  <c r="X22" i="12"/>
  <c r="X31" i="12" s="1"/>
  <c r="W22" i="12"/>
  <c r="W31" i="12" s="1"/>
  <c r="V22" i="12"/>
  <c r="V31" i="12" s="1"/>
  <c r="U22" i="12"/>
  <c r="T22" i="12"/>
  <c r="S22" i="12"/>
  <c r="R22" i="12"/>
  <c r="Q22" i="12"/>
  <c r="P22" i="12"/>
  <c r="O22" i="12"/>
  <c r="N22" i="12"/>
  <c r="M22" i="12"/>
  <c r="L22" i="12"/>
  <c r="K22" i="12"/>
  <c r="J22" i="12"/>
  <c r="I22" i="12"/>
  <c r="H22" i="12"/>
  <c r="G22" i="12"/>
  <c r="AB21" i="12"/>
  <c r="AC35" i="12" s="1"/>
  <c r="DM57" i="11" s="1"/>
  <c r="AA21" i="12"/>
  <c r="Z21" i="12"/>
  <c r="Y21" i="12"/>
  <c r="X21" i="12"/>
  <c r="W21" i="12"/>
  <c r="V21" i="12"/>
  <c r="U21" i="12"/>
  <c r="T21" i="12"/>
  <c r="S21" i="12"/>
  <c r="R21" i="12"/>
  <c r="Q21" i="12"/>
  <c r="P21" i="12"/>
  <c r="O21" i="12"/>
  <c r="N21" i="12"/>
  <c r="M21" i="12"/>
  <c r="L21" i="12"/>
  <c r="K21" i="12"/>
  <c r="J21" i="12"/>
  <c r="I21" i="12"/>
  <c r="H21" i="12"/>
  <c r="G21" i="12"/>
  <c r="AB13" i="12"/>
  <c r="AC16" i="12" s="1"/>
  <c r="AA13" i="12"/>
  <c r="Z13" i="12"/>
  <c r="Y13" i="12"/>
  <c r="X13" i="12"/>
  <c r="W13" i="12"/>
  <c r="V13" i="12"/>
  <c r="U13" i="12"/>
  <c r="T13" i="12"/>
  <c r="S13" i="12"/>
  <c r="R13" i="12"/>
  <c r="Q13" i="12"/>
  <c r="P13" i="12"/>
  <c r="O13" i="12"/>
  <c r="N13" i="12"/>
  <c r="M13" i="12"/>
  <c r="L13" i="12"/>
  <c r="K13" i="12"/>
  <c r="J13" i="12"/>
  <c r="I13" i="12"/>
  <c r="H13" i="12"/>
  <c r="G13" i="12"/>
  <c r="AB7" i="12"/>
  <c r="AA7" i="12"/>
  <c r="Z7" i="12"/>
  <c r="Y7" i="12"/>
  <c r="X7" i="12"/>
  <c r="W7" i="12"/>
  <c r="V7" i="12"/>
  <c r="U7" i="12"/>
  <c r="T7" i="12"/>
  <c r="S7" i="12"/>
  <c r="R7" i="12"/>
  <c r="Q7" i="12"/>
  <c r="P7" i="12"/>
  <c r="O7" i="12"/>
  <c r="N7" i="12"/>
  <c r="M7" i="12"/>
  <c r="L7" i="12"/>
  <c r="K7" i="12"/>
  <c r="J7" i="12"/>
  <c r="I7" i="12"/>
  <c r="H7" i="12"/>
  <c r="G7" i="12"/>
  <c r="AB37" i="8"/>
  <c r="AA37" i="8"/>
  <c r="Z37" i="8"/>
  <c r="Y37" i="8"/>
  <c r="X37" i="8"/>
  <c r="W37" i="8"/>
  <c r="V37" i="8"/>
  <c r="U37" i="8"/>
  <c r="T37" i="8"/>
  <c r="S37" i="8"/>
  <c r="R37" i="8"/>
  <c r="Q37" i="8"/>
  <c r="P37" i="8"/>
  <c r="O37" i="8"/>
  <c r="N37" i="8"/>
  <c r="M37" i="8"/>
  <c r="L37" i="8"/>
  <c r="K37" i="8"/>
  <c r="J37" i="8"/>
  <c r="I37" i="8"/>
  <c r="H37" i="8"/>
  <c r="G37" i="8"/>
  <c r="AB31" i="8"/>
  <c r="AA31" i="8"/>
  <c r="Z31" i="8"/>
  <c r="Y31" i="8"/>
  <c r="X31" i="8"/>
  <c r="W31" i="8"/>
  <c r="V31" i="8"/>
  <c r="U31" i="8"/>
  <c r="T31" i="8"/>
  <c r="S31" i="8"/>
  <c r="R31" i="8"/>
  <c r="Q31" i="8"/>
  <c r="P31" i="8"/>
  <c r="O31" i="8"/>
  <c r="N31" i="8"/>
  <c r="M31" i="8"/>
  <c r="L31" i="8"/>
  <c r="K31" i="8"/>
  <c r="J31" i="8"/>
  <c r="I31" i="8"/>
  <c r="H31" i="8"/>
  <c r="G31" i="8"/>
  <c r="AB33" i="8"/>
  <c r="AA33" i="8"/>
  <c r="Z33" i="8"/>
  <c r="Y33" i="8"/>
  <c r="X33" i="8"/>
  <c r="W33" i="8"/>
  <c r="V33" i="8"/>
  <c r="U33" i="8"/>
  <c r="T33" i="8"/>
  <c r="S33" i="8"/>
  <c r="R33" i="8"/>
  <c r="Q33" i="8"/>
  <c r="P33" i="8"/>
  <c r="O33" i="8"/>
  <c r="N33" i="8"/>
  <c r="M33" i="8"/>
  <c r="L33" i="8"/>
  <c r="K33" i="8"/>
  <c r="J33" i="8"/>
  <c r="I33" i="8"/>
  <c r="H33" i="8"/>
  <c r="G33" i="8"/>
  <c r="AA9" i="8"/>
  <c r="Z9" i="8"/>
  <c r="Y9" i="8"/>
  <c r="X9" i="8"/>
  <c r="W9" i="8"/>
  <c r="V9" i="8"/>
  <c r="U9" i="8"/>
  <c r="T9" i="8"/>
  <c r="S9" i="8"/>
  <c r="R9" i="8"/>
  <c r="Q9" i="8"/>
  <c r="P9" i="8"/>
  <c r="O9" i="8"/>
  <c r="N9" i="8"/>
  <c r="M9" i="8"/>
  <c r="L9" i="8"/>
  <c r="K9" i="8"/>
  <c r="J9" i="8"/>
  <c r="I9" i="8"/>
  <c r="H9" i="8"/>
  <c r="G9" i="8"/>
  <c r="AA7" i="8"/>
  <c r="Z7" i="8"/>
  <c r="Y7" i="8"/>
  <c r="X7" i="8"/>
  <c r="W7" i="8"/>
  <c r="V7" i="8"/>
  <c r="U7" i="8"/>
  <c r="T7" i="8"/>
  <c r="S7" i="8"/>
  <c r="R7" i="8"/>
  <c r="Q7" i="8"/>
  <c r="P7" i="8"/>
  <c r="O7" i="8"/>
  <c r="N7" i="8"/>
  <c r="M7" i="8"/>
  <c r="L7" i="8"/>
  <c r="K7" i="8"/>
  <c r="J7" i="8"/>
  <c r="I7" i="8"/>
  <c r="H7" i="8"/>
  <c r="G7" i="8"/>
  <c r="AB5" i="8"/>
  <c r="AC14" i="8" s="1"/>
  <c r="AA5" i="8"/>
  <c r="Z5" i="8"/>
  <c r="X3" i="24" s="1"/>
  <c r="Y5" i="8"/>
  <c r="W3" i="24" s="1"/>
  <c r="X5" i="8"/>
  <c r="V3" i="24" s="1"/>
  <c r="W5" i="8"/>
  <c r="U3" i="24" s="1"/>
  <c r="V5" i="8"/>
  <c r="U5" i="8"/>
  <c r="S3" i="24" s="1"/>
  <c r="T5" i="8"/>
  <c r="R3" i="24" s="1"/>
  <c r="S5" i="8"/>
  <c r="Q3" i="24" s="1"/>
  <c r="R5" i="8"/>
  <c r="P3" i="24" s="1"/>
  <c r="Q5" i="8"/>
  <c r="O3" i="24" s="1"/>
  <c r="P5" i="8"/>
  <c r="N3" i="24" s="1"/>
  <c r="O5" i="8"/>
  <c r="M3" i="24" s="1"/>
  <c r="N5" i="8"/>
  <c r="L3" i="24" s="1"/>
  <c r="M5" i="8"/>
  <c r="K3" i="24" s="1"/>
  <c r="L5" i="8"/>
  <c r="J3" i="24" s="1"/>
  <c r="K5" i="8"/>
  <c r="I3" i="24" s="1"/>
  <c r="J5" i="8"/>
  <c r="H3" i="24" s="1"/>
  <c r="I5" i="8"/>
  <c r="G3" i="24" s="1"/>
  <c r="H5" i="8"/>
  <c r="F3" i="24" s="1"/>
  <c r="G5" i="8"/>
  <c r="E3" i="24" s="1"/>
  <c r="H3" i="1"/>
  <c r="AB179" i="24"/>
  <c r="AC178" i="24"/>
  <c r="AB178" i="24"/>
  <c r="AB174" i="24"/>
  <c r="AB173" i="24"/>
  <c r="AB172" i="24"/>
  <c r="AB169" i="24"/>
  <c r="AB168" i="24"/>
  <c r="AB167" i="24"/>
  <c r="AB163" i="24"/>
  <c r="AB162" i="24"/>
  <c r="AB161" i="24"/>
  <c r="AE159" i="24"/>
  <c r="AD159" i="24"/>
  <c r="X155" i="24"/>
  <c r="W155" i="24"/>
  <c r="V155" i="24"/>
  <c r="U155" i="24"/>
  <c r="T155" i="24"/>
  <c r="S155" i="24"/>
  <c r="R155" i="24"/>
  <c r="Q155" i="24"/>
  <c r="P155" i="24"/>
  <c r="O155" i="24"/>
  <c r="N155" i="24"/>
  <c r="M155" i="24"/>
  <c r="L155" i="24"/>
  <c r="K155" i="24"/>
  <c r="J155" i="24"/>
  <c r="I155" i="24"/>
  <c r="H155" i="24"/>
  <c r="G155" i="24"/>
  <c r="F155" i="24"/>
  <c r="E155" i="24"/>
  <c r="X154" i="24"/>
  <c r="W154" i="24"/>
  <c r="V154" i="24"/>
  <c r="U154" i="24"/>
  <c r="T154" i="24"/>
  <c r="S154" i="24"/>
  <c r="R154" i="24"/>
  <c r="Q154" i="24"/>
  <c r="P154" i="24"/>
  <c r="O154" i="24"/>
  <c r="N154" i="24"/>
  <c r="M154" i="24"/>
  <c r="L154" i="24"/>
  <c r="K154" i="24"/>
  <c r="J154" i="24"/>
  <c r="I154" i="24"/>
  <c r="H154" i="24"/>
  <c r="G154" i="24"/>
  <c r="F154" i="24"/>
  <c r="E154" i="24"/>
  <c r="X153" i="24"/>
  <c r="X157" i="24" s="1"/>
  <c r="W153" i="24"/>
  <c r="W157" i="24" s="1"/>
  <c r="V153" i="24"/>
  <c r="V157" i="24" s="1"/>
  <c r="U153" i="24"/>
  <c r="U157" i="24" s="1"/>
  <c r="T153" i="24"/>
  <c r="T157" i="24" s="1"/>
  <c r="S153" i="24"/>
  <c r="S157" i="24" s="1"/>
  <c r="R153" i="24"/>
  <c r="Q153" i="24"/>
  <c r="Q157" i="24" s="1"/>
  <c r="P153" i="24"/>
  <c r="P157" i="24" s="1"/>
  <c r="O153" i="24"/>
  <c r="O157" i="24" s="1"/>
  <c r="N153" i="24"/>
  <c r="N157" i="24" s="1"/>
  <c r="M153" i="24"/>
  <c r="M157" i="24" s="1"/>
  <c r="L153" i="24"/>
  <c r="L157" i="24" s="1"/>
  <c r="K153" i="24"/>
  <c r="K157" i="24" s="1"/>
  <c r="J153" i="24"/>
  <c r="J157" i="24" s="1"/>
  <c r="I153" i="24"/>
  <c r="I157" i="24" s="1"/>
  <c r="H153" i="24"/>
  <c r="H157" i="24" s="1"/>
  <c r="G153" i="24"/>
  <c r="G157" i="24" s="1"/>
  <c r="F153" i="24"/>
  <c r="F157" i="24" s="1"/>
  <c r="E153" i="24"/>
  <c r="E157" i="24" s="1"/>
  <c r="X152" i="24"/>
  <c r="W152" i="24"/>
  <c r="V152" i="24"/>
  <c r="U152" i="24"/>
  <c r="T152" i="24"/>
  <c r="S152" i="24"/>
  <c r="R152" i="24"/>
  <c r="Q152" i="24"/>
  <c r="P152" i="24"/>
  <c r="O152" i="24"/>
  <c r="N152" i="24"/>
  <c r="M152" i="24"/>
  <c r="L152" i="24"/>
  <c r="K152" i="24"/>
  <c r="J152" i="24"/>
  <c r="I152" i="24"/>
  <c r="H152" i="24"/>
  <c r="G152" i="24"/>
  <c r="F152" i="24"/>
  <c r="E152" i="24"/>
  <c r="X151" i="24"/>
  <c r="W151" i="24"/>
  <c r="V151" i="24"/>
  <c r="U151" i="24"/>
  <c r="T151" i="24"/>
  <c r="S151" i="24"/>
  <c r="R151" i="24"/>
  <c r="Q151" i="24"/>
  <c r="P151" i="24"/>
  <c r="O151" i="24"/>
  <c r="N151" i="24"/>
  <c r="M151" i="24"/>
  <c r="L151" i="24"/>
  <c r="K151" i="24"/>
  <c r="J151" i="24"/>
  <c r="I151" i="24"/>
  <c r="H151" i="24"/>
  <c r="G151" i="24"/>
  <c r="F151" i="24"/>
  <c r="E151" i="24"/>
  <c r="X150" i="24"/>
  <c r="W150" i="24"/>
  <c r="V150" i="24"/>
  <c r="U150" i="24"/>
  <c r="T150" i="24"/>
  <c r="S150" i="24"/>
  <c r="R150" i="24"/>
  <c r="Q150" i="24"/>
  <c r="P150" i="24"/>
  <c r="O150" i="24"/>
  <c r="N150" i="24"/>
  <c r="M150" i="24"/>
  <c r="L150" i="24"/>
  <c r="K150" i="24"/>
  <c r="J150" i="24"/>
  <c r="I150" i="24"/>
  <c r="H150" i="24"/>
  <c r="G150" i="24"/>
  <c r="F150" i="24"/>
  <c r="E150" i="24"/>
  <c r="X149" i="24"/>
  <c r="W149" i="24"/>
  <c r="V149" i="24"/>
  <c r="U149" i="24"/>
  <c r="T149" i="24"/>
  <c r="S149" i="24"/>
  <c r="R149" i="24"/>
  <c r="Q149" i="24"/>
  <c r="P149" i="24"/>
  <c r="O149" i="24"/>
  <c r="N149" i="24"/>
  <c r="M149" i="24"/>
  <c r="L149" i="24"/>
  <c r="K149" i="24"/>
  <c r="J149" i="24"/>
  <c r="I149" i="24"/>
  <c r="H149" i="24"/>
  <c r="G149" i="24"/>
  <c r="F149" i="24"/>
  <c r="E149" i="24"/>
  <c r="AB135" i="24"/>
  <c r="AE131" i="24"/>
  <c r="AD131" i="24"/>
  <c r="AE130" i="24"/>
  <c r="AD130" i="24"/>
  <c r="AC130" i="24"/>
  <c r="AB130" i="24"/>
  <c r="AE129" i="24"/>
  <c r="AD129" i="24"/>
  <c r="AC129" i="24"/>
  <c r="AB129" i="24"/>
  <c r="AB102" i="24"/>
  <c r="AZ39" i="24"/>
  <c r="AY39" i="24"/>
  <c r="AX39" i="24"/>
  <c r="AW39" i="24"/>
  <c r="AV39" i="24"/>
  <c r="AY25" i="24"/>
  <c r="AX25" i="24"/>
  <c r="AW25" i="24"/>
  <c r="AV25" i="24"/>
  <c r="D25" i="24"/>
  <c r="AX24" i="24"/>
  <c r="AW24" i="24"/>
  <c r="AV24" i="24"/>
  <c r="D24" i="24"/>
  <c r="AW23" i="24"/>
  <c r="AV23" i="24"/>
  <c r="D23" i="24"/>
  <c r="AV22" i="24"/>
  <c r="D22" i="24"/>
  <c r="D21" i="24"/>
  <c r="Y3" i="24"/>
  <c r="T3" i="24"/>
  <c r="B3" i="24"/>
  <c r="AB151" i="24" l="1"/>
  <c r="AB152" i="24"/>
  <c r="AB154" i="24"/>
  <c r="AB155" i="24"/>
  <c r="H105" i="8"/>
  <c r="O105" i="8"/>
  <c r="S105" i="8"/>
  <c r="AE321" i="2"/>
  <c r="AC312" i="2"/>
  <c r="AC318" i="2"/>
  <c r="AG318" i="2"/>
  <c r="AT178" i="20"/>
  <c r="AC149" i="24"/>
  <c r="AC150" i="24"/>
  <c r="AE153" i="24"/>
  <c r="AC154" i="24"/>
  <c r="AE155" i="24"/>
  <c r="N105" i="8"/>
  <c r="R105" i="8"/>
  <c r="AB149" i="24"/>
  <c r="AD149" i="24"/>
  <c r="AB150" i="24"/>
  <c r="AD150" i="24"/>
  <c r="AC151" i="24"/>
  <c r="AC152" i="24"/>
  <c r="AD154" i="24"/>
  <c r="H3" i="16"/>
  <c r="AD151" i="24"/>
  <c r="AD152" i="24"/>
  <c r="AD155" i="24"/>
  <c r="K2" i="16"/>
  <c r="G3" i="16"/>
  <c r="J3" i="16"/>
  <c r="E110" i="17"/>
  <c r="V105" i="8"/>
  <c r="DC308" i="17"/>
  <c r="Z205" i="7"/>
  <c r="Z261" i="7" s="1"/>
  <c r="W205" i="7"/>
  <c r="W261" i="7" s="1"/>
  <c r="Y607" i="7"/>
  <c r="Y205" i="7"/>
  <c r="Y261" i="7" s="1"/>
  <c r="AA621" i="7"/>
  <c r="AA205" i="7"/>
  <c r="AA261" i="7" s="1"/>
  <c r="X607" i="7"/>
  <c r="X205" i="7"/>
  <c r="X261" i="7" s="1"/>
  <c r="AB621" i="7"/>
  <c r="BC621" i="7" s="1"/>
  <c r="AB205" i="7"/>
  <c r="AB6" i="7"/>
  <c r="BC15" i="7" s="1"/>
  <c r="AC6" i="7"/>
  <c r="AC205" i="7"/>
  <c r="AC261" i="7" s="1"/>
  <c r="AL212" i="7"/>
  <c r="L103" i="20"/>
  <c r="AC103" i="20" s="1"/>
  <c r="O104" i="20"/>
  <c r="AF104" i="20" s="1"/>
  <c r="N103" i="20"/>
  <c r="AE103" i="20" s="1"/>
  <c r="P104" i="20"/>
  <c r="AG104" i="20" s="1"/>
  <c r="K118" i="20"/>
  <c r="AB118" i="20" s="1"/>
  <c r="O118" i="20"/>
  <c r="AF118" i="20" s="1"/>
  <c r="M120" i="20"/>
  <c r="AD120" i="20" s="1"/>
  <c r="K122" i="20"/>
  <c r="AB122" i="20" s="1"/>
  <c r="O122" i="20"/>
  <c r="AF122" i="20" s="1"/>
  <c r="L118" i="20"/>
  <c r="AC118" i="20" s="1"/>
  <c r="P118" i="20"/>
  <c r="AG118" i="20" s="1"/>
  <c r="K119" i="20"/>
  <c r="AB119" i="20" s="1"/>
  <c r="O119" i="20"/>
  <c r="AF119" i="20" s="1"/>
  <c r="J120" i="20"/>
  <c r="AA120" i="20" s="1"/>
  <c r="N120" i="20"/>
  <c r="AE120" i="20" s="1"/>
  <c r="M121" i="20"/>
  <c r="AD121" i="20" s="1"/>
  <c r="L122" i="20"/>
  <c r="AC122" i="20" s="1"/>
  <c r="P122" i="20"/>
  <c r="AG122" i="20" s="1"/>
  <c r="M118" i="20"/>
  <c r="AD118" i="20" s="1"/>
  <c r="BB268" i="2"/>
  <c r="BF268" i="2"/>
  <c r="K120" i="20"/>
  <c r="AB120" i="20" s="1"/>
  <c r="O120" i="20"/>
  <c r="AF120" i="20" s="1"/>
  <c r="AZ270" i="2"/>
  <c r="BD270" i="2"/>
  <c r="M122" i="20"/>
  <c r="AD122" i="20" s="1"/>
  <c r="M103" i="20"/>
  <c r="AD103" i="20" s="1"/>
  <c r="M104" i="20"/>
  <c r="AD104" i="20" s="1"/>
  <c r="J118" i="20"/>
  <c r="AA118" i="20" s="1"/>
  <c r="N118" i="20"/>
  <c r="AE118" i="20" s="1"/>
  <c r="M119" i="20"/>
  <c r="AD119" i="20" s="1"/>
  <c r="L120" i="20"/>
  <c r="AC120" i="20" s="1"/>
  <c r="P120" i="20"/>
  <c r="AG120" i="20" s="1"/>
  <c r="K121" i="20"/>
  <c r="AB121" i="20" s="1"/>
  <c r="O121" i="20"/>
  <c r="AF121" i="20" s="1"/>
  <c r="J122" i="20"/>
  <c r="AA122" i="20" s="1"/>
  <c r="N122" i="20"/>
  <c r="AE122" i="20" s="1"/>
  <c r="AC36" i="12"/>
  <c r="DM58" i="11" s="1"/>
  <c r="AB31" i="12"/>
  <c r="AA299" i="7"/>
  <c r="AA314" i="7" s="1"/>
  <c r="Z299" i="7"/>
  <c r="Z314" i="7" s="1"/>
  <c r="AB299" i="7"/>
  <c r="AB314" i="7" s="1"/>
  <c r="AA197" i="7"/>
  <c r="AB197" i="7"/>
  <c r="BC197" i="7" s="1"/>
  <c r="DE303" i="17"/>
  <c r="DD308" i="17"/>
  <c r="D100" i="2"/>
  <c r="G165" i="7"/>
  <c r="H165" i="7" s="1"/>
  <c r="I165" i="7" s="1"/>
  <c r="J165" i="7" s="1"/>
  <c r="K165" i="7" s="1"/>
  <c r="L165" i="7" s="1"/>
  <c r="M165" i="7" s="1"/>
  <c r="N165" i="7" s="1"/>
  <c r="O165" i="7" s="1"/>
  <c r="P165" i="7" s="1"/>
  <c r="Q165" i="7" s="1"/>
  <c r="R165" i="7" s="1"/>
  <c r="S165" i="7" s="1"/>
  <c r="T165" i="7" s="1"/>
  <c r="U165" i="7" s="1"/>
  <c r="V165" i="7" s="1"/>
  <c r="W165" i="7" s="1"/>
  <c r="X165" i="7" s="1"/>
  <c r="Y165" i="7" s="1"/>
  <c r="Z165" i="7" s="1"/>
  <c r="AA165" i="7" s="1"/>
  <c r="AB165" i="7" s="1"/>
  <c r="BC165" i="7" s="1"/>
  <c r="AC19" i="8"/>
  <c r="AD19" i="8" s="1"/>
  <c r="AE19" i="8" s="1"/>
  <c r="AF19" i="8" s="1"/>
  <c r="AC80" i="8"/>
  <c r="AD80" i="8" s="1"/>
  <c r="AE80" i="8" s="1"/>
  <c r="AF80" i="8" s="1"/>
  <c r="AC88" i="8"/>
  <c r="AD88" i="8" s="1"/>
  <c r="AE88" i="8" s="1"/>
  <c r="AF88" i="8" s="1"/>
  <c r="AC148" i="8"/>
  <c r="AD148" i="8" s="1"/>
  <c r="AE148" i="8" s="1"/>
  <c r="AF148" i="8" s="1"/>
  <c r="AC162" i="8"/>
  <c r="AD162" i="8" s="1"/>
  <c r="AE162" i="8" s="1"/>
  <c r="AF162" i="8" s="1"/>
  <c r="AC176" i="8"/>
  <c r="AD176" i="8" s="1"/>
  <c r="AE176" i="8" s="1"/>
  <c r="AF176" i="8" s="1"/>
  <c r="AC207" i="8"/>
  <c r="AD207" i="8" s="1"/>
  <c r="AE207" i="8" s="1"/>
  <c r="AF207" i="8" s="1"/>
  <c r="AC13" i="8"/>
  <c r="AD13" i="8" s="1"/>
  <c r="AE13" i="8" s="1"/>
  <c r="AF13" i="8" s="1"/>
  <c r="AC67" i="8"/>
  <c r="AD67" i="8" s="1"/>
  <c r="AE67" i="8" s="1"/>
  <c r="AF67" i="8" s="1"/>
  <c r="AC91" i="8"/>
  <c r="AD91" i="8" s="1"/>
  <c r="AE91" i="8" s="1"/>
  <c r="AF91" i="8" s="1"/>
  <c r="AC103" i="8"/>
  <c r="AD103" i="8" s="1"/>
  <c r="AE103" i="8" s="1"/>
  <c r="AF103" i="8" s="1"/>
  <c r="AC131" i="8"/>
  <c r="AD131" i="8" s="1"/>
  <c r="AE131" i="8" s="1"/>
  <c r="AF131" i="8" s="1"/>
  <c r="AC155" i="8"/>
  <c r="AD155" i="8" s="1"/>
  <c r="AE155" i="8" s="1"/>
  <c r="AF155" i="8" s="1"/>
  <c r="AC169" i="8"/>
  <c r="AD169" i="8" s="1"/>
  <c r="AE169" i="8" s="1"/>
  <c r="AF169" i="8" s="1"/>
  <c r="AC200" i="8"/>
  <c r="AD200" i="8" s="1"/>
  <c r="AE200" i="8" s="1"/>
  <c r="AF200" i="8" s="1"/>
  <c r="AC227" i="8"/>
  <c r="AD227" i="8" s="1"/>
  <c r="AE227" i="8" s="1"/>
  <c r="AF227" i="8" s="1"/>
  <c r="AC235" i="8"/>
  <c r="AD235" i="8" s="1"/>
  <c r="AE235" i="8" s="1"/>
  <c r="AF235" i="8" s="1"/>
  <c r="AC241" i="8"/>
  <c r="AD241" i="8" s="1"/>
  <c r="AE241" i="8" s="1"/>
  <c r="AF241" i="8" s="1"/>
  <c r="AC246" i="8"/>
  <c r="AD246" i="8" s="1"/>
  <c r="AE246" i="8" s="1"/>
  <c r="AF246" i="8" s="1"/>
  <c r="F21" i="8"/>
  <c r="AC193" i="8"/>
  <c r="AD193" i="8" s="1"/>
  <c r="AE193" i="8" s="1"/>
  <c r="AF193" i="8" s="1"/>
  <c r="DM45" i="11"/>
  <c r="DR45" i="11" s="1"/>
  <c r="DW45" i="11" s="1"/>
  <c r="EB45" i="11" s="1"/>
  <c r="DM33" i="11"/>
  <c r="DR33" i="11" s="1"/>
  <c r="DW33" i="11" s="1"/>
  <c r="EB33" i="11" s="1"/>
  <c r="DM84" i="11"/>
  <c r="DR84" i="11" s="1"/>
  <c r="DW84" i="11" s="1"/>
  <c r="EB84" i="11" s="1"/>
  <c r="DM20" i="11"/>
  <c r="DR20" i="11" s="1"/>
  <c r="DW20" i="11" s="1"/>
  <c r="EB20" i="11" s="1"/>
  <c r="DM39" i="11"/>
  <c r="DR39" i="11" s="1"/>
  <c r="DW39" i="11" s="1"/>
  <c r="EB39" i="11" s="1"/>
  <c r="AC32" i="12"/>
  <c r="AD32" i="12" s="1"/>
  <c r="AE32" i="12" s="1"/>
  <c r="AF32" i="12" s="1"/>
  <c r="AC63" i="12"/>
  <c r="AD63" i="12" s="1"/>
  <c r="AE63" i="12" s="1"/>
  <c r="AF63" i="12" s="1"/>
  <c r="AC91" i="12"/>
  <c r="AD91" i="12" s="1"/>
  <c r="AE91" i="12" s="1"/>
  <c r="AF91" i="12" s="1"/>
  <c r="AC97" i="12"/>
  <c r="AD97" i="12" s="1"/>
  <c r="AE97" i="12" s="1"/>
  <c r="AF97" i="12" s="1"/>
  <c r="AC102" i="12"/>
  <c r="AD102" i="12" s="1"/>
  <c r="AE102" i="12" s="1"/>
  <c r="AF102" i="12" s="1"/>
  <c r="AC164" i="12"/>
  <c r="AD164" i="12" s="1"/>
  <c r="AE164" i="12" s="1"/>
  <c r="AF164" i="12" s="1"/>
  <c r="AC184" i="12"/>
  <c r="AD184" i="12" s="1"/>
  <c r="AE184" i="12" s="1"/>
  <c r="AF184" i="12" s="1"/>
  <c r="AC196" i="12"/>
  <c r="AD196" i="12" s="1"/>
  <c r="AE196" i="12" s="1"/>
  <c r="AF196" i="12" s="1"/>
  <c r="AC246" i="12"/>
  <c r="AD246" i="12" s="1"/>
  <c r="AE246" i="12" s="1"/>
  <c r="AF246" i="12" s="1"/>
  <c r="AC262" i="12"/>
  <c r="AD262" i="12" s="1"/>
  <c r="AE262" i="12" s="1"/>
  <c r="AF262" i="12" s="1"/>
  <c r="AC276" i="12"/>
  <c r="AD276" i="12" s="1"/>
  <c r="AE276" i="12" s="1"/>
  <c r="AF276" i="12" s="1"/>
  <c r="AC282" i="12"/>
  <c r="AD282" i="12" s="1"/>
  <c r="AE282" i="12" s="1"/>
  <c r="AF282" i="12" s="1"/>
  <c r="AC287" i="12"/>
  <c r="AD287" i="12" s="1"/>
  <c r="AE287" i="12" s="1"/>
  <c r="AF287" i="12" s="1"/>
  <c r="AC308" i="12"/>
  <c r="AD308" i="12" s="1"/>
  <c r="AE308" i="12" s="1"/>
  <c r="AF308" i="12" s="1"/>
  <c r="AC314" i="12"/>
  <c r="AD314" i="12" s="1"/>
  <c r="AE314" i="12" s="1"/>
  <c r="AF314" i="12" s="1"/>
  <c r="AC324" i="12"/>
  <c r="AD324" i="12" s="1"/>
  <c r="AE324" i="12" s="1"/>
  <c r="AF324" i="12" s="1"/>
  <c r="AC9" i="12"/>
  <c r="AD9" i="12" s="1"/>
  <c r="AE9" i="12" s="1"/>
  <c r="AF9" i="12" s="1"/>
  <c r="AC15" i="12"/>
  <c r="AD15" i="12" s="1"/>
  <c r="AE15" i="12" s="1"/>
  <c r="AF15" i="12" s="1"/>
  <c r="AC18" i="12"/>
  <c r="AD18" i="12" s="1"/>
  <c r="AE18" i="12" s="1"/>
  <c r="AF18" i="12" s="1"/>
  <c r="AC44" i="12"/>
  <c r="AD44" i="12" s="1"/>
  <c r="AE44" i="12" s="1"/>
  <c r="AF44" i="12" s="1"/>
  <c r="AC75" i="12"/>
  <c r="AD75" i="12" s="1"/>
  <c r="AE75" i="12" s="1"/>
  <c r="AF75" i="12" s="1"/>
  <c r="AC80" i="12"/>
  <c r="AD80" i="12" s="1"/>
  <c r="AE80" i="12" s="1"/>
  <c r="AF80" i="12" s="1"/>
  <c r="AC127" i="12"/>
  <c r="AD127" i="12" s="1"/>
  <c r="AE127" i="12" s="1"/>
  <c r="AF127" i="12" s="1"/>
  <c r="AC187" i="12"/>
  <c r="AD187" i="12" s="1"/>
  <c r="AE187" i="12" s="1"/>
  <c r="AF187" i="12" s="1"/>
  <c r="AC201" i="12"/>
  <c r="AD201" i="12" s="1"/>
  <c r="AE201" i="12" s="1"/>
  <c r="AF201" i="12" s="1"/>
  <c r="AC215" i="12"/>
  <c r="AD215" i="12" s="1"/>
  <c r="AE215" i="12" s="1"/>
  <c r="AF215" i="12" s="1"/>
  <c r="AC234" i="12"/>
  <c r="AD234" i="12" s="1"/>
  <c r="AE234" i="12" s="1"/>
  <c r="AF234" i="12" s="1"/>
  <c r="AC240" i="12"/>
  <c r="AD240" i="12" s="1"/>
  <c r="AE240" i="12" s="1"/>
  <c r="AF240" i="12" s="1"/>
  <c r="AC253" i="12"/>
  <c r="AD253" i="12" s="1"/>
  <c r="AE253" i="12" s="1"/>
  <c r="AF253" i="12" s="1"/>
  <c r="AC265" i="12"/>
  <c r="AD265" i="12" s="1"/>
  <c r="AE265" i="12" s="1"/>
  <c r="AF265" i="12" s="1"/>
  <c r="AC271" i="12"/>
  <c r="AD271" i="12" s="1"/>
  <c r="AE271" i="12" s="1"/>
  <c r="AF271" i="12" s="1"/>
  <c r="AC292" i="12"/>
  <c r="AD292" i="12" s="1"/>
  <c r="AE292" i="12" s="1"/>
  <c r="AF292" i="12" s="1"/>
  <c r="AC297" i="12"/>
  <c r="AD297" i="12" s="1"/>
  <c r="AE297" i="12" s="1"/>
  <c r="AF297" i="12" s="1"/>
  <c r="AC303" i="12"/>
  <c r="AD303" i="12" s="1"/>
  <c r="AE303" i="12" s="1"/>
  <c r="AF303" i="12" s="1"/>
  <c r="AC319" i="12"/>
  <c r="AD319" i="12" s="1"/>
  <c r="AE319" i="12" s="1"/>
  <c r="AF319" i="12" s="1"/>
  <c r="AD333" i="12"/>
  <c r="AE333" i="12" s="1"/>
  <c r="AF333" i="12" s="1"/>
  <c r="AC333" i="12"/>
  <c r="AD351" i="12"/>
  <c r="AE351" i="12" s="1"/>
  <c r="AF351" i="12" s="1"/>
  <c r="AC351" i="12"/>
  <c r="AD354" i="12"/>
  <c r="AE354" i="12" s="1"/>
  <c r="AF354" i="12" s="1"/>
  <c r="AC354" i="12"/>
  <c r="AD370" i="12"/>
  <c r="AE370" i="12" s="1"/>
  <c r="AF370" i="12" s="1"/>
  <c r="AC370" i="12"/>
  <c r="AD6" i="12"/>
  <c r="AE6" i="12" s="1"/>
  <c r="AF6" i="12" s="1"/>
  <c r="AC6" i="12"/>
  <c r="AD12" i="12"/>
  <c r="AE12" i="12" s="1"/>
  <c r="AF12" i="12" s="1"/>
  <c r="AC12" i="12"/>
  <c r="AD57" i="12"/>
  <c r="AE57" i="12" s="1"/>
  <c r="AF57" i="12" s="1"/>
  <c r="AC57" i="12"/>
  <c r="AD66" i="12"/>
  <c r="AE66" i="12" s="1"/>
  <c r="AF66" i="12" s="1"/>
  <c r="AC66" i="12"/>
  <c r="AD69" i="12"/>
  <c r="AE69" i="12" s="1"/>
  <c r="AF69" i="12" s="1"/>
  <c r="AC69" i="12"/>
  <c r="AD113" i="12"/>
  <c r="AE113" i="12" s="1"/>
  <c r="AF113" i="12" s="1"/>
  <c r="AC113" i="12"/>
  <c r="AD121" i="12"/>
  <c r="AE121" i="12" s="1"/>
  <c r="AF121" i="12" s="1"/>
  <c r="AC121" i="12"/>
  <c r="AD133" i="12"/>
  <c r="AE133" i="12" s="1"/>
  <c r="AF133" i="12" s="1"/>
  <c r="AC133" i="12"/>
  <c r="AD146" i="12"/>
  <c r="AE146" i="12" s="1"/>
  <c r="AF146" i="12" s="1"/>
  <c r="AC146" i="12"/>
  <c r="AD190" i="12"/>
  <c r="AE190" i="12" s="1"/>
  <c r="AF190" i="12" s="1"/>
  <c r="AC190" i="12"/>
  <c r="AD227" i="12"/>
  <c r="AE227" i="12" s="1"/>
  <c r="AF227" i="12" s="1"/>
  <c r="AC227" i="12"/>
  <c r="AD259" i="12"/>
  <c r="AE259" i="12" s="1"/>
  <c r="AF259" i="12" s="1"/>
  <c r="AC259" i="12"/>
  <c r="AD329" i="12"/>
  <c r="AE329" i="12" s="1"/>
  <c r="AF329" i="12" s="1"/>
  <c r="AC329" i="12"/>
  <c r="AD337" i="12"/>
  <c r="AE337" i="12" s="1"/>
  <c r="AF337" i="12" s="1"/>
  <c r="AC337" i="12"/>
  <c r="AD344" i="12"/>
  <c r="AE344" i="12" s="1"/>
  <c r="AF344" i="12" s="1"/>
  <c r="AC344" i="12"/>
  <c r="AD360" i="12"/>
  <c r="AE360" i="12" s="1"/>
  <c r="AF360" i="12" s="1"/>
  <c r="AC360" i="12"/>
  <c r="AD365" i="12"/>
  <c r="AE365" i="12" s="1"/>
  <c r="AF365" i="12" s="1"/>
  <c r="AC365" i="12"/>
  <c r="AD390" i="12"/>
  <c r="AE390" i="12" s="1"/>
  <c r="AF390" i="12" s="1"/>
  <c r="AC390" i="12"/>
  <c r="AD396" i="12"/>
  <c r="AE396" i="12" s="1"/>
  <c r="AF396" i="12" s="1"/>
  <c r="AC396" i="12"/>
  <c r="AD411" i="12"/>
  <c r="AE411" i="12" s="1"/>
  <c r="AF411" i="12" s="1"/>
  <c r="AC411" i="12"/>
  <c r="AD426" i="12"/>
  <c r="AE426" i="12" s="1"/>
  <c r="AF426" i="12" s="1"/>
  <c r="AC426" i="12"/>
  <c r="AD432" i="12"/>
  <c r="AE432" i="12" s="1"/>
  <c r="AF432" i="12" s="1"/>
  <c r="AC432" i="12"/>
  <c r="AD440" i="12"/>
  <c r="AE440" i="12" s="1"/>
  <c r="AF440" i="12" s="1"/>
  <c r="AC440" i="12"/>
  <c r="AD450" i="12"/>
  <c r="AE450" i="12" s="1"/>
  <c r="AF450" i="12" s="1"/>
  <c r="AC450" i="12"/>
  <c r="AD458" i="12"/>
  <c r="AE458" i="12" s="1"/>
  <c r="AF458" i="12" s="1"/>
  <c r="AC458" i="12"/>
  <c r="AD47" i="12"/>
  <c r="AE47" i="12" s="1"/>
  <c r="AF47" i="12" s="1"/>
  <c r="AC47" i="12"/>
  <c r="AD50" i="12"/>
  <c r="AE50" i="12" s="1"/>
  <c r="AF50" i="12" s="1"/>
  <c r="AC50" i="12"/>
  <c r="AD86" i="12"/>
  <c r="AE86" i="12" s="1"/>
  <c r="AF86" i="12" s="1"/>
  <c r="AC86" i="12"/>
  <c r="AD108" i="12"/>
  <c r="AE108" i="12" s="1"/>
  <c r="AF108" i="12" s="1"/>
  <c r="AC108" i="12"/>
  <c r="AD117" i="12"/>
  <c r="AE117" i="12" s="1"/>
  <c r="AF117" i="12" s="1"/>
  <c r="AC117" i="12"/>
  <c r="AD158" i="12"/>
  <c r="AE158" i="12" s="1"/>
  <c r="AF158" i="12" s="1"/>
  <c r="AC158" i="12"/>
  <c r="AD161" i="12"/>
  <c r="AE161" i="12" s="1"/>
  <c r="AF161" i="12" s="1"/>
  <c r="AC161" i="12"/>
  <c r="AD387" i="12"/>
  <c r="AE387" i="12" s="1"/>
  <c r="AF387" i="12" s="1"/>
  <c r="AC387" i="12"/>
  <c r="AD393" i="12"/>
  <c r="AE393" i="12" s="1"/>
  <c r="AF393" i="12" s="1"/>
  <c r="AC393" i="12"/>
  <c r="AD399" i="12"/>
  <c r="AE399" i="12" s="1"/>
  <c r="AF399" i="12" s="1"/>
  <c r="AC399" i="12"/>
  <c r="AD423" i="12"/>
  <c r="AE423" i="12" s="1"/>
  <c r="AF423" i="12" s="1"/>
  <c r="AC423" i="12"/>
  <c r="AD429" i="12"/>
  <c r="AE429" i="12" s="1"/>
  <c r="AF429" i="12" s="1"/>
  <c r="AC429" i="12"/>
  <c r="AD435" i="12"/>
  <c r="AE435" i="12" s="1"/>
  <c r="AF435" i="12" s="1"/>
  <c r="AC435" i="12"/>
  <c r="AD445" i="12"/>
  <c r="AE445" i="12" s="1"/>
  <c r="AF445" i="12" s="1"/>
  <c r="AC445" i="12"/>
  <c r="AD455" i="12"/>
  <c r="AE455" i="12" s="1"/>
  <c r="AF455" i="12" s="1"/>
  <c r="AC455" i="12"/>
  <c r="CX303" i="17"/>
  <c r="M6" i="7"/>
  <c r="Q6" i="7"/>
  <c r="AH200" i="7"/>
  <c r="N6" i="7"/>
  <c r="R6" i="7"/>
  <c r="O6" i="7"/>
  <c r="S6" i="7"/>
  <c r="L6" i="7"/>
  <c r="P6" i="7"/>
  <c r="T6" i="7"/>
  <c r="W414" i="7"/>
  <c r="AA414" i="7"/>
  <c r="AA294" i="7"/>
  <c r="X414" i="7"/>
  <c r="AB414" i="7"/>
  <c r="BC414" i="7" s="1"/>
  <c r="X294" i="7"/>
  <c r="AB294" i="7"/>
  <c r="AC293" i="7" s="1"/>
  <c r="AC317" i="12"/>
  <c r="AG15" i="7"/>
  <c r="AH17" i="7" s="1"/>
  <c r="Y414" i="7"/>
  <c r="AA263" i="7"/>
  <c r="Y294" i="7"/>
  <c r="AB267" i="7"/>
  <c r="BD267" i="7" s="1"/>
  <c r="AC267" i="7"/>
  <c r="V414" i="7"/>
  <c r="Z414" i="7"/>
  <c r="AB263" i="7"/>
  <c r="BC263" i="7" s="1"/>
  <c r="AC263" i="7"/>
  <c r="Z294" i="7"/>
  <c r="AP76" i="20"/>
  <c r="Z221" i="8"/>
  <c r="AA221" i="8"/>
  <c r="X221" i="8"/>
  <c r="AB221" i="8"/>
  <c r="AC221" i="8"/>
  <c r="Y221" i="8"/>
  <c r="F26" i="7"/>
  <c r="F28" i="7"/>
  <c r="DK42" i="11"/>
  <c r="DO42" i="11" s="1"/>
  <c r="AC367" i="12"/>
  <c r="X463" i="20"/>
  <c r="H15" i="7"/>
  <c r="J15" i="7"/>
  <c r="L15" i="7"/>
  <c r="N15" i="7"/>
  <c r="P15" i="7"/>
  <c r="R15" i="7"/>
  <c r="T15" i="7"/>
  <c r="V6" i="7"/>
  <c r="G15" i="7"/>
  <c r="I15" i="7"/>
  <c r="K15" i="7"/>
  <c r="M15" i="7"/>
  <c r="O15" i="7"/>
  <c r="Q15" i="7"/>
  <c r="S15" i="7"/>
  <c r="U6" i="7"/>
  <c r="Y432" i="7"/>
  <c r="Y124" i="7"/>
  <c r="X431" i="7"/>
  <c r="X434" i="7"/>
  <c r="Z59" i="7"/>
  <c r="AA124" i="7"/>
  <c r="AA607" i="7"/>
  <c r="AA579" i="7"/>
  <c r="AA503" i="7"/>
  <c r="Y238" i="7"/>
  <c r="AA238" i="7"/>
  <c r="Z607" i="7"/>
  <c r="Z579" i="7"/>
  <c r="AB607" i="7"/>
  <c r="BC607" i="7" s="1"/>
  <c r="AB579" i="7"/>
  <c r="BC579" i="7" s="1"/>
  <c r="AB503" i="7"/>
  <c r="BC503" i="7" s="1"/>
  <c r="BC88" i="7"/>
  <c r="AC95" i="7"/>
  <c r="AC17" i="7"/>
  <c r="AB26" i="7"/>
  <c r="BC26" i="7" s="1"/>
  <c r="AB62" i="7"/>
  <c r="BC62" i="7" s="1"/>
  <c r="X124" i="7"/>
  <c r="Z124" i="7"/>
  <c r="AB130" i="7"/>
  <c r="BC130" i="7" s="1"/>
  <c r="AB124" i="7"/>
  <c r="BC124" i="7" s="1"/>
  <c r="AC124" i="7"/>
  <c r="BC78" i="7"/>
  <c r="AC93" i="7"/>
  <c r="AB28" i="7"/>
  <c r="BC28" i="7" s="1"/>
  <c r="AB64" i="7"/>
  <c r="BC64" i="7" s="1"/>
  <c r="X238" i="7"/>
  <c r="Z238" i="7"/>
  <c r="AB238" i="7"/>
  <c r="BC238" i="7" s="1"/>
  <c r="X281" i="7"/>
  <c r="Z281" i="7"/>
  <c r="AB281" i="7"/>
  <c r="BC281" i="7" s="1"/>
  <c r="Z312" i="7"/>
  <c r="AB312" i="7"/>
  <c r="BC312" i="7" s="1"/>
  <c r="Z343" i="7"/>
  <c r="AB343" i="7"/>
  <c r="BC343" i="7" s="1"/>
  <c r="Z342" i="7"/>
  <c r="AB342" i="7"/>
  <c r="BC342" i="7" s="1"/>
  <c r="Z407" i="7"/>
  <c r="AB407" i="7"/>
  <c r="BC407" i="7" s="1"/>
  <c r="X531" i="7"/>
  <c r="Z531" i="7"/>
  <c r="AB531" i="7"/>
  <c r="BC531" i="7" s="1"/>
  <c r="Z431" i="7"/>
  <c r="Z443" i="7"/>
  <c r="AB431" i="7"/>
  <c r="BC431" i="7" s="1"/>
  <c r="AB443" i="7"/>
  <c r="BC443" i="7" s="1"/>
  <c r="AC431" i="7"/>
  <c r="BC83" i="7"/>
  <c r="AC94" i="7"/>
  <c r="Z434" i="7"/>
  <c r="Z445" i="7"/>
  <c r="AB434" i="7"/>
  <c r="BC434" i="7" s="1"/>
  <c r="AB445" i="7"/>
  <c r="BC445" i="7" s="1"/>
  <c r="AC434" i="7"/>
  <c r="BC13" i="7"/>
  <c r="AB31" i="7"/>
  <c r="BC31" i="7" s="1"/>
  <c r="AC22" i="7"/>
  <c r="AB67" i="7"/>
  <c r="BC67" i="7" s="1"/>
  <c r="AB59" i="7"/>
  <c r="BC59" i="7" s="1"/>
  <c r="AC59" i="7"/>
  <c r="AB29" i="7"/>
  <c r="BC29" i="7" s="1"/>
  <c r="AB65" i="7"/>
  <c r="BC65" i="7" s="1"/>
  <c r="X244" i="7"/>
  <c r="Z244" i="7"/>
  <c r="AB244" i="7"/>
  <c r="BC244" i="7" s="1"/>
  <c r="X278" i="7"/>
  <c r="Z278" i="7"/>
  <c r="AB278" i="7"/>
  <c r="BC278" i="7" s="1"/>
  <c r="X253" i="7"/>
  <c r="X277" i="7"/>
  <c r="Z277" i="7"/>
  <c r="Z253" i="7"/>
  <c r="AB253" i="7"/>
  <c r="AB277" i="7"/>
  <c r="BC277" i="7" s="1"/>
  <c r="Z313" i="7"/>
  <c r="AB313" i="7"/>
  <c r="BC313" i="7" s="1"/>
  <c r="Z345" i="7"/>
  <c r="AB345" i="7"/>
  <c r="BC345" i="7" s="1"/>
  <c r="X432" i="7"/>
  <c r="Z432" i="7"/>
  <c r="Z444" i="7"/>
  <c r="AB432" i="7"/>
  <c r="BC432" i="7" s="1"/>
  <c r="AB444" i="7"/>
  <c r="BC444" i="7" s="1"/>
  <c r="AC432" i="7"/>
  <c r="Z344" i="7"/>
  <c r="AB344" i="7"/>
  <c r="BC344" i="7" s="1"/>
  <c r="Z408" i="7"/>
  <c r="AB408" i="7"/>
  <c r="BC408" i="7" s="1"/>
  <c r="AB506" i="7"/>
  <c r="BC506" i="7" s="1"/>
  <c r="AB507" i="7"/>
  <c r="BC507" i="7" s="1"/>
  <c r="AB504" i="7"/>
  <c r="BC504" i="7" s="1"/>
  <c r="Z554" i="7"/>
  <c r="AB554" i="7"/>
  <c r="BC554" i="7" s="1"/>
  <c r="X532" i="7"/>
  <c r="Z532" i="7"/>
  <c r="AB532" i="7"/>
  <c r="BC532" i="7" s="1"/>
  <c r="AA678" i="7"/>
  <c r="AA642" i="7"/>
  <c r="AA230" i="7"/>
  <c r="Y280" i="7"/>
  <c r="AA280" i="7"/>
  <c r="AA315" i="7"/>
  <c r="Y283" i="7"/>
  <c r="Y269" i="7"/>
  <c r="AA283" i="7"/>
  <c r="AA269" i="7"/>
  <c r="AA311" i="7"/>
  <c r="AA341" i="7"/>
  <c r="AA340" i="7"/>
  <c r="AA406" i="7"/>
  <c r="Y530" i="7"/>
  <c r="AA530" i="7"/>
  <c r="Y281" i="7"/>
  <c r="AA281" i="7"/>
  <c r="AA312" i="7"/>
  <c r="AA343" i="7"/>
  <c r="AA342" i="7"/>
  <c r="AA407" i="7"/>
  <c r="Y531" i="7"/>
  <c r="AA531" i="7"/>
  <c r="Y431" i="7"/>
  <c r="AA431" i="7"/>
  <c r="AA443" i="7"/>
  <c r="Y434" i="7"/>
  <c r="AA434" i="7"/>
  <c r="AA445" i="7"/>
  <c r="AA59" i="7"/>
  <c r="Y244" i="7"/>
  <c r="AA244" i="7"/>
  <c r="Y278" i="7"/>
  <c r="AA278" i="7"/>
  <c r="Y277" i="7"/>
  <c r="Y253" i="7"/>
  <c r="AA277" i="7"/>
  <c r="AA253" i="7"/>
  <c r="AA313" i="7"/>
  <c r="AA345" i="7"/>
  <c r="AA432" i="7"/>
  <c r="AA444" i="7"/>
  <c r="AA344" i="7"/>
  <c r="AA408" i="7"/>
  <c r="AA506" i="7"/>
  <c r="AA507" i="7"/>
  <c r="AA504" i="7"/>
  <c r="AA554" i="7"/>
  <c r="Y532" i="7"/>
  <c r="AA532" i="7"/>
  <c r="X602" i="7"/>
  <c r="X143" i="7" s="1"/>
  <c r="X606" i="7"/>
  <c r="Z678" i="7"/>
  <c r="BC664" i="7"/>
  <c r="AB678" i="7"/>
  <c r="BC678" i="7" s="1"/>
  <c r="Z642" i="7"/>
  <c r="BC631" i="7"/>
  <c r="AB642" i="7"/>
  <c r="BC642" i="7" s="1"/>
  <c r="BC73" i="7"/>
  <c r="AC92" i="7"/>
  <c r="AB27" i="7"/>
  <c r="BC27" i="7" s="1"/>
  <c r="AB63" i="7"/>
  <c r="BC63" i="7" s="1"/>
  <c r="Z230" i="7"/>
  <c r="AC207" i="7"/>
  <c r="AB230" i="7"/>
  <c r="BC230" i="7" s="1"/>
  <c r="X280" i="7"/>
  <c r="Z280" i="7"/>
  <c r="AB280" i="7"/>
  <c r="BC280" i="7" s="1"/>
  <c r="Z315" i="7"/>
  <c r="AB315" i="7"/>
  <c r="BC315" i="7" s="1"/>
  <c r="X283" i="7"/>
  <c r="X269" i="7"/>
  <c r="Z283" i="7"/>
  <c r="Z269" i="7"/>
  <c r="AB283" i="7"/>
  <c r="BC283" i="7" s="1"/>
  <c r="AB269" i="7"/>
  <c r="BD269" i="7" s="1"/>
  <c r="AC269" i="7"/>
  <c r="Z311" i="7"/>
  <c r="AB311" i="7"/>
  <c r="BC311" i="7" s="1"/>
  <c r="Z341" i="7"/>
  <c r="AB341" i="7"/>
  <c r="BC341" i="7" s="1"/>
  <c r="Z340" i="7"/>
  <c r="AB340" i="7"/>
  <c r="BC340" i="7" s="1"/>
  <c r="Z406" i="7"/>
  <c r="BC394" i="7"/>
  <c r="AB406" i="7"/>
  <c r="BC406" i="7" s="1"/>
  <c r="AC400" i="7"/>
  <c r="X530" i="7"/>
  <c r="Z530" i="7"/>
  <c r="AB530" i="7"/>
  <c r="BC530" i="7" s="1"/>
  <c r="X377" i="12"/>
  <c r="Y377" i="12" s="1"/>
  <c r="Z377" i="12" s="1"/>
  <c r="AA377" i="12" s="1"/>
  <c r="AB377" i="12" s="1"/>
  <c r="AC10" i="12"/>
  <c r="DM7" i="11" s="1"/>
  <c r="AC42" i="12"/>
  <c r="DM9" i="11" s="1"/>
  <c r="AC131" i="12"/>
  <c r="DM17" i="11" s="1"/>
  <c r="AC188" i="12"/>
  <c r="AC23" i="7" s="1"/>
  <c r="AC219" i="12"/>
  <c r="BC114" i="7"/>
  <c r="J41" i="11"/>
  <c r="AC285" i="12"/>
  <c r="AC526" i="7"/>
  <c r="AC524" i="7"/>
  <c r="BC45" i="7"/>
  <c r="AC54" i="7"/>
  <c r="BC10" i="7"/>
  <c r="AC19" i="7"/>
  <c r="BC47" i="7"/>
  <c r="AC56" i="7"/>
  <c r="BD200" i="7"/>
  <c r="AC208" i="7"/>
  <c r="BC255" i="7"/>
  <c r="BC297" i="7"/>
  <c r="AC305" i="7"/>
  <c r="BC324" i="7"/>
  <c r="AC334" i="7"/>
  <c r="BC323" i="7"/>
  <c r="AC333" i="7"/>
  <c r="BC395" i="7"/>
  <c r="AC401" i="7"/>
  <c r="BC518" i="7"/>
  <c r="AC525" i="7"/>
  <c r="BC417" i="7"/>
  <c r="BC420" i="7"/>
  <c r="BC50" i="7"/>
  <c r="BC11" i="7"/>
  <c r="AC20" i="7"/>
  <c r="BC48" i="7"/>
  <c r="AC57" i="7"/>
  <c r="BC137" i="7"/>
  <c r="AC146" i="7"/>
  <c r="AJ147" i="7" s="1"/>
  <c r="BC139" i="7"/>
  <c r="AC148" i="7"/>
  <c r="AJ149" i="7" s="1"/>
  <c r="BD203" i="7"/>
  <c r="AC211" i="7"/>
  <c r="BD201" i="7"/>
  <c r="AC209" i="7"/>
  <c r="BC252" i="7"/>
  <c r="AC264" i="7"/>
  <c r="BC298" i="7"/>
  <c r="AC306" i="7"/>
  <c r="BC326" i="7"/>
  <c r="AC336" i="7"/>
  <c r="BC418" i="7"/>
  <c r="BC325" i="7"/>
  <c r="BC396" i="7"/>
  <c r="AC402" i="7"/>
  <c r="BC483" i="7"/>
  <c r="AC495" i="7"/>
  <c r="BC480" i="7"/>
  <c r="AA492" i="7"/>
  <c r="BC484" i="7"/>
  <c r="AC496" i="7"/>
  <c r="BC481" i="7"/>
  <c r="AC493" i="7"/>
  <c r="BC541" i="7"/>
  <c r="AC548" i="7"/>
  <c r="BC605" i="7"/>
  <c r="BC163" i="7"/>
  <c r="AC168" i="7"/>
  <c r="BC9" i="7"/>
  <c r="AC18" i="7"/>
  <c r="BC46" i="7"/>
  <c r="AC55" i="7"/>
  <c r="BC254" i="7"/>
  <c r="AC266" i="7"/>
  <c r="BC300" i="7"/>
  <c r="AC308" i="7"/>
  <c r="BC257" i="7"/>
  <c r="BC296" i="7"/>
  <c r="AC304" i="7"/>
  <c r="BC322" i="7"/>
  <c r="AC332" i="7"/>
  <c r="BC321" i="7"/>
  <c r="AC331" i="7"/>
  <c r="AC59" i="8"/>
  <c r="AC48" i="8"/>
  <c r="DM88" i="11"/>
  <c r="DM13" i="11"/>
  <c r="Z3" i="24"/>
  <c r="Z11" i="24" s="1"/>
  <c r="AC20" i="8"/>
  <c r="AC50" i="8"/>
  <c r="AC61" i="8"/>
  <c r="DM8" i="11"/>
  <c r="DM49" i="11"/>
  <c r="DM15" i="11"/>
  <c r="DM103" i="11"/>
  <c r="AB214" i="12"/>
  <c r="AC225" i="12"/>
  <c r="DK70" i="11"/>
  <c r="AC236" i="12"/>
  <c r="DK71" i="11"/>
  <c r="DQ71" i="11" s="1"/>
  <c r="AC235" i="12"/>
  <c r="CT32" i="17"/>
  <c r="CQ27" i="17"/>
  <c r="CQ6" i="17" s="1"/>
  <c r="CN12" i="22" s="1"/>
  <c r="CQ184" i="17"/>
  <c r="CQ183" i="17" s="1"/>
  <c r="CQ12" i="17" s="1"/>
  <c r="CN18" i="22" s="1"/>
  <c r="CT189" i="17"/>
  <c r="I65" i="17"/>
  <c r="I225" i="17"/>
  <c r="DK41" i="11"/>
  <c r="DO41" i="11" s="1"/>
  <c r="AC368" i="12"/>
  <c r="CT51" i="17"/>
  <c r="CQ46" i="17"/>
  <c r="CQ7" i="17" s="1"/>
  <c r="CN13" i="22" s="1"/>
  <c r="CT246" i="17"/>
  <c r="CQ241" i="17"/>
  <c r="CQ240" i="17" s="1"/>
  <c r="CQ14" i="17" s="1"/>
  <c r="CN20" i="22" s="1"/>
  <c r="AB52" i="21"/>
  <c r="AC21" i="8"/>
  <c r="DK72" i="11"/>
  <c r="DQ72" i="11" s="1"/>
  <c r="AC237" i="12"/>
  <c r="CQ110" i="17"/>
  <c r="CT115" i="17"/>
  <c r="CQ149" i="17"/>
  <c r="CT154" i="17"/>
  <c r="CQ206" i="17"/>
  <c r="CT211" i="17"/>
  <c r="CQ263" i="17"/>
  <c r="CT268" i="17"/>
  <c r="I222" i="17"/>
  <c r="Z5" i="24"/>
  <c r="CT92" i="17"/>
  <c r="CQ87" i="17"/>
  <c r="CQ86" i="17" s="1"/>
  <c r="CQ8" i="17" s="1"/>
  <c r="CN14" i="22" s="1"/>
  <c r="AB53" i="21"/>
  <c r="AC22" i="8"/>
  <c r="AQ76" i="20"/>
  <c r="C302" i="2"/>
  <c r="E302" i="2"/>
  <c r="F302" i="2" s="1"/>
  <c r="G302" i="2" s="1"/>
  <c r="AT280" i="2"/>
  <c r="C300" i="2"/>
  <c r="CN304" i="17"/>
  <c r="CN306" i="17"/>
  <c r="CN305" i="17"/>
  <c r="CN307" i="17"/>
  <c r="AA231" i="12"/>
  <c r="AA214" i="12"/>
  <c r="T4" i="20"/>
  <c r="W530" i="20" s="1"/>
  <c r="BC251" i="7"/>
  <c r="BD199" i="7"/>
  <c r="AD153" i="24"/>
  <c r="AE149" i="24"/>
  <c r="AE150" i="24"/>
  <c r="AE151" i="24"/>
  <c r="AE152" i="24"/>
  <c r="AE154" i="24"/>
  <c r="AB153" i="24"/>
  <c r="M3" i="16"/>
  <c r="AC153" i="24"/>
  <c r="AC155" i="24"/>
  <c r="R157" i="24"/>
  <c r="N3" i="16"/>
  <c r="K2" i="6"/>
  <c r="K253" i="17"/>
  <c r="K161" i="17"/>
  <c r="K196" i="17"/>
  <c r="K122" i="17"/>
  <c r="K218" i="17"/>
  <c r="K275" i="17"/>
  <c r="K39" i="17"/>
  <c r="K139" i="17"/>
  <c r="K58" i="17"/>
  <c r="K99" i="17"/>
  <c r="K20" i="17"/>
  <c r="K4" i="17"/>
  <c r="I3" i="1"/>
  <c r="AC320" i="7"/>
  <c r="AD320" i="7" s="1"/>
  <c r="AE320" i="7" s="1"/>
  <c r="AF320" i="7" s="1"/>
  <c r="BC320" i="7"/>
  <c r="AC722" i="7"/>
  <c r="AD722" i="7" s="1"/>
  <c r="AE722" i="7" s="1"/>
  <c r="AF722" i="7" s="1"/>
  <c r="BC722" i="7"/>
  <c r="E338" i="17"/>
  <c r="E329" i="17"/>
  <c r="AC7" i="7"/>
  <c r="AD7" i="7" s="1"/>
  <c r="AE7" i="7" s="1"/>
  <c r="AF7" i="7" s="1"/>
  <c r="BC7" i="7"/>
  <c r="AC295" i="7"/>
  <c r="AD295" i="7" s="1"/>
  <c r="AE295" i="7" s="1"/>
  <c r="AF295" i="7" s="1"/>
  <c r="BC295" i="7"/>
  <c r="AC441" i="7"/>
  <c r="AD441" i="7" s="1"/>
  <c r="AE441" i="7" s="1"/>
  <c r="AF441" i="7" s="1"/>
  <c r="BC441" i="7"/>
  <c r="AC206" i="7"/>
  <c r="AD206" i="7" s="1"/>
  <c r="AE206" i="7" s="1"/>
  <c r="AF206" i="7" s="1"/>
  <c r="BD206" i="7"/>
  <c r="AC467" i="7"/>
  <c r="AD467" i="7" s="1"/>
  <c r="AE467" i="7" s="1"/>
  <c r="AF467" i="7" s="1"/>
  <c r="BC467" i="7"/>
  <c r="AC750" i="7"/>
  <c r="AD750" i="7" s="1"/>
  <c r="AE750" i="7" s="1"/>
  <c r="AF750" i="7" s="1"/>
  <c r="BC750" i="7"/>
  <c r="E324" i="17"/>
  <c r="E334" i="17"/>
  <c r="K105" i="8"/>
  <c r="L105" i="8"/>
  <c r="W105" i="8"/>
  <c r="X105" i="8"/>
  <c r="AA105" i="8"/>
  <c r="AB105" i="8"/>
  <c r="P105" i="8"/>
  <c r="AD429" i="7"/>
  <c r="AE429" i="7" s="1"/>
  <c r="AF429" i="7" s="1"/>
  <c r="BC429" i="7"/>
  <c r="AC667" i="7"/>
  <c r="AD667" i="7" s="1"/>
  <c r="AE667" i="7" s="1"/>
  <c r="AF667" i="7" s="1"/>
  <c r="BC667" i="7"/>
  <c r="AC739" i="7"/>
  <c r="AD739" i="7" s="1"/>
  <c r="AE739" i="7" s="1"/>
  <c r="AF739" i="7" s="1"/>
  <c r="BC739" i="7"/>
  <c r="M105" i="8"/>
  <c r="AC25" i="7"/>
  <c r="AD25" i="7" s="1"/>
  <c r="AE25" i="7" s="1"/>
  <c r="AF25" i="7" s="1"/>
  <c r="BC25" i="7"/>
  <c r="AC97" i="7"/>
  <c r="AD97" i="7" s="1"/>
  <c r="AE97" i="7" s="1"/>
  <c r="AF97" i="7" s="1"/>
  <c r="BC97" i="7"/>
  <c r="AC152" i="7"/>
  <c r="AD152" i="7" s="1"/>
  <c r="AE152" i="7" s="1"/>
  <c r="AF152" i="7" s="1"/>
  <c r="BC152" i="7"/>
  <c r="AD189" i="7"/>
  <c r="AE189" i="7" s="1"/>
  <c r="AF189" i="7" s="1"/>
  <c r="BC189" i="7"/>
  <c r="AC262" i="7"/>
  <c r="AD262" i="7" s="1"/>
  <c r="AE262" i="7" s="1"/>
  <c r="AF262" i="7" s="1"/>
  <c r="BC262" i="7"/>
  <c r="AC461" i="7"/>
  <c r="AD461" i="7" s="1"/>
  <c r="AE461" i="7" s="1"/>
  <c r="AF461" i="7" s="1"/>
  <c r="BC461" i="7"/>
  <c r="AD473" i="7"/>
  <c r="AE473" i="7" s="1"/>
  <c r="AF473" i="7" s="1"/>
  <c r="BC473" i="7"/>
  <c r="G523" i="7"/>
  <c r="H523" i="7" s="1"/>
  <c r="I523" i="7" s="1"/>
  <c r="J523" i="7" s="1"/>
  <c r="K523" i="7" s="1"/>
  <c r="L523" i="7" s="1"/>
  <c r="M523" i="7" s="1"/>
  <c r="N523" i="7" s="1"/>
  <c r="O523" i="7" s="1"/>
  <c r="P523" i="7" s="1"/>
  <c r="Q523" i="7" s="1"/>
  <c r="R523" i="7" s="1"/>
  <c r="S523" i="7" s="1"/>
  <c r="T523" i="7" s="1"/>
  <c r="U523" i="7" s="1"/>
  <c r="V523" i="7" s="1"/>
  <c r="W523" i="7" s="1"/>
  <c r="X523" i="7" s="1"/>
  <c r="Y523" i="7" s="1"/>
  <c r="Z523" i="7" s="1"/>
  <c r="AA523" i="7" s="1"/>
  <c r="AB523" i="7" s="1"/>
  <c r="H516" i="7"/>
  <c r="I516" i="7" s="1"/>
  <c r="J516" i="7" s="1"/>
  <c r="K516" i="7" s="1"/>
  <c r="L516" i="7" s="1"/>
  <c r="M516" i="7" s="1"/>
  <c r="N516" i="7" s="1"/>
  <c r="O516" i="7" s="1"/>
  <c r="P516" i="7" s="1"/>
  <c r="Q516" i="7" s="1"/>
  <c r="R516" i="7" s="1"/>
  <c r="S516" i="7" s="1"/>
  <c r="T516" i="7" s="1"/>
  <c r="U516" i="7" s="1"/>
  <c r="V516" i="7" s="1"/>
  <c r="W516" i="7" s="1"/>
  <c r="X516" i="7" s="1"/>
  <c r="Y516" i="7" s="1"/>
  <c r="Z516" i="7" s="1"/>
  <c r="AA516" i="7" s="1"/>
  <c r="AB516" i="7" s="1"/>
  <c r="AC529" i="7"/>
  <c r="AD529" i="7" s="1"/>
  <c r="AE529" i="7" s="1"/>
  <c r="AF529" i="7" s="1"/>
  <c r="BC529" i="7"/>
  <c r="AC560" i="7"/>
  <c r="AD560" i="7" s="1"/>
  <c r="AE560" i="7" s="1"/>
  <c r="AF560" i="7" s="1"/>
  <c r="BC560" i="7"/>
  <c r="AC685" i="7"/>
  <c r="AD685" i="7" s="1"/>
  <c r="AE685" i="7" s="1"/>
  <c r="AF685" i="7" s="1"/>
  <c r="BC685" i="7"/>
  <c r="AC711" i="7"/>
  <c r="AD711" i="7" s="1"/>
  <c r="AE711" i="7" s="1"/>
  <c r="AF711" i="7" s="1"/>
  <c r="BC711" i="7"/>
  <c r="AC61" i="7"/>
  <c r="AD61" i="7" s="1"/>
  <c r="AE61" i="7" s="1"/>
  <c r="AF61" i="7" s="1"/>
  <c r="BC61" i="7"/>
  <c r="AC106" i="7"/>
  <c r="AD106" i="7" s="1"/>
  <c r="AE106" i="7" s="1"/>
  <c r="AF106" i="7" s="1"/>
  <c r="BC106" i="7"/>
  <c r="AC170" i="7"/>
  <c r="AD170" i="7" s="1"/>
  <c r="AE170" i="7" s="1"/>
  <c r="AF170" i="7" s="1"/>
  <c r="BC170" i="7"/>
  <c r="AC198" i="7"/>
  <c r="AD198" i="7" s="1"/>
  <c r="AE198" i="7" s="1"/>
  <c r="AF198" i="7" s="1"/>
  <c r="BD198" i="7"/>
  <c r="AC218" i="7"/>
  <c r="AD218" i="7" s="1"/>
  <c r="AE218" i="7" s="1"/>
  <c r="AF218" i="7" s="1"/>
  <c r="BC218" i="7"/>
  <c r="AC233" i="7"/>
  <c r="AD233" i="7" s="1"/>
  <c r="AE233" i="7" s="1"/>
  <c r="AF233" i="7" s="1"/>
  <c r="BC233" i="7"/>
  <c r="AC241" i="7"/>
  <c r="AD241" i="7" s="1"/>
  <c r="AE241" i="7" s="1"/>
  <c r="AF241" i="7" s="1"/>
  <c r="BC241" i="7"/>
  <c r="AC276" i="7"/>
  <c r="AD276" i="7" s="1"/>
  <c r="AE276" i="7" s="1"/>
  <c r="AF276" i="7" s="1"/>
  <c r="BC276" i="7"/>
  <c r="AC310" i="7"/>
  <c r="AD310" i="7" s="1"/>
  <c r="AE310" i="7" s="1"/>
  <c r="AF310" i="7" s="1"/>
  <c r="BC310" i="7"/>
  <c r="AC357" i="7"/>
  <c r="AD357" i="7" s="1"/>
  <c r="AE357" i="7" s="1"/>
  <c r="AF357" i="7" s="1"/>
  <c r="BC357" i="7"/>
  <c r="AC384" i="7"/>
  <c r="AD384" i="7" s="1"/>
  <c r="AE384" i="7" s="1"/>
  <c r="AF384" i="7" s="1"/>
  <c r="BC384" i="7"/>
  <c r="AC405" i="7"/>
  <c r="AD405" i="7" s="1"/>
  <c r="AE405" i="7" s="1"/>
  <c r="AF405" i="7" s="1"/>
  <c r="BC405" i="7"/>
  <c r="AC538" i="7"/>
  <c r="AD538" i="7" s="1"/>
  <c r="AE538" i="7" s="1"/>
  <c r="AF538" i="7" s="1"/>
  <c r="BC538" i="7"/>
  <c r="AC591" i="7"/>
  <c r="AD591" i="7" s="1"/>
  <c r="AE591" i="7" s="1"/>
  <c r="AF591" i="7" s="1"/>
  <c r="BC591" i="7"/>
  <c r="AC634" i="7"/>
  <c r="AD634" i="7" s="1"/>
  <c r="AE634" i="7" s="1"/>
  <c r="AF634" i="7" s="1"/>
  <c r="BC634" i="7"/>
  <c r="AC649" i="7"/>
  <c r="AD649" i="7" s="1"/>
  <c r="AE649" i="7" s="1"/>
  <c r="AF649" i="7" s="1"/>
  <c r="BC649" i="7"/>
  <c r="AC690" i="7"/>
  <c r="AD690" i="7" s="1"/>
  <c r="AE690" i="7" s="1"/>
  <c r="AF690" i="7" s="1"/>
  <c r="BC690" i="7"/>
  <c r="AC727" i="7"/>
  <c r="AD727" i="7" s="1"/>
  <c r="AE727" i="7" s="1"/>
  <c r="AF727" i="7" s="1"/>
  <c r="BC727" i="7"/>
  <c r="T105" i="8"/>
  <c r="J105" i="8"/>
  <c r="Q105" i="8"/>
  <c r="F27" i="7"/>
  <c r="F63" i="7"/>
  <c r="F18" i="7"/>
  <c r="AC16" i="7"/>
  <c r="AD16" i="7" s="1"/>
  <c r="AE16" i="7" s="1"/>
  <c r="AF16" i="7" s="1"/>
  <c r="BC16" i="7"/>
  <c r="AC135" i="7"/>
  <c r="AD135" i="7" s="1"/>
  <c r="AE135" i="7" s="1"/>
  <c r="AF135" i="7" s="1"/>
  <c r="BC135" i="7"/>
  <c r="AC144" i="7"/>
  <c r="AD144" i="7" s="1"/>
  <c r="AE144" i="7" s="1"/>
  <c r="AF144" i="7" s="1"/>
  <c r="BC144" i="7"/>
  <c r="AC177" i="7"/>
  <c r="AD177" i="7" s="1"/>
  <c r="AE177" i="7" s="1"/>
  <c r="AF177" i="7" s="1"/>
  <c r="BC177" i="7"/>
  <c r="AC225" i="7"/>
  <c r="AD225" i="7" s="1"/>
  <c r="AE225" i="7" s="1"/>
  <c r="AF225" i="7" s="1"/>
  <c r="BC225" i="7"/>
  <c r="AC479" i="7"/>
  <c r="AD479" i="7" s="1"/>
  <c r="AE479" i="7" s="1"/>
  <c r="AF479" i="7" s="1"/>
  <c r="BC479" i="7"/>
  <c r="AC551" i="7"/>
  <c r="AD551" i="7" s="1"/>
  <c r="AE551" i="7" s="1"/>
  <c r="AF551" i="7" s="1"/>
  <c r="BC551" i="7"/>
  <c r="AC653" i="7"/>
  <c r="AD653" i="7" s="1"/>
  <c r="AE653" i="7" s="1"/>
  <c r="AF653" i="7" s="1"/>
  <c r="BC653" i="7"/>
  <c r="AC796" i="7"/>
  <c r="AD796" i="7" s="1"/>
  <c r="AE796" i="7" s="1"/>
  <c r="AF796" i="7" s="1"/>
  <c r="BC796" i="7"/>
  <c r="Z105" i="8"/>
  <c r="I117" i="8"/>
  <c r="AC33" i="7"/>
  <c r="AD33" i="7" s="1"/>
  <c r="AE33" i="7" s="1"/>
  <c r="AF33" i="7" s="1"/>
  <c r="BC33" i="7"/>
  <c r="AC44" i="7"/>
  <c r="AD44" i="7" s="1"/>
  <c r="AE44" i="7" s="1"/>
  <c r="AF44" i="7" s="1"/>
  <c r="BC44" i="7"/>
  <c r="AC53" i="7"/>
  <c r="AD53" i="7" s="1"/>
  <c r="AE53" i="7" s="1"/>
  <c r="AF53" i="7" s="1"/>
  <c r="BC53" i="7"/>
  <c r="AC91" i="7"/>
  <c r="AD91" i="7" s="1"/>
  <c r="AE91" i="7" s="1"/>
  <c r="AF91" i="7" s="1"/>
  <c r="BC91" i="7"/>
  <c r="AC213" i="7"/>
  <c r="AD213" i="7" s="1"/>
  <c r="AE213" i="7" s="1"/>
  <c r="AF213" i="7" s="1"/>
  <c r="BC213" i="7"/>
  <c r="AC303" i="7"/>
  <c r="AD303" i="7" s="1"/>
  <c r="AE303" i="7" s="1"/>
  <c r="AF303" i="7" s="1"/>
  <c r="BC303" i="7"/>
  <c r="AC339" i="7"/>
  <c r="AD339" i="7" s="1"/>
  <c r="AE339" i="7" s="1"/>
  <c r="AF339" i="7" s="1"/>
  <c r="BC339" i="7"/>
  <c r="AC372" i="7"/>
  <c r="AD372" i="7" s="1"/>
  <c r="AE372" i="7" s="1"/>
  <c r="AF372" i="7" s="1"/>
  <c r="BC372" i="7"/>
  <c r="AC399" i="7"/>
  <c r="AD399" i="7" s="1"/>
  <c r="AE399" i="7" s="1"/>
  <c r="AF399" i="7" s="1"/>
  <c r="BC399" i="7"/>
  <c r="AD415" i="7"/>
  <c r="AE415" i="7" s="1"/>
  <c r="AF415" i="7" s="1"/>
  <c r="BC415" i="7"/>
  <c r="AC455" i="7"/>
  <c r="AD455" i="7" s="1"/>
  <c r="AE455" i="7" s="1"/>
  <c r="AF455" i="7" s="1"/>
  <c r="BC455" i="7"/>
  <c r="AC502" i="7"/>
  <c r="AD502" i="7" s="1"/>
  <c r="AE502" i="7" s="1"/>
  <c r="AF502" i="7" s="1"/>
  <c r="BC502" i="7"/>
  <c r="AC545" i="7"/>
  <c r="AD545" i="7" s="1"/>
  <c r="AE545" i="7" s="1"/>
  <c r="AF545" i="7" s="1"/>
  <c r="BC545" i="7"/>
  <c r="AC680" i="7"/>
  <c r="AD680" i="7" s="1"/>
  <c r="AE680" i="7" s="1"/>
  <c r="AF680" i="7" s="1"/>
  <c r="BC680" i="7"/>
  <c r="AC72" i="7"/>
  <c r="AD72" i="7" s="1"/>
  <c r="AE72" i="7" s="1"/>
  <c r="AF72" i="7" s="1"/>
  <c r="BC72" i="7"/>
  <c r="AC126" i="7"/>
  <c r="AD126" i="7" s="1"/>
  <c r="AE126" i="7" s="1"/>
  <c r="AF126" i="7" s="1"/>
  <c r="BC126" i="7"/>
  <c r="AC286" i="7"/>
  <c r="AD286" i="7" s="1"/>
  <c r="AE286" i="7" s="1"/>
  <c r="AF286" i="7" s="1"/>
  <c r="BC286" i="7"/>
  <c r="AC491" i="7"/>
  <c r="AD491" i="7" s="1"/>
  <c r="AE491" i="7" s="1"/>
  <c r="AF491" i="7" s="1"/>
  <c r="BC491" i="7"/>
  <c r="AD575" i="7"/>
  <c r="AE575" i="7" s="1"/>
  <c r="AF575" i="7" s="1"/>
  <c r="BC575" i="7"/>
  <c r="AC601" i="7"/>
  <c r="AD601" i="7" s="1"/>
  <c r="AE601" i="7" s="1"/>
  <c r="AF601" i="7" s="1"/>
  <c r="BC601" i="7"/>
  <c r="AC615" i="7"/>
  <c r="AD615" i="7" s="1"/>
  <c r="AE615" i="7" s="1"/>
  <c r="AF615" i="7" s="1"/>
  <c r="BC615" i="7"/>
  <c r="AC644" i="7"/>
  <c r="AD644" i="7" s="1"/>
  <c r="AE644" i="7" s="1"/>
  <c r="AF644" i="7" s="1"/>
  <c r="BC644" i="7"/>
  <c r="AC717" i="7"/>
  <c r="AD717" i="7" s="1"/>
  <c r="AE717" i="7" s="1"/>
  <c r="AF717" i="7" s="1"/>
  <c r="BC717" i="7"/>
  <c r="AC777" i="7"/>
  <c r="AD777" i="7" s="1"/>
  <c r="AE777" i="7" s="1"/>
  <c r="AF777" i="7" s="1"/>
  <c r="BC777" i="7"/>
  <c r="AC788" i="7"/>
  <c r="AD788" i="7" s="1"/>
  <c r="AE788" i="7" s="1"/>
  <c r="AF788" i="7" s="1"/>
  <c r="BC788" i="7"/>
  <c r="AC117" i="7"/>
  <c r="AD117" i="7" s="1"/>
  <c r="AE117" i="7" s="1"/>
  <c r="AF117" i="7" s="1"/>
  <c r="BC117" i="7"/>
  <c r="AC160" i="7"/>
  <c r="AD160" i="7" s="1"/>
  <c r="AE160" i="7" s="1"/>
  <c r="AF160" i="7" s="1"/>
  <c r="BC160" i="7"/>
  <c r="AC250" i="7"/>
  <c r="AD250" i="7" s="1"/>
  <c r="AE250" i="7" s="1"/>
  <c r="AF250" i="7" s="1"/>
  <c r="BC250" i="7"/>
  <c r="AC273" i="7"/>
  <c r="AD273" i="7" s="1"/>
  <c r="AE273" i="7" s="1"/>
  <c r="AF273" i="7" s="1"/>
  <c r="BC273" i="7"/>
  <c r="AC330" i="7"/>
  <c r="AD330" i="7" s="1"/>
  <c r="AE330" i="7" s="1"/>
  <c r="AF330" i="7" s="1"/>
  <c r="BC330" i="7"/>
  <c r="AD363" i="7"/>
  <c r="AE363" i="7" s="1"/>
  <c r="AF363" i="7" s="1"/>
  <c r="BC363" i="7"/>
  <c r="AC393" i="7"/>
  <c r="AD393" i="7" s="1"/>
  <c r="AE393" i="7" s="1"/>
  <c r="AF393" i="7" s="1"/>
  <c r="BC393" i="7"/>
  <c r="AC584" i="7"/>
  <c r="AD584" i="7" s="1"/>
  <c r="AE584" i="7" s="1"/>
  <c r="AF584" i="7" s="1"/>
  <c r="BC584" i="7"/>
  <c r="AC705" i="7"/>
  <c r="AD705" i="7" s="1"/>
  <c r="AE705" i="7" s="1"/>
  <c r="AF705" i="7" s="1"/>
  <c r="BC705" i="7"/>
  <c r="AC734" i="7"/>
  <c r="AD734" i="7" s="1"/>
  <c r="AE734" i="7" s="1"/>
  <c r="AF734" i="7" s="1"/>
  <c r="BC734" i="7"/>
  <c r="AC767" i="7"/>
  <c r="AD767" i="7" s="1"/>
  <c r="AE767" i="7" s="1"/>
  <c r="AF767" i="7" s="1"/>
  <c r="BC767" i="7"/>
  <c r="G457" i="20"/>
  <c r="AO457" i="20"/>
  <c r="AC351" i="7"/>
  <c r="AD351" i="7" s="1"/>
  <c r="AE351" i="7" s="1"/>
  <c r="AF351" i="7" s="1"/>
  <c r="BC351" i="7"/>
  <c r="AC378" i="7"/>
  <c r="AD378" i="7" s="1"/>
  <c r="AE378" i="7" s="1"/>
  <c r="AF378" i="7" s="1"/>
  <c r="BC378" i="7"/>
  <c r="AD569" i="7"/>
  <c r="AE569" i="7" s="1"/>
  <c r="AF569" i="7" s="1"/>
  <c r="BC569" i="7"/>
  <c r="AC596" i="7"/>
  <c r="AD596" i="7" s="1"/>
  <c r="AE596" i="7" s="1"/>
  <c r="AF596" i="7" s="1"/>
  <c r="BC596" i="7"/>
  <c r="AC609" i="7"/>
  <c r="AD609" i="7" s="1"/>
  <c r="AE609" i="7" s="1"/>
  <c r="AF609" i="7" s="1"/>
  <c r="BC609" i="7"/>
  <c r="AC623" i="7"/>
  <c r="AD623" i="7" s="1"/>
  <c r="AE623" i="7" s="1"/>
  <c r="AF623" i="7" s="1"/>
  <c r="BC623" i="7"/>
  <c r="AC758" i="7"/>
  <c r="AD758" i="7" s="1"/>
  <c r="AE758" i="7" s="1"/>
  <c r="AF758" i="7" s="1"/>
  <c r="BC758" i="7"/>
  <c r="AC321" i="2"/>
  <c r="AG321" i="2"/>
  <c r="AR76" i="20"/>
  <c r="AE318" i="2"/>
  <c r="AP178" i="20"/>
  <c r="AC311" i="2"/>
  <c r="AC317" i="2"/>
  <c r="AP38" i="20"/>
  <c r="Y38" i="20" s="1"/>
  <c r="AZ268" i="2"/>
  <c r="BD268" i="2"/>
  <c r="BB270" i="2"/>
  <c r="BF270" i="2"/>
  <c r="F16" i="20"/>
  <c r="G450" i="20" s="1"/>
  <c r="AQ450" i="20" s="1"/>
  <c r="AN16" i="20"/>
  <c r="AO16" i="20" s="1"/>
  <c r="AP16" i="20" s="1"/>
  <c r="J11" i="21"/>
  <c r="I103" i="21"/>
  <c r="A13" i="22"/>
  <c r="A15" i="22"/>
  <c r="A17" i="22"/>
  <c r="A19" i="22"/>
  <c r="A21" i="22"/>
  <c r="A23" i="22"/>
  <c r="A25" i="22"/>
  <c r="A27" i="22"/>
  <c r="D238" i="2"/>
  <c r="B13" i="22"/>
  <c r="B15" i="22"/>
  <c r="B17" i="22"/>
  <c r="B19" i="22"/>
  <c r="B21" i="22"/>
  <c r="B23" i="22"/>
  <c r="B25" i="22"/>
  <c r="B27" i="22"/>
  <c r="AN38" i="20"/>
  <c r="W38" i="20" s="1"/>
  <c r="A12" i="22"/>
  <c r="A14" i="22"/>
  <c r="A16" i="22"/>
  <c r="A18" i="22"/>
  <c r="A20" i="22"/>
  <c r="A22" i="22"/>
  <c r="A24" i="22"/>
  <c r="A26" i="22"/>
  <c r="A28" i="22"/>
  <c r="AN178" i="20"/>
  <c r="B12" i="22"/>
  <c r="B14" i="22"/>
  <c r="B16" i="22"/>
  <c r="B18" i="22"/>
  <c r="B20" i="22"/>
  <c r="B22" i="22"/>
  <c r="B24" i="22"/>
  <c r="B26" i="22"/>
  <c r="K116" i="2"/>
  <c r="BC564" i="7"/>
  <c r="BC519" i="7"/>
  <c r="BC517" i="7"/>
  <c r="I62" i="17"/>
  <c r="I68" i="17"/>
  <c r="Z4" i="24"/>
  <c r="DK117" i="11"/>
  <c r="BC8" i="7"/>
  <c r="X451" i="20"/>
  <c r="AF321" i="2"/>
  <c r="AN243" i="20"/>
  <c r="AP243" i="20"/>
  <c r="AN244" i="20"/>
  <c r="AP244" i="20"/>
  <c r="AN245" i="20"/>
  <c r="AP245" i="20"/>
  <c r="AN246" i="20"/>
  <c r="AP246" i="20"/>
  <c r="AN247" i="20"/>
  <c r="AP247" i="20"/>
  <c r="AN248" i="20"/>
  <c r="AP248" i="20"/>
  <c r="H115" i="2"/>
  <c r="F692" i="7"/>
  <c r="F30" i="7"/>
  <c r="F66" i="7"/>
  <c r="F691" i="7"/>
  <c r="F67" i="7"/>
  <c r="F22" i="7"/>
  <c r="F31" i="7"/>
  <c r="G183" i="7"/>
  <c r="H183" i="7" s="1"/>
  <c r="I183" i="7" s="1"/>
  <c r="J183" i="7" s="1"/>
  <c r="K183" i="7" s="1"/>
  <c r="L183" i="7" s="1"/>
  <c r="M183" i="7" s="1"/>
  <c r="N183" i="7" s="1"/>
  <c r="O183" i="7" s="1"/>
  <c r="P183" i="7" s="1"/>
  <c r="Q183" i="7" s="1"/>
  <c r="R183" i="7" s="1"/>
  <c r="S183" i="7" s="1"/>
  <c r="T183" i="7" s="1"/>
  <c r="U183" i="7" s="1"/>
  <c r="V183" i="7" s="1"/>
  <c r="W183" i="7" s="1"/>
  <c r="X183" i="7" s="1"/>
  <c r="Y183" i="7" s="1"/>
  <c r="Z183" i="7" s="1"/>
  <c r="AA183" i="7" s="1"/>
  <c r="AB183" i="7" s="1"/>
  <c r="AC183" i="7" s="1"/>
  <c r="F17" i="7"/>
  <c r="F19" i="7"/>
  <c r="AB744" i="7"/>
  <c r="C212" i="2" s="1"/>
  <c r="AT212" i="2" s="1"/>
  <c r="G800" i="7"/>
  <c r="H800" i="7" s="1"/>
  <c r="I800" i="7" s="1"/>
  <c r="J800" i="7" s="1"/>
  <c r="K800" i="7" s="1"/>
  <c r="L800" i="7" s="1"/>
  <c r="M800" i="7" s="1"/>
  <c r="N800" i="7" s="1"/>
  <c r="O800" i="7" s="1"/>
  <c r="P800" i="7" s="1"/>
  <c r="Q800" i="7" s="1"/>
  <c r="R800" i="7" s="1"/>
  <c r="S800" i="7" s="1"/>
  <c r="T800" i="7" s="1"/>
  <c r="U800" i="7" s="1"/>
  <c r="V800" i="7" s="1"/>
  <c r="W800" i="7" s="1"/>
  <c r="X800" i="7" s="1"/>
  <c r="Y800" i="7" s="1"/>
  <c r="Z800" i="7" s="1"/>
  <c r="AA800" i="7" s="1"/>
  <c r="AB800" i="7" s="1"/>
  <c r="AC800" i="7" s="1"/>
  <c r="AA81" i="7"/>
  <c r="Z95" i="7"/>
  <c r="Z101" i="7"/>
  <c r="AB95" i="7"/>
  <c r="BC95" i="7" s="1"/>
  <c r="AB101" i="7"/>
  <c r="BC101" i="7" s="1"/>
  <c r="Y26" i="7"/>
  <c r="AA26" i="7"/>
  <c r="X62" i="7"/>
  <c r="Z62" i="7"/>
  <c r="AA130" i="7"/>
  <c r="Z93" i="7"/>
  <c r="Z99" i="7"/>
  <c r="AB93" i="7"/>
  <c r="BC93" i="7" s="1"/>
  <c r="AB99" i="7"/>
  <c r="BC99" i="7" s="1"/>
  <c r="Y28" i="7"/>
  <c r="AA80" i="7"/>
  <c r="AA28" i="7"/>
  <c r="X64" i="7"/>
  <c r="Z64" i="7"/>
  <c r="Z220" i="7"/>
  <c r="AB220" i="7"/>
  <c r="BC220" i="7" s="1"/>
  <c r="AA94" i="7"/>
  <c r="AA100" i="7"/>
  <c r="AA86" i="7"/>
  <c r="X22" i="7"/>
  <c r="X31" i="7"/>
  <c r="Z22" i="7"/>
  <c r="Z31" i="7"/>
  <c r="AB22" i="7"/>
  <c r="BC22" i="7" s="1"/>
  <c r="Y67" i="7"/>
  <c r="AA67" i="7"/>
  <c r="X29" i="7"/>
  <c r="Z85" i="7"/>
  <c r="Z29" i="7"/>
  <c r="AB85" i="7"/>
  <c r="BC85" i="7" s="1"/>
  <c r="Y65" i="7"/>
  <c r="AA65" i="7"/>
  <c r="X154" i="7"/>
  <c r="Z154" i="7"/>
  <c r="AB154" i="7"/>
  <c r="BC154" i="7" s="1"/>
  <c r="X156" i="7"/>
  <c r="Z156" i="7"/>
  <c r="AB156" i="7"/>
  <c r="BC156" i="7" s="1"/>
  <c r="Y211" i="7"/>
  <c r="AA223" i="7"/>
  <c r="AA211" i="7"/>
  <c r="Z221" i="7"/>
  <c r="AB221" i="7"/>
  <c r="BC221" i="7" s="1"/>
  <c r="X172" i="7"/>
  <c r="Z172" i="7"/>
  <c r="AB172" i="7"/>
  <c r="BC172" i="7" s="1"/>
  <c r="AA92" i="7"/>
  <c r="AA98" i="7"/>
  <c r="X27" i="7"/>
  <c r="Z27" i="7"/>
  <c r="Z75" i="7"/>
  <c r="AB75" i="7"/>
  <c r="BC75" i="7" s="1"/>
  <c r="Y63" i="7"/>
  <c r="AA63" i="7"/>
  <c r="Z76" i="7"/>
  <c r="AB76" i="7"/>
  <c r="BC76" i="7" s="1"/>
  <c r="AA219" i="7"/>
  <c r="AA101" i="7"/>
  <c r="AA95" i="7"/>
  <c r="CQ117" i="11"/>
  <c r="X26" i="7"/>
  <c r="DA117" i="11"/>
  <c r="Z26" i="7"/>
  <c r="Y62" i="7"/>
  <c r="AA62" i="7"/>
  <c r="Z130" i="7"/>
  <c r="AA99" i="7"/>
  <c r="AA93" i="7"/>
  <c r="X28" i="7"/>
  <c r="Z80" i="7"/>
  <c r="Z28" i="7"/>
  <c r="AB80" i="7"/>
  <c r="BC80" i="7" s="1"/>
  <c r="Y64" i="7"/>
  <c r="AA64" i="7"/>
  <c r="Z81" i="7"/>
  <c r="AB81" i="7"/>
  <c r="BC81" i="7" s="1"/>
  <c r="AA220" i="7"/>
  <c r="Z100" i="7"/>
  <c r="Z94" i="7"/>
  <c r="AB100" i="7"/>
  <c r="BC100" i="7" s="1"/>
  <c r="AB94" i="7"/>
  <c r="BC94" i="7" s="1"/>
  <c r="Z86" i="7"/>
  <c r="AB86" i="7"/>
  <c r="BC86" i="7" s="1"/>
  <c r="Y22" i="7"/>
  <c r="Y31" i="7"/>
  <c r="AA22" i="7"/>
  <c r="AA31" i="7"/>
  <c r="X67" i="7"/>
  <c r="Z67" i="7"/>
  <c r="Y29" i="7"/>
  <c r="AA85" i="7"/>
  <c r="AA29" i="7"/>
  <c r="X65" i="7"/>
  <c r="Z65" i="7"/>
  <c r="Y154" i="7"/>
  <c r="AA154" i="7"/>
  <c r="Y156" i="7"/>
  <c r="AA156" i="7"/>
  <c r="X211" i="7"/>
  <c r="Z223" i="7"/>
  <c r="Z211" i="7"/>
  <c r="AB223" i="7"/>
  <c r="BC223" i="7" s="1"/>
  <c r="AB211" i="7"/>
  <c r="AA221" i="7"/>
  <c r="Y172" i="7"/>
  <c r="AA172" i="7"/>
  <c r="Z98" i="7"/>
  <c r="Z92" i="7"/>
  <c r="AB98" i="7"/>
  <c r="BC98" i="7" s="1"/>
  <c r="AB92" i="7"/>
  <c r="BC92" i="7" s="1"/>
  <c r="Y27" i="7"/>
  <c r="AA75" i="7"/>
  <c r="AA27" i="7"/>
  <c r="X63" i="7"/>
  <c r="Z63" i="7"/>
  <c r="AA76" i="7"/>
  <c r="Z219" i="7"/>
  <c r="AB219" i="7"/>
  <c r="BC219" i="7" s="1"/>
  <c r="CR6" i="17"/>
  <c r="CO12" i="22" s="1"/>
  <c r="CR7" i="17"/>
  <c r="CO13" i="22" s="1"/>
  <c r="CR8" i="17"/>
  <c r="CO14" i="22" s="1"/>
  <c r="CR12" i="17"/>
  <c r="CO18" i="22" s="1"/>
  <c r="CR14" i="17"/>
  <c r="CO20" i="22" s="1"/>
  <c r="CX130" i="17"/>
  <c r="C256" i="2"/>
  <c r="AT256" i="2" s="1"/>
  <c r="C254" i="2"/>
  <c r="AT254" i="2" s="1"/>
  <c r="C255" i="2"/>
  <c r="AT255" i="2" s="1"/>
  <c r="C253" i="2"/>
  <c r="AT253" i="2" s="1"/>
  <c r="E100" i="2"/>
  <c r="C239" i="2"/>
  <c r="AT235" i="2" s="1"/>
  <c r="D255" i="2"/>
  <c r="AU255" i="2" s="1"/>
  <c r="D254" i="2"/>
  <c r="AU254" i="2" s="1"/>
  <c r="C238" i="2"/>
  <c r="AT234" i="2" s="1"/>
  <c r="D239" i="2"/>
  <c r="AO462" i="20"/>
  <c r="G456" i="20"/>
  <c r="G462" i="20" s="1"/>
  <c r="I450" i="20"/>
  <c r="F143" i="20"/>
  <c r="H143" i="20" s="1"/>
  <c r="I143" i="20" s="1"/>
  <c r="J143" i="20" s="1"/>
  <c r="F172" i="20"/>
  <c r="H172" i="20" s="1"/>
  <c r="J172" i="20" s="1"/>
  <c r="L172" i="20" s="1"/>
  <c r="E301" i="20"/>
  <c r="G301" i="20" s="1"/>
  <c r="I301" i="20" s="1"/>
  <c r="K301" i="20" s="1"/>
  <c r="F336" i="20"/>
  <c r="H336" i="20" s="1"/>
  <c r="J336" i="20" s="1"/>
  <c r="L336" i="20" s="1"/>
  <c r="F373" i="20"/>
  <c r="H373" i="20" s="1"/>
  <c r="J373" i="20" s="1"/>
  <c r="L373" i="20" s="1"/>
  <c r="F405" i="20"/>
  <c r="H405" i="20" s="1"/>
  <c r="J405" i="20" s="1"/>
  <c r="L405" i="20" s="1"/>
  <c r="AN405" i="20"/>
  <c r="AP405" i="20" s="1"/>
  <c r="AR405" i="20" s="1"/>
  <c r="AT405" i="20" s="1"/>
  <c r="F478" i="20"/>
  <c r="H478" i="20" s="1"/>
  <c r="J478" i="20" s="1"/>
  <c r="L478" i="20" s="1"/>
  <c r="F58" i="20"/>
  <c r="H58" i="20" s="1"/>
  <c r="I58" i="20" s="1"/>
  <c r="J58" i="20" s="1"/>
  <c r="E219" i="20"/>
  <c r="F219" i="20" s="1"/>
  <c r="G219" i="20" s="1"/>
  <c r="H219" i="20" s="1"/>
  <c r="F275" i="20"/>
  <c r="H275" i="20" s="1"/>
  <c r="J275" i="20" s="1"/>
  <c r="L275" i="20" s="1"/>
  <c r="Z450" i="20"/>
  <c r="E498" i="20"/>
  <c r="G498" i="20" s="1"/>
  <c r="I498" i="20" s="1"/>
  <c r="K498" i="20" s="1"/>
  <c r="AD372" i="12"/>
  <c r="AD125" i="21" s="1"/>
  <c r="CZ304" i="17"/>
  <c r="DA304" i="17" s="1"/>
  <c r="DB304" i="17" s="1"/>
  <c r="AD374" i="12"/>
  <c r="AD126" i="21" s="1"/>
  <c r="CZ306" i="17"/>
  <c r="DA306" i="17" s="1"/>
  <c r="DB306" i="17" s="1"/>
  <c r="AD373" i="12"/>
  <c r="AD127" i="21" s="1"/>
  <c r="CZ305" i="17"/>
  <c r="DA305" i="17" s="1"/>
  <c r="DB305" i="17" s="1"/>
  <c r="AD375" i="12"/>
  <c r="AD128" i="21" s="1"/>
  <c r="CZ307" i="17"/>
  <c r="DA307" i="17" s="1"/>
  <c r="DB307" i="17" s="1"/>
  <c r="AB139" i="8"/>
  <c r="I115" i="2"/>
  <c r="CQ12" i="22"/>
  <c r="O115" i="2"/>
  <c r="AC373" i="12"/>
  <c r="AC375" i="12"/>
  <c r="AC372" i="12"/>
  <c r="AC374" i="12"/>
  <c r="N115" i="2"/>
  <c r="J115" i="2"/>
  <c r="W183" i="1"/>
  <c r="S183" i="1"/>
  <c r="AA183" i="1"/>
  <c r="H203" i="1"/>
  <c r="H486" i="7" s="1"/>
  <c r="L40" i="6" s="1"/>
  <c r="AE250" i="1"/>
  <c r="AE254" i="1"/>
  <c r="P620" i="7"/>
  <c r="P621" i="7" s="1"/>
  <c r="R620" i="7"/>
  <c r="R621" i="7" s="1"/>
  <c r="T620" i="7"/>
  <c r="T621" i="7" s="1"/>
  <c r="V620" i="7"/>
  <c r="V621" i="7" s="1"/>
  <c r="X620" i="7"/>
  <c r="X621" i="7" s="1"/>
  <c r="Z620" i="7"/>
  <c r="Z621" i="7" s="1"/>
  <c r="M116" i="2"/>
  <c r="CT13" i="22"/>
  <c r="J116" i="2"/>
  <c r="I116" i="2"/>
  <c r="H116" i="2"/>
  <c r="AD7" i="8"/>
  <c r="AE7" i="8" s="1"/>
  <c r="AF7" i="8" s="1"/>
  <c r="AF52" i="21" s="1"/>
  <c r="AD9" i="8"/>
  <c r="AE9" i="8" s="1"/>
  <c r="AF9" i="8" s="1"/>
  <c r="AF53" i="21" s="1"/>
  <c r="AC53" i="21"/>
  <c r="Z801" i="7"/>
  <c r="AC306" i="2"/>
  <c r="AC315" i="2"/>
  <c r="AC309" i="2"/>
  <c r="AP75" i="20"/>
  <c r="AE306" i="2"/>
  <c r="AN28" i="20"/>
  <c r="AE309" i="2"/>
  <c r="AE315" i="2"/>
  <c r="AR75" i="20"/>
  <c r="AG306" i="2"/>
  <c r="AG315" i="2"/>
  <c r="AP28" i="20"/>
  <c r="AG309" i="2"/>
  <c r="AP77" i="20"/>
  <c r="AE312" i="2"/>
  <c r="AR77" i="20"/>
  <c r="AG312" i="2"/>
  <c r="AE296" i="2"/>
  <c r="AC296" i="2"/>
  <c r="AO146" i="20" s="1"/>
  <c r="AT129" i="2"/>
  <c r="AV129" i="2"/>
  <c r="AX129" i="2"/>
  <c r="AU130" i="2"/>
  <c r="AW130" i="2"/>
  <c r="AE299" i="2"/>
  <c r="AC299" i="2"/>
  <c r="AO150" i="20" s="1"/>
  <c r="AE300" i="2"/>
  <c r="AF300" i="2" s="1"/>
  <c r="AG300" i="2" s="1"/>
  <c r="AC300" i="2"/>
  <c r="AC314" i="2"/>
  <c r="AC308" i="2"/>
  <c r="AC305" i="2"/>
  <c r="AP183" i="20"/>
  <c r="AP179" i="20"/>
  <c r="AP177" i="20"/>
  <c r="AP174" i="20"/>
  <c r="AE314" i="2"/>
  <c r="AE308" i="2"/>
  <c r="AQ183" i="20"/>
  <c r="AQ179" i="20"/>
  <c r="AQ177" i="20"/>
  <c r="AQ174" i="20"/>
  <c r="AE305" i="2"/>
  <c r="AT183" i="20"/>
  <c r="AT179" i="20"/>
  <c r="AT177" i="20"/>
  <c r="AT174" i="20"/>
  <c r="AG314" i="2"/>
  <c r="AG308" i="2"/>
  <c r="AU183" i="20"/>
  <c r="AU179" i="20"/>
  <c r="AU177" i="20"/>
  <c r="AU174" i="20"/>
  <c r="AG305" i="2"/>
  <c r="AQ486" i="20"/>
  <c r="AQ484" i="20"/>
  <c r="AP486" i="20"/>
  <c r="AP484" i="20"/>
  <c r="AP175" i="20"/>
  <c r="AQ175" i="20"/>
  <c r="AT486" i="20"/>
  <c r="AU486" i="20"/>
  <c r="AU484" i="20"/>
  <c r="AT484" i="20"/>
  <c r="AT175" i="20"/>
  <c r="AU175" i="20"/>
  <c r="AP176" i="20"/>
  <c r="AE320" i="2"/>
  <c r="AQ176" i="20"/>
  <c r="AT176" i="20"/>
  <c r="AG320" i="2"/>
  <c r="AU176" i="20"/>
  <c r="AO500" i="20"/>
  <c r="AP500" i="20"/>
  <c r="AO518" i="20"/>
  <c r="AO514" i="20"/>
  <c r="AO508" i="20"/>
  <c r="AO502" i="20"/>
  <c r="AO515" i="20"/>
  <c r="AP181" i="20"/>
  <c r="AP180" i="20"/>
  <c r="AO517" i="20"/>
  <c r="AO509" i="20"/>
  <c r="AO503" i="20"/>
  <c r="AQ181" i="20"/>
  <c r="AQ180" i="20"/>
  <c r="AP189" i="20"/>
  <c r="AP188" i="20"/>
  <c r="AN40" i="20"/>
  <c r="AE311" i="2"/>
  <c r="AS500" i="20"/>
  <c r="AS518" i="20"/>
  <c r="AS517" i="20"/>
  <c r="AS515" i="20"/>
  <c r="AS514" i="20"/>
  <c r="AS509" i="20"/>
  <c r="AS508" i="20"/>
  <c r="AS503" i="20"/>
  <c r="AS502" i="20"/>
  <c r="AT500" i="20"/>
  <c r="AT181" i="20"/>
  <c r="AT180" i="20"/>
  <c r="AT189" i="20"/>
  <c r="AT188" i="20"/>
  <c r="AU181" i="20"/>
  <c r="AU180" i="20"/>
  <c r="AG311" i="2"/>
  <c r="AP40" i="20"/>
  <c r="AO504" i="20"/>
  <c r="AP504" i="20"/>
  <c r="AO506" i="20"/>
  <c r="AO507" i="20"/>
  <c r="AP182" i="20"/>
  <c r="AQ182" i="20"/>
  <c r="AP190" i="20"/>
  <c r="AS504" i="20"/>
  <c r="AS507" i="20"/>
  <c r="AS506" i="20"/>
  <c r="AT504" i="20"/>
  <c r="AT182" i="20"/>
  <c r="AT190" i="20"/>
  <c r="AU182" i="20"/>
  <c r="AO501" i="20"/>
  <c r="AP501" i="20"/>
  <c r="AP185" i="20"/>
  <c r="AP184" i="20"/>
  <c r="AQ185" i="20"/>
  <c r="AQ184" i="20"/>
  <c r="AE317" i="2"/>
  <c r="AS501" i="20"/>
  <c r="AT501" i="20"/>
  <c r="AT185" i="20"/>
  <c r="AT184" i="20"/>
  <c r="AU185" i="20"/>
  <c r="AU184" i="20"/>
  <c r="AG317" i="2"/>
  <c r="AO505" i="20"/>
  <c r="AP505" i="20"/>
  <c r="AP186" i="20"/>
  <c r="AQ186" i="20"/>
  <c r="AS505" i="20"/>
  <c r="AT505" i="20"/>
  <c r="AT186" i="20"/>
  <c r="AU186" i="20"/>
  <c r="AQ433" i="20"/>
  <c r="AQ432" i="20"/>
  <c r="AQ431" i="20"/>
  <c r="AQ430" i="20"/>
  <c r="AQ429" i="20"/>
  <c r="AQ436" i="20"/>
  <c r="AP201" i="20"/>
  <c r="AP195" i="20"/>
  <c r="AP192" i="20"/>
  <c r="AP187" i="20"/>
  <c r="AO513" i="20"/>
  <c r="AP424" i="20"/>
  <c r="AP389" i="20"/>
  <c r="AP385" i="20"/>
  <c r="AP354" i="20"/>
  <c r="AQ201" i="20"/>
  <c r="AQ195" i="20"/>
  <c r="AQ192" i="20"/>
  <c r="AQ187" i="20"/>
  <c r="AS513" i="20"/>
  <c r="AU436" i="20"/>
  <c r="AU433" i="20"/>
  <c r="AU432" i="20"/>
  <c r="AU431" i="20"/>
  <c r="AU430" i="20"/>
  <c r="AU429" i="20"/>
  <c r="AT424" i="20"/>
  <c r="AT389" i="20"/>
  <c r="AT385" i="20"/>
  <c r="AT354" i="20"/>
  <c r="AT201" i="20"/>
  <c r="AT195" i="20"/>
  <c r="AT192" i="20"/>
  <c r="AT187" i="20"/>
  <c r="AU201" i="20"/>
  <c r="AU195" i="20"/>
  <c r="AU192" i="20"/>
  <c r="AU187" i="20"/>
  <c r="AP199" i="20"/>
  <c r="AP198" i="20"/>
  <c r="AP196" i="20"/>
  <c r="AQ199" i="20"/>
  <c r="AQ198" i="20"/>
  <c r="AQ196" i="20"/>
  <c r="AT199" i="20"/>
  <c r="AT198" i="20"/>
  <c r="AT196" i="20"/>
  <c r="AU199" i="20"/>
  <c r="AU198" i="20"/>
  <c r="AU196" i="20"/>
  <c r="AP200" i="20"/>
  <c r="AQ200" i="20"/>
  <c r="AT200" i="20"/>
  <c r="AU200" i="20"/>
  <c r="AN242" i="20"/>
  <c r="AN37" i="20"/>
  <c r="AP242" i="20"/>
  <c r="AP37" i="20"/>
  <c r="AP197" i="20"/>
  <c r="AQ197" i="20"/>
  <c r="AT197" i="20"/>
  <c r="AU197" i="20"/>
  <c r="AM31" i="20"/>
  <c r="AQ279" i="20"/>
  <c r="AO31" i="20"/>
  <c r="AP279" i="20"/>
  <c r="AU279" i="20"/>
  <c r="AT279" i="20"/>
  <c r="AK279" i="20"/>
  <c r="AK280" i="20"/>
  <c r="AN194" i="20"/>
  <c r="AO194" i="20"/>
  <c r="AR194" i="20"/>
  <c r="AS194" i="20"/>
  <c r="AO283" i="20"/>
  <c r="AN282" i="20"/>
  <c r="AO281" i="20"/>
  <c r="AN283" i="20"/>
  <c r="AO282" i="20"/>
  <c r="AN281" i="20"/>
  <c r="AN34" i="20"/>
  <c r="AS283" i="20"/>
  <c r="AR282" i="20"/>
  <c r="AS281" i="20"/>
  <c r="AR283" i="20"/>
  <c r="AS282" i="20"/>
  <c r="AR281" i="20"/>
  <c r="AP34" i="20"/>
  <c r="AK283" i="20"/>
  <c r="AK281" i="20"/>
  <c r="AK282" i="20"/>
  <c r="AE302" i="2"/>
  <c r="AF302" i="2" s="1"/>
  <c r="AG302" i="2" s="1"/>
  <c r="AC302" i="2"/>
  <c r="AO303" i="20"/>
  <c r="AP303" i="20"/>
  <c r="AS303" i="20"/>
  <c r="AT303" i="20"/>
  <c r="AM306" i="20"/>
  <c r="AM304" i="20"/>
  <c r="AN304" i="20"/>
  <c r="AQ306" i="20"/>
  <c r="AQ304" i="20"/>
  <c r="AR304" i="20"/>
  <c r="AO311" i="20"/>
  <c r="AO305" i="20"/>
  <c r="AP311" i="20"/>
  <c r="AP305" i="20"/>
  <c r="AO312" i="20"/>
  <c r="AS311" i="20"/>
  <c r="AS305" i="20"/>
  <c r="AS312" i="20"/>
  <c r="AT311" i="20"/>
  <c r="AT305" i="20"/>
  <c r="AO307" i="20"/>
  <c r="AP307" i="20"/>
  <c r="AO310" i="20"/>
  <c r="AS307" i="20"/>
  <c r="AS310" i="20"/>
  <c r="AT307" i="20"/>
  <c r="AO309" i="20"/>
  <c r="AO308" i="20"/>
  <c r="AP309" i="20"/>
  <c r="AP308" i="20"/>
  <c r="AS309" i="20"/>
  <c r="AS308" i="20"/>
  <c r="AT309" i="20"/>
  <c r="AT308" i="20"/>
  <c r="AN353" i="20"/>
  <c r="AN350" i="20"/>
  <c r="AN349" i="20"/>
  <c r="AN346" i="20"/>
  <c r="AN344" i="20"/>
  <c r="AN338" i="20"/>
  <c r="AM41" i="20"/>
  <c r="AO353" i="20"/>
  <c r="AO349" i="20"/>
  <c r="AO346" i="20"/>
  <c r="AO344" i="20"/>
  <c r="AO338" i="20"/>
  <c r="AR353" i="20"/>
  <c r="AR350" i="20"/>
  <c r="AR349" i="20"/>
  <c r="AR346" i="20"/>
  <c r="AR344" i="20"/>
  <c r="AR338" i="20"/>
  <c r="AO41" i="20"/>
  <c r="AS349" i="20"/>
  <c r="AS346" i="20"/>
  <c r="AS344" i="20"/>
  <c r="AS338" i="20"/>
  <c r="AS353" i="20"/>
  <c r="AN339" i="20"/>
  <c r="AO339" i="20"/>
  <c r="AR339" i="20"/>
  <c r="AS339" i="20"/>
  <c r="AN340" i="20"/>
  <c r="AO340" i="20"/>
  <c r="AR340" i="20"/>
  <c r="AS340" i="20"/>
  <c r="AN341" i="20"/>
  <c r="AO341" i="20"/>
  <c r="AR341" i="20"/>
  <c r="AS341" i="20"/>
  <c r="AN409" i="20"/>
  <c r="AN342" i="20"/>
  <c r="AO409" i="20"/>
  <c r="AO342" i="20"/>
  <c r="AR409" i="20"/>
  <c r="AR342" i="20"/>
  <c r="AS409" i="20"/>
  <c r="AS342" i="20"/>
  <c r="AN343" i="20"/>
  <c r="AO343" i="20"/>
  <c r="AR343" i="20"/>
  <c r="AS343" i="20"/>
  <c r="AN345" i="20"/>
  <c r="AO345" i="20"/>
  <c r="AR345" i="20"/>
  <c r="AS345" i="20"/>
  <c r="AN348" i="20"/>
  <c r="AO348" i="20"/>
  <c r="AR348" i="20"/>
  <c r="AS348" i="20"/>
  <c r="AN351" i="20"/>
  <c r="AO351" i="20"/>
  <c r="AR351" i="20"/>
  <c r="AS351" i="20"/>
  <c r="AN352" i="20"/>
  <c r="AO352" i="20"/>
  <c r="AR352" i="20"/>
  <c r="AS352" i="20"/>
  <c r="AN388" i="20"/>
  <c r="AN384" i="20"/>
  <c r="AN379" i="20"/>
  <c r="AN375" i="20"/>
  <c r="AO384" i="20"/>
  <c r="AO379" i="20"/>
  <c r="AO375" i="20"/>
  <c r="AR388" i="20"/>
  <c r="AR384" i="20"/>
  <c r="AR379" i="20"/>
  <c r="AR375" i="20"/>
  <c r="AS384" i="20"/>
  <c r="AS379" i="20"/>
  <c r="AS375" i="20"/>
  <c r="AN376" i="20"/>
  <c r="AO376" i="20"/>
  <c r="AR376" i="20"/>
  <c r="AS376" i="20"/>
  <c r="AP45" i="20"/>
  <c r="AM28" i="20"/>
  <c r="AD315" i="2"/>
  <c r="AD316" i="2" s="1"/>
  <c r="AD309" i="2"/>
  <c r="AD310" i="2" s="1"/>
  <c r="AO75" i="20"/>
  <c r="AD306" i="2"/>
  <c r="AD307" i="2" s="1"/>
  <c r="AD284" i="2"/>
  <c r="AN347" i="20" s="1"/>
  <c r="AO28" i="20"/>
  <c r="AF315" i="2"/>
  <c r="AF309" i="2"/>
  <c r="AQ75" i="20"/>
  <c r="AF306" i="2"/>
  <c r="AE285" i="2"/>
  <c r="AN222" i="20" s="1"/>
  <c r="AC285" i="2"/>
  <c r="AO61" i="20" s="1"/>
  <c r="AD321" i="2"/>
  <c r="AD322" i="2" s="1"/>
  <c r="AD286" i="2"/>
  <c r="AC287" i="2"/>
  <c r="AO149" i="20" s="1"/>
  <c r="AE287" i="2"/>
  <c r="AN224" i="20" s="1"/>
  <c r="AE288" i="2"/>
  <c r="AN225" i="20" s="1"/>
  <c r="AC288" i="2"/>
  <c r="AO152" i="20" s="1"/>
  <c r="AE289" i="2"/>
  <c r="AC289" i="2"/>
  <c r="AO153" i="20" s="1"/>
  <c r="AD290" i="2"/>
  <c r="AO76" i="20"/>
  <c r="AD291" i="2"/>
  <c r="AO77" i="20"/>
  <c r="AD312" i="2"/>
  <c r="AD313" i="2" s="1"/>
  <c r="AQ77" i="20"/>
  <c r="AF312" i="2"/>
  <c r="AE292" i="2"/>
  <c r="AC292" i="2"/>
  <c r="AO68" i="20" s="1"/>
  <c r="AD293" i="2"/>
  <c r="AD318" i="2"/>
  <c r="AD319" i="2" s="1"/>
  <c r="AE294" i="2"/>
  <c r="AC294" i="2"/>
  <c r="AO72" i="20" s="1"/>
  <c r="AC295" i="2"/>
  <c r="AM29" i="20" s="1"/>
  <c r="AE295" i="2"/>
  <c r="AN33" i="20" s="1"/>
  <c r="AU129" i="2"/>
  <c r="AW129" i="2"/>
  <c r="AT130" i="2"/>
  <c r="AV130" i="2"/>
  <c r="AX130" i="2"/>
  <c r="AU132" i="2"/>
  <c r="AN183" i="20"/>
  <c r="AN179" i="20"/>
  <c r="AN177" i="20"/>
  <c r="AN174" i="20"/>
  <c r="AD305" i="2"/>
  <c r="AO183" i="20"/>
  <c r="AO179" i="20"/>
  <c r="AO177" i="20"/>
  <c r="AO174" i="20"/>
  <c r="AD314" i="2"/>
  <c r="AD308" i="2"/>
  <c r="AR183" i="20"/>
  <c r="AR179" i="20"/>
  <c r="AR177" i="20"/>
  <c r="AR174" i="20"/>
  <c r="AF305" i="2"/>
  <c r="AS183" i="20"/>
  <c r="AS179" i="20"/>
  <c r="AS177" i="20"/>
  <c r="AS174" i="20"/>
  <c r="AF308" i="2"/>
  <c r="AF314" i="2"/>
  <c r="AO486" i="20"/>
  <c r="AO484" i="20"/>
  <c r="AN175" i="20"/>
  <c r="AN486" i="20"/>
  <c r="AN484" i="20"/>
  <c r="AO175" i="20"/>
  <c r="AR486" i="20"/>
  <c r="AS484" i="20"/>
  <c r="AS486" i="20"/>
  <c r="AR484" i="20"/>
  <c r="AR175" i="20"/>
  <c r="AS175" i="20"/>
  <c r="AN176" i="20"/>
  <c r="AO176" i="20"/>
  <c r="AD320" i="2"/>
  <c r="AR176" i="20"/>
  <c r="AS176" i="20"/>
  <c r="AF320" i="2"/>
  <c r="AM518" i="20"/>
  <c r="AM517" i="20"/>
  <c r="AM515" i="20"/>
  <c r="AM514" i="20"/>
  <c r="AM509" i="20"/>
  <c r="AM508" i="20"/>
  <c r="AM503" i="20"/>
  <c r="AM502" i="20"/>
  <c r="AM500" i="20"/>
  <c r="AN500" i="20"/>
  <c r="AN189" i="20"/>
  <c r="AN188" i="20"/>
  <c r="AN181" i="20"/>
  <c r="AN180" i="20"/>
  <c r="AM40" i="20"/>
  <c r="AD311" i="2"/>
  <c r="AO181" i="20"/>
  <c r="AO180" i="20"/>
  <c r="AQ518" i="20"/>
  <c r="AQ517" i="20"/>
  <c r="AQ515" i="20"/>
  <c r="AQ514" i="20"/>
  <c r="AQ509" i="20"/>
  <c r="AQ508" i="20"/>
  <c r="AQ503" i="20"/>
  <c r="AQ502" i="20"/>
  <c r="AQ500" i="20"/>
  <c r="AR189" i="20"/>
  <c r="AR188" i="20"/>
  <c r="AR181" i="20"/>
  <c r="AR180" i="20"/>
  <c r="AO40" i="20"/>
  <c r="AF311" i="2"/>
  <c r="AR500" i="20"/>
  <c r="AS181" i="20"/>
  <c r="AS180" i="20"/>
  <c r="AM507" i="20"/>
  <c r="AM506" i="20"/>
  <c r="AM504" i="20"/>
  <c r="AN504" i="20"/>
  <c r="AN190" i="20"/>
  <c r="AN182" i="20"/>
  <c r="AO182" i="20"/>
  <c r="AQ507" i="20"/>
  <c r="AQ506" i="20"/>
  <c r="AQ504" i="20"/>
  <c r="AR504" i="20"/>
  <c r="AR190" i="20"/>
  <c r="AR182" i="20"/>
  <c r="AS182" i="20"/>
  <c r="AM501" i="20"/>
  <c r="AN501" i="20"/>
  <c r="AN185" i="20"/>
  <c r="AN184" i="20"/>
  <c r="AD317" i="2"/>
  <c r="AO185" i="20"/>
  <c r="AO184" i="20"/>
  <c r="AQ501" i="20"/>
  <c r="AR501" i="20"/>
  <c r="AR185" i="20"/>
  <c r="AR184" i="20"/>
  <c r="AF317" i="2"/>
  <c r="AS185" i="20"/>
  <c r="AS184" i="20"/>
  <c r="AM505" i="20"/>
  <c r="AN505" i="20"/>
  <c r="AN186" i="20"/>
  <c r="AO186" i="20"/>
  <c r="AQ505" i="20"/>
  <c r="AR186" i="20"/>
  <c r="AR505" i="20"/>
  <c r="AS186" i="20"/>
  <c r="AM513" i="20"/>
  <c r="AO436" i="20"/>
  <c r="AN424" i="20"/>
  <c r="AN389" i="20"/>
  <c r="AN385" i="20"/>
  <c r="AN354" i="20"/>
  <c r="AM236" i="20"/>
  <c r="AO433" i="20"/>
  <c r="AO432" i="20"/>
  <c r="AO431" i="20"/>
  <c r="AO430" i="20"/>
  <c r="AO429" i="20"/>
  <c r="AN201" i="20"/>
  <c r="AN195" i="20"/>
  <c r="AN192" i="20"/>
  <c r="AN187" i="20"/>
  <c r="AO201" i="20"/>
  <c r="AO195" i="20"/>
  <c r="AO192" i="20"/>
  <c r="AO187" i="20"/>
  <c r="AQ513" i="20"/>
  <c r="AS436" i="20"/>
  <c r="AR424" i="20"/>
  <c r="AR389" i="20"/>
  <c r="AR385" i="20"/>
  <c r="AR354" i="20"/>
  <c r="AR201" i="20"/>
  <c r="AR195" i="20"/>
  <c r="AR192" i="20"/>
  <c r="AR187" i="20"/>
  <c r="AS433" i="20"/>
  <c r="AS432" i="20"/>
  <c r="AS431" i="20"/>
  <c r="AS430" i="20"/>
  <c r="AS429" i="20"/>
  <c r="AS201" i="20"/>
  <c r="AS195" i="20"/>
  <c r="AS192" i="20"/>
  <c r="AS187" i="20"/>
  <c r="AN199" i="20"/>
  <c r="AN198" i="20"/>
  <c r="AN196" i="20"/>
  <c r="AO199" i="20"/>
  <c r="AO198" i="20"/>
  <c r="AO196" i="20"/>
  <c r="AR199" i="20"/>
  <c r="AR198" i="20"/>
  <c r="AR196" i="20"/>
  <c r="AS199" i="20"/>
  <c r="AS198" i="20"/>
  <c r="AS196" i="20"/>
  <c r="AN200" i="20"/>
  <c r="AO200" i="20"/>
  <c r="AR200" i="20"/>
  <c r="AS200" i="20"/>
  <c r="AM242" i="20"/>
  <c r="AM37" i="20"/>
  <c r="AO242" i="20"/>
  <c r="AO37" i="20"/>
  <c r="AM38" i="20"/>
  <c r="V38" i="20" s="1"/>
  <c r="AO38" i="20"/>
  <c r="X38" i="20" s="1"/>
  <c r="AV155" i="2"/>
  <c r="AX155" i="2"/>
  <c r="AD301" i="2"/>
  <c r="AN280" i="20" s="1"/>
  <c r="AD324" i="2"/>
  <c r="AD325" i="2" s="1"/>
  <c r="AN197" i="20"/>
  <c r="AO197" i="20"/>
  <c r="AR197" i="20"/>
  <c r="AS197" i="20"/>
  <c r="AO279" i="20"/>
  <c r="AN279" i="20"/>
  <c r="AN31" i="20"/>
  <c r="AS279" i="20"/>
  <c r="AR279" i="20"/>
  <c r="AP31" i="20"/>
  <c r="AT160" i="2"/>
  <c r="AV160" i="2"/>
  <c r="AX160" i="2"/>
  <c r="BB160" i="2"/>
  <c r="AP194" i="20"/>
  <c r="AQ194" i="20"/>
  <c r="AT194" i="20"/>
  <c r="AU194" i="20"/>
  <c r="AM34" i="20"/>
  <c r="AQ283" i="20"/>
  <c r="AP282" i="20"/>
  <c r="AQ281" i="20"/>
  <c r="AP281" i="20"/>
  <c r="AO34" i="20"/>
  <c r="AP283" i="20"/>
  <c r="AQ282" i="20"/>
  <c r="AU283" i="20"/>
  <c r="AT282" i="20"/>
  <c r="AU281" i="20"/>
  <c r="AT281" i="20"/>
  <c r="AT283" i="20"/>
  <c r="AU282" i="20"/>
  <c r="AU164" i="2"/>
  <c r="AW164" i="2"/>
  <c r="BC164" i="2"/>
  <c r="AU166" i="2"/>
  <c r="AM303" i="20"/>
  <c r="AN303" i="20"/>
  <c r="AQ303" i="20"/>
  <c r="AR303" i="20"/>
  <c r="AO304" i="20"/>
  <c r="AP304" i="20"/>
  <c r="AO306" i="20"/>
  <c r="AS304" i="20"/>
  <c r="AS306" i="20"/>
  <c r="AT304" i="20"/>
  <c r="AM312" i="20"/>
  <c r="AM311" i="20"/>
  <c r="AM305" i="20"/>
  <c r="AN311" i="20"/>
  <c r="AN305" i="20"/>
  <c r="AQ312" i="20"/>
  <c r="AQ311" i="20"/>
  <c r="AQ305" i="20"/>
  <c r="AR311" i="20"/>
  <c r="AR305" i="20"/>
  <c r="AM310" i="20"/>
  <c r="AM307" i="20"/>
  <c r="AN307" i="20"/>
  <c r="AQ310" i="20"/>
  <c r="AQ307" i="20"/>
  <c r="AR307" i="20"/>
  <c r="AM309" i="20"/>
  <c r="AM308" i="20"/>
  <c r="AN309" i="20"/>
  <c r="AN308" i="20"/>
  <c r="AQ309" i="20"/>
  <c r="AQ308" i="20"/>
  <c r="AR309" i="20"/>
  <c r="AR308" i="20"/>
  <c r="AP353" i="20"/>
  <c r="AP349" i="20"/>
  <c r="AP346" i="20"/>
  <c r="AP344" i="20"/>
  <c r="AP338" i="20"/>
  <c r="AQ353" i="20"/>
  <c r="AQ349" i="20"/>
  <c r="AQ346" i="20"/>
  <c r="AQ344" i="20"/>
  <c r="AQ338" i="20"/>
  <c r="AP350" i="20"/>
  <c r="AN41" i="20"/>
  <c r="AT353" i="20"/>
  <c r="AT349" i="20"/>
  <c r="AT346" i="20"/>
  <c r="AT344" i="20"/>
  <c r="AT338" i="20"/>
  <c r="AU353" i="20"/>
  <c r="AT350" i="20"/>
  <c r="AU349" i="20"/>
  <c r="AU346" i="20"/>
  <c r="AU344" i="20"/>
  <c r="AU338" i="20"/>
  <c r="AP41" i="20"/>
  <c r="AP339" i="20"/>
  <c r="AQ339" i="20"/>
  <c r="AT339" i="20"/>
  <c r="AU339" i="20"/>
  <c r="AP340" i="20"/>
  <c r="AQ340" i="20"/>
  <c r="AT340" i="20"/>
  <c r="AU340" i="20"/>
  <c r="AP341" i="20"/>
  <c r="AQ341" i="20"/>
  <c r="AT341" i="20"/>
  <c r="AU341" i="20"/>
  <c r="AP409" i="20"/>
  <c r="AP342" i="20"/>
  <c r="AQ409" i="20"/>
  <c r="AQ342" i="20"/>
  <c r="AT409" i="20"/>
  <c r="AT342" i="20"/>
  <c r="AU409" i="20"/>
  <c r="AU342" i="20"/>
  <c r="AP343" i="20"/>
  <c r="AQ343" i="20"/>
  <c r="AT343" i="20"/>
  <c r="AU343" i="20"/>
  <c r="AP345" i="20"/>
  <c r="AQ345" i="20"/>
  <c r="AT345" i="20"/>
  <c r="AU345" i="20"/>
  <c r="AP348" i="20"/>
  <c r="AQ348" i="20"/>
  <c r="AT348" i="20"/>
  <c r="AU348" i="20"/>
  <c r="AP351" i="20"/>
  <c r="AQ351" i="20"/>
  <c r="AT351" i="20"/>
  <c r="AU351" i="20"/>
  <c r="AP352" i="20"/>
  <c r="AQ352" i="20"/>
  <c r="AT352" i="20"/>
  <c r="AU352" i="20"/>
  <c r="AP384" i="20"/>
  <c r="AP379" i="20"/>
  <c r="AP375" i="20"/>
  <c r="AQ384" i="20"/>
  <c r="AQ379" i="20"/>
  <c r="AQ375" i="20"/>
  <c r="AP388" i="20"/>
  <c r="AT384" i="20"/>
  <c r="AT379" i="20"/>
  <c r="AT375" i="20"/>
  <c r="AT388" i="20"/>
  <c r="AU384" i="20"/>
  <c r="AU379" i="20"/>
  <c r="AU375" i="20"/>
  <c r="AP376" i="20"/>
  <c r="AQ376" i="20"/>
  <c r="AT376" i="20"/>
  <c r="AU376" i="20"/>
  <c r="AN43" i="20"/>
  <c r="AP43" i="20"/>
  <c r="AP377" i="20"/>
  <c r="AQ377" i="20"/>
  <c r="AT377" i="20"/>
  <c r="AU377" i="20"/>
  <c r="AP378" i="20"/>
  <c r="AQ378" i="20"/>
  <c r="AT378" i="20"/>
  <c r="AU378" i="20"/>
  <c r="AP380" i="20"/>
  <c r="AQ380" i="20"/>
  <c r="AT380" i="20"/>
  <c r="AU380" i="20"/>
  <c r="AP381" i="20"/>
  <c r="AQ381" i="20"/>
  <c r="AT381" i="20"/>
  <c r="AU381" i="20"/>
  <c r="AP410" i="20"/>
  <c r="AP382" i="20"/>
  <c r="AQ410" i="20"/>
  <c r="AQ382" i="20"/>
  <c r="AT410" i="20"/>
  <c r="AT382" i="20"/>
  <c r="AU410" i="20"/>
  <c r="AU382" i="20"/>
  <c r="AP386" i="20"/>
  <c r="AQ386" i="20"/>
  <c r="AT386" i="20"/>
  <c r="AU386" i="20"/>
  <c r="AP387" i="20"/>
  <c r="AQ387" i="20"/>
  <c r="AT387" i="20"/>
  <c r="AU387" i="20"/>
  <c r="AN433" i="20"/>
  <c r="AN432" i="20"/>
  <c r="AN431" i="20"/>
  <c r="AN429" i="20"/>
  <c r="AN423" i="20"/>
  <c r="AN414" i="20"/>
  <c r="AN407" i="20"/>
  <c r="AO423" i="20"/>
  <c r="AO414" i="20"/>
  <c r="AO407" i="20"/>
  <c r="AQ455" i="20"/>
  <c r="AQ454" i="20"/>
  <c r="AQ452" i="20"/>
  <c r="AR433" i="20"/>
  <c r="AR432" i="20"/>
  <c r="AR431" i="20"/>
  <c r="AR429" i="20"/>
  <c r="AR423" i="20"/>
  <c r="AR414" i="20"/>
  <c r="AR407" i="20"/>
  <c r="AS423" i="20"/>
  <c r="AS414" i="20"/>
  <c r="AS407" i="20"/>
  <c r="AN408" i="20"/>
  <c r="AO408" i="20"/>
  <c r="AQ458" i="20"/>
  <c r="AR408" i="20"/>
  <c r="AQ461" i="20"/>
  <c r="AQ460" i="20"/>
  <c r="AS408" i="20"/>
  <c r="AN411" i="20"/>
  <c r="AO411" i="20"/>
  <c r="AQ467" i="20"/>
  <c r="AQ466" i="20"/>
  <c r="AQ464" i="20"/>
  <c r="AR411" i="20"/>
  <c r="AS411" i="20"/>
  <c r="AN412" i="20"/>
  <c r="AO412" i="20"/>
  <c r="AR412" i="20"/>
  <c r="AS412" i="20"/>
  <c r="AN488" i="20"/>
  <c r="AO488" i="20"/>
  <c r="AR488" i="20"/>
  <c r="AS488" i="20"/>
  <c r="AN487" i="20"/>
  <c r="AO487" i="20"/>
  <c r="AR487" i="20"/>
  <c r="AS487" i="20"/>
  <c r="AO480" i="20"/>
  <c r="AN430" i="20"/>
  <c r="AN422" i="20"/>
  <c r="AN415" i="20"/>
  <c r="AN480" i="20"/>
  <c r="AO422" i="20"/>
  <c r="AO415" i="20"/>
  <c r="AS480" i="20"/>
  <c r="AR430" i="20"/>
  <c r="AR422" i="20"/>
  <c r="AR415" i="20"/>
  <c r="AR480" i="20"/>
  <c r="AS422" i="20"/>
  <c r="AS415" i="20"/>
  <c r="AN418" i="20"/>
  <c r="AO418" i="20"/>
  <c r="AR418" i="20"/>
  <c r="AS418" i="20"/>
  <c r="AN419" i="20"/>
  <c r="AO419" i="20"/>
  <c r="AR419" i="20"/>
  <c r="AS419" i="20"/>
  <c r="AN420" i="20"/>
  <c r="AO420" i="20"/>
  <c r="AR420" i="20"/>
  <c r="AS420" i="20"/>
  <c r="AN421" i="20"/>
  <c r="AO421" i="20"/>
  <c r="AR421" i="20"/>
  <c r="AS421" i="20"/>
  <c r="AN425" i="20"/>
  <c r="AO425" i="20"/>
  <c r="AR425" i="20"/>
  <c r="AS425" i="20"/>
  <c r="AN426" i="20"/>
  <c r="AO426" i="20"/>
  <c r="AR426" i="20"/>
  <c r="AS426" i="20"/>
  <c r="AN427" i="20"/>
  <c r="AO427" i="20"/>
  <c r="AR427" i="20"/>
  <c r="AS427" i="20"/>
  <c r="AN435" i="20"/>
  <c r="AO435" i="20"/>
  <c r="AM45" i="20"/>
  <c r="AR435" i="20"/>
  <c r="AO45" i="20"/>
  <c r="AS435" i="20"/>
  <c r="AM43" i="20"/>
  <c r="AO43" i="20"/>
  <c r="AP440" i="20"/>
  <c r="AP438" i="20"/>
  <c r="AQ440" i="20"/>
  <c r="AQ438" i="20"/>
  <c r="AT440" i="20"/>
  <c r="AT438" i="20"/>
  <c r="AU440" i="20"/>
  <c r="AU438" i="20"/>
  <c r="AP439" i="20"/>
  <c r="AQ439" i="20"/>
  <c r="AT439" i="20"/>
  <c r="AU439" i="20"/>
  <c r="AM511" i="20"/>
  <c r="AM510" i="20"/>
  <c r="AN191" i="20"/>
  <c r="AQ511" i="20"/>
  <c r="AQ510" i="20"/>
  <c r="AR191" i="20"/>
  <c r="AO485" i="20"/>
  <c r="AN413" i="20"/>
  <c r="AN485" i="20"/>
  <c r="AO413" i="20"/>
  <c r="AS485" i="20"/>
  <c r="AR413" i="20"/>
  <c r="AR485" i="20"/>
  <c r="AS413" i="20"/>
  <c r="AO483" i="20"/>
  <c r="AN483" i="20"/>
  <c r="AS483" i="20"/>
  <c r="AR483" i="20"/>
  <c r="AO481" i="20"/>
  <c r="AN416" i="20"/>
  <c r="AN481" i="20"/>
  <c r="AO416" i="20"/>
  <c r="AS481" i="20"/>
  <c r="AR416" i="20"/>
  <c r="AR481" i="20"/>
  <c r="AS416" i="20"/>
  <c r="AO482" i="20"/>
  <c r="AN417" i="20"/>
  <c r="AN482" i="20"/>
  <c r="AO417" i="20"/>
  <c r="AS482" i="20"/>
  <c r="AR417" i="20"/>
  <c r="AR482" i="20"/>
  <c r="AS417" i="20"/>
  <c r="AN542" i="20"/>
  <c r="AO537" i="20"/>
  <c r="AO535" i="20"/>
  <c r="AM535" i="20"/>
  <c r="AN537" i="20"/>
  <c r="AN535" i="20"/>
  <c r="AR542" i="20"/>
  <c r="AS537" i="20"/>
  <c r="AS535" i="20"/>
  <c r="AR537" i="20"/>
  <c r="AR535" i="20"/>
  <c r="AM537" i="20"/>
  <c r="AN536" i="20"/>
  <c r="AO536" i="20"/>
  <c r="AM536" i="20"/>
  <c r="AR536" i="20"/>
  <c r="AS536" i="20"/>
  <c r="AN541" i="20"/>
  <c r="AN539" i="20"/>
  <c r="AO541" i="20"/>
  <c r="AM539" i="20"/>
  <c r="AM541" i="20"/>
  <c r="AO539" i="20"/>
  <c r="AR541" i="20"/>
  <c r="AR539" i="20"/>
  <c r="AS541" i="20"/>
  <c r="AS539" i="20"/>
  <c r="AQ540" i="20"/>
  <c r="AP540" i="20"/>
  <c r="AU540" i="20"/>
  <c r="AT540" i="20"/>
  <c r="AN377" i="20"/>
  <c r="AO377" i="20"/>
  <c r="AR377" i="20"/>
  <c r="AS377" i="20"/>
  <c r="AN378" i="20"/>
  <c r="AO378" i="20"/>
  <c r="AR378" i="20"/>
  <c r="AS378" i="20"/>
  <c r="AN380" i="20"/>
  <c r="AO380" i="20"/>
  <c r="AR380" i="20"/>
  <c r="AS380" i="20"/>
  <c r="AN381" i="20"/>
  <c r="AO381" i="20"/>
  <c r="AR381" i="20"/>
  <c r="AS381" i="20"/>
  <c r="AN410" i="20"/>
  <c r="AN382" i="20"/>
  <c r="AO410" i="20"/>
  <c r="AO382" i="20"/>
  <c r="AR410" i="20"/>
  <c r="AR382" i="20"/>
  <c r="AS410" i="20"/>
  <c r="AS382" i="20"/>
  <c r="AN386" i="20"/>
  <c r="AO386" i="20"/>
  <c r="AR386" i="20"/>
  <c r="AS386" i="20"/>
  <c r="AN387" i="20"/>
  <c r="AO387" i="20"/>
  <c r="AR387" i="20"/>
  <c r="AS387" i="20"/>
  <c r="AP433" i="20"/>
  <c r="AP432" i="20"/>
  <c r="AP431" i="20"/>
  <c r="AP429" i="20"/>
  <c r="AP423" i="20"/>
  <c r="AO455" i="20"/>
  <c r="AO452" i="20"/>
  <c r="AQ423" i="20"/>
  <c r="AP414" i="20"/>
  <c r="AP407" i="20"/>
  <c r="AQ414" i="20"/>
  <c r="AQ407" i="20"/>
  <c r="AO454" i="20"/>
  <c r="AT433" i="20"/>
  <c r="AT432" i="20"/>
  <c r="AT431" i="20"/>
  <c r="AT429" i="20"/>
  <c r="AT423" i="20"/>
  <c r="AS454" i="20"/>
  <c r="AU423" i="20"/>
  <c r="AT414" i="20"/>
  <c r="AT407" i="20"/>
  <c r="AU414" i="20"/>
  <c r="AU407" i="20"/>
  <c r="AS455" i="20"/>
  <c r="AS452" i="20"/>
  <c r="AO461" i="20"/>
  <c r="AO460" i="20"/>
  <c r="AO458" i="20"/>
  <c r="AP408" i="20"/>
  <c r="AQ408" i="20"/>
  <c r="AS461" i="20"/>
  <c r="AS460" i="20"/>
  <c r="AS458" i="20"/>
  <c r="AT408" i="20"/>
  <c r="AU408" i="20"/>
  <c r="AO467" i="20"/>
  <c r="AO464" i="20"/>
  <c r="AP411" i="20"/>
  <c r="AQ411" i="20"/>
  <c r="AO466" i="20"/>
  <c r="AS466" i="20"/>
  <c r="AT411" i="20"/>
  <c r="AU411" i="20"/>
  <c r="AS467" i="20"/>
  <c r="AS464" i="20"/>
  <c r="AP412" i="20"/>
  <c r="AQ412" i="20"/>
  <c r="AT412" i="20"/>
  <c r="AU412" i="20"/>
  <c r="AP488" i="20"/>
  <c r="AQ488" i="20"/>
  <c r="AT488" i="20"/>
  <c r="AU488" i="20"/>
  <c r="AP487" i="20"/>
  <c r="AQ487" i="20"/>
  <c r="AT487" i="20"/>
  <c r="AU487" i="20"/>
  <c r="AQ480" i="20"/>
  <c r="AP430" i="20"/>
  <c r="AP422" i="20"/>
  <c r="AP480" i="20"/>
  <c r="AQ422" i="20"/>
  <c r="AP415" i="20"/>
  <c r="AQ415" i="20"/>
  <c r="AU480" i="20"/>
  <c r="AT430" i="20"/>
  <c r="AT422" i="20"/>
  <c r="AT480" i="20"/>
  <c r="AU422" i="20"/>
  <c r="AT415" i="20"/>
  <c r="AU415" i="20"/>
  <c r="AP418" i="20"/>
  <c r="AQ418" i="20"/>
  <c r="AT418" i="20"/>
  <c r="AU418" i="20"/>
  <c r="AP419" i="20"/>
  <c r="AQ419" i="20"/>
  <c r="AT419" i="20"/>
  <c r="AU419" i="20"/>
  <c r="AP420" i="20"/>
  <c r="AQ420" i="20"/>
  <c r="AT420" i="20"/>
  <c r="AU420" i="20"/>
  <c r="AP421" i="20"/>
  <c r="AQ421" i="20"/>
  <c r="AT421" i="20"/>
  <c r="AU421" i="20"/>
  <c r="AP425" i="20"/>
  <c r="AQ425" i="20"/>
  <c r="AT425" i="20"/>
  <c r="AU425" i="20"/>
  <c r="AP426" i="20"/>
  <c r="AQ426" i="20"/>
  <c r="AT426" i="20"/>
  <c r="AU426" i="20"/>
  <c r="AP427" i="20"/>
  <c r="AQ427" i="20"/>
  <c r="AT427" i="20"/>
  <c r="AU427" i="20"/>
  <c r="AP435" i="20"/>
  <c r="AQ435" i="20"/>
  <c r="AT435" i="20"/>
  <c r="AU435" i="20"/>
  <c r="AN440" i="20"/>
  <c r="AN438" i="20"/>
  <c r="AO440" i="20"/>
  <c r="AO438" i="20"/>
  <c r="AR440" i="20"/>
  <c r="AR438" i="20"/>
  <c r="AS440" i="20"/>
  <c r="AS438" i="20"/>
  <c r="AV238" i="2"/>
  <c r="AX238" i="2"/>
  <c r="AN439" i="20"/>
  <c r="AO439" i="20"/>
  <c r="AR439" i="20"/>
  <c r="AS439" i="20"/>
  <c r="AV239" i="2"/>
  <c r="AX239" i="2"/>
  <c r="AO510" i="20"/>
  <c r="AO511" i="20"/>
  <c r="AP191" i="20"/>
  <c r="AS511" i="20"/>
  <c r="AS510" i="20"/>
  <c r="AT191" i="20"/>
  <c r="AQ485" i="20"/>
  <c r="AP485" i="20"/>
  <c r="AP413" i="20"/>
  <c r="AQ413" i="20"/>
  <c r="AU485" i="20"/>
  <c r="AT485" i="20"/>
  <c r="AT413" i="20"/>
  <c r="AU413" i="20"/>
  <c r="AQ483" i="20"/>
  <c r="AP483" i="20"/>
  <c r="AU483" i="20"/>
  <c r="AT483" i="20"/>
  <c r="AQ481" i="20"/>
  <c r="AP416" i="20"/>
  <c r="AP481" i="20"/>
  <c r="AQ416" i="20"/>
  <c r="AU481" i="20"/>
  <c r="AT416" i="20"/>
  <c r="AT481" i="20"/>
  <c r="AU416" i="20"/>
  <c r="AQ482" i="20"/>
  <c r="AP417" i="20"/>
  <c r="AP482" i="20"/>
  <c r="AQ417" i="20"/>
  <c r="AU482" i="20"/>
  <c r="AT417" i="20"/>
  <c r="AT482" i="20"/>
  <c r="AU417" i="20"/>
  <c r="AQ537" i="20"/>
  <c r="AQ535" i="20"/>
  <c r="AP542" i="20"/>
  <c r="AP535" i="20"/>
  <c r="AP537" i="20"/>
  <c r="AU537" i="20"/>
  <c r="AU535" i="20"/>
  <c r="AT535" i="20"/>
  <c r="AT542" i="20"/>
  <c r="AT537" i="20"/>
  <c r="AP536" i="20"/>
  <c r="AQ536" i="20"/>
  <c r="AT536" i="20"/>
  <c r="AU536" i="20"/>
  <c r="AP541" i="20"/>
  <c r="AP539" i="20"/>
  <c r="AQ539" i="20"/>
  <c r="AQ541" i="20"/>
  <c r="AT541" i="20"/>
  <c r="AT539" i="20"/>
  <c r="AU539" i="20"/>
  <c r="AU541" i="20"/>
  <c r="AO540" i="20"/>
  <c r="AM540" i="20"/>
  <c r="AN540" i="20"/>
  <c r="AS540" i="20"/>
  <c r="AR540" i="20"/>
  <c r="AN45" i="20"/>
  <c r="AM243" i="20"/>
  <c r="AO243" i="20"/>
  <c r="AM244" i="20"/>
  <c r="AO244" i="20"/>
  <c r="AM245" i="20"/>
  <c r="AO245" i="20"/>
  <c r="AM246" i="20"/>
  <c r="AO246" i="20"/>
  <c r="AM247" i="20"/>
  <c r="AO247" i="20"/>
  <c r="AM248" i="20"/>
  <c r="AO248" i="20"/>
  <c r="G119" i="1"/>
  <c r="G136" i="7" s="1"/>
  <c r="G153" i="7" s="1"/>
  <c r="I119" i="1"/>
  <c r="I136" i="7" s="1"/>
  <c r="I74" i="21" s="1"/>
  <c r="K119" i="1"/>
  <c r="K136" i="7" s="1"/>
  <c r="K153" i="7" s="1"/>
  <c r="M119" i="1"/>
  <c r="M136" i="7" s="1"/>
  <c r="M74" i="21" s="1"/>
  <c r="O119" i="1"/>
  <c r="O136" i="7" s="1"/>
  <c r="O74" i="21" s="1"/>
  <c r="Q119" i="1"/>
  <c r="Q136" i="7" s="1"/>
  <c r="Q74" i="21" s="1"/>
  <c r="S119" i="1"/>
  <c r="S136" i="7" s="1"/>
  <c r="S153" i="7" s="1"/>
  <c r="U119" i="1"/>
  <c r="U136" i="7" s="1"/>
  <c r="U74" i="21" s="1"/>
  <c r="W119" i="1"/>
  <c r="W136" i="7" s="1"/>
  <c r="W153" i="7" s="1"/>
  <c r="Y119" i="1"/>
  <c r="Y136" i="7" s="1"/>
  <c r="Y153" i="7" s="1"/>
  <c r="AA119" i="1"/>
  <c r="AA136" i="7" s="1"/>
  <c r="AC119" i="1"/>
  <c r="AC136" i="7" s="1"/>
  <c r="AC179" i="7" s="1"/>
  <c r="AE119" i="1"/>
  <c r="G130" i="1"/>
  <c r="G487" i="7" s="1"/>
  <c r="I130" i="1"/>
  <c r="I487" i="7" s="1"/>
  <c r="K130" i="1"/>
  <c r="K487" i="7" s="1"/>
  <c r="K510" i="7" s="1"/>
  <c r="M130" i="1"/>
  <c r="M487" i="7" s="1"/>
  <c r="O130" i="1"/>
  <c r="O487" i="7" s="1"/>
  <c r="O740" i="7" s="1"/>
  <c r="Q130" i="1"/>
  <c r="Q487" i="7" s="1"/>
  <c r="S130" i="1"/>
  <c r="S487" i="7" s="1"/>
  <c r="CA40" i="6" s="1"/>
  <c r="U130" i="1"/>
  <c r="U487" i="7" s="1"/>
  <c r="W130" i="1"/>
  <c r="W487" i="7" s="1"/>
  <c r="Y130" i="1"/>
  <c r="Y487" i="7" s="1"/>
  <c r="AA130" i="1"/>
  <c r="AA487" i="7" s="1"/>
  <c r="AA510" i="7" s="1"/>
  <c r="AC130" i="1"/>
  <c r="AC487" i="7" s="1"/>
  <c r="AE130" i="1"/>
  <c r="G136" i="1"/>
  <c r="G540" i="7" s="1"/>
  <c r="G553" i="7" s="1"/>
  <c r="I136" i="1"/>
  <c r="I540" i="7" s="1"/>
  <c r="I553" i="7" s="1"/>
  <c r="K136" i="1"/>
  <c r="K540" i="7" s="1"/>
  <c r="M136" i="1"/>
  <c r="M540" i="7" s="1"/>
  <c r="M553" i="7" s="1"/>
  <c r="O136" i="1"/>
  <c r="O540" i="7" s="1"/>
  <c r="O736" i="7" s="1"/>
  <c r="Q136" i="1"/>
  <c r="Q540" i="7" s="1"/>
  <c r="Q553" i="7" s="1"/>
  <c r="S136" i="1"/>
  <c r="S540" i="7" s="1"/>
  <c r="U136" i="1"/>
  <c r="U540" i="7" s="1"/>
  <c r="U553" i="7" s="1"/>
  <c r="W136" i="1"/>
  <c r="W540" i="7" s="1"/>
  <c r="W736" i="7" s="1"/>
  <c r="Y136" i="1"/>
  <c r="Y540" i="7" s="1"/>
  <c r="Y553" i="7" s="1"/>
  <c r="AA136" i="1"/>
  <c r="AA540" i="7" s="1"/>
  <c r="AA553" i="7" s="1"/>
  <c r="AC136" i="1"/>
  <c r="AC540" i="7" s="1"/>
  <c r="AE136" i="1"/>
  <c r="G140" i="1"/>
  <c r="G424" i="7" s="1"/>
  <c r="G449" i="7" s="1"/>
  <c r="I140" i="1"/>
  <c r="I424" i="7" s="1"/>
  <c r="I449" i="7" s="1"/>
  <c r="K140" i="1"/>
  <c r="K424" i="7" s="1"/>
  <c r="K108" i="21" s="1"/>
  <c r="M140" i="1"/>
  <c r="M424" i="7" s="1"/>
  <c r="M449" i="7" s="1"/>
  <c r="O140" i="1"/>
  <c r="O424" i="7" s="1"/>
  <c r="O108" i="21" s="1"/>
  <c r="Q140" i="1"/>
  <c r="Q424" i="7" s="1"/>
  <c r="Q449" i="7" s="1"/>
  <c r="S140" i="1"/>
  <c r="S424" i="7" s="1"/>
  <c r="S108" i="21" s="1"/>
  <c r="U140" i="1"/>
  <c r="U424" i="7" s="1"/>
  <c r="W140" i="1"/>
  <c r="W424" i="7" s="1"/>
  <c r="W108" i="21" s="1"/>
  <c r="Y140" i="1"/>
  <c r="Y424" i="7" s="1"/>
  <c r="AA140" i="1"/>
  <c r="AA424" i="7" s="1"/>
  <c r="AC140" i="1"/>
  <c r="AC424" i="7" s="1"/>
  <c r="AE140" i="1"/>
  <c r="H154" i="1"/>
  <c r="H138" i="7" s="1"/>
  <c r="J154" i="1"/>
  <c r="J138" i="7" s="1"/>
  <c r="J752" i="7" s="1"/>
  <c r="L154" i="1"/>
  <c r="L138" i="7" s="1"/>
  <c r="N154" i="1"/>
  <c r="N138" i="7" s="1"/>
  <c r="N155" i="7" s="1"/>
  <c r="P154" i="1"/>
  <c r="P138" i="7" s="1"/>
  <c r="R154" i="1"/>
  <c r="R138" i="7" s="1"/>
  <c r="R752" i="7" s="1"/>
  <c r="T154" i="1"/>
  <c r="T138" i="7" s="1"/>
  <c r="V154" i="1"/>
  <c r="V138" i="7" s="1"/>
  <c r="CT20" i="6" s="1"/>
  <c r="X154" i="1"/>
  <c r="X138" i="7" s="1"/>
  <c r="Z154" i="1"/>
  <c r="Z138" i="7" s="1"/>
  <c r="Z155" i="7" s="1"/>
  <c r="AB154" i="1"/>
  <c r="AB138" i="7" s="1"/>
  <c r="ED20" i="6" s="1"/>
  <c r="AD154" i="1"/>
  <c r="AF154" i="1"/>
  <c r="U183" i="1"/>
  <c r="Y183" i="1"/>
  <c r="AB801" i="7"/>
  <c r="BC801" i="7" s="1"/>
  <c r="H189" i="1"/>
  <c r="H141" i="7" s="1"/>
  <c r="L18" i="6" s="1"/>
  <c r="J189" i="1"/>
  <c r="J141" i="7" s="1"/>
  <c r="K150" i="7" s="1"/>
  <c r="L189" i="1"/>
  <c r="L141" i="7" s="1"/>
  <c r="L158" i="7" s="1"/>
  <c r="N189" i="1"/>
  <c r="N141" i="7" s="1"/>
  <c r="AV18" i="6" s="1"/>
  <c r="P189" i="1"/>
  <c r="P141" i="7" s="1"/>
  <c r="R189" i="1"/>
  <c r="R141" i="7" s="1"/>
  <c r="R61" i="21" s="1"/>
  <c r="T189" i="1"/>
  <c r="T141" i="7" s="1"/>
  <c r="T158" i="7" s="1"/>
  <c r="V189" i="1"/>
  <c r="V141" i="7" s="1"/>
  <c r="CR18" i="6" s="1"/>
  <c r="X189" i="1"/>
  <c r="X141" i="7" s="1"/>
  <c r="X61" i="21" s="1"/>
  <c r="Z189" i="1"/>
  <c r="Z141" i="7" s="1"/>
  <c r="DP18" i="6" s="1"/>
  <c r="AB189" i="1"/>
  <c r="AB141" i="7" s="1"/>
  <c r="AD189" i="1"/>
  <c r="AF189" i="1"/>
  <c r="J203" i="1"/>
  <c r="J486" i="7" s="1"/>
  <c r="J509" i="7" s="1"/>
  <c r="L203" i="1"/>
  <c r="L486" i="7" s="1"/>
  <c r="N203" i="1"/>
  <c r="N486" i="7" s="1"/>
  <c r="N723" i="7" s="1"/>
  <c r="P203" i="1"/>
  <c r="P486" i="7" s="1"/>
  <c r="R203" i="1"/>
  <c r="R486" i="7" s="1"/>
  <c r="R509" i="7" s="1"/>
  <c r="T203" i="1"/>
  <c r="T486" i="7" s="1"/>
  <c r="V203" i="1"/>
  <c r="V486" i="7" s="1"/>
  <c r="V509" i="7" s="1"/>
  <c r="X203" i="1"/>
  <c r="X486" i="7" s="1"/>
  <c r="Z203" i="1"/>
  <c r="Z486" i="7" s="1"/>
  <c r="Z509" i="7" s="1"/>
  <c r="AB203" i="1"/>
  <c r="AB486" i="7" s="1"/>
  <c r="AB509" i="7" s="1"/>
  <c r="AD203" i="1"/>
  <c r="AF203" i="1"/>
  <c r="H209" i="1"/>
  <c r="H539" i="7" s="1"/>
  <c r="H719" i="7" s="1"/>
  <c r="J209" i="1"/>
  <c r="J539" i="7" s="1"/>
  <c r="L209" i="1"/>
  <c r="L539" i="7" s="1"/>
  <c r="AJ47" i="6" s="1"/>
  <c r="N209" i="1"/>
  <c r="N539" i="7" s="1"/>
  <c r="P209" i="1"/>
  <c r="P539" i="7" s="1"/>
  <c r="BH47" i="6" s="1"/>
  <c r="R209" i="1"/>
  <c r="R539" i="7" s="1"/>
  <c r="T209" i="1"/>
  <c r="T539" i="7" s="1"/>
  <c r="T552" i="7" s="1"/>
  <c r="V209" i="1"/>
  <c r="V539" i="7" s="1"/>
  <c r="X209" i="1"/>
  <c r="X539" i="7" s="1"/>
  <c r="X719" i="7" s="1"/>
  <c r="Z209" i="1"/>
  <c r="Z539" i="7" s="1"/>
  <c r="Z552" i="7" s="1"/>
  <c r="AB209" i="1"/>
  <c r="AB539" i="7" s="1"/>
  <c r="AB719" i="7" s="1"/>
  <c r="BC719" i="7" s="1"/>
  <c r="AD209" i="1"/>
  <c r="AF209" i="1"/>
  <c r="CP241" i="17"/>
  <c r="CP240" i="17" s="1"/>
  <c r="CP14" i="17" s="1"/>
  <c r="G11" i="24"/>
  <c r="I11" i="24"/>
  <c r="K11" i="24"/>
  <c r="M11" i="24"/>
  <c r="O11" i="24"/>
  <c r="Q11" i="24"/>
  <c r="S11" i="24"/>
  <c r="U11" i="24"/>
  <c r="W11" i="24"/>
  <c r="Y11" i="24"/>
  <c r="H35" i="12"/>
  <c r="L57" i="11" s="1"/>
  <c r="J35" i="12"/>
  <c r="V57" i="11" s="1"/>
  <c r="L35" i="12"/>
  <c r="AF57" i="11" s="1"/>
  <c r="N35" i="12"/>
  <c r="AP57" i="11" s="1"/>
  <c r="P35" i="12"/>
  <c r="AZ57" i="11" s="1"/>
  <c r="R35" i="12"/>
  <c r="BJ57" i="11" s="1"/>
  <c r="T35" i="12"/>
  <c r="BT57" i="11" s="1"/>
  <c r="V35" i="12"/>
  <c r="CD57" i="11" s="1"/>
  <c r="X35" i="12"/>
  <c r="CN57" i="11" s="1"/>
  <c r="Z35" i="12"/>
  <c r="CX57" i="11" s="1"/>
  <c r="I36" i="12"/>
  <c r="Q58" i="11" s="1"/>
  <c r="K36" i="12"/>
  <c r="AA58" i="11" s="1"/>
  <c r="M36" i="12"/>
  <c r="AK58" i="11" s="1"/>
  <c r="O36" i="12"/>
  <c r="AU58" i="11" s="1"/>
  <c r="Q36" i="12"/>
  <c r="BE58" i="11" s="1"/>
  <c r="S36" i="12"/>
  <c r="BO58" i="11" s="1"/>
  <c r="U36" i="12"/>
  <c r="BY58" i="11" s="1"/>
  <c r="W36" i="12"/>
  <c r="CI58" i="11" s="1"/>
  <c r="Y36" i="12"/>
  <c r="CS58" i="11" s="1"/>
  <c r="AA36" i="12"/>
  <c r="DC58" i="11" s="1"/>
  <c r="AD231" i="1"/>
  <c r="AF231" i="1"/>
  <c r="AE242" i="1"/>
  <c r="AE246" i="1"/>
  <c r="AE231" i="1"/>
  <c r="AD242" i="1"/>
  <c r="AF242" i="1"/>
  <c r="AD246" i="1"/>
  <c r="AF246" i="1"/>
  <c r="AD250" i="1"/>
  <c r="AF250" i="1"/>
  <c r="AD254" i="1"/>
  <c r="AF254" i="1"/>
  <c r="R183" i="1"/>
  <c r="T183" i="1"/>
  <c r="V183" i="1"/>
  <c r="X183" i="1"/>
  <c r="Z183" i="1"/>
  <c r="G189" i="1"/>
  <c r="G141" i="7" s="1"/>
  <c r="G158" i="7" s="1"/>
  <c r="I189" i="1"/>
  <c r="I141" i="7" s="1"/>
  <c r="R18" i="6" s="1"/>
  <c r="K189" i="1"/>
  <c r="M189" i="1"/>
  <c r="M141" i="7" s="1"/>
  <c r="AP18" i="6" s="1"/>
  <c r="O189" i="1"/>
  <c r="O141" i="7" s="1"/>
  <c r="BB18" i="6" s="1"/>
  <c r="Q189" i="1"/>
  <c r="Q141" i="7" s="1"/>
  <c r="Q150" i="7" s="1"/>
  <c r="S189" i="1"/>
  <c r="S141" i="7" s="1"/>
  <c r="S150" i="7" s="1"/>
  <c r="U189" i="1"/>
  <c r="U141" i="7" s="1"/>
  <c r="U150" i="7" s="1"/>
  <c r="W189" i="1"/>
  <c r="W141" i="7" s="1"/>
  <c r="CX18" i="6" s="1"/>
  <c r="Y189" i="1"/>
  <c r="Y141" i="7" s="1"/>
  <c r="Y158" i="7" s="1"/>
  <c r="AA189" i="1"/>
  <c r="AA141" i="7" s="1"/>
  <c r="AA61" i="21" s="1"/>
  <c r="AC189" i="1"/>
  <c r="AC141" i="7" s="1"/>
  <c r="AE189" i="1"/>
  <c r="G203" i="1"/>
  <c r="G486" i="7" s="1"/>
  <c r="G723" i="7" s="1"/>
  <c r="I203" i="1"/>
  <c r="I486" i="7" s="1"/>
  <c r="I723" i="7" s="1"/>
  <c r="K203" i="1"/>
  <c r="K486" i="7" s="1"/>
  <c r="K509" i="7" s="1"/>
  <c r="M203" i="1"/>
  <c r="M486" i="7" s="1"/>
  <c r="M723" i="7" s="1"/>
  <c r="O203" i="1"/>
  <c r="O486" i="7" s="1"/>
  <c r="BB40" i="6" s="1"/>
  <c r="Q203" i="1"/>
  <c r="Q486" i="7" s="1"/>
  <c r="Q509" i="7" s="1"/>
  <c r="S203" i="1"/>
  <c r="S486" i="7" s="1"/>
  <c r="BZ40" i="6" s="1"/>
  <c r="U203" i="1"/>
  <c r="U486" i="7" s="1"/>
  <c r="U723" i="7" s="1"/>
  <c r="W203" i="1"/>
  <c r="W486" i="7" s="1"/>
  <c r="CX40" i="6" s="1"/>
  <c r="Y203" i="1"/>
  <c r="Y486" i="7" s="1"/>
  <c r="DJ40" i="6" s="1"/>
  <c r="AA203" i="1"/>
  <c r="AA486" i="7" s="1"/>
  <c r="AA509" i="7" s="1"/>
  <c r="AC203" i="1"/>
  <c r="AC486" i="7" s="1"/>
  <c r="AE203" i="1"/>
  <c r="G209" i="1"/>
  <c r="G539" i="7" s="1"/>
  <c r="F47" i="6" s="1"/>
  <c r="I209" i="1"/>
  <c r="I539" i="7" s="1"/>
  <c r="R47" i="6" s="1"/>
  <c r="K209" i="1"/>
  <c r="K539" i="7" s="1"/>
  <c r="K552" i="7" s="1"/>
  <c r="M209" i="1"/>
  <c r="M539" i="7" s="1"/>
  <c r="AP47" i="6" s="1"/>
  <c r="O209" i="1"/>
  <c r="O539" i="7" s="1"/>
  <c r="BB47" i="6" s="1"/>
  <c r="Q209" i="1"/>
  <c r="Q539" i="7" s="1"/>
  <c r="BN47" i="6" s="1"/>
  <c r="S209" i="1"/>
  <c r="S539" i="7" s="1"/>
  <c r="S552" i="7" s="1"/>
  <c r="U209" i="1"/>
  <c r="U539" i="7" s="1"/>
  <c r="CL47" i="6" s="1"/>
  <c r="W209" i="1"/>
  <c r="W539" i="7" s="1"/>
  <c r="CX47" i="6" s="1"/>
  <c r="Y209" i="1"/>
  <c r="Y539" i="7" s="1"/>
  <c r="DJ47" i="6" s="1"/>
  <c r="AA209" i="1"/>
  <c r="AA539" i="7" s="1"/>
  <c r="AA552" i="7" s="1"/>
  <c r="AC209" i="1"/>
  <c r="AC539" i="7" s="1"/>
  <c r="AE209" i="1"/>
  <c r="BI79" i="17"/>
  <c r="BM79" i="17"/>
  <c r="BQ79" i="17"/>
  <c r="BU79" i="17"/>
  <c r="BY79" i="17"/>
  <c r="O620" i="7"/>
  <c r="O621" i="7" s="1"/>
  <c r="Q620" i="7"/>
  <c r="Q621" i="7" s="1"/>
  <c r="S620" i="7"/>
  <c r="S621" i="7" s="1"/>
  <c r="U620" i="7"/>
  <c r="U621" i="7" s="1"/>
  <c r="W620" i="7"/>
  <c r="W621" i="7" s="1"/>
  <c r="Y620" i="7"/>
  <c r="Y621" i="7" s="1"/>
  <c r="H176" i="17"/>
  <c r="J176" i="17"/>
  <c r="L176" i="17"/>
  <c r="N176" i="17"/>
  <c r="P176" i="17"/>
  <c r="R176" i="17"/>
  <c r="T176" i="17"/>
  <c r="V176" i="17"/>
  <c r="X176" i="17"/>
  <c r="Z176" i="17"/>
  <c r="AB176" i="17"/>
  <c r="AD176" i="17"/>
  <c r="AF176" i="17"/>
  <c r="AH176" i="17"/>
  <c r="AJ176" i="17"/>
  <c r="AL176" i="17"/>
  <c r="AN176" i="17"/>
  <c r="AP176" i="17"/>
  <c r="AR176" i="17"/>
  <c r="AT176" i="17"/>
  <c r="AV176" i="17"/>
  <c r="AX176" i="17"/>
  <c r="AZ176" i="17"/>
  <c r="BB176" i="17"/>
  <c r="BD176" i="17"/>
  <c r="BF176" i="17"/>
  <c r="BH176" i="17"/>
  <c r="BJ176" i="17"/>
  <c r="BL176" i="17"/>
  <c r="BN176" i="17"/>
  <c r="BP176" i="17"/>
  <c r="BR176" i="17"/>
  <c r="BT176" i="17"/>
  <c r="H179" i="17"/>
  <c r="J179" i="17"/>
  <c r="L179" i="17"/>
  <c r="N179" i="17"/>
  <c r="P179" i="17"/>
  <c r="R179" i="17"/>
  <c r="T179" i="17"/>
  <c r="V179" i="17"/>
  <c r="X179" i="17"/>
  <c r="Z179" i="17"/>
  <c r="AB179" i="17"/>
  <c r="AD179" i="17"/>
  <c r="AF179" i="17"/>
  <c r="AH179" i="17"/>
  <c r="AJ179" i="17"/>
  <c r="AL179" i="17"/>
  <c r="AN179" i="17"/>
  <c r="AP179" i="17"/>
  <c r="AR179" i="17"/>
  <c r="AT179" i="17"/>
  <c r="AV179" i="17"/>
  <c r="AX179" i="17"/>
  <c r="AZ179" i="17"/>
  <c r="BB179" i="17"/>
  <c r="BD179" i="17"/>
  <c r="BF179" i="17"/>
  <c r="BH179" i="17"/>
  <c r="BJ179" i="17"/>
  <c r="BL179" i="17"/>
  <c r="BN179" i="17"/>
  <c r="BP179" i="17"/>
  <c r="BR179" i="17"/>
  <c r="BT179" i="17"/>
  <c r="H76" i="17"/>
  <c r="J76" i="17"/>
  <c r="L76" i="17"/>
  <c r="N76" i="17"/>
  <c r="P76" i="17"/>
  <c r="R76" i="17"/>
  <c r="T76" i="17"/>
  <c r="V76" i="17"/>
  <c r="X76" i="17"/>
  <c r="Z76" i="17"/>
  <c r="AB76" i="17"/>
  <c r="AD76" i="17"/>
  <c r="AF76" i="17"/>
  <c r="AH76" i="17"/>
  <c r="AJ76" i="17"/>
  <c r="AL76" i="17"/>
  <c r="AN76" i="17"/>
  <c r="AP76" i="17"/>
  <c r="AR76" i="17"/>
  <c r="AT76" i="17"/>
  <c r="AV76" i="17"/>
  <c r="AX76" i="17"/>
  <c r="AZ76" i="17"/>
  <c r="BB76" i="17"/>
  <c r="BD76" i="17"/>
  <c r="BF76" i="17"/>
  <c r="BH76" i="17"/>
  <c r="BJ76" i="17"/>
  <c r="BL76" i="17"/>
  <c r="BN76" i="17"/>
  <c r="BP76" i="17"/>
  <c r="BR76" i="17"/>
  <c r="BT76" i="17"/>
  <c r="H79" i="17"/>
  <c r="J79" i="17"/>
  <c r="L79" i="17"/>
  <c r="N79" i="17"/>
  <c r="P79" i="17"/>
  <c r="R79" i="17"/>
  <c r="T79" i="17"/>
  <c r="V79" i="17"/>
  <c r="X79" i="17"/>
  <c r="Z79" i="17"/>
  <c r="AB79" i="17"/>
  <c r="AD79" i="17"/>
  <c r="AF79" i="17"/>
  <c r="AH79" i="17"/>
  <c r="AJ79" i="17"/>
  <c r="AL79" i="17"/>
  <c r="AN79" i="17"/>
  <c r="AP79" i="17"/>
  <c r="AR79" i="17"/>
  <c r="H82" i="17"/>
  <c r="J82" i="17"/>
  <c r="L82" i="17"/>
  <c r="N82" i="17"/>
  <c r="P82" i="17"/>
  <c r="R82" i="17"/>
  <c r="T82" i="17"/>
  <c r="V82" i="17"/>
  <c r="X82" i="17"/>
  <c r="Z82" i="17"/>
  <c r="AB82" i="17"/>
  <c r="AD82" i="17"/>
  <c r="AF82" i="17"/>
  <c r="AH82" i="17"/>
  <c r="AJ82" i="17"/>
  <c r="AL82" i="17"/>
  <c r="AN82" i="17"/>
  <c r="AP82" i="17"/>
  <c r="AR82" i="17"/>
  <c r="AT82" i="17"/>
  <c r="AV82" i="17"/>
  <c r="AX82" i="17"/>
  <c r="AZ82" i="17"/>
  <c r="BB82" i="17"/>
  <c r="BD82" i="17"/>
  <c r="BF82" i="17"/>
  <c r="BH82" i="17"/>
  <c r="BJ82" i="17"/>
  <c r="BL82" i="17"/>
  <c r="BN82" i="17"/>
  <c r="BP82" i="17"/>
  <c r="BR82" i="17"/>
  <c r="BT82" i="17"/>
  <c r="BV82" i="17"/>
  <c r="BX82" i="17"/>
  <c r="H233" i="17"/>
  <c r="J233" i="17"/>
  <c r="L233" i="17"/>
  <c r="N233" i="17"/>
  <c r="P233" i="17"/>
  <c r="R233" i="17"/>
  <c r="T233" i="17"/>
  <c r="V233" i="17"/>
  <c r="X233" i="17"/>
  <c r="Z233" i="17"/>
  <c r="AB233" i="17"/>
  <c r="AD233" i="17"/>
  <c r="AF233" i="17"/>
  <c r="AH233" i="17"/>
  <c r="AJ233" i="17"/>
  <c r="AL233" i="17"/>
  <c r="AN233" i="17"/>
  <c r="AP233" i="17"/>
  <c r="AR233" i="17"/>
  <c r="AT233" i="17"/>
  <c r="AV233" i="17"/>
  <c r="AX233" i="17"/>
  <c r="AZ233" i="17"/>
  <c r="BB233" i="17"/>
  <c r="BD233" i="17"/>
  <c r="BF233" i="17"/>
  <c r="BH233" i="17"/>
  <c r="BJ233" i="17"/>
  <c r="BL233" i="17"/>
  <c r="BN233" i="17"/>
  <c r="BP233" i="17"/>
  <c r="BR233" i="17"/>
  <c r="BT233" i="17"/>
  <c r="H236" i="17"/>
  <c r="J236" i="17"/>
  <c r="L236" i="17"/>
  <c r="N236" i="17"/>
  <c r="P236" i="17"/>
  <c r="R236" i="17"/>
  <c r="T236" i="17"/>
  <c r="V236" i="17"/>
  <c r="X236" i="17"/>
  <c r="Z236" i="17"/>
  <c r="AB236" i="17"/>
  <c r="AD236" i="17"/>
  <c r="AF236" i="17"/>
  <c r="AH236" i="17"/>
  <c r="AJ236" i="17"/>
  <c r="AL236" i="17"/>
  <c r="AN236" i="17"/>
  <c r="AP236" i="17"/>
  <c r="AR236" i="17"/>
  <c r="AT236" i="17"/>
  <c r="AV236" i="17"/>
  <c r="AX236" i="17"/>
  <c r="AZ236" i="17"/>
  <c r="BB236" i="17"/>
  <c r="BD236" i="17"/>
  <c r="BF236" i="17"/>
  <c r="BH236" i="17"/>
  <c r="BJ236" i="17"/>
  <c r="BL236" i="17"/>
  <c r="BN236" i="17"/>
  <c r="BP236" i="17"/>
  <c r="BR236" i="17"/>
  <c r="H11" i="24"/>
  <c r="J11" i="24"/>
  <c r="L11" i="24"/>
  <c r="N11" i="24"/>
  <c r="P11" i="24"/>
  <c r="R11" i="24"/>
  <c r="T11" i="24"/>
  <c r="V11" i="24"/>
  <c r="X11" i="24"/>
  <c r="H119" i="1"/>
  <c r="H136" i="7" s="1"/>
  <c r="H74" i="21" s="1"/>
  <c r="J119" i="1"/>
  <c r="J136" i="7" s="1"/>
  <c r="Y18" i="6" s="1"/>
  <c r="L119" i="1"/>
  <c r="L136" i="7" s="1"/>
  <c r="L74" i="21" s="1"/>
  <c r="N119" i="1"/>
  <c r="N136" i="7" s="1"/>
  <c r="AW18" i="6" s="1"/>
  <c r="P119" i="1"/>
  <c r="P136" i="7" s="1"/>
  <c r="P74" i="21" s="1"/>
  <c r="R119" i="1"/>
  <c r="R136" i="7" s="1"/>
  <c r="BU18" i="6" s="1"/>
  <c r="T119" i="1"/>
  <c r="T136" i="7" s="1"/>
  <c r="V119" i="1"/>
  <c r="V136" i="7" s="1"/>
  <c r="CS18" i="6" s="1"/>
  <c r="X119" i="1"/>
  <c r="X136" i="7" s="1"/>
  <c r="DE18" i="6" s="1"/>
  <c r="Z119" i="1"/>
  <c r="Z136" i="7" s="1"/>
  <c r="Z74" i="21" s="1"/>
  <c r="AB119" i="1"/>
  <c r="AB136" i="7" s="1"/>
  <c r="AB74" i="21" s="1"/>
  <c r="AD119" i="1"/>
  <c r="AF119" i="1"/>
  <c r="H130" i="1"/>
  <c r="H487" i="7" s="1"/>
  <c r="M40" i="6" s="1"/>
  <c r="J130" i="1"/>
  <c r="J487" i="7" s="1"/>
  <c r="Y40" i="6" s="1"/>
  <c r="L130" i="1"/>
  <c r="L487" i="7" s="1"/>
  <c r="L740" i="7" s="1"/>
  <c r="N130" i="1"/>
  <c r="N487" i="7" s="1"/>
  <c r="AW40" i="6" s="1"/>
  <c r="P130" i="1"/>
  <c r="P487" i="7" s="1"/>
  <c r="P510" i="7" s="1"/>
  <c r="R130" i="1"/>
  <c r="R487" i="7" s="1"/>
  <c r="BU40" i="6" s="1"/>
  <c r="T130" i="1"/>
  <c r="T487" i="7" s="1"/>
  <c r="T510" i="7" s="1"/>
  <c r="V130" i="1"/>
  <c r="V487" i="7" s="1"/>
  <c r="CS40" i="6" s="1"/>
  <c r="X130" i="1"/>
  <c r="X487" i="7" s="1"/>
  <c r="X510" i="7" s="1"/>
  <c r="Z130" i="1"/>
  <c r="Z487" i="7" s="1"/>
  <c r="Z740" i="7" s="1"/>
  <c r="AB130" i="1"/>
  <c r="AB487" i="7" s="1"/>
  <c r="AB510" i="7" s="1"/>
  <c r="BC510" i="7" s="1"/>
  <c r="AD130" i="1"/>
  <c r="AF130" i="1"/>
  <c r="H136" i="1"/>
  <c r="H540" i="7" s="1"/>
  <c r="M47" i="6" s="1"/>
  <c r="J136" i="1"/>
  <c r="J540" i="7" s="1"/>
  <c r="Y47" i="6" s="1"/>
  <c r="L136" i="1"/>
  <c r="L540" i="7" s="1"/>
  <c r="L553" i="7" s="1"/>
  <c r="N136" i="1"/>
  <c r="N540" i="7" s="1"/>
  <c r="AW47" i="6" s="1"/>
  <c r="P136" i="1"/>
  <c r="P540" i="7" s="1"/>
  <c r="BI47" i="6" s="1"/>
  <c r="R136" i="1"/>
  <c r="R540" i="7" s="1"/>
  <c r="BU47" i="6" s="1"/>
  <c r="T136" i="1"/>
  <c r="T540" i="7" s="1"/>
  <c r="T553" i="7" s="1"/>
  <c r="V136" i="1"/>
  <c r="V540" i="7" s="1"/>
  <c r="CS47" i="6" s="1"/>
  <c r="X136" i="1"/>
  <c r="X540" i="7" s="1"/>
  <c r="DE47" i="6" s="1"/>
  <c r="Z136" i="1"/>
  <c r="Z540" i="7" s="1"/>
  <c r="Z547" i="7" s="1"/>
  <c r="AB136" i="1"/>
  <c r="AB540" i="7" s="1"/>
  <c r="AB547" i="7" s="1"/>
  <c r="BC547" i="7" s="1"/>
  <c r="AD136" i="1"/>
  <c r="AF136" i="1"/>
  <c r="H140" i="1"/>
  <c r="H424" i="7" s="1"/>
  <c r="H108" i="21" s="1"/>
  <c r="J140" i="1"/>
  <c r="J424" i="7" s="1"/>
  <c r="J108" i="21" s="1"/>
  <c r="L140" i="1"/>
  <c r="L424" i="7" s="1"/>
  <c r="L108" i="21" s="1"/>
  <c r="N140" i="1"/>
  <c r="N424" i="7" s="1"/>
  <c r="N108" i="21" s="1"/>
  <c r="P140" i="1"/>
  <c r="P424" i="7" s="1"/>
  <c r="P108" i="21" s="1"/>
  <c r="R140" i="1"/>
  <c r="R424" i="7" s="1"/>
  <c r="R108" i="21" s="1"/>
  <c r="T140" i="1"/>
  <c r="T424" i="7" s="1"/>
  <c r="T108" i="21" s="1"/>
  <c r="V140" i="1"/>
  <c r="V424" i="7" s="1"/>
  <c r="V108" i="21" s="1"/>
  <c r="X140" i="1"/>
  <c r="X424" i="7" s="1"/>
  <c r="X627" i="7" s="1"/>
  <c r="X638" i="7" s="1"/>
  <c r="Z140" i="1"/>
  <c r="Z424" i="7" s="1"/>
  <c r="AB140" i="1"/>
  <c r="AB424" i="7" s="1"/>
  <c r="AB627" i="7" s="1"/>
  <c r="AB638" i="7" s="1"/>
  <c r="AD140" i="1"/>
  <c r="AF140" i="1"/>
  <c r="G154" i="1"/>
  <c r="G138" i="7" s="1"/>
  <c r="H20" i="6" s="1"/>
  <c r="I154" i="1"/>
  <c r="I138" i="7" s="1"/>
  <c r="T20" i="6" s="1"/>
  <c r="K154" i="1"/>
  <c r="K138" i="7" s="1"/>
  <c r="K752" i="7" s="1"/>
  <c r="M154" i="1"/>
  <c r="M138" i="7" s="1"/>
  <c r="AR20" i="6" s="1"/>
  <c r="O154" i="1"/>
  <c r="O138" i="7" s="1"/>
  <c r="O752" i="7" s="1"/>
  <c r="Q154" i="1"/>
  <c r="Q138" i="7" s="1"/>
  <c r="BP20" i="6" s="1"/>
  <c r="S154" i="1"/>
  <c r="S138" i="7" s="1"/>
  <c r="S752" i="7" s="1"/>
  <c r="U154" i="1"/>
  <c r="U138" i="7" s="1"/>
  <c r="CN20" i="6" s="1"/>
  <c r="W154" i="1"/>
  <c r="W138" i="7" s="1"/>
  <c r="W752" i="7" s="1"/>
  <c r="Y154" i="1"/>
  <c r="Y138" i="7" s="1"/>
  <c r="Y155" i="7" s="1"/>
  <c r="AA154" i="1"/>
  <c r="AA138" i="7" s="1"/>
  <c r="DX20" i="6" s="1"/>
  <c r="AC154" i="1"/>
  <c r="AC138" i="7" s="1"/>
  <c r="AC180" i="7" s="1"/>
  <c r="AE154" i="1"/>
  <c r="N24" i="17"/>
  <c r="H51" i="12"/>
  <c r="H10" i="12"/>
  <c r="V24" i="17"/>
  <c r="J51" i="12"/>
  <c r="J10" i="12"/>
  <c r="AD24" i="17"/>
  <c r="L51" i="12"/>
  <c r="L10" i="12"/>
  <c r="AL24" i="17"/>
  <c r="N51" i="12"/>
  <c r="N10" i="12"/>
  <c r="AT24" i="17"/>
  <c r="P51" i="12"/>
  <c r="P10" i="12"/>
  <c r="BB24" i="17"/>
  <c r="R51" i="12"/>
  <c r="R10" i="12"/>
  <c r="BJ24" i="17"/>
  <c r="T51" i="12"/>
  <c r="T10" i="12"/>
  <c r="BR24" i="17"/>
  <c r="V51" i="12"/>
  <c r="V10" i="12"/>
  <c r="BZ24" i="17"/>
  <c r="X51" i="12"/>
  <c r="X10" i="12"/>
  <c r="CH24" i="17"/>
  <c r="Z51" i="12"/>
  <c r="Z10" i="12"/>
  <c r="CP24" i="17"/>
  <c r="CT29" i="17" s="1"/>
  <c r="AB51" i="12"/>
  <c r="AC58" i="12" s="1"/>
  <c r="AB10" i="12"/>
  <c r="G52" i="12"/>
  <c r="J43" i="17"/>
  <c r="I52" i="12"/>
  <c r="I16" i="12"/>
  <c r="R43" i="17"/>
  <c r="K52" i="12"/>
  <c r="K16" i="12"/>
  <c r="Z43" i="17"/>
  <c r="M52" i="12"/>
  <c r="M16" i="12"/>
  <c r="AH43" i="17"/>
  <c r="O52" i="12"/>
  <c r="O16" i="12"/>
  <c r="AP43" i="17"/>
  <c r="Q52" i="12"/>
  <c r="Q16" i="12"/>
  <c r="AX43" i="17"/>
  <c r="S52" i="12"/>
  <c r="S16" i="12"/>
  <c r="BF43" i="17"/>
  <c r="U52" i="12"/>
  <c r="U16" i="12"/>
  <c r="BN43" i="17"/>
  <c r="W52" i="12"/>
  <c r="W16" i="12"/>
  <c r="BV43" i="17"/>
  <c r="Y52" i="12"/>
  <c r="Y16" i="12"/>
  <c r="CD43" i="17"/>
  <c r="AA52" i="12"/>
  <c r="AA16" i="12"/>
  <c r="CL43" i="17"/>
  <c r="AB35" i="12"/>
  <c r="DH57" i="11" s="1"/>
  <c r="AD21" i="12"/>
  <c r="AE21" i="12" s="1"/>
  <c r="AF21" i="12" s="1"/>
  <c r="N65" i="17"/>
  <c r="H37" i="12"/>
  <c r="F17" i="24" s="1"/>
  <c r="V65" i="17"/>
  <c r="J37" i="12"/>
  <c r="H17" i="24" s="1"/>
  <c r="AD65" i="17"/>
  <c r="L37" i="12"/>
  <c r="J17" i="24" s="1"/>
  <c r="AL65" i="17"/>
  <c r="N37" i="12"/>
  <c r="L17" i="24" s="1"/>
  <c r="AT65" i="17"/>
  <c r="P37" i="12"/>
  <c r="N17" i="24" s="1"/>
  <c r="BB65" i="17"/>
  <c r="R37" i="12"/>
  <c r="P17" i="24" s="1"/>
  <c r="BJ65" i="17"/>
  <c r="T37" i="12"/>
  <c r="R17" i="24" s="1"/>
  <c r="BR65" i="17"/>
  <c r="V37" i="12"/>
  <c r="T17" i="24" s="1"/>
  <c r="BZ65" i="17"/>
  <c r="X37" i="12"/>
  <c r="V17" i="24" s="1"/>
  <c r="CH65" i="17"/>
  <c r="Z37" i="12"/>
  <c r="X17" i="24" s="1"/>
  <c r="CP65" i="17"/>
  <c r="AB37" i="12"/>
  <c r="Z17" i="24" s="1"/>
  <c r="I40" i="12"/>
  <c r="Q62" i="11" s="1"/>
  <c r="R62" i="17"/>
  <c r="K40" i="12"/>
  <c r="AA62" i="11" s="1"/>
  <c r="Z62" i="17"/>
  <c r="M40" i="12"/>
  <c r="AK62" i="11" s="1"/>
  <c r="AH62" i="17"/>
  <c r="O40" i="12"/>
  <c r="AU62" i="11" s="1"/>
  <c r="AP62" i="17"/>
  <c r="Q40" i="12"/>
  <c r="BE62" i="11" s="1"/>
  <c r="AX62" i="17"/>
  <c r="S40" i="12"/>
  <c r="BO62" i="11" s="1"/>
  <c r="BF62" i="17"/>
  <c r="U40" i="12"/>
  <c r="BY62" i="11" s="1"/>
  <c r="BN62" i="17"/>
  <c r="W40" i="12"/>
  <c r="CI62" i="11" s="1"/>
  <c r="BV62" i="17"/>
  <c r="Y40" i="12"/>
  <c r="CS62" i="11" s="1"/>
  <c r="CD62" i="17"/>
  <c r="AA40" i="12"/>
  <c r="DC62" i="11" s="1"/>
  <c r="CL62" i="17"/>
  <c r="N68" i="17"/>
  <c r="H41" i="12"/>
  <c r="L63" i="11" s="1"/>
  <c r="V68" i="17"/>
  <c r="J41" i="12"/>
  <c r="V63" i="11" s="1"/>
  <c r="AD68" i="17"/>
  <c r="L41" i="12"/>
  <c r="AF63" i="11" s="1"/>
  <c r="AL68" i="17"/>
  <c r="N41" i="12"/>
  <c r="AP63" i="11" s="1"/>
  <c r="AT68" i="17"/>
  <c r="P41" i="12"/>
  <c r="AZ63" i="11" s="1"/>
  <c r="BB68" i="17"/>
  <c r="R41" i="12"/>
  <c r="BJ63" i="11" s="1"/>
  <c r="BJ68" i="17"/>
  <c r="T41" i="12"/>
  <c r="BT63" i="11" s="1"/>
  <c r="BR68" i="17"/>
  <c r="V41" i="12"/>
  <c r="CD63" i="11" s="1"/>
  <c r="BZ68" i="17"/>
  <c r="X41" i="12"/>
  <c r="CN63" i="11" s="1"/>
  <c r="CH68" i="17"/>
  <c r="Z41" i="12"/>
  <c r="CX63" i="11" s="1"/>
  <c r="CP68" i="17"/>
  <c r="AB41" i="12"/>
  <c r="DH63" i="11" s="1"/>
  <c r="J73" i="17"/>
  <c r="G53" i="12"/>
  <c r="R73" i="17"/>
  <c r="I53" i="12"/>
  <c r="I42" i="12"/>
  <c r="Z73" i="17"/>
  <c r="K53" i="12"/>
  <c r="K42" i="12"/>
  <c r="AH73" i="17"/>
  <c r="M53" i="12"/>
  <c r="M42" i="12"/>
  <c r="AP73" i="17"/>
  <c r="O53" i="12"/>
  <c r="O42" i="12"/>
  <c r="AX73" i="17"/>
  <c r="Q53" i="12"/>
  <c r="Q42" i="12"/>
  <c r="BF73" i="17"/>
  <c r="S53" i="12"/>
  <c r="S42" i="12"/>
  <c r="BN73" i="17"/>
  <c r="U53" i="12"/>
  <c r="U42" i="12"/>
  <c r="BV73" i="17"/>
  <c r="W53" i="12"/>
  <c r="W42" i="12"/>
  <c r="CD73" i="17"/>
  <c r="Y53" i="12"/>
  <c r="Y42" i="12"/>
  <c r="CL73" i="17"/>
  <c r="AA53" i="12"/>
  <c r="AA42" i="12"/>
  <c r="N126" i="17"/>
  <c r="H71" i="12"/>
  <c r="H67" i="12"/>
  <c r="V126" i="17"/>
  <c r="J71" i="12"/>
  <c r="J67" i="12"/>
  <c r="AD126" i="17"/>
  <c r="L71" i="12"/>
  <c r="L67" i="12"/>
  <c r="AL126" i="17"/>
  <c r="N71" i="12"/>
  <c r="N67" i="12"/>
  <c r="AT126" i="17"/>
  <c r="P71" i="12"/>
  <c r="P67" i="12"/>
  <c r="BB126" i="17"/>
  <c r="R71" i="12"/>
  <c r="R67" i="12"/>
  <c r="BJ126" i="17"/>
  <c r="T71" i="12"/>
  <c r="T67" i="12"/>
  <c r="BR126" i="17"/>
  <c r="V71" i="12"/>
  <c r="V67" i="12"/>
  <c r="BZ126" i="17"/>
  <c r="X71" i="12"/>
  <c r="X67" i="12"/>
  <c r="CH126" i="17"/>
  <c r="Z71" i="12"/>
  <c r="Z67" i="12"/>
  <c r="CP126" i="17"/>
  <c r="CT131" i="17" s="1"/>
  <c r="AB71" i="12"/>
  <c r="AC77" i="12" s="1"/>
  <c r="AB67" i="12"/>
  <c r="J107" i="17"/>
  <c r="G70" i="12"/>
  <c r="R107" i="17"/>
  <c r="I70" i="12"/>
  <c r="I61" i="12"/>
  <c r="Q10" i="11" s="1"/>
  <c r="Z107" i="17"/>
  <c r="K70" i="12"/>
  <c r="K61" i="12"/>
  <c r="AA10" i="11" s="1"/>
  <c r="AH107" i="17"/>
  <c r="M70" i="12"/>
  <c r="M61" i="12"/>
  <c r="AK10" i="11" s="1"/>
  <c r="AP107" i="17"/>
  <c r="O70" i="12"/>
  <c r="O61" i="12"/>
  <c r="AU10" i="11" s="1"/>
  <c r="AX107" i="17"/>
  <c r="Q70" i="12"/>
  <c r="Q61" i="12"/>
  <c r="BE10" i="11" s="1"/>
  <c r="BF107" i="17"/>
  <c r="S70" i="12"/>
  <c r="S61" i="12"/>
  <c r="BO10" i="11" s="1"/>
  <c r="BN107" i="17"/>
  <c r="U70" i="12"/>
  <c r="U61" i="12"/>
  <c r="BY10" i="11" s="1"/>
  <c r="BV107" i="17"/>
  <c r="W70" i="12"/>
  <c r="W61" i="12"/>
  <c r="CI10" i="11" s="1"/>
  <c r="CD107" i="17"/>
  <c r="Y70" i="12"/>
  <c r="Y61" i="12"/>
  <c r="CS10" i="11" s="1"/>
  <c r="CL107" i="17"/>
  <c r="AA70" i="12"/>
  <c r="AA61" i="12"/>
  <c r="DC10" i="11" s="1"/>
  <c r="N146" i="17"/>
  <c r="H78" i="12"/>
  <c r="L12" i="11" s="1"/>
  <c r="H92" i="12"/>
  <c r="V146" i="17"/>
  <c r="J78" i="12"/>
  <c r="V12" i="11" s="1"/>
  <c r="J92" i="12"/>
  <c r="AD146" i="17"/>
  <c r="L78" i="12"/>
  <c r="AF12" i="11" s="1"/>
  <c r="L92" i="12"/>
  <c r="AL146" i="17"/>
  <c r="N78" i="12"/>
  <c r="AP12" i="11" s="1"/>
  <c r="N92" i="12"/>
  <c r="AT146" i="17"/>
  <c r="P78" i="12"/>
  <c r="AZ12" i="11" s="1"/>
  <c r="P92" i="12"/>
  <c r="BB146" i="17"/>
  <c r="R78" i="12"/>
  <c r="BJ12" i="11" s="1"/>
  <c r="R92" i="12"/>
  <c r="BJ146" i="17"/>
  <c r="T78" i="12"/>
  <c r="BT12" i="11" s="1"/>
  <c r="T92" i="12"/>
  <c r="BR146" i="17"/>
  <c r="V78" i="12"/>
  <c r="CD12" i="11" s="1"/>
  <c r="V92" i="12"/>
  <c r="BZ146" i="17"/>
  <c r="X78" i="12"/>
  <c r="CN12" i="11" s="1"/>
  <c r="X92" i="12"/>
  <c r="CH146" i="17"/>
  <c r="Z78" i="12"/>
  <c r="CX12" i="11" s="1"/>
  <c r="Z92" i="12"/>
  <c r="CP146" i="17"/>
  <c r="CT151" i="17" s="1"/>
  <c r="AB78" i="12"/>
  <c r="DH12" i="11" s="1"/>
  <c r="AB92" i="12"/>
  <c r="AC98" i="12" s="1"/>
  <c r="J203" i="17"/>
  <c r="G122" i="12"/>
  <c r="R203" i="17"/>
  <c r="I122" i="12"/>
  <c r="I100" i="12"/>
  <c r="Q14" i="11" s="1"/>
  <c r="Z203" i="17"/>
  <c r="K122" i="12"/>
  <c r="K100" i="12"/>
  <c r="AA14" i="11" s="1"/>
  <c r="AH203" i="17"/>
  <c r="M122" i="12"/>
  <c r="M100" i="12"/>
  <c r="AK14" i="11" s="1"/>
  <c r="AP203" i="17"/>
  <c r="O122" i="12"/>
  <c r="O100" i="12"/>
  <c r="AU14" i="11" s="1"/>
  <c r="AX203" i="17"/>
  <c r="Q122" i="12"/>
  <c r="Q100" i="12"/>
  <c r="BE14" i="11" s="1"/>
  <c r="BF203" i="17"/>
  <c r="S122" i="12"/>
  <c r="S100" i="12"/>
  <c r="BO14" i="11" s="1"/>
  <c r="BN203" i="17"/>
  <c r="U122" i="12"/>
  <c r="U100" i="12"/>
  <c r="BY14" i="11" s="1"/>
  <c r="BV203" i="17"/>
  <c r="W122" i="12"/>
  <c r="W100" i="12"/>
  <c r="CI14" i="11" s="1"/>
  <c r="CD203" i="17"/>
  <c r="Y122" i="12"/>
  <c r="Y100" i="12"/>
  <c r="CS14" i="11" s="1"/>
  <c r="CL203" i="17"/>
  <c r="AA122" i="12"/>
  <c r="AA100" i="12"/>
  <c r="DC14" i="11" s="1"/>
  <c r="N165" i="17"/>
  <c r="H88" i="12"/>
  <c r="L87" i="11" s="1"/>
  <c r="H114" i="12"/>
  <c r="V165" i="17"/>
  <c r="J88" i="12"/>
  <c r="V87" i="11" s="1"/>
  <c r="J114" i="12"/>
  <c r="AD165" i="17"/>
  <c r="L88" i="12"/>
  <c r="AF87" i="11" s="1"/>
  <c r="L114" i="12"/>
  <c r="AL165" i="17"/>
  <c r="N88" i="12"/>
  <c r="AP87" i="11" s="1"/>
  <c r="N114" i="12"/>
  <c r="AT165" i="17"/>
  <c r="P88" i="12"/>
  <c r="AZ87" i="11" s="1"/>
  <c r="P114" i="12"/>
  <c r="BB165" i="17"/>
  <c r="R88" i="12"/>
  <c r="BJ87" i="11" s="1"/>
  <c r="R114" i="12"/>
  <c r="BJ165" i="17"/>
  <c r="T88" i="12"/>
  <c r="BT87" i="11" s="1"/>
  <c r="T114" i="12"/>
  <c r="BR165" i="17"/>
  <c r="V88" i="12"/>
  <c r="CD87" i="11" s="1"/>
  <c r="V114" i="12"/>
  <c r="BZ165" i="17"/>
  <c r="X88" i="12"/>
  <c r="CN87" i="11" s="1"/>
  <c r="X114" i="12"/>
  <c r="CH165" i="17"/>
  <c r="Z88" i="12"/>
  <c r="CX87" i="11" s="1"/>
  <c r="Z114" i="12"/>
  <c r="CP165" i="17"/>
  <c r="AB88" i="12"/>
  <c r="DH87" i="11" s="1"/>
  <c r="AB114" i="12"/>
  <c r="AC118" i="12" s="1"/>
  <c r="R168" i="17"/>
  <c r="I87" i="12"/>
  <c r="Q86" i="11" s="1"/>
  <c r="Z168" i="17"/>
  <c r="K87" i="12"/>
  <c r="AA86" i="11" s="1"/>
  <c r="AH168" i="17"/>
  <c r="M87" i="12"/>
  <c r="AK86" i="11" s="1"/>
  <c r="AP168" i="17"/>
  <c r="O87" i="12"/>
  <c r="AU86" i="11" s="1"/>
  <c r="AX168" i="17"/>
  <c r="Q87" i="12"/>
  <c r="BE86" i="11" s="1"/>
  <c r="BF168" i="17"/>
  <c r="S87" i="12"/>
  <c r="BO86" i="11" s="1"/>
  <c r="BN168" i="17"/>
  <c r="U87" i="12"/>
  <c r="BY86" i="11" s="1"/>
  <c r="BV168" i="17"/>
  <c r="W87" i="12"/>
  <c r="CI86" i="11" s="1"/>
  <c r="CD168" i="17"/>
  <c r="Y87" i="12"/>
  <c r="CS86" i="11" s="1"/>
  <c r="CL168" i="17"/>
  <c r="AA87" i="12"/>
  <c r="DC86" i="11" s="1"/>
  <c r="N173" i="17"/>
  <c r="H115" i="12"/>
  <c r="H93" i="12"/>
  <c r="H89" i="12"/>
  <c r="V173" i="17"/>
  <c r="J115" i="12"/>
  <c r="J93" i="12"/>
  <c r="J89" i="12"/>
  <c r="AD173" i="17"/>
  <c r="L115" i="12"/>
  <c r="L93" i="12"/>
  <c r="L89" i="12"/>
  <c r="AL173" i="17"/>
  <c r="N115" i="12"/>
  <c r="N93" i="12"/>
  <c r="N89" i="12"/>
  <c r="AT173" i="17"/>
  <c r="P115" i="12"/>
  <c r="P93" i="12"/>
  <c r="P89" i="12"/>
  <c r="BB173" i="17"/>
  <c r="R115" i="12"/>
  <c r="R93" i="12"/>
  <c r="R89" i="12"/>
  <c r="BJ173" i="17"/>
  <c r="T115" i="12"/>
  <c r="T93" i="12"/>
  <c r="T89" i="12"/>
  <c r="BR173" i="17"/>
  <c r="V115" i="12"/>
  <c r="V93" i="12"/>
  <c r="V89" i="12"/>
  <c r="BZ173" i="17"/>
  <c r="X115" i="12"/>
  <c r="X93" i="12"/>
  <c r="X89" i="12"/>
  <c r="CH173" i="17"/>
  <c r="Z115" i="12"/>
  <c r="Z93" i="12"/>
  <c r="Z89" i="12"/>
  <c r="CP173" i="17"/>
  <c r="CT186" i="17" s="1"/>
  <c r="AB115" i="12"/>
  <c r="AC119" i="12" s="1"/>
  <c r="AB93" i="12"/>
  <c r="AC99" i="12" s="1"/>
  <c r="AB89" i="12"/>
  <c r="R222" i="17"/>
  <c r="I110" i="12"/>
  <c r="Q102" i="11" s="1"/>
  <c r="Z222" i="17"/>
  <c r="K110" i="12"/>
  <c r="AA102" i="11" s="1"/>
  <c r="AH222" i="17"/>
  <c r="M110" i="12"/>
  <c r="AK102" i="11" s="1"/>
  <c r="AP222" i="17"/>
  <c r="O110" i="12"/>
  <c r="AU102" i="11" s="1"/>
  <c r="AX222" i="17"/>
  <c r="Q110" i="12"/>
  <c r="BE102" i="11" s="1"/>
  <c r="BF222" i="17"/>
  <c r="S110" i="12"/>
  <c r="BO102" i="11" s="1"/>
  <c r="BN222" i="17"/>
  <c r="U110" i="12"/>
  <c r="BY102" i="11" s="1"/>
  <c r="BV222" i="17"/>
  <c r="W110" i="12"/>
  <c r="CI102" i="11" s="1"/>
  <c r="CD222" i="17"/>
  <c r="Y110" i="12"/>
  <c r="CS102" i="11" s="1"/>
  <c r="CL222" i="17"/>
  <c r="AA110" i="12"/>
  <c r="DC102" i="11" s="1"/>
  <c r="N225" i="17"/>
  <c r="H109" i="12"/>
  <c r="L101" i="11" s="1"/>
  <c r="V225" i="17"/>
  <c r="J109" i="12"/>
  <c r="V101" i="11" s="1"/>
  <c r="AD225" i="17"/>
  <c r="L109" i="12"/>
  <c r="AF101" i="11" s="1"/>
  <c r="AL225" i="17"/>
  <c r="N109" i="12"/>
  <c r="AP101" i="11" s="1"/>
  <c r="AT225" i="17"/>
  <c r="P109" i="12"/>
  <c r="AZ101" i="11" s="1"/>
  <c r="BB225" i="17"/>
  <c r="R109" i="12"/>
  <c r="BJ101" i="11" s="1"/>
  <c r="BJ225" i="17"/>
  <c r="T109" i="12"/>
  <c r="BT101" i="11" s="1"/>
  <c r="BR225" i="17"/>
  <c r="V109" i="12"/>
  <c r="CD101" i="11" s="1"/>
  <c r="BZ225" i="17"/>
  <c r="X109" i="12"/>
  <c r="CN101" i="11" s="1"/>
  <c r="CH225" i="17"/>
  <c r="Z109" i="12"/>
  <c r="CX101" i="11" s="1"/>
  <c r="CP225" i="17"/>
  <c r="AB109" i="12"/>
  <c r="DH101" i="11" s="1"/>
  <c r="J230" i="17"/>
  <c r="G123" i="12"/>
  <c r="R230" i="17"/>
  <c r="I123" i="12"/>
  <c r="I111" i="12"/>
  <c r="Z230" i="17"/>
  <c r="K123" i="12"/>
  <c r="K111" i="12"/>
  <c r="AH230" i="17"/>
  <c r="M123" i="12"/>
  <c r="M111" i="12"/>
  <c r="AP230" i="17"/>
  <c r="O123" i="12"/>
  <c r="O111" i="12"/>
  <c r="AX230" i="17"/>
  <c r="Q123" i="12"/>
  <c r="Q111" i="12"/>
  <c r="BF230" i="17"/>
  <c r="S123" i="12"/>
  <c r="S111" i="12"/>
  <c r="BN230" i="17"/>
  <c r="U123" i="12"/>
  <c r="U111" i="12"/>
  <c r="BV230" i="17"/>
  <c r="W123" i="12"/>
  <c r="W111" i="12"/>
  <c r="CD230" i="17"/>
  <c r="Y123" i="12"/>
  <c r="Y111" i="12"/>
  <c r="CL230" i="17"/>
  <c r="AA123" i="12"/>
  <c r="AA111" i="12"/>
  <c r="H242" i="8"/>
  <c r="H162" i="12"/>
  <c r="L119" i="11" s="1"/>
  <c r="J242" i="8"/>
  <c r="J162" i="12"/>
  <c r="V119" i="11" s="1"/>
  <c r="L242" i="8"/>
  <c r="L162" i="12"/>
  <c r="AF119" i="11" s="1"/>
  <c r="N242" i="8"/>
  <c r="N162" i="12"/>
  <c r="AP119" i="11" s="1"/>
  <c r="P242" i="8"/>
  <c r="P162" i="12"/>
  <c r="AZ119" i="11" s="1"/>
  <c r="R242" i="8"/>
  <c r="R162" i="12"/>
  <c r="BJ119" i="11" s="1"/>
  <c r="T242" i="8"/>
  <c r="T162" i="12"/>
  <c r="BT119" i="11" s="1"/>
  <c r="V242" i="8"/>
  <c r="V162" i="12"/>
  <c r="CD119" i="11" s="1"/>
  <c r="X242" i="8"/>
  <c r="X162" i="12"/>
  <c r="CN119" i="11" s="1"/>
  <c r="Z242" i="8"/>
  <c r="Z162" i="12"/>
  <c r="CX119" i="11" s="1"/>
  <c r="AB242" i="8"/>
  <c r="AC238" i="8" s="1"/>
  <c r="AB162" i="12"/>
  <c r="DH119" i="11" s="1"/>
  <c r="J260" i="17"/>
  <c r="E6" i="24"/>
  <c r="E7" i="24" s="1"/>
  <c r="R260" i="17"/>
  <c r="I131" i="12"/>
  <c r="G6" i="24"/>
  <c r="G7" i="24" s="1"/>
  <c r="Z260" i="17"/>
  <c r="K131" i="12"/>
  <c r="I6" i="24"/>
  <c r="I7" i="24" s="1"/>
  <c r="AH260" i="17"/>
  <c r="M131" i="12"/>
  <c r="K6" i="24"/>
  <c r="K7" i="24" s="1"/>
  <c r="AP260" i="17"/>
  <c r="O131" i="12"/>
  <c r="M6" i="24"/>
  <c r="M7" i="24" s="1"/>
  <c r="AX260" i="17"/>
  <c r="Q131" i="12"/>
  <c r="O6" i="24"/>
  <c r="O7" i="24" s="1"/>
  <c r="BF260" i="17"/>
  <c r="S131" i="12"/>
  <c r="Q6" i="24"/>
  <c r="Q7" i="24" s="1"/>
  <c r="BN260" i="17"/>
  <c r="U131" i="12"/>
  <c r="S6" i="24"/>
  <c r="S7" i="24" s="1"/>
  <c r="BV260" i="17"/>
  <c r="W131" i="12"/>
  <c r="U6" i="24"/>
  <c r="U7" i="24" s="1"/>
  <c r="CD260" i="17"/>
  <c r="Y131" i="12"/>
  <c r="W6" i="24"/>
  <c r="W7" i="24" s="1"/>
  <c r="CL260" i="17"/>
  <c r="AA131" i="12"/>
  <c r="Y6" i="24"/>
  <c r="H66" i="21"/>
  <c r="H27" i="21"/>
  <c r="L36" i="6"/>
  <c r="H388" i="12"/>
  <c r="H247" i="12"/>
  <c r="H188" i="12"/>
  <c r="H23" i="7" s="1"/>
  <c r="O35" i="11"/>
  <c r="O7" i="11"/>
  <c r="H361" i="12"/>
  <c r="J66" i="21"/>
  <c r="J27" i="21"/>
  <c r="X36" i="6"/>
  <c r="J388" i="12"/>
  <c r="J247" i="12"/>
  <c r="J188" i="12"/>
  <c r="J23" i="7" s="1"/>
  <c r="Y35" i="11"/>
  <c r="Y7" i="11"/>
  <c r="J361" i="12"/>
  <c r="L66" i="21"/>
  <c r="L27" i="21"/>
  <c r="AJ36" i="6"/>
  <c r="L388" i="12"/>
  <c r="L247" i="12"/>
  <c r="L188" i="12"/>
  <c r="L23" i="7" s="1"/>
  <c r="AI35" i="11"/>
  <c r="AI7" i="11"/>
  <c r="L361" i="12"/>
  <c r="N66" i="21"/>
  <c r="N27" i="21"/>
  <c r="AV36" i="6"/>
  <c r="N388" i="12"/>
  <c r="N247" i="12"/>
  <c r="N188" i="12"/>
  <c r="N23" i="7" s="1"/>
  <c r="AS35" i="11"/>
  <c r="AS7" i="11"/>
  <c r="N361" i="12"/>
  <c r="P66" i="21"/>
  <c r="P27" i="21"/>
  <c r="BH36" i="6"/>
  <c r="P388" i="12"/>
  <c r="P247" i="12"/>
  <c r="P188" i="12"/>
  <c r="P23" i="7" s="1"/>
  <c r="BC35" i="11"/>
  <c r="BC7" i="11"/>
  <c r="P361" i="12"/>
  <c r="R66" i="21"/>
  <c r="R27" i="21"/>
  <c r="BT36" i="6"/>
  <c r="R388" i="12"/>
  <c r="R247" i="12"/>
  <c r="R188" i="12"/>
  <c r="R23" i="7" s="1"/>
  <c r="BM35" i="11"/>
  <c r="BM7" i="11"/>
  <c r="R361" i="12"/>
  <c r="T66" i="21"/>
  <c r="T27" i="21"/>
  <c r="CF36" i="6"/>
  <c r="T388" i="12"/>
  <c r="T247" i="12"/>
  <c r="T188" i="12"/>
  <c r="T23" i="7" s="1"/>
  <c r="BW35" i="11"/>
  <c r="BW7" i="11"/>
  <c r="T361" i="12"/>
  <c r="V66" i="21"/>
  <c r="V27" i="21"/>
  <c r="CR36" i="6"/>
  <c r="V388" i="12"/>
  <c r="V247" i="12"/>
  <c r="V188" i="12"/>
  <c r="V23" i="7" s="1"/>
  <c r="CG35" i="11"/>
  <c r="CG7" i="11"/>
  <c r="V361" i="12"/>
  <c r="X66" i="21"/>
  <c r="X27" i="21"/>
  <c r="DD36" i="6"/>
  <c r="X388" i="12"/>
  <c r="X247" i="12"/>
  <c r="X188" i="12"/>
  <c r="X23" i="7" s="1"/>
  <c r="CQ35" i="11"/>
  <c r="CQ7" i="11"/>
  <c r="X361" i="12"/>
  <c r="Z66" i="21"/>
  <c r="Z27" i="21"/>
  <c r="C136" i="2"/>
  <c r="C195" i="2"/>
  <c r="AT195" i="2" s="1"/>
  <c r="DP36" i="6"/>
  <c r="Z388" i="12"/>
  <c r="Z247" i="12"/>
  <c r="Z188" i="12"/>
  <c r="Z23" i="7" s="1"/>
  <c r="DA35" i="11"/>
  <c r="DA7" i="11"/>
  <c r="Z361" i="12"/>
  <c r="AB66" i="21"/>
  <c r="AB27" i="21"/>
  <c r="EB36" i="6"/>
  <c r="AB388" i="12"/>
  <c r="AB247" i="12"/>
  <c r="AC254" i="12" s="1"/>
  <c r="AB188" i="12"/>
  <c r="AB23" i="7" s="1"/>
  <c r="BC23" i="7" s="1"/>
  <c r="DK35" i="11"/>
  <c r="DK7" i="11"/>
  <c r="AB361" i="12"/>
  <c r="H37" i="6"/>
  <c r="J47" i="11"/>
  <c r="I86" i="21"/>
  <c r="T37" i="6"/>
  <c r="T47" i="11"/>
  <c r="I197" i="12"/>
  <c r="I433" i="7" s="1"/>
  <c r="K86" i="21"/>
  <c r="AF37" i="6"/>
  <c r="AD47" i="11"/>
  <c r="K197" i="12"/>
  <c r="K433" i="7" s="1"/>
  <c r="M86" i="21"/>
  <c r="AR37" i="6"/>
  <c r="AN47" i="11"/>
  <c r="M197" i="12"/>
  <c r="M433" i="7" s="1"/>
  <c r="O86" i="21"/>
  <c r="BD37" i="6"/>
  <c r="AX47" i="11"/>
  <c r="O197" i="12"/>
  <c r="O433" i="7" s="1"/>
  <c r="Q86" i="21"/>
  <c r="BP37" i="6"/>
  <c r="BH47" i="11"/>
  <c r="Q197" i="12"/>
  <c r="Q433" i="7" s="1"/>
  <c r="S86" i="21"/>
  <c r="CB37" i="6"/>
  <c r="BR47" i="11"/>
  <c r="S197" i="12"/>
  <c r="S433" i="7" s="1"/>
  <c r="U86" i="21"/>
  <c r="CN37" i="6"/>
  <c r="CB47" i="11"/>
  <c r="U197" i="12"/>
  <c r="U433" i="7" s="1"/>
  <c r="W86" i="21"/>
  <c r="CZ37" i="6"/>
  <c r="CL47" i="11"/>
  <c r="W197" i="12"/>
  <c r="W433" i="7" s="1"/>
  <c r="Y86" i="21"/>
  <c r="DL37" i="6"/>
  <c r="CV47" i="11"/>
  <c r="Y197" i="12"/>
  <c r="Y433" i="7" s="1"/>
  <c r="AA86" i="21"/>
  <c r="D219" i="2"/>
  <c r="DX37" i="6"/>
  <c r="DF47" i="11"/>
  <c r="AA197" i="12"/>
  <c r="AA433" i="7" s="1"/>
  <c r="H85" i="21"/>
  <c r="N38" i="6"/>
  <c r="H198" i="12"/>
  <c r="O48" i="11"/>
  <c r="J85" i="21"/>
  <c r="Z38" i="6"/>
  <c r="J198" i="12"/>
  <c r="Y48" i="11"/>
  <c r="L85" i="21"/>
  <c r="AL38" i="6"/>
  <c r="L198" i="12"/>
  <c r="AI48" i="11"/>
  <c r="N85" i="21"/>
  <c r="AX38" i="6"/>
  <c r="N198" i="12"/>
  <c r="AS48" i="11"/>
  <c r="P85" i="21"/>
  <c r="BJ38" i="6"/>
  <c r="P198" i="12"/>
  <c r="BC48" i="11"/>
  <c r="R85" i="21"/>
  <c r="BV38" i="6"/>
  <c r="R198" i="12"/>
  <c r="BM48" i="11"/>
  <c r="T85" i="21"/>
  <c r="CH38" i="6"/>
  <c r="T198" i="12"/>
  <c r="BW48" i="11"/>
  <c r="V85" i="21"/>
  <c r="CT38" i="6"/>
  <c r="V198" i="12"/>
  <c r="CG48" i="11"/>
  <c r="X85" i="21"/>
  <c r="DF38" i="6"/>
  <c r="X198" i="12"/>
  <c r="CQ48" i="11"/>
  <c r="Z85" i="21"/>
  <c r="C218" i="2"/>
  <c r="AT218" i="2" s="1"/>
  <c r="DR38" i="6"/>
  <c r="Z198" i="12"/>
  <c r="DA48" i="11"/>
  <c r="AB85" i="21"/>
  <c r="ED38" i="6"/>
  <c r="AB198" i="12"/>
  <c r="DK48" i="11"/>
  <c r="DQ48" i="11" s="1"/>
  <c r="G425" i="7"/>
  <c r="G450" i="7" s="1"/>
  <c r="G394" i="12"/>
  <c r="G194" i="12"/>
  <c r="J8" i="11"/>
  <c r="G248" i="12"/>
  <c r="J49" i="11"/>
  <c r="I28" i="21"/>
  <c r="I425" i="7"/>
  <c r="I394" i="12"/>
  <c r="I194" i="12"/>
  <c r="T49" i="11"/>
  <c r="I248" i="12"/>
  <c r="I199" i="12"/>
  <c r="T8" i="11"/>
  <c r="K28" i="21"/>
  <c r="K425" i="7"/>
  <c r="K394" i="12"/>
  <c r="K194" i="12"/>
  <c r="AD49" i="11"/>
  <c r="K248" i="12"/>
  <c r="K199" i="12"/>
  <c r="AD8" i="11"/>
  <c r="M28" i="21"/>
  <c r="M425" i="7"/>
  <c r="M394" i="12"/>
  <c r="M194" i="12"/>
  <c r="AN49" i="11"/>
  <c r="M248" i="12"/>
  <c r="M199" i="12"/>
  <c r="AN8" i="11"/>
  <c r="O28" i="21"/>
  <c r="O425" i="7"/>
  <c r="O394" i="12"/>
  <c r="O194" i="12"/>
  <c r="AX49" i="11"/>
  <c r="O248" i="12"/>
  <c r="O199" i="12"/>
  <c r="AX8" i="11"/>
  <c r="Q28" i="21"/>
  <c r="Q425" i="7"/>
  <c r="Q394" i="12"/>
  <c r="Q194" i="12"/>
  <c r="BH49" i="11"/>
  <c r="Q248" i="12"/>
  <c r="Q199" i="12"/>
  <c r="BH8" i="11"/>
  <c r="S28" i="21"/>
  <c r="S425" i="7"/>
  <c r="S394" i="12"/>
  <c r="S194" i="12"/>
  <c r="BR49" i="11"/>
  <c r="S248" i="12"/>
  <c r="S199" i="12"/>
  <c r="BR8" i="11"/>
  <c r="U28" i="21"/>
  <c r="U425" i="7"/>
  <c r="U394" i="12"/>
  <c r="U194" i="12"/>
  <c r="CB49" i="11"/>
  <c r="U248" i="12"/>
  <c r="U199" i="12"/>
  <c r="CB8" i="11"/>
  <c r="W28" i="21"/>
  <c r="W425" i="7"/>
  <c r="W394" i="12"/>
  <c r="W194" i="12"/>
  <c r="CL49" i="11"/>
  <c r="W248" i="12"/>
  <c r="W199" i="12"/>
  <c r="CL8" i="11"/>
  <c r="Y28" i="21"/>
  <c r="Y425" i="7"/>
  <c r="Y394" i="12"/>
  <c r="Y194" i="12"/>
  <c r="CV49" i="11"/>
  <c r="Y248" i="12"/>
  <c r="Y199" i="12"/>
  <c r="CV8" i="11"/>
  <c r="AA28" i="21"/>
  <c r="D137" i="2"/>
  <c r="AA425" i="7"/>
  <c r="AA394" i="12"/>
  <c r="AA194" i="12"/>
  <c r="DF49" i="11"/>
  <c r="AA248" i="12"/>
  <c r="AA199" i="12"/>
  <c r="DF8" i="11"/>
  <c r="H402" i="12"/>
  <c r="O57" i="11"/>
  <c r="H218" i="12"/>
  <c r="J402" i="12"/>
  <c r="Y57" i="11"/>
  <c r="J218" i="12"/>
  <c r="L402" i="12"/>
  <c r="AI57" i="11"/>
  <c r="L218" i="12"/>
  <c r="N402" i="12"/>
  <c r="AS57" i="11"/>
  <c r="N218" i="12"/>
  <c r="P402" i="12"/>
  <c r="BC57" i="11"/>
  <c r="P218" i="12"/>
  <c r="R402" i="12"/>
  <c r="BM57" i="11"/>
  <c r="R218" i="12"/>
  <c r="T402" i="12"/>
  <c r="BW57" i="11"/>
  <c r="T218" i="12"/>
  <c r="V402" i="12"/>
  <c r="CG57" i="11"/>
  <c r="V218" i="12"/>
  <c r="X402" i="12"/>
  <c r="CQ57" i="11"/>
  <c r="X218" i="12"/>
  <c r="Z402" i="12"/>
  <c r="DA57" i="11"/>
  <c r="Z218" i="12"/>
  <c r="AB402" i="12"/>
  <c r="DK57" i="11"/>
  <c r="AB218" i="12"/>
  <c r="J58" i="11"/>
  <c r="G403" i="12"/>
  <c r="I26" i="21"/>
  <c r="I403" i="12"/>
  <c r="I219" i="12"/>
  <c r="T58" i="11"/>
  <c r="K26" i="21"/>
  <c r="K403" i="12"/>
  <c r="K219" i="12"/>
  <c r="AD58" i="11"/>
  <c r="M26" i="21"/>
  <c r="M403" i="12"/>
  <c r="M219" i="12"/>
  <c r="AN58" i="11"/>
  <c r="O26" i="21"/>
  <c r="O403" i="12"/>
  <c r="O219" i="12"/>
  <c r="AX58" i="11"/>
  <c r="Q26" i="21"/>
  <c r="Q403" i="12"/>
  <c r="Q219" i="12"/>
  <c r="BH58" i="11"/>
  <c r="S26" i="21"/>
  <c r="S403" i="12"/>
  <c r="S219" i="12"/>
  <c r="BR58" i="11"/>
  <c r="U26" i="21"/>
  <c r="U403" i="12"/>
  <c r="U219" i="12"/>
  <c r="CB58" i="11"/>
  <c r="W26" i="21"/>
  <c r="W403" i="12"/>
  <c r="W219" i="12"/>
  <c r="CL58" i="11"/>
  <c r="Y26" i="21"/>
  <c r="Y403" i="12"/>
  <c r="Y219" i="12"/>
  <c r="CV58" i="11"/>
  <c r="AA26" i="21"/>
  <c r="D133" i="2"/>
  <c r="AU133" i="2" s="1"/>
  <c r="AA403" i="12"/>
  <c r="AA219" i="12"/>
  <c r="DF58" i="11"/>
  <c r="H31" i="21"/>
  <c r="H407" i="12"/>
  <c r="H223" i="12"/>
  <c r="O62" i="11"/>
  <c r="J31" i="21"/>
  <c r="J407" i="12"/>
  <c r="J223" i="12"/>
  <c r="Y62" i="11"/>
  <c r="L31" i="21"/>
  <c r="L407" i="12"/>
  <c r="L223" i="12"/>
  <c r="AI62" i="11"/>
  <c r="N31" i="21"/>
  <c r="N407" i="12"/>
  <c r="N223" i="12"/>
  <c r="AS62" i="11"/>
  <c r="P31" i="21"/>
  <c r="P407" i="12"/>
  <c r="P223" i="12"/>
  <c r="BC62" i="11"/>
  <c r="R31" i="21"/>
  <c r="R407" i="12"/>
  <c r="R223" i="12"/>
  <c r="BM62" i="11"/>
  <c r="T31" i="21"/>
  <c r="T407" i="12"/>
  <c r="T223" i="12"/>
  <c r="BW62" i="11"/>
  <c r="V31" i="21"/>
  <c r="V407" i="12"/>
  <c r="V223" i="12"/>
  <c r="CG62" i="11"/>
  <c r="X31" i="21"/>
  <c r="X407" i="12"/>
  <c r="X223" i="12"/>
  <c r="CQ62" i="11"/>
  <c r="Z31" i="21"/>
  <c r="C140" i="2"/>
  <c r="AT140" i="2" s="1"/>
  <c r="Z407" i="12"/>
  <c r="Z223" i="12"/>
  <c r="DA62" i="11"/>
  <c r="AB31" i="21"/>
  <c r="AB407" i="12"/>
  <c r="AB223" i="12"/>
  <c r="DK62" i="11"/>
  <c r="G207" i="12"/>
  <c r="J59" i="11"/>
  <c r="G404" i="12"/>
  <c r="I30" i="21"/>
  <c r="I220" i="12"/>
  <c r="I207" i="12"/>
  <c r="I404" i="12"/>
  <c r="T59" i="11"/>
  <c r="K30" i="21"/>
  <c r="K220" i="12"/>
  <c r="K207" i="12"/>
  <c r="K404" i="12"/>
  <c r="AD59" i="11"/>
  <c r="M30" i="21"/>
  <c r="M220" i="12"/>
  <c r="M207" i="12"/>
  <c r="M404" i="12"/>
  <c r="AN59" i="11"/>
  <c r="O30" i="21"/>
  <c r="O220" i="12"/>
  <c r="O207" i="12"/>
  <c r="O404" i="12"/>
  <c r="AX59" i="11"/>
  <c r="Q30" i="21"/>
  <c r="Q220" i="12"/>
  <c r="Q207" i="12"/>
  <c r="Q404" i="12"/>
  <c r="BH59" i="11"/>
  <c r="S30" i="21"/>
  <c r="S220" i="12"/>
  <c r="S207" i="12"/>
  <c r="S404" i="12"/>
  <c r="BR59" i="11"/>
  <c r="U30" i="21"/>
  <c r="U220" i="12"/>
  <c r="U207" i="12"/>
  <c r="U404" i="12"/>
  <c r="CB59" i="11"/>
  <c r="W30" i="21"/>
  <c r="W220" i="12"/>
  <c r="W207" i="12"/>
  <c r="W404" i="12"/>
  <c r="CL59" i="11"/>
  <c r="Y30" i="21"/>
  <c r="Y220" i="12"/>
  <c r="Y207" i="12"/>
  <c r="Y404" i="12"/>
  <c r="CV59" i="11"/>
  <c r="AA30" i="21"/>
  <c r="D139" i="2"/>
  <c r="AA220" i="12"/>
  <c r="AA207" i="12"/>
  <c r="AA404" i="12"/>
  <c r="DF59" i="11"/>
  <c r="H32" i="21"/>
  <c r="H408" i="12"/>
  <c r="O63" i="11"/>
  <c r="H224" i="12"/>
  <c r="J32" i="21"/>
  <c r="J408" i="12"/>
  <c r="Y63" i="11"/>
  <c r="J224" i="12"/>
  <c r="L32" i="21"/>
  <c r="L408" i="12"/>
  <c r="AI63" i="11"/>
  <c r="L224" i="12"/>
  <c r="N32" i="21"/>
  <c r="N408" i="12"/>
  <c r="AS63" i="11"/>
  <c r="N224" i="12"/>
  <c r="P32" i="21"/>
  <c r="P408" i="12"/>
  <c r="BC63" i="11"/>
  <c r="P224" i="12"/>
  <c r="R32" i="21"/>
  <c r="R408" i="12"/>
  <c r="BM63" i="11"/>
  <c r="R224" i="12"/>
  <c r="T32" i="21"/>
  <c r="T408" i="12"/>
  <c r="BW63" i="11"/>
  <c r="T224" i="12"/>
  <c r="V32" i="21"/>
  <c r="V408" i="12"/>
  <c r="CG63" i="11"/>
  <c r="V224" i="12"/>
  <c r="X32" i="21"/>
  <c r="X408" i="12"/>
  <c r="CQ63" i="11"/>
  <c r="X224" i="12"/>
  <c r="Z32" i="21"/>
  <c r="C141" i="2"/>
  <c r="AT141" i="2" s="1"/>
  <c r="Z408" i="12"/>
  <c r="DA63" i="11"/>
  <c r="Z224" i="12"/>
  <c r="AB32" i="21"/>
  <c r="AB408" i="12"/>
  <c r="DK63" i="11"/>
  <c r="AB224" i="12"/>
  <c r="E46" i="6"/>
  <c r="G231" i="12"/>
  <c r="J64" i="11"/>
  <c r="J9" i="11"/>
  <c r="G409" i="12"/>
  <c r="G249" i="12"/>
  <c r="G213" i="12"/>
  <c r="I29" i="21"/>
  <c r="Q46" i="6"/>
  <c r="I231" i="12"/>
  <c r="I409" i="12"/>
  <c r="I249" i="12"/>
  <c r="I225" i="12"/>
  <c r="I213" i="12"/>
  <c r="T64" i="11"/>
  <c r="T9" i="11"/>
  <c r="K29" i="21"/>
  <c r="AC46" i="6"/>
  <c r="K231" i="12"/>
  <c r="K409" i="12"/>
  <c r="K249" i="12"/>
  <c r="K225" i="12"/>
  <c r="K213" i="12"/>
  <c r="AD64" i="11"/>
  <c r="AD9" i="11"/>
  <c r="M29" i="21"/>
  <c r="AO46" i="6"/>
  <c r="M231" i="12"/>
  <c r="M409" i="12"/>
  <c r="M249" i="12"/>
  <c r="M225" i="12"/>
  <c r="M213" i="12"/>
  <c r="AN64" i="11"/>
  <c r="AN9" i="11"/>
  <c r="O29" i="21"/>
  <c r="BA46" i="6"/>
  <c r="O231" i="12"/>
  <c r="O409" i="12"/>
  <c r="O249" i="12"/>
  <c r="O225" i="12"/>
  <c r="O213" i="12"/>
  <c r="AX64" i="11"/>
  <c r="AX9" i="11"/>
  <c r="Q29" i="21"/>
  <c r="BM46" i="6"/>
  <c r="Q231" i="12"/>
  <c r="Q409" i="12"/>
  <c r="Q249" i="12"/>
  <c r="Q225" i="12"/>
  <c r="Q213" i="12"/>
  <c r="BH64" i="11"/>
  <c r="BH9" i="11"/>
  <c r="S29" i="21"/>
  <c r="BY46" i="6"/>
  <c r="S231" i="12"/>
  <c r="S409" i="12"/>
  <c r="S249" i="12"/>
  <c r="S225" i="12"/>
  <c r="S213" i="12"/>
  <c r="BR64" i="11"/>
  <c r="BR9" i="11"/>
  <c r="U29" i="21"/>
  <c r="CK46" i="6"/>
  <c r="U231" i="12"/>
  <c r="U409" i="12"/>
  <c r="U249" i="12"/>
  <c r="U225" i="12"/>
  <c r="U213" i="12"/>
  <c r="CB64" i="11"/>
  <c r="CB9" i="11"/>
  <c r="W29" i="21"/>
  <c r="CW46" i="6"/>
  <c r="W231" i="12"/>
  <c r="W409" i="12"/>
  <c r="W249" i="12"/>
  <c r="W225" i="12"/>
  <c r="W213" i="12"/>
  <c r="CL64" i="11"/>
  <c r="CL9" i="11"/>
  <c r="Y29" i="21"/>
  <c r="DI46" i="6"/>
  <c r="Y231" i="12"/>
  <c r="Y409" i="12"/>
  <c r="Y249" i="12"/>
  <c r="Y225" i="12"/>
  <c r="Y213" i="12"/>
  <c r="CV64" i="11"/>
  <c r="CV9" i="11"/>
  <c r="AA29" i="21"/>
  <c r="D138" i="2"/>
  <c r="DU46" i="6"/>
  <c r="AA409" i="12"/>
  <c r="AA249" i="12"/>
  <c r="AA225" i="12"/>
  <c r="AA213" i="12"/>
  <c r="DF64" i="11"/>
  <c r="DF9" i="11"/>
  <c r="Z33" i="21"/>
  <c r="C142" i="2"/>
  <c r="AT142" i="2" s="1"/>
  <c r="DO47" i="6"/>
  <c r="Z542" i="7"/>
  <c r="Z555" i="7" s="1"/>
  <c r="DA81" i="11"/>
  <c r="DA11" i="11"/>
  <c r="Z430" i="12"/>
  <c r="Z267" i="12"/>
  <c r="AB33" i="21"/>
  <c r="EA47" i="6"/>
  <c r="AB542" i="7"/>
  <c r="DK81" i="11"/>
  <c r="DK11" i="11"/>
  <c r="DQ11" i="11" s="1"/>
  <c r="AB430" i="12"/>
  <c r="AB267" i="12"/>
  <c r="AC273" i="12" s="1"/>
  <c r="AB263" i="12"/>
  <c r="G266" i="12"/>
  <c r="I266" i="12"/>
  <c r="I257" i="12"/>
  <c r="K266" i="12"/>
  <c r="K257" i="12"/>
  <c r="M266" i="12"/>
  <c r="M257" i="12"/>
  <c r="O266" i="12"/>
  <c r="O257" i="12"/>
  <c r="Q266" i="12"/>
  <c r="Q257" i="12"/>
  <c r="S266" i="12"/>
  <c r="S257" i="12"/>
  <c r="U266" i="12"/>
  <c r="U257" i="12"/>
  <c r="W266" i="12"/>
  <c r="W257" i="12"/>
  <c r="Y266" i="12"/>
  <c r="Y257" i="12"/>
  <c r="AA266" i="12"/>
  <c r="AA257" i="12"/>
  <c r="H298" i="12"/>
  <c r="H274" i="12"/>
  <c r="J298" i="12"/>
  <c r="J274" i="12"/>
  <c r="L298" i="12"/>
  <c r="L274" i="12"/>
  <c r="N298" i="12"/>
  <c r="N274" i="12"/>
  <c r="P298" i="12"/>
  <c r="P274" i="12"/>
  <c r="R298" i="12"/>
  <c r="R274" i="12"/>
  <c r="T298" i="12"/>
  <c r="T274" i="12"/>
  <c r="V298" i="12"/>
  <c r="V274" i="12"/>
  <c r="X298" i="12"/>
  <c r="X274" i="12"/>
  <c r="Z298" i="12"/>
  <c r="Z274" i="12"/>
  <c r="AB298" i="12"/>
  <c r="AB274" i="12"/>
  <c r="G338" i="12"/>
  <c r="I338" i="12"/>
  <c r="I306" i="12"/>
  <c r="K338" i="12"/>
  <c r="K306" i="12"/>
  <c r="M338" i="12"/>
  <c r="M306" i="12"/>
  <c r="O338" i="12"/>
  <c r="O306" i="12"/>
  <c r="Q338" i="12"/>
  <c r="Q306" i="12"/>
  <c r="S338" i="12"/>
  <c r="S306" i="12"/>
  <c r="U338" i="12"/>
  <c r="U306" i="12"/>
  <c r="W338" i="12"/>
  <c r="W306" i="12"/>
  <c r="Y338" i="12"/>
  <c r="Y306" i="12"/>
  <c r="AA338" i="12"/>
  <c r="AA306" i="12"/>
  <c r="G330" i="12"/>
  <c r="J87" i="11"/>
  <c r="G437" i="12"/>
  <c r="I34" i="21"/>
  <c r="I330" i="12"/>
  <c r="I437" i="12"/>
  <c r="I284" i="12"/>
  <c r="T87" i="11"/>
  <c r="K34" i="21"/>
  <c r="K330" i="12"/>
  <c r="K437" i="12"/>
  <c r="K284" i="12"/>
  <c r="AD87" i="11"/>
  <c r="M34" i="21"/>
  <c r="M330" i="12"/>
  <c r="M437" i="12"/>
  <c r="M284" i="12"/>
  <c r="AN87" i="11"/>
  <c r="O34" i="21"/>
  <c r="O330" i="12"/>
  <c r="O437" i="12"/>
  <c r="O284" i="12"/>
  <c r="AX87" i="11"/>
  <c r="Q34" i="21"/>
  <c r="Q330" i="12"/>
  <c r="Q437" i="12"/>
  <c r="Q284" i="12"/>
  <c r="BH87" i="11"/>
  <c r="S34" i="21"/>
  <c r="S330" i="12"/>
  <c r="S437" i="12"/>
  <c r="S284" i="12"/>
  <c r="BR87" i="11"/>
  <c r="U34" i="21"/>
  <c r="U330" i="12"/>
  <c r="U437" i="12"/>
  <c r="U284" i="12"/>
  <c r="CB87" i="11"/>
  <c r="W34" i="21"/>
  <c r="W330" i="12"/>
  <c r="W437" i="12"/>
  <c r="W284" i="12"/>
  <c r="CL87" i="11"/>
  <c r="Y34" i="21"/>
  <c r="Y330" i="12"/>
  <c r="Y437" i="12"/>
  <c r="Y284" i="12"/>
  <c r="CV87" i="11"/>
  <c r="AA34" i="21"/>
  <c r="D143" i="2"/>
  <c r="AA330" i="12"/>
  <c r="AA437" i="12"/>
  <c r="AA284" i="12"/>
  <c r="DF87" i="11"/>
  <c r="H35" i="21"/>
  <c r="H436" i="12"/>
  <c r="O86" i="11"/>
  <c r="H283" i="12"/>
  <c r="J35" i="21"/>
  <c r="J436" i="12"/>
  <c r="Y86" i="11"/>
  <c r="J283" i="12"/>
  <c r="L35" i="21"/>
  <c r="L436" i="12"/>
  <c r="AI86" i="11"/>
  <c r="L283" i="12"/>
  <c r="N35" i="21"/>
  <c r="N436" i="12"/>
  <c r="AS86" i="11"/>
  <c r="N283" i="12"/>
  <c r="P35" i="21"/>
  <c r="P436" i="12"/>
  <c r="BC86" i="11"/>
  <c r="P283" i="12"/>
  <c r="R35" i="21"/>
  <c r="R436" i="12"/>
  <c r="BM86" i="11"/>
  <c r="R283" i="12"/>
  <c r="T35" i="21"/>
  <c r="T436" i="12"/>
  <c r="BW86" i="11"/>
  <c r="T283" i="12"/>
  <c r="V35" i="21"/>
  <c r="V436" i="12"/>
  <c r="CG86" i="11"/>
  <c r="V283" i="12"/>
  <c r="X35" i="21"/>
  <c r="X436" i="12"/>
  <c r="CQ86" i="11"/>
  <c r="X283" i="12"/>
  <c r="Z35" i="21"/>
  <c r="C144" i="2"/>
  <c r="AT144" i="2" s="1"/>
  <c r="Z436" i="12"/>
  <c r="DA86" i="11"/>
  <c r="Z283" i="12"/>
  <c r="AB35" i="21"/>
  <c r="AB436" i="12"/>
  <c r="DK86" i="11"/>
  <c r="AB283" i="12"/>
  <c r="G331" i="12"/>
  <c r="J88" i="11"/>
  <c r="J13" i="11"/>
  <c r="G438" i="12"/>
  <c r="G299" i="12"/>
  <c r="G280" i="12"/>
  <c r="I331" i="12"/>
  <c r="I285" i="12"/>
  <c r="I438" i="12"/>
  <c r="I299" i="12"/>
  <c r="I280" i="12"/>
  <c r="T88" i="11"/>
  <c r="T13" i="11"/>
  <c r="K331" i="12"/>
  <c r="K285" i="12"/>
  <c r="K438" i="12"/>
  <c r="K299" i="12"/>
  <c r="K280" i="12"/>
  <c r="AD88" i="11"/>
  <c r="AD13" i="11"/>
  <c r="M331" i="12"/>
  <c r="M285" i="12"/>
  <c r="M438" i="12"/>
  <c r="M299" i="12"/>
  <c r="M280" i="12"/>
  <c r="AN88" i="11"/>
  <c r="AN13" i="11"/>
  <c r="O331" i="12"/>
  <c r="O285" i="12"/>
  <c r="O438" i="12"/>
  <c r="O299" i="12"/>
  <c r="O280" i="12"/>
  <c r="AX88" i="11"/>
  <c r="AX13" i="11"/>
  <c r="Q331" i="12"/>
  <c r="Q285" i="12"/>
  <c r="Q438" i="12"/>
  <c r="Q299" i="12"/>
  <c r="Q280" i="12"/>
  <c r="BH88" i="11"/>
  <c r="BH13" i="11"/>
  <c r="S331" i="12"/>
  <c r="S285" i="12"/>
  <c r="S438" i="12"/>
  <c r="S299" i="12"/>
  <c r="S280" i="12"/>
  <c r="BR88" i="11"/>
  <c r="BR13" i="11"/>
  <c r="U331" i="12"/>
  <c r="U285" i="12"/>
  <c r="U438" i="12"/>
  <c r="U299" i="12"/>
  <c r="U280" i="12"/>
  <c r="CB88" i="11"/>
  <c r="CB13" i="11"/>
  <c r="W331" i="12"/>
  <c r="W285" i="12"/>
  <c r="W438" i="12"/>
  <c r="W299" i="12"/>
  <c r="W280" i="12"/>
  <c r="CL88" i="11"/>
  <c r="CL13" i="11"/>
  <c r="Y331" i="12"/>
  <c r="Y285" i="12"/>
  <c r="Y438" i="12"/>
  <c r="Y299" i="12"/>
  <c r="Y280" i="12"/>
  <c r="CV88" i="11"/>
  <c r="CV13" i="11"/>
  <c r="AA331" i="12"/>
  <c r="AA285" i="12"/>
  <c r="AA438" i="12"/>
  <c r="AA299" i="12"/>
  <c r="AA280" i="12"/>
  <c r="DF88" i="11"/>
  <c r="DF13" i="11"/>
  <c r="H36" i="21"/>
  <c r="O102" i="11"/>
  <c r="H447" i="12"/>
  <c r="H316" i="12"/>
  <c r="J36" i="21"/>
  <c r="Y102" i="11"/>
  <c r="J447" i="12"/>
  <c r="J316" i="12"/>
  <c r="L36" i="21"/>
  <c r="AI102" i="11"/>
  <c r="L447" i="12"/>
  <c r="L316" i="12"/>
  <c r="N36" i="21"/>
  <c r="AS102" i="11"/>
  <c r="N447" i="12"/>
  <c r="N316" i="12"/>
  <c r="P36" i="21"/>
  <c r="BC102" i="11"/>
  <c r="P447" i="12"/>
  <c r="P316" i="12"/>
  <c r="R36" i="21"/>
  <c r="BM102" i="11"/>
  <c r="R447" i="12"/>
  <c r="R316" i="12"/>
  <c r="T36" i="21"/>
  <c r="BW102" i="11"/>
  <c r="T447" i="12"/>
  <c r="T316" i="12"/>
  <c r="V36" i="21"/>
  <c r="CG102" i="11"/>
  <c r="V447" i="12"/>
  <c r="V316" i="12"/>
  <c r="X36" i="21"/>
  <c r="CQ102" i="11"/>
  <c r="X447" i="12"/>
  <c r="X316" i="12"/>
  <c r="Z36" i="21"/>
  <c r="C145" i="2"/>
  <c r="DA102" i="11"/>
  <c r="Z447" i="12"/>
  <c r="Z316" i="12"/>
  <c r="AB36" i="21"/>
  <c r="DK102" i="11"/>
  <c r="AB447" i="12"/>
  <c r="AB316" i="12"/>
  <c r="G446" i="12"/>
  <c r="J101" i="11"/>
  <c r="I37" i="21"/>
  <c r="I446" i="12"/>
  <c r="I315" i="12"/>
  <c r="T101" i="11"/>
  <c r="K37" i="21"/>
  <c r="K446" i="12"/>
  <c r="K315" i="12"/>
  <c r="AD101" i="11"/>
  <c r="M37" i="21"/>
  <c r="M446" i="12"/>
  <c r="M315" i="12"/>
  <c r="AN101" i="11"/>
  <c r="O37" i="21"/>
  <c r="O446" i="12"/>
  <c r="O315" i="12"/>
  <c r="AX101" i="11"/>
  <c r="Q37" i="21"/>
  <c r="Q446" i="12"/>
  <c r="Q315" i="12"/>
  <c r="BH101" i="11"/>
  <c r="S37" i="21"/>
  <c r="S446" i="12"/>
  <c r="S315" i="12"/>
  <c r="BR101" i="11"/>
  <c r="U37" i="21"/>
  <c r="U446" i="12"/>
  <c r="U315" i="12"/>
  <c r="CB101" i="11"/>
  <c r="W37" i="21"/>
  <c r="W446" i="12"/>
  <c r="W315" i="12"/>
  <c r="CL101" i="11"/>
  <c r="Y37" i="21"/>
  <c r="Y446" i="12"/>
  <c r="Y315" i="12"/>
  <c r="CV101" i="11"/>
  <c r="AA37" i="21"/>
  <c r="D146" i="2"/>
  <c r="AA446" i="12"/>
  <c r="AA315" i="12"/>
  <c r="DF101" i="11"/>
  <c r="H317" i="12"/>
  <c r="O103" i="11"/>
  <c r="O15" i="11"/>
  <c r="H448" i="12"/>
  <c r="H339" i="12"/>
  <c r="H312" i="12"/>
  <c r="J317" i="12"/>
  <c r="Y103" i="11"/>
  <c r="Y15" i="11"/>
  <c r="J448" i="12"/>
  <c r="J339" i="12"/>
  <c r="J312" i="12"/>
  <c r="L317" i="12"/>
  <c r="AI103" i="11"/>
  <c r="AI15" i="11"/>
  <c r="L448" i="12"/>
  <c r="L339" i="12"/>
  <c r="L312" i="12"/>
  <c r="N317" i="12"/>
  <c r="AS103" i="11"/>
  <c r="AS15" i="11"/>
  <c r="N448" i="12"/>
  <c r="N339" i="12"/>
  <c r="N312" i="12"/>
  <c r="P317" i="12"/>
  <c r="BC103" i="11"/>
  <c r="BC15" i="11"/>
  <c r="P448" i="12"/>
  <c r="P339" i="12"/>
  <c r="P312" i="12"/>
  <c r="R317" i="12"/>
  <c r="BM103" i="11"/>
  <c r="BM15" i="11"/>
  <c r="R448" i="12"/>
  <c r="R339" i="12"/>
  <c r="R312" i="12"/>
  <c r="T317" i="12"/>
  <c r="BW103" i="11"/>
  <c r="BW15" i="11"/>
  <c r="T448" i="12"/>
  <c r="T339" i="12"/>
  <c r="T312" i="12"/>
  <c r="V317" i="12"/>
  <c r="CG103" i="11"/>
  <c r="CG15" i="11"/>
  <c r="V448" i="12"/>
  <c r="V339" i="12"/>
  <c r="V312" i="12"/>
  <c r="X317" i="12"/>
  <c r="CQ103" i="11"/>
  <c r="CQ15" i="11"/>
  <c r="X448" i="12"/>
  <c r="X339" i="12"/>
  <c r="X312" i="12"/>
  <c r="Z317" i="12"/>
  <c r="DA15" i="11"/>
  <c r="Z448" i="12"/>
  <c r="Z339" i="12"/>
  <c r="Z312" i="12"/>
  <c r="AB317" i="12"/>
  <c r="DK15" i="11"/>
  <c r="AB448" i="12"/>
  <c r="AB339" i="12"/>
  <c r="AB312" i="12"/>
  <c r="H38" i="21"/>
  <c r="K5" i="6"/>
  <c r="H698" i="7"/>
  <c r="H456" i="12"/>
  <c r="O116" i="11"/>
  <c r="O17" i="11"/>
  <c r="H348" i="12"/>
  <c r="F4" i="24"/>
  <c r="J38" i="21"/>
  <c r="W5" i="6"/>
  <c r="J698" i="7"/>
  <c r="J456" i="12"/>
  <c r="Y116" i="11"/>
  <c r="Y17" i="11"/>
  <c r="J348" i="12"/>
  <c r="H4" i="24"/>
  <c r="L38" i="21"/>
  <c r="AI5" i="6"/>
  <c r="L698" i="7"/>
  <c r="L456" i="12"/>
  <c r="AI116" i="11"/>
  <c r="AI17" i="11"/>
  <c r="L348" i="12"/>
  <c r="J4" i="24"/>
  <c r="N38" i="21"/>
  <c r="AU5" i="6"/>
  <c r="N698" i="7"/>
  <c r="N456" i="12"/>
  <c r="AS116" i="11"/>
  <c r="AS17" i="11"/>
  <c r="N348" i="12"/>
  <c r="L4" i="24"/>
  <c r="P38" i="21"/>
  <c r="BG5" i="6"/>
  <c r="P698" i="7"/>
  <c r="P456" i="12"/>
  <c r="BC116" i="11"/>
  <c r="BC17" i="11"/>
  <c r="P348" i="12"/>
  <c r="N4" i="24"/>
  <c r="R38" i="21"/>
  <c r="BS5" i="6"/>
  <c r="R698" i="7"/>
  <c r="R456" i="12"/>
  <c r="BM116" i="11"/>
  <c r="BM17" i="11"/>
  <c r="R348" i="12"/>
  <c r="P4" i="24"/>
  <c r="T38" i="21"/>
  <c r="CE5" i="6"/>
  <c r="T698" i="7"/>
  <c r="T456" i="12"/>
  <c r="BW116" i="11"/>
  <c r="BW17" i="11"/>
  <c r="T348" i="12"/>
  <c r="R4" i="24"/>
  <c r="V38" i="21"/>
  <c r="CQ5" i="6"/>
  <c r="V698" i="7"/>
  <c r="V456" i="12"/>
  <c r="CG116" i="11"/>
  <c r="CG17" i="11"/>
  <c r="V348" i="12"/>
  <c r="T4" i="24"/>
  <c r="X38" i="21"/>
  <c r="DC5" i="6"/>
  <c r="X698" i="7"/>
  <c r="X456" i="12"/>
  <c r="CQ116" i="11"/>
  <c r="CQ17" i="11"/>
  <c r="X348" i="12"/>
  <c r="V4" i="24"/>
  <c r="Z38" i="21"/>
  <c r="C147" i="2"/>
  <c r="AT147" i="2" s="1"/>
  <c r="DO5" i="6"/>
  <c r="Z698" i="7"/>
  <c r="Z456" i="12"/>
  <c r="DA116" i="11"/>
  <c r="DA17" i="11"/>
  <c r="Z348" i="12"/>
  <c r="X4" i="24"/>
  <c r="AB38" i="21"/>
  <c r="EA5" i="6"/>
  <c r="AB698" i="7"/>
  <c r="BC698" i="7" s="1"/>
  <c r="AB456" i="12"/>
  <c r="DK116" i="11"/>
  <c r="DK17" i="11"/>
  <c r="AB348" i="12"/>
  <c r="M46" i="6"/>
  <c r="H735" i="7"/>
  <c r="H243" i="12"/>
  <c r="O72" i="11"/>
  <c r="H237" i="12"/>
  <c r="Y46" i="6"/>
  <c r="J735" i="7"/>
  <c r="J243" i="12"/>
  <c r="Y72" i="11"/>
  <c r="J237" i="12"/>
  <c r="AK46" i="6"/>
  <c r="L735" i="7"/>
  <c r="L243" i="12"/>
  <c r="AI72" i="11"/>
  <c r="L237" i="12"/>
  <c r="AW46" i="6"/>
  <c r="N735" i="7"/>
  <c r="N243" i="12"/>
  <c r="AS72" i="11"/>
  <c r="N237" i="12"/>
  <c r="BI46" i="6"/>
  <c r="P735" i="7"/>
  <c r="P243" i="12"/>
  <c r="BC72" i="11"/>
  <c r="P237" i="12"/>
  <c r="BU46" i="6"/>
  <c r="R735" i="7"/>
  <c r="R243" i="12"/>
  <c r="BM72" i="11"/>
  <c r="R237" i="12"/>
  <c r="CG46" i="6"/>
  <c r="T735" i="7"/>
  <c r="T243" i="12"/>
  <c r="BW72" i="11"/>
  <c r="T237" i="12"/>
  <c r="CS46" i="6"/>
  <c r="V735" i="7"/>
  <c r="V243" i="12"/>
  <c r="CG72" i="11"/>
  <c r="V237" i="12"/>
  <c r="DE46" i="6"/>
  <c r="X735" i="7"/>
  <c r="X243" i="12"/>
  <c r="CQ72" i="11"/>
  <c r="X237" i="12"/>
  <c r="DQ46" i="6"/>
  <c r="Z735" i="7"/>
  <c r="Z243" i="12"/>
  <c r="DA72" i="11"/>
  <c r="Z237" i="12"/>
  <c r="EC46" i="6"/>
  <c r="AB735" i="7"/>
  <c r="BC735" i="7" s="1"/>
  <c r="AB243" i="12"/>
  <c r="AB237" i="12"/>
  <c r="H46" i="6"/>
  <c r="G763" i="7"/>
  <c r="G662" i="7"/>
  <c r="G676" i="7" s="1"/>
  <c r="G242" i="12"/>
  <c r="J70" i="11"/>
  <c r="I93" i="21"/>
  <c r="T46" i="6"/>
  <c r="I763" i="7"/>
  <c r="I662" i="7"/>
  <c r="I676" i="7" s="1"/>
  <c r="T70" i="11"/>
  <c r="I242" i="12"/>
  <c r="I236" i="12"/>
  <c r="K93" i="21"/>
  <c r="AF46" i="6"/>
  <c r="K763" i="7"/>
  <c r="K662" i="7"/>
  <c r="K676" i="7" s="1"/>
  <c r="AD70" i="11"/>
  <c r="K242" i="12"/>
  <c r="K236" i="12"/>
  <c r="M93" i="21"/>
  <c r="AR46" i="6"/>
  <c r="M763" i="7"/>
  <c r="M662" i="7"/>
  <c r="M676" i="7" s="1"/>
  <c r="AN70" i="11"/>
  <c r="M242" i="12"/>
  <c r="M236" i="12"/>
  <c r="O93" i="21"/>
  <c r="BD46" i="6"/>
  <c r="O763" i="7"/>
  <c r="O662" i="7"/>
  <c r="O676" i="7" s="1"/>
  <c r="AX70" i="11"/>
  <c r="O242" i="12"/>
  <c r="O236" i="12"/>
  <c r="Q93" i="21"/>
  <c r="BP46" i="6"/>
  <c r="Q763" i="7"/>
  <c r="Q662" i="7"/>
  <c r="Q676" i="7" s="1"/>
  <c r="BH70" i="11"/>
  <c r="Q242" i="12"/>
  <c r="Q236" i="12"/>
  <c r="S93" i="21"/>
  <c r="CB46" i="6"/>
  <c r="S763" i="7"/>
  <c r="S662" i="7"/>
  <c r="S676" i="7" s="1"/>
  <c r="BR70" i="11"/>
  <c r="S242" i="12"/>
  <c r="S236" i="12"/>
  <c r="U93" i="21"/>
  <c r="CN46" i="6"/>
  <c r="U763" i="7"/>
  <c r="U662" i="7"/>
  <c r="U676" i="7" s="1"/>
  <c r="CB70" i="11"/>
  <c r="U242" i="12"/>
  <c r="U236" i="12"/>
  <c r="W93" i="21"/>
  <c r="CZ46" i="6"/>
  <c r="W763" i="7"/>
  <c r="W662" i="7"/>
  <c r="W676" i="7" s="1"/>
  <c r="CL70" i="11"/>
  <c r="W242" i="12"/>
  <c r="W236" i="12"/>
  <c r="Y93" i="21"/>
  <c r="DL46" i="6"/>
  <c r="Y763" i="7"/>
  <c r="Y662" i="7"/>
  <c r="Y676" i="7" s="1"/>
  <c r="CV70" i="11"/>
  <c r="Y242" i="12"/>
  <c r="Y236" i="12"/>
  <c r="AA93" i="21"/>
  <c r="D226" i="2"/>
  <c r="DX46" i="6"/>
  <c r="AA763" i="7"/>
  <c r="AA662" i="7"/>
  <c r="AA676" i="7" s="1"/>
  <c r="DF70" i="11"/>
  <c r="AA242" i="12"/>
  <c r="AA236" i="12"/>
  <c r="F46" i="6"/>
  <c r="G718" i="7"/>
  <c r="G241" i="12"/>
  <c r="J71" i="11"/>
  <c r="R46" i="6"/>
  <c r="I718" i="7"/>
  <c r="I235" i="12"/>
  <c r="T71" i="11"/>
  <c r="I241" i="12"/>
  <c r="AD46" i="6"/>
  <c r="K718" i="7"/>
  <c r="K235" i="12"/>
  <c r="AD71" i="11"/>
  <c r="K241" i="12"/>
  <c r="AP46" i="6"/>
  <c r="M718" i="7"/>
  <c r="M235" i="12"/>
  <c r="AN71" i="11"/>
  <c r="M241" i="12"/>
  <c r="BB46" i="6"/>
  <c r="O718" i="7"/>
  <c r="O235" i="12"/>
  <c r="AX71" i="11"/>
  <c r="O241" i="12"/>
  <c r="BN46" i="6"/>
  <c r="Q718" i="7"/>
  <c r="Q235" i="12"/>
  <c r="BH71" i="11"/>
  <c r="Q241" i="12"/>
  <c r="BZ46" i="6"/>
  <c r="S718" i="7"/>
  <c r="S235" i="12"/>
  <c r="BR71" i="11"/>
  <c r="S241" i="12"/>
  <c r="CL46" i="6"/>
  <c r="U718" i="7"/>
  <c r="U235" i="12"/>
  <c r="CB71" i="11"/>
  <c r="U241" i="12"/>
  <c r="CX46" i="6"/>
  <c r="W718" i="7"/>
  <c r="W235" i="12"/>
  <c r="CL71" i="11"/>
  <c r="W241" i="12"/>
  <c r="DJ46" i="6"/>
  <c r="Y718" i="7"/>
  <c r="Y235" i="12"/>
  <c r="CV71" i="11"/>
  <c r="Y241" i="12"/>
  <c r="DV46" i="6"/>
  <c r="AA718" i="7"/>
  <c r="AA235" i="12"/>
  <c r="DF71" i="11"/>
  <c r="AA241" i="12"/>
  <c r="G290" i="12"/>
  <c r="J94" i="11"/>
  <c r="J96" i="11" s="1"/>
  <c r="I112" i="21"/>
  <c r="I290" i="12"/>
  <c r="T94" i="11"/>
  <c r="I293" i="12"/>
  <c r="K112" i="21"/>
  <c r="K290" i="12"/>
  <c r="AD94" i="11"/>
  <c r="K293" i="12"/>
  <c r="M112" i="21"/>
  <c r="M290" i="12"/>
  <c r="AN94" i="11"/>
  <c r="M293" i="12"/>
  <c r="O112" i="21"/>
  <c r="O290" i="12"/>
  <c r="AX94" i="11"/>
  <c r="O293" i="12"/>
  <c r="Q112" i="21"/>
  <c r="Q290" i="12"/>
  <c r="BH94" i="11"/>
  <c r="Q293" i="12"/>
  <c r="S112" i="21"/>
  <c r="S290" i="12"/>
  <c r="BR94" i="11"/>
  <c r="S293" i="12"/>
  <c r="U112" i="21"/>
  <c r="U290" i="12"/>
  <c r="CB94" i="11"/>
  <c r="U293" i="12"/>
  <c r="W112" i="21"/>
  <c r="W290" i="12"/>
  <c r="CL94" i="11"/>
  <c r="W293" i="12"/>
  <c r="Y112" i="21"/>
  <c r="Y290" i="12"/>
  <c r="CV94" i="11"/>
  <c r="Y293" i="12"/>
  <c r="AA112" i="21"/>
  <c r="D247" i="2"/>
  <c r="AA290" i="12"/>
  <c r="DF94" i="11"/>
  <c r="AA293" i="12"/>
  <c r="H114" i="21"/>
  <c r="H294" i="12"/>
  <c r="O95" i="11"/>
  <c r="P95" i="11" s="1"/>
  <c r="J114" i="21"/>
  <c r="J294" i="12"/>
  <c r="Y95" i="11"/>
  <c r="L114" i="21"/>
  <c r="L294" i="12"/>
  <c r="AI95" i="11"/>
  <c r="N114" i="21"/>
  <c r="N294" i="12"/>
  <c r="AS95" i="11"/>
  <c r="P114" i="21"/>
  <c r="P294" i="12"/>
  <c r="BC95" i="11"/>
  <c r="R114" i="21"/>
  <c r="R294" i="12"/>
  <c r="BM95" i="11"/>
  <c r="T114" i="21"/>
  <c r="T294" i="12"/>
  <c r="BW95" i="11"/>
  <c r="V114" i="21"/>
  <c r="V294" i="12"/>
  <c r="CG95" i="11"/>
  <c r="X114" i="21"/>
  <c r="X294" i="12"/>
  <c r="CQ95" i="11"/>
  <c r="Z114" i="21"/>
  <c r="C249" i="2"/>
  <c r="AT249" i="2" s="1"/>
  <c r="Z294" i="12"/>
  <c r="DA95" i="11"/>
  <c r="AB114" i="21"/>
  <c r="AB294" i="12"/>
  <c r="DK95" i="11"/>
  <c r="DQ95" i="11" s="1"/>
  <c r="G322" i="12"/>
  <c r="J109" i="11"/>
  <c r="J111" i="11" s="1"/>
  <c r="I115" i="21"/>
  <c r="I325" i="12"/>
  <c r="T109" i="11"/>
  <c r="I322" i="12"/>
  <c r="K115" i="21"/>
  <c r="K325" i="12"/>
  <c r="AD109" i="11"/>
  <c r="K322" i="12"/>
  <c r="M115" i="21"/>
  <c r="M325" i="12"/>
  <c r="AN109" i="11"/>
  <c r="M322" i="12"/>
  <c r="O115" i="21"/>
  <c r="O325" i="12"/>
  <c r="AX109" i="11"/>
  <c r="O322" i="12"/>
  <c r="Q115" i="21"/>
  <c r="Q325" i="12"/>
  <c r="BH109" i="11"/>
  <c r="Q322" i="12"/>
  <c r="S115" i="21"/>
  <c r="S325" i="12"/>
  <c r="BR109" i="11"/>
  <c r="S322" i="12"/>
  <c r="U115" i="21"/>
  <c r="U325" i="12"/>
  <c r="CB109" i="11"/>
  <c r="U322" i="12"/>
  <c r="W115" i="21"/>
  <c r="W325" i="12"/>
  <c r="CL109" i="11"/>
  <c r="W322" i="12"/>
  <c r="Y115" i="21"/>
  <c r="Y325" i="12"/>
  <c r="CV109" i="11"/>
  <c r="Y322" i="12"/>
  <c r="AA115" i="21"/>
  <c r="D250" i="2"/>
  <c r="AA325" i="12"/>
  <c r="DF109" i="11"/>
  <c r="AA322" i="12"/>
  <c r="H116" i="21"/>
  <c r="H326" i="12"/>
  <c r="O110" i="11"/>
  <c r="P110" i="11" s="1"/>
  <c r="J116" i="21"/>
  <c r="J326" i="12"/>
  <c r="Y110" i="11"/>
  <c r="L116" i="21"/>
  <c r="L326" i="12"/>
  <c r="AI110" i="11"/>
  <c r="N116" i="21"/>
  <c r="N326" i="12"/>
  <c r="AS110" i="11"/>
  <c r="P116" i="21"/>
  <c r="P326" i="12"/>
  <c r="BC110" i="11"/>
  <c r="R116" i="21"/>
  <c r="R326" i="12"/>
  <c r="BM110" i="11"/>
  <c r="T116" i="21"/>
  <c r="T326" i="12"/>
  <c r="BW110" i="11"/>
  <c r="V116" i="21"/>
  <c r="V326" i="12"/>
  <c r="CG110" i="11"/>
  <c r="X116" i="21"/>
  <c r="X326" i="12"/>
  <c r="CQ110" i="11"/>
  <c r="Z116" i="21"/>
  <c r="C252" i="2"/>
  <c r="AT252" i="2" s="1"/>
  <c r="Z326" i="12"/>
  <c r="DA110" i="11"/>
  <c r="AB116" i="21"/>
  <c r="AB326" i="12"/>
  <c r="DK110" i="11"/>
  <c r="DQ110" i="11" s="1"/>
  <c r="I367" i="12"/>
  <c r="G52" i="24" s="1"/>
  <c r="T42" i="11"/>
  <c r="K367" i="12"/>
  <c r="I52" i="24" s="1"/>
  <c r="AD42" i="11"/>
  <c r="M367" i="12"/>
  <c r="K52" i="24" s="1"/>
  <c r="AN42" i="11"/>
  <c r="O367" i="12"/>
  <c r="M52" i="24" s="1"/>
  <c r="AX42" i="11"/>
  <c r="Q367" i="12"/>
  <c r="O52" i="24" s="1"/>
  <c r="BH42" i="11"/>
  <c r="S367" i="12"/>
  <c r="Q52" i="24" s="1"/>
  <c r="BR42" i="11"/>
  <c r="U367" i="12"/>
  <c r="S52" i="24" s="1"/>
  <c r="CB42" i="11"/>
  <c r="W367" i="12"/>
  <c r="U52" i="24" s="1"/>
  <c r="CL42" i="11"/>
  <c r="Y367" i="12"/>
  <c r="W52" i="24" s="1"/>
  <c r="CV42" i="11"/>
  <c r="AA367" i="12"/>
  <c r="Y52" i="24" s="1"/>
  <c r="DF42" i="11"/>
  <c r="H41" i="21"/>
  <c r="H368" i="12"/>
  <c r="F53" i="24" s="1"/>
  <c r="O41" i="11"/>
  <c r="J41" i="21"/>
  <c r="J368" i="12"/>
  <c r="H53" i="24" s="1"/>
  <c r="Y41" i="11"/>
  <c r="L41" i="21"/>
  <c r="L368" i="12"/>
  <c r="J53" i="24" s="1"/>
  <c r="AI41" i="11"/>
  <c r="N41" i="21"/>
  <c r="N368" i="12"/>
  <c r="L53" i="24" s="1"/>
  <c r="AS41" i="11"/>
  <c r="P41" i="21"/>
  <c r="P368" i="12"/>
  <c r="N53" i="24" s="1"/>
  <c r="BC41" i="11"/>
  <c r="R41" i="21"/>
  <c r="R368" i="12"/>
  <c r="P53" i="24" s="1"/>
  <c r="BM41" i="11"/>
  <c r="T41" i="21"/>
  <c r="T368" i="12"/>
  <c r="R53" i="24" s="1"/>
  <c r="BW41" i="11"/>
  <c r="V41" i="21"/>
  <c r="V368" i="12"/>
  <c r="T53" i="24" s="1"/>
  <c r="CG41" i="11"/>
  <c r="X41" i="21"/>
  <c r="X368" i="12"/>
  <c r="V53" i="24" s="1"/>
  <c r="CQ41" i="11"/>
  <c r="Z41" i="21"/>
  <c r="C154" i="2"/>
  <c r="AT154" i="2" s="1"/>
  <c r="Z368" i="12"/>
  <c r="X53" i="24" s="1"/>
  <c r="DA41" i="11"/>
  <c r="AB41" i="21"/>
  <c r="AB368" i="12"/>
  <c r="I101" i="21"/>
  <c r="G5" i="24"/>
  <c r="I349" i="12"/>
  <c r="K101" i="21"/>
  <c r="I5" i="24"/>
  <c r="K349" i="12"/>
  <c r="M101" i="21"/>
  <c r="K5" i="24"/>
  <c r="M349" i="12"/>
  <c r="O101" i="21"/>
  <c r="M5" i="24"/>
  <c r="O349" i="12"/>
  <c r="Q101" i="21"/>
  <c r="O5" i="24"/>
  <c r="Q349" i="12"/>
  <c r="S101" i="21"/>
  <c r="Q5" i="24"/>
  <c r="S349" i="12"/>
  <c r="U101" i="21"/>
  <c r="S5" i="24"/>
  <c r="U349" i="12"/>
  <c r="W101" i="21"/>
  <c r="U5" i="24"/>
  <c r="W349" i="12"/>
  <c r="Y101" i="21"/>
  <c r="W5" i="24"/>
  <c r="Y349" i="12"/>
  <c r="AA101" i="21"/>
  <c r="D236" i="2"/>
  <c r="AU236" i="2" s="1"/>
  <c r="Y5" i="24"/>
  <c r="D5" i="24" s="1"/>
  <c r="AA349" i="12"/>
  <c r="H101" i="17"/>
  <c r="H27" i="17"/>
  <c r="H6" i="17" s="1"/>
  <c r="J101" i="17"/>
  <c r="J27" i="17"/>
  <c r="J6" i="17" s="1"/>
  <c r="L101" i="17"/>
  <c r="L34" i="17"/>
  <c r="L32" i="17"/>
  <c r="L27" i="17"/>
  <c r="L6" i="17" s="1"/>
  <c r="I12" i="22" s="1"/>
  <c r="N101" i="17"/>
  <c r="N32" i="17"/>
  <c r="N27" i="17"/>
  <c r="N6" i="17" s="1"/>
  <c r="K12" i="22" s="1"/>
  <c r="P101" i="17"/>
  <c r="P32" i="17"/>
  <c r="P27" i="17"/>
  <c r="P6" i="17" s="1"/>
  <c r="M12" i="22" s="1"/>
  <c r="P34" i="17"/>
  <c r="R101" i="17"/>
  <c r="R32" i="17"/>
  <c r="R27" i="17"/>
  <c r="R6" i="17" s="1"/>
  <c r="O12" i="22" s="1"/>
  <c r="T101" i="17"/>
  <c r="T34" i="17"/>
  <c r="T32" i="17"/>
  <c r="T27" i="17"/>
  <c r="T6" i="17" s="1"/>
  <c r="Q12" i="22" s="1"/>
  <c r="V101" i="17"/>
  <c r="V32" i="17"/>
  <c r="V27" i="17"/>
  <c r="V6" i="17" s="1"/>
  <c r="S12" i="22" s="1"/>
  <c r="X101" i="17"/>
  <c r="X32" i="17"/>
  <c r="X27" i="17"/>
  <c r="X6" i="17" s="1"/>
  <c r="U12" i="22" s="1"/>
  <c r="X34" i="17"/>
  <c r="Z101" i="17"/>
  <c r="Z32" i="17"/>
  <c r="Z27" i="17"/>
  <c r="Z6" i="17" s="1"/>
  <c r="W12" i="22" s="1"/>
  <c r="AB101" i="17"/>
  <c r="AB34" i="17"/>
  <c r="AB32" i="17"/>
  <c r="AB27" i="17"/>
  <c r="AB6" i="17" s="1"/>
  <c r="Y12" i="22" s="1"/>
  <c r="AD101" i="17"/>
  <c r="AD32" i="17"/>
  <c r="AD27" i="17"/>
  <c r="AD6" i="17" s="1"/>
  <c r="AA12" i="22" s="1"/>
  <c r="AF101" i="17"/>
  <c r="AF32" i="17"/>
  <c r="AF27" i="17"/>
  <c r="AF6" i="17" s="1"/>
  <c r="AC12" i="22" s="1"/>
  <c r="AF34" i="17"/>
  <c r="AH101" i="17"/>
  <c r="AH32" i="17"/>
  <c r="AH27" i="17"/>
  <c r="AH6" i="17" s="1"/>
  <c r="AE12" i="22" s="1"/>
  <c r="AJ101" i="17"/>
  <c r="AJ34" i="17"/>
  <c r="AJ32" i="17"/>
  <c r="AJ27" i="17"/>
  <c r="AJ6" i="17" s="1"/>
  <c r="AG12" i="22" s="1"/>
  <c r="AL101" i="17"/>
  <c r="AL32" i="17"/>
  <c r="AL27" i="17"/>
  <c r="AL6" i="17" s="1"/>
  <c r="AI12" i="22" s="1"/>
  <c r="AN101" i="17"/>
  <c r="AN32" i="17"/>
  <c r="AN27" i="17"/>
  <c r="AN6" i="17" s="1"/>
  <c r="AK12" i="22" s="1"/>
  <c r="AN34" i="17"/>
  <c r="AP101" i="17"/>
  <c r="AP32" i="17"/>
  <c r="AP27" i="17"/>
  <c r="AP6" i="17" s="1"/>
  <c r="AM12" i="22" s="1"/>
  <c r="AR101" i="17"/>
  <c r="AR34" i="17"/>
  <c r="AR32" i="17"/>
  <c r="AR27" i="17"/>
  <c r="AR6" i="17" s="1"/>
  <c r="AO12" i="22" s="1"/>
  <c r="AT101" i="17"/>
  <c r="AT32" i="17"/>
  <c r="AT27" i="17"/>
  <c r="AT6" i="17" s="1"/>
  <c r="AQ12" i="22" s="1"/>
  <c r="AV101" i="17"/>
  <c r="AV32" i="17"/>
  <c r="AV27" i="17"/>
  <c r="AV6" i="17" s="1"/>
  <c r="AS12" i="22" s="1"/>
  <c r="AV34" i="17"/>
  <c r="AX101" i="17"/>
  <c r="AX32" i="17"/>
  <c r="AX27" i="17"/>
  <c r="AX6" i="17" s="1"/>
  <c r="AU12" i="22" s="1"/>
  <c r="AZ101" i="17"/>
  <c r="AZ34" i="17"/>
  <c r="AZ32" i="17"/>
  <c r="AZ27" i="17"/>
  <c r="AZ6" i="17" s="1"/>
  <c r="AW12" i="22" s="1"/>
  <c r="BB101" i="17"/>
  <c r="BB32" i="17"/>
  <c r="BB27" i="17"/>
  <c r="BB6" i="17" s="1"/>
  <c r="AY12" i="22" s="1"/>
  <c r="BD101" i="17"/>
  <c r="BD32" i="17"/>
  <c r="BD27" i="17"/>
  <c r="BD6" i="17" s="1"/>
  <c r="BA12" i="22" s="1"/>
  <c r="BD34" i="17"/>
  <c r="BF101" i="17"/>
  <c r="BF32" i="17"/>
  <c r="BF27" i="17"/>
  <c r="BF6" i="17" s="1"/>
  <c r="BC12" i="22" s="1"/>
  <c r="BH101" i="17"/>
  <c r="BH34" i="17"/>
  <c r="BH32" i="17"/>
  <c r="BH27" i="17"/>
  <c r="BH6" i="17" s="1"/>
  <c r="BE12" i="22" s="1"/>
  <c r="BJ101" i="17"/>
  <c r="BJ32" i="17"/>
  <c r="BJ27" i="17"/>
  <c r="BJ6" i="17" s="1"/>
  <c r="BG12" i="22" s="1"/>
  <c r="BL101" i="17"/>
  <c r="BL32" i="17"/>
  <c r="BL27" i="17"/>
  <c r="BL6" i="17" s="1"/>
  <c r="BI12" i="22" s="1"/>
  <c r="BL34" i="17"/>
  <c r="BN101" i="17"/>
  <c r="BN32" i="17"/>
  <c r="BN27" i="17"/>
  <c r="BN6" i="17" s="1"/>
  <c r="BK12" i="22" s="1"/>
  <c r="BP101" i="17"/>
  <c r="BP34" i="17"/>
  <c r="BP32" i="17"/>
  <c r="BP27" i="17"/>
  <c r="BP6" i="17" s="1"/>
  <c r="BM12" i="22" s="1"/>
  <c r="BR101" i="17"/>
  <c r="BR32" i="17"/>
  <c r="BR27" i="17"/>
  <c r="BR6" i="17" s="1"/>
  <c r="BO12" i="22" s="1"/>
  <c r="BT101" i="17"/>
  <c r="BT32" i="17"/>
  <c r="BT27" i="17"/>
  <c r="BT6" i="17" s="1"/>
  <c r="BQ12" i="22" s="1"/>
  <c r="BT34" i="17"/>
  <c r="BV101" i="17"/>
  <c r="BV32" i="17"/>
  <c r="BV27" i="17"/>
  <c r="BV6" i="17" s="1"/>
  <c r="BS12" i="22" s="1"/>
  <c r="BX101" i="17"/>
  <c r="BX34" i="17"/>
  <c r="BX32" i="17"/>
  <c r="BX27" i="17"/>
  <c r="BX6" i="17" s="1"/>
  <c r="BU12" i="22" s="1"/>
  <c r="BZ101" i="17"/>
  <c r="BZ32" i="17"/>
  <c r="BZ27" i="17"/>
  <c r="BZ6" i="17" s="1"/>
  <c r="BW12" i="22" s="1"/>
  <c r="CB101" i="17"/>
  <c r="CB32" i="17"/>
  <c r="CB27" i="17"/>
  <c r="CB6" i="17" s="1"/>
  <c r="BY12" i="22" s="1"/>
  <c r="CB34" i="17"/>
  <c r="CD101" i="17"/>
  <c r="CD32" i="17"/>
  <c r="CD27" i="17"/>
  <c r="CD6" i="17" s="1"/>
  <c r="CA12" i="22" s="1"/>
  <c r="CF101" i="17"/>
  <c r="CF34" i="17"/>
  <c r="CF32" i="17"/>
  <c r="CF27" i="17"/>
  <c r="CF6" i="17" s="1"/>
  <c r="CC12" i="22" s="1"/>
  <c r="CH101" i="17"/>
  <c r="CH32" i="17"/>
  <c r="CH27" i="17"/>
  <c r="CH6" i="17" s="1"/>
  <c r="CE12" i="22" s="1"/>
  <c r="CJ101" i="17"/>
  <c r="CJ32" i="17"/>
  <c r="CJ27" i="17"/>
  <c r="CJ6" i="17" s="1"/>
  <c r="CG12" i="22" s="1"/>
  <c r="CJ34" i="17"/>
  <c r="CL101" i="17"/>
  <c r="CL32" i="17"/>
  <c r="CL27" i="17"/>
  <c r="CL6" i="17" s="1"/>
  <c r="CI12" i="22" s="1"/>
  <c r="CN101" i="17"/>
  <c r="CN34" i="17"/>
  <c r="CN32" i="17"/>
  <c r="CN27" i="17"/>
  <c r="CN6" i="17" s="1"/>
  <c r="CP101" i="17"/>
  <c r="CP32" i="17"/>
  <c r="CP27" i="17"/>
  <c r="CP6" i="17" s="1"/>
  <c r="H102" i="17"/>
  <c r="H46" i="17"/>
  <c r="H7" i="17" s="1"/>
  <c r="J102" i="17"/>
  <c r="J46" i="17"/>
  <c r="J7" i="17" s="1"/>
  <c r="L102" i="17"/>
  <c r="L53" i="17"/>
  <c r="L51" i="17"/>
  <c r="L46" i="17"/>
  <c r="L7" i="17" s="1"/>
  <c r="I13" i="22" s="1"/>
  <c r="N102" i="17"/>
  <c r="N51" i="17"/>
  <c r="N46" i="17"/>
  <c r="N7" i="17" s="1"/>
  <c r="K13" i="22" s="1"/>
  <c r="P102" i="17"/>
  <c r="P51" i="17"/>
  <c r="P46" i="17"/>
  <c r="P7" i="17" s="1"/>
  <c r="M13" i="22" s="1"/>
  <c r="P53" i="17"/>
  <c r="R102" i="17"/>
  <c r="R51" i="17"/>
  <c r="R46" i="17"/>
  <c r="R7" i="17" s="1"/>
  <c r="O13" i="22" s="1"/>
  <c r="T102" i="17"/>
  <c r="T53" i="17"/>
  <c r="T51" i="17"/>
  <c r="T46" i="17"/>
  <c r="T7" i="17" s="1"/>
  <c r="Q13" i="22" s="1"/>
  <c r="V102" i="17"/>
  <c r="V51" i="17"/>
  <c r="V46" i="17"/>
  <c r="V7" i="17" s="1"/>
  <c r="S13" i="22" s="1"/>
  <c r="X102" i="17"/>
  <c r="X51" i="17"/>
  <c r="X46" i="17"/>
  <c r="X7" i="17" s="1"/>
  <c r="U13" i="22" s="1"/>
  <c r="X53" i="17"/>
  <c r="Z102" i="17"/>
  <c r="Z51" i="17"/>
  <c r="Z46" i="17"/>
  <c r="Z7" i="17" s="1"/>
  <c r="W13" i="22" s="1"/>
  <c r="AB102" i="17"/>
  <c r="AB53" i="17"/>
  <c r="AB51" i="17"/>
  <c r="AB46" i="17"/>
  <c r="AB7" i="17" s="1"/>
  <c r="Y13" i="22" s="1"/>
  <c r="AD102" i="17"/>
  <c r="AD51" i="17"/>
  <c r="AD46" i="17"/>
  <c r="AD7" i="17" s="1"/>
  <c r="AA13" i="22" s="1"/>
  <c r="AF102" i="17"/>
  <c r="AF51" i="17"/>
  <c r="AF46" i="17"/>
  <c r="AF7" i="17" s="1"/>
  <c r="AC13" i="22" s="1"/>
  <c r="AF53" i="17"/>
  <c r="AH102" i="17"/>
  <c r="AH51" i="17"/>
  <c r="AH46" i="17"/>
  <c r="AH7" i="17" s="1"/>
  <c r="AE13" i="22" s="1"/>
  <c r="AJ102" i="17"/>
  <c r="AJ53" i="17"/>
  <c r="AJ51" i="17"/>
  <c r="AJ46" i="17"/>
  <c r="AJ7" i="17" s="1"/>
  <c r="AG13" i="22" s="1"/>
  <c r="AL102" i="17"/>
  <c r="AL51" i="17"/>
  <c r="AL46" i="17"/>
  <c r="AL7" i="17" s="1"/>
  <c r="AI13" i="22" s="1"/>
  <c r="AN102" i="17"/>
  <c r="AN51" i="17"/>
  <c r="AN46" i="17"/>
  <c r="AN7" i="17" s="1"/>
  <c r="AK13" i="22" s="1"/>
  <c r="AN53" i="17"/>
  <c r="AP102" i="17"/>
  <c r="AP51" i="17"/>
  <c r="AP46" i="17"/>
  <c r="AP7" i="17" s="1"/>
  <c r="AM13" i="22" s="1"/>
  <c r="AR102" i="17"/>
  <c r="AR53" i="17"/>
  <c r="AR51" i="17"/>
  <c r="AR46" i="17"/>
  <c r="AR7" i="17" s="1"/>
  <c r="AO13" i="22" s="1"/>
  <c r="AT102" i="17"/>
  <c r="AT51" i="17"/>
  <c r="AT46" i="17"/>
  <c r="AT7" i="17" s="1"/>
  <c r="AQ13" i="22" s="1"/>
  <c r="AV102" i="17"/>
  <c r="AV51" i="17"/>
  <c r="AV46" i="17"/>
  <c r="AV7" i="17" s="1"/>
  <c r="AS13" i="22" s="1"/>
  <c r="AV53" i="17"/>
  <c r="AX102" i="17"/>
  <c r="AX51" i="17"/>
  <c r="AX46" i="17"/>
  <c r="AX7" i="17" s="1"/>
  <c r="AU13" i="22" s="1"/>
  <c r="AZ102" i="17"/>
  <c r="AZ53" i="17"/>
  <c r="AZ51" i="17"/>
  <c r="AZ46" i="17"/>
  <c r="AZ7" i="17" s="1"/>
  <c r="AW13" i="22" s="1"/>
  <c r="BB102" i="17"/>
  <c r="BB51" i="17"/>
  <c r="BB46" i="17"/>
  <c r="BB7" i="17" s="1"/>
  <c r="AY13" i="22" s="1"/>
  <c r="BD102" i="17"/>
  <c r="BD51" i="17"/>
  <c r="BD46" i="17"/>
  <c r="BD7" i="17" s="1"/>
  <c r="BA13" i="22" s="1"/>
  <c r="BD53" i="17"/>
  <c r="BF102" i="17"/>
  <c r="BF51" i="17"/>
  <c r="BF46" i="17"/>
  <c r="BF7" i="17" s="1"/>
  <c r="BC13" i="22" s="1"/>
  <c r="BH102" i="17"/>
  <c r="BH53" i="17"/>
  <c r="BH51" i="17"/>
  <c r="BH46" i="17"/>
  <c r="BH7" i="17" s="1"/>
  <c r="BE13" i="22" s="1"/>
  <c r="BJ102" i="17"/>
  <c r="BJ51" i="17"/>
  <c r="BJ46" i="17"/>
  <c r="BJ7" i="17" s="1"/>
  <c r="BG13" i="22" s="1"/>
  <c r="BL102" i="17"/>
  <c r="BL51" i="17"/>
  <c r="BL46" i="17"/>
  <c r="BL7" i="17" s="1"/>
  <c r="BI13" i="22" s="1"/>
  <c r="BL53" i="17"/>
  <c r="BN102" i="17"/>
  <c r="BN51" i="17"/>
  <c r="BN46" i="17"/>
  <c r="BN7" i="17" s="1"/>
  <c r="BK13" i="22" s="1"/>
  <c r="BP102" i="17"/>
  <c r="BP53" i="17"/>
  <c r="BP51" i="17"/>
  <c r="BP46" i="17"/>
  <c r="BP7" i="17" s="1"/>
  <c r="BM13" i="22" s="1"/>
  <c r="BR102" i="17"/>
  <c r="BR51" i="17"/>
  <c r="BR46" i="17"/>
  <c r="BR7" i="17" s="1"/>
  <c r="BO13" i="22" s="1"/>
  <c r="BT102" i="17"/>
  <c r="BT51" i="17"/>
  <c r="BT46" i="17"/>
  <c r="BT7" i="17" s="1"/>
  <c r="BQ13" i="22" s="1"/>
  <c r="BT53" i="17"/>
  <c r="BV102" i="17"/>
  <c r="BV51" i="17"/>
  <c r="BV46" i="17"/>
  <c r="BV7" i="17" s="1"/>
  <c r="BS13" i="22" s="1"/>
  <c r="BX102" i="17"/>
  <c r="BX53" i="17"/>
  <c r="BX51" i="17"/>
  <c r="BX46" i="17"/>
  <c r="BX7" i="17" s="1"/>
  <c r="BU13" i="22" s="1"/>
  <c r="BZ102" i="17"/>
  <c r="BZ51" i="17"/>
  <c r="BZ46" i="17"/>
  <c r="BZ7" i="17" s="1"/>
  <c r="BW13" i="22" s="1"/>
  <c r="CB102" i="17"/>
  <c r="CB51" i="17"/>
  <c r="CB46" i="17"/>
  <c r="CB7" i="17" s="1"/>
  <c r="BY13" i="22" s="1"/>
  <c r="CB53" i="17"/>
  <c r="CD102" i="17"/>
  <c r="CD51" i="17"/>
  <c r="CD46" i="17"/>
  <c r="CD7" i="17" s="1"/>
  <c r="CA13" i="22" s="1"/>
  <c r="CF102" i="17"/>
  <c r="CF53" i="17"/>
  <c r="CF51" i="17"/>
  <c r="CF46" i="17"/>
  <c r="CF7" i="17" s="1"/>
  <c r="CC13" i="22" s="1"/>
  <c r="CH102" i="17"/>
  <c r="CH51" i="17"/>
  <c r="CH46" i="17"/>
  <c r="CH7" i="17" s="1"/>
  <c r="CE13" i="22" s="1"/>
  <c r="CJ102" i="17"/>
  <c r="CJ51" i="17"/>
  <c r="CJ46" i="17"/>
  <c r="CJ7" i="17" s="1"/>
  <c r="CG13" i="22" s="1"/>
  <c r="CJ53" i="17"/>
  <c r="CL102" i="17"/>
  <c r="CL51" i="17"/>
  <c r="CL46" i="17"/>
  <c r="CL7" i="17" s="1"/>
  <c r="CI13" i="22" s="1"/>
  <c r="CN102" i="17"/>
  <c r="CN53" i="17"/>
  <c r="CN51" i="17"/>
  <c r="CN46" i="17"/>
  <c r="CN7" i="17" s="1"/>
  <c r="CP102" i="17"/>
  <c r="CP51" i="17"/>
  <c r="CP46" i="17"/>
  <c r="CP7" i="17" s="1"/>
  <c r="BV76" i="17"/>
  <c r="BX76" i="17"/>
  <c r="BZ76" i="17"/>
  <c r="CA60" i="17"/>
  <c r="CD76" i="17"/>
  <c r="CE60" i="17"/>
  <c r="CI60" i="17"/>
  <c r="AT79" i="17"/>
  <c r="AV79" i="17"/>
  <c r="AX79" i="17"/>
  <c r="AZ79" i="17"/>
  <c r="BB79" i="17"/>
  <c r="BD79" i="17"/>
  <c r="BF79" i="17"/>
  <c r="BH79" i="17"/>
  <c r="BJ79" i="17"/>
  <c r="BL79" i="17"/>
  <c r="BN79" i="17"/>
  <c r="BP79" i="17"/>
  <c r="BR79" i="17"/>
  <c r="BT79" i="17"/>
  <c r="BV79" i="17"/>
  <c r="BX79" i="17"/>
  <c r="BZ79" i="17"/>
  <c r="CA63" i="17"/>
  <c r="CD79" i="17"/>
  <c r="CE63" i="17"/>
  <c r="CI63" i="17"/>
  <c r="G51" i="12"/>
  <c r="J24" i="17"/>
  <c r="I51" i="12"/>
  <c r="I10" i="12"/>
  <c r="R24" i="17"/>
  <c r="K51" i="12"/>
  <c r="K10" i="12"/>
  <c r="Z24" i="17"/>
  <c r="M51" i="12"/>
  <c r="M10" i="12"/>
  <c r="AH24" i="17"/>
  <c r="O51" i="12"/>
  <c r="O10" i="12"/>
  <c r="AP24" i="17"/>
  <c r="Q51" i="12"/>
  <c r="Q10" i="12"/>
  <c r="AX24" i="17"/>
  <c r="S51" i="12"/>
  <c r="S10" i="12"/>
  <c r="BF24" i="17"/>
  <c r="U51" i="12"/>
  <c r="U10" i="12"/>
  <c r="BN24" i="17"/>
  <c r="W51" i="12"/>
  <c r="W10" i="12"/>
  <c r="BV24" i="17"/>
  <c r="Y51" i="12"/>
  <c r="Y10" i="12"/>
  <c r="CD24" i="17"/>
  <c r="AA51" i="12"/>
  <c r="AA10" i="12"/>
  <c r="CL24" i="17"/>
  <c r="N43" i="17"/>
  <c r="H52" i="12"/>
  <c r="H16" i="12"/>
  <c r="V43" i="17"/>
  <c r="J52" i="12"/>
  <c r="J16" i="12"/>
  <c r="AD43" i="17"/>
  <c r="L52" i="12"/>
  <c r="L16" i="12"/>
  <c r="AL43" i="17"/>
  <c r="N52" i="12"/>
  <c r="N16" i="12"/>
  <c r="AT43" i="17"/>
  <c r="P52" i="12"/>
  <c r="P16" i="12"/>
  <c r="BB43" i="17"/>
  <c r="R52" i="12"/>
  <c r="R16" i="12"/>
  <c r="BJ43" i="17"/>
  <c r="T52" i="12"/>
  <c r="T16" i="12"/>
  <c r="BR43" i="17"/>
  <c r="V52" i="12"/>
  <c r="V16" i="12"/>
  <c r="BZ43" i="17"/>
  <c r="X52" i="12"/>
  <c r="X16" i="12"/>
  <c r="CH43" i="17"/>
  <c r="Z52" i="12"/>
  <c r="Z16" i="12"/>
  <c r="CP43" i="17"/>
  <c r="CT48" i="17" s="1"/>
  <c r="AB52" i="12"/>
  <c r="AB16" i="12"/>
  <c r="I35" i="12"/>
  <c r="Q57" i="11" s="1"/>
  <c r="K35" i="12"/>
  <c r="AA57" i="11" s="1"/>
  <c r="M35" i="12"/>
  <c r="AK57" i="11" s="1"/>
  <c r="O35" i="12"/>
  <c r="AU57" i="11" s="1"/>
  <c r="Q35" i="12"/>
  <c r="BE57" i="11" s="1"/>
  <c r="S35" i="12"/>
  <c r="BO57" i="11" s="1"/>
  <c r="U35" i="12"/>
  <c r="BY57" i="11" s="1"/>
  <c r="W35" i="12"/>
  <c r="CI57" i="11" s="1"/>
  <c r="Y35" i="12"/>
  <c r="CS57" i="11" s="1"/>
  <c r="AA35" i="12"/>
  <c r="DC57" i="11" s="1"/>
  <c r="H36" i="12"/>
  <c r="L58" i="11" s="1"/>
  <c r="J36" i="12"/>
  <c r="V58" i="11" s="1"/>
  <c r="L36" i="12"/>
  <c r="AF58" i="11" s="1"/>
  <c r="N36" i="12"/>
  <c r="AP58" i="11" s="1"/>
  <c r="P36" i="12"/>
  <c r="AZ58" i="11" s="1"/>
  <c r="R36" i="12"/>
  <c r="BJ58" i="11" s="1"/>
  <c r="T36" i="12"/>
  <c r="BT58" i="11" s="1"/>
  <c r="V36" i="12"/>
  <c r="CD58" i="11" s="1"/>
  <c r="X36" i="12"/>
  <c r="CN58" i="11" s="1"/>
  <c r="Z36" i="12"/>
  <c r="CX58" i="11" s="1"/>
  <c r="AD22" i="12"/>
  <c r="AB36" i="12"/>
  <c r="DH58" i="11" s="1"/>
  <c r="R65" i="17"/>
  <c r="I37" i="12"/>
  <c r="G17" i="24" s="1"/>
  <c r="Z65" i="17"/>
  <c r="K37" i="12"/>
  <c r="I17" i="24" s="1"/>
  <c r="AH65" i="17"/>
  <c r="M37" i="12"/>
  <c r="K17" i="24" s="1"/>
  <c r="AP65" i="17"/>
  <c r="O37" i="12"/>
  <c r="M17" i="24" s="1"/>
  <c r="AX65" i="17"/>
  <c r="Q37" i="12"/>
  <c r="O17" i="24" s="1"/>
  <c r="BF65" i="17"/>
  <c r="S37" i="12"/>
  <c r="Q17" i="24" s="1"/>
  <c r="BN65" i="17"/>
  <c r="U37" i="12"/>
  <c r="S17" i="24" s="1"/>
  <c r="BV65" i="17"/>
  <c r="W37" i="12"/>
  <c r="U17" i="24" s="1"/>
  <c r="CD65" i="17"/>
  <c r="Y37" i="12"/>
  <c r="W17" i="24" s="1"/>
  <c r="CL65" i="17"/>
  <c r="AA37" i="12"/>
  <c r="Y17" i="24" s="1"/>
  <c r="N62" i="17"/>
  <c r="H40" i="12"/>
  <c r="L62" i="11" s="1"/>
  <c r="V62" i="17"/>
  <c r="J40" i="12"/>
  <c r="V62" i="11" s="1"/>
  <c r="AD62" i="17"/>
  <c r="L40" i="12"/>
  <c r="AF62" i="11" s="1"/>
  <c r="AL62" i="17"/>
  <c r="N40" i="12"/>
  <c r="AP62" i="11" s="1"/>
  <c r="AT62" i="17"/>
  <c r="P40" i="12"/>
  <c r="AZ62" i="11" s="1"/>
  <c r="BB62" i="17"/>
  <c r="R40" i="12"/>
  <c r="BJ62" i="11" s="1"/>
  <c r="BJ62" i="17"/>
  <c r="T40" i="12"/>
  <c r="BT62" i="11" s="1"/>
  <c r="BR62" i="17"/>
  <c r="V40" i="12"/>
  <c r="CD62" i="11" s="1"/>
  <c r="BZ62" i="17"/>
  <c r="X40" i="12"/>
  <c r="CN62" i="11" s="1"/>
  <c r="CH62" i="17"/>
  <c r="Z40" i="12"/>
  <c r="CX62" i="11" s="1"/>
  <c r="CP62" i="17"/>
  <c r="AB40" i="12"/>
  <c r="DH62" i="11" s="1"/>
  <c r="R68" i="17"/>
  <c r="I41" i="12"/>
  <c r="Q63" i="11" s="1"/>
  <c r="Z68" i="17"/>
  <c r="K41" i="12"/>
  <c r="AA63" i="11" s="1"/>
  <c r="AH68" i="17"/>
  <c r="M41" i="12"/>
  <c r="AK63" i="11" s="1"/>
  <c r="AP68" i="17"/>
  <c r="O41" i="12"/>
  <c r="AU63" i="11" s="1"/>
  <c r="AX68" i="17"/>
  <c r="Q41" i="12"/>
  <c r="BE63" i="11" s="1"/>
  <c r="BF68" i="17"/>
  <c r="S41" i="12"/>
  <c r="BO63" i="11" s="1"/>
  <c r="BN68" i="17"/>
  <c r="U41" i="12"/>
  <c r="BY63" i="11" s="1"/>
  <c r="BV68" i="17"/>
  <c r="W41" i="12"/>
  <c r="CI63" i="11" s="1"/>
  <c r="CD68" i="17"/>
  <c r="Y41" i="12"/>
  <c r="CS63" i="11" s="1"/>
  <c r="CL68" i="17"/>
  <c r="AA41" i="12"/>
  <c r="DC63" i="11" s="1"/>
  <c r="N73" i="17"/>
  <c r="H53" i="12"/>
  <c r="H42" i="12"/>
  <c r="V73" i="17"/>
  <c r="J53" i="12"/>
  <c r="J42" i="12"/>
  <c r="AD73" i="17"/>
  <c r="L53" i="12"/>
  <c r="L42" i="12"/>
  <c r="AL73" i="17"/>
  <c r="N53" i="12"/>
  <c r="N42" i="12"/>
  <c r="AT73" i="17"/>
  <c r="P53" i="12"/>
  <c r="P42" i="12"/>
  <c r="BB73" i="17"/>
  <c r="R53" i="12"/>
  <c r="R42" i="12"/>
  <c r="BJ73" i="17"/>
  <c r="T53" i="12"/>
  <c r="T42" i="12"/>
  <c r="BR73" i="17"/>
  <c r="V53" i="12"/>
  <c r="V42" i="12"/>
  <c r="BZ73" i="17"/>
  <c r="X53" i="12"/>
  <c r="X42" i="12"/>
  <c r="CH73" i="17"/>
  <c r="Z53" i="12"/>
  <c r="Z42" i="12"/>
  <c r="CP73" i="17"/>
  <c r="CT89" i="17" s="1"/>
  <c r="AB53" i="12"/>
  <c r="AB42" i="12"/>
  <c r="J126" i="17"/>
  <c r="G71" i="12"/>
  <c r="R126" i="17"/>
  <c r="I71" i="12"/>
  <c r="I67" i="12"/>
  <c r="Z126" i="17"/>
  <c r="K71" i="12"/>
  <c r="K67" i="12"/>
  <c r="AH126" i="17"/>
  <c r="M71" i="12"/>
  <c r="M67" i="12"/>
  <c r="AP126" i="17"/>
  <c r="O71" i="12"/>
  <c r="O67" i="12"/>
  <c r="AX126" i="17"/>
  <c r="Q71" i="12"/>
  <c r="Q67" i="12"/>
  <c r="BF126" i="17"/>
  <c r="S71" i="12"/>
  <c r="S67" i="12"/>
  <c r="BN126" i="17"/>
  <c r="U71" i="12"/>
  <c r="U67" i="12"/>
  <c r="BV126" i="17"/>
  <c r="W71" i="12"/>
  <c r="W67" i="12"/>
  <c r="CD126" i="17"/>
  <c r="Y71" i="12"/>
  <c r="Y67" i="12"/>
  <c r="CL126" i="17"/>
  <c r="AA71" i="12"/>
  <c r="AA67" i="12"/>
  <c r="N107" i="17"/>
  <c r="H70" i="12"/>
  <c r="H61" i="12"/>
  <c r="L10" i="11" s="1"/>
  <c r="V107" i="17"/>
  <c r="J70" i="12"/>
  <c r="J61" i="12"/>
  <c r="V10" i="11" s="1"/>
  <c r="AD107" i="17"/>
  <c r="L70" i="12"/>
  <c r="L61" i="12"/>
  <c r="AF10" i="11" s="1"/>
  <c r="AL107" i="17"/>
  <c r="N70" i="12"/>
  <c r="N61" i="12"/>
  <c r="AP10" i="11" s="1"/>
  <c r="AT107" i="17"/>
  <c r="P70" i="12"/>
  <c r="P61" i="12"/>
  <c r="AZ10" i="11" s="1"/>
  <c r="BB107" i="17"/>
  <c r="R70" i="12"/>
  <c r="R61" i="12"/>
  <c r="BJ10" i="11" s="1"/>
  <c r="BJ107" i="17"/>
  <c r="T70" i="12"/>
  <c r="T61" i="12"/>
  <c r="BT10" i="11" s="1"/>
  <c r="BR107" i="17"/>
  <c r="V70" i="12"/>
  <c r="V61" i="12"/>
  <c r="CD10" i="11" s="1"/>
  <c r="BZ107" i="17"/>
  <c r="X70" i="12"/>
  <c r="X61" i="12"/>
  <c r="CN10" i="11" s="1"/>
  <c r="CH107" i="17"/>
  <c r="Z70" i="12"/>
  <c r="Z61" i="12"/>
  <c r="CX10" i="11" s="1"/>
  <c r="CP107" i="17"/>
  <c r="CT112" i="17" s="1"/>
  <c r="AB70" i="12"/>
  <c r="AB61" i="12"/>
  <c r="DH10" i="11" s="1"/>
  <c r="J146" i="17"/>
  <c r="G92" i="12"/>
  <c r="R146" i="17"/>
  <c r="I92" i="12"/>
  <c r="I78" i="12"/>
  <c r="Q12" i="11" s="1"/>
  <c r="Z146" i="17"/>
  <c r="K92" i="12"/>
  <c r="K78" i="12"/>
  <c r="AA12" i="11" s="1"/>
  <c r="AH146" i="17"/>
  <c r="M92" i="12"/>
  <c r="M78" i="12"/>
  <c r="AK12" i="11" s="1"/>
  <c r="AP146" i="17"/>
  <c r="O92" i="12"/>
  <c r="O78" i="12"/>
  <c r="AU12" i="11" s="1"/>
  <c r="AX146" i="17"/>
  <c r="Q92" i="12"/>
  <c r="Q78" i="12"/>
  <c r="BE12" i="11" s="1"/>
  <c r="BF146" i="17"/>
  <c r="S92" i="12"/>
  <c r="S78" i="12"/>
  <c r="BO12" i="11" s="1"/>
  <c r="BN146" i="17"/>
  <c r="U92" i="12"/>
  <c r="U78" i="12"/>
  <c r="BY12" i="11" s="1"/>
  <c r="BV146" i="17"/>
  <c r="W92" i="12"/>
  <c r="W78" i="12"/>
  <c r="CI12" i="11" s="1"/>
  <c r="CD146" i="17"/>
  <c r="Y92" i="12"/>
  <c r="Y78" i="12"/>
  <c r="CS12" i="11" s="1"/>
  <c r="CL146" i="17"/>
  <c r="AA92" i="12"/>
  <c r="AA78" i="12"/>
  <c r="DC12" i="11" s="1"/>
  <c r="N203" i="17"/>
  <c r="H100" i="12"/>
  <c r="L14" i="11" s="1"/>
  <c r="H122" i="12"/>
  <c r="V203" i="17"/>
  <c r="J100" i="12"/>
  <c r="V14" i="11" s="1"/>
  <c r="J122" i="12"/>
  <c r="AD203" i="17"/>
  <c r="L100" i="12"/>
  <c r="AF14" i="11" s="1"/>
  <c r="L122" i="12"/>
  <c r="AL203" i="17"/>
  <c r="N100" i="12"/>
  <c r="AP14" i="11" s="1"/>
  <c r="N122" i="12"/>
  <c r="AT203" i="17"/>
  <c r="P100" i="12"/>
  <c r="AZ14" i="11" s="1"/>
  <c r="P122" i="12"/>
  <c r="BB203" i="17"/>
  <c r="R100" i="12"/>
  <c r="BJ14" i="11" s="1"/>
  <c r="R122" i="12"/>
  <c r="BJ203" i="17"/>
  <c r="T100" i="12"/>
  <c r="BT14" i="11" s="1"/>
  <c r="T122" i="12"/>
  <c r="BR203" i="17"/>
  <c r="V100" i="12"/>
  <c r="CD14" i="11" s="1"/>
  <c r="V122" i="12"/>
  <c r="BZ203" i="17"/>
  <c r="X100" i="12"/>
  <c r="CN14" i="11" s="1"/>
  <c r="X122" i="12"/>
  <c r="CH203" i="17"/>
  <c r="Z100" i="12"/>
  <c r="CX14" i="11" s="1"/>
  <c r="Z122" i="12"/>
  <c r="CP203" i="17"/>
  <c r="CT208" i="17" s="1"/>
  <c r="AB100" i="12"/>
  <c r="DH14" i="11" s="1"/>
  <c r="AB122" i="12"/>
  <c r="AC128" i="12" s="1"/>
  <c r="J165" i="17"/>
  <c r="G114" i="12"/>
  <c r="R165" i="17"/>
  <c r="I114" i="12"/>
  <c r="I88" i="12"/>
  <c r="Q87" i="11" s="1"/>
  <c r="Z165" i="17"/>
  <c r="K114" i="12"/>
  <c r="K88" i="12"/>
  <c r="AA87" i="11" s="1"/>
  <c r="AH165" i="17"/>
  <c r="M114" i="12"/>
  <c r="M88" i="12"/>
  <c r="AK87" i="11" s="1"/>
  <c r="AP165" i="17"/>
  <c r="O114" i="12"/>
  <c r="O88" i="12"/>
  <c r="AU87" i="11" s="1"/>
  <c r="AX165" i="17"/>
  <c r="Q114" i="12"/>
  <c r="Q88" i="12"/>
  <c r="BE87" i="11" s="1"/>
  <c r="BF165" i="17"/>
  <c r="S114" i="12"/>
  <c r="S88" i="12"/>
  <c r="BO87" i="11" s="1"/>
  <c r="BN165" i="17"/>
  <c r="U114" i="12"/>
  <c r="U88" i="12"/>
  <c r="BY87" i="11" s="1"/>
  <c r="BV165" i="17"/>
  <c r="W114" i="12"/>
  <c r="W88" i="12"/>
  <c r="CI87" i="11" s="1"/>
  <c r="CD165" i="17"/>
  <c r="Y114" i="12"/>
  <c r="Y88" i="12"/>
  <c r="CS87" i="11" s="1"/>
  <c r="CL165" i="17"/>
  <c r="AA114" i="12"/>
  <c r="AA88" i="12"/>
  <c r="DC87" i="11" s="1"/>
  <c r="N168" i="17"/>
  <c r="H87" i="12"/>
  <c r="L86" i="11" s="1"/>
  <c r="V168" i="17"/>
  <c r="J87" i="12"/>
  <c r="V86" i="11" s="1"/>
  <c r="AD168" i="17"/>
  <c r="L87" i="12"/>
  <c r="AF86" i="11" s="1"/>
  <c r="AL168" i="17"/>
  <c r="N87" i="12"/>
  <c r="AP86" i="11" s="1"/>
  <c r="AT168" i="17"/>
  <c r="P87" i="12"/>
  <c r="AZ86" i="11" s="1"/>
  <c r="BB168" i="17"/>
  <c r="R87" i="12"/>
  <c r="BJ86" i="11" s="1"/>
  <c r="BJ168" i="17"/>
  <c r="T87" i="12"/>
  <c r="BT86" i="11" s="1"/>
  <c r="BR168" i="17"/>
  <c r="V87" i="12"/>
  <c r="CD86" i="11" s="1"/>
  <c r="BZ168" i="17"/>
  <c r="X87" i="12"/>
  <c r="CN86" i="11" s="1"/>
  <c r="CH168" i="17"/>
  <c r="Z87" i="12"/>
  <c r="CX86" i="11" s="1"/>
  <c r="CP168" i="17"/>
  <c r="AB87" i="12"/>
  <c r="DH86" i="11" s="1"/>
  <c r="J173" i="17"/>
  <c r="G115" i="12"/>
  <c r="G93" i="12"/>
  <c r="R173" i="17"/>
  <c r="I115" i="12"/>
  <c r="I93" i="12"/>
  <c r="I89" i="12"/>
  <c r="Z173" i="17"/>
  <c r="K115" i="12"/>
  <c r="K93" i="12"/>
  <c r="K89" i="12"/>
  <c r="AH173" i="17"/>
  <c r="M115" i="12"/>
  <c r="M93" i="12"/>
  <c r="M89" i="12"/>
  <c r="AP173" i="17"/>
  <c r="O115" i="12"/>
  <c r="O93" i="12"/>
  <c r="O89" i="12"/>
  <c r="AX173" i="17"/>
  <c r="Q115" i="12"/>
  <c r="Q93" i="12"/>
  <c r="Q89" i="12"/>
  <c r="BF173" i="17"/>
  <c r="S115" i="12"/>
  <c r="S93" i="12"/>
  <c r="S89" i="12"/>
  <c r="BN173" i="17"/>
  <c r="U115" i="12"/>
  <c r="U93" i="12"/>
  <c r="U89" i="12"/>
  <c r="BV173" i="17"/>
  <c r="W115" i="12"/>
  <c r="W93" i="12"/>
  <c r="W89" i="12"/>
  <c r="CD173" i="17"/>
  <c r="Y115" i="12"/>
  <c r="Y93" i="12"/>
  <c r="Y89" i="12"/>
  <c r="CL173" i="17"/>
  <c r="AA115" i="12"/>
  <c r="AA93" i="12"/>
  <c r="AA89" i="12"/>
  <c r="N222" i="17"/>
  <c r="H110" i="12"/>
  <c r="L102" i="11" s="1"/>
  <c r="V222" i="17"/>
  <c r="J110" i="12"/>
  <c r="V102" i="11" s="1"/>
  <c r="AD222" i="17"/>
  <c r="L110" i="12"/>
  <c r="AF102" i="11" s="1"/>
  <c r="AL222" i="17"/>
  <c r="N110" i="12"/>
  <c r="AP102" i="11" s="1"/>
  <c r="AT222" i="17"/>
  <c r="P110" i="12"/>
  <c r="AZ102" i="11" s="1"/>
  <c r="BB222" i="17"/>
  <c r="R110" i="12"/>
  <c r="BJ102" i="11" s="1"/>
  <c r="BJ222" i="17"/>
  <c r="T110" i="12"/>
  <c r="BT102" i="11" s="1"/>
  <c r="BR222" i="17"/>
  <c r="V110" i="12"/>
  <c r="CD102" i="11" s="1"/>
  <c r="BZ222" i="17"/>
  <c r="X110" i="12"/>
  <c r="CN102" i="11" s="1"/>
  <c r="CH222" i="17"/>
  <c r="Z110" i="12"/>
  <c r="CX102" i="11" s="1"/>
  <c r="CP222" i="17"/>
  <c r="AB110" i="12"/>
  <c r="DH102" i="11" s="1"/>
  <c r="R225" i="17"/>
  <c r="I109" i="12"/>
  <c r="Q101" i="11" s="1"/>
  <c r="Z225" i="17"/>
  <c r="K109" i="12"/>
  <c r="AA101" i="11" s="1"/>
  <c r="AH225" i="17"/>
  <c r="M109" i="12"/>
  <c r="AK101" i="11" s="1"/>
  <c r="AP225" i="17"/>
  <c r="O109" i="12"/>
  <c r="AU101" i="11" s="1"/>
  <c r="AX225" i="17"/>
  <c r="Q109" i="12"/>
  <c r="BE101" i="11" s="1"/>
  <c r="BF225" i="17"/>
  <c r="S109" i="12"/>
  <c r="BO101" i="11" s="1"/>
  <c r="BN225" i="17"/>
  <c r="U109" i="12"/>
  <c r="BY101" i="11" s="1"/>
  <c r="BV225" i="17"/>
  <c r="W109" i="12"/>
  <c r="CI101" i="11" s="1"/>
  <c r="CD225" i="17"/>
  <c r="Y109" i="12"/>
  <c r="CS101" i="11" s="1"/>
  <c r="CL225" i="17"/>
  <c r="AA109" i="12"/>
  <c r="DC101" i="11" s="1"/>
  <c r="N230" i="17"/>
  <c r="H123" i="12"/>
  <c r="H111" i="12"/>
  <c r="V230" i="17"/>
  <c r="J123" i="12"/>
  <c r="J111" i="12"/>
  <c r="AD230" i="17"/>
  <c r="L123" i="12"/>
  <c r="L111" i="12"/>
  <c r="AL230" i="17"/>
  <c r="N123" i="12"/>
  <c r="N111" i="12"/>
  <c r="AT230" i="17"/>
  <c r="P123" i="12"/>
  <c r="P111" i="12"/>
  <c r="BB230" i="17"/>
  <c r="R123" i="12"/>
  <c r="R111" i="12"/>
  <c r="BJ230" i="17"/>
  <c r="T123" i="12"/>
  <c r="T111" i="12"/>
  <c r="BR230" i="17"/>
  <c r="V123" i="12"/>
  <c r="V111" i="12"/>
  <c r="BZ230" i="17"/>
  <c r="X123" i="12"/>
  <c r="X111" i="12"/>
  <c r="CH230" i="17"/>
  <c r="Z123" i="12"/>
  <c r="Z111" i="12"/>
  <c r="CP230" i="17"/>
  <c r="CT243" i="17" s="1"/>
  <c r="AB123" i="12"/>
  <c r="AB111" i="12"/>
  <c r="I242" i="8"/>
  <c r="I162" i="12"/>
  <c r="Q119" i="11" s="1"/>
  <c r="K242" i="8"/>
  <c r="K162" i="12"/>
  <c r="AA119" i="11" s="1"/>
  <c r="M242" i="8"/>
  <c r="M162" i="12"/>
  <c r="AK119" i="11" s="1"/>
  <c r="O242" i="8"/>
  <c r="O162" i="12"/>
  <c r="AU119" i="11" s="1"/>
  <c r="Q242" i="8"/>
  <c r="Q162" i="12"/>
  <c r="BE119" i="11" s="1"/>
  <c r="S242" i="8"/>
  <c r="S162" i="12"/>
  <c r="BO119" i="11" s="1"/>
  <c r="U242" i="8"/>
  <c r="U162" i="12"/>
  <c r="BY119" i="11" s="1"/>
  <c r="W242" i="8"/>
  <c r="W162" i="12"/>
  <c r="CI119" i="11" s="1"/>
  <c r="Y242" i="8"/>
  <c r="Y162" i="12"/>
  <c r="CS119" i="11" s="1"/>
  <c r="AA242" i="8"/>
  <c r="AA162" i="12"/>
  <c r="DC119" i="11" s="1"/>
  <c r="N260" i="17"/>
  <c r="H131" i="12"/>
  <c r="F6" i="24"/>
  <c r="V260" i="17"/>
  <c r="J131" i="12"/>
  <c r="H6" i="24"/>
  <c r="H7" i="24" s="1"/>
  <c r="AD260" i="17"/>
  <c r="L131" i="12"/>
  <c r="J6" i="24"/>
  <c r="J7" i="24" s="1"/>
  <c r="AL260" i="17"/>
  <c r="N131" i="12"/>
  <c r="L6" i="24"/>
  <c r="L7" i="24" s="1"/>
  <c r="AT260" i="17"/>
  <c r="P131" i="12"/>
  <c r="N6" i="24"/>
  <c r="N7" i="24" s="1"/>
  <c r="BB260" i="17"/>
  <c r="R131" i="12"/>
  <c r="P6" i="24"/>
  <c r="P7" i="24" s="1"/>
  <c r="BJ260" i="17"/>
  <c r="T131" i="12"/>
  <c r="R6" i="24"/>
  <c r="R7" i="24" s="1"/>
  <c r="BR260" i="17"/>
  <c r="V131" i="12"/>
  <c r="T6" i="24"/>
  <c r="T7" i="24" s="1"/>
  <c r="BZ260" i="17"/>
  <c r="X131" i="12"/>
  <c r="V6" i="24"/>
  <c r="V7" i="24" s="1"/>
  <c r="CH260" i="17"/>
  <c r="Z131" i="12"/>
  <c r="X6" i="24"/>
  <c r="X7" i="24" s="1"/>
  <c r="CP260" i="17"/>
  <c r="CT265" i="17" s="1"/>
  <c r="AB131" i="12"/>
  <c r="Z6" i="24"/>
  <c r="F36" i="6"/>
  <c r="G361" i="12"/>
  <c r="J35" i="11"/>
  <c r="J7" i="11"/>
  <c r="G388" i="12"/>
  <c r="G247" i="12"/>
  <c r="I66" i="21"/>
  <c r="I27" i="21"/>
  <c r="R36" i="6"/>
  <c r="I361" i="12"/>
  <c r="I388" i="12"/>
  <c r="I247" i="12"/>
  <c r="I188" i="12"/>
  <c r="I23" i="7" s="1"/>
  <c r="T35" i="11"/>
  <c r="T7" i="11"/>
  <c r="K66" i="21"/>
  <c r="K27" i="21"/>
  <c r="AD36" i="6"/>
  <c r="K361" i="12"/>
  <c r="K388" i="12"/>
  <c r="K247" i="12"/>
  <c r="K188" i="12"/>
  <c r="K23" i="7" s="1"/>
  <c r="AD35" i="11"/>
  <c r="AD7" i="11"/>
  <c r="M66" i="21"/>
  <c r="M27" i="21"/>
  <c r="AP36" i="6"/>
  <c r="M361" i="12"/>
  <c r="M388" i="12"/>
  <c r="M247" i="12"/>
  <c r="M188" i="12"/>
  <c r="M23" i="7" s="1"/>
  <c r="AN35" i="11"/>
  <c r="AN7" i="11"/>
  <c r="O66" i="21"/>
  <c r="O27" i="21"/>
  <c r="BB36" i="6"/>
  <c r="O361" i="12"/>
  <c r="O388" i="12"/>
  <c r="O247" i="12"/>
  <c r="O188" i="12"/>
  <c r="O23" i="7" s="1"/>
  <c r="AX35" i="11"/>
  <c r="AX7" i="11"/>
  <c r="Q66" i="21"/>
  <c r="Q27" i="21"/>
  <c r="BN36" i="6"/>
  <c r="Q361" i="12"/>
  <c r="Q388" i="12"/>
  <c r="Q247" i="12"/>
  <c r="Q188" i="12"/>
  <c r="Q23" i="7" s="1"/>
  <c r="BH35" i="11"/>
  <c r="BH7" i="11"/>
  <c r="S66" i="21"/>
  <c r="S27" i="21"/>
  <c r="BZ36" i="6"/>
  <c r="S361" i="12"/>
  <c r="S388" i="12"/>
  <c r="S247" i="12"/>
  <c r="S188" i="12"/>
  <c r="S23" i="7" s="1"/>
  <c r="BR35" i="11"/>
  <c r="BR7" i="11"/>
  <c r="U66" i="21"/>
  <c r="U27" i="21"/>
  <c r="CL36" i="6"/>
  <c r="U361" i="12"/>
  <c r="U388" i="12"/>
  <c r="U247" i="12"/>
  <c r="U188" i="12"/>
  <c r="U23" i="7" s="1"/>
  <c r="CB35" i="11"/>
  <c r="CB7" i="11"/>
  <c r="W66" i="21"/>
  <c r="W27" i="21"/>
  <c r="CX36" i="6"/>
  <c r="W361" i="12"/>
  <c r="W388" i="12"/>
  <c r="W247" i="12"/>
  <c r="W188" i="12"/>
  <c r="W23" i="7" s="1"/>
  <c r="CL35" i="11"/>
  <c r="CL7" i="11"/>
  <c r="Y66" i="21"/>
  <c r="Y27" i="21"/>
  <c r="DJ36" i="6"/>
  <c r="Y361" i="12"/>
  <c r="Y388" i="12"/>
  <c r="Y247" i="12"/>
  <c r="Y188" i="12"/>
  <c r="Y23" i="7" s="1"/>
  <c r="CV35" i="11"/>
  <c r="CV7" i="11"/>
  <c r="AA66" i="21"/>
  <c r="AA27" i="21"/>
  <c r="D195" i="2"/>
  <c r="D136" i="2"/>
  <c r="DV36" i="6"/>
  <c r="AA361" i="12"/>
  <c r="AA388" i="12"/>
  <c r="AA247" i="12"/>
  <c r="AA188" i="12"/>
  <c r="AA23" i="7" s="1"/>
  <c r="DF35" i="11"/>
  <c r="DF7" i="11"/>
  <c r="H86" i="21"/>
  <c r="N37" i="6"/>
  <c r="H197" i="12"/>
  <c r="H433" i="7" s="1"/>
  <c r="O47" i="11"/>
  <c r="J86" i="21"/>
  <c r="Z37" i="6"/>
  <c r="J197" i="12"/>
  <c r="J433" i="7" s="1"/>
  <c r="Y47" i="11"/>
  <c r="L86" i="21"/>
  <c r="AL37" i="6"/>
  <c r="L197" i="12"/>
  <c r="L433" i="7" s="1"/>
  <c r="AI47" i="11"/>
  <c r="N86" i="21"/>
  <c r="AX37" i="6"/>
  <c r="N197" i="12"/>
  <c r="N433" i="7" s="1"/>
  <c r="AS47" i="11"/>
  <c r="P86" i="21"/>
  <c r="BJ37" i="6"/>
  <c r="P197" i="12"/>
  <c r="P433" i="7" s="1"/>
  <c r="BC47" i="11"/>
  <c r="R86" i="21"/>
  <c r="BV37" i="6"/>
  <c r="R197" i="12"/>
  <c r="R433" i="7" s="1"/>
  <c r="BM47" i="11"/>
  <c r="T86" i="21"/>
  <c r="CH37" i="6"/>
  <c r="T197" i="12"/>
  <c r="T433" i="7" s="1"/>
  <c r="BW47" i="11"/>
  <c r="V86" i="21"/>
  <c r="CT37" i="6"/>
  <c r="V197" i="12"/>
  <c r="V433" i="7" s="1"/>
  <c r="CG47" i="11"/>
  <c r="X86" i="21"/>
  <c r="DF37" i="6"/>
  <c r="X197" i="12"/>
  <c r="X433" i="7" s="1"/>
  <c r="CQ47" i="11"/>
  <c r="Z86" i="21"/>
  <c r="C219" i="2"/>
  <c r="AT219" i="2" s="1"/>
  <c r="DR37" i="6"/>
  <c r="Z197" i="12"/>
  <c r="Z433" i="7" s="1"/>
  <c r="DA47" i="11"/>
  <c r="AB86" i="21"/>
  <c r="ED37" i="6"/>
  <c r="AB197" i="12"/>
  <c r="DK47" i="11"/>
  <c r="DQ47" i="11" s="1"/>
  <c r="H38" i="6"/>
  <c r="J48" i="11"/>
  <c r="I85" i="21"/>
  <c r="T38" i="6"/>
  <c r="I198" i="12"/>
  <c r="T48" i="11"/>
  <c r="K85" i="21"/>
  <c r="AF38" i="6"/>
  <c r="K198" i="12"/>
  <c r="AD48" i="11"/>
  <c r="M85" i="21"/>
  <c r="AR38" i="6"/>
  <c r="M198" i="12"/>
  <c r="AN48" i="11"/>
  <c r="O85" i="21"/>
  <c r="BD38" i="6"/>
  <c r="O198" i="12"/>
  <c r="AX48" i="11"/>
  <c r="Q85" i="21"/>
  <c r="BP38" i="6"/>
  <c r="Q198" i="12"/>
  <c r="BH48" i="11"/>
  <c r="S85" i="21"/>
  <c r="CB38" i="6"/>
  <c r="S198" i="12"/>
  <c r="BR48" i="11"/>
  <c r="U85" i="21"/>
  <c r="CN38" i="6"/>
  <c r="U198" i="12"/>
  <c r="CB48" i="11"/>
  <c r="W85" i="21"/>
  <c r="CZ38" i="6"/>
  <c r="W198" i="12"/>
  <c r="CL48" i="11"/>
  <c r="Y85" i="21"/>
  <c r="DL38" i="6"/>
  <c r="Y198" i="12"/>
  <c r="CV48" i="11"/>
  <c r="AA85" i="21"/>
  <c r="D218" i="2"/>
  <c r="DX38" i="6"/>
  <c r="AA198" i="12"/>
  <c r="DF48" i="11"/>
  <c r="H28" i="21"/>
  <c r="H425" i="7"/>
  <c r="H248" i="12"/>
  <c r="H199" i="12"/>
  <c r="O8" i="11"/>
  <c r="H394" i="12"/>
  <c r="H194" i="12"/>
  <c r="O49" i="11"/>
  <c r="J28" i="21"/>
  <c r="J425" i="7"/>
  <c r="J248" i="12"/>
  <c r="J199" i="12"/>
  <c r="Y8" i="11"/>
  <c r="J394" i="12"/>
  <c r="J194" i="12"/>
  <c r="Y49" i="11"/>
  <c r="L28" i="21"/>
  <c r="L425" i="7"/>
  <c r="L248" i="12"/>
  <c r="L199" i="12"/>
  <c r="AI8" i="11"/>
  <c r="L394" i="12"/>
  <c r="L194" i="12"/>
  <c r="AI49" i="11"/>
  <c r="N28" i="21"/>
  <c r="N425" i="7"/>
  <c r="N248" i="12"/>
  <c r="N199" i="12"/>
  <c r="AS8" i="11"/>
  <c r="N394" i="12"/>
  <c r="N194" i="12"/>
  <c r="AS49" i="11"/>
  <c r="P28" i="21"/>
  <c r="P425" i="7"/>
  <c r="P248" i="12"/>
  <c r="P199" i="12"/>
  <c r="BC8" i="11"/>
  <c r="P394" i="12"/>
  <c r="P194" i="12"/>
  <c r="BC49" i="11"/>
  <c r="R28" i="21"/>
  <c r="R425" i="7"/>
  <c r="R248" i="12"/>
  <c r="R199" i="12"/>
  <c r="BM8" i="11"/>
  <c r="R394" i="12"/>
  <c r="R194" i="12"/>
  <c r="BM49" i="11"/>
  <c r="T28" i="21"/>
  <c r="T425" i="7"/>
  <c r="T248" i="12"/>
  <c r="T199" i="12"/>
  <c r="BW8" i="11"/>
  <c r="T394" i="12"/>
  <c r="T194" i="12"/>
  <c r="BW49" i="11"/>
  <c r="V28" i="21"/>
  <c r="V425" i="7"/>
  <c r="V248" i="12"/>
  <c r="V199" i="12"/>
  <c r="CG8" i="11"/>
  <c r="V394" i="12"/>
  <c r="V194" i="12"/>
  <c r="CG49" i="11"/>
  <c r="X28" i="21"/>
  <c r="X425" i="7"/>
  <c r="X248" i="12"/>
  <c r="X199" i="12"/>
  <c r="CQ8" i="11"/>
  <c r="X394" i="12"/>
  <c r="X194" i="12"/>
  <c r="CQ49" i="11"/>
  <c r="Z28" i="21"/>
  <c r="C137" i="2"/>
  <c r="AT137" i="2" s="1"/>
  <c r="Z425" i="7"/>
  <c r="Z248" i="12"/>
  <c r="Z199" i="12"/>
  <c r="DA8" i="11"/>
  <c r="Z394" i="12"/>
  <c r="Z194" i="12"/>
  <c r="DA49" i="11"/>
  <c r="AB28" i="21"/>
  <c r="AB425" i="7"/>
  <c r="AB248" i="12"/>
  <c r="AC255" i="12" s="1"/>
  <c r="AB199" i="12"/>
  <c r="DK8" i="11"/>
  <c r="AB394" i="12"/>
  <c r="AB194" i="12"/>
  <c r="DK49" i="11"/>
  <c r="J57" i="11"/>
  <c r="G402" i="12"/>
  <c r="I218" i="12"/>
  <c r="I402" i="12"/>
  <c r="T57" i="11"/>
  <c r="K218" i="12"/>
  <c r="K402" i="12"/>
  <c r="AD57" i="11"/>
  <c r="M218" i="12"/>
  <c r="M402" i="12"/>
  <c r="AN57" i="11"/>
  <c r="O218" i="12"/>
  <c r="O402" i="12"/>
  <c r="AX57" i="11"/>
  <c r="Q218" i="12"/>
  <c r="Q402" i="12"/>
  <c r="BH57" i="11"/>
  <c r="S218" i="12"/>
  <c r="S402" i="12"/>
  <c r="BR57" i="11"/>
  <c r="U218" i="12"/>
  <c r="U402" i="12"/>
  <c r="CB57" i="11"/>
  <c r="W218" i="12"/>
  <c r="W402" i="12"/>
  <c r="CL57" i="11"/>
  <c r="Y218" i="12"/>
  <c r="Y402" i="12"/>
  <c r="CV57" i="11"/>
  <c r="AA218" i="12"/>
  <c r="AA402" i="12"/>
  <c r="DF57" i="11"/>
  <c r="H26" i="21"/>
  <c r="H403" i="12"/>
  <c r="H219" i="12"/>
  <c r="O58" i="11"/>
  <c r="J26" i="21"/>
  <c r="J403" i="12"/>
  <c r="J219" i="12"/>
  <c r="Y58" i="11"/>
  <c r="L26" i="21"/>
  <c r="L403" i="12"/>
  <c r="L219" i="12"/>
  <c r="AI58" i="11"/>
  <c r="N26" i="21"/>
  <c r="N403" i="12"/>
  <c r="N219" i="12"/>
  <c r="AS58" i="11"/>
  <c r="P26" i="21"/>
  <c r="P403" i="12"/>
  <c r="P219" i="12"/>
  <c r="BC58" i="11"/>
  <c r="R26" i="21"/>
  <c r="R403" i="12"/>
  <c r="R219" i="12"/>
  <c r="BM58" i="11"/>
  <c r="T26" i="21"/>
  <c r="T403" i="12"/>
  <c r="T219" i="12"/>
  <c r="BW58" i="11"/>
  <c r="V26" i="21"/>
  <c r="V403" i="12"/>
  <c r="V219" i="12"/>
  <c r="CG58" i="11"/>
  <c r="X26" i="21"/>
  <c r="X403" i="12"/>
  <c r="X219" i="12"/>
  <c r="CQ58" i="11"/>
  <c r="Z26" i="21"/>
  <c r="C133" i="2"/>
  <c r="AT133" i="2" s="1"/>
  <c r="Z403" i="12"/>
  <c r="Z219" i="12"/>
  <c r="DA58" i="11"/>
  <c r="AB26" i="21"/>
  <c r="AB403" i="12"/>
  <c r="AB219" i="12"/>
  <c r="DK58" i="11"/>
  <c r="J62" i="11"/>
  <c r="G407" i="12"/>
  <c r="I31" i="21"/>
  <c r="I407" i="12"/>
  <c r="I223" i="12"/>
  <c r="T62" i="11"/>
  <c r="K31" i="21"/>
  <c r="K407" i="12"/>
  <c r="K223" i="12"/>
  <c r="AD62" i="11"/>
  <c r="M31" i="21"/>
  <c r="M407" i="12"/>
  <c r="M223" i="12"/>
  <c r="AN62" i="11"/>
  <c r="O31" i="21"/>
  <c r="O407" i="12"/>
  <c r="O223" i="12"/>
  <c r="AX62" i="11"/>
  <c r="Q31" i="21"/>
  <c r="Q407" i="12"/>
  <c r="Q223" i="12"/>
  <c r="BH62" i="11"/>
  <c r="S31" i="21"/>
  <c r="S407" i="12"/>
  <c r="S223" i="12"/>
  <c r="BR62" i="11"/>
  <c r="U31" i="21"/>
  <c r="U407" i="12"/>
  <c r="U223" i="12"/>
  <c r="CB62" i="11"/>
  <c r="W31" i="21"/>
  <c r="W407" i="12"/>
  <c r="W223" i="12"/>
  <c r="CL62" i="11"/>
  <c r="Y31" i="21"/>
  <c r="Y407" i="12"/>
  <c r="Y223" i="12"/>
  <c r="CV62" i="11"/>
  <c r="AA31" i="21"/>
  <c r="D140" i="2"/>
  <c r="AA407" i="12"/>
  <c r="AA223" i="12"/>
  <c r="DF62" i="11"/>
  <c r="H30" i="21"/>
  <c r="H404" i="12"/>
  <c r="O59" i="11"/>
  <c r="H220" i="12"/>
  <c r="H207" i="12"/>
  <c r="J30" i="21"/>
  <c r="J404" i="12"/>
  <c r="Y59" i="11"/>
  <c r="J220" i="12"/>
  <c r="J207" i="12"/>
  <c r="L30" i="21"/>
  <c r="L404" i="12"/>
  <c r="AI59" i="11"/>
  <c r="L220" i="12"/>
  <c r="L207" i="12"/>
  <c r="N30" i="21"/>
  <c r="N404" i="12"/>
  <c r="AS59" i="11"/>
  <c r="N220" i="12"/>
  <c r="N207" i="12"/>
  <c r="P30" i="21"/>
  <c r="P404" i="12"/>
  <c r="BC59" i="11"/>
  <c r="P220" i="12"/>
  <c r="P207" i="12"/>
  <c r="R30" i="21"/>
  <c r="R404" i="12"/>
  <c r="BM59" i="11"/>
  <c r="R220" i="12"/>
  <c r="R207" i="12"/>
  <c r="T30" i="21"/>
  <c r="T404" i="12"/>
  <c r="BW59" i="11"/>
  <c r="T220" i="12"/>
  <c r="T207" i="12"/>
  <c r="V30" i="21"/>
  <c r="V404" i="12"/>
  <c r="CG59" i="11"/>
  <c r="V220" i="12"/>
  <c r="V207" i="12"/>
  <c r="X30" i="21"/>
  <c r="X404" i="12"/>
  <c r="CQ59" i="11"/>
  <c r="X220" i="12"/>
  <c r="X207" i="12"/>
  <c r="Z30" i="21"/>
  <c r="C139" i="2"/>
  <c r="AT139" i="2" s="1"/>
  <c r="Z404" i="12"/>
  <c r="DA59" i="11"/>
  <c r="Z220" i="12"/>
  <c r="Z207" i="12"/>
  <c r="AB30" i="21"/>
  <c r="AB404" i="12"/>
  <c r="DK59" i="11"/>
  <c r="DQ59" i="11" s="1"/>
  <c r="AB220" i="12"/>
  <c r="AB207" i="12"/>
  <c r="J63" i="11"/>
  <c r="G408" i="12"/>
  <c r="I32" i="21"/>
  <c r="I224" i="12"/>
  <c r="I408" i="12"/>
  <c r="T63" i="11"/>
  <c r="K32" i="21"/>
  <c r="K224" i="12"/>
  <c r="K408" i="12"/>
  <c r="AD63" i="11"/>
  <c r="M32" i="21"/>
  <c r="M224" i="12"/>
  <c r="M408" i="12"/>
  <c r="AN63" i="11"/>
  <c r="O32" i="21"/>
  <c r="O224" i="12"/>
  <c r="O408" i="12"/>
  <c r="AX63" i="11"/>
  <c r="Q32" i="21"/>
  <c r="Q224" i="12"/>
  <c r="Q408" i="12"/>
  <c r="BH63" i="11"/>
  <c r="S32" i="21"/>
  <c r="S224" i="12"/>
  <c r="S408" i="12"/>
  <c r="BR63" i="11"/>
  <c r="U32" i="21"/>
  <c r="U224" i="12"/>
  <c r="U408" i="12"/>
  <c r="CB63" i="11"/>
  <c r="W32" i="21"/>
  <c r="W224" i="12"/>
  <c r="W408" i="12"/>
  <c r="CL63" i="11"/>
  <c r="Y32" i="21"/>
  <c r="Y224" i="12"/>
  <c r="Y408" i="12"/>
  <c r="CV63" i="11"/>
  <c r="AA32" i="21"/>
  <c r="D141" i="2"/>
  <c r="AU141" i="2" s="1"/>
  <c r="AA224" i="12"/>
  <c r="AA408" i="12"/>
  <c r="DF63" i="11"/>
  <c r="H29" i="21"/>
  <c r="K46" i="6"/>
  <c r="H409" i="12"/>
  <c r="H249" i="12"/>
  <c r="H225" i="12"/>
  <c r="H213" i="12"/>
  <c r="O64" i="11"/>
  <c r="O9" i="11"/>
  <c r="H231" i="12"/>
  <c r="J29" i="21"/>
  <c r="W46" i="6"/>
  <c r="J409" i="12"/>
  <c r="J249" i="12"/>
  <c r="J225" i="12"/>
  <c r="J213" i="12"/>
  <c r="Y64" i="11"/>
  <c r="Y9" i="11"/>
  <c r="J231" i="12"/>
  <c r="L29" i="21"/>
  <c r="AI46" i="6"/>
  <c r="L409" i="12"/>
  <c r="L249" i="12"/>
  <c r="L225" i="12"/>
  <c r="L213" i="12"/>
  <c r="AI64" i="11"/>
  <c r="AI9" i="11"/>
  <c r="L231" i="12"/>
  <c r="N29" i="21"/>
  <c r="AU46" i="6"/>
  <c r="N409" i="12"/>
  <c r="N249" i="12"/>
  <c r="N225" i="12"/>
  <c r="N213" i="12"/>
  <c r="AS64" i="11"/>
  <c r="AS9" i="11"/>
  <c r="N231" i="12"/>
  <c r="P29" i="21"/>
  <c r="BG46" i="6"/>
  <c r="P409" i="12"/>
  <c r="P249" i="12"/>
  <c r="P225" i="12"/>
  <c r="P213" i="12"/>
  <c r="BC64" i="11"/>
  <c r="BC9" i="11"/>
  <c r="P231" i="12"/>
  <c r="R29" i="21"/>
  <c r="BS46" i="6"/>
  <c r="R409" i="12"/>
  <c r="R249" i="12"/>
  <c r="R225" i="12"/>
  <c r="R213" i="12"/>
  <c r="BM64" i="11"/>
  <c r="BM9" i="11"/>
  <c r="R231" i="12"/>
  <c r="T29" i="21"/>
  <c r="CE46" i="6"/>
  <c r="T409" i="12"/>
  <c r="T249" i="12"/>
  <c r="T225" i="12"/>
  <c r="T213" i="12"/>
  <c r="BW64" i="11"/>
  <c r="BW9" i="11"/>
  <c r="T231" i="12"/>
  <c r="V29" i="21"/>
  <c r="CQ46" i="6"/>
  <c r="V409" i="12"/>
  <c r="V249" i="12"/>
  <c r="V225" i="12"/>
  <c r="V213" i="12"/>
  <c r="CG64" i="11"/>
  <c r="CG9" i="11"/>
  <c r="V231" i="12"/>
  <c r="X29" i="21"/>
  <c r="DC46" i="6"/>
  <c r="X409" i="12"/>
  <c r="X249" i="12"/>
  <c r="X225" i="12"/>
  <c r="X213" i="12"/>
  <c r="CQ64" i="11"/>
  <c r="CQ9" i="11"/>
  <c r="X231" i="12"/>
  <c r="Z29" i="21"/>
  <c r="C138" i="2"/>
  <c r="DO46" i="6"/>
  <c r="Z409" i="12"/>
  <c r="Z249" i="12"/>
  <c r="Z225" i="12"/>
  <c r="Z213" i="12"/>
  <c r="DA64" i="11"/>
  <c r="DA9" i="11"/>
  <c r="Z231" i="12"/>
  <c r="AB29" i="21"/>
  <c r="EA46" i="6"/>
  <c r="AB409" i="12"/>
  <c r="AB249" i="12"/>
  <c r="AB225" i="12"/>
  <c r="AB213" i="12"/>
  <c r="DK64" i="11"/>
  <c r="DQ64" i="11" s="1"/>
  <c r="DK9" i="11"/>
  <c r="AB231" i="12"/>
  <c r="AC238" i="12" s="1"/>
  <c r="AA33" i="21"/>
  <c r="D142" i="2"/>
  <c r="DU47" i="6"/>
  <c r="AA542" i="7"/>
  <c r="AA555" i="7" s="1"/>
  <c r="AA430" i="12"/>
  <c r="AA267" i="12"/>
  <c r="AA263" i="12"/>
  <c r="DF81" i="11"/>
  <c r="DF11" i="11"/>
  <c r="H266" i="12"/>
  <c r="H257" i="12"/>
  <c r="J266" i="12"/>
  <c r="J257" i="12"/>
  <c r="L266" i="12"/>
  <c r="L257" i="12"/>
  <c r="N266" i="12"/>
  <c r="N257" i="12"/>
  <c r="P266" i="12"/>
  <c r="P257" i="12"/>
  <c r="R266" i="12"/>
  <c r="R257" i="12"/>
  <c r="T266" i="12"/>
  <c r="T257" i="12"/>
  <c r="V266" i="12"/>
  <c r="V257" i="12"/>
  <c r="X266" i="12"/>
  <c r="X257" i="12"/>
  <c r="Z266" i="12"/>
  <c r="Z257" i="12"/>
  <c r="AB266" i="12"/>
  <c r="AB257" i="12"/>
  <c r="G298" i="12"/>
  <c r="I274" i="12"/>
  <c r="I298" i="12"/>
  <c r="K274" i="12"/>
  <c r="K298" i="12"/>
  <c r="M274" i="12"/>
  <c r="M298" i="12"/>
  <c r="O274" i="12"/>
  <c r="O298" i="12"/>
  <c r="Q274" i="12"/>
  <c r="Q298" i="12"/>
  <c r="S274" i="12"/>
  <c r="S298" i="12"/>
  <c r="U274" i="12"/>
  <c r="U298" i="12"/>
  <c r="W274" i="12"/>
  <c r="W298" i="12"/>
  <c r="Y274" i="12"/>
  <c r="Y298" i="12"/>
  <c r="AA274" i="12"/>
  <c r="AA298" i="12"/>
  <c r="H306" i="12"/>
  <c r="H338" i="12"/>
  <c r="J306" i="12"/>
  <c r="J338" i="12"/>
  <c r="L306" i="12"/>
  <c r="L338" i="12"/>
  <c r="N306" i="12"/>
  <c r="N338" i="12"/>
  <c r="P306" i="12"/>
  <c r="P338" i="12"/>
  <c r="R306" i="12"/>
  <c r="R338" i="12"/>
  <c r="T306" i="12"/>
  <c r="T338" i="12"/>
  <c r="V306" i="12"/>
  <c r="V338" i="12"/>
  <c r="X306" i="12"/>
  <c r="X338" i="12"/>
  <c r="Z306" i="12"/>
  <c r="Z338" i="12"/>
  <c r="AB306" i="12"/>
  <c r="AB338" i="12"/>
  <c r="H34" i="21"/>
  <c r="H437" i="12"/>
  <c r="H284" i="12"/>
  <c r="O87" i="11"/>
  <c r="H330" i="12"/>
  <c r="J34" i="21"/>
  <c r="J437" i="12"/>
  <c r="J284" i="12"/>
  <c r="Y87" i="11"/>
  <c r="J330" i="12"/>
  <c r="L34" i="21"/>
  <c r="L437" i="12"/>
  <c r="L284" i="12"/>
  <c r="AI87" i="11"/>
  <c r="L330" i="12"/>
  <c r="N34" i="21"/>
  <c r="N437" i="12"/>
  <c r="N284" i="12"/>
  <c r="AS87" i="11"/>
  <c r="N330" i="12"/>
  <c r="P34" i="21"/>
  <c r="P437" i="12"/>
  <c r="P284" i="12"/>
  <c r="BC87" i="11"/>
  <c r="P330" i="12"/>
  <c r="R34" i="21"/>
  <c r="R437" i="12"/>
  <c r="R284" i="12"/>
  <c r="BM87" i="11"/>
  <c r="R330" i="12"/>
  <c r="T34" i="21"/>
  <c r="T437" i="12"/>
  <c r="T284" i="12"/>
  <c r="BW87" i="11"/>
  <c r="T330" i="12"/>
  <c r="V34" i="21"/>
  <c r="V437" i="12"/>
  <c r="V284" i="12"/>
  <c r="CG87" i="11"/>
  <c r="V330" i="12"/>
  <c r="X34" i="21"/>
  <c r="X437" i="12"/>
  <c r="X284" i="12"/>
  <c r="CQ87" i="11"/>
  <c r="X330" i="12"/>
  <c r="Z34" i="21"/>
  <c r="C143" i="2"/>
  <c r="Z437" i="12"/>
  <c r="Z284" i="12"/>
  <c r="DA87" i="11"/>
  <c r="Z330" i="12"/>
  <c r="AB34" i="21"/>
  <c r="AB437" i="12"/>
  <c r="AB284" i="12"/>
  <c r="DK87" i="11"/>
  <c r="AB330" i="12"/>
  <c r="J86" i="11"/>
  <c r="G436" i="12"/>
  <c r="I35" i="21"/>
  <c r="I283" i="12"/>
  <c r="I436" i="12"/>
  <c r="T86" i="11"/>
  <c r="K35" i="21"/>
  <c r="K283" i="12"/>
  <c r="K436" i="12"/>
  <c r="AD86" i="11"/>
  <c r="M35" i="21"/>
  <c r="M283" i="12"/>
  <c r="M436" i="12"/>
  <c r="AN86" i="11"/>
  <c r="O35" i="21"/>
  <c r="O283" i="12"/>
  <c r="O436" i="12"/>
  <c r="AX86" i="11"/>
  <c r="Q35" i="21"/>
  <c r="Q283" i="12"/>
  <c r="Q436" i="12"/>
  <c r="BH86" i="11"/>
  <c r="S35" i="21"/>
  <c r="S283" i="12"/>
  <c r="S436" i="12"/>
  <c r="BR86" i="11"/>
  <c r="U35" i="21"/>
  <c r="U283" i="12"/>
  <c r="U436" i="12"/>
  <c r="CB86" i="11"/>
  <c r="W35" i="21"/>
  <c r="W283" i="12"/>
  <c r="W436" i="12"/>
  <c r="CL86" i="11"/>
  <c r="Y35" i="21"/>
  <c r="Y283" i="12"/>
  <c r="Y436" i="12"/>
  <c r="CV86" i="11"/>
  <c r="AA35" i="21"/>
  <c r="D144" i="2"/>
  <c r="AA283" i="12"/>
  <c r="AA436" i="12"/>
  <c r="DF86" i="11"/>
  <c r="H438" i="12"/>
  <c r="H299" i="12"/>
  <c r="H280" i="12"/>
  <c r="O88" i="11"/>
  <c r="O13" i="11"/>
  <c r="H331" i="12"/>
  <c r="H285" i="12"/>
  <c r="J438" i="12"/>
  <c r="J299" i="12"/>
  <c r="J280" i="12"/>
  <c r="Y88" i="11"/>
  <c r="Y13" i="11"/>
  <c r="J331" i="12"/>
  <c r="J285" i="12"/>
  <c r="L438" i="12"/>
  <c r="L299" i="12"/>
  <c r="L280" i="12"/>
  <c r="AI88" i="11"/>
  <c r="AI13" i="11"/>
  <c r="L331" i="12"/>
  <c r="L285" i="12"/>
  <c r="N438" i="12"/>
  <c r="N299" i="12"/>
  <c r="N280" i="12"/>
  <c r="AS88" i="11"/>
  <c r="AS13" i="11"/>
  <c r="N331" i="12"/>
  <c r="N285" i="12"/>
  <c r="P438" i="12"/>
  <c r="P299" i="12"/>
  <c r="P280" i="12"/>
  <c r="BC88" i="11"/>
  <c r="BC13" i="11"/>
  <c r="P331" i="12"/>
  <c r="P285" i="12"/>
  <c r="R438" i="12"/>
  <c r="R299" i="12"/>
  <c r="R280" i="12"/>
  <c r="BM88" i="11"/>
  <c r="BM13" i="11"/>
  <c r="R331" i="12"/>
  <c r="R285" i="12"/>
  <c r="T438" i="12"/>
  <c r="T299" i="12"/>
  <c r="T280" i="12"/>
  <c r="BW88" i="11"/>
  <c r="BW13" i="11"/>
  <c r="T331" i="12"/>
  <c r="T285" i="12"/>
  <c r="V438" i="12"/>
  <c r="V299" i="12"/>
  <c r="V280" i="12"/>
  <c r="CG88" i="11"/>
  <c r="CG13" i="11"/>
  <c r="V331" i="12"/>
  <c r="V285" i="12"/>
  <c r="X438" i="12"/>
  <c r="X299" i="12"/>
  <c r="X280" i="12"/>
  <c r="CQ88" i="11"/>
  <c r="CQ13" i="11"/>
  <c r="X331" i="12"/>
  <c r="X285" i="12"/>
  <c r="Z438" i="12"/>
  <c r="Z299" i="12"/>
  <c r="Z280" i="12"/>
  <c r="DA88" i="11"/>
  <c r="DA13" i="11"/>
  <c r="Z331" i="12"/>
  <c r="Z285" i="12"/>
  <c r="AB438" i="12"/>
  <c r="AB299" i="12"/>
  <c r="AB280" i="12"/>
  <c r="DK88" i="11"/>
  <c r="DK13" i="11"/>
  <c r="AB331" i="12"/>
  <c r="AB285" i="12"/>
  <c r="G447" i="12"/>
  <c r="J102" i="11"/>
  <c r="I36" i="21"/>
  <c r="I447" i="12"/>
  <c r="I316" i="12"/>
  <c r="T102" i="11"/>
  <c r="K36" i="21"/>
  <c r="K447" i="12"/>
  <c r="K316" i="12"/>
  <c r="AD102" i="11"/>
  <c r="M36" i="21"/>
  <c r="M447" i="12"/>
  <c r="M316" i="12"/>
  <c r="AN102" i="11"/>
  <c r="O36" i="21"/>
  <c r="O447" i="12"/>
  <c r="O316" i="12"/>
  <c r="AX102" i="11"/>
  <c r="Q36" i="21"/>
  <c r="Q447" i="12"/>
  <c r="Q316" i="12"/>
  <c r="BH102" i="11"/>
  <c r="S36" i="21"/>
  <c r="S447" i="12"/>
  <c r="S316" i="12"/>
  <c r="BR102" i="11"/>
  <c r="U36" i="21"/>
  <c r="U447" i="12"/>
  <c r="U316" i="12"/>
  <c r="CB102" i="11"/>
  <c r="W36" i="21"/>
  <c r="W447" i="12"/>
  <c r="W316" i="12"/>
  <c r="CL102" i="11"/>
  <c r="Y36" i="21"/>
  <c r="Y447" i="12"/>
  <c r="Y316" i="12"/>
  <c r="CV102" i="11"/>
  <c r="AA36" i="21"/>
  <c r="D145" i="2"/>
  <c r="AA447" i="12"/>
  <c r="AA316" i="12"/>
  <c r="DF102" i="11"/>
  <c r="H37" i="21"/>
  <c r="H315" i="12"/>
  <c r="O101" i="11"/>
  <c r="H446" i="12"/>
  <c r="J37" i="21"/>
  <c r="J315" i="12"/>
  <c r="Y101" i="11"/>
  <c r="J446" i="12"/>
  <c r="L37" i="21"/>
  <c r="L315" i="12"/>
  <c r="AI101" i="11"/>
  <c r="L446" i="12"/>
  <c r="N37" i="21"/>
  <c r="N315" i="12"/>
  <c r="AS101" i="11"/>
  <c r="N446" i="12"/>
  <c r="P37" i="21"/>
  <c r="P315" i="12"/>
  <c r="BC101" i="11"/>
  <c r="P446" i="12"/>
  <c r="R37" i="21"/>
  <c r="R315" i="12"/>
  <c r="BM101" i="11"/>
  <c r="R446" i="12"/>
  <c r="T37" i="21"/>
  <c r="T315" i="12"/>
  <c r="BW101" i="11"/>
  <c r="T446" i="12"/>
  <c r="V37" i="21"/>
  <c r="V315" i="12"/>
  <c r="CG101" i="11"/>
  <c r="V446" i="12"/>
  <c r="X37" i="21"/>
  <c r="X315" i="12"/>
  <c r="CQ101" i="11"/>
  <c r="X446" i="12"/>
  <c r="Z37" i="21"/>
  <c r="C146" i="2"/>
  <c r="AT146" i="2" s="1"/>
  <c r="Z315" i="12"/>
  <c r="DA101" i="11"/>
  <c r="Z446" i="12"/>
  <c r="AB37" i="21"/>
  <c r="AB315" i="12"/>
  <c r="DK101" i="11"/>
  <c r="AB446" i="12"/>
  <c r="G448" i="12"/>
  <c r="G339" i="12"/>
  <c r="G312" i="12"/>
  <c r="J103" i="11"/>
  <c r="J15" i="11"/>
  <c r="I448" i="12"/>
  <c r="I339" i="12"/>
  <c r="I312" i="12"/>
  <c r="I317" i="12"/>
  <c r="T103" i="11"/>
  <c r="T15" i="11"/>
  <c r="K448" i="12"/>
  <c r="K339" i="12"/>
  <c r="K312" i="12"/>
  <c r="K317" i="12"/>
  <c r="AD103" i="11"/>
  <c r="AD15" i="11"/>
  <c r="M448" i="12"/>
  <c r="M339" i="12"/>
  <c r="M312" i="12"/>
  <c r="M317" i="12"/>
  <c r="AN103" i="11"/>
  <c r="AN15" i="11"/>
  <c r="O448" i="12"/>
  <c r="O339" i="12"/>
  <c r="O312" i="12"/>
  <c r="O317" i="12"/>
  <c r="AX103" i="11"/>
  <c r="AX15" i="11"/>
  <c r="Q448" i="12"/>
  <c r="Q339" i="12"/>
  <c r="Q312" i="12"/>
  <c r="Q317" i="12"/>
  <c r="BH103" i="11"/>
  <c r="BH15" i="11"/>
  <c r="S448" i="12"/>
  <c r="S339" i="12"/>
  <c r="S312" i="12"/>
  <c r="S317" i="12"/>
  <c r="BR103" i="11"/>
  <c r="BR15" i="11"/>
  <c r="U448" i="12"/>
  <c r="U339" i="12"/>
  <c r="U312" i="12"/>
  <c r="U317" i="12"/>
  <c r="CB103" i="11"/>
  <c r="CB15" i="11"/>
  <c r="W448" i="12"/>
  <c r="W339" i="12"/>
  <c r="W312" i="12"/>
  <c r="W317" i="12"/>
  <c r="CL103" i="11"/>
  <c r="CL15" i="11"/>
  <c r="Y448" i="12"/>
  <c r="Y339" i="12"/>
  <c r="Y312" i="12"/>
  <c r="Y317" i="12"/>
  <c r="CV103" i="11"/>
  <c r="CV15" i="11"/>
  <c r="AA448" i="12"/>
  <c r="AA339" i="12"/>
  <c r="AA312" i="12"/>
  <c r="AA317" i="12"/>
  <c r="DF15" i="11"/>
  <c r="E5" i="6"/>
  <c r="G698" i="7"/>
  <c r="J116" i="11"/>
  <c r="J17" i="11"/>
  <c r="E4" i="24"/>
  <c r="G456" i="12"/>
  <c r="I38" i="21"/>
  <c r="Q5" i="6"/>
  <c r="I698" i="7"/>
  <c r="I348" i="12"/>
  <c r="G4" i="24"/>
  <c r="I456" i="12"/>
  <c r="T116" i="11"/>
  <c r="T17" i="11"/>
  <c r="K38" i="21"/>
  <c r="AC5" i="6"/>
  <c r="K698" i="7"/>
  <c r="K158" i="7"/>
  <c r="K348" i="12"/>
  <c r="I4" i="24"/>
  <c r="K456" i="12"/>
  <c r="AD116" i="11"/>
  <c r="AD17" i="11"/>
  <c r="M38" i="21"/>
  <c r="AO5" i="6"/>
  <c r="M698" i="7"/>
  <c r="M348" i="12"/>
  <c r="K4" i="24"/>
  <c r="M456" i="12"/>
  <c r="AN116" i="11"/>
  <c r="AN17" i="11"/>
  <c r="O38" i="21"/>
  <c r="BA5" i="6"/>
  <c r="O698" i="7"/>
  <c r="O348" i="12"/>
  <c r="M4" i="24"/>
  <c r="O456" i="12"/>
  <c r="AX116" i="11"/>
  <c r="AX17" i="11"/>
  <c r="Q38" i="21"/>
  <c r="BM5" i="6"/>
  <c r="Q698" i="7"/>
  <c r="Q348" i="12"/>
  <c r="O4" i="24"/>
  <c r="Q456" i="12"/>
  <c r="BH116" i="11"/>
  <c r="BH17" i="11"/>
  <c r="S38" i="21"/>
  <c r="BY5" i="6"/>
  <c r="S698" i="7"/>
  <c r="S348" i="12"/>
  <c r="Q4" i="24"/>
  <c r="S456" i="12"/>
  <c r="BR116" i="11"/>
  <c r="BR17" i="11"/>
  <c r="U38" i="21"/>
  <c r="CK5" i="6"/>
  <c r="U698" i="7"/>
  <c r="U348" i="12"/>
  <c r="S4" i="24"/>
  <c r="U456" i="12"/>
  <c r="CB116" i="11"/>
  <c r="CB17" i="11"/>
  <c r="W38" i="21"/>
  <c r="CW5" i="6"/>
  <c r="W698" i="7"/>
  <c r="W348" i="12"/>
  <c r="U4" i="24"/>
  <c r="W456" i="12"/>
  <c r="CL116" i="11"/>
  <c r="CL17" i="11"/>
  <c r="Y38" i="21"/>
  <c r="DI5" i="6"/>
  <c r="Y698" i="7"/>
  <c r="Y348" i="12"/>
  <c r="W4" i="24"/>
  <c r="Y456" i="12"/>
  <c r="CV116" i="11"/>
  <c r="CV17" i="11"/>
  <c r="AA38" i="21"/>
  <c r="D147" i="2"/>
  <c r="DU5" i="6"/>
  <c r="AA698" i="7"/>
  <c r="AA348" i="12"/>
  <c r="Y4" i="24"/>
  <c r="AA456" i="12"/>
  <c r="DF116" i="11"/>
  <c r="DF17" i="11"/>
  <c r="G46" i="6"/>
  <c r="G735" i="7"/>
  <c r="G243" i="12"/>
  <c r="J72" i="11"/>
  <c r="S46" i="6"/>
  <c r="I735" i="7"/>
  <c r="I237" i="12"/>
  <c r="T72" i="11"/>
  <c r="I243" i="12"/>
  <c r="AE46" i="6"/>
  <c r="K735" i="7"/>
  <c r="K237" i="12"/>
  <c r="AD72" i="11"/>
  <c r="K243" i="12"/>
  <c r="AQ46" i="6"/>
  <c r="M735" i="7"/>
  <c r="M237" i="12"/>
  <c r="AN72" i="11"/>
  <c r="M243" i="12"/>
  <c r="BC46" i="6"/>
  <c r="O735" i="7"/>
  <c r="O237" i="12"/>
  <c r="AX72" i="11"/>
  <c r="O243" i="12"/>
  <c r="BO46" i="6"/>
  <c r="Q735" i="7"/>
  <c r="Q237" i="12"/>
  <c r="BH72" i="11"/>
  <c r="Q243" i="12"/>
  <c r="CA46" i="6"/>
  <c r="S735" i="7"/>
  <c r="S237" i="12"/>
  <c r="BR72" i="11"/>
  <c r="S243" i="12"/>
  <c r="CM46" i="6"/>
  <c r="U735" i="7"/>
  <c r="U237" i="12"/>
  <c r="CB72" i="11"/>
  <c r="U243" i="12"/>
  <c r="CY46" i="6"/>
  <c r="W735" i="7"/>
  <c r="W237" i="12"/>
  <c r="CL72" i="11"/>
  <c r="W243" i="12"/>
  <c r="DK46" i="6"/>
  <c r="Y735" i="7"/>
  <c r="Y237" i="12"/>
  <c r="CV72" i="11"/>
  <c r="Y243" i="12"/>
  <c r="DW46" i="6"/>
  <c r="AA735" i="7"/>
  <c r="AA237" i="12"/>
  <c r="AA233" i="12"/>
  <c r="DF72" i="11"/>
  <c r="AA243" i="12"/>
  <c r="H93" i="21"/>
  <c r="N46" i="6"/>
  <c r="H662" i="7"/>
  <c r="H676" i="7" s="1"/>
  <c r="H763" i="7"/>
  <c r="H242" i="12"/>
  <c r="H236" i="12"/>
  <c r="O70" i="11"/>
  <c r="J93" i="21"/>
  <c r="Z46" i="6"/>
  <c r="J662" i="7"/>
  <c r="J676" i="7" s="1"/>
  <c r="J763" i="7"/>
  <c r="J242" i="12"/>
  <c r="J236" i="12"/>
  <c r="Y70" i="11"/>
  <c r="L93" i="21"/>
  <c r="AL46" i="6"/>
  <c r="L662" i="7"/>
  <c r="L676" i="7" s="1"/>
  <c r="L763" i="7"/>
  <c r="L242" i="12"/>
  <c r="L236" i="12"/>
  <c r="AI70" i="11"/>
  <c r="N93" i="21"/>
  <c r="AX46" i="6"/>
  <c r="N662" i="7"/>
  <c r="N676" i="7" s="1"/>
  <c r="N763" i="7"/>
  <c r="N242" i="12"/>
  <c r="N236" i="12"/>
  <c r="AS70" i="11"/>
  <c r="P93" i="21"/>
  <c r="BJ46" i="6"/>
  <c r="P662" i="7"/>
  <c r="P676" i="7" s="1"/>
  <c r="P763" i="7"/>
  <c r="P242" i="12"/>
  <c r="P236" i="12"/>
  <c r="BC70" i="11"/>
  <c r="R93" i="21"/>
  <c r="BV46" i="6"/>
  <c r="R662" i="7"/>
  <c r="R676" i="7" s="1"/>
  <c r="R763" i="7"/>
  <c r="R242" i="12"/>
  <c r="R236" i="12"/>
  <c r="BM70" i="11"/>
  <c r="T93" i="21"/>
  <c r="CH46" i="6"/>
  <c r="T662" i="7"/>
  <c r="T676" i="7" s="1"/>
  <c r="T763" i="7"/>
  <c r="T242" i="12"/>
  <c r="T236" i="12"/>
  <c r="BW70" i="11"/>
  <c r="V93" i="21"/>
  <c r="CT46" i="6"/>
  <c r="V662" i="7"/>
  <c r="V676" i="7" s="1"/>
  <c r="V763" i="7"/>
  <c r="V242" i="12"/>
  <c r="V236" i="12"/>
  <c r="CG70" i="11"/>
  <c r="X93" i="21"/>
  <c r="DF46" i="6"/>
  <c r="X662" i="7"/>
  <c r="X676" i="7" s="1"/>
  <c r="X763" i="7"/>
  <c r="X242" i="12"/>
  <c r="X236" i="12"/>
  <c r="CQ70" i="11"/>
  <c r="Z93" i="21"/>
  <c r="C226" i="2"/>
  <c r="AT226" i="2" s="1"/>
  <c r="DR46" i="6"/>
  <c r="Z662" i="7"/>
  <c r="Z676" i="7" s="1"/>
  <c r="Z763" i="7"/>
  <c r="Z242" i="12"/>
  <c r="Z236" i="12"/>
  <c r="DA70" i="11"/>
  <c r="AB93" i="21"/>
  <c r="ED46" i="6"/>
  <c r="AB662" i="7"/>
  <c r="AB676" i="7" s="1"/>
  <c r="AB763" i="7"/>
  <c r="AB242" i="12"/>
  <c r="AB236" i="12"/>
  <c r="L46" i="6"/>
  <c r="H718" i="7"/>
  <c r="H241" i="12"/>
  <c r="O71" i="11"/>
  <c r="H235" i="12"/>
  <c r="X46" i="6"/>
  <c r="J718" i="7"/>
  <c r="J241" i="12"/>
  <c r="Y71" i="11"/>
  <c r="J235" i="12"/>
  <c r="AJ46" i="6"/>
  <c r="L718" i="7"/>
  <c r="L241" i="12"/>
  <c r="AI71" i="11"/>
  <c r="L235" i="12"/>
  <c r="AV46" i="6"/>
  <c r="N718" i="7"/>
  <c r="N241" i="12"/>
  <c r="AS71" i="11"/>
  <c r="N235" i="12"/>
  <c r="BH46" i="6"/>
  <c r="P718" i="7"/>
  <c r="P241" i="12"/>
  <c r="BC71" i="11"/>
  <c r="P235" i="12"/>
  <c r="BT46" i="6"/>
  <c r="R718" i="7"/>
  <c r="R241" i="12"/>
  <c r="BM71" i="11"/>
  <c r="R235" i="12"/>
  <c r="CF46" i="6"/>
  <c r="T718" i="7"/>
  <c r="T241" i="12"/>
  <c r="BW71" i="11"/>
  <c r="T235" i="12"/>
  <c r="CR46" i="6"/>
  <c r="V718" i="7"/>
  <c r="V241" i="12"/>
  <c r="CG71" i="11"/>
  <c r="V235" i="12"/>
  <c r="DD46" i="6"/>
  <c r="X718" i="7"/>
  <c r="X241" i="12"/>
  <c r="CQ71" i="11"/>
  <c r="X235" i="12"/>
  <c r="DP46" i="6"/>
  <c r="Z718" i="7"/>
  <c r="Z241" i="12"/>
  <c r="DA71" i="11"/>
  <c r="Z235" i="12"/>
  <c r="EB46" i="6"/>
  <c r="AB718" i="7"/>
  <c r="AB241" i="12"/>
  <c r="AB235" i="12"/>
  <c r="H112" i="21"/>
  <c r="H293" i="12"/>
  <c r="O94" i="11"/>
  <c r="H290" i="12"/>
  <c r="J112" i="21"/>
  <c r="J293" i="12"/>
  <c r="Y94" i="11"/>
  <c r="J290" i="12"/>
  <c r="L112" i="21"/>
  <c r="L293" i="12"/>
  <c r="AI94" i="11"/>
  <c r="L290" i="12"/>
  <c r="N112" i="21"/>
  <c r="N293" i="12"/>
  <c r="AS94" i="11"/>
  <c r="N290" i="12"/>
  <c r="P112" i="21"/>
  <c r="P293" i="12"/>
  <c r="BC94" i="11"/>
  <c r="P290" i="12"/>
  <c r="R112" i="21"/>
  <c r="R293" i="12"/>
  <c r="BM94" i="11"/>
  <c r="R290" i="12"/>
  <c r="T112" i="21"/>
  <c r="T293" i="12"/>
  <c r="BW94" i="11"/>
  <c r="T290" i="12"/>
  <c r="V112" i="21"/>
  <c r="V293" i="12"/>
  <c r="CG94" i="11"/>
  <c r="V290" i="12"/>
  <c r="X112" i="21"/>
  <c r="X293" i="12"/>
  <c r="CQ94" i="11"/>
  <c r="X290" i="12"/>
  <c r="Z112" i="21"/>
  <c r="C247" i="2"/>
  <c r="AT247" i="2" s="1"/>
  <c r="Z293" i="12"/>
  <c r="DA94" i="11"/>
  <c r="Z290" i="12"/>
  <c r="AB112" i="21"/>
  <c r="AB293" i="12"/>
  <c r="DK94" i="11"/>
  <c r="DQ94" i="11" s="1"/>
  <c r="AB290" i="12"/>
  <c r="AC295" i="12" s="1"/>
  <c r="I114" i="21"/>
  <c r="I294" i="12"/>
  <c r="T95" i="11"/>
  <c r="K114" i="21"/>
  <c r="K294" i="12"/>
  <c r="AD95" i="11"/>
  <c r="M114" i="21"/>
  <c r="M294" i="12"/>
  <c r="AN95" i="11"/>
  <c r="O114" i="21"/>
  <c r="O294" i="12"/>
  <c r="AX95" i="11"/>
  <c r="Q114" i="21"/>
  <c r="Q294" i="12"/>
  <c r="BH95" i="11"/>
  <c r="S114" i="21"/>
  <c r="S294" i="12"/>
  <c r="BR95" i="11"/>
  <c r="U114" i="21"/>
  <c r="U294" i="12"/>
  <c r="CB95" i="11"/>
  <c r="W114" i="21"/>
  <c r="W294" i="12"/>
  <c r="CL95" i="11"/>
  <c r="Y114" i="21"/>
  <c r="Y294" i="12"/>
  <c r="CV95" i="11"/>
  <c r="AA114" i="21"/>
  <c r="D249" i="2"/>
  <c r="AA294" i="12"/>
  <c r="DF95" i="11"/>
  <c r="H115" i="21"/>
  <c r="H322" i="12"/>
  <c r="O109" i="11"/>
  <c r="H325" i="12"/>
  <c r="J115" i="21"/>
  <c r="J322" i="12"/>
  <c r="Y109" i="11"/>
  <c r="J325" i="12"/>
  <c r="L115" i="21"/>
  <c r="L322" i="12"/>
  <c r="AI109" i="11"/>
  <c r="L325" i="12"/>
  <c r="N115" i="21"/>
  <c r="N322" i="12"/>
  <c r="AS109" i="11"/>
  <c r="N325" i="12"/>
  <c r="P115" i="21"/>
  <c r="P322" i="12"/>
  <c r="BC109" i="11"/>
  <c r="P325" i="12"/>
  <c r="R115" i="21"/>
  <c r="R322" i="12"/>
  <c r="BM109" i="11"/>
  <c r="R325" i="12"/>
  <c r="T115" i="21"/>
  <c r="T322" i="12"/>
  <c r="BW109" i="11"/>
  <c r="T325" i="12"/>
  <c r="V115" i="21"/>
  <c r="V322" i="12"/>
  <c r="CG109" i="11"/>
  <c r="V325" i="12"/>
  <c r="X115" i="21"/>
  <c r="X322" i="12"/>
  <c r="CQ109" i="11"/>
  <c r="X325" i="12"/>
  <c r="Z115" i="21"/>
  <c r="C250" i="2"/>
  <c r="AT250" i="2" s="1"/>
  <c r="Z322" i="12"/>
  <c r="DA109" i="11"/>
  <c r="Z325" i="12"/>
  <c r="AB115" i="21"/>
  <c r="AB322" i="12"/>
  <c r="AC327" i="12" s="1"/>
  <c r="DK109" i="11"/>
  <c r="DQ109" i="11" s="1"/>
  <c r="AB325" i="12"/>
  <c r="I116" i="21"/>
  <c r="I326" i="12"/>
  <c r="T110" i="11"/>
  <c r="K116" i="21"/>
  <c r="K326" i="12"/>
  <c r="AD110" i="11"/>
  <c r="M116" i="21"/>
  <c r="M326" i="12"/>
  <c r="AN110" i="11"/>
  <c r="O116" i="21"/>
  <c r="O326" i="12"/>
  <c r="AX110" i="11"/>
  <c r="Q116" i="21"/>
  <c r="Q326" i="12"/>
  <c r="BH110" i="11"/>
  <c r="S116" i="21"/>
  <c r="S326" i="12"/>
  <c r="BR110" i="11"/>
  <c r="U116" i="21"/>
  <c r="U326" i="12"/>
  <c r="CB110" i="11"/>
  <c r="W116" i="21"/>
  <c r="W326" i="12"/>
  <c r="CL110" i="11"/>
  <c r="Y116" i="21"/>
  <c r="Y326" i="12"/>
  <c r="CV110" i="11"/>
  <c r="AA116" i="21"/>
  <c r="D252" i="2"/>
  <c r="AA326" i="12"/>
  <c r="DF110" i="11"/>
  <c r="O42" i="11"/>
  <c r="N42" i="11" s="1"/>
  <c r="H367" i="12"/>
  <c r="F52" i="24" s="1"/>
  <c r="Y42" i="11"/>
  <c r="J367" i="12"/>
  <c r="H52" i="24" s="1"/>
  <c r="AI42" i="11"/>
  <c r="L367" i="12"/>
  <c r="J52" i="24" s="1"/>
  <c r="AS42" i="11"/>
  <c r="N367" i="12"/>
  <c r="L52" i="24" s="1"/>
  <c r="BC42" i="11"/>
  <c r="P367" i="12"/>
  <c r="N52" i="24" s="1"/>
  <c r="BM42" i="11"/>
  <c r="R367" i="12"/>
  <c r="P52" i="24" s="1"/>
  <c r="BW42" i="11"/>
  <c r="T367" i="12"/>
  <c r="R52" i="24" s="1"/>
  <c r="CG42" i="11"/>
  <c r="V367" i="12"/>
  <c r="T52" i="24" s="1"/>
  <c r="CQ42" i="11"/>
  <c r="X367" i="12"/>
  <c r="V52" i="24" s="1"/>
  <c r="DA42" i="11"/>
  <c r="Z367" i="12"/>
  <c r="X52" i="24" s="1"/>
  <c r="I41" i="21"/>
  <c r="I368" i="12"/>
  <c r="G53" i="24" s="1"/>
  <c r="T41" i="11"/>
  <c r="K41" i="21"/>
  <c r="K368" i="12"/>
  <c r="I53" i="24" s="1"/>
  <c r="AD41" i="11"/>
  <c r="M41" i="21"/>
  <c r="M368" i="12"/>
  <c r="K53" i="24" s="1"/>
  <c r="AN41" i="11"/>
  <c r="O41" i="21"/>
  <c r="O368" i="12"/>
  <c r="M53" i="24" s="1"/>
  <c r="AX41" i="11"/>
  <c r="Q41" i="21"/>
  <c r="Q368" i="12"/>
  <c r="O53" i="24" s="1"/>
  <c r="BH41" i="11"/>
  <c r="S41" i="21"/>
  <c r="S368" i="12"/>
  <c r="Q53" i="24" s="1"/>
  <c r="BR41" i="11"/>
  <c r="U41" i="21"/>
  <c r="U368" i="12"/>
  <c r="S53" i="24" s="1"/>
  <c r="CB41" i="11"/>
  <c r="W41" i="21"/>
  <c r="W368" i="12"/>
  <c r="U53" i="24" s="1"/>
  <c r="CL41" i="11"/>
  <c r="Y41" i="21"/>
  <c r="Y368" i="12"/>
  <c r="W53" i="24" s="1"/>
  <c r="CV41" i="11"/>
  <c r="AA41" i="21"/>
  <c r="D154" i="2"/>
  <c r="AA368" i="12"/>
  <c r="Y53" i="24" s="1"/>
  <c r="DF41" i="11"/>
  <c r="H101" i="21"/>
  <c r="H349" i="12"/>
  <c r="F5" i="24"/>
  <c r="J101" i="21"/>
  <c r="J349" i="12"/>
  <c r="H5" i="24"/>
  <c r="L101" i="21"/>
  <c r="L349" i="12"/>
  <c r="J5" i="24"/>
  <c r="N101" i="21"/>
  <c r="N349" i="12"/>
  <c r="L5" i="24"/>
  <c r="P101" i="21"/>
  <c r="P349" i="12"/>
  <c r="N5" i="24"/>
  <c r="R101" i="21"/>
  <c r="R349" i="12"/>
  <c r="P5" i="24"/>
  <c r="T101" i="21"/>
  <c r="T349" i="12"/>
  <c r="R5" i="24"/>
  <c r="V101" i="21"/>
  <c r="V349" i="12"/>
  <c r="T5" i="24"/>
  <c r="X101" i="21"/>
  <c r="X349" i="12"/>
  <c r="V5" i="24"/>
  <c r="Z101" i="21"/>
  <c r="C236" i="2"/>
  <c r="AT236" i="2" s="1"/>
  <c r="Z349" i="12"/>
  <c r="X5" i="24"/>
  <c r="G101" i="17"/>
  <c r="J23" i="17"/>
  <c r="M33" i="17" s="1"/>
  <c r="I101" i="17"/>
  <c r="I27" i="17"/>
  <c r="I6" i="17" s="1"/>
  <c r="K101" i="17"/>
  <c r="K32" i="17"/>
  <c r="K27" i="17"/>
  <c r="K6" i="17" s="1"/>
  <c r="H12" i="22" s="1"/>
  <c r="N23" i="17"/>
  <c r="Q33" i="17" s="1"/>
  <c r="M101" i="17"/>
  <c r="M34" i="17"/>
  <c r="M32" i="17"/>
  <c r="M27" i="17"/>
  <c r="M6" i="17" s="1"/>
  <c r="J12" i="22" s="1"/>
  <c r="O101" i="17"/>
  <c r="R23" i="17"/>
  <c r="U33" i="17" s="1"/>
  <c r="O32" i="17"/>
  <c r="O27" i="17"/>
  <c r="O6" i="17" s="1"/>
  <c r="L12" i="22" s="1"/>
  <c r="Q101" i="17"/>
  <c r="Q34" i="17"/>
  <c r="Q32" i="17"/>
  <c r="Q27" i="17"/>
  <c r="Q6" i="17" s="1"/>
  <c r="N12" i="22" s="1"/>
  <c r="S101" i="17"/>
  <c r="S32" i="17"/>
  <c r="S27" i="17"/>
  <c r="S6" i="17" s="1"/>
  <c r="P12" i="22" s="1"/>
  <c r="V23" i="17"/>
  <c r="Y33" i="17" s="1"/>
  <c r="U101" i="17"/>
  <c r="U34" i="17"/>
  <c r="U32" i="17"/>
  <c r="U27" i="17"/>
  <c r="U6" i="17" s="1"/>
  <c r="R12" i="22" s="1"/>
  <c r="W101" i="17"/>
  <c r="Z23" i="17"/>
  <c r="W32" i="17"/>
  <c r="W27" i="17"/>
  <c r="W6" i="17" s="1"/>
  <c r="T12" i="22" s="1"/>
  <c r="Y101" i="17"/>
  <c r="Y34" i="17"/>
  <c r="Y32" i="17"/>
  <c r="Y27" i="17"/>
  <c r="Y6" i="17" s="1"/>
  <c r="V12" i="22" s="1"/>
  <c r="AA101" i="17"/>
  <c r="AC33" i="17"/>
  <c r="AA32" i="17"/>
  <c r="AA27" i="17"/>
  <c r="AA6" i="17" s="1"/>
  <c r="X12" i="22" s="1"/>
  <c r="AD23" i="17"/>
  <c r="AG33" i="17" s="1"/>
  <c r="AC101" i="17"/>
  <c r="AC34" i="17"/>
  <c r="AC32" i="17"/>
  <c r="AC27" i="17"/>
  <c r="AC6" i="17" s="1"/>
  <c r="Z12" i="22" s="1"/>
  <c r="AE101" i="17"/>
  <c r="AH23" i="17"/>
  <c r="AK33" i="17" s="1"/>
  <c r="AE32" i="17"/>
  <c r="AE27" i="17"/>
  <c r="AE6" i="17" s="1"/>
  <c r="AB12" i="22" s="1"/>
  <c r="AG101" i="17"/>
  <c r="AG34" i="17"/>
  <c r="AG32" i="17"/>
  <c r="AG27" i="17"/>
  <c r="AG6" i="17" s="1"/>
  <c r="AD12" i="22" s="1"/>
  <c r="AI101" i="17"/>
  <c r="AI32" i="17"/>
  <c r="AI27" i="17"/>
  <c r="AI6" i="17" s="1"/>
  <c r="AF12" i="22" s="1"/>
  <c r="AL23" i="17"/>
  <c r="AO33" i="17" s="1"/>
  <c r="AK101" i="17"/>
  <c r="AK34" i="17"/>
  <c r="AK32" i="17"/>
  <c r="AK27" i="17"/>
  <c r="AK6" i="17" s="1"/>
  <c r="AH12" i="22" s="1"/>
  <c r="AM101" i="17"/>
  <c r="AP23" i="17"/>
  <c r="AM32" i="17"/>
  <c r="AM27" i="17"/>
  <c r="AM6" i="17" s="1"/>
  <c r="AJ12" i="22" s="1"/>
  <c r="AO101" i="17"/>
  <c r="AO34" i="17"/>
  <c r="AO32" i="17"/>
  <c r="AO27" i="17"/>
  <c r="AO6" i="17" s="1"/>
  <c r="AL12" i="22" s="1"/>
  <c r="AQ101" i="17"/>
  <c r="AS33" i="17"/>
  <c r="AQ32" i="17"/>
  <c r="AQ27" i="17"/>
  <c r="AQ6" i="17" s="1"/>
  <c r="AN12" i="22" s="1"/>
  <c r="AT23" i="17"/>
  <c r="AW33" i="17" s="1"/>
  <c r="AS101" i="17"/>
  <c r="AS34" i="17"/>
  <c r="AS32" i="17"/>
  <c r="AS27" i="17"/>
  <c r="AS6" i="17" s="1"/>
  <c r="AP12" i="22" s="1"/>
  <c r="AU101" i="17"/>
  <c r="AX23" i="17"/>
  <c r="BA33" i="17" s="1"/>
  <c r="AU32" i="17"/>
  <c r="AU27" i="17"/>
  <c r="AU6" i="17" s="1"/>
  <c r="AR12" i="22" s="1"/>
  <c r="AW101" i="17"/>
  <c r="AW34" i="17"/>
  <c r="AW32" i="17"/>
  <c r="AW27" i="17"/>
  <c r="AW6" i="17" s="1"/>
  <c r="AT12" i="22" s="1"/>
  <c r="AY101" i="17"/>
  <c r="AY32" i="17"/>
  <c r="AY27" i="17"/>
  <c r="AY6" i="17" s="1"/>
  <c r="AV12" i="22" s="1"/>
  <c r="BB23" i="17"/>
  <c r="BE33" i="17" s="1"/>
  <c r="BA101" i="17"/>
  <c r="BA34" i="17"/>
  <c r="BA32" i="17"/>
  <c r="BA27" i="17"/>
  <c r="BA6" i="17" s="1"/>
  <c r="AX12" i="22" s="1"/>
  <c r="BC101" i="17"/>
  <c r="BF23" i="17"/>
  <c r="BI33" i="17" s="1"/>
  <c r="BC32" i="17"/>
  <c r="BC27" i="17"/>
  <c r="BC6" i="17" s="1"/>
  <c r="AZ12" i="22" s="1"/>
  <c r="BE101" i="17"/>
  <c r="BE34" i="17"/>
  <c r="BE32" i="17"/>
  <c r="BE27" i="17"/>
  <c r="BE6" i="17" s="1"/>
  <c r="BB12" i="22" s="1"/>
  <c r="BG101" i="17"/>
  <c r="BG32" i="17"/>
  <c r="BG27" i="17"/>
  <c r="BG6" i="17" s="1"/>
  <c r="BD12" i="22" s="1"/>
  <c r="BJ23" i="17"/>
  <c r="BM33" i="17" s="1"/>
  <c r="BI101" i="17"/>
  <c r="BI34" i="17"/>
  <c r="BI32" i="17"/>
  <c r="BI27" i="17"/>
  <c r="BI6" i="17" s="1"/>
  <c r="BF12" i="22" s="1"/>
  <c r="BK101" i="17"/>
  <c r="BN23" i="17"/>
  <c r="BQ33" i="17" s="1"/>
  <c r="BK32" i="17"/>
  <c r="BK27" i="17"/>
  <c r="BK6" i="17" s="1"/>
  <c r="BH12" i="22" s="1"/>
  <c r="BM101" i="17"/>
  <c r="BM34" i="17"/>
  <c r="BM32" i="17"/>
  <c r="BM27" i="17"/>
  <c r="BM6" i="17" s="1"/>
  <c r="BJ12" i="22" s="1"/>
  <c r="BO101" i="17"/>
  <c r="BO32" i="17"/>
  <c r="BO27" i="17"/>
  <c r="BO6" i="17" s="1"/>
  <c r="BL12" i="22" s="1"/>
  <c r="BR23" i="17"/>
  <c r="BU33" i="17" s="1"/>
  <c r="BQ101" i="17"/>
  <c r="BQ34" i="17"/>
  <c r="BQ32" i="17"/>
  <c r="BQ27" i="17"/>
  <c r="BQ6" i="17" s="1"/>
  <c r="BN12" i="22" s="1"/>
  <c r="BS101" i="17"/>
  <c r="BV23" i="17"/>
  <c r="BS32" i="17"/>
  <c r="BS27" i="17"/>
  <c r="BS6" i="17" s="1"/>
  <c r="BP12" i="22" s="1"/>
  <c r="BU101" i="17"/>
  <c r="BU34" i="17"/>
  <c r="BU32" i="17"/>
  <c r="BU27" i="17"/>
  <c r="BU6" i="17" s="1"/>
  <c r="BR12" i="22" s="1"/>
  <c r="BW101" i="17"/>
  <c r="BY33" i="17"/>
  <c r="BW32" i="17"/>
  <c r="BW27" i="17"/>
  <c r="BW6" i="17" s="1"/>
  <c r="BT12" i="22" s="1"/>
  <c r="BZ23" i="17"/>
  <c r="CC33" i="17" s="1"/>
  <c r="BY101" i="17"/>
  <c r="BY34" i="17"/>
  <c r="BY32" i="17"/>
  <c r="BY27" i="17"/>
  <c r="BY6" i="17" s="1"/>
  <c r="BV12" i="22" s="1"/>
  <c r="CA101" i="17"/>
  <c r="CD23" i="17"/>
  <c r="CA32" i="17"/>
  <c r="CA27" i="17"/>
  <c r="CA6" i="17" s="1"/>
  <c r="BX12" i="22" s="1"/>
  <c r="CC101" i="17"/>
  <c r="CC34" i="17"/>
  <c r="CC32" i="17"/>
  <c r="CC27" i="17"/>
  <c r="CC6" i="17" s="1"/>
  <c r="BZ12" i="22" s="1"/>
  <c r="CE101" i="17"/>
  <c r="CG33" i="17"/>
  <c r="CE32" i="17"/>
  <c r="CE27" i="17"/>
  <c r="CE6" i="17" s="1"/>
  <c r="CB12" i="22" s="1"/>
  <c r="CH23" i="17"/>
  <c r="CK33" i="17" s="1"/>
  <c r="CG101" i="17"/>
  <c r="CG34" i="17"/>
  <c r="CG32" i="17"/>
  <c r="CG27" i="17"/>
  <c r="CG6" i="17" s="1"/>
  <c r="CD12" i="22" s="1"/>
  <c r="CI101" i="17"/>
  <c r="CL23" i="17"/>
  <c r="CM33" i="17" s="1"/>
  <c r="CI32" i="17"/>
  <c r="CI27" i="17"/>
  <c r="CI6" i="17" s="1"/>
  <c r="CF12" i="22" s="1"/>
  <c r="CK101" i="17"/>
  <c r="CK34" i="17"/>
  <c r="CK32" i="17"/>
  <c r="CK27" i="17"/>
  <c r="CK6" i="17" s="1"/>
  <c r="CH12" i="22" s="1"/>
  <c r="CM101" i="17"/>
  <c r="CO33" i="17"/>
  <c r="CM32" i="17"/>
  <c r="CM27" i="17"/>
  <c r="CM6" i="17" s="1"/>
  <c r="CP23" i="17"/>
  <c r="CO101" i="17"/>
  <c r="CO34" i="17"/>
  <c r="CO32" i="17"/>
  <c r="CO27" i="17"/>
  <c r="CO6" i="17" s="1"/>
  <c r="G102" i="17"/>
  <c r="J42" i="17"/>
  <c r="M52" i="17" s="1"/>
  <c r="I102" i="17"/>
  <c r="I46" i="17"/>
  <c r="I7" i="17" s="1"/>
  <c r="K102" i="17"/>
  <c r="K51" i="17"/>
  <c r="K46" i="17"/>
  <c r="K7" i="17" s="1"/>
  <c r="H13" i="22" s="1"/>
  <c r="N42" i="17"/>
  <c r="H148" i="12" s="1"/>
  <c r="M102" i="17"/>
  <c r="M53" i="17"/>
  <c r="M51" i="17"/>
  <c r="M46" i="17"/>
  <c r="M7" i="17" s="1"/>
  <c r="J13" i="22" s="1"/>
  <c r="O102" i="17"/>
  <c r="R42" i="17"/>
  <c r="O51" i="17"/>
  <c r="O46" i="17"/>
  <c r="O7" i="17" s="1"/>
  <c r="L13" i="22" s="1"/>
  <c r="Q102" i="17"/>
  <c r="Q53" i="17"/>
  <c r="Q51" i="17"/>
  <c r="Q46" i="17"/>
  <c r="Q7" i="17" s="1"/>
  <c r="N13" i="22" s="1"/>
  <c r="S102" i="17"/>
  <c r="U52" i="17"/>
  <c r="S51" i="17"/>
  <c r="S46" i="17"/>
  <c r="S7" i="17" s="1"/>
  <c r="P13" i="22" s="1"/>
  <c r="V42" i="17"/>
  <c r="Y52" i="17" s="1"/>
  <c r="U102" i="17"/>
  <c r="U53" i="17"/>
  <c r="U51" i="17"/>
  <c r="U46" i="17"/>
  <c r="U7" i="17" s="1"/>
  <c r="R13" i="22" s="1"/>
  <c r="W102" i="17"/>
  <c r="Z42" i="17"/>
  <c r="W51" i="17"/>
  <c r="W46" i="17"/>
  <c r="W7" i="17" s="1"/>
  <c r="T13" i="22" s="1"/>
  <c r="Y102" i="17"/>
  <c r="Y53" i="17"/>
  <c r="Y51" i="17"/>
  <c r="Y46" i="17"/>
  <c r="Y7" i="17" s="1"/>
  <c r="V13" i="22" s="1"/>
  <c r="AA102" i="17"/>
  <c r="AC52" i="17"/>
  <c r="AA51" i="17"/>
  <c r="AA46" i="17"/>
  <c r="AA7" i="17" s="1"/>
  <c r="X13" i="22" s="1"/>
  <c r="AD42" i="17"/>
  <c r="AG52" i="17" s="1"/>
  <c r="AC102" i="17"/>
  <c r="AC53" i="17"/>
  <c r="AC51" i="17"/>
  <c r="AC46" i="17"/>
  <c r="AC7" i="17" s="1"/>
  <c r="Z13" i="22" s="1"/>
  <c r="AE102" i="17"/>
  <c r="AH42" i="17"/>
  <c r="AE51" i="17"/>
  <c r="AE46" i="17"/>
  <c r="AE7" i="17" s="1"/>
  <c r="AB13" i="22" s="1"/>
  <c r="AG102" i="17"/>
  <c r="AG53" i="17"/>
  <c r="AG51" i="17"/>
  <c r="AG46" i="17"/>
  <c r="AG7" i="17" s="1"/>
  <c r="AD13" i="22" s="1"/>
  <c r="AI102" i="17"/>
  <c r="AK52" i="17"/>
  <c r="AI51" i="17"/>
  <c r="AI46" i="17"/>
  <c r="AI7" i="17" s="1"/>
  <c r="AF13" i="22" s="1"/>
  <c r="AL42" i="17"/>
  <c r="AO52" i="17" s="1"/>
  <c r="AK102" i="17"/>
  <c r="AK53" i="17"/>
  <c r="AK51" i="17"/>
  <c r="AK46" i="17"/>
  <c r="AK7" i="17" s="1"/>
  <c r="AH13" i="22" s="1"/>
  <c r="AM102" i="17"/>
  <c r="AP42" i="17"/>
  <c r="AM51" i="17"/>
  <c r="AM46" i="17"/>
  <c r="AM7" i="17" s="1"/>
  <c r="AJ13" i="22" s="1"/>
  <c r="AO102" i="17"/>
  <c r="AO53" i="17"/>
  <c r="AO51" i="17"/>
  <c r="AO46" i="17"/>
  <c r="AO7" i="17" s="1"/>
  <c r="AL13" i="22" s="1"/>
  <c r="AQ102" i="17"/>
  <c r="AQ51" i="17"/>
  <c r="AQ46" i="17"/>
  <c r="AQ7" i="17" s="1"/>
  <c r="AN13" i="22" s="1"/>
  <c r="AT42" i="17"/>
  <c r="AS102" i="17"/>
  <c r="AS53" i="17"/>
  <c r="AS51" i="17"/>
  <c r="AS46" i="17"/>
  <c r="AS7" i="17" s="1"/>
  <c r="AP13" i="22" s="1"/>
  <c r="AU102" i="17"/>
  <c r="AX42" i="17"/>
  <c r="BA52" i="17" s="1"/>
  <c r="AU51" i="17"/>
  <c r="AU46" i="17"/>
  <c r="AU7" i="17" s="1"/>
  <c r="AR13" i="22" s="1"/>
  <c r="AW102" i="17"/>
  <c r="AW53" i="17"/>
  <c r="AW51" i="17"/>
  <c r="AW46" i="17"/>
  <c r="AW7" i="17" s="1"/>
  <c r="AT13" i="22" s="1"/>
  <c r="AY102" i="17"/>
  <c r="AY51" i="17"/>
  <c r="AY46" i="17"/>
  <c r="AY7" i="17" s="1"/>
  <c r="AV13" i="22" s="1"/>
  <c r="BB42" i="17"/>
  <c r="BE52" i="17" s="1"/>
  <c r="BA102" i="17"/>
  <c r="BA53" i="17"/>
  <c r="BA51" i="17"/>
  <c r="BA46" i="17"/>
  <c r="BA7" i="17" s="1"/>
  <c r="AX13" i="22" s="1"/>
  <c r="BC102" i="17"/>
  <c r="BF42" i="17"/>
  <c r="BC51" i="17"/>
  <c r="BC46" i="17"/>
  <c r="BC7" i="17" s="1"/>
  <c r="AZ13" i="22" s="1"/>
  <c r="BE102" i="17"/>
  <c r="BE53" i="17"/>
  <c r="BE51" i="17"/>
  <c r="BE46" i="17"/>
  <c r="BE7" i="17" s="1"/>
  <c r="BB13" i="22" s="1"/>
  <c r="BG102" i="17"/>
  <c r="BI52" i="17"/>
  <c r="BG51" i="17"/>
  <c r="BG46" i="17"/>
  <c r="BG7" i="17" s="1"/>
  <c r="BD13" i="22" s="1"/>
  <c r="BJ42" i="17"/>
  <c r="BM52" i="17" s="1"/>
  <c r="BI102" i="17"/>
  <c r="BI53" i="17"/>
  <c r="BI51" i="17"/>
  <c r="BI46" i="17"/>
  <c r="BI7" i="17" s="1"/>
  <c r="BF13" i="22" s="1"/>
  <c r="BK102" i="17"/>
  <c r="BN42" i="17"/>
  <c r="BQ52" i="17" s="1"/>
  <c r="BK51" i="17"/>
  <c r="BK46" i="17"/>
  <c r="BK7" i="17" s="1"/>
  <c r="BH13" i="22" s="1"/>
  <c r="BM102" i="17"/>
  <c r="BM53" i="17"/>
  <c r="BM51" i="17"/>
  <c r="BM46" i="17"/>
  <c r="BM7" i="17" s="1"/>
  <c r="BJ13" i="22" s="1"/>
  <c r="BO102" i="17"/>
  <c r="BO51" i="17"/>
  <c r="BO46" i="17"/>
  <c r="BO7" i="17" s="1"/>
  <c r="BL13" i="22" s="1"/>
  <c r="BR42" i="17"/>
  <c r="BU52" i="17" s="1"/>
  <c r="BQ102" i="17"/>
  <c r="BQ53" i="17"/>
  <c r="BQ51" i="17"/>
  <c r="BQ46" i="17"/>
  <c r="BQ7" i="17" s="1"/>
  <c r="BN13" i="22" s="1"/>
  <c r="BS102" i="17"/>
  <c r="BV42" i="17"/>
  <c r="BS51" i="17"/>
  <c r="BS46" i="17"/>
  <c r="BS7" i="17" s="1"/>
  <c r="BP13" i="22" s="1"/>
  <c r="BU102" i="17"/>
  <c r="BU53" i="17"/>
  <c r="BU51" i="17"/>
  <c r="BU46" i="17"/>
  <c r="BU7" i="17" s="1"/>
  <c r="BR13" i="22" s="1"/>
  <c r="BW102" i="17"/>
  <c r="BY52" i="17"/>
  <c r="BW51" i="17"/>
  <c r="BW46" i="17"/>
  <c r="BW7" i="17" s="1"/>
  <c r="BT13" i="22" s="1"/>
  <c r="BZ42" i="17"/>
  <c r="CC52" i="17" s="1"/>
  <c r="BY102" i="17"/>
  <c r="BY53" i="17"/>
  <c r="BY51" i="17"/>
  <c r="BY46" i="17"/>
  <c r="BY7" i="17" s="1"/>
  <c r="BV13" i="22" s="1"/>
  <c r="CA102" i="17"/>
  <c r="CD42" i="17"/>
  <c r="CG52" i="17" s="1"/>
  <c r="CA51" i="17"/>
  <c r="CA46" i="17"/>
  <c r="CA7" i="17" s="1"/>
  <c r="BX13" i="22" s="1"/>
  <c r="CC102" i="17"/>
  <c r="CC53" i="17"/>
  <c r="CC51" i="17"/>
  <c r="CC46" i="17"/>
  <c r="CC7" i="17" s="1"/>
  <c r="BZ13" i="22" s="1"/>
  <c r="CE102" i="17"/>
  <c r="CE51" i="17"/>
  <c r="CE46" i="17"/>
  <c r="CE7" i="17" s="1"/>
  <c r="CB13" i="22" s="1"/>
  <c r="CH42" i="17"/>
  <c r="CK52" i="17" s="1"/>
  <c r="CG102" i="17"/>
  <c r="CG53" i="17"/>
  <c r="CG51" i="17"/>
  <c r="CG46" i="17"/>
  <c r="CG7" i="17" s="1"/>
  <c r="CD13" i="22" s="1"/>
  <c r="CI102" i="17"/>
  <c r="CL42" i="17"/>
  <c r="CI51" i="17"/>
  <c r="CI46" i="17"/>
  <c r="CI7" i="17" s="1"/>
  <c r="CF13" i="22" s="1"/>
  <c r="CK102" i="17"/>
  <c r="CK53" i="17"/>
  <c r="CK51" i="17"/>
  <c r="CK46" i="17"/>
  <c r="CK7" i="17" s="1"/>
  <c r="CH13" i="22" s="1"/>
  <c r="CM102" i="17"/>
  <c r="CO52" i="17"/>
  <c r="CM51" i="17"/>
  <c r="CM46" i="17"/>
  <c r="CM7" i="17" s="1"/>
  <c r="CP42" i="17"/>
  <c r="CO102" i="17"/>
  <c r="CO53" i="17"/>
  <c r="CO51" i="17"/>
  <c r="CO46" i="17"/>
  <c r="CO7" i="17" s="1"/>
  <c r="I76" i="17"/>
  <c r="K76" i="17"/>
  <c r="N61" i="17"/>
  <c r="N77" i="17" s="1"/>
  <c r="M76" i="17"/>
  <c r="O76" i="17"/>
  <c r="R61" i="17"/>
  <c r="Q76" i="17"/>
  <c r="S76" i="17"/>
  <c r="V61" i="17"/>
  <c r="U76" i="17"/>
  <c r="W76" i="17"/>
  <c r="Z61" i="17"/>
  <c r="Y76" i="17"/>
  <c r="AA76" i="17"/>
  <c r="AD61" i="17"/>
  <c r="AC76" i="17"/>
  <c r="AE76" i="17"/>
  <c r="AH61" i="17"/>
  <c r="AG76" i="17"/>
  <c r="AI76" i="17"/>
  <c r="AL61" i="17"/>
  <c r="AK76" i="17"/>
  <c r="AM76" i="17"/>
  <c r="AP61" i="17"/>
  <c r="AO76" i="17"/>
  <c r="AQ76" i="17"/>
  <c r="AT61" i="17"/>
  <c r="AS76" i="17"/>
  <c r="AU76" i="17"/>
  <c r="AX61" i="17"/>
  <c r="AW76" i="17"/>
  <c r="AY76" i="17"/>
  <c r="BB61" i="17"/>
  <c r="BA76" i="17"/>
  <c r="BC76" i="17"/>
  <c r="BF61" i="17"/>
  <c r="BE76" i="17"/>
  <c r="BG76" i="17"/>
  <c r="BJ61" i="17"/>
  <c r="BI76" i="17"/>
  <c r="BK76" i="17"/>
  <c r="BN61" i="17"/>
  <c r="BM76" i="17"/>
  <c r="BO76" i="17"/>
  <c r="BR61" i="17"/>
  <c r="BQ76" i="17"/>
  <c r="BS76" i="17"/>
  <c r="BV61" i="17"/>
  <c r="BU76" i="17"/>
  <c r="BW76" i="17"/>
  <c r="BZ61" i="17"/>
  <c r="BY76" i="17"/>
  <c r="I79" i="17"/>
  <c r="K79" i="17"/>
  <c r="N64" i="17"/>
  <c r="N80" i="17" s="1"/>
  <c r="M79" i="17"/>
  <c r="R64" i="17"/>
  <c r="O79" i="17"/>
  <c r="Q79" i="17"/>
  <c r="S79" i="17"/>
  <c r="V64" i="17"/>
  <c r="V80" i="17" s="1"/>
  <c r="U79" i="17"/>
  <c r="Z64" i="17"/>
  <c r="W79" i="17"/>
  <c r="Y79" i="17"/>
  <c r="AA79" i="17"/>
  <c r="AD64" i="17"/>
  <c r="AD80" i="17" s="1"/>
  <c r="AC79" i="17"/>
  <c r="AH64" i="17"/>
  <c r="AE79" i="17"/>
  <c r="AG79" i="17"/>
  <c r="AI79" i="17"/>
  <c r="AL64" i="17"/>
  <c r="AL80" i="17" s="1"/>
  <c r="AK79" i="17"/>
  <c r="AP64" i="17"/>
  <c r="AM79" i="17"/>
  <c r="AO79" i="17"/>
  <c r="AQ79" i="17"/>
  <c r="AT64" i="17"/>
  <c r="AT80" i="17" s="1"/>
  <c r="AS79" i="17"/>
  <c r="AX64" i="17"/>
  <c r="AU79" i="17"/>
  <c r="AW79" i="17"/>
  <c r="AY79" i="17"/>
  <c r="BB64" i="17"/>
  <c r="BB80" i="17" s="1"/>
  <c r="BA79" i="17"/>
  <c r="BF64" i="17"/>
  <c r="BC79" i="17"/>
  <c r="BE79" i="17"/>
  <c r="BG79" i="17"/>
  <c r="BJ64" i="17"/>
  <c r="BJ80" i="17" s="1"/>
  <c r="BN64" i="17"/>
  <c r="BK79" i="17"/>
  <c r="BO79" i="17"/>
  <c r="BR64" i="17"/>
  <c r="BV64" i="17"/>
  <c r="BS79" i="17"/>
  <c r="BW79" i="17"/>
  <c r="BZ64" i="17"/>
  <c r="D3" i="24"/>
  <c r="AG21" i="24"/>
  <c r="AG22" i="24"/>
  <c r="AG25" i="24"/>
  <c r="H51" i="21"/>
  <c r="H20" i="8"/>
  <c r="H14" i="8"/>
  <c r="J51" i="21"/>
  <c r="J20" i="8"/>
  <c r="J14" i="8"/>
  <c r="L51" i="21"/>
  <c r="L20" i="8"/>
  <c r="L14" i="8"/>
  <c r="N51" i="21"/>
  <c r="N20" i="8"/>
  <c r="N14" i="8"/>
  <c r="P51" i="21"/>
  <c r="P20" i="8"/>
  <c r="P14" i="8"/>
  <c r="R51" i="21"/>
  <c r="R20" i="8"/>
  <c r="R14" i="8"/>
  <c r="T51" i="21"/>
  <c r="T20" i="8"/>
  <c r="T14" i="8"/>
  <c r="V51" i="21"/>
  <c r="V20" i="8"/>
  <c r="V14" i="8"/>
  <c r="X51" i="21"/>
  <c r="X20" i="8"/>
  <c r="X14" i="8"/>
  <c r="Z51" i="21"/>
  <c r="C175" i="2"/>
  <c r="AT175" i="2" s="1"/>
  <c r="Z20" i="8"/>
  <c r="Z14" i="8"/>
  <c r="AB51" i="21"/>
  <c r="AB20" i="8"/>
  <c r="AB14" i="8"/>
  <c r="AB8" i="8"/>
  <c r="AB6" i="8"/>
  <c r="G6" i="8"/>
  <c r="I52" i="21"/>
  <c r="I6" i="8"/>
  <c r="I21" i="8"/>
  <c r="I15" i="8"/>
  <c r="K52" i="21"/>
  <c r="K6" i="8"/>
  <c r="K21" i="8"/>
  <c r="K15" i="8"/>
  <c r="M52" i="21"/>
  <c r="M6" i="8"/>
  <c r="M21" i="8"/>
  <c r="M15" i="8"/>
  <c r="O52" i="21"/>
  <c r="O6" i="8"/>
  <c r="O21" i="8"/>
  <c r="O15" i="8"/>
  <c r="Q52" i="21"/>
  <c r="Q6" i="8"/>
  <c r="Q21" i="8"/>
  <c r="Q15" i="8"/>
  <c r="S52" i="21"/>
  <c r="S6" i="8"/>
  <c r="S21" i="8"/>
  <c r="S15" i="8"/>
  <c r="U52" i="21"/>
  <c r="U6" i="8"/>
  <c r="U21" i="8"/>
  <c r="U15" i="8"/>
  <c r="W52" i="21"/>
  <c r="W6" i="8"/>
  <c r="W21" i="8"/>
  <c r="W15" i="8"/>
  <c r="Y52" i="21"/>
  <c r="Y6" i="8"/>
  <c r="Y21" i="8"/>
  <c r="Y15" i="8"/>
  <c r="AA52" i="21"/>
  <c r="D176" i="2"/>
  <c r="AB21" i="8"/>
  <c r="AB15" i="8"/>
  <c r="AA6" i="8"/>
  <c r="AA21" i="8"/>
  <c r="AA15" i="8"/>
  <c r="G8" i="8"/>
  <c r="I53" i="21"/>
  <c r="I22" i="8"/>
  <c r="I16" i="8"/>
  <c r="I8" i="8"/>
  <c r="K53" i="21"/>
  <c r="K22" i="8"/>
  <c r="K16" i="8"/>
  <c r="K8" i="8"/>
  <c r="M53" i="21"/>
  <c r="M22" i="8"/>
  <c r="M16" i="8"/>
  <c r="M8" i="8"/>
  <c r="O53" i="21"/>
  <c r="O22" i="8"/>
  <c r="O16" i="8"/>
  <c r="O8" i="8"/>
  <c r="Q53" i="21"/>
  <c r="Q22" i="8"/>
  <c r="Q16" i="8"/>
  <c r="Q8" i="8"/>
  <c r="S53" i="21"/>
  <c r="S22" i="8"/>
  <c r="S16" i="8"/>
  <c r="S8" i="8"/>
  <c r="U53" i="21"/>
  <c r="U22" i="8"/>
  <c r="U16" i="8"/>
  <c r="U8" i="8"/>
  <c r="W53" i="21"/>
  <c r="W22" i="8"/>
  <c r="W16" i="8"/>
  <c r="W8" i="8"/>
  <c r="Y53" i="21"/>
  <c r="Y22" i="8"/>
  <c r="Y16" i="8"/>
  <c r="Y8" i="8"/>
  <c r="AA53" i="21"/>
  <c r="D177" i="2"/>
  <c r="AU177" i="2" s="1"/>
  <c r="AA22" i="8"/>
  <c r="AA16" i="8"/>
  <c r="AB22" i="8"/>
  <c r="AB16" i="8"/>
  <c r="AA8" i="8"/>
  <c r="G243" i="8"/>
  <c r="G244" i="8" s="1"/>
  <c r="G248" i="8" s="1"/>
  <c r="G32" i="8"/>
  <c r="I45" i="21"/>
  <c r="I243" i="8"/>
  <c r="I61" i="8"/>
  <c r="I50" i="8"/>
  <c r="I32" i="8"/>
  <c r="K45" i="21"/>
  <c r="K243" i="8"/>
  <c r="K61" i="8"/>
  <c r="K50" i="8"/>
  <c r="K32" i="8"/>
  <c r="M45" i="21"/>
  <c r="M243" i="8"/>
  <c r="M61" i="8"/>
  <c r="M50" i="8"/>
  <c r="M32" i="8"/>
  <c r="O45" i="21"/>
  <c r="O243" i="8"/>
  <c r="O61" i="8"/>
  <c r="O50" i="8"/>
  <c r="O32" i="8"/>
  <c r="Q45" i="21"/>
  <c r="Q243" i="8"/>
  <c r="Q61" i="8"/>
  <c r="Q50" i="8"/>
  <c r="Q32" i="8"/>
  <c r="S45" i="21"/>
  <c r="S243" i="8"/>
  <c r="S61" i="8"/>
  <c r="S50" i="8"/>
  <c r="S32" i="8"/>
  <c r="U45" i="21"/>
  <c r="U243" i="8"/>
  <c r="U61" i="8"/>
  <c r="U50" i="8"/>
  <c r="U32" i="8"/>
  <c r="W45" i="21"/>
  <c r="W243" i="8"/>
  <c r="W61" i="8"/>
  <c r="W50" i="8"/>
  <c r="W32" i="8"/>
  <c r="Y45" i="21"/>
  <c r="Y243" i="8"/>
  <c r="Y61" i="8"/>
  <c r="Y50" i="8"/>
  <c r="Y32" i="8"/>
  <c r="AA45" i="21"/>
  <c r="D159" i="2"/>
  <c r="AA243" i="8"/>
  <c r="AA61" i="8"/>
  <c r="AA50" i="8"/>
  <c r="AA32" i="8"/>
  <c r="H49" i="21"/>
  <c r="H59" i="8"/>
  <c r="H48" i="8"/>
  <c r="H76" i="8"/>
  <c r="H191" i="8" s="1"/>
  <c r="J49" i="21"/>
  <c r="J59" i="8"/>
  <c r="J48" i="8"/>
  <c r="J76" i="8"/>
  <c r="J191" i="8" s="1"/>
  <c r="L49" i="21"/>
  <c r="L59" i="8"/>
  <c r="L48" i="8"/>
  <c r="L76" i="8"/>
  <c r="L191" i="8" s="1"/>
  <c r="N49" i="21"/>
  <c r="N59" i="8"/>
  <c r="N48" i="8"/>
  <c r="N76" i="8"/>
  <c r="N191" i="8" s="1"/>
  <c r="P49" i="21"/>
  <c r="P59" i="8"/>
  <c r="P48" i="8"/>
  <c r="P76" i="8"/>
  <c r="P191" i="8" s="1"/>
  <c r="R49" i="21"/>
  <c r="R59" i="8"/>
  <c r="R48" i="8"/>
  <c r="R76" i="8"/>
  <c r="R191" i="8" s="1"/>
  <c r="T49" i="21"/>
  <c r="T59" i="8"/>
  <c r="T48" i="8"/>
  <c r="T76" i="8"/>
  <c r="T191" i="8" s="1"/>
  <c r="V49" i="21"/>
  <c r="V59" i="8"/>
  <c r="V48" i="8"/>
  <c r="V76" i="8"/>
  <c r="V191" i="8" s="1"/>
  <c r="X49" i="21"/>
  <c r="X59" i="8"/>
  <c r="X48" i="8"/>
  <c r="X76" i="8"/>
  <c r="X191" i="8" s="1"/>
  <c r="Z49" i="21"/>
  <c r="C163" i="2"/>
  <c r="AT163" i="2" s="1"/>
  <c r="Z59" i="8"/>
  <c r="Z48" i="8"/>
  <c r="Z76" i="8"/>
  <c r="Z191" i="8" s="1"/>
  <c r="AB49" i="21"/>
  <c r="AB59" i="8"/>
  <c r="AB48" i="8"/>
  <c r="AB76" i="8"/>
  <c r="G98" i="8"/>
  <c r="G99" i="8" s="1"/>
  <c r="G35" i="8"/>
  <c r="G11" i="8" s="1"/>
  <c r="G38" i="8" s="1"/>
  <c r="E46" i="24" s="1"/>
  <c r="I98" i="8"/>
  <c r="I35" i="8"/>
  <c r="I11" i="8" s="1"/>
  <c r="I38" i="8" s="1"/>
  <c r="G46" i="24" s="1"/>
  <c r="K98" i="8"/>
  <c r="K35" i="8"/>
  <c r="K11" i="8" s="1"/>
  <c r="K38" i="8" s="1"/>
  <c r="I46" i="24" s="1"/>
  <c r="M98" i="8"/>
  <c r="M35" i="8"/>
  <c r="M11" i="8" s="1"/>
  <c r="M38" i="8" s="1"/>
  <c r="K46" i="24" s="1"/>
  <c r="O98" i="8"/>
  <c r="O35" i="8"/>
  <c r="O11" i="8" s="1"/>
  <c r="O38" i="8" s="1"/>
  <c r="M46" i="24" s="1"/>
  <c r="Q98" i="8"/>
  <c r="Q35" i="8"/>
  <c r="Q11" i="8" s="1"/>
  <c r="Q38" i="8" s="1"/>
  <c r="O46" i="24" s="1"/>
  <c r="S98" i="8"/>
  <c r="S35" i="8"/>
  <c r="S11" i="8" s="1"/>
  <c r="S38" i="8" s="1"/>
  <c r="Q46" i="24" s="1"/>
  <c r="U98" i="8"/>
  <c r="U35" i="8"/>
  <c r="U11" i="8" s="1"/>
  <c r="U38" i="8" s="1"/>
  <c r="S46" i="24" s="1"/>
  <c r="W98" i="8"/>
  <c r="W35" i="8"/>
  <c r="W11" i="8" s="1"/>
  <c r="W38" i="8" s="1"/>
  <c r="U46" i="24" s="1"/>
  <c r="Y98" i="8"/>
  <c r="Y35" i="8"/>
  <c r="Y11" i="8" s="1"/>
  <c r="Y38" i="8" s="1"/>
  <c r="W46" i="24" s="1"/>
  <c r="AA98" i="8"/>
  <c r="AA35" i="8"/>
  <c r="AA11" i="8" s="1"/>
  <c r="AA38" i="8" s="1"/>
  <c r="Y46" i="24" s="1"/>
  <c r="H54" i="21"/>
  <c r="H64" i="8"/>
  <c r="H53" i="8"/>
  <c r="J54" i="21"/>
  <c r="J64" i="8"/>
  <c r="J53" i="8"/>
  <c r="L54" i="21"/>
  <c r="L64" i="8"/>
  <c r="L53" i="8"/>
  <c r="N54" i="21"/>
  <c r="N64" i="8"/>
  <c r="N53" i="8"/>
  <c r="P54" i="21"/>
  <c r="P64" i="8"/>
  <c r="P53" i="8"/>
  <c r="R54" i="21"/>
  <c r="R64" i="8"/>
  <c r="R53" i="8"/>
  <c r="T54" i="21"/>
  <c r="T64" i="8"/>
  <c r="T53" i="8"/>
  <c r="V54" i="21"/>
  <c r="V64" i="8"/>
  <c r="V53" i="8"/>
  <c r="X54" i="21"/>
  <c r="X64" i="8"/>
  <c r="X53" i="8"/>
  <c r="Z54" i="21"/>
  <c r="C178" i="2"/>
  <c r="AT178" i="2" s="1"/>
  <c r="Z64" i="8"/>
  <c r="Z39" i="8" s="1"/>
  <c r="Z53" i="8"/>
  <c r="AB54" i="21"/>
  <c r="AB64" i="8"/>
  <c r="AB53" i="8"/>
  <c r="G555" i="7"/>
  <c r="I555" i="7"/>
  <c r="I549" i="7"/>
  <c r="K555" i="7"/>
  <c r="K549" i="7"/>
  <c r="M555" i="7"/>
  <c r="M549" i="7"/>
  <c r="O555" i="7"/>
  <c r="O549" i="7"/>
  <c r="Q555" i="7"/>
  <c r="Q549" i="7"/>
  <c r="S555" i="7"/>
  <c r="S549" i="7"/>
  <c r="U555" i="7"/>
  <c r="U549" i="7"/>
  <c r="W555" i="7"/>
  <c r="W549" i="7"/>
  <c r="Y555" i="7"/>
  <c r="Y549" i="7"/>
  <c r="G579" i="7"/>
  <c r="I579" i="7"/>
  <c r="I573" i="7"/>
  <c r="K579" i="7"/>
  <c r="K573" i="7"/>
  <c r="M579" i="7"/>
  <c r="M573" i="7"/>
  <c r="O579" i="7"/>
  <c r="O573" i="7"/>
  <c r="Q579" i="7"/>
  <c r="Q573" i="7"/>
  <c r="S579" i="7"/>
  <c r="S573" i="7"/>
  <c r="U579" i="7"/>
  <c r="U573" i="7"/>
  <c r="W579" i="7"/>
  <c r="W573" i="7"/>
  <c r="Y579" i="7"/>
  <c r="Y573" i="7"/>
  <c r="H43" i="21"/>
  <c r="H101" i="7"/>
  <c r="H95" i="7"/>
  <c r="J43" i="21"/>
  <c r="J101" i="7"/>
  <c r="J95" i="7"/>
  <c r="L43" i="21"/>
  <c r="L101" i="7"/>
  <c r="L95" i="7"/>
  <c r="N43" i="21"/>
  <c r="N101" i="7"/>
  <c r="N95" i="7"/>
  <c r="P43" i="21"/>
  <c r="P101" i="7"/>
  <c r="P95" i="7"/>
  <c r="R43" i="21"/>
  <c r="R101" i="7"/>
  <c r="R95" i="7"/>
  <c r="T43" i="21"/>
  <c r="T101" i="7"/>
  <c r="T95" i="7"/>
  <c r="V43" i="21"/>
  <c r="V101" i="7"/>
  <c r="V95" i="7"/>
  <c r="X43" i="21"/>
  <c r="X101" i="7"/>
  <c r="X95" i="7"/>
  <c r="Z43" i="21"/>
  <c r="C157" i="2"/>
  <c r="AT157" i="2" s="1"/>
  <c r="AB43" i="21"/>
  <c r="G231" i="8"/>
  <c r="G189" i="8"/>
  <c r="G247" i="8" s="1"/>
  <c r="G165" i="8"/>
  <c r="I47" i="21"/>
  <c r="I231" i="8"/>
  <c r="I223" i="8"/>
  <c r="I274" i="7" s="1"/>
  <c r="I189" i="8"/>
  <c r="I165" i="8"/>
  <c r="K47" i="21"/>
  <c r="K231" i="8"/>
  <c r="K223" i="8"/>
  <c r="K274" i="7" s="1"/>
  <c r="K189" i="8"/>
  <c r="K165" i="8"/>
  <c r="M47" i="21"/>
  <c r="M231" i="8"/>
  <c r="M223" i="8"/>
  <c r="M274" i="7" s="1"/>
  <c r="M189" i="8"/>
  <c r="M165" i="8"/>
  <c r="O47" i="21"/>
  <c r="O231" i="8"/>
  <c r="O223" i="8"/>
  <c r="O274" i="7" s="1"/>
  <c r="O189" i="8"/>
  <c r="O165" i="8"/>
  <c r="Q47" i="21"/>
  <c r="Q231" i="8"/>
  <c r="Q223" i="8"/>
  <c r="Q274" i="7" s="1"/>
  <c r="Q189" i="8"/>
  <c r="Q165" i="8"/>
  <c r="S47" i="21"/>
  <c r="S231" i="8"/>
  <c r="S223" i="8"/>
  <c r="S274" i="7" s="1"/>
  <c r="S189" i="8"/>
  <c r="S165" i="8"/>
  <c r="U47" i="21"/>
  <c r="U231" i="8"/>
  <c r="U223" i="8"/>
  <c r="U274" i="7" s="1"/>
  <c r="U189" i="8"/>
  <c r="U165" i="8"/>
  <c r="W47" i="21"/>
  <c r="W231" i="8"/>
  <c r="W223" i="8"/>
  <c r="W274" i="7" s="1"/>
  <c r="W189" i="8"/>
  <c r="W165" i="8"/>
  <c r="Y47" i="21"/>
  <c r="Y231" i="8"/>
  <c r="Y223" i="8"/>
  <c r="Y274" i="7" s="1"/>
  <c r="Y189" i="8"/>
  <c r="Y165" i="8"/>
  <c r="AA47" i="21"/>
  <c r="D161" i="2"/>
  <c r="AA231" i="8"/>
  <c r="AA223" i="8"/>
  <c r="AA274" i="7" s="1"/>
  <c r="AA189" i="8"/>
  <c r="AA165" i="8"/>
  <c r="H48" i="21"/>
  <c r="H113" i="8"/>
  <c r="J48" i="21"/>
  <c r="J113" i="8"/>
  <c r="L48" i="21"/>
  <c r="L113" i="8"/>
  <c r="N48" i="21"/>
  <c r="N113" i="8"/>
  <c r="P48" i="21"/>
  <c r="P113" i="8"/>
  <c r="R48" i="21"/>
  <c r="R113" i="8"/>
  <c r="T48" i="21"/>
  <c r="T113" i="8"/>
  <c r="V48" i="21"/>
  <c r="V113" i="8"/>
  <c r="X48" i="21"/>
  <c r="X113" i="8"/>
  <c r="Z48" i="21"/>
  <c r="C162" i="2"/>
  <c r="AT162" i="2" s="1"/>
  <c r="Z113" i="8"/>
  <c r="AB48" i="21"/>
  <c r="AB113" i="8"/>
  <c r="AC120" i="8" s="1"/>
  <c r="E6" i="6"/>
  <c r="G26" i="7"/>
  <c r="I39" i="21"/>
  <c r="Q6" i="6"/>
  <c r="I17" i="7"/>
  <c r="I26" i="7"/>
  <c r="K39" i="21"/>
  <c r="AC6" i="6"/>
  <c r="K17" i="7"/>
  <c r="K26" i="7"/>
  <c r="M39" i="21"/>
  <c r="AO6" i="6"/>
  <c r="M17" i="7"/>
  <c r="M26" i="7"/>
  <c r="O39" i="21"/>
  <c r="BA6" i="6"/>
  <c r="O17" i="7"/>
  <c r="O26" i="7"/>
  <c r="Q39" i="21"/>
  <c r="BM6" i="6"/>
  <c r="Q17" i="7"/>
  <c r="Q26" i="7"/>
  <c r="S39" i="21"/>
  <c r="BY6" i="6"/>
  <c r="S17" i="7"/>
  <c r="S26" i="7"/>
  <c r="U39" i="21"/>
  <c r="CK6" i="6"/>
  <c r="U17" i="7"/>
  <c r="U26" i="7"/>
  <c r="W39" i="21"/>
  <c r="CW6" i="6"/>
  <c r="W17" i="7"/>
  <c r="W26" i="7"/>
  <c r="Y39" i="21"/>
  <c r="DI6" i="6"/>
  <c r="Y17" i="7"/>
  <c r="AA39" i="21"/>
  <c r="D150" i="2"/>
  <c r="DU6" i="6"/>
  <c r="AA17" i="7"/>
  <c r="H40" i="21"/>
  <c r="K7" i="6"/>
  <c r="H62" i="7"/>
  <c r="H54" i="7"/>
  <c r="J40" i="21"/>
  <c r="W7" i="6"/>
  <c r="J62" i="7"/>
  <c r="J54" i="7"/>
  <c r="L40" i="21"/>
  <c r="AI7" i="6"/>
  <c r="L62" i="7"/>
  <c r="L54" i="7"/>
  <c r="N40" i="21"/>
  <c r="AU7" i="6"/>
  <c r="N62" i="7"/>
  <c r="N54" i="7"/>
  <c r="P40" i="21"/>
  <c r="BG7" i="6"/>
  <c r="P62" i="7"/>
  <c r="P54" i="7"/>
  <c r="P49" i="7"/>
  <c r="P51" i="7" s="1"/>
  <c r="R40" i="21"/>
  <c r="BS7" i="6"/>
  <c r="R62" i="7"/>
  <c r="R54" i="7"/>
  <c r="R49" i="7"/>
  <c r="R51" i="7" s="1"/>
  <c r="T40" i="21"/>
  <c r="CE7" i="6"/>
  <c r="T62" i="7"/>
  <c r="T54" i="7"/>
  <c r="T49" i="7"/>
  <c r="T51" i="7" s="1"/>
  <c r="V40" i="21"/>
  <c r="CQ7" i="6"/>
  <c r="V62" i="7"/>
  <c r="V54" i="7"/>
  <c r="V49" i="7"/>
  <c r="V51" i="7" s="1"/>
  <c r="X40" i="21"/>
  <c r="DC7" i="6"/>
  <c r="X54" i="7"/>
  <c r="X49" i="7"/>
  <c r="Z40" i="21"/>
  <c r="C151" i="2"/>
  <c r="AT151" i="2" s="1"/>
  <c r="DO7" i="6"/>
  <c r="Z54" i="7"/>
  <c r="Z49" i="7"/>
  <c r="AB40" i="21"/>
  <c r="EA7" i="6"/>
  <c r="AB54" i="7"/>
  <c r="BC54" i="7" s="1"/>
  <c r="AB49" i="7"/>
  <c r="G130" i="7"/>
  <c r="I130" i="7"/>
  <c r="I124" i="7"/>
  <c r="K130" i="7"/>
  <c r="K124" i="7"/>
  <c r="M130" i="7"/>
  <c r="M124" i="7"/>
  <c r="O130" i="7"/>
  <c r="O124" i="7"/>
  <c r="Q130" i="7"/>
  <c r="Q124" i="7"/>
  <c r="S130" i="7"/>
  <c r="S124" i="7"/>
  <c r="U130" i="7"/>
  <c r="U124" i="7"/>
  <c r="W130" i="7"/>
  <c r="W124" i="7"/>
  <c r="Y130" i="7"/>
  <c r="H69" i="21"/>
  <c r="M8" i="6"/>
  <c r="H108" i="7"/>
  <c r="H99" i="7"/>
  <c r="H93" i="7"/>
  <c r="J69" i="21"/>
  <c r="Y8" i="6"/>
  <c r="J108" i="7"/>
  <c r="J99" i="7"/>
  <c r="J93" i="7"/>
  <c r="L69" i="21"/>
  <c r="AK8" i="6"/>
  <c r="L108" i="7"/>
  <c r="L99" i="7"/>
  <c r="L93" i="7"/>
  <c r="N69" i="21"/>
  <c r="AW8" i="6"/>
  <c r="N108" i="7"/>
  <c r="N99" i="7"/>
  <c r="N93" i="7"/>
  <c r="P69" i="21"/>
  <c r="BI8" i="6"/>
  <c r="P108" i="7"/>
  <c r="P99" i="7"/>
  <c r="P93" i="7"/>
  <c r="R69" i="21"/>
  <c r="BU8" i="6"/>
  <c r="R108" i="7"/>
  <c r="R99" i="7"/>
  <c r="R93" i="7"/>
  <c r="T69" i="21"/>
  <c r="CG8" i="6"/>
  <c r="T108" i="7"/>
  <c r="T99" i="7"/>
  <c r="T93" i="7"/>
  <c r="V69" i="21"/>
  <c r="CS8" i="6"/>
  <c r="V108" i="7"/>
  <c r="V99" i="7"/>
  <c r="V93" i="7"/>
  <c r="X69" i="21"/>
  <c r="DE8" i="6"/>
  <c r="X108" i="7"/>
  <c r="X99" i="7"/>
  <c r="X93" i="7"/>
  <c r="Z69" i="21"/>
  <c r="C200" i="2"/>
  <c r="AT200" i="2" s="1"/>
  <c r="DQ8" i="6"/>
  <c r="Z108" i="7"/>
  <c r="AB69" i="21"/>
  <c r="EC8" i="6"/>
  <c r="AB108" i="7"/>
  <c r="AB128" i="7" s="1"/>
  <c r="G9" i="6"/>
  <c r="G80" i="7"/>
  <c r="G28" i="7"/>
  <c r="I71" i="21"/>
  <c r="S9" i="6"/>
  <c r="I19" i="7"/>
  <c r="I80" i="7"/>
  <c r="I28" i="7"/>
  <c r="K71" i="21"/>
  <c r="AE9" i="6"/>
  <c r="K19" i="7"/>
  <c r="K80" i="7"/>
  <c r="K28" i="7"/>
  <c r="M71" i="21"/>
  <c r="AQ9" i="6"/>
  <c r="M19" i="7"/>
  <c r="M80" i="7"/>
  <c r="M28" i="7"/>
  <c r="O71" i="21"/>
  <c r="BC9" i="6"/>
  <c r="O19" i="7"/>
  <c r="O80" i="7"/>
  <c r="O28" i="7"/>
  <c r="Q71" i="21"/>
  <c r="BO9" i="6"/>
  <c r="Q19" i="7"/>
  <c r="Q80" i="7"/>
  <c r="Q28" i="7"/>
  <c r="S71" i="21"/>
  <c r="CA9" i="6"/>
  <c r="S19" i="7"/>
  <c r="S80" i="7"/>
  <c r="S28" i="7"/>
  <c r="U71" i="21"/>
  <c r="CM9" i="6"/>
  <c r="U19" i="7"/>
  <c r="U80" i="7"/>
  <c r="U28" i="7"/>
  <c r="W71" i="21"/>
  <c r="CY9" i="6"/>
  <c r="W19" i="7"/>
  <c r="W80" i="7"/>
  <c r="W28" i="7"/>
  <c r="Y71" i="21"/>
  <c r="DK9" i="6"/>
  <c r="Y19" i="7"/>
  <c r="Y80" i="7"/>
  <c r="AA71" i="21"/>
  <c r="D202" i="2"/>
  <c r="DW9" i="6"/>
  <c r="AA19" i="7"/>
  <c r="H70" i="21"/>
  <c r="M10" i="6"/>
  <c r="H64" i="7"/>
  <c r="H56" i="7"/>
  <c r="J70" i="21"/>
  <c r="Y10" i="6"/>
  <c r="J64" i="7"/>
  <c r="J56" i="7"/>
  <c r="L70" i="21"/>
  <c r="AK10" i="6"/>
  <c r="L64" i="7"/>
  <c r="L56" i="7"/>
  <c r="N70" i="21"/>
  <c r="AW10" i="6"/>
  <c r="N64" i="7"/>
  <c r="N56" i="7"/>
  <c r="P70" i="21"/>
  <c r="BI10" i="6"/>
  <c r="P64" i="7"/>
  <c r="P56" i="7"/>
  <c r="R70" i="21"/>
  <c r="BU10" i="6"/>
  <c r="R64" i="7"/>
  <c r="R56" i="7"/>
  <c r="T70" i="21"/>
  <c r="CG10" i="6"/>
  <c r="T64" i="7"/>
  <c r="T56" i="7"/>
  <c r="V70" i="21"/>
  <c r="CS10" i="6"/>
  <c r="V64" i="7"/>
  <c r="V56" i="7"/>
  <c r="X70" i="21"/>
  <c r="DE10" i="6"/>
  <c r="X56" i="7"/>
  <c r="Z70" i="21"/>
  <c r="C201" i="2"/>
  <c r="AT201" i="2" s="1"/>
  <c r="DQ10" i="6"/>
  <c r="Z56" i="7"/>
  <c r="AB70" i="21"/>
  <c r="EC10" i="6"/>
  <c r="AB56" i="7"/>
  <c r="BC56" i="7" s="1"/>
  <c r="G11" i="6"/>
  <c r="G229" i="8"/>
  <c r="G81" i="7"/>
  <c r="I72" i="21"/>
  <c r="S11" i="6"/>
  <c r="I229" i="8"/>
  <c r="I221" i="8"/>
  <c r="I81" i="7"/>
  <c r="K72" i="21"/>
  <c r="AE11" i="6"/>
  <c r="K229" i="8"/>
  <c r="K221" i="8"/>
  <c r="K81" i="7"/>
  <c r="M72" i="21"/>
  <c r="AQ11" i="6"/>
  <c r="M229" i="8"/>
  <c r="M221" i="8"/>
  <c r="M81" i="7"/>
  <c r="O72" i="21"/>
  <c r="BC11" i="6"/>
  <c r="O229" i="8"/>
  <c r="O221" i="8"/>
  <c r="O81" i="7"/>
  <c r="Q72" i="21"/>
  <c r="BO11" i="6"/>
  <c r="Q229" i="8"/>
  <c r="Q221" i="8"/>
  <c r="Q81" i="7"/>
  <c r="S72" i="21"/>
  <c r="CA11" i="6"/>
  <c r="S229" i="8"/>
  <c r="S221" i="8"/>
  <c r="S81" i="7"/>
  <c r="U72" i="21"/>
  <c r="CM11" i="6"/>
  <c r="U229" i="8"/>
  <c r="U221" i="8"/>
  <c r="U81" i="7"/>
  <c r="W72" i="21"/>
  <c r="CY11" i="6"/>
  <c r="W229" i="8"/>
  <c r="W221" i="8"/>
  <c r="W81" i="7"/>
  <c r="Y72" i="21"/>
  <c r="DK11" i="6"/>
  <c r="Y229" i="8"/>
  <c r="Y81" i="7"/>
  <c r="AA72" i="21"/>
  <c r="D203" i="2"/>
  <c r="DW11" i="6"/>
  <c r="AA229" i="8"/>
  <c r="H76" i="21"/>
  <c r="M30" i="6"/>
  <c r="H238" i="7"/>
  <c r="H208" i="7"/>
  <c r="H220" i="7"/>
  <c r="J76" i="21"/>
  <c r="Y30" i="6"/>
  <c r="J238" i="7"/>
  <c r="J208" i="7"/>
  <c r="J220" i="7"/>
  <c r="L76" i="21"/>
  <c r="AK30" i="6"/>
  <c r="L238" i="7"/>
  <c r="L208" i="7"/>
  <c r="L220" i="7"/>
  <c r="N76" i="21"/>
  <c r="AW30" i="6"/>
  <c r="N238" i="7"/>
  <c r="N208" i="7"/>
  <c r="N220" i="7"/>
  <c r="P76" i="21"/>
  <c r="BI30" i="6"/>
  <c r="P238" i="7"/>
  <c r="P208" i="7"/>
  <c r="P220" i="7"/>
  <c r="R76" i="21"/>
  <c r="BU30" i="6"/>
  <c r="R238" i="7"/>
  <c r="R208" i="7"/>
  <c r="R220" i="7"/>
  <c r="T76" i="21"/>
  <c r="CG30" i="6"/>
  <c r="T238" i="7"/>
  <c r="T208" i="7"/>
  <c r="T220" i="7"/>
  <c r="V76" i="21"/>
  <c r="CS30" i="6"/>
  <c r="V238" i="7"/>
  <c r="V208" i="7"/>
  <c r="V220" i="7"/>
  <c r="X76" i="21"/>
  <c r="DE30" i="6"/>
  <c r="X208" i="7"/>
  <c r="X220" i="7"/>
  <c r="Z76" i="21"/>
  <c r="C207" i="2"/>
  <c r="AT207" i="2" s="1"/>
  <c r="DQ30" i="6"/>
  <c r="Z208" i="7"/>
  <c r="AB76" i="21"/>
  <c r="EC30" i="6"/>
  <c r="AB208" i="7"/>
  <c r="G24" i="6"/>
  <c r="G728" i="7"/>
  <c r="G281" i="7"/>
  <c r="S24" i="6"/>
  <c r="I728" i="7"/>
  <c r="I281" i="7"/>
  <c r="I267" i="7"/>
  <c r="AE24" i="6"/>
  <c r="K728" i="7"/>
  <c r="K281" i="7"/>
  <c r="K267" i="7"/>
  <c r="AQ24" i="6"/>
  <c r="M728" i="7"/>
  <c r="M281" i="7"/>
  <c r="M267" i="7"/>
  <c r="BC24" i="6"/>
  <c r="O728" i="7"/>
  <c r="O281" i="7"/>
  <c r="O267" i="7"/>
  <c r="BO24" i="6"/>
  <c r="Q728" i="7"/>
  <c r="Q281" i="7"/>
  <c r="Q267" i="7"/>
  <c r="CA24" i="6"/>
  <c r="S728" i="7"/>
  <c r="S281" i="7"/>
  <c r="S267" i="7"/>
  <c r="CM24" i="6"/>
  <c r="U728" i="7"/>
  <c r="U281" i="7"/>
  <c r="U267" i="7"/>
  <c r="CY24" i="6"/>
  <c r="W728" i="7"/>
  <c r="W281" i="7"/>
  <c r="W267" i="7"/>
  <c r="DK24" i="6"/>
  <c r="Y728" i="7"/>
  <c r="Y267" i="7"/>
  <c r="DW24" i="6"/>
  <c r="AA728" i="7"/>
  <c r="AA267" i="7"/>
  <c r="M32" i="6"/>
  <c r="H730" i="7"/>
  <c r="H312" i="7"/>
  <c r="H305" i="7"/>
  <c r="Y32" i="6"/>
  <c r="J730" i="7"/>
  <c r="J312" i="7"/>
  <c r="J305" i="7"/>
  <c r="AK32" i="6"/>
  <c r="L730" i="7"/>
  <c r="L312" i="7"/>
  <c r="L305" i="7"/>
  <c r="AW32" i="6"/>
  <c r="N730" i="7"/>
  <c r="N312" i="7"/>
  <c r="N305" i="7"/>
  <c r="BI32" i="6"/>
  <c r="P730" i="7"/>
  <c r="P312" i="7"/>
  <c r="P305" i="7"/>
  <c r="BU32" i="6"/>
  <c r="R730" i="7"/>
  <c r="R312" i="7"/>
  <c r="R305" i="7"/>
  <c r="CG32" i="6"/>
  <c r="T730" i="7"/>
  <c r="T312" i="7"/>
  <c r="T305" i="7"/>
  <c r="CS32" i="6"/>
  <c r="V730" i="7"/>
  <c r="V312" i="7"/>
  <c r="V305" i="7"/>
  <c r="DE32" i="6"/>
  <c r="X730" i="7"/>
  <c r="X312" i="7"/>
  <c r="X305" i="7"/>
  <c r="DQ32" i="6"/>
  <c r="Z730" i="7"/>
  <c r="Z305" i="7"/>
  <c r="EC32" i="6"/>
  <c r="AB730" i="7"/>
  <c r="BC730" i="7" s="1"/>
  <c r="AB305" i="7"/>
  <c r="BC305" i="7" s="1"/>
  <c r="G28" i="6"/>
  <c r="G729" i="7"/>
  <c r="G343" i="7"/>
  <c r="S28" i="6"/>
  <c r="I729" i="7"/>
  <c r="I334" i="7"/>
  <c r="I343" i="7"/>
  <c r="AE28" i="6"/>
  <c r="K729" i="7"/>
  <c r="K334" i="7"/>
  <c r="K343" i="7"/>
  <c r="AQ28" i="6"/>
  <c r="M729" i="7"/>
  <c r="M334" i="7"/>
  <c r="M343" i="7"/>
  <c r="BC28" i="6"/>
  <c r="O729" i="7"/>
  <c r="O334" i="7"/>
  <c r="O343" i="7"/>
  <c r="BO28" i="6"/>
  <c r="Q729" i="7"/>
  <c r="Q334" i="7"/>
  <c r="Q343" i="7"/>
  <c r="CA28" i="6"/>
  <c r="S729" i="7"/>
  <c r="S334" i="7"/>
  <c r="S343" i="7"/>
  <c r="CM28" i="6"/>
  <c r="U729" i="7"/>
  <c r="U334" i="7"/>
  <c r="U343" i="7"/>
  <c r="CY28" i="6"/>
  <c r="W729" i="7"/>
  <c r="W334" i="7"/>
  <c r="W343" i="7"/>
  <c r="DK28" i="6"/>
  <c r="Y729" i="7"/>
  <c r="Y334" i="7"/>
  <c r="Y343" i="7"/>
  <c r="DW28" i="6"/>
  <c r="AA729" i="7"/>
  <c r="AA334" i="7"/>
  <c r="M33" i="6"/>
  <c r="H731" i="7"/>
  <c r="H342" i="7"/>
  <c r="H333" i="7"/>
  <c r="Y33" i="6"/>
  <c r="J731" i="7"/>
  <c r="J342" i="7"/>
  <c r="J333" i="7"/>
  <c r="AK33" i="6"/>
  <c r="L731" i="7"/>
  <c r="L342" i="7"/>
  <c r="L333" i="7"/>
  <c r="AW33" i="6"/>
  <c r="N731" i="7"/>
  <c r="N342" i="7"/>
  <c r="N333" i="7"/>
  <c r="BI33" i="6"/>
  <c r="P731" i="7"/>
  <c r="P342" i="7"/>
  <c r="P333" i="7"/>
  <c r="BU33" i="6"/>
  <c r="R731" i="7"/>
  <c r="R342" i="7"/>
  <c r="R333" i="7"/>
  <c r="CG33" i="6"/>
  <c r="T731" i="7"/>
  <c r="T342" i="7"/>
  <c r="T333" i="7"/>
  <c r="CS33" i="6"/>
  <c r="V731" i="7"/>
  <c r="V342" i="7"/>
  <c r="V333" i="7"/>
  <c r="DE33" i="6"/>
  <c r="X731" i="7"/>
  <c r="X342" i="7"/>
  <c r="X333" i="7"/>
  <c r="DQ33" i="6"/>
  <c r="Z731" i="7"/>
  <c r="Z333" i="7"/>
  <c r="EC33" i="6"/>
  <c r="AB731" i="7"/>
  <c r="BC731" i="7" s="1"/>
  <c r="AB333" i="7"/>
  <c r="BC333" i="7" s="1"/>
  <c r="G35" i="6"/>
  <c r="G407" i="7"/>
  <c r="I77" i="21"/>
  <c r="S35" i="6"/>
  <c r="I407" i="7"/>
  <c r="I401" i="7"/>
  <c r="K77" i="21"/>
  <c r="AE35" i="6"/>
  <c r="K407" i="7"/>
  <c r="K401" i="7"/>
  <c r="M77" i="21"/>
  <c r="AQ35" i="6"/>
  <c r="M407" i="7"/>
  <c r="M401" i="7"/>
  <c r="O77" i="21"/>
  <c r="BC35" i="6"/>
  <c r="O407" i="7"/>
  <c r="O401" i="7"/>
  <c r="Q77" i="21"/>
  <c r="BO35" i="6"/>
  <c r="Q407" i="7"/>
  <c r="Q401" i="7"/>
  <c r="S77" i="21"/>
  <c r="CA35" i="6"/>
  <c r="S407" i="7"/>
  <c r="S401" i="7"/>
  <c r="U77" i="21"/>
  <c r="CM35" i="6"/>
  <c r="U407" i="7"/>
  <c r="U401" i="7"/>
  <c r="W77" i="21"/>
  <c r="CY35" i="6"/>
  <c r="W407" i="7"/>
  <c r="W401" i="7"/>
  <c r="Y77" i="21"/>
  <c r="DK35" i="6"/>
  <c r="Y407" i="7"/>
  <c r="Y401" i="7"/>
  <c r="AA77" i="21"/>
  <c r="D208" i="2"/>
  <c r="DW35" i="6"/>
  <c r="AA401" i="7"/>
  <c r="M45" i="6"/>
  <c r="H741" i="7"/>
  <c r="H531" i="7"/>
  <c r="H525" i="7"/>
  <c r="Y45" i="6"/>
  <c r="J741" i="7"/>
  <c r="J531" i="7"/>
  <c r="J525" i="7"/>
  <c r="AK45" i="6"/>
  <c r="L741" i="7"/>
  <c r="L531" i="7"/>
  <c r="L525" i="7"/>
  <c r="AW45" i="6"/>
  <c r="N741" i="7"/>
  <c r="N531" i="7"/>
  <c r="N525" i="7"/>
  <c r="BI45" i="6"/>
  <c r="P741" i="7"/>
  <c r="P531" i="7"/>
  <c r="P525" i="7"/>
  <c r="BU45" i="6"/>
  <c r="R741" i="7"/>
  <c r="R531" i="7"/>
  <c r="R525" i="7"/>
  <c r="CG45" i="6"/>
  <c r="T741" i="7"/>
  <c r="T531" i="7"/>
  <c r="T525" i="7"/>
  <c r="CS45" i="6"/>
  <c r="V741" i="7"/>
  <c r="V531" i="7"/>
  <c r="V525" i="7"/>
  <c r="DE45" i="6"/>
  <c r="X741" i="7"/>
  <c r="X525" i="7"/>
  <c r="DQ45" i="6"/>
  <c r="Z741" i="7"/>
  <c r="Z525" i="7"/>
  <c r="EC45" i="6"/>
  <c r="AB741" i="7"/>
  <c r="BC741" i="7" s="1"/>
  <c r="AB525" i="7"/>
  <c r="BC525" i="7" s="1"/>
  <c r="H110" i="21"/>
  <c r="H655" i="7"/>
  <c r="H669" i="7" s="1"/>
  <c r="H431" i="7"/>
  <c r="H443" i="7"/>
  <c r="J110" i="21"/>
  <c r="J655" i="7"/>
  <c r="J669" i="7" s="1"/>
  <c r="J431" i="7"/>
  <c r="J443" i="7"/>
  <c r="L110" i="21"/>
  <c r="L655" i="7"/>
  <c r="L669" i="7" s="1"/>
  <c r="L431" i="7"/>
  <c r="L443" i="7"/>
  <c r="N110" i="21"/>
  <c r="N655" i="7"/>
  <c r="N669" i="7" s="1"/>
  <c r="N431" i="7"/>
  <c r="N443" i="7"/>
  <c r="P110" i="21"/>
  <c r="P655" i="7"/>
  <c r="P669" i="7" s="1"/>
  <c r="P431" i="7"/>
  <c r="P443" i="7"/>
  <c r="R110" i="21"/>
  <c r="R655" i="7"/>
  <c r="R669" i="7" s="1"/>
  <c r="R431" i="7"/>
  <c r="R443" i="7"/>
  <c r="T110" i="21"/>
  <c r="T655" i="7"/>
  <c r="T669" i="7" s="1"/>
  <c r="T431" i="7"/>
  <c r="T443" i="7"/>
  <c r="V110" i="21"/>
  <c r="V655" i="7"/>
  <c r="V669" i="7" s="1"/>
  <c r="V431" i="7"/>
  <c r="V443" i="7"/>
  <c r="X110" i="21"/>
  <c r="X655" i="7"/>
  <c r="X669" i="7" s="1"/>
  <c r="X443" i="7"/>
  <c r="Z110" i="21"/>
  <c r="C245" i="2"/>
  <c r="AT245" i="2" s="1"/>
  <c r="Z655" i="7"/>
  <c r="Z669" i="7" s="1"/>
  <c r="AB110" i="21"/>
  <c r="AB655" i="7"/>
  <c r="AB669" i="7" s="1"/>
  <c r="H8" i="6"/>
  <c r="G109" i="7"/>
  <c r="G100" i="7"/>
  <c r="T8" i="6"/>
  <c r="I109" i="7"/>
  <c r="I100" i="7"/>
  <c r="I94" i="7"/>
  <c r="AF8" i="6"/>
  <c r="K109" i="7"/>
  <c r="K100" i="7"/>
  <c r="K94" i="7"/>
  <c r="AR8" i="6"/>
  <c r="M109" i="7"/>
  <c r="M100" i="7"/>
  <c r="M94" i="7"/>
  <c r="BD8" i="6"/>
  <c r="O109" i="7"/>
  <c r="O100" i="7"/>
  <c r="O94" i="7"/>
  <c r="BP8" i="6"/>
  <c r="Q109" i="7"/>
  <c r="Q100" i="7"/>
  <c r="Q94" i="7"/>
  <c r="CB8" i="6"/>
  <c r="S109" i="7"/>
  <c r="S100" i="7"/>
  <c r="S94" i="7"/>
  <c r="CN8" i="6"/>
  <c r="U109" i="7"/>
  <c r="U100" i="7"/>
  <c r="U94" i="7"/>
  <c r="CZ8" i="6"/>
  <c r="W109" i="7"/>
  <c r="W100" i="7"/>
  <c r="W94" i="7"/>
  <c r="DL8" i="6"/>
  <c r="Y109" i="7"/>
  <c r="Y100" i="7"/>
  <c r="Y94" i="7"/>
  <c r="DX8" i="6"/>
  <c r="AA109" i="7"/>
  <c r="H109" i="21"/>
  <c r="H445" i="7"/>
  <c r="H434" i="7"/>
  <c r="H112" i="7"/>
  <c r="J109" i="21"/>
  <c r="J445" i="7"/>
  <c r="J434" i="7"/>
  <c r="J112" i="7"/>
  <c r="L109" i="21"/>
  <c r="L445" i="7"/>
  <c r="L434" i="7"/>
  <c r="L112" i="7"/>
  <c r="N109" i="21"/>
  <c r="N445" i="7"/>
  <c r="N434" i="7"/>
  <c r="N112" i="7"/>
  <c r="P109" i="21"/>
  <c r="P445" i="7"/>
  <c r="P434" i="7"/>
  <c r="P112" i="7"/>
  <c r="R109" i="21"/>
  <c r="R445" i="7"/>
  <c r="R434" i="7"/>
  <c r="R112" i="7"/>
  <c r="T109" i="21"/>
  <c r="T445" i="7"/>
  <c r="T434" i="7"/>
  <c r="T112" i="7"/>
  <c r="V109" i="21"/>
  <c r="V445" i="7"/>
  <c r="V434" i="7"/>
  <c r="V112" i="7"/>
  <c r="X109" i="21"/>
  <c r="X445" i="7"/>
  <c r="X112" i="7"/>
  <c r="Z109" i="21"/>
  <c r="C244" i="2"/>
  <c r="AT244" i="2" s="1"/>
  <c r="Z112" i="7"/>
  <c r="AB109" i="21"/>
  <c r="AB112" i="7"/>
  <c r="BC112" i="7" s="1"/>
  <c r="H11" i="6"/>
  <c r="G86" i="7"/>
  <c r="G230" i="8"/>
  <c r="G416" i="7"/>
  <c r="I87" i="21"/>
  <c r="T11" i="6"/>
  <c r="I86" i="7"/>
  <c r="I230" i="8"/>
  <c r="I416" i="7"/>
  <c r="I222" i="8"/>
  <c r="K87" i="21"/>
  <c r="AF11" i="6"/>
  <c r="K86" i="7"/>
  <c r="K230" i="8"/>
  <c r="K416" i="7"/>
  <c r="K222" i="8"/>
  <c r="M87" i="21"/>
  <c r="AR11" i="6"/>
  <c r="M86" i="7"/>
  <c r="M230" i="8"/>
  <c r="M416" i="7"/>
  <c r="M222" i="8"/>
  <c r="O87" i="21"/>
  <c r="BD11" i="6"/>
  <c r="O86" i="7"/>
  <c r="O230" i="8"/>
  <c r="O416" i="7"/>
  <c r="O222" i="8"/>
  <c r="Q87" i="21"/>
  <c r="BP11" i="6"/>
  <c r="Q86" i="7"/>
  <c r="Q230" i="8"/>
  <c r="Q416" i="7"/>
  <c r="Q222" i="8"/>
  <c r="S87" i="21"/>
  <c r="CB11" i="6"/>
  <c r="S86" i="7"/>
  <c r="S230" i="8"/>
  <c r="S416" i="7"/>
  <c r="S222" i="8"/>
  <c r="U87" i="21"/>
  <c r="CN11" i="6"/>
  <c r="U86" i="7"/>
  <c r="U230" i="8"/>
  <c r="U416" i="7"/>
  <c r="U222" i="8"/>
  <c r="W87" i="21"/>
  <c r="CZ11" i="6"/>
  <c r="W86" i="7"/>
  <c r="W230" i="8"/>
  <c r="W416" i="7"/>
  <c r="W222" i="8"/>
  <c r="Y87" i="21"/>
  <c r="DL11" i="6"/>
  <c r="Y86" i="7"/>
  <c r="Y230" i="8"/>
  <c r="Y416" i="7"/>
  <c r="Y222" i="8"/>
  <c r="AA87" i="21"/>
  <c r="D220" i="2"/>
  <c r="DX11" i="6"/>
  <c r="AA230" i="8"/>
  <c r="AA416" i="7"/>
  <c r="AA222" i="8"/>
  <c r="H80" i="21"/>
  <c r="N16" i="6"/>
  <c r="H691" i="7"/>
  <c r="H624" i="7"/>
  <c r="H31" i="7"/>
  <c r="H22" i="7"/>
  <c r="J80" i="21"/>
  <c r="Z16" i="6"/>
  <c r="J691" i="7"/>
  <c r="J624" i="7"/>
  <c r="J31" i="7"/>
  <c r="J22" i="7"/>
  <c r="L80" i="21"/>
  <c r="AL16" i="6"/>
  <c r="L691" i="7"/>
  <c r="L624" i="7"/>
  <c r="L31" i="7"/>
  <c r="L22" i="7"/>
  <c r="N80" i="21"/>
  <c r="AX16" i="6"/>
  <c r="N691" i="7"/>
  <c r="N624" i="7"/>
  <c r="N31" i="7"/>
  <c r="N22" i="7"/>
  <c r="P80" i="21"/>
  <c r="BJ16" i="6"/>
  <c r="P691" i="7"/>
  <c r="P624" i="7"/>
  <c r="P31" i="7"/>
  <c r="P22" i="7"/>
  <c r="R80" i="21"/>
  <c r="BV16" i="6"/>
  <c r="R691" i="7"/>
  <c r="R624" i="7"/>
  <c r="R31" i="7"/>
  <c r="R22" i="7"/>
  <c r="T80" i="21"/>
  <c r="CH16" i="6"/>
  <c r="T691" i="7"/>
  <c r="T624" i="7"/>
  <c r="T31" i="7"/>
  <c r="T22" i="7"/>
  <c r="V80" i="21"/>
  <c r="CT16" i="6"/>
  <c r="V691" i="7"/>
  <c r="V624" i="7"/>
  <c r="V31" i="7"/>
  <c r="V22" i="7"/>
  <c r="X80" i="21"/>
  <c r="DF16" i="6"/>
  <c r="X691" i="7"/>
  <c r="X624" i="7"/>
  <c r="Z80" i="21"/>
  <c r="C213" i="2"/>
  <c r="AT213" i="2" s="1"/>
  <c r="DR16" i="6"/>
  <c r="Z691" i="7"/>
  <c r="Z624" i="7"/>
  <c r="Z635" i="7" s="1"/>
  <c r="AB80" i="21"/>
  <c r="ED16" i="6"/>
  <c r="AB691" i="7"/>
  <c r="BC691" i="7" s="1"/>
  <c r="AB624" i="7"/>
  <c r="H17" i="6"/>
  <c r="E17" i="6" s="1"/>
  <c r="G659" i="7"/>
  <c r="G673" i="7" s="1"/>
  <c r="G67" i="7"/>
  <c r="I90" i="21"/>
  <c r="T17" i="6"/>
  <c r="I659" i="7"/>
  <c r="I673" i="7" s="1"/>
  <c r="I59" i="7"/>
  <c r="I67" i="7"/>
  <c r="K90" i="21"/>
  <c r="AF17" i="6"/>
  <c r="K659" i="7"/>
  <c r="K673" i="7" s="1"/>
  <c r="K59" i="7"/>
  <c r="K67" i="7"/>
  <c r="M90" i="21"/>
  <c r="AR17" i="6"/>
  <c r="M659" i="7"/>
  <c r="M673" i="7" s="1"/>
  <c r="M59" i="7"/>
  <c r="M67" i="7"/>
  <c r="O90" i="21"/>
  <c r="BD17" i="6"/>
  <c r="O659" i="7"/>
  <c r="O673" i="7" s="1"/>
  <c r="O59" i="7"/>
  <c r="O67" i="7"/>
  <c r="Q90" i="21"/>
  <c r="BP17" i="6"/>
  <c r="Q659" i="7"/>
  <c r="Q673" i="7" s="1"/>
  <c r="Q59" i="7"/>
  <c r="Q67" i="7"/>
  <c r="S90" i="21"/>
  <c r="CB17" i="6"/>
  <c r="S659" i="7"/>
  <c r="S673" i="7" s="1"/>
  <c r="S59" i="7"/>
  <c r="S67" i="7"/>
  <c r="U90" i="21"/>
  <c r="CN17" i="6"/>
  <c r="U659" i="7"/>
  <c r="U673" i="7" s="1"/>
  <c r="U59" i="7"/>
  <c r="U67" i="7"/>
  <c r="W90" i="21"/>
  <c r="CZ17" i="6"/>
  <c r="W659" i="7"/>
  <c r="W673" i="7" s="1"/>
  <c r="W59" i="7"/>
  <c r="W67" i="7"/>
  <c r="Y90" i="21"/>
  <c r="DL17" i="6"/>
  <c r="Y659" i="7"/>
  <c r="Y673" i="7" s="1"/>
  <c r="Y59" i="7"/>
  <c r="AA90" i="21"/>
  <c r="D223" i="2"/>
  <c r="DX17" i="6"/>
  <c r="AA659" i="7"/>
  <c r="AA673" i="7" s="1"/>
  <c r="N9" i="6"/>
  <c r="H751" i="7"/>
  <c r="H29" i="7"/>
  <c r="H20" i="7"/>
  <c r="H422" i="7"/>
  <c r="H85" i="7"/>
  <c r="Z9" i="6"/>
  <c r="J751" i="7"/>
  <c r="J29" i="7"/>
  <c r="J20" i="7"/>
  <c r="J422" i="7"/>
  <c r="J85" i="7"/>
  <c r="AL9" i="6"/>
  <c r="L751" i="7"/>
  <c r="L29" i="7"/>
  <c r="L20" i="7"/>
  <c r="L422" i="7"/>
  <c r="L85" i="7"/>
  <c r="AX9" i="6"/>
  <c r="N751" i="7"/>
  <c r="N29" i="7"/>
  <c r="N20" i="7"/>
  <c r="N422" i="7"/>
  <c r="N85" i="7"/>
  <c r="BJ9" i="6"/>
  <c r="P751" i="7"/>
  <c r="P29" i="7"/>
  <c r="P20" i="7"/>
  <c r="P422" i="7"/>
  <c r="P85" i="7"/>
  <c r="BV9" i="6"/>
  <c r="R751" i="7"/>
  <c r="R29" i="7"/>
  <c r="R20" i="7"/>
  <c r="R422" i="7"/>
  <c r="R85" i="7"/>
  <c r="CH9" i="6"/>
  <c r="T751" i="7"/>
  <c r="T29" i="7"/>
  <c r="T20" i="7"/>
  <c r="T422" i="7"/>
  <c r="T85" i="7"/>
  <c r="CT9" i="6"/>
  <c r="V751" i="7"/>
  <c r="V29" i="7"/>
  <c r="V20" i="7"/>
  <c r="V422" i="7"/>
  <c r="V85" i="7"/>
  <c r="DF9" i="6"/>
  <c r="X751" i="7"/>
  <c r="X20" i="7"/>
  <c r="X422" i="7"/>
  <c r="X85" i="7"/>
  <c r="DR9" i="6"/>
  <c r="Z751" i="7"/>
  <c r="Z20" i="7"/>
  <c r="Z422" i="7"/>
  <c r="ED9" i="6"/>
  <c r="AB751" i="7"/>
  <c r="BC751" i="7" s="1"/>
  <c r="AB20" i="7"/>
  <c r="BC20" i="7" s="1"/>
  <c r="AB422" i="7"/>
  <c r="H10" i="6"/>
  <c r="G745" i="7"/>
  <c r="G423" i="7"/>
  <c r="G448" i="7" s="1"/>
  <c r="G65" i="7"/>
  <c r="T10" i="6"/>
  <c r="I745" i="7"/>
  <c r="I423" i="7"/>
  <c r="I57" i="7"/>
  <c r="I65" i="7"/>
  <c r="AF10" i="6"/>
  <c r="K745" i="7"/>
  <c r="K423" i="7"/>
  <c r="K57" i="7"/>
  <c r="K65" i="7"/>
  <c r="AR10" i="6"/>
  <c r="M745" i="7"/>
  <c r="M423" i="7"/>
  <c r="M57" i="7"/>
  <c r="M65" i="7"/>
  <c r="BD10" i="6"/>
  <c r="O745" i="7"/>
  <c r="O423" i="7"/>
  <c r="O57" i="7"/>
  <c r="O65" i="7"/>
  <c r="BP10" i="6"/>
  <c r="Q745" i="7"/>
  <c r="Q423" i="7"/>
  <c r="Q57" i="7"/>
  <c r="Q65" i="7"/>
  <c r="CB10" i="6"/>
  <c r="S745" i="7"/>
  <c r="S423" i="7"/>
  <c r="S57" i="7"/>
  <c r="S65" i="7"/>
  <c r="CN10" i="6"/>
  <c r="U745" i="7"/>
  <c r="U423" i="7"/>
  <c r="U57" i="7"/>
  <c r="U65" i="7"/>
  <c r="CZ10" i="6"/>
  <c r="W745" i="7"/>
  <c r="W423" i="7"/>
  <c r="W57" i="7"/>
  <c r="W65" i="7"/>
  <c r="DL10" i="6"/>
  <c r="Y745" i="7"/>
  <c r="Y423" i="7"/>
  <c r="Y57" i="7"/>
  <c r="DX10" i="6"/>
  <c r="AA745" i="7"/>
  <c r="AA423" i="7"/>
  <c r="AA57" i="7"/>
  <c r="N19" i="6"/>
  <c r="H746" i="7"/>
  <c r="H154" i="7"/>
  <c r="H146" i="7"/>
  <c r="Z19" i="6"/>
  <c r="J746" i="7"/>
  <c r="J154" i="7"/>
  <c r="J146" i="7"/>
  <c r="AL19" i="6"/>
  <c r="L746" i="7"/>
  <c r="L154" i="7"/>
  <c r="L146" i="7"/>
  <c r="AX19" i="6"/>
  <c r="N746" i="7"/>
  <c r="N154" i="7"/>
  <c r="N146" i="7"/>
  <c r="BJ19" i="6"/>
  <c r="P746" i="7"/>
  <c r="P154" i="7"/>
  <c r="P146" i="7"/>
  <c r="BV19" i="6"/>
  <c r="R746" i="7"/>
  <c r="R154" i="7"/>
  <c r="R146" i="7"/>
  <c r="CH19" i="6"/>
  <c r="T746" i="7"/>
  <c r="T154" i="7"/>
  <c r="T146" i="7"/>
  <c r="CT19" i="6"/>
  <c r="V746" i="7"/>
  <c r="V154" i="7"/>
  <c r="V146" i="7"/>
  <c r="DF19" i="6"/>
  <c r="X746" i="7"/>
  <c r="X146" i="7"/>
  <c r="DR19" i="6"/>
  <c r="Z746" i="7"/>
  <c r="Z146" i="7"/>
  <c r="ED19" i="6"/>
  <c r="AB746" i="7"/>
  <c r="BC746" i="7" s="1"/>
  <c r="AB146" i="7"/>
  <c r="H89" i="21"/>
  <c r="N21" i="6"/>
  <c r="H658" i="7"/>
  <c r="H672" i="7" s="1"/>
  <c r="H161" i="7"/>
  <c r="H156" i="7"/>
  <c r="H148" i="7"/>
  <c r="J89" i="21"/>
  <c r="Z21" i="6"/>
  <c r="J658" i="7"/>
  <c r="J672" i="7" s="1"/>
  <c r="J161" i="7"/>
  <c r="J156" i="7"/>
  <c r="J148" i="7"/>
  <c r="L89" i="21"/>
  <c r="AL21" i="6"/>
  <c r="L658" i="7"/>
  <c r="L672" i="7" s="1"/>
  <c r="L161" i="7"/>
  <c r="L156" i="7"/>
  <c r="L148" i="7"/>
  <c r="N89" i="21"/>
  <c r="AX21" i="6"/>
  <c r="N658" i="7"/>
  <c r="N672" i="7" s="1"/>
  <c r="N161" i="7"/>
  <c r="N156" i="7"/>
  <c r="N148" i="7"/>
  <c r="P89" i="21"/>
  <c r="BJ21" i="6"/>
  <c r="P658" i="7"/>
  <c r="P672" i="7" s="1"/>
  <c r="P161" i="7"/>
  <c r="P156" i="7"/>
  <c r="P148" i="7"/>
  <c r="R89" i="21"/>
  <c r="BV21" i="6"/>
  <c r="R658" i="7"/>
  <c r="R672" i="7" s="1"/>
  <c r="R161" i="7"/>
  <c r="R156" i="7"/>
  <c r="R148" i="7"/>
  <c r="T89" i="21"/>
  <c r="CH21" i="6"/>
  <c r="T658" i="7"/>
  <c r="T672" i="7" s="1"/>
  <c r="T161" i="7"/>
  <c r="T156" i="7"/>
  <c r="T148" i="7"/>
  <c r="V89" i="21"/>
  <c r="CT21" i="6"/>
  <c r="V658" i="7"/>
  <c r="V672" i="7" s="1"/>
  <c r="V161" i="7"/>
  <c r="V156" i="7"/>
  <c r="V148" i="7"/>
  <c r="X89" i="21"/>
  <c r="DF21" i="6"/>
  <c r="X658" i="7"/>
  <c r="X672" i="7" s="1"/>
  <c r="X161" i="7"/>
  <c r="X171" i="7" s="1"/>
  <c r="X148" i="7"/>
  <c r="Z89" i="21"/>
  <c r="C222" i="2"/>
  <c r="AT222" i="2" s="1"/>
  <c r="DR21" i="6"/>
  <c r="Z658" i="7"/>
  <c r="Z672" i="7" s="1"/>
  <c r="Z148" i="7"/>
  <c r="AB89" i="21"/>
  <c r="ED21" i="6"/>
  <c r="AB658" i="7"/>
  <c r="AB672" i="7" s="1"/>
  <c r="BC161" i="7"/>
  <c r="AB148" i="7"/>
  <c r="H23" i="6"/>
  <c r="E23" i="6" s="1"/>
  <c r="G693" i="7"/>
  <c r="G625" i="7"/>
  <c r="G636" i="7" s="1"/>
  <c r="G244" i="7"/>
  <c r="G223" i="7"/>
  <c r="I81" i="21"/>
  <c r="T23" i="6"/>
  <c r="I693" i="7"/>
  <c r="I625" i="7"/>
  <c r="I636" i="7" s="1"/>
  <c r="I244" i="7"/>
  <c r="I223" i="7"/>
  <c r="I211" i="7"/>
  <c r="K81" i="21"/>
  <c r="AF23" i="6"/>
  <c r="K693" i="7"/>
  <c r="K625" i="7"/>
  <c r="K636" i="7" s="1"/>
  <c r="K244" i="7"/>
  <c r="K223" i="7"/>
  <c r="K211" i="7"/>
  <c r="M81" i="21"/>
  <c r="AR23" i="6"/>
  <c r="M693" i="7"/>
  <c r="M625" i="7"/>
  <c r="M636" i="7" s="1"/>
  <c r="M244" i="7"/>
  <c r="M223" i="7"/>
  <c r="M211" i="7"/>
  <c r="O81" i="21"/>
  <c r="BD23" i="6"/>
  <c r="O693" i="7"/>
  <c r="O625" i="7"/>
  <c r="O636" i="7" s="1"/>
  <c r="O244" i="7"/>
  <c r="O223" i="7"/>
  <c r="O211" i="7"/>
  <c r="Q81" i="21"/>
  <c r="BP23" i="6"/>
  <c r="Q693" i="7"/>
  <c r="Q625" i="7"/>
  <c r="Q636" i="7" s="1"/>
  <c r="Q244" i="7"/>
  <c r="Q223" i="7"/>
  <c r="Q211" i="7"/>
  <c r="S81" i="21"/>
  <c r="CB23" i="6"/>
  <c r="S693" i="7"/>
  <c r="S625" i="7"/>
  <c r="S636" i="7" s="1"/>
  <c r="S244" i="7"/>
  <c r="S223" i="7"/>
  <c r="S211" i="7"/>
  <c r="U81" i="21"/>
  <c r="CN23" i="6"/>
  <c r="U693" i="7"/>
  <c r="U625" i="7"/>
  <c r="U636" i="7" s="1"/>
  <c r="U244" i="7"/>
  <c r="U223" i="7"/>
  <c r="U211" i="7"/>
  <c r="W81" i="21"/>
  <c r="CZ23" i="6"/>
  <c r="W693" i="7"/>
  <c r="W625" i="7"/>
  <c r="W636" i="7" s="1"/>
  <c r="W244" i="7"/>
  <c r="W223" i="7"/>
  <c r="W211" i="7"/>
  <c r="Y81" i="21"/>
  <c r="DL23" i="6"/>
  <c r="Y693" i="7"/>
  <c r="Y625" i="7"/>
  <c r="Y636" i="7" s="1"/>
  <c r="Y223" i="7"/>
  <c r="AA81" i="21"/>
  <c r="D214" i="2"/>
  <c r="DX23" i="6"/>
  <c r="AA693" i="7"/>
  <c r="AA625" i="7"/>
  <c r="AA636" i="7" s="1"/>
  <c r="N30" i="6"/>
  <c r="H753" i="7"/>
  <c r="H221" i="7"/>
  <c r="H209" i="7"/>
  <c r="Z30" i="6"/>
  <c r="J753" i="7"/>
  <c r="J221" i="7"/>
  <c r="J209" i="7"/>
  <c r="AL30" i="6"/>
  <c r="L753" i="7"/>
  <c r="L221" i="7"/>
  <c r="L209" i="7"/>
  <c r="AX30" i="6"/>
  <c r="N753" i="7"/>
  <c r="N221" i="7"/>
  <c r="N209" i="7"/>
  <c r="BJ30" i="6"/>
  <c r="P753" i="7"/>
  <c r="P221" i="7"/>
  <c r="P209" i="7"/>
  <c r="BV30" i="6"/>
  <c r="R753" i="7"/>
  <c r="R221" i="7"/>
  <c r="R209" i="7"/>
  <c r="CH30" i="6"/>
  <c r="T753" i="7"/>
  <c r="U209" i="7"/>
  <c r="T221" i="7"/>
  <c r="T209" i="7"/>
  <c r="CT30" i="6"/>
  <c r="V753" i="7"/>
  <c r="W209" i="7"/>
  <c r="V221" i="7"/>
  <c r="DF30" i="6"/>
  <c r="X753" i="7"/>
  <c r="Y209" i="7"/>
  <c r="X221" i="7"/>
  <c r="DR30" i="6"/>
  <c r="Z753" i="7"/>
  <c r="AA209" i="7"/>
  <c r="ED30" i="6"/>
  <c r="AB753" i="7"/>
  <c r="BC753" i="7" s="1"/>
  <c r="H26" i="6"/>
  <c r="G278" i="7"/>
  <c r="T26" i="6"/>
  <c r="I264" i="7"/>
  <c r="I278" i="7"/>
  <c r="AF26" i="6"/>
  <c r="K264" i="7"/>
  <c r="K278" i="7"/>
  <c r="AR26" i="6"/>
  <c r="M264" i="7"/>
  <c r="M278" i="7"/>
  <c r="BD26" i="6"/>
  <c r="O264" i="7"/>
  <c r="O278" i="7"/>
  <c r="BP26" i="6"/>
  <c r="Q264" i="7"/>
  <c r="Q278" i="7"/>
  <c r="CB26" i="6"/>
  <c r="S264" i="7"/>
  <c r="S278" i="7"/>
  <c r="CN26" i="6"/>
  <c r="U264" i="7"/>
  <c r="U278" i="7"/>
  <c r="CZ26" i="6"/>
  <c r="W264" i="7"/>
  <c r="W278" i="7"/>
  <c r="DL26" i="6"/>
  <c r="Y264" i="7"/>
  <c r="DX26" i="6"/>
  <c r="AA264" i="7"/>
  <c r="H83" i="21"/>
  <c r="N25" i="6"/>
  <c r="H694" i="7"/>
  <c r="H277" i="7"/>
  <c r="H263" i="7"/>
  <c r="H253" i="7"/>
  <c r="J83" i="21"/>
  <c r="Z25" i="6"/>
  <c r="J694" i="7"/>
  <c r="J277" i="7"/>
  <c r="J263" i="7"/>
  <c r="J253" i="7"/>
  <c r="L83" i="21"/>
  <c r="AL25" i="6"/>
  <c r="L694" i="7"/>
  <c r="L277" i="7"/>
  <c r="L263" i="7"/>
  <c r="L253" i="7"/>
  <c r="N83" i="21"/>
  <c r="AX25" i="6"/>
  <c r="N694" i="7"/>
  <c r="N277" i="7"/>
  <c r="N263" i="7"/>
  <c r="N253" i="7"/>
  <c r="P83" i="21"/>
  <c r="BJ25" i="6"/>
  <c r="P694" i="7"/>
  <c r="P277" i="7"/>
  <c r="P263" i="7"/>
  <c r="P253" i="7"/>
  <c r="R83" i="21"/>
  <c r="BV25" i="6"/>
  <c r="R694" i="7"/>
  <c r="R277" i="7"/>
  <c r="R263" i="7"/>
  <c r="R253" i="7"/>
  <c r="T83" i="21"/>
  <c r="CH25" i="6"/>
  <c r="T694" i="7"/>
  <c r="T277" i="7"/>
  <c r="T263" i="7"/>
  <c r="T253" i="7"/>
  <c r="V83" i="21"/>
  <c r="CT25" i="6"/>
  <c r="V694" i="7"/>
  <c r="V277" i="7"/>
  <c r="V263" i="7"/>
  <c r="V253" i="7"/>
  <c r="X83" i="21"/>
  <c r="DF25" i="6"/>
  <c r="X694" i="7"/>
  <c r="X263" i="7"/>
  <c r="Z83" i="21"/>
  <c r="C216" i="2"/>
  <c r="AT216" i="2" s="1"/>
  <c r="DR25" i="6"/>
  <c r="Z694" i="7"/>
  <c r="Z263" i="7"/>
  <c r="AB83" i="21"/>
  <c r="ED25" i="6"/>
  <c r="AB694" i="7"/>
  <c r="BC694" i="7" s="1"/>
  <c r="H32" i="6"/>
  <c r="G657" i="7"/>
  <c r="G671" i="7" s="1"/>
  <c r="G313" i="7"/>
  <c r="I88" i="21"/>
  <c r="T32" i="6"/>
  <c r="I657" i="7"/>
  <c r="I671" i="7" s="1"/>
  <c r="I313" i="7"/>
  <c r="I306" i="7"/>
  <c r="K88" i="21"/>
  <c r="AF32" i="6"/>
  <c r="K657" i="7"/>
  <c r="K671" i="7" s="1"/>
  <c r="K313" i="7"/>
  <c r="K306" i="7"/>
  <c r="M88" i="21"/>
  <c r="AR32" i="6"/>
  <c r="M657" i="7"/>
  <c r="M671" i="7" s="1"/>
  <c r="M313" i="7"/>
  <c r="M306" i="7"/>
  <c r="O88" i="21"/>
  <c r="BD32" i="6"/>
  <c r="O657" i="7"/>
  <c r="O671" i="7" s="1"/>
  <c r="O313" i="7"/>
  <c r="O306" i="7"/>
  <c r="Q88" i="21"/>
  <c r="BP32" i="6"/>
  <c r="Q657" i="7"/>
  <c r="Q671" i="7" s="1"/>
  <c r="Q313" i="7"/>
  <c r="Q306" i="7"/>
  <c r="S88" i="21"/>
  <c r="CB32" i="6"/>
  <c r="S657" i="7"/>
  <c r="S671" i="7" s="1"/>
  <c r="S313" i="7"/>
  <c r="S306" i="7"/>
  <c r="U88" i="21"/>
  <c r="CN32" i="6"/>
  <c r="U657" i="7"/>
  <c r="U671" i="7" s="1"/>
  <c r="U313" i="7"/>
  <c r="U306" i="7"/>
  <c r="W88" i="21"/>
  <c r="CZ32" i="6"/>
  <c r="W657" i="7"/>
  <c r="W671" i="7" s="1"/>
  <c r="W313" i="7"/>
  <c r="W306" i="7"/>
  <c r="Y88" i="21"/>
  <c r="DL32" i="6"/>
  <c r="Y657" i="7"/>
  <c r="Y671" i="7" s="1"/>
  <c r="Y313" i="7"/>
  <c r="Y306" i="7"/>
  <c r="AA88" i="21"/>
  <c r="D221" i="2"/>
  <c r="DX32" i="6"/>
  <c r="AA657" i="7"/>
  <c r="AA671" i="7" s="1"/>
  <c r="AA306" i="7"/>
  <c r="N28" i="6"/>
  <c r="H747" i="7"/>
  <c r="H345" i="7"/>
  <c r="H336" i="7"/>
  <c r="Z28" i="6"/>
  <c r="J747" i="7"/>
  <c r="J345" i="7"/>
  <c r="J336" i="7"/>
  <c r="AL28" i="6"/>
  <c r="L747" i="7"/>
  <c r="L345" i="7"/>
  <c r="L336" i="7"/>
  <c r="AX28" i="6"/>
  <c r="N747" i="7"/>
  <c r="N345" i="7"/>
  <c r="N336" i="7"/>
  <c r="BJ28" i="6"/>
  <c r="P747" i="7"/>
  <c r="P345" i="7"/>
  <c r="P336" i="7"/>
  <c r="BV28" i="6"/>
  <c r="R747" i="7"/>
  <c r="R345" i="7"/>
  <c r="R336" i="7"/>
  <c r="CH28" i="6"/>
  <c r="T747" i="7"/>
  <c r="T345" i="7"/>
  <c r="T336" i="7"/>
  <c r="CT28" i="6"/>
  <c r="V747" i="7"/>
  <c r="V345" i="7"/>
  <c r="V336" i="7"/>
  <c r="DF28" i="6"/>
  <c r="X747" i="7"/>
  <c r="X345" i="7"/>
  <c r="X336" i="7"/>
  <c r="DR28" i="6"/>
  <c r="Z747" i="7"/>
  <c r="Z336" i="7"/>
  <c r="ED28" i="6"/>
  <c r="AB747" i="7"/>
  <c r="BC747" i="7" s="1"/>
  <c r="AB336" i="7"/>
  <c r="BC336" i="7" s="1"/>
  <c r="G444" i="7"/>
  <c r="G656" i="7"/>
  <c r="G670" i="7" s="1"/>
  <c r="G419" i="7"/>
  <c r="I111" i="21"/>
  <c r="I444" i="7"/>
  <c r="I656" i="7"/>
  <c r="I670" i="7" s="1"/>
  <c r="I432" i="7"/>
  <c r="I419" i="7"/>
  <c r="K111" i="21"/>
  <c r="K444" i="7"/>
  <c r="K656" i="7"/>
  <c r="K670" i="7" s="1"/>
  <c r="K432" i="7"/>
  <c r="K419" i="7"/>
  <c r="M111" i="21"/>
  <c r="M444" i="7"/>
  <c r="M656" i="7"/>
  <c r="M670" i="7" s="1"/>
  <c r="M432" i="7"/>
  <c r="M419" i="7"/>
  <c r="O111" i="21"/>
  <c r="O444" i="7"/>
  <c r="O656" i="7"/>
  <c r="O670" i="7" s="1"/>
  <c r="O432" i="7"/>
  <c r="O419" i="7"/>
  <c r="Q111" i="21"/>
  <c r="Q444" i="7"/>
  <c r="Q656" i="7"/>
  <c r="Q670" i="7" s="1"/>
  <c r="Q432" i="7"/>
  <c r="Q419" i="7"/>
  <c r="S111" i="21"/>
  <c r="S444" i="7"/>
  <c r="S656" i="7"/>
  <c r="S670" i="7" s="1"/>
  <c r="S432" i="7"/>
  <c r="S419" i="7"/>
  <c r="U111" i="21"/>
  <c r="U444" i="7"/>
  <c r="U656" i="7"/>
  <c r="U670" i="7" s="1"/>
  <c r="U432" i="7"/>
  <c r="U419" i="7"/>
  <c r="W111" i="21"/>
  <c r="W444" i="7"/>
  <c r="W656" i="7"/>
  <c r="W670" i="7" s="1"/>
  <c r="W432" i="7"/>
  <c r="W419" i="7"/>
  <c r="Y111" i="21"/>
  <c r="Y444" i="7"/>
  <c r="Y656" i="7"/>
  <c r="Y670" i="7" s="1"/>
  <c r="Y419" i="7"/>
  <c r="AA111" i="21"/>
  <c r="D246" i="2"/>
  <c r="AA656" i="7"/>
  <c r="AA670" i="7" s="1"/>
  <c r="AA419" i="7"/>
  <c r="N33" i="6"/>
  <c r="H754" i="7"/>
  <c r="H344" i="7"/>
  <c r="H335" i="7"/>
  <c r="Z33" i="6"/>
  <c r="J754" i="7"/>
  <c r="J344" i="7"/>
  <c r="J335" i="7"/>
  <c r="AL33" i="6"/>
  <c r="L754" i="7"/>
  <c r="L344" i="7"/>
  <c r="L335" i="7"/>
  <c r="AX33" i="6"/>
  <c r="N754" i="7"/>
  <c r="N344" i="7"/>
  <c r="N335" i="7"/>
  <c r="BJ33" i="6"/>
  <c r="P754" i="7"/>
  <c r="P344" i="7"/>
  <c r="P335" i="7"/>
  <c r="BV33" i="6"/>
  <c r="R754" i="7"/>
  <c r="R344" i="7"/>
  <c r="R335" i="7"/>
  <c r="CH33" i="6"/>
  <c r="T754" i="7"/>
  <c r="T344" i="7"/>
  <c r="T335" i="7"/>
  <c r="CT33" i="6"/>
  <c r="V754" i="7"/>
  <c r="V344" i="7"/>
  <c r="V335" i="7"/>
  <c r="DF33" i="6"/>
  <c r="X754" i="7"/>
  <c r="X344" i="7"/>
  <c r="X335" i="7"/>
  <c r="DR33" i="6"/>
  <c r="Z754" i="7"/>
  <c r="Z335" i="7"/>
  <c r="ED33" i="6"/>
  <c r="AB754" i="7"/>
  <c r="BC754" i="7" s="1"/>
  <c r="AB335" i="7"/>
  <c r="BC335" i="7" s="1"/>
  <c r="H35" i="6"/>
  <c r="G755" i="7"/>
  <c r="G408" i="7"/>
  <c r="T35" i="6"/>
  <c r="I755" i="7"/>
  <c r="I408" i="7"/>
  <c r="I402" i="7"/>
  <c r="AF35" i="6"/>
  <c r="K755" i="7"/>
  <c r="K408" i="7"/>
  <c r="K402" i="7"/>
  <c r="AR35" i="6"/>
  <c r="M755" i="7"/>
  <c r="M408" i="7"/>
  <c r="M402" i="7"/>
  <c r="BD35" i="6"/>
  <c r="O755" i="7"/>
  <c r="O408" i="7"/>
  <c r="O402" i="7"/>
  <c r="BP35" i="6"/>
  <c r="Q755" i="7"/>
  <c r="Q408" i="7"/>
  <c r="Q402" i="7"/>
  <c r="CB35" i="6"/>
  <c r="S755" i="7"/>
  <c r="S408" i="7"/>
  <c r="S402" i="7"/>
  <c r="CN35" i="6"/>
  <c r="U755" i="7"/>
  <c r="U408" i="7"/>
  <c r="U402" i="7"/>
  <c r="CZ35" i="6"/>
  <c r="W755" i="7"/>
  <c r="W408" i="7"/>
  <c r="W402" i="7"/>
  <c r="DL35" i="6"/>
  <c r="Y755" i="7"/>
  <c r="Y408" i="7"/>
  <c r="Y402" i="7"/>
  <c r="DX35" i="6"/>
  <c r="AA755" i="7"/>
  <c r="AA402" i="7"/>
  <c r="H92" i="21"/>
  <c r="H630" i="7"/>
  <c r="H641" i="7" s="1"/>
  <c r="H506" i="7"/>
  <c r="H485" i="7"/>
  <c r="H495" i="7"/>
  <c r="H482" i="7"/>
  <c r="J92" i="21"/>
  <c r="J630" i="7"/>
  <c r="J641" i="7" s="1"/>
  <c r="J506" i="7"/>
  <c r="J485" i="7"/>
  <c r="J495" i="7"/>
  <c r="J482" i="7"/>
  <c r="L92" i="21"/>
  <c r="L630" i="7"/>
  <c r="L641" i="7" s="1"/>
  <c r="L506" i="7"/>
  <c r="L485" i="7"/>
  <c r="L495" i="7"/>
  <c r="L482" i="7"/>
  <c r="N92" i="21"/>
  <c r="N630" i="7"/>
  <c r="N641" i="7" s="1"/>
  <c r="N506" i="7"/>
  <c r="N485" i="7"/>
  <c r="N495" i="7"/>
  <c r="N482" i="7"/>
  <c r="P92" i="21"/>
  <c r="P630" i="7"/>
  <c r="P641" i="7" s="1"/>
  <c r="P506" i="7"/>
  <c r="P485" i="7"/>
  <c r="P495" i="7"/>
  <c r="P482" i="7"/>
  <c r="R92" i="21"/>
  <c r="R630" i="7"/>
  <c r="R641" i="7" s="1"/>
  <c r="R506" i="7"/>
  <c r="R485" i="7"/>
  <c r="R495" i="7"/>
  <c r="R482" i="7"/>
  <c r="T92" i="21"/>
  <c r="T630" i="7"/>
  <c r="T641" i="7" s="1"/>
  <c r="T506" i="7"/>
  <c r="T485" i="7"/>
  <c r="T495" i="7"/>
  <c r="T482" i="7"/>
  <c r="V92" i="21"/>
  <c r="V630" i="7"/>
  <c r="V641" i="7" s="1"/>
  <c r="V506" i="7"/>
  <c r="V485" i="7"/>
  <c r="V495" i="7"/>
  <c r="V482" i="7"/>
  <c r="X92" i="21"/>
  <c r="X630" i="7"/>
  <c r="X506" i="7"/>
  <c r="X485" i="7"/>
  <c r="X495" i="7"/>
  <c r="X482" i="7"/>
  <c r="Z92" i="21"/>
  <c r="C225" i="2"/>
  <c r="AT225" i="2" s="1"/>
  <c r="Z630" i="7"/>
  <c r="Z641" i="7" s="1"/>
  <c r="Z506" i="7"/>
  <c r="Z485" i="7"/>
  <c r="Z495" i="7"/>
  <c r="Z482" i="7"/>
  <c r="AB92" i="21"/>
  <c r="AB630" i="7"/>
  <c r="AB485" i="7"/>
  <c r="AB508" i="7" s="1"/>
  <c r="AB495" i="7"/>
  <c r="BC495" i="7" s="1"/>
  <c r="AB482" i="7"/>
  <c r="AB505" i="7" s="1"/>
  <c r="H41" i="6"/>
  <c r="G695" i="7"/>
  <c r="G503" i="7"/>
  <c r="I97" i="21"/>
  <c r="T41" i="6"/>
  <c r="I695" i="7"/>
  <c r="I503" i="7"/>
  <c r="I492" i="7"/>
  <c r="K97" i="21"/>
  <c r="AF41" i="6"/>
  <c r="K695" i="7"/>
  <c r="K503" i="7"/>
  <c r="K492" i="7"/>
  <c r="M97" i="21"/>
  <c r="AR41" i="6"/>
  <c r="M695" i="7"/>
  <c r="M503" i="7"/>
  <c r="M492" i="7"/>
  <c r="O97" i="21"/>
  <c r="BD41" i="6"/>
  <c r="O695" i="7"/>
  <c r="O503" i="7"/>
  <c r="O492" i="7"/>
  <c r="Q97" i="21"/>
  <c r="BP41" i="6"/>
  <c r="Q695" i="7"/>
  <c r="Q503" i="7"/>
  <c r="Q492" i="7"/>
  <c r="S97" i="21"/>
  <c r="CB41" i="6"/>
  <c r="S695" i="7"/>
  <c r="S503" i="7"/>
  <c r="S492" i="7"/>
  <c r="U97" i="21"/>
  <c r="CN41" i="6"/>
  <c r="U695" i="7"/>
  <c r="U503" i="7"/>
  <c r="U492" i="7"/>
  <c r="W97" i="21"/>
  <c r="CZ41" i="6"/>
  <c r="W695" i="7"/>
  <c r="W503" i="7"/>
  <c r="W492" i="7"/>
  <c r="Y97" i="21"/>
  <c r="DL41" i="6"/>
  <c r="Y695" i="7"/>
  <c r="Y503" i="7"/>
  <c r="Y492" i="7"/>
  <c r="AA97" i="21"/>
  <c r="D230" i="2"/>
  <c r="DX41" i="6"/>
  <c r="AA695" i="7"/>
  <c r="N44" i="6"/>
  <c r="H759" i="7"/>
  <c r="H507" i="7"/>
  <c r="H496" i="7"/>
  <c r="Z44" i="6"/>
  <c r="J759" i="7"/>
  <c r="J507" i="7"/>
  <c r="J496" i="7"/>
  <c r="AL44" i="6"/>
  <c r="L759" i="7"/>
  <c r="L507" i="7"/>
  <c r="L496" i="7"/>
  <c r="AX44" i="6"/>
  <c r="N759" i="7"/>
  <c r="N507" i="7"/>
  <c r="N496" i="7"/>
  <c r="BJ44" i="6"/>
  <c r="P759" i="7"/>
  <c r="P507" i="7"/>
  <c r="P496" i="7"/>
  <c r="BV44" i="6"/>
  <c r="R759" i="7"/>
  <c r="R507" i="7"/>
  <c r="R496" i="7"/>
  <c r="CH44" i="6"/>
  <c r="T759" i="7"/>
  <c r="T507" i="7"/>
  <c r="T496" i="7"/>
  <c r="CT44" i="6"/>
  <c r="V759" i="7"/>
  <c r="V507" i="7"/>
  <c r="V496" i="7"/>
  <c r="DF44" i="6"/>
  <c r="X759" i="7"/>
  <c r="X507" i="7"/>
  <c r="X496" i="7"/>
  <c r="DR44" i="6"/>
  <c r="Z759" i="7"/>
  <c r="Z507" i="7"/>
  <c r="Z496" i="7"/>
  <c r="ED44" i="6"/>
  <c r="AB759" i="7"/>
  <c r="BC759" i="7" s="1"/>
  <c r="AB496" i="7"/>
  <c r="BC496" i="7" s="1"/>
  <c r="H42" i="6"/>
  <c r="G696" i="7"/>
  <c r="G504" i="7"/>
  <c r="I113" i="21"/>
  <c r="T42" i="6"/>
  <c r="I696" i="7"/>
  <c r="I493" i="7"/>
  <c r="I504" i="7"/>
  <c r="K113" i="21"/>
  <c r="AF42" i="6"/>
  <c r="K696" i="7"/>
  <c r="K493" i="7"/>
  <c r="K504" i="7"/>
  <c r="M113" i="21"/>
  <c r="AR42" i="6"/>
  <c r="M696" i="7"/>
  <c r="M493" i="7"/>
  <c r="M504" i="7"/>
  <c r="O113" i="21"/>
  <c r="BD42" i="6"/>
  <c r="O696" i="7"/>
  <c r="O493" i="7"/>
  <c r="O504" i="7"/>
  <c r="Q113" i="21"/>
  <c r="BP42" i="6"/>
  <c r="Q696" i="7"/>
  <c r="Q493" i="7"/>
  <c r="Q504" i="7"/>
  <c r="S113" i="21"/>
  <c r="CB42" i="6"/>
  <c r="S696" i="7"/>
  <c r="S493" i="7"/>
  <c r="S504" i="7"/>
  <c r="U113" i="21"/>
  <c r="CN42" i="6"/>
  <c r="U696" i="7"/>
  <c r="U493" i="7"/>
  <c r="U504" i="7"/>
  <c r="W113" i="21"/>
  <c r="CZ42" i="6"/>
  <c r="W696" i="7"/>
  <c r="W493" i="7"/>
  <c r="W504" i="7"/>
  <c r="Y113" i="21"/>
  <c r="DL42" i="6"/>
  <c r="Y696" i="7"/>
  <c r="Y493" i="7"/>
  <c r="Y504" i="7"/>
  <c r="AA113" i="21"/>
  <c r="D248" i="2"/>
  <c r="AU248" i="2" s="1"/>
  <c r="DX42" i="6"/>
  <c r="AA696" i="7"/>
  <c r="AA493" i="7"/>
  <c r="H47" i="6"/>
  <c r="G554" i="7"/>
  <c r="G760" i="7"/>
  <c r="T47" i="6"/>
  <c r="I554" i="7"/>
  <c r="I760" i="7"/>
  <c r="I548" i="7"/>
  <c r="AF47" i="6"/>
  <c r="K554" i="7"/>
  <c r="K760" i="7"/>
  <c r="K548" i="7"/>
  <c r="AR47" i="6"/>
  <c r="M554" i="7"/>
  <c r="M760" i="7"/>
  <c r="M548" i="7"/>
  <c r="BD47" i="6"/>
  <c r="O554" i="7"/>
  <c r="O760" i="7"/>
  <c r="O548" i="7"/>
  <c r="BP47" i="6"/>
  <c r="Q554" i="7"/>
  <c r="Q760" i="7"/>
  <c r="Q548" i="7"/>
  <c r="CB47" i="6"/>
  <c r="S554" i="7"/>
  <c r="S760" i="7"/>
  <c r="S548" i="7"/>
  <c r="CN47" i="6"/>
  <c r="U554" i="7"/>
  <c r="U760" i="7"/>
  <c r="U548" i="7"/>
  <c r="CZ47" i="6"/>
  <c r="W554" i="7"/>
  <c r="W760" i="7"/>
  <c r="W548" i="7"/>
  <c r="DL47" i="6"/>
  <c r="Y554" i="7"/>
  <c r="Y760" i="7"/>
  <c r="Y548" i="7"/>
  <c r="DX47" i="6"/>
  <c r="AA760" i="7"/>
  <c r="AA548" i="7"/>
  <c r="N45" i="6"/>
  <c r="H761" i="7"/>
  <c r="H526" i="7"/>
  <c r="H532" i="7"/>
  <c r="Z45" i="6"/>
  <c r="J761" i="7"/>
  <c r="J526" i="7"/>
  <c r="J532" i="7"/>
  <c r="AL45" i="6"/>
  <c r="L761" i="7"/>
  <c r="L526" i="7"/>
  <c r="L532" i="7"/>
  <c r="AX45" i="6"/>
  <c r="N761" i="7"/>
  <c r="N526" i="7"/>
  <c r="N532" i="7"/>
  <c r="BJ45" i="6"/>
  <c r="P761" i="7"/>
  <c r="P526" i="7"/>
  <c r="P532" i="7"/>
  <c r="BV45" i="6"/>
  <c r="R761" i="7"/>
  <c r="R526" i="7"/>
  <c r="R532" i="7"/>
  <c r="CH45" i="6"/>
  <c r="T761" i="7"/>
  <c r="T526" i="7"/>
  <c r="T532" i="7"/>
  <c r="CT45" i="6"/>
  <c r="V761" i="7"/>
  <c r="V526" i="7"/>
  <c r="V532" i="7"/>
  <c r="DF45" i="6"/>
  <c r="X761" i="7"/>
  <c r="X526" i="7"/>
  <c r="DR45" i="6"/>
  <c r="Z761" i="7"/>
  <c r="Z526" i="7"/>
  <c r="ED45" i="6"/>
  <c r="AB761" i="7"/>
  <c r="BC761" i="7" s="1"/>
  <c r="AB526" i="7"/>
  <c r="BC526" i="7" s="1"/>
  <c r="H602" i="7"/>
  <c r="G607" i="7"/>
  <c r="I95" i="21"/>
  <c r="J602" i="7"/>
  <c r="I607" i="7"/>
  <c r="I606" i="7"/>
  <c r="K95" i="21"/>
  <c r="L602" i="7"/>
  <c r="L143" i="7" s="1"/>
  <c r="K607" i="7"/>
  <c r="K606" i="7"/>
  <c r="M95" i="21"/>
  <c r="N602" i="7"/>
  <c r="N143" i="7" s="1"/>
  <c r="M607" i="7"/>
  <c r="M606" i="7"/>
  <c r="O95" i="21"/>
  <c r="P602" i="7"/>
  <c r="P143" i="7" s="1"/>
  <c r="O607" i="7"/>
  <c r="O606" i="7"/>
  <c r="Q95" i="21"/>
  <c r="R602" i="7"/>
  <c r="R143" i="7" s="1"/>
  <c r="Q607" i="7"/>
  <c r="Q606" i="7"/>
  <c r="S95" i="21"/>
  <c r="T602" i="7"/>
  <c r="T143" i="7" s="1"/>
  <c r="S607" i="7"/>
  <c r="S606" i="7"/>
  <c r="U95" i="21"/>
  <c r="V602" i="7"/>
  <c r="V143" i="7" s="1"/>
  <c r="U607" i="7"/>
  <c r="U606" i="7"/>
  <c r="W95" i="21"/>
  <c r="W607" i="7"/>
  <c r="W606" i="7"/>
  <c r="Y95" i="21"/>
  <c r="Z143" i="7"/>
  <c r="AA95" i="21"/>
  <c r="D228" i="2"/>
  <c r="H96" i="21"/>
  <c r="H678" i="7"/>
  <c r="J96" i="21"/>
  <c r="J678" i="7"/>
  <c r="L96" i="21"/>
  <c r="L678" i="7"/>
  <c r="N96" i="21"/>
  <c r="N678" i="7"/>
  <c r="P96" i="21"/>
  <c r="P678" i="7"/>
  <c r="R96" i="21"/>
  <c r="R678" i="7"/>
  <c r="T96" i="21"/>
  <c r="T678" i="7"/>
  <c r="V96" i="21"/>
  <c r="V678" i="7"/>
  <c r="X96" i="21"/>
  <c r="X687" i="7"/>
  <c r="X678" i="7"/>
  <c r="Z96" i="21"/>
  <c r="C229" i="2"/>
  <c r="AT229" i="2" s="1"/>
  <c r="Z687" i="7"/>
  <c r="AB96" i="21"/>
  <c r="AB687" i="7"/>
  <c r="BC687" i="7" s="1"/>
  <c r="G642" i="7"/>
  <c r="I642" i="7"/>
  <c r="K642" i="7"/>
  <c r="M642" i="7"/>
  <c r="O642" i="7"/>
  <c r="Q642" i="7"/>
  <c r="S642" i="7"/>
  <c r="U642" i="7"/>
  <c r="W642" i="7"/>
  <c r="Y642" i="7"/>
  <c r="H99" i="21"/>
  <c r="H172" i="7"/>
  <c r="H168" i="7"/>
  <c r="J99" i="21"/>
  <c r="J172" i="7"/>
  <c r="J168" i="7"/>
  <c r="L99" i="21"/>
  <c r="L172" i="7"/>
  <c r="L168" i="7"/>
  <c r="N99" i="21"/>
  <c r="N172" i="7"/>
  <c r="N168" i="7"/>
  <c r="P99" i="21"/>
  <c r="P172" i="7"/>
  <c r="P168" i="7"/>
  <c r="R99" i="21"/>
  <c r="R172" i="7"/>
  <c r="R168" i="7"/>
  <c r="T99" i="21"/>
  <c r="T172" i="7"/>
  <c r="T168" i="7"/>
  <c r="V99" i="21"/>
  <c r="V172" i="7"/>
  <c r="V168" i="7"/>
  <c r="X99" i="21"/>
  <c r="X168" i="7"/>
  <c r="Z99" i="21"/>
  <c r="C232" i="2"/>
  <c r="AT232" i="2" s="1"/>
  <c r="Z168" i="7"/>
  <c r="AB99" i="21"/>
  <c r="AB168" i="7"/>
  <c r="BC168" i="7" s="1"/>
  <c r="F8" i="6"/>
  <c r="G107" i="7"/>
  <c r="G98" i="7"/>
  <c r="G89" i="7"/>
  <c r="R8" i="6"/>
  <c r="I107" i="7"/>
  <c r="I98" i="7"/>
  <c r="I89" i="7"/>
  <c r="I92" i="7"/>
  <c r="AD8" i="6"/>
  <c r="K107" i="7"/>
  <c r="K98" i="7"/>
  <c r="K89" i="7"/>
  <c r="K92" i="7"/>
  <c r="AP8" i="6"/>
  <c r="M107" i="7"/>
  <c r="M98" i="7"/>
  <c r="M89" i="7"/>
  <c r="M92" i="7"/>
  <c r="BB8" i="6"/>
  <c r="O107" i="7"/>
  <c r="O98" i="7"/>
  <c r="O89" i="7"/>
  <c r="O92" i="7"/>
  <c r="BN8" i="6"/>
  <c r="Q107" i="7"/>
  <c r="Q98" i="7"/>
  <c r="Q89" i="7"/>
  <c r="Q92" i="7"/>
  <c r="BZ8" i="6"/>
  <c r="S107" i="7"/>
  <c r="S98" i="7"/>
  <c r="S89" i="7"/>
  <c r="S92" i="7"/>
  <c r="CL8" i="6"/>
  <c r="U107" i="7"/>
  <c r="U98" i="7"/>
  <c r="U89" i="7"/>
  <c r="U92" i="7"/>
  <c r="CX8" i="6"/>
  <c r="W107" i="7"/>
  <c r="W98" i="7"/>
  <c r="W89" i="7"/>
  <c r="W92" i="7"/>
  <c r="DJ8" i="6"/>
  <c r="Y107" i="7"/>
  <c r="Y98" i="7"/>
  <c r="Y89" i="7"/>
  <c r="Y92" i="7"/>
  <c r="DV8" i="6"/>
  <c r="AA107" i="7"/>
  <c r="AA89" i="7"/>
  <c r="L9" i="6"/>
  <c r="H75" i="7"/>
  <c r="H27" i="7"/>
  <c r="H18" i="7"/>
  <c r="X9" i="6"/>
  <c r="J75" i="7"/>
  <c r="J27" i="7"/>
  <c r="J18" i="7"/>
  <c r="AJ9" i="6"/>
  <c r="L75" i="7"/>
  <c r="L27" i="7"/>
  <c r="L18" i="7"/>
  <c r="AV9" i="6"/>
  <c r="N75" i="7"/>
  <c r="N27" i="7"/>
  <c r="N18" i="7"/>
  <c r="BH9" i="6"/>
  <c r="P75" i="7"/>
  <c r="P27" i="7"/>
  <c r="P18" i="7"/>
  <c r="BT9" i="6"/>
  <c r="R75" i="7"/>
  <c r="R27" i="7"/>
  <c r="R18" i="7"/>
  <c r="CF9" i="6"/>
  <c r="T75" i="7"/>
  <c r="T27" i="7"/>
  <c r="T18" i="7"/>
  <c r="CR9" i="6"/>
  <c r="V75" i="7"/>
  <c r="V27" i="7"/>
  <c r="V18" i="7"/>
  <c r="DD9" i="6"/>
  <c r="X75" i="7"/>
  <c r="X18" i="7"/>
  <c r="DP9" i="6"/>
  <c r="Z18" i="7"/>
  <c r="EB9" i="6"/>
  <c r="AB18" i="7"/>
  <c r="BC18" i="7" s="1"/>
  <c r="F10" i="6"/>
  <c r="G63" i="7"/>
  <c r="R10" i="6"/>
  <c r="I63" i="7"/>
  <c r="I55" i="7"/>
  <c r="AD10" i="6"/>
  <c r="K63" i="7"/>
  <c r="K55" i="7"/>
  <c r="AP10" i="6"/>
  <c r="M63" i="7"/>
  <c r="M55" i="7"/>
  <c r="BB10" i="6"/>
  <c r="O63" i="7"/>
  <c r="O55" i="7"/>
  <c r="BN10" i="6"/>
  <c r="Q63" i="7"/>
  <c r="Q55" i="7"/>
  <c r="BZ10" i="6"/>
  <c r="S63" i="7"/>
  <c r="S55" i="7"/>
  <c r="CL10" i="6"/>
  <c r="U63" i="7"/>
  <c r="U55" i="7"/>
  <c r="CX10" i="6"/>
  <c r="W63" i="7"/>
  <c r="W55" i="7"/>
  <c r="DJ10" i="6"/>
  <c r="Y55" i="7"/>
  <c r="DV10" i="6"/>
  <c r="AA55" i="7"/>
  <c r="H58" i="21"/>
  <c r="L13" i="6"/>
  <c r="H167" i="8"/>
  <c r="H233" i="8"/>
  <c r="H225" i="8"/>
  <c r="F30" i="24" s="1"/>
  <c r="J58" i="21"/>
  <c r="X13" i="6"/>
  <c r="J167" i="8"/>
  <c r="J233" i="8"/>
  <c r="J225" i="8"/>
  <c r="H30" i="24" s="1"/>
  <c r="L58" i="21"/>
  <c r="AJ13" i="6"/>
  <c r="L167" i="8"/>
  <c r="L233" i="8"/>
  <c r="L225" i="8"/>
  <c r="J30" i="24" s="1"/>
  <c r="N58" i="21"/>
  <c r="AV13" i="6"/>
  <c r="N167" i="8"/>
  <c r="N233" i="8"/>
  <c r="N225" i="8"/>
  <c r="L30" i="24" s="1"/>
  <c r="P58" i="21"/>
  <c r="BH13" i="6"/>
  <c r="P167" i="8"/>
  <c r="P233" i="8"/>
  <c r="P225" i="8"/>
  <c r="N30" i="24" s="1"/>
  <c r="R58" i="21"/>
  <c r="BT13" i="6"/>
  <c r="R167" i="8"/>
  <c r="R233" i="8"/>
  <c r="R225" i="8"/>
  <c r="P30" i="24" s="1"/>
  <c r="T58" i="21"/>
  <c r="CF13" i="6"/>
  <c r="T167" i="8"/>
  <c r="T233" i="8"/>
  <c r="T225" i="8"/>
  <c r="R30" i="24" s="1"/>
  <c r="V58" i="21"/>
  <c r="CR13" i="6"/>
  <c r="V167" i="8"/>
  <c r="V233" i="8"/>
  <c r="V225" i="8"/>
  <c r="T30" i="24" s="1"/>
  <c r="X58" i="21"/>
  <c r="DD13" i="6"/>
  <c r="X167" i="8"/>
  <c r="X258" i="7" s="1"/>
  <c r="X233" i="8"/>
  <c r="X225" i="8"/>
  <c r="V30" i="24" s="1"/>
  <c r="Z58" i="21"/>
  <c r="C187" i="2"/>
  <c r="AT187" i="2" s="1"/>
  <c r="DP13" i="6"/>
  <c r="Z167" i="8"/>
  <c r="Z258" i="7" s="1"/>
  <c r="Z259" i="7" s="1"/>
  <c r="Z233" i="8"/>
  <c r="Z225" i="8"/>
  <c r="X30" i="24" s="1"/>
  <c r="AB58" i="21"/>
  <c r="EB13" i="6"/>
  <c r="AB167" i="8"/>
  <c r="AB258" i="7" s="1"/>
  <c r="AB233" i="8"/>
  <c r="AB225" i="8"/>
  <c r="F14" i="6"/>
  <c r="G135" i="8"/>
  <c r="I59" i="21"/>
  <c r="R14" i="6"/>
  <c r="I135" i="8"/>
  <c r="K59" i="21"/>
  <c r="AD14" i="6"/>
  <c r="K135" i="8"/>
  <c r="M59" i="21"/>
  <c r="AP14" i="6"/>
  <c r="M135" i="8"/>
  <c r="O59" i="21"/>
  <c r="BB14" i="6"/>
  <c r="O135" i="8"/>
  <c r="Q59" i="21"/>
  <c r="BN14" i="6"/>
  <c r="Q135" i="8"/>
  <c r="S59" i="21"/>
  <c r="BZ14" i="6"/>
  <c r="S135" i="8"/>
  <c r="U59" i="21"/>
  <c r="CL14" i="6"/>
  <c r="U135" i="8"/>
  <c r="W59" i="21"/>
  <c r="CX14" i="6"/>
  <c r="W135" i="8"/>
  <c r="Y59" i="21"/>
  <c r="DJ14" i="6"/>
  <c r="Y135" i="8"/>
  <c r="AA59" i="21"/>
  <c r="D188" i="2"/>
  <c r="DV14" i="6"/>
  <c r="AA135" i="8"/>
  <c r="L11" i="6"/>
  <c r="H220" i="8"/>
  <c r="H214" i="8"/>
  <c r="H76" i="7"/>
  <c r="H228" i="8"/>
  <c r="X11" i="6"/>
  <c r="J220" i="8"/>
  <c r="J214" i="8"/>
  <c r="J76" i="7"/>
  <c r="J228" i="8"/>
  <c r="AJ11" i="6"/>
  <c r="L220" i="8"/>
  <c r="L214" i="8"/>
  <c r="L76" i="7"/>
  <c r="L228" i="8"/>
  <c r="AV11" i="6"/>
  <c r="N220" i="8"/>
  <c r="N214" i="8"/>
  <c r="N76" i="7"/>
  <c r="N228" i="8"/>
  <c r="BH11" i="6"/>
  <c r="P220" i="8"/>
  <c r="P214" i="8"/>
  <c r="P76" i="7"/>
  <c r="P228" i="8"/>
  <c r="BT11" i="6"/>
  <c r="R220" i="8"/>
  <c r="R214" i="8"/>
  <c r="R76" i="7"/>
  <c r="R228" i="8"/>
  <c r="CF11" i="6"/>
  <c r="T220" i="8"/>
  <c r="T214" i="8"/>
  <c r="T76" i="7"/>
  <c r="T228" i="8"/>
  <c r="CR11" i="6"/>
  <c r="V220" i="8"/>
  <c r="V214" i="8"/>
  <c r="V76" i="7"/>
  <c r="V228" i="8"/>
  <c r="DD11" i="6"/>
  <c r="X220" i="8"/>
  <c r="X214" i="8"/>
  <c r="X76" i="7"/>
  <c r="X228" i="8"/>
  <c r="DP11" i="6"/>
  <c r="Z220" i="8"/>
  <c r="Z214" i="8"/>
  <c r="Z228" i="8"/>
  <c r="EB11" i="6"/>
  <c r="AB220" i="8"/>
  <c r="AB214" i="8"/>
  <c r="AB228" i="8"/>
  <c r="F30" i="6"/>
  <c r="G230" i="7"/>
  <c r="G219" i="7"/>
  <c r="I63" i="21"/>
  <c r="R30" i="6"/>
  <c r="I230" i="7"/>
  <c r="I219" i="7"/>
  <c r="I207" i="7"/>
  <c r="K63" i="21"/>
  <c r="AD30" i="6"/>
  <c r="K230" i="7"/>
  <c r="K219" i="7"/>
  <c r="K207" i="7"/>
  <c r="M63" i="21"/>
  <c r="AP30" i="6"/>
  <c r="M230" i="7"/>
  <c r="M219" i="7"/>
  <c r="M207" i="7"/>
  <c r="O63" i="21"/>
  <c r="BB30" i="6"/>
  <c r="O230" i="7"/>
  <c r="O219" i="7"/>
  <c r="O207" i="7"/>
  <c r="Q63" i="21"/>
  <c r="BN30" i="6"/>
  <c r="Q230" i="7"/>
  <c r="Q219" i="7"/>
  <c r="Q207" i="7"/>
  <c r="S63" i="21"/>
  <c r="BZ30" i="6"/>
  <c r="S230" i="7"/>
  <c r="S219" i="7"/>
  <c r="S207" i="7"/>
  <c r="U63" i="21"/>
  <c r="CL30" i="6"/>
  <c r="U230" i="7"/>
  <c r="U219" i="7"/>
  <c r="U207" i="7"/>
  <c r="W63" i="21"/>
  <c r="CX30" i="6"/>
  <c r="W230" i="7"/>
  <c r="W219" i="7"/>
  <c r="W207" i="7"/>
  <c r="Y63" i="21"/>
  <c r="DJ30" i="6"/>
  <c r="Y230" i="7"/>
  <c r="Y219" i="7"/>
  <c r="Y207" i="7"/>
  <c r="AA63" i="21"/>
  <c r="D192" i="2"/>
  <c r="DV30" i="6"/>
  <c r="AA207" i="7"/>
  <c r="L24" i="6"/>
  <c r="H706" i="7"/>
  <c r="H280" i="7"/>
  <c r="H266" i="7"/>
  <c r="X24" i="6"/>
  <c r="J706" i="7"/>
  <c r="J280" i="7"/>
  <c r="J266" i="7"/>
  <c r="AJ24" i="6"/>
  <c r="L706" i="7"/>
  <c r="L280" i="7"/>
  <c r="L266" i="7"/>
  <c r="AV24" i="6"/>
  <c r="N706" i="7"/>
  <c r="N280" i="7"/>
  <c r="N266" i="7"/>
  <c r="BH24" i="6"/>
  <c r="P706" i="7"/>
  <c r="P280" i="7"/>
  <c r="P266" i="7"/>
  <c r="BT24" i="6"/>
  <c r="R706" i="7"/>
  <c r="R280" i="7"/>
  <c r="R266" i="7"/>
  <c r="CF24" i="6"/>
  <c r="T706" i="7"/>
  <c r="T280" i="7"/>
  <c r="T266" i="7"/>
  <c r="CR24" i="6"/>
  <c r="V706" i="7"/>
  <c r="V280" i="7"/>
  <c r="V266" i="7"/>
  <c r="DD24" i="6"/>
  <c r="X706" i="7"/>
  <c r="X266" i="7"/>
  <c r="DP24" i="6"/>
  <c r="Z706" i="7"/>
  <c r="Z266" i="7"/>
  <c r="EB24" i="6"/>
  <c r="AB706" i="7"/>
  <c r="BC706" i="7" s="1"/>
  <c r="AB266" i="7"/>
  <c r="BC266" i="7" s="1"/>
  <c r="F27" i="6"/>
  <c r="E27" i="6" s="1"/>
  <c r="G707" i="7"/>
  <c r="G315" i="7"/>
  <c r="R27" i="6"/>
  <c r="I707" i="7"/>
  <c r="I315" i="7"/>
  <c r="I308" i="7"/>
  <c r="AD27" i="6"/>
  <c r="K707" i="7"/>
  <c r="K315" i="7"/>
  <c r="K308" i="7"/>
  <c r="AP27" i="6"/>
  <c r="M707" i="7"/>
  <c r="M315" i="7"/>
  <c r="M308" i="7"/>
  <c r="BB27" i="6"/>
  <c r="O707" i="7"/>
  <c r="O315" i="7"/>
  <c r="O308" i="7"/>
  <c r="BN27" i="6"/>
  <c r="Q707" i="7"/>
  <c r="Q315" i="7"/>
  <c r="Q308" i="7"/>
  <c r="BZ27" i="6"/>
  <c r="S707" i="7"/>
  <c r="S315" i="7"/>
  <c r="S308" i="7"/>
  <c r="CL27" i="6"/>
  <c r="U707" i="7"/>
  <c r="U315" i="7"/>
  <c r="U308" i="7"/>
  <c r="CX27" i="6"/>
  <c r="W707" i="7"/>
  <c r="W315" i="7"/>
  <c r="W308" i="7"/>
  <c r="DJ27" i="6"/>
  <c r="Y707" i="7"/>
  <c r="Y315" i="7"/>
  <c r="Y308" i="7"/>
  <c r="DV27" i="6"/>
  <c r="AA707" i="7"/>
  <c r="AA308" i="7"/>
  <c r="L31" i="6"/>
  <c r="H712" i="7"/>
  <c r="H283" i="7"/>
  <c r="H269" i="7"/>
  <c r="X31" i="6"/>
  <c r="J712" i="7"/>
  <c r="J283" i="7"/>
  <c r="J269" i="7"/>
  <c r="AJ31" i="6"/>
  <c r="L712" i="7"/>
  <c r="L283" i="7"/>
  <c r="L269" i="7"/>
  <c r="AV31" i="6"/>
  <c r="N712" i="7"/>
  <c r="N283" i="7"/>
  <c r="N269" i="7"/>
  <c r="BH31" i="6"/>
  <c r="P712" i="7"/>
  <c r="P283" i="7"/>
  <c r="P269" i="7"/>
  <c r="BT31" i="6"/>
  <c r="R712" i="7"/>
  <c r="R283" i="7"/>
  <c r="R269" i="7"/>
  <c r="CF31" i="6"/>
  <c r="T712" i="7"/>
  <c r="T283" i="7"/>
  <c r="T269" i="7"/>
  <c r="CR31" i="6"/>
  <c r="V712" i="7"/>
  <c r="V283" i="7"/>
  <c r="V269" i="7"/>
  <c r="DD31" i="6"/>
  <c r="X712" i="7"/>
  <c r="DP31" i="6"/>
  <c r="Z712" i="7"/>
  <c r="EB31" i="6"/>
  <c r="AB712" i="7"/>
  <c r="BC712" i="7" s="1"/>
  <c r="F32" i="6"/>
  <c r="G713" i="7"/>
  <c r="G311" i="7"/>
  <c r="R32" i="6"/>
  <c r="I713" i="7"/>
  <c r="I311" i="7"/>
  <c r="I304" i="7"/>
  <c r="AD32" i="6"/>
  <c r="K713" i="7"/>
  <c r="K311" i="7"/>
  <c r="K304" i="7"/>
  <c r="AP32" i="6"/>
  <c r="M713" i="7"/>
  <c r="M311" i="7"/>
  <c r="M304" i="7"/>
  <c r="BB32" i="6"/>
  <c r="O713" i="7"/>
  <c r="O311" i="7"/>
  <c r="O304" i="7"/>
  <c r="BN32" i="6"/>
  <c r="Q713" i="7"/>
  <c r="Q311" i="7"/>
  <c r="Q304" i="7"/>
  <c r="BZ32" i="6"/>
  <c r="S713" i="7"/>
  <c r="S311" i="7"/>
  <c r="S304" i="7"/>
  <c r="CL32" i="6"/>
  <c r="U713" i="7"/>
  <c r="U311" i="7"/>
  <c r="U304" i="7"/>
  <c r="CX32" i="6"/>
  <c r="W713" i="7"/>
  <c r="W311" i="7"/>
  <c r="W304" i="7"/>
  <c r="DJ32" i="6"/>
  <c r="Y713" i="7"/>
  <c r="Y311" i="7"/>
  <c r="Y304" i="7"/>
  <c r="DV32" i="6"/>
  <c r="AA713" i="7"/>
  <c r="AA304" i="7"/>
  <c r="L28" i="6"/>
  <c r="H708" i="7"/>
  <c r="H341" i="7"/>
  <c r="H332" i="7"/>
  <c r="X28" i="6"/>
  <c r="J708" i="7"/>
  <c r="J341" i="7"/>
  <c r="J332" i="7"/>
  <c r="AJ28" i="6"/>
  <c r="L708" i="7"/>
  <c r="L341" i="7"/>
  <c r="L332" i="7"/>
  <c r="AV28" i="6"/>
  <c r="N708" i="7"/>
  <c r="N341" i="7"/>
  <c r="N332" i="7"/>
  <c r="BH28" i="6"/>
  <c r="P708" i="7"/>
  <c r="P341" i="7"/>
  <c r="P332" i="7"/>
  <c r="BT28" i="6"/>
  <c r="R708" i="7"/>
  <c r="R341" i="7"/>
  <c r="R332" i="7"/>
  <c r="CF28" i="6"/>
  <c r="T708" i="7"/>
  <c r="T341" i="7"/>
  <c r="T332" i="7"/>
  <c r="CR28" i="6"/>
  <c r="V708" i="7"/>
  <c r="V341" i="7"/>
  <c r="V332" i="7"/>
  <c r="DD28" i="6"/>
  <c r="X708" i="7"/>
  <c r="X341" i="7"/>
  <c r="X332" i="7"/>
  <c r="DP28" i="6"/>
  <c r="Z708" i="7"/>
  <c r="Z332" i="7"/>
  <c r="EB28" i="6"/>
  <c r="AB708" i="7"/>
  <c r="BC708" i="7" s="1"/>
  <c r="AB332" i="7"/>
  <c r="BC332" i="7" s="1"/>
  <c r="F33" i="6"/>
  <c r="G714" i="7"/>
  <c r="G340" i="7"/>
  <c r="R33" i="6"/>
  <c r="I714" i="7"/>
  <c r="I340" i="7"/>
  <c r="I331" i="7"/>
  <c r="AD33" i="6"/>
  <c r="K714" i="7"/>
  <c r="K340" i="7"/>
  <c r="K331" i="7"/>
  <c r="AP33" i="6"/>
  <c r="M714" i="7"/>
  <c r="M340" i="7"/>
  <c r="M331" i="7"/>
  <c r="BB33" i="6"/>
  <c r="O714" i="7"/>
  <c r="O340" i="7"/>
  <c r="O331" i="7"/>
  <c r="BN33" i="6"/>
  <c r="Q714" i="7"/>
  <c r="Q340" i="7"/>
  <c r="Q331" i="7"/>
  <c r="BZ33" i="6"/>
  <c r="S714" i="7"/>
  <c r="S340" i="7"/>
  <c r="S331" i="7"/>
  <c r="CL33" i="6"/>
  <c r="U714" i="7"/>
  <c r="U340" i="7"/>
  <c r="U331" i="7"/>
  <c r="CX33" i="6"/>
  <c r="W714" i="7"/>
  <c r="W340" i="7"/>
  <c r="W331" i="7"/>
  <c r="DJ33" i="6"/>
  <c r="Y714" i="7"/>
  <c r="Y340" i="7"/>
  <c r="Y331" i="7"/>
  <c r="DV33" i="6"/>
  <c r="AA714" i="7"/>
  <c r="AA331" i="7"/>
  <c r="H65" i="21"/>
  <c r="L35" i="6"/>
  <c r="H400" i="7"/>
  <c r="H406" i="7"/>
  <c r="H397" i="7"/>
  <c r="J65" i="21"/>
  <c r="X35" i="6"/>
  <c r="J400" i="7"/>
  <c r="J406" i="7"/>
  <c r="J397" i="7"/>
  <c r="L65" i="21"/>
  <c r="AJ35" i="6"/>
  <c r="L400" i="7"/>
  <c r="L406" i="7"/>
  <c r="L397" i="7"/>
  <c r="N65" i="21"/>
  <c r="AV35" i="6"/>
  <c r="N400" i="7"/>
  <c r="N406" i="7"/>
  <c r="N397" i="7"/>
  <c r="P65" i="21"/>
  <c r="BH35" i="6"/>
  <c r="P400" i="7"/>
  <c r="P406" i="7"/>
  <c r="P397" i="7"/>
  <c r="R65" i="21"/>
  <c r="BT35" i="6"/>
  <c r="R400" i="7"/>
  <c r="R406" i="7"/>
  <c r="R397" i="7"/>
  <c r="T65" i="21"/>
  <c r="CF35" i="6"/>
  <c r="T400" i="7"/>
  <c r="T406" i="7"/>
  <c r="T397" i="7"/>
  <c r="V65" i="21"/>
  <c r="CR35" i="6"/>
  <c r="V400" i="7"/>
  <c r="V406" i="7"/>
  <c r="V397" i="7"/>
  <c r="X65" i="21"/>
  <c r="DD35" i="6"/>
  <c r="X400" i="7"/>
  <c r="X406" i="7"/>
  <c r="X397" i="7"/>
  <c r="Z65" i="21"/>
  <c r="C194" i="2"/>
  <c r="AT194" i="2" s="1"/>
  <c r="DP35" i="6"/>
  <c r="Z400" i="7"/>
  <c r="Z397" i="7"/>
  <c r="AB65" i="21"/>
  <c r="EB35" i="6"/>
  <c r="AB400" i="7"/>
  <c r="BC400" i="7" s="1"/>
  <c r="AB397" i="7"/>
  <c r="F45" i="6"/>
  <c r="G724" i="7"/>
  <c r="G530" i="7"/>
  <c r="R45" i="6"/>
  <c r="I724" i="7"/>
  <c r="I530" i="7"/>
  <c r="I524" i="7"/>
  <c r="AD45" i="6"/>
  <c r="K724" i="7"/>
  <c r="K530" i="7"/>
  <c r="K524" i="7"/>
  <c r="AP45" i="6"/>
  <c r="M724" i="7"/>
  <c r="M530" i="7"/>
  <c r="M524" i="7"/>
  <c r="BB45" i="6"/>
  <c r="O724" i="7"/>
  <c r="O530" i="7"/>
  <c r="O524" i="7"/>
  <c r="BN45" i="6"/>
  <c r="Q724" i="7"/>
  <c r="Q530" i="7"/>
  <c r="Q524" i="7"/>
  <c r="BZ45" i="6"/>
  <c r="S724" i="7"/>
  <c r="S530" i="7"/>
  <c r="S524" i="7"/>
  <c r="CL45" i="6"/>
  <c r="U724" i="7"/>
  <c r="U530" i="7"/>
  <c r="U524" i="7"/>
  <c r="CX45" i="6"/>
  <c r="W724" i="7"/>
  <c r="W530" i="7"/>
  <c r="W524" i="7"/>
  <c r="DJ45" i="6"/>
  <c r="Y724" i="7"/>
  <c r="Y524" i="7"/>
  <c r="DV45" i="6"/>
  <c r="AA724" i="7"/>
  <c r="AA524" i="7"/>
  <c r="G40" i="8"/>
  <c r="I40" i="8"/>
  <c r="K40" i="8"/>
  <c r="M40" i="8"/>
  <c r="O40" i="8"/>
  <c r="Q40" i="8"/>
  <c r="S40" i="8"/>
  <c r="U40" i="8"/>
  <c r="W40" i="8"/>
  <c r="Y40" i="8"/>
  <c r="H57" i="21"/>
  <c r="H92" i="8"/>
  <c r="F44" i="24" s="1"/>
  <c r="J57" i="21"/>
  <c r="J92" i="8"/>
  <c r="H44" i="24" s="1"/>
  <c r="L57" i="21"/>
  <c r="L92" i="8"/>
  <c r="J44" i="24" s="1"/>
  <c r="N57" i="21"/>
  <c r="N92" i="8"/>
  <c r="L44" i="24" s="1"/>
  <c r="P57" i="21"/>
  <c r="P92" i="8"/>
  <c r="N44" i="24" s="1"/>
  <c r="R57" i="21"/>
  <c r="R92" i="8"/>
  <c r="P44" i="24" s="1"/>
  <c r="T57" i="21"/>
  <c r="T92" i="8"/>
  <c r="R44" i="24" s="1"/>
  <c r="V57" i="21"/>
  <c r="V92" i="8"/>
  <c r="T44" i="24" s="1"/>
  <c r="X57" i="21"/>
  <c r="X92" i="8"/>
  <c r="V44" i="24" s="1"/>
  <c r="Z57" i="21"/>
  <c r="C185" i="2"/>
  <c r="AT185" i="2" s="1"/>
  <c r="Z92" i="8"/>
  <c r="X44" i="24" s="1"/>
  <c r="AB57" i="21"/>
  <c r="AB92" i="8"/>
  <c r="K308" i="17"/>
  <c r="L303" i="17"/>
  <c r="S308" i="17"/>
  <c r="T303" i="17"/>
  <c r="AA308" i="17"/>
  <c r="AB303" i="17"/>
  <c r="AI308" i="17"/>
  <c r="AJ303" i="17"/>
  <c r="AQ308" i="17"/>
  <c r="AR303" i="17"/>
  <c r="AY308" i="17"/>
  <c r="AZ303" i="17"/>
  <c r="BG308" i="17"/>
  <c r="BH303" i="17"/>
  <c r="BO308" i="17"/>
  <c r="BP303" i="17"/>
  <c r="BW308" i="17"/>
  <c r="BX303" i="17"/>
  <c r="CE308" i="17"/>
  <c r="CF303" i="17"/>
  <c r="CM308" i="17"/>
  <c r="CN303" i="17"/>
  <c r="H71" i="17"/>
  <c r="H70" i="17"/>
  <c r="J71" i="17"/>
  <c r="J70" i="17"/>
  <c r="L71" i="17"/>
  <c r="L70" i="17"/>
  <c r="N71" i="17"/>
  <c r="N70" i="17"/>
  <c r="P71" i="17"/>
  <c r="P70" i="17"/>
  <c r="R71" i="17"/>
  <c r="R70" i="17"/>
  <c r="T71" i="17"/>
  <c r="T70" i="17"/>
  <c r="V71" i="17"/>
  <c r="V70" i="17"/>
  <c r="X71" i="17"/>
  <c r="X70" i="17"/>
  <c r="Z71" i="17"/>
  <c r="Z70" i="17"/>
  <c r="AB71" i="17"/>
  <c r="AB70" i="17"/>
  <c r="AD71" i="17"/>
  <c r="AD70" i="17"/>
  <c r="AF71" i="17"/>
  <c r="AF70" i="17"/>
  <c r="AH71" i="17"/>
  <c r="AH70" i="17"/>
  <c r="AJ71" i="17"/>
  <c r="AJ70" i="17"/>
  <c r="AL71" i="17"/>
  <c r="AL70" i="17"/>
  <c r="AN71" i="17"/>
  <c r="AN70" i="17"/>
  <c r="AP71" i="17"/>
  <c r="AP70" i="17"/>
  <c r="AR71" i="17"/>
  <c r="AR70" i="17"/>
  <c r="AT71" i="17"/>
  <c r="AT70" i="17"/>
  <c r="AV71" i="17"/>
  <c r="AV70" i="17"/>
  <c r="AX71" i="17"/>
  <c r="AX70" i="17"/>
  <c r="AZ71" i="17"/>
  <c r="AZ70" i="17"/>
  <c r="BB71" i="17"/>
  <c r="BB70" i="17"/>
  <c r="BD71" i="17"/>
  <c r="BD70" i="17"/>
  <c r="BF71" i="17"/>
  <c r="BF70" i="17"/>
  <c r="BH71" i="17"/>
  <c r="BH70" i="17"/>
  <c r="BJ71" i="17"/>
  <c r="BJ70" i="17"/>
  <c r="BL71" i="17"/>
  <c r="BL70" i="17"/>
  <c r="BN71" i="17"/>
  <c r="BN70" i="17"/>
  <c r="BP71" i="17"/>
  <c r="BP70" i="17"/>
  <c r="BR71" i="17"/>
  <c r="BR70" i="17"/>
  <c r="BT71" i="17"/>
  <c r="BT70" i="17"/>
  <c r="BV71" i="17"/>
  <c r="BV70" i="17"/>
  <c r="BX71" i="17"/>
  <c r="CB92" i="17" s="1"/>
  <c r="BX70" i="17"/>
  <c r="BZ71" i="17"/>
  <c r="CA87" i="17" s="1"/>
  <c r="CA86" i="17" s="1"/>
  <c r="CA8" i="17" s="1"/>
  <c r="BX14" i="22" s="1"/>
  <c r="BZ70" i="17"/>
  <c r="CB87" i="17"/>
  <c r="CB86" i="17" s="1"/>
  <c r="CB8" i="17" s="1"/>
  <c r="BY14" i="22" s="1"/>
  <c r="CB94" i="17"/>
  <c r="CD71" i="17"/>
  <c r="CE87" i="17" s="1"/>
  <c r="CE86" i="17" s="1"/>
  <c r="CE8" i="17" s="1"/>
  <c r="CB14" i="22" s="1"/>
  <c r="CD70" i="17"/>
  <c r="CF94" i="17"/>
  <c r="CF92" i="17"/>
  <c r="CF87" i="17"/>
  <c r="CF86" i="17" s="1"/>
  <c r="CF8" i="17" s="1"/>
  <c r="CC14" i="22" s="1"/>
  <c r="CH71" i="17"/>
  <c r="CL92" i="17" s="1"/>
  <c r="CH70" i="17"/>
  <c r="CJ92" i="17"/>
  <c r="CJ87" i="17"/>
  <c r="CJ86" i="17" s="1"/>
  <c r="CJ8" i="17" s="1"/>
  <c r="CG14" i="22" s="1"/>
  <c r="CJ94" i="17"/>
  <c r="CL87" i="17"/>
  <c r="CL86" i="17" s="1"/>
  <c r="CL8" i="17" s="1"/>
  <c r="CI14" i="22" s="1"/>
  <c r="CN94" i="17"/>
  <c r="CN92" i="17"/>
  <c r="CN87" i="17"/>
  <c r="CN86" i="17" s="1"/>
  <c r="CN8" i="17" s="1"/>
  <c r="CP92" i="17"/>
  <c r="CP87" i="17"/>
  <c r="CP86" i="17" s="1"/>
  <c r="CP8" i="17" s="1"/>
  <c r="H142" i="17"/>
  <c r="H134" i="17"/>
  <c r="H10" i="17" s="1"/>
  <c r="H129" i="17"/>
  <c r="J142" i="17"/>
  <c r="J134" i="17"/>
  <c r="J10" i="17" s="1"/>
  <c r="J129" i="17"/>
  <c r="L142" i="17"/>
  <c r="L134" i="17"/>
  <c r="L10" i="17" s="1"/>
  <c r="I16" i="22" s="1"/>
  <c r="L129" i="17"/>
  <c r="N142" i="17"/>
  <c r="N134" i="17"/>
  <c r="N10" i="17" s="1"/>
  <c r="K16" i="22" s="1"/>
  <c r="N129" i="17"/>
  <c r="P142" i="17"/>
  <c r="P134" i="17"/>
  <c r="P10" i="17" s="1"/>
  <c r="M16" i="22" s="1"/>
  <c r="P129" i="17"/>
  <c r="R142" i="17"/>
  <c r="R134" i="17"/>
  <c r="R10" i="17" s="1"/>
  <c r="O16" i="22" s="1"/>
  <c r="R129" i="17"/>
  <c r="T142" i="17"/>
  <c r="T134" i="17"/>
  <c r="T10" i="17" s="1"/>
  <c r="Q16" i="22" s="1"/>
  <c r="T129" i="17"/>
  <c r="V142" i="17"/>
  <c r="V134" i="17"/>
  <c r="V10" i="17" s="1"/>
  <c r="S16" i="22" s="1"/>
  <c r="V129" i="17"/>
  <c r="X142" i="17"/>
  <c r="X134" i="17"/>
  <c r="X10" i="17" s="1"/>
  <c r="U16" i="22" s="1"/>
  <c r="X129" i="17"/>
  <c r="Z142" i="17"/>
  <c r="Z134" i="17"/>
  <c r="Z10" i="17" s="1"/>
  <c r="W16" i="22" s="1"/>
  <c r="Z129" i="17"/>
  <c r="AB142" i="17"/>
  <c r="AB134" i="17"/>
  <c r="AB10" i="17" s="1"/>
  <c r="Y16" i="22" s="1"/>
  <c r="AB129" i="17"/>
  <c r="AD142" i="17"/>
  <c r="AD134" i="17"/>
  <c r="AD10" i="17" s="1"/>
  <c r="AA16" i="22" s="1"/>
  <c r="AD129" i="17"/>
  <c r="AF142" i="17"/>
  <c r="AF134" i="17"/>
  <c r="AF10" i="17" s="1"/>
  <c r="AC16" i="22" s="1"/>
  <c r="AF129" i="17"/>
  <c r="AH142" i="17"/>
  <c r="AH134" i="17"/>
  <c r="AH10" i="17" s="1"/>
  <c r="AE16" i="22" s="1"/>
  <c r="AH129" i="17"/>
  <c r="AJ142" i="17"/>
  <c r="AJ134" i="17"/>
  <c r="AJ10" i="17" s="1"/>
  <c r="AG16" i="22" s="1"/>
  <c r="AJ129" i="17"/>
  <c r="AL142" i="17"/>
  <c r="AL134" i="17"/>
  <c r="AL10" i="17" s="1"/>
  <c r="AI16" i="22" s="1"/>
  <c r="AL129" i="17"/>
  <c r="AN142" i="17"/>
  <c r="AN134" i="17"/>
  <c r="AN10" i="17" s="1"/>
  <c r="AK16" i="22" s="1"/>
  <c r="AN129" i="17"/>
  <c r="AP142" i="17"/>
  <c r="AP134" i="17"/>
  <c r="AP10" i="17" s="1"/>
  <c r="AM16" i="22" s="1"/>
  <c r="AP129" i="17"/>
  <c r="AR142" i="17"/>
  <c r="AR134" i="17"/>
  <c r="AR10" i="17" s="1"/>
  <c r="AO16" i="22" s="1"/>
  <c r="AR129" i="17"/>
  <c r="AT142" i="17"/>
  <c r="AT134" i="17"/>
  <c r="AT10" i="17" s="1"/>
  <c r="AQ16" i="22" s="1"/>
  <c r="AT129" i="17"/>
  <c r="AV142" i="17"/>
  <c r="AV134" i="17"/>
  <c r="AV10" i="17" s="1"/>
  <c r="AS16" i="22" s="1"/>
  <c r="AV129" i="17"/>
  <c r="AX142" i="17"/>
  <c r="AX134" i="17"/>
  <c r="AX10" i="17" s="1"/>
  <c r="AU16" i="22" s="1"/>
  <c r="AX129" i="17"/>
  <c r="AZ142" i="17"/>
  <c r="AZ134" i="17"/>
  <c r="AZ10" i="17" s="1"/>
  <c r="AW16" i="22" s="1"/>
  <c r="AZ129" i="17"/>
  <c r="BB142" i="17"/>
  <c r="BB134" i="17"/>
  <c r="BB10" i="17" s="1"/>
  <c r="AY16" i="22" s="1"/>
  <c r="BB129" i="17"/>
  <c r="BD142" i="17"/>
  <c r="BD134" i="17"/>
  <c r="BD10" i="17" s="1"/>
  <c r="BA16" i="22" s="1"/>
  <c r="BD129" i="17"/>
  <c r="BF142" i="17"/>
  <c r="BF134" i="17"/>
  <c r="BF10" i="17" s="1"/>
  <c r="BC16" i="22" s="1"/>
  <c r="BF129" i="17"/>
  <c r="BH142" i="17"/>
  <c r="BH134" i="17"/>
  <c r="BH10" i="17" s="1"/>
  <c r="BE16" i="22" s="1"/>
  <c r="BH129" i="17"/>
  <c r="BJ142" i="17"/>
  <c r="BJ134" i="17"/>
  <c r="BJ10" i="17" s="1"/>
  <c r="BG16" i="22" s="1"/>
  <c r="BJ129" i="17"/>
  <c r="BL142" i="17"/>
  <c r="BL134" i="17"/>
  <c r="BL10" i="17" s="1"/>
  <c r="BI16" i="22" s="1"/>
  <c r="BL129" i="17"/>
  <c r="BN142" i="17"/>
  <c r="BN134" i="17"/>
  <c r="BN10" i="17" s="1"/>
  <c r="BK16" i="22" s="1"/>
  <c r="BN129" i="17"/>
  <c r="BP142" i="17"/>
  <c r="BP134" i="17"/>
  <c r="BP10" i="17" s="1"/>
  <c r="BM16" i="22" s="1"/>
  <c r="BP129" i="17"/>
  <c r="BR142" i="17"/>
  <c r="BR134" i="17"/>
  <c r="BR10" i="17" s="1"/>
  <c r="BO16" i="22" s="1"/>
  <c r="BR129" i="17"/>
  <c r="BT142" i="17"/>
  <c r="BT134" i="17"/>
  <c r="BT10" i="17" s="1"/>
  <c r="BQ16" i="22" s="1"/>
  <c r="BT129" i="17"/>
  <c r="BV142" i="17"/>
  <c r="BV134" i="17"/>
  <c r="BV10" i="17" s="1"/>
  <c r="BS16" i="22" s="1"/>
  <c r="BV129" i="17"/>
  <c r="BX142" i="17"/>
  <c r="BX134" i="17"/>
  <c r="BX10" i="17" s="1"/>
  <c r="BU16" i="22" s="1"/>
  <c r="BX129" i="17"/>
  <c r="BZ142" i="17"/>
  <c r="BZ134" i="17"/>
  <c r="BZ10" i="17" s="1"/>
  <c r="BW16" i="22" s="1"/>
  <c r="BZ129" i="17"/>
  <c r="CB142" i="17"/>
  <c r="CB134" i="17"/>
  <c r="CB10" i="17" s="1"/>
  <c r="BY16" i="22" s="1"/>
  <c r="CB129" i="17"/>
  <c r="CD142" i="17"/>
  <c r="CD134" i="17"/>
  <c r="CD10" i="17" s="1"/>
  <c r="CA16" i="22" s="1"/>
  <c r="CD129" i="17"/>
  <c r="CF142" i="17"/>
  <c r="CF134" i="17"/>
  <c r="CF10" i="17" s="1"/>
  <c r="CC16" i="22" s="1"/>
  <c r="CF129" i="17"/>
  <c r="CH142" i="17"/>
  <c r="CH134" i="17"/>
  <c r="CH10" i="17" s="1"/>
  <c r="CE16" i="22" s="1"/>
  <c r="CH129" i="17"/>
  <c r="CJ142" i="17"/>
  <c r="CJ134" i="17"/>
  <c r="CJ10" i="17" s="1"/>
  <c r="CG16" i="22" s="1"/>
  <c r="CJ129" i="17"/>
  <c r="CL142" i="17"/>
  <c r="CL134" i="17"/>
  <c r="CL10" i="17" s="1"/>
  <c r="CI16" i="22" s="1"/>
  <c r="CL129" i="17"/>
  <c r="CN142" i="17"/>
  <c r="CN134" i="17"/>
  <c r="CN10" i="17" s="1"/>
  <c r="CN129" i="17"/>
  <c r="CP142" i="17"/>
  <c r="CP134" i="17"/>
  <c r="CP10" i="17" s="1"/>
  <c r="CP129" i="17"/>
  <c r="H170" i="17"/>
  <c r="H171" i="17"/>
  <c r="J170" i="17"/>
  <c r="J171" i="17"/>
  <c r="L170" i="17"/>
  <c r="L171" i="17"/>
  <c r="N170" i="17"/>
  <c r="N171" i="17"/>
  <c r="P170" i="17"/>
  <c r="P171" i="17"/>
  <c r="R170" i="17"/>
  <c r="R171" i="17"/>
  <c r="T170" i="17"/>
  <c r="T171" i="17"/>
  <c r="V170" i="17"/>
  <c r="V171" i="17"/>
  <c r="X170" i="17"/>
  <c r="X171" i="17"/>
  <c r="Z170" i="17"/>
  <c r="Z171" i="17"/>
  <c r="AB170" i="17"/>
  <c r="AB171" i="17"/>
  <c r="AD170" i="17"/>
  <c r="AD171" i="17"/>
  <c r="AF170" i="17"/>
  <c r="AF171" i="17"/>
  <c r="AH170" i="17"/>
  <c r="AH171" i="17"/>
  <c r="AJ170" i="17"/>
  <c r="AJ171" i="17"/>
  <c r="AL170" i="17"/>
  <c r="AL171" i="17"/>
  <c r="AN170" i="17"/>
  <c r="AN171" i="17"/>
  <c r="AP170" i="17"/>
  <c r="AP171" i="17"/>
  <c r="AR170" i="17"/>
  <c r="AR171" i="17"/>
  <c r="AT170" i="17"/>
  <c r="AT171" i="17"/>
  <c r="AV170" i="17"/>
  <c r="AV171" i="17"/>
  <c r="AX170" i="17"/>
  <c r="AX171" i="17"/>
  <c r="AZ170" i="17"/>
  <c r="AZ171" i="17"/>
  <c r="BB170" i="17"/>
  <c r="BB171" i="17"/>
  <c r="BD170" i="17"/>
  <c r="BD171" i="17"/>
  <c r="BF170" i="17"/>
  <c r="BF171" i="17"/>
  <c r="BH170" i="17"/>
  <c r="BH171" i="17"/>
  <c r="BJ170" i="17"/>
  <c r="BJ171" i="17"/>
  <c r="BL170" i="17"/>
  <c r="BL171" i="17"/>
  <c r="BN170" i="17"/>
  <c r="BN171" i="17"/>
  <c r="BP170" i="17"/>
  <c r="BP171" i="17"/>
  <c r="BR170" i="17"/>
  <c r="BR171" i="17"/>
  <c r="BT170" i="17"/>
  <c r="BT171" i="17"/>
  <c r="BX189" i="17" s="1"/>
  <c r="BV170" i="17"/>
  <c r="BV171" i="17"/>
  <c r="BZ189" i="17" s="1"/>
  <c r="BX199" i="17"/>
  <c r="BX191" i="17"/>
  <c r="BX184" i="17"/>
  <c r="BX183" i="17" s="1"/>
  <c r="BX12" i="17" s="1"/>
  <c r="BU18" i="22" s="1"/>
  <c r="BZ199" i="17"/>
  <c r="BZ184" i="17"/>
  <c r="BZ183" i="17" s="1"/>
  <c r="BZ12" i="17" s="1"/>
  <c r="BW18" i="22" s="1"/>
  <c r="CB191" i="17"/>
  <c r="CB199" i="17"/>
  <c r="CB189" i="17"/>
  <c r="CB184" i="17"/>
  <c r="CB183" i="17" s="1"/>
  <c r="CB12" i="17" s="1"/>
  <c r="BY18" i="22" s="1"/>
  <c r="CD199" i="17"/>
  <c r="CD189" i="17"/>
  <c r="CD184" i="17"/>
  <c r="CD183" i="17" s="1"/>
  <c r="CD12" i="17" s="1"/>
  <c r="CA18" i="22" s="1"/>
  <c r="CF199" i="17"/>
  <c r="CF191" i="17"/>
  <c r="CF189" i="17"/>
  <c r="CF184" i="17"/>
  <c r="CF183" i="17" s="1"/>
  <c r="CF12" i="17" s="1"/>
  <c r="CC18" i="22" s="1"/>
  <c r="CH199" i="17"/>
  <c r="CH189" i="17"/>
  <c r="CH184" i="17"/>
  <c r="CH183" i="17" s="1"/>
  <c r="CH12" i="17" s="1"/>
  <c r="CE18" i="22" s="1"/>
  <c r="CJ191" i="17"/>
  <c r="CJ199" i="17"/>
  <c r="CJ189" i="17"/>
  <c r="CJ184" i="17"/>
  <c r="CJ183" i="17" s="1"/>
  <c r="CJ12" i="17" s="1"/>
  <c r="CG18" i="22" s="1"/>
  <c r="CL199" i="17"/>
  <c r="CL189" i="17"/>
  <c r="CL184" i="17"/>
  <c r="CL183" i="17" s="1"/>
  <c r="CL12" i="17" s="1"/>
  <c r="CI18" i="22" s="1"/>
  <c r="CN199" i="17"/>
  <c r="CN191" i="17"/>
  <c r="CN189" i="17"/>
  <c r="CN184" i="17"/>
  <c r="CN183" i="17" s="1"/>
  <c r="CN12" i="17" s="1"/>
  <c r="CP199" i="17"/>
  <c r="CP189" i="17"/>
  <c r="CP184" i="17"/>
  <c r="CP183" i="17" s="1"/>
  <c r="CP12" i="17" s="1"/>
  <c r="H228" i="17"/>
  <c r="H227" i="17"/>
  <c r="J228" i="17"/>
  <c r="J227" i="17"/>
  <c r="L228" i="17"/>
  <c r="L227" i="17"/>
  <c r="N228" i="17"/>
  <c r="N227" i="17"/>
  <c r="P228" i="17"/>
  <c r="P227" i="17"/>
  <c r="R228" i="17"/>
  <c r="R227" i="17"/>
  <c r="T228" i="17"/>
  <c r="T227" i="17"/>
  <c r="V228" i="17"/>
  <c r="V227" i="17"/>
  <c r="X228" i="17"/>
  <c r="X227" i="17"/>
  <c r="Z228" i="17"/>
  <c r="Z227" i="17"/>
  <c r="AB228" i="17"/>
  <c r="AB227" i="17"/>
  <c r="AD228" i="17"/>
  <c r="AD227" i="17"/>
  <c r="AF228" i="17"/>
  <c r="AF227" i="17"/>
  <c r="AH228" i="17"/>
  <c r="AH227" i="17"/>
  <c r="AJ228" i="17"/>
  <c r="AJ227" i="17"/>
  <c r="AL228" i="17"/>
  <c r="AL227" i="17"/>
  <c r="AN228" i="17"/>
  <c r="AN227" i="17"/>
  <c r="AP228" i="17"/>
  <c r="AP227" i="17"/>
  <c r="AR228" i="17"/>
  <c r="AR227" i="17"/>
  <c r="AT228" i="17"/>
  <c r="AT227" i="17"/>
  <c r="AV228" i="17"/>
  <c r="AV227" i="17"/>
  <c r="AX228" i="17"/>
  <c r="AX227" i="17"/>
  <c r="AZ228" i="17"/>
  <c r="AZ227" i="17"/>
  <c r="BB228" i="17"/>
  <c r="BB227" i="17"/>
  <c r="BD228" i="17"/>
  <c r="BD227" i="17"/>
  <c r="BF228" i="17"/>
  <c r="BF227" i="17"/>
  <c r="BH228" i="17"/>
  <c r="BH227" i="17"/>
  <c r="BJ228" i="17"/>
  <c r="BJ227" i="17"/>
  <c r="BL228" i="17"/>
  <c r="BL227" i="17"/>
  <c r="BN228" i="17"/>
  <c r="BN227" i="17"/>
  <c r="BP228" i="17"/>
  <c r="BP227" i="17"/>
  <c r="BR228" i="17"/>
  <c r="BR227" i="17"/>
  <c r="BT228" i="17"/>
  <c r="BT227" i="17"/>
  <c r="BV228" i="17"/>
  <c r="BW241" i="17" s="1"/>
  <c r="BW240" i="17" s="1"/>
  <c r="BW14" i="17" s="1"/>
  <c r="BT20" i="22" s="1"/>
  <c r="BV227" i="17"/>
  <c r="BX248" i="17"/>
  <c r="BX241" i="17"/>
  <c r="BX240" i="17" s="1"/>
  <c r="BX14" i="17" s="1"/>
  <c r="BU20" i="22" s="1"/>
  <c r="BZ241" i="17"/>
  <c r="BZ240" i="17" s="1"/>
  <c r="BZ14" i="17" s="1"/>
  <c r="BW20" i="22" s="1"/>
  <c r="CB246" i="17"/>
  <c r="CB241" i="17"/>
  <c r="CB240" i="17" s="1"/>
  <c r="CB14" i="17" s="1"/>
  <c r="BY20" i="22" s="1"/>
  <c r="CB248" i="17"/>
  <c r="CD246" i="17"/>
  <c r="CD241" i="17"/>
  <c r="CD240" i="17" s="1"/>
  <c r="CD14" i="17" s="1"/>
  <c r="CA20" i="22" s="1"/>
  <c r="CF248" i="17"/>
  <c r="CF246" i="17"/>
  <c r="CF241" i="17"/>
  <c r="CF240" i="17" s="1"/>
  <c r="CF14" i="17" s="1"/>
  <c r="CC20" i="22" s="1"/>
  <c r="CH246" i="17"/>
  <c r="CH241" i="17"/>
  <c r="CH240" i="17" s="1"/>
  <c r="CH14" i="17" s="1"/>
  <c r="CE20" i="22" s="1"/>
  <c r="CJ246" i="17"/>
  <c r="CJ241" i="17"/>
  <c r="CJ240" i="17" s="1"/>
  <c r="CJ14" i="17" s="1"/>
  <c r="CG20" i="22" s="1"/>
  <c r="CJ248" i="17"/>
  <c r="CL246" i="17"/>
  <c r="CL241" i="17"/>
  <c r="CL240" i="17" s="1"/>
  <c r="CL14" i="17" s="1"/>
  <c r="CI20" i="22" s="1"/>
  <c r="CN248" i="17"/>
  <c r="CN246" i="17"/>
  <c r="CN241" i="17"/>
  <c r="CN240" i="17" s="1"/>
  <c r="CN14" i="17" s="1"/>
  <c r="CP246" i="17"/>
  <c r="H141" i="17"/>
  <c r="H110" i="17"/>
  <c r="H9" i="17" s="1"/>
  <c r="J141" i="17"/>
  <c r="J110" i="17"/>
  <c r="J9" i="17" s="1"/>
  <c r="L141" i="17"/>
  <c r="L117" i="17"/>
  <c r="L115" i="17"/>
  <c r="L110" i="17"/>
  <c r="L9" i="17" s="1"/>
  <c r="I15" i="22" s="1"/>
  <c r="N141" i="17"/>
  <c r="N115" i="17"/>
  <c r="N110" i="17"/>
  <c r="N9" i="17" s="1"/>
  <c r="K15" i="22" s="1"/>
  <c r="P141" i="17"/>
  <c r="P117" i="17"/>
  <c r="P115" i="17"/>
  <c r="P110" i="17"/>
  <c r="P9" i="17" s="1"/>
  <c r="M15" i="22" s="1"/>
  <c r="R141" i="17"/>
  <c r="R115" i="17"/>
  <c r="R110" i="17"/>
  <c r="R9" i="17" s="1"/>
  <c r="O15" i="22" s="1"/>
  <c r="T141" i="17"/>
  <c r="T117" i="17"/>
  <c r="T115" i="17"/>
  <c r="T110" i="17"/>
  <c r="T9" i="17" s="1"/>
  <c r="Q15" i="22" s="1"/>
  <c r="V141" i="17"/>
  <c r="V115" i="17"/>
  <c r="V110" i="17"/>
  <c r="V9" i="17" s="1"/>
  <c r="S15" i="22" s="1"/>
  <c r="X141" i="17"/>
  <c r="X117" i="17"/>
  <c r="X115" i="17"/>
  <c r="X110" i="17"/>
  <c r="X9" i="17" s="1"/>
  <c r="U15" i="22" s="1"/>
  <c r="Z141" i="17"/>
  <c r="Z115" i="17"/>
  <c r="Z110" i="17"/>
  <c r="Z9" i="17" s="1"/>
  <c r="W15" i="22" s="1"/>
  <c r="AB141" i="17"/>
  <c r="AB117" i="17"/>
  <c r="AB115" i="17"/>
  <c r="AB110" i="17"/>
  <c r="AB9" i="17" s="1"/>
  <c r="Y15" i="22" s="1"/>
  <c r="AD141" i="17"/>
  <c r="AD115" i="17"/>
  <c r="AD110" i="17"/>
  <c r="AD9" i="17" s="1"/>
  <c r="AA15" i="22" s="1"/>
  <c r="AF141" i="17"/>
  <c r="AF117" i="17"/>
  <c r="AF115" i="17"/>
  <c r="AF110" i="17"/>
  <c r="AF9" i="17" s="1"/>
  <c r="AC15" i="22" s="1"/>
  <c r="AH141" i="17"/>
  <c r="AH115" i="17"/>
  <c r="AH110" i="17"/>
  <c r="AH9" i="17" s="1"/>
  <c r="AE15" i="22" s="1"/>
  <c r="AJ141" i="17"/>
  <c r="AJ117" i="17"/>
  <c r="AJ115" i="17"/>
  <c r="AJ110" i="17"/>
  <c r="AJ9" i="17" s="1"/>
  <c r="AG15" i="22" s="1"/>
  <c r="AL141" i="17"/>
  <c r="AL115" i="17"/>
  <c r="AL110" i="17"/>
  <c r="AL9" i="17" s="1"/>
  <c r="AI15" i="22" s="1"/>
  <c r="AN141" i="17"/>
  <c r="AN117" i="17"/>
  <c r="AN115" i="17"/>
  <c r="AN110" i="17"/>
  <c r="AN9" i="17" s="1"/>
  <c r="AK15" i="22" s="1"/>
  <c r="AP141" i="17"/>
  <c r="AP115" i="17"/>
  <c r="AP110" i="17"/>
  <c r="AP9" i="17" s="1"/>
  <c r="AM15" i="22" s="1"/>
  <c r="AR141" i="17"/>
  <c r="AR117" i="17"/>
  <c r="AR115" i="17"/>
  <c r="AR110" i="17"/>
  <c r="AR9" i="17" s="1"/>
  <c r="AO15" i="22" s="1"/>
  <c r="AT141" i="17"/>
  <c r="AT115" i="17"/>
  <c r="AT110" i="17"/>
  <c r="AT9" i="17" s="1"/>
  <c r="AQ15" i="22" s="1"/>
  <c r="AV141" i="17"/>
  <c r="AV117" i="17"/>
  <c r="AV115" i="17"/>
  <c r="AV110" i="17"/>
  <c r="AV9" i="17" s="1"/>
  <c r="AS15" i="22" s="1"/>
  <c r="AX141" i="17"/>
  <c r="AX115" i="17"/>
  <c r="AX110" i="17"/>
  <c r="AX9" i="17" s="1"/>
  <c r="AU15" i="22" s="1"/>
  <c r="AZ141" i="17"/>
  <c r="AZ117" i="17"/>
  <c r="AZ115" i="17"/>
  <c r="AZ110" i="17"/>
  <c r="AZ9" i="17" s="1"/>
  <c r="AW15" i="22" s="1"/>
  <c r="BB141" i="17"/>
  <c r="BB115" i="17"/>
  <c r="BB110" i="17"/>
  <c r="BB9" i="17" s="1"/>
  <c r="AY15" i="22" s="1"/>
  <c r="BD141" i="17"/>
  <c r="BD117" i="17"/>
  <c r="BD115" i="17"/>
  <c r="BD110" i="17"/>
  <c r="BD9" i="17" s="1"/>
  <c r="BA15" i="22" s="1"/>
  <c r="BF141" i="17"/>
  <c r="BF115" i="17"/>
  <c r="BF110" i="17"/>
  <c r="BF9" i="17" s="1"/>
  <c r="BC15" i="22" s="1"/>
  <c r="BH141" i="17"/>
  <c r="BH117" i="17"/>
  <c r="BH115" i="17"/>
  <c r="BH110" i="17"/>
  <c r="BH9" i="17" s="1"/>
  <c r="BE15" i="22" s="1"/>
  <c r="BJ141" i="17"/>
  <c r="BJ115" i="17"/>
  <c r="BJ110" i="17"/>
  <c r="BJ9" i="17" s="1"/>
  <c r="BG15" i="22" s="1"/>
  <c r="BL141" i="17"/>
  <c r="BL117" i="17"/>
  <c r="BL115" i="17"/>
  <c r="BL110" i="17"/>
  <c r="BL9" i="17" s="1"/>
  <c r="BI15" i="22" s="1"/>
  <c r="BN141" i="17"/>
  <c r="BN115" i="17"/>
  <c r="BN110" i="17"/>
  <c r="BN9" i="17" s="1"/>
  <c r="BK15" i="22" s="1"/>
  <c r="BP141" i="17"/>
  <c r="BP117" i="17"/>
  <c r="BP115" i="17"/>
  <c r="BP110" i="17"/>
  <c r="BP9" i="17" s="1"/>
  <c r="BM15" i="22" s="1"/>
  <c r="BR141" i="17"/>
  <c r="BR115" i="17"/>
  <c r="BR110" i="17"/>
  <c r="BR9" i="17" s="1"/>
  <c r="BO15" i="22" s="1"/>
  <c r="BT141" i="17"/>
  <c r="BT117" i="17"/>
  <c r="BT115" i="17"/>
  <c r="BT110" i="17"/>
  <c r="BT9" i="17" s="1"/>
  <c r="BQ15" i="22" s="1"/>
  <c r="BV141" i="17"/>
  <c r="BV115" i="17"/>
  <c r="BV110" i="17"/>
  <c r="BV9" i="17" s="1"/>
  <c r="BS15" i="22" s="1"/>
  <c r="BX141" i="17"/>
  <c r="BX117" i="17"/>
  <c r="BX115" i="17"/>
  <c r="BX110" i="17"/>
  <c r="BX9" i="17" s="1"/>
  <c r="BU15" i="22" s="1"/>
  <c r="BZ141" i="17"/>
  <c r="BZ115" i="17"/>
  <c r="BZ110" i="17"/>
  <c r="BZ9" i="17" s="1"/>
  <c r="BW15" i="22" s="1"/>
  <c r="CB141" i="17"/>
  <c r="CB117" i="17"/>
  <c r="CB115" i="17"/>
  <c r="CB110" i="17"/>
  <c r="CB9" i="17" s="1"/>
  <c r="BY15" i="22" s="1"/>
  <c r="CD141" i="17"/>
  <c r="CD115" i="17"/>
  <c r="CD110" i="17"/>
  <c r="CD9" i="17" s="1"/>
  <c r="CA15" i="22" s="1"/>
  <c r="CF141" i="17"/>
  <c r="CF117" i="17"/>
  <c r="CF115" i="17"/>
  <c r="CF110" i="17"/>
  <c r="CF9" i="17" s="1"/>
  <c r="CC15" i="22" s="1"/>
  <c r="CH141" i="17"/>
  <c r="CH115" i="17"/>
  <c r="CH110" i="17"/>
  <c r="CH9" i="17" s="1"/>
  <c r="CE15" i="22" s="1"/>
  <c r="CJ141" i="17"/>
  <c r="CJ117" i="17"/>
  <c r="CJ115" i="17"/>
  <c r="CJ110" i="17"/>
  <c r="CJ9" i="17" s="1"/>
  <c r="CG15" i="22" s="1"/>
  <c r="CL141" i="17"/>
  <c r="CL115" i="17"/>
  <c r="CL110" i="17"/>
  <c r="CL9" i="17" s="1"/>
  <c r="CI15" i="22" s="1"/>
  <c r="CN141" i="17"/>
  <c r="CN117" i="17"/>
  <c r="CN115" i="17"/>
  <c r="CN110" i="17"/>
  <c r="CN9" i="17" s="1"/>
  <c r="CP141" i="17"/>
  <c r="CP115" i="17"/>
  <c r="CP110" i="17"/>
  <c r="CP9" i="17" s="1"/>
  <c r="H198" i="17"/>
  <c r="H149" i="17"/>
  <c r="H11" i="17" s="1"/>
  <c r="J198" i="17"/>
  <c r="J149" i="17"/>
  <c r="J11" i="17" s="1"/>
  <c r="L198" i="17"/>
  <c r="L156" i="17"/>
  <c r="L154" i="17"/>
  <c r="L149" i="17"/>
  <c r="L11" i="17" s="1"/>
  <c r="I17" i="22" s="1"/>
  <c r="N198" i="17"/>
  <c r="N154" i="17"/>
  <c r="N149" i="17"/>
  <c r="N11" i="17" s="1"/>
  <c r="K17" i="22" s="1"/>
  <c r="P198" i="17"/>
  <c r="P154" i="17"/>
  <c r="P149" i="17"/>
  <c r="P11" i="17" s="1"/>
  <c r="M17" i="22" s="1"/>
  <c r="P156" i="17"/>
  <c r="R198" i="17"/>
  <c r="R154" i="17"/>
  <c r="R149" i="17"/>
  <c r="R11" i="17" s="1"/>
  <c r="O17" i="22" s="1"/>
  <c r="T198" i="17"/>
  <c r="T156" i="17"/>
  <c r="T154" i="17"/>
  <c r="T149" i="17"/>
  <c r="T11" i="17" s="1"/>
  <c r="Q17" i="22" s="1"/>
  <c r="V198" i="17"/>
  <c r="V154" i="17"/>
  <c r="V149" i="17"/>
  <c r="V11" i="17" s="1"/>
  <c r="S17" i="22" s="1"/>
  <c r="X198" i="17"/>
  <c r="X154" i="17"/>
  <c r="X149" i="17"/>
  <c r="X11" i="17" s="1"/>
  <c r="U17" i="22" s="1"/>
  <c r="X156" i="17"/>
  <c r="Z198" i="17"/>
  <c r="Z154" i="17"/>
  <c r="Z149" i="17"/>
  <c r="Z11" i="17" s="1"/>
  <c r="W17" i="22" s="1"/>
  <c r="AB198" i="17"/>
  <c r="AB156" i="17"/>
  <c r="AB154" i="17"/>
  <c r="AB149" i="17"/>
  <c r="AB11" i="17" s="1"/>
  <c r="Y17" i="22" s="1"/>
  <c r="AD198" i="17"/>
  <c r="AD154" i="17"/>
  <c r="AD149" i="17"/>
  <c r="AD11" i="17" s="1"/>
  <c r="AA17" i="22" s="1"/>
  <c r="AF198" i="17"/>
  <c r="AF154" i="17"/>
  <c r="AF149" i="17"/>
  <c r="AF11" i="17" s="1"/>
  <c r="AC17" i="22" s="1"/>
  <c r="AF156" i="17"/>
  <c r="AH198" i="17"/>
  <c r="AH154" i="17"/>
  <c r="AH149" i="17"/>
  <c r="AH11" i="17" s="1"/>
  <c r="AE17" i="22" s="1"/>
  <c r="AJ198" i="17"/>
  <c r="AJ156" i="17"/>
  <c r="AJ154" i="17"/>
  <c r="AJ149" i="17"/>
  <c r="AJ11" i="17" s="1"/>
  <c r="AG17" i="22" s="1"/>
  <c r="AL198" i="17"/>
  <c r="AL154" i="17"/>
  <c r="AL149" i="17"/>
  <c r="AL11" i="17" s="1"/>
  <c r="AI17" i="22" s="1"/>
  <c r="AN198" i="17"/>
  <c r="AN154" i="17"/>
  <c r="AN149" i="17"/>
  <c r="AN11" i="17" s="1"/>
  <c r="AK17" i="22" s="1"/>
  <c r="AN156" i="17"/>
  <c r="AP198" i="17"/>
  <c r="AP154" i="17"/>
  <c r="AP149" i="17"/>
  <c r="AP11" i="17" s="1"/>
  <c r="AM17" i="22" s="1"/>
  <c r="AR198" i="17"/>
  <c r="AR156" i="17"/>
  <c r="AR154" i="17"/>
  <c r="AR149" i="17"/>
  <c r="AR11" i="17" s="1"/>
  <c r="AO17" i="22" s="1"/>
  <c r="AT198" i="17"/>
  <c r="AT154" i="17"/>
  <c r="AT149" i="17"/>
  <c r="AT11" i="17" s="1"/>
  <c r="AQ17" i="22" s="1"/>
  <c r="AV198" i="17"/>
  <c r="AV154" i="17"/>
  <c r="AV149" i="17"/>
  <c r="AV11" i="17" s="1"/>
  <c r="AS17" i="22" s="1"/>
  <c r="AV156" i="17"/>
  <c r="AX198" i="17"/>
  <c r="AX154" i="17"/>
  <c r="AX149" i="17"/>
  <c r="AX11" i="17" s="1"/>
  <c r="AU17" i="22" s="1"/>
  <c r="AZ198" i="17"/>
  <c r="AZ156" i="17"/>
  <c r="AZ154" i="17"/>
  <c r="AZ149" i="17"/>
  <c r="AZ11" i="17" s="1"/>
  <c r="AW17" i="22" s="1"/>
  <c r="BB198" i="17"/>
  <c r="BB154" i="17"/>
  <c r="BB149" i="17"/>
  <c r="BB11" i="17" s="1"/>
  <c r="AY17" i="22" s="1"/>
  <c r="BD198" i="17"/>
  <c r="BD154" i="17"/>
  <c r="BD149" i="17"/>
  <c r="BD11" i="17" s="1"/>
  <c r="BA17" i="22" s="1"/>
  <c r="BD156" i="17"/>
  <c r="BF198" i="17"/>
  <c r="BF154" i="17"/>
  <c r="BF149" i="17"/>
  <c r="BF11" i="17" s="1"/>
  <c r="BC17" i="22" s="1"/>
  <c r="BH198" i="17"/>
  <c r="BH156" i="17"/>
  <c r="BH154" i="17"/>
  <c r="BH149" i="17"/>
  <c r="BH11" i="17" s="1"/>
  <c r="BE17" i="22" s="1"/>
  <c r="BJ198" i="17"/>
  <c r="BJ154" i="17"/>
  <c r="BJ149" i="17"/>
  <c r="BJ11" i="17" s="1"/>
  <c r="BG17" i="22" s="1"/>
  <c r="BL198" i="17"/>
  <c r="BL154" i="17"/>
  <c r="BL149" i="17"/>
  <c r="BL11" i="17" s="1"/>
  <c r="BI17" i="22" s="1"/>
  <c r="BL156" i="17"/>
  <c r="BN198" i="17"/>
  <c r="BN154" i="17"/>
  <c r="BN149" i="17"/>
  <c r="BN11" i="17" s="1"/>
  <c r="BK17" i="22" s="1"/>
  <c r="BP198" i="17"/>
  <c r="BP156" i="17"/>
  <c r="BP154" i="17"/>
  <c r="BP149" i="17"/>
  <c r="BP11" i="17" s="1"/>
  <c r="BM17" i="22" s="1"/>
  <c r="BR198" i="17"/>
  <c r="BR154" i="17"/>
  <c r="BR149" i="17"/>
  <c r="BR11" i="17" s="1"/>
  <c r="BO17" i="22" s="1"/>
  <c r="BT198" i="17"/>
  <c r="BT154" i="17"/>
  <c r="BT149" i="17"/>
  <c r="BT11" i="17" s="1"/>
  <c r="BQ17" i="22" s="1"/>
  <c r="BT156" i="17"/>
  <c r="BV198" i="17"/>
  <c r="BV154" i="17"/>
  <c r="BV149" i="17"/>
  <c r="BV11" i="17" s="1"/>
  <c r="BS17" i="22" s="1"/>
  <c r="BX198" i="17"/>
  <c r="BX156" i="17"/>
  <c r="BX154" i="17"/>
  <c r="BX149" i="17"/>
  <c r="BX11" i="17" s="1"/>
  <c r="BU17" i="22" s="1"/>
  <c r="BZ198" i="17"/>
  <c r="BZ154" i="17"/>
  <c r="BZ149" i="17"/>
  <c r="BZ11" i="17" s="1"/>
  <c r="BW17" i="22" s="1"/>
  <c r="CB198" i="17"/>
  <c r="CB154" i="17"/>
  <c r="CB149" i="17"/>
  <c r="CB11" i="17" s="1"/>
  <c r="BY17" i="22" s="1"/>
  <c r="CB156" i="17"/>
  <c r="CD198" i="17"/>
  <c r="CD154" i="17"/>
  <c r="CD149" i="17"/>
  <c r="CD11" i="17" s="1"/>
  <c r="CA17" i="22" s="1"/>
  <c r="CF198" i="17"/>
  <c r="CF156" i="17"/>
  <c r="CF154" i="17"/>
  <c r="CF149" i="17"/>
  <c r="CF11" i="17" s="1"/>
  <c r="CC17" i="22" s="1"/>
  <c r="CH198" i="17"/>
  <c r="CH154" i="17"/>
  <c r="CH149" i="17"/>
  <c r="CH11" i="17" s="1"/>
  <c r="CE17" i="22" s="1"/>
  <c r="CJ198" i="17"/>
  <c r="CJ154" i="17"/>
  <c r="CJ149" i="17"/>
  <c r="CJ11" i="17" s="1"/>
  <c r="CG17" i="22" s="1"/>
  <c r="CJ156" i="17"/>
  <c r="CL198" i="17"/>
  <c r="CL154" i="17"/>
  <c r="CL149" i="17"/>
  <c r="CL11" i="17" s="1"/>
  <c r="CI17" i="22" s="1"/>
  <c r="CN198" i="17"/>
  <c r="CN156" i="17"/>
  <c r="CN154" i="17"/>
  <c r="CN149" i="17"/>
  <c r="CN11" i="17" s="1"/>
  <c r="CP198" i="17"/>
  <c r="CP154" i="17"/>
  <c r="CP149" i="17"/>
  <c r="CP11" i="17" s="1"/>
  <c r="H206" i="17"/>
  <c r="H13" i="17" s="1"/>
  <c r="H255" i="17"/>
  <c r="J206" i="17"/>
  <c r="J13" i="17" s="1"/>
  <c r="J255" i="17"/>
  <c r="L213" i="17"/>
  <c r="L211" i="17"/>
  <c r="L206" i="17"/>
  <c r="L13" i="17" s="1"/>
  <c r="I19" i="22" s="1"/>
  <c r="L255" i="17"/>
  <c r="N211" i="17"/>
  <c r="N206" i="17"/>
  <c r="N13" i="17" s="1"/>
  <c r="K19" i="22" s="1"/>
  <c r="N255" i="17"/>
  <c r="P211" i="17"/>
  <c r="P206" i="17"/>
  <c r="P13" i="17" s="1"/>
  <c r="M19" i="22" s="1"/>
  <c r="P255" i="17"/>
  <c r="P213" i="17"/>
  <c r="R211" i="17"/>
  <c r="R206" i="17"/>
  <c r="R13" i="17" s="1"/>
  <c r="O19" i="22" s="1"/>
  <c r="R255" i="17"/>
  <c r="T213" i="17"/>
  <c r="T211" i="17"/>
  <c r="T206" i="17"/>
  <c r="T13" i="17" s="1"/>
  <c r="Q19" i="22" s="1"/>
  <c r="T255" i="17"/>
  <c r="V211" i="17"/>
  <c r="V206" i="17"/>
  <c r="V13" i="17" s="1"/>
  <c r="S19" i="22" s="1"/>
  <c r="V255" i="17"/>
  <c r="X211" i="17"/>
  <c r="X206" i="17"/>
  <c r="X13" i="17" s="1"/>
  <c r="U19" i="22" s="1"/>
  <c r="X255" i="17"/>
  <c r="X213" i="17"/>
  <c r="Z211" i="17"/>
  <c r="Z206" i="17"/>
  <c r="Z13" i="17" s="1"/>
  <c r="W19" i="22" s="1"/>
  <c r="Z255" i="17"/>
  <c r="AB213" i="17"/>
  <c r="AB211" i="17"/>
  <c r="AB206" i="17"/>
  <c r="AB13" i="17" s="1"/>
  <c r="Y19" i="22" s="1"/>
  <c r="AB255" i="17"/>
  <c r="AD211" i="17"/>
  <c r="AD206" i="17"/>
  <c r="AD13" i="17" s="1"/>
  <c r="AA19" i="22" s="1"/>
  <c r="AD255" i="17"/>
  <c r="AF211" i="17"/>
  <c r="AF206" i="17"/>
  <c r="AF13" i="17" s="1"/>
  <c r="AC19" i="22" s="1"/>
  <c r="AF255" i="17"/>
  <c r="AF213" i="17"/>
  <c r="AH211" i="17"/>
  <c r="AH206" i="17"/>
  <c r="AH13" i="17" s="1"/>
  <c r="AE19" i="22" s="1"/>
  <c r="AH255" i="17"/>
  <c r="AJ213" i="17"/>
  <c r="AJ211" i="17"/>
  <c r="AJ206" i="17"/>
  <c r="AJ13" i="17" s="1"/>
  <c r="AG19" i="22" s="1"/>
  <c r="AJ255" i="17"/>
  <c r="AL211" i="17"/>
  <c r="AL206" i="17"/>
  <c r="AL13" i="17" s="1"/>
  <c r="AI19" i="22" s="1"/>
  <c r="AL255" i="17"/>
  <c r="AN211" i="17"/>
  <c r="AN206" i="17"/>
  <c r="AN13" i="17" s="1"/>
  <c r="AK19" i="22" s="1"/>
  <c r="AN255" i="17"/>
  <c r="AN213" i="17"/>
  <c r="AP211" i="17"/>
  <c r="AP206" i="17"/>
  <c r="AP13" i="17" s="1"/>
  <c r="AM19" i="22" s="1"/>
  <c r="AP255" i="17"/>
  <c r="AR213" i="17"/>
  <c r="AR211" i="17"/>
  <c r="AR206" i="17"/>
  <c r="AR13" i="17" s="1"/>
  <c r="AO19" i="22" s="1"/>
  <c r="AR255" i="17"/>
  <c r="AT211" i="17"/>
  <c r="AT206" i="17"/>
  <c r="AT13" i="17" s="1"/>
  <c r="AQ19" i="22" s="1"/>
  <c r="AT255" i="17"/>
  <c r="AV211" i="17"/>
  <c r="AV206" i="17"/>
  <c r="AV13" i="17" s="1"/>
  <c r="AS19" i="22" s="1"/>
  <c r="AV255" i="17"/>
  <c r="AV213" i="17"/>
  <c r="AX211" i="17"/>
  <c r="AX206" i="17"/>
  <c r="AX13" i="17" s="1"/>
  <c r="AU19" i="22" s="1"/>
  <c r="AX255" i="17"/>
  <c r="AZ213" i="17"/>
  <c r="AZ211" i="17"/>
  <c r="AZ206" i="17"/>
  <c r="AZ13" i="17" s="1"/>
  <c r="AW19" i="22" s="1"/>
  <c r="AZ255" i="17"/>
  <c r="BB211" i="17"/>
  <c r="BB206" i="17"/>
  <c r="BB13" i="17" s="1"/>
  <c r="AY19" i="22" s="1"/>
  <c r="BB255" i="17"/>
  <c r="BD211" i="17"/>
  <c r="BD206" i="17"/>
  <c r="BD13" i="17" s="1"/>
  <c r="BA19" i="22" s="1"/>
  <c r="BD255" i="17"/>
  <c r="BD213" i="17"/>
  <c r="BF211" i="17"/>
  <c r="BF206" i="17"/>
  <c r="BF13" i="17" s="1"/>
  <c r="BC19" i="22" s="1"/>
  <c r="BF255" i="17"/>
  <c r="BH213" i="17"/>
  <c r="BH211" i="17"/>
  <c r="BH206" i="17"/>
  <c r="BH13" i="17" s="1"/>
  <c r="BE19" i="22" s="1"/>
  <c r="BH255" i="17"/>
  <c r="BJ211" i="17"/>
  <c r="BJ206" i="17"/>
  <c r="BJ13" i="17" s="1"/>
  <c r="BG19" i="22" s="1"/>
  <c r="BJ255" i="17"/>
  <c r="BL211" i="17"/>
  <c r="BL206" i="17"/>
  <c r="BL13" i="17" s="1"/>
  <c r="BI19" i="22" s="1"/>
  <c r="BL255" i="17"/>
  <c r="BL213" i="17"/>
  <c r="BN211" i="17"/>
  <c r="BN206" i="17"/>
  <c r="BN13" i="17" s="1"/>
  <c r="BK19" i="22" s="1"/>
  <c r="BN255" i="17"/>
  <c r="BP213" i="17"/>
  <c r="BP211" i="17"/>
  <c r="BP206" i="17"/>
  <c r="BP13" i="17" s="1"/>
  <c r="BM19" i="22" s="1"/>
  <c r="BP255" i="17"/>
  <c r="BR211" i="17"/>
  <c r="BR206" i="17"/>
  <c r="BR13" i="17" s="1"/>
  <c r="BO19" i="22" s="1"/>
  <c r="BR255" i="17"/>
  <c r="BT211" i="17"/>
  <c r="BT206" i="17"/>
  <c r="BT13" i="17" s="1"/>
  <c r="BQ19" i="22" s="1"/>
  <c r="BT255" i="17"/>
  <c r="BT213" i="17"/>
  <c r="BV211" i="17"/>
  <c r="BV206" i="17"/>
  <c r="BV13" i="17" s="1"/>
  <c r="BS19" i="22" s="1"/>
  <c r="BV255" i="17"/>
  <c r="BX213" i="17"/>
  <c r="BX211" i="17"/>
  <c r="BX206" i="17"/>
  <c r="BX13" i="17" s="1"/>
  <c r="BU19" i="22" s="1"/>
  <c r="BX255" i="17"/>
  <c r="BZ211" i="17"/>
  <c r="BZ206" i="17"/>
  <c r="BZ13" i="17" s="1"/>
  <c r="BW19" i="22" s="1"/>
  <c r="BZ255" i="17"/>
  <c r="CB211" i="17"/>
  <c r="CB206" i="17"/>
  <c r="CB13" i="17" s="1"/>
  <c r="BY19" i="22" s="1"/>
  <c r="CB255" i="17"/>
  <c r="CB213" i="17"/>
  <c r="CD211" i="17"/>
  <c r="CD206" i="17"/>
  <c r="CD13" i="17" s="1"/>
  <c r="CA19" i="22" s="1"/>
  <c r="CD255" i="17"/>
  <c r="CF213" i="17"/>
  <c r="CF211" i="17"/>
  <c r="CF206" i="17"/>
  <c r="CF13" i="17" s="1"/>
  <c r="CC19" i="22" s="1"/>
  <c r="CF255" i="17"/>
  <c r="CH211" i="17"/>
  <c r="CH206" i="17"/>
  <c r="CH13" i="17" s="1"/>
  <c r="CE19" i="22" s="1"/>
  <c r="CH255" i="17"/>
  <c r="CJ211" i="17"/>
  <c r="CJ206" i="17"/>
  <c r="CJ13" i="17" s="1"/>
  <c r="CG19" i="22" s="1"/>
  <c r="CJ255" i="17"/>
  <c r="CJ213" i="17"/>
  <c r="CL211" i="17"/>
  <c r="CL206" i="17"/>
  <c r="CL13" i="17" s="1"/>
  <c r="CI19" i="22" s="1"/>
  <c r="CL255" i="17"/>
  <c r="CN213" i="17"/>
  <c r="CN211" i="17"/>
  <c r="CN206" i="17"/>
  <c r="CN13" i="17" s="1"/>
  <c r="CN255" i="17"/>
  <c r="CP211" i="17"/>
  <c r="CP206" i="17"/>
  <c r="CP13" i="17" s="1"/>
  <c r="CP255" i="17"/>
  <c r="H263" i="17"/>
  <c r="H15" i="17" s="1"/>
  <c r="J263" i="17"/>
  <c r="J15" i="17" s="1"/>
  <c r="L270" i="17"/>
  <c r="L268" i="17"/>
  <c r="L263" i="17"/>
  <c r="L15" i="17" s="1"/>
  <c r="I21" i="22" s="1"/>
  <c r="N268" i="17"/>
  <c r="N263" i="17"/>
  <c r="N15" i="17" s="1"/>
  <c r="K21" i="22" s="1"/>
  <c r="P268" i="17"/>
  <c r="P263" i="17"/>
  <c r="P15" i="17" s="1"/>
  <c r="M21" i="22" s="1"/>
  <c r="P270" i="17"/>
  <c r="R268" i="17"/>
  <c r="R263" i="17"/>
  <c r="R15" i="17" s="1"/>
  <c r="O21" i="22" s="1"/>
  <c r="T270" i="17"/>
  <c r="T268" i="17"/>
  <c r="T263" i="17"/>
  <c r="T15" i="17" s="1"/>
  <c r="Q21" i="22" s="1"/>
  <c r="V268" i="17"/>
  <c r="V263" i="17"/>
  <c r="V15" i="17" s="1"/>
  <c r="S21" i="22" s="1"/>
  <c r="X268" i="17"/>
  <c r="X263" i="17"/>
  <c r="X15" i="17" s="1"/>
  <c r="U21" i="22" s="1"/>
  <c r="X270" i="17"/>
  <c r="Z268" i="17"/>
  <c r="Z263" i="17"/>
  <c r="Z15" i="17" s="1"/>
  <c r="W21" i="22" s="1"/>
  <c r="AB270" i="17"/>
  <c r="AB268" i="17"/>
  <c r="AB263" i="17"/>
  <c r="AB15" i="17" s="1"/>
  <c r="Y21" i="22" s="1"/>
  <c r="AD268" i="17"/>
  <c r="AD263" i="17"/>
  <c r="AD15" i="17" s="1"/>
  <c r="AA21" i="22" s="1"/>
  <c r="AF268" i="17"/>
  <c r="AF263" i="17"/>
  <c r="AF15" i="17" s="1"/>
  <c r="AC21" i="22" s="1"/>
  <c r="AF270" i="17"/>
  <c r="AH268" i="17"/>
  <c r="AH263" i="17"/>
  <c r="AH15" i="17" s="1"/>
  <c r="AE21" i="22" s="1"/>
  <c r="AJ270" i="17"/>
  <c r="AJ268" i="17"/>
  <c r="AJ263" i="17"/>
  <c r="AJ15" i="17" s="1"/>
  <c r="AG21" i="22" s="1"/>
  <c r="AL268" i="17"/>
  <c r="AL263" i="17"/>
  <c r="AL15" i="17" s="1"/>
  <c r="AI21" i="22" s="1"/>
  <c r="AN268" i="17"/>
  <c r="AN263" i="17"/>
  <c r="AN15" i="17" s="1"/>
  <c r="AK21" i="22" s="1"/>
  <c r="AN270" i="17"/>
  <c r="AP268" i="17"/>
  <c r="AP263" i="17"/>
  <c r="AP15" i="17" s="1"/>
  <c r="AM21" i="22" s="1"/>
  <c r="AR270" i="17"/>
  <c r="AR268" i="17"/>
  <c r="AR263" i="17"/>
  <c r="AR15" i="17" s="1"/>
  <c r="AO21" i="22" s="1"/>
  <c r="AT268" i="17"/>
  <c r="AT263" i="17"/>
  <c r="AT15" i="17" s="1"/>
  <c r="AQ21" i="22" s="1"/>
  <c r="AV268" i="17"/>
  <c r="AV263" i="17"/>
  <c r="AV15" i="17" s="1"/>
  <c r="AS21" i="22" s="1"/>
  <c r="AV270" i="17"/>
  <c r="AX268" i="17"/>
  <c r="AX263" i="17"/>
  <c r="AX15" i="17" s="1"/>
  <c r="AU21" i="22" s="1"/>
  <c r="AZ270" i="17"/>
  <c r="AZ268" i="17"/>
  <c r="AZ263" i="17"/>
  <c r="AZ15" i="17" s="1"/>
  <c r="AW21" i="22" s="1"/>
  <c r="BB268" i="17"/>
  <c r="BB263" i="17"/>
  <c r="BB15" i="17" s="1"/>
  <c r="AY21" i="22" s="1"/>
  <c r="BD268" i="17"/>
  <c r="BD263" i="17"/>
  <c r="BD15" i="17" s="1"/>
  <c r="BA21" i="22" s="1"/>
  <c r="BD270" i="17"/>
  <c r="BF268" i="17"/>
  <c r="BF263" i="17"/>
  <c r="BF15" i="17" s="1"/>
  <c r="BC21" i="22" s="1"/>
  <c r="BH270" i="17"/>
  <c r="BH268" i="17"/>
  <c r="BH263" i="17"/>
  <c r="BH15" i="17" s="1"/>
  <c r="BE21" i="22" s="1"/>
  <c r="BJ268" i="17"/>
  <c r="BJ263" i="17"/>
  <c r="BJ15" i="17" s="1"/>
  <c r="BG21" i="22" s="1"/>
  <c r="BL268" i="17"/>
  <c r="BL263" i="17"/>
  <c r="BL15" i="17" s="1"/>
  <c r="BI21" i="22" s="1"/>
  <c r="BL270" i="17"/>
  <c r="BN268" i="17"/>
  <c r="BN263" i="17"/>
  <c r="BN15" i="17" s="1"/>
  <c r="BK21" i="22" s="1"/>
  <c r="BP270" i="17"/>
  <c r="BP268" i="17"/>
  <c r="BP263" i="17"/>
  <c r="BP15" i="17" s="1"/>
  <c r="BM21" i="22" s="1"/>
  <c r="BR268" i="17"/>
  <c r="BR263" i="17"/>
  <c r="BR15" i="17" s="1"/>
  <c r="BO21" i="22" s="1"/>
  <c r="BT268" i="17"/>
  <c r="BT263" i="17"/>
  <c r="BT15" i="17" s="1"/>
  <c r="BQ21" i="22" s="1"/>
  <c r="BT270" i="17"/>
  <c r="BV268" i="17"/>
  <c r="BV263" i="17"/>
  <c r="BV15" i="17" s="1"/>
  <c r="BS21" i="22" s="1"/>
  <c r="BX270" i="17"/>
  <c r="BX268" i="17"/>
  <c r="BX263" i="17"/>
  <c r="BX15" i="17" s="1"/>
  <c r="BU21" i="22" s="1"/>
  <c r="BZ268" i="17"/>
  <c r="BZ263" i="17"/>
  <c r="BZ15" i="17" s="1"/>
  <c r="BW21" i="22" s="1"/>
  <c r="CB268" i="17"/>
  <c r="CB263" i="17"/>
  <c r="CB15" i="17" s="1"/>
  <c r="BY21" i="22" s="1"/>
  <c r="CB270" i="17"/>
  <c r="CD268" i="17"/>
  <c r="CD263" i="17"/>
  <c r="CD15" i="17" s="1"/>
  <c r="CA21" i="22" s="1"/>
  <c r="CF270" i="17"/>
  <c r="CF268" i="17"/>
  <c r="CF263" i="17"/>
  <c r="CF15" i="17" s="1"/>
  <c r="CC21" i="22" s="1"/>
  <c r="CH268" i="17"/>
  <c r="CH263" i="17"/>
  <c r="CH15" i="17" s="1"/>
  <c r="CE21" i="22" s="1"/>
  <c r="CJ268" i="17"/>
  <c r="CJ263" i="17"/>
  <c r="CJ15" i="17" s="1"/>
  <c r="CG21" i="22" s="1"/>
  <c r="CJ270" i="17"/>
  <c r="CL268" i="17"/>
  <c r="CL263" i="17"/>
  <c r="CL15" i="17" s="1"/>
  <c r="CI21" i="22" s="1"/>
  <c r="CN270" i="17"/>
  <c r="CN268" i="17"/>
  <c r="CN263" i="17"/>
  <c r="CN15" i="17" s="1"/>
  <c r="CP268" i="17"/>
  <c r="CP263" i="17"/>
  <c r="CP15" i="17" s="1"/>
  <c r="H285" i="17"/>
  <c r="H278" i="17"/>
  <c r="J285" i="17"/>
  <c r="J278" i="17"/>
  <c r="BV176" i="17"/>
  <c r="BW163" i="17"/>
  <c r="BV179" i="17"/>
  <c r="BW166" i="17"/>
  <c r="BZ82" i="17"/>
  <c r="CA66" i="17"/>
  <c r="CD82" i="17"/>
  <c r="CE66" i="17"/>
  <c r="CI66" i="17"/>
  <c r="BV233" i="17"/>
  <c r="BW220" i="17"/>
  <c r="BT236" i="17"/>
  <c r="BV236" i="17"/>
  <c r="BW223" i="17"/>
  <c r="T117" i="11"/>
  <c r="U117" i="11" s="1"/>
  <c r="AD117" i="11"/>
  <c r="AE117" i="11" s="1"/>
  <c r="AN117" i="11"/>
  <c r="AO117" i="11" s="1"/>
  <c r="AX117" i="11"/>
  <c r="AY117" i="11" s="1"/>
  <c r="BH117" i="11"/>
  <c r="BI117" i="11" s="1"/>
  <c r="BR117" i="11"/>
  <c r="BS117" i="11" s="1"/>
  <c r="CB117" i="11"/>
  <c r="CC117" i="11" s="1"/>
  <c r="CL117" i="11"/>
  <c r="CM117" i="11" s="1"/>
  <c r="CV117" i="11"/>
  <c r="DF117" i="11"/>
  <c r="T119" i="11"/>
  <c r="AD119" i="11"/>
  <c r="AN119" i="11"/>
  <c r="AX119" i="11"/>
  <c r="BH119" i="11"/>
  <c r="BR119" i="11"/>
  <c r="CB119" i="11"/>
  <c r="CL119" i="11"/>
  <c r="CV119" i="11"/>
  <c r="DF119" i="11"/>
  <c r="G260" i="12"/>
  <c r="I260" i="12"/>
  <c r="K260" i="12"/>
  <c r="M260" i="12"/>
  <c r="O260" i="12"/>
  <c r="Q260" i="12"/>
  <c r="S260" i="12"/>
  <c r="U260" i="12"/>
  <c r="W260" i="12"/>
  <c r="Y260" i="12"/>
  <c r="G352" i="12"/>
  <c r="I372" i="12"/>
  <c r="I125" i="21" s="1"/>
  <c r="K372" i="12"/>
  <c r="K125" i="21" s="1"/>
  <c r="M372" i="12"/>
  <c r="M125" i="21" s="1"/>
  <c r="O372" i="12"/>
  <c r="O125" i="21" s="1"/>
  <c r="Q372" i="12"/>
  <c r="Q125" i="21" s="1"/>
  <c r="S372" i="12"/>
  <c r="S125" i="21" s="1"/>
  <c r="U372" i="12"/>
  <c r="U125" i="21" s="1"/>
  <c r="W372" i="12"/>
  <c r="W125" i="21" s="1"/>
  <c r="Y372" i="12"/>
  <c r="Y125" i="21" s="1"/>
  <c r="AA372" i="12"/>
  <c r="J373" i="12"/>
  <c r="J127" i="21" s="1"/>
  <c r="L373" i="12"/>
  <c r="L127" i="21" s="1"/>
  <c r="N373" i="12"/>
  <c r="N127" i="21" s="1"/>
  <c r="P373" i="12"/>
  <c r="P127" i="21" s="1"/>
  <c r="R373" i="12"/>
  <c r="R127" i="21" s="1"/>
  <c r="T373" i="12"/>
  <c r="T127" i="21" s="1"/>
  <c r="V373" i="12"/>
  <c r="V127" i="21" s="1"/>
  <c r="X373" i="12"/>
  <c r="X127" i="21" s="1"/>
  <c r="Z373" i="12"/>
  <c r="I374" i="12"/>
  <c r="I126" i="21" s="1"/>
  <c r="K374" i="12"/>
  <c r="K126" i="21" s="1"/>
  <c r="M374" i="12"/>
  <c r="M126" i="21" s="1"/>
  <c r="O374" i="12"/>
  <c r="O126" i="21" s="1"/>
  <c r="Q374" i="12"/>
  <c r="Q126" i="21" s="1"/>
  <c r="S374" i="12"/>
  <c r="S126" i="21" s="1"/>
  <c r="U374" i="12"/>
  <c r="U126" i="21" s="1"/>
  <c r="W374" i="12"/>
  <c r="W126" i="21" s="1"/>
  <c r="Y374" i="12"/>
  <c r="Y126" i="21" s="1"/>
  <c r="AA374" i="12"/>
  <c r="J375" i="12"/>
  <c r="J128" i="21" s="1"/>
  <c r="L375" i="12"/>
  <c r="L128" i="21" s="1"/>
  <c r="N375" i="12"/>
  <c r="N128" i="21" s="1"/>
  <c r="P375" i="12"/>
  <c r="P128" i="21" s="1"/>
  <c r="R375" i="12"/>
  <c r="R128" i="21" s="1"/>
  <c r="T375" i="12"/>
  <c r="T128" i="21" s="1"/>
  <c r="V375" i="12"/>
  <c r="V128" i="21" s="1"/>
  <c r="X375" i="12"/>
  <c r="X128" i="21" s="1"/>
  <c r="Z375" i="12"/>
  <c r="H117" i="2"/>
  <c r="CP14" i="22"/>
  <c r="J117" i="2"/>
  <c r="CR14" i="22"/>
  <c r="L117" i="2"/>
  <c r="CT14" i="22"/>
  <c r="N117" i="2"/>
  <c r="H121" i="2"/>
  <c r="CP18" i="22"/>
  <c r="J121" i="2"/>
  <c r="CR18" i="22"/>
  <c r="L121" i="2"/>
  <c r="CT18" i="22"/>
  <c r="N121" i="2"/>
  <c r="H123" i="2"/>
  <c r="CP20" i="22"/>
  <c r="J123" i="2"/>
  <c r="CR20" i="22"/>
  <c r="L123" i="2"/>
  <c r="CT20" i="22"/>
  <c r="N123" i="2"/>
  <c r="F11" i="24"/>
  <c r="AG23" i="24"/>
  <c r="AG24" i="24"/>
  <c r="AG39" i="24"/>
  <c r="I51" i="21"/>
  <c r="I20" i="8"/>
  <c r="I14" i="8"/>
  <c r="K51" i="21"/>
  <c r="K20" i="8"/>
  <c r="K14" i="8"/>
  <c r="M51" i="21"/>
  <c r="M20" i="8"/>
  <c r="M14" i="8"/>
  <c r="O51" i="21"/>
  <c r="O20" i="8"/>
  <c r="O14" i="8"/>
  <c r="Q51" i="21"/>
  <c r="Q20" i="8"/>
  <c r="Q14" i="8"/>
  <c r="S51" i="21"/>
  <c r="S20" i="8"/>
  <c r="S14" i="8"/>
  <c r="U51" i="21"/>
  <c r="U20" i="8"/>
  <c r="U14" i="8"/>
  <c r="W51" i="21"/>
  <c r="W20" i="8"/>
  <c r="W14" i="8"/>
  <c r="Y51" i="21"/>
  <c r="Y20" i="8"/>
  <c r="Y14" i="8"/>
  <c r="AA51" i="21"/>
  <c r="D175" i="2"/>
  <c r="AA20" i="8"/>
  <c r="AA14" i="8"/>
  <c r="H52" i="21"/>
  <c r="H21" i="8"/>
  <c r="H15" i="8"/>
  <c r="H6" i="8"/>
  <c r="J52" i="21"/>
  <c r="J21" i="8"/>
  <c r="J15" i="8"/>
  <c r="J6" i="8"/>
  <c r="L52" i="21"/>
  <c r="L21" i="8"/>
  <c r="L15" i="8"/>
  <c r="L6" i="8"/>
  <c r="N52" i="21"/>
  <c r="N21" i="8"/>
  <c r="N15" i="8"/>
  <c r="N6" i="8"/>
  <c r="P52" i="21"/>
  <c r="P21" i="8"/>
  <c r="P15" i="8"/>
  <c r="P6" i="8"/>
  <c r="R52" i="21"/>
  <c r="R21" i="8"/>
  <c r="R15" i="8"/>
  <c r="R6" i="8"/>
  <c r="T52" i="21"/>
  <c r="T21" i="8"/>
  <c r="T15" i="8"/>
  <c r="T6" i="8"/>
  <c r="V52" i="21"/>
  <c r="V21" i="8"/>
  <c r="V15" i="8"/>
  <c r="V6" i="8"/>
  <c r="X52" i="21"/>
  <c r="X21" i="8"/>
  <c r="X15" i="8"/>
  <c r="X6" i="8"/>
  <c r="Z52" i="21"/>
  <c r="C176" i="2"/>
  <c r="AT176" i="2" s="1"/>
  <c r="Z21" i="8"/>
  <c r="Z15" i="8"/>
  <c r="Z6" i="8"/>
  <c r="H53" i="21"/>
  <c r="H8" i="8"/>
  <c r="H22" i="8"/>
  <c r="H16" i="8"/>
  <c r="J53" i="21"/>
  <c r="J8" i="8"/>
  <c r="J22" i="8"/>
  <c r="J16" i="8"/>
  <c r="L53" i="21"/>
  <c r="L8" i="8"/>
  <c r="L22" i="8"/>
  <c r="L16" i="8"/>
  <c r="N53" i="21"/>
  <c r="N8" i="8"/>
  <c r="N22" i="8"/>
  <c r="N16" i="8"/>
  <c r="P53" i="21"/>
  <c r="P8" i="8"/>
  <c r="P22" i="8"/>
  <c r="P16" i="8"/>
  <c r="R53" i="21"/>
  <c r="R8" i="8"/>
  <c r="R22" i="8"/>
  <c r="R16" i="8"/>
  <c r="T53" i="21"/>
  <c r="T8" i="8"/>
  <c r="T22" i="8"/>
  <c r="T16" i="8"/>
  <c r="V53" i="21"/>
  <c r="V8" i="8"/>
  <c r="V22" i="8"/>
  <c r="V16" i="8"/>
  <c r="X53" i="21"/>
  <c r="X8" i="8"/>
  <c r="X22" i="8"/>
  <c r="X16" i="8"/>
  <c r="Z53" i="21"/>
  <c r="C177" i="2"/>
  <c r="AT177" i="2" s="1"/>
  <c r="Z8" i="8"/>
  <c r="Z22" i="8"/>
  <c r="Z16" i="8"/>
  <c r="H45" i="21"/>
  <c r="H243" i="8"/>
  <c r="H61" i="8"/>
  <c r="H50" i="8"/>
  <c r="H32" i="8"/>
  <c r="J45" i="21"/>
  <c r="J243" i="8"/>
  <c r="J61" i="8"/>
  <c r="J50" i="8"/>
  <c r="J32" i="8"/>
  <c r="L45" i="21"/>
  <c r="L243" i="8"/>
  <c r="L61" i="8"/>
  <c r="L50" i="8"/>
  <c r="L32" i="8"/>
  <c r="N45" i="21"/>
  <c r="N243" i="8"/>
  <c r="N61" i="8"/>
  <c r="N50" i="8"/>
  <c r="N32" i="8"/>
  <c r="P45" i="21"/>
  <c r="P243" i="8"/>
  <c r="P61" i="8"/>
  <c r="P50" i="8"/>
  <c r="P32" i="8"/>
  <c r="R45" i="21"/>
  <c r="R243" i="8"/>
  <c r="R61" i="8"/>
  <c r="R50" i="8"/>
  <c r="R32" i="8"/>
  <c r="T45" i="21"/>
  <c r="T243" i="8"/>
  <c r="T61" i="8"/>
  <c r="T50" i="8"/>
  <c r="T32" i="8"/>
  <c r="V45" i="21"/>
  <c r="V243" i="8"/>
  <c r="V61" i="8"/>
  <c r="V50" i="8"/>
  <c r="V32" i="8"/>
  <c r="X45" i="21"/>
  <c r="X243" i="8"/>
  <c r="X61" i="8"/>
  <c r="X50" i="8"/>
  <c r="X32" i="8"/>
  <c r="Z45" i="21"/>
  <c r="C159" i="2"/>
  <c r="AT159" i="2" s="1"/>
  <c r="Z243" i="8"/>
  <c r="Z61" i="8"/>
  <c r="Z50" i="8"/>
  <c r="Z32" i="8"/>
  <c r="AB45" i="21"/>
  <c r="AB243" i="8"/>
  <c r="AC239" i="8" s="1"/>
  <c r="AB61" i="8"/>
  <c r="AB50" i="8"/>
  <c r="AB32" i="8"/>
  <c r="G76" i="8"/>
  <c r="G191" i="8" s="1"/>
  <c r="I49" i="21"/>
  <c r="I76" i="8"/>
  <c r="I191" i="8" s="1"/>
  <c r="I59" i="8"/>
  <c r="I48" i="8"/>
  <c r="K49" i="21"/>
  <c r="K76" i="8"/>
  <c r="K191" i="8" s="1"/>
  <c r="K59" i="8"/>
  <c r="K48" i="8"/>
  <c r="M49" i="21"/>
  <c r="M76" i="8"/>
  <c r="M191" i="8" s="1"/>
  <c r="M59" i="8"/>
  <c r="M48" i="8"/>
  <c r="O49" i="21"/>
  <c r="O76" i="8"/>
  <c r="O191" i="8" s="1"/>
  <c r="O59" i="8"/>
  <c r="O48" i="8"/>
  <c r="Q49" i="21"/>
  <c r="Q76" i="8"/>
  <c r="Q191" i="8" s="1"/>
  <c r="Q59" i="8"/>
  <c r="Q48" i="8"/>
  <c r="S49" i="21"/>
  <c r="S76" i="8"/>
  <c r="S191" i="8" s="1"/>
  <c r="S59" i="8"/>
  <c r="S48" i="8"/>
  <c r="U49" i="21"/>
  <c r="U76" i="8"/>
  <c r="U191" i="8" s="1"/>
  <c r="U59" i="8"/>
  <c r="U48" i="8"/>
  <c r="W49" i="21"/>
  <c r="W76" i="8"/>
  <c r="W191" i="8" s="1"/>
  <c r="W59" i="8"/>
  <c r="W48" i="8"/>
  <c r="Y49" i="21"/>
  <c r="Y76" i="8"/>
  <c r="Y191" i="8" s="1"/>
  <c r="Y59" i="8"/>
  <c r="Y48" i="8"/>
  <c r="AA49" i="21"/>
  <c r="D163" i="2"/>
  <c r="AU163" i="2" s="1"/>
  <c r="AA76" i="8"/>
  <c r="AA191" i="8" s="1"/>
  <c r="AA59" i="8"/>
  <c r="AA48" i="8"/>
  <c r="H98" i="8"/>
  <c r="H35" i="8"/>
  <c r="J98" i="8"/>
  <c r="J35" i="8"/>
  <c r="L98" i="8"/>
  <c r="L35" i="8"/>
  <c r="N98" i="8"/>
  <c r="N35" i="8"/>
  <c r="P98" i="8"/>
  <c r="P35" i="8"/>
  <c r="R98" i="8"/>
  <c r="R35" i="8"/>
  <c r="T98" i="8"/>
  <c r="T35" i="8"/>
  <c r="V98" i="8"/>
  <c r="V35" i="8"/>
  <c r="X98" i="8"/>
  <c r="X35" i="8"/>
  <c r="Z98" i="8"/>
  <c r="Z35" i="8"/>
  <c r="AB98" i="8"/>
  <c r="AC104" i="8" s="1"/>
  <c r="AB35" i="8"/>
  <c r="I54" i="21"/>
  <c r="I64" i="8"/>
  <c r="I53" i="8"/>
  <c r="K54" i="21"/>
  <c r="K64" i="8"/>
  <c r="K53" i="8"/>
  <c r="M54" i="21"/>
  <c r="M64" i="8"/>
  <c r="M53" i="8"/>
  <c r="O54" i="21"/>
  <c r="O64" i="8"/>
  <c r="O53" i="8"/>
  <c r="Q54" i="21"/>
  <c r="Q64" i="8"/>
  <c r="Q53" i="8"/>
  <c r="S54" i="21"/>
  <c r="S64" i="8"/>
  <c r="S53" i="8"/>
  <c r="U54" i="21"/>
  <c r="U64" i="8"/>
  <c r="U53" i="8"/>
  <c r="W54" i="21"/>
  <c r="W64" i="8"/>
  <c r="W53" i="8"/>
  <c r="Y54" i="21"/>
  <c r="Y64" i="8"/>
  <c r="Y53" i="8"/>
  <c r="AA54" i="21"/>
  <c r="D178" i="2"/>
  <c r="AA64" i="8"/>
  <c r="AA53" i="8"/>
  <c r="H555" i="7"/>
  <c r="H549" i="7"/>
  <c r="J555" i="7"/>
  <c r="J549" i="7"/>
  <c r="L555" i="7"/>
  <c r="L549" i="7"/>
  <c r="N555" i="7"/>
  <c r="N549" i="7"/>
  <c r="P555" i="7"/>
  <c r="P549" i="7"/>
  <c r="R555" i="7"/>
  <c r="R549" i="7"/>
  <c r="T555" i="7"/>
  <c r="T549" i="7"/>
  <c r="V555" i="7"/>
  <c r="V549" i="7"/>
  <c r="X555" i="7"/>
  <c r="X549" i="7"/>
  <c r="H579" i="7"/>
  <c r="H573" i="7"/>
  <c r="J579" i="7"/>
  <c r="J573" i="7"/>
  <c r="L579" i="7"/>
  <c r="L573" i="7"/>
  <c r="N579" i="7"/>
  <c r="N573" i="7"/>
  <c r="P579" i="7"/>
  <c r="P573" i="7"/>
  <c r="R579" i="7"/>
  <c r="R573" i="7"/>
  <c r="T579" i="7"/>
  <c r="T573" i="7"/>
  <c r="V579" i="7"/>
  <c r="V573" i="7"/>
  <c r="X579" i="7"/>
  <c r="X573" i="7"/>
  <c r="BC573" i="7"/>
  <c r="I43" i="21"/>
  <c r="I101" i="7"/>
  <c r="I95" i="7"/>
  <c r="K43" i="21"/>
  <c r="K101" i="7"/>
  <c r="K95" i="7"/>
  <c r="M43" i="21"/>
  <c r="M101" i="7"/>
  <c r="M95" i="7"/>
  <c r="O43" i="21"/>
  <c r="O101" i="7"/>
  <c r="O95" i="7"/>
  <c r="Q43" i="21"/>
  <c r="Q101" i="7"/>
  <c r="Q95" i="7"/>
  <c r="S43" i="21"/>
  <c r="S101" i="7"/>
  <c r="S95" i="7"/>
  <c r="U43" i="21"/>
  <c r="U101" i="7"/>
  <c r="U95" i="7"/>
  <c r="W43" i="21"/>
  <c r="W101" i="7"/>
  <c r="W95" i="7"/>
  <c r="Y43" i="21"/>
  <c r="Y101" i="7"/>
  <c r="Y95" i="7"/>
  <c r="AA43" i="21"/>
  <c r="D157" i="2"/>
  <c r="AU157" i="2" s="1"/>
  <c r="H47" i="21"/>
  <c r="H165" i="8"/>
  <c r="H231" i="8"/>
  <c r="H223" i="8"/>
  <c r="H274" i="7" s="1"/>
  <c r="H189" i="8"/>
  <c r="J47" i="21"/>
  <c r="J165" i="8"/>
  <c r="J231" i="8"/>
  <c r="J223" i="8"/>
  <c r="J274" i="7" s="1"/>
  <c r="J189" i="8"/>
  <c r="L47" i="21"/>
  <c r="L165" i="8"/>
  <c r="L231" i="8"/>
  <c r="L223" i="8"/>
  <c r="L274" i="7" s="1"/>
  <c r="L189" i="8"/>
  <c r="N47" i="21"/>
  <c r="N165" i="8"/>
  <c r="N231" i="8"/>
  <c r="N223" i="8"/>
  <c r="N274" i="7" s="1"/>
  <c r="N189" i="8"/>
  <c r="P47" i="21"/>
  <c r="P165" i="8"/>
  <c r="P231" i="8"/>
  <c r="P223" i="8"/>
  <c r="P274" i="7" s="1"/>
  <c r="P189" i="8"/>
  <c r="R47" i="21"/>
  <c r="R165" i="8"/>
  <c r="R231" i="8"/>
  <c r="R223" i="8"/>
  <c r="R274" i="7" s="1"/>
  <c r="R189" i="8"/>
  <c r="T47" i="21"/>
  <c r="T165" i="8"/>
  <c r="T231" i="8"/>
  <c r="T223" i="8"/>
  <c r="T274" i="7" s="1"/>
  <c r="T189" i="8"/>
  <c r="V47" i="21"/>
  <c r="V165" i="8"/>
  <c r="V231" i="8"/>
  <c r="V223" i="8"/>
  <c r="V274" i="7" s="1"/>
  <c r="V189" i="8"/>
  <c r="X47" i="21"/>
  <c r="X165" i="8"/>
  <c r="X231" i="8"/>
  <c r="X223" i="8"/>
  <c r="X274" i="7" s="1"/>
  <c r="X189" i="8"/>
  <c r="Z47" i="21"/>
  <c r="C161" i="2"/>
  <c r="AT161" i="2" s="1"/>
  <c r="Z165" i="8"/>
  <c r="Z231" i="8"/>
  <c r="Z223" i="8"/>
  <c r="Z274" i="7" s="1"/>
  <c r="Z189" i="8"/>
  <c r="AB47" i="21"/>
  <c r="AB165" i="8"/>
  <c r="AB231" i="8"/>
  <c r="AB223" i="8"/>
  <c r="AB274" i="7" s="1"/>
  <c r="AB189" i="8"/>
  <c r="AC196" i="8" s="1"/>
  <c r="G113" i="8"/>
  <c r="I48" i="21"/>
  <c r="I113" i="8"/>
  <c r="K48" i="21"/>
  <c r="K113" i="8"/>
  <c r="M48" i="21"/>
  <c r="M113" i="8"/>
  <c r="O48" i="21"/>
  <c r="O113" i="8"/>
  <c r="Q48" i="21"/>
  <c r="Q113" i="8"/>
  <c r="S48" i="21"/>
  <c r="S113" i="8"/>
  <c r="U48" i="21"/>
  <c r="U113" i="8"/>
  <c r="W48" i="21"/>
  <c r="W113" i="8"/>
  <c r="Y48" i="21"/>
  <c r="Y113" i="8"/>
  <c r="AA48" i="21"/>
  <c r="D162" i="2"/>
  <c r="AA113" i="8"/>
  <c r="H39" i="21"/>
  <c r="K6" i="6"/>
  <c r="H26" i="7"/>
  <c r="H17" i="7"/>
  <c r="J39" i="21"/>
  <c r="W6" i="6"/>
  <c r="J26" i="7"/>
  <c r="J17" i="7"/>
  <c r="L39" i="21"/>
  <c r="AI6" i="6"/>
  <c r="L26" i="7"/>
  <c r="L17" i="7"/>
  <c r="N39" i="21"/>
  <c r="AU6" i="6"/>
  <c r="N26" i="7"/>
  <c r="N17" i="7"/>
  <c r="P39" i="21"/>
  <c r="BG6" i="6"/>
  <c r="P26" i="7"/>
  <c r="P17" i="7"/>
  <c r="R39" i="21"/>
  <c r="BS6" i="6"/>
  <c r="R26" i="7"/>
  <c r="R17" i="7"/>
  <c r="T39" i="21"/>
  <c r="CE6" i="6"/>
  <c r="T26" i="7"/>
  <c r="T17" i="7"/>
  <c r="V39" i="21"/>
  <c r="CQ6" i="6"/>
  <c r="V26" i="7"/>
  <c r="V17" i="7"/>
  <c r="X39" i="21"/>
  <c r="DC6" i="6"/>
  <c r="X17" i="7"/>
  <c r="Z39" i="21"/>
  <c r="C150" i="2"/>
  <c r="AT150" i="2" s="1"/>
  <c r="DO6" i="6"/>
  <c r="Z17" i="7"/>
  <c r="AB39" i="21"/>
  <c r="EA6" i="6"/>
  <c r="AB17" i="7"/>
  <c r="BC17" i="7" s="1"/>
  <c r="E7" i="6"/>
  <c r="G62" i="7"/>
  <c r="I40" i="21"/>
  <c r="Q7" i="6"/>
  <c r="I62" i="7"/>
  <c r="I54" i="7"/>
  <c r="K40" i="21"/>
  <c r="AC7" i="6"/>
  <c r="K62" i="7"/>
  <c r="K54" i="7"/>
  <c r="M40" i="21"/>
  <c r="AO7" i="6"/>
  <c r="M62" i="7"/>
  <c r="M54" i="7"/>
  <c r="O40" i="21"/>
  <c r="BA7" i="6"/>
  <c r="O62" i="7"/>
  <c r="O54" i="7"/>
  <c r="O49" i="7"/>
  <c r="O51" i="7" s="1"/>
  <c r="Q40" i="21"/>
  <c r="BM7" i="6"/>
  <c r="Q62" i="7"/>
  <c r="Q54" i="7"/>
  <c r="Q49" i="7"/>
  <c r="Q51" i="7" s="1"/>
  <c r="S40" i="21"/>
  <c r="BY7" i="6"/>
  <c r="S62" i="7"/>
  <c r="S54" i="7"/>
  <c r="S49" i="7"/>
  <c r="S51" i="7" s="1"/>
  <c r="U40" i="21"/>
  <c r="CK7" i="6"/>
  <c r="U62" i="7"/>
  <c r="U54" i="7"/>
  <c r="U49" i="7"/>
  <c r="U51" i="7" s="1"/>
  <c r="W40" i="21"/>
  <c r="CW7" i="6"/>
  <c r="W62" i="7"/>
  <c r="W54" i="7"/>
  <c r="W49" i="7"/>
  <c r="W51" i="7" s="1"/>
  <c r="Y40" i="21"/>
  <c r="DI7" i="6"/>
  <c r="Y54" i="7"/>
  <c r="Y49" i="7"/>
  <c r="AA40" i="21"/>
  <c r="D151" i="2"/>
  <c r="DU7" i="6"/>
  <c r="AA54" i="7"/>
  <c r="AA49" i="7"/>
  <c r="H130" i="7"/>
  <c r="H124" i="7"/>
  <c r="J130" i="7"/>
  <c r="J124" i="7"/>
  <c r="L130" i="7"/>
  <c r="L124" i="7"/>
  <c r="N130" i="7"/>
  <c r="N124" i="7"/>
  <c r="P130" i="7"/>
  <c r="P124" i="7"/>
  <c r="R130" i="7"/>
  <c r="R124" i="7"/>
  <c r="T130" i="7"/>
  <c r="T124" i="7"/>
  <c r="V130" i="7"/>
  <c r="V124" i="7"/>
  <c r="X130" i="7"/>
  <c r="G8" i="6"/>
  <c r="G108" i="7"/>
  <c r="G99" i="7"/>
  <c r="I69" i="21"/>
  <c r="S8" i="6"/>
  <c r="I108" i="7"/>
  <c r="I99" i="7"/>
  <c r="I93" i="7"/>
  <c r="K69" i="21"/>
  <c r="AE8" i="6"/>
  <c r="K108" i="7"/>
  <c r="K99" i="7"/>
  <c r="K93" i="7"/>
  <c r="M69" i="21"/>
  <c r="AQ8" i="6"/>
  <c r="M108" i="7"/>
  <c r="M99" i="7"/>
  <c r="M93" i="7"/>
  <c r="O69" i="21"/>
  <c r="BC8" i="6"/>
  <c r="O108" i="7"/>
  <c r="O99" i="7"/>
  <c r="O93" i="7"/>
  <c r="Q69" i="21"/>
  <c r="BO8" i="6"/>
  <c r="Q108" i="7"/>
  <c r="Q99" i="7"/>
  <c r="Q93" i="7"/>
  <c r="S69" i="21"/>
  <c r="CA8" i="6"/>
  <c r="S108" i="7"/>
  <c r="S99" i="7"/>
  <c r="S93" i="7"/>
  <c r="U69" i="21"/>
  <c r="CM8" i="6"/>
  <c r="U108" i="7"/>
  <c r="U99" i="7"/>
  <c r="U93" i="7"/>
  <c r="W69" i="21"/>
  <c r="CY8" i="6"/>
  <c r="W108" i="7"/>
  <c r="W99" i="7"/>
  <c r="W93" i="7"/>
  <c r="Y69" i="21"/>
  <c r="DK8" i="6"/>
  <c r="Y108" i="7"/>
  <c r="Y99" i="7"/>
  <c r="Y93" i="7"/>
  <c r="AA69" i="21"/>
  <c r="D200" i="2"/>
  <c r="DW8" i="6"/>
  <c r="AA108" i="7"/>
  <c r="H71" i="21"/>
  <c r="M9" i="6"/>
  <c r="H80" i="7"/>
  <c r="H28" i="7"/>
  <c r="H19" i="7"/>
  <c r="J71" i="21"/>
  <c r="Y9" i="6"/>
  <c r="J80" i="7"/>
  <c r="J28" i="7"/>
  <c r="J19" i="7"/>
  <c r="L71" i="21"/>
  <c r="AK9" i="6"/>
  <c r="L80" i="7"/>
  <c r="L28" i="7"/>
  <c r="L19" i="7"/>
  <c r="N71" i="21"/>
  <c r="AW9" i="6"/>
  <c r="N80" i="7"/>
  <c r="N28" i="7"/>
  <c r="N19" i="7"/>
  <c r="P71" i="21"/>
  <c r="BI9" i="6"/>
  <c r="P80" i="7"/>
  <c r="P28" i="7"/>
  <c r="P19" i="7"/>
  <c r="R71" i="21"/>
  <c r="BU9" i="6"/>
  <c r="R80" i="7"/>
  <c r="R28" i="7"/>
  <c r="R19" i="7"/>
  <c r="T71" i="21"/>
  <c r="CG9" i="6"/>
  <c r="T80" i="7"/>
  <c r="T28" i="7"/>
  <c r="T19" i="7"/>
  <c r="V71" i="21"/>
  <c r="CS9" i="6"/>
  <c r="V80" i="7"/>
  <c r="V28" i="7"/>
  <c r="V19" i="7"/>
  <c r="X71" i="21"/>
  <c r="DE9" i="6"/>
  <c r="X80" i="7"/>
  <c r="X19" i="7"/>
  <c r="Z71" i="21"/>
  <c r="C202" i="2"/>
  <c r="AT202" i="2" s="1"/>
  <c r="DQ9" i="6"/>
  <c r="Z19" i="7"/>
  <c r="AB71" i="21"/>
  <c r="EC9" i="6"/>
  <c r="AB19" i="7"/>
  <c r="BC19" i="7" s="1"/>
  <c r="G10" i="6"/>
  <c r="G64" i="7"/>
  <c r="I70" i="21"/>
  <c r="S10" i="6"/>
  <c r="I64" i="7"/>
  <c r="I56" i="7"/>
  <c r="K70" i="21"/>
  <c r="AE10" i="6"/>
  <c r="K64" i="7"/>
  <c r="K56" i="7"/>
  <c r="M70" i="21"/>
  <c r="AQ10" i="6"/>
  <c r="M64" i="7"/>
  <c r="M56" i="7"/>
  <c r="O70" i="21"/>
  <c r="BC10" i="6"/>
  <c r="O64" i="7"/>
  <c r="O56" i="7"/>
  <c r="Q70" i="21"/>
  <c r="BO10" i="6"/>
  <c r="Q64" i="7"/>
  <c r="Q56" i="7"/>
  <c r="S70" i="21"/>
  <c r="CA10" i="6"/>
  <c r="S64" i="7"/>
  <c r="S56" i="7"/>
  <c r="U70" i="21"/>
  <c r="CM10" i="6"/>
  <c r="U64" i="7"/>
  <c r="U56" i="7"/>
  <c r="W70" i="21"/>
  <c r="CY10" i="6"/>
  <c r="W64" i="7"/>
  <c r="W56" i="7"/>
  <c r="Y70" i="21"/>
  <c r="DK10" i="6"/>
  <c r="Y56" i="7"/>
  <c r="AA70" i="21"/>
  <c r="D201" i="2"/>
  <c r="DW10" i="6"/>
  <c r="AA56" i="7"/>
  <c r="H72" i="21"/>
  <c r="M11" i="6"/>
  <c r="H81" i="7"/>
  <c r="H229" i="8"/>
  <c r="H221" i="8"/>
  <c r="J72" i="21"/>
  <c r="Y11" i="6"/>
  <c r="J81" i="7"/>
  <c r="J229" i="8"/>
  <c r="J221" i="8"/>
  <c r="L72" i="21"/>
  <c r="AK11" i="6"/>
  <c r="L81" i="7"/>
  <c r="L229" i="8"/>
  <c r="L221" i="8"/>
  <c r="N72" i="21"/>
  <c r="AW11" i="6"/>
  <c r="N81" i="7"/>
  <c r="N229" i="8"/>
  <c r="N221" i="8"/>
  <c r="P72" i="21"/>
  <c r="BI11" i="6"/>
  <c r="P81" i="7"/>
  <c r="P229" i="8"/>
  <c r="P221" i="8"/>
  <c r="R72" i="21"/>
  <c r="BU11" i="6"/>
  <c r="R81" i="7"/>
  <c r="R229" i="8"/>
  <c r="R221" i="8"/>
  <c r="T72" i="21"/>
  <c r="CG11" i="6"/>
  <c r="T81" i="7"/>
  <c r="T229" i="8"/>
  <c r="T221" i="8"/>
  <c r="V72" i="21"/>
  <c r="CS11" i="6"/>
  <c r="V81" i="7"/>
  <c r="V229" i="8"/>
  <c r="V221" i="8"/>
  <c r="X72" i="21"/>
  <c r="DE11" i="6"/>
  <c r="X81" i="7"/>
  <c r="X229" i="8"/>
  <c r="Z72" i="21"/>
  <c r="C203" i="2"/>
  <c r="AT203" i="2" s="1"/>
  <c r="DQ11" i="6"/>
  <c r="Z229" i="8"/>
  <c r="AB72" i="21"/>
  <c r="EC11" i="6"/>
  <c r="AB229" i="8"/>
  <c r="G30" i="6"/>
  <c r="G220" i="7"/>
  <c r="G238" i="7"/>
  <c r="I76" i="21"/>
  <c r="S30" i="6"/>
  <c r="I220" i="7"/>
  <c r="I238" i="7"/>
  <c r="I208" i="7"/>
  <c r="K76" i="21"/>
  <c r="AE30" i="6"/>
  <c r="K220" i="7"/>
  <c r="K238" i="7"/>
  <c r="K208" i="7"/>
  <c r="M76" i="21"/>
  <c r="AQ30" i="6"/>
  <c r="M220" i="7"/>
  <c r="M238" i="7"/>
  <c r="M208" i="7"/>
  <c r="O76" i="21"/>
  <c r="BC30" i="6"/>
  <c r="O220" i="7"/>
  <c r="O238" i="7"/>
  <c r="O208" i="7"/>
  <c r="Q76" i="21"/>
  <c r="BO30" i="6"/>
  <c r="Q220" i="7"/>
  <c r="Q238" i="7"/>
  <c r="Q208" i="7"/>
  <c r="S76" i="21"/>
  <c r="CA30" i="6"/>
  <c r="S220" i="7"/>
  <c r="S238" i="7"/>
  <c r="S208" i="7"/>
  <c r="U76" i="21"/>
  <c r="CM30" i="6"/>
  <c r="U220" i="7"/>
  <c r="U238" i="7"/>
  <c r="U208" i="7"/>
  <c r="W76" i="21"/>
  <c r="CY30" i="6"/>
  <c r="W220" i="7"/>
  <c r="W238" i="7"/>
  <c r="W208" i="7"/>
  <c r="Y76" i="21"/>
  <c r="DK30" i="6"/>
  <c r="Y220" i="7"/>
  <c r="Y208" i="7"/>
  <c r="AA76" i="21"/>
  <c r="D207" i="2"/>
  <c r="DW30" i="6"/>
  <c r="AA208" i="7"/>
  <c r="M24" i="6"/>
  <c r="H728" i="7"/>
  <c r="H281" i="7"/>
  <c r="H267" i="7"/>
  <c r="Y24" i="6"/>
  <c r="J728" i="7"/>
  <c r="J281" i="7"/>
  <c r="J267" i="7"/>
  <c r="AK24" i="6"/>
  <c r="L728" i="7"/>
  <c r="L281" i="7"/>
  <c r="L267" i="7"/>
  <c r="AW24" i="6"/>
  <c r="N728" i="7"/>
  <c r="N281" i="7"/>
  <c r="N267" i="7"/>
  <c r="BI24" i="6"/>
  <c r="P728" i="7"/>
  <c r="P281" i="7"/>
  <c r="P267" i="7"/>
  <c r="BU24" i="6"/>
  <c r="R728" i="7"/>
  <c r="R281" i="7"/>
  <c r="R267" i="7"/>
  <c r="CG24" i="6"/>
  <c r="T728" i="7"/>
  <c r="T281" i="7"/>
  <c r="T267" i="7"/>
  <c r="CS24" i="6"/>
  <c r="V728" i="7"/>
  <c r="V281" i="7"/>
  <c r="V267" i="7"/>
  <c r="DE24" i="6"/>
  <c r="X728" i="7"/>
  <c r="X267" i="7"/>
  <c r="DQ24" i="6"/>
  <c r="Z728" i="7"/>
  <c r="Z267" i="7"/>
  <c r="EC24" i="6"/>
  <c r="AB728" i="7"/>
  <c r="BC728" i="7" s="1"/>
  <c r="G32" i="6"/>
  <c r="G730" i="7"/>
  <c r="G312" i="7"/>
  <c r="S32" i="6"/>
  <c r="I730" i="7"/>
  <c r="I305" i="7"/>
  <c r="I312" i="7"/>
  <c r="AE32" i="6"/>
  <c r="K730" i="7"/>
  <c r="K305" i="7"/>
  <c r="K312" i="7"/>
  <c r="AQ32" i="6"/>
  <c r="M730" i="7"/>
  <c r="M305" i="7"/>
  <c r="M312" i="7"/>
  <c r="BC32" i="6"/>
  <c r="O730" i="7"/>
  <c r="O305" i="7"/>
  <c r="O312" i="7"/>
  <c r="BO32" i="6"/>
  <c r="Q730" i="7"/>
  <c r="Q305" i="7"/>
  <c r="Q312" i="7"/>
  <c r="CA32" i="6"/>
  <c r="S730" i="7"/>
  <c r="S305" i="7"/>
  <c r="S312" i="7"/>
  <c r="CM32" i="6"/>
  <c r="U730" i="7"/>
  <c r="U305" i="7"/>
  <c r="U312" i="7"/>
  <c r="CY32" i="6"/>
  <c r="W730" i="7"/>
  <c r="W305" i="7"/>
  <c r="W312" i="7"/>
  <c r="DK32" i="6"/>
  <c r="Y730" i="7"/>
  <c r="Y305" i="7"/>
  <c r="Y312" i="7"/>
  <c r="DW32" i="6"/>
  <c r="AA730" i="7"/>
  <c r="AA305" i="7"/>
  <c r="M28" i="6"/>
  <c r="H729" i="7"/>
  <c r="H343" i="7"/>
  <c r="H334" i="7"/>
  <c r="Y28" i="6"/>
  <c r="J729" i="7"/>
  <c r="J343" i="7"/>
  <c r="J334" i="7"/>
  <c r="AK28" i="6"/>
  <c r="L729" i="7"/>
  <c r="L343" i="7"/>
  <c r="L334" i="7"/>
  <c r="AW28" i="6"/>
  <c r="N729" i="7"/>
  <c r="N343" i="7"/>
  <c r="N334" i="7"/>
  <c r="BI28" i="6"/>
  <c r="P729" i="7"/>
  <c r="P343" i="7"/>
  <c r="P334" i="7"/>
  <c r="BU28" i="6"/>
  <c r="R729" i="7"/>
  <c r="R343" i="7"/>
  <c r="R334" i="7"/>
  <c r="CG28" i="6"/>
  <c r="T729" i="7"/>
  <c r="T343" i="7"/>
  <c r="T334" i="7"/>
  <c r="CS28" i="6"/>
  <c r="V729" i="7"/>
  <c r="V343" i="7"/>
  <c r="V334" i="7"/>
  <c r="DE28" i="6"/>
  <c r="X729" i="7"/>
  <c r="X343" i="7"/>
  <c r="X334" i="7"/>
  <c r="DQ28" i="6"/>
  <c r="Z729" i="7"/>
  <c r="Z334" i="7"/>
  <c r="EC28" i="6"/>
  <c r="AB729" i="7"/>
  <c r="BC729" i="7" s="1"/>
  <c r="AB334" i="7"/>
  <c r="BC334" i="7" s="1"/>
  <c r="G33" i="6"/>
  <c r="G731" i="7"/>
  <c r="G342" i="7"/>
  <c r="S33" i="6"/>
  <c r="I731" i="7"/>
  <c r="I342" i="7"/>
  <c r="I333" i="7"/>
  <c r="AE33" i="6"/>
  <c r="K731" i="7"/>
  <c r="K342" i="7"/>
  <c r="K333" i="7"/>
  <c r="AQ33" i="6"/>
  <c r="M731" i="7"/>
  <c r="M342" i="7"/>
  <c r="M333" i="7"/>
  <c r="BC33" i="6"/>
  <c r="O731" i="7"/>
  <c r="O342" i="7"/>
  <c r="O333" i="7"/>
  <c r="BO33" i="6"/>
  <c r="Q731" i="7"/>
  <c r="Q342" i="7"/>
  <c r="Q333" i="7"/>
  <c r="CA33" i="6"/>
  <c r="S731" i="7"/>
  <c r="S342" i="7"/>
  <c r="S333" i="7"/>
  <c r="CM33" i="6"/>
  <c r="U731" i="7"/>
  <c r="U342" i="7"/>
  <c r="U333" i="7"/>
  <c r="CY33" i="6"/>
  <c r="W731" i="7"/>
  <c r="W342" i="7"/>
  <c r="W333" i="7"/>
  <c r="DK33" i="6"/>
  <c r="Y731" i="7"/>
  <c r="Y342" i="7"/>
  <c r="Y333" i="7"/>
  <c r="DW33" i="6"/>
  <c r="AA731" i="7"/>
  <c r="AA333" i="7"/>
  <c r="H77" i="21"/>
  <c r="M35" i="6"/>
  <c r="H407" i="7"/>
  <c r="H401" i="7"/>
  <c r="J77" i="21"/>
  <c r="Y35" i="6"/>
  <c r="J407" i="7"/>
  <c r="J401" i="7"/>
  <c r="L77" i="21"/>
  <c r="AK35" i="6"/>
  <c r="L407" i="7"/>
  <c r="L401" i="7"/>
  <c r="N77" i="21"/>
  <c r="AW35" i="6"/>
  <c r="N407" i="7"/>
  <c r="N401" i="7"/>
  <c r="P77" i="21"/>
  <c r="BI35" i="6"/>
  <c r="P407" i="7"/>
  <c r="P401" i="7"/>
  <c r="R77" i="21"/>
  <c r="BU35" i="6"/>
  <c r="R407" i="7"/>
  <c r="R401" i="7"/>
  <c r="T77" i="21"/>
  <c r="CG35" i="6"/>
  <c r="T407" i="7"/>
  <c r="T401" i="7"/>
  <c r="V77" i="21"/>
  <c r="CS35" i="6"/>
  <c r="V407" i="7"/>
  <c r="V401" i="7"/>
  <c r="X77" i="21"/>
  <c r="DE35" i="6"/>
  <c r="X407" i="7"/>
  <c r="X401" i="7"/>
  <c r="Z77" i="21"/>
  <c r="C208" i="2"/>
  <c r="AT208" i="2" s="1"/>
  <c r="DQ35" i="6"/>
  <c r="Z401" i="7"/>
  <c r="AB77" i="21"/>
  <c r="EC35" i="6"/>
  <c r="AB401" i="7"/>
  <c r="BC401" i="7" s="1"/>
  <c r="G45" i="6"/>
  <c r="G741" i="7"/>
  <c r="G531" i="7"/>
  <c r="S45" i="6"/>
  <c r="I741" i="7"/>
  <c r="I531" i="7"/>
  <c r="I525" i="7"/>
  <c r="AE45" i="6"/>
  <c r="K741" i="7"/>
  <c r="K531" i="7"/>
  <c r="K525" i="7"/>
  <c r="AQ45" i="6"/>
  <c r="M741" i="7"/>
  <c r="M531" i="7"/>
  <c r="M525" i="7"/>
  <c r="BC45" i="6"/>
  <c r="O741" i="7"/>
  <c r="O531" i="7"/>
  <c r="O525" i="7"/>
  <c r="BO45" i="6"/>
  <c r="Q741" i="7"/>
  <c r="Q531" i="7"/>
  <c r="Q525" i="7"/>
  <c r="CA45" i="6"/>
  <c r="S741" i="7"/>
  <c r="S531" i="7"/>
  <c r="S525" i="7"/>
  <c r="CM45" i="6"/>
  <c r="U741" i="7"/>
  <c r="U531" i="7"/>
  <c r="U525" i="7"/>
  <c r="CY45" i="6"/>
  <c r="W741" i="7"/>
  <c r="W531" i="7"/>
  <c r="W525" i="7"/>
  <c r="DK45" i="6"/>
  <c r="Y741" i="7"/>
  <c r="Y525" i="7"/>
  <c r="DW45" i="6"/>
  <c r="AA741" i="7"/>
  <c r="AA525" i="7"/>
  <c r="G443" i="7"/>
  <c r="G655" i="7"/>
  <c r="G669" i="7" s="1"/>
  <c r="I110" i="21"/>
  <c r="I443" i="7"/>
  <c r="I655" i="7"/>
  <c r="I669" i="7" s="1"/>
  <c r="I431" i="7"/>
  <c r="K110" i="21"/>
  <c r="K443" i="7"/>
  <c r="K655" i="7"/>
  <c r="K669" i="7" s="1"/>
  <c r="K431" i="7"/>
  <c r="M110" i="21"/>
  <c r="M443" i="7"/>
  <c r="M655" i="7"/>
  <c r="M669" i="7" s="1"/>
  <c r="M431" i="7"/>
  <c r="O110" i="21"/>
  <c r="O443" i="7"/>
  <c r="O655" i="7"/>
  <c r="O669" i="7" s="1"/>
  <c r="O431" i="7"/>
  <c r="Q110" i="21"/>
  <c r="Q443" i="7"/>
  <c r="Q655" i="7"/>
  <c r="Q669" i="7" s="1"/>
  <c r="Q431" i="7"/>
  <c r="S110" i="21"/>
  <c r="S443" i="7"/>
  <c r="S655" i="7"/>
  <c r="S669" i="7" s="1"/>
  <c r="S431" i="7"/>
  <c r="U110" i="21"/>
  <c r="U443" i="7"/>
  <c r="U655" i="7"/>
  <c r="U669" i="7" s="1"/>
  <c r="U431" i="7"/>
  <c r="W110" i="21"/>
  <c r="W443" i="7"/>
  <c r="W655" i="7"/>
  <c r="W669" i="7" s="1"/>
  <c r="W431" i="7"/>
  <c r="Y110" i="21"/>
  <c r="Y443" i="7"/>
  <c r="Y655" i="7"/>
  <c r="Y669" i="7" s="1"/>
  <c r="AA110" i="21"/>
  <c r="D245" i="2"/>
  <c r="AA655" i="7"/>
  <c r="AA669" i="7" s="1"/>
  <c r="N8" i="6"/>
  <c r="H94" i="7"/>
  <c r="H109" i="7"/>
  <c r="H100" i="7"/>
  <c r="Z8" i="6"/>
  <c r="J94" i="7"/>
  <c r="J109" i="7"/>
  <c r="J100" i="7"/>
  <c r="AL8" i="6"/>
  <c r="L94" i="7"/>
  <c r="L109" i="7"/>
  <c r="L100" i="7"/>
  <c r="AX8" i="6"/>
  <c r="N94" i="7"/>
  <c r="N109" i="7"/>
  <c r="N100" i="7"/>
  <c r="BJ8" i="6"/>
  <c r="P94" i="7"/>
  <c r="P109" i="7"/>
  <c r="P100" i="7"/>
  <c r="BV8" i="6"/>
  <c r="R94" i="7"/>
  <c r="R109" i="7"/>
  <c r="R100" i="7"/>
  <c r="CH8" i="6"/>
  <c r="T94" i="7"/>
  <c r="T109" i="7"/>
  <c r="T100" i="7"/>
  <c r="CT8" i="6"/>
  <c r="V94" i="7"/>
  <c r="V109" i="7"/>
  <c r="V100" i="7"/>
  <c r="DF8" i="6"/>
  <c r="X94" i="7"/>
  <c r="X109" i="7"/>
  <c r="X100" i="7"/>
  <c r="DR8" i="6"/>
  <c r="Z109" i="7"/>
  <c r="ED8" i="6"/>
  <c r="AB109" i="7"/>
  <c r="AB129" i="7" s="1"/>
  <c r="G445" i="7"/>
  <c r="G112" i="7"/>
  <c r="I109" i="21"/>
  <c r="I445" i="7"/>
  <c r="I434" i="7"/>
  <c r="I112" i="7"/>
  <c r="K109" i="21"/>
  <c r="K445" i="7"/>
  <c r="K434" i="7"/>
  <c r="K112" i="7"/>
  <c r="M109" i="21"/>
  <c r="M445" i="7"/>
  <c r="M434" i="7"/>
  <c r="M112" i="7"/>
  <c r="O109" i="21"/>
  <c r="O445" i="7"/>
  <c r="O434" i="7"/>
  <c r="O112" i="7"/>
  <c r="Q109" i="21"/>
  <c r="Q445" i="7"/>
  <c r="Q434" i="7"/>
  <c r="Q112" i="7"/>
  <c r="S109" i="21"/>
  <c r="S445" i="7"/>
  <c r="S434" i="7"/>
  <c r="S112" i="7"/>
  <c r="U109" i="21"/>
  <c r="U445" i="7"/>
  <c r="U434" i="7"/>
  <c r="U112" i="7"/>
  <c r="W109" i="21"/>
  <c r="W445" i="7"/>
  <c r="W434" i="7"/>
  <c r="W112" i="7"/>
  <c r="Y109" i="21"/>
  <c r="Y445" i="7"/>
  <c r="Y112" i="7"/>
  <c r="AA109" i="21"/>
  <c r="D244" i="2"/>
  <c r="AA112" i="7"/>
  <c r="H87" i="21"/>
  <c r="N11" i="6"/>
  <c r="H416" i="7"/>
  <c r="H222" i="8"/>
  <c r="H86" i="7"/>
  <c r="H230" i="8"/>
  <c r="J87" i="21"/>
  <c r="Z11" i="6"/>
  <c r="J416" i="7"/>
  <c r="J222" i="8"/>
  <c r="J86" i="7"/>
  <c r="J230" i="8"/>
  <c r="L87" i="21"/>
  <c r="AL11" i="6"/>
  <c r="L416" i="7"/>
  <c r="L222" i="8"/>
  <c r="L86" i="7"/>
  <c r="L230" i="8"/>
  <c r="N87" i="21"/>
  <c r="AX11" i="6"/>
  <c r="N416" i="7"/>
  <c r="N222" i="8"/>
  <c r="N86" i="7"/>
  <c r="N230" i="8"/>
  <c r="P87" i="21"/>
  <c r="BJ11" i="6"/>
  <c r="P416" i="7"/>
  <c r="P222" i="8"/>
  <c r="P86" i="7"/>
  <c r="P230" i="8"/>
  <c r="R87" i="21"/>
  <c r="BV11" i="6"/>
  <c r="R416" i="7"/>
  <c r="R222" i="8"/>
  <c r="R86" i="7"/>
  <c r="R230" i="8"/>
  <c r="T87" i="21"/>
  <c r="CH11" i="6"/>
  <c r="T416" i="7"/>
  <c r="T222" i="8"/>
  <c r="T86" i="7"/>
  <c r="T230" i="8"/>
  <c r="V87" i="21"/>
  <c r="CT11" i="6"/>
  <c r="V416" i="7"/>
  <c r="V222" i="8"/>
  <c r="V86" i="7"/>
  <c r="V230" i="8"/>
  <c r="X87" i="21"/>
  <c r="DF11" i="6"/>
  <c r="X416" i="7"/>
  <c r="X222" i="8"/>
  <c r="X86" i="7"/>
  <c r="X230" i="8"/>
  <c r="Z87" i="21"/>
  <c r="C220" i="2"/>
  <c r="AT220" i="2" s="1"/>
  <c r="DR11" i="6"/>
  <c r="Z416" i="7"/>
  <c r="Z222" i="8"/>
  <c r="Z230" i="8"/>
  <c r="AB87" i="21"/>
  <c r="ED11" i="6"/>
  <c r="AB416" i="7"/>
  <c r="AB222" i="8"/>
  <c r="AB230" i="8"/>
  <c r="H16" i="6"/>
  <c r="E16" i="6" s="1"/>
  <c r="G691" i="7"/>
  <c r="G624" i="7"/>
  <c r="G31" i="7"/>
  <c r="I80" i="21"/>
  <c r="T16" i="6"/>
  <c r="I691" i="7"/>
  <c r="I624" i="7"/>
  <c r="I31" i="7"/>
  <c r="I22" i="7"/>
  <c r="K80" i="21"/>
  <c r="AF16" i="6"/>
  <c r="K691" i="7"/>
  <c r="K624" i="7"/>
  <c r="K31" i="7"/>
  <c r="K22" i="7"/>
  <c r="M80" i="21"/>
  <c r="AR16" i="6"/>
  <c r="M691" i="7"/>
  <c r="M624" i="7"/>
  <c r="M31" i="7"/>
  <c r="M22" i="7"/>
  <c r="O80" i="21"/>
  <c r="BD16" i="6"/>
  <c r="O691" i="7"/>
  <c r="O624" i="7"/>
  <c r="O31" i="7"/>
  <c r="O22" i="7"/>
  <c r="Q80" i="21"/>
  <c r="BP16" i="6"/>
  <c r="Q691" i="7"/>
  <c r="Q624" i="7"/>
  <c r="Q31" i="7"/>
  <c r="Q22" i="7"/>
  <c r="S80" i="21"/>
  <c r="CB16" i="6"/>
  <c r="S691" i="7"/>
  <c r="S624" i="7"/>
  <c r="S31" i="7"/>
  <c r="S22" i="7"/>
  <c r="U80" i="21"/>
  <c r="CN16" i="6"/>
  <c r="U691" i="7"/>
  <c r="U624" i="7"/>
  <c r="U31" i="7"/>
  <c r="U22" i="7"/>
  <c r="W80" i="21"/>
  <c r="CZ16" i="6"/>
  <c r="W691" i="7"/>
  <c r="W624" i="7"/>
  <c r="W31" i="7"/>
  <c r="W22" i="7"/>
  <c r="Y80" i="21"/>
  <c r="DL16" i="6"/>
  <c r="Y691" i="7"/>
  <c r="Y624" i="7"/>
  <c r="AA80" i="21"/>
  <c r="D213" i="2"/>
  <c r="DX16" i="6"/>
  <c r="AA691" i="7"/>
  <c r="AA624" i="7"/>
  <c r="AA635" i="7" s="1"/>
  <c r="H90" i="21"/>
  <c r="N17" i="6"/>
  <c r="H659" i="7"/>
  <c r="H673" i="7" s="1"/>
  <c r="H67" i="7"/>
  <c r="H59" i="7"/>
  <c r="J90" i="21"/>
  <c r="Z17" i="6"/>
  <c r="J659" i="7"/>
  <c r="J673" i="7" s="1"/>
  <c r="J67" i="7"/>
  <c r="J59" i="7"/>
  <c r="L90" i="21"/>
  <c r="AL17" i="6"/>
  <c r="L659" i="7"/>
  <c r="L673" i="7" s="1"/>
  <c r="L67" i="7"/>
  <c r="L59" i="7"/>
  <c r="N90" i="21"/>
  <c r="AX17" i="6"/>
  <c r="N659" i="7"/>
  <c r="N673" i="7" s="1"/>
  <c r="N67" i="7"/>
  <c r="N59" i="7"/>
  <c r="P90" i="21"/>
  <c r="BJ17" i="6"/>
  <c r="P659" i="7"/>
  <c r="P673" i="7" s="1"/>
  <c r="P67" i="7"/>
  <c r="P59" i="7"/>
  <c r="R90" i="21"/>
  <c r="BV17" i="6"/>
  <c r="R659" i="7"/>
  <c r="R673" i="7" s="1"/>
  <c r="R67" i="7"/>
  <c r="R59" i="7"/>
  <c r="T90" i="21"/>
  <c r="CH17" i="6"/>
  <c r="T659" i="7"/>
  <c r="T673" i="7" s="1"/>
  <c r="T67" i="7"/>
  <c r="T59" i="7"/>
  <c r="V90" i="21"/>
  <c r="CT17" i="6"/>
  <c r="V659" i="7"/>
  <c r="V673" i="7" s="1"/>
  <c r="V67" i="7"/>
  <c r="V59" i="7"/>
  <c r="X90" i="21"/>
  <c r="DF17" i="6"/>
  <c r="X659" i="7"/>
  <c r="X673" i="7" s="1"/>
  <c r="X59" i="7"/>
  <c r="Z90" i="21"/>
  <c r="C223" i="2"/>
  <c r="AT223" i="2" s="1"/>
  <c r="DR17" i="6"/>
  <c r="Z659" i="7"/>
  <c r="Z673" i="7" s="1"/>
  <c r="AB90" i="21"/>
  <c r="ED17" i="6"/>
  <c r="AB659" i="7"/>
  <c r="AB673" i="7" s="1"/>
  <c r="H9" i="6"/>
  <c r="G751" i="7"/>
  <c r="G422" i="7"/>
  <c r="G447" i="7" s="1"/>
  <c r="G85" i="7"/>
  <c r="G29" i="7"/>
  <c r="T9" i="6"/>
  <c r="I751" i="7"/>
  <c r="I422" i="7"/>
  <c r="I85" i="7"/>
  <c r="I29" i="7"/>
  <c r="I20" i="7"/>
  <c r="AF9" i="6"/>
  <c r="K751" i="7"/>
  <c r="K422" i="7"/>
  <c r="K85" i="7"/>
  <c r="K29" i="7"/>
  <c r="K20" i="7"/>
  <c r="AR9" i="6"/>
  <c r="M751" i="7"/>
  <c r="M422" i="7"/>
  <c r="M85" i="7"/>
  <c r="M29" i="7"/>
  <c r="M20" i="7"/>
  <c r="BD9" i="6"/>
  <c r="O751" i="7"/>
  <c r="O422" i="7"/>
  <c r="O85" i="7"/>
  <c r="O29" i="7"/>
  <c r="O20" i="7"/>
  <c r="BP9" i="6"/>
  <c r="Q751" i="7"/>
  <c r="Q422" i="7"/>
  <c r="Q85" i="7"/>
  <c r="Q29" i="7"/>
  <c r="Q20" i="7"/>
  <c r="CB9" i="6"/>
  <c r="S751" i="7"/>
  <c r="S422" i="7"/>
  <c r="S85" i="7"/>
  <c r="S29" i="7"/>
  <c r="S20" i="7"/>
  <c r="CN9" i="6"/>
  <c r="U751" i="7"/>
  <c r="U422" i="7"/>
  <c r="U85" i="7"/>
  <c r="U29" i="7"/>
  <c r="U20" i="7"/>
  <c r="CZ9" i="6"/>
  <c r="W751" i="7"/>
  <c r="W422" i="7"/>
  <c r="W85" i="7"/>
  <c r="W29" i="7"/>
  <c r="W20" i="7"/>
  <c r="DL9" i="6"/>
  <c r="Y751" i="7"/>
  <c r="Y422" i="7"/>
  <c r="Y85" i="7"/>
  <c r="Y20" i="7"/>
  <c r="DX9" i="6"/>
  <c r="AA751" i="7"/>
  <c r="AA422" i="7"/>
  <c r="AA20" i="7"/>
  <c r="N10" i="6"/>
  <c r="H745" i="7"/>
  <c r="H65" i="7"/>
  <c r="H423" i="7"/>
  <c r="H57" i="7"/>
  <c r="Z10" i="6"/>
  <c r="J745" i="7"/>
  <c r="J65" i="7"/>
  <c r="J423" i="7"/>
  <c r="J57" i="7"/>
  <c r="AL10" i="6"/>
  <c r="L745" i="7"/>
  <c r="L65" i="7"/>
  <c r="L423" i="7"/>
  <c r="L57" i="7"/>
  <c r="AX10" i="6"/>
  <c r="N745" i="7"/>
  <c r="N65" i="7"/>
  <c r="N423" i="7"/>
  <c r="N57" i="7"/>
  <c r="BJ10" i="6"/>
  <c r="P745" i="7"/>
  <c r="P65" i="7"/>
  <c r="P423" i="7"/>
  <c r="P57" i="7"/>
  <c r="BV10" i="6"/>
  <c r="R745" i="7"/>
  <c r="R65" i="7"/>
  <c r="R423" i="7"/>
  <c r="R57" i="7"/>
  <c r="CH10" i="6"/>
  <c r="T745" i="7"/>
  <c r="T65" i="7"/>
  <c r="T423" i="7"/>
  <c r="T57" i="7"/>
  <c r="CT10" i="6"/>
  <c r="V745" i="7"/>
  <c r="V65" i="7"/>
  <c r="V423" i="7"/>
  <c r="V57" i="7"/>
  <c r="DF10" i="6"/>
  <c r="X745" i="7"/>
  <c r="X423" i="7"/>
  <c r="X57" i="7"/>
  <c r="DR10" i="6"/>
  <c r="Z745" i="7"/>
  <c r="Z423" i="7"/>
  <c r="Z57" i="7"/>
  <c r="ED10" i="6"/>
  <c r="AB745" i="7"/>
  <c r="BC745" i="7" s="1"/>
  <c r="AB423" i="7"/>
  <c r="AB57" i="7"/>
  <c r="BC57" i="7" s="1"/>
  <c r="H19" i="6"/>
  <c r="G746" i="7"/>
  <c r="G154" i="7"/>
  <c r="T19" i="6"/>
  <c r="I746" i="7"/>
  <c r="I146" i="7"/>
  <c r="I154" i="7"/>
  <c r="AF19" i="6"/>
  <c r="K746" i="7"/>
  <c r="K146" i="7"/>
  <c r="K154" i="7"/>
  <c r="AR19" i="6"/>
  <c r="M746" i="7"/>
  <c r="M146" i="7"/>
  <c r="M154" i="7"/>
  <c r="BD19" i="6"/>
  <c r="O746" i="7"/>
  <c r="O146" i="7"/>
  <c r="O154" i="7"/>
  <c r="BP19" i="6"/>
  <c r="Q746" i="7"/>
  <c r="Q146" i="7"/>
  <c r="Q154" i="7"/>
  <c r="CB19" i="6"/>
  <c r="S746" i="7"/>
  <c r="S146" i="7"/>
  <c r="S154" i="7"/>
  <c r="CN19" i="6"/>
  <c r="U746" i="7"/>
  <c r="U146" i="7"/>
  <c r="U154" i="7"/>
  <c r="CZ19" i="6"/>
  <c r="W746" i="7"/>
  <c r="W146" i="7"/>
  <c r="W154" i="7"/>
  <c r="DL19" i="6"/>
  <c r="Y746" i="7"/>
  <c r="Y146" i="7"/>
  <c r="DX19" i="6"/>
  <c r="AA746" i="7"/>
  <c r="AA146" i="7"/>
  <c r="H21" i="6"/>
  <c r="G658" i="7"/>
  <c r="G672" i="7" s="1"/>
  <c r="G161" i="7"/>
  <c r="G162" i="7" s="1"/>
  <c r="G586" i="7" s="1"/>
  <c r="G598" i="7" s="1"/>
  <c r="G156" i="7"/>
  <c r="I89" i="21"/>
  <c r="T21" i="6"/>
  <c r="I658" i="7"/>
  <c r="I672" i="7" s="1"/>
  <c r="I161" i="7"/>
  <c r="I156" i="7"/>
  <c r="I148" i="7"/>
  <c r="K89" i="21"/>
  <c r="AF21" i="6"/>
  <c r="K658" i="7"/>
  <c r="K672" i="7" s="1"/>
  <c r="K161" i="7"/>
  <c r="K156" i="7"/>
  <c r="K148" i="7"/>
  <c r="M89" i="21"/>
  <c r="AR21" i="6"/>
  <c r="M658" i="7"/>
  <c r="M672" i="7" s="1"/>
  <c r="M161" i="7"/>
  <c r="M156" i="7"/>
  <c r="M148" i="7"/>
  <c r="O89" i="21"/>
  <c r="BD21" i="6"/>
  <c r="O658" i="7"/>
  <c r="O672" i="7" s="1"/>
  <c r="O161" i="7"/>
  <c r="O156" i="7"/>
  <c r="O148" i="7"/>
  <c r="Q89" i="21"/>
  <c r="BP21" i="6"/>
  <c r="Q658" i="7"/>
  <c r="Q672" i="7" s="1"/>
  <c r="Q161" i="7"/>
  <c r="Q156" i="7"/>
  <c r="Q148" i="7"/>
  <c r="S89" i="21"/>
  <c r="CB21" i="6"/>
  <c r="S658" i="7"/>
  <c r="S672" i="7" s="1"/>
  <c r="S161" i="7"/>
  <c r="S156" i="7"/>
  <c r="S148" i="7"/>
  <c r="U89" i="21"/>
  <c r="CN21" i="6"/>
  <c r="U658" i="7"/>
  <c r="U672" i="7" s="1"/>
  <c r="U161" i="7"/>
  <c r="U156" i="7"/>
  <c r="U148" i="7"/>
  <c r="W89" i="21"/>
  <c r="CZ21" i="6"/>
  <c r="W658" i="7"/>
  <c r="W672" i="7" s="1"/>
  <c r="W161" i="7"/>
  <c r="W156" i="7"/>
  <c r="W148" i="7"/>
  <c r="Y89" i="21"/>
  <c r="DL21" i="6"/>
  <c r="Y658" i="7"/>
  <c r="Y672" i="7" s="1"/>
  <c r="Y161" i="7"/>
  <c r="Y171" i="7" s="1"/>
  <c r="Y148" i="7"/>
  <c r="AA89" i="21"/>
  <c r="D222" i="2"/>
  <c r="DX21" i="6"/>
  <c r="AA658" i="7"/>
  <c r="AA672" i="7" s="1"/>
  <c r="AA148" i="7"/>
  <c r="H81" i="21"/>
  <c r="N23" i="6"/>
  <c r="H693" i="7"/>
  <c r="H625" i="7"/>
  <c r="H636" i="7" s="1"/>
  <c r="H211" i="7"/>
  <c r="H244" i="7"/>
  <c r="H223" i="7"/>
  <c r="J81" i="21"/>
  <c r="Z23" i="6"/>
  <c r="J693" i="7"/>
  <c r="J625" i="7"/>
  <c r="J636" i="7" s="1"/>
  <c r="J211" i="7"/>
  <c r="J244" i="7"/>
  <c r="J223" i="7"/>
  <c r="L81" i="21"/>
  <c r="AL23" i="6"/>
  <c r="L693" i="7"/>
  <c r="L625" i="7"/>
  <c r="L636" i="7" s="1"/>
  <c r="L211" i="7"/>
  <c r="L244" i="7"/>
  <c r="L223" i="7"/>
  <c r="N81" i="21"/>
  <c r="AX23" i="6"/>
  <c r="N693" i="7"/>
  <c r="N625" i="7"/>
  <c r="N636" i="7" s="1"/>
  <c r="N211" i="7"/>
  <c r="N244" i="7"/>
  <c r="N223" i="7"/>
  <c r="P81" i="21"/>
  <c r="BJ23" i="6"/>
  <c r="P693" i="7"/>
  <c r="P625" i="7"/>
  <c r="P636" i="7" s="1"/>
  <c r="P211" i="7"/>
  <c r="P244" i="7"/>
  <c r="P223" i="7"/>
  <c r="R81" i="21"/>
  <c r="BV23" i="6"/>
  <c r="R693" i="7"/>
  <c r="R625" i="7"/>
  <c r="R636" i="7" s="1"/>
  <c r="R211" i="7"/>
  <c r="R244" i="7"/>
  <c r="R223" i="7"/>
  <c r="T81" i="21"/>
  <c r="CH23" i="6"/>
  <c r="T693" i="7"/>
  <c r="T625" i="7"/>
  <c r="T636" i="7" s="1"/>
  <c r="T211" i="7"/>
  <c r="T244" i="7"/>
  <c r="T223" i="7"/>
  <c r="V81" i="21"/>
  <c r="CT23" i="6"/>
  <c r="V693" i="7"/>
  <c r="V625" i="7"/>
  <c r="V636" i="7" s="1"/>
  <c r="V211" i="7"/>
  <c r="V244" i="7"/>
  <c r="V223" i="7"/>
  <c r="X81" i="21"/>
  <c r="DF23" i="6"/>
  <c r="X693" i="7"/>
  <c r="X625" i="7"/>
  <c r="X636" i="7" s="1"/>
  <c r="X223" i="7"/>
  <c r="Z81" i="21"/>
  <c r="C214" i="2"/>
  <c r="AT214" i="2" s="1"/>
  <c r="DR23" i="6"/>
  <c r="Z693" i="7"/>
  <c r="Z625" i="7"/>
  <c r="Z636" i="7" s="1"/>
  <c r="AB81" i="21"/>
  <c r="ED23" i="6"/>
  <c r="AB693" i="7"/>
  <c r="BC693" i="7" s="1"/>
  <c r="AB625" i="7"/>
  <c r="AB636" i="7" s="1"/>
  <c r="H30" i="6"/>
  <c r="G753" i="7"/>
  <c r="G221" i="7"/>
  <c r="T30" i="6"/>
  <c r="I753" i="7"/>
  <c r="I221" i="7"/>
  <c r="I209" i="7"/>
  <c r="AF30" i="6"/>
  <c r="K753" i="7"/>
  <c r="K221" i="7"/>
  <c r="K209" i="7"/>
  <c r="AR30" i="6"/>
  <c r="M753" i="7"/>
  <c r="M221" i="7"/>
  <c r="M209" i="7"/>
  <c r="BD30" i="6"/>
  <c r="O753" i="7"/>
  <c r="O221" i="7"/>
  <c r="O209" i="7"/>
  <c r="BP30" i="6"/>
  <c r="Q753" i="7"/>
  <c r="Q221" i="7"/>
  <c r="Q209" i="7"/>
  <c r="CB30" i="6"/>
  <c r="S753" i="7"/>
  <c r="S221" i="7"/>
  <c r="S209" i="7"/>
  <c r="CN30" i="6"/>
  <c r="U753" i="7"/>
  <c r="U221" i="7"/>
  <c r="V209" i="7"/>
  <c r="CZ30" i="6"/>
  <c r="W753" i="7"/>
  <c r="W221" i="7"/>
  <c r="X209" i="7"/>
  <c r="DL30" i="6"/>
  <c r="Y753" i="7"/>
  <c r="Y221" i="7"/>
  <c r="Z209" i="7"/>
  <c r="DX30" i="6"/>
  <c r="AA753" i="7"/>
  <c r="AB209" i="7"/>
  <c r="BC209" i="7" s="1"/>
  <c r="N26" i="6"/>
  <c r="H278" i="7"/>
  <c r="H264" i="7"/>
  <c r="Z26" i="6"/>
  <c r="J278" i="7"/>
  <c r="J264" i="7"/>
  <c r="AL26" i="6"/>
  <c r="L278" i="7"/>
  <c r="L264" i="7"/>
  <c r="AX26" i="6"/>
  <c r="N278" i="7"/>
  <c r="N264" i="7"/>
  <c r="BJ26" i="6"/>
  <c r="P278" i="7"/>
  <c r="P264" i="7"/>
  <c r="BV26" i="6"/>
  <c r="R278" i="7"/>
  <c r="R264" i="7"/>
  <c r="CH26" i="6"/>
  <c r="T278" i="7"/>
  <c r="T264" i="7"/>
  <c r="CT26" i="6"/>
  <c r="V278" i="7"/>
  <c r="V264" i="7"/>
  <c r="DF26" i="6"/>
  <c r="X264" i="7"/>
  <c r="DR26" i="6"/>
  <c r="Z264" i="7"/>
  <c r="ED26" i="6"/>
  <c r="AB264" i="7"/>
  <c r="BC264" i="7" s="1"/>
  <c r="H25" i="6"/>
  <c r="G694" i="7"/>
  <c r="G253" i="7"/>
  <c r="G277" i="7"/>
  <c r="I83" i="21"/>
  <c r="T25" i="6"/>
  <c r="I694" i="7"/>
  <c r="I263" i="7"/>
  <c r="I253" i="7"/>
  <c r="I277" i="7"/>
  <c r="K83" i="21"/>
  <c r="AF25" i="6"/>
  <c r="K694" i="7"/>
  <c r="K263" i="7"/>
  <c r="K253" i="7"/>
  <c r="K277" i="7"/>
  <c r="M83" i="21"/>
  <c r="AR25" i="6"/>
  <c r="M694" i="7"/>
  <c r="M263" i="7"/>
  <c r="M253" i="7"/>
  <c r="M277" i="7"/>
  <c r="O83" i="21"/>
  <c r="BD25" i="6"/>
  <c r="O694" i="7"/>
  <c r="O263" i="7"/>
  <c r="O253" i="7"/>
  <c r="O277" i="7"/>
  <c r="Q83" i="21"/>
  <c r="BP25" i="6"/>
  <c r="Q694" i="7"/>
  <c r="Q263" i="7"/>
  <c r="Q253" i="7"/>
  <c r="Q277" i="7"/>
  <c r="S83" i="21"/>
  <c r="CB25" i="6"/>
  <c r="S694" i="7"/>
  <c r="S263" i="7"/>
  <c r="S253" i="7"/>
  <c r="S277" i="7"/>
  <c r="U83" i="21"/>
  <c r="CN25" i="6"/>
  <c r="U694" i="7"/>
  <c r="U263" i="7"/>
  <c r="U253" i="7"/>
  <c r="U277" i="7"/>
  <c r="W83" i="21"/>
  <c r="CZ25" i="6"/>
  <c r="W694" i="7"/>
  <c r="W263" i="7"/>
  <c r="W253" i="7"/>
  <c r="W277" i="7"/>
  <c r="Y83" i="21"/>
  <c r="DL25" i="6"/>
  <c r="Y694" i="7"/>
  <c r="Y263" i="7"/>
  <c r="AA83" i="21"/>
  <c r="D216" i="2"/>
  <c r="DX25" i="6"/>
  <c r="AA694" i="7"/>
  <c r="H88" i="21"/>
  <c r="N32" i="6"/>
  <c r="H657" i="7"/>
  <c r="H671" i="7" s="1"/>
  <c r="H313" i="7"/>
  <c r="H306" i="7"/>
  <c r="J88" i="21"/>
  <c r="Z32" i="6"/>
  <c r="J657" i="7"/>
  <c r="J671" i="7" s="1"/>
  <c r="J313" i="7"/>
  <c r="J306" i="7"/>
  <c r="L88" i="21"/>
  <c r="AL32" i="6"/>
  <c r="L657" i="7"/>
  <c r="L671" i="7" s="1"/>
  <c r="L313" i="7"/>
  <c r="L306" i="7"/>
  <c r="N88" i="21"/>
  <c r="AX32" i="6"/>
  <c r="N657" i="7"/>
  <c r="N671" i="7" s="1"/>
  <c r="N313" i="7"/>
  <c r="N306" i="7"/>
  <c r="P88" i="21"/>
  <c r="BJ32" i="6"/>
  <c r="P657" i="7"/>
  <c r="P671" i="7" s="1"/>
  <c r="P313" i="7"/>
  <c r="P306" i="7"/>
  <c r="R88" i="21"/>
  <c r="BV32" i="6"/>
  <c r="R657" i="7"/>
  <c r="R671" i="7" s="1"/>
  <c r="R313" i="7"/>
  <c r="R306" i="7"/>
  <c r="T88" i="21"/>
  <c r="CH32" i="6"/>
  <c r="T657" i="7"/>
  <c r="T671" i="7" s="1"/>
  <c r="T313" i="7"/>
  <c r="T306" i="7"/>
  <c r="V88" i="21"/>
  <c r="CT32" i="6"/>
  <c r="V657" i="7"/>
  <c r="V671" i="7" s="1"/>
  <c r="V313" i="7"/>
  <c r="V306" i="7"/>
  <c r="X88" i="21"/>
  <c r="DF32" i="6"/>
  <c r="X657" i="7"/>
  <c r="X671" i="7" s="1"/>
  <c r="X313" i="7"/>
  <c r="X306" i="7"/>
  <c r="Z88" i="21"/>
  <c r="C221" i="2"/>
  <c r="AT221" i="2" s="1"/>
  <c r="DR32" i="6"/>
  <c r="Z657" i="7"/>
  <c r="Z671" i="7" s="1"/>
  <c r="Z306" i="7"/>
  <c r="AB88" i="21"/>
  <c r="ED32" i="6"/>
  <c r="AB657" i="7"/>
  <c r="AB671" i="7" s="1"/>
  <c r="AB306" i="7"/>
  <c r="BC306" i="7" s="1"/>
  <c r="AD298" i="7"/>
  <c r="AE298" i="7" s="1"/>
  <c r="AF298" i="7" s="1"/>
  <c r="H28" i="6"/>
  <c r="G747" i="7"/>
  <c r="G345" i="7"/>
  <c r="T28" i="6"/>
  <c r="I747" i="7"/>
  <c r="I336" i="7"/>
  <c r="I345" i="7"/>
  <c r="AF28" i="6"/>
  <c r="K747" i="7"/>
  <c r="K336" i="7"/>
  <c r="K345" i="7"/>
  <c r="AR28" i="6"/>
  <c r="M747" i="7"/>
  <c r="M336" i="7"/>
  <c r="M345" i="7"/>
  <c r="BD28" i="6"/>
  <c r="O747" i="7"/>
  <c r="O336" i="7"/>
  <c r="O345" i="7"/>
  <c r="BP28" i="6"/>
  <c r="Q747" i="7"/>
  <c r="Q336" i="7"/>
  <c r="Q345" i="7"/>
  <c r="CB28" i="6"/>
  <c r="S747" i="7"/>
  <c r="S336" i="7"/>
  <c r="S345" i="7"/>
  <c r="CN28" i="6"/>
  <c r="U747" i="7"/>
  <c r="U336" i="7"/>
  <c r="U345" i="7"/>
  <c r="CZ28" i="6"/>
  <c r="W747" i="7"/>
  <c r="W336" i="7"/>
  <c r="W345" i="7"/>
  <c r="DL28" i="6"/>
  <c r="Y747" i="7"/>
  <c r="Y336" i="7"/>
  <c r="Y345" i="7"/>
  <c r="DX28" i="6"/>
  <c r="AA747" i="7"/>
  <c r="AA336" i="7"/>
  <c r="H111" i="21"/>
  <c r="H656" i="7"/>
  <c r="H670" i="7" s="1"/>
  <c r="H432" i="7"/>
  <c r="H444" i="7"/>
  <c r="H419" i="7"/>
  <c r="J111" i="21"/>
  <c r="J656" i="7"/>
  <c r="J670" i="7" s="1"/>
  <c r="J432" i="7"/>
  <c r="J444" i="7"/>
  <c r="J419" i="7"/>
  <c r="L111" i="21"/>
  <c r="L656" i="7"/>
  <c r="L670" i="7" s="1"/>
  <c r="L432" i="7"/>
  <c r="L444" i="7"/>
  <c r="L419" i="7"/>
  <c r="N111" i="21"/>
  <c r="N656" i="7"/>
  <c r="N670" i="7" s="1"/>
  <c r="N432" i="7"/>
  <c r="N444" i="7"/>
  <c r="N419" i="7"/>
  <c r="P111" i="21"/>
  <c r="P656" i="7"/>
  <c r="P670" i="7" s="1"/>
  <c r="P432" i="7"/>
  <c r="P444" i="7"/>
  <c r="P419" i="7"/>
  <c r="R111" i="21"/>
  <c r="R656" i="7"/>
  <c r="R670" i="7" s="1"/>
  <c r="R432" i="7"/>
  <c r="R444" i="7"/>
  <c r="R419" i="7"/>
  <c r="T111" i="21"/>
  <c r="T656" i="7"/>
  <c r="T670" i="7" s="1"/>
  <c r="T432" i="7"/>
  <c r="T444" i="7"/>
  <c r="T419" i="7"/>
  <c r="V111" i="21"/>
  <c r="V656" i="7"/>
  <c r="V670" i="7" s="1"/>
  <c r="V432" i="7"/>
  <c r="V444" i="7"/>
  <c r="V419" i="7"/>
  <c r="X111" i="21"/>
  <c r="X656" i="7"/>
  <c r="X670" i="7" s="1"/>
  <c r="X444" i="7"/>
  <c r="X419" i="7"/>
  <c r="Z111" i="21"/>
  <c r="C246" i="2"/>
  <c r="AT246" i="2" s="1"/>
  <c r="Z656" i="7"/>
  <c r="Z670" i="7" s="1"/>
  <c r="Z419" i="7"/>
  <c r="AB111" i="21"/>
  <c r="AB656" i="7"/>
  <c r="AB670" i="7" s="1"/>
  <c r="AB419" i="7"/>
  <c r="BC419" i="7" s="1"/>
  <c r="H33" i="6"/>
  <c r="G754" i="7"/>
  <c r="G344" i="7"/>
  <c r="T33" i="6"/>
  <c r="I754" i="7"/>
  <c r="I344" i="7"/>
  <c r="I335" i="7"/>
  <c r="AF33" i="6"/>
  <c r="K754" i="7"/>
  <c r="K344" i="7"/>
  <c r="K335" i="7"/>
  <c r="AR33" i="6"/>
  <c r="M754" i="7"/>
  <c r="M344" i="7"/>
  <c r="M335" i="7"/>
  <c r="BD33" i="6"/>
  <c r="O754" i="7"/>
  <c r="O344" i="7"/>
  <c r="O335" i="7"/>
  <c r="BP33" i="6"/>
  <c r="Q754" i="7"/>
  <c r="Q344" i="7"/>
  <c r="Q335" i="7"/>
  <c r="CB33" i="6"/>
  <c r="S754" i="7"/>
  <c r="S344" i="7"/>
  <c r="S335" i="7"/>
  <c r="CN33" i="6"/>
  <c r="U754" i="7"/>
  <c r="U344" i="7"/>
  <c r="U335" i="7"/>
  <c r="CZ33" i="6"/>
  <c r="W754" i="7"/>
  <c r="W344" i="7"/>
  <c r="W335" i="7"/>
  <c r="DL33" i="6"/>
  <c r="Y754" i="7"/>
  <c r="Y344" i="7"/>
  <c r="Y335" i="7"/>
  <c r="DX33" i="6"/>
  <c r="AA754" i="7"/>
  <c r="AA335" i="7"/>
  <c r="N35" i="6"/>
  <c r="H755" i="7"/>
  <c r="H402" i="7"/>
  <c r="H408" i="7"/>
  <c r="Z35" i="6"/>
  <c r="J755" i="7"/>
  <c r="J402" i="7"/>
  <c r="J408" i="7"/>
  <c r="AL35" i="6"/>
  <c r="L755" i="7"/>
  <c r="L402" i="7"/>
  <c r="L408" i="7"/>
  <c r="AX35" i="6"/>
  <c r="N755" i="7"/>
  <c r="N402" i="7"/>
  <c r="N408" i="7"/>
  <c r="BJ35" i="6"/>
  <c r="P755" i="7"/>
  <c r="P402" i="7"/>
  <c r="P408" i="7"/>
  <c r="BV35" i="6"/>
  <c r="R755" i="7"/>
  <c r="R402" i="7"/>
  <c r="R408" i="7"/>
  <c r="CH35" i="6"/>
  <c r="T755" i="7"/>
  <c r="T402" i="7"/>
  <c r="T408" i="7"/>
  <c r="CT35" i="6"/>
  <c r="V755" i="7"/>
  <c r="V402" i="7"/>
  <c r="V408" i="7"/>
  <c r="DF35" i="6"/>
  <c r="X755" i="7"/>
  <c r="X402" i="7"/>
  <c r="X408" i="7"/>
  <c r="DR35" i="6"/>
  <c r="Z755" i="7"/>
  <c r="Z402" i="7"/>
  <c r="ED35" i="6"/>
  <c r="AB755" i="7"/>
  <c r="BC755" i="7" s="1"/>
  <c r="AB402" i="7"/>
  <c r="BC402" i="7" s="1"/>
  <c r="G482" i="7"/>
  <c r="G630" i="7"/>
  <c r="G641" i="7" s="1"/>
  <c r="G506" i="7"/>
  <c r="G485" i="7"/>
  <c r="I92" i="21"/>
  <c r="I495" i="7"/>
  <c r="I482" i="7"/>
  <c r="I630" i="7"/>
  <c r="I641" i="7" s="1"/>
  <c r="I506" i="7"/>
  <c r="I485" i="7"/>
  <c r="K92" i="21"/>
  <c r="K495" i="7"/>
  <c r="K482" i="7"/>
  <c r="K630" i="7"/>
  <c r="K641" i="7" s="1"/>
  <c r="K506" i="7"/>
  <c r="K485" i="7"/>
  <c r="M92" i="21"/>
  <c r="M495" i="7"/>
  <c r="M482" i="7"/>
  <c r="M630" i="7"/>
  <c r="M641" i="7" s="1"/>
  <c r="M506" i="7"/>
  <c r="M485" i="7"/>
  <c r="O92" i="21"/>
  <c r="O495" i="7"/>
  <c r="O482" i="7"/>
  <c r="O630" i="7"/>
  <c r="O641" i="7" s="1"/>
  <c r="O506" i="7"/>
  <c r="O485" i="7"/>
  <c r="Q92" i="21"/>
  <c r="Q495" i="7"/>
  <c r="Q482" i="7"/>
  <c r="Q630" i="7"/>
  <c r="Q641" i="7" s="1"/>
  <c r="Q506" i="7"/>
  <c r="Q485" i="7"/>
  <c r="S92" i="21"/>
  <c r="S495" i="7"/>
  <c r="S482" i="7"/>
  <c r="S630" i="7"/>
  <c r="S641" i="7" s="1"/>
  <c r="S506" i="7"/>
  <c r="S485" i="7"/>
  <c r="U92" i="21"/>
  <c r="U495" i="7"/>
  <c r="U482" i="7"/>
  <c r="U630" i="7"/>
  <c r="U641" i="7" s="1"/>
  <c r="U506" i="7"/>
  <c r="U485" i="7"/>
  <c r="W92" i="21"/>
  <c r="W495" i="7"/>
  <c r="W482" i="7"/>
  <c r="W630" i="7"/>
  <c r="W641" i="7" s="1"/>
  <c r="W506" i="7"/>
  <c r="W485" i="7"/>
  <c r="Y92" i="21"/>
  <c r="Y495" i="7"/>
  <c r="Y482" i="7"/>
  <c r="Y630" i="7"/>
  <c r="Y506" i="7"/>
  <c r="Y485" i="7"/>
  <c r="AA92" i="21"/>
  <c r="D225" i="2"/>
  <c r="AA495" i="7"/>
  <c r="AA482" i="7"/>
  <c r="AA505" i="7" s="1"/>
  <c r="AA630" i="7"/>
  <c r="AA641" i="7" s="1"/>
  <c r="AA485" i="7"/>
  <c r="AA508" i="7" s="1"/>
  <c r="H97" i="21"/>
  <c r="N41" i="6"/>
  <c r="H695" i="7"/>
  <c r="H503" i="7"/>
  <c r="H492" i="7"/>
  <c r="J97" i="21"/>
  <c r="Z41" i="6"/>
  <c r="J695" i="7"/>
  <c r="J503" i="7"/>
  <c r="J492" i="7"/>
  <c r="L97" i="21"/>
  <c r="AL41" i="6"/>
  <c r="L695" i="7"/>
  <c r="L503" i="7"/>
  <c r="L492" i="7"/>
  <c r="N97" i="21"/>
  <c r="AX41" i="6"/>
  <c r="N695" i="7"/>
  <c r="N503" i="7"/>
  <c r="N492" i="7"/>
  <c r="P97" i="21"/>
  <c r="BJ41" i="6"/>
  <c r="P695" i="7"/>
  <c r="P503" i="7"/>
  <c r="P492" i="7"/>
  <c r="R97" i="21"/>
  <c r="BV41" i="6"/>
  <c r="R695" i="7"/>
  <c r="R503" i="7"/>
  <c r="R492" i="7"/>
  <c r="T97" i="21"/>
  <c r="CH41" i="6"/>
  <c r="T695" i="7"/>
  <c r="T503" i="7"/>
  <c r="T492" i="7"/>
  <c r="V97" i="21"/>
  <c r="CT41" i="6"/>
  <c r="V695" i="7"/>
  <c r="V503" i="7"/>
  <c r="V492" i="7"/>
  <c r="X97" i="21"/>
  <c r="DF41" i="6"/>
  <c r="X695" i="7"/>
  <c r="X503" i="7"/>
  <c r="X492" i="7"/>
  <c r="Z97" i="21"/>
  <c r="C230" i="2"/>
  <c r="AT230" i="2" s="1"/>
  <c r="DR41" i="6"/>
  <c r="Z695" i="7"/>
  <c r="Z503" i="7"/>
  <c r="Z492" i="7"/>
  <c r="AB97" i="21"/>
  <c r="ED41" i="6"/>
  <c r="AB695" i="7"/>
  <c r="BC695" i="7" s="1"/>
  <c r="H44" i="6"/>
  <c r="G759" i="7"/>
  <c r="G507" i="7"/>
  <c r="T44" i="6"/>
  <c r="I759" i="7"/>
  <c r="I507" i="7"/>
  <c r="I496" i="7"/>
  <c r="AF44" i="6"/>
  <c r="K759" i="7"/>
  <c r="K507" i="7"/>
  <c r="K496" i="7"/>
  <c r="AR44" i="6"/>
  <c r="M759" i="7"/>
  <c r="M507" i="7"/>
  <c r="M496" i="7"/>
  <c r="BD44" i="6"/>
  <c r="O759" i="7"/>
  <c r="O507" i="7"/>
  <c r="O496" i="7"/>
  <c r="BP44" i="6"/>
  <c r="Q759" i="7"/>
  <c r="Q507" i="7"/>
  <c r="Q496" i="7"/>
  <c r="CB44" i="6"/>
  <c r="S759" i="7"/>
  <c r="S507" i="7"/>
  <c r="S496" i="7"/>
  <c r="CN44" i="6"/>
  <c r="U759" i="7"/>
  <c r="U507" i="7"/>
  <c r="U496" i="7"/>
  <c r="CZ44" i="6"/>
  <c r="W759" i="7"/>
  <c r="W507" i="7"/>
  <c r="W496" i="7"/>
  <c r="DL44" i="6"/>
  <c r="Y759" i="7"/>
  <c r="Y507" i="7"/>
  <c r="Y496" i="7"/>
  <c r="DX44" i="6"/>
  <c r="AA759" i="7"/>
  <c r="AA496" i="7"/>
  <c r="H113" i="21"/>
  <c r="N42" i="6"/>
  <c r="H504" i="7"/>
  <c r="H696" i="7"/>
  <c r="H493" i="7"/>
  <c r="J113" i="21"/>
  <c r="Z42" i="6"/>
  <c r="J504" i="7"/>
  <c r="J696" i="7"/>
  <c r="J493" i="7"/>
  <c r="L113" i="21"/>
  <c r="AL42" i="6"/>
  <c r="L504" i="7"/>
  <c r="L696" i="7"/>
  <c r="L493" i="7"/>
  <c r="N113" i="21"/>
  <c r="AX42" i="6"/>
  <c r="N504" i="7"/>
  <c r="N696" i="7"/>
  <c r="N493" i="7"/>
  <c r="P113" i="21"/>
  <c r="BJ42" i="6"/>
  <c r="P504" i="7"/>
  <c r="P696" i="7"/>
  <c r="P493" i="7"/>
  <c r="R113" i="21"/>
  <c r="BV42" i="6"/>
  <c r="R504" i="7"/>
  <c r="R696" i="7"/>
  <c r="R493" i="7"/>
  <c r="T113" i="21"/>
  <c r="CH42" i="6"/>
  <c r="T504" i="7"/>
  <c r="T696" i="7"/>
  <c r="T493" i="7"/>
  <c r="V113" i="21"/>
  <c r="CT42" i="6"/>
  <c r="V504" i="7"/>
  <c r="V696" i="7"/>
  <c r="V493" i="7"/>
  <c r="X113" i="21"/>
  <c r="DF42" i="6"/>
  <c r="X504" i="7"/>
  <c r="X696" i="7"/>
  <c r="X493" i="7"/>
  <c r="Z113" i="21"/>
  <c r="C248" i="2"/>
  <c r="AT248" i="2" s="1"/>
  <c r="DR42" i="6"/>
  <c r="Z504" i="7"/>
  <c r="Z696" i="7"/>
  <c r="Z493" i="7"/>
  <c r="AB113" i="21"/>
  <c r="ED42" i="6"/>
  <c r="AB696" i="7"/>
  <c r="BC696" i="7" s="1"/>
  <c r="AB493" i="7"/>
  <c r="BC493" i="7" s="1"/>
  <c r="N47" i="6"/>
  <c r="H760" i="7"/>
  <c r="H548" i="7"/>
  <c r="H554" i="7"/>
  <c r="Z47" i="6"/>
  <c r="J760" i="7"/>
  <c r="J548" i="7"/>
  <c r="J554" i="7"/>
  <c r="AL47" i="6"/>
  <c r="L760" i="7"/>
  <c r="L548" i="7"/>
  <c r="L554" i="7"/>
  <c r="AX47" i="6"/>
  <c r="N760" i="7"/>
  <c r="N548" i="7"/>
  <c r="N554" i="7"/>
  <c r="BJ47" i="6"/>
  <c r="P760" i="7"/>
  <c r="P548" i="7"/>
  <c r="P554" i="7"/>
  <c r="BV47" i="6"/>
  <c r="R760" i="7"/>
  <c r="R548" i="7"/>
  <c r="R554" i="7"/>
  <c r="CH47" i="6"/>
  <c r="T760" i="7"/>
  <c r="T548" i="7"/>
  <c r="T554" i="7"/>
  <c r="CT47" i="6"/>
  <c r="V760" i="7"/>
  <c r="V548" i="7"/>
  <c r="V554" i="7"/>
  <c r="DF47" i="6"/>
  <c r="X760" i="7"/>
  <c r="X548" i="7"/>
  <c r="X554" i="7"/>
  <c r="DR47" i="6"/>
  <c r="Z760" i="7"/>
  <c r="Z548" i="7"/>
  <c r="ED47" i="6"/>
  <c r="AB760" i="7"/>
  <c r="BC760" i="7" s="1"/>
  <c r="AB548" i="7"/>
  <c r="BC548" i="7" s="1"/>
  <c r="H45" i="6"/>
  <c r="G532" i="7"/>
  <c r="G761" i="7"/>
  <c r="T45" i="6"/>
  <c r="I532" i="7"/>
  <c r="I761" i="7"/>
  <c r="I526" i="7"/>
  <c r="AF45" i="6"/>
  <c r="K532" i="7"/>
  <c r="K761" i="7"/>
  <c r="K526" i="7"/>
  <c r="AR45" i="6"/>
  <c r="M532" i="7"/>
  <c r="M761" i="7"/>
  <c r="M526" i="7"/>
  <c r="BD45" i="6"/>
  <c r="O532" i="7"/>
  <c r="O761" i="7"/>
  <c r="O526" i="7"/>
  <c r="BP45" i="6"/>
  <c r="Q532" i="7"/>
  <c r="Q761" i="7"/>
  <c r="Q526" i="7"/>
  <c r="CB45" i="6"/>
  <c r="S532" i="7"/>
  <c r="S761" i="7"/>
  <c r="S526" i="7"/>
  <c r="CN45" i="6"/>
  <c r="U532" i="7"/>
  <c r="U761" i="7"/>
  <c r="U526" i="7"/>
  <c r="CZ45" i="6"/>
  <c r="W532" i="7"/>
  <c r="W761" i="7"/>
  <c r="W526" i="7"/>
  <c r="DL45" i="6"/>
  <c r="Y761" i="7"/>
  <c r="Y526" i="7"/>
  <c r="DX45" i="6"/>
  <c r="AA761" i="7"/>
  <c r="AA526" i="7"/>
  <c r="H95" i="21"/>
  <c r="H607" i="7"/>
  <c r="H606" i="7"/>
  <c r="I602" i="7"/>
  <c r="J95" i="21"/>
  <c r="J607" i="7"/>
  <c r="J606" i="7"/>
  <c r="K602" i="7"/>
  <c r="L95" i="21"/>
  <c r="L607" i="7"/>
  <c r="L606" i="7"/>
  <c r="M602" i="7"/>
  <c r="N95" i="21"/>
  <c r="N607" i="7"/>
  <c r="N606" i="7"/>
  <c r="O602" i="7"/>
  <c r="O143" i="7" s="1"/>
  <c r="P95" i="21"/>
  <c r="P607" i="7"/>
  <c r="P606" i="7"/>
  <c r="Q602" i="7"/>
  <c r="R95" i="21"/>
  <c r="R607" i="7"/>
  <c r="R606" i="7"/>
  <c r="S602" i="7"/>
  <c r="S143" i="7" s="1"/>
  <c r="T95" i="21"/>
  <c r="T607" i="7"/>
  <c r="T606" i="7"/>
  <c r="U602" i="7"/>
  <c r="V95" i="21"/>
  <c r="V607" i="7"/>
  <c r="V606" i="7"/>
  <c r="W602" i="7"/>
  <c r="W143" i="7" s="1"/>
  <c r="X95" i="21"/>
  <c r="Z95" i="21"/>
  <c r="C228" i="2"/>
  <c r="AT228" i="2" s="1"/>
  <c r="AB95" i="21"/>
  <c r="BC606" i="7"/>
  <c r="G678" i="7"/>
  <c r="I96" i="21"/>
  <c r="I678" i="7"/>
  <c r="K96" i="21"/>
  <c r="K678" i="7"/>
  <c r="M96" i="21"/>
  <c r="M678" i="7"/>
  <c r="O96" i="21"/>
  <c r="O678" i="7"/>
  <c r="Q96" i="21"/>
  <c r="Q678" i="7"/>
  <c r="S96" i="21"/>
  <c r="S678" i="7"/>
  <c r="U96" i="21"/>
  <c r="U678" i="7"/>
  <c r="W96" i="21"/>
  <c r="W678" i="7"/>
  <c r="Y96" i="21"/>
  <c r="Y687" i="7"/>
  <c r="Y678" i="7"/>
  <c r="AA96" i="21"/>
  <c r="D229" i="2"/>
  <c r="AA687" i="7"/>
  <c r="H642" i="7"/>
  <c r="J642" i="7"/>
  <c r="L642" i="7"/>
  <c r="N642" i="7"/>
  <c r="P642" i="7"/>
  <c r="R642" i="7"/>
  <c r="T642" i="7"/>
  <c r="V642" i="7"/>
  <c r="X642" i="7"/>
  <c r="I99" i="21"/>
  <c r="I172" i="7"/>
  <c r="I168" i="7"/>
  <c r="K99" i="21"/>
  <c r="K172" i="7"/>
  <c r="K168" i="7"/>
  <c r="M99" i="21"/>
  <c r="M172" i="7"/>
  <c r="M168" i="7"/>
  <c r="O99" i="21"/>
  <c r="O172" i="7"/>
  <c r="O168" i="7"/>
  <c r="Q99" i="21"/>
  <c r="Q172" i="7"/>
  <c r="Q168" i="7"/>
  <c r="S99" i="21"/>
  <c r="S172" i="7"/>
  <c r="S168" i="7"/>
  <c r="U99" i="21"/>
  <c r="U172" i="7"/>
  <c r="U168" i="7"/>
  <c r="W99" i="21"/>
  <c r="W172" i="7"/>
  <c r="W168" i="7"/>
  <c r="Y99" i="21"/>
  <c r="Y168" i="7"/>
  <c r="AA99" i="21"/>
  <c r="D232" i="2"/>
  <c r="AA168" i="7"/>
  <c r="L8" i="6"/>
  <c r="H92" i="7"/>
  <c r="H107" i="7"/>
  <c r="H98" i="7"/>
  <c r="H89" i="7"/>
  <c r="X8" i="6"/>
  <c r="J92" i="7"/>
  <c r="J107" i="7"/>
  <c r="J98" i="7"/>
  <c r="J89" i="7"/>
  <c r="AJ8" i="6"/>
  <c r="L92" i="7"/>
  <c r="L107" i="7"/>
  <c r="L98" i="7"/>
  <c r="L89" i="7"/>
  <c r="AV8" i="6"/>
  <c r="N92" i="7"/>
  <c r="N107" i="7"/>
  <c r="N98" i="7"/>
  <c r="N89" i="7"/>
  <c r="BH8" i="6"/>
  <c r="P92" i="7"/>
  <c r="P107" i="7"/>
  <c r="P98" i="7"/>
  <c r="P89" i="7"/>
  <c r="BT8" i="6"/>
  <c r="R92" i="7"/>
  <c r="R107" i="7"/>
  <c r="R98" i="7"/>
  <c r="R89" i="7"/>
  <c r="CF8" i="6"/>
  <c r="T92" i="7"/>
  <c r="T107" i="7"/>
  <c r="T98" i="7"/>
  <c r="T89" i="7"/>
  <c r="CR8" i="6"/>
  <c r="V92" i="7"/>
  <c r="V107" i="7"/>
  <c r="V98" i="7"/>
  <c r="V89" i="7"/>
  <c r="DD8" i="6"/>
  <c r="X92" i="7"/>
  <c r="X107" i="7"/>
  <c r="X98" i="7"/>
  <c r="X89" i="7"/>
  <c r="DP8" i="6"/>
  <c r="Z107" i="7"/>
  <c r="Z89" i="7"/>
  <c r="EB8" i="6"/>
  <c r="AB107" i="7"/>
  <c r="AB127" i="7" s="1"/>
  <c r="AB89" i="7"/>
  <c r="BC89" i="7" s="1"/>
  <c r="F9" i="6"/>
  <c r="G75" i="7"/>
  <c r="G27" i="7"/>
  <c r="R9" i="6"/>
  <c r="I75" i="7"/>
  <c r="I27" i="7"/>
  <c r="I18" i="7"/>
  <c r="AD9" i="6"/>
  <c r="K75" i="7"/>
  <c r="K27" i="7"/>
  <c r="K18" i="7"/>
  <c r="AP9" i="6"/>
  <c r="M75" i="7"/>
  <c r="M27" i="7"/>
  <c r="M18" i="7"/>
  <c r="BB9" i="6"/>
  <c r="O75" i="7"/>
  <c r="O27" i="7"/>
  <c r="O18" i="7"/>
  <c r="BN9" i="6"/>
  <c r="Q75" i="7"/>
  <c r="Q27" i="7"/>
  <c r="Q18" i="7"/>
  <c r="BZ9" i="6"/>
  <c r="S75" i="7"/>
  <c r="S27" i="7"/>
  <c r="S18" i="7"/>
  <c r="CL9" i="6"/>
  <c r="U75" i="7"/>
  <c r="U27" i="7"/>
  <c r="U18" i="7"/>
  <c r="CX9" i="6"/>
  <c r="W75" i="7"/>
  <c r="W27" i="7"/>
  <c r="W18" i="7"/>
  <c r="DJ9" i="6"/>
  <c r="Y75" i="7"/>
  <c r="Y18" i="7"/>
  <c r="DV9" i="6"/>
  <c r="AA18" i="7"/>
  <c r="L10" i="6"/>
  <c r="H55" i="7"/>
  <c r="H63" i="7"/>
  <c r="X10" i="6"/>
  <c r="J55" i="7"/>
  <c r="J63" i="7"/>
  <c r="AJ10" i="6"/>
  <c r="L55" i="7"/>
  <c r="L63" i="7"/>
  <c r="AV10" i="6"/>
  <c r="N55" i="7"/>
  <c r="N63" i="7"/>
  <c r="BH10" i="6"/>
  <c r="P55" i="7"/>
  <c r="P63" i="7"/>
  <c r="BT10" i="6"/>
  <c r="R55" i="7"/>
  <c r="R63" i="7"/>
  <c r="CF10" i="6"/>
  <c r="T55" i="7"/>
  <c r="T63" i="7"/>
  <c r="CR10" i="6"/>
  <c r="V55" i="7"/>
  <c r="V63" i="7"/>
  <c r="DD10" i="6"/>
  <c r="X55" i="7"/>
  <c r="DP10" i="6"/>
  <c r="Z55" i="7"/>
  <c r="EB10" i="6"/>
  <c r="AB55" i="7"/>
  <c r="BC55" i="7" s="1"/>
  <c r="F13" i="6"/>
  <c r="G233" i="8"/>
  <c r="G167" i="8"/>
  <c r="I58" i="21"/>
  <c r="R13" i="6"/>
  <c r="I233" i="8"/>
  <c r="I225" i="8"/>
  <c r="G30" i="24" s="1"/>
  <c r="I167" i="8"/>
  <c r="K58" i="21"/>
  <c r="AD13" i="6"/>
  <c r="K233" i="8"/>
  <c r="K225" i="8"/>
  <c r="I30" i="24" s="1"/>
  <c r="K167" i="8"/>
  <c r="M58" i="21"/>
  <c r="AP13" i="6"/>
  <c r="M233" i="8"/>
  <c r="M225" i="8"/>
  <c r="K30" i="24" s="1"/>
  <c r="M167" i="8"/>
  <c r="O58" i="21"/>
  <c r="BB13" i="6"/>
  <c r="O233" i="8"/>
  <c r="O225" i="8"/>
  <c r="M30" i="24" s="1"/>
  <c r="O167" i="8"/>
  <c r="Q58" i="21"/>
  <c r="BN13" i="6"/>
  <c r="Q233" i="8"/>
  <c r="Q225" i="8"/>
  <c r="O30" i="24" s="1"/>
  <c r="Q167" i="8"/>
  <c r="S58" i="21"/>
  <c r="BZ13" i="6"/>
  <c r="S233" i="8"/>
  <c r="S225" i="8"/>
  <c r="Q30" i="24" s="1"/>
  <c r="S167" i="8"/>
  <c r="U58" i="21"/>
  <c r="CL13" i="6"/>
  <c r="U233" i="8"/>
  <c r="U225" i="8"/>
  <c r="S30" i="24" s="1"/>
  <c r="U167" i="8"/>
  <c r="W58" i="21"/>
  <c r="CX13" i="6"/>
  <c r="W233" i="8"/>
  <c r="W225" i="8"/>
  <c r="U30" i="24" s="1"/>
  <c r="W167" i="8"/>
  <c r="Y58" i="21"/>
  <c r="DJ13" i="6"/>
  <c r="Y233" i="8"/>
  <c r="Y225" i="8"/>
  <c r="W30" i="24" s="1"/>
  <c r="Y167" i="8"/>
  <c r="Y258" i="7" s="1"/>
  <c r="AA58" i="21"/>
  <c r="D187" i="2"/>
  <c r="DV13" i="6"/>
  <c r="AA233" i="8"/>
  <c r="AA225" i="8"/>
  <c r="Y30" i="24" s="1"/>
  <c r="AA167" i="8"/>
  <c r="AA258" i="7" s="1"/>
  <c r="H59" i="21"/>
  <c r="L14" i="6"/>
  <c r="H135" i="8"/>
  <c r="J59" i="21"/>
  <c r="X14" i="6"/>
  <c r="J135" i="8"/>
  <c r="L59" i="21"/>
  <c r="AJ14" i="6"/>
  <c r="L135" i="8"/>
  <c r="N59" i="21"/>
  <c r="AV14" i="6"/>
  <c r="N135" i="8"/>
  <c r="P59" i="21"/>
  <c r="BH14" i="6"/>
  <c r="P135" i="8"/>
  <c r="R59" i="21"/>
  <c r="BT14" i="6"/>
  <c r="R135" i="8"/>
  <c r="T59" i="21"/>
  <c r="CF14" i="6"/>
  <c r="T135" i="8"/>
  <c r="V59" i="21"/>
  <c r="CR14" i="6"/>
  <c r="V135" i="8"/>
  <c r="X59" i="21"/>
  <c r="DD14" i="6"/>
  <c r="X135" i="8"/>
  <c r="Z59" i="21"/>
  <c r="C188" i="2"/>
  <c r="AT188" i="2" s="1"/>
  <c r="DP14" i="6"/>
  <c r="Z135" i="8"/>
  <c r="AB59" i="21"/>
  <c r="EB14" i="6"/>
  <c r="AB135" i="8"/>
  <c r="F11" i="6"/>
  <c r="G76" i="7"/>
  <c r="G228" i="8"/>
  <c r="G214" i="8"/>
  <c r="R11" i="6"/>
  <c r="I76" i="7"/>
  <c r="I228" i="8"/>
  <c r="I220" i="8"/>
  <c r="I214" i="8"/>
  <c r="AD11" i="6"/>
  <c r="K76" i="7"/>
  <c r="K228" i="8"/>
  <c r="K220" i="8"/>
  <c r="K214" i="8"/>
  <c r="AP11" i="6"/>
  <c r="M76" i="7"/>
  <c r="M228" i="8"/>
  <c r="M220" i="8"/>
  <c r="M214" i="8"/>
  <c r="BB11" i="6"/>
  <c r="O76" i="7"/>
  <c r="O228" i="8"/>
  <c r="O220" i="8"/>
  <c r="O214" i="8"/>
  <c r="BN11" i="6"/>
  <c r="Q76" i="7"/>
  <c r="Q228" i="8"/>
  <c r="Q220" i="8"/>
  <c r="Q214" i="8"/>
  <c r="BZ11" i="6"/>
  <c r="S76" i="7"/>
  <c r="S228" i="8"/>
  <c r="S220" i="8"/>
  <c r="S214" i="8"/>
  <c r="CL11" i="6"/>
  <c r="U76" i="7"/>
  <c r="U228" i="8"/>
  <c r="U220" i="8"/>
  <c r="U214" i="8"/>
  <c r="CX11" i="6"/>
  <c r="W76" i="7"/>
  <c r="W228" i="8"/>
  <c r="W220" i="8"/>
  <c r="W214" i="8"/>
  <c r="DJ11" i="6"/>
  <c r="Y76" i="7"/>
  <c r="Y228" i="8"/>
  <c r="Y220" i="8"/>
  <c r="Y214" i="8"/>
  <c r="DV11" i="6"/>
  <c r="AA228" i="8"/>
  <c r="AA220" i="8"/>
  <c r="AA214" i="8"/>
  <c r="H63" i="21"/>
  <c r="L30" i="6"/>
  <c r="H207" i="7"/>
  <c r="H230" i="7"/>
  <c r="H219" i="7"/>
  <c r="J63" i="21"/>
  <c r="X30" i="6"/>
  <c r="J207" i="7"/>
  <c r="J230" i="7"/>
  <c r="J219" i="7"/>
  <c r="L63" i="21"/>
  <c r="AJ30" i="6"/>
  <c r="L207" i="7"/>
  <c r="L230" i="7"/>
  <c r="L219" i="7"/>
  <c r="N63" i="21"/>
  <c r="AV30" i="6"/>
  <c r="N207" i="7"/>
  <c r="N230" i="7"/>
  <c r="N219" i="7"/>
  <c r="P63" i="21"/>
  <c r="BH30" i="6"/>
  <c r="P207" i="7"/>
  <c r="P230" i="7"/>
  <c r="P219" i="7"/>
  <c r="R63" i="21"/>
  <c r="BT30" i="6"/>
  <c r="R207" i="7"/>
  <c r="R230" i="7"/>
  <c r="R219" i="7"/>
  <c r="T63" i="21"/>
  <c r="CF30" i="6"/>
  <c r="T207" i="7"/>
  <c r="T230" i="7"/>
  <c r="T219" i="7"/>
  <c r="V63" i="21"/>
  <c r="CR30" i="6"/>
  <c r="V207" i="7"/>
  <c r="V230" i="7"/>
  <c r="V219" i="7"/>
  <c r="X63" i="21"/>
  <c r="DD30" i="6"/>
  <c r="X207" i="7"/>
  <c r="X230" i="7"/>
  <c r="X219" i="7"/>
  <c r="Z63" i="21"/>
  <c r="C192" i="2"/>
  <c r="AT192" i="2" s="1"/>
  <c r="DP30" i="6"/>
  <c r="Z207" i="7"/>
  <c r="AB63" i="21"/>
  <c r="EB30" i="6"/>
  <c r="AB207" i="7"/>
  <c r="F24" i="6"/>
  <c r="G706" i="7"/>
  <c r="G280" i="7"/>
  <c r="R24" i="6"/>
  <c r="I706" i="7"/>
  <c r="I266" i="7"/>
  <c r="I280" i="7"/>
  <c r="AD24" i="6"/>
  <c r="K706" i="7"/>
  <c r="K266" i="7"/>
  <c r="K280" i="7"/>
  <c r="AP24" i="6"/>
  <c r="M706" i="7"/>
  <c r="M266" i="7"/>
  <c r="M280" i="7"/>
  <c r="BB24" i="6"/>
  <c r="O706" i="7"/>
  <c r="O266" i="7"/>
  <c r="O280" i="7"/>
  <c r="BN24" i="6"/>
  <c r="Q706" i="7"/>
  <c r="Q266" i="7"/>
  <c r="Q280" i="7"/>
  <c r="BZ24" i="6"/>
  <c r="S706" i="7"/>
  <c r="S266" i="7"/>
  <c r="S280" i="7"/>
  <c r="CL24" i="6"/>
  <c r="U706" i="7"/>
  <c r="U266" i="7"/>
  <c r="U280" i="7"/>
  <c r="CX24" i="6"/>
  <c r="W706" i="7"/>
  <c r="W266" i="7"/>
  <c r="W280" i="7"/>
  <c r="DJ24" i="6"/>
  <c r="Y706" i="7"/>
  <c r="Y266" i="7"/>
  <c r="DV24" i="6"/>
  <c r="AA706" i="7"/>
  <c r="AA266" i="7"/>
  <c r="L27" i="6"/>
  <c r="H707" i="7"/>
  <c r="H315" i="7"/>
  <c r="H308" i="7"/>
  <c r="X27" i="6"/>
  <c r="J707" i="7"/>
  <c r="J315" i="7"/>
  <c r="J308" i="7"/>
  <c r="AJ27" i="6"/>
  <c r="L707" i="7"/>
  <c r="L315" i="7"/>
  <c r="L308" i="7"/>
  <c r="AV27" i="6"/>
  <c r="N707" i="7"/>
  <c r="N315" i="7"/>
  <c r="N308" i="7"/>
  <c r="BH27" i="6"/>
  <c r="P707" i="7"/>
  <c r="P315" i="7"/>
  <c r="P308" i="7"/>
  <c r="BT27" i="6"/>
  <c r="R707" i="7"/>
  <c r="R315" i="7"/>
  <c r="R308" i="7"/>
  <c r="CF27" i="6"/>
  <c r="T707" i="7"/>
  <c r="T315" i="7"/>
  <c r="T308" i="7"/>
  <c r="CR27" i="6"/>
  <c r="V707" i="7"/>
  <c r="V315" i="7"/>
  <c r="V308" i="7"/>
  <c r="DD27" i="6"/>
  <c r="X707" i="7"/>
  <c r="X315" i="7"/>
  <c r="X308" i="7"/>
  <c r="DP27" i="6"/>
  <c r="Z707" i="7"/>
  <c r="Z308" i="7"/>
  <c r="EB27" i="6"/>
  <c r="AB707" i="7"/>
  <c r="BC707" i="7" s="1"/>
  <c r="AB308" i="7"/>
  <c r="BC308" i="7" s="1"/>
  <c r="F31" i="6"/>
  <c r="E31" i="6" s="1"/>
  <c r="G712" i="7"/>
  <c r="G283" i="7"/>
  <c r="R31" i="6"/>
  <c r="I712" i="7"/>
  <c r="I283" i="7"/>
  <c r="I269" i="7"/>
  <c r="AD31" i="6"/>
  <c r="K712" i="7"/>
  <c r="K283" i="7"/>
  <c r="K269" i="7"/>
  <c r="AP31" i="6"/>
  <c r="M712" i="7"/>
  <c r="M283" i="7"/>
  <c r="M269" i="7"/>
  <c r="BB31" i="6"/>
  <c r="O712" i="7"/>
  <c r="O283" i="7"/>
  <c r="O269" i="7"/>
  <c r="BN31" i="6"/>
  <c r="Q712" i="7"/>
  <c r="Q283" i="7"/>
  <c r="Q269" i="7"/>
  <c r="BZ31" i="6"/>
  <c r="S712" i="7"/>
  <c r="S283" i="7"/>
  <c r="S269" i="7"/>
  <c r="CL31" i="6"/>
  <c r="U712" i="7"/>
  <c r="U283" i="7"/>
  <c r="U269" i="7"/>
  <c r="CX31" i="6"/>
  <c r="W712" i="7"/>
  <c r="W283" i="7"/>
  <c r="W269" i="7"/>
  <c r="DJ31" i="6"/>
  <c r="Y712" i="7"/>
  <c r="DV31" i="6"/>
  <c r="AA712" i="7"/>
  <c r="L32" i="6"/>
  <c r="H713" i="7"/>
  <c r="H311" i="7"/>
  <c r="H304" i="7"/>
  <c r="X32" i="6"/>
  <c r="J713" i="7"/>
  <c r="J311" i="7"/>
  <c r="J304" i="7"/>
  <c r="AJ32" i="6"/>
  <c r="L713" i="7"/>
  <c r="L311" i="7"/>
  <c r="L304" i="7"/>
  <c r="AV32" i="6"/>
  <c r="N713" i="7"/>
  <c r="N311" i="7"/>
  <c r="N304" i="7"/>
  <c r="BH32" i="6"/>
  <c r="P713" i="7"/>
  <c r="P311" i="7"/>
  <c r="P304" i="7"/>
  <c r="BT32" i="6"/>
  <c r="R713" i="7"/>
  <c r="R311" i="7"/>
  <c r="R304" i="7"/>
  <c r="CF32" i="6"/>
  <c r="T713" i="7"/>
  <c r="T311" i="7"/>
  <c r="T304" i="7"/>
  <c r="CR32" i="6"/>
  <c r="V713" i="7"/>
  <c r="V311" i="7"/>
  <c r="V304" i="7"/>
  <c r="DD32" i="6"/>
  <c r="X713" i="7"/>
  <c r="X311" i="7"/>
  <c r="X304" i="7"/>
  <c r="DP32" i="6"/>
  <c r="Z713" i="7"/>
  <c r="Z304" i="7"/>
  <c r="EB32" i="6"/>
  <c r="AB713" i="7"/>
  <c r="BC713" i="7" s="1"/>
  <c r="AB304" i="7"/>
  <c r="BC304" i="7" s="1"/>
  <c r="F28" i="6"/>
  <c r="G708" i="7"/>
  <c r="G341" i="7"/>
  <c r="R28" i="6"/>
  <c r="I708" i="7"/>
  <c r="I332" i="7"/>
  <c r="I341" i="7"/>
  <c r="AD28" i="6"/>
  <c r="K708" i="7"/>
  <c r="K332" i="7"/>
  <c r="K341" i="7"/>
  <c r="AP28" i="6"/>
  <c r="M708" i="7"/>
  <c r="M332" i="7"/>
  <c r="M341" i="7"/>
  <c r="BB28" i="6"/>
  <c r="O708" i="7"/>
  <c r="O332" i="7"/>
  <c r="O341" i="7"/>
  <c r="BN28" i="6"/>
  <c r="Q708" i="7"/>
  <c r="Q332" i="7"/>
  <c r="Q341" i="7"/>
  <c r="BZ28" i="6"/>
  <c r="S708" i="7"/>
  <c r="S332" i="7"/>
  <c r="S341" i="7"/>
  <c r="CL28" i="6"/>
  <c r="U708" i="7"/>
  <c r="U332" i="7"/>
  <c r="U341" i="7"/>
  <c r="CX28" i="6"/>
  <c r="W708" i="7"/>
  <c r="W332" i="7"/>
  <c r="W341" i="7"/>
  <c r="DJ28" i="6"/>
  <c r="Y708" i="7"/>
  <c r="Y332" i="7"/>
  <c r="Y341" i="7"/>
  <c r="DV28" i="6"/>
  <c r="AA708" i="7"/>
  <c r="AA332" i="7"/>
  <c r="L33" i="6"/>
  <c r="H714" i="7"/>
  <c r="H340" i="7"/>
  <c r="H331" i="7"/>
  <c r="X33" i="6"/>
  <c r="J714" i="7"/>
  <c r="J340" i="7"/>
  <c r="J331" i="7"/>
  <c r="AJ33" i="6"/>
  <c r="L714" i="7"/>
  <c r="L340" i="7"/>
  <c r="L331" i="7"/>
  <c r="AV33" i="6"/>
  <c r="N714" i="7"/>
  <c r="N340" i="7"/>
  <c r="N331" i="7"/>
  <c r="BH33" i="6"/>
  <c r="P714" i="7"/>
  <c r="P340" i="7"/>
  <c r="P331" i="7"/>
  <c r="BT33" i="6"/>
  <c r="R714" i="7"/>
  <c r="R340" i="7"/>
  <c r="R331" i="7"/>
  <c r="CF33" i="6"/>
  <c r="T714" i="7"/>
  <c r="T340" i="7"/>
  <c r="T331" i="7"/>
  <c r="CR33" i="6"/>
  <c r="V714" i="7"/>
  <c r="V340" i="7"/>
  <c r="V331" i="7"/>
  <c r="DD33" i="6"/>
  <c r="X714" i="7"/>
  <c r="X340" i="7"/>
  <c r="X331" i="7"/>
  <c r="DP33" i="6"/>
  <c r="Z714" i="7"/>
  <c r="Z331" i="7"/>
  <c r="EB33" i="6"/>
  <c r="AB714" i="7"/>
  <c r="BC714" i="7" s="1"/>
  <c r="AB331" i="7"/>
  <c r="BD331" i="7" s="1"/>
  <c r="F35" i="6"/>
  <c r="G406" i="7"/>
  <c r="G397" i="7"/>
  <c r="I65" i="21"/>
  <c r="R35" i="6"/>
  <c r="I406" i="7"/>
  <c r="I397" i="7"/>
  <c r="I400" i="7"/>
  <c r="K65" i="21"/>
  <c r="AD35" i="6"/>
  <c r="K406" i="7"/>
  <c r="K397" i="7"/>
  <c r="K400" i="7"/>
  <c r="M65" i="21"/>
  <c r="AP35" i="6"/>
  <c r="M406" i="7"/>
  <c r="M397" i="7"/>
  <c r="M400" i="7"/>
  <c r="O65" i="21"/>
  <c r="BB35" i="6"/>
  <c r="O406" i="7"/>
  <c r="O397" i="7"/>
  <c r="O400" i="7"/>
  <c r="Q65" i="21"/>
  <c r="BN35" i="6"/>
  <c r="Q406" i="7"/>
  <c r="Q397" i="7"/>
  <c r="Q400" i="7"/>
  <c r="S65" i="21"/>
  <c r="BZ35" i="6"/>
  <c r="S406" i="7"/>
  <c r="S397" i="7"/>
  <c r="S400" i="7"/>
  <c r="U65" i="21"/>
  <c r="CL35" i="6"/>
  <c r="U406" i="7"/>
  <c r="U397" i="7"/>
  <c r="U400" i="7"/>
  <c r="W65" i="21"/>
  <c r="CX35" i="6"/>
  <c r="W406" i="7"/>
  <c r="W397" i="7"/>
  <c r="W400" i="7"/>
  <c r="Y65" i="21"/>
  <c r="DJ35" i="6"/>
  <c r="Y406" i="7"/>
  <c r="Y397" i="7"/>
  <c r="Y400" i="7"/>
  <c r="AA65" i="21"/>
  <c r="D194" i="2"/>
  <c r="DV35" i="6"/>
  <c r="AA397" i="7"/>
  <c r="AA400" i="7"/>
  <c r="L45" i="6"/>
  <c r="H524" i="7"/>
  <c r="H724" i="7"/>
  <c r="H530" i="7"/>
  <c r="X45" i="6"/>
  <c r="J524" i="7"/>
  <c r="J724" i="7"/>
  <c r="J530" i="7"/>
  <c r="AJ45" i="6"/>
  <c r="L524" i="7"/>
  <c r="L724" i="7"/>
  <c r="L530" i="7"/>
  <c r="AV45" i="6"/>
  <c r="N524" i="7"/>
  <c r="N724" i="7"/>
  <c r="N530" i="7"/>
  <c r="BH45" i="6"/>
  <c r="P524" i="7"/>
  <c r="P724" i="7"/>
  <c r="P530" i="7"/>
  <c r="BT45" i="6"/>
  <c r="R524" i="7"/>
  <c r="R724" i="7"/>
  <c r="R530" i="7"/>
  <c r="CF45" i="6"/>
  <c r="T524" i="7"/>
  <c r="T724" i="7"/>
  <c r="T530" i="7"/>
  <c r="CR45" i="6"/>
  <c r="V524" i="7"/>
  <c r="V724" i="7"/>
  <c r="V530" i="7"/>
  <c r="DD45" i="6"/>
  <c r="X524" i="7"/>
  <c r="X724" i="7"/>
  <c r="DP45" i="6"/>
  <c r="Z524" i="7"/>
  <c r="Z724" i="7"/>
  <c r="EB45" i="6"/>
  <c r="AB524" i="7"/>
  <c r="BC524" i="7" s="1"/>
  <c r="AB724" i="7"/>
  <c r="BC724" i="7" s="1"/>
  <c r="H40" i="8"/>
  <c r="J40" i="8"/>
  <c r="L40" i="8"/>
  <c r="N40" i="8"/>
  <c r="P40" i="8"/>
  <c r="R40" i="8"/>
  <c r="T40" i="8"/>
  <c r="V40" i="8"/>
  <c r="X40" i="8"/>
  <c r="I57" i="21"/>
  <c r="I92" i="8"/>
  <c r="G44" i="24" s="1"/>
  <c r="K57" i="21"/>
  <c r="K92" i="8"/>
  <c r="I44" i="24" s="1"/>
  <c r="M57" i="21"/>
  <c r="M92" i="8"/>
  <c r="K44" i="24" s="1"/>
  <c r="O57" i="21"/>
  <c r="O92" i="8"/>
  <c r="M44" i="24" s="1"/>
  <c r="Q57" i="21"/>
  <c r="Q92" i="8"/>
  <c r="O44" i="24" s="1"/>
  <c r="S57" i="21"/>
  <c r="S92" i="8"/>
  <c r="Q44" i="24" s="1"/>
  <c r="U57" i="21"/>
  <c r="U92" i="8"/>
  <c r="S44" i="24" s="1"/>
  <c r="W57" i="21"/>
  <c r="W92" i="8"/>
  <c r="U44" i="24" s="1"/>
  <c r="Y57" i="21"/>
  <c r="Y92" i="8"/>
  <c r="W44" i="24" s="1"/>
  <c r="AA57" i="21"/>
  <c r="D185" i="2"/>
  <c r="AU185" i="2" s="1"/>
  <c r="AA92" i="8"/>
  <c r="Y44" i="24" s="1"/>
  <c r="O308" i="17"/>
  <c r="P303" i="17"/>
  <c r="W308" i="17"/>
  <c r="X303" i="17"/>
  <c r="AE308" i="17"/>
  <c r="AF303" i="17"/>
  <c r="AM308" i="17"/>
  <c r="AN303" i="17"/>
  <c r="AU308" i="17"/>
  <c r="AV303" i="17"/>
  <c r="BC308" i="17"/>
  <c r="BD303" i="17"/>
  <c r="BK308" i="17"/>
  <c r="BL303" i="17"/>
  <c r="BS308" i="17"/>
  <c r="BT303" i="17"/>
  <c r="CA308" i="17"/>
  <c r="CB303" i="17"/>
  <c r="CI308" i="17"/>
  <c r="CJ303" i="17"/>
  <c r="G70" i="17"/>
  <c r="G71" i="17"/>
  <c r="I70" i="17"/>
  <c r="I71" i="17"/>
  <c r="K70" i="17"/>
  <c r="K71" i="17"/>
  <c r="M70" i="17"/>
  <c r="M71" i="17"/>
  <c r="O70" i="17"/>
  <c r="O71" i="17"/>
  <c r="Q70" i="17"/>
  <c r="Q71" i="17"/>
  <c r="S70" i="17"/>
  <c r="S71" i="17"/>
  <c r="U70" i="17"/>
  <c r="U71" i="17"/>
  <c r="W70" i="17"/>
  <c r="W71" i="17"/>
  <c r="Y70" i="17"/>
  <c r="Y71" i="17"/>
  <c r="AA70" i="17"/>
  <c r="AA71" i="17"/>
  <c r="AC70" i="17"/>
  <c r="AC71" i="17"/>
  <c r="AE70" i="17"/>
  <c r="AE71" i="17"/>
  <c r="AG70" i="17"/>
  <c r="AG71" i="17"/>
  <c r="AI70" i="17"/>
  <c r="AI71" i="17"/>
  <c r="AK70" i="17"/>
  <c r="AK71" i="17"/>
  <c r="AM70" i="17"/>
  <c r="AM71" i="17"/>
  <c r="AO70" i="17"/>
  <c r="AO71" i="17"/>
  <c r="AQ70" i="17"/>
  <c r="AQ71" i="17"/>
  <c r="AS70" i="17"/>
  <c r="AS71" i="17"/>
  <c r="AU70" i="17"/>
  <c r="AU71" i="17"/>
  <c r="AW70" i="17"/>
  <c r="AW71" i="17"/>
  <c r="AY70" i="17"/>
  <c r="AY71" i="17"/>
  <c r="BA70" i="17"/>
  <c r="BA71" i="17"/>
  <c r="BC70" i="17"/>
  <c r="BC71" i="17"/>
  <c r="BE70" i="17"/>
  <c r="BE71" i="17"/>
  <c r="BG70" i="17"/>
  <c r="BG71" i="17"/>
  <c r="BI70" i="17"/>
  <c r="BI71" i="17"/>
  <c r="BK70" i="17"/>
  <c r="BK71" i="17"/>
  <c r="BM70" i="17"/>
  <c r="BM71" i="17"/>
  <c r="BO70" i="17"/>
  <c r="BO71" i="17"/>
  <c r="BQ70" i="17"/>
  <c r="BQ71" i="17"/>
  <c r="BS70" i="17"/>
  <c r="BS71" i="17"/>
  <c r="BU70" i="17"/>
  <c r="BU71" i="17"/>
  <c r="BW70" i="17"/>
  <c r="BW71" i="17"/>
  <c r="CA92" i="17" s="1"/>
  <c r="BY70" i="17"/>
  <c r="BY71" i="17"/>
  <c r="CC70" i="17"/>
  <c r="CC71" i="17"/>
  <c r="CG92" i="17" s="1"/>
  <c r="CE92" i="17"/>
  <c r="CG94" i="17"/>
  <c r="CG87" i="17"/>
  <c r="CG86" i="17" s="1"/>
  <c r="CG8" i="17" s="1"/>
  <c r="CD14" i="22" s="1"/>
  <c r="CI92" i="17"/>
  <c r="CL72" i="17"/>
  <c r="CO93" i="17" s="1"/>
  <c r="CK94" i="17"/>
  <c r="CK92" i="17"/>
  <c r="CK87" i="17"/>
  <c r="CK86" i="17" s="1"/>
  <c r="CK8" i="17" s="1"/>
  <c r="CH14" i="22" s="1"/>
  <c r="CP72" i="17"/>
  <c r="CM92" i="17"/>
  <c r="CM87" i="17"/>
  <c r="CM86" i="17" s="1"/>
  <c r="CM8" i="17" s="1"/>
  <c r="CO94" i="17"/>
  <c r="CO92" i="17"/>
  <c r="CO87" i="17"/>
  <c r="CO86" i="17" s="1"/>
  <c r="CO8" i="17" s="1"/>
  <c r="G142" i="17"/>
  <c r="G134" i="17"/>
  <c r="J125" i="17"/>
  <c r="I142" i="17"/>
  <c r="I134" i="17"/>
  <c r="I10" i="17" s="1"/>
  <c r="I129" i="17"/>
  <c r="K142" i="17"/>
  <c r="K134" i="17"/>
  <c r="K10" i="17" s="1"/>
  <c r="H16" i="22" s="1"/>
  <c r="K129" i="17"/>
  <c r="N125" i="17"/>
  <c r="M142" i="17"/>
  <c r="M134" i="17"/>
  <c r="M10" i="17" s="1"/>
  <c r="J16" i="22" s="1"/>
  <c r="M129" i="17"/>
  <c r="O142" i="17"/>
  <c r="O134" i="17"/>
  <c r="O10" i="17" s="1"/>
  <c r="L16" i="22" s="1"/>
  <c r="O129" i="17"/>
  <c r="R125" i="17"/>
  <c r="Q142" i="17"/>
  <c r="Q134" i="17"/>
  <c r="Q10" i="17" s="1"/>
  <c r="N16" i="22" s="1"/>
  <c r="Q129" i="17"/>
  <c r="S142" i="17"/>
  <c r="S134" i="17"/>
  <c r="S10" i="17" s="1"/>
  <c r="P16" i="22" s="1"/>
  <c r="S129" i="17"/>
  <c r="V125" i="17"/>
  <c r="U142" i="17"/>
  <c r="U134" i="17"/>
  <c r="U10" i="17" s="1"/>
  <c r="R16" i="22" s="1"/>
  <c r="U129" i="17"/>
  <c r="W142" i="17"/>
  <c r="W134" i="17"/>
  <c r="W10" i="17" s="1"/>
  <c r="T16" i="22" s="1"/>
  <c r="W129" i="17"/>
  <c r="Z125" i="17"/>
  <c r="Y142" i="17"/>
  <c r="Y134" i="17"/>
  <c r="Y10" i="17" s="1"/>
  <c r="V16" i="22" s="1"/>
  <c r="Y129" i="17"/>
  <c r="AA142" i="17"/>
  <c r="AA134" i="17"/>
  <c r="AA10" i="17" s="1"/>
  <c r="X16" i="22" s="1"/>
  <c r="AA129" i="17"/>
  <c r="AD125" i="17"/>
  <c r="AC142" i="17"/>
  <c r="AC134" i="17"/>
  <c r="AC10" i="17" s="1"/>
  <c r="Z16" i="22" s="1"/>
  <c r="AC129" i="17"/>
  <c r="AE142" i="17"/>
  <c r="AE134" i="17"/>
  <c r="AE10" i="17" s="1"/>
  <c r="AB16" i="22" s="1"/>
  <c r="AE129" i="17"/>
  <c r="AH125" i="17"/>
  <c r="AG142" i="17"/>
  <c r="AG134" i="17"/>
  <c r="AG10" i="17" s="1"/>
  <c r="AD16" i="22" s="1"/>
  <c r="AG129" i="17"/>
  <c r="AI142" i="17"/>
  <c r="AI134" i="17"/>
  <c r="AI10" i="17" s="1"/>
  <c r="AF16" i="22" s="1"/>
  <c r="AI129" i="17"/>
  <c r="AL125" i="17"/>
  <c r="AK142" i="17"/>
  <c r="AK134" i="17"/>
  <c r="AK10" i="17" s="1"/>
  <c r="AH16" i="22" s="1"/>
  <c r="AK129" i="17"/>
  <c r="AM142" i="17"/>
  <c r="AM134" i="17"/>
  <c r="AM10" i="17" s="1"/>
  <c r="AJ16" i="22" s="1"/>
  <c r="AM129" i="17"/>
  <c r="AP125" i="17"/>
  <c r="AO142" i="17"/>
  <c r="AO134" i="17"/>
  <c r="AO10" i="17" s="1"/>
  <c r="AL16" i="22" s="1"/>
  <c r="AO129" i="17"/>
  <c r="AQ142" i="17"/>
  <c r="AQ134" i="17"/>
  <c r="AQ10" i="17" s="1"/>
  <c r="AN16" i="22" s="1"/>
  <c r="AQ129" i="17"/>
  <c r="AT125" i="17"/>
  <c r="AS142" i="17"/>
  <c r="AS134" i="17"/>
  <c r="AS10" i="17" s="1"/>
  <c r="AP16" i="22" s="1"/>
  <c r="AS129" i="17"/>
  <c r="AU142" i="17"/>
  <c r="AU134" i="17"/>
  <c r="AU10" i="17" s="1"/>
  <c r="AR16" i="22" s="1"/>
  <c r="AU129" i="17"/>
  <c r="AX125" i="17"/>
  <c r="AW142" i="17"/>
  <c r="AW134" i="17"/>
  <c r="AW10" i="17" s="1"/>
  <c r="AT16" i="22" s="1"/>
  <c r="AW129" i="17"/>
  <c r="AY142" i="17"/>
  <c r="AY134" i="17"/>
  <c r="AY10" i="17" s="1"/>
  <c r="AV16" i="22" s="1"/>
  <c r="AY129" i="17"/>
  <c r="BB125" i="17"/>
  <c r="BA142" i="17"/>
  <c r="BA134" i="17"/>
  <c r="BA10" i="17" s="1"/>
  <c r="AX16" i="22" s="1"/>
  <c r="BA129" i="17"/>
  <c r="BC142" i="17"/>
  <c r="BC134" i="17"/>
  <c r="BC10" i="17" s="1"/>
  <c r="AZ16" i="22" s="1"/>
  <c r="BC129" i="17"/>
  <c r="BF125" i="17"/>
  <c r="BE142" i="17"/>
  <c r="BE134" i="17"/>
  <c r="BE10" i="17" s="1"/>
  <c r="BB16" i="22" s="1"/>
  <c r="BE129" i="17"/>
  <c r="BG142" i="17"/>
  <c r="BG134" i="17"/>
  <c r="BG10" i="17" s="1"/>
  <c r="BD16" i="22" s="1"/>
  <c r="BG129" i="17"/>
  <c r="BJ125" i="17"/>
  <c r="BI142" i="17"/>
  <c r="BI134" i="17"/>
  <c r="BI10" i="17" s="1"/>
  <c r="BF16" i="22" s="1"/>
  <c r="BI129" i="17"/>
  <c r="BK142" i="17"/>
  <c r="BK134" i="17"/>
  <c r="BK10" i="17" s="1"/>
  <c r="BH16" i="22" s="1"/>
  <c r="BK129" i="17"/>
  <c r="BN125" i="17"/>
  <c r="BM142" i="17"/>
  <c r="BM134" i="17"/>
  <c r="BM10" i="17" s="1"/>
  <c r="BJ16" i="22" s="1"/>
  <c r="BM129" i="17"/>
  <c r="BO142" i="17"/>
  <c r="BO134" i="17"/>
  <c r="BO10" i="17" s="1"/>
  <c r="BL16" i="22" s="1"/>
  <c r="BO129" i="17"/>
  <c r="BR125" i="17"/>
  <c r="BQ142" i="17"/>
  <c r="BQ134" i="17"/>
  <c r="BQ10" i="17" s="1"/>
  <c r="BN16" i="22" s="1"/>
  <c r="BQ129" i="17"/>
  <c r="BS142" i="17"/>
  <c r="BS134" i="17"/>
  <c r="BS10" i="17" s="1"/>
  <c r="BP16" i="22" s="1"/>
  <c r="BS129" i="17"/>
  <c r="BV125" i="17"/>
  <c r="BU142" i="17"/>
  <c r="BU134" i="17"/>
  <c r="BU10" i="17" s="1"/>
  <c r="BR16" i="22" s="1"/>
  <c r="BU129" i="17"/>
  <c r="BW142" i="17"/>
  <c r="BW134" i="17"/>
  <c r="BW10" i="17" s="1"/>
  <c r="BT16" i="22" s="1"/>
  <c r="BW129" i="17"/>
  <c r="BZ125" i="17"/>
  <c r="BY142" i="17"/>
  <c r="BY134" i="17"/>
  <c r="BY10" i="17" s="1"/>
  <c r="BV16" i="22" s="1"/>
  <c r="BY129" i="17"/>
  <c r="CA142" i="17"/>
  <c r="CA134" i="17"/>
  <c r="CA10" i="17" s="1"/>
  <c r="BX16" i="22" s="1"/>
  <c r="CA129" i="17"/>
  <c r="CD125" i="17"/>
  <c r="CC142" i="17"/>
  <c r="CC134" i="17"/>
  <c r="CC10" i="17" s="1"/>
  <c r="BZ16" i="22" s="1"/>
  <c r="CC129" i="17"/>
  <c r="CE142" i="17"/>
  <c r="CE134" i="17"/>
  <c r="CE10" i="17" s="1"/>
  <c r="CB16" i="22" s="1"/>
  <c r="CE129" i="17"/>
  <c r="CH125" i="17"/>
  <c r="CG142" i="17"/>
  <c r="CG134" i="17"/>
  <c r="CG10" i="17" s="1"/>
  <c r="CD16" i="22" s="1"/>
  <c r="CG129" i="17"/>
  <c r="CI142" i="17"/>
  <c r="CI134" i="17"/>
  <c r="CI10" i="17" s="1"/>
  <c r="CF16" i="22" s="1"/>
  <c r="CI129" i="17"/>
  <c r="CL125" i="17"/>
  <c r="CK142" i="17"/>
  <c r="CK134" i="17"/>
  <c r="CK10" i="17" s="1"/>
  <c r="CH16" i="22" s="1"/>
  <c r="CK129" i="17"/>
  <c r="CM142" i="17"/>
  <c r="CM134" i="17"/>
  <c r="CM10" i="17" s="1"/>
  <c r="CM129" i="17"/>
  <c r="CP125" i="17"/>
  <c r="CT130" i="17" s="1"/>
  <c r="CO142" i="17"/>
  <c r="CO134" i="17"/>
  <c r="CO10" i="17" s="1"/>
  <c r="CO129" i="17"/>
  <c r="G171" i="17"/>
  <c r="G170" i="17"/>
  <c r="G169" i="17" s="1"/>
  <c r="I171" i="17"/>
  <c r="I170" i="17"/>
  <c r="K171" i="17"/>
  <c r="K170" i="17"/>
  <c r="M171" i="17"/>
  <c r="M170" i="17"/>
  <c r="O171" i="17"/>
  <c r="O170" i="17"/>
  <c r="Q171" i="17"/>
  <c r="Q170" i="17"/>
  <c r="S171" i="17"/>
  <c r="S170" i="17"/>
  <c r="U171" i="17"/>
  <c r="U170" i="17"/>
  <c r="W171" i="17"/>
  <c r="W170" i="17"/>
  <c r="Y171" i="17"/>
  <c r="Y170" i="17"/>
  <c r="AA171" i="17"/>
  <c r="AA170" i="17"/>
  <c r="AC171" i="17"/>
  <c r="AC170" i="17"/>
  <c r="AE171" i="17"/>
  <c r="AE170" i="17"/>
  <c r="AG171" i="17"/>
  <c r="AG170" i="17"/>
  <c r="AI171" i="17"/>
  <c r="AI170" i="17"/>
  <c r="AK171" i="17"/>
  <c r="AK170" i="17"/>
  <c r="AM171" i="17"/>
  <c r="AM170" i="17"/>
  <c r="AO171" i="17"/>
  <c r="AO170" i="17"/>
  <c r="AQ171" i="17"/>
  <c r="AQ170" i="17"/>
  <c r="AS171" i="17"/>
  <c r="AS170" i="17"/>
  <c r="AU171" i="17"/>
  <c r="AU170" i="17"/>
  <c r="AW171" i="17"/>
  <c r="AW170" i="17"/>
  <c r="AY171" i="17"/>
  <c r="AY170" i="17"/>
  <c r="BA171" i="17"/>
  <c r="BA170" i="17"/>
  <c r="BC171" i="17"/>
  <c r="BC170" i="17"/>
  <c r="BE171" i="17"/>
  <c r="BE170" i="17"/>
  <c r="BG171" i="17"/>
  <c r="BG170" i="17"/>
  <c r="BI171" i="17"/>
  <c r="BI170" i="17"/>
  <c r="BK171" i="17"/>
  <c r="BK170" i="17"/>
  <c r="BM171" i="17"/>
  <c r="BM170" i="17"/>
  <c r="BO171" i="17"/>
  <c r="BO170" i="17"/>
  <c r="BQ171" i="17"/>
  <c r="BQ170" i="17"/>
  <c r="BS171" i="17"/>
  <c r="BW189" i="17" s="1"/>
  <c r="BS170" i="17"/>
  <c r="BU171" i="17"/>
  <c r="BY189" i="17" s="1"/>
  <c r="BU170" i="17"/>
  <c r="BW199" i="17"/>
  <c r="BZ172" i="17"/>
  <c r="X153" i="12" s="1"/>
  <c r="BY199" i="17"/>
  <c r="BY191" i="17"/>
  <c r="BY184" i="17"/>
  <c r="BY183" i="17" s="1"/>
  <c r="BY12" i="17" s="1"/>
  <c r="BV18" i="22" s="1"/>
  <c r="CA199" i="17"/>
  <c r="CA189" i="17"/>
  <c r="CA184" i="17"/>
  <c r="CA183" i="17" s="1"/>
  <c r="CA12" i="17" s="1"/>
  <c r="BX18" i="22" s="1"/>
  <c r="CD172" i="17"/>
  <c r="CG190" i="17" s="1"/>
  <c r="CC199" i="17"/>
  <c r="CC189" i="17"/>
  <c r="CC184" i="17"/>
  <c r="CC183" i="17" s="1"/>
  <c r="CC12" i="17" s="1"/>
  <c r="BZ18" i="22" s="1"/>
  <c r="CC191" i="17"/>
  <c r="CE199" i="17"/>
  <c r="CE189" i="17"/>
  <c r="CE184" i="17"/>
  <c r="CE183" i="17" s="1"/>
  <c r="CE12" i="17" s="1"/>
  <c r="CB18" i="22" s="1"/>
  <c r="CH172" i="17"/>
  <c r="CJ190" i="17" s="1"/>
  <c r="CG199" i="17"/>
  <c r="CG191" i="17"/>
  <c r="CG189" i="17"/>
  <c r="CG184" i="17"/>
  <c r="CG183" i="17" s="1"/>
  <c r="CG12" i="17" s="1"/>
  <c r="CD18" i="22" s="1"/>
  <c r="CI199" i="17"/>
  <c r="CI189" i="17"/>
  <c r="CI184" i="17"/>
  <c r="CI183" i="17" s="1"/>
  <c r="CI12" i="17" s="1"/>
  <c r="CF18" i="22" s="1"/>
  <c r="CL172" i="17"/>
  <c r="CO190" i="17" s="1"/>
  <c r="CK199" i="17"/>
  <c r="CK189" i="17"/>
  <c r="CK184" i="17"/>
  <c r="CK183" i="17" s="1"/>
  <c r="CK12" i="17" s="1"/>
  <c r="CH18" i="22" s="1"/>
  <c r="CK191" i="17"/>
  <c r="CM199" i="17"/>
  <c r="CM189" i="17"/>
  <c r="CM184" i="17"/>
  <c r="CM183" i="17" s="1"/>
  <c r="CM12" i="17" s="1"/>
  <c r="CP172" i="17"/>
  <c r="CO199" i="17"/>
  <c r="CO191" i="17"/>
  <c r="CO189" i="17"/>
  <c r="CO184" i="17"/>
  <c r="CO183" i="17" s="1"/>
  <c r="CO12" i="17" s="1"/>
  <c r="G227" i="17"/>
  <c r="G228" i="17"/>
  <c r="I227" i="17"/>
  <c r="I228" i="17"/>
  <c r="K227" i="17"/>
  <c r="K228" i="17"/>
  <c r="M227" i="17"/>
  <c r="M228" i="17"/>
  <c r="O227" i="17"/>
  <c r="O228" i="17"/>
  <c r="Q227" i="17"/>
  <c r="Q228" i="17"/>
  <c r="S227" i="17"/>
  <c r="S228" i="17"/>
  <c r="U227" i="17"/>
  <c r="U228" i="17"/>
  <c r="W227" i="17"/>
  <c r="W228" i="17"/>
  <c r="Y227" i="17"/>
  <c r="Y228" i="17"/>
  <c r="AA227" i="17"/>
  <c r="AA228" i="17"/>
  <c r="AC227" i="17"/>
  <c r="AC228" i="17"/>
  <c r="AE227" i="17"/>
  <c r="AE228" i="17"/>
  <c r="AG227" i="17"/>
  <c r="AG228" i="17"/>
  <c r="AI227" i="17"/>
  <c r="AI228" i="17"/>
  <c r="AK227" i="17"/>
  <c r="AK228" i="17"/>
  <c r="AM227" i="17"/>
  <c r="AM228" i="17"/>
  <c r="AO227" i="17"/>
  <c r="AO228" i="17"/>
  <c r="AQ227" i="17"/>
  <c r="AQ228" i="17"/>
  <c r="AS227" i="17"/>
  <c r="AS228" i="17"/>
  <c r="AU227" i="17"/>
  <c r="AU228" i="17"/>
  <c r="AW227" i="17"/>
  <c r="AW228" i="17"/>
  <c r="AY227" i="17"/>
  <c r="AY228" i="17"/>
  <c r="BA227" i="17"/>
  <c r="BA228" i="17"/>
  <c r="BC227" i="17"/>
  <c r="BC228" i="17"/>
  <c r="BE227" i="17"/>
  <c r="BE228" i="17"/>
  <c r="BG227" i="17"/>
  <c r="BG228" i="17"/>
  <c r="BI227" i="17"/>
  <c r="BI228" i="17"/>
  <c r="BK227" i="17"/>
  <c r="BK228" i="17"/>
  <c r="BM227" i="17"/>
  <c r="BM228" i="17"/>
  <c r="BO227" i="17"/>
  <c r="BO228" i="17"/>
  <c r="BQ227" i="17"/>
  <c r="BQ228" i="17"/>
  <c r="BS227" i="17"/>
  <c r="BS228" i="17"/>
  <c r="BW246" i="17" s="1"/>
  <c r="BU227" i="17"/>
  <c r="BU228" i="17"/>
  <c r="BY246" i="17" s="1"/>
  <c r="BZ229" i="17"/>
  <c r="CA247" i="17" s="1"/>
  <c r="BY248" i="17"/>
  <c r="BY241" i="17"/>
  <c r="BY240" i="17" s="1"/>
  <c r="BY14" i="17" s="1"/>
  <c r="BV20" i="22" s="1"/>
  <c r="CA246" i="17"/>
  <c r="CA241" i="17"/>
  <c r="CA240" i="17" s="1"/>
  <c r="CA14" i="17" s="1"/>
  <c r="BX20" i="22" s="1"/>
  <c r="CD229" i="17"/>
  <c r="CE247" i="17" s="1"/>
  <c r="CC248" i="17"/>
  <c r="CC246" i="17"/>
  <c r="CC241" i="17"/>
  <c r="CC240" i="17" s="1"/>
  <c r="CC14" i="17" s="1"/>
  <c r="BZ20" i="22" s="1"/>
  <c r="CH229" i="17"/>
  <c r="CK247" i="17" s="1"/>
  <c r="CE246" i="17"/>
  <c r="CE241" i="17"/>
  <c r="CE240" i="17" s="1"/>
  <c r="CE14" i="17" s="1"/>
  <c r="CB20" i="22" s="1"/>
  <c r="CG248" i="17"/>
  <c r="CG246" i="17"/>
  <c r="CG241" i="17"/>
  <c r="CG240" i="17" s="1"/>
  <c r="CG14" i="17" s="1"/>
  <c r="CD20" i="22" s="1"/>
  <c r="CI246" i="17"/>
  <c r="CI241" i="17"/>
  <c r="CI240" i="17" s="1"/>
  <c r="CI14" i="17" s="1"/>
  <c r="CF20" i="22" s="1"/>
  <c r="CL229" i="17"/>
  <c r="CM247" i="17" s="1"/>
  <c r="CK248" i="17"/>
  <c r="CK246" i="17"/>
  <c r="CK241" i="17"/>
  <c r="CK240" i="17" s="1"/>
  <c r="CK14" i="17" s="1"/>
  <c r="CH20" i="22" s="1"/>
  <c r="CP229" i="17"/>
  <c r="CM246" i="17"/>
  <c r="CM241" i="17"/>
  <c r="CM240" i="17" s="1"/>
  <c r="CM14" i="17" s="1"/>
  <c r="CO248" i="17"/>
  <c r="CO246" i="17"/>
  <c r="CO241" i="17"/>
  <c r="CO240" i="17" s="1"/>
  <c r="CO14" i="17" s="1"/>
  <c r="G141" i="17"/>
  <c r="I110" i="17"/>
  <c r="I9" i="17" s="1"/>
  <c r="I141" i="17"/>
  <c r="K115" i="17"/>
  <c r="K110" i="17"/>
  <c r="K9" i="17" s="1"/>
  <c r="H15" i="22" s="1"/>
  <c r="K141" i="17"/>
  <c r="M117" i="17"/>
  <c r="M115" i="17"/>
  <c r="M110" i="17"/>
  <c r="M9" i="17" s="1"/>
  <c r="J15" i="22" s="1"/>
  <c r="M141" i="17"/>
  <c r="O115" i="17"/>
  <c r="O110" i="17"/>
  <c r="O9" i="17" s="1"/>
  <c r="L15" i="22" s="1"/>
  <c r="O141" i="17"/>
  <c r="Q115" i="17"/>
  <c r="Q110" i="17"/>
  <c r="Q9" i="17" s="1"/>
  <c r="N15" i="22" s="1"/>
  <c r="Q141" i="17"/>
  <c r="Q117" i="17"/>
  <c r="S115" i="17"/>
  <c r="S110" i="17"/>
  <c r="S9" i="17" s="1"/>
  <c r="P15" i="22" s="1"/>
  <c r="S141" i="17"/>
  <c r="U117" i="17"/>
  <c r="U115" i="17"/>
  <c r="U110" i="17"/>
  <c r="U9" i="17" s="1"/>
  <c r="R15" i="22" s="1"/>
  <c r="U141" i="17"/>
  <c r="W115" i="17"/>
  <c r="W110" i="17"/>
  <c r="W9" i="17" s="1"/>
  <c r="T15" i="22" s="1"/>
  <c r="W141" i="17"/>
  <c r="Y115" i="17"/>
  <c r="Y110" i="17"/>
  <c r="Y9" i="17" s="1"/>
  <c r="V15" i="22" s="1"/>
  <c r="Y141" i="17"/>
  <c r="Y117" i="17"/>
  <c r="AA115" i="17"/>
  <c r="AA110" i="17"/>
  <c r="AA9" i="17" s="1"/>
  <c r="X15" i="22" s="1"/>
  <c r="AA141" i="17"/>
  <c r="AC117" i="17"/>
  <c r="AC115" i="17"/>
  <c r="AC110" i="17"/>
  <c r="AC9" i="17" s="1"/>
  <c r="Z15" i="22" s="1"/>
  <c r="AC141" i="17"/>
  <c r="AE115" i="17"/>
  <c r="AE110" i="17"/>
  <c r="AE9" i="17" s="1"/>
  <c r="AB15" i="22" s="1"/>
  <c r="AE141" i="17"/>
  <c r="AG115" i="17"/>
  <c r="AG110" i="17"/>
  <c r="AG9" i="17" s="1"/>
  <c r="AD15" i="22" s="1"/>
  <c r="AG141" i="17"/>
  <c r="AG117" i="17"/>
  <c r="AI115" i="17"/>
  <c r="AI110" i="17"/>
  <c r="AI9" i="17" s="1"/>
  <c r="AF15" i="22" s="1"/>
  <c r="AI141" i="17"/>
  <c r="AK117" i="17"/>
  <c r="AK115" i="17"/>
  <c r="AK110" i="17"/>
  <c r="AK9" i="17" s="1"/>
  <c r="AH15" i="22" s="1"/>
  <c r="AK141" i="17"/>
  <c r="AM115" i="17"/>
  <c r="AM110" i="17"/>
  <c r="AM9" i="17" s="1"/>
  <c r="AJ15" i="22" s="1"/>
  <c r="AM141" i="17"/>
  <c r="AO115" i="17"/>
  <c r="AO110" i="17"/>
  <c r="AO9" i="17" s="1"/>
  <c r="AL15" i="22" s="1"/>
  <c r="AO141" i="17"/>
  <c r="AO117" i="17"/>
  <c r="AQ115" i="17"/>
  <c r="AQ110" i="17"/>
  <c r="AQ9" i="17" s="1"/>
  <c r="AN15" i="22" s="1"/>
  <c r="AQ141" i="17"/>
  <c r="AS117" i="17"/>
  <c r="AS115" i="17"/>
  <c r="AS110" i="17"/>
  <c r="AS9" i="17" s="1"/>
  <c r="AP15" i="22" s="1"/>
  <c r="AS141" i="17"/>
  <c r="AU115" i="17"/>
  <c r="AU110" i="17"/>
  <c r="AU9" i="17" s="1"/>
  <c r="AR15" i="22" s="1"/>
  <c r="AU141" i="17"/>
  <c r="AW115" i="17"/>
  <c r="AW110" i="17"/>
  <c r="AW9" i="17" s="1"/>
  <c r="AT15" i="22" s="1"/>
  <c r="AW141" i="17"/>
  <c r="AW117" i="17"/>
  <c r="AY115" i="17"/>
  <c r="AY110" i="17"/>
  <c r="AY9" i="17" s="1"/>
  <c r="AV15" i="22" s="1"/>
  <c r="AY141" i="17"/>
  <c r="BA117" i="17"/>
  <c r="BA115" i="17"/>
  <c r="BA110" i="17"/>
  <c r="BA9" i="17" s="1"/>
  <c r="AX15" i="22" s="1"/>
  <c r="BA141" i="17"/>
  <c r="BC115" i="17"/>
  <c r="BC110" i="17"/>
  <c r="BC9" i="17" s="1"/>
  <c r="AZ15" i="22" s="1"/>
  <c r="BC141" i="17"/>
  <c r="BE115" i="17"/>
  <c r="BE110" i="17"/>
  <c r="BE9" i="17" s="1"/>
  <c r="BB15" i="22" s="1"/>
  <c r="BE141" i="17"/>
  <c r="BE117" i="17"/>
  <c r="BG115" i="17"/>
  <c r="BG110" i="17"/>
  <c r="BG9" i="17" s="1"/>
  <c r="BD15" i="22" s="1"/>
  <c r="BG141" i="17"/>
  <c r="BI117" i="17"/>
  <c r="BI115" i="17"/>
  <c r="BI110" i="17"/>
  <c r="BI9" i="17" s="1"/>
  <c r="BF15" i="22" s="1"/>
  <c r="BI141" i="17"/>
  <c r="BK115" i="17"/>
  <c r="BK110" i="17"/>
  <c r="BK9" i="17" s="1"/>
  <c r="BH15" i="22" s="1"/>
  <c r="BK141" i="17"/>
  <c r="BM115" i="17"/>
  <c r="BM110" i="17"/>
  <c r="BM9" i="17" s="1"/>
  <c r="BJ15" i="22" s="1"/>
  <c r="BM141" i="17"/>
  <c r="BM117" i="17"/>
  <c r="BO115" i="17"/>
  <c r="BO110" i="17"/>
  <c r="BO9" i="17" s="1"/>
  <c r="BL15" i="22" s="1"/>
  <c r="BO141" i="17"/>
  <c r="BQ117" i="17"/>
  <c r="BQ115" i="17"/>
  <c r="BQ110" i="17"/>
  <c r="BQ9" i="17" s="1"/>
  <c r="BN15" i="22" s="1"/>
  <c r="BQ141" i="17"/>
  <c r="BS115" i="17"/>
  <c r="BS110" i="17"/>
  <c r="BS9" i="17" s="1"/>
  <c r="BP15" i="22" s="1"/>
  <c r="BS141" i="17"/>
  <c r="BU115" i="17"/>
  <c r="BU110" i="17"/>
  <c r="BU9" i="17" s="1"/>
  <c r="BR15" i="22" s="1"/>
  <c r="BU141" i="17"/>
  <c r="BU117" i="17"/>
  <c r="BW115" i="17"/>
  <c r="BW110" i="17"/>
  <c r="BW9" i="17" s="1"/>
  <c r="BT15" i="22" s="1"/>
  <c r="BW141" i="17"/>
  <c r="BY117" i="17"/>
  <c r="BY115" i="17"/>
  <c r="BY110" i="17"/>
  <c r="BY9" i="17" s="1"/>
  <c r="BV15" i="22" s="1"/>
  <c r="BY141" i="17"/>
  <c r="CA115" i="17"/>
  <c r="CA110" i="17"/>
  <c r="CA9" i="17" s="1"/>
  <c r="BX15" i="22" s="1"/>
  <c r="CA141" i="17"/>
  <c r="CC115" i="17"/>
  <c r="CC110" i="17"/>
  <c r="CC9" i="17" s="1"/>
  <c r="BZ15" i="22" s="1"/>
  <c r="CC141" i="17"/>
  <c r="CC117" i="17"/>
  <c r="CE115" i="17"/>
  <c r="CE110" i="17"/>
  <c r="CE9" i="17" s="1"/>
  <c r="CB15" i="22" s="1"/>
  <c r="CE141" i="17"/>
  <c r="CG117" i="17"/>
  <c r="CG115" i="17"/>
  <c r="CG110" i="17"/>
  <c r="CG9" i="17" s="1"/>
  <c r="CD15" i="22" s="1"/>
  <c r="CG141" i="17"/>
  <c r="CI115" i="17"/>
  <c r="CI110" i="17"/>
  <c r="CI9" i="17" s="1"/>
  <c r="CF15" i="22" s="1"/>
  <c r="CI141" i="17"/>
  <c r="CK115" i="17"/>
  <c r="CK110" i="17"/>
  <c r="CK9" i="17" s="1"/>
  <c r="CH15" i="22" s="1"/>
  <c r="CK141" i="17"/>
  <c r="CK117" i="17"/>
  <c r="CM115" i="17"/>
  <c r="CM110" i="17"/>
  <c r="CM9" i="17" s="1"/>
  <c r="CM141" i="17"/>
  <c r="CO117" i="17"/>
  <c r="CO115" i="17"/>
  <c r="CO110" i="17"/>
  <c r="CO9" i="17" s="1"/>
  <c r="CO141" i="17"/>
  <c r="G198" i="17"/>
  <c r="I198" i="17"/>
  <c r="I149" i="17"/>
  <c r="I11" i="17" s="1"/>
  <c r="K198" i="17"/>
  <c r="K154" i="17"/>
  <c r="K149" i="17"/>
  <c r="K11" i="17" s="1"/>
  <c r="H17" i="22" s="1"/>
  <c r="M198" i="17"/>
  <c r="M156" i="17"/>
  <c r="M154" i="17"/>
  <c r="M149" i="17"/>
  <c r="M11" i="17" s="1"/>
  <c r="J17" i="22" s="1"/>
  <c r="O198" i="17"/>
  <c r="O154" i="17"/>
  <c r="O149" i="17"/>
  <c r="O11" i="17" s="1"/>
  <c r="L17" i="22" s="1"/>
  <c r="Q156" i="17"/>
  <c r="Q198" i="17"/>
  <c r="Q154" i="17"/>
  <c r="Q149" i="17"/>
  <c r="Q11" i="17" s="1"/>
  <c r="N17" i="22" s="1"/>
  <c r="S198" i="17"/>
  <c r="S154" i="17"/>
  <c r="S149" i="17"/>
  <c r="S11" i="17" s="1"/>
  <c r="P17" i="22" s="1"/>
  <c r="U198" i="17"/>
  <c r="U156" i="17"/>
  <c r="U154" i="17"/>
  <c r="U149" i="17"/>
  <c r="U11" i="17" s="1"/>
  <c r="R17" i="22" s="1"/>
  <c r="W198" i="17"/>
  <c r="W154" i="17"/>
  <c r="W149" i="17"/>
  <c r="W11" i="17" s="1"/>
  <c r="T17" i="22" s="1"/>
  <c r="Y156" i="17"/>
  <c r="Y198" i="17"/>
  <c r="Y154" i="17"/>
  <c r="Y149" i="17"/>
  <c r="Y11" i="17" s="1"/>
  <c r="V17" i="22" s="1"/>
  <c r="AA198" i="17"/>
  <c r="AA154" i="17"/>
  <c r="AA149" i="17"/>
  <c r="AA11" i="17" s="1"/>
  <c r="X17" i="22" s="1"/>
  <c r="AC198" i="17"/>
  <c r="AC156" i="17"/>
  <c r="AC154" i="17"/>
  <c r="AC149" i="17"/>
  <c r="AC11" i="17" s="1"/>
  <c r="Z17" i="22" s="1"/>
  <c r="AE198" i="17"/>
  <c r="AE154" i="17"/>
  <c r="AE149" i="17"/>
  <c r="AE11" i="17" s="1"/>
  <c r="AB17" i="22" s="1"/>
  <c r="AG156" i="17"/>
  <c r="AG198" i="17"/>
  <c r="AG154" i="17"/>
  <c r="AG149" i="17"/>
  <c r="AG11" i="17" s="1"/>
  <c r="AD17" i="22" s="1"/>
  <c r="AI198" i="17"/>
  <c r="AI154" i="17"/>
  <c r="AI149" i="17"/>
  <c r="AI11" i="17" s="1"/>
  <c r="AF17" i="22" s="1"/>
  <c r="AK198" i="17"/>
  <c r="AK156" i="17"/>
  <c r="AK154" i="17"/>
  <c r="AK149" i="17"/>
  <c r="AK11" i="17" s="1"/>
  <c r="AH17" i="22" s="1"/>
  <c r="AM198" i="17"/>
  <c r="AM154" i="17"/>
  <c r="AM149" i="17"/>
  <c r="AM11" i="17" s="1"/>
  <c r="AJ17" i="22" s="1"/>
  <c r="AO156" i="17"/>
  <c r="AO198" i="17"/>
  <c r="AO154" i="17"/>
  <c r="AO149" i="17"/>
  <c r="AO11" i="17" s="1"/>
  <c r="AL17" i="22" s="1"/>
  <c r="AQ198" i="17"/>
  <c r="AQ154" i="17"/>
  <c r="AQ149" i="17"/>
  <c r="AQ11" i="17" s="1"/>
  <c r="AN17" i="22" s="1"/>
  <c r="AS198" i="17"/>
  <c r="AS156" i="17"/>
  <c r="AS154" i="17"/>
  <c r="AS149" i="17"/>
  <c r="AS11" i="17" s="1"/>
  <c r="AP17" i="22" s="1"/>
  <c r="AU198" i="17"/>
  <c r="AU154" i="17"/>
  <c r="AU149" i="17"/>
  <c r="AU11" i="17" s="1"/>
  <c r="AR17" i="22" s="1"/>
  <c r="AW156" i="17"/>
  <c r="AW198" i="17"/>
  <c r="AW154" i="17"/>
  <c r="AW149" i="17"/>
  <c r="AW11" i="17" s="1"/>
  <c r="AT17" i="22" s="1"/>
  <c r="AY198" i="17"/>
  <c r="AY154" i="17"/>
  <c r="AY149" i="17"/>
  <c r="AY11" i="17" s="1"/>
  <c r="AV17" i="22" s="1"/>
  <c r="BA198" i="17"/>
  <c r="BA156" i="17"/>
  <c r="BA154" i="17"/>
  <c r="BA149" i="17"/>
  <c r="BA11" i="17" s="1"/>
  <c r="AX17" i="22" s="1"/>
  <c r="BC198" i="17"/>
  <c r="BC154" i="17"/>
  <c r="BC149" i="17"/>
  <c r="BC11" i="17" s="1"/>
  <c r="AZ17" i="22" s="1"/>
  <c r="BE156" i="17"/>
  <c r="BE198" i="17"/>
  <c r="BE154" i="17"/>
  <c r="BE149" i="17"/>
  <c r="BE11" i="17" s="1"/>
  <c r="BB17" i="22" s="1"/>
  <c r="BG198" i="17"/>
  <c r="BG154" i="17"/>
  <c r="BG149" i="17"/>
  <c r="BG11" i="17" s="1"/>
  <c r="BD17" i="22" s="1"/>
  <c r="BI198" i="17"/>
  <c r="BI156" i="17"/>
  <c r="BI154" i="17"/>
  <c r="BI149" i="17"/>
  <c r="BI11" i="17" s="1"/>
  <c r="BF17" i="22" s="1"/>
  <c r="BK198" i="17"/>
  <c r="BK154" i="17"/>
  <c r="BK149" i="17"/>
  <c r="BK11" i="17" s="1"/>
  <c r="BH17" i="22" s="1"/>
  <c r="BM156" i="17"/>
  <c r="BM198" i="17"/>
  <c r="BM154" i="17"/>
  <c r="BM149" i="17"/>
  <c r="BM11" i="17" s="1"/>
  <c r="BJ17" i="22" s="1"/>
  <c r="BO198" i="17"/>
  <c r="BO154" i="17"/>
  <c r="BO149" i="17"/>
  <c r="BO11" i="17" s="1"/>
  <c r="BL17" i="22" s="1"/>
  <c r="BQ198" i="17"/>
  <c r="BQ156" i="17"/>
  <c r="BQ154" i="17"/>
  <c r="BQ149" i="17"/>
  <c r="BQ11" i="17" s="1"/>
  <c r="BN17" i="22" s="1"/>
  <c r="BS198" i="17"/>
  <c r="BS154" i="17"/>
  <c r="BS149" i="17"/>
  <c r="BS11" i="17" s="1"/>
  <c r="BP17" i="22" s="1"/>
  <c r="BU156" i="17"/>
  <c r="BU198" i="17"/>
  <c r="BU154" i="17"/>
  <c r="BU149" i="17"/>
  <c r="BU11" i="17" s="1"/>
  <c r="BR17" i="22" s="1"/>
  <c r="BW198" i="17"/>
  <c r="BW154" i="17"/>
  <c r="BW149" i="17"/>
  <c r="BW11" i="17" s="1"/>
  <c r="BT17" i="22" s="1"/>
  <c r="BY198" i="17"/>
  <c r="BY156" i="17"/>
  <c r="BY154" i="17"/>
  <c r="BY149" i="17"/>
  <c r="BY11" i="17" s="1"/>
  <c r="BV17" i="22" s="1"/>
  <c r="CA198" i="17"/>
  <c r="CA154" i="17"/>
  <c r="CA149" i="17"/>
  <c r="CA11" i="17" s="1"/>
  <c r="BX17" i="22" s="1"/>
  <c r="CC156" i="17"/>
  <c r="CC198" i="17"/>
  <c r="CC154" i="17"/>
  <c r="CC149" i="17"/>
  <c r="CC11" i="17" s="1"/>
  <c r="BZ17" i="22" s="1"/>
  <c r="CE198" i="17"/>
  <c r="CE154" i="17"/>
  <c r="CE149" i="17"/>
  <c r="CE11" i="17" s="1"/>
  <c r="CB17" i="22" s="1"/>
  <c r="CG198" i="17"/>
  <c r="CG156" i="17"/>
  <c r="CG154" i="17"/>
  <c r="CG149" i="17"/>
  <c r="CG11" i="17" s="1"/>
  <c r="CD17" i="22" s="1"/>
  <c r="CI198" i="17"/>
  <c r="CI154" i="17"/>
  <c r="CI149" i="17"/>
  <c r="CI11" i="17" s="1"/>
  <c r="CF17" i="22" s="1"/>
  <c r="CK156" i="17"/>
  <c r="CK198" i="17"/>
  <c r="CK154" i="17"/>
  <c r="CK149" i="17"/>
  <c r="CK11" i="17" s="1"/>
  <c r="CH17" i="22" s="1"/>
  <c r="CM198" i="17"/>
  <c r="CM154" i="17"/>
  <c r="CM149" i="17"/>
  <c r="CM11" i="17" s="1"/>
  <c r="CO198" i="17"/>
  <c r="CO156" i="17"/>
  <c r="CO154" i="17"/>
  <c r="CO149" i="17"/>
  <c r="CO11" i="17" s="1"/>
  <c r="G255" i="17"/>
  <c r="I255" i="17"/>
  <c r="I206" i="17"/>
  <c r="I13" i="17" s="1"/>
  <c r="K255" i="17"/>
  <c r="K211" i="17"/>
  <c r="K206" i="17"/>
  <c r="K13" i="17" s="1"/>
  <c r="H19" i="22" s="1"/>
  <c r="M255" i="17"/>
  <c r="M213" i="17"/>
  <c r="M211" i="17"/>
  <c r="M206" i="17"/>
  <c r="M13" i="17" s="1"/>
  <c r="J19" i="22" s="1"/>
  <c r="O255" i="17"/>
  <c r="O211" i="17"/>
  <c r="O206" i="17"/>
  <c r="O13" i="17" s="1"/>
  <c r="L19" i="22" s="1"/>
  <c r="Q255" i="17"/>
  <c r="Q213" i="17"/>
  <c r="Q211" i="17"/>
  <c r="Q206" i="17"/>
  <c r="Q13" i="17" s="1"/>
  <c r="N19" i="22" s="1"/>
  <c r="S255" i="17"/>
  <c r="S211" i="17"/>
  <c r="S206" i="17"/>
  <c r="S13" i="17" s="1"/>
  <c r="P19" i="22" s="1"/>
  <c r="U255" i="17"/>
  <c r="U213" i="17"/>
  <c r="U211" i="17"/>
  <c r="U206" i="17"/>
  <c r="U13" i="17" s="1"/>
  <c r="R19" i="22" s="1"/>
  <c r="W255" i="17"/>
  <c r="W211" i="17"/>
  <c r="W206" i="17"/>
  <c r="W13" i="17" s="1"/>
  <c r="T19" i="22" s="1"/>
  <c r="Y255" i="17"/>
  <c r="Y213" i="17"/>
  <c r="Y211" i="17"/>
  <c r="Y206" i="17"/>
  <c r="Y13" i="17" s="1"/>
  <c r="V19" i="22" s="1"/>
  <c r="AA255" i="17"/>
  <c r="AA211" i="17"/>
  <c r="AA206" i="17"/>
  <c r="AA13" i="17" s="1"/>
  <c r="X19" i="22" s="1"/>
  <c r="AC255" i="17"/>
  <c r="AC213" i="17"/>
  <c r="AC211" i="17"/>
  <c r="AC206" i="17"/>
  <c r="AC13" i="17" s="1"/>
  <c r="Z19" i="22" s="1"/>
  <c r="AE255" i="17"/>
  <c r="AE211" i="17"/>
  <c r="AE206" i="17"/>
  <c r="AE13" i="17" s="1"/>
  <c r="AB19" i="22" s="1"/>
  <c r="AG255" i="17"/>
  <c r="AG213" i="17"/>
  <c r="AG211" i="17"/>
  <c r="AG206" i="17"/>
  <c r="AG13" i="17" s="1"/>
  <c r="AD19" i="22" s="1"/>
  <c r="AI255" i="17"/>
  <c r="AI211" i="17"/>
  <c r="AI206" i="17"/>
  <c r="AI13" i="17" s="1"/>
  <c r="AF19" i="22" s="1"/>
  <c r="AK255" i="17"/>
  <c r="AK213" i="17"/>
  <c r="AK211" i="17"/>
  <c r="AK206" i="17"/>
  <c r="AK13" i="17" s="1"/>
  <c r="AH19" i="22" s="1"/>
  <c r="AM255" i="17"/>
  <c r="AM211" i="17"/>
  <c r="AM206" i="17"/>
  <c r="AM13" i="17" s="1"/>
  <c r="AJ19" i="22" s="1"/>
  <c r="AO255" i="17"/>
  <c r="AO213" i="17"/>
  <c r="AO211" i="17"/>
  <c r="AO206" i="17"/>
  <c r="AO13" i="17" s="1"/>
  <c r="AL19" i="22" s="1"/>
  <c r="AQ255" i="17"/>
  <c r="AQ211" i="17"/>
  <c r="AQ206" i="17"/>
  <c r="AQ13" i="17" s="1"/>
  <c r="AN19" i="22" s="1"/>
  <c r="AS255" i="17"/>
  <c r="AS213" i="17"/>
  <c r="AS211" i="17"/>
  <c r="AS206" i="17"/>
  <c r="AS13" i="17" s="1"/>
  <c r="AP19" i="22" s="1"/>
  <c r="AU255" i="17"/>
  <c r="AU211" i="17"/>
  <c r="AU206" i="17"/>
  <c r="AU13" i="17" s="1"/>
  <c r="AR19" i="22" s="1"/>
  <c r="AW255" i="17"/>
  <c r="AW213" i="17"/>
  <c r="AW211" i="17"/>
  <c r="AW206" i="17"/>
  <c r="AW13" i="17" s="1"/>
  <c r="AT19" i="22" s="1"/>
  <c r="AY255" i="17"/>
  <c r="AY211" i="17"/>
  <c r="AY206" i="17"/>
  <c r="AY13" i="17" s="1"/>
  <c r="AV19" i="22" s="1"/>
  <c r="BA255" i="17"/>
  <c r="BA213" i="17"/>
  <c r="BA211" i="17"/>
  <c r="BA206" i="17"/>
  <c r="BA13" i="17" s="1"/>
  <c r="AX19" i="22" s="1"/>
  <c r="BC255" i="17"/>
  <c r="BC211" i="17"/>
  <c r="BC206" i="17"/>
  <c r="BC13" i="17" s="1"/>
  <c r="AZ19" i="22" s="1"/>
  <c r="BE255" i="17"/>
  <c r="BE213" i="17"/>
  <c r="BE211" i="17"/>
  <c r="BE206" i="17"/>
  <c r="BE13" i="17" s="1"/>
  <c r="BB19" i="22" s="1"/>
  <c r="BG255" i="17"/>
  <c r="BG211" i="17"/>
  <c r="BG206" i="17"/>
  <c r="BG13" i="17" s="1"/>
  <c r="BD19" i="22" s="1"/>
  <c r="BI255" i="17"/>
  <c r="BI213" i="17"/>
  <c r="BI211" i="17"/>
  <c r="BI206" i="17"/>
  <c r="BI13" i="17" s="1"/>
  <c r="BF19" i="22" s="1"/>
  <c r="BK255" i="17"/>
  <c r="BK211" i="17"/>
  <c r="BK206" i="17"/>
  <c r="BK13" i="17" s="1"/>
  <c r="BH19" i="22" s="1"/>
  <c r="BM255" i="17"/>
  <c r="BM213" i="17"/>
  <c r="BM211" i="17"/>
  <c r="BM206" i="17"/>
  <c r="BM13" i="17" s="1"/>
  <c r="BJ19" i="22" s="1"/>
  <c r="BO255" i="17"/>
  <c r="BO211" i="17"/>
  <c r="BO206" i="17"/>
  <c r="BO13" i="17" s="1"/>
  <c r="BL19" i="22" s="1"/>
  <c r="BQ255" i="17"/>
  <c r="BQ213" i="17"/>
  <c r="BQ211" i="17"/>
  <c r="BQ206" i="17"/>
  <c r="BQ13" i="17" s="1"/>
  <c r="BN19" i="22" s="1"/>
  <c r="BS255" i="17"/>
  <c r="BS211" i="17"/>
  <c r="BS206" i="17"/>
  <c r="BS13" i="17" s="1"/>
  <c r="BP19" i="22" s="1"/>
  <c r="BU255" i="17"/>
  <c r="BU213" i="17"/>
  <c r="BU211" i="17"/>
  <c r="BU206" i="17"/>
  <c r="BU13" i="17" s="1"/>
  <c r="BR19" i="22" s="1"/>
  <c r="BW255" i="17"/>
  <c r="BW211" i="17"/>
  <c r="BW206" i="17"/>
  <c r="BW13" i="17" s="1"/>
  <c r="BT19" i="22" s="1"/>
  <c r="BY255" i="17"/>
  <c r="BY213" i="17"/>
  <c r="BY211" i="17"/>
  <c r="BY206" i="17"/>
  <c r="BY13" i="17" s="1"/>
  <c r="BV19" i="22" s="1"/>
  <c r="CA255" i="17"/>
  <c r="CA211" i="17"/>
  <c r="CA206" i="17"/>
  <c r="CA13" i="17" s="1"/>
  <c r="BX19" i="22" s="1"/>
  <c r="CC255" i="17"/>
  <c r="CC213" i="17"/>
  <c r="CC211" i="17"/>
  <c r="CC206" i="17"/>
  <c r="CC13" i="17" s="1"/>
  <c r="BZ19" i="22" s="1"/>
  <c r="CE255" i="17"/>
  <c r="CE211" i="17"/>
  <c r="CE206" i="17"/>
  <c r="CE13" i="17" s="1"/>
  <c r="CB19" i="22" s="1"/>
  <c r="CG255" i="17"/>
  <c r="CG213" i="17"/>
  <c r="CG211" i="17"/>
  <c r="CI255" i="17"/>
  <c r="CI211" i="17"/>
  <c r="CI206" i="17"/>
  <c r="CI13" i="17" s="1"/>
  <c r="CF19" i="22" s="1"/>
  <c r="CK255" i="17"/>
  <c r="CK213" i="17"/>
  <c r="CK211" i="17"/>
  <c r="CM255" i="17"/>
  <c r="CM211" i="17"/>
  <c r="CM206" i="17"/>
  <c r="CM13" i="17" s="1"/>
  <c r="CO255" i="17"/>
  <c r="CO213" i="17"/>
  <c r="CO211" i="17"/>
  <c r="J259" i="17"/>
  <c r="K269" i="17" s="1"/>
  <c r="I263" i="17"/>
  <c r="I15" i="17" s="1"/>
  <c r="N259" i="17"/>
  <c r="Q269" i="17" s="1"/>
  <c r="K268" i="17"/>
  <c r="K263" i="17"/>
  <c r="K15" i="17" s="1"/>
  <c r="H21" i="22" s="1"/>
  <c r="M270" i="17"/>
  <c r="M268" i="17"/>
  <c r="M263" i="17"/>
  <c r="M15" i="17" s="1"/>
  <c r="J21" i="22" s="1"/>
  <c r="O268" i="17"/>
  <c r="O263" i="17"/>
  <c r="O15" i="17" s="1"/>
  <c r="L21" i="22" s="1"/>
  <c r="R259" i="17"/>
  <c r="U269" i="17" s="1"/>
  <c r="Q270" i="17"/>
  <c r="Q268" i="17"/>
  <c r="Q263" i="17"/>
  <c r="Q15" i="17" s="1"/>
  <c r="N21" i="22" s="1"/>
  <c r="V259" i="17"/>
  <c r="Y269" i="17" s="1"/>
  <c r="S268" i="17"/>
  <c r="S263" i="17"/>
  <c r="S15" i="17" s="1"/>
  <c r="P21" i="22" s="1"/>
  <c r="U270" i="17"/>
  <c r="U268" i="17"/>
  <c r="U263" i="17"/>
  <c r="U15" i="17" s="1"/>
  <c r="R21" i="22" s="1"/>
  <c r="W268" i="17"/>
  <c r="W263" i="17"/>
  <c r="W15" i="17" s="1"/>
  <c r="T21" i="22" s="1"/>
  <c r="Z259" i="17"/>
  <c r="AC269" i="17" s="1"/>
  <c r="Y270" i="17"/>
  <c r="Y268" i="17"/>
  <c r="Y263" i="17"/>
  <c r="Y15" i="17" s="1"/>
  <c r="V21" i="22" s="1"/>
  <c r="AD259" i="17"/>
  <c r="AG269" i="17" s="1"/>
  <c r="AA268" i="17"/>
  <c r="AA263" i="17"/>
  <c r="AA15" i="17" s="1"/>
  <c r="X21" i="22" s="1"/>
  <c r="AC270" i="17"/>
  <c r="AC268" i="17"/>
  <c r="AC263" i="17"/>
  <c r="AC15" i="17" s="1"/>
  <c r="Z21" i="22" s="1"/>
  <c r="AE268" i="17"/>
  <c r="AE263" i="17"/>
  <c r="AE15" i="17" s="1"/>
  <c r="AB21" i="22" s="1"/>
  <c r="AH259" i="17"/>
  <c r="AK269" i="17" s="1"/>
  <c r="AG270" i="17"/>
  <c r="AG268" i="17"/>
  <c r="AG263" i="17"/>
  <c r="AG15" i="17" s="1"/>
  <c r="AD21" i="22" s="1"/>
  <c r="AL259" i="17"/>
  <c r="AO269" i="17" s="1"/>
  <c r="AI268" i="17"/>
  <c r="AI263" i="17"/>
  <c r="AI15" i="17" s="1"/>
  <c r="AF21" i="22" s="1"/>
  <c r="AK270" i="17"/>
  <c r="AK268" i="17"/>
  <c r="AK263" i="17"/>
  <c r="AK15" i="17" s="1"/>
  <c r="AH21" i="22" s="1"/>
  <c r="AM268" i="17"/>
  <c r="AM263" i="17"/>
  <c r="AM15" i="17" s="1"/>
  <c r="AJ21" i="22" s="1"/>
  <c r="AP259" i="17"/>
  <c r="AS269" i="17" s="1"/>
  <c r="AO270" i="17"/>
  <c r="AO268" i="17"/>
  <c r="AO263" i="17"/>
  <c r="AO15" i="17" s="1"/>
  <c r="AL21" i="22" s="1"/>
  <c r="AR269" i="17"/>
  <c r="AT259" i="17"/>
  <c r="AW269" i="17" s="1"/>
  <c r="AQ268" i="17"/>
  <c r="AQ263" i="17"/>
  <c r="AQ15" i="17" s="1"/>
  <c r="AN21" i="22" s="1"/>
  <c r="AS270" i="17"/>
  <c r="AS268" i="17"/>
  <c r="AS263" i="17"/>
  <c r="AS15" i="17" s="1"/>
  <c r="AP21" i="22" s="1"/>
  <c r="AU268" i="17"/>
  <c r="AU263" i="17"/>
  <c r="AU15" i="17" s="1"/>
  <c r="AR21" i="22" s="1"/>
  <c r="AX259" i="17"/>
  <c r="BA269" i="17" s="1"/>
  <c r="AW270" i="17"/>
  <c r="AW268" i="17"/>
  <c r="AW263" i="17"/>
  <c r="AW15" i="17" s="1"/>
  <c r="AT21" i="22" s="1"/>
  <c r="BB259" i="17"/>
  <c r="BE269" i="17" s="1"/>
  <c r="AY268" i="17"/>
  <c r="AY263" i="17"/>
  <c r="AY15" i="17" s="1"/>
  <c r="AV21" i="22" s="1"/>
  <c r="BA270" i="17"/>
  <c r="BA268" i="17"/>
  <c r="BA263" i="17"/>
  <c r="BA15" i="17" s="1"/>
  <c r="AX21" i="22" s="1"/>
  <c r="BC268" i="17"/>
  <c r="BC263" i="17"/>
  <c r="BC15" i="17" s="1"/>
  <c r="AZ21" i="22" s="1"/>
  <c r="BF259" i="17"/>
  <c r="BI269" i="17" s="1"/>
  <c r="BE270" i="17"/>
  <c r="BE268" i="17"/>
  <c r="BE263" i="17"/>
  <c r="BE15" i="17" s="1"/>
  <c r="BB21" i="22" s="1"/>
  <c r="BJ259" i="17"/>
  <c r="BM269" i="17" s="1"/>
  <c r="BG268" i="17"/>
  <c r="BG263" i="17"/>
  <c r="BG15" i="17" s="1"/>
  <c r="BD21" i="22" s="1"/>
  <c r="BI270" i="17"/>
  <c r="BI268" i="17"/>
  <c r="BI263" i="17"/>
  <c r="BI15" i="17" s="1"/>
  <c r="BF21" i="22" s="1"/>
  <c r="BK268" i="17"/>
  <c r="BK263" i="17"/>
  <c r="BK15" i="17" s="1"/>
  <c r="BH21" i="22" s="1"/>
  <c r="BN259" i="17"/>
  <c r="BQ269" i="17" s="1"/>
  <c r="BM270" i="17"/>
  <c r="BM268" i="17"/>
  <c r="BM263" i="17"/>
  <c r="BM15" i="17" s="1"/>
  <c r="BJ21" i="22" s="1"/>
  <c r="BP269" i="17"/>
  <c r="BR259" i="17"/>
  <c r="BU269" i="17" s="1"/>
  <c r="BO268" i="17"/>
  <c r="BO263" i="17"/>
  <c r="BO15" i="17" s="1"/>
  <c r="BL21" i="22" s="1"/>
  <c r="BQ270" i="17"/>
  <c r="BQ268" i="17"/>
  <c r="BQ263" i="17"/>
  <c r="BQ15" i="17" s="1"/>
  <c r="BN21" i="22" s="1"/>
  <c r="BS268" i="17"/>
  <c r="BS263" i="17"/>
  <c r="BS15" i="17" s="1"/>
  <c r="BP21" i="22" s="1"/>
  <c r="BV259" i="17"/>
  <c r="BY269" i="17" s="1"/>
  <c r="BU270" i="17"/>
  <c r="BU268" i="17"/>
  <c r="BU263" i="17"/>
  <c r="BU15" i="17" s="1"/>
  <c r="BR21" i="22" s="1"/>
  <c r="BZ259" i="17"/>
  <c r="CC269" i="17" s="1"/>
  <c r="BW268" i="17"/>
  <c r="BW263" i="17"/>
  <c r="BW15" i="17" s="1"/>
  <c r="BT21" i="22" s="1"/>
  <c r="BY270" i="17"/>
  <c r="BY268" i="17"/>
  <c r="BY263" i="17"/>
  <c r="BY15" i="17" s="1"/>
  <c r="BV21" i="22" s="1"/>
  <c r="CA268" i="17"/>
  <c r="CA263" i="17"/>
  <c r="CA15" i="17" s="1"/>
  <c r="BX21" i="22" s="1"/>
  <c r="CD259" i="17"/>
  <c r="CG269" i="17" s="1"/>
  <c r="CC270" i="17"/>
  <c r="CC268" i="17"/>
  <c r="CC263" i="17"/>
  <c r="CC15" i="17" s="1"/>
  <c r="BZ21" i="22" s="1"/>
  <c r="CH259" i="17"/>
  <c r="CK269" i="17" s="1"/>
  <c r="CE268" i="17"/>
  <c r="CE263" i="17"/>
  <c r="CE15" i="17" s="1"/>
  <c r="CB21" i="22" s="1"/>
  <c r="CG270" i="17"/>
  <c r="CG268" i="17"/>
  <c r="CG263" i="17"/>
  <c r="CG15" i="17" s="1"/>
  <c r="CD21" i="22" s="1"/>
  <c r="CI268" i="17"/>
  <c r="CI263" i="17"/>
  <c r="CI15" i="17" s="1"/>
  <c r="CF21" i="22" s="1"/>
  <c r="CL259" i="17"/>
  <c r="CN269" i="17" s="1"/>
  <c r="CK270" i="17"/>
  <c r="CK268" i="17"/>
  <c r="CK263" i="17"/>
  <c r="CK15" i="17" s="1"/>
  <c r="CH21" i="22" s="1"/>
  <c r="CP259" i="17"/>
  <c r="CM268" i="17"/>
  <c r="CM263" i="17"/>
  <c r="CM15" i="17" s="1"/>
  <c r="CO270" i="17"/>
  <c r="CO268" i="17"/>
  <c r="CO263" i="17"/>
  <c r="CO15" i="17" s="1"/>
  <c r="J296" i="17"/>
  <c r="G285" i="17"/>
  <c r="G278" i="17"/>
  <c r="I285" i="17"/>
  <c r="I278" i="17"/>
  <c r="J164" i="17"/>
  <c r="I176" i="17"/>
  <c r="K176" i="17"/>
  <c r="N164" i="17"/>
  <c r="M176" i="17"/>
  <c r="O176" i="17"/>
  <c r="R164" i="17"/>
  <c r="Q176" i="17"/>
  <c r="S176" i="17"/>
  <c r="V164" i="17"/>
  <c r="U176" i="17"/>
  <c r="W176" i="17"/>
  <c r="Z164" i="17"/>
  <c r="Y176" i="17"/>
  <c r="AA176" i="17"/>
  <c r="AD164" i="17"/>
  <c r="AC176" i="17"/>
  <c r="AE176" i="17"/>
  <c r="AH164" i="17"/>
  <c r="AG176" i="17"/>
  <c r="AI176" i="17"/>
  <c r="AL164" i="17"/>
  <c r="AK176" i="17"/>
  <c r="AM176" i="17"/>
  <c r="AP164" i="17"/>
  <c r="AO176" i="17"/>
  <c r="AQ176" i="17"/>
  <c r="AT164" i="17"/>
  <c r="AS176" i="17"/>
  <c r="AU176" i="17"/>
  <c r="AX164" i="17"/>
  <c r="AW176" i="17"/>
  <c r="AY176" i="17"/>
  <c r="BB164" i="17"/>
  <c r="BA176" i="17"/>
  <c r="BC176" i="17"/>
  <c r="BF164" i="17"/>
  <c r="BE176" i="17"/>
  <c r="BG176" i="17"/>
  <c r="BJ164" i="17"/>
  <c r="BI176" i="17"/>
  <c r="BK176" i="17"/>
  <c r="BN164" i="17"/>
  <c r="BM176" i="17"/>
  <c r="BO176" i="17"/>
  <c r="BR164" i="17"/>
  <c r="BQ176" i="17"/>
  <c r="BS176" i="17"/>
  <c r="BV164" i="17"/>
  <c r="BU176" i="17"/>
  <c r="J167" i="17"/>
  <c r="I168" i="17" s="1"/>
  <c r="I179" i="17"/>
  <c r="K179" i="17"/>
  <c r="N167" i="17"/>
  <c r="M179" i="17"/>
  <c r="R167" i="17"/>
  <c r="O179" i="17"/>
  <c r="Q179" i="17"/>
  <c r="S179" i="17"/>
  <c r="V167" i="17"/>
  <c r="V180" i="17" s="1"/>
  <c r="U179" i="17"/>
  <c r="Z167" i="17"/>
  <c r="W179" i="17"/>
  <c r="Y179" i="17"/>
  <c r="AA179" i="17"/>
  <c r="AD167" i="17"/>
  <c r="AC179" i="17"/>
  <c r="AH167" i="17"/>
  <c r="AE179" i="17"/>
  <c r="AG179" i="17"/>
  <c r="AI179" i="17"/>
  <c r="AL167" i="17"/>
  <c r="AL180" i="17" s="1"/>
  <c r="AK179" i="17"/>
  <c r="AP167" i="17"/>
  <c r="AM179" i="17"/>
  <c r="AO179" i="17"/>
  <c r="AQ179" i="17"/>
  <c r="AT167" i="17"/>
  <c r="AS179" i="17"/>
  <c r="AX167" i="17"/>
  <c r="AU179" i="17"/>
  <c r="AW179" i="17"/>
  <c r="AY179" i="17"/>
  <c r="BB167" i="17"/>
  <c r="BB180" i="17" s="1"/>
  <c r="BA179" i="17"/>
  <c r="BF167" i="17"/>
  <c r="BC179" i="17"/>
  <c r="BE179" i="17"/>
  <c r="BG179" i="17"/>
  <c r="BJ167" i="17"/>
  <c r="BJ180" i="17" s="1"/>
  <c r="BI179" i="17"/>
  <c r="BN167" i="17"/>
  <c r="BK179" i="17"/>
  <c r="BM179" i="17"/>
  <c r="BO179" i="17"/>
  <c r="BR167" i="17"/>
  <c r="BR180" i="17" s="1"/>
  <c r="BQ179" i="17"/>
  <c r="BV167" i="17"/>
  <c r="BS179" i="17"/>
  <c r="BU179" i="17"/>
  <c r="I82" i="17"/>
  <c r="N67" i="17"/>
  <c r="N83" i="17" s="1"/>
  <c r="K82" i="17"/>
  <c r="M82" i="17"/>
  <c r="O82" i="17"/>
  <c r="R67" i="17"/>
  <c r="Q82" i="17"/>
  <c r="V67" i="17"/>
  <c r="S82" i="17"/>
  <c r="U82" i="17"/>
  <c r="W82" i="17"/>
  <c r="Z67" i="17"/>
  <c r="Z83" i="17" s="1"/>
  <c r="Y82" i="17"/>
  <c r="AD67" i="17"/>
  <c r="AA82" i="17"/>
  <c r="AC82" i="17"/>
  <c r="AE82" i="17"/>
  <c r="AH67" i="17"/>
  <c r="AG82" i="17"/>
  <c r="AL67" i="17"/>
  <c r="AI82" i="17"/>
  <c r="AK82" i="17"/>
  <c r="AM82" i="17"/>
  <c r="AP67" i="17"/>
  <c r="AP83" i="17" s="1"/>
  <c r="AO82" i="17"/>
  <c r="AT67" i="17"/>
  <c r="AQ82" i="17"/>
  <c r="AS82" i="17"/>
  <c r="AU82" i="17"/>
  <c r="AX67" i="17"/>
  <c r="AX83" i="17" s="1"/>
  <c r="AW82" i="17"/>
  <c r="BB67" i="17"/>
  <c r="AY82" i="17"/>
  <c r="BA82" i="17"/>
  <c r="BC82" i="17"/>
  <c r="BF67" i="17"/>
  <c r="BF83" i="17" s="1"/>
  <c r="BE82" i="17"/>
  <c r="BJ67" i="17"/>
  <c r="BG82" i="17"/>
  <c r="BI82" i="17"/>
  <c r="BK82" i="17"/>
  <c r="BN67" i="17"/>
  <c r="BN83" i="17" s="1"/>
  <c r="BM82" i="17"/>
  <c r="BR67" i="17"/>
  <c r="BO82" i="17"/>
  <c r="BQ82" i="17"/>
  <c r="BS82" i="17"/>
  <c r="BV67" i="17"/>
  <c r="BU82" i="17"/>
  <c r="BZ67" i="17"/>
  <c r="BW82" i="17"/>
  <c r="BY82" i="17"/>
  <c r="I233" i="17"/>
  <c r="K233" i="17"/>
  <c r="N221" i="17"/>
  <c r="N234" i="17" s="1"/>
  <c r="M233" i="17"/>
  <c r="R221" i="17"/>
  <c r="O233" i="17"/>
  <c r="Q233" i="17"/>
  <c r="S233" i="17"/>
  <c r="V221" i="17"/>
  <c r="U233" i="17"/>
  <c r="Z221" i="17"/>
  <c r="W233" i="17"/>
  <c r="Y233" i="17"/>
  <c r="AA233" i="17"/>
  <c r="AD221" i="17"/>
  <c r="AD234" i="17" s="1"/>
  <c r="AC233" i="17"/>
  <c r="AH221" i="17"/>
  <c r="AE233" i="17"/>
  <c r="AG233" i="17"/>
  <c r="AI233" i="17"/>
  <c r="AL221" i="17"/>
  <c r="AL234" i="17" s="1"/>
  <c r="AK233" i="17"/>
  <c r="AP221" i="17"/>
  <c r="AM233" i="17"/>
  <c r="AO233" i="17"/>
  <c r="AQ233" i="17"/>
  <c r="AT221" i="17"/>
  <c r="AS233" i="17"/>
  <c r="AX221" i="17"/>
  <c r="AU233" i="17"/>
  <c r="AW233" i="17"/>
  <c r="AY233" i="17"/>
  <c r="BB221" i="17"/>
  <c r="BB234" i="17" s="1"/>
  <c r="BA233" i="17"/>
  <c r="BF221" i="17"/>
  <c r="BC233" i="17"/>
  <c r="BE233" i="17"/>
  <c r="BG233" i="17"/>
  <c r="BJ221" i="17"/>
  <c r="BI233" i="17"/>
  <c r="BN221" i="17"/>
  <c r="BK233" i="17"/>
  <c r="BM233" i="17"/>
  <c r="BO233" i="17"/>
  <c r="BR221" i="17"/>
  <c r="BR234" i="17" s="1"/>
  <c r="BQ233" i="17"/>
  <c r="BV221" i="17"/>
  <c r="BS233" i="17"/>
  <c r="BU233" i="17"/>
  <c r="I236" i="17"/>
  <c r="K236" i="17"/>
  <c r="N224" i="17"/>
  <c r="N237" i="17" s="1"/>
  <c r="M236" i="17"/>
  <c r="O236" i="17"/>
  <c r="R224" i="17"/>
  <c r="Q236" i="17"/>
  <c r="S236" i="17"/>
  <c r="V224" i="17"/>
  <c r="U236" i="17"/>
  <c r="W236" i="17"/>
  <c r="Z224" i="17"/>
  <c r="Y236" i="17"/>
  <c r="AA236" i="17"/>
  <c r="AD224" i="17"/>
  <c r="AC236" i="17"/>
  <c r="AE236" i="17"/>
  <c r="AH224" i="17"/>
  <c r="AG236" i="17"/>
  <c r="AI236" i="17"/>
  <c r="AL224" i="17"/>
  <c r="AK236" i="17"/>
  <c r="AM236" i="17"/>
  <c r="AP224" i="17"/>
  <c r="AO236" i="17"/>
  <c r="AQ236" i="17"/>
  <c r="AT224" i="17"/>
  <c r="AS236" i="17"/>
  <c r="AU236" i="17"/>
  <c r="AX224" i="17"/>
  <c r="AW236" i="17"/>
  <c r="AY236" i="17"/>
  <c r="BB224" i="17"/>
  <c r="BA236" i="17"/>
  <c r="BC236" i="17"/>
  <c r="BF224" i="17"/>
  <c r="BE236" i="17"/>
  <c r="BG236" i="17"/>
  <c r="BJ224" i="17"/>
  <c r="BI236" i="17"/>
  <c r="BK236" i="17"/>
  <c r="BN224" i="17"/>
  <c r="BM236" i="17"/>
  <c r="BO236" i="17"/>
  <c r="BR224" i="17"/>
  <c r="BQ236" i="17"/>
  <c r="BS236" i="17"/>
  <c r="BV224" i="17"/>
  <c r="BU236" i="17"/>
  <c r="J117" i="11"/>
  <c r="P117" i="11" s="1"/>
  <c r="O118" i="11"/>
  <c r="P118" i="11" s="1"/>
  <c r="T118" i="11"/>
  <c r="Y118" i="11"/>
  <c r="AD118" i="11"/>
  <c r="AI118" i="11"/>
  <c r="AN118" i="11"/>
  <c r="AS118" i="11"/>
  <c r="AX118" i="11"/>
  <c r="BC118" i="11"/>
  <c r="BH118" i="11"/>
  <c r="BM118" i="11"/>
  <c r="BR118" i="11"/>
  <c r="BW118" i="11"/>
  <c r="CB118" i="11"/>
  <c r="CG118" i="11"/>
  <c r="CL118" i="11"/>
  <c r="CQ118" i="11"/>
  <c r="CV118" i="11"/>
  <c r="DA118" i="11"/>
  <c r="DF118" i="11"/>
  <c r="DK118" i="11"/>
  <c r="J119" i="11"/>
  <c r="O119" i="11"/>
  <c r="Y119" i="11"/>
  <c r="AI119" i="11"/>
  <c r="AS119" i="11"/>
  <c r="BC119" i="11"/>
  <c r="BM119" i="11"/>
  <c r="BW119" i="11"/>
  <c r="CG119" i="11"/>
  <c r="CQ119" i="11"/>
  <c r="DA119" i="11"/>
  <c r="DK119" i="11"/>
  <c r="DN119" i="11" s="1"/>
  <c r="H260" i="12"/>
  <c r="J260" i="12"/>
  <c r="L260" i="12"/>
  <c r="N260" i="12"/>
  <c r="P260" i="12"/>
  <c r="R260" i="12"/>
  <c r="T260" i="12"/>
  <c r="V260" i="12"/>
  <c r="X260" i="12"/>
  <c r="J355" i="12"/>
  <c r="L355" i="12"/>
  <c r="N355" i="12"/>
  <c r="P355" i="12"/>
  <c r="R355" i="12"/>
  <c r="T355" i="12"/>
  <c r="V355" i="12"/>
  <c r="X355" i="12"/>
  <c r="Z355" i="12"/>
  <c r="J372" i="12"/>
  <c r="J125" i="21" s="1"/>
  <c r="L372" i="12"/>
  <c r="L125" i="21" s="1"/>
  <c r="N372" i="12"/>
  <c r="N125" i="21" s="1"/>
  <c r="P372" i="12"/>
  <c r="P125" i="21" s="1"/>
  <c r="R372" i="12"/>
  <c r="R125" i="21" s="1"/>
  <c r="T372" i="12"/>
  <c r="T125" i="21" s="1"/>
  <c r="V372" i="12"/>
  <c r="V125" i="21" s="1"/>
  <c r="X372" i="12"/>
  <c r="X125" i="21" s="1"/>
  <c r="Z372" i="12"/>
  <c r="I373" i="12"/>
  <c r="I127" i="21" s="1"/>
  <c r="K373" i="12"/>
  <c r="K127" i="21" s="1"/>
  <c r="M373" i="12"/>
  <c r="M127" i="21" s="1"/>
  <c r="O373" i="12"/>
  <c r="O127" i="21" s="1"/>
  <c r="Q373" i="12"/>
  <c r="Q127" i="21" s="1"/>
  <c r="S373" i="12"/>
  <c r="S127" i="21" s="1"/>
  <c r="U373" i="12"/>
  <c r="U127" i="21" s="1"/>
  <c r="W373" i="12"/>
  <c r="W127" i="21" s="1"/>
  <c r="Y373" i="12"/>
  <c r="Y127" i="21" s="1"/>
  <c r="AA373" i="12"/>
  <c r="J374" i="12"/>
  <c r="J126" i="21" s="1"/>
  <c r="L374" i="12"/>
  <c r="L126" i="21" s="1"/>
  <c r="N374" i="12"/>
  <c r="N126" i="21" s="1"/>
  <c r="P374" i="12"/>
  <c r="P126" i="21" s="1"/>
  <c r="R374" i="12"/>
  <c r="R126" i="21" s="1"/>
  <c r="T374" i="12"/>
  <c r="T126" i="21" s="1"/>
  <c r="V374" i="12"/>
  <c r="V126" i="21" s="1"/>
  <c r="X374" i="12"/>
  <c r="X126" i="21" s="1"/>
  <c r="Z374" i="12"/>
  <c r="I375" i="12"/>
  <c r="I128" i="21" s="1"/>
  <c r="K375" i="12"/>
  <c r="K128" i="21" s="1"/>
  <c r="M375" i="12"/>
  <c r="M128" i="21" s="1"/>
  <c r="O375" i="12"/>
  <c r="O128" i="21" s="1"/>
  <c r="Q375" i="12"/>
  <c r="Q128" i="21" s="1"/>
  <c r="S375" i="12"/>
  <c r="S128" i="21" s="1"/>
  <c r="U375" i="12"/>
  <c r="U128" i="21" s="1"/>
  <c r="W375" i="12"/>
  <c r="W128" i="21" s="1"/>
  <c r="Y375" i="12"/>
  <c r="Y128" i="21" s="1"/>
  <c r="AA375" i="12"/>
  <c r="I117" i="2"/>
  <c r="CQ14" i="22"/>
  <c r="K117" i="2"/>
  <c r="CS14" i="22"/>
  <c r="M117" i="2"/>
  <c r="CU14" i="22"/>
  <c r="O117" i="2"/>
  <c r="I121" i="2"/>
  <c r="CQ18" i="22"/>
  <c r="K121" i="2"/>
  <c r="CS18" i="22"/>
  <c r="M121" i="2"/>
  <c r="CU18" i="22"/>
  <c r="O121" i="2"/>
  <c r="I123" i="2"/>
  <c r="CQ20" i="22"/>
  <c r="K123" i="2"/>
  <c r="CS20" i="22"/>
  <c r="M123" i="2"/>
  <c r="CU20" i="22"/>
  <c r="O123" i="2"/>
  <c r="AC160" i="21"/>
  <c r="AD798" i="7"/>
  <c r="AE798" i="7" s="1"/>
  <c r="AA159" i="21"/>
  <c r="D210" i="2"/>
  <c r="AA160" i="21"/>
  <c r="D211" i="2"/>
  <c r="AU211" i="2" s="1"/>
  <c r="H801" i="7"/>
  <c r="J801" i="7"/>
  <c r="L801" i="7"/>
  <c r="N801" i="7"/>
  <c r="P801" i="7"/>
  <c r="R801" i="7"/>
  <c r="T801" i="7"/>
  <c r="V801" i="7"/>
  <c r="X801" i="7"/>
  <c r="I802" i="7"/>
  <c r="K802" i="7"/>
  <c r="M802" i="7"/>
  <c r="O802" i="7"/>
  <c r="Q802" i="7"/>
  <c r="S802" i="7"/>
  <c r="U802" i="7"/>
  <c r="W802" i="7"/>
  <c r="Y802" i="7"/>
  <c r="AA802" i="7"/>
  <c r="Z159" i="21"/>
  <c r="C210" i="2"/>
  <c r="AT210" i="2" s="1"/>
  <c r="AB159" i="21"/>
  <c r="Z160" i="21"/>
  <c r="C211" i="2"/>
  <c r="AT211" i="2" s="1"/>
  <c r="AB160" i="21"/>
  <c r="I801" i="7"/>
  <c r="K801" i="7"/>
  <c r="M801" i="7"/>
  <c r="O801" i="7"/>
  <c r="Q801" i="7"/>
  <c r="S801" i="7"/>
  <c r="U801" i="7"/>
  <c r="W801" i="7"/>
  <c r="Y801" i="7"/>
  <c r="AA801" i="7"/>
  <c r="H802" i="7"/>
  <c r="J802" i="7"/>
  <c r="L802" i="7"/>
  <c r="N802" i="7"/>
  <c r="P802" i="7"/>
  <c r="R802" i="7"/>
  <c r="T802" i="7"/>
  <c r="V802" i="7"/>
  <c r="X802" i="7"/>
  <c r="Z802" i="7"/>
  <c r="AB802" i="7"/>
  <c r="BC802" i="7" s="1"/>
  <c r="BC115" i="2"/>
  <c r="BF116" i="2"/>
  <c r="BB115" i="2"/>
  <c r="BD115" i="2"/>
  <c r="BC116" i="2"/>
  <c r="BE116" i="2"/>
  <c r="AZ267" i="2"/>
  <c r="BB267" i="2"/>
  <c r="BD267" i="2"/>
  <c r="BF267" i="2"/>
  <c r="BA268" i="2"/>
  <c r="BC268" i="2"/>
  <c r="BE268" i="2"/>
  <c r="AZ269" i="2"/>
  <c r="BB269" i="2"/>
  <c r="BD269" i="2"/>
  <c r="BF269" i="2"/>
  <c r="BA270" i="2"/>
  <c r="BC270" i="2"/>
  <c r="BE270" i="2"/>
  <c r="AZ271" i="2"/>
  <c r="BB271" i="2"/>
  <c r="BD271" i="2"/>
  <c r="BF271" i="2"/>
  <c r="J119" i="20"/>
  <c r="AA119" i="20" s="1"/>
  <c r="L119" i="20"/>
  <c r="AC119" i="20" s="1"/>
  <c r="N119" i="20"/>
  <c r="AE119" i="20" s="1"/>
  <c r="P119" i="20"/>
  <c r="AG119" i="20" s="1"/>
  <c r="J121" i="20"/>
  <c r="AA121" i="20" s="1"/>
  <c r="L121" i="20"/>
  <c r="AC121" i="20" s="1"/>
  <c r="N121" i="20"/>
  <c r="AE121" i="20" s="1"/>
  <c r="P121" i="20"/>
  <c r="AG121" i="20" s="1"/>
  <c r="BA267" i="2"/>
  <c r="BC267" i="2"/>
  <c r="BE267" i="2"/>
  <c r="BA269" i="2"/>
  <c r="BC269" i="2"/>
  <c r="BE269" i="2"/>
  <c r="BA271" i="2"/>
  <c r="BC271" i="2"/>
  <c r="BE271" i="2"/>
  <c r="L3" i="16" l="1"/>
  <c r="K3" i="16"/>
  <c r="O2" i="16"/>
  <c r="AA236" i="7"/>
  <c r="Y613" i="7"/>
  <c r="X613" i="7"/>
  <c r="AD267" i="7"/>
  <c r="AE267" i="7" s="1"/>
  <c r="AF267" i="7" s="1"/>
  <c r="Z613" i="7"/>
  <c r="AB261" i="7"/>
  <c r="BC261" i="7" s="1"/>
  <c r="BD205" i="7"/>
  <c r="F412" i="20"/>
  <c r="P103" i="20"/>
  <c r="AG103" i="20" s="1"/>
  <c r="F439" i="20"/>
  <c r="W439" i="20" s="1"/>
  <c r="I103" i="20"/>
  <c r="Z103" i="20" s="1"/>
  <c r="F409" i="20"/>
  <c r="F418" i="20"/>
  <c r="F420" i="20"/>
  <c r="F426" i="20"/>
  <c r="I104" i="20"/>
  <c r="Z104" i="20" s="1"/>
  <c r="N104" i="20"/>
  <c r="AE104" i="20" s="1"/>
  <c r="G16" i="20"/>
  <c r="H16" i="20" s="1"/>
  <c r="AO456" i="20"/>
  <c r="F425" i="20"/>
  <c r="F410" i="20"/>
  <c r="F408" i="20"/>
  <c r="J104" i="20"/>
  <c r="AA104" i="20" s="1"/>
  <c r="K103" i="20"/>
  <c r="AB103" i="20" s="1"/>
  <c r="J103" i="20"/>
  <c r="AA103" i="20" s="1"/>
  <c r="F419" i="20"/>
  <c r="F416" i="20"/>
  <c r="F417" i="20"/>
  <c r="K104" i="20"/>
  <c r="AB104" i="20" s="1"/>
  <c r="O103" i="20"/>
  <c r="AF103" i="20" s="1"/>
  <c r="E99" i="20"/>
  <c r="I99" i="20" s="1"/>
  <c r="M99" i="20" s="1"/>
  <c r="D253" i="2"/>
  <c r="AU253" i="2" s="1"/>
  <c r="D256" i="2"/>
  <c r="AU256" i="2" s="1"/>
  <c r="L104" i="20"/>
  <c r="AC104" i="20" s="1"/>
  <c r="AE22" i="12"/>
  <c r="AB24" i="8"/>
  <c r="AC165" i="7"/>
  <c r="AD165" i="7" s="1"/>
  <c r="AE165" i="7" s="1"/>
  <c r="AF165" i="7" s="1"/>
  <c r="E177" i="2"/>
  <c r="AV177" i="2" s="1"/>
  <c r="D190" i="2"/>
  <c r="AU190" i="2" s="1"/>
  <c r="E211" i="2"/>
  <c r="AV211" i="2" s="1"/>
  <c r="FB32" i="6"/>
  <c r="AF88" i="21"/>
  <c r="DE308" i="17"/>
  <c r="DF303" i="17"/>
  <c r="AJ57" i="7"/>
  <c r="AJ55" i="7"/>
  <c r="AJ56" i="7"/>
  <c r="AJ58" i="7"/>
  <c r="AE160" i="21"/>
  <c r="AF798" i="7"/>
  <c r="AF160" i="21" s="1"/>
  <c r="AF657" i="7"/>
  <c r="AF21" i="8"/>
  <c r="AF22" i="8"/>
  <c r="AB269" i="17"/>
  <c r="BZ246" i="17"/>
  <c r="V217" i="20"/>
  <c r="CX308" i="17"/>
  <c r="AJ269" i="17"/>
  <c r="V234" i="17"/>
  <c r="P736" i="7"/>
  <c r="P737" i="7" s="1"/>
  <c r="CN247" i="17"/>
  <c r="AZ269" i="17"/>
  <c r="U155" i="7"/>
  <c r="BC294" i="7"/>
  <c r="M155" i="7"/>
  <c r="J736" i="7"/>
  <c r="J737" i="7" s="1"/>
  <c r="AB293" i="7"/>
  <c r="BC293" i="7" s="1"/>
  <c r="F438" i="20"/>
  <c r="W438" i="20" s="1"/>
  <c r="F440" i="20"/>
  <c r="W440" i="20" s="1"/>
  <c r="BX269" i="17"/>
  <c r="Z24" i="8"/>
  <c r="I719" i="7"/>
  <c r="I720" i="7" s="1"/>
  <c r="Y293" i="7"/>
  <c r="AA293" i="7"/>
  <c r="Z293" i="7"/>
  <c r="L52" i="17"/>
  <c r="Y436" i="7"/>
  <c r="AA72" i="8"/>
  <c r="AG199" i="7"/>
  <c r="AH208" i="7" s="1"/>
  <c r="F407" i="20"/>
  <c r="F435" i="20"/>
  <c r="F415" i="20"/>
  <c r="AM257" i="20"/>
  <c r="AN253" i="20"/>
  <c r="AT234" i="17"/>
  <c r="AM239" i="20"/>
  <c r="V242" i="7"/>
  <c r="N242" i="7"/>
  <c r="Z301" i="7"/>
  <c r="DQ40" i="6"/>
  <c r="R242" i="7"/>
  <c r="J242" i="7"/>
  <c r="Y719" i="7"/>
  <c r="Y720" i="7" s="1"/>
  <c r="AF20" i="6"/>
  <c r="AF18" i="6" s="1"/>
  <c r="X72" i="8"/>
  <c r="P72" i="8"/>
  <c r="H72" i="8"/>
  <c r="O158" i="7"/>
  <c r="L33" i="17"/>
  <c r="CN93" i="17"/>
  <c r="U719" i="7"/>
  <c r="U720" i="7" s="1"/>
  <c r="G18" i="6"/>
  <c r="X430" i="7"/>
  <c r="U547" i="7"/>
  <c r="AA301" i="7"/>
  <c r="X437" i="7"/>
  <c r="X74" i="21"/>
  <c r="R438" i="7"/>
  <c r="BN18" i="6"/>
  <c r="T547" i="7"/>
  <c r="Y403" i="7"/>
  <c r="V723" i="7"/>
  <c r="V725" i="7" s="1"/>
  <c r="BH269" i="17"/>
  <c r="W122" i="7"/>
  <c r="U122" i="7"/>
  <c r="S122" i="7"/>
  <c r="Q122" i="7"/>
  <c r="O122" i="7"/>
  <c r="M122" i="7"/>
  <c r="AA120" i="8"/>
  <c r="M719" i="7"/>
  <c r="M720" i="7" s="1"/>
  <c r="W509" i="7"/>
  <c r="O509" i="7"/>
  <c r="DJ18" i="6"/>
  <c r="DP67" i="6" s="1"/>
  <c r="I158" i="7"/>
  <c r="J438" i="7"/>
  <c r="L547" i="7"/>
  <c r="P546" i="7"/>
  <c r="J61" i="21"/>
  <c r="O153" i="7"/>
  <c r="Z245" i="7"/>
  <c r="Z122" i="21" s="1"/>
  <c r="BO18" i="6"/>
  <c r="BU67" i="6" s="1"/>
  <c r="S198" i="8"/>
  <c r="K198" i="8"/>
  <c r="I49" i="24" s="1"/>
  <c r="Z25" i="8"/>
  <c r="I61" i="21"/>
  <c r="S449" i="7"/>
  <c r="DK18" i="6"/>
  <c r="DK67" i="6" s="1"/>
  <c r="S18" i="6"/>
  <c r="Y67" i="6" s="1"/>
  <c r="I242" i="7"/>
  <c r="AH147" i="7"/>
  <c r="Y122" i="7"/>
  <c r="H723" i="7"/>
  <c r="H725" i="7" s="1"/>
  <c r="AH83" i="17"/>
  <c r="T269" i="17"/>
  <c r="AA231" i="7"/>
  <c r="Q543" i="7"/>
  <c r="V438" i="7"/>
  <c r="Y72" i="8"/>
  <c r="Q72" i="8"/>
  <c r="I72" i="8"/>
  <c r="DV40" i="6"/>
  <c r="S509" i="7"/>
  <c r="AD40" i="6"/>
  <c r="CL18" i="6"/>
  <c r="CR67" i="6" s="1"/>
  <c r="P547" i="7"/>
  <c r="R740" i="7"/>
  <c r="R742" i="7" s="1"/>
  <c r="AU234" i="2"/>
  <c r="I87" i="17"/>
  <c r="AH149" i="7"/>
  <c r="X113" i="7"/>
  <c r="Y270" i="7"/>
  <c r="W72" i="8"/>
  <c r="S72" i="8"/>
  <c r="O72" i="8"/>
  <c r="K72" i="8"/>
  <c r="AB231" i="7"/>
  <c r="BC231" i="7" s="1"/>
  <c r="Q242" i="7"/>
  <c r="Q155" i="7"/>
  <c r="H438" i="7"/>
  <c r="G340" i="12"/>
  <c r="AA304" i="12"/>
  <c r="W304" i="12"/>
  <c r="S304" i="12"/>
  <c r="O304" i="12"/>
  <c r="K304" i="12"/>
  <c r="Z272" i="12"/>
  <c r="V272" i="12"/>
  <c r="R272" i="12"/>
  <c r="N272" i="12"/>
  <c r="J272" i="12"/>
  <c r="X256" i="12"/>
  <c r="R421" i="12"/>
  <c r="P256" i="12"/>
  <c r="J421" i="12"/>
  <c r="Z415" i="12"/>
  <c r="Z255" i="12"/>
  <c r="AA391" i="12"/>
  <c r="T13" i="24"/>
  <c r="L13" i="24"/>
  <c r="X76" i="12"/>
  <c r="P76" i="12"/>
  <c r="T59" i="12"/>
  <c r="L59" i="12"/>
  <c r="H552" i="7"/>
  <c r="N752" i="7"/>
  <c r="N756" i="7" s="1"/>
  <c r="AA270" i="7"/>
  <c r="Z239" i="7"/>
  <c r="U242" i="7"/>
  <c r="M242" i="7"/>
  <c r="Z72" i="8"/>
  <c r="P627" i="7"/>
  <c r="P638" i="7" s="1"/>
  <c r="Z736" i="7"/>
  <c r="Z737" i="7" s="1"/>
  <c r="Y304" i="12"/>
  <c r="U304" i="12"/>
  <c r="Q304" i="12"/>
  <c r="M304" i="12"/>
  <c r="I304" i="12"/>
  <c r="H397" i="12"/>
  <c r="X13" i="24"/>
  <c r="P13" i="24"/>
  <c r="H13" i="24"/>
  <c r="H128" i="12"/>
  <c r="T76" i="12"/>
  <c r="L76" i="12"/>
  <c r="X552" i="7"/>
  <c r="BT18" i="6"/>
  <c r="K449" i="7"/>
  <c r="AB613" i="7"/>
  <c r="BC613" i="7" s="1"/>
  <c r="Y452" i="12"/>
  <c r="W452" i="12"/>
  <c r="U452" i="12"/>
  <c r="S452" i="12"/>
  <c r="Q452" i="12"/>
  <c r="O452" i="12"/>
  <c r="M452" i="12"/>
  <c r="K452" i="12"/>
  <c r="I452" i="12"/>
  <c r="K122" i="7"/>
  <c r="I122" i="7"/>
  <c r="W120" i="8"/>
  <c r="S120" i="8"/>
  <c r="O120" i="8"/>
  <c r="K120" i="8"/>
  <c r="W719" i="7"/>
  <c r="W720" i="7" s="1"/>
  <c r="S719" i="7"/>
  <c r="S720" i="7" s="1"/>
  <c r="O719" i="7"/>
  <c r="O720" i="7" s="1"/>
  <c r="K546" i="7"/>
  <c r="G719" i="7"/>
  <c r="G720" i="7" s="1"/>
  <c r="W158" i="7"/>
  <c r="S61" i="21"/>
  <c r="O61" i="21"/>
  <c r="Y752" i="7"/>
  <c r="Y756" i="7" s="1"/>
  <c r="U752" i="7"/>
  <c r="U756" i="7" s="1"/>
  <c r="Q752" i="7"/>
  <c r="Q756" i="7" s="1"/>
  <c r="M752" i="7"/>
  <c r="M756" i="7" s="1"/>
  <c r="I155" i="7"/>
  <c r="P438" i="7"/>
  <c r="H627" i="7"/>
  <c r="H638" i="7" s="1"/>
  <c r="V736" i="7"/>
  <c r="V737" i="7" s="1"/>
  <c r="R736" i="7"/>
  <c r="R737" i="7" s="1"/>
  <c r="J547" i="7"/>
  <c r="W346" i="12"/>
  <c r="S346" i="12"/>
  <c r="O346" i="12"/>
  <c r="K346" i="12"/>
  <c r="X305" i="12"/>
  <c r="V443" i="12"/>
  <c r="P305" i="12"/>
  <c r="N443" i="12"/>
  <c r="T334" i="12"/>
  <c r="R442" i="12"/>
  <c r="L334" i="12"/>
  <c r="J442" i="12"/>
  <c r="Z421" i="12"/>
  <c r="X416" i="12"/>
  <c r="P416" i="12"/>
  <c r="AA419" i="12"/>
  <c r="H415" i="12"/>
  <c r="U414" i="12"/>
  <c r="M414" i="12"/>
  <c r="AB397" i="12"/>
  <c r="Y254" i="12"/>
  <c r="Y366" i="12"/>
  <c r="W54" i="24" s="1"/>
  <c r="S391" i="12"/>
  <c r="Q254" i="12"/>
  <c r="Q366" i="12"/>
  <c r="O54" i="24" s="1"/>
  <c r="K391" i="12"/>
  <c r="I254" i="12"/>
  <c r="I366" i="12"/>
  <c r="G54" i="24" s="1"/>
  <c r="Z7" i="24"/>
  <c r="T129" i="12"/>
  <c r="L129" i="12"/>
  <c r="AA118" i="12"/>
  <c r="S118" i="12"/>
  <c r="K118" i="12"/>
  <c r="V128" i="12"/>
  <c r="N128" i="12"/>
  <c r="Y98" i="12"/>
  <c r="Q98" i="12"/>
  <c r="I98" i="12"/>
  <c r="T543" i="7"/>
  <c r="L719" i="7"/>
  <c r="L720" i="7" s="1"/>
  <c r="N61" i="21"/>
  <c r="BV20" i="6"/>
  <c r="BV18" i="6" s="1"/>
  <c r="J155" i="7"/>
  <c r="O449" i="7"/>
  <c r="Y736" i="7"/>
  <c r="Y737" i="7" s="1"/>
  <c r="M547" i="7"/>
  <c r="AE40" i="6"/>
  <c r="AE89" i="6" s="1"/>
  <c r="U145" i="7"/>
  <c r="Q145" i="7"/>
  <c r="M145" i="7"/>
  <c r="I145" i="7"/>
  <c r="AA719" i="7"/>
  <c r="AA720" i="7" s="1"/>
  <c r="Q719" i="7"/>
  <c r="Q720" i="7" s="1"/>
  <c r="K719" i="7"/>
  <c r="K720" i="7" s="1"/>
  <c r="W61" i="21"/>
  <c r="M150" i="7"/>
  <c r="F18" i="6"/>
  <c r="L67" i="6" s="1"/>
  <c r="I752" i="7"/>
  <c r="I756" i="7" s="1"/>
  <c r="T627" i="7"/>
  <c r="T638" i="7" s="1"/>
  <c r="N438" i="7"/>
  <c r="X547" i="7"/>
  <c r="R547" i="7"/>
  <c r="N736" i="7"/>
  <c r="N737" i="7" s="1"/>
  <c r="H547" i="7"/>
  <c r="J740" i="7"/>
  <c r="J742" i="7" s="1"/>
  <c r="EC18" i="6"/>
  <c r="T153" i="7"/>
  <c r="H305" i="12"/>
  <c r="X334" i="12"/>
  <c r="V442" i="12"/>
  <c r="P334" i="12"/>
  <c r="N442" i="12"/>
  <c r="H421" i="12"/>
  <c r="X415" i="12"/>
  <c r="V415" i="12"/>
  <c r="T415" i="12"/>
  <c r="R415" i="12"/>
  <c r="P415" i="12"/>
  <c r="N415" i="12"/>
  <c r="L415" i="12"/>
  <c r="J415" i="12"/>
  <c r="X255" i="12"/>
  <c r="V255" i="12"/>
  <c r="T255" i="12"/>
  <c r="R255" i="12"/>
  <c r="P255" i="12"/>
  <c r="N255" i="12"/>
  <c r="L255" i="12"/>
  <c r="J255" i="12"/>
  <c r="W391" i="12"/>
  <c r="U254" i="12"/>
  <c r="O391" i="12"/>
  <c r="M254" i="12"/>
  <c r="CF47" i="6"/>
  <c r="CL96" i="6" s="1"/>
  <c r="S510" i="7"/>
  <c r="K74" i="21"/>
  <c r="T72" i="8"/>
  <c r="L72" i="8"/>
  <c r="Y543" i="7"/>
  <c r="S546" i="7"/>
  <c r="I543" i="7"/>
  <c r="CB20" i="6"/>
  <c r="L627" i="7"/>
  <c r="L638" i="7" s="1"/>
  <c r="X736" i="7"/>
  <c r="X737" i="7" s="1"/>
  <c r="H736" i="7"/>
  <c r="H737" i="7" s="1"/>
  <c r="T74" i="21"/>
  <c r="L153" i="7"/>
  <c r="Z451" i="12"/>
  <c r="H345" i="12"/>
  <c r="X272" i="12"/>
  <c r="T272" i="12"/>
  <c r="P272" i="12"/>
  <c r="L272" i="12"/>
  <c r="AA273" i="12"/>
  <c r="V421" i="12"/>
  <c r="T256" i="12"/>
  <c r="N421" i="12"/>
  <c r="L256" i="12"/>
  <c r="Y420" i="12"/>
  <c r="W420" i="12"/>
  <c r="U420" i="12"/>
  <c r="S420" i="12"/>
  <c r="Q420" i="12"/>
  <c r="O420" i="12"/>
  <c r="M420" i="12"/>
  <c r="K420" i="12"/>
  <c r="I420" i="12"/>
  <c r="X439" i="7"/>
  <c r="X59" i="12"/>
  <c r="P59" i="12"/>
  <c r="EB47" i="6"/>
  <c r="N509" i="7"/>
  <c r="V158" i="7"/>
  <c r="V752" i="7"/>
  <c r="V756" i="7" s="1"/>
  <c r="W627" i="7"/>
  <c r="W638" i="7" s="1"/>
  <c r="G627" i="7"/>
  <c r="G638" i="7" s="1"/>
  <c r="I736" i="7"/>
  <c r="I737" i="7" s="1"/>
  <c r="S74" i="21"/>
  <c r="Y346" i="12"/>
  <c r="U346" i="12"/>
  <c r="Q346" i="12"/>
  <c r="M346" i="12"/>
  <c r="I346" i="12"/>
  <c r="AB305" i="12"/>
  <c r="Z443" i="12"/>
  <c r="T305" i="12"/>
  <c r="R443" i="12"/>
  <c r="L305" i="12"/>
  <c r="J443" i="12"/>
  <c r="T416" i="12"/>
  <c r="L416" i="12"/>
  <c r="Y414" i="12"/>
  <c r="Q414" i="12"/>
  <c r="I414" i="12"/>
  <c r="U366" i="12"/>
  <c r="S54" i="24" s="1"/>
  <c r="M366" i="12"/>
  <c r="K54" i="24" s="1"/>
  <c r="X129" i="12"/>
  <c r="P129" i="12"/>
  <c r="W118" i="12"/>
  <c r="O118" i="12"/>
  <c r="Z128" i="12"/>
  <c r="R128" i="12"/>
  <c r="J128" i="12"/>
  <c r="U98" i="12"/>
  <c r="M98" i="12"/>
  <c r="W449" i="20"/>
  <c r="AG17" i="24"/>
  <c r="CF269" i="17"/>
  <c r="X239" i="7"/>
  <c r="T719" i="7"/>
  <c r="T720" i="7" s="1"/>
  <c r="N158" i="7"/>
  <c r="W449" i="7"/>
  <c r="I547" i="7"/>
  <c r="DW40" i="6"/>
  <c r="CM18" i="6"/>
  <c r="CS67" i="6" s="1"/>
  <c r="AQ18" i="6"/>
  <c r="AW67" i="6" s="1"/>
  <c r="DM35" i="11"/>
  <c r="DN35" i="11" s="1"/>
  <c r="DO35" i="11" s="1"/>
  <c r="Q547" i="7"/>
  <c r="V61" i="21"/>
  <c r="O627" i="7"/>
  <c r="O638" i="7" s="1"/>
  <c r="Y547" i="7"/>
  <c r="Q736" i="7"/>
  <c r="Q737" i="7" s="1"/>
  <c r="AC239" i="7"/>
  <c r="BD207" i="7"/>
  <c r="AB228" i="7"/>
  <c r="BC228" i="7" s="1"/>
  <c r="Z430" i="7"/>
  <c r="Z442" i="7"/>
  <c r="BC397" i="7"/>
  <c r="AB409" i="7"/>
  <c r="BC409" i="7" s="1"/>
  <c r="AB403" i="7"/>
  <c r="BC403" i="7" s="1"/>
  <c r="X403" i="7"/>
  <c r="AA228" i="7"/>
  <c r="AB270" i="7"/>
  <c r="BC630" i="7"/>
  <c r="AB641" i="7"/>
  <c r="BC641" i="7" s="1"/>
  <c r="X245" i="7"/>
  <c r="X122" i="21" s="1"/>
  <c r="AA437" i="7"/>
  <c r="AA448" i="7"/>
  <c r="Y437" i="7"/>
  <c r="X436" i="7"/>
  <c r="X236" i="7"/>
  <c r="AB439" i="7"/>
  <c r="BC439" i="7" s="1"/>
  <c r="AB450" i="7"/>
  <c r="BC450" i="7" s="1"/>
  <c r="AC439" i="7"/>
  <c r="Z439" i="7"/>
  <c r="Z450" i="7"/>
  <c r="AC549" i="7"/>
  <c r="AB555" i="7"/>
  <c r="BC555" i="7" s="1"/>
  <c r="AA439" i="7"/>
  <c r="AA450" i="7"/>
  <c r="Z438" i="7"/>
  <c r="Z449" i="7"/>
  <c r="BC540" i="7"/>
  <c r="AB553" i="7"/>
  <c r="BC553" i="7" s="1"/>
  <c r="AC509" i="7"/>
  <c r="AC723" i="7"/>
  <c r="AC725" i="7" s="1"/>
  <c r="BC539" i="7"/>
  <c r="AB552" i="7"/>
  <c r="BC552" i="7" s="1"/>
  <c r="AA108" i="21"/>
  <c r="AA438" i="7"/>
  <c r="AA449" i="7"/>
  <c r="AC553" i="7"/>
  <c r="AC736" i="7"/>
  <c r="AC737" i="7" s="1"/>
  <c r="AC374" i="7"/>
  <c r="AC353" i="7"/>
  <c r="AC191" i="7"/>
  <c r="AA242" i="7"/>
  <c r="Y242" i="7"/>
  <c r="AC231" i="7"/>
  <c r="AB245" i="7"/>
  <c r="AA259" i="7"/>
  <c r="AA271" i="7" s="1"/>
  <c r="X289" i="7"/>
  <c r="X265" i="7"/>
  <c r="X287" i="7" s="1"/>
  <c r="X279" i="7"/>
  <c r="Y245" i="7"/>
  <c r="Y122" i="21" s="1"/>
  <c r="AA245" i="7"/>
  <c r="Y239" i="7"/>
  <c r="AA239" i="7"/>
  <c r="AA613" i="7"/>
  <c r="AA403" i="7"/>
  <c r="AA409" i="7"/>
  <c r="Z228" i="7"/>
  <c r="AB437" i="7"/>
  <c r="BC437" i="7" s="1"/>
  <c r="AB448" i="7"/>
  <c r="BC448" i="7" s="1"/>
  <c r="AC437" i="7"/>
  <c r="Z437" i="7"/>
  <c r="Z448" i="7"/>
  <c r="AA436" i="7"/>
  <c r="AA447" i="7"/>
  <c r="AB430" i="7"/>
  <c r="BC430" i="7" s="1"/>
  <c r="AB442" i="7"/>
  <c r="BC442" i="7" s="1"/>
  <c r="AC430" i="7"/>
  <c r="Y236" i="7"/>
  <c r="Z409" i="7"/>
  <c r="Z403" i="7"/>
  <c r="Z231" i="7"/>
  <c r="Z270" i="7"/>
  <c r="AB436" i="7"/>
  <c r="BC436" i="7" s="1"/>
  <c r="AB447" i="7"/>
  <c r="BC447" i="7" s="1"/>
  <c r="AC436" i="7"/>
  <c r="Z436" i="7"/>
  <c r="Z447" i="7"/>
  <c r="BC624" i="7"/>
  <c r="AB635" i="7"/>
  <c r="BC635" i="7" s="1"/>
  <c r="AA430" i="7"/>
  <c r="AA442" i="7"/>
  <c r="Y430" i="7"/>
  <c r="BD208" i="7"/>
  <c r="AB236" i="7"/>
  <c r="BC236" i="7" s="1"/>
  <c r="Z236" i="7"/>
  <c r="AC58" i="7"/>
  <c r="AB66" i="7"/>
  <c r="BC66" i="7" s="1"/>
  <c r="AB433" i="7"/>
  <c r="BC433" i="7" s="1"/>
  <c r="Y439" i="7"/>
  <c r="AC375" i="7"/>
  <c r="AC354" i="7"/>
  <c r="AC192" i="7"/>
  <c r="BC424" i="7"/>
  <c r="AB438" i="7"/>
  <c r="BC438" i="7" s="1"/>
  <c r="AB449" i="7"/>
  <c r="BC449" i="7" s="1"/>
  <c r="X108" i="21"/>
  <c r="X438" i="7"/>
  <c r="DQ47" i="6"/>
  <c r="Z553" i="7"/>
  <c r="AC552" i="7"/>
  <c r="AC719" i="7"/>
  <c r="AC720" i="7" s="1"/>
  <c r="AC178" i="7"/>
  <c r="BC141" i="7"/>
  <c r="AC438" i="7"/>
  <c r="AC449" i="7"/>
  <c r="AC627" i="7"/>
  <c r="Y449" i="7"/>
  <c r="Y438" i="7"/>
  <c r="AC510" i="7"/>
  <c r="AC740" i="7"/>
  <c r="AC742" i="7" s="1"/>
  <c r="BC211" i="7"/>
  <c r="AB242" i="7"/>
  <c r="BC242" i="7" s="1"/>
  <c r="Z242" i="7"/>
  <c r="X242" i="7"/>
  <c r="AB259" i="7"/>
  <c r="X259" i="7"/>
  <c r="AC226" i="7"/>
  <c r="AA289" i="7"/>
  <c r="AA279" i="7"/>
  <c r="AA265" i="7"/>
  <c r="AA287" i="7" s="1"/>
  <c r="Y289" i="7"/>
  <c r="Y279" i="7"/>
  <c r="Y265" i="7"/>
  <c r="Y287" i="7" s="1"/>
  <c r="Y259" i="7"/>
  <c r="Y271" i="7" s="1"/>
  <c r="AB289" i="7"/>
  <c r="BC289" i="7" s="1"/>
  <c r="AB265" i="7"/>
  <c r="AB287" i="7" s="1"/>
  <c r="AB279" i="7"/>
  <c r="BC279" i="7" s="1"/>
  <c r="AC265" i="7"/>
  <c r="AC287" i="7" s="1"/>
  <c r="Z289" i="7"/>
  <c r="Z279" i="7"/>
  <c r="Z265" i="7"/>
  <c r="Z287" i="7" s="1"/>
  <c r="AC245" i="7"/>
  <c r="AB239" i="7"/>
  <c r="BC239" i="7" s="1"/>
  <c r="AC377" i="12"/>
  <c r="AD377" i="12" s="1"/>
  <c r="AE377" i="12" s="1"/>
  <c r="AF377" i="12" s="1"/>
  <c r="X140" i="20"/>
  <c r="N41" i="11"/>
  <c r="AC497" i="7"/>
  <c r="EC40" i="6"/>
  <c r="DE40" i="6"/>
  <c r="CG40" i="6"/>
  <c r="CG89" i="6" s="1"/>
  <c r="BI40" i="6"/>
  <c r="AA723" i="7"/>
  <c r="AA725" i="7" s="1"/>
  <c r="W723" i="7"/>
  <c r="W725" i="7" s="1"/>
  <c r="S723" i="7"/>
  <c r="S725" i="7" s="1"/>
  <c r="O723" i="7"/>
  <c r="O725" i="7" s="1"/>
  <c r="K723" i="7"/>
  <c r="K725" i="7" s="1"/>
  <c r="F40" i="6"/>
  <c r="L89" i="6" s="1"/>
  <c r="DD40" i="6"/>
  <c r="DD89" i="6" s="1"/>
  <c r="T723" i="7"/>
  <c r="T725" i="7" s="1"/>
  <c r="L723" i="7"/>
  <c r="L725" i="7" s="1"/>
  <c r="DK40" i="6"/>
  <c r="CM40" i="6"/>
  <c r="CS89" i="6" s="1"/>
  <c r="BO40" i="6"/>
  <c r="BU89" i="6" s="1"/>
  <c r="AQ40" i="6"/>
  <c r="AW89" i="6" s="1"/>
  <c r="H509" i="7"/>
  <c r="Z510" i="7"/>
  <c r="V499" i="7"/>
  <c r="R510" i="7"/>
  <c r="N499" i="7"/>
  <c r="J510" i="7"/>
  <c r="Y723" i="7"/>
  <c r="Y725" i="7" s="1"/>
  <c r="CL40" i="6"/>
  <c r="Q723" i="7"/>
  <c r="Q725" i="7" s="1"/>
  <c r="M509" i="7"/>
  <c r="R40" i="6"/>
  <c r="R89" i="6" s="1"/>
  <c r="DP40" i="6"/>
  <c r="DP89" i="6" s="1"/>
  <c r="CR40" i="6"/>
  <c r="CX89" i="6" s="1"/>
  <c r="BT40" i="6"/>
  <c r="BZ89" i="6" s="1"/>
  <c r="AV40" i="6"/>
  <c r="BB89" i="6" s="1"/>
  <c r="X40" i="6"/>
  <c r="W510" i="7"/>
  <c r="S740" i="7"/>
  <c r="S742" i="7" s="1"/>
  <c r="BC40" i="6"/>
  <c r="K740" i="7"/>
  <c r="K742" i="7" s="1"/>
  <c r="G510" i="7"/>
  <c r="BC107" i="7"/>
  <c r="AC118" i="7"/>
  <c r="BC416" i="7"/>
  <c r="BC109" i="7"/>
  <c r="AC120" i="7"/>
  <c r="AJ121" i="7" s="1"/>
  <c r="BC422" i="7"/>
  <c r="BC425" i="7"/>
  <c r="AG4" i="24"/>
  <c r="AC498" i="7"/>
  <c r="L546" i="7"/>
  <c r="AC547" i="7"/>
  <c r="AB499" i="7"/>
  <c r="BC499" i="7" s="1"/>
  <c r="AC153" i="7"/>
  <c r="AC145" i="7"/>
  <c r="AJ146" i="7" s="1"/>
  <c r="BC299" i="7"/>
  <c r="AC307" i="7"/>
  <c r="BC423" i="7"/>
  <c r="BC482" i="7"/>
  <c r="AC494" i="7"/>
  <c r="BC253" i="7"/>
  <c r="BC108" i="7"/>
  <c r="AC119" i="7"/>
  <c r="AC234" i="7" s="1"/>
  <c r="AC752" i="7"/>
  <c r="AC756" i="7" s="1"/>
  <c r="AC660" i="7" s="1"/>
  <c r="AC155" i="7"/>
  <c r="AC147" i="7"/>
  <c r="AC543" i="7"/>
  <c r="AC546" i="7"/>
  <c r="AC158" i="7"/>
  <c r="AC150" i="7"/>
  <c r="AC499" i="7"/>
  <c r="AB272" i="12"/>
  <c r="AC272" i="12"/>
  <c r="AB76" i="12"/>
  <c r="AC76" i="12"/>
  <c r="X546" i="7"/>
  <c r="P552" i="7"/>
  <c r="L543" i="7"/>
  <c r="H546" i="7"/>
  <c r="Z723" i="7"/>
  <c r="Z725" i="7" s="1"/>
  <c r="R723" i="7"/>
  <c r="R725" i="7" s="1"/>
  <c r="J723" i="7"/>
  <c r="J725" i="7" s="1"/>
  <c r="C190" i="2"/>
  <c r="AT190" i="2" s="1"/>
  <c r="J158" i="7"/>
  <c r="DR20" i="6"/>
  <c r="DR18" i="6" s="1"/>
  <c r="R155" i="7"/>
  <c r="Z20" i="6"/>
  <c r="S627" i="7"/>
  <c r="S638" i="7" s="1"/>
  <c r="K627" i="7"/>
  <c r="K638" i="7" s="1"/>
  <c r="U736" i="7"/>
  <c r="U737" i="7" s="1"/>
  <c r="M736" i="7"/>
  <c r="M737" i="7" s="1"/>
  <c r="W740" i="7"/>
  <c r="W742" i="7" s="1"/>
  <c r="G740" i="7"/>
  <c r="G742" i="7" s="1"/>
  <c r="DK73" i="11"/>
  <c r="DQ73" i="11" s="1"/>
  <c r="CS247" i="17"/>
  <c r="CR247" i="17"/>
  <c r="CQ247" i="17"/>
  <c r="CT242" i="17"/>
  <c r="DM104" i="11" s="1"/>
  <c r="CR269" i="17"/>
  <c r="CQ269" i="17"/>
  <c r="CS269" i="17"/>
  <c r="CT264" i="17"/>
  <c r="CR93" i="17"/>
  <c r="CQ93" i="17"/>
  <c r="CS93" i="17"/>
  <c r="CT88" i="17"/>
  <c r="DM65" i="11" s="1"/>
  <c r="V613" i="7"/>
  <c r="T613" i="7"/>
  <c r="R613" i="7"/>
  <c r="P613" i="7"/>
  <c r="N613" i="7"/>
  <c r="L613" i="7"/>
  <c r="J613" i="7"/>
  <c r="Y120" i="8"/>
  <c r="U120" i="8"/>
  <c r="Q120" i="8"/>
  <c r="M120" i="8"/>
  <c r="I120" i="8"/>
  <c r="AC52" i="8"/>
  <c r="AC63" i="8"/>
  <c r="AC60" i="8"/>
  <c r="AC49" i="8"/>
  <c r="AG11" i="24"/>
  <c r="AB191" i="8"/>
  <c r="AC198" i="8" s="1"/>
  <c r="AC81" i="8"/>
  <c r="W546" i="7"/>
  <c r="U543" i="7"/>
  <c r="O546" i="7"/>
  <c r="M543" i="7"/>
  <c r="G543" i="7"/>
  <c r="Y509" i="7"/>
  <c r="BN40" i="6"/>
  <c r="I498" i="7"/>
  <c r="S158" i="7"/>
  <c r="AA147" i="7"/>
  <c r="CZ20" i="6"/>
  <c r="CZ69" i="6" s="1"/>
  <c r="BD20" i="6"/>
  <c r="BD18" i="6" s="1"/>
  <c r="T438" i="7"/>
  <c r="L438" i="7"/>
  <c r="AB736" i="7"/>
  <c r="BC736" i="7" s="1"/>
  <c r="V547" i="7"/>
  <c r="T736" i="7"/>
  <c r="T737" i="7" s="1"/>
  <c r="N547" i="7"/>
  <c r="L736" i="7"/>
  <c r="L737" i="7" s="1"/>
  <c r="V740" i="7"/>
  <c r="V742" i="7" s="1"/>
  <c r="N740" i="7"/>
  <c r="N742" i="7" s="1"/>
  <c r="P153" i="7"/>
  <c r="H153" i="7"/>
  <c r="BV234" i="17"/>
  <c r="AP234" i="17"/>
  <c r="Z234" i="17"/>
  <c r="CQ190" i="17"/>
  <c r="CR190" i="17"/>
  <c r="CS190" i="17"/>
  <c r="CT185" i="17"/>
  <c r="DM89" i="11" s="1"/>
  <c r="DP118" i="11"/>
  <c r="DQ118" i="11" s="1"/>
  <c r="X327" i="12"/>
  <c r="V327" i="12"/>
  <c r="T327" i="12"/>
  <c r="R327" i="12"/>
  <c r="P327" i="12"/>
  <c r="N327" i="12"/>
  <c r="L327" i="12"/>
  <c r="J327" i="12"/>
  <c r="DV47" i="6"/>
  <c r="W552" i="7"/>
  <c r="BZ47" i="6"/>
  <c r="O552" i="7"/>
  <c r="AD47" i="6"/>
  <c r="AJ96" i="6" s="1"/>
  <c r="G552" i="7"/>
  <c r="U509" i="7"/>
  <c r="AP40" i="6"/>
  <c r="I509" i="7"/>
  <c r="DV18" i="6"/>
  <c r="DV67" i="6" s="1"/>
  <c r="W150" i="7"/>
  <c r="BZ18" i="6"/>
  <c r="O150" i="7"/>
  <c r="EC47" i="6"/>
  <c r="X553" i="7"/>
  <c r="CG47" i="6"/>
  <c r="P553" i="7"/>
  <c r="AK47" i="6"/>
  <c r="H553" i="7"/>
  <c r="DL72" i="11"/>
  <c r="Z499" i="7"/>
  <c r="X499" i="7"/>
  <c r="V510" i="7"/>
  <c r="R499" i="7"/>
  <c r="P499" i="7"/>
  <c r="N510" i="7"/>
  <c r="AB145" i="7"/>
  <c r="BC145" i="7" s="1"/>
  <c r="CG18" i="6"/>
  <c r="BI18" i="6"/>
  <c r="AK18" i="6"/>
  <c r="M18" i="6"/>
  <c r="AA77" i="12"/>
  <c r="S77" i="12"/>
  <c r="K77" i="12"/>
  <c r="AB60" i="12"/>
  <c r="AC60" i="12"/>
  <c r="T60" i="12"/>
  <c r="L60" i="12"/>
  <c r="U58" i="12"/>
  <c r="M58" i="12"/>
  <c r="X543" i="7"/>
  <c r="DD47" i="6"/>
  <c r="DD96" i="6" s="1"/>
  <c r="T546" i="7"/>
  <c r="P719" i="7"/>
  <c r="P720" i="7" s="1"/>
  <c r="L552" i="7"/>
  <c r="H543" i="7"/>
  <c r="L47" i="6"/>
  <c r="R96" i="6" s="1"/>
  <c r="Z498" i="7"/>
  <c r="V498" i="7"/>
  <c r="R498" i="7"/>
  <c r="N498" i="7"/>
  <c r="J498" i="7"/>
  <c r="Z61" i="21"/>
  <c r="R158" i="7"/>
  <c r="X18" i="6"/>
  <c r="AD67" i="6" s="1"/>
  <c r="V155" i="7"/>
  <c r="AX20" i="6"/>
  <c r="AX18" i="6" s="1"/>
  <c r="AA627" i="7"/>
  <c r="AA638" i="7" s="1"/>
  <c r="W438" i="7"/>
  <c r="S438" i="7"/>
  <c r="O438" i="7"/>
  <c r="K438" i="7"/>
  <c r="DK47" i="6"/>
  <c r="DK96" i="6" s="1"/>
  <c r="CM47" i="6"/>
  <c r="CS96" i="6" s="1"/>
  <c r="BO47" i="6"/>
  <c r="BO96" i="6" s="1"/>
  <c r="AQ47" i="6"/>
  <c r="AW96" i="6" s="1"/>
  <c r="S47" i="6"/>
  <c r="S96" i="6" s="1"/>
  <c r="AA740" i="7"/>
  <c r="AA742" i="7" s="1"/>
  <c r="CY40" i="6"/>
  <c r="CY89" i="6" s="1"/>
  <c r="O510" i="7"/>
  <c r="G40" i="6"/>
  <c r="M89" i="6" s="1"/>
  <c r="U153" i="7"/>
  <c r="Q153" i="7"/>
  <c r="M153" i="7"/>
  <c r="I153" i="7"/>
  <c r="V150" i="7"/>
  <c r="N150" i="7"/>
  <c r="DQ70" i="11"/>
  <c r="AB59" i="12"/>
  <c r="AC59" i="12"/>
  <c r="U72" i="8"/>
  <c r="M72" i="8"/>
  <c r="CQ52" i="17"/>
  <c r="CS52" i="17"/>
  <c r="CR52" i="17"/>
  <c r="CT47" i="17"/>
  <c r="DM50" i="11" s="1"/>
  <c r="CQ33" i="17"/>
  <c r="CR33" i="17"/>
  <c r="CS33" i="17"/>
  <c r="CT28" i="17"/>
  <c r="DM36" i="11" s="1"/>
  <c r="W147" i="7"/>
  <c r="S147" i="7"/>
  <c r="O147" i="7"/>
  <c r="K147" i="7"/>
  <c r="G752" i="7"/>
  <c r="G756" i="7" s="1"/>
  <c r="G660" i="7" s="1"/>
  <c r="G674" i="7" s="1"/>
  <c r="C243" i="2"/>
  <c r="AT243" i="2" s="1"/>
  <c r="V627" i="7"/>
  <c r="V638" i="7" s="1"/>
  <c r="R627" i="7"/>
  <c r="R638" i="7" s="1"/>
  <c r="N627" i="7"/>
  <c r="N638" i="7" s="1"/>
  <c r="J627" i="7"/>
  <c r="J638" i="7" s="1"/>
  <c r="T499" i="7"/>
  <c r="AB256" i="12"/>
  <c r="AC256" i="12"/>
  <c r="AB129" i="12"/>
  <c r="AC129" i="12"/>
  <c r="AA119" i="12"/>
  <c r="Y119" i="12"/>
  <c r="W119" i="12"/>
  <c r="U119" i="12"/>
  <c r="S119" i="12"/>
  <c r="Q119" i="12"/>
  <c r="O119" i="12"/>
  <c r="M119" i="12"/>
  <c r="K119" i="12"/>
  <c r="I119" i="12"/>
  <c r="W77" i="12"/>
  <c r="O77" i="12"/>
  <c r="X60" i="12"/>
  <c r="P60" i="12"/>
  <c r="Y58" i="12"/>
  <c r="Q58" i="12"/>
  <c r="I58" i="12"/>
  <c r="AB546" i="7"/>
  <c r="BC546" i="7" s="1"/>
  <c r="P543" i="7"/>
  <c r="DL71" i="11"/>
  <c r="Z752" i="7"/>
  <c r="Z756" i="7" s="1"/>
  <c r="Y74" i="21"/>
  <c r="R150" i="7"/>
  <c r="W496" i="20"/>
  <c r="W334" i="20"/>
  <c r="W371" i="20"/>
  <c r="X55" i="20"/>
  <c r="AM231" i="20"/>
  <c r="AM224" i="20"/>
  <c r="DQ81" i="11"/>
  <c r="DN9" i="11"/>
  <c r="DO9" i="11" s="1"/>
  <c r="DQ9" i="11"/>
  <c r="DN15" i="11"/>
  <c r="DQ15" i="11"/>
  <c r="DN7" i="11"/>
  <c r="DO7" i="11" s="1"/>
  <c r="DQ7" i="11"/>
  <c r="DN13" i="11"/>
  <c r="DQ13" i="11"/>
  <c r="DQ8" i="11"/>
  <c r="DN8" i="11"/>
  <c r="DO8" i="11" s="1"/>
  <c r="DN17" i="11"/>
  <c r="DQ17" i="11"/>
  <c r="DQ116" i="11"/>
  <c r="DN101" i="11"/>
  <c r="DO101" i="11" s="1"/>
  <c r="DQ101" i="11"/>
  <c r="DQ102" i="11"/>
  <c r="DQ111" i="11" s="1"/>
  <c r="DN102" i="11"/>
  <c r="DO102" i="11" s="1"/>
  <c r="DN88" i="11"/>
  <c r="DO88" i="11" s="1"/>
  <c r="DO13" i="11" s="1"/>
  <c r="DQ88" i="11"/>
  <c r="DQ87" i="11"/>
  <c r="DQ96" i="11" s="1"/>
  <c r="DN87" i="11"/>
  <c r="DO87" i="11" s="1"/>
  <c r="DN86" i="11"/>
  <c r="DO86" i="11" s="1"/>
  <c r="DQ86" i="11"/>
  <c r="DQ63" i="11"/>
  <c r="DN63" i="11"/>
  <c r="DO63" i="11" s="1"/>
  <c r="DN62" i="11"/>
  <c r="DO62" i="11" s="1"/>
  <c r="DQ62" i="11"/>
  <c r="DN58" i="11"/>
  <c r="DO58" i="11" s="1"/>
  <c r="DQ58" i="11"/>
  <c r="DQ57" i="11"/>
  <c r="DN57" i="11"/>
  <c r="DN49" i="11"/>
  <c r="DO49" i="11" s="1"/>
  <c r="DQ49" i="11"/>
  <c r="DQ35" i="11"/>
  <c r="F177" i="2"/>
  <c r="AW177" i="2" s="1"/>
  <c r="AG52" i="24"/>
  <c r="Z295" i="12"/>
  <c r="AM256" i="20"/>
  <c r="AM225" i="20"/>
  <c r="W476" i="20"/>
  <c r="W403" i="20"/>
  <c r="W273" i="20"/>
  <c r="X96" i="20"/>
  <c r="W299" i="20"/>
  <c r="X169" i="20"/>
  <c r="V13" i="20"/>
  <c r="I198" i="8"/>
  <c r="G49" i="24" s="1"/>
  <c r="X239" i="8"/>
  <c r="AC126" i="21"/>
  <c r="E265" i="2"/>
  <c r="AV265" i="2" s="1"/>
  <c r="AC125" i="21"/>
  <c r="AC127" i="21"/>
  <c r="CY308" i="17"/>
  <c r="L510" i="7"/>
  <c r="L499" i="7"/>
  <c r="H510" i="7"/>
  <c r="H499" i="7"/>
  <c r="Z145" i="7"/>
  <c r="V74" i="21"/>
  <c r="V153" i="7"/>
  <c r="R74" i="21"/>
  <c r="R153" i="7"/>
  <c r="N74" i="21"/>
  <c r="N153" i="7"/>
  <c r="J74" i="21"/>
  <c r="J153" i="7"/>
  <c r="Z719" i="7"/>
  <c r="Z720" i="7" s="1"/>
  <c r="DP47" i="6"/>
  <c r="V719" i="7"/>
  <c r="V720" i="7" s="1"/>
  <c r="CR47" i="6"/>
  <c r="CR96" i="6" s="1"/>
  <c r="V543" i="7"/>
  <c r="R719" i="7"/>
  <c r="R720" i="7" s="1"/>
  <c r="R543" i="7"/>
  <c r="BT47" i="6"/>
  <c r="N719" i="7"/>
  <c r="N720" i="7" s="1"/>
  <c r="AV47" i="6"/>
  <c r="AV96" i="6" s="1"/>
  <c r="N543" i="7"/>
  <c r="J719" i="7"/>
  <c r="J720" i="7" s="1"/>
  <c r="J543" i="7"/>
  <c r="X47" i="6"/>
  <c r="EB40" i="6"/>
  <c r="AB723" i="7"/>
  <c r="BC723" i="7" s="1"/>
  <c r="P723" i="7"/>
  <c r="P725" i="7" s="1"/>
  <c r="P509" i="7"/>
  <c r="P158" i="7"/>
  <c r="T155" i="7"/>
  <c r="CH20" i="6"/>
  <c r="BJ20" i="6"/>
  <c r="P155" i="7"/>
  <c r="L155" i="7"/>
  <c r="AL20" i="6"/>
  <c r="AL18" i="6" s="1"/>
  <c r="N20" i="6"/>
  <c r="N69" i="6" s="1"/>
  <c r="H155" i="7"/>
  <c r="U449" i="7"/>
  <c r="U627" i="7"/>
  <c r="U638" i="7" s="1"/>
  <c r="AA736" i="7"/>
  <c r="AA737" i="7" s="1"/>
  <c r="AA547" i="7"/>
  <c r="S736" i="7"/>
  <c r="S737" i="7" s="1"/>
  <c r="S547" i="7"/>
  <c r="K736" i="7"/>
  <c r="K737" i="7" s="1"/>
  <c r="K547" i="7"/>
  <c r="S40" i="6"/>
  <c r="S89" i="6" s="1"/>
  <c r="J499" i="7"/>
  <c r="DW18" i="6"/>
  <c r="C205" i="2"/>
  <c r="AT205" i="2" s="1"/>
  <c r="W74" i="21"/>
  <c r="X145" i="7"/>
  <c r="AA546" i="7"/>
  <c r="Y546" i="7"/>
  <c r="Y552" i="7"/>
  <c r="W543" i="7"/>
  <c r="U546" i="7"/>
  <c r="U552" i="7"/>
  <c r="S543" i="7"/>
  <c r="Q546" i="7"/>
  <c r="Q552" i="7"/>
  <c r="O543" i="7"/>
  <c r="M546" i="7"/>
  <c r="M552" i="7"/>
  <c r="K543" i="7"/>
  <c r="I546" i="7"/>
  <c r="I552" i="7"/>
  <c r="AA498" i="7"/>
  <c r="Y498" i="7"/>
  <c r="W498" i="7"/>
  <c r="U498" i="7"/>
  <c r="S498" i="7"/>
  <c r="Q498" i="7"/>
  <c r="O498" i="7"/>
  <c r="M498" i="7"/>
  <c r="K498" i="7"/>
  <c r="G509" i="7"/>
  <c r="Y150" i="7"/>
  <c r="Y61" i="21"/>
  <c r="U158" i="7"/>
  <c r="U61" i="21"/>
  <c r="Q158" i="7"/>
  <c r="Q61" i="21"/>
  <c r="M158" i="7"/>
  <c r="M61" i="21"/>
  <c r="I150" i="7"/>
  <c r="Y147" i="7"/>
  <c r="DL20" i="6"/>
  <c r="U147" i="7"/>
  <c r="Q147" i="7"/>
  <c r="M147" i="7"/>
  <c r="I147" i="7"/>
  <c r="AB108" i="21"/>
  <c r="X449" i="7"/>
  <c r="T449" i="7"/>
  <c r="P449" i="7"/>
  <c r="L449" i="7"/>
  <c r="H449" i="7"/>
  <c r="V553" i="7"/>
  <c r="R553" i="7"/>
  <c r="N553" i="7"/>
  <c r="J553" i="7"/>
  <c r="AB740" i="7"/>
  <c r="BC740" i="7" s="1"/>
  <c r="X740" i="7"/>
  <c r="X742" i="7" s="1"/>
  <c r="T740" i="7"/>
  <c r="T742" i="7" s="1"/>
  <c r="P740" i="7"/>
  <c r="P742" i="7" s="1"/>
  <c r="AK40" i="6"/>
  <c r="H740" i="7"/>
  <c r="H742" i="7" s="1"/>
  <c r="DQ18" i="6"/>
  <c r="V145" i="7"/>
  <c r="T145" i="7"/>
  <c r="R145" i="7"/>
  <c r="P145" i="7"/>
  <c r="N145" i="7"/>
  <c r="L145" i="7"/>
  <c r="J145" i="7"/>
  <c r="H145" i="7"/>
  <c r="Y459" i="12"/>
  <c r="W459" i="12"/>
  <c r="U459" i="12"/>
  <c r="S459" i="12"/>
  <c r="Q459" i="12"/>
  <c r="M627" i="7"/>
  <c r="M638" i="7" s="1"/>
  <c r="I459" i="12"/>
  <c r="Y453" i="12"/>
  <c r="W453" i="12"/>
  <c r="U453" i="12"/>
  <c r="S453" i="12"/>
  <c r="Q453" i="12"/>
  <c r="O453" i="12"/>
  <c r="M453" i="12"/>
  <c r="K453" i="12"/>
  <c r="I453" i="12"/>
  <c r="AB451" i="12"/>
  <c r="AB443" i="12"/>
  <c r="Z305" i="12"/>
  <c r="X443" i="12"/>
  <c r="V305" i="12"/>
  <c r="T443" i="12"/>
  <c r="R305" i="12"/>
  <c r="P443" i="12"/>
  <c r="N305" i="12"/>
  <c r="L443" i="12"/>
  <c r="J305" i="12"/>
  <c r="H443" i="12"/>
  <c r="AA441" i="12"/>
  <c r="AB334" i="12"/>
  <c r="X442" i="12"/>
  <c r="V334" i="12"/>
  <c r="T442" i="12"/>
  <c r="R334" i="12"/>
  <c r="P442" i="12"/>
  <c r="N334" i="12"/>
  <c r="L442" i="12"/>
  <c r="J334" i="12"/>
  <c r="H442" i="12"/>
  <c r="AB345" i="12"/>
  <c r="Z345" i="12"/>
  <c r="X345" i="12"/>
  <c r="V345" i="12"/>
  <c r="T345" i="12"/>
  <c r="R345" i="12"/>
  <c r="P345" i="12"/>
  <c r="N345" i="12"/>
  <c r="L345" i="12"/>
  <c r="J345" i="12"/>
  <c r="H272" i="12"/>
  <c r="AA543" i="7"/>
  <c r="AB421" i="12"/>
  <c r="Z256" i="12"/>
  <c r="H256" i="12"/>
  <c r="AB416" i="12"/>
  <c r="V416" i="12"/>
  <c r="R416" i="12"/>
  <c r="N416" i="12"/>
  <c r="J416" i="12"/>
  <c r="Y419" i="12"/>
  <c r="W419" i="12"/>
  <c r="U419" i="12"/>
  <c r="S419" i="12"/>
  <c r="Q419" i="12"/>
  <c r="O419" i="12"/>
  <c r="M419" i="12"/>
  <c r="K419" i="12"/>
  <c r="I419" i="12"/>
  <c r="AB415" i="12"/>
  <c r="AA414" i="12"/>
  <c r="W414" i="12"/>
  <c r="S414" i="12"/>
  <c r="O414" i="12"/>
  <c r="K414" i="12"/>
  <c r="AB255" i="12"/>
  <c r="X397" i="12"/>
  <c r="V397" i="12"/>
  <c r="T397" i="12"/>
  <c r="R397" i="12"/>
  <c r="P397" i="12"/>
  <c r="N397" i="12"/>
  <c r="L397" i="12"/>
  <c r="J397" i="12"/>
  <c r="Y391" i="12"/>
  <c r="W254" i="12"/>
  <c r="W366" i="12"/>
  <c r="U54" i="24" s="1"/>
  <c r="U391" i="12"/>
  <c r="S254" i="12"/>
  <c r="S366" i="12"/>
  <c r="Q54" i="24" s="1"/>
  <c r="Q391" i="12"/>
  <c r="O254" i="12"/>
  <c r="O366" i="12"/>
  <c r="M54" i="24" s="1"/>
  <c r="M391" i="12"/>
  <c r="K254" i="12"/>
  <c r="K366" i="12"/>
  <c r="I54" i="24" s="1"/>
  <c r="I391" i="12"/>
  <c r="Z129" i="12"/>
  <c r="V129" i="12"/>
  <c r="R129" i="12"/>
  <c r="N129" i="12"/>
  <c r="J129" i="12"/>
  <c r="Y118" i="12"/>
  <c r="U118" i="12"/>
  <c r="Q118" i="12"/>
  <c r="M118" i="12"/>
  <c r="I118" i="12"/>
  <c r="AB128" i="12"/>
  <c r="X128" i="12"/>
  <c r="T128" i="12"/>
  <c r="P128" i="12"/>
  <c r="L128" i="12"/>
  <c r="AA98" i="12"/>
  <c r="W98" i="12"/>
  <c r="S98" i="12"/>
  <c r="O98" i="12"/>
  <c r="K98" i="12"/>
  <c r="H76" i="12"/>
  <c r="Y77" i="12"/>
  <c r="U77" i="12"/>
  <c r="Q77" i="12"/>
  <c r="M77" i="12"/>
  <c r="I77" i="12"/>
  <c r="Z60" i="12"/>
  <c r="V60" i="12"/>
  <c r="R60" i="12"/>
  <c r="N60" i="12"/>
  <c r="J60" i="12"/>
  <c r="H59" i="12"/>
  <c r="AA58" i="12"/>
  <c r="W58" i="12"/>
  <c r="S58" i="12"/>
  <c r="O58" i="12"/>
  <c r="K58" i="12"/>
  <c r="O459" i="12"/>
  <c r="M459" i="12"/>
  <c r="K459" i="12"/>
  <c r="AA346" i="12"/>
  <c r="H451" i="12"/>
  <c r="Z334" i="12"/>
  <c r="H334" i="12"/>
  <c r="AA433" i="12"/>
  <c r="X421" i="12"/>
  <c r="V256" i="12"/>
  <c r="T421" i="12"/>
  <c r="R256" i="12"/>
  <c r="P421" i="12"/>
  <c r="N256" i="12"/>
  <c r="L421" i="12"/>
  <c r="J256" i="12"/>
  <c r="AA420" i="12"/>
  <c r="Z416" i="12"/>
  <c r="H416" i="12"/>
  <c r="Z397" i="12"/>
  <c r="H255" i="12"/>
  <c r="AA254" i="12"/>
  <c r="AA366" i="12"/>
  <c r="Y54" i="24" s="1"/>
  <c r="G251" i="12"/>
  <c r="V13" i="24"/>
  <c r="R13" i="24"/>
  <c r="N13" i="24"/>
  <c r="J13" i="24"/>
  <c r="H129" i="12"/>
  <c r="AA99" i="12"/>
  <c r="Y99" i="12"/>
  <c r="W99" i="12"/>
  <c r="U99" i="12"/>
  <c r="S99" i="12"/>
  <c r="Q99" i="12"/>
  <c r="O99" i="12"/>
  <c r="M99" i="12"/>
  <c r="K99" i="12"/>
  <c r="I99" i="12"/>
  <c r="Z76" i="12"/>
  <c r="V76" i="12"/>
  <c r="R76" i="12"/>
  <c r="N76" i="12"/>
  <c r="J76" i="12"/>
  <c r="H60" i="12"/>
  <c r="Z59" i="12"/>
  <c r="V59" i="12"/>
  <c r="R59" i="12"/>
  <c r="N59" i="12"/>
  <c r="J59" i="12"/>
  <c r="DA67" i="11"/>
  <c r="DF67" i="11"/>
  <c r="DK67" i="11"/>
  <c r="CO307" i="17"/>
  <c r="CP307" i="17" s="1"/>
  <c r="AB375" i="12" s="1"/>
  <c r="AB128" i="21" s="1"/>
  <c r="CO305" i="17"/>
  <c r="CP305" i="17" s="1"/>
  <c r="AB373" i="12" s="1"/>
  <c r="D264" i="2" s="1"/>
  <c r="AU263" i="2" s="1"/>
  <c r="CO306" i="17"/>
  <c r="CP306" i="17" s="1"/>
  <c r="AB374" i="12" s="1"/>
  <c r="AB126" i="21" s="1"/>
  <c r="CO304" i="17"/>
  <c r="CP304" i="17" s="1"/>
  <c r="AB372" i="12" s="1"/>
  <c r="AB125" i="21" s="1"/>
  <c r="AB498" i="7"/>
  <c r="BC498" i="7" s="1"/>
  <c r="X498" i="7"/>
  <c r="H150" i="7"/>
  <c r="T509" i="7"/>
  <c r="L509" i="7"/>
  <c r="P61" i="21"/>
  <c r="D243" i="2"/>
  <c r="Y627" i="7"/>
  <c r="Y638" i="7" s="1"/>
  <c r="Q627" i="7"/>
  <c r="Q638" i="7" s="1"/>
  <c r="I627" i="7"/>
  <c r="I638" i="7" s="1"/>
  <c r="W547" i="7"/>
  <c r="O547" i="7"/>
  <c r="U499" i="7"/>
  <c r="M499" i="7"/>
  <c r="Z546" i="7"/>
  <c r="V546" i="7"/>
  <c r="V552" i="7"/>
  <c r="R546" i="7"/>
  <c r="R552" i="7"/>
  <c r="N546" i="7"/>
  <c r="N552" i="7"/>
  <c r="J546" i="7"/>
  <c r="J552" i="7"/>
  <c r="BC509" i="7"/>
  <c r="X509" i="7"/>
  <c r="X723" i="7"/>
  <c r="X725" i="7" s="1"/>
  <c r="X158" i="7"/>
  <c r="T61" i="21"/>
  <c r="L61" i="21"/>
  <c r="X155" i="7"/>
  <c r="DF20" i="6"/>
  <c r="G736" i="7"/>
  <c r="G737" i="7" s="1"/>
  <c r="G47" i="6"/>
  <c r="M96" i="6" s="1"/>
  <c r="Y499" i="7"/>
  <c r="Q499" i="7"/>
  <c r="I499" i="7"/>
  <c r="AA153" i="7"/>
  <c r="AA74" i="21"/>
  <c r="Z543" i="7"/>
  <c r="DL66" i="11"/>
  <c r="DL67" i="11" s="1"/>
  <c r="CO269" i="17"/>
  <c r="AY143" i="17"/>
  <c r="AK143" i="17"/>
  <c r="AI143" i="17"/>
  <c r="M269" i="17"/>
  <c r="CO247" i="17"/>
  <c r="AB25" i="8"/>
  <c r="AT47" i="17"/>
  <c r="AZ50" i="11" s="1"/>
  <c r="W737" i="7"/>
  <c r="O737" i="7"/>
  <c r="O78" i="21" s="1"/>
  <c r="AM258" i="20"/>
  <c r="AM259" i="20"/>
  <c r="AM235" i="20"/>
  <c r="F176" i="2"/>
  <c r="AD183" i="7"/>
  <c r="AE183" i="7" s="1"/>
  <c r="AF183" i="7" s="1"/>
  <c r="BC183" i="7"/>
  <c r="J104" i="21"/>
  <c r="J103" i="21"/>
  <c r="K11" i="21"/>
  <c r="X457" i="20"/>
  <c r="J117" i="8"/>
  <c r="Y198" i="8"/>
  <c r="W49" i="24" s="1"/>
  <c r="O275" i="17"/>
  <c r="O139" i="17"/>
  <c r="O161" i="17"/>
  <c r="Q2" i="6"/>
  <c r="O253" i="17"/>
  <c r="O218" i="17"/>
  <c r="O196" i="17"/>
  <c r="O4" i="17"/>
  <c r="O58" i="17"/>
  <c r="O99" i="17"/>
  <c r="O122" i="17"/>
  <c r="O39" i="17"/>
  <c r="O20" i="17"/>
  <c r="J3" i="1"/>
  <c r="AD800" i="7"/>
  <c r="AE800" i="7" s="1"/>
  <c r="AF800" i="7" s="1"/>
  <c r="BC800" i="7"/>
  <c r="AC516" i="7"/>
  <c r="AD516" i="7" s="1"/>
  <c r="AE516" i="7" s="1"/>
  <c r="AF516" i="7" s="1"/>
  <c r="BC516" i="7"/>
  <c r="AC157" i="24"/>
  <c r="AE157" i="24"/>
  <c r="AD157" i="24"/>
  <c r="BJ234" i="17"/>
  <c r="BA143" i="17"/>
  <c r="AB301" i="7"/>
  <c r="BC301" i="7" s="1"/>
  <c r="Q52" i="17"/>
  <c r="AC744" i="7"/>
  <c r="AD744" i="7" s="1"/>
  <c r="AE744" i="7" s="1"/>
  <c r="AF744" i="7" s="1"/>
  <c r="BC744" i="7"/>
  <c r="I124" i="8"/>
  <c r="AC523" i="7"/>
  <c r="AD523" i="7" s="1"/>
  <c r="AE523" i="7" s="1"/>
  <c r="AF523" i="7" s="1"/>
  <c r="BC523" i="7"/>
  <c r="AB157" i="24"/>
  <c r="AT180" i="17"/>
  <c r="AD180" i="17"/>
  <c r="CF247" i="17"/>
  <c r="BN234" i="17"/>
  <c r="AX234" i="17"/>
  <c r="AH234" i="17"/>
  <c r="L269" i="17"/>
  <c r="BB83" i="17"/>
  <c r="AL83" i="17"/>
  <c r="V83" i="17"/>
  <c r="BN180" i="17"/>
  <c r="AX180" i="17"/>
  <c r="AH180" i="17"/>
  <c r="R180" i="17"/>
  <c r="CG247" i="17"/>
  <c r="CK190" i="17"/>
  <c r="AX80" i="17"/>
  <c r="AH80" i="17"/>
  <c r="R80" i="17"/>
  <c r="R234" i="17"/>
  <c r="AW52" i="17"/>
  <c r="AU229" i="2"/>
  <c r="AU230" i="2"/>
  <c r="AU232" i="2"/>
  <c r="BB116" i="2"/>
  <c r="BC718" i="7"/>
  <c r="BC487" i="7"/>
  <c r="H498" i="7"/>
  <c r="BC486" i="7"/>
  <c r="BC485" i="7"/>
  <c r="BC763" i="7"/>
  <c r="AA499" i="7"/>
  <c r="W499" i="7"/>
  <c r="S499" i="7"/>
  <c r="O499" i="7"/>
  <c r="K499" i="7"/>
  <c r="AE22" i="8"/>
  <c r="AE53" i="21"/>
  <c r="R83" i="17"/>
  <c r="BC670" i="7"/>
  <c r="BC656" i="7"/>
  <c r="BC636" i="7"/>
  <c r="BC625" i="7"/>
  <c r="AI58" i="7"/>
  <c r="AH57" i="7"/>
  <c r="AH55" i="7"/>
  <c r="AH56" i="7"/>
  <c r="AB143" i="7"/>
  <c r="BC143" i="7" s="1"/>
  <c r="BC602" i="7"/>
  <c r="BC148" i="7"/>
  <c r="AI149" i="7"/>
  <c r="BC672" i="7"/>
  <c r="BC658" i="7"/>
  <c r="AH58" i="7"/>
  <c r="BC669" i="7"/>
  <c r="BC655" i="7"/>
  <c r="AI57" i="7"/>
  <c r="BC676" i="7"/>
  <c r="BC662" i="7"/>
  <c r="AB543" i="7"/>
  <c r="BC543" i="7" s="1"/>
  <c r="BC542" i="7"/>
  <c r="AB155" i="7"/>
  <c r="BC155" i="7" s="1"/>
  <c r="BC138" i="7"/>
  <c r="AI56" i="7"/>
  <c r="BC671" i="7"/>
  <c r="BC657" i="7"/>
  <c r="BC673" i="7"/>
  <c r="BC659" i="7"/>
  <c r="BC274" i="7"/>
  <c r="BC146" i="7"/>
  <c r="AI147" i="7"/>
  <c r="AB51" i="7"/>
  <c r="BC51" i="7" s="1"/>
  <c r="BC49" i="7"/>
  <c r="AI55" i="7"/>
  <c r="BC638" i="7"/>
  <c r="BC627" i="7"/>
  <c r="AB153" i="7"/>
  <c r="BC153" i="7" s="1"/>
  <c r="BC136" i="7"/>
  <c r="AT83" i="17"/>
  <c r="AD83" i="17"/>
  <c r="BF180" i="17"/>
  <c r="AP180" i="17"/>
  <c r="Z180" i="17"/>
  <c r="BF80" i="17"/>
  <c r="AP80" i="17"/>
  <c r="Z80" i="17"/>
  <c r="BV83" i="17"/>
  <c r="AN254" i="20"/>
  <c r="AM222" i="20"/>
  <c r="BF234" i="17"/>
  <c r="AY115" i="2"/>
  <c r="DG117" i="11"/>
  <c r="H355" i="12"/>
  <c r="AU235" i="2"/>
  <c r="AE52" i="21"/>
  <c r="AE21" i="8"/>
  <c r="AC52" i="21"/>
  <c r="E176" i="2"/>
  <c r="AA122" i="7"/>
  <c r="Q198" i="8"/>
  <c r="O49" i="24" s="1"/>
  <c r="CW117" i="11"/>
  <c r="BV180" i="17"/>
  <c r="AB178" i="7"/>
  <c r="AB77" i="7"/>
  <c r="BC77" i="7" s="1"/>
  <c r="AA51" i="7"/>
  <c r="AA66" i="7"/>
  <c r="AB171" i="7"/>
  <c r="BC171" i="7" s="1"/>
  <c r="AB166" i="7"/>
  <c r="BC166" i="7" s="1"/>
  <c r="AB179" i="7"/>
  <c r="AC185" i="7" s="1"/>
  <c r="AB82" i="7"/>
  <c r="BC82" i="7" s="1"/>
  <c r="Z51" i="7"/>
  <c r="Z66" i="7"/>
  <c r="AA214" i="7"/>
  <c r="AA216" i="7"/>
  <c r="AA215" i="7"/>
  <c r="Y214" i="7"/>
  <c r="Y216" i="7"/>
  <c r="Y215" i="7"/>
  <c r="AB215" i="7"/>
  <c r="AB214" i="7"/>
  <c r="BC214" i="7" s="1"/>
  <c r="AB216" i="7"/>
  <c r="BC216" i="7" s="1"/>
  <c r="X215" i="7"/>
  <c r="X214" i="7"/>
  <c r="X216" i="7"/>
  <c r="AA145" i="7"/>
  <c r="Z153" i="7"/>
  <c r="AB150" i="7"/>
  <c r="BC150" i="7" s="1"/>
  <c r="AB158" i="7"/>
  <c r="BC158" i="7" s="1"/>
  <c r="Z127" i="7"/>
  <c r="Z178" i="7"/>
  <c r="Z373" i="7" s="1"/>
  <c r="Z77" i="7"/>
  <c r="AA171" i="7"/>
  <c r="AA166" i="7"/>
  <c r="AB113" i="7"/>
  <c r="AB87" i="7"/>
  <c r="BC87" i="7" s="1"/>
  <c r="AB180" i="7"/>
  <c r="BC129" i="7"/>
  <c r="Z129" i="7"/>
  <c r="Z113" i="7"/>
  <c r="Z87" i="7"/>
  <c r="Z180" i="7"/>
  <c r="Z375" i="7" s="1"/>
  <c r="AA179" i="7"/>
  <c r="AA128" i="7"/>
  <c r="AA82" i="7"/>
  <c r="Y51" i="7"/>
  <c r="Y66" i="7"/>
  <c r="AA178" i="7"/>
  <c r="AA127" i="7"/>
  <c r="AA77" i="7"/>
  <c r="Z171" i="7"/>
  <c r="Z166" i="7"/>
  <c r="AA180" i="7"/>
  <c r="AA129" i="7"/>
  <c r="AA113" i="7"/>
  <c r="AA87" i="7"/>
  <c r="Y113" i="7"/>
  <c r="Z179" i="7"/>
  <c r="Z374" i="7" s="1"/>
  <c r="Z128" i="7"/>
  <c r="Z82" i="7"/>
  <c r="X51" i="7"/>
  <c r="X66" i="7"/>
  <c r="Z215" i="7"/>
  <c r="Z214" i="7"/>
  <c r="Z216" i="7"/>
  <c r="AA752" i="7"/>
  <c r="AA756" i="7" s="1"/>
  <c r="AA155" i="7"/>
  <c r="Y145" i="7"/>
  <c r="X153" i="7"/>
  <c r="AA158" i="7"/>
  <c r="AA150" i="7"/>
  <c r="Z150" i="7"/>
  <c r="Z158" i="7"/>
  <c r="CL143" i="17"/>
  <c r="CD143" i="17"/>
  <c r="BV143" i="17"/>
  <c r="BN143" i="17"/>
  <c r="BF143" i="17"/>
  <c r="AX143" i="17"/>
  <c r="AP143" i="17"/>
  <c r="AH143" i="17"/>
  <c r="Z143" i="17"/>
  <c r="R143" i="17"/>
  <c r="V72" i="8"/>
  <c r="R72" i="8"/>
  <c r="N72" i="8"/>
  <c r="J72" i="8"/>
  <c r="CO24" i="17"/>
  <c r="BR83" i="17"/>
  <c r="BX143" i="17"/>
  <c r="AR143" i="17"/>
  <c r="L143" i="17"/>
  <c r="U198" i="8"/>
  <c r="M198" i="8"/>
  <c r="H327" i="12"/>
  <c r="W155" i="7"/>
  <c r="S155" i="7"/>
  <c r="O155" i="7"/>
  <c r="K155" i="7"/>
  <c r="G155" i="7"/>
  <c r="Z627" i="7"/>
  <c r="Z638" i="7" s="1"/>
  <c r="Z108" i="21"/>
  <c r="V449" i="7"/>
  <c r="R449" i="7"/>
  <c r="N449" i="7"/>
  <c r="J449" i="7"/>
  <c r="E221" i="2"/>
  <c r="F211" i="2"/>
  <c r="AW211" i="2" s="1"/>
  <c r="Z147" i="7"/>
  <c r="V147" i="7"/>
  <c r="R147" i="7"/>
  <c r="N147" i="7"/>
  <c r="J147" i="7"/>
  <c r="J150" i="7"/>
  <c r="AE657" i="7"/>
  <c r="AE88" i="21"/>
  <c r="EV32" i="6"/>
  <c r="M62" i="11"/>
  <c r="H169" i="12" s="1"/>
  <c r="H16" i="21" s="1"/>
  <c r="Z456" i="20"/>
  <c r="Z462" i="20" s="1"/>
  <c r="AB450" i="20"/>
  <c r="AB456" i="20" s="1"/>
  <c r="AB462" i="20" s="1"/>
  <c r="I456" i="20"/>
  <c r="I462" i="20" s="1"/>
  <c r="K450" i="20"/>
  <c r="K456" i="20" s="1"/>
  <c r="K462" i="20" s="1"/>
  <c r="E256" i="2"/>
  <c r="AV256" i="2" s="1"/>
  <c r="E254" i="2"/>
  <c r="AV254" i="2" s="1"/>
  <c r="E255" i="2"/>
  <c r="AV255" i="2" s="1"/>
  <c r="E253" i="2"/>
  <c r="AV253" i="2" s="1"/>
  <c r="E238" i="2"/>
  <c r="F100" i="2"/>
  <c r="E239" i="2"/>
  <c r="AQ456" i="20"/>
  <c r="AQ462" i="20" s="1"/>
  <c r="AS450" i="20"/>
  <c r="AS456" i="20" s="1"/>
  <c r="AS462" i="20" s="1"/>
  <c r="AE375" i="12"/>
  <c r="F265" i="2" s="1"/>
  <c r="AW265" i="2" s="1"/>
  <c r="AE373" i="12"/>
  <c r="F264" i="2" s="1"/>
  <c r="AW263" i="2" s="1"/>
  <c r="AE374" i="12"/>
  <c r="F263" i="2" s="1"/>
  <c r="AW264" i="2" s="1"/>
  <c r="AE372" i="12"/>
  <c r="F262" i="2" s="1"/>
  <c r="AW262" i="2" s="1"/>
  <c r="P47" i="11"/>
  <c r="CP243" i="17"/>
  <c r="CP89" i="17"/>
  <c r="AN239" i="20"/>
  <c r="AZ115" i="2"/>
  <c r="CP48" i="17"/>
  <c r="BM143" i="17"/>
  <c r="AG143" i="17"/>
  <c r="CP200" i="17"/>
  <c r="AB72" i="8"/>
  <c r="BF115" i="2"/>
  <c r="CJ200" i="17"/>
  <c r="CB200" i="17"/>
  <c r="R251" i="12"/>
  <c r="D4" i="24"/>
  <c r="BJ83" i="17"/>
  <c r="M340" i="12"/>
  <c r="BE115" i="2"/>
  <c r="BA115" i="2"/>
  <c r="K33" i="17"/>
  <c r="DX94" i="6"/>
  <c r="DL94" i="6"/>
  <c r="CZ94" i="6"/>
  <c r="CN94" i="6"/>
  <c r="CB94" i="6"/>
  <c r="BP94" i="6"/>
  <c r="BD94" i="6"/>
  <c r="AR94" i="6"/>
  <c r="AF94" i="6"/>
  <c r="T94" i="6"/>
  <c r="ED96" i="6"/>
  <c r="DR96" i="6"/>
  <c r="DF96" i="6"/>
  <c r="CT96" i="6"/>
  <c r="CH96" i="6"/>
  <c r="BV96" i="6"/>
  <c r="BJ96" i="6"/>
  <c r="AX96" i="6"/>
  <c r="AL96" i="6"/>
  <c r="Z96" i="6"/>
  <c r="DX93" i="6"/>
  <c r="DL93" i="6"/>
  <c r="CZ93" i="6"/>
  <c r="CN93" i="6"/>
  <c r="CB93" i="6"/>
  <c r="BP93" i="6"/>
  <c r="BD93" i="6"/>
  <c r="AR93" i="6"/>
  <c r="AF93" i="6"/>
  <c r="T93" i="6"/>
  <c r="DF81" i="6"/>
  <c r="CH81" i="6"/>
  <c r="BJ81" i="6"/>
  <c r="AL81" i="6"/>
  <c r="ED75" i="6"/>
  <c r="DF75" i="6"/>
  <c r="CH75" i="6"/>
  <c r="BJ75" i="6"/>
  <c r="AL75" i="6"/>
  <c r="CN79" i="6"/>
  <c r="CB79" i="6"/>
  <c r="BP79" i="6"/>
  <c r="BD79" i="6"/>
  <c r="AR79" i="6"/>
  <c r="AF79" i="6"/>
  <c r="T79" i="6"/>
  <c r="DL70" i="6"/>
  <c r="CZ70" i="6"/>
  <c r="CN70" i="6"/>
  <c r="CB70" i="6"/>
  <c r="BP70" i="6"/>
  <c r="BD70" i="6"/>
  <c r="AR70" i="6"/>
  <c r="AF70" i="6"/>
  <c r="T70" i="6"/>
  <c r="N59" i="6"/>
  <c r="DF60" i="6"/>
  <c r="CT60" i="6"/>
  <c r="CH60" i="6"/>
  <c r="BV60" i="6"/>
  <c r="BJ60" i="6"/>
  <c r="AX60" i="6"/>
  <c r="AL60" i="6"/>
  <c r="Z60" i="6"/>
  <c r="EC84" i="6"/>
  <c r="DR75" i="6"/>
  <c r="CT75" i="6"/>
  <c r="BV75" i="6"/>
  <c r="AX75" i="6"/>
  <c r="Z75" i="6"/>
  <c r="DX70" i="6"/>
  <c r="DW94" i="6"/>
  <c r="DK94" i="6"/>
  <c r="CY94" i="6"/>
  <c r="CM94" i="6"/>
  <c r="CA94" i="6"/>
  <c r="BO94" i="6"/>
  <c r="BC94" i="6"/>
  <c r="AQ94" i="6"/>
  <c r="AE94" i="6"/>
  <c r="S94" i="6"/>
  <c r="DQ84" i="6"/>
  <c r="DW82" i="6"/>
  <c r="DK82" i="6"/>
  <c r="CY82" i="6"/>
  <c r="CM82" i="6"/>
  <c r="CA82" i="6"/>
  <c r="BO82" i="6"/>
  <c r="BC82" i="6"/>
  <c r="AQ82" i="6"/>
  <c r="AE82" i="6"/>
  <c r="S82" i="6"/>
  <c r="EA55" i="6"/>
  <c r="DO55" i="6"/>
  <c r="K55" i="6"/>
  <c r="CD200" i="17"/>
  <c r="W198" i="8"/>
  <c r="U49" i="24" s="1"/>
  <c r="BW184" i="17"/>
  <c r="BW183" i="17" s="1"/>
  <c r="BW12" i="17" s="1"/>
  <c r="BT18" i="22" s="1"/>
  <c r="AB748" i="7"/>
  <c r="BC748" i="7" s="1"/>
  <c r="X748" i="7"/>
  <c r="X84" i="21" s="1"/>
  <c r="T748" i="7"/>
  <c r="T84" i="21" s="1"/>
  <c r="P748" i="7"/>
  <c r="P84" i="21" s="1"/>
  <c r="L748" i="7"/>
  <c r="L628" i="7" s="1"/>
  <c r="L639" i="7" s="1"/>
  <c r="H748" i="7"/>
  <c r="H84" i="21" s="1"/>
  <c r="CL200" i="17"/>
  <c r="CJ143" i="17"/>
  <c r="CB143" i="17"/>
  <c r="BT143" i="17"/>
  <c r="BL143" i="17"/>
  <c r="BD143" i="17"/>
  <c r="AV143" i="17"/>
  <c r="AN143" i="17"/>
  <c r="AF143" i="17"/>
  <c r="X143" i="17"/>
  <c r="P143" i="17"/>
  <c r="O198" i="8"/>
  <c r="M49" i="24" s="1"/>
  <c r="CO143" i="17"/>
  <c r="CM143" i="17"/>
  <c r="CG143" i="17"/>
  <c r="CE143" i="17"/>
  <c r="BY143" i="17"/>
  <c r="BW143" i="17"/>
  <c r="BQ143" i="17"/>
  <c r="BO143" i="17"/>
  <c r="BI143" i="17"/>
  <c r="BG143" i="17"/>
  <c r="AS143" i="17"/>
  <c r="AQ143" i="17"/>
  <c r="AC143" i="17"/>
  <c r="AA143" i="17"/>
  <c r="U143" i="17"/>
  <c r="S143" i="17"/>
  <c r="M143" i="17"/>
  <c r="K143" i="17"/>
  <c r="BV80" i="17"/>
  <c r="BN80" i="17"/>
  <c r="CP47" i="17"/>
  <c r="DH50" i="11" s="1"/>
  <c r="CH47" i="17"/>
  <c r="CX50" i="11" s="1"/>
  <c r="BZ47" i="17"/>
  <c r="CN50" i="11" s="1"/>
  <c r="BR47" i="17"/>
  <c r="CD50" i="11" s="1"/>
  <c r="BJ47" i="17"/>
  <c r="BT50" i="11" s="1"/>
  <c r="BB47" i="17"/>
  <c r="BJ50" i="11" s="1"/>
  <c r="AP47" i="17"/>
  <c r="AU50" i="11" s="1"/>
  <c r="AH47" i="17"/>
  <c r="AK50" i="11" s="1"/>
  <c r="Z47" i="17"/>
  <c r="AA50" i="11" s="1"/>
  <c r="R47" i="17"/>
  <c r="Q50" i="11" s="1"/>
  <c r="CP28" i="17"/>
  <c r="DH36" i="11" s="1"/>
  <c r="CH28" i="17"/>
  <c r="CX36" i="11" s="1"/>
  <c r="BZ28" i="17"/>
  <c r="CN36" i="11" s="1"/>
  <c r="BR28" i="17"/>
  <c r="CD36" i="11" s="1"/>
  <c r="BJ28" i="17"/>
  <c r="BT36" i="11" s="1"/>
  <c r="BB28" i="17"/>
  <c r="BJ36" i="11" s="1"/>
  <c r="AT28" i="17"/>
  <c r="AZ36" i="11" s="1"/>
  <c r="AL28" i="17"/>
  <c r="AP36" i="11" s="1"/>
  <c r="AD28" i="17"/>
  <c r="AF36" i="11" s="1"/>
  <c r="V28" i="17"/>
  <c r="V36" i="11" s="1"/>
  <c r="N28" i="17"/>
  <c r="L36" i="11" s="1"/>
  <c r="AB5" i="24"/>
  <c r="CF40" i="6"/>
  <c r="T498" i="7"/>
  <c r="BH40" i="6"/>
  <c r="P498" i="7"/>
  <c r="AJ40" i="6"/>
  <c r="L498" i="7"/>
  <c r="AB61" i="21"/>
  <c r="EB18" i="6"/>
  <c r="DD18" i="6"/>
  <c r="X150" i="7"/>
  <c r="CF18" i="6"/>
  <c r="T150" i="7"/>
  <c r="BH18" i="6"/>
  <c r="BH67" i="6" s="1"/>
  <c r="P150" i="7"/>
  <c r="AJ18" i="6"/>
  <c r="AJ67" i="6" s="1"/>
  <c r="L150" i="7"/>
  <c r="H61" i="21"/>
  <c r="H158" i="7"/>
  <c r="AB752" i="7"/>
  <c r="BC752" i="7" s="1"/>
  <c r="AB147" i="7"/>
  <c r="BC147" i="7" s="1"/>
  <c r="X752" i="7"/>
  <c r="X756" i="7" s="1"/>
  <c r="X147" i="7"/>
  <c r="T752" i="7"/>
  <c r="T756" i="7" s="1"/>
  <c r="T147" i="7"/>
  <c r="P752" i="7"/>
  <c r="P756" i="7" s="1"/>
  <c r="P147" i="7"/>
  <c r="L752" i="7"/>
  <c r="L756" i="7" s="1"/>
  <c r="L147" i="7"/>
  <c r="H752" i="7"/>
  <c r="H756" i="7" s="1"/>
  <c r="H147" i="7"/>
  <c r="Y108" i="21"/>
  <c r="U108" i="21"/>
  <c r="U438" i="7"/>
  <c r="Q108" i="21"/>
  <c r="Q438" i="7"/>
  <c r="M108" i="21"/>
  <c r="M438" i="7"/>
  <c r="I108" i="21"/>
  <c r="I438" i="7"/>
  <c r="DW47" i="6"/>
  <c r="CY47" i="6"/>
  <c r="DE96" i="6" s="1"/>
  <c r="W553" i="7"/>
  <c r="CA47" i="6"/>
  <c r="S553" i="7"/>
  <c r="BC47" i="6"/>
  <c r="BI96" i="6" s="1"/>
  <c r="O553" i="7"/>
  <c r="AE47" i="6"/>
  <c r="K553" i="7"/>
  <c r="Y740" i="7"/>
  <c r="Y742" i="7" s="1"/>
  <c r="Y510" i="7"/>
  <c r="U740" i="7"/>
  <c r="U742" i="7" s="1"/>
  <c r="U510" i="7"/>
  <c r="Q740" i="7"/>
  <c r="Q742" i="7" s="1"/>
  <c r="Q510" i="7"/>
  <c r="M740" i="7"/>
  <c r="M742" i="7" s="1"/>
  <c r="M510" i="7"/>
  <c r="I740" i="7"/>
  <c r="I742" i="7" s="1"/>
  <c r="I510" i="7"/>
  <c r="D205" i="2"/>
  <c r="CY18" i="6"/>
  <c r="DE67" i="6" s="1"/>
  <c r="W145" i="7"/>
  <c r="CA18" i="6"/>
  <c r="S145" i="7"/>
  <c r="BC18" i="6"/>
  <c r="O145" i="7"/>
  <c r="AE18" i="6"/>
  <c r="K145" i="7"/>
  <c r="CK200" i="17"/>
  <c r="CI200" i="17"/>
  <c r="CG200" i="17"/>
  <c r="CB247" i="17"/>
  <c r="CP185" i="17"/>
  <c r="DH89" i="11" s="1"/>
  <c r="G143" i="17"/>
  <c r="CP143" i="17"/>
  <c r="CN143" i="17"/>
  <c r="BH143" i="17"/>
  <c r="AB143" i="17"/>
  <c r="P71" i="11"/>
  <c r="DF95" i="6"/>
  <c r="CT95" i="6"/>
  <c r="CH95" i="6"/>
  <c r="BV95" i="6"/>
  <c r="BJ95" i="6"/>
  <c r="AX95" i="6"/>
  <c r="AL95" i="6"/>
  <c r="Z95" i="6"/>
  <c r="M102" i="11"/>
  <c r="H174" i="12" s="1"/>
  <c r="H21" i="21" s="1"/>
  <c r="AA198" i="8"/>
  <c r="Y49" i="24" s="1"/>
  <c r="BV264" i="17"/>
  <c r="BF264" i="17"/>
  <c r="AP264" i="17"/>
  <c r="G715" i="7"/>
  <c r="CF143" i="17"/>
  <c r="BP143" i="17"/>
  <c r="AZ143" i="17"/>
  <c r="AJ143" i="17"/>
  <c r="T143" i="17"/>
  <c r="H143" i="17"/>
  <c r="CM190" i="17"/>
  <c r="J251" i="12"/>
  <c r="BA116" i="2"/>
  <c r="AY116" i="2"/>
  <c r="BD116" i="2"/>
  <c r="AZ116" i="2"/>
  <c r="BS269" i="17"/>
  <c r="BN264" i="17"/>
  <c r="CC143" i="17"/>
  <c r="AW143" i="17"/>
  <c r="Q143" i="17"/>
  <c r="AD52" i="21"/>
  <c r="G176" i="2"/>
  <c r="AD21" i="8"/>
  <c r="AD53" i="21"/>
  <c r="G177" i="2"/>
  <c r="AX177" i="2" s="1"/>
  <c r="AD22" i="8"/>
  <c r="EB63" i="6"/>
  <c r="DP63" i="6"/>
  <c r="CZ42" i="11"/>
  <c r="CP42" i="11"/>
  <c r="CF42" i="11"/>
  <c r="BV42" i="11"/>
  <c r="BL42" i="11"/>
  <c r="BB42" i="11"/>
  <c r="AR42" i="11"/>
  <c r="AH42" i="11"/>
  <c r="X42" i="11"/>
  <c r="AY110" i="11"/>
  <c r="AE110" i="11"/>
  <c r="BI95" i="11"/>
  <c r="AO95" i="11"/>
  <c r="U95" i="11"/>
  <c r="M63" i="11"/>
  <c r="H170" i="12" s="1"/>
  <c r="H17" i="21" s="1"/>
  <c r="M57" i="11"/>
  <c r="N57" i="11" s="1"/>
  <c r="CL264" i="17"/>
  <c r="AM269" i="17"/>
  <c r="AH264" i="17"/>
  <c r="Z264" i="17"/>
  <c r="CM200" i="17"/>
  <c r="CA200" i="17"/>
  <c r="CK143" i="17"/>
  <c r="BU143" i="17"/>
  <c r="BE143" i="17"/>
  <c r="AO143" i="17"/>
  <c r="Y143" i="17"/>
  <c r="CH242" i="17"/>
  <c r="CX104" i="11" s="1"/>
  <c r="CN190" i="17"/>
  <c r="CH185" i="17"/>
  <c r="CX89" i="11" s="1"/>
  <c r="CC190" i="17"/>
  <c r="CB190" i="17"/>
  <c r="AN284" i="20"/>
  <c r="AE325" i="2"/>
  <c r="AF325" i="2" s="1"/>
  <c r="AG325" i="2" s="1"/>
  <c r="AC325" i="2"/>
  <c r="AP73" i="20"/>
  <c r="AF295" i="2"/>
  <c r="AN29" i="20"/>
  <c r="AP72" i="20"/>
  <c r="AF294" i="2"/>
  <c r="AE293" i="2"/>
  <c r="AC293" i="2"/>
  <c r="AO71" i="20" s="1"/>
  <c r="AE313" i="2"/>
  <c r="AN229" i="20" s="1"/>
  <c r="AC313" i="2"/>
  <c r="AO66" i="20" s="1"/>
  <c r="AC291" i="2"/>
  <c r="AO67" i="20" s="1"/>
  <c r="AE291" i="2"/>
  <c r="AE290" i="2"/>
  <c r="AF290" i="2" s="1"/>
  <c r="AG290" i="2" s="1"/>
  <c r="AC290" i="2"/>
  <c r="AF289" i="2"/>
  <c r="AP153" i="20"/>
  <c r="AO151" i="20"/>
  <c r="AE322" i="2"/>
  <c r="AC322" i="2"/>
  <c r="AO147" i="20" s="1"/>
  <c r="AC307" i="2"/>
  <c r="AM226" i="20" s="1"/>
  <c r="AE307" i="2"/>
  <c r="AN226" i="20" s="1"/>
  <c r="AE310" i="2"/>
  <c r="AN228" i="20" s="1"/>
  <c r="AC310" i="2"/>
  <c r="AM228" i="20" s="1"/>
  <c r="AM254" i="20"/>
  <c r="AM253" i="20"/>
  <c r="AM33" i="20"/>
  <c r="AN258" i="20"/>
  <c r="AN256" i="20"/>
  <c r="AN259" i="20"/>
  <c r="AN235" i="20"/>
  <c r="AN278" i="20"/>
  <c r="AE301" i="2"/>
  <c r="AC301" i="2"/>
  <c r="AO73" i="20"/>
  <c r="AC319" i="2"/>
  <c r="AM233" i="20" s="1"/>
  <c r="AE319" i="2"/>
  <c r="AP68" i="20"/>
  <c r="AF292" i="2"/>
  <c r="AP152" i="20"/>
  <c r="AF288" i="2"/>
  <c r="AF287" i="2"/>
  <c r="AP151" i="20"/>
  <c r="AP149" i="20"/>
  <c r="AE286" i="2"/>
  <c r="AC286" i="2"/>
  <c r="AM223" i="20" s="1"/>
  <c r="AP61" i="20"/>
  <c r="AF285" i="2"/>
  <c r="AE284" i="2"/>
  <c r="AC284" i="2"/>
  <c r="AE316" i="2"/>
  <c r="AN232" i="20" s="1"/>
  <c r="AC316" i="2"/>
  <c r="AM232" i="20" s="1"/>
  <c r="AN236" i="20"/>
  <c r="AN257" i="20"/>
  <c r="AN231" i="20"/>
  <c r="AF299" i="2"/>
  <c r="AP150" i="20"/>
  <c r="AP146" i="20"/>
  <c r="AF296" i="2"/>
  <c r="CI269" i="17"/>
  <c r="CD264" i="17"/>
  <c r="BC269" i="17"/>
  <c r="AX264" i="17"/>
  <c r="W269" i="17"/>
  <c r="R264" i="17"/>
  <c r="CH143" i="17"/>
  <c r="BZ143" i="17"/>
  <c r="BR143" i="17"/>
  <c r="BJ143" i="17"/>
  <c r="BB143" i="17"/>
  <c r="AT143" i="17"/>
  <c r="AL143" i="17"/>
  <c r="AD143" i="17"/>
  <c r="V143" i="17"/>
  <c r="N143" i="17"/>
  <c r="M119" i="11"/>
  <c r="H179" i="12" s="1"/>
  <c r="H44" i="21" s="1"/>
  <c r="E11" i="6"/>
  <c r="DD63" i="6"/>
  <c r="CF63" i="6"/>
  <c r="BH63" i="6"/>
  <c r="AJ63" i="6"/>
  <c r="L63" i="6"/>
  <c r="DF91" i="6"/>
  <c r="CH91" i="6"/>
  <c r="BJ91" i="6"/>
  <c r="AL91" i="6"/>
  <c r="ED84" i="6"/>
  <c r="DR84" i="6"/>
  <c r="DF84" i="6"/>
  <c r="CT84" i="6"/>
  <c r="CH84" i="6"/>
  <c r="BV84" i="6"/>
  <c r="BJ84" i="6"/>
  <c r="AX84" i="6"/>
  <c r="AL84" i="6"/>
  <c r="Z84" i="6"/>
  <c r="DX82" i="6"/>
  <c r="DL82" i="6"/>
  <c r="CZ82" i="6"/>
  <c r="CN82" i="6"/>
  <c r="CB82" i="6"/>
  <c r="BP82" i="6"/>
  <c r="BD82" i="6"/>
  <c r="AR82" i="6"/>
  <c r="AF82" i="6"/>
  <c r="T82" i="6"/>
  <c r="DR59" i="6"/>
  <c r="CT59" i="6"/>
  <c r="BV59" i="6"/>
  <c r="AX59" i="6"/>
  <c r="Z59" i="6"/>
  <c r="DR60" i="6"/>
  <c r="M77" i="6"/>
  <c r="M73" i="6"/>
  <c r="EC60" i="6"/>
  <c r="BU60" i="6"/>
  <c r="Y60" i="6"/>
  <c r="DK59" i="6"/>
  <c r="CY59" i="6"/>
  <c r="CM59" i="6"/>
  <c r="CA59" i="6"/>
  <c r="BO59" i="6"/>
  <c r="BC59" i="6"/>
  <c r="AQ59" i="6"/>
  <c r="AE59" i="6"/>
  <c r="S59" i="6"/>
  <c r="DE58" i="6"/>
  <c r="CG58" i="6"/>
  <c r="BI58" i="6"/>
  <c r="AK58" i="6"/>
  <c r="DL70" i="11"/>
  <c r="N96" i="6"/>
  <c r="CT91" i="6"/>
  <c r="BV91" i="6"/>
  <c r="AX91" i="6"/>
  <c r="Z91" i="6"/>
  <c r="DX77" i="6"/>
  <c r="DL77" i="6"/>
  <c r="CZ77" i="6"/>
  <c r="CN77" i="6"/>
  <c r="CB77" i="6"/>
  <c r="BP77" i="6"/>
  <c r="BD77" i="6"/>
  <c r="AR77" i="6"/>
  <c r="AF77" i="6"/>
  <c r="T77" i="6"/>
  <c r="ED81" i="6"/>
  <c r="DR81" i="6"/>
  <c r="N81" i="6"/>
  <c r="CW56" i="6"/>
  <c r="BY56" i="6"/>
  <c r="BA56" i="6"/>
  <c r="AC56" i="6"/>
  <c r="CQ55" i="6"/>
  <c r="BS55" i="6"/>
  <c r="AU55" i="6"/>
  <c r="W55" i="6"/>
  <c r="CU41" i="11"/>
  <c r="CU50" i="11" s="1"/>
  <c r="CA41" i="11"/>
  <c r="BG41" i="11"/>
  <c r="AM41" i="11"/>
  <c r="S41" i="11"/>
  <c r="BN96" i="6"/>
  <c r="AP96" i="6"/>
  <c r="DP95" i="6"/>
  <c r="CR95" i="6"/>
  <c r="BT95" i="6"/>
  <c r="BD71" i="11"/>
  <c r="AV95" i="6"/>
  <c r="AJ71" i="11"/>
  <c r="X95" i="6"/>
  <c r="ED95" i="6"/>
  <c r="N95" i="6"/>
  <c r="DK95" i="6"/>
  <c r="CM95" i="6"/>
  <c r="BO95" i="6"/>
  <c r="AY72" i="11"/>
  <c r="AQ95" i="6"/>
  <c r="AE72" i="11"/>
  <c r="S95" i="6"/>
  <c r="BZ83" i="17"/>
  <c r="CA269" i="17"/>
  <c r="BK269" i="17"/>
  <c r="AU269" i="17"/>
  <c r="AE269" i="17"/>
  <c r="O269" i="17"/>
  <c r="CN200" i="17"/>
  <c r="CF200" i="17"/>
  <c r="BX200" i="17"/>
  <c r="U340" i="12"/>
  <c r="AA269" i="12"/>
  <c r="V251" i="12"/>
  <c r="N251" i="12"/>
  <c r="CJ269" i="17"/>
  <c r="BT269" i="17"/>
  <c r="BD269" i="17"/>
  <c r="AN269" i="17"/>
  <c r="X269" i="17"/>
  <c r="M84" i="6"/>
  <c r="CY79" i="6"/>
  <c r="CA79" i="6"/>
  <c r="BC79" i="6"/>
  <c r="AE79" i="6"/>
  <c r="DQ60" i="6"/>
  <c r="CS60" i="6"/>
  <c r="AW60" i="6"/>
  <c r="M60" i="6"/>
  <c r="AA39" i="8"/>
  <c r="AA41" i="8" s="1"/>
  <c r="CK41" i="11"/>
  <c r="BQ41" i="11"/>
  <c r="AW41" i="11"/>
  <c r="AC41" i="11"/>
  <c r="X295" i="12"/>
  <c r="V295" i="12"/>
  <c r="T295" i="12"/>
  <c r="R295" i="12"/>
  <c r="P295" i="12"/>
  <c r="N295" i="12"/>
  <c r="L295" i="12"/>
  <c r="J295" i="12"/>
  <c r="EB95" i="6"/>
  <c r="DD95" i="6"/>
  <c r="CF95" i="6"/>
  <c r="BH95" i="6"/>
  <c r="AT71" i="11"/>
  <c r="AJ95" i="6"/>
  <c r="Z71" i="11"/>
  <c r="DR95" i="6"/>
  <c r="DW95" i="6"/>
  <c r="CY95" i="6"/>
  <c r="CA95" i="6"/>
  <c r="BI72" i="11"/>
  <c r="BC95" i="6"/>
  <c r="AO72" i="11"/>
  <c r="AE95" i="6"/>
  <c r="U72" i="11"/>
  <c r="AG53" i="24"/>
  <c r="DL87" i="6"/>
  <c r="CZ87" i="6"/>
  <c r="CN87" i="6"/>
  <c r="CB87" i="6"/>
  <c r="BP87" i="6"/>
  <c r="AY48" i="11"/>
  <c r="BD87" i="6"/>
  <c r="AO48" i="11"/>
  <c r="AR87" i="6"/>
  <c r="AE48" i="11"/>
  <c r="AF87" i="6"/>
  <c r="U48" i="11"/>
  <c r="T87" i="6"/>
  <c r="BD47" i="11"/>
  <c r="AT47" i="11"/>
  <c r="AJ47" i="11"/>
  <c r="Z47" i="11"/>
  <c r="M101" i="11"/>
  <c r="H175" i="12" s="1"/>
  <c r="H22" i="21" s="1"/>
  <c r="M87" i="11"/>
  <c r="H172" i="12" s="1"/>
  <c r="H19" i="21" s="1"/>
  <c r="CO200" i="17"/>
  <c r="CE200" i="17"/>
  <c r="CC200" i="17"/>
  <c r="BY200" i="17"/>
  <c r="CH200" i="17"/>
  <c r="BZ200" i="17"/>
  <c r="J143" i="17"/>
  <c r="AG5" i="24"/>
  <c r="CB269" i="17"/>
  <c r="BL269" i="17"/>
  <c r="AV269" i="17"/>
  <c r="AF269" i="17"/>
  <c r="P269" i="17"/>
  <c r="CE190" i="17"/>
  <c r="BW200" i="17"/>
  <c r="CI143" i="17"/>
  <c r="CH130" i="17"/>
  <c r="CA143" i="17"/>
  <c r="BZ130" i="17"/>
  <c r="BS143" i="17"/>
  <c r="BR130" i="17"/>
  <c r="BK143" i="17"/>
  <c r="BJ130" i="17"/>
  <c r="BC143" i="17"/>
  <c r="BB130" i="17"/>
  <c r="AU143" i="17"/>
  <c r="AT130" i="17"/>
  <c r="AM143" i="17"/>
  <c r="AL130" i="17"/>
  <c r="AE143" i="17"/>
  <c r="AD130" i="17"/>
  <c r="W143" i="17"/>
  <c r="O143" i="17"/>
  <c r="I143" i="17"/>
  <c r="CL47" i="17"/>
  <c r="DC50" i="11" s="1"/>
  <c r="CD47" i="17"/>
  <c r="CS50" i="11" s="1"/>
  <c r="BV47" i="17"/>
  <c r="CI50" i="11" s="1"/>
  <c r="BN47" i="17"/>
  <c r="BY50" i="11" s="1"/>
  <c r="BF47" i="17"/>
  <c r="BO50" i="11" s="1"/>
  <c r="AX47" i="17"/>
  <c r="BE50" i="11" s="1"/>
  <c r="AL47" i="17"/>
  <c r="AP50" i="11" s="1"/>
  <c r="AD47" i="17"/>
  <c r="AF50" i="11" s="1"/>
  <c r="V47" i="17"/>
  <c r="V50" i="11" s="1"/>
  <c r="Y340" i="12"/>
  <c r="Q340" i="12"/>
  <c r="AB4" i="24"/>
  <c r="Z251" i="12"/>
  <c r="AS52" i="17"/>
  <c r="AB720" i="7"/>
  <c r="X720" i="7"/>
  <c r="H720" i="7"/>
  <c r="DG118" i="11"/>
  <c r="CW118" i="11"/>
  <c r="CM118" i="11"/>
  <c r="CC118" i="11"/>
  <c r="BS118" i="11"/>
  <c r="BI118" i="11"/>
  <c r="AY118" i="11"/>
  <c r="AO118" i="11"/>
  <c r="AE118" i="11"/>
  <c r="U118" i="11"/>
  <c r="BV237" i="17"/>
  <c r="BN237" i="17"/>
  <c r="BF237" i="17"/>
  <c r="AX237" i="17"/>
  <c r="AP237" i="17"/>
  <c r="AH237" i="17"/>
  <c r="Z237" i="17"/>
  <c r="R237" i="17"/>
  <c r="BV177" i="17"/>
  <c r="BN177" i="17"/>
  <c r="BF177" i="17"/>
  <c r="AX177" i="17"/>
  <c r="AP177" i="17"/>
  <c r="AH177" i="17"/>
  <c r="Z177" i="17"/>
  <c r="R177" i="17"/>
  <c r="CM269" i="17"/>
  <c r="CP264" i="17"/>
  <c r="CE269" i="17"/>
  <c r="CH264" i="17"/>
  <c r="BW269" i="17"/>
  <c r="BZ264" i="17"/>
  <c r="BO269" i="17"/>
  <c r="BR264" i="17"/>
  <c r="BG269" i="17"/>
  <c r="BJ264" i="17"/>
  <c r="AY269" i="17"/>
  <c r="BB264" i="17"/>
  <c r="AQ269" i="17"/>
  <c r="AT264" i="17"/>
  <c r="AI269" i="17"/>
  <c r="AL264" i="17"/>
  <c r="AA269" i="17"/>
  <c r="AD264" i="17"/>
  <c r="S269" i="17"/>
  <c r="V264" i="17"/>
  <c r="N264" i="17"/>
  <c r="CP242" i="17"/>
  <c r="DH104" i="11" s="1"/>
  <c r="CJ247" i="17"/>
  <c r="CC247" i="17"/>
  <c r="I241" i="17"/>
  <c r="CF190" i="17"/>
  <c r="CL130" i="17"/>
  <c r="CD130" i="17"/>
  <c r="BV130" i="17"/>
  <c r="BN130" i="17"/>
  <c r="BF130" i="17"/>
  <c r="AX130" i="17"/>
  <c r="AP130" i="17"/>
  <c r="AH130" i="17"/>
  <c r="Z130" i="17"/>
  <c r="R130" i="17"/>
  <c r="CM93" i="17"/>
  <c r="CP88" i="17"/>
  <c r="DH65" i="11" s="1"/>
  <c r="CI87" i="17"/>
  <c r="CI86" i="17" s="1"/>
  <c r="CI8" i="17" s="1"/>
  <c r="CF14" i="22" s="1"/>
  <c r="CH72" i="17"/>
  <c r="CG73" i="17" s="1"/>
  <c r="E35" i="6"/>
  <c r="AA715" i="7"/>
  <c r="AA64" i="21" s="1"/>
  <c r="Y715" i="7"/>
  <c r="Y64" i="21" s="1"/>
  <c r="W715" i="7"/>
  <c r="W64" i="21" s="1"/>
  <c r="U715" i="7"/>
  <c r="U64" i="21" s="1"/>
  <c r="S715" i="7"/>
  <c r="S64" i="21" s="1"/>
  <c r="Q715" i="7"/>
  <c r="Q64" i="21" s="1"/>
  <c r="O715" i="7"/>
  <c r="O64" i="21" s="1"/>
  <c r="M715" i="7"/>
  <c r="M64" i="21" s="1"/>
  <c r="K715" i="7"/>
  <c r="K64" i="21" s="1"/>
  <c r="I715" i="7"/>
  <c r="I64" i="21" s="1"/>
  <c r="CR63" i="6"/>
  <c r="BT63" i="6"/>
  <c r="AV63" i="6"/>
  <c r="X63" i="6"/>
  <c r="E9" i="6"/>
  <c r="H613" i="7"/>
  <c r="ED91" i="6"/>
  <c r="DR91" i="6"/>
  <c r="N91" i="6"/>
  <c r="N84" i="6"/>
  <c r="CT81" i="6"/>
  <c r="BV81" i="6"/>
  <c r="AX81" i="6"/>
  <c r="Z81" i="6"/>
  <c r="H24" i="6"/>
  <c r="N75" i="6"/>
  <c r="DX79" i="6"/>
  <c r="DL79" i="6"/>
  <c r="CZ79" i="6"/>
  <c r="T242" i="7"/>
  <c r="U245" i="7"/>
  <c r="U122" i="21" s="1"/>
  <c r="P242" i="7"/>
  <c r="Q245" i="7"/>
  <c r="Q122" i="21" s="1"/>
  <c r="L242" i="7"/>
  <c r="H242" i="7"/>
  <c r="ED59" i="6"/>
  <c r="Z748" i="7"/>
  <c r="Z628" i="7" s="1"/>
  <c r="Z639" i="7" s="1"/>
  <c r="DF59" i="6"/>
  <c r="V748" i="7"/>
  <c r="V628" i="7" s="1"/>
  <c r="V639" i="7" s="1"/>
  <c r="CH59" i="6"/>
  <c r="R748" i="7"/>
  <c r="R628" i="7" s="1"/>
  <c r="BJ59" i="6"/>
  <c r="N748" i="7"/>
  <c r="N628" i="7" s="1"/>
  <c r="N639" i="7" s="1"/>
  <c r="AL59" i="6"/>
  <c r="J748" i="7"/>
  <c r="J628" i="7" s="1"/>
  <c r="DX58" i="6"/>
  <c r="DL58" i="6"/>
  <c r="CZ58" i="6"/>
  <c r="CN58" i="6"/>
  <c r="CB58" i="6"/>
  <c r="BP58" i="6"/>
  <c r="BD58" i="6"/>
  <c r="AR58" i="6"/>
  <c r="AF58" i="6"/>
  <c r="T58" i="6"/>
  <c r="ED60" i="6"/>
  <c r="N60" i="6"/>
  <c r="DE84" i="6"/>
  <c r="CS84" i="6"/>
  <c r="CG84" i="6"/>
  <c r="BU84" i="6"/>
  <c r="BI84" i="6"/>
  <c r="AW84" i="6"/>
  <c r="AK84" i="6"/>
  <c r="Y84" i="6"/>
  <c r="V239" i="7"/>
  <c r="R239" i="7"/>
  <c r="N239" i="7"/>
  <c r="DE60" i="6"/>
  <c r="CG60" i="6"/>
  <c r="BI60" i="6"/>
  <c r="AK60" i="6"/>
  <c r="DW59" i="6"/>
  <c r="CS58" i="6"/>
  <c r="BU58" i="6"/>
  <c r="AW58" i="6"/>
  <c r="Y58" i="6"/>
  <c r="DU56" i="6"/>
  <c r="DI56" i="6"/>
  <c r="CK56" i="6"/>
  <c r="BM56" i="6"/>
  <c r="AO56" i="6"/>
  <c r="Q56" i="6"/>
  <c r="DC55" i="6"/>
  <c r="CE55" i="6"/>
  <c r="BG55" i="6"/>
  <c r="AI55" i="6"/>
  <c r="AB239" i="8"/>
  <c r="Z239" i="8"/>
  <c r="W242" i="7"/>
  <c r="S242" i="7"/>
  <c r="O242" i="7"/>
  <c r="K242" i="7"/>
  <c r="AG6" i="24"/>
  <c r="BZ77" i="17"/>
  <c r="BR77" i="17"/>
  <c r="BJ77" i="17"/>
  <c r="BB77" i="17"/>
  <c r="AT77" i="17"/>
  <c r="AL77" i="17"/>
  <c r="AD77" i="17"/>
  <c r="V77" i="17"/>
  <c r="CM52" i="17"/>
  <c r="CN52" i="17"/>
  <c r="CJ52" i="17"/>
  <c r="CI52" i="17"/>
  <c r="CE52" i="17"/>
  <c r="CF52" i="17"/>
  <c r="CB52" i="17"/>
  <c r="CA52" i="17"/>
  <c r="BW52" i="17"/>
  <c r="BX52" i="17"/>
  <c r="BT52" i="17"/>
  <c r="BS52" i="17"/>
  <c r="BO52" i="17"/>
  <c r="BP52" i="17"/>
  <c r="BL52" i="17"/>
  <c r="BK52" i="17"/>
  <c r="BG52" i="17"/>
  <c r="BH52" i="17"/>
  <c r="BD52" i="17"/>
  <c r="BC52" i="17"/>
  <c r="AY52" i="17"/>
  <c r="AZ52" i="17"/>
  <c r="AV52" i="17"/>
  <c r="AU52" i="17"/>
  <c r="AQ52" i="17"/>
  <c r="AR52" i="17"/>
  <c r="AN52" i="17"/>
  <c r="AM52" i="17"/>
  <c r="AI52" i="17"/>
  <c r="AJ52" i="17"/>
  <c r="AF52" i="17"/>
  <c r="AE52" i="17"/>
  <c r="AA52" i="17"/>
  <c r="AB52" i="17"/>
  <c r="X52" i="17"/>
  <c r="W52" i="17"/>
  <c r="S52" i="17"/>
  <c r="T52" i="17"/>
  <c r="P52" i="17"/>
  <c r="O52" i="17"/>
  <c r="K52" i="17"/>
  <c r="CL28" i="17"/>
  <c r="DC36" i="11" s="1"/>
  <c r="CD28" i="17"/>
  <c r="CS36" i="11" s="1"/>
  <c r="BV28" i="17"/>
  <c r="CI36" i="11" s="1"/>
  <c r="BN28" i="17"/>
  <c r="BY36" i="11" s="1"/>
  <c r="BF28" i="17"/>
  <c r="BO36" i="11" s="1"/>
  <c r="AP28" i="17"/>
  <c r="AU36" i="11" s="1"/>
  <c r="AH28" i="17"/>
  <c r="AK36" i="11" s="1"/>
  <c r="Z28" i="17"/>
  <c r="AA36" i="11" s="1"/>
  <c r="R28" i="17"/>
  <c r="Q36" i="11" s="1"/>
  <c r="Z327" i="12"/>
  <c r="H295" i="12"/>
  <c r="AA459" i="12"/>
  <c r="AA340" i="12"/>
  <c r="W340" i="12"/>
  <c r="S340" i="12"/>
  <c r="O340" i="12"/>
  <c r="K340" i="12"/>
  <c r="I340" i="12"/>
  <c r="AA453" i="12"/>
  <c r="X451" i="12"/>
  <c r="V451" i="12"/>
  <c r="T451" i="12"/>
  <c r="R451" i="12"/>
  <c r="P451" i="12"/>
  <c r="N451" i="12"/>
  <c r="L451" i="12"/>
  <c r="J451" i="12"/>
  <c r="AA452" i="12"/>
  <c r="Y441" i="12"/>
  <c r="W441" i="12"/>
  <c r="U441" i="12"/>
  <c r="S441" i="12"/>
  <c r="Q441" i="12"/>
  <c r="O441" i="12"/>
  <c r="M441" i="12"/>
  <c r="K441" i="12"/>
  <c r="I441" i="12"/>
  <c r="AB442" i="12"/>
  <c r="Z442" i="12"/>
  <c r="AB251" i="12"/>
  <c r="X251" i="12"/>
  <c r="T251" i="12"/>
  <c r="P251" i="12"/>
  <c r="L251" i="12"/>
  <c r="H251" i="12"/>
  <c r="AA301" i="12"/>
  <c r="W301" i="12"/>
  <c r="S301" i="12"/>
  <c r="O301" i="12"/>
  <c r="K301" i="12"/>
  <c r="G301" i="12"/>
  <c r="EC77" i="6"/>
  <c r="DQ77" i="6"/>
  <c r="DE77" i="6"/>
  <c r="CS77" i="6"/>
  <c r="CG77" i="6"/>
  <c r="BU77" i="6"/>
  <c r="BI77" i="6"/>
  <c r="AW77" i="6"/>
  <c r="AK77" i="6"/>
  <c r="Y77" i="6"/>
  <c r="DW81" i="6"/>
  <c r="DK81" i="6"/>
  <c r="CY81" i="6"/>
  <c r="CM81" i="6"/>
  <c r="CA81" i="6"/>
  <c r="BO81" i="6"/>
  <c r="BC81" i="6"/>
  <c r="AQ81" i="6"/>
  <c r="AE81" i="6"/>
  <c r="S81" i="6"/>
  <c r="EC73" i="6"/>
  <c r="DQ73" i="6"/>
  <c r="DE73" i="6"/>
  <c r="CS73" i="6"/>
  <c r="CG73" i="6"/>
  <c r="BU73" i="6"/>
  <c r="BI73" i="6"/>
  <c r="AW73" i="6"/>
  <c r="AK73" i="6"/>
  <c r="Y73" i="6"/>
  <c r="DW79" i="6"/>
  <c r="DK79" i="6"/>
  <c r="CM79" i="6"/>
  <c r="BO79" i="6"/>
  <c r="AQ79" i="6"/>
  <c r="S79" i="6"/>
  <c r="EC58" i="6"/>
  <c r="DQ58" i="6"/>
  <c r="M58" i="6"/>
  <c r="BI110" i="11"/>
  <c r="AO110" i="11"/>
  <c r="U110" i="11"/>
  <c r="AY95" i="11"/>
  <c r="AE95" i="11"/>
  <c r="L95" i="6"/>
  <c r="M86" i="11"/>
  <c r="DX87" i="6"/>
  <c r="AC159" i="21"/>
  <c r="AD797" i="7"/>
  <c r="Z126" i="21"/>
  <c r="Z125" i="21"/>
  <c r="V33" i="21"/>
  <c r="CQ47" i="6"/>
  <c r="CG81" i="11"/>
  <c r="CG11" i="11"/>
  <c r="V430" i="12"/>
  <c r="V267" i="12"/>
  <c r="V263" i="12"/>
  <c r="R33" i="21"/>
  <c r="BS47" i="6"/>
  <c r="BM81" i="11"/>
  <c r="BM11" i="11"/>
  <c r="R430" i="12"/>
  <c r="R267" i="12"/>
  <c r="R263" i="12"/>
  <c r="N33" i="21"/>
  <c r="AU47" i="6"/>
  <c r="AS81" i="11"/>
  <c r="AS11" i="11"/>
  <c r="N430" i="12"/>
  <c r="N267" i="12"/>
  <c r="N263" i="12"/>
  <c r="J33" i="21"/>
  <c r="W47" i="6"/>
  <c r="Y81" i="11"/>
  <c r="Y11" i="11"/>
  <c r="J430" i="12"/>
  <c r="J267" i="12"/>
  <c r="J263" i="12"/>
  <c r="DL119" i="11"/>
  <c r="CT119" i="11"/>
  <c r="CR119" i="11"/>
  <c r="BZ119" i="11"/>
  <c r="U179" i="12" s="1"/>
  <c r="U44" i="21" s="1"/>
  <c r="BX119" i="11"/>
  <c r="BF119" i="11"/>
  <c r="BD119" i="11"/>
  <c r="AL119" i="11"/>
  <c r="M179" i="12" s="1"/>
  <c r="M44" i="21" s="1"/>
  <c r="AJ119" i="11"/>
  <c r="R119" i="11"/>
  <c r="P119" i="11"/>
  <c r="DL118" i="11"/>
  <c r="DB118" i="11"/>
  <c r="CR118" i="11"/>
  <c r="CH118" i="11"/>
  <c r="BX118" i="11"/>
  <c r="BN118" i="11"/>
  <c r="BD118" i="11"/>
  <c r="AT118" i="11"/>
  <c r="AJ118" i="11"/>
  <c r="Z118" i="11"/>
  <c r="BR237" i="17"/>
  <c r="BJ237" i="17"/>
  <c r="BB237" i="17"/>
  <c r="AT237" i="17"/>
  <c r="AL237" i="17"/>
  <c r="AD237" i="17"/>
  <c r="V237" i="17"/>
  <c r="CJ19" i="22"/>
  <c r="CL17" i="22"/>
  <c r="CL202" i="17"/>
  <c r="CK203" i="17" s="1"/>
  <c r="CD202" i="17"/>
  <c r="CC203" i="17" s="1"/>
  <c r="CL145" i="17"/>
  <c r="CK146" i="17" s="1"/>
  <c r="CD145" i="17"/>
  <c r="CC146" i="17" s="1"/>
  <c r="BV145" i="17"/>
  <c r="BU146" i="17" s="1"/>
  <c r="BN145" i="17"/>
  <c r="BM146" i="17" s="1"/>
  <c r="BF145" i="17"/>
  <c r="BE146" i="17" s="1"/>
  <c r="AX145" i="17"/>
  <c r="AW146" i="17" s="1"/>
  <c r="AP145" i="17"/>
  <c r="AO146" i="17" s="1"/>
  <c r="AH145" i="17"/>
  <c r="AG146" i="17" s="1"/>
  <c r="Z145" i="17"/>
  <c r="Y146" i="17" s="1"/>
  <c r="R145" i="17"/>
  <c r="Q146" i="17" s="1"/>
  <c r="J145" i="17"/>
  <c r="I146" i="17" s="1"/>
  <c r="CL20" i="22"/>
  <c r="F123" i="2"/>
  <c r="CL242" i="17"/>
  <c r="DC104" i="11" s="1"/>
  <c r="CI247" i="17"/>
  <c r="CD242" i="17"/>
  <c r="CS104" i="11" s="1"/>
  <c r="BU256" i="17"/>
  <c r="BU257" i="17" s="1"/>
  <c r="BU240" i="17"/>
  <c r="BU14" i="17" s="1"/>
  <c r="BR20" i="22" s="1"/>
  <c r="BU226" i="17"/>
  <c r="BS256" i="17"/>
  <c r="BS257" i="17" s="1"/>
  <c r="BS240" i="17"/>
  <c r="BS14" i="17" s="1"/>
  <c r="BP20" i="22" s="1"/>
  <c r="BS226" i="17"/>
  <c r="BQ256" i="17"/>
  <c r="BQ257" i="17" s="1"/>
  <c r="BQ240" i="17"/>
  <c r="BQ14" i="17" s="1"/>
  <c r="BN20" i="22" s="1"/>
  <c r="BQ226" i="17"/>
  <c r="BO256" i="17"/>
  <c r="BO257" i="17" s="1"/>
  <c r="BO240" i="17"/>
  <c r="BO14" i="17" s="1"/>
  <c r="BL20" i="22" s="1"/>
  <c r="BO226" i="17"/>
  <c r="BM256" i="17"/>
  <c r="BM257" i="17" s="1"/>
  <c r="BM240" i="17"/>
  <c r="BM14" i="17" s="1"/>
  <c r="BJ20" i="22" s="1"/>
  <c r="BM226" i="17"/>
  <c r="BK256" i="17"/>
  <c r="BK257" i="17" s="1"/>
  <c r="BK240" i="17"/>
  <c r="BK14" i="17" s="1"/>
  <c r="BH20" i="22" s="1"/>
  <c r="BK226" i="17"/>
  <c r="BI256" i="17"/>
  <c r="BI257" i="17" s="1"/>
  <c r="BI240" i="17"/>
  <c r="BI14" i="17" s="1"/>
  <c r="BF20" i="22" s="1"/>
  <c r="BI226" i="17"/>
  <c r="BG256" i="17"/>
  <c r="BG257" i="17" s="1"/>
  <c r="BG240" i="17"/>
  <c r="BG14" i="17" s="1"/>
  <c r="BD20" i="22" s="1"/>
  <c r="BG226" i="17"/>
  <c r="BE256" i="17"/>
  <c r="BE257" i="17" s="1"/>
  <c r="BE240" i="17"/>
  <c r="BE14" i="17" s="1"/>
  <c r="BB20" i="22" s="1"/>
  <c r="BE226" i="17"/>
  <c r="BC256" i="17"/>
  <c r="BC257" i="17" s="1"/>
  <c r="BC240" i="17"/>
  <c r="BC14" i="17" s="1"/>
  <c r="AZ20" i="22" s="1"/>
  <c r="BC226" i="17"/>
  <c r="BA256" i="17"/>
  <c r="BA257" i="17" s="1"/>
  <c r="BA240" i="17"/>
  <c r="BA14" i="17" s="1"/>
  <c r="AX20" i="22" s="1"/>
  <c r="BA226" i="17"/>
  <c r="AY256" i="17"/>
  <c r="AY257" i="17" s="1"/>
  <c r="AY240" i="17"/>
  <c r="AY14" i="17" s="1"/>
  <c r="AV20" i="22" s="1"/>
  <c r="AY226" i="17"/>
  <c r="AW256" i="17"/>
  <c r="AW257" i="17" s="1"/>
  <c r="AW240" i="17"/>
  <c r="AW14" i="17" s="1"/>
  <c r="AT20" i="22" s="1"/>
  <c r="AW226" i="17"/>
  <c r="AU256" i="17"/>
  <c r="AU257" i="17" s="1"/>
  <c r="AU240" i="17"/>
  <c r="AU14" i="17" s="1"/>
  <c r="AR20" i="22" s="1"/>
  <c r="AU226" i="17"/>
  <c r="AS256" i="17"/>
  <c r="AS257" i="17" s="1"/>
  <c r="AS240" i="17"/>
  <c r="AS14" i="17" s="1"/>
  <c r="AP20" i="22" s="1"/>
  <c r="AS226" i="17"/>
  <c r="AQ256" i="17"/>
  <c r="AQ257" i="17" s="1"/>
  <c r="AQ240" i="17"/>
  <c r="AQ14" i="17" s="1"/>
  <c r="AN20" i="22" s="1"/>
  <c r="AQ226" i="17"/>
  <c r="AO256" i="17"/>
  <c r="AO257" i="17" s="1"/>
  <c r="AO240" i="17"/>
  <c r="AO14" i="17" s="1"/>
  <c r="AL20" i="22" s="1"/>
  <c r="AO226" i="17"/>
  <c r="AM256" i="17"/>
  <c r="AM257" i="17" s="1"/>
  <c r="AM240" i="17"/>
  <c r="AM14" i="17" s="1"/>
  <c r="AJ20" i="22" s="1"/>
  <c r="AM226" i="17"/>
  <c r="AK256" i="17"/>
  <c r="AK257" i="17" s="1"/>
  <c r="AK240" i="17"/>
  <c r="AK14" i="17" s="1"/>
  <c r="AH20" i="22" s="1"/>
  <c r="AK226" i="17"/>
  <c r="AI256" i="17"/>
  <c r="AI257" i="17" s="1"/>
  <c r="AI240" i="17"/>
  <c r="AI14" i="17" s="1"/>
  <c r="AF20" i="22" s="1"/>
  <c r="AI226" i="17"/>
  <c r="AG256" i="17"/>
  <c r="AG257" i="17" s="1"/>
  <c r="AG240" i="17"/>
  <c r="AG14" i="17" s="1"/>
  <c r="AD20" i="22" s="1"/>
  <c r="AG226" i="17"/>
  <c r="AE256" i="17"/>
  <c r="AE257" i="17" s="1"/>
  <c r="AE240" i="17"/>
  <c r="AE14" i="17" s="1"/>
  <c r="AB20" i="22" s="1"/>
  <c r="AE226" i="17"/>
  <c r="AC256" i="17"/>
  <c r="AC257" i="17" s="1"/>
  <c r="AC240" i="17"/>
  <c r="AC14" i="17" s="1"/>
  <c r="Z20" i="22" s="1"/>
  <c r="AC226" i="17"/>
  <c r="AA256" i="17"/>
  <c r="AA257" i="17" s="1"/>
  <c r="AA240" i="17"/>
  <c r="AA14" i="17" s="1"/>
  <c r="X20" i="22" s="1"/>
  <c r="AA226" i="17"/>
  <c r="Y256" i="17"/>
  <c r="Y257" i="17" s="1"/>
  <c r="Y240" i="17"/>
  <c r="Y14" i="17" s="1"/>
  <c r="V20" i="22" s="1"/>
  <c r="Y226" i="17"/>
  <c r="W256" i="17"/>
  <c r="W257" i="17" s="1"/>
  <c r="W240" i="17"/>
  <c r="W14" i="17" s="1"/>
  <c r="T20" i="22" s="1"/>
  <c r="W226" i="17"/>
  <c r="U256" i="17"/>
  <c r="U257" i="17" s="1"/>
  <c r="U240" i="17"/>
  <c r="U14" i="17" s="1"/>
  <c r="R20" i="22" s="1"/>
  <c r="U226" i="17"/>
  <c r="S256" i="17"/>
  <c r="S257" i="17" s="1"/>
  <c r="S240" i="17"/>
  <c r="S14" i="17" s="1"/>
  <c r="P20" i="22" s="1"/>
  <c r="S226" i="17"/>
  <c r="Q256" i="17"/>
  <c r="Q257" i="17" s="1"/>
  <c r="Q240" i="17"/>
  <c r="Q14" i="17" s="1"/>
  <c r="N20" i="22" s="1"/>
  <c r="Q226" i="17"/>
  <c r="O256" i="17"/>
  <c r="O257" i="17" s="1"/>
  <c r="O240" i="17"/>
  <c r="O14" i="17" s="1"/>
  <c r="L20" i="22" s="1"/>
  <c r="O226" i="17"/>
  <c r="M256" i="17"/>
  <c r="M257" i="17" s="1"/>
  <c r="M240" i="17"/>
  <c r="M14" i="17" s="1"/>
  <c r="J20" i="22" s="1"/>
  <c r="M226" i="17"/>
  <c r="K256" i="17"/>
  <c r="K257" i="17" s="1"/>
  <c r="K240" i="17"/>
  <c r="K14" i="17" s="1"/>
  <c r="H20" i="22" s="1"/>
  <c r="K226" i="17"/>
  <c r="I256" i="17"/>
  <c r="I257" i="17" s="1"/>
  <c r="I240" i="17"/>
  <c r="I14" i="17" s="1"/>
  <c r="I226" i="17"/>
  <c r="G256" i="17"/>
  <c r="G257" i="17" s="1"/>
  <c r="G226" i="17"/>
  <c r="CI190" i="17"/>
  <c r="CL185" i="17"/>
  <c r="DC89" i="11" s="1"/>
  <c r="CA190" i="17"/>
  <c r="CD185" i="17"/>
  <c r="CS89" i="11" s="1"/>
  <c r="BU169" i="17"/>
  <c r="BU183" i="17"/>
  <c r="BU12" i="17" s="1"/>
  <c r="BR18" i="22" s="1"/>
  <c r="BS169" i="17"/>
  <c r="BS183" i="17"/>
  <c r="BS12" i="17" s="1"/>
  <c r="BP18" i="22" s="1"/>
  <c r="BQ169" i="17"/>
  <c r="BQ183" i="17"/>
  <c r="BQ12" i="17" s="1"/>
  <c r="BN18" i="22" s="1"/>
  <c r="BO169" i="17"/>
  <c r="BO183" i="17"/>
  <c r="BO12" i="17" s="1"/>
  <c r="BL18" i="22" s="1"/>
  <c r="BM169" i="17"/>
  <c r="BM183" i="17"/>
  <c r="BM12" i="17" s="1"/>
  <c r="BJ18" i="22" s="1"/>
  <c r="BK169" i="17"/>
  <c r="BK183" i="17"/>
  <c r="BK12" i="17" s="1"/>
  <c r="BH18" i="22" s="1"/>
  <c r="BI169" i="17"/>
  <c r="BI183" i="17"/>
  <c r="BI12" i="17" s="1"/>
  <c r="BF18" i="22" s="1"/>
  <c r="BG169" i="17"/>
  <c r="BG183" i="17"/>
  <c r="BG12" i="17" s="1"/>
  <c r="BD18" i="22" s="1"/>
  <c r="BE169" i="17"/>
  <c r="BE183" i="17"/>
  <c r="BE12" i="17" s="1"/>
  <c r="BB18" i="22" s="1"/>
  <c r="BC169" i="17"/>
  <c r="BC183" i="17"/>
  <c r="BC12" i="17" s="1"/>
  <c r="AZ18" i="22" s="1"/>
  <c r="BA169" i="17"/>
  <c r="BA183" i="17"/>
  <c r="BA12" i="17" s="1"/>
  <c r="AX18" i="22" s="1"/>
  <c r="AY169" i="17"/>
  <c r="AY183" i="17"/>
  <c r="AY12" i="17" s="1"/>
  <c r="AV18" i="22" s="1"/>
  <c r="AW169" i="17"/>
  <c r="AW183" i="17"/>
  <c r="AW12" i="17" s="1"/>
  <c r="AT18" i="22" s="1"/>
  <c r="AU169" i="17"/>
  <c r="AU183" i="17"/>
  <c r="AU12" i="17" s="1"/>
  <c r="AR18" i="22" s="1"/>
  <c r="AS169" i="17"/>
  <c r="AS183" i="17"/>
  <c r="AS12" i="17" s="1"/>
  <c r="AP18" i="22" s="1"/>
  <c r="AQ169" i="17"/>
  <c r="AQ183" i="17"/>
  <c r="AQ12" i="17" s="1"/>
  <c r="AN18" i="22" s="1"/>
  <c r="AO169" i="17"/>
  <c r="AO183" i="17"/>
  <c r="AO12" i="17" s="1"/>
  <c r="AL18" i="22" s="1"/>
  <c r="AM169" i="17"/>
  <c r="AM183" i="17"/>
  <c r="AM12" i="17" s="1"/>
  <c r="AJ18" i="22" s="1"/>
  <c r="AK169" i="17"/>
  <c r="AK183" i="17"/>
  <c r="AK12" i="17" s="1"/>
  <c r="AH18" i="22" s="1"/>
  <c r="AI169" i="17"/>
  <c r="AI183" i="17"/>
  <c r="AI12" i="17" s="1"/>
  <c r="AF18" i="22" s="1"/>
  <c r="AG169" i="17"/>
  <c r="AG183" i="17"/>
  <c r="AG12" i="17" s="1"/>
  <c r="AD18" i="22" s="1"/>
  <c r="AE169" i="17"/>
  <c r="AE183" i="17"/>
  <c r="AE12" i="17" s="1"/>
  <c r="AB18" i="22" s="1"/>
  <c r="AC169" i="17"/>
  <c r="AC183" i="17"/>
  <c r="AC12" i="17" s="1"/>
  <c r="Z18" i="22" s="1"/>
  <c r="AA169" i="17"/>
  <c r="AA183" i="17"/>
  <c r="AA12" i="17" s="1"/>
  <c r="X18" i="22" s="1"/>
  <c r="Y169" i="17"/>
  <c r="Y183" i="17"/>
  <c r="Y12" i="17" s="1"/>
  <c r="V18" i="22" s="1"/>
  <c r="W169" i="17"/>
  <c r="W183" i="17"/>
  <c r="W12" i="17" s="1"/>
  <c r="T18" i="22" s="1"/>
  <c r="U169" i="17"/>
  <c r="U183" i="17"/>
  <c r="U12" i="17" s="1"/>
  <c r="R18" i="22" s="1"/>
  <c r="S169" i="17"/>
  <c r="S183" i="17"/>
  <c r="S12" i="17" s="1"/>
  <c r="P18" i="22" s="1"/>
  <c r="Q169" i="17"/>
  <c r="Q183" i="17"/>
  <c r="Q12" i="17" s="1"/>
  <c r="N18" i="22" s="1"/>
  <c r="O169" i="17"/>
  <c r="O183" i="17"/>
  <c r="O12" i="17" s="1"/>
  <c r="L18" i="22" s="1"/>
  <c r="M169" i="17"/>
  <c r="M183" i="17"/>
  <c r="M12" i="17" s="1"/>
  <c r="J18" i="22" s="1"/>
  <c r="K169" i="17"/>
  <c r="K183" i="17"/>
  <c r="K12" i="17" s="1"/>
  <c r="H18" i="22" s="1"/>
  <c r="I169" i="17"/>
  <c r="I183" i="17"/>
  <c r="I12" i="17" s="1"/>
  <c r="CJ14" i="22"/>
  <c r="D117" i="2"/>
  <c r="CC94" i="17"/>
  <c r="CC92" i="17"/>
  <c r="CC87" i="17"/>
  <c r="CD72" i="17"/>
  <c r="CD94" i="17" s="1"/>
  <c r="BY94" i="17"/>
  <c r="BY92" i="17"/>
  <c r="BY87" i="17"/>
  <c r="BZ72" i="17"/>
  <c r="BY73" i="17" s="1"/>
  <c r="BW92" i="17"/>
  <c r="BW87" i="17"/>
  <c r="BU94" i="17"/>
  <c r="BU92" i="17"/>
  <c r="BU87" i="17"/>
  <c r="BS92" i="17"/>
  <c r="BS87" i="17"/>
  <c r="BV72" i="17"/>
  <c r="BW93" i="17" s="1"/>
  <c r="BQ94" i="17"/>
  <c r="BQ92" i="17"/>
  <c r="BQ87" i="17"/>
  <c r="BR72" i="17"/>
  <c r="BQ73" i="17" s="1"/>
  <c r="BO92" i="17"/>
  <c r="BO87" i="17"/>
  <c r="BM94" i="17"/>
  <c r="BM92" i="17"/>
  <c r="BM87" i="17"/>
  <c r="BK92" i="17"/>
  <c r="BK87" i="17"/>
  <c r="BN72" i="17"/>
  <c r="BO93" i="17" s="1"/>
  <c r="BI94" i="17"/>
  <c r="BI92" i="17"/>
  <c r="BI87" i="17"/>
  <c r="BJ72" i="17"/>
  <c r="BI73" i="17" s="1"/>
  <c r="BG92" i="17"/>
  <c r="BG87" i="17"/>
  <c r="BE94" i="17"/>
  <c r="BE92" i="17"/>
  <c r="BE87" i="17"/>
  <c r="BC92" i="17"/>
  <c r="BC87" i="17"/>
  <c r="BF72" i="17"/>
  <c r="BG93" i="17" s="1"/>
  <c r="BA94" i="17"/>
  <c r="BA92" i="17"/>
  <c r="BA87" i="17"/>
  <c r="BB72" i="17"/>
  <c r="BA73" i="17" s="1"/>
  <c r="AY92" i="17"/>
  <c r="AY87" i="17"/>
  <c r="AW94" i="17"/>
  <c r="AW92" i="17"/>
  <c r="AW87" i="17"/>
  <c r="AU92" i="17"/>
  <c r="AU87" i="17"/>
  <c r="AX72" i="17"/>
  <c r="AY93" i="17" s="1"/>
  <c r="AS94" i="17"/>
  <c r="AS92" i="17"/>
  <c r="AS87" i="17"/>
  <c r="AT72" i="17"/>
  <c r="AS73" i="17" s="1"/>
  <c r="AQ92" i="17"/>
  <c r="AQ87" i="17"/>
  <c r="AO94" i="17"/>
  <c r="AO92" i="17"/>
  <c r="AO87" i="17"/>
  <c r="AM92" i="17"/>
  <c r="AM87" i="17"/>
  <c r="AP72" i="17"/>
  <c r="AQ93" i="17" s="1"/>
  <c r="AK94" i="17"/>
  <c r="AK92" i="17"/>
  <c r="AK87" i="17"/>
  <c r="AL72" i="17"/>
  <c r="AK73" i="17" s="1"/>
  <c r="AI92" i="17"/>
  <c r="AI87" i="17"/>
  <c r="AG94" i="17"/>
  <c r="AG92" i="17"/>
  <c r="AG87" i="17"/>
  <c r="AE92" i="17"/>
  <c r="AE87" i="17"/>
  <c r="AH72" i="17"/>
  <c r="AI93" i="17" s="1"/>
  <c r="AC94" i="17"/>
  <c r="AC92" i="17"/>
  <c r="AC87" i="17"/>
  <c r="AD72" i="17"/>
  <c r="AC73" i="17" s="1"/>
  <c r="AA92" i="17"/>
  <c r="AA87" i="17"/>
  <c r="Y94" i="17"/>
  <c r="Y92" i="17"/>
  <c r="Y87" i="17"/>
  <c r="W92" i="17"/>
  <c r="W87" i="17"/>
  <c r="Z72" i="17"/>
  <c r="AA93" i="17" s="1"/>
  <c r="U94" i="17"/>
  <c r="U92" i="17"/>
  <c r="U87" i="17"/>
  <c r="V72" i="17"/>
  <c r="U73" i="17" s="1"/>
  <c r="S92" i="17"/>
  <c r="S87" i="17"/>
  <c r="Q94" i="17"/>
  <c r="Q92" i="17"/>
  <c r="Q87" i="17"/>
  <c r="O92" i="17"/>
  <c r="O87" i="17"/>
  <c r="R72" i="17"/>
  <c r="S93" i="17" s="1"/>
  <c r="M94" i="17"/>
  <c r="M92" i="17"/>
  <c r="M87" i="17"/>
  <c r="N72" i="17"/>
  <c r="M73" i="17" s="1"/>
  <c r="K92" i="17"/>
  <c r="K87" i="17"/>
  <c r="J72" i="17"/>
  <c r="L93" i="17" s="1"/>
  <c r="CJ308" i="17"/>
  <c r="CK303" i="17"/>
  <c r="CB308" i="17"/>
  <c r="CC303" i="17"/>
  <c r="BT308" i="17"/>
  <c r="BU303" i="17"/>
  <c r="BL308" i="17"/>
  <c r="BM303" i="17"/>
  <c r="BD308" i="17"/>
  <c r="BE303" i="17"/>
  <c r="AV308" i="17"/>
  <c r="AW303" i="17"/>
  <c r="AN308" i="17"/>
  <c r="AO303" i="17"/>
  <c r="AF308" i="17"/>
  <c r="AG303" i="17"/>
  <c r="X308" i="17"/>
  <c r="Y303" i="17"/>
  <c r="P308" i="17"/>
  <c r="Q303" i="17"/>
  <c r="EH45" i="6"/>
  <c r="AD517" i="7"/>
  <c r="EB94" i="6"/>
  <c r="EA45" i="6"/>
  <c r="DP94" i="6"/>
  <c r="DO45" i="6"/>
  <c r="CR94" i="6"/>
  <c r="CQ45" i="6"/>
  <c r="BT94" i="6"/>
  <c r="BS45" i="6"/>
  <c r="AV94" i="6"/>
  <c r="AU45" i="6"/>
  <c r="X94" i="6"/>
  <c r="W45" i="6"/>
  <c r="G345" i="20"/>
  <c r="X345" i="20" s="1"/>
  <c r="F345" i="20"/>
  <c r="W345" i="20" s="1"/>
  <c r="AU194" i="2"/>
  <c r="DA35" i="6"/>
  <c r="W782" i="7"/>
  <c r="W409" i="7"/>
  <c r="W403" i="7"/>
  <c r="CX84" i="6"/>
  <c r="CW35" i="6"/>
  <c r="CC35" i="6"/>
  <c r="S782" i="7"/>
  <c r="S409" i="7"/>
  <c r="S403" i="7"/>
  <c r="BZ84" i="6"/>
  <c r="BY35" i="6"/>
  <c r="BE35" i="6"/>
  <c r="O782" i="7"/>
  <c r="O409" i="7"/>
  <c r="O403" i="7"/>
  <c r="BB84" i="6"/>
  <c r="BA35" i="6"/>
  <c r="AG35" i="6"/>
  <c r="K782" i="7"/>
  <c r="K409" i="7"/>
  <c r="K403" i="7"/>
  <c r="AD84" i="6"/>
  <c r="AC35" i="6"/>
  <c r="EH33" i="6"/>
  <c r="AD321" i="7"/>
  <c r="AE321" i="7" s="1"/>
  <c r="AF321" i="7" s="1"/>
  <c r="EZ33" i="6" s="1"/>
  <c r="DP82" i="6"/>
  <c r="DO33" i="6"/>
  <c r="CR82" i="6"/>
  <c r="CQ33" i="6"/>
  <c r="BT82" i="6"/>
  <c r="BS33" i="6"/>
  <c r="AV82" i="6"/>
  <c r="AU33" i="6"/>
  <c r="X82" i="6"/>
  <c r="W33" i="6"/>
  <c r="EB81" i="6"/>
  <c r="DD81" i="6"/>
  <c r="CF81" i="6"/>
  <c r="BH81" i="6"/>
  <c r="AJ81" i="6"/>
  <c r="L81" i="6"/>
  <c r="DJ80" i="6"/>
  <c r="DI31" i="6"/>
  <c r="CL80" i="6"/>
  <c r="CK31" i="6"/>
  <c r="BN80" i="6"/>
  <c r="BM31" i="6"/>
  <c r="AP80" i="6"/>
  <c r="AO31" i="6"/>
  <c r="R80" i="6"/>
  <c r="Q31" i="6"/>
  <c r="DS32" i="6"/>
  <c r="DO32" i="6" s="1"/>
  <c r="Z781" i="7"/>
  <c r="DP76" i="6"/>
  <c r="DO27" i="6"/>
  <c r="CR76" i="6"/>
  <c r="CQ27" i="6"/>
  <c r="BT76" i="6"/>
  <c r="BS27" i="6"/>
  <c r="AA709" i="7"/>
  <c r="Y709" i="7"/>
  <c r="Y62" i="21" s="1"/>
  <c r="W709" i="7"/>
  <c r="W62" i="21" s="1"/>
  <c r="U709" i="7"/>
  <c r="U62" i="21" s="1"/>
  <c r="S709" i="7"/>
  <c r="S62" i="21" s="1"/>
  <c r="Q709" i="7"/>
  <c r="Q62" i="21" s="1"/>
  <c r="O709" i="7"/>
  <c r="O62" i="21" s="1"/>
  <c r="M709" i="7"/>
  <c r="M62" i="21" s="1"/>
  <c r="K709" i="7"/>
  <c r="K62" i="21" s="1"/>
  <c r="I709" i="7"/>
  <c r="I62" i="21" s="1"/>
  <c r="DP79" i="6"/>
  <c r="DO30" i="6"/>
  <c r="X228" i="7"/>
  <c r="V228" i="7"/>
  <c r="T228" i="7"/>
  <c r="R228" i="7"/>
  <c r="P228" i="7"/>
  <c r="N228" i="7"/>
  <c r="L228" i="7"/>
  <c r="J228" i="7"/>
  <c r="H228" i="7"/>
  <c r="DJ60" i="6"/>
  <c r="DI11" i="6"/>
  <c r="CL60" i="6"/>
  <c r="CK11" i="6"/>
  <c r="BN60" i="6"/>
  <c r="BM11" i="6"/>
  <c r="AP60" i="6"/>
  <c r="AO11" i="6"/>
  <c r="R60" i="6"/>
  <c r="Q11" i="6"/>
  <c r="DV62" i="6"/>
  <c r="DV15" i="6"/>
  <c r="DU13" i="6"/>
  <c r="DJ62" i="6"/>
  <c r="DJ15" i="6"/>
  <c r="DI13" i="6"/>
  <c r="W181" i="8"/>
  <c r="W174" i="8"/>
  <c r="W258" i="7"/>
  <c r="X270" i="7" s="1"/>
  <c r="W166" i="8"/>
  <c r="CL62" i="6"/>
  <c r="CL15" i="6"/>
  <c r="CK13" i="6"/>
  <c r="S181" i="8"/>
  <c r="S174" i="8"/>
  <c r="S258" i="7"/>
  <c r="S166" i="8"/>
  <c r="BN62" i="6"/>
  <c r="BN15" i="6"/>
  <c r="BM13" i="6"/>
  <c r="O181" i="8"/>
  <c r="O174" i="8"/>
  <c r="O258" i="7"/>
  <c r="O166" i="8"/>
  <c r="AP62" i="6"/>
  <c r="AP15" i="6"/>
  <c r="AO13" i="6"/>
  <c r="K181" i="8"/>
  <c r="K174" i="8"/>
  <c r="K258" i="7"/>
  <c r="K166" i="8"/>
  <c r="R62" i="6"/>
  <c r="R15" i="6"/>
  <c r="Q13" i="6"/>
  <c r="G181" i="8"/>
  <c r="G258" i="7"/>
  <c r="G259" i="7" s="1"/>
  <c r="G166" i="8"/>
  <c r="F15" i="6"/>
  <c r="E13" i="6"/>
  <c r="EH10" i="6"/>
  <c r="AD46" i="7"/>
  <c r="AE46" i="7" s="1"/>
  <c r="EB59" i="6"/>
  <c r="EA10" i="6"/>
  <c r="DD59" i="6"/>
  <c r="DC10" i="6"/>
  <c r="CF59" i="6"/>
  <c r="CE10" i="6"/>
  <c r="BH59" i="6"/>
  <c r="BG10" i="6"/>
  <c r="AJ59" i="6"/>
  <c r="AI10" i="6"/>
  <c r="L59" i="6"/>
  <c r="K10" i="6"/>
  <c r="DV58" i="6"/>
  <c r="DU9" i="6"/>
  <c r="DJ58" i="6"/>
  <c r="DI9" i="6"/>
  <c r="CX58" i="6"/>
  <c r="CW9" i="6"/>
  <c r="CL58" i="6"/>
  <c r="CK9" i="6"/>
  <c r="BZ58" i="6"/>
  <c r="BY9" i="6"/>
  <c r="BN58" i="6"/>
  <c r="BM9" i="6"/>
  <c r="BB58" i="6"/>
  <c r="BA9" i="6"/>
  <c r="AP58" i="6"/>
  <c r="AO9" i="6"/>
  <c r="AD58" i="6"/>
  <c r="AC9" i="6"/>
  <c r="R58" i="6"/>
  <c r="Q9" i="6"/>
  <c r="AB60" i="21"/>
  <c r="BC127" i="7"/>
  <c r="AB115" i="7"/>
  <c r="BC115" i="7" s="1"/>
  <c r="AB118" i="7"/>
  <c r="BC118" i="7" s="1"/>
  <c r="EB57" i="6"/>
  <c r="EB12" i="6"/>
  <c r="X60" i="21"/>
  <c r="X178" i="7"/>
  <c r="X127" i="7"/>
  <c r="X115" i="7"/>
  <c r="X118" i="7"/>
  <c r="X77" i="7"/>
  <c r="DD57" i="6"/>
  <c r="DD12" i="6"/>
  <c r="T60" i="21"/>
  <c r="T178" i="7"/>
  <c r="T127" i="7"/>
  <c r="T115" i="7"/>
  <c r="T118" i="7"/>
  <c r="T77" i="7"/>
  <c r="CF57" i="6"/>
  <c r="CF12" i="6"/>
  <c r="P60" i="21"/>
  <c r="P178" i="7"/>
  <c r="P127" i="7"/>
  <c r="P115" i="7"/>
  <c r="P118" i="7"/>
  <c r="P77" i="7"/>
  <c r="BH57" i="6"/>
  <c r="BH12" i="6"/>
  <c r="L60" i="21"/>
  <c r="L178" i="7"/>
  <c r="L127" i="7"/>
  <c r="L115" i="7"/>
  <c r="L118" i="7"/>
  <c r="L77" i="7"/>
  <c r="AJ57" i="6"/>
  <c r="AJ12" i="6"/>
  <c r="H60" i="21"/>
  <c r="H178" i="7"/>
  <c r="H127" i="7"/>
  <c r="H115" i="7"/>
  <c r="H118" i="7"/>
  <c r="H77" i="7"/>
  <c r="L57" i="6"/>
  <c r="L12" i="6"/>
  <c r="AC113" i="21"/>
  <c r="EJ42" i="6"/>
  <c r="EJ91" i="6" s="1"/>
  <c r="AD481" i="7"/>
  <c r="AA762" i="7"/>
  <c r="Y762" i="7"/>
  <c r="W762" i="7"/>
  <c r="U762" i="7"/>
  <c r="S762" i="7"/>
  <c r="Q762" i="7"/>
  <c r="O762" i="7"/>
  <c r="M762" i="7"/>
  <c r="K762" i="7"/>
  <c r="I762" i="7"/>
  <c r="CT90" i="6"/>
  <c r="BV90" i="6"/>
  <c r="AX90" i="6"/>
  <c r="Z90" i="6"/>
  <c r="DX43" i="6"/>
  <c r="DX40" i="6" s="1"/>
  <c r="AA494" i="7"/>
  <c r="G425" i="20"/>
  <c r="X425" i="20" s="1"/>
  <c r="AU225" i="2"/>
  <c r="Y497" i="7"/>
  <c r="Y508" i="7"/>
  <c r="Y651" i="7"/>
  <c r="Y641" i="7"/>
  <c r="W497" i="7"/>
  <c r="W508" i="7"/>
  <c r="U497" i="7"/>
  <c r="U508" i="7"/>
  <c r="S497" i="7"/>
  <c r="S508" i="7"/>
  <c r="Q497" i="7"/>
  <c r="Q508" i="7"/>
  <c r="O497" i="7"/>
  <c r="O508" i="7"/>
  <c r="M497" i="7"/>
  <c r="M508" i="7"/>
  <c r="K497" i="7"/>
  <c r="K508" i="7"/>
  <c r="I497" i="7"/>
  <c r="I508" i="7"/>
  <c r="G508" i="7"/>
  <c r="EJ35" i="6"/>
  <c r="EJ84" i="6" s="1"/>
  <c r="AD396" i="7"/>
  <c r="AE396" i="7" s="1"/>
  <c r="AF396" i="7" s="1"/>
  <c r="FB35" i="6" s="1"/>
  <c r="AC111" i="21"/>
  <c r="AD418" i="7"/>
  <c r="DX74" i="6"/>
  <c r="DX24" i="6"/>
  <c r="DU24" i="6" s="1"/>
  <c r="Y82" i="21"/>
  <c r="Y626" i="7"/>
  <c r="Y637" i="7" s="1"/>
  <c r="W82" i="21"/>
  <c r="W626" i="7"/>
  <c r="W637" i="7" s="1"/>
  <c r="W289" i="7"/>
  <c r="W279" i="7"/>
  <c r="W265" i="7"/>
  <c r="W287" i="7" s="1"/>
  <c r="U82" i="21"/>
  <c r="U626" i="7"/>
  <c r="U637" i="7" s="1"/>
  <c r="U289" i="7"/>
  <c r="U279" i="7"/>
  <c r="U265" i="7"/>
  <c r="U287" i="7" s="1"/>
  <c r="S82" i="21"/>
  <c r="S626" i="7"/>
  <c r="S637" i="7" s="1"/>
  <c r="S289" i="7"/>
  <c r="S279" i="7"/>
  <c r="S265" i="7"/>
  <c r="S287" i="7" s="1"/>
  <c r="Q82" i="21"/>
  <c r="Q626" i="7"/>
  <c r="Q637" i="7" s="1"/>
  <c r="Q289" i="7"/>
  <c r="Q279" i="7"/>
  <c r="Q265" i="7"/>
  <c r="Q287" i="7" s="1"/>
  <c r="O82" i="21"/>
  <c r="O626" i="7"/>
  <c r="O637" i="7" s="1"/>
  <c r="O289" i="7"/>
  <c r="O279" i="7"/>
  <c r="O265" i="7"/>
  <c r="O287" i="7" s="1"/>
  <c r="M82" i="21"/>
  <c r="M626" i="7"/>
  <c r="M637" i="7" s="1"/>
  <c r="M289" i="7"/>
  <c r="M279" i="7"/>
  <c r="M265" i="7"/>
  <c r="M287" i="7" s="1"/>
  <c r="K82" i="21"/>
  <c r="K626" i="7"/>
  <c r="K637" i="7" s="1"/>
  <c r="K289" i="7"/>
  <c r="K279" i="7"/>
  <c r="K265" i="7"/>
  <c r="K287" i="7" s="1"/>
  <c r="I82" i="21"/>
  <c r="I626" i="7"/>
  <c r="I637" i="7" s="1"/>
  <c r="I289" i="7"/>
  <c r="I279" i="7"/>
  <c r="I265" i="7"/>
  <c r="I287" i="7" s="1"/>
  <c r="G626" i="7"/>
  <c r="G637" i="7" s="1"/>
  <c r="G289" i="7"/>
  <c r="G279" i="7"/>
  <c r="EJ26" i="6"/>
  <c r="EJ75" i="6" s="1"/>
  <c r="AD252" i="7"/>
  <c r="AE252" i="7" s="1"/>
  <c r="CT72" i="6"/>
  <c r="CQ23" i="6"/>
  <c r="BV72" i="6"/>
  <c r="BS23" i="6"/>
  <c r="AX72" i="6"/>
  <c r="AU23" i="6"/>
  <c r="M245" i="7"/>
  <c r="M122" i="21" s="1"/>
  <c r="Z72" i="6"/>
  <c r="W23" i="6"/>
  <c r="AA143" i="7"/>
  <c r="Y143" i="7"/>
  <c r="W171" i="7"/>
  <c r="W166" i="7"/>
  <c r="W162" i="7"/>
  <c r="U143" i="7"/>
  <c r="S171" i="7"/>
  <c r="S166" i="7"/>
  <c r="S162" i="7"/>
  <c r="Q143" i="7"/>
  <c r="O171" i="7"/>
  <c r="O166" i="7"/>
  <c r="O162" i="7"/>
  <c r="M143" i="7"/>
  <c r="K171" i="7"/>
  <c r="K166" i="7"/>
  <c r="K162" i="7"/>
  <c r="I171" i="7"/>
  <c r="I166" i="7"/>
  <c r="I162" i="7"/>
  <c r="H18" i="6"/>
  <c r="V448" i="7"/>
  <c r="V437" i="7"/>
  <c r="R448" i="7"/>
  <c r="R437" i="7"/>
  <c r="N448" i="7"/>
  <c r="N437" i="7"/>
  <c r="J448" i="7"/>
  <c r="J437" i="7"/>
  <c r="Y447" i="7"/>
  <c r="W447" i="7"/>
  <c r="W436" i="7"/>
  <c r="U447" i="7"/>
  <c r="U436" i="7"/>
  <c r="S447" i="7"/>
  <c r="S436" i="7"/>
  <c r="Q447" i="7"/>
  <c r="Q436" i="7"/>
  <c r="O447" i="7"/>
  <c r="O436" i="7"/>
  <c r="M447" i="7"/>
  <c r="M436" i="7"/>
  <c r="K447" i="7"/>
  <c r="K436" i="7"/>
  <c r="I447" i="7"/>
  <c r="I436" i="7"/>
  <c r="CT66" i="6"/>
  <c r="CQ17" i="6"/>
  <c r="BV66" i="6"/>
  <c r="BS17" i="6"/>
  <c r="AX66" i="6"/>
  <c r="AU17" i="6"/>
  <c r="Z66" i="6"/>
  <c r="W17" i="6"/>
  <c r="G407" i="20"/>
  <c r="X407" i="20" s="1"/>
  <c r="AU213" i="2"/>
  <c r="Y635" i="7"/>
  <c r="DL65" i="6"/>
  <c r="DI16" i="6"/>
  <c r="W635" i="7"/>
  <c r="CZ65" i="6"/>
  <c r="CW16" i="6"/>
  <c r="U635" i="7"/>
  <c r="CN65" i="6"/>
  <c r="CK16" i="6"/>
  <c r="S635" i="7"/>
  <c r="CB65" i="6"/>
  <c r="BY16" i="6"/>
  <c r="Q635" i="7"/>
  <c r="BP65" i="6"/>
  <c r="BM16" i="6"/>
  <c r="O635" i="7"/>
  <c r="BD65" i="6"/>
  <c r="BA16" i="6"/>
  <c r="M635" i="7"/>
  <c r="AR65" i="6"/>
  <c r="AO16" i="6"/>
  <c r="K635" i="7"/>
  <c r="AF65" i="6"/>
  <c r="AC16" i="6"/>
  <c r="I635" i="7"/>
  <c r="T65" i="6"/>
  <c r="Q16" i="6"/>
  <c r="AB654" i="7"/>
  <c r="X654" i="7"/>
  <c r="X442" i="7"/>
  <c r="V654" i="7"/>
  <c r="V430" i="7"/>
  <c r="V442" i="7"/>
  <c r="T654" i="7"/>
  <c r="T430" i="7"/>
  <c r="T442" i="7"/>
  <c r="R654" i="7"/>
  <c r="R430" i="7"/>
  <c r="R442" i="7"/>
  <c r="P654" i="7"/>
  <c r="P430" i="7"/>
  <c r="P442" i="7"/>
  <c r="N654" i="7"/>
  <c r="N430" i="7"/>
  <c r="N442" i="7"/>
  <c r="L654" i="7"/>
  <c r="L430" i="7"/>
  <c r="L442" i="7"/>
  <c r="J654" i="7"/>
  <c r="J430" i="7"/>
  <c r="J442" i="7"/>
  <c r="H654" i="7"/>
  <c r="H430" i="7"/>
  <c r="H442" i="7"/>
  <c r="G483" i="20"/>
  <c r="X483" i="20" s="1"/>
  <c r="F483" i="20"/>
  <c r="W483" i="20" s="1"/>
  <c r="AU244" i="2"/>
  <c r="AC77" i="21"/>
  <c r="EI35" i="6"/>
  <c r="EI84" i="6" s="1"/>
  <c r="AD395" i="7"/>
  <c r="EI28" i="6"/>
  <c r="EI77" i="6" s="1"/>
  <c r="AD324" i="7"/>
  <c r="AE324" i="7" s="1"/>
  <c r="AF324" i="7" s="1"/>
  <c r="FA28" i="6" s="1"/>
  <c r="EI24" i="6"/>
  <c r="EI73" i="6" s="1"/>
  <c r="G410" i="20"/>
  <c r="X410" i="20" s="1"/>
  <c r="F382" i="20"/>
  <c r="W382" i="20" s="1"/>
  <c r="G382" i="20"/>
  <c r="X382" i="20" s="1"/>
  <c r="AU207" i="2"/>
  <c r="U236" i="7"/>
  <c r="Q236" i="7"/>
  <c r="M236" i="7"/>
  <c r="I236" i="7"/>
  <c r="AA73" i="21"/>
  <c r="D204" i="2"/>
  <c r="AU204" i="2" s="1"/>
  <c r="AA119" i="7"/>
  <c r="AA234" i="7" s="1"/>
  <c r="F379" i="20"/>
  <c r="W379" i="20" s="1"/>
  <c r="F375" i="20"/>
  <c r="W375" i="20" s="1"/>
  <c r="G379" i="20"/>
  <c r="X379" i="20" s="1"/>
  <c r="G375" i="20"/>
  <c r="X375" i="20" s="1"/>
  <c r="AU200" i="2"/>
  <c r="Y73" i="21"/>
  <c r="Y179" i="7"/>
  <c r="Y128" i="7"/>
  <c r="Y119" i="7"/>
  <c r="Y234" i="7" s="1"/>
  <c r="Y82" i="7"/>
  <c r="CY57" i="6"/>
  <c r="CY12" i="6"/>
  <c r="U73" i="21"/>
  <c r="U179" i="7"/>
  <c r="U128" i="7"/>
  <c r="U119" i="7"/>
  <c r="U234" i="7" s="1"/>
  <c r="U82" i="7"/>
  <c r="CA57" i="6"/>
  <c r="CA12" i="6"/>
  <c r="Q73" i="21"/>
  <c r="Q179" i="7"/>
  <c r="Q128" i="7"/>
  <c r="Q119" i="7"/>
  <c r="Q234" i="7" s="1"/>
  <c r="Q82" i="7"/>
  <c r="BC57" i="6"/>
  <c r="BC12" i="6"/>
  <c r="M73" i="21"/>
  <c r="M179" i="7"/>
  <c r="M128" i="7"/>
  <c r="M119" i="7"/>
  <c r="M234" i="7" s="1"/>
  <c r="M82" i="7"/>
  <c r="AE57" i="6"/>
  <c r="AE12" i="6"/>
  <c r="I73" i="21"/>
  <c r="I179" i="7"/>
  <c r="I128" i="7"/>
  <c r="I119" i="7"/>
  <c r="I234" i="7" s="1"/>
  <c r="I82" i="7"/>
  <c r="G179" i="7"/>
  <c r="G128" i="7"/>
  <c r="G82" i="7"/>
  <c r="AA100" i="21"/>
  <c r="D233" i="2"/>
  <c r="DY17" i="6"/>
  <c r="AA769" i="7"/>
  <c r="AA58" i="7"/>
  <c r="G282" i="20"/>
  <c r="X282" i="20" s="1"/>
  <c r="F282" i="20"/>
  <c r="W282" i="20" s="1"/>
  <c r="AU162" i="2"/>
  <c r="Z247" i="8"/>
  <c r="Z196" i="8"/>
  <c r="Z226" i="7" s="1"/>
  <c r="Z179" i="8"/>
  <c r="Z172" i="8"/>
  <c r="Z144" i="8"/>
  <c r="W42" i="8"/>
  <c r="W10" i="8"/>
  <c r="S42" i="8"/>
  <c r="S10" i="8"/>
  <c r="O42" i="8"/>
  <c r="O10" i="8"/>
  <c r="K42" i="8"/>
  <c r="K10" i="8"/>
  <c r="G42" i="8"/>
  <c r="G10" i="8"/>
  <c r="AB55" i="21"/>
  <c r="AB63" i="8"/>
  <c r="AB52" i="8"/>
  <c r="AB36" i="8"/>
  <c r="AB34" i="8"/>
  <c r="AB44" i="8"/>
  <c r="AB43" i="8" s="1"/>
  <c r="Z55" i="21"/>
  <c r="C179" i="2"/>
  <c r="AT179" i="2" s="1"/>
  <c r="Z63" i="8"/>
  <c r="Z52" i="8"/>
  <c r="X43" i="24" s="1"/>
  <c r="Z36" i="8"/>
  <c r="X45" i="24" s="1"/>
  <c r="Z34" i="8"/>
  <c r="Z114" i="8" s="1"/>
  <c r="X55" i="21"/>
  <c r="X63" i="8"/>
  <c r="X52" i="8"/>
  <c r="V43" i="24" s="1"/>
  <c r="X36" i="8"/>
  <c r="V45" i="24" s="1"/>
  <c r="X34" i="8"/>
  <c r="X114" i="8" s="1"/>
  <c r="V55" i="21"/>
  <c r="V63" i="8"/>
  <c r="V52" i="8"/>
  <c r="T43" i="24" s="1"/>
  <c r="V36" i="8"/>
  <c r="T45" i="24" s="1"/>
  <c r="V34" i="8"/>
  <c r="T55" i="21"/>
  <c r="T63" i="8"/>
  <c r="T52" i="8"/>
  <c r="R43" i="24" s="1"/>
  <c r="T36" i="8"/>
  <c r="R45" i="24" s="1"/>
  <c r="T34" i="8"/>
  <c r="T114" i="8" s="1"/>
  <c r="R55" i="21"/>
  <c r="R63" i="8"/>
  <c r="R52" i="8"/>
  <c r="P43" i="24" s="1"/>
  <c r="R36" i="8"/>
  <c r="P45" i="24" s="1"/>
  <c r="R34" i="8"/>
  <c r="P55" i="21"/>
  <c r="P63" i="8"/>
  <c r="P52" i="8"/>
  <c r="N43" i="24" s="1"/>
  <c r="P36" i="8"/>
  <c r="N45" i="24" s="1"/>
  <c r="P34" i="8"/>
  <c r="P114" i="8" s="1"/>
  <c r="N55" i="21"/>
  <c r="N63" i="8"/>
  <c r="N52" i="8"/>
  <c r="L43" i="24" s="1"/>
  <c r="N36" i="8"/>
  <c r="L45" i="24" s="1"/>
  <c r="N34" i="8"/>
  <c r="L55" i="21"/>
  <c r="L63" i="8"/>
  <c r="L52" i="8"/>
  <c r="J43" i="24" s="1"/>
  <c r="L36" i="8"/>
  <c r="J45" i="24" s="1"/>
  <c r="L34" i="8"/>
  <c r="L114" i="8" s="1"/>
  <c r="J55" i="21"/>
  <c r="J63" i="8"/>
  <c r="J52" i="8"/>
  <c r="H43" i="24" s="1"/>
  <c r="J36" i="8"/>
  <c r="H45" i="24" s="1"/>
  <c r="J34" i="8"/>
  <c r="H55" i="21"/>
  <c r="H63" i="8"/>
  <c r="H52" i="8"/>
  <c r="F43" i="24" s="1"/>
  <c r="H36" i="8"/>
  <c r="F45" i="24" s="1"/>
  <c r="H34" i="8"/>
  <c r="H114" i="8" s="1"/>
  <c r="W81" i="8"/>
  <c r="W101" i="8"/>
  <c r="S81" i="8"/>
  <c r="S101" i="8"/>
  <c r="O81" i="8"/>
  <c r="O101" i="8"/>
  <c r="K81" i="8"/>
  <c r="K101" i="8"/>
  <c r="G101" i="8"/>
  <c r="V60" i="8"/>
  <c r="V49" i="8"/>
  <c r="R60" i="8"/>
  <c r="R49" i="8"/>
  <c r="N60" i="8"/>
  <c r="N49" i="8"/>
  <c r="J60" i="8"/>
  <c r="J49" i="8"/>
  <c r="E303" i="20"/>
  <c r="V303" i="20" s="1"/>
  <c r="F303" i="20"/>
  <c r="W303" i="20" s="1"/>
  <c r="AU175" i="2"/>
  <c r="Z128" i="21"/>
  <c r="Z127" i="21"/>
  <c r="Y33" i="21"/>
  <c r="DI47" i="6"/>
  <c r="DO96" i="6" s="1"/>
  <c r="Y430" i="12"/>
  <c r="Z433" i="12" s="1"/>
  <c r="Y267" i="12"/>
  <c r="Z273" i="12" s="1"/>
  <c r="Y263" i="12"/>
  <c r="CV81" i="11"/>
  <c r="DB81" i="11" s="1"/>
  <c r="CV11" i="11"/>
  <c r="DB11" i="11" s="1"/>
  <c r="U33" i="21"/>
  <c r="CK47" i="6"/>
  <c r="U430" i="12"/>
  <c r="U267" i="12"/>
  <c r="U263" i="12"/>
  <c r="CB81" i="11"/>
  <c r="CB11" i="11"/>
  <c r="Q33" i="21"/>
  <c r="BM47" i="6"/>
  <c r="Q430" i="12"/>
  <c r="Q267" i="12"/>
  <c r="Q263" i="12"/>
  <c r="BH81" i="11"/>
  <c r="BH11" i="11"/>
  <c r="M33" i="21"/>
  <c r="AO47" i="6"/>
  <c r="M430" i="12"/>
  <c r="M267" i="12"/>
  <c r="M263" i="12"/>
  <c r="AN81" i="11"/>
  <c r="AN11" i="11"/>
  <c r="I33" i="21"/>
  <c r="Q47" i="6"/>
  <c r="I430" i="12"/>
  <c r="I267" i="12"/>
  <c r="I263" i="12"/>
  <c r="T81" i="11"/>
  <c r="T11" i="11"/>
  <c r="DI119" i="11"/>
  <c r="AB179" i="12" s="1"/>
  <c r="DG119" i="11"/>
  <c r="CO119" i="11"/>
  <c r="X179" i="12" s="1"/>
  <c r="X44" i="21" s="1"/>
  <c r="CM119" i="11"/>
  <c r="BU119" i="11"/>
  <c r="T179" i="12" s="1"/>
  <c r="T44" i="21" s="1"/>
  <c r="BS119" i="11"/>
  <c r="BA119" i="11"/>
  <c r="P179" i="12" s="1"/>
  <c r="P44" i="21" s="1"/>
  <c r="AY119" i="11"/>
  <c r="AG119" i="11"/>
  <c r="L179" i="12" s="1"/>
  <c r="L44" i="21" s="1"/>
  <c r="AE119" i="11"/>
  <c r="BZ224" i="17"/>
  <c r="BZ237" i="17" s="1"/>
  <c r="BX223" i="17"/>
  <c r="BY223" i="17" s="1"/>
  <c r="BZ223" i="17" s="1"/>
  <c r="CA223" i="17" s="1"/>
  <c r="CK19" i="22"/>
  <c r="CM17" i="22"/>
  <c r="CK17" i="22"/>
  <c r="CK15" i="22"/>
  <c r="CK20" i="22"/>
  <c r="E123" i="2"/>
  <c r="BV246" i="17"/>
  <c r="BV241" i="17"/>
  <c r="BT246" i="17"/>
  <c r="BT241" i="17"/>
  <c r="BT248" i="17"/>
  <c r="BR246" i="17"/>
  <c r="BR241" i="17"/>
  <c r="BP248" i="17"/>
  <c r="BP246" i="17"/>
  <c r="BP241" i="17"/>
  <c r="BN246" i="17"/>
  <c r="BN241" i="17"/>
  <c r="BL246" i="17"/>
  <c r="BL241" i="17"/>
  <c r="BL248" i="17"/>
  <c r="BJ246" i="17"/>
  <c r="BJ241" i="17"/>
  <c r="BH248" i="17"/>
  <c r="BH246" i="17"/>
  <c r="BH241" i="17"/>
  <c r="BF246" i="17"/>
  <c r="BF241" i="17"/>
  <c r="BD246" i="17"/>
  <c r="BD241" i="17"/>
  <c r="BD248" i="17"/>
  <c r="BB246" i="17"/>
  <c r="BB241" i="17"/>
  <c r="AZ248" i="17"/>
  <c r="AZ246" i="17"/>
  <c r="AZ241" i="17"/>
  <c r="AX246" i="17"/>
  <c r="AX241" i="17"/>
  <c r="AV246" i="17"/>
  <c r="AV241" i="17"/>
  <c r="AV248" i="17"/>
  <c r="AT246" i="17"/>
  <c r="AT241" i="17"/>
  <c r="AR248" i="17"/>
  <c r="AR246" i="17"/>
  <c r="AR241" i="17"/>
  <c r="AP246" i="17"/>
  <c r="AP241" i="17"/>
  <c r="AN246" i="17"/>
  <c r="AN241" i="17"/>
  <c r="AN248" i="17"/>
  <c r="AL246" i="17"/>
  <c r="AL241" i="17"/>
  <c r="AJ248" i="17"/>
  <c r="AJ246" i="17"/>
  <c r="AJ241" i="17"/>
  <c r="AH246" i="17"/>
  <c r="AH241" i="17"/>
  <c r="AF246" i="17"/>
  <c r="AF241" i="17"/>
  <c r="AF248" i="17"/>
  <c r="AD246" i="17"/>
  <c r="AD241" i="17"/>
  <c r="AB248" i="17"/>
  <c r="AB246" i="17"/>
  <c r="AB241" i="17"/>
  <c r="Z246" i="17"/>
  <c r="Z241" i="17"/>
  <c r="X246" i="17"/>
  <c r="X241" i="17"/>
  <c r="X248" i="17"/>
  <c r="V246" i="17"/>
  <c r="V241" i="17"/>
  <c r="T248" i="17"/>
  <c r="T246" i="17"/>
  <c r="T241" i="17"/>
  <c r="R246" i="17"/>
  <c r="R241" i="17"/>
  <c r="P246" i="17"/>
  <c r="P241" i="17"/>
  <c r="P248" i="17"/>
  <c r="N246" i="17"/>
  <c r="N241" i="17"/>
  <c r="L248" i="17"/>
  <c r="L246" i="17"/>
  <c r="L241" i="17"/>
  <c r="J241" i="17"/>
  <c r="H241" i="17"/>
  <c r="CK18" i="22"/>
  <c r="E121" i="2"/>
  <c r="CH191" i="17"/>
  <c r="BZ191" i="17"/>
  <c r="BV199" i="17"/>
  <c r="BV200" i="17" s="1"/>
  <c r="BV189" i="17"/>
  <c r="BV184" i="17"/>
  <c r="BT191" i="17"/>
  <c r="BT199" i="17"/>
  <c r="BT200" i="17" s="1"/>
  <c r="BT189" i="17"/>
  <c r="BT184" i="17"/>
  <c r="BR199" i="17"/>
  <c r="BR200" i="17" s="1"/>
  <c r="BR189" i="17"/>
  <c r="BR184" i="17"/>
  <c r="BP199" i="17"/>
  <c r="BP200" i="17" s="1"/>
  <c r="BP191" i="17"/>
  <c r="BP189" i="17"/>
  <c r="BP184" i="17"/>
  <c r="BN199" i="17"/>
  <c r="BN200" i="17" s="1"/>
  <c r="BN189" i="17"/>
  <c r="BN184" i="17"/>
  <c r="BL191" i="17"/>
  <c r="BL199" i="17"/>
  <c r="BL200" i="17" s="1"/>
  <c r="BL189" i="17"/>
  <c r="BL184" i="17"/>
  <c r="BJ199" i="17"/>
  <c r="BJ200" i="17" s="1"/>
  <c r="BJ189" i="17"/>
  <c r="BJ184" i="17"/>
  <c r="BH199" i="17"/>
  <c r="BH200" i="17" s="1"/>
  <c r="BH191" i="17"/>
  <c r="BH189" i="17"/>
  <c r="BH184" i="17"/>
  <c r="BF199" i="17"/>
  <c r="BF200" i="17" s="1"/>
  <c r="BF189" i="17"/>
  <c r="BF184" i="17"/>
  <c r="BD191" i="17"/>
  <c r="BD199" i="17"/>
  <c r="BD200" i="17" s="1"/>
  <c r="BD189" i="17"/>
  <c r="BD184" i="17"/>
  <c r="BB199" i="17"/>
  <c r="BB200" i="17" s="1"/>
  <c r="BB189" i="17"/>
  <c r="BB184" i="17"/>
  <c r="AZ199" i="17"/>
  <c r="AZ200" i="17" s="1"/>
  <c r="AZ191" i="17"/>
  <c r="AZ189" i="17"/>
  <c r="AZ184" i="17"/>
  <c r="AX199" i="17"/>
  <c r="AX200" i="17" s="1"/>
  <c r="AX189" i="17"/>
  <c r="AX184" i="17"/>
  <c r="AV191" i="17"/>
  <c r="AV199" i="17"/>
  <c r="AV200" i="17" s="1"/>
  <c r="AV189" i="17"/>
  <c r="AV184" i="17"/>
  <c r="AT199" i="17"/>
  <c r="AT200" i="17" s="1"/>
  <c r="AT189" i="17"/>
  <c r="AT184" i="17"/>
  <c r="AR199" i="17"/>
  <c r="AR200" i="17" s="1"/>
  <c r="AR191" i="17"/>
  <c r="AR189" i="17"/>
  <c r="AR184" i="17"/>
  <c r="AP199" i="17"/>
  <c r="AP200" i="17" s="1"/>
  <c r="AP189" i="17"/>
  <c r="AP184" i="17"/>
  <c r="AN191" i="17"/>
  <c r="AN199" i="17"/>
  <c r="AN200" i="17" s="1"/>
  <c r="AN189" i="17"/>
  <c r="AN184" i="17"/>
  <c r="AL199" i="17"/>
  <c r="AL200" i="17" s="1"/>
  <c r="AL189" i="17"/>
  <c r="AL184" i="17"/>
  <c r="AJ199" i="17"/>
  <c r="AJ200" i="17" s="1"/>
  <c r="AJ191" i="17"/>
  <c r="AJ189" i="17"/>
  <c r="AJ184" i="17"/>
  <c r="AH199" i="17"/>
  <c r="AH200" i="17" s="1"/>
  <c r="AH189" i="17"/>
  <c r="AH184" i="17"/>
  <c r="AF191" i="17"/>
  <c r="AF199" i="17"/>
  <c r="AF200" i="17" s="1"/>
  <c r="AF189" i="17"/>
  <c r="AF184" i="17"/>
  <c r="AD199" i="17"/>
  <c r="AD200" i="17" s="1"/>
  <c r="AD189" i="17"/>
  <c r="AD184" i="17"/>
  <c r="AB199" i="17"/>
  <c r="AB200" i="17" s="1"/>
  <c r="AB191" i="17"/>
  <c r="AB189" i="17"/>
  <c r="AB184" i="17"/>
  <c r="Z199" i="17"/>
  <c r="Z200" i="17" s="1"/>
  <c r="Z189" i="17"/>
  <c r="Z184" i="17"/>
  <c r="X191" i="17"/>
  <c r="X199" i="17"/>
  <c r="X200" i="17" s="1"/>
  <c r="X189" i="17"/>
  <c r="X184" i="17"/>
  <c r="V199" i="17"/>
  <c r="V200" i="17" s="1"/>
  <c r="V189" i="17"/>
  <c r="V184" i="17"/>
  <c r="T199" i="17"/>
  <c r="T200" i="17" s="1"/>
  <c r="T191" i="17"/>
  <c r="T189" i="17"/>
  <c r="T184" i="17"/>
  <c r="R199" i="17"/>
  <c r="R200" i="17" s="1"/>
  <c r="R189" i="17"/>
  <c r="R184" i="17"/>
  <c r="P191" i="17"/>
  <c r="P199" i="17"/>
  <c r="P200" i="17" s="1"/>
  <c r="P189" i="17"/>
  <c r="P184" i="17"/>
  <c r="N199" i="17"/>
  <c r="N200" i="17" s="1"/>
  <c r="N189" i="17"/>
  <c r="N184" i="17"/>
  <c r="L199" i="17"/>
  <c r="L200" i="17" s="1"/>
  <c r="L191" i="17"/>
  <c r="L189" i="17"/>
  <c r="L184" i="17"/>
  <c r="J199" i="17"/>
  <c r="J200" i="17" s="1"/>
  <c r="J184" i="17"/>
  <c r="H199" i="17"/>
  <c r="H200" i="17" s="1"/>
  <c r="H184" i="17"/>
  <c r="CM14" i="22"/>
  <c r="G117" i="2"/>
  <c r="CP94" i="17"/>
  <c r="CL94" i="17"/>
  <c r="CH69" i="17"/>
  <c r="CH103" i="17"/>
  <c r="CH104" i="17" s="1"/>
  <c r="CD92" i="17"/>
  <c r="CD87" i="17"/>
  <c r="CA70" i="17"/>
  <c r="BZ69" i="17"/>
  <c r="BZ103" i="17"/>
  <c r="BZ104" i="17" s="1"/>
  <c r="BZ86" i="17"/>
  <c r="BZ8" i="17" s="1"/>
  <c r="BW14" i="22" s="1"/>
  <c r="BX69" i="17"/>
  <c r="BX103" i="17"/>
  <c r="BX104" i="17" s="1"/>
  <c r="BX86" i="17"/>
  <c r="BX8" i="17" s="1"/>
  <c r="BU14" i="22" s="1"/>
  <c r="BV69" i="17"/>
  <c r="BV103" i="17"/>
  <c r="BV104" i="17" s="1"/>
  <c r="BV86" i="17"/>
  <c r="BV8" i="17" s="1"/>
  <c r="BS14" i="22" s="1"/>
  <c r="BT69" i="17"/>
  <c r="BT103" i="17"/>
  <c r="BT104" i="17" s="1"/>
  <c r="BT86" i="17"/>
  <c r="BT8" i="17" s="1"/>
  <c r="BQ14" i="22" s="1"/>
  <c r="BR69" i="17"/>
  <c r="BR103" i="17"/>
  <c r="BR104" i="17" s="1"/>
  <c r="BR86" i="17"/>
  <c r="BR8" i="17" s="1"/>
  <c r="BO14" i="22" s="1"/>
  <c r="BP69" i="17"/>
  <c r="BP103" i="17"/>
  <c r="BP104" i="17" s="1"/>
  <c r="BP86" i="17"/>
  <c r="BP8" i="17" s="1"/>
  <c r="BM14" i="22" s="1"/>
  <c r="BN69" i="17"/>
  <c r="BN103" i="17"/>
  <c r="BN104" i="17" s="1"/>
  <c r="BN86" i="17"/>
  <c r="BN8" i="17" s="1"/>
  <c r="BK14" i="22" s="1"/>
  <c r="BL69" i="17"/>
  <c r="BL103" i="17"/>
  <c r="BL104" i="17" s="1"/>
  <c r="BL86" i="17"/>
  <c r="BL8" i="17" s="1"/>
  <c r="BI14" i="22" s="1"/>
  <c r="BJ69" i="17"/>
  <c r="BJ103" i="17"/>
  <c r="BJ104" i="17" s="1"/>
  <c r="BJ86" i="17"/>
  <c r="BJ8" i="17" s="1"/>
  <c r="BG14" i="22" s="1"/>
  <c r="BH69" i="17"/>
  <c r="BH103" i="17"/>
  <c r="BH104" i="17" s="1"/>
  <c r="BH86" i="17"/>
  <c r="BH8" i="17" s="1"/>
  <c r="BE14" i="22" s="1"/>
  <c r="BF69" i="17"/>
  <c r="BF103" i="17"/>
  <c r="BF104" i="17" s="1"/>
  <c r="BF86" i="17"/>
  <c r="BF8" i="17" s="1"/>
  <c r="BC14" i="22" s="1"/>
  <c r="BD69" i="17"/>
  <c r="BD103" i="17"/>
  <c r="BD104" i="17" s="1"/>
  <c r="BD86" i="17"/>
  <c r="BD8" i="17" s="1"/>
  <c r="BA14" i="22" s="1"/>
  <c r="BB69" i="17"/>
  <c r="BB103" i="17"/>
  <c r="BB104" i="17" s="1"/>
  <c r="BB86" i="17"/>
  <c r="BB8" i="17" s="1"/>
  <c r="AY14" i="22" s="1"/>
  <c r="AZ69" i="17"/>
  <c r="AZ103" i="17"/>
  <c r="AZ104" i="17" s="1"/>
  <c r="AZ86" i="17"/>
  <c r="AZ8" i="17" s="1"/>
  <c r="AW14" i="22" s="1"/>
  <c r="AX69" i="17"/>
  <c r="AX103" i="17"/>
  <c r="AX104" i="17" s="1"/>
  <c r="AX86" i="17"/>
  <c r="AX8" i="17" s="1"/>
  <c r="AU14" i="22" s="1"/>
  <c r="AV69" i="17"/>
  <c r="AV103" i="17"/>
  <c r="AV104" i="17" s="1"/>
  <c r="AV86" i="17"/>
  <c r="AV8" i="17" s="1"/>
  <c r="AS14" i="22" s="1"/>
  <c r="AT69" i="17"/>
  <c r="AT103" i="17"/>
  <c r="AT104" i="17" s="1"/>
  <c r="AT86" i="17"/>
  <c r="AT8" i="17" s="1"/>
  <c r="AQ14" i="22" s="1"/>
  <c r="AR69" i="17"/>
  <c r="AR103" i="17"/>
  <c r="AR104" i="17" s="1"/>
  <c r="AR86" i="17"/>
  <c r="AR8" i="17" s="1"/>
  <c r="AO14" i="22" s="1"/>
  <c r="AP69" i="17"/>
  <c r="AP103" i="17"/>
  <c r="AP104" i="17" s="1"/>
  <c r="AP86" i="17"/>
  <c r="AP8" i="17" s="1"/>
  <c r="AM14" i="22" s="1"/>
  <c r="AN69" i="17"/>
  <c r="AN103" i="17"/>
  <c r="AN104" i="17" s="1"/>
  <c r="AN86" i="17"/>
  <c r="AN8" i="17" s="1"/>
  <c r="AK14" i="22" s="1"/>
  <c r="AL69" i="17"/>
  <c r="AL103" i="17"/>
  <c r="AL104" i="17" s="1"/>
  <c r="AL86" i="17"/>
  <c r="AL8" i="17" s="1"/>
  <c r="AI14" i="22" s="1"/>
  <c r="AJ69" i="17"/>
  <c r="AJ103" i="17"/>
  <c r="AJ104" i="17" s="1"/>
  <c r="AJ86" i="17"/>
  <c r="AJ8" i="17" s="1"/>
  <c r="AG14" i="22" s="1"/>
  <c r="AH69" i="17"/>
  <c r="AH103" i="17"/>
  <c r="AH104" i="17" s="1"/>
  <c r="AH86" i="17"/>
  <c r="AH8" i="17" s="1"/>
  <c r="AE14" i="22" s="1"/>
  <c r="AF69" i="17"/>
  <c r="AF103" i="17"/>
  <c r="AF104" i="17" s="1"/>
  <c r="AF86" i="17"/>
  <c r="AF8" i="17" s="1"/>
  <c r="AC14" i="22" s="1"/>
  <c r="AD69" i="17"/>
  <c r="AD103" i="17"/>
  <c r="AD104" i="17" s="1"/>
  <c r="AD86" i="17"/>
  <c r="AD8" i="17" s="1"/>
  <c r="AA14" i="22" s="1"/>
  <c r="AB69" i="17"/>
  <c r="AB103" i="17"/>
  <c r="AB104" i="17" s="1"/>
  <c r="AB86" i="17"/>
  <c r="AB8" i="17" s="1"/>
  <c r="Y14" i="22" s="1"/>
  <c r="Z69" i="17"/>
  <c r="Z103" i="17"/>
  <c r="Z104" i="17" s="1"/>
  <c r="Z86" i="17"/>
  <c r="Z8" i="17" s="1"/>
  <c r="W14" i="22" s="1"/>
  <c r="X69" i="17"/>
  <c r="X103" i="17"/>
  <c r="X104" i="17" s="1"/>
  <c r="X86" i="17"/>
  <c r="X8" i="17" s="1"/>
  <c r="U14" i="22" s="1"/>
  <c r="V69" i="17"/>
  <c r="V103" i="17"/>
  <c r="V104" i="17" s="1"/>
  <c r="V86" i="17"/>
  <c r="V8" i="17" s="1"/>
  <c r="S14" i="22" s="1"/>
  <c r="T69" i="17"/>
  <c r="T103" i="17"/>
  <c r="T104" i="17" s="1"/>
  <c r="T86" i="17"/>
  <c r="T8" i="17" s="1"/>
  <c r="Q14" i="22" s="1"/>
  <c r="R69" i="17"/>
  <c r="R103" i="17"/>
  <c r="R104" i="17" s="1"/>
  <c r="R86" i="17"/>
  <c r="R8" i="17" s="1"/>
  <c r="O14" i="22" s="1"/>
  <c r="P69" i="17"/>
  <c r="P103" i="17"/>
  <c r="P104" i="17" s="1"/>
  <c r="P86" i="17"/>
  <c r="P8" i="17" s="1"/>
  <c r="M14" i="22" s="1"/>
  <c r="N69" i="17"/>
  <c r="N103" i="17"/>
  <c r="N104" i="17" s="1"/>
  <c r="N86" i="17"/>
  <c r="N8" i="17" s="1"/>
  <c r="K14" i="22" s="1"/>
  <c r="L69" i="17"/>
  <c r="L103" i="17"/>
  <c r="L104" i="17" s="1"/>
  <c r="L86" i="17"/>
  <c r="L8" i="17" s="1"/>
  <c r="I14" i="22" s="1"/>
  <c r="J69" i="17"/>
  <c r="J103" i="17"/>
  <c r="J104" i="17" s="1"/>
  <c r="J86" i="17"/>
  <c r="J8" i="17" s="1"/>
  <c r="H69" i="17"/>
  <c r="H103" i="17"/>
  <c r="H104" i="17" s="1"/>
  <c r="H86" i="17"/>
  <c r="H8" i="17" s="1"/>
  <c r="CN308" i="17"/>
  <c r="CO303" i="17"/>
  <c r="CF308" i="17"/>
  <c r="CG303" i="17"/>
  <c r="BX308" i="17"/>
  <c r="BY303" i="17"/>
  <c r="BP308" i="17"/>
  <c r="BQ303" i="17"/>
  <c r="BH308" i="17"/>
  <c r="BI303" i="17"/>
  <c r="AZ308" i="17"/>
  <c r="BA303" i="17"/>
  <c r="AR308" i="17"/>
  <c r="AS303" i="17"/>
  <c r="AJ308" i="17"/>
  <c r="AK303" i="17"/>
  <c r="AB308" i="17"/>
  <c r="AC303" i="17"/>
  <c r="T308" i="17"/>
  <c r="U303" i="17"/>
  <c r="L308" i="17"/>
  <c r="M303" i="17"/>
  <c r="BR53" i="24"/>
  <c r="BQ52" i="24"/>
  <c r="BM44" i="24"/>
  <c r="AZ44" i="24"/>
  <c r="AX44" i="24"/>
  <c r="AV44" i="24"/>
  <c r="BQ53" i="24"/>
  <c r="BR52" i="24"/>
  <c r="AY44" i="24"/>
  <c r="AW44" i="24"/>
  <c r="D44" i="24"/>
  <c r="DJ94" i="6"/>
  <c r="DI45" i="6"/>
  <c r="CL94" i="6"/>
  <c r="CK45" i="6"/>
  <c r="BN94" i="6"/>
  <c r="BM45" i="6"/>
  <c r="AP94" i="6"/>
  <c r="AO45" i="6"/>
  <c r="R94" i="6"/>
  <c r="Q45" i="6"/>
  <c r="E45" i="6"/>
  <c r="EB84" i="6"/>
  <c r="EA35" i="6"/>
  <c r="DP84" i="6"/>
  <c r="DO35" i="6"/>
  <c r="DD84" i="6"/>
  <c r="DC35" i="6"/>
  <c r="CU35" i="6"/>
  <c r="V782" i="7"/>
  <c r="V409" i="7"/>
  <c r="V403" i="7"/>
  <c r="CF84" i="6"/>
  <c r="CE35" i="6"/>
  <c r="BW35" i="6"/>
  <c r="R782" i="7"/>
  <c r="R409" i="7"/>
  <c r="R403" i="7"/>
  <c r="BH84" i="6"/>
  <c r="BG35" i="6"/>
  <c r="AY35" i="6"/>
  <c r="N782" i="7"/>
  <c r="N409" i="7"/>
  <c r="N403" i="7"/>
  <c r="AJ84" i="6"/>
  <c r="AI35" i="6"/>
  <c r="AA35" i="6"/>
  <c r="J782" i="7"/>
  <c r="J409" i="7"/>
  <c r="J403" i="7"/>
  <c r="L84" i="6"/>
  <c r="K35" i="6"/>
  <c r="DV82" i="6"/>
  <c r="DU33" i="6"/>
  <c r="CX82" i="6"/>
  <c r="CW33" i="6"/>
  <c r="BZ82" i="6"/>
  <c r="BY33" i="6"/>
  <c r="BB82" i="6"/>
  <c r="BA33" i="6"/>
  <c r="AD82" i="6"/>
  <c r="AC33" i="6"/>
  <c r="EH28" i="6"/>
  <c r="AD322" i="7"/>
  <c r="AE322" i="7" s="1"/>
  <c r="AF322" i="7" s="1"/>
  <c r="EZ28" i="6" s="1"/>
  <c r="EB77" i="6"/>
  <c r="EA28" i="6"/>
  <c r="DP77" i="6"/>
  <c r="DO28" i="6"/>
  <c r="DD77" i="6"/>
  <c r="DC28" i="6"/>
  <c r="CR77" i="6"/>
  <c r="CQ28" i="6"/>
  <c r="CF77" i="6"/>
  <c r="CE28" i="6"/>
  <c r="BT77" i="6"/>
  <c r="BS28" i="6"/>
  <c r="BH77" i="6"/>
  <c r="BG28" i="6"/>
  <c r="AV77" i="6"/>
  <c r="AU28" i="6"/>
  <c r="AJ77" i="6"/>
  <c r="AI28" i="6"/>
  <c r="X77" i="6"/>
  <c r="W28" i="6"/>
  <c r="L77" i="6"/>
  <c r="K28" i="6"/>
  <c r="DJ81" i="6"/>
  <c r="CL81" i="6"/>
  <c r="BN81" i="6"/>
  <c r="AP81" i="6"/>
  <c r="R81" i="6"/>
  <c r="AB715" i="7"/>
  <c r="DP80" i="6"/>
  <c r="DO31" i="6"/>
  <c r="X715" i="7"/>
  <c r="X64" i="21" s="1"/>
  <c r="CR80" i="6"/>
  <c r="CQ31" i="6"/>
  <c r="T715" i="7"/>
  <c r="T64" i="21" s="1"/>
  <c r="BT80" i="6"/>
  <c r="BS31" i="6"/>
  <c r="P715" i="7"/>
  <c r="P64" i="21" s="1"/>
  <c r="AV80" i="6"/>
  <c r="AU31" i="6"/>
  <c r="L715" i="7"/>
  <c r="L64" i="21" s="1"/>
  <c r="X80" i="6"/>
  <c r="W31" i="6"/>
  <c r="H715" i="7"/>
  <c r="H64" i="21" s="1"/>
  <c r="DY32" i="6"/>
  <c r="AA781" i="7"/>
  <c r="AA307" i="7"/>
  <c r="DV76" i="6"/>
  <c r="DU27" i="6"/>
  <c r="CX76" i="6"/>
  <c r="CW27" i="6"/>
  <c r="BZ76" i="6"/>
  <c r="BY27" i="6"/>
  <c r="BB76" i="6"/>
  <c r="BA27" i="6"/>
  <c r="AP76" i="6"/>
  <c r="AO27" i="6"/>
  <c r="AD76" i="6"/>
  <c r="AC27" i="6"/>
  <c r="R76" i="6"/>
  <c r="Q27" i="6"/>
  <c r="EB73" i="6"/>
  <c r="DP73" i="6"/>
  <c r="DD73" i="6"/>
  <c r="CR73" i="6"/>
  <c r="CF73" i="6"/>
  <c r="BT73" i="6"/>
  <c r="BH73" i="6"/>
  <c r="AV73" i="6"/>
  <c r="AJ73" i="6"/>
  <c r="X73" i="6"/>
  <c r="L73" i="6"/>
  <c r="DV79" i="6"/>
  <c r="DU30" i="6"/>
  <c r="X231" i="7"/>
  <c r="V231" i="7"/>
  <c r="T231" i="7"/>
  <c r="R231" i="7"/>
  <c r="P231" i="7"/>
  <c r="N231" i="7"/>
  <c r="L231" i="7"/>
  <c r="EB60" i="6"/>
  <c r="EA11" i="6"/>
  <c r="DD60" i="6"/>
  <c r="DC11" i="6"/>
  <c r="CF60" i="6"/>
  <c r="CE11" i="6"/>
  <c r="BH60" i="6"/>
  <c r="BG11" i="6"/>
  <c r="AJ60" i="6"/>
  <c r="AI11" i="6"/>
  <c r="L60" i="6"/>
  <c r="K11" i="6"/>
  <c r="G339" i="20"/>
  <c r="X339" i="20" s="1"/>
  <c r="F339" i="20"/>
  <c r="W339" i="20" s="1"/>
  <c r="AU188" i="2"/>
  <c r="DJ63" i="6"/>
  <c r="CX63" i="6"/>
  <c r="CL63" i="6"/>
  <c r="BZ63" i="6"/>
  <c r="BN63" i="6"/>
  <c r="BB63" i="6"/>
  <c r="AP63" i="6"/>
  <c r="AD63" i="6"/>
  <c r="R63" i="6"/>
  <c r="EB62" i="6"/>
  <c r="EB15" i="6"/>
  <c r="EA13" i="6"/>
  <c r="DP62" i="6"/>
  <c r="DP15" i="6"/>
  <c r="DO13" i="6"/>
  <c r="DD62" i="6"/>
  <c r="DD15" i="6"/>
  <c r="DC13" i="6"/>
  <c r="V198" i="8"/>
  <c r="V258" i="7"/>
  <c r="V166" i="8"/>
  <c r="V181" i="8"/>
  <c r="V174" i="8"/>
  <c r="CF62" i="6"/>
  <c r="CF15" i="6"/>
  <c r="CE13" i="6"/>
  <c r="R198" i="8"/>
  <c r="R258" i="7"/>
  <c r="R166" i="8"/>
  <c r="R181" i="8"/>
  <c r="R174" i="8"/>
  <c r="BH62" i="6"/>
  <c r="BH15" i="6"/>
  <c r="BG13" i="6"/>
  <c r="N198" i="8"/>
  <c r="N258" i="7"/>
  <c r="N166" i="8"/>
  <c r="N181" i="8"/>
  <c r="N174" i="8"/>
  <c r="AJ62" i="6"/>
  <c r="AJ15" i="6"/>
  <c r="AI13" i="6"/>
  <c r="J198" i="8"/>
  <c r="J258" i="7"/>
  <c r="J166" i="8"/>
  <c r="J181" i="8"/>
  <c r="J174" i="8"/>
  <c r="BD52" i="24"/>
  <c r="BD39" i="24"/>
  <c r="AD31" i="24"/>
  <c r="AZ30" i="24"/>
  <c r="AX30" i="24"/>
  <c r="AV30" i="24"/>
  <c r="D30" i="24"/>
  <c r="BD53" i="24"/>
  <c r="BD44" i="24"/>
  <c r="AC31" i="24"/>
  <c r="AY30" i="24"/>
  <c r="AW30" i="24"/>
  <c r="L62" i="6"/>
  <c r="L15" i="6"/>
  <c r="K13" i="6"/>
  <c r="DV59" i="6"/>
  <c r="DU10" i="6"/>
  <c r="CX59" i="6"/>
  <c r="CW10" i="6"/>
  <c r="BZ59" i="6"/>
  <c r="BY10" i="6"/>
  <c r="BB59" i="6"/>
  <c r="BA10" i="6"/>
  <c r="AD59" i="6"/>
  <c r="AC10" i="6"/>
  <c r="EB58" i="6"/>
  <c r="EA9" i="6"/>
  <c r="DP58" i="6"/>
  <c r="DO9" i="6"/>
  <c r="DD58" i="6"/>
  <c r="DC9" i="6"/>
  <c r="CR58" i="6"/>
  <c r="CQ9" i="6"/>
  <c r="CF58" i="6"/>
  <c r="CE9" i="6"/>
  <c r="BT58" i="6"/>
  <c r="BS9" i="6"/>
  <c r="BH58" i="6"/>
  <c r="BG9" i="6"/>
  <c r="AV58" i="6"/>
  <c r="AU9" i="6"/>
  <c r="AJ58" i="6"/>
  <c r="AI9" i="6"/>
  <c r="X58" i="6"/>
  <c r="W9" i="6"/>
  <c r="L58" i="6"/>
  <c r="K9" i="6"/>
  <c r="DV57" i="6"/>
  <c r="DV12" i="6"/>
  <c r="Y60" i="21"/>
  <c r="Y118" i="7"/>
  <c r="Y77" i="7"/>
  <c r="Y178" i="7"/>
  <c r="Y127" i="7"/>
  <c r="Y115" i="7"/>
  <c r="CX57" i="6"/>
  <c r="CX12" i="6"/>
  <c r="U60" i="21"/>
  <c r="U118" i="7"/>
  <c r="U77" i="7"/>
  <c r="U178" i="7"/>
  <c r="U127" i="7"/>
  <c r="U115" i="7"/>
  <c r="BZ57" i="6"/>
  <c r="BZ12" i="6"/>
  <c r="Q60" i="21"/>
  <c r="Q118" i="7"/>
  <c r="Q77" i="7"/>
  <c r="Q178" i="7"/>
  <c r="Q127" i="7"/>
  <c r="Q115" i="7"/>
  <c r="BB57" i="6"/>
  <c r="BB12" i="6"/>
  <c r="M60" i="21"/>
  <c r="M118" i="7"/>
  <c r="M77" i="7"/>
  <c r="M178" i="7"/>
  <c r="M127" i="7"/>
  <c r="M115" i="7"/>
  <c r="AD57" i="6"/>
  <c r="AD12" i="6"/>
  <c r="I60" i="21"/>
  <c r="I118" i="7"/>
  <c r="I77" i="7"/>
  <c r="I178" i="7"/>
  <c r="I127" i="7"/>
  <c r="I115" i="7"/>
  <c r="G77" i="7"/>
  <c r="G178" i="7"/>
  <c r="G127" i="7"/>
  <c r="G115" i="7"/>
  <c r="W613" i="7"/>
  <c r="S613" i="7"/>
  <c r="O613" i="7"/>
  <c r="K613" i="7"/>
  <c r="ED94" i="6"/>
  <c r="DR94" i="6"/>
  <c r="DF94" i="6"/>
  <c r="CT94" i="6"/>
  <c r="CH94" i="6"/>
  <c r="BV94" i="6"/>
  <c r="BJ94" i="6"/>
  <c r="AX94" i="6"/>
  <c r="AL94" i="6"/>
  <c r="Z94" i="6"/>
  <c r="N94" i="6"/>
  <c r="DX96" i="6"/>
  <c r="DL96" i="6"/>
  <c r="CZ96" i="6"/>
  <c r="CN96" i="6"/>
  <c r="CB96" i="6"/>
  <c r="BP96" i="6"/>
  <c r="BD96" i="6"/>
  <c r="AR96" i="6"/>
  <c r="AF96" i="6"/>
  <c r="T96" i="6"/>
  <c r="CZ91" i="6"/>
  <c r="CB91" i="6"/>
  <c r="BD91" i="6"/>
  <c r="AF91" i="6"/>
  <c r="EJ44" i="6"/>
  <c r="EJ93" i="6" s="1"/>
  <c r="AD484" i="7"/>
  <c r="AE484" i="7" s="1"/>
  <c r="AF484" i="7" s="1"/>
  <c r="FB44" i="6" s="1"/>
  <c r="ED93" i="6"/>
  <c r="DR93" i="6"/>
  <c r="DF93" i="6"/>
  <c r="CT93" i="6"/>
  <c r="CH93" i="6"/>
  <c r="BV93" i="6"/>
  <c r="BJ93" i="6"/>
  <c r="AX93" i="6"/>
  <c r="AL93" i="6"/>
  <c r="Z93" i="6"/>
  <c r="N93" i="6"/>
  <c r="DX90" i="6"/>
  <c r="DL90" i="6"/>
  <c r="CN90" i="6"/>
  <c r="BP90" i="6"/>
  <c r="AR90" i="6"/>
  <c r="T90" i="6"/>
  <c r="DR43" i="6"/>
  <c r="DR40" i="6" s="1"/>
  <c r="Z505" i="7"/>
  <c r="Z494" i="7"/>
  <c r="Z508" i="7"/>
  <c r="Z497" i="7"/>
  <c r="Z651" i="7"/>
  <c r="DX84" i="6"/>
  <c r="DL84" i="6"/>
  <c r="CZ84" i="6"/>
  <c r="CN84" i="6"/>
  <c r="CB84" i="6"/>
  <c r="BP84" i="6"/>
  <c r="BD84" i="6"/>
  <c r="AR84" i="6"/>
  <c r="AF84" i="6"/>
  <c r="T84" i="6"/>
  <c r="EJ33" i="6"/>
  <c r="EJ82" i="6" s="1"/>
  <c r="AD325" i="7"/>
  <c r="AE325" i="7" s="1"/>
  <c r="AF325" i="7" s="1"/>
  <c r="FB33" i="6" s="1"/>
  <c r="ED82" i="6"/>
  <c r="DR82" i="6"/>
  <c r="DF82" i="6"/>
  <c r="CT82" i="6"/>
  <c r="CH82" i="6"/>
  <c r="BV82" i="6"/>
  <c r="BJ82" i="6"/>
  <c r="AX82" i="6"/>
  <c r="AL82" i="6"/>
  <c r="Z82" i="6"/>
  <c r="N82" i="6"/>
  <c r="G418" i="20"/>
  <c r="X418" i="20" s="1"/>
  <c r="AU221" i="2"/>
  <c r="CZ81" i="6"/>
  <c r="CB81" i="6"/>
  <c r="BD81" i="6"/>
  <c r="AF81" i="6"/>
  <c r="ED74" i="6"/>
  <c r="ED24" i="6"/>
  <c r="X82" i="21"/>
  <c r="X626" i="7"/>
  <c r="X637" i="7" s="1"/>
  <c r="DF74" i="6"/>
  <c r="DF24" i="6"/>
  <c r="DC24" i="6" s="1"/>
  <c r="V82" i="21"/>
  <c r="V626" i="7"/>
  <c r="V637" i="7" s="1"/>
  <c r="V279" i="7"/>
  <c r="V265" i="7"/>
  <c r="V287" i="7" s="1"/>
  <c r="V289" i="7"/>
  <c r="CT74" i="6"/>
  <c r="CT24" i="6"/>
  <c r="CQ24" i="6" s="1"/>
  <c r="T82" i="21"/>
  <c r="T626" i="7"/>
  <c r="T637" i="7" s="1"/>
  <c r="T279" i="7"/>
  <c r="T265" i="7"/>
  <c r="T287" i="7" s="1"/>
  <c r="T289" i="7"/>
  <c r="CH74" i="6"/>
  <c r="CH24" i="6"/>
  <c r="CE24" i="6" s="1"/>
  <c r="R82" i="21"/>
  <c r="R626" i="7"/>
  <c r="R637" i="7" s="1"/>
  <c r="R279" i="7"/>
  <c r="R265" i="7"/>
  <c r="R287" i="7" s="1"/>
  <c r="R289" i="7"/>
  <c r="BV74" i="6"/>
  <c r="BV24" i="6"/>
  <c r="BS24" i="6" s="1"/>
  <c r="P82" i="21"/>
  <c r="P626" i="7"/>
  <c r="P637" i="7" s="1"/>
  <c r="P279" i="7"/>
  <c r="P265" i="7"/>
  <c r="P287" i="7" s="1"/>
  <c r="P289" i="7"/>
  <c r="BJ74" i="6"/>
  <c r="BJ24" i="6"/>
  <c r="BG24" i="6" s="1"/>
  <c r="N82" i="21"/>
  <c r="N626" i="7"/>
  <c r="N637" i="7" s="1"/>
  <c r="N279" i="7"/>
  <c r="N265" i="7"/>
  <c r="N287" i="7" s="1"/>
  <c r="N289" i="7"/>
  <c r="AX74" i="6"/>
  <c r="AX24" i="6"/>
  <c r="AU24" i="6" s="1"/>
  <c r="L82" i="21"/>
  <c r="L626" i="7"/>
  <c r="L637" i="7" s="1"/>
  <c r="L279" i="7"/>
  <c r="L265" i="7"/>
  <c r="L287" i="7" s="1"/>
  <c r="L289" i="7"/>
  <c r="AL74" i="6"/>
  <c r="AL24" i="6"/>
  <c r="AI24" i="6" s="1"/>
  <c r="J82" i="21"/>
  <c r="J626" i="7"/>
  <c r="J637" i="7" s="1"/>
  <c r="J279" i="7"/>
  <c r="J265" i="7"/>
  <c r="J287" i="7" s="1"/>
  <c r="J289" i="7"/>
  <c r="Z74" i="6"/>
  <c r="Z24" i="6"/>
  <c r="W24" i="6" s="1"/>
  <c r="H82" i="21"/>
  <c r="H626" i="7"/>
  <c r="H637" i="7" s="1"/>
  <c r="H279" i="7"/>
  <c r="H265" i="7"/>
  <c r="H287" i="7" s="1"/>
  <c r="H289" i="7"/>
  <c r="N74" i="6"/>
  <c r="N24" i="6"/>
  <c r="DX75" i="6"/>
  <c r="CZ75" i="6"/>
  <c r="CB75" i="6"/>
  <c r="BD75" i="6"/>
  <c r="AF75" i="6"/>
  <c r="CH79" i="6"/>
  <c r="BV79" i="6"/>
  <c r="BJ79" i="6"/>
  <c r="AX79" i="6"/>
  <c r="AL79" i="6"/>
  <c r="Z79" i="6"/>
  <c r="N79" i="6"/>
  <c r="DX72" i="6"/>
  <c r="DU23" i="6"/>
  <c r="DL72" i="6"/>
  <c r="DI23" i="6"/>
  <c r="CN72" i="6"/>
  <c r="CK23" i="6"/>
  <c r="V245" i="7"/>
  <c r="V122" i="21" s="1"/>
  <c r="BP72" i="6"/>
  <c r="BM23" i="6"/>
  <c r="R245" i="7"/>
  <c r="R122" i="21" s="1"/>
  <c r="AR72" i="6"/>
  <c r="AO23" i="6"/>
  <c r="N245" i="7"/>
  <c r="N122" i="21" s="1"/>
  <c r="T72" i="6"/>
  <c r="Q23" i="6"/>
  <c r="AC89" i="21"/>
  <c r="EJ21" i="6"/>
  <c r="EJ70" i="6" s="1"/>
  <c r="AC143" i="7"/>
  <c r="AC162" i="7"/>
  <c r="AC586" i="7" s="1"/>
  <c r="AD139" i="7"/>
  <c r="V166" i="7"/>
  <c r="V162" i="7"/>
  <c r="V171" i="7"/>
  <c r="CT70" i="6"/>
  <c r="R166" i="7"/>
  <c r="R162" i="7"/>
  <c r="R171" i="7"/>
  <c r="BV70" i="6"/>
  <c r="N166" i="7"/>
  <c r="N162" i="7"/>
  <c r="N171" i="7"/>
  <c r="AX70" i="6"/>
  <c r="DX59" i="6"/>
  <c r="Y748" i="7"/>
  <c r="W448" i="7"/>
  <c r="W437" i="7"/>
  <c r="CZ59" i="6"/>
  <c r="U748" i="7"/>
  <c r="S448" i="7"/>
  <c r="S437" i="7"/>
  <c r="CB59" i="6"/>
  <c r="Q748" i="7"/>
  <c r="O448" i="7"/>
  <c r="O437" i="7"/>
  <c r="BD59" i="6"/>
  <c r="M748" i="7"/>
  <c r="K448" i="7"/>
  <c r="K437" i="7"/>
  <c r="AF59" i="6"/>
  <c r="I748" i="7"/>
  <c r="G748" i="7"/>
  <c r="G628" i="7" s="1"/>
  <c r="G639" i="7" s="1"/>
  <c r="ED58" i="6"/>
  <c r="DR58" i="6"/>
  <c r="X447" i="7"/>
  <c r="DF58" i="6"/>
  <c r="V447" i="7"/>
  <c r="V436" i="7"/>
  <c r="CT58" i="6"/>
  <c r="T447" i="7"/>
  <c r="T436" i="7"/>
  <c r="CH58" i="6"/>
  <c r="R447" i="7"/>
  <c r="R436" i="7"/>
  <c r="BV58" i="6"/>
  <c r="P447" i="7"/>
  <c r="P436" i="7"/>
  <c r="BJ58" i="6"/>
  <c r="N447" i="7"/>
  <c r="N436" i="7"/>
  <c r="AX58" i="6"/>
  <c r="L447" i="7"/>
  <c r="L436" i="7"/>
  <c r="AL58" i="6"/>
  <c r="J447" i="7"/>
  <c r="J436" i="7"/>
  <c r="Z58" i="6"/>
  <c r="H447" i="7"/>
  <c r="H436" i="7"/>
  <c r="N58" i="6"/>
  <c r="DX66" i="6"/>
  <c r="DU17" i="6"/>
  <c r="DL66" i="6"/>
  <c r="DI17" i="6"/>
  <c r="CN66" i="6"/>
  <c r="CK17" i="6"/>
  <c r="BP66" i="6"/>
  <c r="BM17" i="6"/>
  <c r="AR66" i="6"/>
  <c r="AO17" i="6"/>
  <c r="T66" i="6"/>
  <c r="Q17" i="6"/>
  <c r="DR65" i="6"/>
  <c r="DO16" i="6"/>
  <c r="G480" i="20"/>
  <c r="X480" i="20" s="1"/>
  <c r="F480" i="20"/>
  <c r="W480" i="20" s="1"/>
  <c r="G415" i="20"/>
  <c r="X415" i="20" s="1"/>
  <c r="AU220" i="2"/>
  <c r="Y442" i="7"/>
  <c r="Y654" i="7"/>
  <c r="DL60" i="6"/>
  <c r="W442" i="7"/>
  <c r="W654" i="7"/>
  <c r="W430" i="7"/>
  <c r="CZ60" i="6"/>
  <c r="U442" i="7"/>
  <c r="U654" i="7"/>
  <c r="U430" i="7"/>
  <c r="CN60" i="6"/>
  <c r="S442" i="7"/>
  <c r="S654" i="7"/>
  <c r="S430" i="7"/>
  <c r="CB60" i="6"/>
  <c r="Q442" i="7"/>
  <c r="Q654" i="7"/>
  <c r="Q430" i="7"/>
  <c r="BP60" i="6"/>
  <c r="O442" i="7"/>
  <c r="O654" i="7"/>
  <c r="O430" i="7"/>
  <c r="BD60" i="6"/>
  <c r="M442" i="7"/>
  <c r="M654" i="7"/>
  <c r="M430" i="7"/>
  <c r="AR60" i="6"/>
  <c r="K442" i="7"/>
  <c r="K654" i="7"/>
  <c r="K430" i="7"/>
  <c r="AF60" i="6"/>
  <c r="I442" i="7"/>
  <c r="I654" i="7"/>
  <c r="I430" i="7"/>
  <c r="T60" i="6"/>
  <c r="AB122" i="7"/>
  <c r="BC122" i="7" s="1"/>
  <c r="Z122" i="7"/>
  <c r="AA421" i="7"/>
  <c r="AA428" i="7" s="1"/>
  <c r="AA120" i="7"/>
  <c r="Y421" i="7"/>
  <c r="Y428" i="7" s="1"/>
  <c r="Y120" i="7"/>
  <c r="Y87" i="7"/>
  <c r="Y180" i="7"/>
  <c r="Y129" i="7"/>
  <c r="W421" i="7"/>
  <c r="W428" i="7" s="1"/>
  <c r="W120" i="7"/>
  <c r="W113" i="7"/>
  <c r="W87" i="7"/>
  <c r="W180" i="7"/>
  <c r="W129" i="7"/>
  <c r="U421" i="7"/>
  <c r="U428" i="7" s="1"/>
  <c r="U120" i="7"/>
  <c r="U113" i="7"/>
  <c r="U87" i="7"/>
  <c r="U180" i="7"/>
  <c r="U129" i="7"/>
  <c r="S421" i="7"/>
  <c r="S428" i="7" s="1"/>
  <c r="S120" i="7"/>
  <c r="S113" i="7"/>
  <c r="S87" i="7"/>
  <c r="S180" i="7"/>
  <c r="S129" i="7"/>
  <c r="Q421" i="7"/>
  <c r="Q428" i="7" s="1"/>
  <c r="Q120" i="7"/>
  <c r="Q113" i="7"/>
  <c r="Q87" i="7"/>
  <c r="Q180" i="7"/>
  <c r="Q129" i="7"/>
  <c r="O421" i="7"/>
  <c r="O120" i="7"/>
  <c r="O113" i="7"/>
  <c r="O87" i="7"/>
  <c r="O180" i="7"/>
  <c r="O129" i="7"/>
  <c r="M421" i="7"/>
  <c r="M120" i="7"/>
  <c r="M113" i="7"/>
  <c r="M87" i="7"/>
  <c r="M180" i="7"/>
  <c r="M129" i="7"/>
  <c r="K421" i="7"/>
  <c r="K120" i="7"/>
  <c r="K113" i="7"/>
  <c r="K87" i="7"/>
  <c r="K180" i="7"/>
  <c r="K129" i="7"/>
  <c r="I421" i="7"/>
  <c r="I120" i="7"/>
  <c r="I113" i="7"/>
  <c r="I87" i="7"/>
  <c r="I180" i="7"/>
  <c r="I129" i="7"/>
  <c r="H12" i="6"/>
  <c r="DW84" i="6"/>
  <c r="AA732" i="7"/>
  <c r="Y732" i="7"/>
  <c r="Y75" i="21" s="1"/>
  <c r="W732" i="7"/>
  <c r="W75" i="21" s="1"/>
  <c r="U732" i="7"/>
  <c r="U75" i="21" s="1"/>
  <c r="S732" i="7"/>
  <c r="S75" i="21" s="1"/>
  <c r="Q732" i="7"/>
  <c r="Q75" i="21" s="1"/>
  <c r="O732" i="7"/>
  <c r="O75" i="21" s="1"/>
  <c r="M732" i="7"/>
  <c r="M75" i="21" s="1"/>
  <c r="K732" i="7"/>
  <c r="K75" i="21" s="1"/>
  <c r="I732" i="7"/>
  <c r="I75" i="21" s="1"/>
  <c r="EC79" i="6"/>
  <c r="DQ79" i="6"/>
  <c r="DE79" i="6"/>
  <c r="T236" i="7"/>
  <c r="CG79" i="6"/>
  <c r="U239" i="7"/>
  <c r="P236" i="7"/>
  <c r="BI79" i="6"/>
  <c r="Q239" i="7"/>
  <c r="L236" i="7"/>
  <c r="AK79" i="6"/>
  <c r="M239" i="7"/>
  <c r="H236" i="7"/>
  <c r="M79" i="6"/>
  <c r="DW60" i="6"/>
  <c r="EC59" i="6"/>
  <c r="DE59" i="6"/>
  <c r="CS59" i="6"/>
  <c r="CG59" i="6"/>
  <c r="BU59" i="6"/>
  <c r="BI59" i="6"/>
  <c r="AW59" i="6"/>
  <c r="AK59" i="6"/>
  <c r="Y59" i="6"/>
  <c r="M59" i="6"/>
  <c r="F377" i="20"/>
  <c r="W377" i="20" s="1"/>
  <c r="G377" i="20"/>
  <c r="X377" i="20" s="1"/>
  <c r="AU202" i="2"/>
  <c r="CY58" i="6"/>
  <c r="CA58" i="6"/>
  <c r="BC58" i="6"/>
  <c r="AE58" i="6"/>
  <c r="AB73" i="21"/>
  <c r="BC128" i="7"/>
  <c r="AB119" i="7"/>
  <c r="AB234" i="7" s="1"/>
  <c r="Z73" i="21"/>
  <c r="C204" i="2"/>
  <c r="AT204" i="2" s="1"/>
  <c r="Z119" i="7"/>
  <c r="Z234" i="7" s="1"/>
  <c r="X73" i="21"/>
  <c r="X179" i="7"/>
  <c r="X128" i="7"/>
  <c r="X119" i="7"/>
  <c r="X234" i="7" s="1"/>
  <c r="X82" i="7"/>
  <c r="CS57" i="6"/>
  <c r="CS12" i="6"/>
  <c r="T73" i="21"/>
  <c r="T179" i="7"/>
  <c r="T128" i="7"/>
  <c r="T119" i="7"/>
  <c r="T234" i="7" s="1"/>
  <c r="T82" i="7"/>
  <c r="BU57" i="6"/>
  <c r="BU12" i="6"/>
  <c r="P73" i="21"/>
  <c r="P179" i="7"/>
  <c r="P128" i="7"/>
  <c r="P119" i="7"/>
  <c r="P234" i="7" s="1"/>
  <c r="P82" i="7"/>
  <c r="AW57" i="6"/>
  <c r="AW12" i="6"/>
  <c r="L73" i="21"/>
  <c r="L179" i="7"/>
  <c r="L128" i="7"/>
  <c r="L119" i="7"/>
  <c r="L234" i="7" s="1"/>
  <c r="L82" i="7"/>
  <c r="Y57" i="6"/>
  <c r="Y12" i="6"/>
  <c r="H73" i="21"/>
  <c r="H179" i="7"/>
  <c r="H128" i="7"/>
  <c r="H119" i="7"/>
  <c r="H234" i="7" s="1"/>
  <c r="H82" i="7"/>
  <c r="AC40" i="21"/>
  <c r="EG7" i="6"/>
  <c r="EG56" i="6" s="1"/>
  <c r="AD45" i="7"/>
  <c r="AE45" i="7" s="1"/>
  <c r="AF45" i="7" s="1"/>
  <c r="Z100" i="21"/>
  <c r="C233" i="2"/>
  <c r="AT233" i="2" s="1"/>
  <c r="DS17" i="6"/>
  <c r="Z769" i="7"/>
  <c r="Z58" i="7"/>
  <c r="DO56" i="6"/>
  <c r="AU56" i="6"/>
  <c r="W56" i="6"/>
  <c r="F199" i="20"/>
  <c r="W199" i="20" s="1"/>
  <c r="F198" i="20"/>
  <c r="W198" i="20" s="1"/>
  <c r="F196" i="20"/>
  <c r="W196" i="20" s="1"/>
  <c r="G199" i="20"/>
  <c r="X199" i="20" s="1"/>
  <c r="G198" i="20"/>
  <c r="X198" i="20" s="1"/>
  <c r="G196" i="20"/>
  <c r="X196" i="20" s="1"/>
  <c r="AU150" i="2"/>
  <c r="CW55" i="6"/>
  <c r="BY55" i="6"/>
  <c r="BA55" i="6"/>
  <c r="AC55" i="6"/>
  <c r="V120" i="8"/>
  <c r="R120" i="8"/>
  <c r="N120" i="8"/>
  <c r="J120" i="8"/>
  <c r="AA247" i="8"/>
  <c r="AA196" i="8"/>
  <c r="AA226" i="7" s="1"/>
  <c r="F283" i="20"/>
  <c r="W283" i="20" s="1"/>
  <c r="F281" i="20"/>
  <c r="F194" i="20"/>
  <c r="W194" i="20" s="1"/>
  <c r="E34" i="20"/>
  <c r="V34" i="20" s="1"/>
  <c r="G283" i="20"/>
  <c r="X283" i="20" s="1"/>
  <c r="G281" i="20"/>
  <c r="X281" i="20" s="1"/>
  <c r="G194" i="20"/>
  <c r="X194" i="20" s="1"/>
  <c r="AU161" i="2"/>
  <c r="Y179" i="8"/>
  <c r="Y172" i="8"/>
  <c r="Y144" i="8"/>
  <c r="W179" i="8"/>
  <c r="W172" i="8"/>
  <c r="W144" i="8"/>
  <c r="U179" i="8"/>
  <c r="U172" i="8"/>
  <c r="U144" i="8"/>
  <c r="S179" i="8"/>
  <c r="S172" i="8"/>
  <c r="S144" i="8"/>
  <c r="Q179" i="8"/>
  <c r="Q172" i="8"/>
  <c r="Q144" i="8"/>
  <c r="O179" i="8"/>
  <c r="O172" i="8"/>
  <c r="O144" i="8"/>
  <c r="M179" i="8"/>
  <c r="M172" i="8"/>
  <c r="M144" i="8"/>
  <c r="K179" i="8"/>
  <c r="K172" i="8"/>
  <c r="K144" i="8"/>
  <c r="I179" i="8"/>
  <c r="I172" i="8"/>
  <c r="I144" i="8"/>
  <c r="G179" i="8"/>
  <c r="G144" i="8"/>
  <c r="G158" i="8" s="1"/>
  <c r="Z11" i="8"/>
  <c r="AA23" i="8" s="1"/>
  <c r="X11" i="8"/>
  <c r="Y17" i="8" s="1"/>
  <c r="T11" i="8"/>
  <c r="U17" i="8" s="1"/>
  <c r="P11" i="8"/>
  <c r="Q23" i="8" s="1"/>
  <c r="L11" i="8"/>
  <c r="M17" i="8" s="1"/>
  <c r="H11" i="8"/>
  <c r="I23" i="8" s="1"/>
  <c r="AA104" i="8"/>
  <c r="AA99" i="8"/>
  <c r="Y104" i="8"/>
  <c r="Y99" i="8"/>
  <c r="W104" i="8"/>
  <c r="W99" i="8"/>
  <c r="U104" i="8"/>
  <c r="U99" i="8"/>
  <c r="S104" i="8"/>
  <c r="S99" i="8"/>
  <c r="Q104" i="8"/>
  <c r="Q99" i="8"/>
  <c r="O104" i="8"/>
  <c r="O99" i="8"/>
  <c r="M104" i="8"/>
  <c r="M99" i="8"/>
  <c r="K104" i="8"/>
  <c r="K99" i="8"/>
  <c r="I104" i="8"/>
  <c r="I99" i="8"/>
  <c r="AB101" i="8"/>
  <c r="AB81" i="8"/>
  <c r="Z101" i="8"/>
  <c r="Z81" i="8"/>
  <c r="X101" i="8"/>
  <c r="X81" i="8"/>
  <c r="T101" i="8"/>
  <c r="T81" i="8"/>
  <c r="P101" i="8"/>
  <c r="P81" i="8"/>
  <c r="L101" i="8"/>
  <c r="L81" i="8"/>
  <c r="H101" i="8"/>
  <c r="H81" i="8"/>
  <c r="AA60" i="8"/>
  <c r="AA49" i="8"/>
  <c r="F279" i="20"/>
  <c r="W279" i="20" s="1"/>
  <c r="F197" i="20"/>
  <c r="W197" i="20" s="1"/>
  <c r="E31" i="20"/>
  <c r="V31" i="20" s="1"/>
  <c r="G279" i="20"/>
  <c r="X279" i="20" s="1"/>
  <c r="G197" i="20"/>
  <c r="X197" i="20" s="1"/>
  <c r="AU159" i="2"/>
  <c r="Y60" i="8"/>
  <c r="Y49" i="8"/>
  <c r="W239" i="8"/>
  <c r="U60" i="8"/>
  <c r="U49" i="8"/>
  <c r="Q60" i="8"/>
  <c r="Q49" i="8"/>
  <c r="M60" i="8"/>
  <c r="M49" i="8"/>
  <c r="I60" i="8"/>
  <c r="I49" i="8"/>
  <c r="E304" i="20"/>
  <c r="V304" i="20" s="1"/>
  <c r="F304" i="20"/>
  <c r="W304" i="20" s="1"/>
  <c r="AU176" i="2"/>
  <c r="AC51" i="21"/>
  <c r="AD5" i="8"/>
  <c r="AA3" i="24"/>
  <c r="AA11" i="24" s="1"/>
  <c r="AG44" i="24"/>
  <c r="CJ13" i="22"/>
  <c r="D116" i="2"/>
  <c r="CL12" i="22"/>
  <c r="F115" i="2"/>
  <c r="AX28" i="17"/>
  <c r="BE36" i="11" s="1"/>
  <c r="AX18" i="17"/>
  <c r="DE41" i="11"/>
  <c r="E242" i="20"/>
  <c r="V242" i="20" s="1"/>
  <c r="E37" i="20"/>
  <c r="V37" i="20" s="1"/>
  <c r="AU154" i="2"/>
  <c r="CM110" i="11"/>
  <c r="BS110" i="11"/>
  <c r="CQ111" i="11"/>
  <c r="CQ112" i="11" s="1"/>
  <c r="CR109" i="11"/>
  <c r="CG111" i="11"/>
  <c r="CG112" i="11" s="1"/>
  <c r="CH109" i="11"/>
  <c r="BW111" i="11"/>
  <c r="BW112" i="11" s="1"/>
  <c r="BX109" i="11"/>
  <c r="BM111" i="11"/>
  <c r="BN109" i="11"/>
  <c r="BC111" i="11"/>
  <c r="BD109" i="11"/>
  <c r="AS111" i="11"/>
  <c r="AT109" i="11"/>
  <c r="AI111" i="11"/>
  <c r="AJ109" i="11"/>
  <c r="Y111" i="11"/>
  <c r="Z109" i="11"/>
  <c r="O111" i="11"/>
  <c r="P111" i="11" s="1"/>
  <c r="P109" i="11"/>
  <c r="CM95" i="11"/>
  <c r="BS95" i="11"/>
  <c r="DL94" i="11"/>
  <c r="CQ96" i="11"/>
  <c r="CQ97" i="11" s="1"/>
  <c r="CR94" i="11"/>
  <c r="CG96" i="11"/>
  <c r="CG97" i="11" s="1"/>
  <c r="CH94" i="11"/>
  <c r="BW96" i="11"/>
  <c r="BW97" i="11" s="1"/>
  <c r="BX94" i="11"/>
  <c r="BM96" i="11"/>
  <c r="BN94" i="11"/>
  <c r="BC96" i="11"/>
  <c r="BD94" i="11"/>
  <c r="AS96" i="11"/>
  <c r="AT94" i="11"/>
  <c r="AI96" i="11"/>
  <c r="AJ94" i="11"/>
  <c r="Y96" i="11"/>
  <c r="Z94" i="11"/>
  <c r="O96" i="11"/>
  <c r="P96" i="11" s="1"/>
  <c r="P94" i="11"/>
  <c r="DB71" i="11"/>
  <c r="CH71" i="11"/>
  <c r="BN71" i="11"/>
  <c r="G725" i="7"/>
  <c r="CX67" i="6"/>
  <c r="BB67" i="6"/>
  <c r="R67" i="6"/>
  <c r="DB70" i="11"/>
  <c r="DA73" i="11"/>
  <c r="DA76" i="11" s="1"/>
  <c r="AC108" i="21"/>
  <c r="AD424" i="7"/>
  <c r="AE424" i="7" s="1"/>
  <c r="AF424" i="7" s="1"/>
  <c r="AF108" i="21" s="1"/>
  <c r="DG72" i="11"/>
  <c r="CW72" i="11"/>
  <c r="CC72" i="11"/>
  <c r="EI40" i="6"/>
  <c r="AD487" i="7"/>
  <c r="Z742" i="7"/>
  <c r="L742" i="7"/>
  <c r="DG17" i="11"/>
  <c r="DU54" i="6"/>
  <c r="DU8" i="6"/>
  <c r="CW116" i="11"/>
  <c r="DI54" i="6"/>
  <c r="DI8" i="6"/>
  <c r="CM17" i="11"/>
  <c r="CC116" i="11"/>
  <c r="U216" i="7"/>
  <c r="U214" i="7"/>
  <c r="U215" i="7"/>
  <c r="CK54" i="6"/>
  <c r="CK8" i="6"/>
  <c r="BS17" i="11"/>
  <c r="BI116" i="11"/>
  <c r="Q216" i="7"/>
  <c r="Q214" i="7"/>
  <c r="Q215" i="7"/>
  <c r="BM54" i="6"/>
  <c r="BM8" i="6"/>
  <c r="AY17" i="11"/>
  <c r="AO116" i="11"/>
  <c r="M216" i="7"/>
  <c r="M214" i="7"/>
  <c r="M215" i="7"/>
  <c r="AO54" i="6"/>
  <c r="AO8" i="6"/>
  <c r="AE17" i="11"/>
  <c r="AC54" i="6"/>
  <c r="AC8" i="6"/>
  <c r="U17" i="11"/>
  <c r="DG15" i="11"/>
  <c r="CW103" i="11"/>
  <c r="CM103" i="11"/>
  <c r="CC103" i="11"/>
  <c r="BS103" i="11"/>
  <c r="BI103" i="11"/>
  <c r="AY103" i="11"/>
  <c r="AO103" i="11"/>
  <c r="AE103" i="11"/>
  <c r="U103" i="11"/>
  <c r="CT101" i="11"/>
  <c r="Y175" i="12" s="1"/>
  <c r="Y22" i="21" s="1"/>
  <c r="CR101" i="11"/>
  <c r="CJ101" i="11"/>
  <c r="W175" i="12" s="1"/>
  <c r="W22" i="21" s="1"/>
  <c r="CH101" i="11"/>
  <c r="BZ101" i="11"/>
  <c r="U175" i="12" s="1"/>
  <c r="U22" i="21" s="1"/>
  <c r="BX101" i="11"/>
  <c r="BP101" i="11"/>
  <c r="S175" i="12" s="1"/>
  <c r="S22" i="21" s="1"/>
  <c r="BN101" i="11"/>
  <c r="BF101" i="11"/>
  <c r="Q175" i="12" s="1"/>
  <c r="Q22" i="21" s="1"/>
  <c r="BD101" i="11"/>
  <c r="AV101" i="11"/>
  <c r="O175" i="12" s="1"/>
  <c r="O22" i="21" s="1"/>
  <c r="AT101" i="11"/>
  <c r="AL101" i="11"/>
  <c r="M175" i="12" s="1"/>
  <c r="M22" i="21" s="1"/>
  <c r="AJ101" i="11"/>
  <c r="AB101" i="11"/>
  <c r="K175" i="12" s="1"/>
  <c r="K22" i="21" s="1"/>
  <c r="Z101" i="11"/>
  <c r="R101" i="11"/>
  <c r="I175" i="12" s="1"/>
  <c r="I22" i="21" s="1"/>
  <c r="P101" i="11"/>
  <c r="E501" i="20"/>
  <c r="V501" i="20" s="1"/>
  <c r="F501" i="20"/>
  <c r="W501" i="20" s="1"/>
  <c r="G185" i="20"/>
  <c r="X185" i="20" s="1"/>
  <c r="F184" i="20"/>
  <c r="W184" i="20" s="1"/>
  <c r="F185" i="20"/>
  <c r="W185" i="20" s="1"/>
  <c r="G184" i="20"/>
  <c r="X184" i="20" s="1"/>
  <c r="D317" i="2"/>
  <c r="AU145" i="2"/>
  <c r="CY102" i="11"/>
  <c r="Z174" i="12" s="1"/>
  <c r="CW102" i="11"/>
  <c r="CO102" i="11"/>
  <c r="X174" i="12" s="1"/>
  <c r="X21" i="21" s="1"/>
  <c r="CM102" i="11"/>
  <c r="CE102" i="11"/>
  <c r="V174" i="12" s="1"/>
  <c r="V21" i="21" s="1"/>
  <c r="CC102" i="11"/>
  <c r="BU102" i="11"/>
  <c r="T174" i="12" s="1"/>
  <c r="T21" i="21" s="1"/>
  <c r="BS102" i="11"/>
  <c r="BK102" i="11"/>
  <c r="R174" i="12" s="1"/>
  <c r="R21" i="21" s="1"/>
  <c r="BI102" i="11"/>
  <c r="BA102" i="11"/>
  <c r="P174" i="12" s="1"/>
  <c r="P21" i="21" s="1"/>
  <c r="AY102" i="11"/>
  <c r="AQ102" i="11"/>
  <c r="N174" i="12" s="1"/>
  <c r="N21" i="21" s="1"/>
  <c r="AO102" i="11"/>
  <c r="AG102" i="11"/>
  <c r="L174" i="12" s="1"/>
  <c r="L21" i="21" s="1"/>
  <c r="AE102" i="11"/>
  <c r="W102" i="11"/>
  <c r="J174" i="12" s="1"/>
  <c r="J21" i="21" s="1"/>
  <c r="U102" i="11"/>
  <c r="AB335" i="12"/>
  <c r="DL88" i="11"/>
  <c r="DB13" i="11"/>
  <c r="X335" i="12"/>
  <c r="CR88" i="11"/>
  <c r="CH13" i="11"/>
  <c r="T335" i="12"/>
  <c r="BX88" i="11"/>
  <c r="BN13" i="11"/>
  <c r="P335" i="12"/>
  <c r="BD88" i="11"/>
  <c r="AT13" i="11"/>
  <c r="L335" i="12"/>
  <c r="AJ88" i="11"/>
  <c r="Z13" i="11"/>
  <c r="H335" i="12"/>
  <c r="P88" i="11"/>
  <c r="DI86" i="11"/>
  <c r="AB173" i="12" s="1"/>
  <c r="DG86" i="11"/>
  <c r="DL87" i="11"/>
  <c r="DL96" i="11" s="1"/>
  <c r="C311" i="2"/>
  <c r="AT143" i="2"/>
  <c r="CJ87" i="11"/>
  <c r="W172" i="12" s="1"/>
  <c r="W19" i="21" s="1"/>
  <c r="CH87" i="11"/>
  <c r="BP87" i="11"/>
  <c r="S172" i="12" s="1"/>
  <c r="S19" i="21" s="1"/>
  <c r="BN87" i="11"/>
  <c r="AV87" i="11"/>
  <c r="O172" i="12" s="1"/>
  <c r="O19" i="21" s="1"/>
  <c r="AT87" i="11"/>
  <c r="AB87" i="11"/>
  <c r="K172" i="12" s="1"/>
  <c r="K19" i="21" s="1"/>
  <c r="Z87" i="11"/>
  <c r="Z301" i="12"/>
  <c r="V301" i="12"/>
  <c r="R301" i="12"/>
  <c r="N301" i="12"/>
  <c r="J301" i="12"/>
  <c r="DG81" i="11"/>
  <c r="AA549" i="7"/>
  <c r="F178" i="20"/>
  <c r="W178" i="20" s="1"/>
  <c r="AU142" i="2"/>
  <c r="DL9" i="11"/>
  <c r="EA95" i="6"/>
  <c r="EF46" i="6"/>
  <c r="DB9" i="11"/>
  <c r="DO95" i="6"/>
  <c r="DT46" i="6"/>
  <c r="CR9" i="11"/>
  <c r="DC95" i="6"/>
  <c r="DH46" i="6"/>
  <c r="V244" i="12"/>
  <c r="T16" i="24" s="1"/>
  <c r="V238" i="12"/>
  <c r="V232" i="12"/>
  <c r="CH64" i="11"/>
  <c r="BX9" i="11"/>
  <c r="CE95" i="6"/>
  <c r="CJ46" i="6"/>
  <c r="R244" i="12"/>
  <c r="P16" i="24" s="1"/>
  <c r="R238" i="12"/>
  <c r="R232" i="12"/>
  <c r="BN64" i="11"/>
  <c r="BD9" i="11"/>
  <c r="BG95" i="6"/>
  <c r="BL46" i="6"/>
  <c r="N244" i="12"/>
  <c r="L16" i="24" s="1"/>
  <c r="N238" i="12"/>
  <c r="N232" i="12"/>
  <c r="AT64" i="11"/>
  <c r="AJ9" i="11"/>
  <c r="AI95" i="6"/>
  <c r="AN46" i="6"/>
  <c r="J244" i="12"/>
  <c r="H16" i="24" s="1"/>
  <c r="J238" i="12"/>
  <c r="J232" i="12"/>
  <c r="Z64" i="11"/>
  <c r="P9" i="11"/>
  <c r="K95" i="6"/>
  <c r="P46" i="6"/>
  <c r="DI63" i="11"/>
  <c r="DG63" i="11"/>
  <c r="DB59" i="11"/>
  <c r="CR59" i="11"/>
  <c r="BX59" i="11"/>
  <c r="BD59" i="11"/>
  <c r="AJ59" i="11"/>
  <c r="P59" i="11"/>
  <c r="AU140" i="2"/>
  <c r="CY62" i="11"/>
  <c r="Z169" i="12" s="1"/>
  <c r="CW62" i="11"/>
  <c r="CO62" i="11"/>
  <c r="X169" i="12" s="1"/>
  <c r="X16" i="21" s="1"/>
  <c r="CM62" i="11"/>
  <c r="CE62" i="11"/>
  <c r="V169" i="12" s="1"/>
  <c r="V16" i="21" s="1"/>
  <c r="CC62" i="11"/>
  <c r="BU62" i="11"/>
  <c r="T169" i="12" s="1"/>
  <c r="T16" i="21" s="1"/>
  <c r="BS62" i="11"/>
  <c r="BK62" i="11"/>
  <c r="R169" i="12" s="1"/>
  <c r="R16" i="21" s="1"/>
  <c r="BI62" i="11"/>
  <c r="BA62" i="11"/>
  <c r="P169" i="12" s="1"/>
  <c r="P16" i="21" s="1"/>
  <c r="AY62" i="11"/>
  <c r="AQ62" i="11"/>
  <c r="N169" i="12" s="1"/>
  <c r="N16" i="21" s="1"/>
  <c r="AO62" i="11"/>
  <c r="AG62" i="11"/>
  <c r="L169" i="12" s="1"/>
  <c r="L16" i="21" s="1"/>
  <c r="AE62" i="11"/>
  <c r="W62" i="11"/>
  <c r="J169" i="12" s="1"/>
  <c r="J16" i="21" s="1"/>
  <c r="U62" i="11"/>
  <c r="DD58" i="11"/>
  <c r="DE58" i="11" s="1"/>
  <c r="DB58" i="11"/>
  <c r="CY57" i="11"/>
  <c r="CZ57" i="11" s="1"/>
  <c r="CW57" i="11"/>
  <c r="CE57" i="11"/>
  <c r="CF57" i="11" s="1"/>
  <c r="CC57" i="11"/>
  <c r="BK57" i="11"/>
  <c r="BL57" i="11" s="1"/>
  <c r="BI57" i="11"/>
  <c r="AQ57" i="11"/>
  <c r="AR57" i="11" s="1"/>
  <c r="AO57" i="11"/>
  <c r="W57" i="11"/>
  <c r="X57" i="11" s="1"/>
  <c r="U57" i="11"/>
  <c r="DL8" i="11"/>
  <c r="DB49" i="11"/>
  <c r="CR8" i="11"/>
  <c r="CH8" i="11"/>
  <c r="BX8" i="11"/>
  <c r="BN8" i="11"/>
  <c r="BD8" i="11"/>
  <c r="AT8" i="11"/>
  <c r="AJ8" i="11"/>
  <c r="Z8" i="11"/>
  <c r="P8" i="11"/>
  <c r="G488" i="20"/>
  <c r="X488" i="20" s="1"/>
  <c r="F488" i="20"/>
  <c r="W488" i="20" s="1"/>
  <c r="AU218" i="2"/>
  <c r="CV51" i="11"/>
  <c r="CW48" i="11"/>
  <c r="CL51" i="11"/>
  <c r="CM48" i="11"/>
  <c r="CB51" i="11"/>
  <c r="CC48" i="11"/>
  <c r="BR51" i="11"/>
  <c r="BS48" i="11"/>
  <c r="BH51" i="11"/>
  <c r="BI48" i="11"/>
  <c r="DK50" i="11"/>
  <c r="DL47" i="11"/>
  <c r="DA50" i="11"/>
  <c r="DB47" i="11"/>
  <c r="DR86" i="6"/>
  <c r="DR36" i="6"/>
  <c r="DO36" i="6" s="1"/>
  <c r="DG35" i="11"/>
  <c r="DV85" i="6"/>
  <c r="G348" i="20"/>
  <c r="X348" i="20" s="1"/>
  <c r="F348" i="20"/>
  <c r="W348" i="20" s="1"/>
  <c r="AU195" i="2"/>
  <c r="CW35" i="11"/>
  <c r="CM7" i="11"/>
  <c r="CL10" i="11"/>
  <c r="CX85" i="6"/>
  <c r="CC35" i="11"/>
  <c r="BS7" i="11"/>
  <c r="BR10" i="11"/>
  <c r="BZ85" i="6"/>
  <c r="BI35" i="11"/>
  <c r="AY7" i="11"/>
  <c r="AX10" i="11"/>
  <c r="BB85" i="6"/>
  <c r="AO35" i="11"/>
  <c r="AE7" i="11"/>
  <c r="AD10" i="11"/>
  <c r="AD85" i="6"/>
  <c r="U35" i="11"/>
  <c r="J10" i="11"/>
  <c r="Z10" i="24"/>
  <c r="DH17" i="11"/>
  <c r="DH116" i="11" s="1"/>
  <c r="DI116" i="11" s="1"/>
  <c r="DJ116" i="11" s="1"/>
  <c r="CP265" i="17"/>
  <c r="CO260" i="17"/>
  <c r="X10" i="24"/>
  <c r="CX17" i="11"/>
  <c r="CX116" i="11" s="1"/>
  <c r="CY116" i="11" s="1"/>
  <c r="CZ116" i="11" s="1"/>
  <c r="CH265" i="17"/>
  <c r="CG260" i="17"/>
  <c r="V10" i="24"/>
  <c r="CN17" i="11"/>
  <c r="CN116" i="11" s="1"/>
  <c r="CO116" i="11" s="1"/>
  <c r="CP116" i="11" s="1"/>
  <c r="BZ265" i="17"/>
  <c r="BY260" i="17"/>
  <c r="T10" i="24"/>
  <c r="CD17" i="11"/>
  <c r="CD116" i="11" s="1"/>
  <c r="CE116" i="11" s="1"/>
  <c r="CF116" i="11" s="1"/>
  <c r="BR265" i="17"/>
  <c r="BQ260" i="17"/>
  <c r="R10" i="24"/>
  <c r="BT17" i="11"/>
  <c r="BT116" i="11" s="1"/>
  <c r="BU116" i="11" s="1"/>
  <c r="BV116" i="11" s="1"/>
  <c r="BJ265" i="17"/>
  <c r="BI260" i="17"/>
  <c r="P10" i="24"/>
  <c r="BJ17" i="11"/>
  <c r="BJ116" i="11" s="1"/>
  <c r="BK116" i="11" s="1"/>
  <c r="BL116" i="11" s="1"/>
  <c r="BB265" i="17"/>
  <c r="BA260" i="17"/>
  <c r="N10" i="24"/>
  <c r="AZ17" i="11"/>
  <c r="AZ116" i="11" s="1"/>
  <c r="BA116" i="11" s="1"/>
  <c r="BB116" i="11" s="1"/>
  <c r="AT265" i="17"/>
  <c r="AS260" i="17"/>
  <c r="L10" i="24"/>
  <c r="AP17" i="11"/>
  <c r="AP116" i="11" s="1"/>
  <c r="AQ116" i="11" s="1"/>
  <c r="AR116" i="11" s="1"/>
  <c r="AL265" i="17"/>
  <c r="AK260" i="17"/>
  <c r="J10" i="24"/>
  <c r="AF17" i="11"/>
  <c r="AF116" i="11" s="1"/>
  <c r="AG116" i="11" s="1"/>
  <c r="AH116" i="11" s="1"/>
  <c r="AD265" i="17"/>
  <c r="AC260" i="17"/>
  <c r="H10" i="24"/>
  <c r="V17" i="11"/>
  <c r="V116" i="11" s="1"/>
  <c r="W116" i="11" s="1"/>
  <c r="X116" i="11" s="1"/>
  <c r="V265" i="17"/>
  <c r="U260" i="17"/>
  <c r="F10" i="24"/>
  <c r="L17" i="11"/>
  <c r="L116" i="11" s="1"/>
  <c r="M116" i="11" s="1"/>
  <c r="N116" i="11" s="1"/>
  <c r="N265" i="17"/>
  <c r="M260" i="17"/>
  <c r="AA238" i="8"/>
  <c r="AA244" i="8"/>
  <c r="Y238" i="8"/>
  <c r="Y244" i="8"/>
  <c r="W238" i="8"/>
  <c r="W244" i="8"/>
  <c r="U244" i="8"/>
  <c r="S244" i="8"/>
  <c r="Q244" i="8"/>
  <c r="O244" i="8"/>
  <c r="M244" i="8"/>
  <c r="K244" i="8"/>
  <c r="I244" i="8"/>
  <c r="DH103" i="11"/>
  <c r="DH15" i="11"/>
  <c r="DI15" i="11" s="1"/>
  <c r="AB142" i="12" s="1"/>
  <c r="DH29" i="11" s="1"/>
  <c r="AB155" i="12"/>
  <c r="CH243" i="17"/>
  <c r="CG230" i="17"/>
  <c r="BZ243" i="17"/>
  <c r="BY230" i="17"/>
  <c r="BR243" i="17"/>
  <c r="BJ243" i="17"/>
  <c r="BB243" i="17"/>
  <c r="AT243" i="17"/>
  <c r="AL243" i="17"/>
  <c r="AD243" i="17"/>
  <c r="V243" i="17"/>
  <c r="N243" i="17"/>
  <c r="CL238" i="17"/>
  <c r="CD238" i="17"/>
  <c r="BV238" i="17"/>
  <c r="BU225" i="17"/>
  <c r="BN238" i="17"/>
  <c r="BM225" i="17"/>
  <c r="BF238" i="17"/>
  <c r="BE225" i="17"/>
  <c r="AX238" i="17"/>
  <c r="AW225" i="17"/>
  <c r="AP238" i="17"/>
  <c r="AO225" i="17"/>
  <c r="AH238" i="17"/>
  <c r="AG225" i="17"/>
  <c r="Z238" i="17"/>
  <c r="Y225" i="17"/>
  <c r="R238" i="17"/>
  <c r="Q225" i="17"/>
  <c r="DC88" i="11"/>
  <c r="DD88" i="11" s="1"/>
  <c r="DE88" i="11" s="1"/>
  <c r="DC13" i="11"/>
  <c r="DD13" i="11" s="1"/>
  <c r="CL186" i="17"/>
  <c r="CK173" i="17"/>
  <c r="Y153" i="12"/>
  <c r="CI88" i="11"/>
  <c r="CJ88" i="11" s="1"/>
  <c r="CI13" i="11"/>
  <c r="CJ13" i="11" s="1"/>
  <c r="BV186" i="17"/>
  <c r="BO88" i="11"/>
  <c r="BP88" i="11" s="1"/>
  <c r="BO13" i="11"/>
  <c r="BP13" i="11" s="1"/>
  <c r="BF186" i="17"/>
  <c r="AU88" i="11"/>
  <c r="AV88" i="11" s="1"/>
  <c r="AW88" i="11" s="1"/>
  <c r="AU13" i="11"/>
  <c r="AV13" i="11" s="1"/>
  <c r="AP186" i="17"/>
  <c r="AA88" i="11"/>
  <c r="AB88" i="11" s="1"/>
  <c r="AA13" i="11"/>
  <c r="AB13" i="11" s="1"/>
  <c r="Z186" i="17"/>
  <c r="CT168" i="17"/>
  <c r="CT181" i="17" s="1"/>
  <c r="AD81" i="12"/>
  <c r="CL178" i="17"/>
  <c r="BV178" i="17"/>
  <c r="BU165" i="17"/>
  <c r="BF178" i="17"/>
  <c r="BE165" i="17"/>
  <c r="AP178" i="17"/>
  <c r="AO165" i="17"/>
  <c r="Z178" i="17"/>
  <c r="Y165" i="17"/>
  <c r="CP208" i="17"/>
  <c r="CH208" i="17"/>
  <c r="BZ208" i="17"/>
  <c r="BR208" i="17"/>
  <c r="BJ208" i="17"/>
  <c r="BB208" i="17"/>
  <c r="AT208" i="17"/>
  <c r="AL208" i="17"/>
  <c r="AD208" i="17"/>
  <c r="V208" i="17"/>
  <c r="N208" i="17"/>
  <c r="CL151" i="17"/>
  <c r="CD151" i="17"/>
  <c r="BV151" i="17"/>
  <c r="BN151" i="17"/>
  <c r="BF151" i="17"/>
  <c r="AX151" i="17"/>
  <c r="AP151" i="17"/>
  <c r="AH151" i="17"/>
  <c r="Z151" i="17"/>
  <c r="R151" i="17"/>
  <c r="AA151" i="12"/>
  <c r="Y151" i="12"/>
  <c r="W151" i="12"/>
  <c r="U151" i="12"/>
  <c r="S151" i="12"/>
  <c r="Q151" i="12"/>
  <c r="O151" i="12"/>
  <c r="M151" i="12"/>
  <c r="K151" i="12"/>
  <c r="I151" i="12"/>
  <c r="CH89" i="17"/>
  <c r="BZ89" i="17"/>
  <c r="BR89" i="17"/>
  <c r="BJ89" i="17"/>
  <c r="BB89" i="17"/>
  <c r="AT89" i="17"/>
  <c r="AL89" i="17"/>
  <c r="AD89" i="17"/>
  <c r="V89" i="17"/>
  <c r="N89" i="17"/>
  <c r="CL84" i="17"/>
  <c r="CD84" i="17"/>
  <c r="BV84" i="17"/>
  <c r="BU68" i="17"/>
  <c r="BN84" i="17"/>
  <c r="BM68" i="17"/>
  <c r="BF84" i="17"/>
  <c r="BE68" i="17"/>
  <c r="AX84" i="17"/>
  <c r="AW68" i="17"/>
  <c r="AP84" i="17"/>
  <c r="AO68" i="17"/>
  <c r="AH84" i="17"/>
  <c r="AG68" i="17"/>
  <c r="Z84" i="17"/>
  <c r="Y68" i="17"/>
  <c r="R84" i="17"/>
  <c r="Q68" i="17"/>
  <c r="AD13" i="12"/>
  <c r="AE13" i="12" s="1"/>
  <c r="Z148" i="12"/>
  <c r="X148" i="12"/>
  <c r="V148" i="12"/>
  <c r="T148" i="12"/>
  <c r="R148" i="12"/>
  <c r="P148" i="12"/>
  <c r="N148" i="12"/>
  <c r="L148" i="12"/>
  <c r="J148" i="12"/>
  <c r="DC35" i="11"/>
  <c r="DD35" i="11" s="1"/>
  <c r="DE35" i="11" s="1"/>
  <c r="DC7" i="11"/>
  <c r="DD7" i="11" s="1"/>
  <c r="Y28" i="24"/>
  <c r="AA147" i="12"/>
  <c r="CS35" i="11"/>
  <c r="CT35" i="11" s="1"/>
  <c r="CU35" i="11" s="1"/>
  <c r="CS7" i="11"/>
  <c r="CT7" i="11" s="1"/>
  <c r="CU7" i="11" s="1"/>
  <c r="W28" i="24"/>
  <c r="Y147" i="12"/>
  <c r="CI35" i="11"/>
  <c r="CJ35" i="11" s="1"/>
  <c r="CK35" i="11" s="1"/>
  <c r="CI7" i="11"/>
  <c r="CJ7" i="11" s="1"/>
  <c r="U28" i="24"/>
  <c r="W147" i="12"/>
  <c r="BY35" i="11"/>
  <c r="BZ35" i="11" s="1"/>
  <c r="CA35" i="11" s="1"/>
  <c r="BY7" i="11"/>
  <c r="BZ7" i="11" s="1"/>
  <c r="CA7" i="11" s="1"/>
  <c r="S28" i="24"/>
  <c r="U147" i="12"/>
  <c r="BO35" i="11"/>
  <c r="BP35" i="11" s="1"/>
  <c r="BQ35" i="11" s="1"/>
  <c r="BO7" i="11"/>
  <c r="BP7" i="11" s="1"/>
  <c r="Q28" i="24"/>
  <c r="S147" i="12"/>
  <c r="BE35" i="11"/>
  <c r="BF35" i="11" s="1"/>
  <c r="BG35" i="11" s="1"/>
  <c r="BE7" i="11"/>
  <c r="BF7" i="11" s="1"/>
  <c r="BG7" i="11" s="1"/>
  <c r="O28" i="24"/>
  <c r="Q147" i="12"/>
  <c r="AU35" i="11"/>
  <c r="AV35" i="11" s="1"/>
  <c r="AW35" i="11" s="1"/>
  <c r="AU7" i="11"/>
  <c r="AV7" i="11" s="1"/>
  <c r="M28" i="24"/>
  <c r="O147" i="12"/>
  <c r="AK35" i="11"/>
  <c r="AL35" i="11" s="1"/>
  <c r="AM35" i="11" s="1"/>
  <c r="AK7" i="11"/>
  <c r="AL7" i="11" s="1"/>
  <c r="AM7" i="11" s="1"/>
  <c r="K28" i="24"/>
  <c r="M147" i="12"/>
  <c r="AA35" i="11"/>
  <c r="AB35" i="11" s="1"/>
  <c r="AC35" i="11" s="1"/>
  <c r="AA7" i="11"/>
  <c r="AB7" i="11" s="1"/>
  <c r="I28" i="24"/>
  <c r="K147" i="12"/>
  <c r="Q35" i="11"/>
  <c r="R35" i="11" s="1"/>
  <c r="S35" i="11" s="1"/>
  <c r="Q7" i="11"/>
  <c r="R7" i="11" s="1"/>
  <c r="S7" i="11" s="1"/>
  <c r="G28" i="24"/>
  <c r="I147" i="12"/>
  <c r="CL64" i="17"/>
  <c r="CK65" i="17" s="1"/>
  <c r="CJ63" i="17"/>
  <c r="CK63" i="17" s="1"/>
  <c r="CL63" i="17" s="1"/>
  <c r="CM63" i="17" s="1"/>
  <c r="CH64" i="17"/>
  <c r="CG65" i="17" s="1"/>
  <c r="CF63" i="17"/>
  <c r="CG63" i="17" s="1"/>
  <c r="CH79" i="17" s="1"/>
  <c r="CD64" i="17"/>
  <c r="CD80" i="17" s="1"/>
  <c r="CB63" i="17"/>
  <c r="CC79" i="17" s="1"/>
  <c r="CL61" i="17"/>
  <c r="CK62" i="17" s="1"/>
  <c r="CJ60" i="17"/>
  <c r="CK60" i="17" s="1"/>
  <c r="CL60" i="17" s="1"/>
  <c r="CM60" i="17" s="1"/>
  <c r="CH61" i="17"/>
  <c r="CG62" i="17" s="1"/>
  <c r="CF60" i="17"/>
  <c r="CG60" i="17" s="1"/>
  <c r="CH76" i="17" s="1"/>
  <c r="CD61" i="17"/>
  <c r="CD77" i="17" s="1"/>
  <c r="CB60" i="17"/>
  <c r="CC76" i="17" s="1"/>
  <c r="CM12" i="22"/>
  <c r="G115" i="2"/>
  <c r="CP34" i="17"/>
  <c r="CF41" i="11"/>
  <c r="BL41" i="11"/>
  <c r="AR41" i="11"/>
  <c r="X41" i="11"/>
  <c r="BM53" i="24"/>
  <c r="AZ53" i="24"/>
  <c r="AX53" i="24"/>
  <c r="AV53" i="24"/>
  <c r="D53" i="24"/>
  <c r="AY53" i="24"/>
  <c r="AW53" i="24"/>
  <c r="AB52" i="24"/>
  <c r="DE42" i="11"/>
  <c r="AC116" i="21"/>
  <c r="AD321" i="12"/>
  <c r="DB110" i="11"/>
  <c r="CR110" i="11"/>
  <c r="BX110" i="11"/>
  <c r="BD110" i="11"/>
  <c r="AJ110" i="11"/>
  <c r="DG109" i="11"/>
  <c r="G541" i="20"/>
  <c r="X541" i="20" s="1"/>
  <c r="E541" i="20"/>
  <c r="V541" i="20" s="1"/>
  <c r="G539" i="20"/>
  <c r="X539" i="20" s="1"/>
  <c r="E539" i="20"/>
  <c r="V539" i="20" s="1"/>
  <c r="F541" i="20"/>
  <c r="W541" i="20" s="1"/>
  <c r="F539" i="20"/>
  <c r="W539" i="20" s="1"/>
  <c r="AU250" i="2"/>
  <c r="Y327" i="12"/>
  <c r="W327" i="12"/>
  <c r="U327" i="12"/>
  <c r="S327" i="12"/>
  <c r="Q327" i="12"/>
  <c r="O327" i="12"/>
  <c r="M327" i="12"/>
  <c r="K327" i="12"/>
  <c r="I327" i="12"/>
  <c r="DL95" i="11"/>
  <c r="AC114" i="21"/>
  <c r="AD289" i="12"/>
  <c r="CH95" i="11"/>
  <c r="BN95" i="11"/>
  <c r="AT95" i="11"/>
  <c r="Z95" i="11"/>
  <c r="AA295" i="12"/>
  <c r="CV96" i="11"/>
  <c r="CV97" i="11" s="1"/>
  <c r="CW94" i="11"/>
  <c r="CL96" i="11"/>
  <c r="CM94" i="11"/>
  <c r="CB96" i="11"/>
  <c r="CB98" i="11" s="1"/>
  <c r="CC94" i="11"/>
  <c r="BR96" i="11"/>
  <c r="BS94" i="11"/>
  <c r="BH96" i="11"/>
  <c r="BI94" i="11"/>
  <c r="AX96" i="11"/>
  <c r="AY94" i="11"/>
  <c r="AN96" i="11"/>
  <c r="AO94" i="11"/>
  <c r="AD96" i="11"/>
  <c r="AE94" i="11"/>
  <c r="T96" i="11"/>
  <c r="U94" i="11"/>
  <c r="EH47" i="6"/>
  <c r="AD539" i="7"/>
  <c r="AE539" i="7" s="1"/>
  <c r="AF539" i="7" s="1"/>
  <c r="EZ47" i="6" s="1"/>
  <c r="DV95" i="6"/>
  <c r="CW71" i="11"/>
  <c r="CX95" i="6"/>
  <c r="CC71" i="11"/>
  <c r="BZ95" i="6"/>
  <c r="BI71" i="11"/>
  <c r="BB95" i="6"/>
  <c r="AO71" i="11"/>
  <c r="AD95" i="6"/>
  <c r="U71" i="11"/>
  <c r="DF73" i="11"/>
  <c r="DG70" i="11"/>
  <c r="G426" i="20"/>
  <c r="X426" i="20" s="1"/>
  <c r="AU226" i="2"/>
  <c r="DL95" i="6"/>
  <c r="CZ95" i="6"/>
  <c r="CN95" i="6"/>
  <c r="CB95" i="6"/>
  <c r="BP95" i="6"/>
  <c r="BD95" i="6"/>
  <c r="AR95" i="6"/>
  <c r="AF95" i="6"/>
  <c r="T95" i="6"/>
  <c r="J73" i="11"/>
  <c r="J74" i="11" s="1"/>
  <c r="ED69" i="6"/>
  <c r="CT69" i="6"/>
  <c r="DQ95" i="6"/>
  <c r="CR72" i="11"/>
  <c r="CS95" i="6"/>
  <c r="BX72" i="11"/>
  <c r="BU95" i="6"/>
  <c r="BD72" i="11"/>
  <c r="AW95" i="6"/>
  <c r="AJ72" i="11"/>
  <c r="Y95" i="6"/>
  <c r="P72" i="11"/>
  <c r="O742" i="7"/>
  <c r="DL117" i="11"/>
  <c r="CR117" i="11"/>
  <c r="BX117" i="11"/>
  <c r="BD117" i="11"/>
  <c r="AJ117" i="11"/>
  <c r="Y355" i="12"/>
  <c r="U355" i="12"/>
  <c r="Q355" i="12"/>
  <c r="M355" i="12"/>
  <c r="I355" i="12"/>
  <c r="DL17" i="11"/>
  <c r="AB459" i="12"/>
  <c r="DB116" i="11"/>
  <c r="CR116" i="11"/>
  <c r="V340" i="12"/>
  <c r="CH17" i="11"/>
  <c r="V459" i="12"/>
  <c r="CQ54" i="6"/>
  <c r="CQ8" i="6"/>
  <c r="T215" i="7"/>
  <c r="T216" i="7"/>
  <c r="T214" i="7"/>
  <c r="BX116" i="11"/>
  <c r="R340" i="12"/>
  <c r="BN17" i="11"/>
  <c r="R459" i="12"/>
  <c r="BS54" i="6"/>
  <c r="BS8" i="6"/>
  <c r="P215" i="7"/>
  <c r="P216" i="7"/>
  <c r="P214" i="7"/>
  <c r="BD116" i="11"/>
  <c r="N340" i="12"/>
  <c r="AT17" i="11"/>
  <c r="N459" i="12"/>
  <c r="AU54" i="6"/>
  <c r="AU8" i="6"/>
  <c r="L215" i="7"/>
  <c r="L216" i="7"/>
  <c r="L214" i="7"/>
  <c r="AJ116" i="11"/>
  <c r="J340" i="12"/>
  <c r="Z17" i="11"/>
  <c r="J459" i="12"/>
  <c r="W54" i="6"/>
  <c r="W8" i="6"/>
  <c r="AH53" i="24"/>
  <c r="AH44" i="24"/>
  <c r="AH30" i="24"/>
  <c r="AH25" i="24"/>
  <c r="AH22" i="24"/>
  <c r="AH21" i="24"/>
  <c r="AH17" i="24"/>
  <c r="AH11" i="24"/>
  <c r="AH6" i="24"/>
  <c r="AH52" i="24"/>
  <c r="AH39" i="24"/>
  <c r="AH24" i="24"/>
  <c r="AH23" i="24"/>
  <c r="AH5" i="24"/>
  <c r="H215" i="7"/>
  <c r="H216" i="7"/>
  <c r="H214" i="7"/>
  <c r="P116" i="11"/>
  <c r="AB346" i="12"/>
  <c r="DL15" i="11"/>
  <c r="Z346" i="12"/>
  <c r="DB15" i="11"/>
  <c r="X453" i="12"/>
  <c r="CR103" i="11"/>
  <c r="V453" i="12"/>
  <c r="CH103" i="11"/>
  <c r="T453" i="12"/>
  <c r="BX103" i="11"/>
  <c r="R453" i="12"/>
  <c r="BN103" i="11"/>
  <c r="P453" i="12"/>
  <c r="BD103" i="11"/>
  <c r="N453" i="12"/>
  <c r="AT103" i="11"/>
  <c r="L453" i="12"/>
  <c r="AJ103" i="11"/>
  <c r="J453" i="12"/>
  <c r="Z103" i="11"/>
  <c r="H453" i="12"/>
  <c r="P103" i="11"/>
  <c r="DI101" i="11"/>
  <c r="AB175" i="12" s="1"/>
  <c r="DG101" i="11"/>
  <c r="DF103" i="11"/>
  <c r="AA451" i="12"/>
  <c r="DL102" i="11"/>
  <c r="DL111" i="11" s="1"/>
  <c r="Z452" i="12"/>
  <c r="C317" i="2"/>
  <c r="AT145" i="2"/>
  <c r="CT102" i="11"/>
  <c r="Y174" i="12" s="1"/>
  <c r="Y21" i="21" s="1"/>
  <c r="CR102" i="11"/>
  <c r="CJ102" i="11"/>
  <c r="W174" i="12" s="1"/>
  <c r="W21" i="21" s="1"/>
  <c r="CH102" i="11"/>
  <c r="BZ102" i="11"/>
  <c r="U174" i="12" s="1"/>
  <c r="U21" i="21" s="1"/>
  <c r="BX102" i="11"/>
  <c r="BP102" i="11"/>
  <c r="S174" i="12" s="1"/>
  <c r="S21" i="21" s="1"/>
  <c r="BN102" i="11"/>
  <c r="BF102" i="11"/>
  <c r="Q174" i="12" s="1"/>
  <c r="Q21" i="21" s="1"/>
  <c r="BD102" i="11"/>
  <c r="AV102" i="11"/>
  <c r="O174" i="12" s="1"/>
  <c r="O21" i="21" s="1"/>
  <c r="AT102" i="11"/>
  <c r="AL102" i="11"/>
  <c r="M174" i="12" s="1"/>
  <c r="M21" i="21" s="1"/>
  <c r="AJ102" i="11"/>
  <c r="AB102" i="11"/>
  <c r="K174" i="12" s="1"/>
  <c r="K21" i="21" s="1"/>
  <c r="Z102" i="11"/>
  <c r="R102" i="11"/>
  <c r="I174" i="12" s="1"/>
  <c r="I21" i="21" s="1"/>
  <c r="P102" i="11"/>
  <c r="DG13" i="11"/>
  <c r="AA443" i="12"/>
  <c r="AA335" i="12"/>
  <c r="CW88" i="11"/>
  <c r="Y305" i="12"/>
  <c r="CM13" i="11"/>
  <c r="W443" i="12"/>
  <c r="W335" i="12"/>
  <c r="CC88" i="11"/>
  <c r="U305" i="12"/>
  <c r="BS13" i="11"/>
  <c r="S443" i="12"/>
  <c r="CC50" i="6"/>
  <c r="S335" i="12"/>
  <c r="BI88" i="11"/>
  <c r="Q305" i="12"/>
  <c r="AY13" i="11"/>
  <c r="O443" i="12"/>
  <c r="O335" i="12"/>
  <c r="AO88" i="11"/>
  <c r="M305" i="12"/>
  <c r="AE13" i="11"/>
  <c r="K443" i="12"/>
  <c r="K335" i="12"/>
  <c r="U88" i="11"/>
  <c r="I305" i="12"/>
  <c r="DL86" i="11"/>
  <c r="Z441" i="12"/>
  <c r="CT86" i="11"/>
  <c r="Y173" i="12" s="1"/>
  <c r="Y20" i="21" s="1"/>
  <c r="CR86" i="11"/>
  <c r="CJ86" i="11"/>
  <c r="W173" i="12" s="1"/>
  <c r="W20" i="21" s="1"/>
  <c r="CH86" i="11"/>
  <c r="BZ86" i="11"/>
  <c r="U173" i="12" s="1"/>
  <c r="U20" i="21" s="1"/>
  <c r="BX86" i="11"/>
  <c r="BP86" i="11"/>
  <c r="S173" i="12" s="1"/>
  <c r="S20" i="21" s="1"/>
  <c r="BN86" i="11"/>
  <c r="BF86" i="11"/>
  <c r="Q173" i="12" s="1"/>
  <c r="Q20" i="21" s="1"/>
  <c r="BD86" i="11"/>
  <c r="AV86" i="11"/>
  <c r="O173" i="12" s="1"/>
  <c r="O20" i="21" s="1"/>
  <c r="AT86" i="11"/>
  <c r="AL86" i="11"/>
  <c r="M173" i="12" s="1"/>
  <c r="M20" i="21" s="1"/>
  <c r="AJ86" i="11"/>
  <c r="AB86" i="11"/>
  <c r="K173" i="12" s="1"/>
  <c r="K20" i="21" s="1"/>
  <c r="Z86" i="11"/>
  <c r="R86" i="11"/>
  <c r="I173" i="12" s="1"/>
  <c r="I20" i="21" s="1"/>
  <c r="P86" i="11"/>
  <c r="AA334" i="12"/>
  <c r="Y334" i="12"/>
  <c r="CO87" i="11"/>
  <c r="CM87" i="11"/>
  <c r="W442" i="12"/>
  <c r="U334" i="12"/>
  <c r="BU87" i="11"/>
  <c r="T172" i="12" s="1"/>
  <c r="T19" i="21" s="1"/>
  <c r="BS87" i="11"/>
  <c r="S442" i="12"/>
  <c r="Q334" i="12"/>
  <c r="BA87" i="11"/>
  <c r="AY87" i="11"/>
  <c r="O442" i="12"/>
  <c r="M334" i="12"/>
  <c r="AG87" i="11"/>
  <c r="L172" i="12" s="1"/>
  <c r="L19" i="21" s="1"/>
  <c r="AE87" i="11"/>
  <c r="K442" i="12"/>
  <c r="I334" i="12"/>
  <c r="Y345" i="12"/>
  <c r="U345" i="12"/>
  <c r="Q345" i="12"/>
  <c r="M345" i="12"/>
  <c r="I345" i="12"/>
  <c r="AB269" i="12"/>
  <c r="Z304" i="12"/>
  <c r="V304" i="12"/>
  <c r="R304" i="12"/>
  <c r="N304" i="12"/>
  <c r="J304" i="12"/>
  <c r="AA251" i="12"/>
  <c r="AA272" i="12"/>
  <c r="W251" i="12"/>
  <c r="W272" i="12"/>
  <c r="S251" i="12"/>
  <c r="S272" i="12"/>
  <c r="O251" i="12"/>
  <c r="O272" i="12"/>
  <c r="K251" i="12"/>
  <c r="K272" i="12"/>
  <c r="AB273" i="12"/>
  <c r="DL11" i="11"/>
  <c r="AB549" i="7"/>
  <c r="BC549" i="7" s="1"/>
  <c r="Z263" i="12"/>
  <c r="DG64" i="11"/>
  <c r="AA421" i="12"/>
  <c r="DU95" i="6"/>
  <c r="DZ46" i="6"/>
  <c r="CW64" i="11"/>
  <c r="Y421" i="12"/>
  <c r="DI95" i="6"/>
  <c r="DN46" i="6"/>
  <c r="CM9" i="11"/>
  <c r="W256" i="12"/>
  <c r="W232" i="12"/>
  <c r="W244" i="12"/>
  <c r="U16" i="24" s="1"/>
  <c r="W238" i="12"/>
  <c r="CC64" i="11"/>
  <c r="U421" i="12"/>
  <c r="CK95" i="6"/>
  <c r="CP46" i="6"/>
  <c r="BS9" i="11"/>
  <c r="S256" i="12"/>
  <c r="S232" i="12"/>
  <c r="S244" i="12"/>
  <c r="Q16" i="24" s="1"/>
  <c r="S238" i="12"/>
  <c r="BI64" i="11"/>
  <c r="Q421" i="12"/>
  <c r="BM95" i="6"/>
  <c r="BR46" i="6"/>
  <c r="AY9" i="11"/>
  <c r="O256" i="12"/>
  <c r="O232" i="12"/>
  <c r="O244" i="12"/>
  <c r="M16" i="24" s="1"/>
  <c r="O238" i="12"/>
  <c r="AO64" i="11"/>
  <c r="M421" i="12"/>
  <c r="AO95" i="6"/>
  <c r="AT46" i="6"/>
  <c r="AE9" i="11"/>
  <c r="K256" i="12"/>
  <c r="K232" i="12"/>
  <c r="K244" i="12"/>
  <c r="I16" i="24" s="1"/>
  <c r="K238" i="12"/>
  <c r="U64" i="11"/>
  <c r="I421" i="12"/>
  <c r="Q95" i="6"/>
  <c r="V46" i="6"/>
  <c r="J46" i="6"/>
  <c r="DL63" i="11"/>
  <c r="AB420" i="12"/>
  <c r="DD63" i="11"/>
  <c r="AA170" i="12" s="1"/>
  <c r="DB63" i="11"/>
  <c r="X420" i="12"/>
  <c r="V420" i="12"/>
  <c r="T420" i="12"/>
  <c r="R420" i="12"/>
  <c r="P420" i="12"/>
  <c r="N420" i="12"/>
  <c r="L420" i="12"/>
  <c r="J420" i="12"/>
  <c r="H420" i="12"/>
  <c r="DG59" i="11"/>
  <c r="AU139" i="2"/>
  <c r="CW59" i="11"/>
  <c r="W416" i="12"/>
  <c r="CC59" i="11"/>
  <c r="S416" i="12"/>
  <c r="BI59" i="11"/>
  <c r="O416" i="12"/>
  <c r="AO59" i="11"/>
  <c r="K416" i="12"/>
  <c r="U59" i="11"/>
  <c r="DD62" i="11"/>
  <c r="DB62" i="11"/>
  <c r="Z419" i="12"/>
  <c r="CY58" i="11"/>
  <c r="CW58" i="11"/>
  <c r="Y415" i="12"/>
  <c r="CO58" i="11"/>
  <c r="CP58" i="11" s="1"/>
  <c r="CM58" i="11"/>
  <c r="W415" i="12"/>
  <c r="CE58" i="11"/>
  <c r="CC58" i="11"/>
  <c r="U415" i="12"/>
  <c r="BU58" i="11"/>
  <c r="T178" i="12" s="1"/>
  <c r="T25" i="21" s="1"/>
  <c r="BS58" i="11"/>
  <c r="S415" i="12"/>
  <c r="BK58" i="11"/>
  <c r="BI58" i="11"/>
  <c r="Q415" i="12"/>
  <c r="BA58" i="11"/>
  <c r="P178" i="12" s="1"/>
  <c r="P25" i="21" s="1"/>
  <c r="AY58" i="11"/>
  <c r="O415" i="12"/>
  <c r="AQ58" i="11"/>
  <c r="AO58" i="11"/>
  <c r="M415" i="12"/>
  <c r="AG58" i="11"/>
  <c r="L178" i="12" s="1"/>
  <c r="L25" i="21" s="1"/>
  <c r="AE58" i="11"/>
  <c r="K415" i="12"/>
  <c r="W58" i="11"/>
  <c r="U58" i="11"/>
  <c r="I415" i="12"/>
  <c r="Z414" i="12"/>
  <c r="CT57" i="11"/>
  <c r="CR57" i="11"/>
  <c r="V414" i="12"/>
  <c r="BZ57" i="11"/>
  <c r="BX57" i="11"/>
  <c r="R414" i="12"/>
  <c r="BF57" i="11"/>
  <c r="BD57" i="11"/>
  <c r="N414" i="12"/>
  <c r="AL57" i="11"/>
  <c r="AJ57" i="11"/>
  <c r="J414" i="12"/>
  <c r="R57" i="11"/>
  <c r="P57" i="11"/>
  <c r="DG8" i="11"/>
  <c r="AA255" i="12"/>
  <c r="CW49" i="11"/>
  <c r="Y397" i="12"/>
  <c r="CM49" i="11"/>
  <c r="W397" i="12"/>
  <c r="CC49" i="11"/>
  <c r="U397" i="12"/>
  <c r="BS49" i="11"/>
  <c r="S397" i="12"/>
  <c r="BI49" i="11"/>
  <c r="Q397" i="12"/>
  <c r="AY49" i="11"/>
  <c r="O397" i="12"/>
  <c r="AO49" i="11"/>
  <c r="M397" i="12"/>
  <c r="AE49" i="11"/>
  <c r="K397" i="12"/>
  <c r="U49" i="11"/>
  <c r="I397" i="12"/>
  <c r="AC85" i="21"/>
  <c r="EJ38" i="6"/>
  <c r="EJ87" i="6" s="1"/>
  <c r="AD192" i="12"/>
  <c r="ED87" i="6"/>
  <c r="CR48" i="11"/>
  <c r="CQ51" i="11"/>
  <c r="DF87" i="6"/>
  <c r="CH48" i="11"/>
  <c r="CG51" i="11"/>
  <c r="CT87" i="6"/>
  <c r="BX48" i="11"/>
  <c r="BW51" i="11"/>
  <c r="CH87" i="6"/>
  <c r="BN48" i="11"/>
  <c r="BM51" i="11"/>
  <c r="BV87" i="6"/>
  <c r="BD48" i="11"/>
  <c r="BJ87" i="6"/>
  <c r="AT48" i="11"/>
  <c r="AX87" i="6"/>
  <c r="AJ48" i="11"/>
  <c r="AL87" i="6"/>
  <c r="Z48" i="11"/>
  <c r="Z87" i="6"/>
  <c r="P48" i="11"/>
  <c r="N87" i="6"/>
  <c r="DX86" i="6"/>
  <c r="DX36" i="6"/>
  <c r="CV50" i="11"/>
  <c r="CW47" i="11"/>
  <c r="CL50" i="11"/>
  <c r="CM47" i="11"/>
  <c r="CB50" i="11"/>
  <c r="CC47" i="11"/>
  <c r="BR50" i="11"/>
  <c r="BS47" i="11"/>
  <c r="BH50" i="11"/>
  <c r="BI47" i="11"/>
  <c r="AY47" i="11"/>
  <c r="AO47" i="11"/>
  <c r="AE47" i="11"/>
  <c r="U47" i="11"/>
  <c r="H36" i="6"/>
  <c r="E36" i="6" s="1"/>
  <c r="DK10" i="11"/>
  <c r="DL7" i="11"/>
  <c r="AB254" i="12"/>
  <c r="Z366" i="12"/>
  <c r="X54" i="24" s="1"/>
  <c r="DB35" i="11"/>
  <c r="Z254" i="12"/>
  <c r="DP85" i="6"/>
  <c r="C314" i="2"/>
  <c r="C308" i="2"/>
  <c r="C305" i="2"/>
  <c r="AT136" i="2"/>
  <c r="CQ10" i="11"/>
  <c r="CR7" i="11"/>
  <c r="X391" i="12"/>
  <c r="V366" i="12"/>
  <c r="T54" i="24" s="1"/>
  <c r="CH35" i="11"/>
  <c r="V254" i="12"/>
  <c r="CR85" i="6"/>
  <c r="BW10" i="11"/>
  <c r="BX7" i="11"/>
  <c r="T391" i="12"/>
  <c r="R366" i="12"/>
  <c r="P54" i="24" s="1"/>
  <c r="BN35" i="11"/>
  <c r="R254" i="12"/>
  <c r="BT85" i="6"/>
  <c r="BC10" i="11"/>
  <c r="BD7" i="11"/>
  <c r="P391" i="12"/>
  <c r="N366" i="12"/>
  <c r="L54" i="24" s="1"/>
  <c r="AT35" i="11"/>
  <c r="N254" i="12"/>
  <c r="AV85" i="6"/>
  <c r="AI10" i="11"/>
  <c r="AJ7" i="11"/>
  <c r="L391" i="12"/>
  <c r="J366" i="12"/>
  <c r="H54" i="24" s="1"/>
  <c r="Z35" i="11"/>
  <c r="J254" i="12"/>
  <c r="X85" i="6"/>
  <c r="O10" i="11"/>
  <c r="P7" i="11"/>
  <c r="H391" i="12"/>
  <c r="D6" i="24"/>
  <c r="Y7" i="24"/>
  <c r="AA156" i="12"/>
  <c r="W13" i="24"/>
  <c r="Y156" i="12"/>
  <c r="U13" i="24"/>
  <c r="W156" i="12"/>
  <c r="S13" i="24"/>
  <c r="U156" i="12"/>
  <c r="Q13" i="24"/>
  <c r="S156" i="12"/>
  <c r="O13" i="24"/>
  <c r="Q156" i="12"/>
  <c r="M13" i="24"/>
  <c r="O156" i="12"/>
  <c r="K13" i="24"/>
  <c r="M156" i="12"/>
  <c r="I13" i="24"/>
  <c r="K156" i="12"/>
  <c r="I156" i="12"/>
  <c r="AB244" i="8"/>
  <c r="AB238" i="8"/>
  <c r="Z244" i="8"/>
  <c r="Z238" i="8"/>
  <c r="X244" i="8"/>
  <c r="X238" i="8"/>
  <c r="V244" i="8"/>
  <c r="T244" i="8"/>
  <c r="R244" i="8"/>
  <c r="P244" i="8"/>
  <c r="N244" i="8"/>
  <c r="L244" i="8"/>
  <c r="J244" i="8"/>
  <c r="H244" i="8"/>
  <c r="AA129" i="12"/>
  <c r="CL243" i="17"/>
  <c r="CK230" i="17"/>
  <c r="Y129" i="12"/>
  <c r="CD243" i="17"/>
  <c r="CC230" i="17"/>
  <c r="W129" i="12"/>
  <c r="BV243" i="17"/>
  <c r="U129" i="12"/>
  <c r="BN243" i="17"/>
  <c r="S129" i="12"/>
  <c r="BF243" i="17"/>
  <c r="Q129" i="12"/>
  <c r="AX243" i="17"/>
  <c r="O129" i="12"/>
  <c r="AP243" i="17"/>
  <c r="M129" i="12"/>
  <c r="AH243" i="17"/>
  <c r="K129" i="12"/>
  <c r="Z243" i="17"/>
  <c r="I129" i="12"/>
  <c r="R243" i="17"/>
  <c r="CT225" i="17"/>
  <c r="CT238" i="17" s="1"/>
  <c r="AD103" i="12"/>
  <c r="DH88" i="11"/>
  <c r="DI88" i="11" s="1"/>
  <c r="DJ88" i="11" s="1"/>
  <c r="DJ13" i="11" s="1"/>
  <c r="DH13" i="11"/>
  <c r="DI13" i="11" s="1"/>
  <c r="AB140" i="12" s="1"/>
  <c r="AB119" i="12"/>
  <c r="CX88" i="11"/>
  <c r="CY88" i="11" s="1"/>
  <c r="CX13" i="11"/>
  <c r="CY13" i="11" s="1"/>
  <c r="Z140" i="12" s="1"/>
  <c r="Z119" i="12"/>
  <c r="CG173" i="17"/>
  <c r="CH186" i="17"/>
  <c r="X99" i="12"/>
  <c r="CD88" i="11"/>
  <c r="CE88" i="11" s="1"/>
  <c r="CD13" i="11"/>
  <c r="CE13" i="11" s="1"/>
  <c r="V140" i="12" s="1"/>
  <c r="V119" i="12"/>
  <c r="BR186" i="17"/>
  <c r="T99" i="12"/>
  <c r="BJ88" i="11"/>
  <c r="BK88" i="11" s="1"/>
  <c r="BJ13" i="11"/>
  <c r="BK13" i="11" s="1"/>
  <c r="R140" i="12" s="1"/>
  <c r="R119" i="12"/>
  <c r="BB186" i="17"/>
  <c r="P99" i="12"/>
  <c r="AP88" i="11"/>
  <c r="AQ88" i="11" s="1"/>
  <c r="AP13" i="11"/>
  <c r="AQ13" i="11" s="1"/>
  <c r="N140" i="12" s="1"/>
  <c r="N119" i="12"/>
  <c r="AL186" i="17"/>
  <c r="L99" i="12"/>
  <c r="V88" i="11"/>
  <c r="W88" i="11" s="1"/>
  <c r="V13" i="11"/>
  <c r="W13" i="11" s="1"/>
  <c r="J140" i="12" s="1"/>
  <c r="J119" i="12"/>
  <c r="V186" i="17"/>
  <c r="H99" i="12"/>
  <c r="AB118" i="12"/>
  <c r="CP178" i="17"/>
  <c r="X118" i="12"/>
  <c r="BZ178" i="17"/>
  <c r="T118" i="12"/>
  <c r="BJ178" i="17"/>
  <c r="BI165" i="17"/>
  <c r="P118" i="12"/>
  <c r="AT178" i="17"/>
  <c r="AS165" i="17"/>
  <c r="L118" i="12"/>
  <c r="AD178" i="17"/>
  <c r="AC165" i="17"/>
  <c r="H118" i="12"/>
  <c r="N178" i="17"/>
  <c r="M165" i="17"/>
  <c r="CL208" i="17"/>
  <c r="CD208" i="17"/>
  <c r="BV208" i="17"/>
  <c r="BN208" i="17"/>
  <c r="BF208" i="17"/>
  <c r="AX208" i="17"/>
  <c r="AP208" i="17"/>
  <c r="AH208" i="17"/>
  <c r="Z208" i="17"/>
  <c r="R208" i="17"/>
  <c r="AB98" i="12"/>
  <c r="Z98" i="12"/>
  <c r="X98" i="12"/>
  <c r="V98" i="12"/>
  <c r="T98" i="12"/>
  <c r="R98" i="12"/>
  <c r="P98" i="12"/>
  <c r="N98" i="12"/>
  <c r="L98" i="12"/>
  <c r="J98" i="12"/>
  <c r="H98" i="12"/>
  <c r="AA76" i="12"/>
  <c r="Y76" i="12"/>
  <c r="W76" i="12"/>
  <c r="U76" i="12"/>
  <c r="S76" i="12"/>
  <c r="Q76" i="12"/>
  <c r="O76" i="12"/>
  <c r="M76" i="12"/>
  <c r="K76" i="12"/>
  <c r="I76" i="12"/>
  <c r="AD64" i="12"/>
  <c r="AE64" i="12" s="1"/>
  <c r="AB77" i="12"/>
  <c r="CP131" i="17"/>
  <c r="Z77" i="12"/>
  <c r="CH131" i="17"/>
  <c r="CG126" i="17"/>
  <c r="X77" i="12"/>
  <c r="BZ131" i="17"/>
  <c r="BY126" i="17"/>
  <c r="V77" i="12"/>
  <c r="BR131" i="17"/>
  <c r="BQ126" i="17"/>
  <c r="T77" i="12"/>
  <c r="BJ131" i="17"/>
  <c r="BI126" i="17"/>
  <c r="R77" i="12"/>
  <c r="BB131" i="17"/>
  <c r="BA126" i="17"/>
  <c r="P77" i="12"/>
  <c r="AT131" i="17"/>
  <c r="AS126" i="17"/>
  <c r="N77" i="12"/>
  <c r="AL131" i="17"/>
  <c r="AK126" i="17"/>
  <c r="L77" i="12"/>
  <c r="AD131" i="17"/>
  <c r="AC126" i="17"/>
  <c r="J77" i="12"/>
  <c r="V131" i="17"/>
  <c r="U126" i="17"/>
  <c r="H77" i="12"/>
  <c r="N131" i="17"/>
  <c r="M126" i="17"/>
  <c r="AA60" i="12"/>
  <c r="CL89" i="17"/>
  <c r="CK73" i="17"/>
  <c r="Y60" i="12"/>
  <c r="CD89" i="17"/>
  <c r="W60" i="12"/>
  <c r="BV89" i="17"/>
  <c r="U60" i="12"/>
  <c r="BN89" i="17"/>
  <c r="S60" i="12"/>
  <c r="BF89" i="17"/>
  <c r="Q60" i="12"/>
  <c r="AX89" i="17"/>
  <c r="O60" i="12"/>
  <c r="AP89" i="17"/>
  <c r="M60" i="12"/>
  <c r="AH89" i="17"/>
  <c r="K60" i="12"/>
  <c r="Z89" i="17"/>
  <c r="I60" i="12"/>
  <c r="R89" i="17"/>
  <c r="CL78" i="17"/>
  <c r="CD78" i="17"/>
  <c r="BV78" i="17"/>
  <c r="BU62" i="17"/>
  <c r="BN78" i="17"/>
  <c r="BM62" i="17"/>
  <c r="BF78" i="17"/>
  <c r="BE62" i="17"/>
  <c r="AX78" i="17"/>
  <c r="AW62" i="17"/>
  <c r="AP78" i="17"/>
  <c r="AO62" i="17"/>
  <c r="AH78" i="17"/>
  <c r="AG62" i="17"/>
  <c r="Z78" i="17"/>
  <c r="Y62" i="17"/>
  <c r="R78" i="17"/>
  <c r="Q62" i="17"/>
  <c r="CP81" i="17"/>
  <c r="CH81" i="17"/>
  <c r="BY65" i="17"/>
  <c r="BZ81" i="17"/>
  <c r="BQ65" i="17"/>
  <c r="BR81" i="17"/>
  <c r="BI65" i="17"/>
  <c r="BJ81" i="17"/>
  <c r="BA65" i="17"/>
  <c r="BB81" i="17"/>
  <c r="AS65" i="17"/>
  <c r="AT81" i="17"/>
  <c r="AK65" i="17"/>
  <c r="AL81" i="17"/>
  <c r="AC65" i="17"/>
  <c r="AD81" i="17"/>
  <c r="U65" i="17"/>
  <c r="V81" i="17"/>
  <c r="M65" i="17"/>
  <c r="N81" i="17"/>
  <c r="CK43" i="17"/>
  <c r="CL48" i="17"/>
  <c r="AA59" i="12"/>
  <c r="CC43" i="17"/>
  <c r="CD48" i="17"/>
  <c r="Y59" i="12"/>
  <c r="BU43" i="17"/>
  <c r="BV48" i="17"/>
  <c r="W59" i="12"/>
  <c r="BM43" i="17"/>
  <c r="BN48" i="17"/>
  <c r="U59" i="12"/>
  <c r="BE43" i="17"/>
  <c r="BF48" i="17"/>
  <c r="S59" i="12"/>
  <c r="AW43" i="17"/>
  <c r="AX48" i="17"/>
  <c r="Q59" i="12"/>
  <c r="AO43" i="17"/>
  <c r="AP48" i="17"/>
  <c r="O59" i="12"/>
  <c r="AG43" i="17"/>
  <c r="AH48" i="17"/>
  <c r="M59" i="12"/>
  <c r="Y43" i="17"/>
  <c r="Z48" i="17"/>
  <c r="K59" i="12"/>
  <c r="Q43" i="17"/>
  <c r="R48" i="17"/>
  <c r="I59" i="12"/>
  <c r="DH35" i="11"/>
  <c r="DH7" i="11"/>
  <c r="DI7" i="11" s="1"/>
  <c r="AB147" i="12"/>
  <c r="CX35" i="11"/>
  <c r="CY35" i="11" s="1"/>
  <c r="CZ35" i="11" s="1"/>
  <c r="CX7" i="11"/>
  <c r="CY7" i="11" s="1"/>
  <c r="CZ7" i="11" s="1"/>
  <c r="X28" i="24"/>
  <c r="Z147" i="12"/>
  <c r="CN35" i="11"/>
  <c r="CO35" i="11" s="1"/>
  <c r="CP35" i="11" s="1"/>
  <c r="CN7" i="11"/>
  <c r="CO7" i="11" s="1"/>
  <c r="V28" i="24"/>
  <c r="X147" i="12"/>
  <c r="CD35" i="11"/>
  <c r="CE35" i="11" s="1"/>
  <c r="CF35" i="11" s="1"/>
  <c r="CD7" i="11"/>
  <c r="CE7" i="11" s="1"/>
  <c r="CF7" i="11" s="1"/>
  <c r="T28" i="24"/>
  <c r="V147" i="12"/>
  <c r="BT35" i="11"/>
  <c r="BU35" i="11" s="1"/>
  <c r="BV35" i="11" s="1"/>
  <c r="BT7" i="11"/>
  <c r="BU7" i="11" s="1"/>
  <c r="R28" i="24"/>
  <c r="T147" i="12"/>
  <c r="BJ35" i="11"/>
  <c r="BK35" i="11" s="1"/>
  <c r="BL35" i="11" s="1"/>
  <c r="BJ7" i="11"/>
  <c r="BK7" i="11" s="1"/>
  <c r="BL7" i="11" s="1"/>
  <c r="P28" i="24"/>
  <c r="R147" i="12"/>
  <c r="AZ35" i="11"/>
  <c r="BA35" i="11" s="1"/>
  <c r="BB35" i="11" s="1"/>
  <c r="AZ7" i="11"/>
  <c r="BA7" i="11" s="1"/>
  <c r="N28" i="24"/>
  <c r="P147" i="12"/>
  <c r="AP35" i="11"/>
  <c r="AQ35" i="11" s="1"/>
  <c r="AR35" i="11" s="1"/>
  <c r="AP7" i="11"/>
  <c r="AQ7" i="11" s="1"/>
  <c r="AR7" i="11" s="1"/>
  <c r="L28" i="24"/>
  <c r="N147" i="12"/>
  <c r="AF35" i="11"/>
  <c r="AG35" i="11" s="1"/>
  <c r="AH35" i="11" s="1"/>
  <c r="AF7" i="11"/>
  <c r="AG7" i="11" s="1"/>
  <c r="J28" i="24"/>
  <c r="L147" i="12"/>
  <c r="V35" i="11"/>
  <c r="W35" i="11" s="1"/>
  <c r="X35" i="11" s="1"/>
  <c r="V7" i="11"/>
  <c r="W7" i="11" s="1"/>
  <c r="X7" i="11" s="1"/>
  <c r="H28" i="24"/>
  <c r="J147" i="12"/>
  <c r="L35" i="11"/>
  <c r="M35" i="11" s="1"/>
  <c r="N35" i="11" s="1"/>
  <c r="L7" i="11"/>
  <c r="M7" i="11" s="1"/>
  <c r="F28" i="24"/>
  <c r="H147" i="12"/>
  <c r="F387" i="20"/>
  <c r="W387" i="20" s="1"/>
  <c r="G387" i="20"/>
  <c r="X387" i="20" s="1"/>
  <c r="AU210" i="2"/>
  <c r="AD160" i="21"/>
  <c r="P112" i="20"/>
  <c r="AG112" i="20" s="1"/>
  <c r="BF123" i="2"/>
  <c r="N112" i="20"/>
  <c r="AE112" i="20" s="1"/>
  <c r="BD123" i="2"/>
  <c r="L112" i="20"/>
  <c r="AC112" i="20" s="1"/>
  <c r="BB123" i="2"/>
  <c r="J112" i="20"/>
  <c r="AA112" i="20" s="1"/>
  <c r="AZ123" i="2"/>
  <c r="P110" i="20"/>
  <c r="AG110" i="20" s="1"/>
  <c r="BF121" i="2"/>
  <c r="N110" i="20"/>
  <c r="AE110" i="20" s="1"/>
  <c r="BD121" i="2"/>
  <c r="L110" i="20"/>
  <c r="AC110" i="20" s="1"/>
  <c r="BB121" i="2"/>
  <c r="J110" i="20"/>
  <c r="AA110" i="20" s="1"/>
  <c r="AZ121" i="2"/>
  <c r="P105" i="20"/>
  <c r="AG105" i="20" s="1"/>
  <c r="BF117" i="2"/>
  <c r="N105" i="20"/>
  <c r="AE105" i="20" s="1"/>
  <c r="BD117" i="2"/>
  <c r="L105" i="20"/>
  <c r="AC105" i="20" s="1"/>
  <c r="BB117" i="2"/>
  <c r="J105" i="20"/>
  <c r="AA105" i="20" s="1"/>
  <c r="AZ117" i="2"/>
  <c r="AA128" i="21"/>
  <c r="AA127" i="21"/>
  <c r="X33" i="21"/>
  <c r="DC47" i="6"/>
  <c r="CQ81" i="11"/>
  <c r="CQ11" i="11"/>
  <c r="X430" i="12"/>
  <c r="X267" i="12"/>
  <c r="X263" i="12"/>
  <c r="T33" i="21"/>
  <c r="CE47" i="6"/>
  <c r="BW81" i="11"/>
  <c r="BW11" i="11"/>
  <c r="T430" i="12"/>
  <c r="T267" i="12"/>
  <c r="T263" i="12"/>
  <c r="P33" i="21"/>
  <c r="BG47" i="6"/>
  <c r="BC81" i="11"/>
  <c r="BC11" i="11"/>
  <c r="P430" i="12"/>
  <c r="P267" i="12"/>
  <c r="P263" i="12"/>
  <c r="L33" i="21"/>
  <c r="AI47" i="6"/>
  <c r="AI81" i="11"/>
  <c r="AI11" i="11"/>
  <c r="L430" i="12"/>
  <c r="L267" i="12"/>
  <c r="L263" i="12"/>
  <c r="H33" i="21"/>
  <c r="K47" i="6"/>
  <c r="O81" i="11"/>
  <c r="O11" i="11"/>
  <c r="H430" i="12"/>
  <c r="H267" i="12"/>
  <c r="H263" i="12"/>
  <c r="DD119" i="11"/>
  <c r="AA179" i="12" s="1"/>
  <c r="DB119" i="11"/>
  <c r="CJ119" i="11"/>
  <c r="W179" i="12" s="1"/>
  <c r="W44" i="21" s="1"/>
  <c r="CH119" i="11"/>
  <c r="BP119" i="11"/>
  <c r="S179" i="12" s="1"/>
  <c r="S44" i="21" s="1"/>
  <c r="BN119" i="11"/>
  <c r="AV119" i="11"/>
  <c r="O179" i="12" s="1"/>
  <c r="O44" i="21" s="1"/>
  <c r="AT119" i="11"/>
  <c r="AB119" i="11"/>
  <c r="K179" i="12" s="1"/>
  <c r="K44" i="21" s="1"/>
  <c r="Z119" i="11"/>
  <c r="N180" i="17"/>
  <c r="BR177" i="17"/>
  <c r="BJ177" i="17"/>
  <c r="BB177" i="17"/>
  <c r="AT177" i="17"/>
  <c r="AL177" i="17"/>
  <c r="AD177" i="17"/>
  <c r="V177" i="17"/>
  <c r="N177" i="17"/>
  <c r="CL21" i="22"/>
  <c r="CJ21" i="22"/>
  <c r="CJ17" i="22"/>
  <c r="CP202" i="17"/>
  <c r="CH202" i="17"/>
  <c r="BZ202" i="17"/>
  <c r="CL15" i="22"/>
  <c r="CP145" i="17"/>
  <c r="CJ15" i="22"/>
  <c r="CH145" i="17"/>
  <c r="CG146" i="17" s="1"/>
  <c r="BZ145" i="17"/>
  <c r="BY146" i="17" s="1"/>
  <c r="BR145" i="17"/>
  <c r="BQ146" i="17" s="1"/>
  <c r="BJ145" i="17"/>
  <c r="BI146" i="17" s="1"/>
  <c r="BB145" i="17"/>
  <c r="BA146" i="17" s="1"/>
  <c r="AT145" i="17"/>
  <c r="AS146" i="17" s="1"/>
  <c r="AL145" i="17"/>
  <c r="AK146" i="17" s="1"/>
  <c r="AD145" i="17"/>
  <c r="AC146" i="17" s="1"/>
  <c r="V145" i="17"/>
  <c r="U146" i="17" s="1"/>
  <c r="N145" i="17"/>
  <c r="M146" i="17" s="1"/>
  <c r="CJ20" i="22"/>
  <c r="D123" i="2"/>
  <c r="BU248" i="17"/>
  <c r="BU246" i="17"/>
  <c r="BU241" i="17"/>
  <c r="BS246" i="17"/>
  <c r="BS241" i="17"/>
  <c r="BV229" i="17"/>
  <c r="BQ248" i="17"/>
  <c r="BQ246" i="17"/>
  <c r="BQ241" i="17"/>
  <c r="BR229" i="17"/>
  <c r="BS247" i="17" s="1"/>
  <c r="BO246" i="17"/>
  <c r="BO241" i="17"/>
  <c r="BM248" i="17"/>
  <c r="BM246" i="17"/>
  <c r="BM241" i="17"/>
  <c r="BK246" i="17"/>
  <c r="BK241" i="17"/>
  <c r="BN229" i="17"/>
  <c r="BI248" i="17"/>
  <c r="BI246" i="17"/>
  <c r="BI241" i="17"/>
  <c r="BJ229" i="17"/>
  <c r="BK247" i="17" s="1"/>
  <c r="BG246" i="17"/>
  <c r="BG241" i="17"/>
  <c r="BE248" i="17"/>
  <c r="BE246" i="17"/>
  <c r="BE241" i="17"/>
  <c r="BC246" i="17"/>
  <c r="BC241" i="17"/>
  <c r="BF229" i="17"/>
  <c r="BA248" i="17"/>
  <c r="BA246" i="17"/>
  <c r="BA241" i="17"/>
  <c r="BB229" i="17"/>
  <c r="BC247" i="17" s="1"/>
  <c r="AY246" i="17"/>
  <c r="AY241" i="17"/>
  <c r="AW248" i="17"/>
  <c r="AW246" i="17"/>
  <c r="AW241" i="17"/>
  <c r="AU246" i="17"/>
  <c r="AU241" i="17"/>
  <c r="AX229" i="17"/>
  <c r="AS248" i="17"/>
  <c r="AS246" i="17"/>
  <c r="AS241" i="17"/>
  <c r="AT229" i="17"/>
  <c r="AU247" i="17" s="1"/>
  <c r="AQ246" i="17"/>
  <c r="AQ241" i="17"/>
  <c r="AO248" i="17"/>
  <c r="AO246" i="17"/>
  <c r="AO241" i="17"/>
  <c r="AM246" i="17"/>
  <c r="AM241" i="17"/>
  <c r="AP229" i="17"/>
  <c r="AK248" i="17"/>
  <c r="AK246" i="17"/>
  <c r="AK241" i="17"/>
  <c r="AL229" i="17"/>
  <c r="AM247" i="17" s="1"/>
  <c r="AI246" i="17"/>
  <c r="AI241" i="17"/>
  <c r="AG248" i="17"/>
  <c r="AG246" i="17"/>
  <c r="AG241" i="17"/>
  <c r="AE246" i="17"/>
  <c r="AE241" i="17"/>
  <c r="AH229" i="17"/>
  <c r="AC248" i="17"/>
  <c r="AC246" i="17"/>
  <c r="AC241" i="17"/>
  <c r="AD229" i="17"/>
  <c r="AE247" i="17" s="1"/>
  <c r="AA246" i="17"/>
  <c r="AA241" i="17"/>
  <c r="Y248" i="17"/>
  <c r="Y246" i="17"/>
  <c r="Y241" i="17"/>
  <c r="W246" i="17"/>
  <c r="W241" i="17"/>
  <c r="Z229" i="17"/>
  <c r="U248" i="17"/>
  <c r="U246" i="17"/>
  <c r="U241" i="17"/>
  <c r="V229" i="17"/>
  <c r="W247" i="17" s="1"/>
  <c r="S246" i="17"/>
  <c r="S241" i="17"/>
  <c r="Q248" i="17"/>
  <c r="Q246" i="17"/>
  <c r="Q241" i="17"/>
  <c r="O246" i="17"/>
  <c r="O241" i="17"/>
  <c r="R229" i="17"/>
  <c r="M248" i="17"/>
  <c r="M246" i="17"/>
  <c r="M241" i="17"/>
  <c r="N229" i="17"/>
  <c r="O247" i="17" s="1"/>
  <c r="K246" i="17"/>
  <c r="K241" i="17"/>
  <c r="J229" i="17"/>
  <c r="K247" i="17" s="1"/>
  <c r="CL18" i="22"/>
  <c r="F121" i="2"/>
  <c r="CJ18" i="22"/>
  <c r="D121" i="2"/>
  <c r="BU199" i="17"/>
  <c r="BU200" i="17" s="1"/>
  <c r="BU189" i="17"/>
  <c r="BU184" i="17"/>
  <c r="BU191" i="17"/>
  <c r="BS199" i="17"/>
  <c r="BS200" i="17" s="1"/>
  <c r="BS189" i="17"/>
  <c r="BS184" i="17"/>
  <c r="BV172" i="17"/>
  <c r="BQ199" i="17"/>
  <c r="BQ200" i="17" s="1"/>
  <c r="BQ191" i="17"/>
  <c r="BQ189" i="17"/>
  <c r="BQ184" i="17"/>
  <c r="BO199" i="17"/>
  <c r="BO200" i="17" s="1"/>
  <c r="BO189" i="17"/>
  <c r="BO184" i="17"/>
  <c r="BR172" i="17"/>
  <c r="BR191" i="17" s="1"/>
  <c r="BM199" i="17"/>
  <c r="BM200" i="17" s="1"/>
  <c r="BM189" i="17"/>
  <c r="BM184" i="17"/>
  <c r="BM191" i="17"/>
  <c r="BK199" i="17"/>
  <c r="BK200" i="17" s="1"/>
  <c r="BK189" i="17"/>
  <c r="BK184" i="17"/>
  <c r="BN172" i="17"/>
  <c r="BM173" i="17" s="1"/>
  <c r="BI199" i="17"/>
  <c r="BI200" i="17" s="1"/>
  <c r="BI191" i="17"/>
  <c r="BI189" i="17"/>
  <c r="BI184" i="17"/>
  <c r="BG199" i="17"/>
  <c r="BG200" i="17" s="1"/>
  <c r="BG189" i="17"/>
  <c r="BG184" i="17"/>
  <c r="BJ172" i="17"/>
  <c r="BJ191" i="17" s="1"/>
  <c r="BE199" i="17"/>
  <c r="BE200" i="17" s="1"/>
  <c r="BE189" i="17"/>
  <c r="BE184" i="17"/>
  <c r="BE191" i="17"/>
  <c r="BC199" i="17"/>
  <c r="BC200" i="17" s="1"/>
  <c r="BC189" i="17"/>
  <c r="BC184" i="17"/>
  <c r="BF172" i="17"/>
  <c r="BA199" i="17"/>
  <c r="BA200" i="17" s="1"/>
  <c r="BA191" i="17"/>
  <c r="BA189" i="17"/>
  <c r="BA184" i="17"/>
  <c r="AY199" i="17"/>
  <c r="AY200" i="17" s="1"/>
  <c r="AY189" i="17"/>
  <c r="AY184" i="17"/>
  <c r="BB172" i="17"/>
  <c r="BB191" i="17" s="1"/>
  <c r="AW199" i="17"/>
  <c r="AW200" i="17" s="1"/>
  <c r="AW189" i="17"/>
  <c r="AW184" i="17"/>
  <c r="AW191" i="17"/>
  <c r="AU199" i="17"/>
  <c r="AU200" i="17" s="1"/>
  <c r="AU189" i="17"/>
  <c r="AU184" i="17"/>
  <c r="AX172" i="17"/>
  <c r="AW173" i="17" s="1"/>
  <c r="AS199" i="17"/>
  <c r="AS200" i="17" s="1"/>
  <c r="AS191" i="17"/>
  <c r="AS189" i="17"/>
  <c r="AS184" i="17"/>
  <c r="AQ199" i="17"/>
  <c r="AQ200" i="17" s="1"/>
  <c r="AQ189" i="17"/>
  <c r="AQ184" i="17"/>
  <c r="AT172" i="17"/>
  <c r="AT191" i="17" s="1"/>
  <c r="AO199" i="17"/>
  <c r="AO200" i="17" s="1"/>
  <c r="AO189" i="17"/>
  <c r="AO184" i="17"/>
  <c r="AO191" i="17"/>
  <c r="AM199" i="17"/>
  <c r="AM200" i="17" s="1"/>
  <c r="AM189" i="17"/>
  <c r="AM184" i="17"/>
  <c r="AP172" i="17"/>
  <c r="AK199" i="17"/>
  <c r="AK200" i="17" s="1"/>
  <c r="AK191" i="17"/>
  <c r="AK189" i="17"/>
  <c r="AK184" i="17"/>
  <c r="AI199" i="17"/>
  <c r="AI200" i="17" s="1"/>
  <c r="AI189" i="17"/>
  <c r="AI184" i="17"/>
  <c r="AL172" i="17"/>
  <c r="AL191" i="17" s="1"/>
  <c r="AG199" i="17"/>
  <c r="AG200" i="17" s="1"/>
  <c r="AG189" i="17"/>
  <c r="AG184" i="17"/>
  <c r="AG191" i="17"/>
  <c r="AE199" i="17"/>
  <c r="AE200" i="17" s="1"/>
  <c r="AE189" i="17"/>
  <c r="AE184" i="17"/>
  <c r="AH172" i="17"/>
  <c r="AG173" i="17" s="1"/>
  <c r="AC199" i="17"/>
  <c r="AC200" i="17" s="1"/>
  <c r="AC191" i="17"/>
  <c r="AC189" i="17"/>
  <c r="AC184" i="17"/>
  <c r="AA199" i="17"/>
  <c r="AA200" i="17" s="1"/>
  <c r="AA189" i="17"/>
  <c r="AA184" i="17"/>
  <c r="AD172" i="17"/>
  <c r="AD191" i="17" s="1"/>
  <c r="Y199" i="17"/>
  <c r="Y200" i="17" s="1"/>
  <c r="Y189" i="17"/>
  <c r="Y184" i="17"/>
  <c r="Y191" i="17"/>
  <c r="W199" i="17"/>
  <c r="W200" i="17" s="1"/>
  <c r="W189" i="17"/>
  <c r="W184" i="17"/>
  <c r="Z172" i="17"/>
  <c r="U199" i="17"/>
  <c r="U200" i="17" s="1"/>
  <c r="U191" i="17"/>
  <c r="U189" i="17"/>
  <c r="U184" i="17"/>
  <c r="S199" i="17"/>
  <c r="S200" i="17" s="1"/>
  <c r="S189" i="17"/>
  <c r="S184" i="17"/>
  <c r="V172" i="17"/>
  <c r="V191" i="17" s="1"/>
  <c r="Q199" i="17"/>
  <c r="Q200" i="17" s="1"/>
  <c r="Q189" i="17"/>
  <c r="Q184" i="17"/>
  <c r="Q191" i="17"/>
  <c r="O199" i="17"/>
  <c r="O200" i="17" s="1"/>
  <c r="O189" i="17"/>
  <c r="O184" i="17"/>
  <c r="R172" i="17"/>
  <c r="Q173" i="17" s="1"/>
  <c r="M199" i="17"/>
  <c r="M200" i="17" s="1"/>
  <c r="M191" i="17"/>
  <c r="M189" i="17"/>
  <c r="M184" i="17"/>
  <c r="K199" i="17"/>
  <c r="K200" i="17" s="1"/>
  <c r="K189" i="17"/>
  <c r="K184" i="17"/>
  <c r="N172" i="17"/>
  <c r="N191" i="17" s="1"/>
  <c r="I199" i="17"/>
  <c r="I200" i="17" s="1"/>
  <c r="I184" i="17"/>
  <c r="G199" i="17"/>
  <c r="G200" i="17" s="1"/>
  <c r="J172" i="17"/>
  <c r="I173" i="17" s="1"/>
  <c r="CL16" i="22"/>
  <c r="CP130" i="17"/>
  <c r="CJ16" i="22"/>
  <c r="V130" i="17"/>
  <c r="N130" i="17"/>
  <c r="CL14" i="22"/>
  <c r="F117" i="2"/>
  <c r="CC103" i="17"/>
  <c r="CC104" i="17" s="1"/>
  <c r="CC69" i="17"/>
  <c r="BY103" i="17"/>
  <c r="BY104" i="17" s="1"/>
  <c r="BY86" i="17"/>
  <c r="BY8" i="17" s="1"/>
  <c r="BV14" i="22" s="1"/>
  <c r="BY69" i="17"/>
  <c r="BW103" i="17"/>
  <c r="BW104" i="17" s="1"/>
  <c r="BW86" i="17"/>
  <c r="BW8" i="17" s="1"/>
  <c r="BT14" i="22" s="1"/>
  <c r="BW69" i="17"/>
  <c r="BU103" i="17"/>
  <c r="BU104" i="17" s="1"/>
  <c r="BU86" i="17"/>
  <c r="BU8" i="17" s="1"/>
  <c r="BR14" i="22" s="1"/>
  <c r="BU69" i="17"/>
  <c r="BS103" i="17"/>
  <c r="BS104" i="17" s="1"/>
  <c r="BS86" i="17"/>
  <c r="BS8" i="17" s="1"/>
  <c r="BP14" i="22" s="1"/>
  <c r="BS69" i="17"/>
  <c r="BQ103" i="17"/>
  <c r="BQ104" i="17" s="1"/>
  <c r="BQ86" i="17"/>
  <c r="BQ8" i="17" s="1"/>
  <c r="BN14" i="22" s="1"/>
  <c r="BQ69" i="17"/>
  <c r="BO103" i="17"/>
  <c r="BO104" i="17" s="1"/>
  <c r="BO86" i="17"/>
  <c r="BO8" i="17" s="1"/>
  <c r="BL14" i="22" s="1"/>
  <c r="BO69" i="17"/>
  <c r="BM103" i="17"/>
  <c r="BM104" i="17" s="1"/>
  <c r="BM86" i="17"/>
  <c r="BM8" i="17" s="1"/>
  <c r="BJ14" i="22" s="1"/>
  <c r="BM69" i="17"/>
  <c r="BK103" i="17"/>
  <c r="BK104" i="17" s="1"/>
  <c r="BK86" i="17"/>
  <c r="BK8" i="17" s="1"/>
  <c r="BH14" i="22" s="1"/>
  <c r="BK69" i="17"/>
  <c r="BI103" i="17"/>
  <c r="BI104" i="17" s="1"/>
  <c r="BI86" i="17"/>
  <c r="BI8" i="17" s="1"/>
  <c r="BF14" i="22" s="1"/>
  <c r="BI69" i="17"/>
  <c r="BG103" i="17"/>
  <c r="BG104" i="17" s="1"/>
  <c r="BG86" i="17"/>
  <c r="BG8" i="17" s="1"/>
  <c r="BD14" i="22" s="1"/>
  <c r="BG69" i="17"/>
  <c r="BE103" i="17"/>
  <c r="BE104" i="17" s="1"/>
  <c r="BE86" i="17"/>
  <c r="BE8" i="17" s="1"/>
  <c r="BB14" i="22" s="1"/>
  <c r="BE69" i="17"/>
  <c r="BC103" i="17"/>
  <c r="BC104" i="17" s="1"/>
  <c r="BC86" i="17"/>
  <c r="BC8" i="17" s="1"/>
  <c r="AZ14" i="22" s="1"/>
  <c r="BC69" i="17"/>
  <c r="BA103" i="17"/>
  <c r="BA104" i="17" s="1"/>
  <c r="BA86" i="17"/>
  <c r="BA8" i="17" s="1"/>
  <c r="AX14" i="22" s="1"/>
  <c r="BA69" i="17"/>
  <c r="AY103" i="17"/>
  <c r="AY104" i="17" s="1"/>
  <c r="AY86" i="17"/>
  <c r="AY8" i="17" s="1"/>
  <c r="AV14" i="22" s="1"/>
  <c r="AY69" i="17"/>
  <c r="AW103" i="17"/>
  <c r="AW104" i="17" s="1"/>
  <c r="AW86" i="17"/>
  <c r="AW8" i="17" s="1"/>
  <c r="AT14" i="22" s="1"/>
  <c r="AW69" i="17"/>
  <c r="AU103" i="17"/>
  <c r="AU104" i="17" s="1"/>
  <c r="AU86" i="17"/>
  <c r="AU8" i="17" s="1"/>
  <c r="AR14" i="22" s="1"/>
  <c r="AU69" i="17"/>
  <c r="AS103" i="17"/>
  <c r="AS104" i="17" s="1"/>
  <c r="AS86" i="17"/>
  <c r="AS8" i="17" s="1"/>
  <c r="AP14" i="22" s="1"/>
  <c r="AS69" i="17"/>
  <c r="AQ103" i="17"/>
  <c r="AQ104" i="17" s="1"/>
  <c r="AQ86" i="17"/>
  <c r="AQ8" i="17" s="1"/>
  <c r="AN14" i="22" s="1"/>
  <c r="AQ69" i="17"/>
  <c r="AO103" i="17"/>
  <c r="AO104" i="17" s="1"/>
  <c r="AO86" i="17"/>
  <c r="AO8" i="17" s="1"/>
  <c r="AL14" i="22" s="1"/>
  <c r="AO69" i="17"/>
  <c r="AM103" i="17"/>
  <c r="AM104" i="17" s="1"/>
  <c r="AM86" i="17"/>
  <c r="AM8" i="17" s="1"/>
  <c r="AJ14" i="22" s="1"/>
  <c r="AM69" i="17"/>
  <c r="AK103" i="17"/>
  <c r="AK104" i="17" s="1"/>
  <c r="AK86" i="17"/>
  <c r="AK8" i="17" s="1"/>
  <c r="AH14" i="22" s="1"/>
  <c r="AK69" i="17"/>
  <c r="AI103" i="17"/>
  <c r="AI104" i="17" s="1"/>
  <c r="AI86" i="17"/>
  <c r="AI8" i="17" s="1"/>
  <c r="AF14" i="22" s="1"/>
  <c r="AI69" i="17"/>
  <c r="AG103" i="17"/>
  <c r="AG104" i="17" s="1"/>
  <c r="AG86" i="17"/>
  <c r="AG8" i="17" s="1"/>
  <c r="AD14" i="22" s="1"/>
  <c r="AG69" i="17"/>
  <c r="AE103" i="17"/>
  <c r="AE104" i="17" s="1"/>
  <c r="AE86" i="17"/>
  <c r="AE8" i="17" s="1"/>
  <c r="AB14" i="22" s="1"/>
  <c r="AE69" i="17"/>
  <c r="AC103" i="17"/>
  <c r="AC104" i="17" s="1"/>
  <c r="AC86" i="17"/>
  <c r="AC8" i="17" s="1"/>
  <c r="Z14" i="22" s="1"/>
  <c r="AC69" i="17"/>
  <c r="AA103" i="17"/>
  <c r="AA104" i="17" s="1"/>
  <c r="AA86" i="17"/>
  <c r="AA8" i="17" s="1"/>
  <c r="X14" i="22" s="1"/>
  <c r="AA69" i="17"/>
  <c r="Y103" i="17"/>
  <c r="Y104" i="17" s="1"/>
  <c r="Y86" i="17"/>
  <c r="Y8" i="17" s="1"/>
  <c r="V14" i="22" s="1"/>
  <c r="Y69" i="17"/>
  <c r="W103" i="17"/>
  <c r="W104" i="17" s="1"/>
  <c r="W86" i="17"/>
  <c r="W8" i="17" s="1"/>
  <c r="T14" i="22" s="1"/>
  <c r="W69" i="17"/>
  <c r="U103" i="17"/>
  <c r="U104" i="17" s="1"/>
  <c r="U86" i="17"/>
  <c r="U8" i="17" s="1"/>
  <c r="R14" i="22" s="1"/>
  <c r="U69" i="17"/>
  <c r="S103" i="17"/>
  <c r="S104" i="17" s="1"/>
  <c r="S86" i="17"/>
  <c r="S8" i="17" s="1"/>
  <c r="P14" i="22" s="1"/>
  <c r="S69" i="17"/>
  <c r="Q103" i="17"/>
  <c r="Q104" i="17" s="1"/>
  <c r="Q86" i="17"/>
  <c r="Q8" i="17" s="1"/>
  <c r="N14" i="22" s="1"/>
  <c r="Q69" i="17"/>
  <c r="O103" i="17"/>
  <c r="O104" i="17" s="1"/>
  <c r="O86" i="17"/>
  <c r="O8" i="17" s="1"/>
  <c r="L14" i="22" s="1"/>
  <c r="O69" i="17"/>
  <c r="M103" i="17"/>
  <c r="M104" i="17" s="1"/>
  <c r="M86" i="17"/>
  <c r="M8" i="17" s="1"/>
  <c r="J14" i="22" s="1"/>
  <c r="M69" i="17"/>
  <c r="K103" i="17"/>
  <c r="K104" i="17" s="1"/>
  <c r="K86" i="17"/>
  <c r="K8" i="17" s="1"/>
  <c r="H14" i="22" s="1"/>
  <c r="K69" i="17"/>
  <c r="I103" i="17"/>
  <c r="I104" i="17" s="1"/>
  <c r="I86" i="17"/>
  <c r="I8" i="17" s="1"/>
  <c r="I69" i="17"/>
  <c r="G103" i="17"/>
  <c r="G104" i="17" s="1"/>
  <c r="G69" i="17"/>
  <c r="DD94" i="6"/>
  <c r="DC45" i="6"/>
  <c r="CF94" i="6"/>
  <c r="CE45" i="6"/>
  <c r="BH94" i="6"/>
  <c r="BG45" i="6"/>
  <c r="AJ94" i="6"/>
  <c r="AI45" i="6"/>
  <c r="L94" i="6"/>
  <c r="K45" i="6"/>
  <c r="DY35" i="6"/>
  <c r="AA782" i="7"/>
  <c r="DV84" i="6"/>
  <c r="DU35" i="6"/>
  <c r="DM35" i="6"/>
  <c r="Y782" i="7"/>
  <c r="Y409" i="7"/>
  <c r="DJ84" i="6"/>
  <c r="DI35" i="6"/>
  <c r="CO35" i="6"/>
  <c r="U782" i="7"/>
  <c r="U409" i="7"/>
  <c r="U403" i="7"/>
  <c r="CL84" i="6"/>
  <c r="CK35" i="6"/>
  <c r="BQ35" i="6"/>
  <c r="Q782" i="7"/>
  <c r="Q409" i="7"/>
  <c r="Q403" i="7"/>
  <c r="BN84" i="6"/>
  <c r="BM35" i="6"/>
  <c r="AS35" i="6"/>
  <c r="M782" i="7"/>
  <c r="M409" i="7"/>
  <c r="M403" i="7"/>
  <c r="AP84" i="6"/>
  <c r="AO35" i="6"/>
  <c r="U35" i="6"/>
  <c r="I782" i="7"/>
  <c r="I409" i="7"/>
  <c r="I403" i="7"/>
  <c r="R84" i="6"/>
  <c r="Q35" i="6"/>
  <c r="I35" i="6"/>
  <c r="G782" i="7"/>
  <c r="G409" i="7"/>
  <c r="EB82" i="6"/>
  <c r="EA33" i="6"/>
  <c r="DD82" i="6"/>
  <c r="DC33" i="6"/>
  <c r="CF82" i="6"/>
  <c r="CE33" i="6"/>
  <c r="BH82" i="6"/>
  <c r="BG33" i="6"/>
  <c r="AJ82" i="6"/>
  <c r="AI33" i="6"/>
  <c r="L82" i="6"/>
  <c r="K33" i="6"/>
  <c r="DV77" i="6"/>
  <c r="DU28" i="6"/>
  <c r="DJ77" i="6"/>
  <c r="DI28" i="6"/>
  <c r="CX77" i="6"/>
  <c r="CW28" i="6"/>
  <c r="CL77" i="6"/>
  <c r="CK28" i="6"/>
  <c r="BZ77" i="6"/>
  <c r="BY28" i="6"/>
  <c r="BN77" i="6"/>
  <c r="BM28" i="6"/>
  <c r="BB77" i="6"/>
  <c r="BA28" i="6"/>
  <c r="AP77" i="6"/>
  <c r="AO28" i="6"/>
  <c r="AD77" i="6"/>
  <c r="AC28" i="6"/>
  <c r="R77" i="6"/>
  <c r="Q28" i="6"/>
  <c r="EH32" i="6"/>
  <c r="AD296" i="7"/>
  <c r="AE296" i="7" s="1"/>
  <c r="AF296" i="7" s="1"/>
  <c r="EZ32" i="6" s="1"/>
  <c r="DP81" i="6"/>
  <c r="CR81" i="6"/>
  <c r="BT81" i="6"/>
  <c r="AV81" i="6"/>
  <c r="X81" i="6"/>
  <c r="DV80" i="6"/>
  <c r="DU31" i="6"/>
  <c r="CX80" i="6"/>
  <c r="CW31" i="6"/>
  <c r="BZ80" i="6"/>
  <c r="BY31" i="6"/>
  <c r="BB80" i="6"/>
  <c r="BA31" i="6"/>
  <c r="AD80" i="6"/>
  <c r="AC31" i="6"/>
  <c r="EE32" i="6"/>
  <c r="AB781" i="7"/>
  <c r="BC781" i="7" s="1"/>
  <c r="BC314" i="7"/>
  <c r="AB307" i="7"/>
  <c r="BC307" i="7" s="1"/>
  <c r="EB76" i="6"/>
  <c r="EA27" i="6"/>
  <c r="DD76" i="6"/>
  <c r="DC27" i="6"/>
  <c r="CF76" i="6"/>
  <c r="CE27" i="6"/>
  <c r="BH76" i="6"/>
  <c r="BG27" i="6"/>
  <c r="AV76" i="6"/>
  <c r="AU27" i="6"/>
  <c r="AJ76" i="6"/>
  <c r="AI27" i="6"/>
  <c r="X76" i="6"/>
  <c r="W27" i="6"/>
  <c r="L76" i="6"/>
  <c r="K27" i="6"/>
  <c r="K76" i="6" s="1"/>
  <c r="DV73" i="6"/>
  <c r="DJ73" i="6"/>
  <c r="CX73" i="6"/>
  <c r="CL73" i="6"/>
  <c r="BZ73" i="6"/>
  <c r="BN73" i="6"/>
  <c r="BB73" i="6"/>
  <c r="AP73" i="6"/>
  <c r="AD73" i="6"/>
  <c r="R73" i="6"/>
  <c r="G709" i="7"/>
  <c r="EB79" i="6"/>
  <c r="EA30" i="6"/>
  <c r="DD79" i="6"/>
  <c r="DC30" i="6"/>
  <c r="Y231" i="7"/>
  <c r="CR79" i="6"/>
  <c r="CQ30" i="6"/>
  <c r="W231" i="7"/>
  <c r="CF79" i="6"/>
  <c r="CE30" i="6"/>
  <c r="U231" i="7"/>
  <c r="BT79" i="6"/>
  <c r="BS30" i="6"/>
  <c r="S231" i="7"/>
  <c r="BH79" i="6"/>
  <c r="BG30" i="6"/>
  <c r="Q231" i="7"/>
  <c r="AV79" i="6"/>
  <c r="AU30" i="6"/>
  <c r="O231" i="7"/>
  <c r="AJ79" i="6"/>
  <c r="AI30" i="6"/>
  <c r="M231" i="7"/>
  <c r="X79" i="6"/>
  <c r="W30" i="6"/>
  <c r="K231" i="7"/>
  <c r="L79" i="6"/>
  <c r="K30" i="6"/>
  <c r="DV60" i="6"/>
  <c r="DU11" i="6"/>
  <c r="CX60" i="6"/>
  <c r="CW11" i="6"/>
  <c r="BZ60" i="6"/>
  <c r="BY11" i="6"/>
  <c r="BB60" i="6"/>
  <c r="BA11" i="6"/>
  <c r="AD60" i="6"/>
  <c r="AC11" i="6"/>
  <c r="AA181" i="8"/>
  <c r="AA174" i="8"/>
  <c r="AA166" i="8"/>
  <c r="G338" i="20"/>
  <c r="X338" i="20" s="1"/>
  <c r="F338" i="20"/>
  <c r="W338" i="20" s="1"/>
  <c r="AU187" i="2"/>
  <c r="Y181" i="8"/>
  <c r="Y174" i="8"/>
  <c r="Y166" i="8"/>
  <c r="CX62" i="6"/>
  <c r="CX15" i="6"/>
  <c r="CW13" i="6"/>
  <c r="U181" i="8"/>
  <c r="U174" i="8"/>
  <c r="U258" i="7"/>
  <c r="U166" i="8"/>
  <c r="BZ62" i="6"/>
  <c r="BZ15" i="6"/>
  <c r="BY13" i="6"/>
  <c r="Q181" i="8"/>
  <c r="Q174" i="8"/>
  <c r="Q258" i="7"/>
  <c r="Q166" i="8"/>
  <c r="BB62" i="6"/>
  <c r="BB15" i="6"/>
  <c r="BA13" i="6"/>
  <c r="M181" i="8"/>
  <c r="M174" i="8"/>
  <c r="M258" i="7"/>
  <c r="M166" i="8"/>
  <c r="AD62" i="6"/>
  <c r="AD15" i="6"/>
  <c r="AC13" i="6"/>
  <c r="I181" i="8"/>
  <c r="I174" i="8"/>
  <c r="I258" i="7"/>
  <c r="I166" i="8"/>
  <c r="DP59" i="6"/>
  <c r="DO10" i="6"/>
  <c r="CR59" i="6"/>
  <c r="CQ10" i="6"/>
  <c r="BT59" i="6"/>
  <c r="BS10" i="6"/>
  <c r="AV59" i="6"/>
  <c r="AU10" i="6"/>
  <c r="X59" i="6"/>
  <c r="W10" i="6"/>
  <c r="Z60" i="21"/>
  <c r="C189" i="2"/>
  <c r="AT189" i="2" s="1"/>
  <c r="Z115" i="7"/>
  <c r="Z118" i="7"/>
  <c r="DP57" i="6"/>
  <c r="DP12" i="6"/>
  <c r="V60" i="21"/>
  <c r="V178" i="7"/>
  <c r="V127" i="7"/>
  <c r="V115" i="7"/>
  <c r="V118" i="7"/>
  <c r="V77" i="7"/>
  <c r="CR57" i="6"/>
  <c r="CR12" i="6"/>
  <c r="R60" i="21"/>
  <c r="R178" i="7"/>
  <c r="R127" i="7"/>
  <c r="R115" i="7"/>
  <c r="R118" i="7"/>
  <c r="R77" i="7"/>
  <c r="BT57" i="6"/>
  <c r="BT12" i="6"/>
  <c r="N60" i="21"/>
  <c r="N178" i="7"/>
  <c r="N127" i="7"/>
  <c r="N115" i="7"/>
  <c r="N118" i="7"/>
  <c r="N77" i="7"/>
  <c r="AV57" i="6"/>
  <c r="AV12" i="6"/>
  <c r="J60" i="21"/>
  <c r="J178" i="7"/>
  <c r="J127" i="7"/>
  <c r="J115" i="7"/>
  <c r="J118" i="7"/>
  <c r="J77" i="7"/>
  <c r="X57" i="6"/>
  <c r="X12" i="6"/>
  <c r="EJ47" i="6"/>
  <c r="EJ96" i="6" s="1"/>
  <c r="AD541" i="7"/>
  <c r="AE541" i="7" s="1"/>
  <c r="AF541" i="7" s="1"/>
  <c r="FB47" i="6" s="1"/>
  <c r="G762" i="7"/>
  <c r="AC97" i="21"/>
  <c r="EJ41" i="6"/>
  <c r="AD480" i="7"/>
  <c r="ED90" i="6"/>
  <c r="DR90" i="6"/>
  <c r="DF90" i="6"/>
  <c r="CH90" i="6"/>
  <c r="BJ90" i="6"/>
  <c r="AL90" i="6"/>
  <c r="N90" i="6"/>
  <c r="AA497" i="7"/>
  <c r="AA651" i="7"/>
  <c r="DL43" i="6"/>
  <c r="Y505" i="7"/>
  <c r="Y494" i="7"/>
  <c r="CZ43" i="6"/>
  <c r="CZ40" i="6" s="1"/>
  <c r="W505" i="7"/>
  <c r="W494" i="7"/>
  <c r="CN43" i="6"/>
  <c r="U505" i="7"/>
  <c r="U494" i="7"/>
  <c r="CB43" i="6"/>
  <c r="CB40" i="6" s="1"/>
  <c r="S505" i="7"/>
  <c r="S494" i="7"/>
  <c r="BP43" i="6"/>
  <c r="Q505" i="7"/>
  <c r="Q494" i="7"/>
  <c r="BD43" i="6"/>
  <c r="BD40" i="6" s="1"/>
  <c r="O505" i="7"/>
  <c r="O494" i="7"/>
  <c r="AR43" i="6"/>
  <c r="M505" i="7"/>
  <c r="M494" i="7"/>
  <c r="AF43" i="6"/>
  <c r="AF40" i="6" s="1"/>
  <c r="K505" i="7"/>
  <c r="K494" i="7"/>
  <c r="T43" i="6"/>
  <c r="I505" i="7"/>
  <c r="I494" i="7"/>
  <c r="H43" i="6"/>
  <c r="H40" i="6" s="1"/>
  <c r="G505" i="7"/>
  <c r="AC88" i="21"/>
  <c r="F221" i="2"/>
  <c r="EJ32" i="6"/>
  <c r="EJ81" i="6" s="1"/>
  <c r="AA82" i="21"/>
  <c r="D215" i="2"/>
  <c r="AA626" i="7"/>
  <c r="AA637" i="7" s="1"/>
  <c r="G412" i="20"/>
  <c r="X412" i="20" s="1"/>
  <c r="AU216" i="2"/>
  <c r="DL74" i="6"/>
  <c r="DL24" i="6"/>
  <c r="CZ74" i="6"/>
  <c r="CZ24" i="6"/>
  <c r="CN74" i="6"/>
  <c r="CN24" i="6"/>
  <c r="CB74" i="6"/>
  <c r="CB24" i="6"/>
  <c r="BP74" i="6"/>
  <c r="BP24" i="6"/>
  <c r="BD74" i="6"/>
  <c r="BD24" i="6"/>
  <c r="AR74" i="6"/>
  <c r="AR24" i="6"/>
  <c r="AF74" i="6"/>
  <c r="AF24" i="6"/>
  <c r="T74" i="6"/>
  <c r="T24" i="6"/>
  <c r="ED72" i="6"/>
  <c r="EA23" i="6"/>
  <c r="DR72" i="6"/>
  <c r="DO23" i="6"/>
  <c r="DF72" i="6"/>
  <c r="DC23" i="6"/>
  <c r="W245" i="7"/>
  <c r="W122" i="21" s="1"/>
  <c r="CH72" i="6"/>
  <c r="CE23" i="6"/>
  <c r="S245" i="7"/>
  <c r="S122" i="21" s="1"/>
  <c r="BJ72" i="6"/>
  <c r="BG23" i="6"/>
  <c r="O245" i="7"/>
  <c r="O122" i="21" s="1"/>
  <c r="AL72" i="6"/>
  <c r="AI23" i="6"/>
  <c r="K245" i="7"/>
  <c r="K122" i="21" s="1"/>
  <c r="N72" i="6"/>
  <c r="K23" i="6"/>
  <c r="K72" i="6" s="1"/>
  <c r="AA162" i="7"/>
  <c r="AA586" i="7" s="1"/>
  <c r="G419" i="20"/>
  <c r="X419" i="20" s="1"/>
  <c r="AU222" i="2"/>
  <c r="Y166" i="7"/>
  <c r="Y162" i="7"/>
  <c r="U171" i="7"/>
  <c r="U166" i="7"/>
  <c r="U162" i="7"/>
  <c r="Q171" i="7"/>
  <c r="Q166" i="7"/>
  <c r="Q162" i="7"/>
  <c r="M171" i="7"/>
  <c r="M166" i="7"/>
  <c r="M162" i="7"/>
  <c r="DX68" i="6"/>
  <c r="DX18" i="6"/>
  <c r="DL68" i="6"/>
  <c r="CZ68" i="6"/>
  <c r="CN68" i="6"/>
  <c r="CN18" i="6"/>
  <c r="CB68" i="6"/>
  <c r="BP68" i="6"/>
  <c r="BP18" i="6"/>
  <c r="BD68" i="6"/>
  <c r="AR68" i="6"/>
  <c r="AR18" i="6"/>
  <c r="AF68" i="6"/>
  <c r="T68" i="6"/>
  <c r="T18" i="6"/>
  <c r="EJ10" i="6"/>
  <c r="EJ59" i="6" s="1"/>
  <c r="AD48" i="7"/>
  <c r="AE48" i="7" s="1"/>
  <c r="AF48" i="7" s="1"/>
  <c r="FB10" i="6" s="1"/>
  <c r="X448" i="7"/>
  <c r="T448" i="7"/>
  <c r="T437" i="7"/>
  <c r="P448" i="7"/>
  <c r="P437" i="7"/>
  <c r="L448" i="7"/>
  <c r="L437" i="7"/>
  <c r="H448" i="7"/>
  <c r="H437" i="7"/>
  <c r="W756" i="7"/>
  <c r="S756" i="7"/>
  <c r="O756" i="7"/>
  <c r="K756" i="7"/>
  <c r="ED66" i="6"/>
  <c r="EA17" i="6"/>
  <c r="DR66" i="6"/>
  <c r="DO17" i="6"/>
  <c r="DF66" i="6"/>
  <c r="DC17" i="6"/>
  <c r="CH66" i="6"/>
  <c r="CE17" i="6"/>
  <c r="BJ66" i="6"/>
  <c r="BG17" i="6"/>
  <c r="AL66" i="6"/>
  <c r="AI17" i="6"/>
  <c r="N66" i="6"/>
  <c r="K17" i="6"/>
  <c r="DX65" i="6"/>
  <c r="DU16" i="6"/>
  <c r="G635" i="7"/>
  <c r="Z654" i="7"/>
  <c r="Z668" i="7" s="1"/>
  <c r="AB421" i="7"/>
  <c r="AB428" i="7" s="1"/>
  <c r="BC428" i="7" s="1"/>
  <c r="AB120" i="7"/>
  <c r="BC120" i="7" s="1"/>
  <c r="ED57" i="6"/>
  <c r="ED12" i="6"/>
  <c r="Z421" i="7"/>
  <c r="Z428" i="7" s="1"/>
  <c r="Z120" i="7"/>
  <c r="DR57" i="6"/>
  <c r="DR12" i="6"/>
  <c r="X180" i="7"/>
  <c r="X129" i="7"/>
  <c r="X421" i="7"/>
  <c r="X428" i="7" s="1"/>
  <c r="X120" i="7"/>
  <c r="X87" i="7"/>
  <c r="DF57" i="6"/>
  <c r="DF12" i="6"/>
  <c r="V180" i="7"/>
  <c r="V129" i="7"/>
  <c r="V421" i="7"/>
  <c r="V428" i="7" s="1"/>
  <c r="V120" i="7"/>
  <c r="V113" i="7"/>
  <c r="V87" i="7"/>
  <c r="CT57" i="6"/>
  <c r="CT12" i="6"/>
  <c r="T180" i="7"/>
  <c r="T129" i="7"/>
  <c r="T421" i="7"/>
  <c r="T120" i="7"/>
  <c r="T113" i="7"/>
  <c r="T87" i="7"/>
  <c r="CH57" i="6"/>
  <c r="CH12" i="6"/>
  <c r="R180" i="7"/>
  <c r="R129" i="7"/>
  <c r="R421" i="7"/>
  <c r="R428" i="7" s="1"/>
  <c r="R120" i="7"/>
  <c r="R113" i="7"/>
  <c r="R87" i="7"/>
  <c r="BV57" i="6"/>
  <c r="BV12" i="6"/>
  <c r="P180" i="7"/>
  <c r="P129" i="7"/>
  <c r="P421" i="7"/>
  <c r="P120" i="7"/>
  <c r="P113" i="7"/>
  <c r="P87" i="7"/>
  <c r="BJ57" i="6"/>
  <c r="BJ12" i="6"/>
  <c r="N180" i="7"/>
  <c r="N129" i="7"/>
  <c r="N421" i="7"/>
  <c r="N120" i="7"/>
  <c r="N113" i="7"/>
  <c r="N87" i="7"/>
  <c r="AX57" i="6"/>
  <c r="AX12" i="6"/>
  <c r="L180" i="7"/>
  <c r="L129" i="7"/>
  <c r="L421" i="7"/>
  <c r="L426" i="7" s="1"/>
  <c r="L120" i="7"/>
  <c r="L113" i="7"/>
  <c r="L87" i="7"/>
  <c r="AL57" i="6"/>
  <c r="AL12" i="6"/>
  <c r="J180" i="7"/>
  <c r="J129" i="7"/>
  <c r="J421" i="7"/>
  <c r="J120" i="7"/>
  <c r="J113" i="7"/>
  <c r="J87" i="7"/>
  <c r="Z57" i="6"/>
  <c r="Z12" i="6"/>
  <c r="H180" i="7"/>
  <c r="H129" i="7"/>
  <c r="H421" i="7"/>
  <c r="H426" i="7" s="1"/>
  <c r="H120" i="7"/>
  <c r="H113" i="7"/>
  <c r="H87" i="7"/>
  <c r="N57" i="6"/>
  <c r="N12" i="6"/>
  <c r="G481" i="20"/>
  <c r="X481" i="20" s="1"/>
  <c r="F481" i="20"/>
  <c r="W481" i="20" s="1"/>
  <c r="G416" i="20"/>
  <c r="X416" i="20" s="1"/>
  <c r="AU245" i="2"/>
  <c r="AB732" i="7"/>
  <c r="BC732" i="7" s="1"/>
  <c r="Z732" i="7"/>
  <c r="X732" i="7"/>
  <c r="X75" i="21" s="1"/>
  <c r="V732" i="7"/>
  <c r="V75" i="21" s="1"/>
  <c r="T732" i="7"/>
  <c r="T75" i="21" s="1"/>
  <c r="R732" i="7"/>
  <c r="R75" i="21" s="1"/>
  <c r="P732" i="7"/>
  <c r="P75" i="21" s="1"/>
  <c r="N732" i="7"/>
  <c r="N75" i="21" s="1"/>
  <c r="L732" i="7"/>
  <c r="L75" i="21" s="1"/>
  <c r="J732" i="7"/>
  <c r="J75" i="21" s="1"/>
  <c r="H732" i="7"/>
  <c r="H75" i="21" s="1"/>
  <c r="W236" i="7"/>
  <c r="S236" i="7"/>
  <c r="T239" i="7"/>
  <c r="O236" i="7"/>
  <c r="P239" i="7"/>
  <c r="K236" i="7"/>
  <c r="L239" i="7"/>
  <c r="J239" i="7"/>
  <c r="F376" i="20"/>
  <c r="W376" i="20" s="1"/>
  <c r="G376" i="20"/>
  <c r="X376" i="20" s="1"/>
  <c r="AU201" i="2"/>
  <c r="DW57" i="6"/>
  <c r="DW12" i="6"/>
  <c r="DK57" i="6"/>
  <c r="DK12" i="6"/>
  <c r="W73" i="21"/>
  <c r="W179" i="7"/>
  <c r="W128" i="7"/>
  <c r="W119" i="7"/>
  <c r="W234" i="7" s="1"/>
  <c r="W82" i="7"/>
  <c r="CM57" i="6"/>
  <c r="CM12" i="6"/>
  <c r="S73" i="21"/>
  <c r="S179" i="7"/>
  <c r="S128" i="7"/>
  <c r="S119" i="7"/>
  <c r="S234" i="7" s="1"/>
  <c r="S82" i="7"/>
  <c r="BO57" i="6"/>
  <c r="BO12" i="6"/>
  <c r="O73" i="21"/>
  <c r="O179" i="7"/>
  <c r="O128" i="7"/>
  <c r="O119" i="7"/>
  <c r="O234" i="7" s="1"/>
  <c r="O82" i="7"/>
  <c r="AQ57" i="6"/>
  <c r="AQ12" i="6"/>
  <c r="K73" i="21"/>
  <c r="K179" i="7"/>
  <c r="K128" i="7"/>
  <c r="K119" i="7"/>
  <c r="K234" i="7" s="1"/>
  <c r="K82" i="7"/>
  <c r="S57" i="6"/>
  <c r="S12" i="6"/>
  <c r="G12" i="6"/>
  <c r="F200" i="20"/>
  <c r="W200" i="20" s="1"/>
  <c r="G200" i="20"/>
  <c r="X200" i="20" s="1"/>
  <c r="AU151" i="2"/>
  <c r="Y100" i="21"/>
  <c r="DM17" i="6"/>
  <c r="Y769" i="7"/>
  <c r="Y58" i="7"/>
  <c r="W100" i="21"/>
  <c r="DA17" i="6"/>
  <c r="W769" i="7"/>
  <c r="W66" i="7"/>
  <c r="W58" i="7"/>
  <c r="U100" i="21"/>
  <c r="CO17" i="6"/>
  <c r="U769" i="7"/>
  <c r="U66" i="7"/>
  <c r="U58" i="7"/>
  <c r="S100" i="21"/>
  <c r="CC17" i="6"/>
  <c r="S769" i="7"/>
  <c r="S66" i="7"/>
  <c r="S58" i="7"/>
  <c r="Q100" i="21"/>
  <c r="BQ17" i="6"/>
  <c r="Q769" i="7"/>
  <c r="Q66" i="7"/>
  <c r="Q58" i="7"/>
  <c r="O100" i="21"/>
  <c r="BE17" i="6"/>
  <c r="O769" i="7"/>
  <c r="O66" i="7"/>
  <c r="AB247" i="8"/>
  <c r="AB196" i="8"/>
  <c r="AB226" i="7" s="1"/>
  <c r="AB179" i="8"/>
  <c r="AB172" i="8"/>
  <c r="AB144" i="8"/>
  <c r="X247" i="8"/>
  <c r="X196" i="8"/>
  <c r="X179" i="8"/>
  <c r="X172" i="8"/>
  <c r="X144" i="8"/>
  <c r="V247" i="8"/>
  <c r="V196" i="8"/>
  <c r="V179" i="8"/>
  <c r="V172" i="8"/>
  <c r="V144" i="8"/>
  <c r="T247" i="8"/>
  <c r="T196" i="8"/>
  <c r="T179" i="8"/>
  <c r="T172" i="8"/>
  <c r="T144" i="8"/>
  <c r="R247" i="8"/>
  <c r="R196" i="8"/>
  <c r="R179" i="8"/>
  <c r="R172" i="8"/>
  <c r="R144" i="8"/>
  <c r="P247" i="8"/>
  <c r="P196" i="8"/>
  <c r="P179" i="8"/>
  <c r="P172" i="8"/>
  <c r="P144" i="8"/>
  <c r="N247" i="8"/>
  <c r="N196" i="8"/>
  <c r="N179" i="8"/>
  <c r="N172" i="8"/>
  <c r="N144" i="8"/>
  <c r="L247" i="8"/>
  <c r="L196" i="8"/>
  <c r="L179" i="8"/>
  <c r="L172" i="8"/>
  <c r="L144" i="8"/>
  <c r="J247" i="8"/>
  <c r="J196" i="8"/>
  <c r="J179" i="8"/>
  <c r="J172" i="8"/>
  <c r="J144" i="8"/>
  <c r="H247" i="8"/>
  <c r="H196" i="8"/>
  <c r="H179" i="8"/>
  <c r="H172" i="8"/>
  <c r="H144" i="8"/>
  <c r="AA42" i="8"/>
  <c r="AA10" i="8"/>
  <c r="E311" i="20"/>
  <c r="V311" i="20" s="1"/>
  <c r="F311" i="20"/>
  <c r="W311" i="20" s="1"/>
  <c r="AU178" i="2"/>
  <c r="Y42" i="8"/>
  <c r="Y10" i="8"/>
  <c r="U42" i="8"/>
  <c r="U10" i="8"/>
  <c r="Q42" i="8"/>
  <c r="Q10" i="8"/>
  <c r="M42" i="8"/>
  <c r="M10" i="8"/>
  <c r="I42" i="8"/>
  <c r="I10" i="8"/>
  <c r="AB99" i="8"/>
  <c r="AB104" i="8"/>
  <c r="Z99" i="8"/>
  <c r="Z104" i="8"/>
  <c r="X99" i="8"/>
  <c r="X104" i="8"/>
  <c r="V99" i="8"/>
  <c r="V104" i="8"/>
  <c r="T99" i="8"/>
  <c r="T104" i="8"/>
  <c r="R99" i="8"/>
  <c r="R104" i="8"/>
  <c r="P99" i="8"/>
  <c r="P104" i="8"/>
  <c r="N99" i="8"/>
  <c r="N104" i="8"/>
  <c r="L99" i="8"/>
  <c r="L104" i="8"/>
  <c r="J99" i="8"/>
  <c r="J104" i="8"/>
  <c r="H99" i="8"/>
  <c r="H104" i="8"/>
  <c r="AA81" i="8"/>
  <c r="AA101" i="8"/>
  <c r="Y81" i="8"/>
  <c r="Y101" i="8"/>
  <c r="U81" i="8"/>
  <c r="U101" i="8"/>
  <c r="Q81" i="8"/>
  <c r="Q101" i="8"/>
  <c r="M81" i="8"/>
  <c r="M101" i="8"/>
  <c r="I81" i="8"/>
  <c r="I101" i="8"/>
  <c r="AB60" i="8"/>
  <c r="AB49" i="8"/>
  <c r="Z60" i="8"/>
  <c r="Z49" i="8"/>
  <c r="X60" i="8"/>
  <c r="X49" i="8"/>
  <c r="T60" i="8"/>
  <c r="T49" i="8"/>
  <c r="P60" i="8"/>
  <c r="P49" i="8"/>
  <c r="L60" i="8"/>
  <c r="L49" i="8"/>
  <c r="H60" i="8"/>
  <c r="H49" i="8"/>
  <c r="AN52" i="24"/>
  <c r="AN39" i="24"/>
  <c r="AN24" i="24"/>
  <c r="AN23" i="24"/>
  <c r="AN53" i="24"/>
  <c r="AN44" i="24"/>
  <c r="AN30" i="24"/>
  <c r="AN25" i="24"/>
  <c r="AN22" i="24"/>
  <c r="AN21" i="24"/>
  <c r="AN17" i="24"/>
  <c r="D11" i="24"/>
  <c r="O112" i="20"/>
  <c r="AF112" i="20" s="1"/>
  <c r="BE123" i="2"/>
  <c r="M112" i="20"/>
  <c r="AD112" i="20" s="1"/>
  <c r="BC123" i="2"/>
  <c r="K112" i="20"/>
  <c r="AB112" i="20" s="1"/>
  <c r="BA123" i="2"/>
  <c r="I112" i="20"/>
  <c r="Z112" i="20" s="1"/>
  <c r="AY123" i="2"/>
  <c r="O110" i="20"/>
  <c r="AF110" i="20" s="1"/>
  <c r="BE121" i="2"/>
  <c r="M110" i="20"/>
  <c r="AD110" i="20" s="1"/>
  <c r="BC121" i="2"/>
  <c r="K110" i="20"/>
  <c r="AB110" i="20" s="1"/>
  <c r="BA121" i="2"/>
  <c r="I110" i="20"/>
  <c r="Z110" i="20" s="1"/>
  <c r="AY121" i="2"/>
  <c r="O105" i="20"/>
  <c r="AF105" i="20" s="1"/>
  <c r="BE117" i="2"/>
  <c r="M105" i="20"/>
  <c r="AD105" i="20" s="1"/>
  <c r="BC117" i="2"/>
  <c r="K105" i="20"/>
  <c r="AB105" i="20" s="1"/>
  <c r="BA117" i="2"/>
  <c r="I105" i="20"/>
  <c r="Z105" i="20" s="1"/>
  <c r="AY117" i="2"/>
  <c r="AA126" i="21"/>
  <c r="AA125" i="21"/>
  <c r="W33" i="21"/>
  <c r="CW47" i="6"/>
  <c r="W430" i="12"/>
  <c r="W267" i="12"/>
  <c r="W263" i="12"/>
  <c r="CL81" i="11"/>
  <c r="CL11" i="11"/>
  <c r="S33" i="21"/>
  <c r="BY47" i="6"/>
  <c r="S430" i="12"/>
  <c r="S267" i="12"/>
  <c r="S263" i="12"/>
  <c r="BR81" i="11"/>
  <c r="BR11" i="11"/>
  <c r="O33" i="21"/>
  <c r="BA47" i="6"/>
  <c r="O430" i="12"/>
  <c r="O267" i="12"/>
  <c r="O263" i="12"/>
  <c r="AX81" i="11"/>
  <c r="AX11" i="11"/>
  <c r="K33" i="21"/>
  <c r="AC47" i="6"/>
  <c r="K430" i="12"/>
  <c r="K267" i="12"/>
  <c r="K263" i="12"/>
  <c r="AD81" i="11"/>
  <c r="AD11" i="11"/>
  <c r="E47" i="6"/>
  <c r="G430" i="12"/>
  <c r="G267" i="12"/>
  <c r="G269" i="12" s="1"/>
  <c r="J81" i="11"/>
  <c r="J11" i="11"/>
  <c r="CY119" i="11"/>
  <c r="Z179" i="12" s="1"/>
  <c r="CW119" i="11"/>
  <c r="CE119" i="11"/>
  <c r="V179" i="12" s="1"/>
  <c r="V44" i="21" s="1"/>
  <c r="CC119" i="11"/>
  <c r="BK119" i="11"/>
  <c r="R179" i="12" s="1"/>
  <c r="R44" i="21" s="1"/>
  <c r="BI119" i="11"/>
  <c r="AQ119" i="11"/>
  <c r="N179" i="12" s="1"/>
  <c r="N44" i="21" s="1"/>
  <c r="AO119" i="11"/>
  <c r="W119" i="11"/>
  <c r="J179" i="12" s="1"/>
  <c r="J44" i="21" s="1"/>
  <c r="U119" i="11"/>
  <c r="BZ221" i="17"/>
  <c r="BZ234" i="17" s="1"/>
  <c r="BX220" i="17"/>
  <c r="BY220" i="17" s="1"/>
  <c r="BZ220" i="17" s="1"/>
  <c r="CA220" i="17" s="1"/>
  <c r="CJ66" i="17"/>
  <c r="CK66" i="17" s="1"/>
  <c r="CL66" i="17" s="1"/>
  <c r="CM66" i="17" s="1"/>
  <c r="CL67" i="17"/>
  <c r="CH67" i="17"/>
  <c r="CG68" i="17" s="1"/>
  <c r="CF66" i="17"/>
  <c r="CG66" i="17" s="1"/>
  <c r="CH82" i="17" s="1"/>
  <c r="CB66" i="17"/>
  <c r="CC82" i="17" s="1"/>
  <c r="CD67" i="17"/>
  <c r="CD83" i="17" s="1"/>
  <c r="BX166" i="17"/>
  <c r="BY166" i="17" s="1"/>
  <c r="BZ166" i="17" s="1"/>
  <c r="CA166" i="17" s="1"/>
  <c r="BX163" i="17"/>
  <c r="BY163" i="17" s="1"/>
  <c r="BZ163" i="17" s="1"/>
  <c r="CA163" i="17" s="1"/>
  <c r="CM21" i="22"/>
  <c r="CP270" i="17"/>
  <c r="CK21" i="22"/>
  <c r="CL270" i="17"/>
  <c r="CH270" i="17"/>
  <c r="CD270" i="17"/>
  <c r="BZ270" i="17"/>
  <c r="BV270" i="17"/>
  <c r="BR270" i="17"/>
  <c r="BN270" i="17"/>
  <c r="BJ270" i="17"/>
  <c r="BF270" i="17"/>
  <c r="BB270" i="17"/>
  <c r="AX270" i="17"/>
  <c r="AT270" i="17"/>
  <c r="AP270" i="17"/>
  <c r="AL270" i="17"/>
  <c r="AH270" i="17"/>
  <c r="AD270" i="17"/>
  <c r="Z270" i="17"/>
  <c r="V270" i="17"/>
  <c r="R270" i="17"/>
  <c r="N270" i="17"/>
  <c r="CM19" i="22"/>
  <c r="CM15" i="22"/>
  <c r="CM20" i="22"/>
  <c r="G123" i="2"/>
  <c r="CP248" i="17"/>
  <c r="CL248" i="17"/>
  <c r="CH248" i="17"/>
  <c r="CD248" i="17"/>
  <c r="BZ248" i="17"/>
  <c r="BX246" i="17"/>
  <c r="BW227" i="17"/>
  <c r="BV226" i="17"/>
  <c r="BV256" i="17"/>
  <c r="BV257" i="17" s="1"/>
  <c r="BV240" i="17"/>
  <c r="BV14" i="17" s="1"/>
  <c r="BS20" i="22" s="1"/>
  <c r="BT226" i="17"/>
  <c r="BT256" i="17"/>
  <c r="BT257" i="17" s="1"/>
  <c r="BT240" i="17"/>
  <c r="BT14" i="17" s="1"/>
  <c r="BQ20" i="22" s="1"/>
  <c r="BR226" i="17"/>
  <c r="BR256" i="17"/>
  <c r="BR257" i="17" s="1"/>
  <c r="BR240" i="17"/>
  <c r="BR14" i="17" s="1"/>
  <c r="BO20" i="22" s="1"/>
  <c r="BP226" i="17"/>
  <c r="BP256" i="17"/>
  <c r="BP257" i="17" s="1"/>
  <c r="BP240" i="17"/>
  <c r="BP14" i="17" s="1"/>
  <c r="BM20" i="22" s="1"/>
  <c r="BN226" i="17"/>
  <c r="BN256" i="17"/>
  <c r="BN257" i="17" s="1"/>
  <c r="BN240" i="17"/>
  <c r="BN14" i="17" s="1"/>
  <c r="BK20" i="22" s="1"/>
  <c r="BL226" i="17"/>
  <c r="BL256" i="17"/>
  <c r="BL257" i="17" s="1"/>
  <c r="BL240" i="17"/>
  <c r="BL14" i="17" s="1"/>
  <c r="BI20" i="22" s="1"/>
  <c r="BJ226" i="17"/>
  <c r="BJ256" i="17"/>
  <c r="BJ257" i="17" s="1"/>
  <c r="BJ240" i="17"/>
  <c r="BJ14" i="17" s="1"/>
  <c r="BG20" i="22" s="1"/>
  <c r="BH226" i="17"/>
  <c r="BH256" i="17"/>
  <c r="BH257" i="17" s="1"/>
  <c r="BH240" i="17"/>
  <c r="BH14" i="17" s="1"/>
  <c r="BE20" i="22" s="1"/>
  <c r="BF226" i="17"/>
  <c r="BF256" i="17"/>
  <c r="BF257" i="17" s="1"/>
  <c r="BF240" i="17"/>
  <c r="BF14" i="17" s="1"/>
  <c r="BC20" i="22" s="1"/>
  <c r="BD226" i="17"/>
  <c r="BD256" i="17"/>
  <c r="BD257" i="17" s="1"/>
  <c r="BD240" i="17"/>
  <c r="BD14" i="17" s="1"/>
  <c r="BA20" i="22" s="1"/>
  <c r="BB226" i="17"/>
  <c r="BB256" i="17"/>
  <c r="BB257" i="17" s="1"/>
  <c r="BB240" i="17"/>
  <c r="BB14" i="17" s="1"/>
  <c r="AY20" i="22" s="1"/>
  <c r="AZ226" i="17"/>
  <c r="AZ256" i="17"/>
  <c r="AZ257" i="17" s="1"/>
  <c r="AZ240" i="17"/>
  <c r="AZ14" i="17" s="1"/>
  <c r="AW20" i="22" s="1"/>
  <c r="AX226" i="17"/>
  <c r="AX256" i="17"/>
  <c r="AX257" i="17" s="1"/>
  <c r="AX240" i="17"/>
  <c r="AX14" i="17" s="1"/>
  <c r="AU20" i="22" s="1"/>
  <c r="AV226" i="17"/>
  <c r="AV256" i="17"/>
  <c r="AV257" i="17" s="1"/>
  <c r="AV240" i="17"/>
  <c r="AV14" i="17" s="1"/>
  <c r="AS20" i="22" s="1"/>
  <c r="AT226" i="17"/>
  <c r="AT256" i="17"/>
  <c r="AT257" i="17" s="1"/>
  <c r="AT240" i="17"/>
  <c r="AT14" i="17" s="1"/>
  <c r="AQ20" i="22" s="1"/>
  <c r="AR226" i="17"/>
  <c r="AR256" i="17"/>
  <c r="AR257" i="17" s="1"/>
  <c r="AR240" i="17"/>
  <c r="AR14" i="17" s="1"/>
  <c r="AO20" i="22" s="1"/>
  <c r="AP226" i="17"/>
  <c r="AP256" i="17"/>
  <c r="AP257" i="17" s="1"/>
  <c r="AP240" i="17"/>
  <c r="AP14" i="17" s="1"/>
  <c r="AM20" i="22" s="1"/>
  <c r="AN226" i="17"/>
  <c r="AN256" i="17"/>
  <c r="AN257" i="17" s="1"/>
  <c r="AN240" i="17"/>
  <c r="AN14" i="17" s="1"/>
  <c r="AK20" i="22" s="1"/>
  <c r="AL226" i="17"/>
  <c r="AL256" i="17"/>
  <c r="AL257" i="17" s="1"/>
  <c r="AL240" i="17"/>
  <c r="AL14" i="17" s="1"/>
  <c r="AI20" i="22" s="1"/>
  <c r="AJ226" i="17"/>
  <c r="AJ256" i="17"/>
  <c r="AJ257" i="17" s="1"/>
  <c r="AJ240" i="17"/>
  <c r="AJ14" i="17" s="1"/>
  <c r="AG20" i="22" s="1"/>
  <c r="AH226" i="17"/>
  <c r="AH256" i="17"/>
  <c r="AH257" i="17" s="1"/>
  <c r="AH240" i="17"/>
  <c r="AH14" i="17" s="1"/>
  <c r="AE20" i="22" s="1"/>
  <c r="AF226" i="17"/>
  <c r="AF256" i="17"/>
  <c r="AF257" i="17" s="1"/>
  <c r="AF240" i="17"/>
  <c r="AF14" i="17" s="1"/>
  <c r="AC20" i="22" s="1"/>
  <c r="AD226" i="17"/>
  <c r="AD256" i="17"/>
  <c r="AD257" i="17" s="1"/>
  <c r="AD240" i="17"/>
  <c r="AD14" i="17" s="1"/>
  <c r="AA20" i="22" s="1"/>
  <c r="AB226" i="17"/>
  <c r="AB256" i="17"/>
  <c r="AB257" i="17" s="1"/>
  <c r="AB240" i="17"/>
  <c r="AB14" i="17" s="1"/>
  <c r="Y20" i="22" s="1"/>
  <c r="Z226" i="17"/>
  <c r="Z256" i="17"/>
  <c r="Z257" i="17" s="1"/>
  <c r="Z240" i="17"/>
  <c r="Z14" i="17" s="1"/>
  <c r="W20" i="22" s="1"/>
  <c r="X226" i="17"/>
  <c r="X256" i="17"/>
  <c r="X257" i="17" s="1"/>
  <c r="X240" i="17"/>
  <c r="X14" i="17" s="1"/>
  <c r="U20" i="22" s="1"/>
  <c r="V226" i="17"/>
  <c r="V256" i="17"/>
  <c r="V257" i="17" s="1"/>
  <c r="V240" i="17"/>
  <c r="V14" i="17" s="1"/>
  <c r="S20" i="22" s="1"/>
  <c r="T226" i="17"/>
  <c r="T256" i="17"/>
  <c r="T257" i="17" s="1"/>
  <c r="T240" i="17"/>
  <c r="T14" i="17" s="1"/>
  <c r="Q20" i="22" s="1"/>
  <c r="R226" i="17"/>
  <c r="R256" i="17"/>
  <c r="R257" i="17" s="1"/>
  <c r="R240" i="17"/>
  <c r="R14" i="17" s="1"/>
  <c r="O20" i="22" s="1"/>
  <c r="P226" i="17"/>
  <c r="P256" i="17"/>
  <c r="P257" i="17" s="1"/>
  <c r="P240" i="17"/>
  <c r="P14" i="17" s="1"/>
  <c r="M20" i="22" s="1"/>
  <c r="N226" i="17"/>
  <c r="N256" i="17"/>
  <c r="N257" i="17" s="1"/>
  <c r="N240" i="17"/>
  <c r="N14" i="17" s="1"/>
  <c r="K20" i="22" s="1"/>
  <c r="L226" i="17"/>
  <c r="L256" i="17"/>
  <c r="L257" i="17" s="1"/>
  <c r="L240" i="17"/>
  <c r="L14" i="17" s="1"/>
  <c r="I20" i="22" s="1"/>
  <c r="J226" i="17"/>
  <c r="J256" i="17"/>
  <c r="J257" i="17" s="1"/>
  <c r="J240" i="17"/>
  <c r="J14" i="17" s="1"/>
  <c r="H226" i="17"/>
  <c r="H256" i="17"/>
  <c r="H257" i="17" s="1"/>
  <c r="H240" i="17"/>
  <c r="H14" i="17" s="1"/>
  <c r="CM18" i="22"/>
  <c r="G121" i="2"/>
  <c r="CP191" i="17"/>
  <c r="CL191" i="17"/>
  <c r="CD191" i="17"/>
  <c r="BV183" i="17"/>
  <c r="BV12" i="17" s="1"/>
  <c r="BS18" i="22" s="1"/>
  <c r="BV169" i="17"/>
  <c r="BT183" i="17"/>
  <c r="BT12" i="17" s="1"/>
  <c r="BQ18" i="22" s="1"/>
  <c r="BT169" i="17"/>
  <c r="BR183" i="17"/>
  <c r="BR12" i="17" s="1"/>
  <c r="BO18" i="22" s="1"/>
  <c r="BR169" i="17"/>
  <c r="BP183" i="17"/>
  <c r="BP12" i="17" s="1"/>
  <c r="BM18" i="22" s="1"/>
  <c r="BP169" i="17"/>
  <c r="BN183" i="17"/>
  <c r="BN12" i="17" s="1"/>
  <c r="BK18" i="22" s="1"/>
  <c r="BN169" i="17"/>
  <c r="BL183" i="17"/>
  <c r="BL12" i="17" s="1"/>
  <c r="BI18" i="22" s="1"/>
  <c r="BL169" i="17"/>
  <c r="BJ183" i="17"/>
  <c r="BJ12" i="17" s="1"/>
  <c r="BG18" i="22" s="1"/>
  <c r="BJ169" i="17"/>
  <c r="BH183" i="17"/>
  <c r="BH12" i="17" s="1"/>
  <c r="BE18" i="22" s="1"/>
  <c r="BH169" i="17"/>
  <c r="BF183" i="17"/>
  <c r="BF12" i="17" s="1"/>
  <c r="BC18" i="22" s="1"/>
  <c r="BF169" i="17"/>
  <c r="BD183" i="17"/>
  <c r="BD12" i="17" s="1"/>
  <c r="BA18" i="22" s="1"/>
  <c r="BD169" i="17"/>
  <c r="BB183" i="17"/>
  <c r="BB12" i="17" s="1"/>
  <c r="AY18" i="22" s="1"/>
  <c r="BB169" i="17"/>
  <c r="AZ183" i="17"/>
  <c r="AZ12" i="17" s="1"/>
  <c r="AW18" i="22" s="1"/>
  <c r="AZ169" i="17"/>
  <c r="AX183" i="17"/>
  <c r="AX12" i="17" s="1"/>
  <c r="AU18" i="22" s="1"/>
  <c r="AX169" i="17"/>
  <c r="AV183" i="17"/>
  <c r="AV12" i="17" s="1"/>
  <c r="AS18" i="22" s="1"/>
  <c r="AV169" i="17"/>
  <c r="AT183" i="17"/>
  <c r="AT12" i="17" s="1"/>
  <c r="AQ18" i="22" s="1"/>
  <c r="AT169" i="17"/>
  <c r="AR183" i="17"/>
  <c r="AR12" i="17" s="1"/>
  <c r="AO18" i="22" s="1"/>
  <c r="AR169" i="17"/>
  <c r="AP183" i="17"/>
  <c r="AP12" i="17" s="1"/>
  <c r="AM18" i="22" s="1"/>
  <c r="AP169" i="17"/>
  <c r="AN183" i="17"/>
  <c r="AN12" i="17" s="1"/>
  <c r="AK18" i="22" s="1"/>
  <c r="AN169" i="17"/>
  <c r="AL183" i="17"/>
  <c r="AL12" i="17" s="1"/>
  <c r="AI18" i="22" s="1"/>
  <c r="AL169" i="17"/>
  <c r="AJ183" i="17"/>
  <c r="AJ12" i="17" s="1"/>
  <c r="AG18" i="22" s="1"/>
  <c r="AJ169" i="17"/>
  <c r="AH183" i="17"/>
  <c r="AH12" i="17" s="1"/>
  <c r="AE18" i="22" s="1"/>
  <c r="AH169" i="17"/>
  <c r="AF183" i="17"/>
  <c r="AF12" i="17" s="1"/>
  <c r="AC18" i="22" s="1"/>
  <c r="AF169" i="17"/>
  <c r="AD183" i="17"/>
  <c r="AD12" i="17" s="1"/>
  <c r="AA18" i="22" s="1"/>
  <c r="AD169" i="17"/>
  <c r="AB183" i="17"/>
  <c r="AB12" i="17" s="1"/>
  <c r="Y18" i="22" s="1"/>
  <c r="AB169" i="17"/>
  <c r="Z183" i="17"/>
  <c r="Z12" i="17" s="1"/>
  <c r="W18" i="22" s="1"/>
  <c r="Z169" i="17"/>
  <c r="X183" i="17"/>
  <c r="X12" i="17" s="1"/>
  <c r="U18" i="22" s="1"/>
  <c r="X169" i="17"/>
  <c r="V183" i="17"/>
  <c r="V12" i="17" s="1"/>
  <c r="S18" i="22" s="1"/>
  <c r="V169" i="17"/>
  <c r="T183" i="17"/>
  <c r="T12" i="17" s="1"/>
  <c r="Q18" i="22" s="1"/>
  <c r="T169" i="17"/>
  <c r="R183" i="17"/>
  <c r="R12" i="17" s="1"/>
  <c r="O18" i="22" s="1"/>
  <c r="R169" i="17"/>
  <c r="P183" i="17"/>
  <c r="P12" i="17" s="1"/>
  <c r="M18" i="22" s="1"/>
  <c r="P169" i="17"/>
  <c r="N183" i="17"/>
  <c r="N12" i="17" s="1"/>
  <c r="K18" i="22" s="1"/>
  <c r="N169" i="17"/>
  <c r="L183" i="17"/>
  <c r="L12" i="17" s="1"/>
  <c r="I18" i="22" s="1"/>
  <c r="L169" i="17"/>
  <c r="J183" i="17"/>
  <c r="J12" i="17" s="1"/>
  <c r="J169" i="17"/>
  <c r="H183" i="17"/>
  <c r="H12" i="17" s="1"/>
  <c r="H169" i="17"/>
  <c r="H182" i="17" s="1"/>
  <c r="CM16" i="22"/>
  <c r="CK16" i="22"/>
  <c r="CK14" i="22"/>
  <c r="E117" i="2"/>
  <c r="CH92" i="17"/>
  <c r="CH87" i="17"/>
  <c r="CE70" i="17"/>
  <c r="CD69" i="17"/>
  <c r="CD103" i="17"/>
  <c r="CD104" i="17" s="1"/>
  <c r="CD86" i="17"/>
  <c r="CD8" i="17" s="1"/>
  <c r="CA14" i="22" s="1"/>
  <c r="BZ92" i="17"/>
  <c r="BZ87" i="17"/>
  <c r="BX94" i="17"/>
  <c r="BX92" i="17"/>
  <c r="BX87" i="17"/>
  <c r="BV92" i="17"/>
  <c r="BV87" i="17"/>
  <c r="BT92" i="17"/>
  <c r="BT87" i="17"/>
  <c r="BT94" i="17"/>
  <c r="BR92" i="17"/>
  <c r="BR87" i="17"/>
  <c r="BP94" i="17"/>
  <c r="BP92" i="17"/>
  <c r="BP87" i="17"/>
  <c r="BN92" i="17"/>
  <c r="BN87" i="17"/>
  <c r="BL92" i="17"/>
  <c r="BL87" i="17"/>
  <c r="BL94" i="17"/>
  <c r="BJ92" i="17"/>
  <c r="BJ87" i="17"/>
  <c r="BH94" i="17"/>
  <c r="BH92" i="17"/>
  <c r="BH87" i="17"/>
  <c r="BF92" i="17"/>
  <c r="BF87" i="17"/>
  <c r="BD92" i="17"/>
  <c r="BD87" i="17"/>
  <c r="BD94" i="17"/>
  <c r="BB92" i="17"/>
  <c r="BB87" i="17"/>
  <c r="AZ94" i="17"/>
  <c r="AZ92" i="17"/>
  <c r="AZ87" i="17"/>
  <c r="AX92" i="17"/>
  <c r="AX87" i="17"/>
  <c r="AV92" i="17"/>
  <c r="AV87" i="17"/>
  <c r="AV94" i="17"/>
  <c r="AT92" i="17"/>
  <c r="AT87" i="17"/>
  <c r="AR94" i="17"/>
  <c r="AR92" i="17"/>
  <c r="AR87" i="17"/>
  <c r="AP92" i="17"/>
  <c r="AP87" i="17"/>
  <c r="AN92" i="17"/>
  <c r="AN87" i="17"/>
  <c r="AN94" i="17"/>
  <c r="AL92" i="17"/>
  <c r="AL87" i="17"/>
  <c r="AJ94" i="17"/>
  <c r="AJ92" i="17"/>
  <c r="AJ87" i="17"/>
  <c r="AH92" i="17"/>
  <c r="AH87" i="17"/>
  <c r="AF92" i="17"/>
  <c r="AF87" i="17"/>
  <c r="AF94" i="17"/>
  <c r="AD92" i="17"/>
  <c r="AD87" i="17"/>
  <c r="AB94" i="17"/>
  <c r="AB92" i="17"/>
  <c r="AB87" i="17"/>
  <c r="Z92" i="17"/>
  <c r="Z87" i="17"/>
  <c r="X92" i="17"/>
  <c r="X87" i="17"/>
  <c r="X94" i="17"/>
  <c r="V92" i="17"/>
  <c r="V87" i="17"/>
  <c r="T94" i="17"/>
  <c r="T92" i="17"/>
  <c r="T87" i="17"/>
  <c r="R92" i="17"/>
  <c r="R87" i="17"/>
  <c r="P92" i="17"/>
  <c r="P87" i="17"/>
  <c r="P94" i="17"/>
  <c r="N92" i="17"/>
  <c r="N87" i="17"/>
  <c r="L94" i="17"/>
  <c r="L92" i="17"/>
  <c r="L87" i="17"/>
  <c r="J87" i="17"/>
  <c r="H87" i="17"/>
  <c r="AC57" i="21"/>
  <c r="AD89" i="8"/>
  <c r="Y41" i="8"/>
  <c r="W41" i="8"/>
  <c r="U41" i="8"/>
  <c r="S41" i="8"/>
  <c r="Q41" i="8"/>
  <c r="O41" i="8"/>
  <c r="M41" i="8"/>
  <c r="K41" i="8"/>
  <c r="I41" i="8"/>
  <c r="G41" i="8"/>
  <c r="DV94" i="6"/>
  <c r="DU45" i="6"/>
  <c r="CX94" i="6"/>
  <c r="CW45" i="6"/>
  <c r="BZ94" i="6"/>
  <c r="BY45" i="6"/>
  <c r="BB94" i="6"/>
  <c r="BA45" i="6"/>
  <c r="AD94" i="6"/>
  <c r="AC45" i="6"/>
  <c r="EE35" i="6"/>
  <c r="AB782" i="7"/>
  <c r="DS35" i="6"/>
  <c r="Z782" i="7"/>
  <c r="DG35" i="6"/>
  <c r="X782" i="7"/>
  <c r="X409" i="7"/>
  <c r="CR84" i="6"/>
  <c r="CQ35" i="6"/>
  <c r="CI35" i="6"/>
  <c r="T782" i="7"/>
  <c r="T409" i="7"/>
  <c r="T403" i="7"/>
  <c r="BT84" i="6"/>
  <c r="BS35" i="6"/>
  <c r="BK35" i="6"/>
  <c r="P782" i="7"/>
  <c r="P409" i="7"/>
  <c r="P403" i="7"/>
  <c r="AV84" i="6"/>
  <c r="AU35" i="6"/>
  <c r="AM35" i="6"/>
  <c r="L782" i="7"/>
  <c r="L409" i="7"/>
  <c r="L403" i="7"/>
  <c r="X84" i="6"/>
  <c r="W35" i="6"/>
  <c r="O35" i="6"/>
  <c r="H782" i="7"/>
  <c r="H409" i="7"/>
  <c r="H403" i="7"/>
  <c r="DJ82" i="6"/>
  <c r="DI33" i="6"/>
  <c r="CL82" i="6"/>
  <c r="CK33" i="6"/>
  <c r="BN82" i="6"/>
  <c r="BM33" i="6"/>
  <c r="AP82" i="6"/>
  <c r="AO33" i="6"/>
  <c r="R82" i="6"/>
  <c r="Q33" i="6"/>
  <c r="E33" i="6"/>
  <c r="DV81" i="6"/>
  <c r="CX81" i="6"/>
  <c r="BZ81" i="6"/>
  <c r="BB81" i="6"/>
  <c r="AD81" i="6"/>
  <c r="EB80" i="6"/>
  <c r="EA31" i="6"/>
  <c r="Z715" i="7"/>
  <c r="DD80" i="6"/>
  <c r="DC31" i="6"/>
  <c r="V715" i="7"/>
  <c r="V64" i="21" s="1"/>
  <c r="CF80" i="6"/>
  <c r="CE31" i="6"/>
  <c r="R715" i="7"/>
  <c r="R64" i="21" s="1"/>
  <c r="BH80" i="6"/>
  <c r="BG31" i="6"/>
  <c r="N715" i="7"/>
  <c r="N64" i="21" s="1"/>
  <c r="AJ80" i="6"/>
  <c r="AI31" i="6"/>
  <c r="J715" i="7"/>
  <c r="J64" i="21" s="1"/>
  <c r="L80" i="6"/>
  <c r="K31" i="6"/>
  <c r="DJ76" i="6"/>
  <c r="DI27" i="6"/>
  <c r="CL76" i="6"/>
  <c r="CK27" i="6"/>
  <c r="BN76" i="6"/>
  <c r="BM27" i="6"/>
  <c r="EH24" i="6"/>
  <c r="AD254" i="7"/>
  <c r="AE254" i="7" s="1"/>
  <c r="AF254" i="7" s="1"/>
  <c r="EZ24" i="6" s="1"/>
  <c r="AB709" i="7"/>
  <c r="BC709" i="7" s="1"/>
  <c r="Z709" i="7"/>
  <c r="X709" i="7"/>
  <c r="X62" i="21" s="1"/>
  <c r="V709" i="7"/>
  <c r="V62" i="21" s="1"/>
  <c r="T709" i="7"/>
  <c r="T62" i="21" s="1"/>
  <c r="R709" i="7"/>
  <c r="R62" i="21" s="1"/>
  <c r="P709" i="7"/>
  <c r="P62" i="21" s="1"/>
  <c r="N709" i="7"/>
  <c r="N62" i="21" s="1"/>
  <c r="L709" i="7"/>
  <c r="L62" i="21" s="1"/>
  <c r="J709" i="7"/>
  <c r="J62" i="21" s="1"/>
  <c r="H709" i="7"/>
  <c r="H62" i="21" s="1"/>
  <c r="G409" i="20"/>
  <c r="X409" i="20" s="1"/>
  <c r="G342" i="20"/>
  <c r="X342" i="20" s="1"/>
  <c r="F342" i="20"/>
  <c r="W342" i="20" s="1"/>
  <c r="AU192" i="2"/>
  <c r="Y228" i="7"/>
  <c r="DJ79" i="6"/>
  <c r="DI30" i="6"/>
  <c r="W228" i="7"/>
  <c r="CX79" i="6"/>
  <c r="CW30" i="6"/>
  <c r="U228" i="7"/>
  <c r="CL79" i="6"/>
  <c r="CK30" i="6"/>
  <c r="S228" i="7"/>
  <c r="BZ79" i="6"/>
  <c r="BY30" i="6"/>
  <c r="Q228" i="7"/>
  <c r="BN79" i="6"/>
  <c r="BM30" i="6"/>
  <c r="O228" i="7"/>
  <c r="BB79" i="6"/>
  <c r="BA30" i="6"/>
  <c r="M228" i="7"/>
  <c r="AP79" i="6"/>
  <c r="AO30" i="6"/>
  <c r="K228" i="7"/>
  <c r="AD79" i="6"/>
  <c r="AC30" i="6"/>
  <c r="I228" i="7"/>
  <c r="R79" i="6"/>
  <c r="Q30" i="6"/>
  <c r="J231" i="7"/>
  <c r="EH11" i="6"/>
  <c r="AD208" i="8"/>
  <c r="AE208" i="8" s="1"/>
  <c r="AF208" i="8" s="1"/>
  <c r="EZ11" i="6" s="1"/>
  <c r="DP60" i="6"/>
  <c r="DO11" i="6"/>
  <c r="CR60" i="6"/>
  <c r="CQ11" i="6"/>
  <c r="BT60" i="6"/>
  <c r="BS11" i="6"/>
  <c r="AV60" i="6"/>
  <c r="AU11" i="6"/>
  <c r="X60" i="6"/>
  <c r="W11" i="6"/>
  <c r="DV63" i="6"/>
  <c r="BC258" i="7"/>
  <c r="AB166" i="8"/>
  <c r="AB181" i="8"/>
  <c r="AB174" i="8"/>
  <c r="Z198" i="8"/>
  <c r="Z166" i="8"/>
  <c r="Z181" i="8"/>
  <c r="Z174" i="8"/>
  <c r="X198" i="8"/>
  <c r="X166" i="8"/>
  <c r="X181" i="8"/>
  <c r="X174" i="8"/>
  <c r="CR62" i="6"/>
  <c r="CR15" i="6"/>
  <c r="CQ13" i="6"/>
  <c r="T198" i="8"/>
  <c r="T258" i="7"/>
  <c r="T166" i="8"/>
  <c r="T181" i="8"/>
  <c r="T174" i="8"/>
  <c r="BT62" i="6"/>
  <c r="BT15" i="6"/>
  <c r="BS13" i="6"/>
  <c r="P198" i="8"/>
  <c r="P258" i="7"/>
  <c r="P166" i="8"/>
  <c r="P181" i="8"/>
  <c r="P174" i="8"/>
  <c r="AV62" i="6"/>
  <c r="AV15" i="6"/>
  <c r="AU13" i="6"/>
  <c r="L198" i="8"/>
  <c r="L258" i="7"/>
  <c r="L166" i="8"/>
  <c r="L181" i="8"/>
  <c r="L174" i="8"/>
  <c r="X62" i="6"/>
  <c r="X15" i="6"/>
  <c r="W13" i="6"/>
  <c r="H198" i="8"/>
  <c r="H258" i="7"/>
  <c r="H166" i="8"/>
  <c r="H181" i="8"/>
  <c r="H174" i="8"/>
  <c r="DJ59" i="6"/>
  <c r="DI10" i="6"/>
  <c r="CL59" i="6"/>
  <c r="CK10" i="6"/>
  <c r="BN59" i="6"/>
  <c r="BM10" i="6"/>
  <c r="AP59" i="6"/>
  <c r="AO10" i="6"/>
  <c r="R59" i="6"/>
  <c r="Q10" i="6"/>
  <c r="E10" i="6"/>
  <c r="AA60" i="21"/>
  <c r="D189" i="2"/>
  <c r="AA118" i="7"/>
  <c r="AA115" i="7"/>
  <c r="DJ57" i="6"/>
  <c r="DJ12" i="6"/>
  <c r="W60" i="21"/>
  <c r="W118" i="7"/>
  <c r="W77" i="7"/>
  <c r="W178" i="7"/>
  <c r="W127" i="7"/>
  <c r="W115" i="7"/>
  <c r="CL57" i="6"/>
  <c r="CL12" i="6"/>
  <c r="S60" i="21"/>
  <c r="S118" i="7"/>
  <c r="S77" i="7"/>
  <c r="S178" i="7"/>
  <c r="S127" i="7"/>
  <c r="S115" i="7"/>
  <c r="BN57" i="6"/>
  <c r="BN12" i="6"/>
  <c r="O60" i="21"/>
  <c r="O118" i="7"/>
  <c r="O77" i="7"/>
  <c r="O178" i="7"/>
  <c r="O127" i="7"/>
  <c r="O115" i="7"/>
  <c r="AP57" i="6"/>
  <c r="AP12" i="6"/>
  <c r="K60" i="21"/>
  <c r="K118" i="7"/>
  <c r="K77" i="7"/>
  <c r="K178" i="7"/>
  <c r="K127" i="7"/>
  <c r="K115" i="7"/>
  <c r="R57" i="6"/>
  <c r="R12" i="6"/>
  <c r="F12" i="6"/>
  <c r="G435" i="20"/>
  <c r="X435" i="20" s="1"/>
  <c r="E45" i="20"/>
  <c r="V45" i="20" s="1"/>
  <c r="AU228" i="2"/>
  <c r="U613" i="7"/>
  <c r="Q613" i="7"/>
  <c r="M613" i="7"/>
  <c r="I613" i="7"/>
  <c r="DX91" i="6"/>
  <c r="DL91" i="6"/>
  <c r="CN91" i="6"/>
  <c r="BP91" i="6"/>
  <c r="AR91" i="6"/>
  <c r="T91" i="6"/>
  <c r="AB762" i="7"/>
  <c r="Z762" i="7"/>
  <c r="X762" i="7"/>
  <c r="V762" i="7"/>
  <c r="T762" i="7"/>
  <c r="R762" i="7"/>
  <c r="P762" i="7"/>
  <c r="N762" i="7"/>
  <c r="L762" i="7"/>
  <c r="J762" i="7"/>
  <c r="H762" i="7"/>
  <c r="CZ90" i="6"/>
  <c r="CB90" i="6"/>
  <c r="BD90" i="6"/>
  <c r="AF90" i="6"/>
  <c r="ED43" i="6"/>
  <c r="BC505" i="7"/>
  <c r="AB494" i="7"/>
  <c r="BC494" i="7" s="1"/>
  <c r="BC508" i="7"/>
  <c r="AB497" i="7"/>
  <c r="BC497" i="7" s="1"/>
  <c r="AB651" i="7"/>
  <c r="BC651" i="7" s="1"/>
  <c r="DF43" i="6"/>
  <c r="X505" i="7"/>
  <c r="X494" i="7"/>
  <c r="X508" i="7"/>
  <c r="X497" i="7"/>
  <c r="X651" i="7"/>
  <c r="X641" i="7"/>
  <c r="CT43" i="6"/>
  <c r="V505" i="7"/>
  <c r="V494" i="7"/>
  <c r="V508" i="7"/>
  <c r="V497" i="7"/>
  <c r="CH43" i="6"/>
  <c r="T505" i="7"/>
  <c r="T494" i="7"/>
  <c r="T508" i="7"/>
  <c r="T497" i="7"/>
  <c r="BV43" i="6"/>
  <c r="R505" i="7"/>
  <c r="R494" i="7"/>
  <c r="R508" i="7"/>
  <c r="R497" i="7"/>
  <c r="BJ43" i="6"/>
  <c r="P505" i="7"/>
  <c r="P494" i="7"/>
  <c r="P508" i="7"/>
  <c r="P497" i="7"/>
  <c r="AX43" i="6"/>
  <c r="N505" i="7"/>
  <c r="N494" i="7"/>
  <c r="N508" i="7"/>
  <c r="N497" i="7"/>
  <c r="AL43" i="6"/>
  <c r="L505" i="7"/>
  <c r="L494" i="7"/>
  <c r="L508" i="7"/>
  <c r="L497" i="7"/>
  <c r="Z43" i="6"/>
  <c r="J505" i="7"/>
  <c r="J494" i="7"/>
  <c r="J508" i="7"/>
  <c r="J497" i="7"/>
  <c r="N43" i="6"/>
  <c r="H505" i="7"/>
  <c r="H494" i="7"/>
  <c r="H508" i="7"/>
  <c r="H497" i="7"/>
  <c r="G482" i="20"/>
  <c r="X482" i="20" s="1"/>
  <c r="F482" i="20"/>
  <c r="W482" i="20" s="1"/>
  <c r="G417" i="20"/>
  <c r="X417" i="20" s="1"/>
  <c r="AU246" i="2"/>
  <c r="EJ28" i="6"/>
  <c r="EJ77" i="6" s="1"/>
  <c r="AD326" i="7"/>
  <c r="AE326" i="7" s="1"/>
  <c r="AF326" i="7" s="1"/>
  <c r="FB28" i="6" s="1"/>
  <c r="ED77" i="6"/>
  <c r="DR77" i="6"/>
  <c r="DF77" i="6"/>
  <c r="CT77" i="6"/>
  <c r="CH77" i="6"/>
  <c r="BV77" i="6"/>
  <c r="BJ77" i="6"/>
  <c r="AX77" i="6"/>
  <c r="AL77" i="6"/>
  <c r="Z77" i="6"/>
  <c r="N77" i="6"/>
  <c r="DX81" i="6"/>
  <c r="DL81" i="6"/>
  <c r="CN81" i="6"/>
  <c r="BP81" i="6"/>
  <c r="AR81" i="6"/>
  <c r="T81" i="6"/>
  <c r="AB82" i="21"/>
  <c r="AB626" i="7"/>
  <c r="AB637" i="7" s="1"/>
  <c r="Z82" i="21"/>
  <c r="C215" i="2"/>
  <c r="AT215" i="2" s="1"/>
  <c r="Z626" i="7"/>
  <c r="Z637" i="7" s="1"/>
  <c r="DR74" i="6"/>
  <c r="DR24" i="6"/>
  <c r="DL75" i="6"/>
  <c r="CN75" i="6"/>
  <c r="BP75" i="6"/>
  <c r="AR75" i="6"/>
  <c r="T75" i="6"/>
  <c r="EJ30" i="6"/>
  <c r="EJ79" i="6" s="1"/>
  <c r="AD201" i="7"/>
  <c r="AE201" i="7" s="1"/>
  <c r="AF201" i="7" s="1"/>
  <c r="FB30" i="6" s="1"/>
  <c r="ED79" i="6"/>
  <c r="DR79" i="6"/>
  <c r="DF79" i="6"/>
  <c r="CT79" i="6"/>
  <c r="G408" i="20"/>
  <c r="X408" i="20" s="1"/>
  <c r="AU214" i="2"/>
  <c r="CZ72" i="6"/>
  <c r="CW23" i="6"/>
  <c r="CB72" i="6"/>
  <c r="BY23" i="6"/>
  <c r="T245" i="7"/>
  <c r="T122" i="21" s="1"/>
  <c r="BD72" i="6"/>
  <c r="BA23" i="6"/>
  <c r="P245" i="7"/>
  <c r="P122" i="21" s="1"/>
  <c r="AF72" i="6"/>
  <c r="AC23" i="6"/>
  <c r="L245" i="7"/>
  <c r="L122" i="21" s="1"/>
  <c r="J245" i="7"/>
  <c r="J122" i="21" s="1"/>
  <c r="AB162" i="7"/>
  <c r="ED70" i="6"/>
  <c r="Z162" i="7"/>
  <c r="Z586" i="7" s="1"/>
  <c r="DR70" i="6"/>
  <c r="X166" i="7"/>
  <c r="X162" i="7"/>
  <c r="DF70" i="6"/>
  <c r="T166" i="7"/>
  <c r="T162" i="7"/>
  <c r="T171" i="7"/>
  <c r="CH70" i="6"/>
  <c r="P166" i="7"/>
  <c r="P162" i="7"/>
  <c r="P171" i="7"/>
  <c r="BJ70" i="6"/>
  <c r="L166" i="7"/>
  <c r="L162" i="7"/>
  <c r="L171" i="7"/>
  <c r="AL70" i="6"/>
  <c r="J166" i="7"/>
  <c r="J162" i="7"/>
  <c r="J171" i="7"/>
  <c r="Z70" i="6"/>
  <c r="H166" i="7"/>
  <c r="H162" i="7"/>
  <c r="H171" i="7"/>
  <c r="N70" i="6"/>
  <c r="EJ19" i="6"/>
  <c r="AD137" i="7"/>
  <c r="AE137" i="7" s="1"/>
  <c r="AF137" i="7" s="1"/>
  <c r="FB19" i="6" s="1"/>
  <c r="ED18" i="6"/>
  <c r="ED68" i="6"/>
  <c r="DR68" i="6"/>
  <c r="DF68" i="6"/>
  <c r="CT18" i="6"/>
  <c r="CT68" i="6"/>
  <c r="CH68" i="6"/>
  <c r="BV68" i="6"/>
  <c r="BJ68" i="6"/>
  <c r="AX68" i="6"/>
  <c r="AL68" i="6"/>
  <c r="Z68" i="6"/>
  <c r="N68" i="6"/>
  <c r="AA748" i="7"/>
  <c r="C217" i="2" s="1"/>
  <c r="AT217" i="2" s="1"/>
  <c r="Y448" i="7"/>
  <c r="DL59" i="6"/>
  <c r="W748" i="7"/>
  <c r="U448" i="7"/>
  <c r="U437" i="7"/>
  <c r="CN59" i="6"/>
  <c r="S748" i="7"/>
  <c r="Q448" i="7"/>
  <c r="Q437" i="7"/>
  <c r="BP59" i="6"/>
  <c r="O748" i="7"/>
  <c r="M448" i="7"/>
  <c r="M437" i="7"/>
  <c r="AR59" i="6"/>
  <c r="K748" i="7"/>
  <c r="I448" i="7"/>
  <c r="I437" i="7"/>
  <c r="T59" i="6"/>
  <c r="R756" i="7"/>
  <c r="J756" i="7"/>
  <c r="G420" i="20"/>
  <c r="X420" i="20" s="1"/>
  <c r="AU223" i="2"/>
  <c r="CZ66" i="6"/>
  <c r="CW17" i="6"/>
  <c r="CB66" i="6"/>
  <c r="BY17" i="6"/>
  <c r="BD66" i="6"/>
  <c r="BA17" i="6"/>
  <c r="AF66" i="6"/>
  <c r="AC17" i="6"/>
  <c r="ED65" i="6"/>
  <c r="EA16" i="6"/>
  <c r="X635" i="7"/>
  <c r="DF65" i="6"/>
  <c r="DC16" i="6"/>
  <c r="V635" i="7"/>
  <c r="CT65" i="6"/>
  <c r="CQ16" i="6"/>
  <c r="T635" i="7"/>
  <c r="CH65" i="6"/>
  <c r="CE16" i="6"/>
  <c r="R635" i="7"/>
  <c r="BV65" i="6"/>
  <c r="BS16" i="6"/>
  <c r="P635" i="7"/>
  <c r="BJ65" i="6"/>
  <c r="BG16" i="6"/>
  <c r="N635" i="7"/>
  <c r="AX65" i="6"/>
  <c r="AU16" i="6"/>
  <c r="L635" i="7"/>
  <c r="AL65" i="6"/>
  <c r="AI16" i="6"/>
  <c r="J635" i="7"/>
  <c r="Z65" i="6"/>
  <c r="W16" i="6"/>
  <c r="H635" i="7"/>
  <c r="N65" i="6"/>
  <c r="K16" i="6"/>
  <c r="AA654" i="7"/>
  <c r="AA668" i="7" s="1"/>
  <c r="DX60" i="6"/>
  <c r="G442" i="7"/>
  <c r="G654" i="7"/>
  <c r="X122" i="7"/>
  <c r="V122" i="7"/>
  <c r="T122" i="7"/>
  <c r="R122" i="7"/>
  <c r="P122" i="7"/>
  <c r="N122" i="7"/>
  <c r="L122" i="7"/>
  <c r="J122" i="7"/>
  <c r="H122" i="7"/>
  <c r="DX57" i="6"/>
  <c r="DX12" i="6"/>
  <c r="DL57" i="6"/>
  <c r="DL12" i="6"/>
  <c r="CZ57" i="6"/>
  <c r="CZ12" i="6"/>
  <c r="CN57" i="6"/>
  <c r="CN12" i="6"/>
  <c r="CB57" i="6"/>
  <c r="CB12" i="6"/>
  <c r="BP57" i="6"/>
  <c r="BP12" i="6"/>
  <c r="BD57" i="6"/>
  <c r="BD12" i="6"/>
  <c r="AR57" i="6"/>
  <c r="AR12" i="6"/>
  <c r="AF57" i="6"/>
  <c r="AF12" i="6"/>
  <c r="T57" i="6"/>
  <c r="T12" i="6"/>
  <c r="G421" i="7"/>
  <c r="G446" i="7" s="1"/>
  <c r="G113" i="7"/>
  <c r="G87" i="7"/>
  <c r="G180" i="7"/>
  <c r="G129" i="7"/>
  <c r="EI45" i="6"/>
  <c r="EI94" i="6" s="1"/>
  <c r="AD518" i="7"/>
  <c r="AE518" i="7" s="1"/>
  <c r="AF518" i="7" s="1"/>
  <c r="FA45" i="6" s="1"/>
  <c r="EC94" i="6"/>
  <c r="DQ94" i="6"/>
  <c r="DE94" i="6"/>
  <c r="CS94" i="6"/>
  <c r="CG94" i="6"/>
  <c r="BU94" i="6"/>
  <c r="BI94" i="6"/>
  <c r="AW94" i="6"/>
  <c r="AK94" i="6"/>
  <c r="Y94" i="6"/>
  <c r="M94" i="6"/>
  <c r="F383" i="20"/>
  <c r="W383" i="20" s="1"/>
  <c r="AU208" i="2"/>
  <c r="DK84" i="6"/>
  <c r="CY84" i="6"/>
  <c r="CM84" i="6"/>
  <c r="CA84" i="6"/>
  <c r="BO84" i="6"/>
  <c r="BC84" i="6"/>
  <c r="AQ84" i="6"/>
  <c r="AE84" i="6"/>
  <c r="S84" i="6"/>
  <c r="EI33" i="6"/>
  <c r="EI82" i="6" s="1"/>
  <c r="AD323" i="7"/>
  <c r="AE323" i="7" s="1"/>
  <c r="AF323" i="7" s="1"/>
  <c r="FA33" i="6" s="1"/>
  <c r="EC82" i="6"/>
  <c r="DQ82" i="6"/>
  <c r="DE82" i="6"/>
  <c r="CS82" i="6"/>
  <c r="CG82" i="6"/>
  <c r="BU82" i="6"/>
  <c r="BI82" i="6"/>
  <c r="AW82" i="6"/>
  <c r="AK82" i="6"/>
  <c r="Y82" i="6"/>
  <c r="M82" i="6"/>
  <c r="DW77" i="6"/>
  <c r="DK77" i="6"/>
  <c r="CY77" i="6"/>
  <c r="CM77" i="6"/>
  <c r="CA77" i="6"/>
  <c r="BO77" i="6"/>
  <c r="BC77" i="6"/>
  <c r="AQ77" i="6"/>
  <c r="AE77" i="6"/>
  <c r="S77" i="6"/>
  <c r="EI32" i="6"/>
  <c r="EI81" i="6" s="1"/>
  <c r="AD297" i="7"/>
  <c r="AE297" i="7" s="1"/>
  <c r="AF297" i="7" s="1"/>
  <c r="FA32" i="6" s="1"/>
  <c r="EC81" i="6"/>
  <c r="DQ81" i="6"/>
  <c r="DE81" i="6"/>
  <c r="CS81" i="6"/>
  <c r="CG81" i="6"/>
  <c r="BU81" i="6"/>
  <c r="BI81" i="6"/>
  <c r="AW81" i="6"/>
  <c r="AK81" i="6"/>
  <c r="Y81" i="6"/>
  <c r="M81" i="6"/>
  <c r="DW73" i="6"/>
  <c r="DK73" i="6"/>
  <c r="CY73" i="6"/>
  <c r="CM73" i="6"/>
  <c r="CA73" i="6"/>
  <c r="BO73" i="6"/>
  <c r="BC73" i="6"/>
  <c r="AQ73" i="6"/>
  <c r="AE73" i="6"/>
  <c r="S73" i="6"/>
  <c r="G732" i="7"/>
  <c r="AC76" i="21"/>
  <c r="EI30" i="6"/>
  <c r="EI79" i="6" s="1"/>
  <c r="AD200" i="7"/>
  <c r="V236" i="7"/>
  <c r="CS79" i="6"/>
  <c r="W239" i="7"/>
  <c r="R236" i="7"/>
  <c r="BU79" i="6"/>
  <c r="S239" i="7"/>
  <c r="N236" i="7"/>
  <c r="AW79" i="6"/>
  <c r="O239" i="7"/>
  <c r="J236" i="7"/>
  <c r="Y79" i="6"/>
  <c r="K239" i="7"/>
  <c r="F378" i="20"/>
  <c r="W378" i="20" s="1"/>
  <c r="G378" i="20"/>
  <c r="X378" i="20" s="1"/>
  <c r="AU203" i="2"/>
  <c r="DK60" i="6"/>
  <c r="CY60" i="6"/>
  <c r="CM60" i="6"/>
  <c r="CA60" i="6"/>
  <c r="BO60" i="6"/>
  <c r="BC60" i="6"/>
  <c r="AQ60" i="6"/>
  <c r="AE60" i="6"/>
  <c r="S60" i="6"/>
  <c r="AC70" i="21"/>
  <c r="EI10" i="6"/>
  <c r="EI59" i="6" s="1"/>
  <c r="AD47" i="7"/>
  <c r="DQ59" i="6"/>
  <c r="DW58" i="6"/>
  <c r="DK58" i="6"/>
  <c r="CM58" i="6"/>
  <c r="BO58" i="6"/>
  <c r="AQ58" i="6"/>
  <c r="S58" i="6"/>
  <c r="EC57" i="6"/>
  <c r="EC12" i="6"/>
  <c r="DQ57" i="6"/>
  <c r="DQ12" i="6"/>
  <c r="DE57" i="6"/>
  <c r="DE12" i="6"/>
  <c r="V73" i="21"/>
  <c r="V179" i="7"/>
  <c r="V128" i="7"/>
  <c r="V119" i="7"/>
  <c r="V234" i="7" s="1"/>
  <c r="V82" i="7"/>
  <c r="CG57" i="6"/>
  <c r="CG12" i="6"/>
  <c r="R73" i="21"/>
  <c r="R179" i="7"/>
  <c r="R128" i="7"/>
  <c r="R119" i="7"/>
  <c r="R234" i="7" s="1"/>
  <c r="R82" i="7"/>
  <c r="BI57" i="6"/>
  <c r="BI12" i="6"/>
  <c r="N73" i="21"/>
  <c r="N179" i="7"/>
  <c r="N128" i="7"/>
  <c r="N119" i="7"/>
  <c r="N234" i="7" s="1"/>
  <c r="N82" i="7"/>
  <c r="AK57" i="6"/>
  <c r="AK12" i="6"/>
  <c r="J73" i="21"/>
  <c r="J179" i="7"/>
  <c r="J128" i="7"/>
  <c r="J119" i="7"/>
  <c r="J234" i="7" s="1"/>
  <c r="J82" i="7"/>
  <c r="M57" i="6"/>
  <c r="M12" i="6"/>
  <c r="AB100" i="21"/>
  <c r="EE17" i="6"/>
  <c r="AB769" i="7"/>
  <c r="AB58" i="7"/>
  <c r="BC58" i="7" s="1"/>
  <c r="EA56" i="6"/>
  <c r="X100" i="21"/>
  <c r="DG17" i="6"/>
  <c r="X769" i="7"/>
  <c r="X58" i="7"/>
  <c r="DC56" i="6"/>
  <c r="V100" i="21"/>
  <c r="CU17" i="6"/>
  <c r="V769" i="7"/>
  <c r="V66" i="7"/>
  <c r="V58" i="7"/>
  <c r="CQ56" i="6"/>
  <c r="T100" i="21"/>
  <c r="CI17" i="6"/>
  <c r="T769" i="7"/>
  <c r="T66" i="7"/>
  <c r="T58" i="7"/>
  <c r="CE56" i="6"/>
  <c r="R100" i="21"/>
  <c r="BW17" i="6"/>
  <c r="R769" i="7"/>
  <c r="R66" i="7"/>
  <c r="R58" i="7"/>
  <c r="BS56" i="6"/>
  <c r="P100" i="21"/>
  <c r="BK17" i="6"/>
  <c r="P769" i="7"/>
  <c r="P66" i="7"/>
  <c r="P58" i="7"/>
  <c r="BG56" i="6"/>
  <c r="AI56" i="6"/>
  <c r="K56" i="6"/>
  <c r="DU55" i="6"/>
  <c r="DI55" i="6"/>
  <c r="CK55" i="6"/>
  <c r="BM55" i="6"/>
  <c r="AO55" i="6"/>
  <c r="Q55" i="6"/>
  <c r="AB120" i="8"/>
  <c r="Z120" i="8"/>
  <c r="X120" i="8"/>
  <c r="T120" i="8"/>
  <c r="P120" i="8"/>
  <c r="L120" i="8"/>
  <c r="H120" i="8"/>
  <c r="AA179" i="8"/>
  <c r="AA172" i="8"/>
  <c r="AA144" i="8"/>
  <c r="Y247" i="8"/>
  <c r="Y196" i="8"/>
  <c r="W247" i="8"/>
  <c r="W196" i="8"/>
  <c r="U247" i="8"/>
  <c r="U196" i="8"/>
  <c r="S247" i="8"/>
  <c r="S196" i="8"/>
  <c r="Q247" i="8"/>
  <c r="Q196" i="8"/>
  <c r="O247" i="8"/>
  <c r="O196" i="8"/>
  <c r="M247" i="8"/>
  <c r="M196" i="8"/>
  <c r="K247" i="8"/>
  <c r="K196" i="8"/>
  <c r="I247" i="8"/>
  <c r="I196" i="8"/>
  <c r="G249" i="8"/>
  <c r="AB11" i="8"/>
  <c r="AC17" i="8" s="1"/>
  <c r="Z40" i="8"/>
  <c r="V11" i="8"/>
  <c r="R11" i="8"/>
  <c r="S17" i="8" s="1"/>
  <c r="N11" i="8"/>
  <c r="J11" i="8"/>
  <c r="K17" i="8" s="1"/>
  <c r="AA55" i="21"/>
  <c r="D179" i="2"/>
  <c r="AA63" i="8"/>
  <c r="AA52" i="8"/>
  <c r="Y43" i="24" s="1"/>
  <c r="AA36" i="8"/>
  <c r="Y45" i="24" s="1"/>
  <c r="AA34" i="8"/>
  <c r="Y55" i="21"/>
  <c r="Y63" i="8"/>
  <c r="Y52" i="8"/>
  <c r="W43" i="24" s="1"/>
  <c r="Y36" i="8"/>
  <c r="W45" i="24" s="1"/>
  <c r="Y34" i="8"/>
  <c r="W55" i="21"/>
  <c r="W63" i="8"/>
  <c r="W52" i="8"/>
  <c r="U43" i="24" s="1"/>
  <c r="W36" i="8"/>
  <c r="U45" i="24" s="1"/>
  <c r="W34" i="8"/>
  <c r="W114" i="8" s="1"/>
  <c r="U55" i="21"/>
  <c r="U63" i="8"/>
  <c r="U52" i="8"/>
  <c r="S43" i="24" s="1"/>
  <c r="U36" i="8"/>
  <c r="S45" i="24" s="1"/>
  <c r="U34" i="8"/>
  <c r="S55" i="21"/>
  <c r="S63" i="8"/>
  <c r="S52" i="8"/>
  <c r="Q43" i="24" s="1"/>
  <c r="S36" i="8"/>
  <c r="Q45" i="24" s="1"/>
  <c r="S34" i="8"/>
  <c r="S114" i="8" s="1"/>
  <c r="Q55" i="21"/>
  <c r="Q63" i="8"/>
  <c r="Q52" i="8"/>
  <c r="O43" i="24" s="1"/>
  <c r="Q36" i="8"/>
  <c r="O45" i="24" s="1"/>
  <c r="Q34" i="8"/>
  <c r="O55" i="21"/>
  <c r="O63" i="8"/>
  <c r="O52" i="8"/>
  <c r="M43" i="24" s="1"/>
  <c r="O36" i="8"/>
  <c r="M45" i="24" s="1"/>
  <c r="O34" i="8"/>
  <c r="O114" i="8" s="1"/>
  <c r="M55" i="21"/>
  <c r="M63" i="8"/>
  <c r="M52" i="8"/>
  <c r="K43" i="24" s="1"/>
  <c r="M36" i="8"/>
  <c r="K45" i="24" s="1"/>
  <c r="M34" i="8"/>
  <c r="K55" i="21"/>
  <c r="K63" i="8"/>
  <c r="K52" i="8"/>
  <c r="I43" i="24" s="1"/>
  <c r="K36" i="8"/>
  <c r="I45" i="24" s="1"/>
  <c r="K34" i="8"/>
  <c r="K114" i="8" s="1"/>
  <c r="I55" i="21"/>
  <c r="I63" i="8"/>
  <c r="I52" i="8"/>
  <c r="G43" i="24" s="1"/>
  <c r="I36" i="8"/>
  <c r="G45" i="24" s="1"/>
  <c r="I34" i="8"/>
  <c r="G36" i="8"/>
  <c r="E45" i="24" s="1"/>
  <c r="G34" i="8"/>
  <c r="V101" i="8"/>
  <c r="V81" i="8"/>
  <c r="R101" i="8"/>
  <c r="R81" i="8"/>
  <c r="N101" i="8"/>
  <c r="N81" i="8"/>
  <c r="J101" i="8"/>
  <c r="J81" i="8"/>
  <c r="AA239" i="8"/>
  <c r="Y239" i="8"/>
  <c r="W60" i="8"/>
  <c r="W49" i="8"/>
  <c r="S60" i="8"/>
  <c r="S49" i="8"/>
  <c r="O60" i="8"/>
  <c r="O49" i="8"/>
  <c r="K60" i="8"/>
  <c r="K49" i="8"/>
  <c r="AA25" i="8"/>
  <c r="AA24" i="8"/>
  <c r="AG30" i="24"/>
  <c r="BZ80" i="17"/>
  <c r="BR80" i="17"/>
  <c r="BV77" i="17"/>
  <c r="BN77" i="17"/>
  <c r="BF77" i="17"/>
  <c r="AX77" i="17"/>
  <c r="AP77" i="17"/>
  <c r="AH77" i="17"/>
  <c r="Z77" i="17"/>
  <c r="R77" i="17"/>
  <c r="CL13" i="22"/>
  <c r="F116" i="2"/>
  <c r="N47" i="17"/>
  <c r="L50" i="11" s="1"/>
  <c r="CJ12" i="22"/>
  <c r="D115" i="2"/>
  <c r="CN33" i="17"/>
  <c r="CJ33" i="17"/>
  <c r="CI33" i="17"/>
  <c r="CE33" i="17"/>
  <c r="CF33" i="17"/>
  <c r="CB33" i="17"/>
  <c r="CA33" i="17"/>
  <c r="BW33" i="17"/>
  <c r="BX33" i="17"/>
  <c r="BT33" i="17"/>
  <c r="BS33" i="17"/>
  <c r="BO33" i="17"/>
  <c r="BP33" i="17"/>
  <c r="BL33" i="17"/>
  <c r="BK33" i="17"/>
  <c r="BG33" i="17"/>
  <c r="BH33" i="17"/>
  <c r="BD33" i="17"/>
  <c r="BC33" i="17"/>
  <c r="AY33" i="17"/>
  <c r="AZ33" i="17"/>
  <c r="AV33" i="17"/>
  <c r="AU33" i="17"/>
  <c r="AQ33" i="17"/>
  <c r="AR33" i="17"/>
  <c r="AN33" i="17"/>
  <c r="AM33" i="17"/>
  <c r="AI33" i="17"/>
  <c r="AJ33" i="17"/>
  <c r="AF33" i="17"/>
  <c r="AE33" i="17"/>
  <c r="AA33" i="17"/>
  <c r="AB33" i="17"/>
  <c r="X33" i="17"/>
  <c r="W33" i="17"/>
  <c r="S33" i="17"/>
  <c r="T33" i="17"/>
  <c r="P33" i="17"/>
  <c r="O33" i="17"/>
  <c r="AI52" i="24"/>
  <c r="AI39" i="24"/>
  <c r="AI24" i="24"/>
  <c r="AI23" i="24"/>
  <c r="AI53" i="24"/>
  <c r="AI44" i="24"/>
  <c r="AI30" i="24"/>
  <c r="AI25" i="24"/>
  <c r="AI22" i="24"/>
  <c r="AI21" i="24"/>
  <c r="AI17" i="24"/>
  <c r="AI11" i="24"/>
  <c r="AI6" i="24"/>
  <c r="AY52" i="24"/>
  <c r="AW52" i="24"/>
  <c r="D52" i="24"/>
  <c r="BW53" i="24"/>
  <c r="BM52" i="24"/>
  <c r="AZ52" i="24"/>
  <c r="AX52" i="24"/>
  <c r="AV52" i="24"/>
  <c r="DG110" i="11"/>
  <c r="F540" i="20"/>
  <c r="W540" i="20" s="1"/>
  <c r="G540" i="20"/>
  <c r="X540" i="20" s="1"/>
  <c r="E540" i="20"/>
  <c r="V540" i="20" s="1"/>
  <c r="AU252" i="2"/>
  <c r="CW110" i="11"/>
  <c r="CC110" i="11"/>
  <c r="DL109" i="11"/>
  <c r="AB327" i="12"/>
  <c r="DB109" i="11"/>
  <c r="DG95" i="11"/>
  <c r="G536" i="20"/>
  <c r="X536" i="20" s="1"/>
  <c r="E536" i="20"/>
  <c r="V536" i="20" s="1"/>
  <c r="F536" i="20"/>
  <c r="W536" i="20" s="1"/>
  <c r="AU249" i="2"/>
  <c r="CW95" i="11"/>
  <c r="CC95" i="11"/>
  <c r="AB295" i="12"/>
  <c r="DB94" i="11"/>
  <c r="EH46" i="6"/>
  <c r="EH95" i="6" s="1"/>
  <c r="AD228" i="12"/>
  <c r="AE228" i="12" s="1"/>
  <c r="AF228" i="12" s="1"/>
  <c r="EZ46" i="6" s="1"/>
  <c r="CR71" i="11"/>
  <c r="BX71" i="11"/>
  <c r="U725" i="7"/>
  <c r="M725" i="7"/>
  <c r="I725" i="7"/>
  <c r="CR70" i="11"/>
  <c r="CQ73" i="11"/>
  <c r="CQ74" i="11" s="1"/>
  <c r="CH70" i="11"/>
  <c r="CG73" i="11"/>
  <c r="CG74" i="11" s="1"/>
  <c r="BX70" i="11"/>
  <c r="BW73" i="11"/>
  <c r="BW74" i="11" s="1"/>
  <c r="BN70" i="11"/>
  <c r="BM73" i="11"/>
  <c r="BM76" i="11" s="1"/>
  <c r="BD70" i="11"/>
  <c r="BC73" i="11"/>
  <c r="BC74" i="11" s="1"/>
  <c r="AT70" i="11"/>
  <c r="AS73" i="11"/>
  <c r="AS74" i="11" s="1"/>
  <c r="AJ70" i="11"/>
  <c r="AI73" i="11"/>
  <c r="AI74" i="11" s="1"/>
  <c r="Z70" i="11"/>
  <c r="Y73" i="11"/>
  <c r="P70" i="11"/>
  <c r="O73" i="11"/>
  <c r="O74" i="11" s="1"/>
  <c r="CM72" i="11"/>
  <c r="BS72" i="11"/>
  <c r="AC74" i="21"/>
  <c r="EI18" i="6"/>
  <c r="AD136" i="7"/>
  <c r="AE136" i="7" s="1"/>
  <c r="AF136" i="7" s="1"/>
  <c r="DG116" i="11"/>
  <c r="G440" i="20"/>
  <c r="X440" i="20" s="1"/>
  <c r="G439" i="20"/>
  <c r="X439" i="20" s="1"/>
  <c r="G438" i="20"/>
  <c r="X438" i="20" s="1"/>
  <c r="F201" i="20"/>
  <c r="G187" i="20"/>
  <c r="X187" i="20" s="1"/>
  <c r="G201" i="20"/>
  <c r="X201" i="20" s="1"/>
  <c r="F187" i="20"/>
  <c r="W187" i="20" s="1"/>
  <c r="AU147" i="2"/>
  <c r="CW17" i="11"/>
  <c r="CM116" i="11"/>
  <c r="W216" i="7"/>
  <c r="W214" i="7"/>
  <c r="W215" i="7"/>
  <c r="CW54" i="6"/>
  <c r="CW8" i="6"/>
  <c r="CC17" i="11"/>
  <c r="BS116" i="11"/>
  <c r="S216" i="7"/>
  <c r="S214" i="7"/>
  <c r="S215" i="7"/>
  <c r="BY54" i="6"/>
  <c r="BY8" i="6"/>
  <c r="BI17" i="11"/>
  <c r="AY116" i="11"/>
  <c r="O216" i="7"/>
  <c r="O214" i="7"/>
  <c r="O215" i="7"/>
  <c r="BA54" i="6"/>
  <c r="BA8" i="6"/>
  <c r="AO17" i="11"/>
  <c r="AE116" i="11"/>
  <c r="K216" i="7"/>
  <c r="K214" i="7"/>
  <c r="K215" i="7"/>
  <c r="U116" i="11"/>
  <c r="I216" i="7"/>
  <c r="I214" i="7"/>
  <c r="I215" i="7"/>
  <c r="Q54" i="6"/>
  <c r="Q8" i="6"/>
  <c r="E8" i="6"/>
  <c r="CW15" i="11"/>
  <c r="CM15" i="11"/>
  <c r="CC15" i="11"/>
  <c r="BS15" i="11"/>
  <c r="BI15" i="11"/>
  <c r="AY15" i="11"/>
  <c r="AO15" i="11"/>
  <c r="AE15" i="11"/>
  <c r="U15" i="11"/>
  <c r="DK103" i="11"/>
  <c r="DL101" i="11"/>
  <c r="DA103" i="11"/>
  <c r="DD101" i="11"/>
  <c r="AA175" i="12" s="1"/>
  <c r="DB101" i="11"/>
  <c r="DI102" i="11"/>
  <c r="AB174" i="12" s="1"/>
  <c r="DG102" i="11"/>
  <c r="DG111" i="11" s="1"/>
  <c r="DL13" i="11"/>
  <c r="Z335" i="12"/>
  <c r="DB88" i="11"/>
  <c r="CR13" i="11"/>
  <c r="V335" i="12"/>
  <c r="CH88" i="11"/>
  <c r="BX13" i="11"/>
  <c r="R335" i="12"/>
  <c r="BN88" i="11"/>
  <c r="BD13" i="11"/>
  <c r="N335" i="12"/>
  <c r="AT88" i="11"/>
  <c r="AJ13" i="11"/>
  <c r="J335" i="12"/>
  <c r="Z88" i="11"/>
  <c r="P13" i="11"/>
  <c r="E507" i="20"/>
  <c r="V507" i="20" s="1"/>
  <c r="E506" i="20"/>
  <c r="V506" i="20" s="1"/>
  <c r="E504" i="20"/>
  <c r="V504" i="20" s="1"/>
  <c r="F504" i="20"/>
  <c r="W504" i="20" s="1"/>
  <c r="F190" i="20"/>
  <c r="W190" i="20" s="1"/>
  <c r="F182" i="20"/>
  <c r="W182" i="20" s="1"/>
  <c r="G182" i="20"/>
  <c r="X182" i="20" s="1"/>
  <c r="AU144" i="2"/>
  <c r="CY86" i="11"/>
  <c r="Z173" i="12" s="1"/>
  <c r="CW86" i="11"/>
  <c r="CO86" i="11"/>
  <c r="X173" i="12" s="1"/>
  <c r="X20" i="21" s="1"/>
  <c r="CM86" i="11"/>
  <c r="CE86" i="11"/>
  <c r="V173" i="12" s="1"/>
  <c r="V20" i="21" s="1"/>
  <c r="CC86" i="11"/>
  <c r="BU86" i="11"/>
  <c r="T173" i="12" s="1"/>
  <c r="T20" i="21" s="1"/>
  <c r="BS86" i="11"/>
  <c r="BK86" i="11"/>
  <c r="R173" i="12" s="1"/>
  <c r="R20" i="21" s="1"/>
  <c r="BI86" i="11"/>
  <c r="BA86" i="11"/>
  <c r="P173" i="12" s="1"/>
  <c r="P20" i="21" s="1"/>
  <c r="AY86" i="11"/>
  <c r="AQ86" i="11"/>
  <c r="N173" i="12" s="1"/>
  <c r="N20" i="21" s="1"/>
  <c r="AO86" i="11"/>
  <c r="AG86" i="11"/>
  <c r="L173" i="12" s="1"/>
  <c r="L20" i="21" s="1"/>
  <c r="AE86" i="11"/>
  <c r="W86" i="11"/>
  <c r="J173" i="12" s="1"/>
  <c r="J20" i="21" s="1"/>
  <c r="U86" i="11"/>
  <c r="DD87" i="11"/>
  <c r="AA172" i="12" s="1"/>
  <c r="DB87" i="11"/>
  <c r="DB96" i="11" s="1"/>
  <c r="CT87" i="11"/>
  <c r="Y172" i="12" s="1"/>
  <c r="Y19" i="21" s="1"/>
  <c r="CR87" i="11"/>
  <c r="BZ87" i="11"/>
  <c r="U172" i="12" s="1"/>
  <c r="U19" i="21" s="1"/>
  <c r="BX87" i="11"/>
  <c r="BF87" i="11"/>
  <c r="Q172" i="12" s="1"/>
  <c r="Q19" i="21" s="1"/>
  <c r="BD87" i="11"/>
  <c r="AL87" i="11"/>
  <c r="M172" i="12" s="1"/>
  <c r="M19" i="21" s="1"/>
  <c r="AJ87" i="11"/>
  <c r="R87" i="11"/>
  <c r="I172" i="12" s="1"/>
  <c r="I19" i="21" s="1"/>
  <c r="P87" i="11"/>
  <c r="AB301" i="12"/>
  <c r="X301" i="12"/>
  <c r="T301" i="12"/>
  <c r="P301" i="12"/>
  <c r="L301" i="12"/>
  <c r="H301" i="12"/>
  <c r="DG11" i="11"/>
  <c r="DU96" i="6"/>
  <c r="AB244" i="12"/>
  <c r="Z16" i="24" s="1"/>
  <c r="AB238" i="12"/>
  <c r="AB232" i="12"/>
  <c r="DL64" i="11"/>
  <c r="Z244" i="12"/>
  <c r="X16" i="24" s="1"/>
  <c r="Z238" i="12"/>
  <c r="Z232" i="12"/>
  <c r="DB64" i="11"/>
  <c r="C320" i="2"/>
  <c r="AT138" i="2"/>
  <c r="X244" i="12"/>
  <c r="V16" i="24" s="1"/>
  <c r="X238" i="12"/>
  <c r="X232" i="12"/>
  <c r="CR64" i="11"/>
  <c r="CH9" i="11"/>
  <c r="CQ95" i="6"/>
  <c r="CV46" i="6"/>
  <c r="T244" i="12"/>
  <c r="R16" i="24" s="1"/>
  <c r="T238" i="12"/>
  <c r="T232" i="12"/>
  <c r="BX64" i="11"/>
  <c r="BN9" i="11"/>
  <c r="BS95" i="6"/>
  <c r="BX46" i="6"/>
  <c r="P244" i="12"/>
  <c r="N16" i="24" s="1"/>
  <c r="P238" i="12"/>
  <c r="P232" i="12"/>
  <c r="BD64" i="11"/>
  <c r="AT9" i="11"/>
  <c r="AU95" i="6"/>
  <c r="AZ46" i="6"/>
  <c r="L244" i="12"/>
  <c r="J16" i="24" s="1"/>
  <c r="L238" i="12"/>
  <c r="L232" i="12"/>
  <c r="AJ64" i="11"/>
  <c r="Z9" i="11"/>
  <c r="W95" i="6"/>
  <c r="AB46" i="6"/>
  <c r="H244" i="12"/>
  <c r="F16" i="24" s="1"/>
  <c r="H238" i="12"/>
  <c r="H232" i="12"/>
  <c r="P64" i="11"/>
  <c r="CY63" i="11"/>
  <c r="Z170" i="12" s="1"/>
  <c r="CW63" i="11"/>
  <c r="CO63" i="11"/>
  <c r="X170" i="12" s="1"/>
  <c r="X17" i="21" s="1"/>
  <c r="CM63" i="11"/>
  <c r="CE63" i="11"/>
  <c r="V170" i="12" s="1"/>
  <c r="V17" i="21" s="1"/>
  <c r="CC63" i="11"/>
  <c r="BU63" i="11"/>
  <c r="T170" i="12" s="1"/>
  <c r="T17" i="21" s="1"/>
  <c r="BS63" i="11"/>
  <c r="BK63" i="11"/>
  <c r="R170" i="12" s="1"/>
  <c r="R17" i="21" s="1"/>
  <c r="BI63" i="11"/>
  <c r="BA63" i="11"/>
  <c r="P170" i="12" s="1"/>
  <c r="P17" i="21" s="1"/>
  <c r="AY63" i="11"/>
  <c r="AQ63" i="11"/>
  <c r="N170" i="12" s="1"/>
  <c r="N17" i="21" s="1"/>
  <c r="AO63" i="11"/>
  <c r="AG63" i="11"/>
  <c r="L170" i="12" s="1"/>
  <c r="L17" i="21" s="1"/>
  <c r="AE63" i="11"/>
  <c r="W63" i="11"/>
  <c r="J170" i="12" s="1"/>
  <c r="J17" i="21" s="1"/>
  <c r="U63" i="11"/>
  <c r="DL59" i="11"/>
  <c r="CH59" i="11"/>
  <c r="BN59" i="11"/>
  <c r="AT59" i="11"/>
  <c r="Z59" i="11"/>
  <c r="DI62" i="11"/>
  <c r="AB169" i="12" s="1"/>
  <c r="DG62" i="11"/>
  <c r="DL58" i="11"/>
  <c r="CT58" i="11"/>
  <c r="CR58" i="11"/>
  <c r="CJ58" i="11"/>
  <c r="W178" i="12" s="1"/>
  <c r="W25" i="21" s="1"/>
  <c r="CH58" i="11"/>
  <c r="BZ58" i="11"/>
  <c r="U178" i="12" s="1"/>
  <c r="U25" i="21" s="1"/>
  <c r="BX58" i="11"/>
  <c r="BP58" i="11"/>
  <c r="S178" i="12" s="1"/>
  <c r="S25" i="21" s="1"/>
  <c r="BN58" i="11"/>
  <c r="BF58" i="11"/>
  <c r="Q178" i="12" s="1"/>
  <c r="Q25" i="21" s="1"/>
  <c r="BD58" i="11"/>
  <c r="AV58" i="11"/>
  <c r="O178" i="12" s="1"/>
  <c r="O25" i="21" s="1"/>
  <c r="AT58" i="11"/>
  <c r="AL58" i="11"/>
  <c r="M178" i="12" s="1"/>
  <c r="M25" i="21" s="1"/>
  <c r="AJ58" i="11"/>
  <c r="AB58" i="11"/>
  <c r="K178" i="12" s="1"/>
  <c r="K25" i="21" s="1"/>
  <c r="Z58" i="11"/>
  <c r="R58" i="11"/>
  <c r="I178" i="12" s="1"/>
  <c r="I25" i="21" s="1"/>
  <c r="P58" i="11"/>
  <c r="DI57" i="11"/>
  <c r="DJ57" i="11" s="1"/>
  <c r="DG57" i="11"/>
  <c r="CO57" i="11"/>
  <c r="CM57" i="11"/>
  <c r="BU57" i="11"/>
  <c r="BS57" i="11"/>
  <c r="BA57" i="11"/>
  <c r="AY57" i="11"/>
  <c r="AG57" i="11"/>
  <c r="AE57" i="11"/>
  <c r="DL49" i="11"/>
  <c r="DB8" i="11"/>
  <c r="CR49" i="11"/>
  <c r="X450" i="7"/>
  <c r="CH49" i="11"/>
  <c r="V450" i="7"/>
  <c r="V439" i="7"/>
  <c r="BX49" i="11"/>
  <c r="T450" i="7"/>
  <c r="T439" i="7"/>
  <c r="BN49" i="11"/>
  <c r="R450" i="7"/>
  <c r="R439" i="7"/>
  <c r="BD49" i="11"/>
  <c r="P450" i="7"/>
  <c r="P439" i="7"/>
  <c r="AT49" i="11"/>
  <c r="N450" i="7"/>
  <c r="N439" i="7"/>
  <c r="AJ49" i="11"/>
  <c r="L450" i="7"/>
  <c r="L439" i="7"/>
  <c r="Z49" i="11"/>
  <c r="J450" i="7"/>
  <c r="J439" i="7"/>
  <c r="P49" i="11"/>
  <c r="H450" i="7"/>
  <c r="H439" i="7"/>
  <c r="DF51" i="11"/>
  <c r="DG48" i="11"/>
  <c r="ED86" i="6"/>
  <c r="ED36" i="6"/>
  <c r="CQ50" i="11"/>
  <c r="CR47" i="11"/>
  <c r="DF86" i="6"/>
  <c r="DF36" i="6"/>
  <c r="DC36" i="6" s="1"/>
  <c r="CG50" i="11"/>
  <c r="CH47" i="11"/>
  <c r="CT86" i="6"/>
  <c r="CT36" i="6"/>
  <c r="BW50" i="11"/>
  <c r="BX47" i="11"/>
  <c r="CH86" i="6"/>
  <c r="CH36" i="6"/>
  <c r="CE36" i="6" s="1"/>
  <c r="BM50" i="11"/>
  <c r="BN47" i="11"/>
  <c r="BV86" i="6"/>
  <c r="BV36" i="6"/>
  <c r="BJ86" i="6"/>
  <c r="BJ36" i="6"/>
  <c r="BG36" i="6" s="1"/>
  <c r="AX86" i="6"/>
  <c r="AX36" i="6"/>
  <c r="AL86" i="6"/>
  <c r="AL36" i="6"/>
  <c r="AI36" i="6" s="1"/>
  <c r="Z86" i="6"/>
  <c r="Z36" i="6"/>
  <c r="N86" i="6"/>
  <c r="N36" i="6"/>
  <c r="K36" i="6" s="1"/>
  <c r="DG7" i="11"/>
  <c r="DF10" i="11"/>
  <c r="G183" i="20"/>
  <c r="X183" i="20" s="1"/>
  <c r="G179" i="20"/>
  <c r="X179" i="20" s="1"/>
  <c r="G177" i="20"/>
  <c r="X177" i="20" s="1"/>
  <c r="F174" i="20"/>
  <c r="W174" i="20" s="1"/>
  <c r="F183" i="20"/>
  <c r="W183" i="20" s="1"/>
  <c r="F179" i="20"/>
  <c r="W179" i="20" s="1"/>
  <c r="F177" i="20"/>
  <c r="W177" i="20" s="1"/>
  <c r="G174" i="20"/>
  <c r="X174" i="20" s="1"/>
  <c r="D314" i="2"/>
  <c r="D308" i="2"/>
  <c r="D305" i="2"/>
  <c r="AU136" i="2"/>
  <c r="CW7" i="11"/>
  <c r="CV10" i="11"/>
  <c r="DJ85" i="6"/>
  <c r="CM35" i="11"/>
  <c r="CC7" i="11"/>
  <c r="CB10" i="11"/>
  <c r="CL85" i="6"/>
  <c r="BS35" i="11"/>
  <c r="BI7" i="11"/>
  <c r="BH10" i="11"/>
  <c r="BN85" i="6"/>
  <c r="AY35" i="11"/>
  <c r="AO7" i="11"/>
  <c r="AN10" i="11"/>
  <c r="AP85" i="6"/>
  <c r="AE35" i="11"/>
  <c r="U7" i="11"/>
  <c r="T10" i="11"/>
  <c r="R85" i="6"/>
  <c r="AB156" i="12"/>
  <c r="Z156" i="12"/>
  <c r="X156" i="12"/>
  <c r="V156" i="12"/>
  <c r="T156" i="12"/>
  <c r="R156" i="12"/>
  <c r="P156" i="12"/>
  <c r="N156" i="12"/>
  <c r="L156" i="12"/>
  <c r="J156" i="12"/>
  <c r="AJ53" i="24"/>
  <c r="AJ44" i="24"/>
  <c r="AJ30" i="24"/>
  <c r="AJ25" i="24"/>
  <c r="AJ22" i="24"/>
  <c r="AJ21" i="24"/>
  <c r="AJ17" i="24"/>
  <c r="AJ11" i="24"/>
  <c r="F7" i="24"/>
  <c r="AB6" i="24"/>
  <c r="AJ52" i="24"/>
  <c r="AJ39" i="24"/>
  <c r="AJ24" i="24"/>
  <c r="AJ23" i="24"/>
  <c r="H156" i="12"/>
  <c r="CX103" i="11"/>
  <c r="CY103" i="11" s="1"/>
  <c r="CX15" i="11"/>
  <c r="CY15" i="11" s="1"/>
  <c r="Z155" i="12"/>
  <c r="CN103" i="11"/>
  <c r="CO103" i="11" s="1"/>
  <c r="CN15" i="11"/>
  <c r="CO15" i="11" s="1"/>
  <c r="X155" i="12"/>
  <c r="CD103" i="11"/>
  <c r="CE103" i="11" s="1"/>
  <c r="CD15" i="11"/>
  <c r="CE15" i="11" s="1"/>
  <c r="BT103" i="11"/>
  <c r="BU103" i="11" s="1"/>
  <c r="BT15" i="11"/>
  <c r="BU15" i="11" s="1"/>
  <c r="BJ103" i="11"/>
  <c r="BK103" i="11" s="1"/>
  <c r="BJ15" i="11"/>
  <c r="BK15" i="11" s="1"/>
  <c r="AZ103" i="11"/>
  <c r="BA103" i="11" s="1"/>
  <c r="AZ15" i="11"/>
  <c r="BA15" i="11" s="1"/>
  <c r="AP103" i="11"/>
  <c r="AQ103" i="11" s="1"/>
  <c r="AP15" i="11"/>
  <c r="AQ15" i="11" s="1"/>
  <c r="AF103" i="11"/>
  <c r="AG103" i="11" s="1"/>
  <c r="AF15" i="11"/>
  <c r="AG15" i="11" s="1"/>
  <c r="V103" i="11"/>
  <c r="W103" i="11" s="1"/>
  <c r="V15" i="11"/>
  <c r="W15" i="11" s="1"/>
  <c r="L103" i="11"/>
  <c r="M103" i="11" s="1"/>
  <c r="L15" i="11"/>
  <c r="M15" i="11" s="1"/>
  <c r="CT222" i="17"/>
  <c r="CT235" i="17" s="1"/>
  <c r="AD104" i="12"/>
  <c r="CP235" i="17"/>
  <c r="CH235" i="17"/>
  <c r="BZ235" i="17"/>
  <c r="BR235" i="17"/>
  <c r="BQ222" i="17"/>
  <c r="BJ235" i="17"/>
  <c r="BI222" i="17"/>
  <c r="BB235" i="17"/>
  <c r="BA222" i="17"/>
  <c r="AT235" i="17"/>
  <c r="AS222" i="17"/>
  <c r="AL235" i="17"/>
  <c r="AK222" i="17"/>
  <c r="AD235" i="17"/>
  <c r="AC222" i="17"/>
  <c r="V235" i="17"/>
  <c r="U222" i="17"/>
  <c r="N235" i="17"/>
  <c r="M222" i="17"/>
  <c r="AA153" i="12"/>
  <c r="CS88" i="11"/>
  <c r="CT88" i="11" s="1"/>
  <c r="CS13" i="11"/>
  <c r="CT13" i="11" s="1"/>
  <c r="CD186" i="17"/>
  <c r="CC173" i="17"/>
  <c r="BY88" i="11"/>
  <c r="BZ88" i="11" s="1"/>
  <c r="BY13" i="11"/>
  <c r="BZ13" i="11" s="1"/>
  <c r="BN186" i="17"/>
  <c r="BE88" i="11"/>
  <c r="BF88" i="11" s="1"/>
  <c r="BE13" i="11"/>
  <c r="BF13" i="11" s="1"/>
  <c r="AX186" i="17"/>
  <c r="AK88" i="11"/>
  <c r="AL88" i="11" s="1"/>
  <c r="AK13" i="11"/>
  <c r="AL13" i="11" s="1"/>
  <c r="AH186" i="17"/>
  <c r="Q88" i="11"/>
  <c r="R88" i="11" s="1"/>
  <c r="Q13" i="11"/>
  <c r="R13" i="11" s="1"/>
  <c r="R186" i="17"/>
  <c r="CP181" i="17"/>
  <c r="CH181" i="17"/>
  <c r="BZ181" i="17"/>
  <c r="BR181" i="17"/>
  <c r="BQ168" i="17"/>
  <c r="BJ181" i="17"/>
  <c r="BI168" i="17"/>
  <c r="BB181" i="17"/>
  <c r="BA168" i="17"/>
  <c r="AT181" i="17"/>
  <c r="AS168" i="17"/>
  <c r="AL181" i="17"/>
  <c r="AK168" i="17"/>
  <c r="AD181" i="17"/>
  <c r="AC168" i="17"/>
  <c r="V181" i="17"/>
  <c r="U168" i="17"/>
  <c r="N181" i="17"/>
  <c r="M168" i="17"/>
  <c r="CD178" i="17"/>
  <c r="BN178" i="17"/>
  <c r="BM165" i="17"/>
  <c r="AX178" i="17"/>
  <c r="AW165" i="17"/>
  <c r="AH178" i="17"/>
  <c r="AG165" i="17"/>
  <c r="R178" i="17"/>
  <c r="Q165" i="17"/>
  <c r="I165" i="17"/>
  <c r="CP112" i="17"/>
  <c r="CH112" i="17"/>
  <c r="BZ112" i="17"/>
  <c r="BR112" i="17"/>
  <c r="BJ112" i="17"/>
  <c r="BB112" i="17"/>
  <c r="AT112" i="17"/>
  <c r="AL112" i="17"/>
  <c r="AD112" i="17"/>
  <c r="V112" i="17"/>
  <c r="N112" i="17"/>
  <c r="CL131" i="17"/>
  <c r="CK126" i="17"/>
  <c r="CD131" i="17"/>
  <c r="CC126" i="17"/>
  <c r="BV131" i="17"/>
  <c r="BU126" i="17"/>
  <c r="BN131" i="17"/>
  <c r="BM126" i="17"/>
  <c r="BF131" i="17"/>
  <c r="BE126" i="17"/>
  <c r="AX131" i="17"/>
  <c r="AW126" i="17"/>
  <c r="AP131" i="17"/>
  <c r="AO126" i="17"/>
  <c r="AH131" i="17"/>
  <c r="AG126" i="17"/>
  <c r="Z131" i="17"/>
  <c r="Y126" i="17"/>
  <c r="R131" i="17"/>
  <c r="Q126" i="17"/>
  <c r="I126" i="17"/>
  <c r="DH9" i="11"/>
  <c r="DI9" i="11" s="1"/>
  <c r="DJ9" i="11" s="1"/>
  <c r="Z15" i="24"/>
  <c r="AB149" i="12"/>
  <c r="CX9" i="11"/>
  <c r="CY9" i="11" s="1"/>
  <c r="X15" i="24"/>
  <c r="CN9" i="11"/>
  <c r="CO9" i="11" s="1"/>
  <c r="V15" i="24"/>
  <c r="CD9" i="11"/>
  <c r="CE9" i="11" s="1"/>
  <c r="T15" i="24"/>
  <c r="BT9" i="11"/>
  <c r="BU9" i="11" s="1"/>
  <c r="R15" i="24"/>
  <c r="BJ9" i="11"/>
  <c r="BK9" i="11" s="1"/>
  <c r="BL9" i="11" s="1"/>
  <c r="P15" i="24"/>
  <c r="AZ9" i="11"/>
  <c r="BA9" i="11" s="1"/>
  <c r="N15" i="24"/>
  <c r="AP9" i="11"/>
  <c r="AQ9" i="11" s="1"/>
  <c r="L15" i="24"/>
  <c r="AF9" i="11"/>
  <c r="AG9" i="11" s="1"/>
  <c r="J15" i="24"/>
  <c r="V9" i="11"/>
  <c r="W9" i="11" s="1"/>
  <c r="X9" i="11" s="1"/>
  <c r="H15" i="24"/>
  <c r="L9" i="11"/>
  <c r="M9" i="11" s="1"/>
  <c r="F15" i="24"/>
  <c r="AD27" i="12"/>
  <c r="CT62" i="17"/>
  <c r="CT78" i="17" s="1"/>
  <c r="CP78" i="17"/>
  <c r="CH78" i="17"/>
  <c r="BZ78" i="17"/>
  <c r="BY62" i="17"/>
  <c r="BR78" i="17"/>
  <c r="BQ62" i="17"/>
  <c r="BJ78" i="17"/>
  <c r="BI62" i="17"/>
  <c r="BB78" i="17"/>
  <c r="BA62" i="17"/>
  <c r="AT78" i="17"/>
  <c r="AS62" i="17"/>
  <c r="AL78" i="17"/>
  <c r="AK62" i="17"/>
  <c r="AD78" i="17"/>
  <c r="AC62" i="17"/>
  <c r="V78" i="17"/>
  <c r="U62" i="17"/>
  <c r="N78" i="17"/>
  <c r="M62" i="17"/>
  <c r="CL81" i="17"/>
  <c r="CD81" i="17"/>
  <c r="BV81" i="17"/>
  <c r="BU65" i="17"/>
  <c r="BN81" i="17"/>
  <c r="BM65" i="17"/>
  <c r="BF81" i="17"/>
  <c r="BE65" i="17"/>
  <c r="AX81" i="17"/>
  <c r="AW65" i="17"/>
  <c r="AP81" i="17"/>
  <c r="AO65" i="17"/>
  <c r="AH81" i="17"/>
  <c r="AG65" i="17"/>
  <c r="Z81" i="17"/>
  <c r="Y65" i="17"/>
  <c r="R81" i="17"/>
  <c r="Q65" i="17"/>
  <c r="DH49" i="11"/>
  <c r="DI49" i="11" s="1"/>
  <c r="DJ49" i="11" s="1"/>
  <c r="DH8" i="11"/>
  <c r="DI8" i="11" s="1"/>
  <c r="AB148" i="12"/>
  <c r="CX49" i="11"/>
  <c r="CY49" i="11" s="1"/>
  <c r="CZ49" i="11" s="1"/>
  <c r="CX8" i="11"/>
  <c r="CY8" i="11" s="1"/>
  <c r="CH48" i="17"/>
  <c r="CG43" i="17"/>
  <c r="CN49" i="11"/>
  <c r="CO49" i="11" s="1"/>
  <c r="CP49" i="11" s="1"/>
  <c r="CN8" i="11"/>
  <c r="CO8" i="11" s="1"/>
  <c r="BZ48" i="17"/>
  <c r="BY43" i="17"/>
  <c r="CD49" i="11"/>
  <c r="CE49" i="11" s="1"/>
  <c r="CF49" i="11" s="1"/>
  <c r="CD8" i="11"/>
  <c r="CE8" i="11" s="1"/>
  <c r="BR48" i="17"/>
  <c r="BQ43" i="17"/>
  <c r="BT49" i="11"/>
  <c r="BU49" i="11" s="1"/>
  <c r="BV49" i="11" s="1"/>
  <c r="BT8" i="11"/>
  <c r="BU8" i="11" s="1"/>
  <c r="BJ48" i="17"/>
  <c r="BI43" i="17"/>
  <c r="BJ49" i="11"/>
  <c r="BK49" i="11" s="1"/>
  <c r="BL49" i="11" s="1"/>
  <c r="BJ8" i="11"/>
  <c r="BK8" i="11" s="1"/>
  <c r="BB48" i="17"/>
  <c r="BA43" i="17"/>
  <c r="AZ49" i="11"/>
  <c r="BA49" i="11" s="1"/>
  <c r="BB49" i="11" s="1"/>
  <c r="AZ8" i="11"/>
  <c r="BA8" i="11" s="1"/>
  <c r="AT48" i="17"/>
  <c r="AS43" i="17"/>
  <c r="AP49" i="11"/>
  <c r="AQ49" i="11" s="1"/>
  <c r="AR49" i="11" s="1"/>
  <c r="AP8" i="11"/>
  <c r="AQ8" i="11" s="1"/>
  <c r="AL48" i="17"/>
  <c r="AK43" i="17"/>
  <c r="AF49" i="11"/>
  <c r="AG49" i="11" s="1"/>
  <c r="AH49" i="11" s="1"/>
  <c r="AF8" i="11"/>
  <c r="AG8" i="11" s="1"/>
  <c r="AD48" i="17"/>
  <c r="AC43" i="17"/>
  <c r="V49" i="11"/>
  <c r="W49" i="11" s="1"/>
  <c r="X49" i="11" s="1"/>
  <c r="V8" i="11"/>
  <c r="W8" i="11" s="1"/>
  <c r="V48" i="17"/>
  <c r="U43" i="17"/>
  <c r="L49" i="11"/>
  <c r="M49" i="11" s="1"/>
  <c r="N49" i="11" s="1"/>
  <c r="L8" i="11"/>
  <c r="M8" i="11" s="1"/>
  <c r="N8" i="11" s="1"/>
  <c r="N48" i="17"/>
  <c r="M43" i="17"/>
  <c r="CK24" i="17"/>
  <c r="CL29" i="17"/>
  <c r="CC24" i="17"/>
  <c r="CD29" i="17"/>
  <c r="BU24" i="17"/>
  <c r="BV29" i="17"/>
  <c r="BM24" i="17"/>
  <c r="BN29" i="17"/>
  <c r="BE24" i="17"/>
  <c r="BF29" i="17"/>
  <c r="AW24" i="17"/>
  <c r="AX29" i="17"/>
  <c r="AO24" i="17"/>
  <c r="AP29" i="17"/>
  <c r="AG24" i="17"/>
  <c r="AH29" i="17"/>
  <c r="Y24" i="17"/>
  <c r="Z29" i="17"/>
  <c r="Q24" i="17"/>
  <c r="R29" i="17"/>
  <c r="I24" i="17"/>
  <c r="CM13" i="22"/>
  <c r="G116" i="2"/>
  <c r="CP53" i="17"/>
  <c r="CK13" i="22"/>
  <c r="E116" i="2"/>
  <c r="CL53" i="17"/>
  <c r="CH53" i="17"/>
  <c r="CD53" i="17"/>
  <c r="BZ53" i="17"/>
  <c r="BV53" i="17"/>
  <c r="BR53" i="17"/>
  <c r="BN53" i="17"/>
  <c r="BJ53" i="17"/>
  <c r="BF53" i="17"/>
  <c r="BB53" i="17"/>
  <c r="AX53" i="17"/>
  <c r="AT53" i="17"/>
  <c r="AP53" i="17"/>
  <c r="AL53" i="17"/>
  <c r="AH53" i="17"/>
  <c r="AD53" i="17"/>
  <c r="Z53" i="17"/>
  <c r="V53" i="17"/>
  <c r="R53" i="17"/>
  <c r="N53" i="17"/>
  <c r="CK12" i="22"/>
  <c r="E115" i="2"/>
  <c r="CL34" i="17"/>
  <c r="CH34" i="17"/>
  <c r="CD34" i="17"/>
  <c r="BZ34" i="17"/>
  <c r="BV34" i="17"/>
  <c r="BR34" i="17"/>
  <c r="BN34" i="17"/>
  <c r="BJ34" i="17"/>
  <c r="BF34" i="17"/>
  <c r="BB34" i="17"/>
  <c r="AX34" i="17"/>
  <c r="AT34" i="17"/>
  <c r="AP34" i="17"/>
  <c r="AL34" i="17"/>
  <c r="AH34" i="17"/>
  <c r="AD34" i="17"/>
  <c r="Z34" i="17"/>
  <c r="V34" i="17"/>
  <c r="R34" i="17"/>
  <c r="N34" i="17"/>
  <c r="CZ41" i="11"/>
  <c r="CP41" i="11"/>
  <c r="BV41" i="11"/>
  <c r="BB41" i="11"/>
  <c r="AH41" i="11"/>
  <c r="CU42" i="11"/>
  <c r="CK42" i="11"/>
  <c r="CA42" i="11"/>
  <c r="BQ42" i="11"/>
  <c r="BG42" i="11"/>
  <c r="AW42" i="11"/>
  <c r="AM42" i="11"/>
  <c r="AC42" i="11"/>
  <c r="S42" i="11"/>
  <c r="DL110" i="11"/>
  <c r="CH110" i="11"/>
  <c r="BN110" i="11"/>
  <c r="AT110" i="11"/>
  <c r="Z110" i="11"/>
  <c r="AA327" i="12"/>
  <c r="CV111" i="11"/>
  <c r="CW109" i="11"/>
  <c r="CL111" i="11"/>
  <c r="CM109" i="11"/>
  <c r="CB111" i="11"/>
  <c r="CC109" i="11"/>
  <c r="BR111" i="11"/>
  <c r="BR112" i="11" s="1"/>
  <c r="BS109" i="11"/>
  <c r="BH111" i="11"/>
  <c r="BI109" i="11"/>
  <c r="AX111" i="11"/>
  <c r="AY109" i="11"/>
  <c r="AN111" i="11"/>
  <c r="AO109" i="11"/>
  <c r="AD111" i="11"/>
  <c r="AE109" i="11"/>
  <c r="T111" i="11"/>
  <c r="U109" i="11"/>
  <c r="DB95" i="11"/>
  <c r="CR95" i="11"/>
  <c r="BX95" i="11"/>
  <c r="BD95" i="11"/>
  <c r="AJ95" i="11"/>
  <c r="DG94" i="11"/>
  <c r="F537" i="20"/>
  <c r="W537" i="20" s="1"/>
  <c r="F535" i="20"/>
  <c r="W535" i="20" s="1"/>
  <c r="F542" i="20"/>
  <c r="W542" i="20" s="1"/>
  <c r="G537" i="20"/>
  <c r="X537" i="20" s="1"/>
  <c r="G535" i="20"/>
  <c r="X535" i="20" s="1"/>
  <c r="E535" i="20"/>
  <c r="V535" i="20" s="1"/>
  <c r="AU247" i="2"/>
  <c r="Y295" i="12"/>
  <c r="W295" i="12"/>
  <c r="U295" i="12"/>
  <c r="S295" i="12"/>
  <c r="Q295" i="12"/>
  <c r="O295" i="12"/>
  <c r="M295" i="12"/>
  <c r="K295" i="12"/>
  <c r="I295" i="12"/>
  <c r="BH96" i="6"/>
  <c r="DG71" i="11"/>
  <c r="DJ95" i="6"/>
  <c r="CM71" i="11"/>
  <c r="CL95" i="6"/>
  <c r="BS71" i="11"/>
  <c r="BN95" i="6"/>
  <c r="AY71" i="11"/>
  <c r="AP95" i="6"/>
  <c r="AE71" i="11"/>
  <c r="R95" i="6"/>
  <c r="EH40" i="6"/>
  <c r="AD486" i="7"/>
  <c r="N725" i="7"/>
  <c r="AV67" i="6"/>
  <c r="DX95" i="6"/>
  <c r="CV73" i="11"/>
  <c r="CV76" i="11" s="1"/>
  <c r="CW70" i="11"/>
  <c r="CL73" i="11"/>
  <c r="CL78" i="11" s="1"/>
  <c r="CM70" i="11"/>
  <c r="CB73" i="11"/>
  <c r="CC70" i="11"/>
  <c r="BR73" i="11"/>
  <c r="BR78" i="11" s="1"/>
  <c r="BS70" i="11"/>
  <c r="BH73" i="11"/>
  <c r="BI70" i="11"/>
  <c r="AX73" i="11"/>
  <c r="AX74" i="11" s="1"/>
  <c r="AY70" i="11"/>
  <c r="AN73" i="11"/>
  <c r="AN74" i="11" s="1"/>
  <c r="AO70" i="11"/>
  <c r="AD73" i="11"/>
  <c r="AD74" i="11" s="1"/>
  <c r="AE70" i="11"/>
  <c r="T73" i="11"/>
  <c r="U70" i="11"/>
  <c r="EC95" i="6"/>
  <c r="DB72" i="11"/>
  <c r="DE95" i="6"/>
  <c r="CH72" i="11"/>
  <c r="CG95" i="6"/>
  <c r="BN72" i="11"/>
  <c r="BI95" i="6"/>
  <c r="AT72" i="11"/>
  <c r="AK95" i="6"/>
  <c r="Z72" i="11"/>
  <c r="M95" i="6"/>
  <c r="CA89" i="6"/>
  <c r="DB117" i="11"/>
  <c r="CH117" i="11"/>
  <c r="BN117" i="11"/>
  <c r="AT117" i="11"/>
  <c r="Z117" i="11"/>
  <c r="AA355" i="12"/>
  <c r="W355" i="12"/>
  <c r="S355" i="12"/>
  <c r="O355" i="12"/>
  <c r="K355" i="12"/>
  <c r="AB340" i="12"/>
  <c r="DL116" i="11"/>
  <c r="EA54" i="6"/>
  <c r="EA8" i="6"/>
  <c r="Z340" i="12"/>
  <c r="DB17" i="11"/>
  <c r="Z459" i="12"/>
  <c r="DO54" i="6"/>
  <c r="DO8" i="6"/>
  <c r="X340" i="12"/>
  <c r="CR17" i="11"/>
  <c r="X459" i="12"/>
  <c r="DC54" i="6"/>
  <c r="DC8" i="6"/>
  <c r="V215" i="7"/>
  <c r="V216" i="7"/>
  <c r="V214" i="7"/>
  <c r="CH116" i="11"/>
  <c r="T340" i="12"/>
  <c r="BX17" i="11"/>
  <c r="T459" i="12"/>
  <c r="CE54" i="6"/>
  <c r="CE8" i="6"/>
  <c r="R215" i="7"/>
  <c r="R216" i="7"/>
  <c r="R214" i="7"/>
  <c r="BN116" i="11"/>
  <c r="P340" i="12"/>
  <c r="BD17" i="11"/>
  <c r="P459" i="12"/>
  <c r="BG54" i="6"/>
  <c r="BG8" i="6"/>
  <c r="N215" i="7"/>
  <c r="N216" i="7"/>
  <c r="N214" i="7"/>
  <c r="AT116" i="11"/>
  <c r="L340" i="12"/>
  <c r="AJ17" i="11"/>
  <c r="L459" i="12"/>
  <c r="AI54" i="6"/>
  <c r="AI8" i="6"/>
  <c r="J215" i="7"/>
  <c r="J216" i="7"/>
  <c r="J214" i="7"/>
  <c r="Z116" i="11"/>
  <c r="H340" i="12"/>
  <c r="P17" i="11"/>
  <c r="H459" i="12"/>
  <c r="K54" i="6"/>
  <c r="K8" i="6"/>
  <c r="AB453" i="12"/>
  <c r="Z453" i="12"/>
  <c r="X346" i="12"/>
  <c r="CR15" i="11"/>
  <c r="V346" i="12"/>
  <c r="CH15" i="11"/>
  <c r="T346" i="12"/>
  <c r="BX15" i="11"/>
  <c r="R346" i="12"/>
  <c r="BN15" i="11"/>
  <c r="P346" i="12"/>
  <c r="BD15" i="11"/>
  <c r="N346" i="12"/>
  <c r="AT15" i="11"/>
  <c r="L346" i="12"/>
  <c r="AJ15" i="11"/>
  <c r="J346" i="12"/>
  <c r="Z15" i="11"/>
  <c r="H346" i="12"/>
  <c r="P15" i="11"/>
  <c r="E505" i="20"/>
  <c r="V505" i="20" s="1"/>
  <c r="F505" i="20"/>
  <c r="W505" i="20" s="1"/>
  <c r="F186" i="20"/>
  <c r="W186" i="20" s="1"/>
  <c r="G186" i="20"/>
  <c r="X186" i="20" s="1"/>
  <c r="AU146" i="2"/>
  <c r="CY101" i="11"/>
  <c r="Z175" i="12" s="1"/>
  <c r="CW101" i="11"/>
  <c r="Y451" i="12"/>
  <c r="CO101" i="11"/>
  <c r="X175" i="12" s="1"/>
  <c r="X22" i="21" s="1"/>
  <c r="CM101" i="11"/>
  <c r="W451" i="12"/>
  <c r="CE101" i="11"/>
  <c r="V175" i="12" s="1"/>
  <c r="V22" i="21" s="1"/>
  <c r="CC101" i="11"/>
  <c r="U451" i="12"/>
  <c r="BU101" i="11"/>
  <c r="T175" i="12" s="1"/>
  <c r="T22" i="21" s="1"/>
  <c r="BS101" i="11"/>
  <c r="S451" i="12"/>
  <c r="BK101" i="11"/>
  <c r="R175" i="12" s="1"/>
  <c r="R22" i="21" s="1"/>
  <c r="BI101" i="11"/>
  <c r="Q451" i="12"/>
  <c r="BA101" i="11"/>
  <c r="P175" i="12" s="1"/>
  <c r="P22" i="21" s="1"/>
  <c r="AY101" i="11"/>
  <c r="O451" i="12"/>
  <c r="AQ101" i="11"/>
  <c r="N175" i="12" s="1"/>
  <c r="N22" i="21" s="1"/>
  <c r="AO101" i="11"/>
  <c r="M451" i="12"/>
  <c r="AG101" i="11"/>
  <c r="L175" i="12" s="1"/>
  <c r="L22" i="21" s="1"/>
  <c r="AE101" i="11"/>
  <c r="K451" i="12"/>
  <c r="W101" i="11"/>
  <c r="J175" i="12" s="1"/>
  <c r="J22" i="21" s="1"/>
  <c r="U101" i="11"/>
  <c r="I451" i="12"/>
  <c r="AB452" i="12"/>
  <c r="DD102" i="11"/>
  <c r="AA174" i="12" s="1"/>
  <c r="DB102" i="11"/>
  <c r="DB111" i="11" s="1"/>
  <c r="X452" i="12"/>
  <c r="V452" i="12"/>
  <c r="T452" i="12"/>
  <c r="R452" i="12"/>
  <c r="P452" i="12"/>
  <c r="N452" i="12"/>
  <c r="L452" i="12"/>
  <c r="J452" i="12"/>
  <c r="H452" i="12"/>
  <c r="DG88" i="11"/>
  <c r="AA305" i="12"/>
  <c r="CW13" i="11"/>
  <c r="Y443" i="12"/>
  <c r="Y335" i="12"/>
  <c r="CM88" i="11"/>
  <c r="W305" i="12"/>
  <c r="CC13" i="11"/>
  <c r="U443" i="12"/>
  <c r="U335" i="12"/>
  <c r="BS88" i="11"/>
  <c r="S305" i="12"/>
  <c r="BI13" i="11"/>
  <c r="Q443" i="12"/>
  <c r="Q335" i="12"/>
  <c r="AY88" i="11"/>
  <c r="O305" i="12"/>
  <c r="AO13" i="11"/>
  <c r="M443" i="12"/>
  <c r="M335" i="12"/>
  <c r="AE88" i="11"/>
  <c r="K305" i="12"/>
  <c r="U13" i="11"/>
  <c r="I443" i="12"/>
  <c r="I335" i="12"/>
  <c r="AB441" i="12"/>
  <c r="DD86" i="11"/>
  <c r="AA173" i="12" s="1"/>
  <c r="DB86" i="11"/>
  <c r="X441" i="12"/>
  <c r="V441" i="12"/>
  <c r="T441" i="12"/>
  <c r="R441" i="12"/>
  <c r="P441" i="12"/>
  <c r="N441" i="12"/>
  <c r="L441" i="12"/>
  <c r="J441" i="12"/>
  <c r="H441" i="12"/>
  <c r="DI87" i="11"/>
  <c r="AB172" i="12" s="1"/>
  <c r="DG87" i="11"/>
  <c r="DG96" i="11" s="1"/>
  <c r="AA442" i="12"/>
  <c r="E509" i="20"/>
  <c r="V509" i="20" s="1"/>
  <c r="E508" i="20"/>
  <c r="V508" i="20" s="1"/>
  <c r="E503" i="20"/>
  <c r="V503" i="20" s="1"/>
  <c r="E502" i="20"/>
  <c r="V502" i="20" s="1"/>
  <c r="E500" i="20"/>
  <c r="V500" i="20" s="1"/>
  <c r="F500" i="20"/>
  <c r="W500" i="20" s="1"/>
  <c r="F189" i="20"/>
  <c r="W189" i="20" s="1"/>
  <c r="F188" i="20"/>
  <c r="W188" i="20" s="1"/>
  <c r="G181" i="20"/>
  <c r="X181" i="20" s="1"/>
  <c r="F180" i="20"/>
  <c r="W180" i="20" s="1"/>
  <c r="F181" i="20"/>
  <c r="W181" i="20" s="1"/>
  <c r="G180" i="20"/>
  <c r="X180" i="20" s="1"/>
  <c r="D311" i="2"/>
  <c r="AU143" i="2"/>
  <c r="CY87" i="11"/>
  <c r="Z172" i="12" s="1"/>
  <c r="CW87" i="11"/>
  <c r="Y442" i="12"/>
  <c r="W334" i="12"/>
  <c r="CE87" i="11"/>
  <c r="V172" i="12" s="1"/>
  <c r="V19" i="21" s="1"/>
  <c r="CC87" i="11"/>
  <c r="U442" i="12"/>
  <c r="S334" i="12"/>
  <c r="BK87" i="11"/>
  <c r="R172" i="12" s="1"/>
  <c r="R19" i="21" s="1"/>
  <c r="BI87" i="11"/>
  <c r="Q442" i="12"/>
  <c r="O334" i="12"/>
  <c r="AQ87" i="11"/>
  <c r="N172" i="12" s="1"/>
  <c r="N19" i="21" s="1"/>
  <c r="AO87" i="11"/>
  <c r="M442" i="12"/>
  <c r="K334" i="12"/>
  <c r="W87" i="11"/>
  <c r="J172" i="12" s="1"/>
  <c r="J19" i="21" s="1"/>
  <c r="U87" i="11"/>
  <c r="I442" i="12"/>
  <c r="AA345" i="12"/>
  <c r="Y301" i="12"/>
  <c r="W345" i="12"/>
  <c r="U301" i="12"/>
  <c r="S345" i="12"/>
  <c r="Q301" i="12"/>
  <c r="O345" i="12"/>
  <c r="M301" i="12"/>
  <c r="K345" i="12"/>
  <c r="I301" i="12"/>
  <c r="AB304" i="12"/>
  <c r="Z269" i="12"/>
  <c r="X304" i="12"/>
  <c r="T304" i="12"/>
  <c r="P304" i="12"/>
  <c r="L304" i="12"/>
  <c r="H304" i="12"/>
  <c r="Y251" i="12"/>
  <c r="Y272" i="12"/>
  <c r="U251" i="12"/>
  <c r="U272" i="12"/>
  <c r="Q251" i="12"/>
  <c r="Q272" i="12"/>
  <c r="M251" i="12"/>
  <c r="M272" i="12"/>
  <c r="I251" i="12"/>
  <c r="I272" i="12"/>
  <c r="AB433" i="12"/>
  <c r="DL81" i="11"/>
  <c r="EA96" i="6"/>
  <c r="Z549" i="7"/>
  <c r="DG9" i="11"/>
  <c r="AA256" i="12"/>
  <c r="AA232" i="12"/>
  <c r="AA244" i="12"/>
  <c r="Y16" i="24" s="1"/>
  <c r="AA238" i="12"/>
  <c r="F176" i="20"/>
  <c r="W176" i="20" s="1"/>
  <c r="G176" i="20"/>
  <c r="X176" i="20" s="1"/>
  <c r="D320" i="2"/>
  <c r="AU138" i="2"/>
  <c r="CW9" i="11"/>
  <c r="Y256" i="12"/>
  <c r="Y232" i="12"/>
  <c r="Y244" i="12"/>
  <c r="W16" i="24" s="1"/>
  <c r="Y238" i="12"/>
  <c r="CM64" i="11"/>
  <c r="W421" i="12"/>
  <c r="CW95" i="6"/>
  <c r="DB46" i="6"/>
  <c r="CC9" i="11"/>
  <c r="U256" i="12"/>
  <c r="U232" i="12"/>
  <c r="U244" i="12"/>
  <c r="S16" i="24" s="1"/>
  <c r="U238" i="12"/>
  <c r="BS64" i="11"/>
  <c r="S421" i="12"/>
  <c r="BY95" i="6"/>
  <c r="CD46" i="6"/>
  <c r="BI9" i="11"/>
  <c r="Q256" i="12"/>
  <c r="Q232" i="12"/>
  <c r="Q244" i="12"/>
  <c r="O16" i="24" s="1"/>
  <c r="Q238" i="12"/>
  <c r="AY64" i="11"/>
  <c r="O421" i="12"/>
  <c r="BA95" i="6"/>
  <c r="BF46" i="6"/>
  <c r="AO9" i="11"/>
  <c r="M256" i="12"/>
  <c r="M232" i="12"/>
  <c r="M244" i="12"/>
  <c r="K16" i="24" s="1"/>
  <c r="M238" i="12"/>
  <c r="AE64" i="11"/>
  <c r="K421" i="12"/>
  <c r="AC95" i="6"/>
  <c r="AH46" i="6"/>
  <c r="U9" i="11"/>
  <c r="I256" i="12"/>
  <c r="I232" i="12"/>
  <c r="I244" i="12"/>
  <c r="G16" i="24" s="1"/>
  <c r="I238" i="12"/>
  <c r="G232" i="12"/>
  <c r="G244" i="12"/>
  <c r="E16" i="24" s="1"/>
  <c r="Z420" i="12"/>
  <c r="CT63" i="11"/>
  <c r="Y170" i="12" s="1"/>
  <c r="Y17" i="21" s="1"/>
  <c r="CR63" i="11"/>
  <c r="CJ63" i="11"/>
  <c r="W170" i="12" s="1"/>
  <c r="W17" i="21" s="1"/>
  <c r="CH63" i="11"/>
  <c r="BZ63" i="11"/>
  <c r="U170" i="12" s="1"/>
  <c r="U17" i="21" s="1"/>
  <c r="BX63" i="11"/>
  <c r="BP63" i="11"/>
  <c r="S170" i="12" s="1"/>
  <c r="S17" i="21" s="1"/>
  <c r="BN63" i="11"/>
  <c r="BF63" i="11"/>
  <c r="Q170" i="12" s="1"/>
  <c r="Q17" i="21" s="1"/>
  <c r="BD63" i="11"/>
  <c r="AV63" i="11"/>
  <c r="O170" i="12" s="1"/>
  <c r="O17" i="21" s="1"/>
  <c r="AT63" i="11"/>
  <c r="AL63" i="11"/>
  <c r="M170" i="12" s="1"/>
  <c r="M17" i="21" s="1"/>
  <c r="AJ63" i="11"/>
  <c r="AB63" i="11"/>
  <c r="K170" i="12" s="1"/>
  <c r="K17" i="21" s="1"/>
  <c r="Z63" i="11"/>
  <c r="R63" i="11"/>
  <c r="I170" i="12" s="1"/>
  <c r="I17" i="21" s="1"/>
  <c r="P63" i="11"/>
  <c r="AA416" i="12"/>
  <c r="Y416" i="12"/>
  <c r="CM59" i="11"/>
  <c r="U416" i="12"/>
  <c r="BS59" i="11"/>
  <c r="Q416" i="12"/>
  <c r="AY59" i="11"/>
  <c r="M416" i="12"/>
  <c r="AE59" i="11"/>
  <c r="I416" i="12"/>
  <c r="DL62" i="11"/>
  <c r="AB419" i="12"/>
  <c r="CT62" i="11"/>
  <c r="Y169" i="12" s="1"/>
  <c r="Y16" i="21" s="1"/>
  <c r="CR62" i="11"/>
  <c r="X419" i="12"/>
  <c r="CJ62" i="11"/>
  <c r="W169" i="12" s="1"/>
  <c r="W16" i="21" s="1"/>
  <c r="CH62" i="11"/>
  <c r="V419" i="12"/>
  <c r="BZ62" i="11"/>
  <c r="U169" i="12" s="1"/>
  <c r="U16" i="21" s="1"/>
  <c r="BX62" i="11"/>
  <c r="T419" i="12"/>
  <c r="BP62" i="11"/>
  <c r="S169" i="12" s="1"/>
  <c r="S16" i="21" s="1"/>
  <c r="BN62" i="11"/>
  <c r="R419" i="12"/>
  <c r="BF62" i="11"/>
  <c r="Q169" i="12" s="1"/>
  <c r="Q16" i="21" s="1"/>
  <c r="BD62" i="11"/>
  <c r="P419" i="12"/>
  <c r="AV62" i="11"/>
  <c r="O169" i="12" s="1"/>
  <c r="O16" i="21" s="1"/>
  <c r="AT62" i="11"/>
  <c r="N419" i="12"/>
  <c r="AL62" i="11"/>
  <c r="M169" i="12" s="1"/>
  <c r="M16" i="21" s="1"/>
  <c r="AJ62" i="11"/>
  <c r="L419" i="12"/>
  <c r="AB62" i="11"/>
  <c r="K169" i="12" s="1"/>
  <c r="K16" i="21" s="1"/>
  <c r="Z62" i="11"/>
  <c r="J419" i="12"/>
  <c r="R62" i="11"/>
  <c r="I169" i="12" s="1"/>
  <c r="I16" i="21" s="1"/>
  <c r="P62" i="11"/>
  <c r="H419" i="12"/>
  <c r="DI58" i="11"/>
  <c r="DG58" i="11"/>
  <c r="AA415" i="12"/>
  <c r="M58" i="11"/>
  <c r="H178" i="12" s="1"/>
  <c r="H25" i="21" s="1"/>
  <c r="DL57" i="11"/>
  <c r="AB414" i="12"/>
  <c r="DD57" i="11"/>
  <c r="DB57" i="11"/>
  <c r="X414" i="12"/>
  <c r="CJ57" i="11"/>
  <c r="CH57" i="11"/>
  <c r="T414" i="12"/>
  <c r="BP57" i="11"/>
  <c r="BN57" i="11"/>
  <c r="P414" i="12"/>
  <c r="AV57" i="11"/>
  <c r="AT57" i="11"/>
  <c r="L414" i="12"/>
  <c r="AB57" i="11"/>
  <c r="Z57" i="11"/>
  <c r="H414" i="12"/>
  <c r="DG49" i="11"/>
  <c r="AA397" i="12"/>
  <c r="G486" i="20"/>
  <c r="X486" i="20" s="1"/>
  <c r="F486" i="20"/>
  <c r="W486" i="20" s="1"/>
  <c r="G175" i="20"/>
  <c r="X175" i="20" s="1"/>
  <c r="F175" i="20"/>
  <c r="W175" i="20" s="1"/>
  <c r="AU137" i="2"/>
  <c r="CW8" i="11"/>
  <c r="Y255" i="12"/>
  <c r="Y450" i="7"/>
  <c r="CM8" i="11"/>
  <c r="W255" i="12"/>
  <c r="W450" i="7"/>
  <c r="W439" i="7"/>
  <c r="CC8" i="11"/>
  <c r="U255" i="12"/>
  <c r="U450" i="7"/>
  <c r="U439" i="7"/>
  <c r="BS8" i="11"/>
  <c r="S255" i="12"/>
  <c r="S450" i="7"/>
  <c r="S439" i="7"/>
  <c r="BI8" i="11"/>
  <c r="Q255" i="12"/>
  <c r="Q450" i="7"/>
  <c r="Q439" i="7"/>
  <c r="AY8" i="11"/>
  <c r="O255" i="12"/>
  <c r="O450" i="7"/>
  <c r="O439" i="7"/>
  <c r="AO8" i="11"/>
  <c r="M255" i="12"/>
  <c r="M450" i="7"/>
  <c r="M439" i="7"/>
  <c r="AE8" i="11"/>
  <c r="K255" i="12"/>
  <c r="K450" i="7"/>
  <c r="K439" i="7"/>
  <c r="U8" i="11"/>
  <c r="I255" i="12"/>
  <c r="I450" i="7"/>
  <c r="I439" i="7"/>
  <c r="DL48" i="11"/>
  <c r="DK51" i="11"/>
  <c r="DB48" i="11"/>
  <c r="DA51" i="11"/>
  <c r="DR87" i="6"/>
  <c r="DF50" i="11"/>
  <c r="DG47" i="11"/>
  <c r="G487" i="20"/>
  <c r="X487" i="20" s="1"/>
  <c r="F487" i="20"/>
  <c r="W487" i="20" s="1"/>
  <c r="AU219" i="2"/>
  <c r="DL86" i="6"/>
  <c r="DL36" i="6"/>
  <c r="CZ86" i="6"/>
  <c r="CZ36" i="6"/>
  <c r="CN86" i="6"/>
  <c r="CN36" i="6"/>
  <c r="CB86" i="6"/>
  <c r="CB36" i="6"/>
  <c r="BP86" i="6"/>
  <c r="BP36" i="6"/>
  <c r="BD86" i="6"/>
  <c r="BD36" i="6"/>
  <c r="AR86" i="6"/>
  <c r="AR36" i="6"/>
  <c r="AF86" i="6"/>
  <c r="AF36" i="6"/>
  <c r="T86" i="6"/>
  <c r="T36" i="6"/>
  <c r="AB366" i="12"/>
  <c r="DL35" i="11"/>
  <c r="AB391" i="12"/>
  <c r="EB85" i="6"/>
  <c r="DA10" i="11"/>
  <c r="DB7" i="11"/>
  <c r="Z391" i="12"/>
  <c r="X366" i="12"/>
  <c r="V54" i="24" s="1"/>
  <c r="CR35" i="11"/>
  <c r="X254" i="12"/>
  <c r="DD85" i="6"/>
  <c r="CG10" i="11"/>
  <c r="CH7" i="11"/>
  <c r="V391" i="12"/>
  <c r="T366" i="12"/>
  <c r="R54" i="24" s="1"/>
  <c r="BX35" i="11"/>
  <c r="T254" i="12"/>
  <c r="CF85" i="6"/>
  <c r="BM10" i="11"/>
  <c r="BN7" i="11"/>
  <c r="R391" i="12"/>
  <c r="P366" i="12"/>
  <c r="N54" i="24" s="1"/>
  <c r="BD35" i="11"/>
  <c r="P254" i="12"/>
  <c r="BH85" i="6"/>
  <c r="AS10" i="11"/>
  <c r="AT7" i="11"/>
  <c r="N391" i="12"/>
  <c r="L366" i="12"/>
  <c r="J54" i="24" s="1"/>
  <c r="AJ35" i="11"/>
  <c r="L254" i="12"/>
  <c r="AJ85" i="6"/>
  <c r="Y10" i="11"/>
  <c r="Z7" i="11"/>
  <c r="J391" i="12"/>
  <c r="H366" i="12"/>
  <c r="F54" i="24" s="1"/>
  <c r="P35" i="11"/>
  <c r="H254" i="12"/>
  <c r="L85" i="6"/>
  <c r="DC17" i="11"/>
  <c r="DC116" i="11" s="1"/>
  <c r="DD116" i="11" s="1"/>
  <c r="DE116" i="11" s="1"/>
  <c r="Y10" i="24"/>
  <c r="CL265" i="17"/>
  <c r="CK260" i="17"/>
  <c r="CS17" i="11"/>
  <c r="CS116" i="11" s="1"/>
  <c r="CT116" i="11" s="1"/>
  <c r="CU116" i="11" s="1"/>
  <c r="W10" i="24"/>
  <c r="CD265" i="17"/>
  <c r="CC260" i="17"/>
  <c r="CI17" i="11"/>
  <c r="CI116" i="11" s="1"/>
  <c r="CJ116" i="11" s="1"/>
  <c r="CK116" i="11" s="1"/>
  <c r="U10" i="24"/>
  <c r="BV265" i="17"/>
  <c r="BU260" i="17"/>
  <c r="BY17" i="11"/>
  <c r="BY116" i="11" s="1"/>
  <c r="BZ116" i="11" s="1"/>
  <c r="CA116" i="11" s="1"/>
  <c r="S10" i="24"/>
  <c r="BN265" i="17"/>
  <c r="BM260" i="17"/>
  <c r="BO17" i="11"/>
  <c r="BO116" i="11" s="1"/>
  <c r="BP116" i="11" s="1"/>
  <c r="BQ116" i="11" s="1"/>
  <c r="Q10" i="24"/>
  <c r="BF265" i="17"/>
  <c r="BE260" i="17"/>
  <c r="BE17" i="11"/>
  <c r="BE116" i="11" s="1"/>
  <c r="BF116" i="11" s="1"/>
  <c r="BG116" i="11" s="1"/>
  <c r="O10" i="24"/>
  <c r="AX265" i="17"/>
  <c r="AW260" i="17"/>
  <c r="AU17" i="11"/>
  <c r="AU116" i="11" s="1"/>
  <c r="AV116" i="11" s="1"/>
  <c r="AW116" i="11" s="1"/>
  <c r="M10" i="24"/>
  <c r="AP265" i="17"/>
  <c r="AO260" i="17"/>
  <c r="AK17" i="11"/>
  <c r="AK116" i="11" s="1"/>
  <c r="AL116" i="11" s="1"/>
  <c r="AM116" i="11" s="1"/>
  <c r="K10" i="24"/>
  <c r="AH265" i="17"/>
  <c r="AG260" i="17"/>
  <c r="AA17" i="11"/>
  <c r="AA116" i="11" s="1"/>
  <c r="AB116" i="11" s="1"/>
  <c r="AC116" i="11" s="1"/>
  <c r="I10" i="24"/>
  <c r="Z265" i="17"/>
  <c r="Y260" i="17"/>
  <c r="Q17" i="11"/>
  <c r="Q116" i="11" s="1"/>
  <c r="R116" i="11" s="1"/>
  <c r="S116" i="11" s="1"/>
  <c r="G10" i="24"/>
  <c r="R265" i="17"/>
  <c r="Q260" i="17"/>
  <c r="I260" i="17"/>
  <c r="DC103" i="11"/>
  <c r="DC15" i="11"/>
  <c r="DD15" i="11" s="1"/>
  <c r="AA155" i="12"/>
  <c r="CS103" i="11"/>
  <c r="CT103" i="11" s="1"/>
  <c r="CS15" i="11"/>
  <c r="CT15" i="11" s="1"/>
  <c r="Y155" i="12"/>
  <c r="CI103" i="11"/>
  <c r="CJ103" i="11" s="1"/>
  <c r="CI15" i="11"/>
  <c r="CJ15" i="11" s="1"/>
  <c r="BY103" i="11"/>
  <c r="BZ103" i="11" s="1"/>
  <c r="BY15" i="11"/>
  <c r="BZ15" i="11" s="1"/>
  <c r="BO103" i="11"/>
  <c r="BP103" i="11" s="1"/>
  <c r="BO15" i="11"/>
  <c r="BP15" i="11" s="1"/>
  <c r="BE103" i="11"/>
  <c r="BF103" i="11" s="1"/>
  <c r="BE15" i="11"/>
  <c r="BF15" i="11" s="1"/>
  <c r="AU103" i="11"/>
  <c r="AV103" i="11" s="1"/>
  <c r="AU15" i="11"/>
  <c r="AV15" i="11" s="1"/>
  <c r="AK103" i="11"/>
  <c r="AL103" i="11" s="1"/>
  <c r="AK15" i="11"/>
  <c r="AL15" i="11" s="1"/>
  <c r="AA103" i="11"/>
  <c r="AB103" i="11" s="1"/>
  <c r="AA15" i="11"/>
  <c r="AB15" i="11" s="1"/>
  <c r="Q103" i="11"/>
  <c r="R103" i="11" s="1"/>
  <c r="Q15" i="11"/>
  <c r="R15" i="11" s="1"/>
  <c r="CP238" i="17"/>
  <c r="CH238" i="17"/>
  <c r="BZ238" i="17"/>
  <c r="BR238" i="17"/>
  <c r="BQ225" i="17"/>
  <c r="BJ238" i="17"/>
  <c r="BI225" i="17"/>
  <c r="BB238" i="17"/>
  <c r="BA225" i="17"/>
  <c r="AT238" i="17"/>
  <c r="AS225" i="17"/>
  <c r="AL238" i="17"/>
  <c r="AK225" i="17"/>
  <c r="AD238" i="17"/>
  <c r="AC225" i="17"/>
  <c r="V238" i="17"/>
  <c r="U225" i="17"/>
  <c r="N238" i="17"/>
  <c r="M225" i="17"/>
  <c r="CL235" i="17"/>
  <c r="CD235" i="17"/>
  <c r="BU222" i="17"/>
  <c r="BV235" i="17"/>
  <c r="BM222" i="17"/>
  <c r="BN235" i="17"/>
  <c r="BE222" i="17"/>
  <c r="BF235" i="17"/>
  <c r="AW222" i="17"/>
  <c r="AX235" i="17"/>
  <c r="AO222" i="17"/>
  <c r="AP235" i="17"/>
  <c r="AG222" i="17"/>
  <c r="AH235" i="17"/>
  <c r="Y222" i="17"/>
  <c r="Z235" i="17"/>
  <c r="Q222" i="17"/>
  <c r="R235" i="17"/>
  <c r="AB99" i="12"/>
  <c r="AB153" i="12"/>
  <c r="CP186" i="17"/>
  <c r="Z99" i="12"/>
  <c r="Z153" i="12"/>
  <c r="CN88" i="11"/>
  <c r="CO88" i="11" s="1"/>
  <c r="CN13" i="11"/>
  <c r="CO13" i="11" s="1"/>
  <c r="X119" i="12"/>
  <c r="BY173" i="17"/>
  <c r="BZ186" i="17"/>
  <c r="V99" i="12"/>
  <c r="BT88" i="11"/>
  <c r="BU88" i="11" s="1"/>
  <c r="BT13" i="11"/>
  <c r="BU13" i="11" s="1"/>
  <c r="T119" i="12"/>
  <c r="BJ186" i="17"/>
  <c r="R99" i="12"/>
  <c r="AZ88" i="11"/>
  <c r="BA88" i="11" s="1"/>
  <c r="AZ13" i="11"/>
  <c r="BA13" i="11" s="1"/>
  <c r="P119" i="12"/>
  <c r="AT186" i="17"/>
  <c r="N99" i="12"/>
  <c r="AF88" i="11"/>
  <c r="AG88" i="11" s="1"/>
  <c r="AF13" i="11"/>
  <c r="AG13" i="11" s="1"/>
  <c r="L119" i="12"/>
  <c r="AD186" i="17"/>
  <c r="J99" i="12"/>
  <c r="L88" i="11"/>
  <c r="M88" i="11" s="1"/>
  <c r="L13" i="11"/>
  <c r="M13" i="11" s="1"/>
  <c r="H119" i="12"/>
  <c r="N186" i="17"/>
  <c r="CL181" i="17"/>
  <c r="CD181" i="17"/>
  <c r="BU168" i="17"/>
  <c r="BV181" i="17"/>
  <c r="BM168" i="17"/>
  <c r="BN181" i="17"/>
  <c r="BE168" i="17"/>
  <c r="BF181" i="17"/>
  <c r="AW168" i="17"/>
  <c r="AX181" i="17"/>
  <c r="AO168" i="17"/>
  <c r="AP181" i="17"/>
  <c r="AG168" i="17"/>
  <c r="AH181" i="17"/>
  <c r="Y168" i="17"/>
  <c r="Z181" i="17"/>
  <c r="Q168" i="17"/>
  <c r="R181" i="17"/>
  <c r="CT165" i="17"/>
  <c r="CT178" i="17" s="1"/>
  <c r="AD82" i="12"/>
  <c r="AE82" i="12" s="1"/>
  <c r="Z118" i="12"/>
  <c r="CH178" i="17"/>
  <c r="V118" i="12"/>
  <c r="BR178" i="17"/>
  <c r="BQ165" i="17"/>
  <c r="R118" i="12"/>
  <c r="BB178" i="17"/>
  <c r="BA165" i="17"/>
  <c r="N118" i="12"/>
  <c r="AL178" i="17"/>
  <c r="AK165" i="17"/>
  <c r="J118" i="12"/>
  <c r="V178" i="17"/>
  <c r="U165" i="17"/>
  <c r="AA128" i="12"/>
  <c r="Y128" i="12"/>
  <c r="W128" i="12"/>
  <c r="U128" i="12"/>
  <c r="S128" i="12"/>
  <c r="Q128" i="12"/>
  <c r="O128" i="12"/>
  <c r="M128" i="12"/>
  <c r="K128" i="12"/>
  <c r="I128" i="12"/>
  <c r="CP151" i="17"/>
  <c r="CH151" i="17"/>
  <c r="BZ151" i="17"/>
  <c r="BR151" i="17"/>
  <c r="BJ151" i="17"/>
  <c r="BB151" i="17"/>
  <c r="AT151" i="17"/>
  <c r="AL151" i="17"/>
  <c r="AD151" i="17"/>
  <c r="V151" i="17"/>
  <c r="N151" i="17"/>
  <c r="CL112" i="17"/>
  <c r="CD112" i="17"/>
  <c r="BV112" i="17"/>
  <c r="BN112" i="17"/>
  <c r="BF112" i="17"/>
  <c r="AX112" i="17"/>
  <c r="AP112" i="17"/>
  <c r="AH112" i="17"/>
  <c r="Z112" i="17"/>
  <c r="R112" i="17"/>
  <c r="AB151" i="12"/>
  <c r="Z151" i="12"/>
  <c r="X151" i="12"/>
  <c r="V151" i="12"/>
  <c r="T151" i="12"/>
  <c r="R151" i="12"/>
  <c r="P151" i="12"/>
  <c r="N151" i="12"/>
  <c r="L151" i="12"/>
  <c r="J151" i="12"/>
  <c r="H151" i="12"/>
  <c r="DC9" i="11"/>
  <c r="DD9" i="11" s="1"/>
  <c r="Y15" i="24"/>
  <c r="AA149" i="12"/>
  <c r="CS9" i="11"/>
  <c r="CT9" i="11" s="1"/>
  <c r="W15" i="24"/>
  <c r="CI9" i="11"/>
  <c r="CJ9" i="11" s="1"/>
  <c r="U15" i="24"/>
  <c r="BY9" i="11"/>
  <c r="BZ9" i="11" s="1"/>
  <c r="S15" i="24"/>
  <c r="BO9" i="11"/>
  <c r="BP9" i="11" s="1"/>
  <c r="Q15" i="24"/>
  <c r="BE9" i="11"/>
  <c r="BF9" i="11" s="1"/>
  <c r="O15" i="24"/>
  <c r="AU9" i="11"/>
  <c r="AV9" i="11" s="1"/>
  <c r="M15" i="24"/>
  <c r="AK9" i="11"/>
  <c r="AL9" i="11" s="1"/>
  <c r="K15" i="24"/>
  <c r="AA9" i="11"/>
  <c r="AB9" i="11" s="1"/>
  <c r="I15" i="24"/>
  <c r="Q9" i="11"/>
  <c r="R9" i="11" s="1"/>
  <c r="G15" i="24"/>
  <c r="CT68" i="17"/>
  <c r="CT84" i="17" s="1"/>
  <c r="AD28" i="12"/>
  <c r="CP84" i="17"/>
  <c r="CH84" i="17"/>
  <c r="BZ84" i="17"/>
  <c r="BY68" i="17"/>
  <c r="BR84" i="17"/>
  <c r="BQ68" i="17"/>
  <c r="BJ84" i="17"/>
  <c r="BI68" i="17"/>
  <c r="BB84" i="17"/>
  <c r="BA68" i="17"/>
  <c r="AT84" i="17"/>
  <c r="AS68" i="17"/>
  <c r="AL84" i="17"/>
  <c r="AK68" i="17"/>
  <c r="AD84" i="17"/>
  <c r="AC68" i="17"/>
  <c r="V84" i="17"/>
  <c r="U68" i="17"/>
  <c r="N84" i="17"/>
  <c r="M68" i="17"/>
  <c r="AS53" i="24"/>
  <c r="AS44" i="24"/>
  <c r="AS30" i="24"/>
  <c r="AS25" i="24"/>
  <c r="AD24" i="24"/>
  <c r="AD23" i="24"/>
  <c r="AS22" i="24"/>
  <c r="AS21" i="24"/>
  <c r="AS52" i="24"/>
  <c r="AS39" i="24"/>
  <c r="AD25" i="24"/>
  <c r="AS24" i="24"/>
  <c r="AS23" i="24"/>
  <c r="AD22" i="24"/>
  <c r="AD21" i="24"/>
  <c r="D17" i="24"/>
  <c r="AA148" i="12"/>
  <c r="DC8" i="11"/>
  <c r="DD8" i="11" s="1"/>
  <c r="DC49" i="11"/>
  <c r="DD49" i="11" s="1"/>
  <c r="DE49" i="11" s="1"/>
  <c r="Y148" i="12"/>
  <c r="CS8" i="11"/>
  <c r="CT8" i="11" s="1"/>
  <c r="CS49" i="11"/>
  <c r="CT49" i="11" s="1"/>
  <c r="CU49" i="11" s="1"/>
  <c r="W148" i="12"/>
  <c r="CI8" i="11"/>
  <c r="CJ8" i="11" s="1"/>
  <c r="CI49" i="11"/>
  <c r="CJ49" i="11" s="1"/>
  <c r="CK49" i="11" s="1"/>
  <c r="U148" i="12"/>
  <c r="BY8" i="11"/>
  <c r="BZ8" i="11" s="1"/>
  <c r="BY49" i="11"/>
  <c r="BZ49" i="11" s="1"/>
  <c r="CA49" i="11" s="1"/>
  <c r="S148" i="12"/>
  <c r="BO8" i="11"/>
  <c r="BP8" i="11" s="1"/>
  <c r="BO49" i="11"/>
  <c r="BP49" i="11" s="1"/>
  <c r="BQ49" i="11" s="1"/>
  <c r="Q148" i="12"/>
  <c r="BE8" i="11"/>
  <c r="BF8" i="11" s="1"/>
  <c r="BE49" i="11"/>
  <c r="BF49" i="11" s="1"/>
  <c r="BG49" i="11" s="1"/>
  <c r="O148" i="12"/>
  <c r="AU8" i="11"/>
  <c r="AV8" i="11" s="1"/>
  <c r="AU49" i="11"/>
  <c r="AV49" i="11" s="1"/>
  <c r="AW49" i="11" s="1"/>
  <c r="M148" i="12"/>
  <c r="AK8" i="11"/>
  <c r="AL8" i="11" s="1"/>
  <c r="AK49" i="11"/>
  <c r="AL49" i="11" s="1"/>
  <c r="AM49" i="11" s="1"/>
  <c r="K148" i="12"/>
  <c r="AA8" i="11"/>
  <c r="AB8" i="11" s="1"/>
  <c r="AA49" i="11"/>
  <c r="AB49" i="11" s="1"/>
  <c r="AC49" i="11" s="1"/>
  <c r="I148" i="12"/>
  <c r="Q8" i="11"/>
  <c r="R8" i="11" s="1"/>
  <c r="Q49" i="11"/>
  <c r="R49" i="11" s="1"/>
  <c r="S49" i="11" s="1"/>
  <c r="I43" i="17"/>
  <c r="AD7" i="12"/>
  <c r="AB58" i="12"/>
  <c r="CP29" i="17"/>
  <c r="Z58" i="12"/>
  <c r="CH29" i="17"/>
  <c r="CG24" i="17"/>
  <c r="X58" i="12"/>
  <c r="BZ29" i="17"/>
  <c r="BY24" i="17"/>
  <c r="V58" i="12"/>
  <c r="BR29" i="17"/>
  <c r="BQ24" i="17"/>
  <c r="T58" i="12"/>
  <c r="BJ29" i="17"/>
  <c r="BI24" i="17"/>
  <c r="R58" i="12"/>
  <c r="BB29" i="17"/>
  <c r="BA24" i="17"/>
  <c r="P58" i="12"/>
  <c r="AT29" i="17"/>
  <c r="AS24" i="17"/>
  <c r="N58" i="12"/>
  <c r="AL29" i="17"/>
  <c r="AK24" i="17"/>
  <c r="L58" i="12"/>
  <c r="AD29" i="17"/>
  <c r="AC24" i="17"/>
  <c r="J58" i="12"/>
  <c r="V29" i="17"/>
  <c r="U24" i="17"/>
  <c r="H58" i="12"/>
  <c r="N29" i="17"/>
  <c r="M24" i="17"/>
  <c r="P3" i="16" l="1"/>
  <c r="R3" i="16"/>
  <c r="S2" i="16"/>
  <c r="Q3" i="16"/>
  <c r="O3" i="16"/>
  <c r="W201" i="20"/>
  <c r="W416" i="20"/>
  <c r="W426" i="20"/>
  <c r="W419" i="20"/>
  <c r="W408" i="20"/>
  <c r="W420" i="20"/>
  <c r="W410" i="20"/>
  <c r="W418" i="20"/>
  <c r="W417" i="20"/>
  <c r="W425" i="20"/>
  <c r="W409" i="20"/>
  <c r="W412" i="20"/>
  <c r="DO105" i="11"/>
  <c r="F380" i="20"/>
  <c r="W380" i="20" s="1"/>
  <c r="I418" i="20"/>
  <c r="Z418" i="20" s="1"/>
  <c r="I304" i="20"/>
  <c r="Z304" i="20" s="1"/>
  <c r="F411" i="20"/>
  <c r="DO106" i="11"/>
  <c r="AN255" i="20"/>
  <c r="AF22" i="12"/>
  <c r="E205" i="2"/>
  <c r="C263" i="2"/>
  <c r="AT264" i="2" s="1"/>
  <c r="FB81" i="6"/>
  <c r="AE200" i="7"/>
  <c r="AE76" i="21" s="1"/>
  <c r="E207" i="2"/>
  <c r="AE480" i="7"/>
  <c r="AF480" i="7" s="1"/>
  <c r="AF695" i="7" s="1"/>
  <c r="E230" i="2"/>
  <c r="AV230" i="2" s="1"/>
  <c r="AE5" i="8"/>
  <c r="AF5" i="8" s="1"/>
  <c r="AF6" i="8" s="1"/>
  <c r="E175" i="2"/>
  <c r="AE139" i="7"/>
  <c r="AF139" i="7" s="1"/>
  <c r="AF161" i="7" s="1"/>
  <c r="E222" i="2"/>
  <c r="AE418" i="7"/>
  <c r="AF418" i="7" s="1"/>
  <c r="AF111" i="21" s="1"/>
  <c r="E246" i="2"/>
  <c r="AE481" i="7"/>
  <c r="AF481" i="7" s="1"/>
  <c r="AF696" i="7" s="1"/>
  <c r="E248" i="2"/>
  <c r="AV248" i="2" s="1"/>
  <c r="FA18" i="6"/>
  <c r="AF74" i="21"/>
  <c r="AE797" i="7"/>
  <c r="AE159" i="21" s="1"/>
  <c r="E210" i="2"/>
  <c r="AE47" i="7"/>
  <c r="AF47" i="7" s="1"/>
  <c r="G201" i="2" s="1"/>
  <c r="E201" i="2"/>
  <c r="AE89" i="8"/>
  <c r="F185" i="2" s="1"/>
  <c r="AW185" i="2" s="1"/>
  <c r="E185" i="2"/>
  <c r="AV185" i="2" s="1"/>
  <c r="G211" i="2"/>
  <c r="AX211" i="2" s="1"/>
  <c r="EY7" i="6"/>
  <c r="AF40" i="21"/>
  <c r="AE395" i="7"/>
  <c r="AF395" i="7" s="1"/>
  <c r="G208" i="2" s="1"/>
  <c r="E208" i="2"/>
  <c r="E243" i="2"/>
  <c r="E151" i="2"/>
  <c r="C265" i="2"/>
  <c r="AT265" i="2" s="1"/>
  <c r="C262" i="2"/>
  <c r="AT262" i="2" s="1"/>
  <c r="C264" i="2"/>
  <c r="AT263" i="2" s="1"/>
  <c r="DF308" i="17"/>
  <c r="DC333" i="17" s="1"/>
  <c r="AF371" i="12"/>
  <c r="AF124" i="21" s="1"/>
  <c r="AE192" i="12"/>
  <c r="AF192" i="12" s="1"/>
  <c r="G218" i="2" s="1"/>
  <c r="E218" i="2"/>
  <c r="AE289" i="12"/>
  <c r="F249" i="2" s="1"/>
  <c r="E249" i="2"/>
  <c r="AE321" i="12"/>
  <c r="AE116" i="21" s="1"/>
  <c r="E252" i="2"/>
  <c r="AJ59" i="7"/>
  <c r="EY28" i="6"/>
  <c r="EY33" i="6"/>
  <c r="AF718" i="7"/>
  <c r="AF731" i="7"/>
  <c r="AF741" i="7"/>
  <c r="AF746" i="7"/>
  <c r="AF753" i="7"/>
  <c r="AF706" i="7"/>
  <c r="AF713" i="7"/>
  <c r="EE118" i="11"/>
  <c r="AF754" i="7"/>
  <c r="AF755" i="7"/>
  <c r="AF730" i="7"/>
  <c r="AF747" i="7"/>
  <c r="AF745" i="7"/>
  <c r="AF423" i="7"/>
  <c r="AF760" i="7"/>
  <c r="AF719" i="7"/>
  <c r="AF627" i="7"/>
  <c r="AF759" i="7"/>
  <c r="AF708" i="7"/>
  <c r="AF729" i="7"/>
  <c r="EV26" i="6"/>
  <c r="AF252" i="7"/>
  <c r="FB26" i="6" s="1"/>
  <c r="ET10" i="6"/>
  <c r="AF46" i="7"/>
  <c r="EZ10" i="6" s="1"/>
  <c r="AF714" i="7"/>
  <c r="AF327" i="7"/>
  <c r="FC28" i="6" s="1"/>
  <c r="DB165" i="17"/>
  <c r="AF82" i="12"/>
  <c r="DF165" i="17" s="1"/>
  <c r="DB126" i="17"/>
  <c r="DA126" i="17" s="1"/>
  <c r="AF64" i="12"/>
  <c r="DF126" i="17" s="1"/>
  <c r="DB43" i="17"/>
  <c r="AF13" i="12"/>
  <c r="DF43" i="17" s="1"/>
  <c r="AD255" i="7"/>
  <c r="CH94" i="17"/>
  <c r="CB69" i="6"/>
  <c r="H347" i="12"/>
  <c r="Z41" i="8"/>
  <c r="AB198" i="8"/>
  <c r="AB205" i="8" s="1"/>
  <c r="AB737" i="7"/>
  <c r="D209" i="2" s="1"/>
  <c r="W407" i="20"/>
  <c r="W435" i="20"/>
  <c r="W415" i="20"/>
  <c r="W73" i="8"/>
  <c r="X123" i="7"/>
  <c r="Z149" i="12"/>
  <c r="L73" i="8"/>
  <c r="DQ89" i="6"/>
  <c r="DW89" i="6"/>
  <c r="AF69" i="6"/>
  <c r="T347" i="12"/>
  <c r="Q17" i="8"/>
  <c r="Y73" i="8"/>
  <c r="AA73" i="8"/>
  <c r="S205" i="8"/>
  <c r="G22" i="6"/>
  <c r="G29" i="6" s="1"/>
  <c r="G34" i="6" s="1"/>
  <c r="G39" i="6" s="1"/>
  <c r="G48" i="6" s="1"/>
  <c r="G49" i="6" s="1"/>
  <c r="M67" i="6"/>
  <c r="Q49" i="24"/>
  <c r="AB73" i="8"/>
  <c r="L347" i="12"/>
  <c r="Z347" i="12"/>
  <c r="AB347" i="12"/>
  <c r="Z73" i="8"/>
  <c r="L182" i="17"/>
  <c r="P182" i="17"/>
  <c r="T182" i="17"/>
  <c r="X182" i="17"/>
  <c r="AB182" i="17"/>
  <c r="AF182" i="17"/>
  <c r="AJ182" i="17"/>
  <c r="AN182" i="17"/>
  <c r="AR182" i="17"/>
  <c r="AV182" i="17"/>
  <c r="AZ182" i="17"/>
  <c r="BD182" i="17"/>
  <c r="BH182" i="17"/>
  <c r="BL182" i="17"/>
  <c r="BP182" i="17"/>
  <c r="BT182" i="17"/>
  <c r="R73" i="8"/>
  <c r="Y123" i="7"/>
  <c r="DJ67" i="6"/>
  <c r="BT67" i="6"/>
  <c r="P628" i="7"/>
  <c r="P639" i="7" s="1"/>
  <c r="Z288" i="7"/>
  <c r="J123" i="7"/>
  <c r="N123" i="7"/>
  <c r="R123" i="7"/>
  <c r="V123" i="7"/>
  <c r="H239" i="17"/>
  <c r="Y73" i="17"/>
  <c r="AB725" i="7"/>
  <c r="BC725" i="7" s="1"/>
  <c r="AB271" i="7"/>
  <c r="U23" i="8"/>
  <c r="BM18" i="6"/>
  <c r="BY222" i="17"/>
  <c r="Z237" i="7"/>
  <c r="I205" i="8"/>
  <c r="DQ67" i="6"/>
  <c r="BO67" i="6"/>
  <c r="AD89" i="6"/>
  <c r="M73" i="8"/>
  <c r="Z13" i="24"/>
  <c r="AI10" i="24"/>
  <c r="BE73" i="17"/>
  <c r="EB89" i="6"/>
  <c r="Z290" i="7"/>
  <c r="Z123" i="21" s="1"/>
  <c r="K73" i="8"/>
  <c r="M205" i="8"/>
  <c r="P73" i="8"/>
  <c r="AH146" i="7"/>
  <c r="BZ67" i="6"/>
  <c r="BV69" i="6"/>
  <c r="M85" i="17"/>
  <c r="U85" i="17"/>
  <c r="AC85" i="17"/>
  <c r="AK85" i="17"/>
  <c r="AS85" i="17"/>
  <c r="BA85" i="17"/>
  <c r="BI85" i="17"/>
  <c r="BQ85" i="17"/>
  <c r="BY85" i="17"/>
  <c r="AO73" i="17"/>
  <c r="M203" i="8"/>
  <c r="Q203" i="8"/>
  <c r="N94" i="17"/>
  <c r="R94" i="17"/>
  <c r="V94" i="17"/>
  <c r="Z94" i="17"/>
  <c r="AD94" i="17"/>
  <c r="AH94" i="17"/>
  <c r="AL94" i="17"/>
  <c r="AP94" i="17"/>
  <c r="AT94" i="17"/>
  <c r="AX94" i="17"/>
  <c r="BB94" i="17"/>
  <c r="BF94" i="17"/>
  <c r="BJ94" i="17"/>
  <c r="BN94" i="17"/>
  <c r="BR94" i="17"/>
  <c r="BV94" i="17"/>
  <c r="BZ94" i="17"/>
  <c r="Y23" i="8"/>
  <c r="H628" i="7"/>
  <c r="H639" i="7" s="1"/>
  <c r="BU73" i="17"/>
  <c r="R243" i="7"/>
  <c r="CM67" i="6"/>
  <c r="CF96" i="6"/>
  <c r="M173" i="17"/>
  <c r="AC173" i="17"/>
  <c r="AS173" i="17"/>
  <c r="BI173" i="17"/>
  <c r="CL272" i="17"/>
  <c r="P347" i="12"/>
  <c r="I203" i="8"/>
  <c r="K203" i="8"/>
  <c r="S203" i="8"/>
  <c r="U203" i="8"/>
  <c r="Y203" i="8"/>
  <c r="Z588" i="7"/>
  <c r="AB229" i="7"/>
  <c r="BC229" i="7" s="1"/>
  <c r="L84" i="21"/>
  <c r="T628" i="7"/>
  <c r="T639" i="7" s="1"/>
  <c r="AB84" i="21"/>
  <c r="K205" i="8"/>
  <c r="R84" i="21"/>
  <c r="AK89" i="6"/>
  <c r="CB18" i="6"/>
  <c r="BY18" i="6" s="1"/>
  <c r="EC67" i="6"/>
  <c r="O73" i="8"/>
  <c r="AA426" i="7"/>
  <c r="L239" i="17"/>
  <c r="P239" i="17"/>
  <c r="T239" i="17"/>
  <c r="X239" i="17"/>
  <c r="AB239" i="17"/>
  <c r="AF239" i="17"/>
  <c r="AJ239" i="17"/>
  <c r="AN239" i="17"/>
  <c r="AR239" i="17"/>
  <c r="AV239" i="17"/>
  <c r="AZ239" i="17"/>
  <c r="BD239" i="17"/>
  <c r="BH239" i="17"/>
  <c r="BL239" i="17"/>
  <c r="BP239" i="17"/>
  <c r="BT239" i="17"/>
  <c r="K433" i="12"/>
  <c r="S433" i="12"/>
  <c r="I588" i="7"/>
  <c r="Q588" i="7"/>
  <c r="Y588" i="7"/>
  <c r="AB628" i="7"/>
  <c r="AB639" i="7" s="1"/>
  <c r="BC639" i="7" s="1"/>
  <c r="K85" i="17"/>
  <c r="S85" i="17"/>
  <c r="AA85" i="17"/>
  <c r="AI85" i="17"/>
  <c r="AQ85" i="17"/>
  <c r="AY85" i="17"/>
  <c r="BG85" i="17"/>
  <c r="BO85" i="17"/>
  <c r="BW85" i="17"/>
  <c r="N347" i="12"/>
  <c r="Q73" i="8"/>
  <c r="AC235" i="7"/>
  <c r="Y290" i="7"/>
  <c r="Y123" i="21" s="1"/>
  <c r="J84" i="21"/>
  <c r="Z84" i="21"/>
  <c r="EI67" i="6"/>
  <c r="CH69" i="6"/>
  <c r="DU40" i="6"/>
  <c r="EH96" i="6"/>
  <c r="EF47" i="6"/>
  <c r="EF96" i="6" s="1"/>
  <c r="F22" i="6"/>
  <c r="F29" i="6" s="1"/>
  <c r="E18" i="6"/>
  <c r="X347" i="12"/>
  <c r="Z106" i="17"/>
  <c r="Y107" i="17" s="1"/>
  <c r="L123" i="7"/>
  <c r="P123" i="7"/>
  <c r="T123" i="7"/>
  <c r="M588" i="7"/>
  <c r="U588" i="7"/>
  <c r="I85" i="17"/>
  <c r="Q85" i="17"/>
  <c r="Y85" i="17"/>
  <c r="AG85" i="17"/>
  <c r="AO85" i="17"/>
  <c r="AW85" i="17"/>
  <c r="BE85" i="17"/>
  <c r="BM85" i="17"/>
  <c r="BU85" i="17"/>
  <c r="J347" i="12"/>
  <c r="U205" i="8"/>
  <c r="J182" i="17"/>
  <c r="N182" i="17"/>
  <c r="R182" i="17"/>
  <c r="V182" i="17"/>
  <c r="Z182" i="17"/>
  <c r="AD182" i="17"/>
  <c r="AH182" i="17"/>
  <c r="AL182" i="17"/>
  <c r="AP182" i="17"/>
  <c r="AT182" i="17"/>
  <c r="AX182" i="17"/>
  <c r="BB182" i="17"/>
  <c r="BF182" i="17"/>
  <c r="BJ182" i="17"/>
  <c r="BN182" i="17"/>
  <c r="BR182" i="17"/>
  <c r="BV182" i="17"/>
  <c r="I17" i="8"/>
  <c r="AA17" i="8"/>
  <c r="N203" i="8"/>
  <c r="V203" i="8"/>
  <c r="X628" i="7"/>
  <c r="X639" i="7" s="1"/>
  <c r="O85" i="17"/>
  <c r="W85" i="17"/>
  <c r="AE85" i="17"/>
  <c r="AM85" i="17"/>
  <c r="AU85" i="17"/>
  <c r="BC85" i="17"/>
  <c r="BK85" i="17"/>
  <c r="BS85" i="17"/>
  <c r="I73" i="17"/>
  <c r="CH272" i="17"/>
  <c r="CP272" i="17"/>
  <c r="G2" i="12"/>
  <c r="G4" i="11" s="1"/>
  <c r="S73" i="8"/>
  <c r="P426" i="7"/>
  <c r="P428" i="7"/>
  <c r="T426" i="7"/>
  <c r="T428" i="7"/>
  <c r="R347" i="12"/>
  <c r="K49" i="24"/>
  <c r="Q205" i="8"/>
  <c r="EB96" i="6"/>
  <c r="T73" i="8"/>
  <c r="AA40" i="8"/>
  <c r="N84" i="21"/>
  <c r="V84" i="21"/>
  <c r="Z243" i="7"/>
  <c r="CK18" i="6"/>
  <c r="EC89" i="6"/>
  <c r="AO18" i="6"/>
  <c r="AQ67" i="6"/>
  <c r="Z229" i="7"/>
  <c r="V73" i="8"/>
  <c r="AB288" i="7"/>
  <c r="BC288" i="7" s="1"/>
  <c r="N243" i="7"/>
  <c r="V243" i="7"/>
  <c r="Z123" i="7"/>
  <c r="AI146" i="7"/>
  <c r="Y235" i="7"/>
  <c r="AA235" i="7"/>
  <c r="Z598" i="7"/>
  <c r="BC162" i="7"/>
  <c r="AB586" i="7"/>
  <c r="AC593" i="7" s="1"/>
  <c r="BF106" i="17"/>
  <c r="BE107" i="17" s="1"/>
  <c r="AB435" i="7"/>
  <c r="BC435" i="7" s="1"/>
  <c r="AB446" i="7"/>
  <c r="BC446" i="7" s="1"/>
  <c r="AC435" i="7"/>
  <c r="Y288" i="7"/>
  <c r="CI70" i="17"/>
  <c r="CI103" i="17" s="1"/>
  <c r="BC654" i="7"/>
  <c r="AB668" i="7"/>
  <c r="BC668" i="7" s="1"/>
  <c r="X288" i="7"/>
  <c r="X290" i="7"/>
  <c r="X123" i="21" s="1"/>
  <c r="S49" i="24"/>
  <c r="Y205" i="8"/>
  <c r="T243" i="7"/>
  <c r="O205" i="8"/>
  <c r="AA123" i="7"/>
  <c r="AA375" i="7"/>
  <c r="AA354" i="7"/>
  <c r="AA374" i="7"/>
  <c r="AA353" i="7"/>
  <c r="BC180" i="7"/>
  <c r="AB354" i="7"/>
  <c r="AC360" i="7" s="1"/>
  <c r="AB375" i="7"/>
  <c r="BC375" i="7" s="1"/>
  <c r="BC113" i="7"/>
  <c r="AB123" i="7"/>
  <c r="BC123" i="7" s="1"/>
  <c r="Z385" i="7"/>
  <c r="Z376" i="7"/>
  <c r="AC674" i="7"/>
  <c r="AC661" i="7"/>
  <c r="AC288" i="7"/>
  <c r="AC290" i="7"/>
  <c r="Y243" i="7"/>
  <c r="AA243" i="7"/>
  <c r="AC588" i="7"/>
  <c r="AC373" i="7"/>
  <c r="AC352" i="7"/>
  <c r="AC181" i="7"/>
  <c r="AC184" i="7"/>
  <c r="AC190" i="7"/>
  <c r="AC186" i="7"/>
  <c r="AC458" i="7"/>
  <c r="AC387" i="7"/>
  <c r="AC381" i="7"/>
  <c r="AB237" i="7"/>
  <c r="BC237" i="7" s="1"/>
  <c r="AA288" i="7"/>
  <c r="AC365" i="7"/>
  <c r="X243" i="7"/>
  <c r="Z271" i="7"/>
  <c r="Z235" i="7"/>
  <c r="X426" i="7"/>
  <c r="X435" i="7"/>
  <c r="Z426" i="7"/>
  <c r="Z435" i="7"/>
  <c r="Z446" i="7"/>
  <c r="AA593" i="7"/>
  <c r="AA598" i="7"/>
  <c r="Y435" i="7"/>
  <c r="AA435" i="7"/>
  <c r="AA446" i="7"/>
  <c r="AC598" i="7"/>
  <c r="X235" i="7"/>
  <c r="X237" i="7"/>
  <c r="AA229" i="7"/>
  <c r="Z386" i="7"/>
  <c r="AA373" i="7"/>
  <c r="AA352" i="7"/>
  <c r="Z387" i="7"/>
  <c r="BC179" i="7"/>
  <c r="AB374" i="7"/>
  <c r="AC380" i="7" s="1"/>
  <c r="AB353" i="7"/>
  <c r="BC353" i="7" s="1"/>
  <c r="BC178" i="7"/>
  <c r="AB352" i="7"/>
  <c r="BC352" i="7" s="1"/>
  <c r="AB373" i="7"/>
  <c r="AA588" i="7"/>
  <c r="AB290" i="7"/>
  <c r="AC638" i="7"/>
  <c r="AC629" i="7"/>
  <c r="AC366" i="7"/>
  <c r="AB235" i="7"/>
  <c r="BC235" i="7" s="1"/>
  <c r="AC227" i="7"/>
  <c r="AA290" i="7"/>
  <c r="AB243" i="7"/>
  <c r="BC243" i="7" s="1"/>
  <c r="AC457" i="7"/>
  <c r="AC386" i="7"/>
  <c r="Y237" i="7"/>
  <c r="AA237" i="7"/>
  <c r="AV89" i="6"/>
  <c r="EI89" i="6"/>
  <c r="DJ89" i="6"/>
  <c r="DV89" i="6"/>
  <c r="X89" i="6"/>
  <c r="DK89" i="6"/>
  <c r="J639" i="7"/>
  <c r="J629" i="7"/>
  <c r="J640" i="7" s="1"/>
  <c r="R639" i="7"/>
  <c r="R629" i="7"/>
  <c r="R640" i="7" s="1"/>
  <c r="K243" i="7"/>
  <c r="J68" i="21"/>
  <c r="N68" i="21"/>
  <c r="R68" i="21"/>
  <c r="V68" i="21"/>
  <c r="K68" i="21"/>
  <c r="O68" i="21"/>
  <c r="S68" i="21"/>
  <c r="W68" i="21"/>
  <c r="O79" i="21"/>
  <c r="W79" i="21"/>
  <c r="H79" i="21"/>
  <c r="L79" i="21"/>
  <c r="P79" i="21"/>
  <c r="V79" i="21"/>
  <c r="Z79" i="21"/>
  <c r="I79" i="21"/>
  <c r="M79" i="21"/>
  <c r="Q79" i="21"/>
  <c r="U79" i="21"/>
  <c r="Y79" i="21"/>
  <c r="T79" i="21"/>
  <c r="H68" i="21"/>
  <c r="L68" i="21"/>
  <c r="P68" i="21"/>
  <c r="T68" i="21"/>
  <c r="X68" i="21"/>
  <c r="I68" i="21"/>
  <c r="M68" i="21"/>
  <c r="Q68" i="21"/>
  <c r="U68" i="21"/>
  <c r="Y68" i="21"/>
  <c r="BC762" i="7"/>
  <c r="K79" i="21"/>
  <c r="S79" i="21"/>
  <c r="AA79" i="21"/>
  <c r="J79" i="21"/>
  <c r="N79" i="21"/>
  <c r="R79" i="21"/>
  <c r="X79" i="21"/>
  <c r="K288" i="7"/>
  <c r="M290" i="7"/>
  <c r="M123" i="21" s="1"/>
  <c r="O288" i="7"/>
  <c r="Q290" i="7"/>
  <c r="Q123" i="21" s="1"/>
  <c r="S288" i="7"/>
  <c r="U290" i="7"/>
  <c r="U123" i="21" s="1"/>
  <c r="W288" i="7"/>
  <c r="CR89" i="6"/>
  <c r="BI89" i="6"/>
  <c r="BO89" i="6"/>
  <c r="CM89" i="6"/>
  <c r="CL89" i="6"/>
  <c r="AE7" i="12"/>
  <c r="BT89" i="6"/>
  <c r="AS28" i="24"/>
  <c r="BC89" i="6"/>
  <c r="Z67" i="21"/>
  <c r="AB67" i="21"/>
  <c r="W78" i="21"/>
  <c r="K78" i="21"/>
  <c r="S78" i="21"/>
  <c r="AA78" i="21"/>
  <c r="BC421" i="7"/>
  <c r="P243" i="7"/>
  <c r="X73" i="8"/>
  <c r="AD162" i="7"/>
  <c r="AC167" i="7"/>
  <c r="CG96" i="6"/>
  <c r="AP89" i="6"/>
  <c r="DQ96" i="6"/>
  <c r="AX69" i="6"/>
  <c r="L96" i="6"/>
  <c r="Y96" i="6"/>
  <c r="X67" i="6"/>
  <c r="CG67" i="6"/>
  <c r="E40" i="6"/>
  <c r="CF67" i="6"/>
  <c r="AC175" i="12"/>
  <c r="Z18" i="6"/>
  <c r="AF67" i="6" s="1"/>
  <c r="S67" i="6"/>
  <c r="Z69" i="6"/>
  <c r="CZ18" i="6"/>
  <c r="CW18" i="6" s="1"/>
  <c r="BD69" i="6"/>
  <c r="AK67" i="6"/>
  <c r="EB67" i="6"/>
  <c r="AQ96" i="6"/>
  <c r="DE89" i="6"/>
  <c r="BU96" i="6"/>
  <c r="DL73" i="11"/>
  <c r="AK96" i="6"/>
  <c r="EC96" i="6"/>
  <c r="BJ69" i="6"/>
  <c r="AC173" i="12"/>
  <c r="D109" i="2" s="1"/>
  <c r="DJ96" i="6"/>
  <c r="BZ96" i="6"/>
  <c r="AC169" i="12"/>
  <c r="CM96" i="6"/>
  <c r="DX69" i="6"/>
  <c r="BN89" i="6"/>
  <c r="DR69" i="6"/>
  <c r="CZ303" i="17"/>
  <c r="CZ308" i="17" s="1"/>
  <c r="AD96" i="6"/>
  <c r="DV96" i="6"/>
  <c r="BY225" i="17"/>
  <c r="CC65" i="17"/>
  <c r="AJ28" i="24"/>
  <c r="AI28" i="24"/>
  <c r="AP106" i="17"/>
  <c r="AO107" i="17" s="1"/>
  <c r="N629" i="7"/>
  <c r="N632" i="7" s="1"/>
  <c r="BW170" i="17"/>
  <c r="BX170" i="17" s="1"/>
  <c r="J239" i="17"/>
  <c r="R239" i="17"/>
  <c r="Z239" i="17"/>
  <c r="AH239" i="17"/>
  <c r="AP239" i="17"/>
  <c r="AX239" i="17"/>
  <c r="BF239" i="17"/>
  <c r="BN239" i="17"/>
  <c r="BV239" i="17"/>
  <c r="O433" i="12"/>
  <c r="M23" i="8"/>
  <c r="M243" i="7"/>
  <c r="Q243" i="7"/>
  <c r="U243" i="7"/>
  <c r="W205" i="8"/>
  <c r="Q73" i="17"/>
  <c r="AW73" i="17"/>
  <c r="CC73" i="17"/>
  <c r="AB742" i="7"/>
  <c r="AB79" i="21" s="1"/>
  <c r="U73" i="8"/>
  <c r="AB39" i="8"/>
  <c r="AB40" i="8" s="1"/>
  <c r="K290" i="7"/>
  <c r="K123" i="21" s="1"/>
  <c r="M288" i="7"/>
  <c r="S290" i="7"/>
  <c r="S123" i="21" s="1"/>
  <c r="U288" i="7"/>
  <c r="AC51" i="8"/>
  <c r="AC62" i="8"/>
  <c r="N73" i="8"/>
  <c r="BV106" i="17"/>
  <c r="BU107" i="17" s="1"/>
  <c r="O203" i="8"/>
  <c r="W203" i="8"/>
  <c r="V629" i="7"/>
  <c r="V632" i="7" s="1"/>
  <c r="AB756" i="7"/>
  <c r="BC756" i="7" s="1"/>
  <c r="L243" i="7"/>
  <c r="N239" i="17"/>
  <c r="V239" i="17"/>
  <c r="AD239" i="17"/>
  <c r="AL239" i="17"/>
  <c r="AT239" i="17"/>
  <c r="BB239" i="17"/>
  <c r="BJ239" i="17"/>
  <c r="BR239" i="17"/>
  <c r="W433" i="12"/>
  <c r="CC93" i="17"/>
  <c r="CS155" i="17"/>
  <c r="CR155" i="17"/>
  <c r="CQ155" i="17"/>
  <c r="CT150" i="17"/>
  <c r="CR212" i="17"/>
  <c r="CQ212" i="17"/>
  <c r="CS212" i="17"/>
  <c r="CT207" i="17"/>
  <c r="AG73" i="17"/>
  <c r="BM73" i="17"/>
  <c r="V347" i="12"/>
  <c r="AA203" i="8"/>
  <c r="O290" i="7"/>
  <c r="O123" i="21" s="1"/>
  <c r="Q288" i="7"/>
  <c r="W290" i="7"/>
  <c r="W123" i="21" s="1"/>
  <c r="AA205" i="8"/>
  <c r="BI67" i="6"/>
  <c r="AC170" i="12"/>
  <c r="AC174" i="12"/>
  <c r="D110" i="2" s="1"/>
  <c r="AC172" i="12"/>
  <c r="D108" i="2" s="1"/>
  <c r="DN10" i="11"/>
  <c r="DO10" i="11" s="1"/>
  <c r="DQ10" i="11"/>
  <c r="DO17" i="11"/>
  <c r="DN103" i="11"/>
  <c r="DO103" i="11" s="1"/>
  <c r="DO15" i="11" s="1"/>
  <c r="DQ103" i="11"/>
  <c r="DO57" i="11"/>
  <c r="DN59" i="11"/>
  <c r="AC178" i="12"/>
  <c r="AC145" i="12"/>
  <c r="AC165" i="12"/>
  <c r="AC134" i="12"/>
  <c r="AC166" i="12"/>
  <c r="AC135" i="12"/>
  <c r="BP69" i="6"/>
  <c r="E262" i="2"/>
  <c r="AV262" i="2" s="1"/>
  <c r="E263" i="2"/>
  <c r="AV264" i="2" s="1"/>
  <c r="AC128" i="21"/>
  <c r="R106" i="17"/>
  <c r="Q107" i="17" s="1"/>
  <c r="AH106" i="17"/>
  <c r="AG107" i="17" s="1"/>
  <c r="AX106" i="17"/>
  <c r="AW107" i="17" s="1"/>
  <c r="BN106" i="17"/>
  <c r="BM107" i="17" s="1"/>
  <c r="Q237" i="7"/>
  <c r="G629" i="7"/>
  <c r="G640" i="7" s="1"/>
  <c r="N18" i="6"/>
  <c r="N22" i="6" s="1"/>
  <c r="Y89" i="6"/>
  <c r="E264" i="2"/>
  <c r="AV263" i="2" s="1"/>
  <c r="BJ18" i="6"/>
  <c r="BJ67" i="6" s="1"/>
  <c r="T69" i="6"/>
  <c r="BT96" i="6"/>
  <c r="CX96" i="6"/>
  <c r="AL69" i="6"/>
  <c r="X96" i="6"/>
  <c r="DP96" i="6"/>
  <c r="AR69" i="6"/>
  <c r="CN69" i="6"/>
  <c r="BB96" i="6"/>
  <c r="CH18" i="6"/>
  <c r="DL18" i="6"/>
  <c r="DI18" i="6" s="1"/>
  <c r="D265" i="2"/>
  <c r="AU265" i="2" s="1"/>
  <c r="DT47" i="6"/>
  <c r="DT96" i="6" s="1"/>
  <c r="DL69" i="6"/>
  <c r="DW67" i="6"/>
  <c r="AQ89" i="6"/>
  <c r="DU18" i="6"/>
  <c r="AS45" i="24"/>
  <c r="CZ50" i="11"/>
  <c r="DE50" i="11"/>
  <c r="W281" i="20"/>
  <c r="G286" i="20"/>
  <c r="D263" i="2"/>
  <c r="AU264" i="2" s="1"/>
  <c r="D262" i="2"/>
  <c r="AU262" i="2" s="1"/>
  <c r="AB127" i="21"/>
  <c r="F485" i="20"/>
  <c r="W485" i="20" s="1"/>
  <c r="DF18" i="6"/>
  <c r="DF69" i="6"/>
  <c r="F484" i="20"/>
  <c r="W484" i="20" s="1"/>
  <c r="G484" i="20"/>
  <c r="X484" i="20" s="1"/>
  <c r="AU243" i="2"/>
  <c r="G485" i="20"/>
  <c r="X485" i="20" s="1"/>
  <c r="AO62" i="20"/>
  <c r="J47" i="6"/>
  <c r="BC215" i="7"/>
  <c r="AW176" i="2"/>
  <c r="J304" i="20"/>
  <c r="AA304" i="20" s="1"/>
  <c r="AN28" i="24"/>
  <c r="K104" i="21"/>
  <c r="K103" i="21"/>
  <c r="L11" i="21"/>
  <c r="S218" i="17"/>
  <c r="S196" i="17"/>
  <c r="W2" i="6"/>
  <c r="S275" i="17"/>
  <c r="S99" i="17"/>
  <c r="S253" i="17"/>
  <c r="S161" i="17"/>
  <c r="S139" i="17"/>
  <c r="S58" i="17"/>
  <c r="S20" i="17"/>
  <c r="S122" i="17"/>
  <c r="S39" i="17"/>
  <c r="S4" i="17"/>
  <c r="K3" i="1"/>
  <c r="K117" i="8"/>
  <c r="K124" i="8" s="1"/>
  <c r="J124" i="8"/>
  <c r="AU233" i="2"/>
  <c r="DI35" i="11"/>
  <c r="DJ35" i="11" s="1"/>
  <c r="AI121" i="7"/>
  <c r="AE487" i="7"/>
  <c r="AE486" i="7"/>
  <c r="AF486" i="7" s="1"/>
  <c r="EZ40" i="6" s="1"/>
  <c r="C196" i="2"/>
  <c r="AT196" i="2" s="1"/>
  <c r="AE517" i="7"/>
  <c r="BC720" i="7"/>
  <c r="BC782" i="7"/>
  <c r="AI59" i="7"/>
  <c r="BC234" i="7"/>
  <c r="BC119" i="7"/>
  <c r="D193" i="2"/>
  <c r="BC715" i="7"/>
  <c r="BC769" i="7"/>
  <c r="AB122" i="21"/>
  <c r="BC245" i="7"/>
  <c r="BC287" i="7"/>
  <c r="BC265" i="7"/>
  <c r="BC637" i="7"/>
  <c r="BC626" i="7"/>
  <c r="AH59" i="7"/>
  <c r="AH121" i="7"/>
  <c r="AN237" i="20"/>
  <c r="AM255" i="20"/>
  <c r="AO65" i="20"/>
  <c r="K588" i="7"/>
  <c r="O588" i="7"/>
  <c r="S588" i="7"/>
  <c r="W588" i="7"/>
  <c r="M237" i="7"/>
  <c r="U237" i="7"/>
  <c r="AV176" i="2"/>
  <c r="G304" i="20"/>
  <c r="X304" i="20" s="1"/>
  <c r="H304" i="20"/>
  <c r="Y304" i="20" s="1"/>
  <c r="H418" i="20"/>
  <c r="AA192" i="7"/>
  <c r="AA186" i="7"/>
  <c r="AA191" i="7"/>
  <c r="AA185" i="7"/>
  <c r="AB192" i="7"/>
  <c r="BC192" i="7" s="1"/>
  <c r="AB186" i="7"/>
  <c r="BC186" i="7" s="1"/>
  <c r="Z181" i="7"/>
  <c r="Z190" i="7"/>
  <c r="Z184" i="7"/>
  <c r="Z191" i="7"/>
  <c r="Z185" i="7"/>
  <c r="AA190" i="7"/>
  <c r="AA184" i="7"/>
  <c r="AA181" i="7"/>
  <c r="Z192" i="7"/>
  <c r="Z186" i="7"/>
  <c r="AB191" i="7"/>
  <c r="BC191" i="7" s="1"/>
  <c r="AB185" i="7"/>
  <c r="BC185" i="7" s="1"/>
  <c r="AB181" i="7"/>
  <c r="BC181" i="7" s="1"/>
  <c r="AB190" i="7"/>
  <c r="BC190" i="7" s="1"/>
  <c r="AB184" i="7"/>
  <c r="BC184" i="7" s="1"/>
  <c r="AJ43" i="24"/>
  <c r="AV221" i="2"/>
  <c r="AS43" i="24"/>
  <c r="AJ45" i="24"/>
  <c r="BB58" i="11"/>
  <c r="L629" i="7"/>
  <c r="L640" i="7" s="1"/>
  <c r="CD85" i="17"/>
  <c r="J203" i="8"/>
  <c r="R203" i="8"/>
  <c r="CC62" i="17"/>
  <c r="AE74" i="21"/>
  <c r="EU18" i="6"/>
  <c r="F205" i="2"/>
  <c r="AE741" i="7"/>
  <c r="EU45" i="6"/>
  <c r="FA94" i="6" s="1"/>
  <c r="AE753" i="7"/>
  <c r="EV30" i="6"/>
  <c r="FB79" i="6" s="1"/>
  <c r="AE747" i="7"/>
  <c r="EV28" i="6"/>
  <c r="FB77" i="6" s="1"/>
  <c r="AE706" i="7"/>
  <c r="ET24" i="6"/>
  <c r="EZ73" i="6" s="1"/>
  <c r="AE760" i="7"/>
  <c r="EV47" i="6"/>
  <c r="FB96" i="6" s="1"/>
  <c r="AE719" i="7"/>
  <c r="ET47" i="6"/>
  <c r="EZ96" i="6" s="1"/>
  <c r="AE627" i="7"/>
  <c r="AE108" i="21"/>
  <c r="F243" i="2"/>
  <c r="AE729" i="7"/>
  <c r="EU28" i="6"/>
  <c r="FA77" i="6" s="1"/>
  <c r="AE714" i="7"/>
  <c r="ET33" i="6"/>
  <c r="EZ82" i="6" s="1"/>
  <c r="AE327" i="7"/>
  <c r="AE730" i="7"/>
  <c r="EU32" i="6"/>
  <c r="FA81" i="6" s="1"/>
  <c r="AE731" i="7"/>
  <c r="EU33" i="6"/>
  <c r="FA82" i="6" s="1"/>
  <c r="AE746" i="7"/>
  <c r="EV19" i="6"/>
  <c r="FB68" i="6" s="1"/>
  <c r="ET11" i="6"/>
  <c r="EZ60" i="6" s="1"/>
  <c r="EV10" i="6"/>
  <c r="FB59" i="6" s="1"/>
  <c r="AE423" i="7"/>
  <c r="AE745" i="7"/>
  <c r="AE713" i="7"/>
  <c r="ET32" i="6"/>
  <c r="EZ81" i="6" s="1"/>
  <c r="ES7" i="6"/>
  <c r="AE40" i="21"/>
  <c r="DZ118" i="11"/>
  <c r="F151" i="2"/>
  <c r="AE754" i="7"/>
  <c r="EV33" i="6"/>
  <c r="FB82" i="6" s="1"/>
  <c r="AE759" i="7"/>
  <c r="EV44" i="6"/>
  <c r="FB93" i="6" s="1"/>
  <c r="AE708" i="7"/>
  <c r="ET28" i="6"/>
  <c r="EZ77" i="6" s="1"/>
  <c r="AE755" i="7"/>
  <c r="EV35" i="6"/>
  <c r="FB84" i="6" s="1"/>
  <c r="N62" i="11"/>
  <c r="G262" i="2"/>
  <c r="AX262" i="2" s="1"/>
  <c r="AE125" i="21"/>
  <c r="G264" i="2"/>
  <c r="AX263" i="2" s="1"/>
  <c r="AE127" i="21"/>
  <c r="G263" i="2"/>
  <c r="AX264" i="2" s="1"/>
  <c r="AE126" i="21"/>
  <c r="G265" i="2"/>
  <c r="AX265" i="2" s="1"/>
  <c r="AE128" i="21"/>
  <c r="H439" i="20"/>
  <c r="Y439" i="20" s="1"/>
  <c r="AV235" i="2"/>
  <c r="H440" i="20"/>
  <c r="Y440" i="20" s="1"/>
  <c r="AV234" i="2"/>
  <c r="H438" i="20"/>
  <c r="Y438" i="20" s="1"/>
  <c r="F255" i="2"/>
  <c r="AW255" i="2" s="1"/>
  <c r="F253" i="2"/>
  <c r="AW253" i="2" s="1"/>
  <c r="F256" i="2"/>
  <c r="AW256" i="2" s="1"/>
  <c r="F254" i="2"/>
  <c r="AW254" i="2" s="1"/>
  <c r="F239" i="2"/>
  <c r="F238" i="2"/>
  <c r="G100" i="2"/>
  <c r="AE718" i="7"/>
  <c r="ET46" i="6"/>
  <c r="EZ95" i="6" s="1"/>
  <c r="CX62" i="17"/>
  <c r="CX78" i="17" s="1"/>
  <c r="AE27" i="12"/>
  <c r="AE151" i="12"/>
  <c r="AE71" i="12"/>
  <c r="CX225" i="17"/>
  <c r="CX238" i="17" s="1"/>
  <c r="AE103" i="12"/>
  <c r="AE52" i="12"/>
  <c r="CX168" i="17"/>
  <c r="CX181" i="17" s="1"/>
  <c r="AE81" i="12"/>
  <c r="CX68" i="17"/>
  <c r="CX84" i="17" s="1"/>
  <c r="AE28" i="12"/>
  <c r="CX222" i="17"/>
  <c r="CX235" i="17" s="1"/>
  <c r="AE104" i="12"/>
  <c r="AF104" i="12" s="1"/>
  <c r="DF222" i="17" s="1"/>
  <c r="AO69" i="20"/>
  <c r="AM229" i="20"/>
  <c r="G380" i="20"/>
  <c r="X380" i="20" s="1"/>
  <c r="AE96" i="6"/>
  <c r="BC96" i="6"/>
  <c r="CA96" i="6"/>
  <c r="CY96" i="6"/>
  <c r="DW96" i="6"/>
  <c r="DZ47" i="6"/>
  <c r="DZ96" i="6" s="1"/>
  <c r="O243" i="7"/>
  <c r="AE67" i="6"/>
  <c r="BC67" i="6"/>
  <c r="CA67" i="6"/>
  <c r="CY67" i="6"/>
  <c r="AU205" i="2"/>
  <c r="AJ89" i="6"/>
  <c r="BH89" i="6"/>
  <c r="CF89" i="6"/>
  <c r="DY81" i="6"/>
  <c r="DD67" i="6"/>
  <c r="K60" i="6"/>
  <c r="N102" i="11"/>
  <c r="BN67" i="6"/>
  <c r="AP67" i="6"/>
  <c r="CL67" i="6"/>
  <c r="N63" i="11"/>
  <c r="D45" i="24"/>
  <c r="AH45" i="24"/>
  <c r="AI43" i="24"/>
  <c r="H588" i="7"/>
  <c r="L588" i="7"/>
  <c r="P588" i="7"/>
  <c r="T588" i="7"/>
  <c r="X588" i="7"/>
  <c r="Z92" i="6"/>
  <c r="AX92" i="6"/>
  <c r="BV92" i="6"/>
  <c r="CT92" i="6"/>
  <c r="N87" i="11"/>
  <c r="AQ17" i="11"/>
  <c r="N176" i="12" s="1"/>
  <c r="N23" i="21" s="1"/>
  <c r="CE17" i="11"/>
  <c r="V144" i="12" s="1"/>
  <c r="N101" i="11"/>
  <c r="N73" i="6"/>
  <c r="AX176" i="2"/>
  <c r="K304" i="20"/>
  <c r="AB304" i="20" s="1"/>
  <c r="L304" i="20"/>
  <c r="AC304" i="20" s="1"/>
  <c r="DD59" i="11"/>
  <c r="AA24" i="12" s="1"/>
  <c r="AG59" i="11"/>
  <c r="AG64" i="11" s="1"/>
  <c r="BA59" i="11"/>
  <c r="BA64" i="11" s="1"/>
  <c r="BU59" i="11"/>
  <c r="T168" i="12" s="1"/>
  <c r="T15" i="21" s="1"/>
  <c r="CO59" i="11"/>
  <c r="X168" i="12" s="1"/>
  <c r="X15" i="21" s="1"/>
  <c r="S86" i="11"/>
  <c r="EE66" i="6"/>
  <c r="ED92" i="6"/>
  <c r="Q59" i="6"/>
  <c r="AO59" i="6"/>
  <c r="BM59" i="6"/>
  <c r="CK59" i="6"/>
  <c r="DI59" i="6"/>
  <c r="X64" i="6"/>
  <c r="BT64" i="6"/>
  <c r="AC17" i="24"/>
  <c r="AQ146" i="20"/>
  <c r="AG296" i="2"/>
  <c r="AR146" i="20" s="1"/>
  <c r="AP69" i="20"/>
  <c r="AF316" i="2"/>
  <c r="AM221" i="20"/>
  <c r="AO347" i="20"/>
  <c r="AQ61" i="20"/>
  <c r="AG285" i="2"/>
  <c r="AO222" i="20"/>
  <c r="AP62" i="20"/>
  <c r="AP154" i="20"/>
  <c r="AF286" i="2"/>
  <c r="AN223" i="20"/>
  <c r="AQ151" i="20"/>
  <c r="AQ149" i="20"/>
  <c r="AG287" i="2"/>
  <c r="AO224" i="20"/>
  <c r="AM237" i="20"/>
  <c r="AO284" i="20"/>
  <c r="AM35" i="20"/>
  <c r="AO278" i="20"/>
  <c r="AP63" i="20"/>
  <c r="AF307" i="2"/>
  <c r="AP147" i="20"/>
  <c r="AF322" i="2"/>
  <c r="AQ153" i="20"/>
  <c r="AG289" i="2"/>
  <c r="AR153" i="20" s="1"/>
  <c r="AP66" i="20"/>
  <c r="AF313" i="2"/>
  <c r="AG294" i="2"/>
  <c r="AQ72" i="20"/>
  <c r="AO235" i="20"/>
  <c r="AQ150" i="20"/>
  <c r="AG299" i="2"/>
  <c r="AR150" i="20" s="1"/>
  <c r="AO60" i="20"/>
  <c r="AP60" i="20"/>
  <c r="AF284" i="2"/>
  <c r="AQ347" i="20"/>
  <c r="AP347" i="20"/>
  <c r="AN221" i="20"/>
  <c r="AO154" i="20"/>
  <c r="AQ152" i="20"/>
  <c r="AG288" i="2"/>
  <c r="AO225" i="20"/>
  <c r="AG292" i="2"/>
  <c r="AQ68" i="20"/>
  <c r="AO239" i="20"/>
  <c r="AO231" i="20"/>
  <c r="AP70" i="20"/>
  <c r="AF319" i="2"/>
  <c r="AO70" i="20"/>
  <c r="AP278" i="20"/>
  <c r="AQ278" i="20"/>
  <c r="AF301" i="2"/>
  <c r="AP280" i="20"/>
  <c r="AQ280" i="20"/>
  <c r="AP284" i="20"/>
  <c r="AQ284" i="20"/>
  <c r="AN35" i="20"/>
  <c r="AN233" i="20"/>
  <c r="AP65" i="20"/>
  <c r="AF310" i="2"/>
  <c r="AO63" i="20"/>
  <c r="AP67" i="20"/>
  <c r="AF291" i="2"/>
  <c r="AN238" i="20"/>
  <c r="AN230" i="20"/>
  <c r="AM238" i="20"/>
  <c r="AM230" i="20"/>
  <c r="AM27" i="20"/>
  <c r="AM234" i="20"/>
  <c r="AP71" i="20"/>
  <c r="AF293" i="2"/>
  <c r="AN27" i="20"/>
  <c r="AN234" i="20"/>
  <c r="AO29" i="20"/>
  <c r="AQ73" i="20"/>
  <c r="AG295" i="2"/>
  <c r="AO253" i="20"/>
  <c r="AO254" i="20"/>
  <c r="AO257" i="20"/>
  <c r="AO236" i="20"/>
  <c r="AO33" i="20"/>
  <c r="AO259" i="20"/>
  <c r="AO256" i="20"/>
  <c r="AO258" i="20"/>
  <c r="AO280" i="20"/>
  <c r="M17" i="11"/>
  <c r="N17" i="11" s="1"/>
  <c r="K58" i="6"/>
  <c r="CZ102" i="11"/>
  <c r="CZ67" i="11" s="1"/>
  <c r="BK17" i="11"/>
  <c r="R176" i="12" s="1"/>
  <c r="R23" i="21" s="1"/>
  <c r="CY17" i="11"/>
  <c r="CZ17" i="11" s="1"/>
  <c r="AS54" i="24"/>
  <c r="CG113" i="11"/>
  <c r="ED85" i="6"/>
  <c r="AH58" i="11"/>
  <c r="BV58" i="11"/>
  <c r="CU86" i="11"/>
  <c r="W84" i="12"/>
  <c r="W76" i="6"/>
  <c r="AI76" i="6"/>
  <c r="AU76" i="6"/>
  <c r="BG76" i="6"/>
  <c r="CE76" i="6"/>
  <c r="DC76" i="6"/>
  <c r="EA76" i="6"/>
  <c r="N119" i="11"/>
  <c r="U111" i="11"/>
  <c r="AE111" i="11"/>
  <c r="AO111" i="11"/>
  <c r="AY111" i="11"/>
  <c r="BI111" i="11"/>
  <c r="CM111" i="11"/>
  <c r="CV98" i="11"/>
  <c r="Q77" i="6"/>
  <c r="AC77" i="6"/>
  <c r="AO77" i="6"/>
  <c r="BA77" i="6"/>
  <c r="BM77" i="6"/>
  <c r="BY77" i="6"/>
  <c r="CK77" i="6"/>
  <c r="CW77" i="6"/>
  <c r="DI77" i="6"/>
  <c r="DU77" i="6"/>
  <c r="DF77" i="11"/>
  <c r="AH102" i="11"/>
  <c r="AC87" i="11"/>
  <c r="BV102" i="11"/>
  <c r="BW113" i="11"/>
  <c r="CQ113" i="11"/>
  <c r="BW98" i="11"/>
  <c r="CQ98" i="11"/>
  <c r="AH87" i="11"/>
  <c r="BG86" i="11"/>
  <c r="ED67" i="6"/>
  <c r="AV64" i="6"/>
  <c r="CR64" i="6"/>
  <c r="DU32" i="6"/>
  <c r="DU81" i="6" s="1"/>
  <c r="BK84" i="6"/>
  <c r="CI84" i="6"/>
  <c r="DG84" i="6"/>
  <c r="AM119" i="11"/>
  <c r="J35" i="6"/>
  <c r="L190" i="17"/>
  <c r="CL83" i="17"/>
  <c r="BV87" i="11"/>
  <c r="AM86" i="11"/>
  <c r="CA86" i="11"/>
  <c r="W58" i="6"/>
  <c r="AI58" i="6"/>
  <c r="AU58" i="6"/>
  <c r="BG58" i="6"/>
  <c r="BS58" i="6"/>
  <c r="CE58" i="6"/>
  <c r="CQ58" i="6"/>
  <c r="DC58" i="6"/>
  <c r="DO58" i="6"/>
  <c r="EA58" i="6"/>
  <c r="DP64" i="6"/>
  <c r="BQ87" i="11"/>
  <c r="BB102" i="11"/>
  <c r="CP102" i="11"/>
  <c r="BV63" i="11"/>
  <c r="T85" i="6"/>
  <c r="AF85" i="6"/>
  <c r="AR85" i="6"/>
  <c r="BD85" i="6"/>
  <c r="BP85" i="6"/>
  <c r="CB85" i="6"/>
  <c r="CN85" i="6"/>
  <c r="CZ85" i="6"/>
  <c r="DL85" i="6"/>
  <c r="AV59" i="11"/>
  <c r="AU59" i="11" s="1"/>
  <c r="CJ59" i="11"/>
  <c r="W24" i="12" s="1"/>
  <c r="AH63" i="11"/>
  <c r="AL67" i="6"/>
  <c r="AX67" i="6"/>
  <c r="BV67" i="6"/>
  <c r="CT67" i="6"/>
  <c r="DR73" i="6"/>
  <c r="O84" i="6"/>
  <c r="DS84" i="6"/>
  <c r="CA87" i="11"/>
  <c r="AW87" i="11"/>
  <c r="CK87" i="11"/>
  <c r="DJ86" i="11"/>
  <c r="X102" i="11"/>
  <c r="AR102" i="11"/>
  <c r="BL102" i="11"/>
  <c r="CF102" i="11"/>
  <c r="CG98" i="11"/>
  <c r="AB59" i="11"/>
  <c r="AA59" i="11" s="1"/>
  <c r="BP59" i="11"/>
  <c r="S24" i="12" s="1"/>
  <c r="DJ62" i="11"/>
  <c r="CL74" i="11"/>
  <c r="D16" i="24"/>
  <c r="AJ16" i="24"/>
  <c r="L229" i="7"/>
  <c r="P229" i="7"/>
  <c r="T229" i="7"/>
  <c r="X229" i="7"/>
  <c r="S87" i="11"/>
  <c r="CU87" i="11"/>
  <c r="DE87" i="11"/>
  <c r="BM78" i="11"/>
  <c r="CG78" i="11"/>
  <c r="BK66" i="6"/>
  <c r="CI66" i="6"/>
  <c r="DG66" i="6"/>
  <c r="CZ62" i="11"/>
  <c r="EA36" i="6"/>
  <c r="BB63" i="11"/>
  <c r="CP63" i="11"/>
  <c r="BR74" i="11"/>
  <c r="BG87" i="11"/>
  <c r="CZ86" i="11"/>
  <c r="S101" i="11"/>
  <c r="AC101" i="11"/>
  <c r="AM101" i="11"/>
  <c r="AW101" i="11"/>
  <c r="BG101" i="11"/>
  <c r="BQ101" i="11"/>
  <c r="CA101" i="11"/>
  <c r="CK101" i="11"/>
  <c r="CU101" i="11"/>
  <c r="CL112" i="11"/>
  <c r="AC86" i="11"/>
  <c r="AW86" i="11"/>
  <c r="BQ86" i="11"/>
  <c r="CK86" i="11"/>
  <c r="O84" i="12"/>
  <c r="DJ101" i="11"/>
  <c r="AC72" i="6"/>
  <c r="BA72" i="6"/>
  <c r="BY72" i="6"/>
  <c r="CW72" i="6"/>
  <c r="W60" i="6"/>
  <c r="AU60" i="6"/>
  <c r="BS60" i="6"/>
  <c r="CQ60" i="6"/>
  <c r="DO60" i="6"/>
  <c r="BM76" i="6"/>
  <c r="CK76" i="6"/>
  <c r="DI76" i="6"/>
  <c r="EE84" i="6"/>
  <c r="CA119" i="11"/>
  <c r="CC96" i="11"/>
  <c r="CM96" i="11"/>
  <c r="H22" i="6"/>
  <c r="H29" i="6" s="1"/>
  <c r="H34" i="6" s="1"/>
  <c r="H39" i="6" s="1"/>
  <c r="H48" i="6" s="1"/>
  <c r="H49" i="6" s="1"/>
  <c r="L64" i="6"/>
  <c r="EB64" i="6"/>
  <c r="CB97" i="11"/>
  <c r="AI45" i="24"/>
  <c r="K93" i="17"/>
  <c r="N229" i="7"/>
  <c r="R229" i="7"/>
  <c r="V229" i="7"/>
  <c r="W243" i="7"/>
  <c r="N78" i="21"/>
  <c r="K67" i="21"/>
  <c r="S67" i="21"/>
  <c r="AH15" i="24"/>
  <c r="BD43" i="24"/>
  <c r="W190" i="17"/>
  <c r="AM190" i="17"/>
  <c r="BC190" i="17"/>
  <c r="BS190" i="17"/>
  <c r="AD202" i="17"/>
  <c r="AD213" i="17" s="1"/>
  <c r="BJ202" i="17"/>
  <c r="T154" i="12" s="1"/>
  <c r="L78" i="21"/>
  <c r="T78" i="21"/>
  <c r="M67" i="21"/>
  <c r="U67" i="21"/>
  <c r="K84" i="12"/>
  <c r="S84" i="12"/>
  <c r="I78" i="21"/>
  <c r="Q78" i="21"/>
  <c r="Y78" i="21"/>
  <c r="J78" i="21"/>
  <c r="R78" i="21"/>
  <c r="V78" i="21"/>
  <c r="O67" i="21"/>
  <c r="W67" i="21"/>
  <c r="AH16" i="24"/>
  <c r="M235" i="7"/>
  <c r="U235" i="7"/>
  <c r="M190" i="17"/>
  <c r="O190" i="17"/>
  <c r="AE190" i="17"/>
  <c r="AU190" i="17"/>
  <c r="BK190" i="17"/>
  <c r="N202" i="17"/>
  <c r="N213" i="17" s="1"/>
  <c r="AT202" i="17"/>
  <c r="P154" i="12" s="1"/>
  <c r="H78" i="21"/>
  <c r="P78" i="21"/>
  <c r="X78" i="21"/>
  <c r="I67" i="21"/>
  <c r="Q67" i="21"/>
  <c r="Y67" i="21"/>
  <c r="P67" i="21"/>
  <c r="M78" i="21"/>
  <c r="U78" i="21"/>
  <c r="J67" i="21"/>
  <c r="N67" i="21"/>
  <c r="R67" i="21"/>
  <c r="V67" i="21"/>
  <c r="S243" i="7"/>
  <c r="CI93" i="17"/>
  <c r="CK93" i="17"/>
  <c r="CJ93" i="17"/>
  <c r="H67" i="21"/>
  <c r="L67" i="21"/>
  <c r="T67" i="21"/>
  <c r="X67" i="21"/>
  <c r="CL88" i="17"/>
  <c r="DC65" i="11" s="1"/>
  <c r="CC111" i="11"/>
  <c r="CB112" i="11"/>
  <c r="AM84" i="6"/>
  <c r="J178" i="12"/>
  <c r="J25" i="21" s="1"/>
  <c r="X58" i="11"/>
  <c r="N178" i="12"/>
  <c r="N25" i="21" s="1"/>
  <c r="AR58" i="11"/>
  <c r="R178" i="12"/>
  <c r="R25" i="21" s="1"/>
  <c r="BL58" i="11"/>
  <c r="V178" i="12"/>
  <c r="V25" i="21" s="1"/>
  <c r="CF58" i="11"/>
  <c r="AA169" i="12"/>
  <c r="DE62" i="11"/>
  <c r="P172" i="12"/>
  <c r="P19" i="21" s="1"/>
  <c r="BB87" i="11"/>
  <c r="X172" i="12"/>
  <c r="X19" i="21" s="1"/>
  <c r="CP87" i="11"/>
  <c r="AB170" i="12"/>
  <c r="AB17" i="21" s="1"/>
  <c r="DJ63" i="11"/>
  <c r="K85" i="6"/>
  <c r="X62" i="11"/>
  <c r="AH62" i="11"/>
  <c r="AR62" i="11"/>
  <c r="BB62" i="11"/>
  <c r="BL62" i="11"/>
  <c r="BV62" i="11"/>
  <c r="CF62" i="11"/>
  <c r="CP62" i="11"/>
  <c r="X63" i="11"/>
  <c r="AR63" i="11"/>
  <c r="BL63" i="11"/>
  <c r="CF63" i="11"/>
  <c r="AM87" i="11"/>
  <c r="AC88" i="11"/>
  <c r="BQ88" i="11"/>
  <c r="CK88" i="11"/>
  <c r="DA78" i="11"/>
  <c r="AU18" i="6"/>
  <c r="BS18" i="6"/>
  <c r="CQ18" i="6"/>
  <c r="BM112" i="11"/>
  <c r="BM113" i="11"/>
  <c r="ED73" i="6"/>
  <c r="I179" i="12"/>
  <c r="I44" i="21" s="1"/>
  <c r="S119" i="11"/>
  <c r="Q179" i="12"/>
  <c r="Q44" i="21" s="1"/>
  <c r="BG119" i="11"/>
  <c r="Y179" i="12"/>
  <c r="CU119" i="11"/>
  <c r="H173" i="12"/>
  <c r="H20" i="21" s="1"/>
  <c r="N86" i="11"/>
  <c r="BS111" i="11"/>
  <c r="Z106" i="12"/>
  <c r="N85" i="6"/>
  <c r="BW66" i="6"/>
  <c r="CU66" i="6"/>
  <c r="N92" i="6"/>
  <c r="AL92" i="6"/>
  <c r="BJ92" i="6"/>
  <c r="CH92" i="6"/>
  <c r="DF92" i="6"/>
  <c r="DO72" i="6"/>
  <c r="EA72" i="6"/>
  <c r="T73" i="6"/>
  <c r="AF73" i="6"/>
  <c r="AR73" i="6"/>
  <c r="BD73" i="6"/>
  <c r="BP73" i="6"/>
  <c r="CB73" i="6"/>
  <c r="CN73" i="6"/>
  <c r="CZ73" i="6"/>
  <c r="DL73" i="6"/>
  <c r="EE81" i="6"/>
  <c r="DX85" i="6"/>
  <c r="U96" i="11"/>
  <c r="AE96" i="11"/>
  <c r="AO96" i="11"/>
  <c r="AY96" i="11"/>
  <c r="BI96" i="11"/>
  <c r="BS96" i="11"/>
  <c r="BY76" i="6"/>
  <c r="CW76" i="6"/>
  <c r="DU76" i="6"/>
  <c r="K166" i="12"/>
  <c r="K13" i="21" s="1"/>
  <c r="K135" i="12"/>
  <c r="AA22" i="11" s="1"/>
  <c r="AC8" i="11"/>
  <c r="O166" i="12"/>
  <c r="O13" i="21" s="1"/>
  <c r="O135" i="12"/>
  <c r="AU22" i="11" s="1"/>
  <c r="AW8" i="11"/>
  <c r="S166" i="12"/>
  <c r="S13" i="21" s="1"/>
  <c r="S135" i="12"/>
  <c r="BQ8" i="11"/>
  <c r="W166" i="12"/>
  <c r="W13" i="21" s="1"/>
  <c r="W135" i="12"/>
  <c r="CK8" i="11"/>
  <c r="AA166" i="12"/>
  <c r="AA135" i="12"/>
  <c r="DE8" i="11"/>
  <c r="AA136" i="12"/>
  <c r="AA167" i="12"/>
  <c r="DE9" i="11"/>
  <c r="H84" i="12"/>
  <c r="N88" i="11"/>
  <c r="L84" i="12"/>
  <c r="AH88" i="11"/>
  <c r="P84" i="12"/>
  <c r="BB88" i="11"/>
  <c r="T84" i="12"/>
  <c r="BV88" i="11"/>
  <c r="X84" i="12"/>
  <c r="CP88" i="11"/>
  <c r="I142" i="12"/>
  <c r="Q29" i="11" s="1"/>
  <c r="S15" i="11"/>
  <c r="K142" i="12"/>
  <c r="AA29" i="11" s="1"/>
  <c r="AC15" i="11"/>
  <c r="M142" i="12"/>
  <c r="AK29" i="11" s="1"/>
  <c r="AM15" i="11"/>
  <c r="O142" i="12"/>
  <c r="AU29" i="11" s="1"/>
  <c r="AW15" i="11"/>
  <c r="Q142" i="12"/>
  <c r="BE29" i="11" s="1"/>
  <c r="BG15" i="11"/>
  <c r="S142" i="12"/>
  <c r="BO29" i="11" s="1"/>
  <c r="BQ15" i="11"/>
  <c r="U142" i="12"/>
  <c r="BY29" i="11" s="1"/>
  <c r="CA15" i="11"/>
  <c r="W142" i="12"/>
  <c r="CI29" i="11" s="1"/>
  <c r="CK15" i="11"/>
  <c r="Y106" i="12"/>
  <c r="CU103" i="11"/>
  <c r="CU66" i="11" s="1"/>
  <c r="AA142" i="12"/>
  <c r="DC29" i="11" s="1"/>
  <c r="DE15" i="11"/>
  <c r="I84" i="12"/>
  <c r="S88" i="11"/>
  <c r="M84" i="12"/>
  <c r="AM88" i="11"/>
  <c r="Q84" i="12"/>
  <c r="BG88" i="11"/>
  <c r="U84" i="12"/>
  <c r="CA88" i="11"/>
  <c r="Y84" i="12"/>
  <c r="CU88" i="11"/>
  <c r="H142" i="12"/>
  <c r="L29" i="11" s="1"/>
  <c r="N15" i="11"/>
  <c r="J142" i="12"/>
  <c r="V29" i="11" s="1"/>
  <c r="X15" i="11"/>
  <c r="L142" i="12"/>
  <c r="AF29" i="11" s="1"/>
  <c r="AH15" i="11"/>
  <c r="N142" i="12"/>
  <c r="AP29" i="11" s="1"/>
  <c r="AR15" i="11"/>
  <c r="P142" i="12"/>
  <c r="AZ29" i="11" s="1"/>
  <c r="BB15" i="11"/>
  <c r="R142" i="12"/>
  <c r="BJ29" i="11" s="1"/>
  <c r="BL15" i="11"/>
  <c r="T142" i="12"/>
  <c r="BT29" i="11" s="1"/>
  <c r="BV15" i="11"/>
  <c r="V142" i="12"/>
  <c r="CD29" i="11" s="1"/>
  <c r="CF15" i="11"/>
  <c r="X106" i="12"/>
  <c r="CP103" i="11"/>
  <c r="CP66" i="11" s="1"/>
  <c r="Z142" i="12"/>
  <c r="CX29" i="11" s="1"/>
  <c r="CZ15" i="11"/>
  <c r="W159" i="8"/>
  <c r="R235" i="7"/>
  <c r="N84" i="12"/>
  <c r="AR88" i="11"/>
  <c r="V84" i="12"/>
  <c r="CF88" i="11"/>
  <c r="Z84" i="12"/>
  <c r="CZ88" i="11"/>
  <c r="AB143" i="12"/>
  <c r="DH27" i="11"/>
  <c r="O140" i="12"/>
  <c r="AW13" i="11"/>
  <c r="W140" i="12"/>
  <c r="CK13" i="11"/>
  <c r="K235" i="7"/>
  <c r="S235" i="7"/>
  <c r="L121" i="8"/>
  <c r="P121" i="8"/>
  <c r="T121" i="8"/>
  <c r="X159" i="8"/>
  <c r="X121" i="8"/>
  <c r="P235" i="7"/>
  <c r="I166" i="12"/>
  <c r="I13" i="21" s="1"/>
  <c r="I135" i="12"/>
  <c r="Q22" i="11" s="1"/>
  <c r="S8" i="11"/>
  <c r="M166" i="12"/>
  <c r="M13" i="21" s="1"/>
  <c r="M135" i="12"/>
  <c r="AK22" i="11" s="1"/>
  <c r="AM8" i="11"/>
  <c r="Q166" i="12"/>
  <c r="Q13" i="21" s="1"/>
  <c r="Q135" i="12"/>
  <c r="BE22" i="11" s="1"/>
  <c r="BG8" i="11"/>
  <c r="U166" i="12"/>
  <c r="U13" i="21" s="1"/>
  <c r="U135" i="12"/>
  <c r="CA8" i="11"/>
  <c r="Y166" i="12"/>
  <c r="Y13" i="21" s="1"/>
  <c r="Y135" i="12"/>
  <c r="CU8" i="11"/>
  <c r="I136" i="12"/>
  <c r="Q23" i="11" s="1"/>
  <c r="I167" i="12"/>
  <c r="I14" i="21" s="1"/>
  <c r="S9" i="11"/>
  <c r="K136" i="12"/>
  <c r="AA23" i="11" s="1"/>
  <c r="K167" i="12"/>
  <c r="K14" i="21" s="1"/>
  <c r="AC9" i="11"/>
  <c r="M136" i="12"/>
  <c r="AK23" i="11" s="1"/>
  <c r="M167" i="12"/>
  <c r="M14" i="21" s="1"/>
  <c r="AM9" i="11"/>
  <c r="O136" i="12"/>
  <c r="AU23" i="11" s="1"/>
  <c r="O167" i="12"/>
  <c r="O14" i="21" s="1"/>
  <c r="AW9" i="11"/>
  <c r="Q136" i="12"/>
  <c r="BE23" i="11" s="1"/>
  <c r="Q167" i="12"/>
  <c r="Q14" i="21" s="1"/>
  <c r="BG9" i="11"/>
  <c r="S136" i="12"/>
  <c r="S167" i="12"/>
  <c r="S14" i="21" s="1"/>
  <c r="BQ9" i="11"/>
  <c r="U136" i="12"/>
  <c r="U167" i="12"/>
  <c r="U14" i="21" s="1"/>
  <c r="CA9" i="11"/>
  <c r="W136" i="12"/>
  <c r="W167" i="12"/>
  <c r="W14" i="21" s="1"/>
  <c r="CK9" i="11"/>
  <c r="Y136" i="12"/>
  <c r="Y167" i="12"/>
  <c r="Y14" i="21" s="1"/>
  <c r="CU9" i="11"/>
  <c r="H140" i="12"/>
  <c r="N13" i="11"/>
  <c r="L140" i="12"/>
  <c r="AH13" i="11"/>
  <c r="P140" i="12"/>
  <c r="BB13" i="11"/>
  <c r="T140" i="12"/>
  <c r="BV13" i="11"/>
  <c r="X140" i="12"/>
  <c r="CP13" i="11"/>
  <c r="I106" i="12"/>
  <c r="S103" i="11"/>
  <c r="K106" i="12"/>
  <c r="AC103" i="11"/>
  <c r="M106" i="12"/>
  <c r="AM103" i="11"/>
  <c r="O106" i="12"/>
  <c r="AW103" i="11"/>
  <c r="Q106" i="12"/>
  <c r="BG103" i="11"/>
  <c r="S106" i="12"/>
  <c r="BQ103" i="11"/>
  <c r="U106" i="12"/>
  <c r="CA103" i="11"/>
  <c r="W106" i="12"/>
  <c r="CK103" i="11"/>
  <c r="Y142" i="12"/>
  <c r="CS29" i="11" s="1"/>
  <c r="CU15" i="11"/>
  <c r="AB166" i="12"/>
  <c r="AB135" i="12"/>
  <c r="DJ8" i="11"/>
  <c r="L167" i="12"/>
  <c r="L14" i="21" s="1"/>
  <c r="L136" i="12"/>
  <c r="AF23" i="11" s="1"/>
  <c r="AH9" i="11"/>
  <c r="P167" i="12"/>
  <c r="P14" i="21" s="1"/>
  <c r="P136" i="12"/>
  <c r="AZ23" i="11" s="1"/>
  <c r="BB9" i="11"/>
  <c r="T167" i="12"/>
  <c r="T14" i="21" s="1"/>
  <c r="T136" i="12"/>
  <c r="BV9" i="11"/>
  <c r="X167" i="12"/>
  <c r="X14" i="21" s="1"/>
  <c r="X136" i="12"/>
  <c r="CP9" i="11"/>
  <c r="I140" i="12"/>
  <c r="S13" i="11"/>
  <c r="M140" i="12"/>
  <c r="AM13" i="11"/>
  <c r="Q140" i="12"/>
  <c r="BG13" i="11"/>
  <c r="U140" i="12"/>
  <c r="CA13" i="11"/>
  <c r="Y140" i="12"/>
  <c r="CU13" i="11"/>
  <c r="H106" i="12"/>
  <c r="N103" i="11"/>
  <c r="J106" i="12"/>
  <c r="X103" i="11"/>
  <c r="L106" i="12"/>
  <c r="AH103" i="11"/>
  <c r="N106" i="12"/>
  <c r="AR103" i="11"/>
  <c r="P106" i="12"/>
  <c r="BB103" i="11"/>
  <c r="R106" i="12"/>
  <c r="BL103" i="11"/>
  <c r="T106" i="12"/>
  <c r="BV103" i="11"/>
  <c r="V106" i="12"/>
  <c r="CF103" i="11"/>
  <c r="X142" i="12"/>
  <c r="CN29" i="11" s="1"/>
  <c r="CP15" i="11"/>
  <c r="Q235" i="7"/>
  <c r="H165" i="12"/>
  <c r="H12" i="21" s="1"/>
  <c r="H134" i="12"/>
  <c r="L21" i="11" s="1"/>
  <c r="N7" i="11"/>
  <c r="L165" i="12"/>
  <c r="L12" i="21" s="1"/>
  <c r="L134" i="12"/>
  <c r="AF21" i="11" s="1"/>
  <c r="AH7" i="11"/>
  <c r="P165" i="12"/>
  <c r="P12" i="21" s="1"/>
  <c r="P134" i="12"/>
  <c r="AZ21" i="11" s="1"/>
  <c r="BB7" i="11"/>
  <c r="T165" i="12"/>
  <c r="T12" i="21" s="1"/>
  <c r="T134" i="12"/>
  <c r="BV7" i="11"/>
  <c r="X165" i="12"/>
  <c r="X12" i="21" s="1"/>
  <c r="X134" i="12"/>
  <c r="CP7" i="11"/>
  <c r="J84" i="12"/>
  <c r="X88" i="11"/>
  <c r="R84" i="12"/>
  <c r="BL88" i="11"/>
  <c r="K140" i="12"/>
  <c r="AC13" i="11"/>
  <c r="S140" i="12"/>
  <c r="BQ13" i="11"/>
  <c r="AA140" i="12"/>
  <c r="DE13" i="11"/>
  <c r="O235" i="7"/>
  <c r="W235" i="7"/>
  <c r="L235" i="7"/>
  <c r="T235" i="7"/>
  <c r="CX24" i="17"/>
  <c r="AD51" i="12"/>
  <c r="AD58" i="12" s="1"/>
  <c r="CX165" i="17"/>
  <c r="AD114" i="12"/>
  <c r="AD118" i="12" s="1"/>
  <c r="AY54" i="24"/>
  <c r="AW54" i="24"/>
  <c r="D54" i="24"/>
  <c r="BM54" i="24"/>
  <c r="AZ54" i="24"/>
  <c r="AX54" i="24"/>
  <c r="AV54" i="24"/>
  <c r="AG54" i="24"/>
  <c r="K134" i="12"/>
  <c r="AA21" i="11" s="1"/>
  <c r="K165" i="12"/>
  <c r="K12" i="21" s="1"/>
  <c r="O134" i="12"/>
  <c r="AU21" i="11" s="1"/>
  <c r="O165" i="12"/>
  <c r="O12" i="21" s="1"/>
  <c r="S134" i="12"/>
  <c r="S165" i="12"/>
  <c r="S12" i="21" s="1"/>
  <c r="W134" i="12"/>
  <c r="W165" i="12"/>
  <c r="W12" i="21" s="1"/>
  <c r="AA134" i="12"/>
  <c r="AA165" i="12"/>
  <c r="DS35" i="11"/>
  <c r="DU35" i="11" s="1"/>
  <c r="DU48" i="11"/>
  <c r="DZ48" i="11" s="1"/>
  <c r="EE48" i="11" s="1"/>
  <c r="J166" i="12"/>
  <c r="J13" i="21" s="1"/>
  <c r="J135" i="12"/>
  <c r="V22" i="11" s="1"/>
  <c r="L166" i="12"/>
  <c r="L13" i="21" s="1"/>
  <c r="L135" i="12"/>
  <c r="AF22" i="11" s="1"/>
  <c r="N166" i="12"/>
  <c r="N13" i="21" s="1"/>
  <c r="N135" i="12"/>
  <c r="AP22" i="11" s="1"/>
  <c r="P166" i="12"/>
  <c r="P13" i="21" s="1"/>
  <c r="P135" i="12"/>
  <c r="AZ22" i="11" s="1"/>
  <c r="R166" i="12"/>
  <c r="R13" i="21" s="1"/>
  <c r="R135" i="12"/>
  <c r="BJ22" i="11" s="1"/>
  <c r="T166" i="12"/>
  <c r="T13" i="21" s="1"/>
  <c r="T135" i="12"/>
  <c r="V166" i="12"/>
  <c r="V13" i="21" s="1"/>
  <c r="V135" i="12"/>
  <c r="X166" i="12"/>
  <c r="X13" i="21" s="1"/>
  <c r="X135" i="12"/>
  <c r="Z166" i="12"/>
  <c r="Z135" i="12"/>
  <c r="H167" i="12"/>
  <c r="H14" i="21" s="1"/>
  <c r="H136" i="12"/>
  <c r="L23" i="11" s="1"/>
  <c r="N167" i="12"/>
  <c r="N14" i="21" s="1"/>
  <c r="N136" i="12"/>
  <c r="AP23" i="11" s="1"/>
  <c r="V167" i="12"/>
  <c r="V14" i="21" s="1"/>
  <c r="V136" i="12"/>
  <c r="AB19" i="21"/>
  <c r="AA20" i="21"/>
  <c r="Z22" i="21"/>
  <c r="C111" i="2"/>
  <c r="AT111" i="2" s="1"/>
  <c r="R17" i="11"/>
  <c r="AL17" i="11"/>
  <c r="BF17" i="11"/>
  <c r="BZ17" i="11"/>
  <c r="CT17" i="11"/>
  <c r="DD17" i="11"/>
  <c r="Z78" i="21"/>
  <c r="BR76" i="11"/>
  <c r="CB75" i="11"/>
  <c r="CC73" i="11"/>
  <c r="CL76" i="11"/>
  <c r="CV75" i="11"/>
  <c r="CW73" i="11"/>
  <c r="EN40" i="6"/>
  <c r="AD723" i="7"/>
  <c r="AC68" i="21"/>
  <c r="DA111" i="11"/>
  <c r="CW111" i="11"/>
  <c r="DU110" i="11"/>
  <c r="DZ110" i="11" s="1"/>
  <c r="EE110" i="11" s="1"/>
  <c r="F103" i="20"/>
  <c r="W103" i="20" s="1"/>
  <c r="AV115" i="2"/>
  <c r="F104" i="20"/>
  <c r="W104" i="20" s="1"/>
  <c r="AV116" i="2"/>
  <c r="AJ54" i="24"/>
  <c r="AK54" i="24"/>
  <c r="AK52" i="24"/>
  <c r="AK45" i="24"/>
  <c r="AK43" i="24"/>
  <c r="AK39" i="24"/>
  <c r="AK28" i="24"/>
  <c r="AK24" i="24"/>
  <c r="AK23" i="24"/>
  <c r="AK15" i="24"/>
  <c r="AK10" i="24"/>
  <c r="AB7" i="24"/>
  <c r="AK53" i="24"/>
  <c r="AK44" i="24"/>
  <c r="AK30" i="24"/>
  <c r="AK25" i="24"/>
  <c r="AK22" i="24"/>
  <c r="AK21" i="24"/>
  <c r="AK17" i="24"/>
  <c r="AK16" i="24"/>
  <c r="F13" i="24"/>
  <c r="AK11" i="24"/>
  <c r="AG7" i="24"/>
  <c r="J165" i="12"/>
  <c r="J12" i="21" s="1"/>
  <c r="J134" i="12"/>
  <c r="V21" i="11" s="1"/>
  <c r="AO36" i="6"/>
  <c r="AO85" i="6" s="1"/>
  <c r="AQ10" i="11"/>
  <c r="AR10" i="11" s="1"/>
  <c r="AO10" i="11"/>
  <c r="AN12" i="11"/>
  <c r="R165" i="12"/>
  <c r="R12" i="21" s="1"/>
  <c r="R134" i="12"/>
  <c r="BJ21" i="11" s="1"/>
  <c r="CK36" i="6"/>
  <c r="CK85" i="6" s="1"/>
  <c r="CE10" i="11"/>
  <c r="CF10" i="11" s="1"/>
  <c r="CC10" i="11"/>
  <c r="CB12" i="11"/>
  <c r="Z165" i="12"/>
  <c r="Z134" i="12"/>
  <c r="DI10" i="11"/>
  <c r="DJ10" i="11" s="1"/>
  <c r="DG10" i="11"/>
  <c r="DF12" i="11"/>
  <c r="Z85" i="6"/>
  <c r="AL85" i="6"/>
  <c r="AX85" i="6"/>
  <c r="BJ85" i="6"/>
  <c r="BV85" i="6"/>
  <c r="CH85" i="6"/>
  <c r="CT85" i="6"/>
  <c r="DF85" i="6"/>
  <c r="DS49" i="11"/>
  <c r="DU49" i="11" s="1"/>
  <c r="DX49" i="11" s="1"/>
  <c r="DZ49" i="11" s="1"/>
  <c r="EC49" i="11" s="1"/>
  <c r="EE49" i="11" s="1"/>
  <c r="AW57" i="11"/>
  <c r="CK57" i="11"/>
  <c r="N58" i="11"/>
  <c r="Y178" i="12"/>
  <c r="Y145" i="12"/>
  <c r="AB16" i="21"/>
  <c r="AC63" i="11"/>
  <c r="AW63" i="11"/>
  <c r="BQ63" i="11"/>
  <c r="CK63" i="11"/>
  <c r="Z20" i="21"/>
  <c r="C109" i="2"/>
  <c r="AT109" i="2" s="1"/>
  <c r="AA84" i="12"/>
  <c r="CZ101" i="11"/>
  <c r="AA22" i="21"/>
  <c r="E12" i="6"/>
  <c r="J8" i="6"/>
  <c r="BA57" i="6"/>
  <c r="BA12" i="6"/>
  <c r="BF8" i="6"/>
  <c r="BF57" i="6" s="1"/>
  <c r="Q347" i="12"/>
  <c r="U347" i="12"/>
  <c r="BW75" i="11"/>
  <c r="BX73" i="11"/>
  <c r="CG76" i="11"/>
  <c r="CQ75" i="11"/>
  <c r="CR73" i="11"/>
  <c r="EN46" i="6"/>
  <c r="EN95" i="6" s="1"/>
  <c r="AD718" i="7"/>
  <c r="BW54" i="24"/>
  <c r="AI7" i="24"/>
  <c r="AI54" i="24"/>
  <c r="G104" i="20"/>
  <c r="X104" i="20" s="1"/>
  <c r="AW116" i="2"/>
  <c r="G77" i="8"/>
  <c r="G78" i="8" s="1"/>
  <c r="I62" i="8"/>
  <c r="I51" i="8"/>
  <c r="I77" i="8"/>
  <c r="M62" i="8"/>
  <c r="M51" i="8"/>
  <c r="M77" i="8"/>
  <c r="Q62" i="8"/>
  <c r="Q51" i="8"/>
  <c r="Q77" i="8"/>
  <c r="U62" i="8"/>
  <c r="U51" i="8"/>
  <c r="U77" i="8"/>
  <c r="Y62" i="8"/>
  <c r="Y51" i="8"/>
  <c r="Y77" i="8"/>
  <c r="N10" i="8"/>
  <c r="N42" i="8"/>
  <c r="O65" i="8" s="1"/>
  <c r="N23" i="8"/>
  <c r="N17" i="8"/>
  <c r="N41" i="8"/>
  <c r="N38" i="8"/>
  <c r="L46" i="24" s="1"/>
  <c r="V10" i="8"/>
  <c r="V42" i="8"/>
  <c r="W54" i="8" s="1"/>
  <c r="U42" i="24" s="1"/>
  <c r="V23" i="8"/>
  <c r="V17" i="8"/>
  <c r="V41" i="8"/>
  <c r="V38" i="8"/>
  <c r="T46" i="24" s="1"/>
  <c r="AA158" i="8"/>
  <c r="AA151" i="8"/>
  <c r="M61" i="6"/>
  <c r="M22" i="6"/>
  <c r="N374" i="7"/>
  <c r="N353" i="7"/>
  <c r="N191" i="7"/>
  <c r="N185" i="7"/>
  <c r="BI61" i="6"/>
  <c r="BI22" i="6"/>
  <c r="V374" i="7"/>
  <c r="V353" i="7"/>
  <c r="V191" i="7"/>
  <c r="V185" i="7"/>
  <c r="DE61" i="6"/>
  <c r="DE22" i="6"/>
  <c r="DQ61" i="6"/>
  <c r="DQ22" i="6"/>
  <c r="EC61" i="6"/>
  <c r="EC22" i="6"/>
  <c r="AD70" i="21"/>
  <c r="EO10" i="6"/>
  <c r="EO33" i="6"/>
  <c r="AD731" i="7"/>
  <c r="G375" i="7"/>
  <c r="G354" i="7"/>
  <c r="G366" i="7" s="1"/>
  <c r="G192" i="7"/>
  <c r="T61" i="6"/>
  <c r="T22" i="6"/>
  <c r="AF61" i="6"/>
  <c r="AF22" i="6"/>
  <c r="AR61" i="6"/>
  <c r="AR22" i="6"/>
  <c r="BD61" i="6"/>
  <c r="BD22" i="6"/>
  <c r="BP61" i="6"/>
  <c r="BP22" i="6"/>
  <c r="CB61" i="6"/>
  <c r="CN61" i="6"/>
  <c r="CN22" i="6"/>
  <c r="CZ61" i="6"/>
  <c r="DL61" i="6"/>
  <c r="DX61" i="6"/>
  <c r="DX22" i="6"/>
  <c r="G668" i="7"/>
  <c r="G661" i="7"/>
  <c r="K65" i="6"/>
  <c r="W65" i="6"/>
  <c r="AI65" i="6"/>
  <c r="AU65" i="6"/>
  <c r="BG65" i="6"/>
  <c r="BS65" i="6"/>
  <c r="CE65" i="6"/>
  <c r="CQ65" i="6"/>
  <c r="DC65" i="6"/>
  <c r="EA65" i="6"/>
  <c r="AC66" i="6"/>
  <c r="BA66" i="6"/>
  <c r="BF17" i="6"/>
  <c r="BF66" i="6" s="1"/>
  <c r="BY66" i="6"/>
  <c r="CD17" i="6"/>
  <c r="CD66" i="6" s="1"/>
  <c r="CW66" i="6"/>
  <c r="DB17" i="6"/>
  <c r="DB66" i="6" s="1"/>
  <c r="J91" i="21"/>
  <c r="J660" i="7"/>
  <c r="J674" i="7" s="1"/>
  <c r="N91" i="21"/>
  <c r="N660" i="7"/>
  <c r="N674" i="7" s="1"/>
  <c r="R91" i="21"/>
  <c r="R660" i="7"/>
  <c r="R674" i="7" s="1"/>
  <c r="V91" i="21"/>
  <c r="V660" i="7"/>
  <c r="V674" i="7" s="1"/>
  <c r="Z91" i="21"/>
  <c r="Z660" i="7"/>
  <c r="Z674" i="7" s="1"/>
  <c r="H586" i="7"/>
  <c r="H167" i="7"/>
  <c r="J586" i="7"/>
  <c r="J167" i="7"/>
  <c r="L586" i="7"/>
  <c r="L167" i="7"/>
  <c r="P586" i="7"/>
  <c r="P167" i="7"/>
  <c r="T586" i="7"/>
  <c r="T167" i="7"/>
  <c r="X586" i="7"/>
  <c r="X167" i="7"/>
  <c r="Z167" i="7"/>
  <c r="AB167" i="7"/>
  <c r="BC167" i="7" s="1"/>
  <c r="EP30" i="6"/>
  <c r="AD753" i="7"/>
  <c r="EP28" i="6"/>
  <c r="AD747" i="7"/>
  <c r="EJ43" i="6"/>
  <c r="EJ92" i="6" s="1"/>
  <c r="AD482" i="7"/>
  <c r="AE482" i="7" s="1"/>
  <c r="H94" i="21"/>
  <c r="H663" i="7"/>
  <c r="H677" i="7" s="1"/>
  <c r="H764" i="7"/>
  <c r="H765" i="7" s="1"/>
  <c r="L94" i="21"/>
  <c r="L663" i="7"/>
  <c r="L677" i="7" s="1"/>
  <c r="L764" i="7"/>
  <c r="L765" i="7" s="1"/>
  <c r="P94" i="21"/>
  <c r="P663" i="7"/>
  <c r="P677" i="7" s="1"/>
  <c r="P764" i="7"/>
  <c r="P765" i="7" s="1"/>
  <c r="T94" i="21"/>
  <c r="T663" i="7"/>
  <c r="T677" i="7" s="1"/>
  <c r="T764" i="7"/>
  <c r="T765" i="7" s="1"/>
  <c r="X94" i="21"/>
  <c r="X663" i="7"/>
  <c r="X677" i="7" s="1"/>
  <c r="X764" i="7"/>
  <c r="X765" i="7" s="1"/>
  <c r="AB94" i="21"/>
  <c r="AB663" i="7"/>
  <c r="AB677" i="7" s="1"/>
  <c r="AB764" i="7"/>
  <c r="G340" i="20"/>
  <c r="X340" i="20" s="1"/>
  <c r="F340" i="20"/>
  <c r="W340" i="20" s="1"/>
  <c r="AU189" i="2"/>
  <c r="H173" i="8"/>
  <c r="H145" i="8"/>
  <c r="H205" i="8"/>
  <c r="F49" i="24"/>
  <c r="L270" i="7"/>
  <c r="L259" i="7"/>
  <c r="AU62" i="6"/>
  <c r="P173" i="8"/>
  <c r="P145" i="8"/>
  <c r="P205" i="8"/>
  <c r="N49" i="24"/>
  <c r="T270" i="7"/>
  <c r="T259" i="7"/>
  <c r="CQ62" i="6"/>
  <c r="X173" i="8"/>
  <c r="X205" i="8"/>
  <c r="V49" i="24"/>
  <c r="Z173" i="8"/>
  <c r="Z205" i="8"/>
  <c r="X49" i="24"/>
  <c r="BD270" i="7"/>
  <c r="BC259" i="7"/>
  <c r="G114" i="8"/>
  <c r="H121" i="8" s="1"/>
  <c r="AB62" i="21"/>
  <c r="EH73" i="6"/>
  <c r="AI80" i="6"/>
  <c r="CE80" i="6"/>
  <c r="EA80" i="6"/>
  <c r="AC94" i="6"/>
  <c r="BA94" i="6"/>
  <c r="BY94" i="6"/>
  <c r="CW94" i="6"/>
  <c r="DU94" i="6"/>
  <c r="AD57" i="21"/>
  <c r="H110" i="20"/>
  <c r="Y110" i="20" s="1"/>
  <c r="AX121" i="2"/>
  <c r="BW256" i="17"/>
  <c r="BW257" i="17" s="1"/>
  <c r="BX227" i="17"/>
  <c r="BW226" i="17"/>
  <c r="BW239" i="17" s="1"/>
  <c r="CB163" i="17"/>
  <c r="CC163" i="17" s="1"/>
  <c r="CD163" i="17" s="1"/>
  <c r="CE163" i="17" s="1"/>
  <c r="CB166" i="17"/>
  <c r="CC166" i="17" s="1"/>
  <c r="CD166" i="17" s="1"/>
  <c r="CE166" i="17" s="1"/>
  <c r="CD221" i="17"/>
  <c r="CB220" i="17"/>
  <c r="CC220" i="17" s="1"/>
  <c r="CD220" i="17" s="1"/>
  <c r="CE220" i="17" s="1"/>
  <c r="Z44" i="21"/>
  <c r="C158" i="2"/>
  <c r="AT158" i="2" s="1"/>
  <c r="AE11" i="11"/>
  <c r="AY81" i="11"/>
  <c r="O273" i="12"/>
  <c r="O269" i="12"/>
  <c r="BA96" i="6"/>
  <c r="BF47" i="6"/>
  <c r="BF96" i="6" s="1"/>
  <c r="BS11" i="11"/>
  <c r="CM81" i="11"/>
  <c r="W273" i="12"/>
  <c r="W269" i="12"/>
  <c r="CW96" i="6"/>
  <c r="DB47" i="6"/>
  <c r="DB96" i="6" s="1"/>
  <c r="AN16" i="24"/>
  <c r="AN45" i="24"/>
  <c r="AN54" i="24"/>
  <c r="AD98" i="8"/>
  <c r="AE98" i="8" s="1"/>
  <c r="AF98" i="8" s="1"/>
  <c r="H158" i="8"/>
  <c r="H151" i="8"/>
  <c r="H203" i="8"/>
  <c r="J158" i="8"/>
  <c r="J151" i="8"/>
  <c r="L158" i="8"/>
  <c r="L151" i="8"/>
  <c r="L203" i="8"/>
  <c r="N158" i="8"/>
  <c r="N151" i="8"/>
  <c r="P158" i="8"/>
  <c r="P151" i="8"/>
  <c r="P203" i="8"/>
  <c r="R158" i="8"/>
  <c r="R151" i="8"/>
  <c r="T158" i="8"/>
  <c r="T151" i="8"/>
  <c r="T203" i="8"/>
  <c r="V158" i="8"/>
  <c r="V151" i="8"/>
  <c r="X158" i="8"/>
  <c r="X151" i="8"/>
  <c r="X203" i="8"/>
  <c r="AB158" i="8"/>
  <c r="AB151" i="8"/>
  <c r="AB203" i="8"/>
  <c r="BQ66" i="6"/>
  <c r="CO66" i="6"/>
  <c r="DM66" i="6"/>
  <c r="S61" i="6"/>
  <c r="S22" i="6"/>
  <c r="O374" i="7"/>
  <c r="O353" i="7"/>
  <c r="O191" i="7"/>
  <c r="O185" i="7"/>
  <c r="BO61" i="6"/>
  <c r="BO22" i="6"/>
  <c r="W374" i="7"/>
  <c r="W353" i="7"/>
  <c r="W191" i="7"/>
  <c r="W185" i="7"/>
  <c r="DK61" i="6"/>
  <c r="DK22" i="6"/>
  <c r="DW61" i="6"/>
  <c r="DW22" i="6"/>
  <c r="N235" i="7"/>
  <c r="R237" i="7"/>
  <c r="V235" i="7"/>
  <c r="AB75" i="21"/>
  <c r="N61" i="6"/>
  <c r="Z61" i="6"/>
  <c r="AL22" i="6"/>
  <c r="AL61" i="6"/>
  <c r="AX22" i="6"/>
  <c r="AX61" i="6"/>
  <c r="BJ61" i="6"/>
  <c r="BV22" i="6"/>
  <c r="BV61" i="6"/>
  <c r="CH61" i="6"/>
  <c r="CT22" i="6"/>
  <c r="CT61" i="6"/>
  <c r="DF61" i="6"/>
  <c r="DR22" i="6"/>
  <c r="DR61" i="6"/>
  <c r="ED22" i="6"/>
  <c r="ED61" i="6"/>
  <c r="K91" i="21"/>
  <c r="K660" i="7"/>
  <c r="K674" i="7" s="1"/>
  <c r="O91" i="21"/>
  <c r="O660" i="7"/>
  <c r="O674" i="7" s="1"/>
  <c r="S91" i="21"/>
  <c r="S660" i="7"/>
  <c r="S674" i="7" s="1"/>
  <c r="W91" i="21"/>
  <c r="W660" i="7"/>
  <c r="W674" i="7" s="1"/>
  <c r="AA91" i="21"/>
  <c r="AA660" i="7"/>
  <c r="AA674" i="7" s="1"/>
  <c r="DX67" i="6"/>
  <c r="M586" i="7"/>
  <c r="M167" i="7"/>
  <c r="U586" i="7"/>
  <c r="U167" i="7"/>
  <c r="AI72" i="6"/>
  <c r="BG72" i="6"/>
  <c r="CE72" i="6"/>
  <c r="DC72" i="6"/>
  <c r="AA122" i="21"/>
  <c r="C259" i="2"/>
  <c r="G411" i="20"/>
  <c r="X411" i="20" s="1"/>
  <c r="AU215" i="2"/>
  <c r="J418" i="20"/>
  <c r="K418" i="20"/>
  <c r="AB418" i="20" s="1"/>
  <c r="AW221" i="2"/>
  <c r="AF92" i="6"/>
  <c r="BD92" i="6"/>
  <c r="CB92" i="6"/>
  <c r="CZ92" i="6"/>
  <c r="N40" i="6"/>
  <c r="AL40" i="6"/>
  <c r="BJ40" i="6"/>
  <c r="CH40" i="6"/>
  <c r="DF40" i="6"/>
  <c r="ED40" i="6"/>
  <c r="AD97" i="21"/>
  <c r="EP41" i="6"/>
  <c r="AD695" i="7"/>
  <c r="EJ90" i="6"/>
  <c r="W59" i="6"/>
  <c r="AU59" i="6"/>
  <c r="BS59" i="6"/>
  <c r="CQ59" i="6"/>
  <c r="DO59" i="6"/>
  <c r="I145" i="8"/>
  <c r="I173" i="8"/>
  <c r="AD64" i="6"/>
  <c r="M145" i="8"/>
  <c r="M173" i="8"/>
  <c r="BB64" i="6"/>
  <c r="Q145" i="8"/>
  <c r="Q173" i="8"/>
  <c r="BZ64" i="6"/>
  <c r="U145" i="8"/>
  <c r="U173" i="8"/>
  <c r="CX64" i="6"/>
  <c r="Y173" i="8"/>
  <c r="AA173" i="8"/>
  <c r="AC60" i="6"/>
  <c r="BA60" i="6"/>
  <c r="BY60" i="6"/>
  <c r="CW60" i="6"/>
  <c r="DU60" i="6"/>
  <c r="AI79" i="6"/>
  <c r="BG79" i="6"/>
  <c r="CE79" i="6"/>
  <c r="DC79" i="6"/>
  <c r="EA79" i="6"/>
  <c r="Q24" i="6"/>
  <c r="AC24" i="6"/>
  <c r="AC73" i="6" s="1"/>
  <c r="AO24" i="6"/>
  <c r="AO73" i="6" s="1"/>
  <c r="BA24" i="6"/>
  <c r="BA73" i="6" s="1"/>
  <c r="BM24" i="6"/>
  <c r="BM73" i="6" s="1"/>
  <c r="BY24" i="6"/>
  <c r="BY73" i="6" s="1"/>
  <c r="CK24" i="6"/>
  <c r="CK73" i="6" s="1"/>
  <c r="CW24" i="6"/>
  <c r="CW73" i="6" s="1"/>
  <c r="DI24" i="6"/>
  <c r="DI73" i="6" s="1"/>
  <c r="EN32" i="6"/>
  <c r="AD713" i="7"/>
  <c r="EH81" i="6"/>
  <c r="U84" i="6"/>
  <c r="AS84" i="6"/>
  <c r="BQ84" i="6"/>
  <c r="CO84" i="6"/>
  <c r="DM84" i="6"/>
  <c r="DY84" i="6"/>
  <c r="R185" i="17"/>
  <c r="Q89" i="11" s="1"/>
  <c r="I153" i="12"/>
  <c r="T190" i="17"/>
  <c r="U190" i="17"/>
  <c r="Z185" i="17"/>
  <c r="AA89" i="11" s="1"/>
  <c r="K153" i="12"/>
  <c r="AB190" i="17"/>
  <c r="AC190" i="17"/>
  <c r="AH185" i="17"/>
  <c r="AK89" i="11" s="1"/>
  <c r="M153" i="12"/>
  <c r="AJ190" i="17"/>
  <c r="AK190" i="17"/>
  <c r="AP185" i="17"/>
  <c r="AU89" i="11" s="1"/>
  <c r="O153" i="12"/>
  <c r="AR190" i="17"/>
  <c r="AS190" i="17"/>
  <c r="AX185" i="17"/>
  <c r="BE89" i="11" s="1"/>
  <c r="Q153" i="12"/>
  <c r="AZ190" i="17"/>
  <c r="BA190" i="17"/>
  <c r="BF185" i="17"/>
  <c r="BO89" i="11" s="1"/>
  <c r="S153" i="12"/>
  <c r="BH190" i="17"/>
  <c r="BI190" i="17"/>
  <c r="BN185" i="17"/>
  <c r="BY89" i="11" s="1"/>
  <c r="U153" i="12"/>
  <c r="BP190" i="17"/>
  <c r="BQ190" i="17"/>
  <c r="BV185" i="17"/>
  <c r="CI89" i="11" s="1"/>
  <c r="W153" i="12"/>
  <c r="BW190" i="17"/>
  <c r="BY190" i="17"/>
  <c r="BX190" i="17"/>
  <c r="E110" i="20"/>
  <c r="V110" i="20" s="1"/>
  <c r="AU121" i="2"/>
  <c r="G110" i="20"/>
  <c r="X110" i="20" s="1"/>
  <c r="AW121" i="2"/>
  <c r="M247" i="17"/>
  <c r="L247" i="17"/>
  <c r="R242" i="17"/>
  <c r="Q104" i="11" s="1"/>
  <c r="I155" i="12"/>
  <c r="U247" i="17"/>
  <c r="T247" i="17"/>
  <c r="Z242" i="17"/>
  <c r="AA104" i="11" s="1"/>
  <c r="K155" i="12"/>
  <c r="AC247" i="17"/>
  <c r="AB247" i="17"/>
  <c r="AH242" i="17"/>
  <c r="AK104" i="11" s="1"/>
  <c r="M155" i="12"/>
  <c r="AK247" i="17"/>
  <c r="AJ247" i="17"/>
  <c r="AP242" i="17"/>
  <c r="AU104" i="11" s="1"/>
  <c r="O155" i="12"/>
  <c r="AS247" i="17"/>
  <c r="AR247" i="17"/>
  <c r="AX242" i="17"/>
  <c r="BE104" i="11" s="1"/>
  <c r="Q155" i="12"/>
  <c r="BA247" i="17"/>
  <c r="AZ247" i="17"/>
  <c r="BF242" i="17"/>
  <c r="BO104" i="11" s="1"/>
  <c r="S155" i="12"/>
  <c r="BI247" i="17"/>
  <c r="BH247" i="17"/>
  <c r="BN242" i="17"/>
  <c r="BY104" i="11" s="1"/>
  <c r="U155" i="12"/>
  <c r="BQ247" i="17"/>
  <c r="BP247" i="17"/>
  <c r="BV242" i="17"/>
  <c r="CI104" i="11" s="1"/>
  <c r="W155" i="12"/>
  <c r="BW247" i="17"/>
  <c r="BX247" i="17"/>
  <c r="BY247" i="17"/>
  <c r="E112" i="20"/>
  <c r="V112" i="20" s="1"/>
  <c r="AU123" i="2"/>
  <c r="N150" i="17"/>
  <c r="N156" i="17"/>
  <c r="Q155" i="17"/>
  <c r="P155" i="17"/>
  <c r="H152" i="12"/>
  <c r="O155" i="17"/>
  <c r="AD150" i="17"/>
  <c r="AD156" i="17"/>
  <c r="AG155" i="17"/>
  <c r="AF155" i="17"/>
  <c r="L152" i="12"/>
  <c r="AE155" i="17"/>
  <c r="AT150" i="17"/>
  <c r="AT156" i="17"/>
  <c r="AW155" i="17"/>
  <c r="AV155" i="17"/>
  <c r="P152" i="12"/>
  <c r="AU155" i="17"/>
  <c r="BJ150" i="17"/>
  <c r="BJ156" i="17"/>
  <c r="BM155" i="17"/>
  <c r="BL155" i="17"/>
  <c r="T152" i="12"/>
  <c r="BK155" i="17"/>
  <c r="BZ150" i="17"/>
  <c r="BZ156" i="17"/>
  <c r="CC155" i="17"/>
  <c r="CB155" i="17"/>
  <c r="X152" i="12"/>
  <c r="CA155" i="17"/>
  <c r="CP150" i="17"/>
  <c r="CP158" i="17" s="1"/>
  <c r="AB152" i="12"/>
  <c r="CP156" i="17"/>
  <c r="X154" i="12"/>
  <c r="BZ213" i="17"/>
  <c r="CC212" i="17"/>
  <c r="CA212" i="17"/>
  <c r="CB212" i="17"/>
  <c r="CP207" i="17"/>
  <c r="CP215" i="17" s="1"/>
  <c r="AB154" i="12"/>
  <c r="CP213" i="17"/>
  <c r="AR119" i="11"/>
  <c r="CF119" i="11"/>
  <c r="H433" i="12"/>
  <c r="P81" i="11"/>
  <c r="L273" i="12"/>
  <c r="L269" i="12"/>
  <c r="AJ11" i="11"/>
  <c r="AI96" i="6"/>
  <c r="AN47" i="6"/>
  <c r="AN96" i="6" s="1"/>
  <c r="P433" i="12"/>
  <c r="BD81" i="11"/>
  <c r="T273" i="12"/>
  <c r="T269" i="12"/>
  <c r="BX11" i="11"/>
  <c r="CE96" i="6"/>
  <c r="CJ47" i="6"/>
  <c r="CJ96" i="6" s="1"/>
  <c r="X433" i="12"/>
  <c r="CR81" i="11"/>
  <c r="BB54" i="24"/>
  <c r="AC54" i="24"/>
  <c r="BB52" i="24"/>
  <c r="AC52" i="24"/>
  <c r="BB45" i="24"/>
  <c r="AC45" i="24"/>
  <c r="BB43" i="24"/>
  <c r="AC43" i="24"/>
  <c r="BB39" i="24"/>
  <c r="AB39" i="24"/>
  <c r="AC29" i="24"/>
  <c r="AY28" i="24"/>
  <c r="AW28" i="24"/>
  <c r="D28" i="24"/>
  <c r="BB53" i="24"/>
  <c r="AC53" i="24"/>
  <c r="BB44" i="24"/>
  <c r="AC44" i="24"/>
  <c r="BB30" i="24"/>
  <c r="AB30" i="24"/>
  <c r="AD29" i="24"/>
  <c r="AZ28" i="24"/>
  <c r="AX28" i="24"/>
  <c r="AV28" i="24"/>
  <c r="AG28" i="24"/>
  <c r="I230" i="17"/>
  <c r="Y230" i="17"/>
  <c r="AO230" i="17"/>
  <c r="BE230" i="17"/>
  <c r="BU230" i="17"/>
  <c r="J252" i="8"/>
  <c r="J248" i="8"/>
  <c r="J249" i="8" s="1"/>
  <c r="N252" i="8"/>
  <c r="N248" i="8"/>
  <c r="N249" i="8" s="1"/>
  <c r="R252" i="8"/>
  <c r="R248" i="8"/>
  <c r="R249" i="8" s="1"/>
  <c r="V252" i="8"/>
  <c r="V248" i="8"/>
  <c r="V249" i="8" s="1"/>
  <c r="X252" i="8"/>
  <c r="X248" i="8"/>
  <c r="X249" i="8" s="1"/>
  <c r="Z252" i="8"/>
  <c r="Z248" i="8"/>
  <c r="Z249" i="8" s="1"/>
  <c r="AB252" i="8"/>
  <c r="Z12" i="24" s="1"/>
  <c r="AB248" i="8"/>
  <c r="AB249" i="8" s="1"/>
  <c r="G13" i="24"/>
  <c r="Y13" i="24"/>
  <c r="D7" i="24"/>
  <c r="O12" i="11"/>
  <c r="R10" i="11"/>
  <c r="S10" i="11" s="1"/>
  <c r="P10" i="11"/>
  <c r="AI12" i="11"/>
  <c r="AL10" i="11"/>
  <c r="AJ10" i="11"/>
  <c r="BC12" i="11"/>
  <c r="BF10" i="11"/>
  <c r="BG10" i="11" s="1"/>
  <c r="BD10" i="11"/>
  <c r="BW12" i="11"/>
  <c r="BZ10" i="11"/>
  <c r="BX10" i="11"/>
  <c r="CQ12" i="11"/>
  <c r="CT10" i="11"/>
  <c r="CU10" i="11" s="1"/>
  <c r="CR10" i="11"/>
  <c r="DK12" i="11"/>
  <c r="DL10" i="11"/>
  <c r="R59" i="11"/>
  <c r="AH57" i="11"/>
  <c r="AL59" i="11"/>
  <c r="BB57" i="11"/>
  <c r="BF59" i="11"/>
  <c r="BV57" i="11"/>
  <c r="BZ59" i="11"/>
  <c r="CP57" i="11"/>
  <c r="CT59" i="11"/>
  <c r="CB74" i="11"/>
  <c r="X86" i="11"/>
  <c r="AR86" i="11"/>
  <c r="BL86" i="11"/>
  <c r="CF86" i="11"/>
  <c r="DJ102" i="11"/>
  <c r="DI103" i="11"/>
  <c r="AB106" i="12" s="1"/>
  <c r="DG103" i="11"/>
  <c r="AH10" i="24"/>
  <c r="AH43" i="24"/>
  <c r="AB8" i="6"/>
  <c r="AB57" i="6" s="1"/>
  <c r="W57" i="6"/>
  <c r="W12" i="6"/>
  <c r="AZ8" i="6"/>
  <c r="AZ57" i="6" s="1"/>
  <c r="AU57" i="6"/>
  <c r="AU12" i="6"/>
  <c r="BX8" i="6"/>
  <c r="BX57" i="6" s="1"/>
  <c r="BS57" i="6"/>
  <c r="BS12" i="6"/>
  <c r="CV8" i="6"/>
  <c r="CV57" i="6" s="1"/>
  <c r="CQ57" i="6"/>
  <c r="CQ12" i="6"/>
  <c r="BW78" i="11"/>
  <c r="CQ78" i="11"/>
  <c r="K73" i="11"/>
  <c r="I73" i="11"/>
  <c r="DF75" i="11"/>
  <c r="DG73" i="11"/>
  <c r="DF76" i="11"/>
  <c r="CB77" i="11"/>
  <c r="CV77" i="11"/>
  <c r="BR97" i="11"/>
  <c r="CL97" i="11"/>
  <c r="DA96" i="11"/>
  <c r="CW96" i="11"/>
  <c r="AD114" i="21"/>
  <c r="AB54" i="24"/>
  <c r="H103" i="20"/>
  <c r="Y103" i="20" s="1"/>
  <c r="AX115" i="2"/>
  <c r="CH77" i="17"/>
  <c r="CL77" i="17"/>
  <c r="CH80" i="17"/>
  <c r="CL80" i="17"/>
  <c r="CC68" i="17"/>
  <c r="CK68" i="17"/>
  <c r="Y173" i="17"/>
  <c r="AO173" i="17"/>
  <c r="BE173" i="17"/>
  <c r="BU173" i="17"/>
  <c r="I252" i="8"/>
  <c r="I248" i="8"/>
  <c r="I249" i="8" s="1"/>
  <c r="M252" i="8"/>
  <c r="M248" i="8"/>
  <c r="M249" i="8" s="1"/>
  <c r="Q252" i="8"/>
  <c r="Q248" i="8"/>
  <c r="Q249" i="8" s="1"/>
  <c r="U252" i="8"/>
  <c r="U248" i="8"/>
  <c r="U249" i="8" s="1"/>
  <c r="AM53" i="24"/>
  <c r="AM44" i="24"/>
  <c r="AM30" i="24"/>
  <c r="AM25" i="24"/>
  <c r="AB24" i="24"/>
  <c r="AB23" i="24"/>
  <c r="AM22" i="24"/>
  <c r="AM21" i="24"/>
  <c r="X20" i="24"/>
  <c r="AM17" i="24"/>
  <c r="AM16" i="24"/>
  <c r="AM11" i="24"/>
  <c r="AB11" i="24"/>
  <c r="AM54" i="24"/>
  <c r="AM52" i="24"/>
  <c r="AM45" i="24"/>
  <c r="AM43" i="24"/>
  <c r="AM39" i="24"/>
  <c r="AM28" i="24"/>
  <c r="AB25" i="24"/>
  <c r="AM24" i="24"/>
  <c r="AM23" i="24"/>
  <c r="AB22" i="24"/>
  <c r="AB21" i="24"/>
  <c r="Y20" i="24"/>
  <c r="X19" i="24"/>
  <c r="AB16" i="24"/>
  <c r="AM15" i="24"/>
  <c r="AB15" i="24"/>
  <c r="D10" i="24"/>
  <c r="AG10" i="24"/>
  <c r="J12" i="11"/>
  <c r="M10" i="11"/>
  <c r="N10" i="11" s="1"/>
  <c r="AC36" i="6"/>
  <c r="AG10" i="11"/>
  <c r="AH10" i="11" s="1"/>
  <c r="AE10" i="11"/>
  <c r="AD12" i="11"/>
  <c r="AW7" i="11"/>
  <c r="BY36" i="6"/>
  <c r="BU10" i="11"/>
  <c r="BV10" i="11" s="1"/>
  <c r="BS10" i="11"/>
  <c r="BR12" i="11"/>
  <c r="CK7" i="11"/>
  <c r="DR85" i="6"/>
  <c r="AH8" i="11"/>
  <c r="BB8" i="11"/>
  <c r="BV8" i="11"/>
  <c r="CP8" i="11"/>
  <c r="S57" i="11"/>
  <c r="W59" i="11"/>
  <c r="BG57" i="11"/>
  <c r="BK59" i="11"/>
  <c r="CU57" i="11"/>
  <c r="CY59" i="11"/>
  <c r="S62" i="11"/>
  <c r="AM62" i="11"/>
  <c r="BG62" i="11"/>
  <c r="CA62" i="11"/>
  <c r="CU62" i="11"/>
  <c r="Z16" i="21"/>
  <c r="N9" i="11"/>
  <c r="AR87" i="11"/>
  <c r="CF87" i="11"/>
  <c r="DJ87" i="11"/>
  <c r="S102" i="11"/>
  <c r="AM102" i="11"/>
  <c r="BG102" i="11"/>
  <c r="CA102" i="11"/>
  <c r="CU102" i="11"/>
  <c r="Z21" i="21"/>
  <c r="C110" i="2"/>
  <c r="X101" i="11"/>
  <c r="AR101" i="11"/>
  <c r="BL101" i="11"/>
  <c r="CF101" i="11"/>
  <c r="I347" i="12"/>
  <c r="W17" i="11"/>
  <c r="AO57" i="6"/>
  <c r="AO12" i="6"/>
  <c r="AT8" i="6"/>
  <c r="AT57" i="6" s="1"/>
  <c r="O347" i="12"/>
  <c r="BA17" i="11"/>
  <c r="CK57" i="6"/>
  <c r="CK12" i="6"/>
  <c r="CP8" i="6"/>
  <c r="CP57" i="6" s="1"/>
  <c r="W347" i="12"/>
  <c r="CO17" i="11"/>
  <c r="EO40" i="6"/>
  <c r="AD740" i="7"/>
  <c r="CB78" i="11"/>
  <c r="CV78" i="11"/>
  <c r="DF78" i="11"/>
  <c r="AD108" i="21"/>
  <c r="G243" i="2"/>
  <c r="AD627" i="7"/>
  <c r="AC40" i="6"/>
  <c r="BA40" i="6"/>
  <c r="BY40" i="6"/>
  <c r="CW40" i="6"/>
  <c r="BX96" i="11"/>
  <c r="CR96" i="11"/>
  <c r="BR98" i="11"/>
  <c r="CL98" i="11"/>
  <c r="Z111" i="11"/>
  <c r="AJ111" i="11"/>
  <c r="AT111" i="11"/>
  <c r="BD111" i="11"/>
  <c r="BN111" i="11"/>
  <c r="CH111" i="11"/>
  <c r="N106" i="17"/>
  <c r="AD106" i="17"/>
  <c r="AT106" i="17"/>
  <c r="BJ106" i="17"/>
  <c r="BZ106" i="17"/>
  <c r="H10" i="8"/>
  <c r="H42" i="8"/>
  <c r="I54" i="8" s="1"/>
  <c r="G42" i="24" s="1"/>
  <c r="H23" i="8"/>
  <c r="H17" i="8"/>
  <c r="H38" i="8"/>
  <c r="F46" i="24" s="1"/>
  <c r="H41" i="8"/>
  <c r="P10" i="8"/>
  <c r="P42" i="8"/>
  <c r="Q54" i="8" s="1"/>
  <c r="O42" i="24" s="1"/>
  <c r="P23" i="8"/>
  <c r="P17" i="8"/>
  <c r="P38" i="8"/>
  <c r="N46" i="24" s="1"/>
  <c r="P41" i="8"/>
  <c r="X10" i="8"/>
  <c r="X42" i="8"/>
  <c r="Y54" i="8" s="1"/>
  <c r="W42" i="24" s="1"/>
  <c r="X23" i="8"/>
  <c r="X17" i="8"/>
  <c r="X38" i="8"/>
  <c r="V46" i="24" s="1"/>
  <c r="X41" i="8"/>
  <c r="AD40" i="21"/>
  <c r="G151" i="2"/>
  <c r="EM7" i="6"/>
  <c r="DU118" i="11"/>
  <c r="H374" i="7"/>
  <c r="H353" i="7"/>
  <c r="H191" i="7"/>
  <c r="H185" i="7"/>
  <c r="Y61" i="6"/>
  <c r="Y22" i="6"/>
  <c r="P374" i="7"/>
  <c r="P353" i="7"/>
  <c r="P191" i="7"/>
  <c r="P185" i="7"/>
  <c r="BU61" i="6"/>
  <c r="BU22" i="6"/>
  <c r="X374" i="7"/>
  <c r="X353" i="7"/>
  <c r="X191" i="7"/>
  <c r="X185" i="7"/>
  <c r="I186" i="7"/>
  <c r="I375" i="7"/>
  <c r="I354" i="7"/>
  <c r="I192" i="7"/>
  <c r="I123" i="7"/>
  <c r="I446" i="7"/>
  <c r="I435" i="7"/>
  <c r="K186" i="7"/>
  <c r="K375" i="7"/>
  <c r="K354" i="7"/>
  <c r="K192" i="7"/>
  <c r="K123" i="7"/>
  <c r="K446" i="7"/>
  <c r="K435" i="7"/>
  <c r="M186" i="7"/>
  <c r="M375" i="7"/>
  <c r="M354" i="7"/>
  <c r="M192" i="7"/>
  <c r="M123" i="7"/>
  <c r="M446" i="7"/>
  <c r="M435" i="7"/>
  <c r="O186" i="7"/>
  <c r="O375" i="7"/>
  <c r="O354" i="7"/>
  <c r="O192" i="7"/>
  <c r="O123" i="7"/>
  <c r="O446" i="7"/>
  <c r="O435" i="7"/>
  <c r="Q186" i="7"/>
  <c r="Q375" i="7"/>
  <c r="Q354" i="7"/>
  <c r="Q192" i="7"/>
  <c r="Q123" i="7"/>
  <c r="Q446" i="7"/>
  <c r="Q435" i="7"/>
  <c r="S186" i="7"/>
  <c r="S375" i="7"/>
  <c r="S354" i="7"/>
  <c r="S192" i="7"/>
  <c r="S123" i="7"/>
  <c r="S446" i="7"/>
  <c r="S435" i="7"/>
  <c r="U186" i="7"/>
  <c r="U375" i="7"/>
  <c r="U354" i="7"/>
  <c r="U192" i="7"/>
  <c r="U123" i="7"/>
  <c r="U446" i="7"/>
  <c r="U435" i="7"/>
  <c r="W186" i="7"/>
  <c r="W375" i="7"/>
  <c r="W354" i="7"/>
  <c r="W192" i="7"/>
  <c r="W123" i="7"/>
  <c r="W446" i="7"/>
  <c r="W435" i="7"/>
  <c r="Y186" i="7"/>
  <c r="Y375" i="7"/>
  <c r="Z381" i="7" s="1"/>
  <c r="Y354" i="7"/>
  <c r="Y192" i="7"/>
  <c r="Y446" i="7"/>
  <c r="I426" i="7"/>
  <c r="I668" i="7"/>
  <c r="K426" i="7"/>
  <c r="K668" i="7"/>
  <c r="M426" i="7"/>
  <c r="M668" i="7"/>
  <c r="O426" i="7"/>
  <c r="O668" i="7"/>
  <c r="Q426" i="7"/>
  <c r="Q668" i="7"/>
  <c r="S426" i="7"/>
  <c r="S668" i="7"/>
  <c r="U426" i="7"/>
  <c r="U668" i="7"/>
  <c r="W426" i="7"/>
  <c r="W668" i="7"/>
  <c r="Y426" i="7"/>
  <c r="Y668" i="7"/>
  <c r="J588" i="7"/>
  <c r="N588" i="7"/>
  <c r="R588" i="7"/>
  <c r="V588" i="7"/>
  <c r="Z629" i="7"/>
  <c r="Z640" i="7" s="1"/>
  <c r="Q66" i="6"/>
  <c r="AO66" i="6"/>
  <c r="BM66" i="6"/>
  <c r="BR17" i="6"/>
  <c r="BR66" i="6" s="1"/>
  <c r="CK66" i="6"/>
  <c r="CP17" i="6"/>
  <c r="CP66" i="6" s="1"/>
  <c r="DI66" i="6"/>
  <c r="DN17" i="6"/>
  <c r="DN66" i="6" s="1"/>
  <c r="DU66" i="6"/>
  <c r="DZ17" i="6"/>
  <c r="DZ66" i="6" s="1"/>
  <c r="I84" i="21"/>
  <c r="I628" i="7"/>
  <c r="M84" i="21"/>
  <c r="M628" i="7"/>
  <c r="Q84" i="21"/>
  <c r="Q628" i="7"/>
  <c r="U84" i="21"/>
  <c r="U628" i="7"/>
  <c r="Y84" i="21"/>
  <c r="Y628" i="7"/>
  <c r="N586" i="7"/>
  <c r="N167" i="7"/>
  <c r="R586" i="7"/>
  <c r="R167" i="7"/>
  <c r="V586" i="7"/>
  <c r="V167" i="7"/>
  <c r="EP33" i="6"/>
  <c r="AD754" i="7"/>
  <c r="DR92" i="6"/>
  <c r="EP44" i="6"/>
  <c r="AD759" i="7"/>
  <c r="G373" i="7"/>
  <c r="G352" i="7"/>
  <c r="G190" i="7"/>
  <c r="G181" i="7"/>
  <c r="G193" i="7" s="1"/>
  <c r="I184" i="7"/>
  <c r="I373" i="7"/>
  <c r="I352" i="7"/>
  <c r="I190" i="7"/>
  <c r="I181" i="7"/>
  <c r="AD61" i="6"/>
  <c r="AD22" i="6"/>
  <c r="M184" i="7"/>
  <c r="M373" i="7"/>
  <c r="M352" i="7"/>
  <c r="M190" i="7"/>
  <c r="M181" i="7"/>
  <c r="BB61" i="6"/>
  <c r="BB22" i="6"/>
  <c r="Q184" i="7"/>
  <c r="Q373" i="7"/>
  <c r="Q352" i="7"/>
  <c r="Q190" i="7"/>
  <c r="Q181" i="7"/>
  <c r="BZ61" i="6"/>
  <c r="BZ22" i="6"/>
  <c r="U184" i="7"/>
  <c r="U373" i="7"/>
  <c r="U352" i="7"/>
  <c r="U190" i="7"/>
  <c r="U181" i="7"/>
  <c r="CX61" i="6"/>
  <c r="CX22" i="6"/>
  <c r="Y184" i="7"/>
  <c r="Y373" i="7"/>
  <c r="Z379" i="7" s="1"/>
  <c r="Y352" i="7"/>
  <c r="Y190" i="7"/>
  <c r="Y181" i="7"/>
  <c r="DV61" i="6"/>
  <c r="DV22" i="6"/>
  <c r="AC59" i="6"/>
  <c r="BA59" i="6"/>
  <c r="BY59" i="6"/>
  <c r="CW59" i="6"/>
  <c r="DU59" i="6"/>
  <c r="K62" i="6"/>
  <c r="BD45" i="24"/>
  <c r="BD54" i="24"/>
  <c r="J173" i="8"/>
  <c r="J145" i="8"/>
  <c r="J205" i="8"/>
  <c r="H49" i="24"/>
  <c r="AJ64" i="6"/>
  <c r="N270" i="7"/>
  <c r="N259" i="7"/>
  <c r="BG62" i="6"/>
  <c r="R173" i="8"/>
  <c r="R145" i="8"/>
  <c r="R205" i="8"/>
  <c r="P49" i="24"/>
  <c r="CF64" i="6"/>
  <c r="V270" i="7"/>
  <c r="V259" i="7"/>
  <c r="DC62" i="6"/>
  <c r="EA62" i="6"/>
  <c r="AI60" i="6"/>
  <c r="BG60" i="6"/>
  <c r="CE60" i="6"/>
  <c r="DC60" i="6"/>
  <c r="EA60" i="6"/>
  <c r="DU79" i="6"/>
  <c r="K24" i="6"/>
  <c r="DO24" i="6"/>
  <c r="EA24" i="6"/>
  <c r="EA73" i="6" s="1"/>
  <c r="Q76" i="6"/>
  <c r="AC76" i="6"/>
  <c r="AO76" i="6"/>
  <c r="BA76" i="6"/>
  <c r="AU80" i="6"/>
  <c r="CQ80" i="6"/>
  <c r="EN28" i="6"/>
  <c r="AD708" i="7"/>
  <c r="EH77" i="6"/>
  <c r="EG28" i="6"/>
  <c r="EG77" i="6" s="1"/>
  <c r="AA84" i="6"/>
  <c r="AY84" i="6"/>
  <c r="BW84" i="6"/>
  <c r="CU84" i="6"/>
  <c r="Q94" i="6"/>
  <c r="AO94" i="6"/>
  <c r="BM94" i="6"/>
  <c r="CK94" i="6"/>
  <c r="DI94" i="6"/>
  <c r="BQ45" i="24"/>
  <c r="H85" i="17"/>
  <c r="L85" i="17"/>
  <c r="P85" i="17"/>
  <c r="T85" i="17"/>
  <c r="X85" i="17"/>
  <c r="AB85" i="17"/>
  <c r="AF85" i="17"/>
  <c r="AJ85" i="17"/>
  <c r="AN85" i="17"/>
  <c r="AR85" i="17"/>
  <c r="AV85" i="17"/>
  <c r="AZ85" i="17"/>
  <c r="BD85" i="17"/>
  <c r="BH85" i="17"/>
  <c r="BL85" i="17"/>
  <c r="BP85" i="17"/>
  <c r="BT85" i="17"/>
  <c r="BX85" i="17"/>
  <c r="CA103" i="17"/>
  <c r="CB70" i="17"/>
  <c r="CA69" i="17"/>
  <c r="CA85" i="17" s="1"/>
  <c r="H105" i="20"/>
  <c r="Y105" i="20" s="1"/>
  <c r="AX117" i="2"/>
  <c r="F110" i="20"/>
  <c r="W110" i="20" s="1"/>
  <c r="AV121" i="2"/>
  <c r="F112" i="20"/>
  <c r="W112" i="20" s="1"/>
  <c r="AV123" i="2"/>
  <c r="CB223" i="17"/>
  <c r="CC223" i="17" s="1"/>
  <c r="CD223" i="17" s="1"/>
  <c r="CE223" i="17" s="1"/>
  <c r="CD224" i="17"/>
  <c r="AC119" i="11"/>
  <c r="BQ119" i="11"/>
  <c r="DE119" i="11"/>
  <c r="AB44" i="21"/>
  <c r="U81" i="11"/>
  <c r="I273" i="12"/>
  <c r="I269" i="12"/>
  <c r="Q96" i="6"/>
  <c r="V47" i="6"/>
  <c r="V96" i="6" s="1"/>
  <c r="AO11" i="11"/>
  <c r="M433" i="12"/>
  <c r="BI81" i="11"/>
  <c r="Q273" i="12"/>
  <c r="Q269" i="12"/>
  <c r="BM96" i="6"/>
  <c r="BR47" i="6"/>
  <c r="BR96" i="6" s="1"/>
  <c r="CC11" i="11"/>
  <c r="U433" i="12"/>
  <c r="CW81" i="11"/>
  <c r="Y273" i="12"/>
  <c r="Y269" i="12"/>
  <c r="DI96" i="6"/>
  <c r="DN47" i="6"/>
  <c r="DN96" i="6" s="1"/>
  <c r="AY45" i="24"/>
  <c r="AW45" i="24"/>
  <c r="BM45" i="24"/>
  <c r="AZ45" i="24"/>
  <c r="AX45" i="24"/>
  <c r="AV45" i="24"/>
  <c r="AG45" i="24"/>
  <c r="J77" i="8"/>
  <c r="J62" i="8"/>
  <c r="J51" i="8"/>
  <c r="N77" i="8"/>
  <c r="N62" i="8"/>
  <c r="N51" i="8"/>
  <c r="R77" i="8"/>
  <c r="R62" i="8"/>
  <c r="R51" i="8"/>
  <c r="V77" i="8"/>
  <c r="V62" i="8"/>
  <c r="V51" i="8"/>
  <c r="Z77" i="8"/>
  <c r="Z62" i="8"/>
  <c r="Z51" i="8"/>
  <c r="O17" i="8"/>
  <c r="W17" i="8"/>
  <c r="G374" i="7"/>
  <c r="G353" i="7"/>
  <c r="G365" i="7" s="1"/>
  <c r="G191" i="7"/>
  <c r="I374" i="7"/>
  <c r="I353" i="7"/>
  <c r="I191" i="7"/>
  <c r="I185" i="7"/>
  <c r="AE61" i="6"/>
  <c r="AE22" i="6"/>
  <c r="Q374" i="7"/>
  <c r="Q353" i="7"/>
  <c r="Q191" i="7"/>
  <c r="Q185" i="7"/>
  <c r="CA61" i="6"/>
  <c r="CA22" i="6"/>
  <c r="Y374" i="7"/>
  <c r="Z380" i="7" s="1"/>
  <c r="Y353" i="7"/>
  <c r="Y191" i="7"/>
  <c r="Y185" i="7"/>
  <c r="AC65" i="21"/>
  <c r="EH35" i="6"/>
  <c r="AC397" i="7"/>
  <c r="H668" i="7"/>
  <c r="L668" i="7"/>
  <c r="P668" i="7"/>
  <c r="T668" i="7"/>
  <c r="X668" i="7"/>
  <c r="G588" i="7"/>
  <c r="W66" i="6"/>
  <c r="AU66" i="6"/>
  <c r="BS66" i="6"/>
  <c r="BX17" i="6"/>
  <c r="BX66" i="6" s="1"/>
  <c r="CQ66" i="6"/>
  <c r="CV17" i="6"/>
  <c r="CV66" i="6" s="1"/>
  <c r="I586" i="7"/>
  <c r="I167" i="7"/>
  <c r="J290" i="7"/>
  <c r="J123" i="21" s="1"/>
  <c r="DX73" i="6"/>
  <c r="AD111" i="21"/>
  <c r="AD656" i="7"/>
  <c r="Z40" i="6"/>
  <c r="AF89" i="6" s="1"/>
  <c r="AX40" i="6"/>
  <c r="BV40" i="6"/>
  <c r="CB89" i="6" s="1"/>
  <c r="CT40" i="6"/>
  <c r="I94" i="21"/>
  <c r="I764" i="7"/>
  <c r="I765" i="7" s="1"/>
  <c r="I663" i="7"/>
  <c r="I677" i="7" s="1"/>
  <c r="M94" i="21"/>
  <c r="M764" i="7"/>
  <c r="M765" i="7" s="1"/>
  <c r="M663" i="7"/>
  <c r="M677" i="7" s="1"/>
  <c r="Q94" i="21"/>
  <c r="Q764" i="7"/>
  <c r="Q765" i="7" s="1"/>
  <c r="Q663" i="7"/>
  <c r="Q677" i="7" s="1"/>
  <c r="U94" i="21"/>
  <c r="U764" i="7"/>
  <c r="U765" i="7" s="1"/>
  <c r="U663" i="7"/>
  <c r="U677" i="7" s="1"/>
  <c r="Y94" i="21"/>
  <c r="Y764" i="7"/>
  <c r="Y765" i="7" s="1"/>
  <c r="Y663" i="7"/>
  <c r="Y677" i="7" s="1"/>
  <c r="G145" i="8"/>
  <c r="Q62" i="6"/>
  <c r="K270" i="7"/>
  <c r="K259" i="7"/>
  <c r="AO62" i="6"/>
  <c r="O270" i="7"/>
  <c r="O259" i="7"/>
  <c r="BM62" i="6"/>
  <c r="S270" i="7"/>
  <c r="S259" i="7"/>
  <c r="CK62" i="6"/>
  <c r="W270" i="7"/>
  <c r="W259" i="7"/>
  <c r="X271" i="7" s="1"/>
  <c r="DI62" i="6"/>
  <c r="DV64" i="6"/>
  <c r="AD135" i="8"/>
  <c r="AE135" i="8" s="1"/>
  <c r="AF135" i="8" s="1"/>
  <c r="Q60" i="6"/>
  <c r="AO60" i="6"/>
  <c r="BM60" i="6"/>
  <c r="CK60" i="6"/>
  <c r="DI60" i="6"/>
  <c r="K229" i="7"/>
  <c r="M229" i="7"/>
  <c r="O229" i="7"/>
  <c r="Q229" i="7"/>
  <c r="S229" i="7"/>
  <c r="U229" i="7"/>
  <c r="W229" i="7"/>
  <c r="Y229" i="7"/>
  <c r="DO79" i="6"/>
  <c r="BS76" i="6"/>
  <c r="CQ76" i="6"/>
  <c r="DO76" i="6"/>
  <c r="Q80" i="6"/>
  <c r="AO80" i="6"/>
  <c r="BM80" i="6"/>
  <c r="CK80" i="6"/>
  <c r="DI80" i="6"/>
  <c r="EA32" i="6"/>
  <c r="W82" i="6"/>
  <c r="AU82" i="6"/>
  <c r="BS82" i="6"/>
  <c r="CQ82" i="6"/>
  <c r="DO82" i="6"/>
  <c r="AC84" i="6"/>
  <c r="AH35" i="6"/>
  <c r="AH84" i="6" s="1"/>
  <c r="BA84" i="6"/>
  <c r="BF35" i="6"/>
  <c r="BF84" i="6" s="1"/>
  <c r="BY84" i="6"/>
  <c r="CD35" i="6"/>
  <c r="CD84" i="6" s="1"/>
  <c r="CW84" i="6"/>
  <c r="DB35" i="6"/>
  <c r="DB84" i="6" s="1"/>
  <c r="EH94" i="6"/>
  <c r="N88" i="17"/>
  <c r="L65" i="11" s="1"/>
  <c r="H149" i="12"/>
  <c r="P93" i="17"/>
  <c r="Q93" i="17"/>
  <c r="V88" i="17"/>
  <c r="V65" i="11" s="1"/>
  <c r="J149" i="12"/>
  <c r="X93" i="17"/>
  <c r="Y93" i="17"/>
  <c r="AD88" i="17"/>
  <c r="AF65" i="11" s="1"/>
  <c r="L149" i="12"/>
  <c r="AF93" i="17"/>
  <c r="AG93" i="17"/>
  <c r="AL88" i="17"/>
  <c r="AP65" i="11" s="1"/>
  <c r="N149" i="12"/>
  <c r="AN93" i="17"/>
  <c r="AO93" i="17"/>
  <c r="AT88" i="17"/>
  <c r="AZ65" i="11" s="1"/>
  <c r="P149" i="12"/>
  <c r="AV93" i="17"/>
  <c r="AW93" i="17"/>
  <c r="BB88" i="17"/>
  <c r="BJ65" i="11" s="1"/>
  <c r="R149" i="12"/>
  <c r="BD93" i="17"/>
  <c r="BE93" i="17"/>
  <c r="BJ88" i="17"/>
  <c r="BT65" i="11" s="1"/>
  <c r="T149" i="12"/>
  <c r="BL93" i="17"/>
  <c r="BM93" i="17"/>
  <c r="BR88" i="17"/>
  <c r="CD65" i="11" s="1"/>
  <c r="V149" i="12"/>
  <c r="BT93" i="17"/>
  <c r="BU93" i="17"/>
  <c r="BZ88" i="17"/>
  <c r="CN65" i="11" s="1"/>
  <c r="X149" i="12"/>
  <c r="CB93" i="17"/>
  <c r="CA93" i="17"/>
  <c r="E105" i="20"/>
  <c r="V105" i="20" s="1"/>
  <c r="AU117" i="2"/>
  <c r="I239" i="17"/>
  <c r="M239" i="17"/>
  <c r="Q239" i="17"/>
  <c r="U239" i="17"/>
  <c r="Y239" i="17"/>
  <c r="AC239" i="17"/>
  <c r="AG239" i="17"/>
  <c r="AK239" i="17"/>
  <c r="AO239" i="17"/>
  <c r="AS239" i="17"/>
  <c r="AW239" i="17"/>
  <c r="BA239" i="17"/>
  <c r="BE239" i="17"/>
  <c r="BI239" i="17"/>
  <c r="BM239" i="17"/>
  <c r="BQ239" i="17"/>
  <c r="BU239" i="17"/>
  <c r="G112" i="20"/>
  <c r="X112" i="20" s="1"/>
  <c r="AW123" i="2"/>
  <c r="L155" i="17"/>
  <c r="K155" i="17"/>
  <c r="M155" i="17"/>
  <c r="Z150" i="17"/>
  <c r="Z156" i="17"/>
  <c r="AB155" i="17"/>
  <c r="AA155" i="17"/>
  <c r="K152" i="12"/>
  <c r="AC155" i="17"/>
  <c r="AP150" i="17"/>
  <c r="AP156" i="17"/>
  <c r="AR155" i="17"/>
  <c r="AQ155" i="17"/>
  <c r="O152" i="12"/>
  <c r="AS155" i="17"/>
  <c r="BF150" i="17"/>
  <c r="BF156" i="17"/>
  <c r="BH155" i="17"/>
  <c r="BG155" i="17"/>
  <c r="S152" i="12"/>
  <c r="BI155" i="17"/>
  <c r="BV150" i="17"/>
  <c r="BV156" i="17"/>
  <c r="BX155" i="17"/>
  <c r="BW155" i="17"/>
  <c r="W152" i="12"/>
  <c r="BY155" i="17"/>
  <c r="CL150" i="17"/>
  <c r="CL156" i="17"/>
  <c r="CN155" i="17"/>
  <c r="CM155" i="17"/>
  <c r="AA152" i="12"/>
  <c r="CO155" i="17"/>
  <c r="Z202" i="17"/>
  <c r="AP202" i="17"/>
  <c r="BF202" i="17"/>
  <c r="BV202" i="17"/>
  <c r="CL207" i="17"/>
  <c r="CN212" i="17"/>
  <c r="CO212" i="17"/>
  <c r="AA154" i="12"/>
  <c r="CL213" i="17"/>
  <c r="CM212" i="17"/>
  <c r="AH119" i="11"/>
  <c r="BV119" i="11"/>
  <c r="DJ119" i="11"/>
  <c r="J433" i="12"/>
  <c r="Z81" i="11"/>
  <c r="N273" i="12"/>
  <c r="N269" i="12"/>
  <c r="AT11" i="11"/>
  <c r="AU96" i="6"/>
  <c r="AZ47" i="6"/>
  <c r="AZ96" i="6" s="1"/>
  <c r="R433" i="12"/>
  <c r="BN81" i="11"/>
  <c r="V273" i="12"/>
  <c r="V269" i="12"/>
  <c r="CH11" i="11"/>
  <c r="CQ96" i="6"/>
  <c r="CV47" i="6"/>
  <c r="CV96" i="6" s="1"/>
  <c r="AD159" i="21"/>
  <c r="Y12" i="11"/>
  <c r="AB10" i="11"/>
  <c r="Z10" i="11"/>
  <c r="AS12" i="11"/>
  <c r="AV10" i="11"/>
  <c r="AW10" i="11" s="1"/>
  <c r="AT10" i="11"/>
  <c r="BM12" i="11"/>
  <c r="BP10" i="11"/>
  <c r="BN10" i="11"/>
  <c r="CG12" i="11"/>
  <c r="CJ10" i="11"/>
  <c r="CK10" i="11" s="1"/>
  <c r="CH10" i="11"/>
  <c r="DA12" i="11"/>
  <c r="DD10" i="11"/>
  <c r="DE10" i="11" s="1"/>
  <c r="DB10" i="11"/>
  <c r="H166" i="12"/>
  <c r="H13" i="21" s="1"/>
  <c r="H135" i="12"/>
  <c r="L22" i="11" s="1"/>
  <c r="AB178" i="12"/>
  <c r="AB145" i="12"/>
  <c r="J167" i="12"/>
  <c r="J14" i="21" s="1"/>
  <c r="J136" i="12"/>
  <c r="V23" i="11" s="1"/>
  <c r="R167" i="12"/>
  <c r="R14" i="21" s="1"/>
  <c r="R136" i="12"/>
  <c r="BJ23" i="11" s="1"/>
  <c r="Z167" i="12"/>
  <c r="Z136" i="12"/>
  <c r="AB167" i="12"/>
  <c r="AB136" i="12"/>
  <c r="DS81" i="11"/>
  <c r="DU81" i="11" s="1"/>
  <c r="Z19" i="21"/>
  <c r="C108" i="2"/>
  <c r="V27" i="11"/>
  <c r="AP27" i="11"/>
  <c r="BJ27" i="11"/>
  <c r="CD27" i="11"/>
  <c r="CX27" i="11"/>
  <c r="AB84" i="12"/>
  <c r="AA21" i="21"/>
  <c r="P8" i="6"/>
  <c r="P57" i="6" s="1"/>
  <c r="K57" i="6"/>
  <c r="K12" i="6"/>
  <c r="AN8" i="6"/>
  <c r="AN57" i="6" s="1"/>
  <c r="AI57" i="6"/>
  <c r="AI12" i="6"/>
  <c r="BL8" i="6"/>
  <c r="BL57" i="6" s="1"/>
  <c r="BG57" i="6"/>
  <c r="BG12" i="6"/>
  <c r="CJ8" i="6"/>
  <c r="CJ57" i="6" s="1"/>
  <c r="CE57" i="6"/>
  <c r="CE12" i="6"/>
  <c r="DH8" i="6"/>
  <c r="DH57" i="6" s="1"/>
  <c r="DC57" i="6"/>
  <c r="DC12" i="6"/>
  <c r="DT8" i="6"/>
  <c r="DT57" i="6" s="1"/>
  <c r="DO57" i="6"/>
  <c r="DO12" i="6"/>
  <c r="EF8" i="6"/>
  <c r="EF57" i="6" s="1"/>
  <c r="EA57" i="6"/>
  <c r="EA12" i="6"/>
  <c r="T75" i="11"/>
  <c r="U73" i="11"/>
  <c r="AD75" i="11"/>
  <c r="AE73" i="11"/>
  <c r="AN75" i="11"/>
  <c r="AO73" i="11"/>
  <c r="AX75" i="11"/>
  <c r="AY73" i="11"/>
  <c r="BH75" i="11"/>
  <c r="BI73" i="11"/>
  <c r="BR75" i="11"/>
  <c r="BS73" i="11"/>
  <c r="CB76" i="11"/>
  <c r="CL75" i="11"/>
  <c r="CM73" i="11"/>
  <c r="Z68" i="21"/>
  <c r="EH89" i="6"/>
  <c r="BR77" i="11"/>
  <c r="CL77" i="11"/>
  <c r="AA67" i="21"/>
  <c r="D196" i="2"/>
  <c r="CV112" i="11"/>
  <c r="H104" i="20"/>
  <c r="Y104" i="20" s="1"/>
  <c r="AX116" i="2"/>
  <c r="AQ53" i="24"/>
  <c r="AQ44" i="24"/>
  <c r="AQ30" i="24"/>
  <c r="AQ25" i="24"/>
  <c r="AC25" i="24"/>
  <c r="AQ22" i="24"/>
  <c r="AC22" i="24"/>
  <c r="AQ21" i="24"/>
  <c r="AC21" i="24"/>
  <c r="AQ17" i="24"/>
  <c r="AQ16" i="24"/>
  <c r="D15" i="24"/>
  <c r="AQ54" i="24"/>
  <c r="AQ52" i="24"/>
  <c r="AQ45" i="24"/>
  <c r="AQ43" i="24"/>
  <c r="AQ39" i="24"/>
  <c r="AQ28" i="24"/>
  <c r="AQ24" i="24"/>
  <c r="AC24" i="24"/>
  <c r="AQ23" i="24"/>
  <c r="AC23" i="24"/>
  <c r="AG15" i="24"/>
  <c r="AJ10" i="24"/>
  <c r="AJ15" i="24"/>
  <c r="AJ7" i="24"/>
  <c r="Q36" i="6"/>
  <c r="Q85" i="6" s="1"/>
  <c r="W10" i="11"/>
  <c r="U10" i="11"/>
  <c r="T12" i="11"/>
  <c r="N165" i="12"/>
  <c r="N12" i="21" s="1"/>
  <c r="N134" i="12"/>
  <c r="AP21" i="11" s="1"/>
  <c r="BM36" i="6"/>
  <c r="BM85" i="6" s="1"/>
  <c r="BK10" i="11"/>
  <c r="BI10" i="11"/>
  <c r="BH12" i="11"/>
  <c r="V165" i="12"/>
  <c r="V12" i="21" s="1"/>
  <c r="V134" i="12"/>
  <c r="DI36" i="6"/>
  <c r="DI85" i="6" s="1"/>
  <c r="CY10" i="11"/>
  <c r="CW10" i="11"/>
  <c r="CV12" i="11"/>
  <c r="DE7" i="11"/>
  <c r="AB165" i="12"/>
  <c r="AB134" i="12"/>
  <c r="CZ8" i="11"/>
  <c r="AC57" i="11"/>
  <c r="BQ57" i="11"/>
  <c r="DE57" i="11"/>
  <c r="DI59" i="11"/>
  <c r="DJ58" i="11"/>
  <c r="S63" i="11"/>
  <c r="AM63" i="11"/>
  <c r="BG63" i="11"/>
  <c r="CA63" i="11"/>
  <c r="CU63" i="11"/>
  <c r="Z17" i="21"/>
  <c r="AR54" i="24"/>
  <c r="AR52" i="24"/>
  <c r="AR45" i="24"/>
  <c r="AR43" i="24"/>
  <c r="AR39" i="24"/>
  <c r="AR28" i="24"/>
  <c r="AR24" i="24"/>
  <c r="AR23" i="24"/>
  <c r="AC16" i="24"/>
  <c r="AR53" i="24"/>
  <c r="AR44" i="24"/>
  <c r="AR30" i="24"/>
  <c r="AR25" i="24"/>
  <c r="AR22" i="24"/>
  <c r="AR21" i="24"/>
  <c r="AR17" i="24"/>
  <c r="AG16" i="24"/>
  <c r="AR9" i="11"/>
  <c r="CF9" i="11"/>
  <c r="CZ87" i="11"/>
  <c r="AA19" i="21"/>
  <c r="DE102" i="11"/>
  <c r="DE67" i="11" s="1"/>
  <c r="AB21" i="21"/>
  <c r="DD103" i="11"/>
  <c r="AA106" i="12" s="1"/>
  <c r="DB103" i="11"/>
  <c r="CZ103" i="11"/>
  <c r="CZ66" i="11" s="1"/>
  <c r="DL103" i="11"/>
  <c r="Q57" i="6"/>
  <c r="Q12" i="6"/>
  <c r="V8" i="6"/>
  <c r="V57" i="6" s="1"/>
  <c r="M347" i="12"/>
  <c r="BY57" i="6"/>
  <c r="BY12" i="6"/>
  <c r="CD8" i="6"/>
  <c r="CD57" i="6" s="1"/>
  <c r="CW57" i="6"/>
  <c r="CW12" i="6"/>
  <c r="DB8" i="6"/>
  <c r="DB57" i="6" s="1"/>
  <c r="Y347" i="12"/>
  <c r="AD74" i="21"/>
  <c r="G205" i="2"/>
  <c r="EO18" i="6"/>
  <c r="O75" i="11"/>
  <c r="P73" i="11"/>
  <c r="Y75" i="11"/>
  <c r="Z73" i="11"/>
  <c r="AI75" i="11"/>
  <c r="AJ73" i="11"/>
  <c r="AS75" i="11"/>
  <c r="AT73" i="11"/>
  <c r="BC75" i="11"/>
  <c r="BD73" i="11"/>
  <c r="BM75" i="11"/>
  <c r="BN73" i="11"/>
  <c r="BW76" i="11"/>
  <c r="CG75" i="11"/>
  <c r="CH73" i="11"/>
  <c r="CQ76" i="11"/>
  <c r="AA68" i="21"/>
  <c r="BW77" i="11"/>
  <c r="CQ77" i="11"/>
  <c r="CB113" i="11"/>
  <c r="CV113" i="11"/>
  <c r="AI16" i="24"/>
  <c r="AI15" i="24"/>
  <c r="E103" i="20"/>
  <c r="V103" i="20" s="1"/>
  <c r="AU115" i="2"/>
  <c r="K62" i="8"/>
  <c r="K51" i="8"/>
  <c r="K77" i="8"/>
  <c r="O62" i="8"/>
  <c r="O51" i="8"/>
  <c r="O77" i="8"/>
  <c r="S62" i="8"/>
  <c r="S51" i="8"/>
  <c r="S77" i="8"/>
  <c r="W62" i="8"/>
  <c r="W51" i="8"/>
  <c r="W77" i="8"/>
  <c r="AA62" i="8"/>
  <c r="AA51" i="8"/>
  <c r="AA77" i="8"/>
  <c r="E310" i="20"/>
  <c r="V310" i="20" s="1"/>
  <c r="E307" i="20"/>
  <c r="V307" i="20" s="1"/>
  <c r="F307" i="20"/>
  <c r="W307" i="20" s="1"/>
  <c r="AU179" i="2"/>
  <c r="J10" i="8"/>
  <c r="J42" i="8"/>
  <c r="J23" i="8"/>
  <c r="J17" i="8"/>
  <c r="J41" i="8"/>
  <c r="J38" i="8"/>
  <c r="H46" i="24" s="1"/>
  <c r="R10" i="8"/>
  <c r="R42" i="8"/>
  <c r="R23" i="8"/>
  <c r="R17" i="8"/>
  <c r="R41" i="8"/>
  <c r="R38" i="8"/>
  <c r="P46" i="24" s="1"/>
  <c r="AB10" i="8"/>
  <c r="AB42" i="8"/>
  <c r="AB23" i="8"/>
  <c r="AB17" i="8"/>
  <c r="AB38" i="8"/>
  <c r="J374" i="7"/>
  <c r="J353" i="7"/>
  <c r="J191" i="7"/>
  <c r="J185" i="7"/>
  <c r="AK61" i="6"/>
  <c r="AK22" i="6"/>
  <c r="R374" i="7"/>
  <c r="R353" i="7"/>
  <c r="R191" i="7"/>
  <c r="R185" i="7"/>
  <c r="CG61" i="6"/>
  <c r="CG22" i="6"/>
  <c r="AD76" i="21"/>
  <c r="EO30" i="6"/>
  <c r="EO32" i="6"/>
  <c r="AD730" i="7"/>
  <c r="EO45" i="6"/>
  <c r="AD741" i="7"/>
  <c r="G426" i="7"/>
  <c r="H91" i="21"/>
  <c r="H660" i="7"/>
  <c r="H674" i="7" s="1"/>
  <c r="L91" i="21"/>
  <c r="L660" i="7"/>
  <c r="L674" i="7" s="1"/>
  <c r="P91" i="21"/>
  <c r="P660" i="7"/>
  <c r="P674" i="7" s="1"/>
  <c r="T91" i="21"/>
  <c r="T660" i="7"/>
  <c r="T674" i="7" s="1"/>
  <c r="X91" i="21"/>
  <c r="X660" i="7"/>
  <c r="X674" i="7" s="1"/>
  <c r="K84" i="21"/>
  <c r="K628" i="7"/>
  <c r="O84" i="21"/>
  <c r="O628" i="7"/>
  <c r="S84" i="21"/>
  <c r="S628" i="7"/>
  <c r="W84" i="21"/>
  <c r="W628" i="7"/>
  <c r="AA84" i="21"/>
  <c r="D217" i="2"/>
  <c r="AA628" i="7"/>
  <c r="AA639" i="7" s="1"/>
  <c r="EP19" i="6"/>
  <c r="AD746" i="7"/>
  <c r="EJ68" i="6"/>
  <c r="J94" i="21"/>
  <c r="J663" i="7"/>
  <c r="J677" i="7" s="1"/>
  <c r="J764" i="7"/>
  <c r="J765" i="7" s="1"/>
  <c r="N94" i="21"/>
  <c r="N663" i="7"/>
  <c r="N677" i="7" s="1"/>
  <c r="N764" i="7"/>
  <c r="N765" i="7" s="1"/>
  <c r="R94" i="21"/>
  <c r="R663" i="7"/>
  <c r="R677" i="7" s="1"/>
  <c r="R764" i="7"/>
  <c r="R765" i="7" s="1"/>
  <c r="V94" i="21"/>
  <c r="V663" i="7"/>
  <c r="V677" i="7" s="1"/>
  <c r="V764" i="7"/>
  <c r="V765" i="7" s="1"/>
  <c r="Z94" i="21"/>
  <c r="C227" i="2"/>
  <c r="AT227" i="2" s="1"/>
  <c r="Z663" i="7"/>
  <c r="Z677" i="7" s="1"/>
  <c r="Z764" i="7"/>
  <c r="Z765" i="7" s="1"/>
  <c r="R61" i="6"/>
  <c r="R22" i="6"/>
  <c r="K184" i="7"/>
  <c r="K373" i="7"/>
  <c r="K352" i="7"/>
  <c r="K190" i="7"/>
  <c r="K181" i="7"/>
  <c r="AP61" i="6"/>
  <c r="AP22" i="6"/>
  <c r="O184" i="7"/>
  <c r="O373" i="7"/>
  <c r="O352" i="7"/>
  <c r="O190" i="7"/>
  <c r="O181" i="7"/>
  <c r="BN61" i="6"/>
  <c r="BN22" i="6"/>
  <c r="S184" i="7"/>
  <c r="S373" i="7"/>
  <c r="S352" i="7"/>
  <c r="S190" i="7"/>
  <c r="S181" i="7"/>
  <c r="CL61" i="6"/>
  <c r="CL22" i="6"/>
  <c r="W184" i="7"/>
  <c r="W373" i="7"/>
  <c r="W352" i="7"/>
  <c r="W190" i="7"/>
  <c r="W181" i="7"/>
  <c r="DJ61" i="6"/>
  <c r="DJ22" i="6"/>
  <c r="H270" i="7"/>
  <c r="H259" i="7"/>
  <c r="H271" i="7" s="1"/>
  <c r="W62" i="6"/>
  <c r="L173" i="8"/>
  <c r="L145" i="8"/>
  <c r="L205" i="8"/>
  <c r="J49" i="24"/>
  <c r="P270" i="7"/>
  <c r="P259" i="7"/>
  <c r="BS62" i="6"/>
  <c r="T173" i="8"/>
  <c r="T145" i="8"/>
  <c r="T205" i="8"/>
  <c r="R49" i="24"/>
  <c r="AB173" i="8"/>
  <c r="I114" i="8"/>
  <c r="I121" i="8" s="1"/>
  <c r="M114" i="8"/>
  <c r="M121" i="8" s="1"/>
  <c r="Q114" i="8"/>
  <c r="Q121" i="8" s="1"/>
  <c r="U114" i="8"/>
  <c r="U121" i="8" s="1"/>
  <c r="Y114" i="8"/>
  <c r="Z121" i="8" s="1"/>
  <c r="EN11" i="6"/>
  <c r="EH60" i="6"/>
  <c r="Q79" i="6"/>
  <c r="I226" i="7"/>
  <c r="AC79" i="6"/>
  <c r="K226" i="7"/>
  <c r="AO79" i="6"/>
  <c r="M226" i="7"/>
  <c r="BA79" i="6"/>
  <c r="O226" i="7"/>
  <c r="BM79" i="6"/>
  <c r="Q226" i="7"/>
  <c r="BY79" i="6"/>
  <c r="S226" i="7"/>
  <c r="CK79" i="6"/>
  <c r="U226" i="7"/>
  <c r="CW79" i="6"/>
  <c r="W226" i="7"/>
  <c r="DI79" i="6"/>
  <c r="Y226" i="7"/>
  <c r="AB227" i="7" s="1"/>
  <c r="Z62" i="21"/>
  <c r="C191" i="2"/>
  <c r="AT191" i="2" s="1"/>
  <c r="EN24" i="6"/>
  <c r="AD706" i="7"/>
  <c r="K80" i="6"/>
  <c r="BG80" i="6"/>
  <c r="DC80" i="6"/>
  <c r="Z64" i="21"/>
  <c r="C193" i="2"/>
  <c r="AT193" i="2" s="1"/>
  <c r="Q82" i="6"/>
  <c r="AO82" i="6"/>
  <c r="BM82" i="6"/>
  <c r="CK82" i="6"/>
  <c r="DI82" i="6"/>
  <c r="W84" i="6"/>
  <c r="AB35" i="6"/>
  <c r="AB84" i="6" s="1"/>
  <c r="AU84" i="6"/>
  <c r="AZ35" i="6"/>
  <c r="AZ84" i="6" s="1"/>
  <c r="BS84" i="6"/>
  <c r="BX35" i="6"/>
  <c r="BX84" i="6" s="1"/>
  <c r="CQ84" i="6"/>
  <c r="CV35" i="6"/>
  <c r="CV84" i="6" s="1"/>
  <c r="CE103" i="17"/>
  <c r="CF70" i="17"/>
  <c r="CE69" i="17"/>
  <c r="CE85" i="17" s="1"/>
  <c r="F105" i="20"/>
  <c r="W105" i="20" s="1"/>
  <c r="AV117" i="2"/>
  <c r="H112" i="20"/>
  <c r="Y112" i="20" s="1"/>
  <c r="AX123" i="2"/>
  <c r="BZ164" i="17"/>
  <c r="BZ167" i="17"/>
  <c r="CH83" i="17"/>
  <c r="CP67" i="17"/>
  <c r="CN66" i="17"/>
  <c r="CO66" i="17" s="1"/>
  <c r="CP66" i="17" s="1"/>
  <c r="CQ66" i="17" s="1"/>
  <c r="AE81" i="11"/>
  <c r="K273" i="12"/>
  <c r="K269" i="12"/>
  <c r="AC96" i="6"/>
  <c r="AH47" i="6"/>
  <c r="AH96" i="6" s="1"/>
  <c r="AY11" i="11"/>
  <c r="BS81" i="11"/>
  <c r="S273" i="12"/>
  <c r="S269" i="12"/>
  <c r="BY96" i="6"/>
  <c r="CD47" i="6"/>
  <c r="CD96" i="6" s="1"/>
  <c r="CM11" i="11"/>
  <c r="AN15" i="24"/>
  <c r="AN43" i="24"/>
  <c r="AD32" i="8"/>
  <c r="F305" i="20"/>
  <c r="W305" i="20" s="1"/>
  <c r="E305" i="20"/>
  <c r="V305" i="20" s="1"/>
  <c r="E312" i="20"/>
  <c r="V312" i="20" s="1"/>
  <c r="CC66" i="6"/>
  <c r="DA66" i="6"/>
  <c r="K374" i="7"/>
  <c r="K353" i="7"/>
  <c r="K191" i="7"/>
  <c r="K185" i="7"/>
  <c r="AQ61" i="6"/>
  <c r="AQ22" i="6"/>
  <c r="S374" i="7"/>
  <c r="S353" i="7"/>
  <c r="S191" i="7"/>
  <c r="S185" i="7"/>
  <c r="CM61" i="6"/>
  <c r="CM22" i="6"/>
  <c r="N237" i="7"/>
  <c r="V237" i="7"/>
  <c r="Z75" i="21"/>
  <c r="C206" i="2"/>
  <c r="AT206" i="2" s="1"/>
  <c r="H123" i="7"/>
  <c r="H446" i="7"/>
  <c r="H435" i="7"/>
  <c r="H375" i="7"/>
  <c r="H354" i="7"/>
  <c r="H192" i="7"/>
  <c r="H186" i="7"/>
  <c r="J446" i="7"/>
  <c r="J435" i="7"/>
  <c r="J375" i="7"/>
  <c r="J354" i="7"/>
  <c r="J192" i="7"/>
  <c r="J186" i="7"/>
  <c r="L446" i="7"/>
  <c r="L435" i="7"/>
  <c r="L375" i="7"/>
  <c r="L354" i="7"/>
  <c r="L192" i="7"/>
  <c r="L186" i="7"/>
  <c r="N446" i="7"/>
  <c r="N435" i="7"/>
  <c r="N375" i="7"/>
  <c r="N354" i="7"/>
  <c r="N192" i="7"/>
  <c r="N186" i="7"/>
  <c r="P446" i="7"/>
  <c r="P435" i="7"/>
  <c r="P375" i="7"/>
  <c r="P354" i="7"/>
  <c r="P192" i="7"/>
  <c r="P186" i="7"/>
  <c r="R446" i="7"/>
  <c r="R435" i="7"/>
  <c r="R375" i="7"/>
  <c r="R354" i="7"/>
  <c r="R192" i="7"/>
  <c r="R186" i="7"/>
  <c r="T446" i="7"/>
  <c r="T435" i="7"/>
  <c r="T375" i="7"/>
  <c r="T354" i="7"/>
  <c r="T192" i="7"/>
  <c r="T186" i="7"/>
  <c r="V446" i="7"/>
  <c r="V435" i="7"/>
  <c r="V375" i="7"/>
  <c r="V354" i="7"/>
  <c r="V192" i="7"/>
  <c r="V186" i="7"/>
  <c r="X446" i="7"/>
  <c r="X375" i="7"/>
  <c r="X354" i="7"/>
  <c r="X192" i="7"/>
  <c r="X186" i="7"/>
  <c r="Z354" i="7"/>
  <c r="DU65" i="6"/>
  <c r="K66" i="6"/>
  <c r="AI66" i="6"/>
  <c r="BG66" i="6"/>
  <c r="BL17" i="6"/>
  <c r="BL66" i="6" s="1"/>
  <c r="CE66" i="6"/>
  <c r="CJ17" i="6"/>
  <c r="CJ66" i="6" s="1"/>
  <c r="DC66" i="6"/>
  <c r="DH17" i="6"/>
  <c r="DH66" i="6" s="1"/>
  <c r="DO66" i="6"/>
  <c r="DT17" i="6"/>
  <c r="DT66" i="6" s="1"/>
  <c r="EA66" i="6"/>
  <c r="EF17" i="6"/>
  <c r="EF66" i="6" s="1"/>
  <c r="I91" i="21"/>
  <c r="I660" i="7"/>
  <c r="I674" i="7" s="1"/>
  <c r="M91" i="21"/>
  <c r="M660" i="7"/>
  <c r="M674" i="7" s="1"/>
  <c r="Q91" i="21"/>
  <c r="Q660" i="7"/>
  <c r="Q674" i="7" s="1"/>
  <c r="U91" i="21"/>
  <c r="U660" i="7"/>
  <c r="U674" i="7" s="1"/>
  <c r="Y91" i="21"/>
  <c r="Y660" i="7"/>
  <c r="Y674" i="7" s="1"/>
  <c r="EP10" i="6"/>
  <c r="AD745" i="7"/>
  <c r="AD423" i="7"/>
  <c r="AR67" i="6"/>
  <c r="BD67" i="6"/>
  <c r="Q586" i="7"/>
  <c r="Q167" i="7"/>
  <c r="Y586" i="7"/>
  <c r="Z593" i="7" s="1"/>
  <c r="Y167" i="7"/>
  <c r="AA167" i="7"/>
  <c r="AD88" i="21"/>
  <c r="G221" i="2"/>
  <c r="EP32" i="6"/>
  <c r="AD657" i="7"/>
  <c r="T92" i="6"/>
  <c r="AR92" i="6"/>
  <c r="BP92" i="6"/>
  <c r="CN92" i="6"/>
  <c r="DL92" i="6"/>
  <c r="G764" i="7"/>
  <c r="G765" i="7" s="1"/>
  <c r="G663" i="7"/>
  <c r="G677" i="7" s="1"/>
  <c r="EP47" i="6"/>
  <c r="AD760" i="7"/>
  <c r="X22" i="6"/>
  <c r="X61" i="6"/>
  <c r="J373" i="7"/>
  <c r="J352" i="7"/>
  <c r="J190" i="7"/>
  <c r="J181" i="7"/>
  <c r="J184" i="7"/>
  <c r="AV22" i="6"/>
  <c r="AV61" i="6"/>
  <c r="N373" i="7"/>
  <c r="N352" i="7"/>
  <c r="N190" i="7"/>
  <c r="N181" i="7"/>
  <c r="N184" i="7"/>
  <c r="BT22" i="6"/>
  <c r="BT61" i="6"/>
  <c r="R373" i="7"/>
  <c r="R352" i="7"/>
  <c r="R190" i="7"/>
  <c r="R181" i="7"/>
  <c r="R184" i="7"/>
  <c r="CR22" i="6"/>
  <c r="CR61" i="6"/>
  <c r="V373" i="7"/>
  <c r="V352" i="7"/>
  <c r="V190" i="7"/>
  <c r="V181" i="7"/>
  <c r="V184" i="7"/>
  <c r="DP22" i="6"/>
  <c r="DP61" i="6"/>
  <c r="Z352" i="7"/>
  <c r="I270" i="7"/>
  <c r="I259" i="7"/>
  <c r="AC62" i="6"/>
  <c r="M270" i="7"/>
  <c r="M259" i="7"/>
  <c r="BA62" i="6"/>
  <c r="Q270" i="7"/>
  <c r="Q259" i="7"/>
  <c r="BY62" i="6"/>
  <c r="U270" i="7"/>
  <c r="U259" i="7"/>
  <c r="CW62" i="6"/>
  <c r="Z159" i="8"/>
  <c r="W79" i="6"/>
  <c r="AU79" i="6"/>
  <c r="BS79" i="6"/>
  <c r="CQ79" i="6"/>
  <c r="EK32" i="6"/>
  <c r="EK81" i="6" s="1"/>
  <c r="AD299" i="7"/>
  <c r="AC80" i="6"/>
  <c r="BA80" i="6"/>
  <c r="BY80" i="6"/>
  <c r="CW80" i="6"/>
  <c r="DU80" i="6"/>
  <c r="DT32" i="6"/>
  <c r="DT81" i="6" s="1"/>
  <c r="K82" i="6"/>
  <c r="AI82" i="6"/>
  <c r="BG82" i="6"/>
  <c r="CE82" i="6"/>
  <c r="DC82" i="6"/>
  <c r="EA82" i="6"/>
  <c r="Q84" i="6"/>
  <c r="V35" i="6"/>
  <c r="V84" i="6" s="1"/>
  <c r="AO84" i="6"/>
  <c r="AT35" i="6"/>
  <c r="AT84" i="6" s="1"/>
  <c r="BM84" i="6"/>
  <c r="BR35" i="6"/>
  <c r="BR84" i="6" s="1"/>
  <c r="CK84" i="6"/>
  <c r="CP35" i="6"/>
  <c r="CP84" i="6" s="1"/>
  <c r="DI84" i="6"/>
  <c r="DN35" i="6"/>
  <c r="DN84" i="6" s="1"/>
  <c r="DU84" i="6"/>
  <c r="DZ35" i="6"/>
  <c r="DZ84" i="6" s="1"/>
  <c r="K94" i="6"/>
  <c r="AI94" i="6"/>
  <c r="BG94" i="6"/>
  <c r="CE94" i="6"/>
  <c r="DC94" i="6"/>
  <c r="G105" i="20"/>
  <c r="X105" i="20" s="1"/>
  <c r="AW117" i="2"/>
  <c r="N185" i="17"/>
  <c r="L89" i="11" s="1"/>
  <c r="H153" i="12"/>
  <c r="K190" i="17"/>
  <c r="Q190" i="17"/>
  <c r="P190" i="17"/>
  <c r="V185" i="17"/>
  <c r="V89" i="11" s="1"/>
  <c r="J153" i="12"/>
  <c r="S190" i="17"/>
  <c r="Y190" i="17"/>
  <c r="X190" i="17"/>
  <c r="AD185" i="17"/>
  <c r="AF89" i="11" s="1"/>
  <c r="L153" i="12"/>
  <c r="AA190" i="17"/>
  <c r="AG190" i="17"/>
  <c r="AF190" i="17"/>
  <c r="AL185" i="17"/>
  <c r="AP89" i="11" s="1"/>
  <c r="N153" i="12"/>
  <c r="AI190" i="17"/>
  <c r="AO190" i="17"/>
  <c r="AN190" i="17"/>
  <c r="AT185" i="17"/>
  <c r="AZ89" i="11" s="1"/>
  <c r="P153" i="12"/>
  <c r="AQ190" i="17"/>
  <c r="AW190" i="17"/>
  <c r="AV190" i="17"/>
  <c r="BB185" i="17"/>
  <c r="BJ89" i="11" s="1"/>
  <c r="R153" i="12"/>
  <c r="AY190" i="17"/>
  <c r="BE190" i="17"/>
  <c r="BD190" i="17"/>
  <c r="BJ185" i="17"/>
  <c r="BT89" i="11" s="1"/>
  <c r="T153" i="12"/>
  <c r="BG190" i="17"/>
  <c r="BM190" i="17"/>
  <c r="BL190" i="17"/>
  <c r="BR185" i="17"/>
  <c r="CD89" i="11" s="1"/>
  <c r="V153" i="12"/>
  <c r="BO190" i="17"/>
  <c r="BU190" i="17"/>
  <c r="BT190" i="17"/>
  <c r="BZ185" i="17"/>
  <c r="CN89" i="11" s="1"/>
  <c r="N242" i="17"/>
  <c r="L104" i="11" s="1"/>
  <c r="H155" i="12"/>
  <c r="P247" i="17"/>
  <c r="Q247" i="17"/>
  <c r="S247" i="17"/>
  <c r="V242" i="17"/>
  <c r="V104" i="11" s="1"/>
  <c r="J155" i="12"/>
  <c r="X247" i="17"/>
  <c r="Y247" i="17"/>
  <c r="AA247" i="17"/>
  <c r="AD242" i="17"/>
  <c r="AF104" i="11" s="1"/>
  <c r="L155" i="12"/>
  <c r="AF247" i="17"/>
  <c r="AG247" i="17"/>
  <c r="AI247" i="17"/>
  <c r="AL242" i="17"/>
  <c r="AP104" i="11" s="1"/>
  <c r="N155" i="12"/>
  <c r="AN247" i="17"/>
  <c r="AO247" i="17"/>
  <c r="AQ247" i="17"/>
  <c r="AT242" i="17"/>
  <c r="AZ104" i="11" s="1"/>
  <c r="P155" i="12"/>
  <c r="AV247" i="17"/>
  <c r="AW247" i="17"/>
  <c r="AY247" i="17"/>
  <c r="BB242" i="17"/>
  <c r="BJ104" i="11" s="1"/>
  <c r="R155" i="12"/>
  <c r="BD247" i="17"/>
  <c r="BE247" i="17"/>
  <c r="BG247" i="17"/>
  <c r="BJ242" i="17"/>
  <c r="BT104" i="11" s="1"/>
  <c r="T155" i="12"/>
  <c r="BL247" i="17"/>
  <c r="BM247" i="17"/>
  <c r="BO247" i="17"/>
  <c r="BR242" i="17"/>
  <c r="CD104" i="11" s="1"/>
  <c r="V155" i="12"/>
  <c r="BT247" i="17"/>
  <c r="BU247" i="17"/>
  <c r="BZ242" i="17"/>
  <c r="CN104" i="11" s="1"/>
  <c r="V150" i="17"/>
  <c r="V156" i="17"/>
  <c r="Y155" i="17"/>
  <c r="X155" i="17"/>
  <c r="J152" i="12"/>
  <c r="W155" i="17"/>
  <c r="AL150" i="17"/>
  <c r="AL156" i="17"/>
  <c r="AO155" i="17"/>
  <c r="AN155" i="17"/>
  <c r="N152" i="12"/>
  <c r="AM155" i="17"/>
  <c r="BB150" i="17"/>
  <c r="BB156" i="17"/>
  <c r="BE155" i="17"/>
  <c r="BD155" i="17"/>
  <c r="R152" i="12"/>
  <c r="BC155" i="17"/>
  <c r="BR150" i="17"/>
  <c r="BR156" i="17"/>
  <c r="BU155" i="17"/>
  <c r="BT155" i="17"/>
  <c r="V152" i="12"/>
  <c r="BS155" i="17"/>
  <c r="CH150" i="17"/>
  <c r="CK155" i="17"/>
  <c r="CJ155" i="17"/>
  <c r="Z152" i="12"/>
  <c r="CH156" i="17"/>
  <c r="CI155" i="17"/>
  <c r="J202" i="17"/>
  <c r="V202" i="17"/>
  <c r="AL202" i="17"/>
  <c r="BB202" i="17"/>
  <c r="BR202" i="17"/>
  <c r="CH207" i="17"/>
  <c r="Z154" i="12"/>
  <c r="CH213" i="17"/>
  <c r="CI212" i="17"/>
  <c r="CJ212" i="17"/>
  <c r="CK212" i="17"/>
  <c r="X119" i="11"/>
  <c r="BL119" i="11"/>
  <c r="CZ119" i="11"/>
  <c r="AA44" i="21"/>
  <c r="H273" i="12"/>
  <c r="H269" i="12"/>
  <c r="P11" i="11"/>
  <c r="K96" i="6"/>
  <c r="P47" i="6"/>
  <c r="P96" i="6" s="1"/>
  <c r="L433" i="12"/>
  <c r="AJ81" i="11"/>
  <c r="P273" i="12"/>
  <c r="P269" i="12"/>
  <c r="BD11" i="11"/>
  <c r="BG96" i="6"/>
  <c r="BL47" i="6"/>
  <c r="BL96" i="6" s="1"/>
  <c r="T433" i="12"/>
  <c r="BX81" i="11"/>
  <c r="X273" i="12"/>
  <c r="X269" i="12"/>
  <c r="CR11" i="11"/>
  <c r="DC96" i="6"/>
  <c r="DH47" i="6"/>
  <c r="DH96" i="6" s="1"/>
  <c r="CX126" i="17"/>
  <c r="AD151" i="12"/>
  <c r="AD71" i="12"/>
  <c r="AD77" i="12" s="1"/>
  <c r="U173" i="17"/>
  <c r="AK173" i="17"/>
  <c r="BA173" i="17"/>
  <c r="BQ173" i="17"/>
  <c r="Q230" i="17"/>
  <c r="AG230" i="17"/>
  <c r="AW230" i="17"/>
  <c r="BM230" i="17"/>
  <c r="H252" i="8"/>
  <c r="H248" i="8"/>
  <c r="H249" i="8" s="1"/>
  <c r="H253" i="8" s="1"/>
  <c r="F51" i="24" s="1"/>
  <c r="L252" i="8"/>
  <c r="L248" i="8"/>
  <c r="L249" i="8" s="1"/>
  <c r="P252" i="8"/>
  <c r="P248" i="8"/>
  <c r="P249" i="8" s="1"/>
  <c r="T252" i="8"/>
  <c r="T248" i="8"/>
  <c r="T249" i="8" s="1"/>
  <c r="I134" i="12"/>
  <c r="Q21" i="11" s="1"/>
  <c r="I165" i="12"/>
  <c r="I12" i="21" s="1"/>
  <c r="W36" i="6"/>
  <c r="M134" i="12"/>
  <c r="AK21" i="11" s="1"/>
  <c r="M165" i="12"/>
  <c r="M12" i="21" s="1"/>
  <c r="AU36" i="6"/>
  <c r="Q134" i="12"/>
  <c r="BE21" i="11" s="1"/>
  <c r="Q165" i="12"/>
  <c r="Q12" i="21" s="1"/>
  <c r="BS36" i="6"/>
  <c r="U134" i="12"/>
  <c r="U165" i="12"/>
  <c r="U12" i="21" s="1"/>
  <c r="CQ36" i="6"/>
  <c r="Y134" i="12"/>
  <c r="Y165" i="12"/>
  <c r="Y12" i="21" s="1"/>
  <c r="DJ7" i="11"/>
  <c r="DS7" i="11"/>
  <c r="AD85" i="21"/>
  <c r="EP38" i="6"/>
  <c r="EP87" i="6" s="1"/>
  <c r="S58" i="11"/>
  <c r="AC58" i="11"/>
  <c r="AM58" i="11"/>
  <c r="AW58" i="11"/>
  <c r="BG58" i="11"/>
  <c r="BQ58" i="11"/>
  <c r="CA58" i="11"/>
  <c r="CK58" i="11"/>
  <c r="X178" i="12"/>
  <c r="X25" i="21" s="1"/>
  <c r="X145" i="12"/>
  <c r="CU58" i="11"/>
  <c r="Z178" i="12"/>
  <c r="Z145" i="12"/>
  <c r="CZ63" i="11"/>
  <c r="AA17" i="21"/>
  <c r="T74" i="11"/>
  <c r="BH74" i="11"/>
  <c r="CV74" i="11"/>
  <c r="AH86" i="11"/>
  <c r="BB86" i="11"/>
  <c r="BV86" i="11"/>
  <c r="CP86" i="11"/>
  <c r="AC84" i="12"/>
  <c r="DE101" i="11"/>
  <c r="AB22" i="21"/>
  <c r="AH28" i="24"/>
  <c r="AH54" i="24"/>
  <c r="AH7" i="24"/>
  <c r="AB17" i="11"/>
  <c r="AV17" i="11"/>
  <c r="BP17" i="11"/>
  <c r="CJ17" i="11"/>
  <c r="AC18" i="6"/>
  <c r="AI18" i="6"/>
  <c r="DO18" i="6"/>
  <c r="EA18" i="6"/>
  <c r="DO40" i="6"/>
  <c r="EN47" i="6"/>
  <c r="AD719" i="7"/>
  <c r="DU95" i="11"/>
  <c r="DZ95" i="11" s="1"/>
  <c r="EE95" i="11" s="1"/>
  <c r="AD116" i="21"/>
  <c r="BX54" i="24"/>
  <c r="CP61" i="17"/>
  <c r="CN60" i="17"/>
  <c r="CO60" i="17" s="1"/>
  <c r="CP60" i="17" s="1"/>
  <c r="CQ60" i="17" s="1"/>
  <c r="CP64" i="17"/>
  <c r="CN63" i="17"/>
  <c r="CO63" i="17" s="1"/>
  <c r="CP63" i="17" s="1"/>
  <c r="CQ63" i="17" s="1"/>
  <c r="CX43" i="17"/>
  <c r="AD52" i="12"/>
  <c r="AD59" i="12" s="1"/>
  <c r="BY203" i="17"/>
  <c r="CG203" i="17"/>
  <c r="CO203" i="17"/>
  <c r="M230" i="17"/>
  <c r="U230" i="17"/>
  <c r="AC230" i="17"/>
  <c r="AK230" i="17"/>
  <c r="AS230" i="17"/>
  <c r="BA230" i="17"/>
  <c r="BI230" i="17"/>
  <c r="BQ230" i="17"/>
  <c r="K252" i="8"/>
  <c r="K248" i="8"/>
  <c r="K249" i="8" s="1"/>
  <c r="O252" i="8"/>
  <c r="O248" i="8"/>
  <c r="O249" i="8" s="1"/>
  <c r="S252" i="8"/>
  <c r="S248" i="8"/>
  <c r="S249" i="8" s="1"/>
  <c r="W252" i="8"/>
  <c r="W248" i="8"/>
  <c r="W249" i="8" s="1"/>
  <c r="Y252" i="8"/>
  <c r="Y248" i="8"/>
  <c r="Y249" i="8" s="1"/>
  <c r="AA252" i="8"/>
  <c r="AA248" i="8"/>
  <c r="AA249" i="8" s="1"/>
  <c r="AC7" i="11"/>
  <c r="BA36" i="6"/>
  <c r="BA10" i="11"/>
  <c r="BB10" i="11" s="1"/>
  <c r="AY10" i="11"/>
  <c r="AX12" i="11"/>
  <c r="BQ7" i="11"/>
  <c r="CW36" i="6"/>
  <c r="CO10" i="11"/>
  <c r="CP10" i="11" s="1"/>
  <c r="CM10" i="11"/>
  <c r="CL12" i="11"/>
  <c r="DU36" i="6"/>
  <c r="DU85" i="6" s="1"/>
  <c r="X8" i="11"/>
  <c r="AR8" i="11"/>
  <c r="BL8" i="11"/>
  <c r="CF8" i="11"/>
  <c r="M59" i="11"/>
  <c r="AM57" i="11"/>
  <c r="AQ59" i="11"/>
  <c r="CA57" i="11"/>
  <c r="CE59" i="11"/>
  <c r="CZ58" i="11"/>
  <c r="AA178" i="12"/>
  <c r="AA145" i="12"/>
  <c r="AC62" i="11"/>
  <c r="AW62" i="11"/>
  <c r="BQ62" i="11"/>
  <c r="CK62" i="11"/>
  <c r="DE63" i="11"/>
  <c r="Y74" i="11"/>
  <c r="BM74" i="11"/>
  <c r="CZ9" i="11"/>
  <c r="X87" i="11"/>
  <c r="BL87" i="11"/>
  <c r="DE86" i="11"/>
  <c r="AB20" i="21"/>
  <c r="X13" i="11"/>
  <c r="AR13" i="11"/>
  <c r="BL13" i="11"/>
  <c r="CF13" i="11"/>
  <c r="CZ13" i="11"/>
  <c r="AC102" i="11"/>
  <c r="AW102" i="11"/>
  <c r="BQ102" i="11"/>
  <c r="CK102" i="11"/>
  <c r="AH101" i="11"/>
  <c r="BB101" i="11"/>
  <c r="BV101" i="11"/>
  <c r="CP101" i="11"/>
  <c r="AC57" i="6"/>
  <c r="AC12" i="6"/>
  <c r="AH8" i="6"/>
  <c r="AH57" i="6" s="1"/>
  <c r="K347" i="12"/>
  <c r="AG17" i="11"/>
  <c r="BM57" i="6"/>
  <c r="BM12" i="6"/>
  <c r="BR8" i="6"/>
  <c r="BR57" i="6" s="1"/>
  <c r="S347" i="12"/>
  <c r="BU17" i="11"/>
  <c r="DI57" i="6"/>
  <c r="DI12" i="6"/>
  <c r="DN8" i="6"/>
  <c r="DN57" i="6" s="1"/>
  <c r="DU57" i="6"/>
  <c r="DU12" i="6"/>
  <c r="DZ8" i="6"/>
  <c r="DZ57" i="6" s="1"/>
  <c r="AA347" i="12"/>
  <c r="DI17" i="11"/>
  <c r="DA75" i="11"/>
  <c r="DB73" i="11"/>
  <c r="Q18" i="6"/>
  <c r="BA18" i="6"/>
  <c r="BM77" i="11"/>
  <c r="CG77" i="11"/>
  <c r="DA77" i="11"/>
  <c r="Z96" i="11"/>
  <c r="AJ96" i="11"/>
  <c r="AT96" i="11"/>
  <c r="BD96" i="11"/>
  <c r="BN96" i="11"/>
  <c r="CH96" i="11"/>
  <c r="BX111" i="11"/>
  <c r="CR111" i="11"/>
  <c r="BR113" i="11"/>
  <c r="CL113" i="11"/>
  <c r="J106" i="17"/>
  <c r="V106" i="17"/>
  <c r="AL106" i="17"/>
  <c r="BB106" i="17"/>
  <c r="BR106" i="17"/>
  <c r="G103" i="20"/>
  <c r="X103" i="20" s="1"/>
  <c r="AW115" i="2"/>
  <c r="E104" i="20"/>
  <c r="V104" i="20" s="1"/>
  <c r="AU116" i="2"/>
  <c r="AD51" i="21"/>
  <c r="AD20" i="8"/>
  <c r="AD8" i="8"/>
  <c r="AD6" i="8"/>
  <c r="AC25" i="8"/>
  <c r="AC24" i="8"/>
  <c r="E306" i="20"/>
  <c r="V306" i="20" s="1"/>
  <c r="L10" i="8"/>
  <c r="L42" i="8"/>
  <c r="M54" i="8" s="1"/>
  <c r="K42" i="24" s="1"/>
  <c r="L23" i="8"/>
  <c r="L17" i="8"/>
  <c r="L38" i="8"/>
  <c r="J46" i="24" s="1"/>
  <c r="L41" i="8"/>
  <c r="T10" i="8"/>
  <c r="T42" i="8"/>
  <c r="U54" i="8" s="1"/>
  <c r="S42" i="24" s="1"/>
  <c r="T23" i="8"/>
  <c r="T17" i="8"/>
  <c r="T38" i="8"/>
  <c r="R46" i="24" s="1"/>
  <c r="T41" i="8"/>
  <c r="Z10" i="8"/>
  <c r="Z42" i="8"/>
  <c r="AA65" i="8" s="1"/>
  <c r="Z23" i="8"/>
  <c r="Z17" i="8"/>
  <c r="Z38" i="8"/>
  <c r="X46" i="24" s="1"/>
  <c r="I158" i="8"/>
  <c r="I151" i="8"/>
  <c r="K158" i="8"/>
  <c r="K151" i="8"/>
  <c r="M158" i="8"/>
  <c r="M151" i="8"/>
  <c r="O158" i="8"/>
  <c r="O151" i="8"/>
  <c r="Q158" i="8"/>
  <c r="Q151" i="8"/>
  <c r="S158" i="8"/>
  <c r="S151" i="8"/>
  <c r="U158" i="8"/>
  <c r="U151" i="8"/>
  <c r="W158" i="8"/>
  <c r="W151" i="8"/>
  <c r="Y158" i="8"/>
  <c r="Y151" i="8"/>
  <c r="DS66" i="6"/>
  <c r="L374" i="7"/>
  <c r="L353" i="7"/>
  <c r="L191" i="7"/>
  <c r="L185" i="7"/>
  <c r="AW61" i="6"/>
  <c r="AW22" i="6"/>
  <c r="T374" i="7"/>
  <c r="T353" i="7"/>
  <c r="T191" i="7"/>
  <c r="T185" i="7"/>
  <c r="CS61" i="6"/>
  <c r="CS22" i="6"/>
  <c r="Z353" i="7"/>
  <c r="K237" i="7"/>
  <c r="O237" i="7"/>
  <c r="S237" i="7"/>
  <c r="W237" i="7"/>
  <c r="AA75" i="21"/>
  <c r="D206" i="2"/>
  <c r="DO65" i="6"/>
  <c r="AD89" i="21"/>
  <c r="G222" i="2"/>
  <c r="EP21" i="6"/>
  <c r="AD658" i="7"/>
  <c r="AD161" i="7"/>
  <c r="AC166" i="7"/>
  <c r="Q72" i="6"/>
  <c r="AO72" i="6"/>
  <c r="BM72" i="6"/>
  <c r="CK72" i="6"/>
  <c r="DI72" i="6"/>
  <c r="DU72" i="6"/>
  <c r="Z73" i="6"/>
  <c r="AL73" i="6"/>
  <c r="AX73" i="6"/>
  <c r="BJ73" i="6"/>
  <c r="BV73" i="6"/>
  <c r="CH73" i="6"/>
  <c r="CT73" i="6"/>
  <c r="DF73" i="6"/>
  <c r="T40" i="6"/>
  <c r="AR40" i="6"/>
  <c r="BP40" i="6"/>
  <c r="CN40" i="6"/>
  <c r="DL40" i="6"/>
  <c r="DR89" i="6" s="1"/>
  <c r="DX89" i="6"/>
  <c r="J270" i="7"/>
  <c r="J259" i="7"/>
  <c r="AI62" i="6"/>
  <c r="N173" i="8"/>
  <c r="N145" i="8"/>
  <c r="N205" i="8"/>
  <c r="L49" i="24"/>
  <c r="BH64" i="6"/>
  <c r="R270" i="7"/>
  <c r="R259" i="7"/>
  <c r="CE62" i="6"/>
  <c r="V173" i="8"/>
  <c r="V145" i="8"/>
  <c r="V205" i="8"/>
  <c r="T49" i="24"/>
  <c r="DD64" i="6"/>
  <c r="DO62" i="6"/>
  <c r="AA114" i="8"/>
  <c r="W80" i="6"/>
  <c r="BS80" i="6"/>
  <c r="DO80" i="6"/>
  <c r="AB64" i="21"/>
  <c r="W77" i="6"/>
  <c r="AI77" i="6"/>
  <c r="AU77" i="6"/>
  <c r="BG77" i="6"/>
  <c r="BS77" i="6"/>
  <c r="CE77" i="6"/>
  <c r="CQ77" i="6"/>
  <c r="DC77" i="6"/>
  <c r="DO77" i="6"/>
  <c r="EA77" i="6"/>
  <c r="AC82" i="6"/>
  <c r="BA82" i="6"/>
  <c r="BY82" i="6"/>
  <c r="CW82" i="6"/>
  <c r="DU82" i="6"/>
  <c r="K84" i="6"/>
  <c r="P35" i="6"/>
  <c r="P84" i="6" s="1"/>
  <c r="AI84" i="6"/>
  <c r="AN35" i="6"/>
  <c r="AN84" i="6" s="1"/>
  <c r="BG84" i="6"/>
  <c r="BL35" i="6"/>
  <c r="BL84" i="6" s="1"/>
  <c r="CE84" i="6"/>
  <c r="CJ35" i="6"/>
  <c r="CJ84" i="6" s="1"/>
  <c r="DC84" i="6"/>
  <c r="DH35" i="6"/>
  <c r="DH84" i="6" s="1"/>
  <c r="DO84" i="6"/>
  <c r="DT35" i="6"/>
  <c r="DT84" i="6" s="1"/>
  <c r="EA84" i="6"/>
  <c r="EF35" i="6"/>
  <c r="EF84" i="6" s="1"/>
  <c r="BR54" i="24"/>
  <c r="BQ54" i="24"/>
  <c r="M308" i="17"/>
  <c r="N303" i="17"/>
  <c r="U308" i="17"/>
  <c r="V303" i="17"/>
  <c r="AC308" i="17"/>
  <c r="AD303" i="17"/>
  <c r="AK308" i="17"/>
  <c r="AL303" i="17"/>
  <c r="AS308" i="17"/>
  <c r="AT303" i="17"/>
  <c r="BA308" i="17"/>
  <c r="BB303" i="17"/>
  <c r="BI308" i="17"/>
  <c r="BJ303" i="17"/>
  <c r="BQ308" i="17"/>
  <c r="BR303" i="17"/>
  <c r="BY308" i="17"/>
  <c r="BZ303" i="17"/>
  <c r="CG308" i="17"/>
  <c r="CH303" i="17"/>
  <c r="CO308" i="17"/>
  <c r="CP303" i="17"/>
  <c r="J85" i="17"/>
  <c r="N85" i="17"/>
  <c r="R85" i="17"/>
  <c r="V85" i="17"/>
  <c r="Z85" i="17"/>
  <c r="AD85" i="17"/>
  <c r="AH85" i="17"/>
  <c r="AL85" i="17"/>
  <c r="AP85" i="17"/>
  <c r="AT85" i="17"/>
  <c r="AX85" i="17"/>
  <c r="BB85" i="17"/>
  <c r="BF85" i="17"/>
  <c r="BJ85" i="17"/>
  <c r="BN85" i="17"/>
  <c r="BR85" i="17"/>
  <c r="BV85" i="17"/>
  <c r="BZ85" i="17"/>
  <c r="R191" i="17"/>
  <c r="Z191" i="17"/>
  <c r="AH191" i="17"/>
  <c r="AP191" i="17"/>
  <c r="AX191" i="17"/>
  <c r="BF191" i="17"/>
  <c r="BN191" i="17"/>
  <c r="BV191" i="17"/>
  <c r="N248" i="17"/>
  <c r="R248" i="17"/>
  <c r="V248" i="17"/>
  <c r="Z248" i="17"/>
  <c r="AD248" i="17"/>
  <c r="AH248" i="17"/>
  <c r="AL248" i="17"/>
  <c r="AP248" i="17"/>
  <c r="AT248" i="17"/>
  <c r="AX248" i="17"/>
  <c r="BB248" i="17"/>
  <c r="BF248" i="17"/>
  <c r="BJ248" i="17"/>
  <c r="BN248" i="17"/>
  <c r="BR248" i="17"/>
  <c r="BV248" i="17"/>
  <c r="AW119" i="11"/>
  <c r="CK119" i="11"/>
  <c r="U11" i="11"/>
  <c r="I433" i="12"/>
  <c r="AO81" i="11"/>
  <c r="M273" i="12"/>
  <c r="M269" i="12"/>
  <c r="AO96" i="6"/>
  <c r="AT47" i="6"/>
  <c r="AT96" i="6" s="1"/>
  <c r="BI11" i="11"/>
  <c r="Q433" i="12"/>
  <c r="CC81" i="11"/>
  <c r="U273" i="12"/>
  <c r="U269" i="12"/>
  <c r="CK96" i="6"/>
  <c r="CP47" i="6"/>
  <c r="CP96" i="6" s="1"/>
  <c r="CW11" i="11"/>
  <c r="Y433" i="12"/>
  <c r="H77" i="8"/>
  <c r="H62" i="8"/>
  <c r="H51" i="8"/>
  <c r="BP53" i="24"/>
  <c r="AE53" i="24"/>
  <c r="BP44" i="24"/>
  <c r="AE44" i="24"/>
  <c r="AB44" i="24"/>
  <c r="AY43" i="24"/>
  <c r="AW43" i="24"/>
  <c r="AE30" i="24"/>
  <c r="AE25" i="24"/>
  <c r="AE22" i="24"/>
  <c r="AE21" i="24"/>
  <c r="BP54" i="24"/>
  <c r="AE54" i="24"/>
  <c r="BP52" i="24"/>
  <c r="AE52" i="24"/>
  <c r="BP45" i="24"/>
  <c r="AE45" i="24"/>
  <c r="AB45" i="24"/>
  <c r="BM43" i="24"/>
  <c r="AZ43" i="24"/>
  <c r="AX43" i="24"/>
  <c r="AV43" i="24"/>
  <c r="AE43" i="24"/>
  <c r="D43" i="24"/>
  <c r="AE39" i="24"/>
  <c r="AE28" i="24"/>
  <c r="AE24" i="24"/>
  <c r="AE23" i="24"/>
  <c r="AG43" i="24"/>
  <c r="L77" i="8"/>
  <c r="L62" i="8"/>
  <c r="L51" i="8"/>
  <c r="P77" i="8"/>
  <c r="P62" i="8"/>
  <c r="P51" i="8"/>
  <c r="T77" i="8"/>
  <c r="T62" i="8"/>
  <c r="T51" i="8"/>
  <c r="X77" i="8"/>
  <c r="X62" i="8"/>
  <c r="X51" i="8"/>
  <c r="AB77" i="8"/>
  <c r="AC82" i="8" s="1"/>
  <c r="AB62" i="8"/>
  <c r="AB51" i="8"/>
  <c r="K23" i="8"/>
  <c r="O23" i="8"/>
  <c r="S23" i="8"/>
  <c r="W23" i="8"/>
  <c r="Z158" i="8"/>
  <c r="Z151" i="8"/>
  <c r="Z203" i="8"/>
  <c r="DY66" i="6"/>
  <c r="M374" i="7"/>
  <c r="M353" i="7"/>
  <c r="M191" i="7"/>
  <c r="M185" i="7"/>
  <c r="BC61" i="6"/>
  <c r="BC22" i="6"/>
  <c r="U374" i="7"/>
  <c r="U353" i="7"/>
  <c r="U191" i="7"/>
  <c r="U185" i="7"/>
  <c r="CY61" i="6"/>
  <c r="CY22" i="6"/>
  <c r="L237" i="7"/>
  <c r="P237" i="7"/>
  <c r="T237" i="7"/>
  <c r="EO28" i="6"/>
  <c r="AD729" i="7"/>
  <c r="AD77" i="21"/>
  <c r="EO35" i="6"/>
  <c r="AD394" i="7"/>
  <c r="J426" i="7"/>
  <c r="J668" i="7"/>
  <c r="N426" i="7"/>
  <c r="N668" i="7"/>
  <c r="R426" i="7"/>
  <c r="R668" i="7"/>
  <c r="V426" i="7"/>
  <c r="V668" i="7"/>
  <c r="AB426" i="7"/>
  <c r="BC426" i="7" s="1"/>
  <c r="Q65" i="6"/>
  <c r="AC65" i="6"/>
  <c r="AO65" i="6"/>
  <c r="BA65" i="6"/>
  <c r="BM65" i="6"/>
  <c r="BY65" i="6"/>
  <c r="CK65" i="6"/>
  <c r="CW65" i="6"/>
  <c r="DI65" i="6"/>
  <c r="K586" i="7"/>
  <c r="K167" i="7"/>
  <c r="O586" i="7"/>
  <c r="O167" i="7"/>
  <c r="S586" i="7"/>
  <c r="S167" i="7"/>
  <c r="W586" i="7"/>
  <c r="W167" i="7"/>
  <c r="W72" i="6"/>
  <c r="AU72" i="6"/>
  <c r="BS72" i="6"/>
  <c r="CQ72" i="6"/>
  <c r="EP26" i="6"/>
  <c r="L288" i="7"/>
  <c r="L290" i="7"/>
  <c r="L123" i="21" s="1"/>
  <c r="N288" i="7"/>
  <c r="N290" i="7"/>
  <c r="N123" i="21" s="1"/>
  <c r="P288" i="7"/>
  <c r="P290" i="7"/>
  <c r="P123" i="21" s="1"/>
  <c r="R288" i="7"/>
  <c r="R290" i="7"/>
  <c r="R123" i="21" s="1"/>
  <c r="T288" i="7"/>
  <c r="T290" i="7"/>
  <c r="T123" i="21" s="1"/>
  <c r="V288" i="7"/>
  <c r="V290" i="7"/>
  <c r="V123" i="21" s="1"/>
  <c r="EP35" i="6"/>
  <c r="AD755" i="7"/>
  <c r="DX92" i="6"/>
  <c r="K94" i="21"/>
  <c r="K764" i="7"/>
  <c r="K765" i="7" s="1"/>
  <c r="K663" i="7"/>
  <c r="K677" i="7" s="1"/>
  <c r="O94" i="21"/>
  <c r="O764" i="7"/>
  <c r="O765" i="7" s="1"/>
  <c r="O663" i="7"/>
  <c r="O677" i="7" s="1"/>
  <c r="S94" i="21"/>
  <c r="S764" i="7"/>
  <c r="S765" i="7" s="1"/>
  <c r="S663" i="7"/>
  <c r="S677" i="7" s="1"/>
  <c r="W94" i="21"/>
  <c r="W764" i="7"/>
  <c r="W765" i="7" s="1"/>
  <c r="W663" i="7"/>
  <c r="W677" i="7" s="1"/>
  <c r="AA94" i="21"/>
  <c r="D227" i="2"/>
  <c r="AA764" i="7"/>
  <c r="AA765" i="7" s="1"/>
  <c r="AA663" i="7"/>
  <c r="AA677" i="7" s="1"/>
  <c r="AD113" i="21"/>
  <c r="EP42" i="6"/>
  <c r="AD696" i="7"/>
  <c r="L22" i="6"/>
  <c r="L61" i="6"/>
  <c r="H373" i="7"/>
  <c r="H352" i="7"/>
  <c r="H190" i="7"/>
  <c r="H181" i="7"/>
  <c r="H184" i="7"/>
  <c r="AJ22" i="6"/>
  <c r="AJ61" i="6"/>
  <c r="L373" i="7"/>
  <c r="L352" i="7"/>
  <c r="L190" i="7"/>
  <c r="L181" i="7"/>
  <c r="L184" i="7"/>
  <c r="BH22" i="6"/>
  <c r="BH61" i="6"/>
  <c r="P373" i="7"/>
  <c r="P352" i="7"/>
  <c r="P190" i="7"/>
  <c r="P181" i="7"/>
  <c r="P184" i="7"/>
  <c r="CF22" i="6"/>
  <c r="CF61" i="6"/>
  <c r="T373" i="7"/>
  <c r="T352" i="7"/>
  <c r="T190" i="7"/>
  <c r="T181" i="7"/>
  <c r="T184" i="7"/>
  <c r="DD22" i="6"/>
  <c r="DD61" i="6"/>
  <c r="X373" i="7"/>
  <c r="X352" i="7"/>
  <c r="X190" i="7"/>
  <c r="X181" i="7"/>
  <c r="X184" i="7"/>
  <c r="EB22" i="6"/>
  <c r="EB61" i="6"/>
  <c r="AC60" i="21"/>
  <c r="AD107" i="7"/>
  <c r="E189" i="2" s="1"/>
  <c r="Q58" i="6"/>
  <c r="AC58" i="6"/>
  <c r="AO58" i="6"/>
  <c r="BA58" i="6"/>
  <c r="BM58" i="6"/>
  <c r="BY58" i="6"/>
  <c r="CK58" i="6"/>
  <c r="CW58" i="6"/>
  <c r="DI58" i="6"/>
  <c r="DU58" i="6"/>
  <c r="K59" i="6"/>
  <c r="AI59" i="6"/>
  <c r="BG59" i="6"/>
  <c r="CE59" i="6"/>
  <c r="DC59" i="6"/>
  <c r="EA59" i="6"/>
  <c r="EN10" i="6"/>
  <c r="EH59" i="6"/>
  <c r="EG10" i="6"/>
  <c r="EG59" i="6" s="1"/>
  <c r="R64" i="6"/>
  <c r="K145" i="8"/>
  <c r="K173" i="8"/>
  <c r="AP64" i="6"/>
  <c r="O145" i="8"/>
  <c r="O173" i="8"/>
  <c r="BN64" i="6"/>
  <c r="S145" i="8"/>
  <c r="S173" i="8"/>
  <c r="CL64" i="6"/>
  <c r="W173" i="8"/>
  <c r="DJ64" i="6"/>
  <c r="DU62" i="6"/>
  <c r="J114" i="8"/>
  <c r="N114" i="8"/>
  <c r="R114" i="8"/>
  <c r="V114" i="8"/>
  <c r="AB114" i="8"/>
  <c r="AC121" i="8" s="1"/>
  <c r="H226" i="7"/>
  <c r="J226" i="7"/>
  <c r="L226" i="7"/>
  <c r="N226" i="7"/>
  <c r="P226" i="7"/>
  <c r="R226" i="7"/>
  <c r="T226" i="7"/>
  <c r="V226" i="7"/>
  <c r="X226" i="7"/>
  <c r="BC226" i="7"/>
  <c r="AA62" i="21"/>
  <c r="D191" i="2"/>
  <c r="EN33" i="6"/>
  <c r="AD714" i="7"/>
  <c r="AD327" i="7"/>
  <c r="AD328" i="7" s="1"/>
  <c r="EH82" i="6"/>
  <c r="EG33" i="6"/>
  <c r="AG84" i="6"/>
  <c r="BE84" i="6"/>
  <c r="CC84" i="6"/>
  <c r="DA84" i="6"/>
  <c r="W94" i="6"/>
  <c r="AU94" i="6"/>
  <c r="BS94" i="6"/>
  <c r="CQ94" i="6"/>
  <c r="DO94" i="6"/>
  <c r="EA94" i="6"/>
  <c r="EN45" i="6"/>
  <c r="AD724" i="7"/>
  <c r="Q308" i="17"/>
  <c r="R303" i="17"/>
  <c r="Y308" i="17"/>
  <c r="Z303" i="17"/>
  <c r="AG308" i="17"/>
  <c r="AH303" i="17"/>
  <c r="AO308" i="17"/>
  <c r="AP303" i="17"/>
  <c r="AW308" i="17"/>
  <c r="AX303" i="17"/>
  <c r="BE308" i="17"/>
  <c r="BF303" i="17"/>
  <c r="BM308" i="17"/>
  <c r="BN303" i="17"/>
  <c r="BU308" i="17"/>
  <c r="BV303" i="17"/>
  <c r="CC308" i="17"/>
  <c r="CD303" i="17"/>
  <c r="CK308" i="17"/>
  <c r="CL303" i="17"/>
  <c r="M93" i="17"/>
  <c r="R88" i="17"/>
  <c r="Q65" i="11" s="1"/>
  <c r="I149" i="12"/>
  <c r="O93" i="17"/>
  <c r="U93" i="17"/>
  <c r="T93" i="17"/>
  <c r="Z88" i="17"/>
  <c r="AA65" i="11" s="1"/>
  <c r="K149" i="12"/>
  <c r="W93" i="17"/>
  <c r="AC93" i="17"/>
  <c r="AB93" i="17"/>
  <c r="AH88" i="17"/>
  <c r="AK65" i="11" s="1"/>
  <c r="M149" i="12"/>
  <c r="AE93" i="17"/>
  <c r="AK93" i="17"/>
  <c r="AJ93" i="17"/>
  <c r="AP88" i="17"/>
  <c r="AU65" i="11" s="1"/>
  <c r="O149" i="12"/>
  <c r="AM93" i="17"/>
  <c r="AS93" i="17"/>
  <c r="AR93" i="17"/>
  <c r="AX88" i="17"/>
  <c r="BE65" i="11" s="1"/>
  <c r="Q149" i="12"/>
  <c r="AU93" i="17"/>
  <c r="BA93" i="17"/>
  <c r="AZ93" i="17"/>
  <c r="BF88" i="17"/>
  <c r="BO65" i="11" s="1"/>
  <c r="S149" i="12"/>
  <c r="BC93" i="17"/>
  <c r="BI93" i="17"/>
  <c r="BH93" i="17"/>
  <c r="BN88" i="17"/>
  <c r="BY65" i="11" s="1"/>
  <c r="U149" i="12"/>
  <c r="BK93" i="17"/>
  <c r="BQ93" i="17"/>
  <c r="BP93" i="17"/>
  <c r="BV88" i="17"/>
  <c r="CI65" i="11" s="1"/>
  <c r="W149" i="12"/>
  <c r="BS93" i="17"/>
  <c r="BY93" i="17"/>
  <c r="BX93" i="17"/>
  <c r="CD88" i="17"/>
  <c r="CS65" i="11" s="1"/>
  <c r="Y149" i="12"/>
  <c r="CF93" i="17"/>
  <c r="CG93" i="17"/>
  <c r="CE93" i="17"/>
  <c r="CH88" i="17"/>
  <c r="CX65" i="11" s="1"/>
  <c r="I182" i="17"/>
  <c r="K182" i="17"/>
  <c r="M182" i="17"/>
  <c r="O182" i="17"/>
  <c r="Q182" i="17"/>
  <c r="S182" i="17"/>
  <c r="U182" i="17"/>
  <c r="W182" i="17"/>
  <c r="Y182" i="17"/>
  <c r="AA182" i="17"/>
  <c r="AC182" i="17"/>
  <c r="AE182" i="17"/>
  <c r="AG182" i="17"/>
  <c r="AI182" i="17"/>
  <c r="AK182" i="17"/>
  <c r="AM182" i="17"/>
  <c r="AO182" i="17"/>
  <c r="AQ182" i="17"/>
  <c r="AS182" i="17"/>
  <c r="AU182" i="17"/>
  <c r="AW182" i="17"/>
  <c r="AY182" i="17"/>
  <c r="BA182" i="17"/>
  <c r="BC182" i="17"/>
  <c r="BE182" i="17"/>
  <c r="BG182" i="17"/>
  <c r="BI182" i="17"/>
  <c r="BK182" i="17"/>
  <c r="BM182" i="17"/>
  <c r="BO182" i="17"/>
  <c r="BQ182" i="17"/>
  <c r="BS182" i="17"/>
  <c r="BU182" i="17"/>
  <c r="K239" i="17"/>
  <c r="O239" i="17"/>
  <c r="S239" i="17"/>
  <c r="W239" i="17"/>
  <c r="AA239" i="17"/>
  <c r="AE239" i="17"/>
  <c r="AI239" i="17"/>
  <c r="AM239" i="17"/>
  <c r="AQ239" i="17"/>
  <c r="AU239" i="17"/>
  <c r="AY239" i="17"/>
  <c r="BC239" i="17"/>
  <c r="BG239" i="17"/>
  <c r="BK239" i="17"/>
  <c r="BO239" i="17"/>
  <c r="BS239" i="17"/>
  <c r="R150" i="17"/>
  <c r="R156" i="17"/>
  <c r="T155" i="17"/>
  <c r="S155" i="17"/>
  <c r="I152" i="12"/>
  <c r="U155" i="17"/>
  <c r="AH150" i="17"/>
  <c r="AH156" i="17"/>
  <c r="AJ155" i="17"/>
  <c r="AI155" i="17"/>
  <c r="M152" i="12"/>
  <c r="AK155" i="17"/>
  <c r="AX150" i="17"/>
  <c r="AX156" i="17"/>
  <c r="AZ155" i="17"/>
  <c r="AY155" i="17"/>
  <c r="Q152" i="12"/>
  <c r="BA155" i="17"/>
  <c r="BN150" i="17"/>
  <c r="BN156" i="17"/>
  <c r="BP155" i="17"/>
  <c r="BO155" i="17"/>
  <c r="U152" i="12"/>
  <c r="BQ155" i="17"/>
  <c r="CD150" i="17"/>
  <c r="CD156" i="17"/>
  <c r="CF155" i="17"/>
  <c r="CE155" i="17"/>
  <c r="Y152" i="12"/>
  <c r="CG155" i="17"/>
  <c r="R202" i="17"/>
  <c r="AH202" i="17"/>
  <c r="AX202" i="17"/>
  <c r="BN202" i="17"/>
  <c r="CD207" i="17"/>
  <c r="CF212" i="17"/>
  <c r="CG212" i="17"/>
  <c r="Y154" i="12"/>
  <c r="CD213" i="17"/>
  <c r="CE212" i="17"/>
  <c r="BB119" i="11"/>
  <c r="CP119" i="11"/>
  <c r="J273" i="12"/>
  <c r="J269" i="12"/>
  <c r="Z11" i="11"/>
  <c r="W96" i="6"/>
  <c r="AB47" i="6"/>
  <c r="AB96" i="6" s="1"/>
  <c r="N433" i="12"/>
  <c r="AT81" i="11"/>
  <c r="R273" i="12"/>
  <c r="R269" i="12"/>
  <c r="BN11" i="11"/>
  <c r="BS96" i="6"/>
  <c r="BX47" i="6"/>
  <c r="BX96" i="6" s="1"/>
  <c r="V433" i="12"/>
  <c r="CH81" i="11"/>
  <c r="T3" i="16" l="1"/>
  <c r="V3" i="16"/>
  <c r="W2" i="16"/>
  <c r="S3" i="16"/>
  <c r="U3" i="16"/>
  <c r="W411" i="20"/>
  <c r="AE255" i="7"/>
  <c r="AE728" i="7" s="1"/>
  <c r="AE732" i="7" s="1"/>
  <c r="AE75" i="21" s="1"/>
  <c r="AL214" i="7"/>
  <c r="F343" i="20"/>
  <c r="W343" i="20" s="1"/>
  <c r="J536" i="20"/>
  <c r="AA536" i="20" s="1"/>
  <c r="I200" i="20"/>
  <c r="Z200" i="20" s="1"/>
  <c r="AV189" i="2"/>
  <c r="F427" i="20"/>
  <c r="J380" i="20"/>
  <c r="AA380" i="20" s="1"/>
  <c r="F414" i="20"/>
  <c r="F386" i="20"/>
  <c r="W386" i="20" s="1"/>
  <c r="AV243" i="2"/>
  <c r="AV205" i="2"/>
  <c r="CZ106" i="11"/>
  <c r="G248" i="2"/>
  <c r="AX248" i="2" s="1"/>
  <c r="CU106" i="11"/>
  <c r="CU105" i="11"/>
  <c r="CZ105" i="11"/>
  <c r="DE105" i="11"/>
  <c r="DJ106" i="11"/>
  <c r="DE106" i="11"/>
  <c r="DJ105" i="11"/>
  <c r="EV41" i="6"/>
  <c r="EV90" i="6" s="1"/>
  <c r="AE658" i="7"/>
  <c r="EV42" i="6"/>
  <c r="EV91" i="6" s="1"/>
  <c r="F210" i="2"/>
  <c r="G230" i="2"/>
  <c r="AX230" i="2" s="1"/>
  <c r="C224" i="2"/>
  <c r="AT224" i="2" s="1"/>
  <c r="AE113" i="21"/>
  <c r="AE656" i="7"/>
  <c r="AE97" i="21"/>
  <c r="EV21" i="6"/>
  <c r="EV70" i="6" s="1"/>
  <c r="F175" i="2"/>
  <c r="F230" i="2"/>
  <c r="AW230" i="2" s="1"/>
  <c r="AE20" i="8"/>
  <c r="AE24" i="8" s="1"/>
  <c r="EU10" i="6"/>
  <c r="ES10" i="6" s="1"/>
  <c r="AF8" i="8"/>
  <c r="AF89" i="8"/>
  <c r="C209" i="2"/>
  <c r="AT209" i="2" s="1"/>
  <c r="AF394" i="7"/>
  <c r="AF65" i="21" s="1"/>
  <c r="F208" i="2"/>
  <c r="EU35" i="6"/>
  <c r="EU84" i="6" s="1"/>
  <c r="AE8" i="8"/>
  <c r="C197" i="2"/>
  <c r="AT197" i="2" s="1"/>
  <c r="AE77" i="21"/>
  <c r="AE6" i="8"/>
  <c r="G175" i="2"/>
  <c r="AE394" i="7"/>
  <c r="F194" i="2" s="1"/>
  <c r="AE51" i="21"/>
  <c r="G246" i="2"/>
  <c r="H380" i="20"/>
  <c r="Y380" i="20" s="1"/>
  <c r="F207" i="2"/>
  <c r="AE70" i="21"/>
  <c r="AF200" i="7"/>
  <c r="G207" i="2" s="1"/>
  <c r="F246" i="2"/>
  <c r="EU30" i="6"/>
  <c r="EU79" i="6" s="1"/>
  <c r="AF656" i="7"/>
  <c r="AE111" i="21"/>
  <c r="F201" i="2"/>
  <c r="I380" i="20"/>
  <c r="Z380" i="20" s="1"/>
  <c r="AV151" i="2"/>
  <c r="EY56" i="6"/>
  <c r="FA67" i="6"/>
  <c r="F252" i="2"/>
  <c r="I485" i="20"/>
  <c r="Z485" i="20" s="1"/>
  <c r="AV210" i="2"/>
  <c r="I387" i="20"/>
  <c r="Z387" i="20" s="1"/>
  <c r="H387" i="20"/>
  <c r="Y387" i="20" s="1"/>
  <c r="I419" i="20"/>
  <c r="Z419" i="20" s="1"/>
  <c r="H419" i="20"/>
  <c r="AV222" i="2"/>
  <c r="E194" i="2"/>
  <c r="FB42" i="6"/>
  <c r="AF113" i="21"/>
  <c r="FB21" i="6"/>
  <c r="AF89" i="21"/>
  <c r="FB41" i="6"/>
  <c r="AF97" i="21"/>
  <c r="AD728" i="7"/>
  <c r="AD732" i="7" s="1"/>
  <c r="AE85" i="21"/>
  <c r="AE696" i="7"/>
  <c r="K200" i="20"/>
  <c r="AB200" i="20" s="1"/>
  <c r="AE695" i="7"/>
  <c r="AE161" i="7"/>
  <c r="AE166" i="7" s="1"/>
  <c r="H485" i="20"/>
  <c r="Y485" i="20" s="1"/>
  <c r="AE57" i="21"/>
  <c r="AF797" i="7"/>
  <c r="AF658" i="7"/>
  <c r="H383" i="20"/>
  <c r="Y383" i="20" s="1"/>
  <c r="AV208" i="2"/>
  <c r="H376" i="20"/>
  <c r="Y376" i="20" s="1"/>
  <c r="I376" i="20"/>
  <c r="Z376" i="20" s="1"/>
  <c r="AV201" i="2"/>
  <c r="I417" i="20"/>
  <c r="Z417" i="20" s="1"/>
  <c r="I482" i="20"/>
  <c r="Z482" i="20" s="1"/>
  <c r="AV246" i="2"/>
  <c r="H417" i="20"/>
  <c r="H482" i="20"/>
  <c r="Y482" i="20" s="1"/>
  <c r="G303" i="20"/>
  <c r="X303" i="20" s="1"/>
  <c r="H303" i="20"/>
  <c r="Y303" i="20" s="1"/>
  <c r="AV175" i="2"/>
  <c r="I410" i="20"/>
  <c r="Z410" i="20" s="1"/>
  <c r="AV207" i="2"/>
  <c r="H410" i="20"/>
  <c r="I382" i="20"/>
  <c r="Z382" i="20" s="1"/>
  <c r="H382" i="20"/>
  <c r="Y382" i="20" s="1"/>
  <c r="EO24" i="6"/>
  <c r="EO73" i="6" s="1"/>
  <c r="F248" i="2"/>
  <c r="AW248" i="2" s="1"/>
  <c r="AE89" i="21"/>
  <c r="K485" i="20"/>
  <c r="AB485" i="20" s="1"/>
  <c r="F222" i="2"/>
  <c r="H200" i="20"/>
  <c r="Y200" i="20" s="1"/>
  <c r="AF748" i="7"/>
  <c r="FA35" i="6"/>
  <c r="AF77" i="21"/>
  <c r="FA10" i="6"/>
  <c r="EY10" i="6" s="1"/>
  <c r="AF70" i="21"/>
  <c r="AF20" i="8"/>
  <c r="AF51" i="21"/>
  <c r="ET59" i="6"/>
  <c r="AF289" i="12"/>
  <c r="C106" i="2"/>
  <c r="AT106" i="2" s="1"/>
  <c r="F218" i="2"/>
  <c r="EV38" i="6"/>
  <c r="EV87" i="6" s="1"/>
  <c r="AE114" i="21"/>
  <c r="AF321" i="12"/>
  <c r="AF7" i="12"/>
  <c r="FB38" i="6"/>
  <c r="AF85" i="21"/>
  <c r="DD333" i="17"/>
  <c r="DF48" i="17"/>
  <c r="DF131" i="17"/>
  <c r="DE126" i="17"/>
  <c r="DF178" i="17"/>
  <c r="DE336" i="17"/>
  <c r="DF336" i="17"/>
  <c r="DC334" i="17"/>
  <c r="DD334" i="17"/>
  <c r="DE337" i="17"/>
  <c r="DF337" i="17"/>
  <c r="DC335" i="17"/>
  <c r="DD335" i="17"/>
  <c r="DC336" i="17"/>
  <c r="DD336" i="17"/>
  <c r="DE334" i="17"/>
  <c r="DF334" i="17"/>
  <c r="DC337" i="17"/>
  <c r="DD337" i="17"/>
  <c r="DE335" i="17"/>
  <c r="DF335" i="17"/>
  <c r="DF333" i="17"/>
  <c r="DE333" i="17"/>
  <c r="I540" i="20"/>
  <c r="Z540" i="20" s="1"/>
  <c r="H540" i="20"/>
  <c r="Y540" i="20" s="1"/>
  <c r="AV252" i="2"/>
  <c r="H536" i="20"/>
  <c r="Y536" i="20" s="1"/>
  <c r="I536" i="20"/>
  <c r="Z536" i="20" s="1"/>
  <c r="AV249" i="2"/>
  <c r="H488" i="20"/>
  <c r="Y488" i="20" s="1"/>
  <c r="I488" i="20"/>
  <c r="Z488" i="20" s="1"/>
  <c r="AV218" i="2"/>
  <c r="D111" i="2"/>
  <c r="D294" i="2" s="1"/>
  <c r="D105" i="2"/>
  <c r="AU105" i="2" s="1"/>
  <c r="AF328" i="7"/>
  <c r="EZ59" i="6"/>
  <c r="FB75" i="6"/>
  <c r="FD33" i="6"/>
  <c r="FD82" i="6" s="1"/>
  <c r="DB48" i="17"/>
  <c r="DB131" i="17"/>
  <c r="DB178" i="17"/>
  <c r="EF118" i="11"/>
  <c r="AF720" i="7"/>
  <c r="ET45" i="6"/>
  <c r="ET94" i="6" s="1"/>
  <c r="AF517" i="7"/>
  <c r="EZ45" i="6" s="1"/>
  <c r="AF723" i="7"/>
  <c r="AF397" i="7"/>
  <c r="FC35" i="6" s="1"/>
  <c r="EV43" i="6"/>
  <c r="AF482" i="7"/>
  <c r="FB43" i="6" s="1"/>
  <c r="EU40" i="6"/>
  <c r="EU89" i="6" s="1"/>
  <c r="AF487" i="7"/>
  <c r="FA40" i="6" s="1"/>
  <c r="AF255" i="7"/>
  <c r="FA24" i="6" s="1"/>
  <c r="AF779" i="7"/>
  <c r="AF337" i="7"/>
  <c r="AF437" i="7"/>
  <c r="AF163" i="7"/>
  <c r="AF99" i="21" s="1"/>
  <c r="EF49" i="11"/>
  <c r="AF199" i="12" s="1"/>
  <c r="EE47" i="11"/>
  <c r="EE51" i="11"/>
  <c r="DB68" i="17"/>
  <c r="DB84" i="17" s="1"/>
  <c r="AF28" i="12"/>
  <c r="DF68" i="17" s="1"/>
  <c r="DB168" i="17"/>
  <c r="DB181" i="17" s="1"/>
  <c r="AF81" i="12"/>
  <c r="DF168" i="17" s="1"/>
  <c r="AF151" i="12"/>
  <c r="AF71" i="12"/>
  <c r="AF77" i="12" s="1"/>
  <c r="AF114" i="12"/>
  <c r="DB225" i="17"/>
  <c r="DB238" i="17" s="1"/>
  <c r="AF103" i="12"/>
  <c r="DF225" i="17" s="1"/>
  <c r="DB62" i="17"/>
  <c r="DB78" i="17" s="1"/>
  <c r="AF27" i="12"/>
  <c r="DF62" i="17" s="1"/>
  <c r="AF52" i="12"/>
  <c r="AF59" i="12" s="1"/>
  <c r="DM22" i="11"/>
  <c r="DM21" i="11"/>
  <c r="AB78" i="21"/>
  <c r="K150" i="12"/>
  <c r="P629" i="7"/>
  <c r="P632" i="7" s="1"/>
  <c r="BJ213" i="17"/>
  <c r="BC737" i="7"/>
  <c r="AI116" i="17"/>
  <c r="AA418" i="20"/>
  <c r="Y418" i="20"/>
  <c r="F429" i="20"/>
  <c r="F413" i="20"/>
  <c r="U150" i="12"/>
  <c r="BY116" i="17"/>
  <c r="AK116" i="17"/>
  <c r="AB41" i="8"/>
  <c r="BC354" i="7"/>
  <c r="BI116" i="17"/>
  <c r="AZ116" i="17"/>
  <c r="BN117" i="17"/>
  <c r="AB68" i="21"/>
  <c r="D197" i="2"/>
  <c r="BX116" i="17"/>
  <c r="L632" i="7"/>
  <c r="T629" i="7"/>
  <c r="T640" i="7" s="1"/>
  <c r="N640" i="7"/>
  <c r="U271" i="7"/>
  <c r="AB629" i="7"/>
  <c r="AB632" i="7" s="1"/>
  <c r="BC632" i="7" s="1"/>
  <c r="R661" i="7"/>
  <c r="R675" i="7" s="1"/>
  <c r="AU212" i="17"/>
  <c r="BF117" i="17"/>
  <c r="BS67" i="6"/>
  <c r="R632" i="7"/>
  <c r="S116" i="17"/>
  <c r="G159" i="8"/>
  <c r="BH116" i="17"/>
  <c r="H629" i="7"/>
  <c r="BI203" i="17"/>
  <c r="AB660" i="7"/>
  <c r="AB674" i="7" s="1"/>
  <c r="BC674" i="7" s="1"/>
  <c r="AT213" i="17"/>
  <c r="D224" i="2"/>
  <c r="W150" i="12"/>
  <c r="S150" i="12"/>
  <c r="BV111" i="17"/>
  <c r="AB91" i="21"/>
  <c r="J632" i="7"/>
  <c r="BP116" i="17"/>
  <c r="BV117" i="17"/>
  <c r="BG116" i="17"/>
  <c r="BC374" i="7"/>
  <c r="Q150" i="12"/>
  <c r="U116" i="17"/>
  <c r="BJ207" i="17"/>
  <c r="BK212" i="17"/>
  <c r="AW212" i="17"/>
  <c r="Z117" i="17"/>
  <c r="AX117" i="17"/>
  <c r="CJ70" i="17"/>
  <c r="CK70" i="17" s="1"/>
  <c r="AS203" i="17"/>
  <c r="AV212" i="17"/>
  <c r="BW169" i="17"/>
  <c r="BW182" i="17" s="1"/>
  <c r="AB116" i="17"/>
  <c r="BC628" i="7"/>
  <c r="CB67" i="6"/>
  <c r="CB22" i="6"/>
  <c r="CB71" i="6" s="1"/>
  <c r="AA227" i="7"/>
  <c r="I65" i="8"/>
  <c r="BW116" i="17"/>
  <c r="CH67" i="6"/>
  <c r="CI69" i="17"/>
  <c r="CI85" i="17" s="1"/>
  <c r="AP111" i="17"/>
  <c r="AC203" i="17"/>
  <c r="V640" i="7"/>
  <c r="AY116" i="17"/>
  <c r="T116" i="17"/>
  <c r="R117" i="17"/>
  <c r="AX111" i="17"/>
  <c r="AG212" i="17"/>
  <c r="BC586" i="7"/>
  <c r="AC116" i="17"/>
  <c r="X629" i="7"/>
  <c r="J661" i="7"/>
  <c r="J665" i="7" s="1"/>
  <c r="BA116" i="17"/>
  <c r="I150" i="12"/>
  <c r="R111" i="17"/>
  <c r="AQ116" i="17"/>
  <c r="AA116" i="17"/>
  <c r="Y65" i="8"/>
  <c r="W65" i="8"/>
  <c r="O54" i="8"/>
  <c r="M42" i="24" s="1"/>
  <c r="Q212" i="17"/>
  <c r="AS116" i="17"/>
  <c r="AD207" i="17"/>
  <c r="AF212" i="17"/>
  <c r="O150" i="12"/>
  <c r="M271" i="7"/>
  <c r="L154" i="12"/>
  <c r="AR116" i="17"/>
  <c r="AP117" i="17"/>
  <c r="Z227" i="7"/>
  <c r="AB588" i="7"/>
  <c r="BC588" i="7" s="1"/>
  <c r="AB358" i="7"/>
  <c r="BC358" i="7" s="1"/>
  <c r="AB364" i="7"/>
  <c r="BC364" i="7" s="1"/>
  <c r="AB355" i="7"/>
  <c r="BC355" i="7" s="1"/>
  <c r="AB365" i="7"/>
  <c r="BC365" i="7" s="1"/>
  <c r="AB359" i="7"/>
  <c r="BC359" i="7" s="1"/>
  <c r="AA456" i="7"/>
  <c r="AA385" i="7"/>
  <c r="AA379" i="7"/>
  <c r="Y29" i="24" s="1"/>
  <c r="AA376" i="7"/>
  <c r="AC359" i="7"/>
  <c r="AC470" i="7"/>
  <c r="AC563" i="7"/>
  <c r="AC187" i="7"/>
  <c r="AC193" i="7"/>
  <c r="AC385" i="7"/>
  <c r="AC379" i="7"/>
  <c r="AC376" i="7"/>
  <c r="AC456" i="7"/>
  <c r="AB458" i="7"/>
  <c r="AB387" i="7"/>
  <c r="BC387" i="7" s="1"/>
  <c r="AB381" i="7"/>
  <c r="BC381" i="7" s="1"/>
  <c r="AA457" i="7"/>
  <c r="AA386" i="7"/>
  <c r="AA380" i="7"/>
  <c r="AA458" i="7"/>
  <c r="AA387" i="7"/>
  <c r="AA381" i="7"/>
  <c r="AB593" i="7"/>
  <c r="BC593" i="7" s="1"/>
  <c r="AB598" i="7"/>
  <c r="BC598" i="7" s="1"/>
  <c r="AC469" i="7"/>
  <c r="AC562" i="7"/>
  <c r="AC640" i="7"/>
  <c r="AC632" i="7"/>
  <c r="AB456" i="7"/>
  <c r="AB385" i="7"/>
  <c r="BC385" i="7" s="1"/>
  <c r="AB379" i="7"/>
  <c r="BC379" i="7" s="1"/>
  <c r="AB376" i="7"/>
  <c r="BC376" i="7" s="1"/>
  <c r="AB457" i="7"/>
  <c r="AB386" i="7"/>
  <c r="BC386" i="7" s="1"/>
  <c r="AB380" i="7"/>
  <c r="BC380" i="7" s="1"/>
  <c r="AA364" i="7"/>
  <c r="AA358" i="7"/>
  <c r="AA355" i="7"/>
  <c r="AC364" i="7"/>
  <c r="AC358" i="7"/>
  <c r="AC355" i="7"/>
  <c r="AC675" i="7"/>
  <c r="AC665" i="7"/>
  <c r="Z388" i="7"/>
  <c r="AB360" i="7"/>
  <c r="BC360" i="7" s="1"/>
  <c r="AB366" i="7"/>
  <c r="BC366" i="7" s="1"/>
  <c r="AA359" i="7"/>
  <c r="AA365" i="7"/>
  <c r="AA366" i="7"/>
  <c r="AA360" i="7"/>
  <c r="AC782" i="7"/>
  <c r="AC403" i="7"/>
  <c r="AC409" i="7"/>
  <c r="DF67" i="6"/>
  <c r="AU209" i="2"/>
  <c r="Q65" i="8"/>
  <c r="O661" i="7"/>
  <c r="O665" i="7" s="1"/>
  <c r="X236" i="8"/>
  <c r="Z236" i="8"/>
  <c r="BC373" i="7"/>
  <c r="Y236" i="8"/>
  <c r="BC742" i="7"/>
  <c r="AE107" i="7"/>
  <c r="F189" i="2" s="1"/>
  <c r="AC79" i="21"/>
  <c r="AA236" i="8"/>
  <c r="AE51" i="12"/>
  <c r="AE58" i="12" s="1"/>
  <c r="DB24" i="17"/>
  <c r="DB29" i="17" s="1"/>
  <c r="AE724" i="7"/>
  <c r="AE740" i="7"/>
  <c r="AE742" i="7" s="1"/>
  <c r="ET40" i="6"/>
  <c r="EZ89" i="6" s="1"/>
  <c r="Z67" i="6"/>
  <c r="AE723" i="7"/>
  <c r="CZ22" i="6"/>
  <c r="CZ29" i="6" s="1"/>
  <c r="Z22" i="6"/>
  <c r="W22" i="6" s="1"/>
  <c r="W18" i="6"/>
  <c r="AC67" i="6" s="1"/>
  <c r="CZ67" i="6"/>
  <c r="DA303" i="17"/>
  <c r="DA308" i="17" s="1"/>
  <c r="G632" i="7"/>
  <c r="V661" i="7"/>
  <c r="V665" i="7" s="1"/>
  <c r="M203" i="17"/>
  <c r="N207" i="17"/>
  <c r="BO116" i="17"/>
  <c r="AJ116" i="17"/>
  <c r="AH117" i="17"/>
  <c r="AH111" i="17"/>
  <c r="AE212" i="17"/>
  <c r="P212" i="17"/>
  <c r="N661" i="7"/>
  <c r="N675" i="7" s="1"/>
  <c r="BQ116" i="17"/>
  <c r="M150" i="12"/>
  <c r="BN111" i="17"/>
  <c r="H154" i="12"/>
  <c r="AC106" i="12"/>
  <c r="DN12" i="11"/>
  <c r="DQ12" i="11"/>
  <c r="DN64" i="11"/>
  <c r="DO59" i="11"/>
  <c r="DM59" i="11"/>
  <c r="AC24" i="12"/>
  <c r="AC168" i="12"/>
  <c r="AC361" i="12"/>
  <c r="AC366" i="12" s="1"/>
  <c r="AC388" i="12"/>
  <c r="AC391" i="12" s="1"/>
  <c r="AC33" i="21"/>
  <c r="K18" i="6"/>
  <c r="K67" i="6" s="1"/>
  <c r="N67" i="6"/>
  <c r="BG18" i="6"/>
  <c r="BM67" i="6" s="1"/>
  <c r="CN67" i="6"/>
  <c r="BP67" i="6"/>
  <c r="T67" i="6"/>
  <c r="BJ22" i="6"/>
  <c r="BG22" i="6" s="1"/>
  <c r="AB46" i="24"/>
  <c r="AA661" i="7"/>
  <c r="AA686" i="7" s="1"/>
  <c r="CH22" i="6"/>
  <c r="CN71" i="6" s="1"/>
  <c r="DL22" i="6"/>
  <c r="DI22" i="6" s="1"/>
  <c r="DR67" i="6"/>
  <c r="CE18" i="6"/>
  <c r="CE67" i="6" s="1"/>
  <c r="DC18" i="6"/>
  <c r="DI67" i="6" s="1"/>
  <c r="DF22" i="6"/>
  <c r="DL67" i="6"/>
  <c r="AM13" i="24"/>
  <c r="CK67" i="11"/>
  <c r="CK66" i="11"/>
  <c r="CU67" i="11"/>
  <c r="CP67" i="11"/>
  <c r="AC2" i="6"/>
  <c r="W253" i="17"/>
  <c r="W218" i="17"/>
  <c r="W275" i="17"/>
  <c r="W161" i="17"/>
  <c r="W196" i="17"/>
  <c r="W122" i="17"/>
  <c r="W99" i="17"/>
  <c r="W139" i="17"/>
  <c r="W58" i="17"/>
  <c r="W20" i="17"/>
  <c r="W39" i="17"/>
  <c r="W4" i="17"/>
  <c r="L3" i="1"/>
  <c r="L103" i="21"/>
  <c r="M11" i="21"/>
  <c r="L104" i="21"/>
  <c r="L117" i="8"/>
  <c r="Q271" i="7"/>
  <c r="W271" i="7"/>
  <c r="O271" i="7"/>
  <c r="AD109" i="7"/>
  <c r="AE109" i="7" s="1"/>
  <c r="AF109" i="7" s="1"/>
  <c r="AE720" i="7"/>
  <c r="F350" i="20"/>
  <c r="W350" i="20" s="1"/>
  <c r="AU193" i="2"/>
  <c r="BC677" i="7"/>
  <c r="BC663" i="7"/>
  <c r="AC109" i="21"/>
  <c r="AB123" i="21"/>
  <c r="BC290" i="7"/>
  <c r="AB765" i="7"/>
  <c r="BC765" i="7" s="1"/>
  <c r="BC764" i="7"/>
  <c r="AD483" i="7"/>
  <c r="AW151" i="2"/>
  <c r="R271" i="7"/>
  <c r="J271" i="7"/>
  <c r="AD748" i="7"/>
  <c r="AB193" i="7"/>
  <c r="BC193" i="7" s="1"/>
  <c r="AB187" i="7"/>
  <c r="BC187" i="7" s="1"/>
  <c r="AA193" i="7"/>
  <c r="AA187" i="7"/>
  <c r="Z193" i="7"/>
  <c r="Z187" i="7"/>
  <c r="J485" i="20"/>
  <c r="AA485" i="20" s="1"/>
  <c r="K536" i="20"/>
  <c r="AB536" i="20" s="1"/>
  <c r="ET73" i="6"/>
  <c r="EV68" i="6"/>
  <c r="K380" i="20"/>
  <c r="AB380" i="20" s="1"/>
  <c r="C105" i="2"/>
  <c r="AT105" i="2" s="1"/>
  <c r="AW249" i="2"/>
  <c r="J200" i="20"/>
  <c r="AA200" i="20" s="1"/>
  <c r="ET77" i="6"/>
  <c r="AW243" i="2"/>
  <c r="D106" i="2"/>
  <c r="D289" i="2" s="1"/>
  <c r="ET60" i="6"/>
  <c r="K24" i="12"/>
  <c r="ES28" i="6"/>
  <c r="EY77" i="6" s="1"/>
  <c r="ET82" i="6"/>
  <c r="AW205" i="2"/>
  <c r="ET81" i="6"/>
  <c r="AD300" i="7"/>
  <c r="EN27" i="6" s="1"/>
  <c r="AE299" i="7"/>
  <c r="AF299" i="7" s="1"/>
  <c r="FC32" i="6" s="1"/>
  <c r="EY32" i="6" s="1"/>
  <c r="AD60" i="8"/>
  <c r="AE32" i="8"/>
  <c r="AE437" i="7"/>
  <c r="EW28" i="6"/>
  <c r="FC77" i="6" s="1"/>
  <c r="AE779" i="7"/>
  <c r="AE337" i="7"/>
  <c r="ES33" i="6"/>
  <c r="EY82" i="6" s="1"/>
  <c r="AE483" i="7"/>
  <c r="AE748" i="7"/>
  <c r="AE328" i="7"/>
  <c r="AE400" i="7"/>
  <c r="BO59" i="11"/>
  <c r="AC67" i="21"/>
  <c r="J440" i="20"/>
  <c r="AA440" i="20" s="1"/>
  <c r="AW234" i="2"/>
  <c r="J438" i="20"/>
  <c r="AA438" i="20" s="1"/>
  <c r="G256" i="2"/>
  <c r="AX256" i="2" s="1"/>
  <c r="G254" i="2"/>
  <c r="AX254" i="2" s="1"/>
  <c r="G255" i="2"/>
  <c r="AX255" i="2" s="1"/>
  <c r="G253" i="2"/>
  <c r="AX253" i="2" s="1"/>
  <c r="G238" i="2"/>
  <c r="G239" i="2"/>
  <c r="J439" i="20"/>
  <c r="AA439" i="20" s="1"/>
  <c r="AW235" i="2"/>
  <c r="Y44" i="21"/>
  <c r="Y25" i="21"/>
  <c r="EP84" i="6"/>
  <c r="EV84" i="6"/>
  <c r="EP75" i="6"/>
  <c r="EV75" i="6"/>
  <c r="EO84" i="6"/>
  <c r="EO77" i="6"/>
  <c r="EU77" i="6"/>
  <c r="EP70" i="6"/>
  <c r="EP96" i="6"/>
  <c r="EV96" i="6"/>
  <c r="EP81" i="6"/>
  <c r="EV81" i="6"/>
  <c r="EO79" i="6"/>
  <c r="EO67" i="6"/>
  <c r="EU67" i="6"/>
  <c r="EP82" i="6"/>
  <c r="EV82" i="6"/>
  <c r="EO82" i="6"/>
  <c r="EU82" i="6"/>
  <c r="EO59" i="6"/>
  <c r="ET95" i="6"/>
  <c r="EP91" i="6"/>
  <c r="EN96" i="6"/>
  <c r="ET96" i="6"/>
  <c r="EP59" i="6"/>
  <c r="EV59" i="6"/>
  <c r="EO94" i="6"/>
  <c r="EU94" i="6"/>
  <c r="EO81" i="6"/>
  <c r="EU81" i="6"/>
  <c r="EP93" i="6"/>
  <c r="EV93" i="6"/>
  <c r="EM56" i="6"/>
  <c r="ES56" i="6"/>
  <c r="EO89" i="6"/>
  <c r="EP77" i="6"/>
  <c r="EV77" i="6"/>
  <c r="EP79" i="6"/>
  <c r="EV79" i="6"/>
  <c r="AE114" i="12"/>
  <c r="AE118" i="12" s="1"/>
  <c r="DB222" i="17"/>
  <c r="DF235" i="17" s="1"/>
  <c r="AE59" i="12"/>
  <c r="AE77" i="12"/>
  <c r="DV81" i="11"/>
  <c r="AD263" i="12" s="1"/>
  <c r="DX81" i="11"/>
  <c r="DZ81" i="11" s="1"/>
  <c r="DV118" i="11"/>
  <c r="EA118" i="11"/>
  <c r="EA49" i="11"/>
  <c r="AE199" i="12" s="1"/>
  <c r="DZ47" i="11"/>
  <c r="DZ51" i="11"/>
  <c r="DV35" i="11"/>
  <c r="AD188" i="12" s="1"/>
  <c r="AD23" i="7" s="1"/>
  <c r="DX35" i="11"/>
  <c r="DZ35" i="11" s="1"/>
  <c r="BP46" i="24"/>
  <c r="W661" i="7"/>
  <c r="W665" i="7" s="1"/>
  <c r="CS21" i="11"/>
  <c r="DH21" i="11"/>
  <c r="DH23" i="11"/>
  <c r="CX23" i="11"/>
  <c r="DC21" i="11"/>
  <c r="CI21" i="11"/>
  <c r="BO21" i="11"/>
  <c r="BT21" i="11"/>
  <c r="BT23" i="11"/>
  <c r="CI23" i="11"/>
  <c r="BO23" i="11"/>
  <c r="BY22" i="11"/>
  <c r="CI22" i="11"/>
  <c r="BY21" i="11"/>
  <c r="CD21" i="11"/>
  <c r="CX21" i="11"/>
  <c r="CD23" i="11"/>
  <c r="CX22" i="11"/>
  <c r="CN22" i="11"/>
  <c r="CD22" i="11"/>
  <c r="BT22" i="11"/>
  <c r="CN21" i="11"/>
  <c r="CN23" i="11"/>
  <c r="DH22" i="11"/>
  <c r="CS23" i="11"/>
  <c r="BY23" i="11"/>
  <c r="CS22" i="11"/>
  <c r="DC23" i="11"/>
  <c r="DC22" i="11"/>
  <c r="BO22" i="11"/>
  <c r="CD30" i="11"/>
  <c r="BP49" i="24"/>
  <c r="BT59" i="11"/>
  <c r="L168" i="12"/>
  <c r="L15" i="21" s="1"/>
  <c r="V121" i="8"/>
  <c r="N121" i="8"/>
  <c r="S253" i="8"/>
  <c r="Q51" i="24" s="1"/>
  <c r="K253" i="8"/>
  <c r="I51" i="24" s="1"/>
  <c r="CP59" i="11"/>
  <c r="BB59" i="11"/>
  <c r="Z176" i="12"/>
  <c r="Z23" i="21" s="1"/>
  <c r="DE59" i="11"/>
  <c r="DE76" i="11" s="1"/>
  <c r="AR17" i="11"/>
  <c r="V176" i="12"/>
  <c r="V23" i="21" s="1"/>
  <c r="CN59" i="11"/>
  <c r="P168" i="12"/>
  <c r="P15" i="21" s="1"/>
  <c r="DD64" i="11"/>
  <c r="AB13" i="24"/>
  <c r="R121" i="8"/>
  <c r="J121" i="8"/>
  <c r="AA253" i="8"/>
  <c r="Y51" i="24" s="1"/>
  <c r="P271" i="7"/>
  <c r="S661" i="7"/>
  <c r="S675" i="7" s="1"/>
  <c r="K661" i="7"/>
  <c r="K665" i="7" s="1"/>
  <c r="BL212" i="17"/>
  <c r="BM212" i="17"/>
  <c r="O212" i="17"/>
  <c r="Z661" i="7"/>
  <c r="Z686" i="7" s="1"/>
  <c r="N144" i="12"/>
  <c r="AP30" i="11" s="1"/>
  <c r="H144" i="12"/>
  <c r="L30" i="11" s="1"/>
  <c r="BU64" i="11"/>
  <c r="T30" i="12" s="1"/>
  <c r="L24" i="12"/>
  <c r="R144" i="12"/>
  <c r="BJ30" i="11" s="1"/>
  <c r="BV59" i="11"/>
  <c r="AH59" i="11"/>
  <c r="CF17" i="11"/>
  <c r="BL17" i="11"/>
  <c r="T24" i="12"/>
  <c r="AF59" i="11"/>
  <c r="H176" i="12"/>
  <c r="H23" i="21" s="1"/>
  <c r="AW59" i="11"/>
  <c r="CO64" i="11"/>
  <c r="X30" i="12" s="1"/>
  <c r="P24" i="12"/>
  <c r="DC59" i="11"/>
  <c r="Z144" i="12"/>
  <c r="X24" i="12"/>
  <c r="AZ59" i="11"/>
  <c r="AA168" i="12"/>
  <c r="AA15" i="21" s="1"/>
  <c r="AR73" i="20"/>
  <c r="AP29" i="20"/>
  <c r="AP236" i="20"/>
  <c r="AP257" i="20"/>
  <c r="AP33" i="20"/>
  <c r="AP256" i="20"/>
  <c r="AP259" i="20"/>
  <c r="AP258" i="20"/>
  <c r="AP253" i="20"/>
  <c r="AP254" i="20"/>
  <c r="AG310" i="2"/>
  <c r="AQ65" i="20"/>
  <c r="AO228" i="20"/>
  <c r="AR278" i="20"/>
  <c r="AS278" i="20"/>
  <c r="AG301" i="2"/>
  <c r="AS284" i="20"/>
  <c r="AO35" i="20"/>
  <c r="AR280" i="20"/>
  <c r="AR284" i="20"/>
  <c r="AS280" i="20"/>
  <c r="AQ70" i="20"/>
  <c r="AG319" i="2"/>
  <c r="AO233" i="20"/>
  <c r="AR72" i="20"/>
  <c r="AP235" i="20"/>
  <c r="AR151" i="20"/>
  <c r="AR149" i="20"/>
  <c r="AP224" i="20"/>
  <c r="AQ154" i="20"/>
  <c r="AG286" i="2"/>
  <c r="AQ62" i="20"/>
  <c r="AO223" i="20"/>
  <c r="AR61" i="20"/>
  <c r="AP222" i="20"/>
  <c r="AG316" i="2"/>
  <c r="AQ69" i="20"/>
  <c r="AO232" i="20"/>
  <c r="AO255" i="20"/>
  <c r="AQ71" i="20"/>
  <c r="AG293" i="2"/>
  <c r="AO27" i="20"/>
  <c r="AO234" i="20"/>
  <c r="AQ67" i="20"/>
  <c r="AG291" i="2"/>
  <c r="AO238" i="20"/>
  <c r="AO230" i="20"/>
  <c r="AR68" i="20"/>
  <c r="AP231" i="20"/>
  <c r="AP239" i="20"/>
  <c r="AR152" i="20"/>
  <c r="AP225" i="20"/>
  <c r="AG284" i="2"/>
  <c r="AQ60" i="20"/>
  <c r="AR347" i="20"/>
  <c r="AS347" i="20"/>
  <c r="AO221" i="20"/>
  <c r="AQ66" i="20"/>
  <c r="AG313" i="2"/>
  <c r="AO229" i="20"/>
  <c r="AO237" i="20"/>
  <c r="AQ147" i="20"/>
  <c r="AG322" i="2"/>
  <c r="AR147" i="20" s="1"/>
  <c r="AQ63" i="20"/>
  <c r="AG307" i="2"/>
  <c r="AO226" i="20"/>
  <c r="CD164" i="17"/>
  <c r="CD177" i="17" s="1"/>
  <c r="EJ40" i="6"/>
  <c r="EG40" i="6" s="1"/>
  <c r="DZ32" i="6"/>
  <c r="DZ81" i="6" s="1"/>
  <c r="CQ67" i="6"/>
  <c r="CI59" i="11"/>
  <c r="AU67" i="6"/>
  <c r="CK59" i="11"/>
  <c r="CJ64" i="11"/>
  <c r="W30" i="12" s="1"/>
  <c r="BP64" i="11"/>
  <c r="BG61" i="6"/>
  <c r="O24" i="12"/>
  <c r="AA16" i="21"/>
  <c r="BS85" i="6"/>
  <c r="AC59" i="11"/>
  <c r="E22" i="6"/>
  <c r="O168" i="12"/>
  <c r="O15" i="21" s="1"/>
  <c r="K168" i="12"/>
  <c r="K15" i="21" s="1"/>
  <c r="BQ59" i="11"/>
  <c r="W168" i="12"/>
  <c r="W15" i="21" s="1"/>
  <c r="S168" i="12"/>
  <c r="S15" i="21" s="1"/>
  <c r="AE49" i="24"/>
  <c r="AE46" i="24"/>
  <c r="Y253" i="8"/>
  <c r="W51" i="24" s="1"/>
  <c r="W253" i="8"/>
  <c r="U51" i="24" s="1"/>
  <c r="O253" i="8"/>
  <c r="M51" i="24" s="1"/>
  <c r="I271" i="7"/>
  <c r="AV64" i="11"/>
  <c r="O30" i="12" s="1"/>
  <c r="AB64" i="11"/>
  <c r="BA85" i="6"/>
  <c r="CW61" i="6"/>
  <c r="DO73" i="6"/>
  <c r="CQ85" i="6"/>
  <c r="AU85" i="6"/>
  <c r="K61" i="6"/>
  <c r="DI61" i="6"/>
  <c r="AC61" i="6"/>
  <c r="DU61" i="6"/>
  <c r="CW85" i="6"/>
  <c r="AQ49" i="24"/>
  <c r="AQ46" i="24"/>
  <c r="AK46" i="24"/>
  <c r="W227" i="7"/>
  <c r="S227" i="7"/>
  <c r="O227" i="7"/>
  <c r="K227" i="7"/>
  <c r="AC49" i="24"/>
  <c r="AK13" i="24"/>
  <c r="BM61" i="6"/>
  <c r="DO85" i="6"/>
  <c r="W85" i="6"/>
  <c r="BY61" i="6"/>
  <c r="Q61" i="6"/>
  <c r="DJ103" i="11"/>
  <c r="Z143" i="12"/>
  <c r="V143" i="12"/>
  <c r="R143" i="12"/>
  <c r="N143" i="12"/>
  <c r="J143" i="12"/>
  <c r="T253" i="8"/>
  <c r="R51" i="24" s="1"/>
  <c r="P253" i="8"/>
  <c r="N51" i="24" s="1"/>
  <c r="L253" i="8"/>
  <c r="J51" i="24" s="1"/>
  <c r="U253" i="8"/>
  <c r="S51" i="24" s="1"/>
  <c r="Q253" i="8"/>
  <c r="O51" i="24" s="1"/>
  <c r="M253" i="8"/>
  <c r="K51" i="24" s="1"/>
  <c r="I253" i="8"/>
  <c r="G51" i="24" s="1"/>
  <c r="AX207" i="17"/>
  <c r="AZ212" i="17"/>
  <c r="BA212" i="17"/>
  <c r="Q154" i="12"/>
  <c r="AX213" i="17"/>
  <c r="AY212" i="17"/>
  <c r="AW203" i="17"/>
  <c r="R207" i="17"/>
  <c r="T212" i="17"/>
  <c r="U212" i="17"/>
  <c r="I154" i="12"/>
  <c r="R213" i="17"/>
  <c r="S212" i="17"/>
  <c r="Q203" i="17"/>
  <c r="EN94" i="6"/>
  <c r="AD60" i="21"/>
  <c r="X456" i="7"/>
  <c r="X385" i="7"/>
  <c r="X376" i="7"/>
  <c r="X379" i="7"/>
  <c r="V29" i="24" s="1"/>
  <c r="DD71" i="6"/>
  <c r="DD29" i="6"/>
  <c r="T193" i="7"/>
  <c r="T187" i="7"/>
  <c r="T364" i="7"/>
  <c r="T355" i="7"/>
  <c r="T358" i="7"/>
  <c r="P456" i="7"/>
  <c r="P385" i="7"/>
  <c r="P376" i="7"/>
  <c r="P379" i="7"/>
  <c r="N29" i="24" s="1"/>
  <c r="P236" i="8"/>
  <c r="BH71" i="6"/>
  <c r="BH29" i="6"/>
  <c r="L193" i="7"/>
  <c r="L187" i="7"/>
  <c r="L364" i="7"/>
  <c r="L355" i="7"/>
  <c r="L358" i="7"/>
  <c r="H456" i="7"/>
  <c r="H385" i="7"/>
  <c r="H376" i="7"/>
  <c r="H379" i="7"/>
  <c r="F29" i="24" s="1"/>
  <c r="H236" i="8"/>
  <c r="L71" i="6"/>
  <c r="L29" i="6"/>
  <c r="K22" i="6"/>
  <c r="G427" i="20"/>
  <c r="X427" i="20" s="1"/>
  <c r="AU227" i="2"/>
  <c r="CY71" i="6"/>
  <c r="CY29" i="6"/>
  <c r="U365" i="7"/>
  <c r="U359" i="7"/>
  <c r="BC71" i="6"/>
  <c r="BC29" i="6"/>
  <c r="M365" i="7"/>
  <c r="M359" i="7"/>
  <c r="AD34" i="8"/>
  <c r="AE34" i="8" s="1"/>
  <c r="AF34" i="8" s="1"/>
  <c r="H82" i="8"/>
  <c r="H78" i="8"/>
  <c r="CN89" i="6"/>
  <c r="CK40" i="6"/>
  <c r="AR89" i="6"/>
  <c r="AO40" i="6"/>
  <c r="L419" i="20"/>
  <c r="AX222" i="2"/>
  <c r="Z457" i="7"/>
  <c r="T457" i="7"/>
  <c r="T386" i="7"/>
  <c r="T380" i="7"/>
  <c r="L457" i="7"/>
  <c r="L386" i="7"/>
  <c r="L380" i="7"/>
  <c r="AD24" i="8"/>
  <c r="AD25" i="8"/>
  <c r="BB111" i="17"/>
  <c r="BB117" i="17"/>
  <c r="BE116" i="17"/>
  <c r="R150" i="12"/>
  <c r="BD116" i="17"/>
  <c r="BC116" i="17"/>
  <c r="BA107" i="17"/>
  <c r="V111" i="17"/>
  <c r="V117" i="17"/>
  <c r="Y116" i="17"/>
  <c r="J150" i="12"/>
  <c r="X116" i="17"/>
  <c r="W116" i="17"/>
  <c r="U107" i="17"/>
  <c r="CW67" i="6"/>
  <c r="BA67" i="6"/>
  <c r="AB176" i="12"/>
  <c r="AB144" i="12"/>
  <c r="DJ17" i="11"/>
  <c r="T176" i="12"/>
  <c r="T23" i="21" s="1"/>
  <c r="T144" i="12"/>
  <c r="BV17" i="11"/>
  <c r="AA25" i="21"/>
  <c r="D131" i="2"/>
  <c r="V168" i="12"/>
  <c r="V15" i="21" s="1"/>
  <c r="CE64" i="11"/>
  <c r="V24" i="12"/>
  <c r="CD59" i="11"/>
  <c r="CF59" i="11"/>
  <c r="N168" i="12"/>
  <c r="N15" i="21" s="1"/>
  <c r="AQ64" i="11"/>
  <c r="N24" i="12"/>
  <c r="AP59" i="11"/>
  <c r="AR59" i="11"/>
  <c r="H168" i="12"/>
  <c r="H15" i="21" s="1"/>
  <c r="M64" i="11"/>
  <c r="H24" i="12"/>
  <c r="L59" i="11"/>
  <c r="N59" i="11"/>
  <c r="CO12" i="11"/>
  <c r="CP12" i="11" s="1"/>
  <c r="CM12" i="11"/>
  <c r="CL14" i="11"/>
  <c r="BA12" i="11"/>
  <c r="BB12" i="11" s="1"/>
  <c r="AY12" i="11"/>
  <c r="AX14" i="11"/>
  <c r="CT64" i="17"/>
  <c r="CT80" i="17" s="1"/>
  <c r="CR63" i="17"/>
  <c r="CS63" i="17" s="1"/>
  <c r="CT63" i="17" s="1"/>
  <c r="CU63" i="17" s="1"/>
  <c r="CV63" i="17" s="1"/>
  <c r="CT61" i="17"/>
  <c r="CT77" i="17" s="1"/>
  <c r="CR60" i="17"/>
  <c r="CS60" i="17" s="1"/>
  <c r="CT60" i="17" s="1"/>
  <c r="CU60" i="17" s="1"/>
  <c r="CV60" i="17" s="1"/>
  <c r="DO67" i="6"/>
  <c r="AI67" i="6"/>
  <c r="AC436" i="12"/>
  <c r="AC441" i="12" s="1"/>
  <c r="DS86" i="11"/>
  <c r="AC20" i="21"/>
  <c r="DS63" i="11"/>
  <c r="Z25" i="21"/>
  <c r="C131" i="2"/>
  <c r="AT131" i="2" s="1"/>
  <c r="L488" i="20"/>
  <c r="AC488" i="20" s="1"/>
  <c r="AX218" i="2"/>
  <c r="AC12" i="21"/>
  <c r="R50" i="24"/>
  <c r="R12" i="24"/>
  <c r="N50" i="24"/>
  <c r="N12" i="24"/>
  <c r="J50" i="24"/>
  <c r="J12" i="24"/>
  <c r="F50" i="24"/>
  <c r="F12" i="24"/>
  <c r="BB207" i="17"/>
  <c r="R154" i="12"/>
  <c r="BB213" i="17"/>
  <c r="BE212" i="17"/>
  <c r="BC212" i="17"/>
  <c r="BD212" i="17"/>
  <c r="BA203" i="17"/>
  <c r="V207" i="17"/>
  <c r="J154" i="12"/>
  <c r="V213" i="17"/>
  <c r="Y212" i="17"/>
  <c r="W212" i="17"/>
  <c r="X212" i="17"/>
  <c r="U203" i="17"/>
  <c r="EH27" i="6"/>
  <c r="G346" i="20"/>
  <c r="X346" i="20" s="1"/>
  <c r="F349" i="20"/>
  <c r="W349" i="20" s="1"/>
  <c r="Z456" i="7"/>
  <c r="X29" i="24"/>
  <c r="DP71" i="6"/>
  <c r="DP29" i="6"/>
  <c r="DO22" i="6"/>
  <c r="V193" i="7"/>
  <c r="V187" i="7"/>
  <c r="V364" i="7"/>
  <c r="V355" i="7"/>
  <c r="V358" i="7"/>
  <c r="R456" i="7"/>
  <c r="R385" i="7"/>
  <c r="R376" i="7"/>
  <c r="R379" i="7"/>
  <c r="P29" i="24" s="1"/>
  <c r="R236" i="8"/>
  <c r="BT71" i="6"/>
  <c r="BT29" i="6"/>
  <c r="BS22" i="6"/>
  <c r="N193" i="7"/>
  <c r="N187" i="7"/>
  <c r="N364" i="7"/>
  <c r="N355" i="7"/>
  <c r="N358" i="7"/>
  <c r="J456" i="7"/>
  <c r="J385" i="7"/>
  <c r="J376" i="7"/>
  <c r="J379" i="7"/>
  <c r="H29" i="24" s="1"/>
  <c r="J236" i="8"/>
  <c r="X71" i="6"/>
  <c r="X29" i="6"/>
  <c r="AC92" i="21"/>
  <c r="Y598" i="7"/>
  <c r="Y593" i="7"/>
  <c r="Q598" i="7"/>
  <c r="Q593" i="7"/>
  <c r="AC84" i="21"/>
  <c r="Z366" i="7"/>
  <c r="Z360" i="7"/>
  <c r="X366" i="7"/>
  <c r="X360" i="7"/>
  <c r="V366" i="7"/>
  <c r="V360" i="7"/>
  <c r="T366" i="7"/>
  <c r="T360" i="7"/>
  <c r="R366" i="7"/>
  <c r="R360" i="7"/>
  <c r="P366" i="7"/>
  <c r="P360" i="7"/>
  <c r="N366" i="7"/>
  <c r="N360" i="7"/>
  <c r="L366" i="7"/>
  <c r="L360" i="7"/>
  <c r="J366" i="7"/>
  <c r="J360" i="7"/>
  <c r="H366" i="7"/>
  <c r="H360" i="7"/>
  <c r="S457" i="7"/>
  <c r="S386" i="7"/>
  <c r="S380" i="7"/>
  <c r="K457" i="7"/>
  <c r="K386" i="7"/>
  <c r="K380" i="7"/>
  <c r="CR66" i="17"/>
  <c r="CS66" i="17" s="1"/>
  <c r="CT66" i="17" s="1"/>
  <c r="CU66" i="17" s="1"/>
  <c r="CV66" i="17" s="1"/>
  <c r="CT67" i="17"/>
  <c r="CT83" i="17" s="1"/>
  <c r="BZ177" i="17"/>
  <c r="BY165" i="17"/>
  <c r="CE104" i="17"/>
  <c r="EN73" i="6"/>
  <c r="V227" i="7"/>
  <c r="R227" i="7"/>
  <c r="N227" i="7"/>
  <c r="Y159" i="8"/>
  <c r="Y121" i="8"/>
  <c r="T159" i="8"/>
  <c r="T152" i="8"/>
  <c r="W456" i="7"/>
  <c r="W379" i="7"/>
  <c r="U29" i="24" s="1"/>
  <c r="W385" i="7"/>
  <c r="W376" i="7"/>
  <c r="W236" i="8"/>
  <c r="CL29" i="6"/>
  <c r="CL71" i="6"/>
  <c r="CK22" i="6"/>
  <c r="S193" i="7"/>
  <c r="S187" i="7"/>
  <c r="S358" i="7"/>
  <c r="S364" i="7"/>
  <c r="S355" i="7"/>
  <c r="O456" i="7"/>
  <c r="O379" i="7"/>
  <c r="M29" i="24" s="1"/>
  <c r="O385" i="7"/>
  <c r="O376" i="7"/>
  <c r="O236" i="8"/>
  <c r="AP29" i="6"/>
  <c r="AP71" i="6"/>
  <c r="AO22" i="6"/>
  <c r="K193" i="7"/>
  <c r="K187" i="7"/>
  <c r="K358" i="7"/>
  <c r="K364" i="7"/>
  <c r="K355" i="7"/>
  <c r="AA629" i="7"/>
  <c r="AA640" i="7" s="1"/>
  <c r="R457" i="7"/>
  <c r="R386" i="7"/>
  <c r="R380" i="7"/>
  <c r="J457" i="7"/>
  <c r="J386" i="7"/>
  <c r="J380" i="7"/>
  <c r="AB65" i="8"/>
  <c r="AB54" i="8"/>
  <c r="R65" i="8"/>
  <c r="R54" i="8"/>
  <c r="P42" i="24" s="1"/>
  <c r="J65" i="8"/>
  <c r="J54" i="8"/>
  <c r="H42" i="24" s="1"/>
  <c r="DU67" i="6"/>
  <c r="AO67" i="6"/>
  <c r="L380" i="20"/>
  <c r="AC380" i="20" s="1"/>
  <c r="M380" i="20"/>
  <c r="AD380" i="20" s="1"/>
  <c r="AX205" i="2"/>
  <c r="AR46" i="24"/>
  <c r="L30" i="12"/>
  <c r="AF64" i="11"/>
  <c r="AH64" i="11"/>
  <c r="CY12" i="11"/>
  <c r="CZ12" i="11" s="1"/>
  <c r="CW12" i="11"/>
  <c r="CV14" i="11"/>
  <c r="R137" i="12"/>
  <c r="BJ24" i="11" s="1"/>
  <c r="R55" i="12"/>
  <c r="W12" i="11"/>
  <c r="X12" i="11" s="1"/>
  <c r="U12" i="11"/>
  <c r="T14" i="11"/>
  <c r="G351" i="20"/>
  <c r="X351" i="20" s="1"/>
  <c r="F351" i="20"/>
  <c r="W351" i="20" s="1"/>
  <c r="AU196" i="2"/>
  <c r="DO61" i="6"/>
  <c r="CE61" i="6"/>
  <c r="AI61" i="6"/>
  <c r="C312" i="2"/>
  <c r="AT108" i="2"/>
  <c r="DS62" i="11"/>
  <c r="EA85" i="6"/>
  <c r="DA14" i="11"/>
  <c r="DD12" i="11"/>
  <c r="DE12" i="11" s="1"/>
  <c r="DB12" i="11"/>
  <c r="CG14" i="11"/>
  <c r="CJ12" i="11"/>
  <c r="CH12" i="11"/>
  <c r="BM14" i="11"/>
  <c r="BP12" i="11"/>
  <c r="BQ12" i="11" s="1"/>
  <c r="BN12" i="11"/>
  <c r="AS14" i="11"/>
  <c r="AV12" i="11"/>
  <c r="AT12" i="11"/>
  <c r="Y14" i="11"/>
  <c r="AB12" i="11"/>
  <c r="AC12" i="11" s="1"/>
  <c r="Z12" i="11"/>
  <c r="BV207" i="17"/>
  <c r="BX212" i="17"/>
  <c r="BY212" i="17"/>
  <c r="W154" i="12"/>
  <c r="BV213" i="17"/>
  <c r="BW212" i="17"/>
  <c r="BU203" i="17"/>
  <c r="AP207" i="17"/>
  <c r="AR212" i="17"/>
  <c r="AS212" i="17"/>
  <c r="O154" i="12"/>
  <c r="AP213" i="17"/>
  <c r="AQ212" i="17"/>
  <c r="AO203" i="17"/>
  <c r="S271" i="7"/>
  <c r="K271" i="7"/>
  <c r="AB236" i="8"/>
  <c r="CT89" i="6"/>
  <c r="CQ40" i="6"/>
  <c r="CW89" i="6" s="1"/>
  <c r="AX89" i="6"/>
  <c r="AU40" i="6"/>
  <c r="BA89" i="6" s="1"/>
  <c r="I598" i="7"/>
  <c r="I593" i="7"/>
  <c r="G414" i="20"/>
  <c r="X414" i="20" s="1"/>
  <c r="AC75" i="21"/>
  <c r="Y365" i="7"/>
  <c r="Y359" i="7"/>
  <c r="CA71" i="6"/>
  <c r="CA29" i="6"/>
  <c r="Q365" i="7"/>
  <c r="Q359" i="7"/>
  <c r="AE71" i="6"/>
  <c r="AE29" i="6"/>
  <c r="I365" i="7"/>
  <c r="I359" i="7"/>
  <c r="G457" i="7"/>
  <c r="G386" i="7"/>
  <c r="S54" i="8"/>
  <c r="Q42" i="24" s="1"/>
  <c r="K65" i="8"/>
  <c r="Z82" i="8"/>
  <c r="Z78" i="8"/>
  <c r="V82" i="8"/>
  <c r="V78" i="8"/>
  <c r="R82" i="8"/>
  <c r="R78" i="8"/>
  <c r="N82" i="8"/>
  <c r="N78" i="8"/>
  <c r="J82" i="8"/>
  <c r="J78" i="8"/>
  <c r="CH224" i="17"/>
  <c r="CF223" i="17"/>
  <c r="CG223" i="17" s="1"/>
  <c r="CH223" i="17" s="1"/>
  <c r="CI223" i="17" s="1"/>
  <c r="CB69" i="17"/>
  <c r="CB103" i="17"/>
  <c r="CB104" i="17" s="1"/>
  <c r="CC86" i="17"/>
  <c r="CC8" i="17" s="1"/>
  <c r="BZ14" i="22" s="1"/>
  <c r="EN77" i="6"/>
  <c r="EM28" i="6"/>
  <c r="V271" i="7"/>
  <c r="N271" i="7"/>
  <c r="Y456" i="7"/>
  <c r="Y379" i="7"/>
  <c r="W29" i="24" s="1"/>
  <c r="Y385" i="7"/>
  <c r="Y376" i="7"/>
  <c r="Z382" i="7" s="1"/>
  <c r="CX29" i="6"/>
  <c r="CX71" i="6"/>
  <c r="U193" i="7"/>
  <c r="U187" i="7"/>
  <c r="U358" i="7"/>
  <c r="U364" i="7"/>
  <c r="U355" i="7"/>
  <c r="Q456" i="7"/>
  <c r="Q379" i="7"/>
  <c r="O29" i="24" s="1"/>
  <c r="Q385" i="7"/>
  <c r="Q376" i="7"/>
  <c r="Q236" i="8"/>
  <c r="BB29" i="6"/>
  <c r="BB71" i="6"/>
  <c r="BA22" i="6"/>
  <c r="M193" i="7"/>
  <c r="M187" i="7"/>
  <c r="M358" i="7"/>
  <c r="M364" i="7"/>
  <c r="M355" i="7"/>
  <c r="I456" i="7"/>
  <c r="I379" i="7"/>
  <c r="G29" i="24" s="1"/>
  <c r="I385" i="7"/>
  <c r="I376" i="7"/>
  <c r="I236" i="8"/>
  <c r="G364" i="7"/>
  <c r="G355" i="7"/>
  <c r="G367" i="7" s="1"/>
  <c r="Y639" i="7"/>
  <c r="Y629" i="7"/>
  <c r="U639" i="7"/>
  <c r="U629" i="7"/>
  <c r="Q639" i="7"/>
  <c r="Q629" i="7"/>
  <c r="M639" i="7"/>
  <c r="M629" i="7"/>
  <c r="I639" i="7"/>
  <c r="I629" i="7"/>
  <c r="Z650" i="7"/>
  <c r="Z632" i="7"/>
  <c r="Y458" i="7"/>
  <c r="Y381" i="7"/>
  <c r="Y387" i="7"/>
  <c r="W360" i="7"/>
  <c r="W366" i="7"/>
  <c r="U458" i="7"/>
  <c r="U381" i="7"/>
  <c r="U387" i="7"/>
  <c r="S360" i="7"/>
  <c r="S366" i="7"/>
  <c r="Q458" i="7"/>
  <c r="Q381" i="7"/>
  <c r="Q387" i="7"/>
  <c r="O360" i="7"/>
  <c r="O366" i="7"/>
  <c r="M458" i="7"/>
  <c r="M381" i="7"/>
  <c r="M387" i="7"/>
  <c r="K360" i="7"/>
  <c r="K366" i="7"/>
  <c r="I458" i="7"/>
  <c r="I381" i="7"/>
  <c r="I387" i="7"/>
  <c r="X365" i="7"/>
  <c r="X359" i="7"/>
  <c r="BU71" i="6"/>
  <c r="BU29" i="6"/>
  <c r="P365" i="7"/>
  <c r="P359" i="7"/>
  <c r="Y71" i="6"/>
  <c r="Y29" i="6"/>
  <c r="H365" i="7"/>
  <c r="H359" i="7"/>
  <c r="X65" i="8"/>
  <c r="X54" i="8"/>
  <c r="V42" i="24" s="1"/>
  <c r="P65" i="8"/>
  <c r="P54" i="8"/>
  <c r="N42" i="24" s="1"/>
  <c r="H65" i="8"/>
  <c r="H54" i="8"/>
  <c r="F42" i="24" s="1"/>
  <c r="BJ111" i="17"/>
  <c r="BJ117" i="17"/>
  <c r="BM116" i="17"/>
  <c r="T150" i="12"/>
  <c r="BL116" i="17"/>
  <c r="BK116" i="17"/>
  <c r="BI107" i="17"/>
  <c r="AD111" i="17"/>
  <c r="AD117" i="17"/>
  <c r="AG116" i="17"/>
  <c r="L150" i="12"/>
  <c r="AF116" i="17"/>
  <c r="AE116" i="17"/>
  <c r="AC107" i="17"/>
  <c r="DU89" i="6"/>
  <c r="AD742" i="7"/>
  <c r="X176" i="12"/>
  <c r="X23" i="21" s="1"/>
  <c r="X144" i="12"/>
  <c r="CP17" i="11"/>
  <c r="AO61" i="6"/>
  <c r="J176" i="12"/>
  <c r="J23" i="21" s="1"/>
  <c r="J144" i="12"/>
  <c r="V30" i="11" s="1"/>
  <c r="X17" i="11"/>
  <c r="AC437" i="12"/>
  <c r="AC442" i="12" s="1"/>
  <c r="DS87" i="11"/>
  <c r="BU12" i="11"/>
  <c r="BV12" i="11" s="1"/>
  <c r="BS12" i="11"/>
  <c r="BR14" i="11"/>
  <c r="BY85" i="6"/>
  <c r="BY50" i="6"/>
  <c r="CD50" i="6" s="1"/>
  <c r="AG12" i="11"/>
  <c r="AH12" i="11" s="1"/>
  <c r="AE12" i="11"/>
  <c r="AD14" i="11"/>
  <c r="AC85" i="6"/>
  <c r="J14" i="11"/>
  <c r="M12" i="11"/>
  <c r="N12" i="11" s="1"/>
  <c r="AM46" i="24"/>
  <c r="BS61" i="6"/>
  <c r="W61" i="6"/>
  <c r="DS102" i="11"/>
  <c r="Y24" i="12"/>
  <c r="CS59" i="11"/>
  <c r="Y168" i="12"/>
  <c r="Y15" i="21" s="1"/>
  <c r="CT64" i="11"/>
  <c r="CU59" i="11"/>
  <c r="U24" i="12"/>
  <c r="BY59" i="11"/>
  <c r="U168" i="12"/>
  <c r="U15" i="21" s="1"/>
  <c r="BZ64" i="11"/>
  <c r="CA59" i="11"/>
  <c r="Q24" i="12"/>
  <c r="BE59" i="11"/>
  <c r="Q168" i="12"/>
  <c r="Q15" i="21" s="1"/>
  <c r="BF64" i="11"/>
  <c r="BG59" i="11"/>
  <c r="M24" i="12"/>
  <c r="AK59" i="11"/>
  <c r="M168" i="12"/>
  <c r="M15" i="21" s="1"/>
  <c r="AL64" i="11"/>
  <c r="AM59" i="11"/>
  <c r="I24" i="12"/>
  <c r="Q59" i="11"/>
  <c r="I168" i="12"/>
  <c r="I15" i="21" s="1"/>
  <c r="R64" i="11"/>
  <c r="S59" i="11"/>
  <c r="Y55" i="12"/>
  <c r="Y137" i="12"/>
  <c r="U55" i="12"/>
  <c r="U137" i="12"/>
  <c r="Q55" i="12"/>
  <c r="Q137" i="12"/>
  <c r="BE24" i="11" s="1"/>
  <c r="M55" i="12"/>
  <c r="M137" i="12"/>
  <c r="AK24" i="11" s="1"/>
  <c r="I55" i="12"/>
  <c r="I137" i="12"/>
  <c r="Q24" i="11" s="1"/>
  <c r="X50" i="24"/>
  <c r="X12" i="24"/>
  <c r="V50" i="24"/>
  <c r="V12" i="24"/>
  <c r="T50" i="24"/>
  <c r="T12" i="24"/>
  <c r="P50" i="24"/>
  <c r="P12" i="24"/>
  <c r="L50" i="24"/>
  <c r="L12" i="24"/>
  <c r="H50" i="24"/>
  <c r="H12" i="24"/>
  <c r="BB46" i="24"/>
  <c r="BB49" i="24"/>
  <c r="BZ207" i="17"/>
  <c r="AT207" i="17"/>
  <c r="EG32" i="6"/>
  <c r="EN81" i="6"/>
  <c r="Q73" i="6"/>
  <c r="G344" i="20"/>
  <c r="X344" i="20" s="1"/>
  <c r="U152" i="8"/>
  <c r="U159" i="8"/>
  <c r="Q152" i="8"/>
  <c r="Q159" i="8"/>
  <c r="M152" i="8"/>
  <c r="M159" i="8"/>
  <c r="I152" i="8"/>
  <c r="I159" i="8"/>
  <c r="EP90" i="6"/>
  <c r="CH89" i="6"/>
  <c r="CE40" i="6"/>
  <c r="AL89" i="6"/>
  <c r="AI40" i="6"/>
  <c r="U598" i="7"/>
  <c r="U593" i="7"/>
  <c r="M598" i="7"/>
  <c r="M593" i="7"/>
  <c r="W457" i="7"/>
  <c r="W386" i="7"/>
  <c r="W380" i="7"/>
  <c r="O457" i="7"/>
  <c r="O386" i="7"/>
  <c r="O380" i="7"/>
  <c r="CH221" i="17"/>
  <c r="CF220" i="17"/>
  <c r="CG220" i="17" s="1"/>
  <c r="CH220" i="17" s="1"/>
  <c r="CI220" i="17" s="1"/>
  <c r="CF166" i="17"/>
  <c r="CG166" i="17" s="1"/>
  <c r="CH166" i="17" s="1"/>
  <c r="CI166" i="17" s="1"/>
  <c r="L271" i="7"/>
  <c r="BT53" i="24"/>
  <c r="AY49" i="24"/>
  <c r="AW49" i="24"/>
  <c r="D49" i="24"/>
  <c r="BT54" i="24"/>
  <c r="BT52" i="24"/>
  <c r="BM49" i="24"/>
  <c r="AZ49" i="24"/>
  <c r="AX49" i="24"/>
  <c r="AV49" i="24"/>
  <c r="AG49" i="24"/>
  <c r="AH49" i="24"/>
  <c r="AS49" i="24"/>
  <c r="BQ49" i="24"/>
  <c r="BR49" i="24"/>
  <c r="BD49" i="24"/>
  <c r="AB49" i="24"/>
  <c r="AN49" i="24"/>
  <c r="AI49" i="24"/>
  <c r="AJ49" i="24"/>
  <c r="H159" i="8"/>
  <c r="H152" i="8"/>
  <c r="F34" i="6"/>
  <c r="E29" i="6"/>
  <c r="X593" i="7"/>
  <c r="X598" i="7"/>
  <c r="T593" i="7"/>
  <c r="T598" i="7"/>
  <c r="P593" i="7"/>
  <c r="P598" i="7"/>
  <c r="L593" i="7"/>
  <c r="L598" i="7"/>
  <c r="J593" i="7"/>
  <c r="J598" i="7"/>
  <c r="H593" i="7"/>
  <c r="H598" i="7"/>
  <c r="G675" i="7"/>
  <c r="G665" i="7"/>
  <c r="DX29" i="6"/>
  <c r="DX71" i="6"/>
  <c r="CN29" i="6"/>
  <c r="BP29" i="6"/>
  <c r="BD29" i="6"/>
  <c r="BD71" i="6"/>
  <c r="AR29" i="6"/>
  <c r="AR71" i="6"/>
  <c r="AF29" i="6"/>
  <c r="T29" i="6"/>
  <c r="T71" i="6"/>
  <c r="G458" i="7"/>
  <c r="G387" i="7"/>
  <c r="V457" i="7"/>
  <c r="V386" i="7"/>
  <c r="V380" i="7"/>
  <c r="N457" i="7"/>
  <c r="N386" i="7"/>
  <c r="N380" i="7"/>
  <c r="V65" i="8"/>
  <c r="V54" i="8"/>
  <c r="T42" i="24" s="1"/>
  <c r="N65" i="8"/>
  <c r="N54" i="8"/>
  <c r="L42" i="24" s="1"/>
  <c r="BF111" i="17"/>
  <c r="Z111" i="17"/>
  <c r="BA61" i="6"/>
  <c r="DV49" i="11"/>
  <c r="AD199" i="12" s="1"/>
  <c r="DU47" i="11"/>
  <c r="AB137" i="12"/>
  <c r="AB55" i="12"/>
  <c r="Z12" i="21"/>
  <c r="C101" i="2"/>
  <c r="CA10" i="11"/>
  <c r="V137" i="12"/>
  <c r="V55" i="12"/>
  <c r="AQ12" i="11"/>
  <c r="AR12" i="11" s="1"/>
  <c r="AO12" i="11"/>
  <c r="AN14" i="11"/>
  <c r="AP54" i="24"/>
  <c r="AP52" i="24"/>
  <c r="AP49" i="24"/>
  <c r="AP46" i="24"/>
  <c r="AP45" i="24"/>
  <c r="AP43" i="24"/>
  <c r="AP39" i="24"/>
  <c r="AP28" i="24"/>
  <c r="AP24" i="24"/>
  <c r="AP23" i="24"/>
  <c r="AP15" i="24"/>
  <c r="D13" i="24"/>
  <c r="AP53" i="24"/>
  <c r="AP44" i="24"/>
  <c r="AP30" i="24"/>
  <c r="AP25" i="24"/>
  <c r="AP22" i="24"/>
  <c r="AP21" i="24"/>
  <c r="AP17" i="24"/>
  <c r="AP16" i="24"/>
  <c r="AG13" i="24"/>
  <c r="AH13" i="24"/>
  <c r="AN13" i="24"/>
  <c r="AI13" i="24"/>
  <c r="AJ13" i="24"/>
  <c r="DF111" i="11"/>
  <c r="DA112" i="11"/>
  <c r="DA113" i="11"/>
  <c r="AA144" i="12"/>
  <c r="AA176" i="12"/>
  <c r="DE17" i="11"/>
  <c r="U144" i="12"/>
  <c r="U176" i="12"/>
  <c r="U23" i="21" s="1"/>
  <c r="CA17" i="11"/>
  <c r="M144" i="12"/>
  <c r="AK30" i="11" s="1"/>
  <c r="M176" i="12"/>
  <c r="M23" i="21" s="1"/>
  <c r="AM17" i="11"/>
  <c r="D292" i="2"/>
  <c r="AU109" i="2"/>
  <c r="AC402" i="12"/>
  <c r="AC414" i="12" s="1"/>
  <c r="DS57" i="11"/>
  <c r="DU51" i="11"/>
  <c r="CE85" i="6"/>
  <c r="AI85" i="6"/>
  <c r="CX178" i="17"/>
  <c r="CX29" i="17"/>
  <c r="AB13" i="21"/>
  <c r="X143" i="12"/>
  <c r="CN27" i="11"/>
  <c r="T143" i="12"/>
  <c r="BT27" i="11"/>
  <c r="P143" i="12"/>
  <c r="AZ27" i="11"/>
  <c r="L143" i="12"/>
  <c r="AF27" i="11"/>
  <c r="H143" i="12"/>
  <c r="L27" i="11"/>
  <c r="CQ73" i="6"/>
  <c r="BS73" i="6"/>
  <c r="AU73" i="6"/>
  <c r="W73" i="6"/>
  <c r="W143" i="12"/>
  <c r="CI27" i="11"/>
  <c r="O143" i="12"/>
  <c r="AU27" i="11"/>
  <c r="O121" i="8"/>
  <c r="BN207" i="17"/>
  <c r="BP212" i="17"/>
  <c r="BQ212" i="17"/>
  <c r="U154" i="12"/>
  <c r="BN213" i="17"/>
  <c r="BO212" i="17"/>
  <c r="BM203" i="17"/>
  <c r="AH207" i="17"/>
  <c r="AJ212" i="17"/>
  <c r="AK212" i="17"/>
  <c r="M154" i="12"/>
  <c r="AH213" i="17"/>
  <c r="AI212" i="17"/>
  <c r="AG203" i="17"/>
  <c r="CL308" i="17"/>
  <c r="AA371" i="12"/>
  <c r="CD308" i="17"/>
  <c r="Y371" i="12"/>
  <c r="Y124" i="21" s="1"/>
  <c r="BV308" i="17"/>
  <c r="W371" i="12"/>
  <c r="W124" i="21" s="1"/>
  <c r="BN308" i="17"/>
  <c r="U371" i="12"/>
  <c r="U124" i="21" s="1"/>
  <c r="BF308" i="17"/>
  <c r="S371" i="12"/>
  <c r="S124" i="21" s="1"/>
  <c r="AX308" i="17"/>
  <c r="Q371" i="12"/>
  <c r="Q124" i="21" s="1"/>
  <c r="AP308" i="17"/>
  <c r="O371" i="12"/>
  <c r="O124" i="21" s="1"/>
  <c r="AH308" i="17"/>
  <c r="M371" i="12"/>
  <c r="M124" i="21" s="1"/>
  <c r="Z308" i="17"/>
  <c r="K371" i="12"/>
  <c r="K124" i="21" s="1"/>
  <c r="R308" i="17"/>
  <c r="I371" i="12"/>
  <c r="I124" i="21" s="1"/>
  <c r="EG82" i="6"/>
  <c r="EQ28" i="6"/>
  <c r="AD779" i="7"/>
  <c r="EN82" i="6"/>
  <c r="EM33" i="6"/>
  <c r="G341" i="20"/>
  <c r="X341" i="20" s="1"/>
  <c r="F341" i="20"/>
  <c r="W341" i="20" s="1"/>
  <c r="AU191" i="2"/>
  <c r="Y227" i="7"/>
  <c r="U227" i="7"/>
  <c r="Q227" i="7"/>
  <c r="M227" i="7"/>
  <c r="AB159" i="8"/>
  <c r="AB121" i="8"/>
  <c r="S152" i="8"/>
  <c r="S159" i="8"/>
  <c r="O152" i="8"/>
  <c r="O159" i="8"/>
  <c r="K152" i="8"/>
  <c r="K159" i="8"/>
  <c r="EN59" i="6"/>
  <c r="EM10" i="6"/>
  <c r="EB71" i="6"/>
  <c r="EB29" i="6"/>
  <c r="EA22" i="6"/>
  <c r="X193" i="7"/>
  <c r="X187" i="7"/>
  <c r="X364" i="7"/>
  <c r="X355" i="7"/>
  <c r="X358" i="7"/>
  <c r="T456" i="7"/>
  <c r="T385" i="7"/>
  <c r="T376" i="7"/>
  <c r="T379" i="7"/>
  <c r="R29" i="24" s="1"/>
  <c r="T236" i="8"/>
  <c r="CF71" i="6"/>
  <c r="CF29" i="6"/>
  <c r="P193" i="7"/>
  <c r="P187" i="7"/>
  <c r="P364" i="7"/>
  <c r="P355" i="7"/>
  <c r="P358" i="7"/>
  <c r="L456" i="7"/>
  <c r="L385" i="7"/>
  <c r="L376" i="7"/>
  <c r="L379" i="7"/>
  <c r="J29" i="24" s="1"/>
  <c r="L236" i="8"/>
  <c r="AJ71" i="6"/>
  <c r="AJ29" i="6"/>
  <c r="AI22" i="6"/>
  <c r="H193" i="7"/>
  <c r="H187" i="7"/>
  <c r="H364" i="7"/>
  <c r="H355" i="7"/>
  <c r="H358" i="7"/>
  <c r="W598" i="7"/>
  <c r="W593" i="7"/>
  <c r="S598" i="7"/>
  <c r="S593" i="7"/>
  <c r="O598" i="7"/>
  <c r="O593" i="7"/>
  <c r="K598" i="7"/>
  <c r="K593" i="7"/>
  <c r="AD65" i="21"/>
  <c r="EN35" i="6"/>
  <c r="AD400" i="7"/>
  <c r="AD397" i="7"/>
  <c r="L383" i="20"/>
  <c r="AC383" i="20" s="1"/>
  <c r="AX208" i="2"/>
  <c r="U457" i="7"/>
  <c r="U386" i="7"/>
  <c r="U380" i="7"/>
  <c r="M457" i="7"/>
  <c r="M386" i="7"/>
  <c r="M380" i="7"/>
  <c r="AB82" i="8"/>
  <c r="AB78" i="8"/>
  <c r="AC83" i="8" s="1"/>
  <c r="X82" i="8"/>
  <c r="X78" i="8"/>
  <c r="T82" i="8"/>
  <c r="T78" i="8"/>
  <c r="P82" i="8"/>
  <c r="P78" i="8"/>
  <c r="L82" i="8"/>
  <c r="L78" i="8"/>
  <c r="CI104" i="17"/>
  <c r="CP308" i="17"/>
  <c r="AB371" i="12"/>
  <c r="CH308" i="17"/>
  <c r="Z371" i="12"/>
  <c r="BZ308" i="17"/>
  <c r="X371" i="12"/>
  <c r="X124" i="21" s="1"/>
  <c r="BR308" i="17"/>
  <c r="V371" i="12"/>
  <c r="V124" i="21" s="1"/>
  <c r="BJ308" i="17"/>
  <c r="T371" i="12"/>
  <c r="T124" i="21" s="1"/>
  <c r="BB308" i="17"/>
  <c r="R371" i="12"/>
  <c r="R124" i="21" s="1"/>
  <c r="AT308" i="17"/>
  <c r="P371" i="12"/>
  <c r="P124" i="21" s="1"/>
  <c r="AL308" i="17"/>
  <c r="N371" i="12"/>
  <c r="N124" i="21" s="1"/>
  <c r="AD308" i="17"/>
  <c r="L371" i="12"/>
  <c r="L124" i="21" s="1"/>
  <c r="V308" i="17"/>
  <c r="J371" i="12"/>
  <c r="J124" i="21" s="1"/>
  <c r="N308" i="17"/>
  <c r="H371" i="12"/>
  <c r="H124" i="21" s="1"/>
  <c r="AA159" i="8"/>
  <c r="AA121" i="8"/>
  <c r="V159" i="8"/>
  <c r="V152" i="8"/>
  <c r="N159" i="8"/>
  <c r="N152" i="8"/>
  <c r="DL89" i="6"/>
  <c r="DI40" i="6"/>
  <c r="DO89" i="6" s="1"/>
  <c r="BP89" i="6"/>
  <c r="BM40" i="6"/>
  <c r="T89" i="6"/>
  <c r="Q40" i="6"/>
  <c r="AA123" i="21"/>
  <c r="C260" i="2"/>
  <c r="AC99" i="21"/>
  <c r="AD166" i="7"/>
  <c r="AD163" i="7"/>
  <c r="F381" i="20"/>
  <c r="W381" i="20" s="1"/>
  <c r="G381" i="20"/>
  <c r="X381" i="20" s="1"/>
  <c r="AU206" i="2"/>
  <c r="F388" i="20"/>
  <c r="W388" i="20" s="1"/>
  <c r="G384" i="20"/>
  <c r="X384" i="20" s="1"/>
  <c r="F389" i="20"/>
  <c r="W389" i="20" s="1"/>
  <c r="F384" i="20"/>
  <c r="W384" i="20" s="1"/>
  <c r="F385" i="20"/>
  <c r="W385" i="20" s="1"/>
  <c r="Z365" i="7"/>
  <c r="Z359" i="7"/>
  <c r="CS71" i="6"/>
  <c r="CS29" i="6"/>
  <c r="T365" i="7"/>
  <c r="T359" i="7"/>
  <c r="AW71" i="6"/>
  <c r="AW29" i="6"/>
  <c r="L365" i="7"/>
  <c r="L359" i="7"/>
  <c r="Z65" i="8"/>
  <c r="Z54" i="8"/>
  <c r="X42" i="24" s="1"/>
  <c r="T65" i="8"/>
  <c r="T54" i="8"/>
  <c r="R42" i="24" s="1"/>
  <c r="L65" i="8"/>
  <c r="L54" i="8"/>
  <c r="J42" i="24" s="1"/>
  <c r="BR111" i="17"/>
  <c r="BR117" i="17"/>
  <c r="BU116" i="17"/>
  <c r="V150" i="12"/>
  <c r="BT116" i="17"/>
  <c r="BS116" i="17"/>
  <c r="BQ107" i="17"/>
  <c r="AL111" i="17"/>
  <c r="AL117" i="17"/>
  <c r="AO116" i="17"/>
  <c r="N150" i="12"/>
  <c r="AN116" i="17"/>
  <c r="AM116" i="17"/>
  <c r="AK107" i="17"/>
  <c r="K116" i="17"/>
  <c r="M116" i="17"/>
  <c r="L116" i="17"/>
  <c r="I107" i="17"/>
  <c r="BY67" i="6"/>
  <c r="L176" i="12"/>
  <c r="L23" i="21" s="1"/>
  <c r="L144" i="12"/>
  <c r="AF30" i="11" s="1"/>
  <c r="AH17" i="11"/>
  <c r="X137" i="12"/>
  <c r="X55" i="12"/>
  <c r="P137" i="12"/>
  <c r="AZ24" i="11" s="1"/>
  <c r="P55" i="12"/>
  <c r="Y50" i="24"/>
  <c r="Y12" i="24"/>
  <c r="W50" i="24"/>
  <c r="W12" i="24"/>
  <c r="U50" i="24"/>
  <c r="U12" i="24"/>
  <c r="Q50" i="24"/>
  <c r="Q12" i="24"/>
  <c r="M50" i="24"/>
  <c r="M12" i="24"/>
  <c r="I50" i="24"/>
  <c r="I12" i="24"/>
  <c r="CX48" i="17"/>
  <c r="CP80" i="17"/>
  <c r="CO65" i="17"/>
  <c r="CP77" i="17"/>
  <c r="CO62" i="17"/>
  <c r="EA67" i="6"/>
  <c r="W144" i="12"/>
  <c r="W176" i="12"/>
  <c r="W23" i="21" s="1"/>
  <c r="CK17" i="11"/>
  <c r="S144" i="12"/>
  <c r="S176" i="12"/>
  <c r="S23" i="21" s="1"/>
  <c r="BQ17" i="11"/>
  <c r="O144" i="12"/>
  <c r="AU30" i="11" s="1"/>
  <c r="O176" i="12"/>
  <c r="O23" i="21" s="1"/>
  <c r="AW17" i="11"/>
  <c r="K144" i="12"/>
  <c r="AA30" i="11" s="1"/>
  <c r="K176" i="12"/>
  <c r="K23" i="21" s="1"/>
  <c r="AC17" i="11"/>
  <c r="AC17" i="21"/>
  <c r="CW126" i="17"/>
  <c r="CX131" i="17"/>
  <c r="BR207" i="17"/>
  <c r="V154" i="12"/>
  <c r="BR213" i="17"/>
  <c r="BU212" i="17"/>
  <c r="BS212" i="17"/>
  <c r="BT212" i="17"/>
  <c r="BQ203" i="17"/>
  <c r="AL207" i="17"/>
  <c r="N154" i="12"/>
  <c r="AL213" i="17"/>
  <c r="AO212" i="17"/>
  <c r="AM212" i="17"/>
  <c r="AN212" i="17"/>
  <c r="AK203" i="17"/>
  <c r="L212" i="17"/>
  <c r="M212" i="17"/>
  <c r="K212" i="17"/>
  <c r="I203" i="17"/>
  <c r="EQ32" i="6"/>
  <c r="AD781" i="7"/>
  <c r="F344" i="20"/>
  <c r="W344" i="20" s="1"/>
  <c r="Z364" i="7"/>
  <c r="Z355" i="7"/>
  <c r="Z358" i="7"/>
  <c r="V456" i="7"/>
  <c r="V385" i="7"/>
  <c r="V376" i="7"/>
  <c r="V379" i="7"/>
  <c r="T29" i="24" s="1"/>
  <c r="V236" i="8"/>
  <c r="CR71" i="6"/>
  <c r="CR29" i="6"/>
  <c r="CQ22" i="6"/>
  <c r="R193" i="7"/>
  <c r="R187" i="7"/>
  <c r="R364" i="7"/>
  <c r="R355" i="7"/>
  <c r="R358" i="7"/>
  <c r="N456" i="7"/>
  <c r="N385" i="7"/>
  <c r="N376" i="7"/>
  <c r="N379" i="7"/>
  <c r="L29" i="24" s="1"/>
  <c r="N236" i="8"/>
  <c r="AV71" i="6"/>
  <c r="AV29" i="6"/>
  <c r="AU22" i="6"/>
  <c r="J193" i="7"/>
  <c r="J187" i="7"/>
  <c r="J364" i="7"/>
  <c r="J355" i="7"/>
  <c r="J358" i="7"/>
  <c r="L418" i="20"/>
  <c r="M418" i="20"/>
  <c r="AD418" i="20" s="1"/>
  <c r="AX221" i="2"/>
  <c r="AD437" i="7"/>
  <c r="Z458" i="7"/>
  <c r="X458" i="7"/>
  <c r="X387" i="7"/>
  <c r="X381" i="7"/>
  <c r="V458" i="7"/>
  <c r="V387" i="7"/>
  <c r="V381" i="7"/>
  <c r="T458" i="7"/>
  <c r="T387" i="7"/>
  <c r="T381" i="7"/>
  <c r="R458" i="7"/>
  <c r="R387" i="7"/>
  <c r="R381" i="7"/>
  <c r="P458" i="7"/>
  <c r="P387" i="7"/>
  <c r="P381" i="7"/>
  <c r="N458" i="7"/>
  <c r="N387" i="7"/>
  <c r="N381" i="7"/>
  <c r="L458" i="7"/>
  <c r="L387" i="7"/>
  <c r="L381" i="7"/>
  <c r="J458" i="7"/>
  <c r="J387" i="7"/>
  <c r="J381" i="7"/>
  <c r="H458" i="7"/>
  <c r="H387" i="7"/>
  <c r="H381" i="7"/>
  <c r="CM71" i="6"/>
  <c r="CM29" i="6"/>
  <c r="S365" i="7"/>
  <c r="S359" i="7"/>
  <c r="AQ71" i="6"/>
  <c r="AQ29" i="6"/>
  <c r="K365" i="7"/>
  <c r="K359" i="7"/>
  <c r="AB253" i="8"/>
  <c r="X253" i="8"/>
  <c r="V51" i="24" s="1"/>
  <c r="V253" i="8"/>
  <c r="T51" i="24" s="1"/>
  <c r="R253" i="8"/>
  <c r="P51" i="24" s="1"/>
  <c r="N253" i="8"/>
  <c r="L51" i="24" s="1"/>
  <c r="J253" i="8"/>
  <c r="H51" i="24" s="1"/>
  <c r="AA54" i="8"/>
  <c r="Y42" i="24" s="1"/>
  <c r="U65" i="8"/>
  <c r="M65" i="8"/>
  <c r="CP83" i="17"/>
  <c r="CO68" i="17"/>
  <c r="BZ180" i="17"/>
  <c r="BY168" i="17"/>
  <c r="CG70" i="17"/>
  <c r="CF69" i="17"/>
  <c r="CF85" i="17" s="1"/>
  <c r="CF103" i="17"/>
  <c r="CF104" i="17" s="1"/>
  <c r="BC227" i="7"/>
  <c r="X227" i="7"/>
  <c r="T227" i="7"/>
  <c r="P227" i="7"/>
  <c r="L227" i="7"/>
  <c r="EN60" i="6"/>
  <c r="L159" i="8"/>
  <c r="L152" i="8"/>
  <c r="DJ29" i="6"/>
  <c r="DJ71" i="6"/>
  <c r="W193" i="7"/>
  <c r="W187" i="7"/>
  <c r="W358" i="7"/>
  <c r="W364" i="7"/>
  <c r="W355" i="7"/>
  <c r="S456" i="7"/>
  <c r="S379" i="7"/>
  <c r="Q29" i="24" s="1"/>
  <c r="S385" i="7"/>
  <c r="S376" i="7"/>
  <c r="S236" i="8"/>
  <c r="BN29" i="6"/>
  <c r="BN71" i="6"/>
  <c r="BM22" i="6"/>
  <c r="O193" i="7"/>
  <c r="O187" i="7"/>
  <c r="O358" i="7"/>
  <c r="O364" i="7"/>
  <c r="O355" i="7"/>
  <c r="K456" i="7"/>
  <c r="K379" i="7"/>
  <c r="I29" i="24" s="1"/>
  <c r="K385" i="7"/>
  <c r="K376" i="7"/>
  <c r="K236" i="8"/>
  <c r="R29" i="6"/>
  <c r="R71" i="6"/>
  <c r="Q22" i="6"/>
  <c r="EP68" i="6"/>
  <c r="AU217" i="2"/>
  <c r="G413" i="20"/>
  <c r="X413" i="20" s="1"/>
  <c r="G429" i="20"/>
  <c r="X429" i="20" s="1"/>
  <c r="W639" i="7"/>
  <c r="W629" i="7"/>
  <c r="S639" i="7"/>
  <c r="S629" i="7"/>
  <c r="O639" i="7"/>
  <c r="O629" i="7"/>
  <c r="K639" i="7"/>
  <c r="K629" i="7"/>
  <c r="CG71" i="6"/>
  <c r="CG29" i="6"/>
  <c r="R365" i="7"/>
  <c r="R359" i="7"/>
  <c r="AK71" i="6"/>
  <c r="AK29" i="6"/>
  <c r="J365" i="7"/>
  <c r="J359" i="7"/>
  <c r="AA82" i="8"/>
  <c r="AA78" i="8"/>
  <c r="W82" i="8"/>
  <c r="W78" i="8"/>
  <c r="S82" i="8"/>
  <c r="S78" i="8"/>
  <c r="O82" i="8"/>
  <c r="O78" i="8"/>
  <c r="K82" i="8"/>
  <c r="K78" i="8"/>
  <c r="D291" i="2"/>
  <c r="D312" i="2"/>
  <c r="D313" i="2" s="1"/>
  <c r="AU108" i="2"/>
  <c r="AR49" i="24"/>
  <c r="DS58" i="11"/>
  <c r="AC25" i="21"/>
  <c r="AB168" i="12"/>
  <c r="DI64" i="11"/>
  <c r="AB24" i="12"/>
  <c r="DH59" i="11"/>
  <c r="DJ59" i="11"/>
  <c r="DJ76" i="11" s="1"/>
  <c r="AB12" i="21"/>
  <c r="Z137" i="12"/>
  <c r="Z55" i="12"/>
  <c r="BK12" i="11"/>
  <c r="BL12" i="11" s="1"/>
  <c r="BI12" i="11"/>
  <c r="BH14" i="11"/>
  <c r="J137" i="12"/>
  <c r="V24" i="11" s="1"/>
  <c r="J55" i="12"/>
  <c r="EA61" i="6"/>
  <c r="DC61" i="6"/>
  <c r="D293" i="2"/>
  <c r="AU110" i="2"/>
  <c r="EG47" i="6"/>
  <c r="AB14" i="21"/>
  <c r="Z14" i="21"/>
  <c r="C103" i="2"/>
  <c r="AC16" i="21"/>
  <c r="AB25" i="21"/>
  <c r="CZ10" i="11"/>
  <c r="AA55" i="12"/>
  <c r="AA137" i="12"/>
  <c r="W55" i="12"/>
  <c r="W137" i="12"/>
  <c r="BL10" i="11"/>
  <c r="S55" i="12"/>
  <c r="S137" i="12"/>
  <c r="O55" i="12"/>
  <c r="O137" i="12"/>
  <c r="AU24" i="11" s="1"/>
  <c r="X10" i="11"/>
  <c r="K55" i="12"/>
  <c r="K137" i="12"/>
  <c r="AA24" i="11" s="1"/>
  <c r="BF207" i="17"/>
  <c r="BH212" i="17"/>
  <c r="BI212" i="17"/>
  <c r="S154" i="12"/>
  <c r="BF213" i="17"/>
  <c r="BG212" i="17"/>
  <c r="BE203" i="17"/>
  <c r="Z207" i="17"/>
  <c r="AB212" i="17"/>
  <c r="AC212" i="17"/>
  <c r="K154" i="12"/>
  <c r="Z213" i="17"/>
  <c r="AA212" i="17"/>
  <c r="Y203" i="17"/>
  <c r="EA81" i="6"/>
  <c r="EF32" i="6"/>
  <c r="EF81" i="6" s="1"/>
  <c r="G343" i="20"/>
  <c r="X343" i="20" s="1"/>
  <c r="BV89" i="6"/>
  <c r="BS40" i="6"/>
  <c r="BY89" i="6" s="1"/>
  <c r="Z89" i="6"/>
  <c r="W40" i="6"/>
  <c r="AC89" i="6" s="1"/>
  <c r="X661" i="7"/>
  <c r="T661" i="7"/>
  <c r="P661" i="7"/>
  <c r="L661" i="7"/>
  <c r="H661" i="7"/>
  <c r="EK35" i="6"/>
  <c r="EK84" i="6" s="1"/>
  <c r="EH84" i="6"/>
  <c r="EG35" i="6"/>
  <c r="Y457" i="7"/>
  <c r="Y386" i="7"/>
  <c r="Y380" i="7"/>
  <c r="Q457" i="7"/>
  <c r="Q386" i="7"/>
  <c r="Q380" i="7"/>
  <c r="I457" i="7"/>
  <c r="I386" i="7"/>
  <c r="I380" i="7"/>
  <c r="Z253" i="8"/>
  <c r="X51" i="24" s="1"/>
  <c r="S65" i="8"/>
  <c r="K54" i="8"/>
  <c r="I42" i="24" s="1"/>
  <c r="CD237" i="17"/>
  <c r="CC225" i="17"/>
  <c r="CA104" i="17"/>
  <c r="R159" i="8"/>
  <c r="R152" i="8"/>
  <c r="J159" i="8"/>
  <c r="J152" i="8"/>
  <c r="DV29" i="6"/>
  <c r="DV71" i="6"/>
  <c r="DU22" i="6"/>
  <c r="Y193" i="7"/>
  <c r="Y187" i="7"/>
  <c r="Y358" i="7"/>
  <c r="Y364" i="7"/>
  <c r="Y355" i="7"/>
  <c r="U456" i="7"/>
  <c r="U379" i="7"/>
  <c r="S29" i="24" s="1"/>
  <c r="U385" i="7"/>
  <c r="U376" i="7"/>
  <c r="U236" i="8"/>
  <c r="BZ29" i="6"/>
  <c r="BZ71" i="6"/>
  <c r="Q193" i="7"/>
  <c r="Q187" i="7"/>
  <c r="Q358" i="7"/>
  <c r="Q364" i="7"/>
  <c r="Q355" i="7"/>
  <c r="M456" i="7"/>
  <c r="M379" i="7"/>
  <c r="K29" i="24" s="1"/>
  <c r="M385" i="7"/>
  <c r="M376" i="7"/>
  <c r="M236" i="8"/>
  <c r="AD29" i="6"/>
  <c r="AD71" i="6"/>
  <c r="AC22" i="6"/>
  <c r="I193" i="7"/>
  <c r="I187" i="7"/>
  <c r="I358" i="7"/>
  <c r="I364" i="7"/>
  <c r="I355" i="7"/>
  <c r="G456" i="7"/>
  <c r="G385" i="7"/>
  <c r="G376" i="7"/>
  <c r="G388" i="7" s="1"/>
  <c r="G236" i="8"/>
  <c r="V593" i="7"/>
  <c r="V598" i="7"/>
  <c r="R593" i="7"/>
  <c r="R598" i="7"/>
  <c r="N593" i="7"/>
  <c r="N598" i="7"/>
  <c r="Y661" i="7"/>
  <c r="U661" i="7"/>
  <c r="Q661" i="7"/>
  <c r="M661" i="7"/>
  <c r="I661" i="7"/>
  <c r="Y360" i="7"/>
  <c r="Y366" i="7"/>
  <c r="W458" i="7"/>
  <c r="W381" i="7"/>
  <c r="W387" i="7"/>
  <c r="U360" i="7"/>
  <c r="U366" i="7"/>
  <c r="S458" i="7"/>
  <c r="S381" i="7"/>
  <c r="S387" i="7"/>
  <c r="Q360" i="7"/>
  <c r="Q366" i="7"/>
  <c r="O458" i="7"/>
  <c r="O381" i="7"/>
  <c r="O387" i="7"/>
  <c r="M360" i="7"/>
  <c r="M366" i="7"/>
  <c r="K458" i="7"/>
  <c r="K381" i="7"/>
  <c r="K387" i="7"/>
  <c r="I360" i="7"/>
  <c r="I366" i="7"/>
  <c r="X457" i="7"/>
  <c r="X386" i="7"/>
  <c r="X380" i="7"/>
  <c r="P457" i="7"/>
  <c r="P386" i="7"/>
  <c r="P380" i="7"/>
  <c r="H457" i="7"/>
  <c r="H386" i="7"/>
  <c r="H380" i="7"/>
  <c r="L200" i="20"/>
  <c r="AC200" i="20" s="1"/>
  <c r="M200" i="20"/>
  <c r="AD200" i="20" s="1"/>
  <c r="AX151" i="2"/>
  <c r="BS54" i="24"/>
  <c r="BS52" i="24"/>
  <c r="BS49" i="24"/>
  <c r="AY46" i="24"/>
  <c r="AW46" i="24"/>
  <c r="BS53" i="24"/>
  <c r="BM46" i="24"/>
  <c r="AZ46" i="24"/>
  <c r="AX46" i="24"/>
  <c r="AV46" i="24"/>
  <c r="AG46" i="24"/>
  <c r="BQ46" i="24"/>
  <c r="BR46" i="24"/>
  <c r="BD46" i="24"/>
  <c r="D46" i="24"/>
  <c r="AN46" i="24"/>
  <c r="AI46" i="24"/>
  <c r="AJ46" i="24"/>
  <c r="AH46" i="24"/>
  <c r="AS46" i="24"/>
  <c r="BZ111" i="17"/>
  <c r="BZ117" i="17"/>
  <c r="CC116" i="17"/>
  <c r="X150" i="12"/>
  <c r="CB116" i="17"/>
  <c r="CA116" i="17"/>
  <c r="BY107" i="17"/>
  <c r="AT111" i="17"/>
  <c r="AT117" i="17"/>
  <c r="AW116" i="17"/>
  <c r="P150" i="12"/>
  <c r="AV116" i="17"/>
  <c r="AU116" i="17"/>
  <c r="AS107" i="17"/>
  <c r="N111" i="17"/>
  <c r="N117" i="17"/>
  <c r="Q116" i="17"/>
  <c r="H150" i="12"/>
  <c r="P116" i="17"/>
  <c r="O116" i="17"/>
  <c r="M107" i="17"/>
  <c r="M485" i="20"/>
  <c r="AD485" i="20" s="1"/>
  <c r="L485" i="20"/>
  <c r="AC485" i="20" s="1"/>
  <c r="AX243" i="2"/>
  <c r="CK61" i="6"/>
  <c r="P176" i="12"/>
  <c r="P23" i="21" s="1"/>
  <c r="P144" i="12"/>
  <c r="AZ30" i="11" s="1"/>
  <c r="BB17" i="11"/>
  <c r="C318" i="2"/>
  <c r="AT110" i="2"/>
  <c r="AC19" i="21"/>
  <c r="Z168" i="12"/>
  <c r="CY64" i="11"/>
  <c r="Z24" i="12"/>
  <c r="CX59" i="11"/>
  <c r="CZ59" i="11"/>
  <c r="CZ76" i="11" s="1"/>
  <c r="R168" i="12"/>
  <c r="R15" i="21" s="1"/>
  <c r="BK64" i="11"/>
  <c r="R24" i="12"/>
  <c r="BJ59" i="11"/>
  <c r="BL59" i="11"/>
  <c r="J168" i="12"/>
  <c r="J15" i="21" s="1"/>
  <c r="W64" i="11"/>
  <c r="J24" i="12"/>
  <c r="V59" i="11"/>
  <c r="X59" i="11"/>
  <c r="DS8" i="11"/>
  <c r="AC13" i="21"/>
  <c r="BQ10" i="11"/>
  <c r="T137" i="12"/>
  <c r="T55" i="12"/>
  <c r="AC10" i="11"/>
  <c r="L137" i="12"/>
  <c r="AF24" i="11" s="1"/>
  <c r="L55" i="12"/>
  <c r="H137" i="12"/>
  <c r="L24" i="11" s="1"/>
  <c r="H55" i="12"/>
  <c r="AM49" i="24"/>
  <c r="S50" i="24"/>
  <c r="S12" i="24"/>
  <c r="O50" i="24"/>
  <c r="O12" i="24"/>
  <c r="K50" i="24"/>
  <c r="K12" i="24"/>
  <c r="G50" i="24"/>
  <c r="G12" i="24"/>
  <c r="DF96" i="11"/>
  <c r="DA97" i="11"/>
  <c r="DA98" i="11"/>
  <c r="CQ61" i="6"/>
  <c r="AU61" i="6"/>
  <c r="DE103" i="11"/>
  <c r="AC21" i="21"/>
  <c r="DK14" i="11"/>
  <c r="DL12" i="11"/>
  <c r="CQ14" i="11"/>
  <c r="CT12" i="11"/>
  <c r="CR12" i="11"/>
  <c r="BW14" i="11"/>
  <c r="BZ12" i="11"/>
  <c r="CA12" i="11" s="1"/>
  <c r="BX12" i="11"/>
  <c r="BC14" i="11"/>
  <c r="BF12" i="11"/>
  <c r="BD12" i="11"/>
  <c r="AI14" i="11"/>
  <c r="AL12" i="11"/>
  <c r="AJ12" i="11"/>
  <c r="O14" i="11"/>
  <c r="R12" i="11"/>
  <c r="P12" i="11"/>
  <c r="AC46" i="24"/>
  <c r="DU73" i="6"/>
  <c r="G349" i="20"/>
  <c r="X349" i="20" s="1"/>
  <c r="F346" i="20"/>
  <c r="W346" i="20" s="1"/>
  <c r="ED89" i="6"/>
  <c r="EA40" i="6"/>
  <c r="DF89" i="6"/>
  <c r="DC40" i="6"/>
  <c r="BJ89" i="6"/>
  <c r="BG40" i="6"/>
  <c r="N89" i="6"/>
  <c r="K40" i="6"/>
  <c r="G459" i="20"/>
  <c r="X459" i="20" s="1"/>
  <c r="AT259" i="2"/>
  <c r="ED71" i="6"/>
  <c r="ED29" i="6"/>
  <c r="DR29" i="6"/>
  <c r="CT71" i="6"/>
  <c r="CT29" i="6"/>
  <c r="BV71" i="6"/>
  <c r="BV29" i="6"/>
  <c r="AX71" i="6"/>
  <c r="AX29" i="6"/>
  <c r="AL71" i="6"/>
  <c r="AL29" i="6"/>
  <c r="N71" i="6"/>
  <c r="N29" i="6"/>
  <c r="DW71" i="6"/>
  <c r="DW29" i="6"/>
  <c r="DK71" i="6"/>
  <c r="DK29" i="6"/>
  <c r="W365" i="7"/>
  <c r="W359" i="7"/>
  <c r="BO71" i="6"/>
  <c r="BO29" i="6"/>
  <c r="O365" i="7"/>
  <c r="O359" i="7"/>
  <c r="S71" i="6"/>
  <c r="S29" i="6"/>
  <c r="CD234" i="17"/>
  <c r="CC222" i="17"/>
  <c r="CD167" i="17"/>
  <c r="CF163" i="17"/>
  <c r="CG163" i="17" s="1"/>
  <c r="CH163" i="17" s="1"/>
  <c r="CI163" i="17" s="1"/>
  <c r="BY227" i="17"/>
  <c r="BX226" i="17"/>
  <c r="BX239" i="17" s="1"/>
  <c r="BX256" i="17"/>
  <c r="BX257" i="17" s="1"/>
  <c r="BY170" i="17"/>
  <c r="BX169" i="17"/>
  <c r="BC271" i="7"/>
  <c r="T271" i="7"/>
  <c r="P159" i="8"/>
  <c r="P152" i="8"/>
  <c r="CZ89" i="6"/>
  <c r="BD89" i="6"/>
  <c r="EP43" i="6"/>
  <c r="L376" i="20"/>
  <c r="AC376" i="20" s="1"/>
  <c r="AX201" i="2"/>
  <c r="EC71" i="6"/>
  <c r="EC29" i="6"/>
  <c r="DQ71" i="6"/>
  <c r="DQ29" i="6"/>
  <c r="DE71" i="6"/>
  <c r="DE29" i="6"/>
  <c r="V365" i="7"/>
  <c r="V359" i="7"/>
  <c r="BI71" i="6"/>
  <c r="BI29" i="6"/>
  <c r="N365" i="7"/>
  <c r="N359" i="7"/>
  <c r="M71" i="6"/>
  <c r="M29" i="6"/>
  <c r="Y82" i="8"/>
  <c r="Y78" i="8"/>
  <c r="U82" i="8"/>
  <c r="U78" i="8"/>
  <c r="Q82" i="8"/>
  <c r="Q78" i="8"/>
  <c r="M82" i="8"/>
  <c r="M78" i="8"/>
  <c r="I82" i="8"/>
  <c r="I78" i="8"/>
  <c r="G115" i="8"/>
  <c r="G146" i="8"/>
  <c r="AD720" i="7"/>
  <c r="DS101" i="11"/>
  <c r="AC22" i="21"/>
  <c r="P30" i="12"/>
  <c r="AZ64" i="11"/>
  <c r="BB64" i="11"/>
  <c r="AC394" i="12"/>
  <c r="AC397" i="12" s="1"/>
  <c r="DI12" i="11"/>
  <c r="DJ12" i="11" s="1"/>
  <c r="DG12" i="11"/>
  <c r="DF14" i="11"/>
  <c r="CE12" i="11"/>
  <c r="CF12" i="11" s="1"/>
  <c r="CC12" i="11"/>
  <c r="CB14" i="11"/>
  <c r="AM10" i="11"/>
  <c r="N137" i="12"/>
  <c r="AP24" i="11" s="1"/>
  <c r="N55" i="12"/>
  <c r="AK49" i="24"/>
  <c r="DU71" i="11"/>
  <c r="DZ71" i="11" s="1"/>
  <c r="EE71" i="11" s="1"/>
  <c r="AD725" i="7"/>
  <c r="E197" i="2" s="1"/>
  <c r="EN89" i="6"/>
  <c r="Y144" i="12"/>
  <c r="Y176" i="12"/>
  <c r="Y23" i="21" s="1"/>
  <c r="CU17" i="11"/>
  <c r="Q144" i="12"/>
  <c r="BE30" i="11" s="1"/>
  <c r="Q176" i="12"/>
  <c r="Q23" i="21" s="1"/>
  <c r="BG17" i="11"/>
  <c r="I144" i="12"/>
  <c r="Q30" i="11" s="1"/>
  <c r="I176" i="12"/>
  <c r="I23" i="21" s="1"/>
  <c r="S17" i="11"/>
  <c r="Z13" i="21"/>
  <c r="C102" i="2"/>
  <c r="AT102" i="2" s="1"/>
  <c r="AA12" i="21"/>
  <c r="D101" i="2"/>
  <c r="DC85" i="6"/>
  <c r="BG85" i="6"/>
  <c r="AA143" i="12"/>
  <c r="DC27" i="11"/>
  <c r="S143" i="12"/>
  <c r="BO27" i="11"/>
  <c r="K143" i="12"/>
  <c r="AA27" i="11"/>
  <c r="Y143" i="12"/>
  <c r="CS27" i="11"/>
  <c r="U143" i="12"/>
  <c r="BY27" i="11"/>
  <c r="Q143" i="12"/>
  <c r="BE27" i="11"/>
  <c r="M143" i="12"/>
  <c r="AK27" i="11"/>
  <c r="I143" i="12"/>
  <c r="Q27" i="11"/>
  <c r="DC73" i="6"/>
  <c r="CE73" i="6"/>
  <c r="BG73" i="6"/>
  <c r="AI73" i="6"/>
  <c r="W121" i="8"/>
  <c r="S121" i="8"/>
  <c r="K121" i="8"/>
  <c r="AA14" i="21"/>
  <c r="AA13" i="21"/>
  <c r="D102" i="2"/>
  <c r="W3" i="16" l="1"/>
  <c r="AA2" i="16"/>
  <c r="X3" i="16"/>
  <c r="Z3" i="16"/>
  <c r="Y3" i="16"/>
  <c r="Y419" i="20"/>
  <c r="W414" i="20"/>
  <c r="Y417" i="20"/>
  <c r="Y410" i="20"/>
  <c r="W427" i="20"/>
  <c r="EU24" i="6"/>
  <c r="FA73" i="6" s="1"/>
  <c r="AB650" i="7"/>
  <c r="BC650" i="7" s="1"/>
  <c r="ET35" i="6"/>
  <c r="ES35" i="6" s="1"/>
  <c r="AL288" i="7"/>
  <c r="K488" i="20"/>
  <c r="AB488" i="20" s="1"/>
  <c r="K419" i="20"/>
  <c r="AB419" i="20" s="1"/>
  <c r="J376" i="20"/>
  <c r="AA376" i="20" s="1"/>
  <c r="J417" i="20"/>
  <c r="L382" i="20"/>
  <c r="AC382" i="20" s="1"/>
  <c r="L482" i="20"/>
  <c r="AC482" i="20" s="1"/>
  <c r="J387" i="20"/>
  <c r="AA387" i="20" s="1"/>
  <c r="H352" i="20"/>
  <c r="Y352" i="20" s="1"/>
  <c r="J383" i="20"/>
  <c r="AA383" i="20" s="1"/>
  <c r="I303" i="20"/>
  <c r="Z303" i="20" s="1"/>
  <c r="AW189" i="2"/>
  <c r="J540" i="20"/>
  <c r="AA540" i="20" s="1"/>
  <c r="K410" i="20"/>
  <c r="AB410" i="20" s="1"/>
  <c r="AW194" i="2"/>
  <c r="FB90" i="6"/>
  <c r="AE25" i="8"/>
  <c r="AE397" i="7"/>
  <c r="AE403" i="7" s="1"/>
  <c r="G194" i="2"/>
  <c r="M345" i="20" s="1"/>
  <c r="AD345" i="20" s="1"/>
  <c r="AE65" i="21"/>
  <c r="EZ35" i="6"/>
  <c r="K387" i="20"/>
  <c r="AB387" i="20" s="1"/>
  <c r="AF400" i="7"/>
  <c r="FB70" i="6"/>
  <c r="AW210" i="2"/>
  <c r="FB91" i="6"/>
  <c r="EV40" i="6"/>
  <c r="ES40" i="6" s="1"/>
  <c r="J303" i="20"/>
  <c r="AA303" i="20" s="1"/>
  <c r="L303" i="20"/>
  <c r="AC303" i="20" s="1"/>
  <c r="AF67" i="21"/>
  <c r="DF24" i="17"/>
  <c r="DF29" i="17" s="1"/>
  <c r="AW175" i="2"/>
  <c r="EU59" i="6"/>
  <c r="G386" i="20"/>
  <c r="X386" i="20" s="1"/>
  <c r="AF57" i="21"/>
  <c r="G185" i="2"/>
  <c r="AX185" i="2" s="1"/>
  <c r="AW208" i="2"/>
  <c r="FA84" i="6"/>
  <c r="K303" i="20"/>
  <c r="AB303" i="20" s="1"/>
  <c r="AX175" i="2"/>
  <c r="L417" i="20"/>
  <c r="AF76" i="21"/>
  <c r="G352" i="20"/>
  <c r="X352" i="20" s="1"/>
  <c r="FA30" i="6"/>
  <c r="FA79" i="6" s="1"/>
  <c r="AX246" i="2"/>
  <c r="J410" i="20"/>
  <c r="AW207" i="2"/>
  <c r="K382" i="20"/>
  <c r="AB382" i="20" s="1"/>
  <c r="J382" i="20"/>
  <c r="AA382" i="20" s="1"/>
  <c r="AW246" i="2"/>
  <c r="AW201" i="2"/>
  <c r="K482" i="20"/>
  <c r="AB482" i="20" s="1"/>
  <c r="K376" i="20"/>
  <c r="AB376" i="20" s="1"/>
  <c r="M382" i="20"/>
  <c r="AD382" i="20" s="1"/>
  <c r="AX207" i="2"/>
  <c r="M410" i="20"/>
  <c r="AD410" i="20" s="1"/>
  <c r="L410" i="20"/>
  <c r="K417" i="20"/>
  <c r="AB417" i="20" s="1"/>
  <c r="M376" i="20"/>
  <c r="AD376" i="20" s="1"/>
  <c r="M482" i="20"/>
  <c r="AD482" i="20" s="1"/>
  <c r="M417" i="20"/>
  <c r="AD417" i="20" s="1"/>
  <c r="G217" i="2"/>
  <c r="J482" i="20"/>
  <c r="AA482" i="20" s="1"/>
  <c r="AW222" i="2"/>
  <c r="J419" i="20"/>
  <c r="M419" i="20"/>
  <c r="AD419" i="20" s="1"/>
  <c r="AW252" i="2"/>
  <c r="AF51" i="12"/>
  <c r="AF58" i="12" s="1"/>
  <c r="AF166" i="7"/>
  <c r="AE163" i="7"/>
  <c r="F232" i="2" s="1"/>
  <c r="AW232" i="2" s="1"/>
  <c r="K540" i="20"/>
  <c r="AB540" i="20" s="1"/>
  <c r="AU111" i="2"/>
  <c r="K345" i="20"/>
  <c r="AB345" i="20" s="1"/>
  <c r="FB40" i="6"/>
  <c r="FB87" i="6"/>
  <c r="AF159" i="21"/>
  <c r="G210" i="2"/>
  <c r="J345" i="20"/>
  <c r="AA345" i="20" s="1"/>
  <c r="AV197" i="2"/>
  <c r="AD628" i="7"/>
  <c r="E217" i="2"/>
  <c r="AD485" i="7"/>
  <c r="AD497" i="7" s="1"/>
  <c r="E225" i="2"/>
  <c r="F206" i="2"/>
  <c r="E206" i="2"/>
  <c r="EY59" i="6"/>
  <c r="AF628" i="7"/>
  <c r="AF84" i="21"/>
  <c r="FA59" i="6"/>
  <c r="E232" i="2"/>
  <c r="AV232" i="2" s="1"/>
  <c r="AF24" i="8"/>
  <c r="AF25" i="8"/>
  <c r="I345" i="20"/>
  <c r="Z345" i="20" s="1"/>
  <c r="AV194" i="2"/>
  <c r="H345" i="20"/>
  <c r="Y345" i="20" s="1"/>
  <c r="AW218" i="2"/>
  <c r="D288" i="2"/>
  <c r="AF114" i="21"/>
  <c r="G249" i="2"/>
  <c r="M488" i="20"/>
  <c r="AD488" i="20" s="1"/>
  <c r="J488" i="20"/>
  <c r="AA488" i="20" s="1"/>
  <c r="AF116" i="21"/>
  <c r="G252" i="2"/>
  <c r="D318" i="2"/>
  <c r="D319" i="2" s="1"/>
  <c r="G77" i="20"/>
  <c r="X77" i="20" s="1"/>
  <c r="E196" i="2"/>
  <c r="DF181" i="17"/>
  <c r="DF84" i="17"/>
  <c r="DF78" i="17"/>
  <c r="DF238" i="17"/>
  <c r="EZ94" i="6"/>
  <c r="FA89" i="6"/>
  <c r="FB92" i="6"/>
  <c r="ET89" i="6"/>
  <c r="AF781" i="7"/>
  <c r="AF300" i="7"/>
  <c r="AE60" i="21"/>
  <c r="AF107" i="7"/>
  <c r="AF60" i="21" s="1"/>
  <c r="AF724" i="7"/>
  <c r="AF725" i="7" s="1"/>
  <c r="AF68" i="21" s="1"/>
  <c r="AF728" i="7"/>
  <c r="AF732" i="7" s="1"/>
  <c r="AF75" i="21" s="1"/>
  <c r="AF740" i="7"/>
  <c r="AF742" i="7" s="1"/>
  <c r="AF79" i="21" s="1"/>
  <c r="AF483" i="7"/>
  <c r="AF92" i="21" s="1"/>
  <c r="AF782" i="7"/>
  <c r="AF403" i="7"/>
  <c r="AE60" i="8"/>
  <c r="AF32" i="8"/>
  <c r="AF60" i="8" s="1"/>
  <c r="AF77" i="8"/>
  <c r="AF62" i="8"/>
  <c r="AF166" i="8"/>
  <c r="EA81" i="11"/>
  <c r="AE263" i="12" s="1"/>
  <c r="EC81" i="11"/>
  <c r="EE81" i="11" s="1"/>
  <c r="EF81" i="11" s="1"/>
  <c r="AF263" i="12" s="1"/>
  <c r="EF47" i="11"/>
  <c r="AF197" i="12" s="1"/>
  <c r="AF433" i="7" s="1"/>
  <c r="EE50" i="11"/>
  <c r="EA35" i="11"/>
  <c r="AE188" i="12" s="1"/>
  <c r="AE23" i="7" s="1"/>
  <c r="EC35" i="11"/>
  <c r="EE35" i="11" s="1"/>
  <c r="EF35" i="11" s="1"/>
  <c r="AF188" i="12" s="1"/>
  <c r="AF23" i="7" s="1"/>
  <c r="AF118" i="12"/>
  <c r="P640" i="7"/>
  <c r="BX182" i="17"/>
  <c r="AC418" i="20"/>
  <c r="AC419" i="20"/>
  <c r="W413" i="20"/>
  <c r="W429" i="20"/>
  <c r="G423" i="20"/>
  <c r="X423" i="20" s="1"/>
  <c r="F421" i="20"/>
  <c r="F422" i="20"/>
  <c r="F430" i="20"/>
  <c r="F432" i="20"/>
  <c r="F424" i="20"/>
  <c r="F423" i="20"/>
  <c r="F431" i="20"/>
  <c r="AB640" i="7"/>
  <c r="BC640" i="7" s="1"/>
  <c r="BC660" i="7"/>
  <c r="AU197" i="2"/>
  <c r="F353" i="20"/>
  <c r="W353" i="20" s="1"/>
  <c r="I352" i="20"/>
  <c r="Z352" i="20" s="1"/>
  <c r="CJ103" i="17"/>
  <c r="CJ104" i="17" s="1"/>
  <c r="E41" i="20"/>
  <c r="V41" i="20" s="1"/>
  <c r="F352" i="20"/>
  <c r="W352" i="20" s="1"/>
  <c r="G353" i="20"/>
  <c r="X353" i="20" s="1"/>
  <c r="F354" i="20"/>
  <c r="W354" i="20" s="1"/>
  <c r="CJ69" i="17"/>
  <c r="CJ85" i="17" s="1"/>
  <c r="T632" i="7"/>
  <c r="R665" i="7"/>
  <c r="BC629" i="7"/>
  <c r="AB661" i="7"/>
  <c r="BC661" i="7" s="1"/>
  <c r="J675" i="7"/>
  <c r="H632" i="7"/>
  <c r="H640" i="7"/>
  <c r="O675" i="7"/>
  <c r="CD106" i="17"/>
  <c r="CD111" i="17" s="1"/>
  <c r="CC165" i="17"/>
  <c r="W675" i="7"/>
  <c r="AU224" i="2"/>
  <c r="G422" i="20"/>
  <c r="X422" i="20" s="1"/>
  <c r="G432" i="20"/>
  <c r="X432" i="20" s="1"/>
  <c r="G431" i="20"/>
  <c r="X431" i="20" s="1"/>
  <c r="G421" i="20"/>
  <c r="X421" i="20" s="1"/>
  <c r="G430" i="20"/>
  <c r="X430" i="20" s="1"/>
  <c r="S665" i="7"/>
  <c r="N665" i="7"/>
  <c r="AB686" i="7"/>
  <c r="BC686" i="7" s="1"/>
  <c r="K675" i="7"/>
  <c r="CB29" i="6"/>
  <c r="CB34" i="6" s="1"/>
  <c r="BY22" i="6"/>
  <c r="BY71" i="6" s="1"/>
  <c r="AB675" i="7"/>
  <c r="BC675" i="7" s="1"/>
  <c r="X640" i="7"/>
  <c r="X632" i="7"/>
  <c r="X650" i="7"/>
  <c r="V675" i="7"/>
  <c r="AD630" i="7"/>
  <c r="AD651" i="7" s="1"/>
  <c r="Z562" i="7"/>
  <c r="Z469" i="7"/>
  <c r="Z675" i="7"/>
  <c r="Z665" i="7"/>
  <c r="AC361" i="7"/>
  <c r="AC367" i="7"/>
  <c r="AC463" i="7"/>
  <c r="AB463" i="7"/>
  <c r="BC463" i="7" s="1"/>
  <c r="AB469" i="7"/>
  <c r="BC469" i="7" s="1"/>
  <c r="AB562" i="7"/>
  <c r="AB468" i="7"/>
  <c r="BC468" i="7" s="1"/>
  <c r="AB474" i="7"/>
  <c r="BC474" i="7" s="1"/>
  <c r="AB459" i="7"/>
  <c r="AB561" i="7"/>
  <c r="AB462" i="7"/>
  <c r="BC462" i="7" s="1"/>
  <c r="AA469" i="7"/>
  <c r="AA463" i="7"/>
  <c r="AA562" i="7"/>
  <c r="AC459" i="7"/>
  <c r="AC474" i="7"/>
  <c r="AC462" i="7"/>
  <c r="AC561" i="7"/>
  <c r="AC468" i="7"/>
  <c r="AC578" i="7"/>
  <c r="AC585" i="7"/>
  <c r="AC603" i="7"/>
  <c r="AA388" i="7"/>
  <c r="AA382" i="7"/>
  <c r="AB367" i="7"/>
  <c r="BC367" i="7" s="1"/>
  <c r="AB361" i="7"/>
  <c r="BC361" i="7" s="1"/>
  <c r="Z563" i="7"/>
  <c r="Z470" i="7"/>
  <c r="Z474" i="7"/>
  <c r="X33" i="24" s="1"/>
  <c r="Z468" i="7"/>
  <c r="X34" i="24" s="1"/>
  <c r="Z561" i="7"/>
  <c r="AA675" i="7"/>
  <c r="AA665" i="7"/>
  <c r="AA361" i="7"/>
  <c r="AA367" i="7"/>
  <c r="AB388" i="7"/>
  <c r="BC388" i="7" s="1"/>
  <c r="AB382" i="7"/>
  <c r="BC382" i="7" s="1"/>
  <c r="AC571" i="7"/>
  <c r="AC577" i="7"/>
  <c r="AB464" i="7"/>
  <c r="BC464" i="7" s="1"/>
  <c r="AA464" i="7"/>
  <c r="AA563" i="7"/>
  <c r="AA470" i="7"/>
  <c r="AB470" i="7"/>
  <c r="BC470" i="7" s="1"/>
  <c r="AB563" i="7"/>
  <c r="AC388" i="7"/>
  <c r="AC382" i="7"/>
  <c r="AC464" i="7"/>
  <c r="AA459" i="7"/>
  <c r="AA462" i="7"/>
  <c r="Y32" i="24" s="1"/>
  <c r="AA474" i="7"/>
  <c r="Y33" i="24" s="1"/>
  <c r="AA561" i="7"/>
  <c r="AA468" i="7"/>
  <c r="Y34" i="24" s="1"/>
  <c r="AD79" i="21"/>
  <c r="AE79" i="21"/>
  <c r="AE725" i="7"/>
  <c r="DB303" i="17"/>
  <c r="DB308" i="17" s="1"/>
  <c r="CZ333" i="17" s="1"/>
  <c r="Z71" i="6"/>
  <c r="CW22" i="6"/>
  <c r="CW71" i="6" s="1"/>
  <c r="CZ71" i="6"/>
  <c r="AD420" i="7"/>
  <c r="AC112" i="7"/>
  <c r="AD112" i="7" s="1"/>
  <c r="Z29" i="6"/>
  <c r="Z34" i="6" s="1"/>
  <c r="AF71" i="6"/>
  <c r="W67" i="6"/>
  <c r="AC203" i="8"/>
  <c r="AC205" i="8"/>
  <c r="AD361" i="12"/>
  <c r="AE361" i="12" s="1"/>
  <c r="AF361" i="12" s="1"/>
  <c r="AC30" i="12"/>
  <c r="DN14" i="11"/>
  <c r="DQ14" i="11"/>
  <c r="DN11" i="11"/>
  <c r="DO12" i="11"/>
  <c r="DM64" i="11"/>
  <c r="DO64" i="11"/>
  <c r="AC430" i="12"/>
  <c r="AC433" i="12" s="1"/>
  <c r="AD260" i="12"/>
  <c r="AC407" i="12"/>
  <c r="AC419" i="12" s="1"/>
  <c r="AC403" i="12"/>
  <c r="AC415" i="12" s="1"/>
  <c r="AC408" i="12"/>
  <c r="AC420" i="12" s="1"/>
  <c r="Q67" i="6"/>
  <c r="BG67" i="6"/>
  <c r="CH29" i="6"/>
  <c r="CH34" i="6" s="1"/>
  <c r="DL29" i="6"/>
  <c r="DI29" i="6" s="1"/>
  <c r="BJ29" i="6"/>
  <c r="BJ78" i="6" s="1"/>
  <c r="BJ71" i="6"/>
  <c r="CH71" i="6"/>
  <c r="CE22" i="6"/>
  <c r="CK71" i="6" s="1"/>
  <c r="BP71" i="6"/>
  <c r="DR71" i="6"/>
  <c r="DL71" i="6"/>
  <c r="CK67" i="6"/>
  <c r="DC67" i="6"/>
  <c r="DC22" i="6"/>
  <c r="DF71" i="6"/>
  <c r="DF29" i="6"/>
  <c r="DF34" i="6" s="1"/>
  <c r="DE66" i="11"/>
  <c r="DJ15" i="11"/>
  <c r="AD707" i="7"/>
  <c r="AD709" i="7" s="1"/>
  <c r="AD301" i="7"/>
  <c r="M117" i="8"/>
  <c r="M124" i="8" s="1"/>
  <c r="M104" i="21"/>
  <c r="M103" i="21"/>
  <c r="N11" i="21"/>
  <c r="L124" i="8"/>
  <c r="AI2" i="6"/>
  <c r="AA253" i="17"/>
  <c r="AA161" i="17"/>
  <c r="AA139" i="17"/>
  <c r="AA122" i="17"/>
  <c r="AA275" i="17"/>
  <c r="AA218" i="17"/>
  <c r="AA196" i="17"/>
  <c r="AA99" i="17"/>
  <c r="AA39" i="17"/>
  <c r="AA58" i="17"/>
  <c r="AA4" i="17"/>
  <c r="AA20" i="17"/>
  <c r="M3" i="1"/>
  <c r="BT50" i="24"/>
  <c r="AE67" i="21"/>
  <c r="BC458" i="7"/>
  <c r="BC456" i="7"/>
  <c r="BC457" i="7"/>
  <c r="F196" i="2"/>
  <c r="F225" i="2"/>
  <c r="AD92" i="21"/>
  <c r="AD84" i="21"/>
  <c r="F217" i="2"/>
  <c r="ES82" i="6"/>
  <c r="AD308" i="7"/>
  <c r="BS51" i="24"/>
  <c r="AU106" i="2"/>
  <c r="BT64" i="11"/>
  <c r="AD586" i="7"/>
  <c r="AD593" i="7" s="1"/>
  <c r="AE162" i="7"/>
  <c r="AE77" i="8"/>
  <c r="AE62" i="8"/>
  <c r="AE166" i="8"/>
  <c r="AE92" i="21"/>
  <c r="AE630" i="7"/>
  <c r="AE651" i="7" s="1"/>
  <c r="AE485" i="7"/>
  <c r="EX33" i="6"/>
  <c r="EX82" i="6" s="1"/>
  <c r="AE781" i="7"/>
  <c r="EW32" i="6"/>
  <c r="FC81" i="6" s="1"/>
  <c r="AE300" i="7"/>
  <c r="AE782" i="7"/>
  <c r="AE628" i="7"/>
  <c r="AE84" i="21"/>
  <c r="L440" i="20"/>
  <c r="AC440" i="20" s="1"/>
  <c r="AX234" i="2"/>
  <c r="L438" i="20"/>
  <c r="AC438" i="20" s="1"/>
  <c r="L439" i="20"/>
  <c r="AC439" i="20" s="1"/>
  <c r="AX235" i="2"/>
  <c r="EP92" i="6"/>
  <c r="EV92" i="6"/>
  <c r="EQ81" i="6"/>
  <c r="EW77" i="6"/>
  <c r="EM59" i="6"/>
  <c r="ES59" i="6"/>
  <c r="EM77" i="6"/>
  <c r="ES77" i="6"/>
  <c r="DB235" i="17"/>
  <c r="DZ50" i="11"/>
  <c r="EA47" i="11"/>
  <c r="AE197" i="12" s="1"/>
  <c r="AE433" i="7" s="1"/>
  <c r="AD371" i="12"/>
  <c r="AC371" i="12"/>
  <c r="D261" i="2" s="1"/>
  <c r="AU261" i="2" s="1"/>
  <c r="CI24" i="11"/>
  <c r="DC24" i="11"/>
  <c r="BO30" i="11"/>
  <c r="DC30" i="11"/>
  <c r="DH24" i="11"/>
  <c r="BY24" i="11"/>
  <c r="CS24" i="11"/>
  <c r="CN30" i="11"/>
  <c r="DH30" i="11"/>
  <c r="CX30" i="11"/>
  <c r="CS30" i="11"/>
  <c r="BT24" i="11"/>
  <c r="BO24" i="11"/>
  <c r="CX24" i="11"/>
  <c r="CI30" i="11"/>
  <c r="CN24" i="11"/>
  <c r="BY30" i="11"/>
  <c r="CD24" i="11"/>
  <c r="BT30" i="11"/>
  <c r="DC64" i="11"/>
  <c r="K30" i="12"/>
  <c r="AA30" i="12"/>
  <c r="D104" i="2"/>
  <c r="D287" i="2" s="1"/>
  <c r="C112" i="2"/>
  <c r="AT112" i="2" s="1"/>
  <c r="DE64" i="11"/>
  <c r="CN64" i="11"/>
  <c r="BV64" i="11"/>
  <c r="S30" i="12"/>
  <c r="EJ89" i="6"/>
  <c r="BO64" i="11"/>
  <c r="CK64" i="11"/>
  <c r="CP64" i="11"/>
  <c r="AR69" i="20"/>
  <c r="AP232" i="20"/>
  <c r="AT278" i="20"/>
  <c r="AU278" i="20"/>
  <c r="AT280" i="20"/>
  <c r="AU280" i="20"/>
  <c r="AU284" i="20"/>
  <c r="AT284" i="20"/>
  <c r="AP35" i="20"/>
  <c r="AR63" i="20"/>
  <c r="AP226" i="20"/>
  <c r="AR66" i="20"/>
  <c r="AP237" i="20"/>
  <c r="AP229" i="20"/>
  <c r="AR60" i="20"/>
  <c r="AU347" i="20"/>
  <c r="AT347" i="20"/>
  <c r="AP221" i="20"/>
  <c r="AR67" i="20"/>
  <c r="AP238" i="20"/>
  <c r="AP230" i="20"/>
  <c r="AR71" i="20"/>
  <c r="AP234" i="20"/>
  <c r="AP27" i="20"/>
  <c r="AR62" i="20"/>
  <c r="AR154" i="20"/>
  <c r="AP223" i="20"/>
  <c r="AR70" i="20"/>
  <c r="AP233" i="20"/>
  <c r="AR65" i="20"/>
  <c r="AP228" i="20"/>
  <c r="AP255" i="20"/>
  <c r="BM71" i="6"/>
  <c r="BQ64" i="11"/>
  <c r="CI64" i="11"/>
  <c r="CQ71" i="6"/>
  <c r="AW64" i="11"/>
  <c r="K71" i="6"/>
  <c r="AA64" i="11"/>
  <c r="AU64" i="11"/>
  <c r="AC71" i="6"/>
  <c r="DU71" i="6"/>
  <c r="Q71" i="6"/>
  <c r="AU71" i="6"/>
  <c r="AC64" i="11"/>
  <c r="CH167" i="17"/>
  <c r="CH180" i="17" s="1"/>
  <c r="AP29" i="24"/>
  <c r="G160" i="8"/>
  <c r="AP42" i="24"/>
  <c r="BT51" i="24"/>
  <c r="BV53" i="24"/>
  <c r="D285" i="2"/>
  <c r="AU102" i="2"/>
  <c r="AC15" i="21"/>
  <c r="I56" i="21"/>
  <c r="I83" i="8"/>
  <c r="I115" i="8"/>
  <c r="I146" i="8"/>
  <c r="Q56" i="21"/>
  <c r="Q83" i="8"/>
  <c r="Q115" i="8"/>
  <c r="Q146" i="8"/>
  <c r="Y56" i="21"/>
  <c r="Y83" i="8"/>
  <c r="Y115" i="8"/>
  <c r="Y146" i="8"/>
  <c r="BI78" i="6"/>
  <c r="BI34" i="6"/>
  <c r="DE78" i="6"/>
  <c r="DE34" i="6"/>
  <c r="DQ78" i="6"/>
  <c r="DQ34" i="6"/>
  <c r="CJ163" i="17"/>
  <c r="CK163" i="17" s="1"/>
  <c r="CL163" i="17" s="1"/>
  <c r="CM163" i="17" s="1"/>
  <c r="CD180" i="17"/>
  <c r="CC168" i="17"/>
  <c r="S78" i="6"/>
  <c r="S34" i="6"/>
  <c r="BO78" i="6"/>
  <c r="BO34" i="6"/>
  <c r="DK78" i="6"/>
  <c r="DK34" i="6"/>
  <c r="DW78" i="6"/>
  <c r="DW34" i="6"/>
  <c r="N34" i="6"/>
  <c r="N78" i="6"/>
  <c r="AL34" i="6"/>
  <c r="AL78" i="6"/>
  <c r="AX34" i="6"/>
  <c r="AX78" i="6"/>
  <c r="BV34" i="6"/>
  <c r="BV78" i="6"/>
  <c r="CT34" i="6"/>
  <c r="CT78" i="6"/>
  <c r="DR34" i="6"/>
  <c r="ED78" i="6"/>
  <c r="ED34" i="6"/>
  <c r="K89" i="6"/>
  <c r="BG89" i="6"/>
  <c r="DC89" i="6"/>
  <c r="EA89" i="6"/>
  <c r="I139" i="12"/>
  <c r="Q26" i="11" s="1"/>
  <c r="R11" i="11"/>
  <c r="M139" i="12"/>
  <c r="AK26" i="11" s="1"/>
  <c r="AL11" i="11"/>
  <c r="Q139" i="12"/>
  <c r="BE26" i="11" s="1"/>
  <c r="BF11" i="11"/>
  <c r="U139" i="12"/>
  <c r="BY26" i="11" s="1"/>
  <c r="BZ11" i="11"/>
  <c r="Y139" i="12"/>
  <c r="CS26" i="11" s="1"/>
  <c r="CT11" i="11"/>
  <c r="DL14" i="11"/>
  <c r="DK16" i="11"/>
  <c r="DQ16" i="11" s="1"/>
  <c r="DK96" i="11"/>
  <c r="DP96" i="11" s="1"/>
  <c r="DF98" i="11"/>
  <c r="DF97" i="11"/>
  <c r="R30" i="12"/>
  <c r="BJ64" i="11"/>
  <c r="BL64" i="11"/>
  <c r="Z15" i="21"/>
  <c r="C104" i="2"/>
  <c r="AT104" i="2" s="1"/>
  <c r="BS50" i="24"/>
  <c r="H562" i="7"/>
  <c r="H469" i="7"/>
  <c r="H463" i="7"/>
  <c r="X562" i="7"/>
  <c r="X469" i="7"/>
  <c r="X463" i="7"/>
  <c r="O563" i="7"/>
  <c r="O470" i="7"/>
  <c r="O464" i="7"/>
  <c r="W563" i="7"/>
  <c r="W470" i="7"/>
  <c r="W464" i="7"/>
  <c r="G561" i="7"/>
  <c r="G474" i="7"/>
  <c r="E33" i="24" s="1"/>
  <c r="G468" i="7"/>
  <c r="E34" i="24" s="1"/>
  <c r="G459" i="7"/>
  <c r="E31" i="24"/>
  <c r="AD78" i="6"/>
  <c r="AD34" i="6"/>
  <c r="AC29" i="6"/>
  <c r="M388" i="7"/>
  <c r="M382" i="7"/>
  <c r="Q367" i="7"/>
  <c r="Q361" i="7"/>
  <c r="U561" i="7"/>
  <c r="U474" i="7"/>
  <c r="S33" i="24" s="1"/>
  <c r="U468" i="7"/>
  <c r="S34" i="24" s="1"/>
  <c r="U459" i="7"/>
  <c r="U462" i="7"/>
  <c r="S32" i="24" s="1"/>
  <c r="S31" i="24"/>
  <c r="DV78" i="6"/>
  <c r="DV34" i="6"/>
  <c r="DU29" i="6"/>
  <c r="I562" i="7"/>
  <c r="I469" i="7"/>
  <c r="I463" i="7"/>
  <c r="Y562" i="7"/>
  <c r="Y469" i="7"/>
  <c r="Y463" i="7"/>
  <c r="L675" i="7"/>
  <c r="L665" i="7"/>
  <c r="T675" i="7"/>
  <c r="T665" i="7"/>
  <c r="C293" i="2"/>
  <c r="E27" i="20" s="1"/>
  <c r="V27" i="20" s="1"/>
  <c r="BK14" i="11"/>
  <c r="BL14" i="11" s="1"/>
  <c r="BI14" i="11"/>
  <c r="BH16" i="11"/>
  <c r="AB30" i="12"/>
  <c r="DH64" i="11"/>
  <c r="DJ64" i="11"/>
  <c r="AD178" i="12"/>
  <c r="DU58" i="11"/>
  <c r="C313" i="2"/>
  <c r="E229" i="20" s="1"/>
  <c r="V229" i="20" s="1"/>
  <c r="K56" i="21"/>
  <c r="K83" i="8"/>
  <c r="K115" i="8"/>
  <c r="K146" i="8"/>
  <c r="O56" i="21"/>
  <c r="O83" i="8"/>
  <c r="O115" i="8"/>
  <c r="O146" i="8"/>
  <c r="S56" i="21"/>
  <c r="S83" i="8"/>
  <c r="S115" i="8"/>
  <c r="S146" i="8"/>
  <c r="W56" i="21"/>
  <c r="W83" i="8"/>
  <c r="W115" i="8"/>
  <c r="W146" i="8"/>
  <c r="AA56" i="21"/>
  <c r="D183" i="2"/>
  <c r="AA83" i="8"/>
  <c r="AA115" i="8"/>
  <c r="AA146" i="8"/>
  <c r="AK78" i="6"/>
  <c r="AK34" i="6"/>
  <c r="CG78" i="6"/>
  <c r="CG34" i="6"/>
  <c r="R78" i="6"/>
  <c r="R34" i="6"/>
  <c r="Q29" i="6"/>
  <c r="K388" i="7"/>
  <c r="K382" i="7"/>
  <c r="O367" i="7"/>
  <c r="O361" i="7"/>
  <c r="S561" i="7"/>
  <c r="S474" i="7"/>
  <c r="Q33" i="24" s="1"/>
  <c r="S468" i="7"/>
  <c r="Q34" i="24" s="1"/>
  <c r="S459" i="7"/>
  <c r="S462" i="7"/>
  <c r="Q32" i="24" s="1"/>
  <c r="Q31" i="24"/>
  <c r="DJ78" i="6"/>
  <c r="DJ34" i="6"/>
  <c r="CG103" i="17"/>
  <c r="CG104" i="17" s="1"/>
  <c r="CG69" i="17"/>
  <c r="CH86" i="17"/>
  <c r="CH8" i="17" s="1"/>
  <c r="CE14" i="22" s="1"/>
  <c r="AQ78" i="6"/>
  <c r="AQ34" i="6"/>
  <c r="CM78" i="6"/>
  <c r="CM34" i="6"/>
  <c r="H464" i="7"/>
  <c r="H563" i="7"/>
  <c r="H470" i="7"/>
  <c r="L464" i="7"/>
  <c r="L563" i="7"/>
  <c r="L470" i="7"/>
  <c r="P464" i="7"/>
  <c r="P563" i="7"/>
  <c r="P470" i="7"/>
  <c r="T464" i="7"/>
  <c r="T563" i="7"/>
  <c r="T470" i="7"/>
  <c r="X464" i="7"/>
  <c r="X563" i="7"/>
  <c r="X603" i="7" s="1"/>
  <c r="X470" i="7"/>
  <c r="J367" i="7"/>
  <c r="J361" i="7"/>
  <c r="CR34" i="6"/>
  <c r="CR78" i="6"/>
  <c r="CQ29" i="6"/>
  <c r="V388" i="7"/>
  <c r="V382" i="7"/>
  <c r="V462" i="7"/>
  <c r="T32" i="24" s="1"/>
  <c r="V561" i="7"/>
  <c r="V474" i="7"/>
  <c r="T33" i="24" s="1"/>
  <c r="V468" i="7"/>
  <c r="T34" i="24" s="1"/>
  <c r="V459" i="7"/>
  <c r="T31" i="24"/>
  <c r="Z367" i="7"/>
  <c r="Z361" i="7"/>
  <c r="AC140" i="12"/>
  <c r="DM27" i="11" s="1"/>
  <c r="AW78" i="6"/>
  <c r="AW34" i="6"/>
  <c r="CS78" i="6"/>
  <c r="CS34" i="6"/>
  <c r="AD99" i="21"/>
  <c r="G232" i="2"/>
  <c r="AX232" i="2" s="1"/>
  <c r="AD168" i="7"/>
  <c r="Z124" i="21"/>
  <c r="C261" i="2"/>
  <c r="AT261" i="2" s="1"/>
  <c r="U562" i="7"/>
  <c r="U469" i="7"/>
  <c r="U463" i="7"/>
  <c r="EQ35" i="6"/>
  <c r="AD782" i="7"/>
  <c r="AD403" i="7"/>
  <c r="AJ34" i="6"/>
  <c r="AJ78" i="6"/>
  <c r="AI29" i="6"/>
  <c r="L388" i="7"/>
  <c r="L382" i="7"/>
  <c r="L462" i="7"/>
  <c r="J32" i="24" s="1"/>
  <c r="L561" i="7"/>
  <c r="L474" i="7"/>
  <c r="J33" i="24" s="1"/>
  <c r="L468" i="7"/>
  <c r="J34" i="24" s="1"/>
  <c r="L459" i="7"/>
  <c r="J31" i="24"/>
  <c r="P367" i="7"/>
  <c r="P361" i="7"/>
  <c r="EB78" i="6"/>
  <c r="EB34" i="6"/>
  <c r="EA29" i="6"/>
  <c r="EM82" i="6"/>
  <c r="ER33" i="6"/>
  <c r="ER82" i="6" s="1"/>
  <c r="AA124" i="21"/>
  <c r="DS59" i="11"/>
  <c r="DU57" i="11"/>
  <c r="DX57" i="11" s="1"/>
  <c r="AA23" i="21"/>
  <c r="AP50" i="24"/>
  <c r="AQ14" i="11"/>
  <c r="AR14" i="11" s="1"/>
  <c r="AO14" i="11"/>
  <c r="AN16" i="11"/>
  <c r="C294" i="2"/>
  <c r="E235" i="20" s="1"/>
  <c r="V235" i="20" s="1"/>
  <c r="AC142" i="12"/>
  <c r="DM29" i="11" s="1"/>
  <c r="V562" i="7"/>
  <c r="V469" i="7"/>
  <c r="V463" i="7"/>
  <c r="G563" i="7"/>
  <c r="G470" i="7"/>
  <c r="T78" i="6"/>
  <c r="T34" i="6"/>
  <c r="AF34" i="6"/>
  <c r="AR78" i="6"/>
  <c r="AR34" i="6"/>
  <c r="BD78" i="6"/>
  <c r="BD34" i="6"/>
  <c r="BP34" i="6"/>
  <c r="CN34" i="6"/>
  <c r="CZ78" i="6"/>
  <c r="CZ34" i="6"/>
  <c r="DX34" i="6"/>
  <c r="DX78" i="6"/>
  <c r="F39" i="6"/>
  <c r="E34" i="6"/>
  <c r="CH234" i="17"/>
  <c r="CG222" i="17"/>
  <c r="W562" i="7"/>
  <c r="W469" i="7"/>
  <c r="W463" i="7"/>
  <c r="AI89" i="6"/>
  <c r="CE89" i="6"/>
  <c r="EP40" i="6"/>
  <c r="M30" i="12"/>
  <c r="AK64" i="11"/>
  <c r="AM64" i="11"/>
  <c r="U30" i="12"/>
  <c r="BY64" i="11"/>
  <c r="CA64" i="11"/>
  <c r="M14" i="11"/>
  <c r="N14" i="11" s="1"/>
  <c r="J16" i="11"/>
  <c r="AG14" i="11"/>
  <c r="AH14" i="11" s="1"/>
  <c r="AE14" i="11"/>
  <c r="AD16" i="11"/>
  <c r="BU14" i="11"/>
  <c r="BV14" i="11" s="1"/>
  <c r="BS14" i="11"/>
  <c r="BR16" i="11"/>
  <c r="AD172" i="12"/>
  <c r="DU87" i="11"/>
  <c r="BO54" i="24"/>
  <c r="BO52" i="24"/>
  <c r="BO49" i="24"/>
  <c r="BO46" i="24"/>
  <c r="BO45" i="24"/>
  <c r="BO43" i="24"/>
  <c r="BM42" i="24"/>
  <c r="AZ42" i="24"/>
  <c r="AX42" i="24"/>
  <c r="AV42" i="24"/>
  <c r="BO53" i="24"/>
  <c r="BO51" i="24"/>
  <c r="BO50" i="24"/>
  <c r="BO44" i="24"/>
  <c r="AY42" i="24"/>
  <c r="AW42" i="24"/>
  <c r="D42" i="24"/>
  <c r="AG42" i="24"/>
  <c r="BD42" i="24"/>
  <c r="AH42" i="24"/>
  <c r="AN42" i="24"/>
  <c r="AJ42" i="24"/>
  <c r="AI42" i="24"/>
  <c r="AS42" i="24"/>
  <c r="AC42" i="24"/>
  <c r="AM42" i="24"/>
  <c r="AQ42" i="24"/>
  <c r="AR42" i="24"/>
  <c r="AE42" i="24"/>
  <c r="AK42" i="24"/>
  <c r="BB42" i="24"/>
  <c r="AB42" i="24"/>
  <c r="Y78" i="6"/>
  <c r="Y34" i="6"/>
  <c r="BU78" i="6"/>
  <c r="BU34" i="6"/>
  <c r="I563" i="7"/>
  <c r="I470" i="7"/>
  <c r="I464" i="7"/>
  <c r="Q563" i="7"/>
  <c r="Q470" i="7"/>
  <c r="Q464" i="7"/>
  <c r="Y563" i="7"/>
  <c r="Y603" i="7" s="1"/>
  <c r="Y470" i="7"/>
  <c r="Y464" i="7"/>
  <c r="I640" i="7"/>
  <c r="I632" i="7"/>
  <c r="M640" i="7"/>
  <c r="M632" i="7"/>
  <c r="Q640" i="7"/>
  <c r="Q632" i="7"/>
  <c r="U640" i="7"/>
  <c r="U632" i="7"/>
  <c r="Y640" i="7"/>
  <c r="Y650" i="7"/>
  <c r="Y632" i="7"/>
  <c r="I388" i="7"/>
  <c r="I382" i="7"/>
  <c r="M367" i="7"/>
  <c r="M361" i="7"/>
  <c r="Q561" i="7"/>
  <c r="Q474" i="7"/>
  <c r="O33" i="24" s="1"/>
  <c r="Q468" i="7"/>
  <c r="O34" i="24" s="1"/>
  <c r="Q459" i="7"/>
  <c r="Q462" i="7"/>
  <c r="O32" i="24" s="1"/>
  <c r="O31" i="24"/>
  <c r="CX78" i="6"/>
  <c r="CX34" i="6"/>
  <c r="CW29" i="6"/>
  <c r="Y388" i="7"/>
  <c r="Y382" i="7"/>
  <c r="CJ223" i="17"/>
  <c r="CK223" i="17" s="1"/>
  <c r="CL223" i="17" s="1"/>
  <c r="CM223" i="17" s="1"/>
  <c r="CL224" i="17"/>
  <c r="J56" i="21"/>
  <c r="J83" i="8"/>
  <c r="J115" i="8"/>
  <c r="J146" i="8"/>
  <c r="N56" i="21"/>
  <c r="N83" i="8"/>
  <c r="N115" i="8"/>
  <c r="N146" i="8"/>
  <c r="R56" i="21"/>
  <c r="R83" i="8"/>
  <c r="R115" i="8"/>
  <c r="R146" i="8"/>
  <c r="V56" i="21"/>
  <c r="V83" i="8"/>
  <c r="V115" i="8"/>
  <c r="V146" i="8"/>
  <c r="Z56" i="21"/>
  <c r="C183" i="2"/>
  <c r="Z83" i="8"/>
  <c r="Z115" i="8"/>
  <c r="Z146" i="8"/>
  <c r="AE78" i="6"/>
  <c r="AE34" i="6"/>
  <c r="CA78" i="6"/>
  <c r="CA34" i="6"/>
  <c r="AD75" i="21"/>
  <c r="K139" i="12"/>
  <c r="AA26" i="11" s="1"/>
  <c r="AB11" i="11"/>
  <c r="O139" i="12"/>
  <c r="AU26" i="11" s="1"/>
  <c r="AV11" i="11"/>
  <c r="S139" i="12"/>
  <c r="BO26" i="11" s="1"/>
  <c r="BP11" i="11"/>
  <c r="W139" i="12"/>
  <c r="CI26" i="11" s="1"/>
  <c r="CJ11" i="11"/>
  <c r="AA139" i="12"/>
  <c r="DC26" i="11" s="1"/>
  <c r="DD11" i="11"/>
  <c r="S12" i="11"/>
  <c r="J139" i="12"/>
  <c r="V26" i="11" s="1"/>
  <c r="W11" i="11"/>
  <c r="CU12" i="11"/>
  <c r="Z139" i="12"/>
  <c r="CX26" i="11" s="1"/>
  <c r="CY11" i="11"/>
  <c r="R562" i="7"/>
  <c r="R469" i="7"/>
  <c r="R463" i="7"/>
  <c r="AO71" i="6"/>
  <c r="AP78" i="6"/>
  <c r="AP34" i="6"/>
  <c r="AO29" i="6"/>
  <c r="O388" i="7"/>
  <c r="O382" i="7"/>
  <c r="S367" i="7"/>
  <c r="S361" i="7"/>
  <c r="W561" i="7"/>
  <c r="W474" i="7"/>
  <c r="U33" i="24" s="1"/>
  <c r="W468" i="7"/>
  <c r="U34" i="24" s="1"/>
  <c r="W459" i="7"/>
  <c r="W462" i="7"/>
  <c r="U32" i="24" s="1"/>
  <c r="U31" i="24"/>
  <c r="CX67" i="17"/>
  <c r="CW66" i="17"/>
  <c r="CX66" i="17" s="1"/>
  <c r="CY66" i="17" s="1"/>
  <c r="K562" i="7"/>
  <c r="K469" i="7"/>
  <c r="K463" i="7"/>
  <c r="AC651" i="7"/>
  <c r="X34" i="6"/>
  <c r="X78" i="6"/>
  <c r="J388" i="7"/>
  <c r="J382" i="7"/>
  <c r="J462" i="7"/>
  <c r="H32" i="24" s="1"/>
  <c r="J561" i="7"/>
  <c r="J474" i="7"/>
  <c r="H33" i="24" s="1"/>
  <c r="J468" i="7"/>
  <c r="H34" i="24" s="1"/>
  <c r="J459" i="7"/>
  <c r="H31" i="24"/>
  <c r="N367" i="7"/>
  <c r="N361" i="7"/>
  <c r="BS71" i="6"/>
  <c r="DP78" i="6"/>
  <c r="DP34" i="6"/>
  <c r="DO29" i="6"/>
  <c r="Z462" i="7"/>
  <c r="X32" i="24" s="1"/>
  <c r="Z459" i="7"/>
  <c r="Z471" i="7" s="1"/>
  <c r="X31" i="24"/>
  <c r="AC62" i="21"/>
  <c r="AO53" i="24"/>
  <c r="AO51" i="24"/>
  <c r="AO50" i="24"/>
  <c r="AO44" i="24"/>
  <c r="AO42" i="24"/>
  <c r="AO30" i="24"/>
  <c r="AO29" i="24"/>
  <c r="AO25" i="24"/>
  <c r="AO22" i="24"/>
  <c r="AO21" i="24"/>
  <c r="AO17" i="24"/>
  <c r="AO16" i="24"/>
  <c r="AO54" i="24"/>
  <c r="AO52" i="24"/>
  <c r="AO49" i="24"/>
  <c r="AO46" i="24"/>
  <c r="AO45" i="24"/>
  <c r="AO43" i="24"/>
  <c r="AO39" i="24"/>
  <c r="AO28" i="24"/>
  <c r="AO24" i="24"/>
  <c r="AO23" i="24"/>
  <c r="AO15" i="24"/>
  <c r="AO13" i="24"/>
  <c r="D12" i="24"/>
  <c r="AG12" i="24"/>
  <c r="AH12" i="24"/>
  <c r="AN12" i="24"/>
  <c r="AJ12" i="24"/>
  <c r="AI12" i="24"/>
  <c r="AK12" i="24"/>
  <c r="AM12" i="24"/>
  <c r="AB12" i="24"/>
  <c r="AD165" i="12"/>
  <c r="DU7" i="11"/>
  <c r="DX7" i="11" s="1"/>
  <c r="AD170" i="12"/>
  <c r="DU63" i="11"/>
  <c r="AD173" i="12"/>
  <c r="DS88" i="11"/>
  <c r="DU86" i="11"/>
  <c r="DX86" i="11" s="1"/>
  <c r="AE173" i="12" s="1"/>
  <c r="AE20" i="21" s="1"/>
  <c r="DK78" i="11"/>
  <c r="CX61" i="17"/>
  <c r="CW60" i="17"/>
  <c r="CX60" i="17" s="1"/>
  <c r="CY60" i="17" s="1"/>
  <c r="CX64" i="17"/>
  <c r="CX80" i="17" s="1"/>
  <c r="CW63" i="17"/>
  <c r="CX63" i="17" s="1"/>
  <c r="CY63" i="17" s="1"/>
  <c r="BA14" i="11"/>
  <c r="BB14" i="11" s="1"/>
  <c r="AY14" i="11"/>
  <c r="AX16" i="11"/>
  <c r="CO14" i="11"/>
  <c r="CP14" i="11" s="1"/>
  <c r="CM14" i="11"/>
  <c r="CL16" i="11"/>
  <c r="N30" i="12"/>
  <c r="AP64" i="11"/>
  <c r="AR64" i="11"/>
  <c r="AB23" i="21"/>
  <c r="L562" i="7"/>
  <c r="L469" i="7"/>
  <c r="L463" i="7"/>
  <c r="Z463" i="7"/>
  <c r="CK103" i="17"/>
  <c r="CL70" i="17"/>
  <c r="CK69" i="17"/>
  <c r="CK85" i="17" s="1"/>
  <c r="L34" i="6"/>
  <c r="L78" i="6"/>
  <c r="K29" i="6"/>
  <c r="K78" i="6" s="1"/>
  <c r="H388" i="7"/>
  <c r="H382" i="7"/>
  <c r="H462" i="7"/>
  <c r="F32" i="24" s="1"/>
  <c r="H561" i="7"/>
  <c r="H474" i="7"/>
  <c r="F33" i="24" s="1"/>
  <c r="H468" i="7"/>
  <c r="F34" i="24" s="1"/>
  <c r="H459" i="7"/>
  <c r="F31" i="24"/>
  <c r="L367" i="7"/>
  <c r="L361" i="7"/>
  <c r="BG71" i="6"/>
  <c r="DD34" i="6"/>
  <c r="DD78" i="6"/>
  <c r="X388" i="7"/>
  <c r="X382" i="7"/>
  <c r="X462" i="7"/>
  <c r="V32" i="24" s="1"/>
  <c r="X561" i="7"/>
  <c r="X474" i="7"/>
  <c r="V33" i="24" s="1"/>
  <c r="X468" i="7"/>
  <c r="V34" i="24" s="1"/>
  <c r="X459" i="7"/>
  <c r="V31" i="24"/>
  <c r="BP51" i="24"/>
  <c r="AQ51" i="24"/>
  <c r="BB51" i="24"/>
  <c r="AC51" i="24"/>
  <c r="AJ51" i="24"/>
  <c r="AH51" i="24"/>
  <c r="BQ51" i="24"/>
  <c r="AS51" i="24"/>
  <c r="AB51" i="24"/>
  <c r="D51" i="24"/>
  <c r="AY51" i="24"/>
  <c r="BV54" i="24"/>
  <c r="AX51" i="24"/>
  <c r="BM51" i="24"/>
  <c r="D284" i="2"/>
  <c r="AU101" i="2"/>
  <c r="AC66" i="21"/>
  <c r="AC27" i="21"/>
  <c r="EH36" i="6"/>
  <c r="AD185" i="12"/>
  <c r="AD68" i="21"/>
  <c r="CE14" i="11"/>
  <c r="CF14" i="11" s="1"/>
  <c r="CC14" i="11"/>
  <c r="CB16" i="11"/>
  <c r="DI14" i="11"/>
  <c r="DG14" i="11"/>
  <c r="DF16" i="11"/>
  <c r="M56" i="21"/>
  <c r="M83" i="8"/>
  <c r="M115" i="8"/>
  <c r="M146" i="8"/>
  <c r="U56" i="21"/>
  <c r="U83" i="8"/>
  <c r="U115" i="8"/>
  <c r="U146" i="8"/>
  <c r="M78" i="6"/>
  <c r="M34" i="6"/>
  <c r="EC78" i="6"/>
  <c r="EC34" i="6"/>
  <c r="AA17" i="24"/>
  <c r="V139" i="12"/>
  <c r="CD26" i="11" s="1"/>
  <c r="CE11" i="11"/>
  <c r="V73" i="12" s="1"/>
  <c r="AB139" i="12"/>
  <c r="DH26" i="11" s="1"/>
  <c r="DI11" i="11"/>
  <c r="AD175" i="12"/>
  <c r="DS103" i="11"/>
  <c r="DU101" i="11"/>
  <c r="DX101" i="11" s="1"/>
  <c r="AE175" i="12" s="1"/>
  <c r="AE22" i="21" s="1"/>
  <c r="AD67" i="21"/>
  <c r="G196" i="2"/>
  <c r="BZ170" i="17"/>
  <c r="BY169" i="17"/>
  <c r="BY182" i="17" s="1"/>
  <c r="BY256" i="17"/>
  <c r="BY257" i="17" s="1"/>
  <c r="BZ227" i="17"/>
  <c r="BY226" i="17"/>
  <c r="BY239" i="17" s="1"/>
  <c r="CH164" i="17"/>
  <c r="R14" i="11"/>
  <c r="S14" i="11" s="1"/>
  <c r="P14" i="11"/>
  <c r="O16" i="11"/>
  <c r="AL14" i="11"/>
  <c r="AM14" i="11" s="1"/>
  <c r="AJ14" i="11"/>
  <c r="AI16" i="11"/>
  <c r="BF14" i="11"/>
  <c r="BD14" i="11"/>
  <c r="BC16" i="11"/>
  <c r="BZ14" i="11"/>
  <c r="BX14" i="11"/>
  <c r="BW16" i="11"/>
  <c r="CT14" i="11"/>
  <c r="CU14" i="11" s="1"/>
  <c r="CR14" i="11"/>
  <c r="CQ16" i="11"/>
  <c r="AD166" i="12"/>
  <c r="DU8" i="11"/>
  <c r="J30" i="12"/>
  <c r="V64" i="11"/>
  <c r="X64" i="11"/>
  <c r="Z30" i="12"/>
  <c r="CX64" i="11"/>
  <c r="CZ64" i="11"/>
  <c r="P562" i="7"/>
  <c r="P469" i="7"/>
  <c r="P463" i="7"/>
  <c r="K563" i="7"/>
  <c r="K470" i="7"/>
  <c r="K464" i="7"/>
  <c r="S563" i="7"/>
  <c r="S470" i="7"/>
  <c r="S464" i="7"/>
  <c r="I675" i="7"/>
  <c r="I665" i="7"/>
  <c r="M675" i="7"/>
  <c r="M665" i="7"/>
  <c r="Q675" i="7"/>
  <c r="Q665" i="7"/>
  <c r="U675" i="7"/>
  <c r="U665" i="7"/>
  <c r="Y686" i="7"/>
  <c r="Y675" i="7"/>
  <c r="Y665" i="7"/>
  <c r="I367" i="7"/>
  <c r="I361" i="7"/>
  <c r="M561" i="7"/>
  <c r="M474" i="7"/>
  <c r="K33" i="24" s="1"/>
  <c r="M468" i="7"/>
  <c r="K34" i="24" s="1"/>
  <c r="M459" i="7"/>
  <c r="M462" i="7"/>
  <c r="K32" i="24" s="1"/>
  <c r="K31" i="24"/>
  <c r="BZ78" i="6"/>
  <c r="BZ34" i="6"/>
  <c r="U388" i="7"/>
  <c r="U382" i="7"/>
  <c r="Y367" i="7"/>
  <c r="Y361" i="7"/>
  <c r="Q562" i="7"/>
  <c r="Q469" i="7"/>
  <c r="Q463" i="7"/>
  <c r="EG84" i="6"/>
  <c r="EL35" i="6"/>
  <c r="EL84" i="6" s="1"/>
  <c r="H675" i="7"/>
  <c r="H665" i="7"/>
  <c r="P675" i="7"/>
  <c r="P665" i="7"/>
  <c r="X686" i="7"/>
  <c r="X675" i="7"/>
  <c r="X665" i="7"/>
  <c r="W89" i="6"/>
  <c r="BS89" i="6"/>
  <c r="AT103" i="2"/>
  <c r="EG96" i="6"/>
  <c r="BG12" i="11"/>
  <c r="R139" i="12"/>
  <c r="BJ26" i="11" s="1"/>
  <c r="BK11" i="11"/>
  <c r="AB15" i="21"/>
  <c r="AC26" i="21"/>
  <c r="C291" i="2"/>
  <c r="G67" i="20" s="1"/>
  <c r="X67" i="20" s="1"/>
  <c r="K640" i="7"/>
  <c r="K632" i="7"/>
  <c r="O640" i="7"/>
  <c r="O632" i="7"/>
  <c r="S640" i="7"/>
  <c r="S632" i="7"/>
  <c r="W640" i="7"/>
  <c r="W632" i="7"/>
  <c r="K561" i="7"/>
  <c r="K474" i="7"/>
  <c r="I33" i="24" s="1"/>
  <c r="K468" i="7"/>
  <c r="I34" i="24" s="1"/>
  <c r="K459" i="7"/>
  <c r="K462" i="7"/>
  <c r="I32" i="24" s="1"/>
  <c r="I31" i="24"/>
  <c r="BN78" i="6"/>
  <c r="BN34" i="6"/>
  <c r="BM29" i="6"/>
  <c r="S388" i="7"/>
  <c r="S382" i="7"/>
  <c r="W367" i="7"/>
  <c r="W361" i="7"/>
  <c r="Y31" i="24"/>
  <c r="J464" i="7"/>
  <c r="J563" i="7"/>
  <c r="J470" i="7"/>
  <c r="N464" i="7"/>
  <c r="N563" i="7"/>
  <c r="N470" i="7"/>
  <c r="R464" i="7"/>
  <c r="R563" i="7"/>
  <c r="R470" i="7"/>
  <c r="V464" i="7"/>
  <c r="V563" i="7"/>
  <c r="V470" i="7"/>
  <c r="Z464" i="7"/>
  <c r="AV34" i="6"/>
  <c r="AV78" i="6"/>
  <c r="AU29" i="6"/>
  <c r="N388" i="7"/>
  <c r="N382" i="7"/>
  <c r="N462" i="7"/>
  <c r="L32" i="24" s="1"/>
  <c r="N561" i="7"/>
  <c r="N474" i="7"/>
  <c r="L33" i="24" s="1"/>
  <c r="N468" i="7"/>
  <c r="L34" i="24" s="1"/>
  <c r="N459" i="7"/>
  <c r="L31" i="24"/>
  <c r="R367" i="7"/>
  <c r="R361" i="7"/>
  <c r="G465" i="20"/>
  <c r="X465" i="20" s="1"/>
  <c r="AT260" i="2"/>
  <c r="Q89" i="6"/>
  <c r="BM89" i="6"/>
  <c r="DI89" i="6"/>
  <c r="AB124" i="21"/>
  <c r="L56" i="21"/>
  <c r="L83" i="8"/>
  <c r="L115" i="8"/>
  <c r="L146" i="8"/>
  <c r="P56" i="21"/>
  <c r="P83" i="8"/>
  <c r="P115" i="8"/>
  <c r="P146" i="8"/>
  <c r="T56" i="21"/>
  <c r="T83" i="8"/>
  <c r="T115" i="8"/>
  <c r="T146" i="8"/>
  <c r="X56" i="21"/>
  <c r="X83" i="8"/>
  <c r="X115" i="8"/>
  <c r="X146" i="8"/>
  <c r="AB56" i="21"/>
  <c r="AB83" i="8"/>
  <c r="AB115" i="8"/>
  <c r="AC122" i="8" s="1"/>
  <c r="AB146" i="8"/>
  <c r="M562" i="7"/>
  <c r="M469" i="7"/>
  <c r="M463" i="7"/>
  <c r="EN84" i="6"/>
  <c r="EM35" i="6"/>
  <c r="H367" i="7"/>
  <c r="H361" i="7"/>
  <c r="AI71" i="6"/>
  <c r="CF34" i="6"/>
  <c r="CF78" i="6"/>
  <c r="T388" i="7"/>
  <c r="T382" i="7"/>
  <c r="T462" i="7"/>
  <c r="R32" i="24" s="1"/>
  <c r="T561" i="7"/>
  <c r="T474" i="7"/>
  <c r="R33" i="24" s="1"/>
  <c r="T468" i="7"/>
  <c r="R34" i="24" s="1"/>
  <c r="T459" i="7"/>
  <c r="R31" i="24"/>
  <c r="X367" i="7"/>
  <c r="X361" i="7"/>
  <c r="EA71" i="6"/>
  <c r="AD114" i="8"/>
  <c r="AE114" i="8" s="1"/>
  <c r="AF114" i="8" s="1"/>
  <c r="Q338" i="17"/>
  <c r="O338" i="17"/>
  <c r="P338" i="17"/>
  <c r="EI58" i="11"/>
  <c r="C292" i="2"/>
  <c r="G68" i="20" s="1"/>
  <c r="X68" i="20" s="1"/>
  <c r="DK111" i="11"/>
  <c r="DP111" i="11" s="1"/>
  <c r="DF112" i="11"/>
  <c r="DF113" i="11"/>
  <c r="AP51" i="24"/>
  <c r="AM12" i="11"/>
  <c r="N139" i="12"/>
  <c r="AP26" i="11" s="1"/>
  <c r="AQ11" i="11"/>
  <c r="N73" i="12" s="1"/>
  <c r="C306" i="2"/>
  <c r="AT101" i="2"/>
  <c r="DU50" i="11"/>
  <c r="DV47" i="11"/>
  <c r="AD197" i="12" s="1"/>
  <c r="AD433" i="7" s="1"/>
  <c r="N562" i="7"/>
  <c r="N469" i="7"/>
  <c r="N463" i="7"/>
  <c r="CJ166" i="17"/>
  <c r="CK166" i="17" s="1"/>
  <c r="CL166" i="17" s="1"/>
  <c r="CM166" i="17" s="1"/>
  <c r="CL221" i="17"/>
  <c r="CJ220" i="17"/>
  <c r="CK220" i="17" s="1"/>
  <c r="CL220" i="17" s="1"/>
  <c r="CM220" i="17" s="1"/>
  <c r="O562" i="7"/>
  <c r="O469" i="7"/>
  <c r="O463" i="7"/>
  <c r="EM32" i="6"/>
  <c r="EG81" i="6"/>
  <c r="I30" i="12"/>
  <c r="Q64" i="11"/>
  <c r="S64" i="11"/>
  <c r="Q30" i="12"/>
  <c r="BE64" i="11"/>
  <c r="BG64" i="11"/>
  <c r="Y30" i="12"/>
  <c r="CS64" i="11"/>
  <c r="CU64" i="11"/>
  <c r="AD174" i="12"/>
  <c r="DU102" i="11"/>
  <c r="H139" i="12"/>
  <c r="L26" i="11" s="1"/>
  <c r="M11" i="11"/>
  <c r="H73" i="12" s="1"/>
  <c r="L139" i="12"/>
  <c r="AF26" i="11" s="1"/>
  <c r="AG11" i="11"/>
  <c r="L73" i="12" s="1"/>
  <c r="T139" i="12"/>
  <c r="BT26" i="11" s="1"/>
  <c r="BU11" i="11"/>
  <c r="T73" i="12" s="1"/>
  <c r="M563" i="7"/>
  <c r="M470" i="7"/>
  <c r="M464" i="7"/>
  <c r="U563" i="7"/>
  <c r="U470" i="7"/>
  <c r="U464" i="7"/>
  <c r="I561" i="7"/>
  <c r="I474" i="7"/>
  <c r="G33" i="24" s="1"/>
  <c r="I468" i="7"/>
  <c r="G34" i="24" s="1"/>
  <c r="I459" i="7"/>
  <c r="I462" i="7"/>
  <c r="G32" i="24" s="1"/>
  <c r="G31" i="24"/>
  <c r="BA71" i="6"/>
  <c r="BB78" i="6"/>
  <c r="BB34" i="6"/>
  <c r="BA29" i="6"/>
  <c r="Q388" i="7"/>
  <c r="Q382" i="7"/>
  <c r="U367" i="7"/>
  <c r="U361" i="7"/>
  <c r="Y561" i="7"/>
  <c r="Y474" i="7"/>
  <c r="W33" i="24" s="1"/>
  <c r="Y468" i="7"/>
  <c r="W34" i="24" s="1"/>
  <c r="Y459" i="7"/>
  <c r="Y462" i="7"/>
  <c r="W32" i="24" s="1"/>
  <c r="W31" i="24"/>
  <c r="CB85" i="17"/>
  <c r="CC85" i="17"/>
  <c r="CH237" i="17"/>
  <c r="CG225" i="17"/>
  <c r="G562" i="7"/>
  <c r="G469" i="7"/>
  <c r="AU89" i="6"/>
  <c r="CQ89" i="6"/>
  <c r="AB14" i="11"/>
  <c r="AC14" i="11" s="1"/>
  <c r="Z14" i="11"/>
  <c r="Y16" i="11"/>
  <c r="AV14" i="11"/>
  <c r="AW14" i="11" s="1"/>
  <c r="AT14" i="11"/>
  <c r="AS16" i="11"/>
  <c r="BP14" i="11"/>
  <c r="BQ14" i="11" s="1"/>
  <c r="BN14" i="11"/>
  <c r="BM16" i="11"/>
  <c r="CJ14" i="11"/>
  <c r="CK14" i="11" s="1"/>
  <c r="CH14" i="11"/>
  <c r="CG16" i="11"/>
  <c r="DD14" i="11"/>
  <c r="DB14" i="11"/>
  <c r="DA16" i="11"/>
  <c r="AD169" i="12"/>
  <c r="DU62" i="11"/>
  <c r="EG89" i="6"/>
  <c r="W14" i="11"/>
  <c r="U14" i="11"/>
  <c r="T16" i="11"/>
  <c r="CY14" i="11"/>
  <c r="CW14" i="11"/>
  <c r="CV16" i="11"/>
  <c r="J562" i="7"/>
  <c r="J469" i="7"/>
  <c r="J463" i="7"/>
  <c r="AA650" i="7"/>
  <c r="AA632" i="7"/>
  <c r="K367" i="7"/>
  <c r="K361" i="7"/>
  <c r="O561" i="7"/>
  <c r="O474" i="7"/>
  <c r="M33" i="24" s="1"/>
  <c r="O468" i="7"/>
  <c r="M34" i="24" s="1"/>
  <c r="O459" i="7"/>
  <c r="O462" i="7"/>
  <c r="M32" i="24" s="1"/>
  <c r="M31" i="24"/>
  <c r="CL78" i="6"/>
  <c r="CL34" i="6"/>
  <c r="CK29" i="6"/>
  <c r="W388" i="7"/>
  <c r="W382" i="7"/>
  <c r="CS68" i="17"/>
  <c r="S562" i="7"/>
  <c r="S469" i="7"/>
  <c r="S463" i="7"/>
  <c r="W71" i="6"/>
  <c r="BT34" i="6"/>
  <c r="BT78" i="6"/>
  <c r="BS29" i="6"/>
  <c r="R388" i="7"/>
  <c r="R382" i="7"/>
  <c r="R462" i="7"/>
  <c r="P32" i="24" s="1"/>
  <c r="R561" i="7"/>
  <c r="R474" i="7"/>
  <c r="P33" i="24" s="1"/>
  <c r="R468" i="7"/>
  <c r="P34" i="24" s="1"/>
  <c r="R459" i="7"/>
  <c r="P31" i="24"/>
  <c r="V367" i="7"/>
  <c r="V361" i="7"/>
  <c r="DO71" i="6"/>
  <c r="EH76" i="6"/>
  <c r="EG27" i="6"/>
  <c r="EG76" i="6" s="1"/>
  <c r="BU54" i="24"/>
  <c r="BU52" i="24"/>
  <c r="BM50" i="24"/>
  <c r="AZ50" i="24"/>
  <c r="AX50" i="24"/>
  <c r="AV50" i="24"/>
  <c r="BU53" i="24"/>
  <c r="BU51" i="24"/>
  <c r="AY50" i="24"/>
  <c r="AW50" i="24"/>
  <c r="D50" i="24"/>
  <c r="AG50" i="24"/>
  <c r="BR50" i="24"/>
  <c r="BQ50" i="24"/>
  <c r="BD50" i="24"/>
  <c r="AH50" i="24"/>
  <c r="AN50" i="24"/>
  <c r="AJ50" i="24"/>
  <c r="AB50" i="24"/>
  <c r="AI50" i="24"/>
  <c r="AS50" i="24"/>
  <c r="AC50" i="24"/>
  <c r="AM50" i="24"/>
  <c r="AQ50" i="24"/>
  <c r="AR50" i="24"/>
  <c r="AE50" i="24"/>
  <c r="AK50" i="24"/>
  <c r="BB50" i="24"/>
  <c r="BP50" i="24"/>
  <c r="C289" i="2"/>
  <c r="G153" i="20" s="1"/>
  <c r="X153" i="20" s="1"/>
  <c r="AC438" i="12"/>
  <c r="AC443" i="12" s="1"/>
  <c r="CS62" i="17"/>
  <c r="AW12" i="11"/>
  <c r="P139" i="12"/>
  <c r="AZ26" i="11" s="1"/>
  <c r="BA11" i="11"/>
  <c r="P73" i="12" s="1"/>
  <c r="CK12" i="11"/>
  <c r="X139" i="12"/>
  <c r="CN26" i="11" s="1"/>
  <c r="CO11" i="11"/>
  <c r="X73" i="12" s="1"/>
  <c r="H30" i="12"/>
  <c r="L64" i="11"/>
  <c r="N64" i="11"/>
  <c r="V30" i="12"/>
  <c r="CD64" i="11"/>
  <c r="CF64" i="11"/>
  <c r="D299" i="2"/>
  <c r="AU131" i="2"/>
  <c r="T562" i="7"/>
  <c r="T469" i="7"/>
  <c r="T463" i="7"/>
  <c r="AO89" i="6"/>
  <c r="CK89" i="6"/>
  <c r="H56" i="21"/>
  <c r="H83" i="8"/>
  <c r="H115" i="8"/>
  <c r="H122" i="8" s="1"/>
  <c r="H146" i="8"/>
  <c r="AD166" i="8"/>
  <c r="AD77" i="8"/>
  <c r="AD82" i="8" s="1"/>
  <c r="AD62" i="8"/>
  <c r="BC78" i="6"/>
  <c r="BC34" i="6"/>
  <c r="CY78" i="6"/>
  <c r="CY34" i="6"/>
  <c r="BC53" i="24"/>
  <c r="BC51" i="24"/>
  <c r="BC50" i="24"/>
  <c r="BC44" i="24"/>
  <c r="BC42" i="24"/>
  <c r="BC30" i="24"/>
  <c r="AC30" i="24"/>
  <c r="AZ29" i="24"/>
  <c r="AX29" i="24"/>
  <c r="AV29" i="24"/>
  <c r="D29" i="24"/>
  <c r="BC54" i="24"/>
  <c r="BC52" i="24"/>
  <c r="BC49" i="24"/>
  <c r="BC46" i="24"/>
  <c r="BC45" i="24"/>
  <c r="BC43" i="24"/>
  <c r="BC39" i="24"/>
  <c r="AD30" i="24"/>
  <c r="AY29" i="24"/>
  <c r="AW29" i="24"/>
  <c r="AG29" i="24"/>
  <c r="AI29" i="24"/>
  <c r="AS29" i="24"/>
  <c r="AH29" i="24"/>
  <c r="AN29" i="24"/>
  <c r="AJ29" i="24"/>
  <c r="AK29" i="24"/>
  <c r="AE29" i="24"/>
  <c r="BB29" i="24"/>
  <c r="AB29" i="24"/>
  <c r="AM29" i="24"/>
  <c r="AQ29" i="24"/>
  <c r="AR29" i="24"/>
  <c r="BH34" i="6"/>
  <c r="BH78" i="6"/>
  <c r="P388" i="7"/>
  <c r="P382" i="7"/>
  <c r="P462" i="7"/>
  <c r="N32" i="24" s="1"/>
  <c r="P561" i="7"/>
  <c r="P474" i="7"/>
  <c r="N33" i="24" s="1"/>
  <c r="P468" i="7"/>
  <c r="N34" i="24" s="1"/>
  <c r="P459" i="7"/>
  <c r="N31" i="24"/>
  <c r="T367" i="7"/>
  <c r="T361" i="7"/>
  <c r="EN76" i="6"/>
  <c r="EM27" i="6"/>
  <c r="AR51" i="24"/>
  <c r="AM51" i="24"/>
  <c r="AE51" i="24"/>
  <c r="AK51" i="24"/>
  <c r="AN51" i="24"/>
  <c r="BD51" i="24"/>
  <c r="BR51" i="24"/>
  <c r="AI51" i="24"/>
  <c r="AG51" i="24"/>
  <c r="AW51" i="24"/>
  <c r="BV52" i="24"/>
  <c r="AV51" i="24"/>
  <c r="AZ51" i="24"/>
  <c r="AB3" i="16" l="1"/>
  <c r="AE2" i="16"/>
  <c r="AC3" i="16"/>
  <c r="AA3" i="16"/>
  <c r="AD3" i="16"/>
  <c r="AA410" i="20"/>
  <c r="AC454" i="7"/>
  <c r="AA419" i="20"/>
  <c r="AC410" i="20"/>
  <c r="AC417" i="20"/>
  <c r="AA417" i="20"/>
  <c r="EU73" i="6"/>
  <c r="EW35" i="6"/>
  <c r="FC84" i="6" s="1"/>
  <c r="AE99" i="21"/>
  <c r="ET84" i="6"/>
  <c r="EZ84" i="6"/>
  <c r="C319" i="2"/>
  <c r="E233" i="20" s="1"/>
  <c r="V233" i="20" s="1"/>
  <c r="J381" i="20"/>
  <c r="AA381" i="20" s="1"/>
  <c r="L345" i="20"/>
  <c r="AC345" i="20" s="1"/>
  <c r="J425" i="20"/>
  <c r="I351" i="20"/>
  <c r="Z351" i="20" s="1"/>
  <c r="AX217" i="2"/>
  <c r="AW217" i="2"/>
  <c r="J351" i="20"/>
  <c r="AA351" i="20" s="1"/>
  <c r="C288" i="2"/>
  <c r="E225" i="20" s="1"/>
  <c r="V225" i="20" s="1"/>
  <c r="EV89" i="6"/>
  <c r="AX194" i="2"/>
  <c r="EY35" i="6"/>
  <c r="FD35" i="6" s="1"/>
  <c r="FD84" i="6" s="1"/>
  <c r="FB89" i="6"/>
  <c r="AF168" i="7"/>
  <c r="AE168" i="7"/>
  <c r="G189" i="2"/>
  <c r="L413" i="20"/>
  <c r="G197" i="2"/>
  <c r="AW206" i="2"/>
  <c r="EY40" i="6"/>
  <c r="EY89" i="6" s="1"/>
  <c r="K381" i="20"/>
  <c r="AB381" i="20" s="1"/>
  <c r="ES84" i="6"/>
  <c r="AD488" i="7"/>
  <c r="AD489" i="7" s="1"/>
  <c r="AE420" i="7"/>
  <c r="AF420" i="7" s="1"/>
  <c r="AF109" i="21" s="1"/>
  <c r="E244" i="2"/>
  <c r="G225" i="2"/>
  <c r="AV217" i="2"/>
  <c r="I413" i="20"/>
  <c r="Z413" i="20" s="1"/>
  <c r="H413" i="20"/>
  <c r="L387" i="20"/>
  <c r="AC387" i="20" s="1"/>
  <c r="M387" i="20"/>
  <c r="AD387" i="20" s="1"/>
  <c r="AX210" i="2"/>
  <c r="F197" i="2"/>
  <c r="G206" i="2"/>
  <c r="AD62" i="21"/>
  <c r="E191" i="2"/>
  <c r="H381" i="20"/>
  <c r="Y381" i="20" s="1"/>
  <c r="I381" i="20"/>
  <c r="Z381" i="20" s="1"/>
  <c r="AV206" i="2"/>
  <c r="H425" i="20"/>
  <c r="AV225" i="2"/>
  <c r="I425" i="20"/>
  <c r="Z425" i="20" s="1"/>
  <c r="M536" i="20"/>
  <c r="AD536" i="20" s="1"/>
  <c r="L536" i="20"/>
  <c r="AC536" i="20" s="1"/>
  <c r="AX249" i="2"/>
  <c r="L540" i="20"/>
  <c r="AC540" i="20" s="1"/>
  <c r="M540" i="20"/>
  <c r="AD540" i="20" s="1"/>
  <c r="AX252" i="2"/>
  <c r="AV196" i="2"/>
  <c r="H351" i="20"/>
  <c r="Y351" i="20" s="1"/>
  <c r="E195" i="2"/>
  <c r="E105" i="2"/>
  <c r="E110" i="2"/>
  <c r="E131" i="2"/>
  <c r="AV131" i="2" s="1"/>
  <c r="E136" i="2"/>
  <c r="E142" i="2"/>
  <c r="E102" i="2"/>
  <c r="AV102" i="2" s="1"/>
  <c r="F111" i="2"/>
  <c r="AW111" i="2" s="1"/>
  <c r="E111" i="2"/>
  <c r="F109" i="2"/>
  <c r="AW109" i="2" s="1"/>
  <c r="E109" i="2"/>
  <c r="E106" i="2"/>
  <c r="E101" i="2"/>
  <c r="E108" i="2"/>
  <c r="AF301" i="7"/>
  <c r="EZ27" i="6"/>
  <c r="EY27" i="6" s="1"/>
  <c r="FD32" i="6" s="1"/>
  <c r="FD81" i="6" s="1"/>
  <c r="ES32" i="6"/>
  <c r="EY81" i="6" s="1"/>
  <c r="AE586" i="7"/>
  <c r="AE593" i="7" s="1"/>
  <c r="AF162" i="7"/>
  <c r="AF586" i="7" s="1"/>
  <c r="AF630" i="7"/>
  <c r="AF485" i="7"/>
  <c r="AF707" i="7"/>
  <c r="AF709" i="7" s="1"/>
  <c r="AF62" i="21" s="1"/>
  <c r="AF308" i="7"/>
  <c r="AF190" i="8"/>
  <c r="AF159" i="8"/>
  <c r="AF173" i="8"/>
  <c r="AF215" i="8"/>
  <c r="AF82" i="8"/>
  <c r="W422" i="20"/>
  <c r="W424" i="20"/>
  <c r="W421" i="20"/>
  <c r="W430" i="20"/>
  <c r="W431" i="20"/>
  <c r="W423" i="20"/>
  <c r="W432" i="20"/>
  <c r="Y150" i="12"/>
  <c r="AB665" i="7"/>
  <c r="BC665" i="7" s="1"/>
  <c r="CE116" i="17"/>
  <c r="CF116" i="17"/>
  <c r="CD117" i="17"/>
  <c r="CC107" i="17"/>
  <c r="CG116" i="17"/>
  <c r="CB78" i="6"/>
  <c r="CG168" i="17"/>
  <c r="X122" i="8"/>
  <c r="T122" i="8"/>
  <c r="P122" i="8"/>
  <c r="L122" i="8"/>
  <c r="BY29" i="6"/>
  <c r="BY78" i="6" s="1"/>
  <c r="CH106" i="17"/>
  <c r="CH117" i="17" s="1"/>
  <c r="Y611" i="7"/>
  <c r="Y604" i="7"/>
  <c r="Y612" i="7" s="1"/>
  <c r="AA471" i="7"/>
  <c r="AA465" i="7"/>
  <c r="AB578" i="7"/>
  <c r="BC578" i="7" s="1"/>
  <c r="AB585" i="7"/>
  <c r="AC592" i="7" s="1"/>
  <c r="AB572" i="7"/>
  <c r="BC572" i="7" s="1"/>
  <c r="AB603" i="7"/>
  <c r="Z565" i="7"/>
  <c r="Z570" i="7"/>
  <c r="X36" i="24" s="1"/>
  <c r="Z576" i="7"/>
  <c r="X37" i="24" s="1"/>
  <c r="Z572" i="7"/>
  <c r="Z578" i="7"/>
  <c r="Z585" i="7"/>
  <c r="Z603" i="7"/>
  <c r="AC587" i="7"/>
  <c r="AG587" i="7" s="1"/>
  <c r="AC597" i="7"/>
  <c r="AC572" i="7"/>
  <c r="AC576" i="7"/>
  <c r="AC565" i="7"/>
  <c r="AC570" i="7"/>
  <c r="AA571" i="7"/>
  <c r="AA577" i="7"/>
  <c r="Y18" i="24" s="1"/>
  <c r="AB565" i="7"/>
  <c r="AB570" i="7"/>
  <c r="BC570" i="7" s="1"/>
  <c r="AB576" i="7"/>
  <c r="BC576" i="7" s="1"/>
  <c r="AB577" i="7"/>
  <c r="AB571" i="7"/>
  <c r="BC571" i="7" s="1"/>
  <c r="X611" i="7"/>
  <c r="X604" i="7"/>
  <c r="X612" i="7" s="1"/>
  <c r="AA570" i="7"/>
  <c r="Y36" i="24" s="1"/>
  <c r="AA576" i="7"/>
  <c r="Y37" i="24" s="1"/>
  <c r="AA565" i="7"/>
  <c r="AA572" i="7"/>
  <c r="AA578" i="7"/>
  <c r="AA585" i="7"/>
  <c r="AA603" i="7"/>
  <c r="AC611" i="7"/>
  <c r="AC465" i="7"/>
  <c r="AC471" i="7"/>
  <c r="AB471" i="7"/>
  <c r="BC471" i="7" s="1"/>
  <c r="AB465" i="7"/>
  <c r="BC465" i="7" s="1"/>
  <c r="Z571" i="7"/>
  <c r="Z577" i="7"/>
  <c r="X18" i="24" s="1"/>
  <c r="AE68" i="21"/>
  <c r="BC563" i="7"/>
  <c r="AE185" i="12"/>
  <c r="AE371" i="12"/>
  <c r="AE124" i="21" s="1"/>
  <c r="AC113" i="7"/>
  <c r="AC123" i="7" s="1"/>
  <c r="AC122" i="7"/>
  <c r="Z78" i="6"/>
  <c r="DC71" i="6"/>
  <c r="W29" i="6"/>
  <c r="W78" i="6" s="1"/>
  <c r="AF78" i="6"/>
  <c r="AD109" i="21"/>
  <c r="EM47" i="6"/>
  <c r="EM96" i="6" s="1"/>
  <c r="AD430" i="12"/>
  <c r="AD433" i="12" s="1"/>
  <c r="DM11" i="11"/>
  <c r="DM81" i="11" s="1"/>
  <c r="DN81" i="11" s="1"/>
  <c r="DO81" i="11" s="1"/>
  <c r="DO11" i="11"/>
  <c r="DO14" i="11"/>
  <c r="DN16" i="11"/>
  <c r="DP113" i="11"/>
  <c r="DP112" i="11"/>
  <c r="DP98" i="11"/>
  <c r="DP97" i="11"/>
  <c r="AD267" i="12"/>
  <c r="AD273" i="12" s="1"/>
  <c r="AD542" i="7"/>
  <c r="AD549" i="7" s="1"/>
  <c r="AD33" i="21"/>
  <c r="AE260" i="12"/>
  <c r="F142" i="2" s="1"/>
  <c r="AC143" i="12"/>
  <c r="AC446" i="12"/>
  <c r="AC451" i="12" s="1"/>
  <c r="AC37" i="21"/>
  <c r="AC447" i="12"/>
  <c r="AC452" i="12" s="1"/>
  <c r="AC448" i="12"/>
  <c r="AC453" i="12" s="1"/>
  <c r="AC339" i="12"/>
  <c r="AC346" i="12" s="1"/>
  <c r="AC32" i="21"/>
  <c r="AC31" i="21"/>
  <c r="AC305" i="12"/>
  <c r="AC331" i="12"/>
  <c r="DR78" i="6"/>
  <c r="DI71" i="6"/>
  <c r="BJ34" i="6"/>
  <c r="BJ39" i="6" s="1"/>
  <c r="DL34" i="6"/>
  <c r="DL83" i="6" s="1"/>
  <c r="CE71" i="6"/>
  <c r="BG29" i="6"/>
  <c r="BM78" i="6" s="1"/>
  <c r="CE29" i="6"/>
  <c r="CK78" i="6" s="1"/>
  <c r="CH78" i="6"/>
  <c r="CN78" i="6"/>
  <c r="BP78" i="6"/>
  <c r="EI62" i="11"/>
  <c r="EI63" i="11" s="1"/>
  <c r="DF78" i="6"/>
  <c r="DC29" i="6"/>
  <c r="DI78" i="6" s="1"/>
  <c r="DL78" i="6"/>
  <c r="K351" i="20"/>
  <c r="AB351" i="20" s="1"/>
  <c r="N104" i="21"/>
  <c r="N103" i="21"/>
  <c r="O11" i="21"/>
  <c r="AO2" i="6"/>
  <c r="AE275" i="17"/>
  <c r="AE139" i="17"/>
  <c r="AE196" i="17"/>
  <c r="AE218" i="17"/>
  <c r="AE161" i="17"/>
  <c r="AE253" i="17"/>
  <c r="AE122" i="17"/>
  <c r="AE4" i="17"/>
  <c r="AE58" i="17"/>
  <c r="AE99" i="17"/>
  <c r="AE39" i="17"/>
  <c r="AE20" i="17"/>
  <c r="N3" i="1"/>
  <c r="N117" i="8"/>
  <c r="EW81" i="6"/>
  <c r="AE112" i="7"/>
  <c r="AD113" i="7"/>
  <c r="AW196" i="2"/>
  <c r="BC562" i="7"/>
  <c r="BC459" i="7"/>
  <c r="BC561" i="7"/>
  <c r="AW225" i="2"/>
  <c r="K425" i="20"/>
  <c r="AB425" i="20" s="1"/>
  <c r="J413" i="20"/>
  <c r="M413" i="20"/>
  <c r="AD413" i="20" s="1"/>
  <c r="K413" i="20"/>
  <c r="AB413" i="20" s="1"/>
  <c r="AB122" i="8"/>
  <c r="AC35" i="21"/>
  <c r="BC34" i="24"/>
  <c r="AE190" i="8"/>
  <c r="AE159" i="8"/>
  <c r="ET27" i="6"/>
  <c r="AE308" i="7"/>
  <c r="AE707" i="7"/>
  <c r="AE709" i="7" s="1"/>
  <c r="F191" i="2" s="1"/>
  <c r="AE488" i="7"/>
  <c r="AE497" i="7"/>
  <c r="DB64" i="17"/>
  <c r="DB80" i="17" s="1"/>
  <c r="CZ63" i="17"/>
  <c r="DA63" i="17" s="1"/>
  <c r="DB63" i="17" s="1"/>
  <c r="DC63" i="17" s="1"/>
  <c r="CZ60" i="17"/>
  <c r="DA60" i="17" s="1"/>
  <c r="DB60" i="17" s="1"/>
  <c r="DC60" i="17" s="1"/>
  <c r="DB61" i="17"/>
  <c r="DB67" i="17"/>
  <c r="CZ66" i="17"/>
  <c r="DA66" i="17" s="1"/>
  <c r="DB66" i="17" s="1"/>
  <c r="DC66" i="17" s="1"/>
  <c r="AE301" i="7"/>
  <c r="AE173" i="8"/>
  <c r="AE215" i="8"/>
  <c r="AE180" i="8" s="1"/>
  <c r="AE82" i="8"/>
  <c r="CY333" i="17"/>
  <c r="EQ84" i="6"/>
  <c r="DA333" i="17"/>
  <c r="CZ337" i="17"/>
  <c r="CY337" i="17"/>
  <c r="DB335" i="17"/>
  <c r="DA335" i="17"/>
  <c r="CZ336" i="17"/>
  <c r="CY336" i="17"/>
  <c r="DB334" i="17"/>
  <c r="DA334" i="17"/>
  <c r="DB337" i="17"/>
  <c r="DA337" i="17"/>
  <c r="CZ335" i="17"/>
  <c r="CY335" i="17"/>
  <c r="DB336" i="17"/>
  <c r="DA336" i="17"/>
  <c r="CZ334" i="17"/>
  <c r="CY334" i="17"/>
  <c r="DB333" i="17"/>
  <c r="AE165" i="12"/>
  <c r="AE12" i="21" s="1"/>
  <c r="DV102" i="11"/>
  <c r="DV111" i="11" s="1"/>
  <c r="AD327" i="12" s="1"/>
  <c r="AD322" i="12" s="1"/>
  <c r="DX102" i="11"/>
  <c r="DZ101" i="11"/>
  <c r="EC101" i="11" s="1"/>
  <c r="DZ86" i="11"/>
  <c r="EC86" i="11" s="1"/>
  <c r="DV87" i="11"/>
  <c r="AD284" i="12" s="1"/>
  <c r="AD278" i="12" s="1"/>
  <c r="DX87" i="11"/>
  <c r="DZ57" i="11"/>
  <c r="EC57" i="11" s="1"/>
  <c r="DV58" i="11"/>
  <c r="AD219" i="12" s="1"/>
  <c r="AD205" i="12" s="1"/>
  <c r="DX58" i="11"/>
  <c r="DV62" i="11"/>
  <c r="AD223" i="12" s="1"/>
  <c r="AD210" i="12" s="1"/>
  <c r="E140" i="2" s="1"/>
  <c r="DX62" i="11"/>
  <c r="DV8" i="11"/>
  <c r="DX8" i="11"/>
  <c r="DV63" i="11"/>
  <c r="AD224" i="12" s="1"/>
  <c r="AD211" i="12" s="1"/>
  <c r="E141" i="2" s="1"/>
  <c r="AV141" i="2" s="1"/>
  <c r="DX63" i="11"/>
  <c r="DZ7" i="11"/>
  <c r="EC7" i="11" s="1"/>
  <c r="AD124" i="21"/>
  <c r="CX336" i="17"/>
  <c r="CX334" i="17"/>
  <c r="CX337" i="17"/>
  <c r="CX335" i="17"/>
  <c r="CX333" i="17"/>
  <c r="BC33" i="24"/>
  <c r="BC32" i="24"/>
  <c r="AU104" i="2"/>
  <c r="R122" i="8"/>
  <c r="J122" i="8"/>
  <c r="EA78" i="6"/>
  <c r="AU78" i="6"/>
  <c r="BA78" i="6"/>
  <c r="DO78" i="6"/>
  <c r="AO78" i="6"/>
  <c r="Z122" i="8"/>
  <c r="CW78" i="6"/>
  <c r="E231" i="20"/>
  <c r="V231" i="20" s="1"/>
  <c r="G577" i="7"/>
  <c r="E18" i="24" s="1"/>
  <c r="E238" i="20"/>
  <c r="V238" i="20" s="1"/>
  <c r="AO32" i="24"/>
  <c r="G471" i="7"/>
  <c r="EM76" i="6"/>
  <c r="BS78" i="6"/>
  <c r="E239" i="20"/>
  <c r="V239" i="20" s="1"/>
  <c r="E230" i="20"/>
  <c r="V230" i="20" s="1"/>
  <c r="AI78" i="6"/>
  <c r="E234" i="20"/>
  <c r="V234" i="20" s="1"/>
  <c r="P576" i="7"/>
  <c r="N37" i="24" s="1"/>
  <c r="P565" i="7"/>
  <c r="P570" i="7"/>
  <c r="N36" i="24" s="1"/>
  <c r="N35" i="24"/>
  <c r="N38" i="24" s="1"/>
  <c r="BH83" i="6"/>
  <c r="BH39" i="6"/>
  <c r="H160" i="8"/>
  <c r="H153" i="8"/>
  <c r="CU247" i="17"/>
  <c r="CU246" i="17"/>
  <c r="T577" i="7"/>
  <c r="R18" i="24" s="1"/>
  <c r="T571" i="7"/>
  <c r="C299" i="2"/>
  <c r="G150" i="20" s="1"/>
  <c r="X150" i="20" s="1"/>
  <c r="R576" i="7"/>
  <c r="P37" i="24" s="1"/>
  <c r="R565" i="7"/>
  <c r="R570" i="7"/>
  <c r="P36" i="24" s="1"/>
  <c r="P35" i="24"/>
  <c r="P38" i="24" s="1"/>
  <c r="BT83" i="6"/>
  <c r="BT39" i="6"/>
  <c r="BS34" i="6"/>
  <c r="S577" i="7"/>
  <c r="Q18" i="24" s="1"/>
  <c r="S571" i="7"/>
  <c r="CL83" i="6"/>
  <c r="CL39" i="6"/>
  <c r="CK34" i="6"/>
  <c r="O570" i="7"/>
  <c r="M36" i="24" s="1"/>
  <c r="O576" i="7"/>
  <c r="M37" i="24" s="1"/>
  <c r="O565" i="7"/>
  <c r="M35" i="24"/>
  <c r="M38" i="24" s="1"/>
  <c r="J577" i="7"/>
  <c r="H18" i="24" s="1"/>
  <c r="J571" i="7"/>
  <c r="CW16" i="11"/>
  <c r="U16" i="11"/>
  <c r="DB16" i="11"/>
  <c r="CH16" i="11"/>
  <c r="BN16" i="11"/>
  <c r="AT16" i="11"/>
  <c r="Z16" i="11"/>
  <c r="Y471" i="7"/>
  <c r="Y465" i="7"/>
  <c r="I471" i="7"/>
  <c r="I465" i="7"/>
  <c r="U603" i="7"/>
  <c r="U572" i="7"/>
  <c r="U585" i="7"/>
  <c r="U578" i="7"/>
  <c r="L171" i="12"/>
  <c r="L18" i="21" s="1"/>
  <c r="L138" i="12"/>
  <c r="AF25" i="11" s="1"/>
  <c r="AF11" i="11"/>
  <c r="AF81" i="11" s="1"/>
  <c r="AG81" i="11" s="1"/>
  <c r="AH81" i="11" s="1"/>
  <c r="AH11" i="11"/>
  <c r="AD21" i="21"/>
  <c r="O577" i="7"/>
  <c r="M18" i="24" s="1"/>
  <c r="O571" i="7"/>
  <c r="CL234" i="17"/>
  <c r="CK222" i="17"/>
  <c r="CL167" i="17"/>
  <c r="CU199" i="17"/>
  <c r="CU190" i="17"/>
  <c r="CU189" i="17"/>
  <c r="N577" i="7"/>
  <c r="L18" i="24" s="1"/>
  <c r="N571" i="7"/>
  <c r="N171" i="12"/>
  <c r="N18" i="21" s="1"/>
  <c r="N138" i="12"/>
  <c r="AP25" i="11" s="1"/>
  <c r="AP11" i="11"/>
  <c r="AP81" i="11" s="1"/>
  <c r="AQ81" i="11" s="1"/>
  <c r="AR81" i="11" s="1"/>
  <c r="AR11" i="11"/>
  <c r="DK112" i="11"/>
  <c r="DK113" i="11"/>
  <c r="AC409" i="12"/>
  <c r="AC421" i="12" s="1"/>
  <c r="T576" i="7"/>
  <c r="R37" i="24" s="1"/>
  <c r="T565" i="7"/>
  <c r="T570" i="7"/>
  <c r="R36" i="24" s="1"/>
  <c r="R35" i="24"/>
  <c r="R38" i="24" s="1"/>
  <c r="CF83" i="6"/>
  <c r="CF39" i="6"/>
  <c r="CE34" i="6"/>
  <c r="EM84" i="6"/>
  <c r="ER35" i="6"/>
  <c r="ER84" i="6" s="1"/>
  <c r="AB160" i="8"/>
  <c r="AB153" i="8"/>
  <c r="N576" i="7"/>
  <c r="L37" i="24" s="1"/>
  <c r="N565" i="7"/>
  <c r="N570" i="7"/>
  <c r="L36" i="24" s="1"/>
  <c r="L35" i="24"/>
  <c r="L38" i="24" s="1"/>
  <c r="AV83" i="6"/>
  <c r="AV39" i="6"/>
  <c r="AU34" i="6"/>
  <c r="R585" i="7"/>
  <c r="R578" i="7"/>
  <c r="R603" i="7"/>
  <c r="R572" i="7"/>
  <c r="J585" i="7"/>
  <c r="J578" i="7"/>
  <c r="J603" i="7"/>
  <c r="J572" i="7"/>
  <c r="K570" i="7"/>
  <c r="I36" i="24" s="1"/>
  <c r="K576" i="7"/>
  <c r="I37" i="24" s="1"/>
  <c r="K565" i="7"/>
  <c r="I35" i="24"/>
  <c r="I38" i="24" s="1"/>
  <c r="R171" i="12"/>
  <c r="R18" i="21" s="1"/>
  <c r="R138" i="12"/>
  <c r="BJ25" i="11" s="1"/>
  <c r="BJ11" i="11"/>
  <c r="BJ81" i="11" s="1"/>
  <c r="BK81" i="11" s="1"/>
  <c r="BL81" i="11" s="1"/>
  <c r="BL11" i="11"/>
  <c r="Q577" i="7"/>
  <c r="O18" i="24" s="1"/>
  <c r="Q571" i="7"/>
  <c r="M570" i="7"/>
  <c r="K36" i="24" s="1"/>
  <c r="M576" i="7"/>
  <c r="K37" i="24" s="1"/>
  <c r="M565" i="7"/>
  <c r="K35" i="24"/>
  <c r="K38" i="24" s="1"/>
  <c r="K603" i="7"/>
  <c r="K572" i="7"/>
  <c r="K585" i="7"/>
  <c r="K578" i="7"/>
  <c r="AD13" i="21"/>
  <c r="CU102" i="17"/>
  <c r="CU52" i="17"/>
  <c r="CU51" i="17"/>
  <c r="CR16" i="11"/>
  <c r="BX16" i="11"/>
  <c r="BD16" i="11"/>
  <c r="AJ16" i="11"/>
  <c r="P16" i="11"/>
  <c r="CH177" i="17"/>
  <c r="CG165" i="17"/>
  <c r="CA227" i="17"/>
  <c r="BZ226" i="17"/>
  <c r="BZ239" i="17" s="1"/>
  <c r="BZ256" i="17"/>
  <c r="BZ257" i="17" s="1"/>
  <c r="M351" i="20"/>
  <c r="AD351" i="20" s="1"/>
  <c r="L351" i="20"/>
  <c r="AC351" i="20" s="1"/>
  <c r="AX196" i="2"/>
  <c r="DU103" i="11"/>
  <c r="DV101" i="11"/>
  <c r="AD315" i="12" s="1"/>
  <c r="AD309" i="12" s="1"/>
  <c r="E146" i="2" s="1"/>
  <c r="AD22" i="21"/>
  <c r="AB171" i="12"/>
  <c r="AB138" i="12"/>
  <c r="DH11" i="11"/>
  <c r="DH81" i="11" s="1"/>
  <c r="DI81" i="11" s="1"/>
  <c r="DJ81" i="11" s="1"/>
  <c r="DJ11" i="11"/>
  <c r="CU101" i="17"/>
  <c r="CU33" i="17"/>
  <c r="CU32" i="17"/>
  <c r="EC83" i="6"/>
  <c r="EC39" i="6"/>
  <c r="M83" i="6"/>
  <c r="M39" i="6"/>
  <c r="U160" i="8"/>
  <c r="U153" i="8"/>
  <c r="M160" i="8"/>
  <c r="M153" i="8"/>
  <c r="AC86" i="21"/>
  <c r="EJ37" i="6"/>
  <c r="AD191" i="12"/>
  <c r="DG16" i="11"/>
  <c r="CC16" i="11"/>
  <c r="C284" i="2"/>
  <c r="G60" i="20" s="1"/>
  <c r="X60" i="20" s="1"/>
  <c r="F347" i="20"/>
  <c r="W347" i="20" s="1"/>
  <c r="X576" i="7"/>
  <c r="V37" i="24" s="1"/>
  <c r="X565" i="7"/>
  <c r="X570" i="7"/>
  <c r="V36" i="24" s="1"/>
  <c r="V35" i="24"/>
  <c r="V38" i="24" s="1"/>
  <c r="DD83" i="6"/>
  <c r="DD39" i="6"/>
  <c r="DC34" i="6"/>
  <c r="BE53" i="24"/>
  <c r="BE51" i="24"/>
  <c r="BE50" i="24"/>
  <c r="BE44" i="24"/>
  <c r="BE42" i="24"/>
  <c r="BE34" i="24"/>
  <c r="AD32" i="24"/>
  <c r="AY31" i="24"/>
  <c r="AW31" i="24"/>
  <c r="BE54" i="24"/>
  <c r="BE52" i="24"/>
  <c r="BE49" i="24"/>
  <c r="BE46" i="24"/>
  <c r="BE45" i="24"/>
  <c r="BE43" i="24"/>
  <c r="BE39" i="24"/>
  <c r="BE33" i="24"/>
  <c r="BE32" i="24"/>
  <c r="AC32" i="24"/>
  <c r="AZ31" i="24"/>
  <c r="AX31" i="24"/>
  <c r="AV31" i="24"/>
  <c r="AG31" i="24"/>
  <c r="BD31" i="24"/>
  <c r="AN31" i="24"/>
  <c r="AI31" i="24"/>
  <c r="AJ31" i="24"/>
  <c r="AH31" i="24"/>
  <c r="AS31" i="24"/>
  <c r="AB31" i="24"/>
  <c r="AK31" i="24"/>
  <c r="BB31" i="24"/>
  <c r="AM31" i="24"/>
  <c r="AQ31" i="24"/>
  <c r="AR31" i="24"/>
  <c r="AE31" i="24"/>
  <c r="AP31" i="24"/>
  <c r="BH54" i="24"/>
  <c r="BH52" i="24"/>
  <c r="BH49" i="24"/>
  <c r="BH46" i="24"/>
  <c r="BH45" i="24"/>
  <c r="BH43" i="24"/>
  <c r="BH39" i="24"/>
  <c r="AD35" i="24"/>
  <c r="AZ34" i="24"/>
  <c r="AX34" i="24"/>
  <c r="AV34" i="24"/>
  <c r="BH53" i="24"/>
  <c r="BH51" i="24"/>
  <c r="BH50" i="24"/>
  <c r="BH44" i="24"/>
  <c r="BH42" i="24"/>
  <c r="AC35" i="24"/>
  <c r="AY34" i="24"/>
  <c r="AW34" i="24"/>
  <c r="AG34" i="24"/>
  <c r="AI34" i="24"/>
  <c r="AS34" i="24"/>
  <c r="BD34" i="24"/>
  <c r="AH34" i="24"/>
  <c r="AN34" i="24"/>
  <c r="AJ34" i="24"/>
  <c r="AK34" i="24"/>
  <c r="AB34" i="24"/>
  <c r="AE34" i="24"/>
  <c r="BB34" i="24"/>
  <c r="AM34" i="24"/>
  <c r="AQ34" i="24"/>
  <c r="AR34" i="24"/>
  <c r="AP34" i="24"/>
  <c r="H576" i="7"/>
  <c r="F37" i="24" s="1"/>
  <c r="H565" i="7"/>
  <c r="H570" i="7"/>
  <c r="F36" i="24" s="1"/>
  <c r="F35" i="24"/>
  <c r="L83" i="6"/>
  <c r="L39" i="6"/>
  <c r="K34" i="6"/>
  <c r="K83" i="6" s="1"/>
  <c r="CK104" i="17"/>
  <c r="L577" i="7"/>
  <c r="J18" i="24" s="1"/>
  <c r="L571" i="7"/>
  <c r="X141" i="12"/>
  <c r="CN28" i="11" s="1"/>
  <c r="X95" i="12"/>
  <c r="X2" i="12" s="1"/>
  <c r="CN4" i="11" s="1"/>
  <c r="CO16" i="11"/>
  <c r="CN16" i="11" s="1"/>
  <c r="P141" i="12"/>
  <c r="AZ28" i="11" s="1"/>
  <c r="P95" i="12"/>
  <c r="P2" i="12" s="1"/>
  <c r="AZ4" i="11" s="1"/>
  <c r="BA16" i="11"/>
  <c r="AZ16" i="11" s="1"/>
  <c r="CX77" i="17"/>
  <c r="CW62" i="17"/>
  <c r="DU88" i="11"/>
  <c r="DV86" i="11"/>
  <c r="AD283" i="12" s="1"/>
  <c r="AD277" i="12" s="1"/>
  <c r="E144" i="2" s="1"/>
  <c r="AD20" i="21"/>
  <c r="AD17" i="21"/>
  <c r="DV7" i="11"/>
  <c r="AD12" i="21"/>
  <c r="Z465" i="7"/>
  <c r="DP83" i="6"/>
  <c r="DP39" i="6"/>
  <c r="DO34" i="6"/>
  <c r="J471" i="7"/>
  <c r="J465" i="7"/>
  <c r="W471" i="7"/>
  <c r="W465" i="7"/>
  <c r="R577" i="7"/>
  <c r="P18" i="24" s="1"/>
  <c r="R571" i="7"/>
  <c r="Z171" i="12"/>
  <c r="Z138" i="12"/>
  <c r="CX11" i="11"/>
  <c r="CX81" i="11" s="1"/>
  <c r="CY81" i="11" s="1"/>
  <c r="CZ81" i="11" s="1"/>
  <c r="CZ11" i="11"/>
  <c r="J171" i="12"/>
  <c r="J18" i="21" s="1"/>
  <c r="J138" i="12"/>
  <c r="V25" i="11" s="1"/>
  <c r="V11" i="11"/>
  <c r="V81" i="11" s="1"/>
  <c r="W81" i="11" s="1"/>
  <c r="X81" i="11" s="1"/>
  <c r="X11" i="11"/>
  <c r="W138" i="12"/>
  <c r="CI11" i="11"/>
  <c r="CI81" i="11" s="1"/>
  <c r="CJ81" i="11" s="1"/>
  <c r="CK81" i="11" s="1"/>
  <c r="W171" i="12"/>
  <c r="W18" i="21" s="1"/>
  <c r="CK11" i="11"/>
  <c r="W73" i="12"/>
  <c r="O138" i="12"/>
  <c r="AU25" i="11" s="1"/>
  <c r="AU11" i="11"/>
  <c r="AU81" i="11" s="1"/>
  <c r="AV81" i="11" s="1"/>
  <c r="AW81" i="11" s="1"/>
  <c r="O171" i="12"/>
  <c r="O18" i="21" s="1"/>
  <c r="AW11" i="11"/>
  <c r="O73" i="12"/>
  <c r="CA83" i="6"/>
  <c r="CA39" i="6"/>
  <c r="AE83" i="6"/>
  <c r="AE39" i="6"/>
  <c r="Z160" i="8"/>
  <c r="Z153" i="8"/>
  <c r="V122" i="8"/>
  <c r="N122" i="8"/>
  <c r="CP224" i="17"/>
  <c r="CN223" i="17"/>
  <c r="CO223" i="17" s="1"/>
  <c r="CP223" i="17" s="1"/>
  <c r="CQ223" i="17" s="1"/>
  <c r="CX83" i="6"/>
  <c r="CX39" i="6"/>
  <c r="CW34" i="6"/>
  <c r="Q570" i="7"/>
  <c r="O36" i="24" s="1"/>
  <c r="Q576" i="7"/>
  <c r="O37" i="24" s="1"/>
  <c r="Q565" i="7"/>
  <c r="O35" i="24"/>
  <c r="O38" i="24" s="1"/>
  <c r="Y572" i="7"/>
  <c r="Y585" i="7"/>
  <c r="Y578" i="7"/>
  <c r="I603" i="7"/>
  <c r="I572" i="7"/>
  <c r="I585" i="7"/>
  <c r="I578" i="7"/>
  <c r="AD19" i="21"/>
  <c r="T141" i="12"/>
  <c r="BT28" i="11" s="1"/>
  <c r="T95" i="12"/>
  <c r="T2" i="12" s="1"/>
  <c r="BT4" i="11" s="1"/>
  <c r="BU16" i="11"/>
  <c r="BT16" i="11" s="1"/>
  <c r="L141" i="12"/>
  <c r="AF28" i="11" s="1"/>
  <c r="L95" i="12"/>
  <c r="L2" i="12" s="1"/>
  <c r="AF4" i="11" s="1"/>
  <c r="AG16" i="11"/>
  <c r="AF16" i="11" s="1"/>
  <c r="H141" i="12"/>
  <c r="L28" i="11" s="1"/>
  <c r="H95" i="12"/>
  <c r="H2" i="12" s="1"/>
  <c r="L4" i="11" s="1"/>
  <c r="M16" i="11"/>
  <c r="L16" i="11" s="1"/>
  <c r="W577" i="7"/>
  <c r="U18" i="24" s="1"/>
  <c r="W571" i="7"/>
  <c r="F48" i="6"/>
  <c r="F49" i="6" s="1"/>
  <c r="E39" i="6"/>
  <c r="E48" i="6" s="1"/>
  <c r="DX83" i="6"/>
  <c r="DX39" i="6"/>
  <c r="G603" i="7"/>
  <c r="G585" i="7"/>
  <c r="G578" i="7"/>
  <c r="G72" i="20"/>
  <c r="X72" i="20" s="1"/>
  <c r="N141" i="12"/>
  <c r="AP28" i="11" s="1"/>
  <c r="N95" i="12"/>
  <c r="N2" i="12" s="1"/>
  <c r="AP4" i="11" s="1"/>
  <c r="AQ16" i="11"/>
  <c r="AP16" i="11" s="1"/>
  <c r="DU59" i="11"/>
  <c r="DV57" i="11"/>
  <c r="AD218" i="12" s="1"/>
  <c r="AD204" i="12" s="1"/>
  <c r="EB83" i="6"/>
  <c r="EB39" i="6"/>
  <c r="EA34" i="6"/>
  <c r="L471" i="7"/>
  <c r="L465" i="7"/>
  <c r="V471" i="7"/>
  <c r="V465" i="7"/>
  <c r="T585" i="7"/>
  <c r="T578" i="7"/>
  <c r="T603" i="7"/>
  <c r="T572" i="7"/>
  <c r="L585" i="7"/>
  <c r="L578" i="7"/>
  <c r="L603" i="7"/>
  <c r="L572" i="7"/>
  <c r="CG85" i="17"/>
  <c r="CH85" i="17"/>
  <c r="S570" i="7"/>
  <c r="Q36" i="24" s="1"/>
  <c r="S576" i="7"/>
  <c r="Q37" i="24" s="1"/>
  <c r="S565" i="7"/>
  <c r="Q35" i="24"/>
  <c r="Q38" i="24" s="1"/>
  <c r="R83" i="6"/>
  <c r="R39" i="6"/>
  <c r="Q34" i="6"/>
  <c r="CG83" i="6"/>
  <c r="CG39" i="6"/>
  <c r="AK83" i="6"/>
  <c r="AK39" i="6"/>
  <c r="AA160" i="8"/>
  <c r="AA153" i="8"/>
  <c r="W122" i="8"/>
  <c r="S122" i="8"/>
  <c r="O122" i="8"/>
  <c r="K122" i="8"/>
  <c r="G66" i="20"/>
  <c r="X66" i="20" s="1"/>
  <c r="BI16" i="11"/>
  <c r="G71" i="20"/>
  <c r="X71" i="20" s="1"/>
  <c r="Y577" i="7"/>
  <c r="W18" i="24" s="1"/>
  <c r="Y571" i="7"/>
  <c r="DU78" i="6"/>
  <c r="U570" i="7"/>
  <c r="S36" i="24" s="1"/>
  <c r="U576" i="7"/>
  <c r="S37" i="24" s="1"/>
  <c r="U565" i="7"/>
  <c r="S35" i="24"/>
  <c r="S38" i="24" s="1"/>
  <c r="AD83" i="6"/>
  <c r="AD39" i="6"/>
  <c r="AC34" i="6"/>
  <c r="D34" i="24"/>
  <c r="G576" i="7"/>
  <c r="E37" i="24" s="1"/>
  <c r="G565" i="7"/>
  <c r="E35" i="24"/>
  <c r="E38" i="24" s="1"/>
  <c r="O603" i="7"/>
  <c r="O572" i="7"/>
  <c r="O585" i="7"/>
  <c r="O578" i="7"/>
  <c r="H577" i="7"/>
  <c r="F18" i="24" s="1"/>
  <c r="H571" i="7"/>
  <c r="DK97" i="11"/>
  <c r="DK98" i="11"/>
  <c r="DL16" i="11"/>
  <c r="U138" i="12"/>
  <c r="BY11" i="11"/>
  <c r="BY81" i="11" s="1"/>
  <c r="BZ81" i="11" s="1"/>
  <c r="CA81" i="11" s="1"/>
  <c r="U171" i="12"/>
  <c r="U18" i="21" s="1"/>
  <c r="CA11" i="11"/>
  <c r="U73" i="12"/>
  <c r="M138" i="12"/>
  <c r="AK25" i="11" s="1"/>
  <c r="AK11" i="11"/>
  <c r="AK81" i="11" s="1"/>
  <c r="AL81" i="11" s="1"/>
  <c r="AM81" i="11" s="1"/>
  <c r="M171" i="12"/>
  <c r="M18" i="21" s="1"/>
  <c r="AM11" i="11"/>
  <c r="M73" i="12"/>
  <c r="DF83" i="6"/>
  <c r="DF39" i="6"/>
  <c r="CT83" i="6"/>
  <c r="CT39" i="6"/>
  <c r="CH83" i="6"/>
  <c r="CH39" i="6"/>
  <c r="BV83" i="6"/>
  <c r="BV39" i="6"/>
  <c r="AX83" i="6"/>
  <c r="AX39" i="6"/>
  <c r="AL83" i="6"/>
  <c r="AL39" i="6"/>
  <c r="Z83" i="6"/>
  <c r="Z39" i="6"/>
  <c r="N83" i="6"/>
  <c r="N39" i="6"/>
  <c r="CN163" i="17"/>
  <c r="CO163" i="17" s="1"/>
  <c r="CP163" i="17" s="1"/>
  <c r="CQ163" i="17" s="1"/>
  <c r="Y122" i="8"/>
  <c r="Q122" i="8"/>
  <c r="I122" i="8"/>
  <c r="C285" i="2"/>
  <c r="G61" i="20" s="1"/>
  <c r="X61" i="20" s="1"/>
  <c r="P471" i="7"/>
  <c r="P465" i="7"/>
  <c r="BC31" i="24"/>
  <c r="CY83" i="6"/>
  <c r="CY39" i="6"/>
  <c r="BC83" i="6"/>
  <c r="BC39" i="6"/>
  <c r="AD215" i="8"/>
  <c r="AD180" i="8" s="1"/>
  <c r="X171" i="12"/>
  <c r="X18" i="21" s="1"/>
  <c r="X138" i="12"/>
  <c r="CN11" i="11"/>
  <c r="CN81" i="11" s="1"/>
  <c r="CO81" i="11" s="1"/>
  <c r="CP81" i="11" s="1"/>
  <c r="CP11" i="11"/>
  <c r="P171" i="12"/>
  <c r="P18" i="21" s="1"/>
  <c r="P138" i="12"/>
  <c r="AZ25" i="11" s="1"/>
  <c r="AZ11" i="11"/>
  <c r="AZ81" i="11" s="1"/>
  <c r="BA81" i="11" s="1"/>
  <c r="BB81" i="11" s="1"/>
  <c r="BB11" i="11"/>
  <c r="DS70" i="11"/>
  <c r="R471" i="7"/>
  <c r="R465" i="7"/>
  <c r="O471" i="7"/>
  <c r="O465" i="7"/>
  <c r="Z141" i="12"/>
  <c r="CX28" i="11" s="1"/>
  <c r="Z95" i="12"/>
  <c r="CY16" i="11"/>
  <c r="CX16" i="11" s="1"/>
  <c r="J141" i="12"/>
  <c r="V28" i="11" s="1"/>
  <c r="J95" i="12"/>
  <c r="W16" i="11"/>
  <c r="V16" i="11" s="1"/>
  <c r="AD16" i="21"/>
  <c r="CZ14" i="11"/>
  <c r="AA95" i="12"/>
  <c r="AA141" i="12"/>
  <c r="DC28" i="11" s="1"/>
  <c r="DD16" i="11"/>
  <c r="DC16" i="11" s="1"/>
  <c r="W95" i="12"/>
  <c r="W141" i="12"/>
  <c r="CI28" i="11" s="1"/>
  <c r="CJ16" i="11"/>
  <c r="CI16" i="11" s="1"/>
  <c r="S95" i="12"/>
  <c r="S141" i="12"/>
  <c r="BO28" i="11" s="1"/>
  <c r="BP16" i="11"/>
  <c r="BO16" i="11" s="1"/>
  <c r="O95" i="12"/>
  <c r="O141" i="12"/>
  <c r="AU28" i="11" s="1"/>
  <c r="AV16" i="11"/>
  <c r="AU16" i="11" s="1"/>
  <c r="X14" i="11"/>
  <c r="K95" i="12"/>
  <c r="K141" i="12"/>
  <c r="AA28" i="11" s="1"/>
  <c r="AB16" i="11"/>
  <c r="AA16" i="11" s="1"/>
  <c r="Y570" i="7"/>
  <c r="W36" i="24" s="1"/>
  <c r="Y576" i="7"/>
  <c r="W37" i="24" s="1"/>
  <c r="Y565" i="7"/>
  <c r="W35" i="24"/>
  <c r="W38" i="24" s="1"/>
  <c r="BB83" i="6"/>
  <c r="BB39" i="6"/>
  <c r="BA34" i="6"/>
  <c r="I570" i="7"/>
  <c r="G36" i="24" s="1"/>
  <c r="I576" i="7"/>
  <c r="G37" i="24" s="1"/>
  <c r="I565" i="7"/>
  <c r="G35" i="24"/>
  <c r="G38" i="24" s="1"/>
  <c r="M603" i="7"/>
  <c r="M572" i="7"/>
  <c r="M585" i="7"/>
  <c r="M578" i="7"/>
  <c r="AC34" i="21"/>
  <c r="T171" i="12"/>
  <c r="T18" i="21" s="1"/>
  <c r="T138" i="12"/>
  <c r="BT11" i="11"/>
  <c r="BT81" i="11" s="1"/>
  <c r="BU81" i="11" s="1"/>
  <c r="BV81" i="11" s="1"/>
  <c r="BV11" i="11"/>
  <c r="H171" i="12"/>
  <c r="H18" i="21" s="1"/>
  <c r="H138" i="12"/>
  <c r="L25" i="11" s="1"/>
  <c r="L11" i="11"/>
  <c r="L81" i="11" s="1"/>
  <c r="M81" i="11" s="1"/>
  <c r="N81" i="11" s="1"/>
  <c r="N11" i="11"/>
  <c r="EL32" i="6"/>
  <c r="EL81" i="6" s="1"/>
  <c r="EM81" i="6"/>
  <c r="ER32" i="6"/>
  <c r="ER81" i="6" s="1"/>
  <c r="CP221" i="17"/>
  <c r="CN220" i="17"/>
  <c r="CO220" i="17" s="1"/>
  <c r="CP220" i="17" s="1"/>
  <c r="CQ220" i="17" s="1"/>
  <c r="CN166" i="17"/>
  <c r="CO166" i="17" s="1"/>
  <c r="CP166" i="17" s="1"/>
  <c r="CQ166" i="17" s="1"/>
  <c r="AD159" i="8"/>
  <c r="AD190" i="8"/>
  <c r="T471" i="7"/>
  <c r="T465" i="7"/>
  <c r="M577" i="7"/>
  <c r="K18" i="24" s="1"/>
  <c r="M571" i="7"/>
  <c r="X160" i="8"/>
  <c r="X153" i="8"/>
  <c r="T160" i="8"/>
  <c r="T153" i="8"/>
  <c r="P160" i="8"/>
  <c r="P153" i="8"/>
  <c r="L160" i="8"/>
  <c r="L153" i="8"/>
  <c r="N471" i="7"/>
  <c r="N465" i="7"/>
  <c r="V585" i="7"/>
  <c r="V578" i="7"/>
  <c r="V603" i="7"/>
  <c r="V572" i="7"/>
  <c r="N585" i="7"/>
  <c r="N578" i="7"/>
  <c r="N603" i="7"/>
  <c r="N572" i="7"/>
  <c r="Y35" i="24"/>
  <c r="Y38" i="24" s="1"/>
  <c r="BN83" i="6"/>
  <c r="BN39" i="6"/>
  <c r="BM34" i="6"/>
  <c r="K471" i="7"/>
  <c r="K465" i="7"/>
  <c r="R73" i="12"/>
  <c r="BZ83" i="6"/>
  <c r="BZ39" i="6"/>
  <c r="BY34" i="6"/>
  <c r="M471" i="7"/>
  <c r="M465" i="7"/>
  <c r="S603" i="7"/>
  <c r="S572" i="7"/>
  <c r="S585" i="7"/>
  <c r="S578" i="7"/>
  <c r="P577" i="7"/>
  <c r="N18" i="24" s="1"/>
  <c r="P571" i="7"/>
  <c r="Y95" i="12"/>
  <c r="Y141" i="12"/>
  <c r="CS28" i="11" s="1"/>
  <c r="CT16" i="11"/>
  <c r="CS16" i="11" s="1"/>
  <c r="U95" i="12"/>
  <c r="U141" i="12"/>
  <c r="BY28" i="11" s="1"/>
  <c r="BZ16" i="11"/>
  <c r="BY16" i="11" s="1"/>
  <c r="Q95" i="12"/>
  <c r="Q141" i="12"/>
  <c r="BE28" i="11" s="1"/>
  <c r="BF16" i="11"/>
  <c r="BE16" i="11" s="1"/>
  <c r="M95" i="12"/>
  <c r="M141" i="12"/>
  <c r="AK28" i="11" s="1"/>
  <c r="AL16" i="11"/>
  <c r="AK16" i="11" s="1"/>
  <c r="I95" i="12"/>
  <c r="I141" i="12"/>
  <c r="Q28" i="11" s="1"/>
  <c r="R16" i="11"/>
  <c r="Q16" i="11" s="1"/>
  <c r="CA170" i="17"/>
  <c r="BZ169" i="17"/>
  <c r="BZ182" i="17" s="1"/>
  <c r="AD106" i="12"/>
  <c r="DR103" i="11"/>
  <c r="AB73" i="12"/>
  <c r="V171" i="12"/>
  <c r="V18" i="21" s="1"/>
  <c r="V138" i="12"/>
  <c r="CD11" i="11"/>
  <c r="CD81" i="11" s="1"/>
  <c r="CE81" i="11" s="1"/>
  <c r="CF81" i="11" s="1"/>
  <c r="CF11" i="11"/>
  <c r="CT65" i="17"/>
  <c r="CT81" i="17" s="1"/>
  <c r="C287" i="2"/>
  <c r="G149" i="20" s="1"/>
  <c r="X149" i="20" s="1"/>
  <c r="CU93" i="17"/>
  <c r="CU92" i="17"/>
  <c r="U122" i="8"/>
  <c r="M122" i="8"/>
  <c r="DE14" i="11"/>
  <c r="AB141" i="12"/>
  <c r="DH28" i="11" s="1"/>
  <c r="AB95" i="12"/>
  <c r="DI16" i="11"/>
  <c r="DH16" i="11" s="1"/>
  <c r="CA14" i="11"/>
  <c r="V141" i="12"/>
  <c r="CD28" i="11" s="1"/>
  <c r="V95" i="12"/>
  <c r="V2" i="12" s="1"/>
  <c r="CD4" i="11" s="1"/>
  <c r="CE16" i="11"/>
  <c r="CD16" i="11" s="1"/>
  <c r="AD66" i="21"/>
  <c r="AD27" i="21"/>
  <c r="EN36" i="6"/>
  <c r="AD388" i="12"/>
  <c r="AD391" i="12" s="1"/>
  <c r="AD247" i="12"/>
  <c r="EH85" i="6"/>
  <c r="X471" i="7"/>
  <c r="X465" i="7"/>
  <c r="H471" i="7"/>
  <c r="H465" i="7"/>
  <c r="BG53" i="24"/>
  <c r="BG51" i="24"/>
  <c r="BG50" i="24"/>
  <c r="BG44" i="24"/>
  <c r="BG42" i="24"/>
  <c r="BG34" i="24"/>
  <c r="AC34" i="24"/>
  <c r="AY33" i="24"/>
  <c r="AW33" i="24"/>
  <c r="BG54" i="24"/>
  <c r="BG52" i="24"/>
  <c r="BG49" i="24"/>
  <c r="BG46" i="24"/>
  <c r="BG45" i="24"/>
  <c r="BG43" i="24"/>
  <c r="BG39" i="24"/>
  <c r="AD34" i="24"/>
  <c r="AZ33" i="24"/>
  <c r="AX33" i="24"/>
  <c r="AV33" i="24"/>
  <c r="AG33" i="24"/>
  <c r="BD33" i="24"/>
  <c r="AN33" i="24"/>
  <c r="AI33" i="24"/>
  <c r="AJ33" i="24"/>
  <c r="AH33" i="24"/>
  <c r="AS33" i="24"/>
  <c r="AB33" i="24"/>
  <c r="AK33" i="24"/>
  <c r="BB33" i="24"/>
  <c r="AM33" i="24"/>
  <c r="AQ33" i="24"/>
  <c r="AR33" i="24"/>
  <c r="AE33" i="24"/>
  <c r="AP33" i="24"/>
  <c r="BF54" i="24"/>
  <c r="BF52" i="24"/>
  <c r="BF49" i="24"/>
  <c r="BF46" i="24"/>
  <c r="BF45" i="24"/>
  <c r="BF43" i="24"/>
  <c r="BF39" i="24"/>
  <c r="BF33" i="24"/>
  <c r="AD33" i="24"/>
  <c r="AY32" i="24"/>
  <c r="AW32" i="24"/>
  <c r="BF53" i="24"/>
  <c r="BF51" i="24"/>
  <c r="BF50" i="24"/>
  <c r="BF44" i="24"/>
  <c r="BF42" i="24"/>
  <c r="BF34" i="24"/>
  <c r="AC33" i="24"/>
  <c r="AZ32" i="24"/>
  <c r="AX32" i="24"/>
  <c r="AV32" i="24"/>
  <c r="D32" i="24"/>
  <c r="AG32" i="24"/>
  <c r="AH32" i="24"/>
  <c r="AS32" i="24"/>
  <c r="BD32" i="24"/>
  <c r="AN32" i="24"/>
  <c r="AI32" i="24"/>
  <c r="AJ32" i="24"/>
  <c r="AK32" i="24"/>
  <c r="AB32" i="24"/>
  <c r="AM32" i="24"/>
  <c r="AQ32" i="24"/>
  <c r="AR32" i="24"/>
  <c r="AE32" i="24"/>
  <c r="BB32" i="24"/>
  <c r="AP32" i="24"/>
  <c r="CM70" i="17"/>
  <c r="CL69" i="17"/>
  <c r="CL85" i="17" s="1"/>
  <c r="CL103" i="17"/>
  <c r="CL104" i="17" s="1"/>
  <c r="CM16" i="11"/>
  <c r="AY16" i="11"/>
  <c r="DK75" i="11"/>
  <c r="DK77" i="11"/>
  <c r="DK76" i="11"/>
  <c r="AD84" i="12"/>
  <c r="DR88" i="11"/>
  <c r="AO31" i="24"/>
  <c r="AO33" i="24"/>
  <c r="AO34" i="24"/>
  <c r="X35" i="24"/>
  <c r="X38" i="24" s="1"/>
  <c r="J576" i="7"/>
  <c r="H37" i="24" s="1"/>
  <c r="J565" i="7"/>
  <c r="J570" i="7"/>
  <c r="H36" i="24" s="1"/>
  <c r="H35" i="24"/>
  <c r="X83" i="6"/>
  <c r="X39" i="6"/>
  <c r="W34" i="6"/>
  <c r="K577" i="7"/>
  <c r="I18" i="24" s="1"/>
  <c r="K571" i="7"/>
  <c r="CX83" i="17"/>
  <c r="CW68" i="17"/>
  <c r="W570" i="7"/>
  <c r="U36" i="24" s="1"/>
  <c r="W576" i="7"/>
  <c r="U37" i="24" s="1"/>
  <c r="W565" i="7"/>
  <c r="U35" i="24"/>
  <c r="U38" i="24" s="1"/>
  <c r="AP83" i="6"/>
  <c r="AP39" i="6"/>
  <c r="AO34" i="6"/>
  <c r="Z73" i="12"/>
  <c r="J73" i="12"/>
  <c r="AA138" i="12"/>
  <c r="DC11" i="11"/>
  <c r="DC81" i="11" s="1"/>
  <c r="DD81" i="11" s="1"/>
  <c r="DE81" i="11" s="1"/>
  <c r="AA171" i="12"/>
  <c r="DE11" i="11"/>
  <c r="AA73" i="12"/>
  <c r="S138" i="12"/>
  <c r="BO11" i="11"/>
  <c r="BO81" i="11" s="1"/>
  <c r="BP81" i="11" s="1"/>
  <c r="BQ81" i="11" s="1"/>
  <c r="S171" i="12"/>
  <c r="S18" i="21" s="1"/>
  <c r="BQ11" i="11"/>
  <c r="S73" i="12"/>
  <c r="K138" i="12"/>
  <c r="AA25" i="11" s="1"/>
  <c r="AA11" i="11"/>
  <c r="AA81" i="11" s="1"/>
  <c r="AB81" i="11" s="1"/>
  <c r="AC81" i="11" s="1"/>
  <c r="K171" i="12"/>
  <c r="K18" i="21" s="1"/>
  <c r="AC11" i="11"/>
  <c r="K73" i="12"/>
  <c r="E309" i="20"/>
  <c r="V309" i="20" s="1"/>
  <c r="E308" i="20"/>
  <c r="V308" i="20" s="1"/>
  <c r="F309" i="20"/>
  <c r="W309" i="20" s="1"/>
  <c r="F308" i="20"/>
  <c r="W308" i="20" s="1"/>
  <c r="AT183" i="2"/>
  <c r="V160" i="8"/>
  <c r="V153" i="8"/>
  <c r="R160" i="8"/>
  <c r="R153" i="8"/>
  <c r="N160" i="8"/>
  <c r="N153" i="8"/>
  <c r="J160" i="8"/>
  <c r="J153" i="8"/>
  <c r="CL237" i="17"/>
  <c r="CK225" i="17"/>
  <c r="Q471" i="7"/>
  <c r="Q465" i="7"/>
  <c r="Q603" i="7"/>
  <c r="Q572" i="7"/>
  <c r="Q585" i="7"/>
  <c r="Q578" i="7"/>
  <c r="BU83" i="6"/>
  <c r="BU39" i="6"/>
  <c r="Y83" i="6"/>
  <c r="Y39" i="6"/>
  <c r="BS16" i="11"/>
  <c r="AE16" i="11"/>
  <c r="AC36" i="21"/>
  <c r="EP89" i="6"/>
  <c r="EM40" i="6"/>
  <c r="ES89" i="6" s="1"/>
  <c r="CZ83" i="6"/>
  <c r="CZ39" i="6"/>
  <c r="CN83" i="6"/>
  <c r="CN39" i="6"/>
  <c r="CB83" i="6"/>
  <c r="CB39" i="6"/>
  <c r="BP39" i="6"/>
  <c r="BD83" i="6"/>
  <c r="BD39" i="6"/>
  <c r="AR83" i="6"/>
  <c r="AR39" i="6"/>
  <c r="AF83" i="6"/>
  <c r="AF39" i="6"/>
  <c r="T83" i="6"/>
  <c r="T39" i="6"/>
  <c r="V577" i="7"/>
  <c r="T18" i="24" s="1"/>
  <c r="V571" i="7"/>
  <c r="AO16" i="11"/>
  <c r="AD168" i="12"/>
  <c r="DS64" i="11"/>
  <c r="DR64" i="11" s="1"/>
  <c r="AD24" i="12"/>
  <c r="DR59" i="11"/>
  <c r="AD37" i="12" s="1"/>
  <c r="AD23" i="12" s="1"/>
  <c r="L576" i="7"/>
  <c r="J37" i="24" s="1"/>
  <c r="L565" i="7"/>
  <c r="L570" i="7"/>
  <c r="J36" i="24" s="1"/>
  <c r="J35" i="24"/>
  <c r="J38" i="24" s="1"/>
  <c r="AJ83" i="6"/>
  <c r="AJ39" i="6"/>
  <c r="AI34" i="6"/>
  <c r="U577" i="7"/>
  <c r="S18" i="24" s="1"/>
  <c r="U571" i="7"/>
  <c r="CS83" i="6"/>
  <c r="CS39" i="6"/>
  <c r="AW83" i="6"/>
  <c r="AW39" i="6"/>
  <c r="V576" i="7"/>
  <c r="T37" i="24" s="1"/>
  <c r="V565" i="7"/>
  <c r="V570" i="7"/>
  <c r="T36" i="24" s="1"/>
  <c r="T35" i="24"/>
  <c r="T38" i="24" s="1"/>
  <c r="CQ78" i="6"/>
  <c r="CR83" i="6"/>
  <c r="CR39" i="6"/>
  <c r="CQ34" i="6"/>
  <c r="X585" i="7"/>
  <c r="X578" i="7"/>
  <c r="X572" i="7"/>
  <c r="P585" i="7"/>
  <c r="P578" i="7"/>
  <c r="P603" i="7"/>
  <c r="P572" i="7"/>
  <c r="H585" i="7"/>
  <c r="H578" i="7"/>
  <c r="H603" i="7"/>
  <c r="H572" i="7"/>
  <c r="CM83" i="6"/>
  <c r="CM39" i="6"/>
  <c r="AQ83" i="6"/>
  <c r="AQ39" i="6"/>
  <c r="DJ83" i="6"/>
  <c r="DJ39" i="6"/>
  <c r="S471" i="7"/>
  <c r="S465" i="7"/>
  <c r="Q78" i="6"/>
  <c r="AA122" i="8"/>
  <c r="AU183" i="2"/>
  <c r="W160" i="8"/>
  <c r="W153" i="8"/>
  <c r="S160" i="8"/>
  <c r="S153" i="8"/>
  <c r="O160" i="8"/>
  <c r="O153" i="8"/>
  <c r="K160" i="8"/>
  <c r="K153" i="8"/>
  <c r="AD25" i="21"/>
  <c r="BG14" i="11"/>
  <c r="R141" i="12"/>
  <c r="BJ28" i="11" s="1"/>
  <c r="R95" i="12"/>
  <c r="BK16" i="11"/>
  <c r="BJ16" i="11" s="1"/>
  <c r="EI47" i="6"/>
  <c r="I577" i="7"/>
  <c r="G18" i="24" s="1"/>
  <c r="I571" i="7"/>
  <c r="DV83" i="6"/>
  <c r="DV39" i="6"/>
  <c r="DU34" i="6"/>
  <c r="U471" i="7"/>
  <c r="U465" i="7"/>
  <c r="D33" i="24"/>
  <c r="W603" i="7"/>
  <c r="W572" i="7"/>
  <c r="W585" i="7"/>
  <c r="W578" i="7"/>
  <c r="X577" i="7"/>
  <c r="V18" i="24" s="1"/>
  <c r="X571" i="7"/>
  <c r="DJ14" i="11"/>
  <c r="Y138" i="12"/>
  <c r="CS11" i="11"/>
  <c r="CS81" i="11" s="1"/>
  <c r="CT81" i="11" s="1"/>
  <c r="CU81" i="11" s="1"/>
  <c r="Y171" i="12"/>
  <c r="Y18" i="21" s="1"/>
  <c r="CU11" i="11"/>
  <c r="Y73" i="12"/>
  <c r="Q138" i="12"/>
  <c r="BE25" i="11" s="1"/>
  <c r="BE11" i="11"/>
  <c r="BE81" i="11" s="1"/>
  <c r="BF81" i="11" s="1"/>
  <c r="BG81" i="11" s="1"/>
  <c r="Q171" i="12"/>
  <c r="Q18" i="21" s="1"/>
  <c r="BG11" i="11"/>
  <c r="Q73" i="12"/>
  <c r="I138" i="12"/>
  <c r="Q25" i="11" s="1"/>
  <c r="Q11" i="11"/>
  <c r="Q81" i="11" s="1"/>
  <c r="R81" i="11" s="1"/>
  <c r="S81" i="11" s="1"/>
  <c r="I171" i="12"/>
  <c r="I18" i="21" s="1"/>
  <c r="S11" i="11"/>
  <c r="I73" i="12"/>
  <c r="ED83" i="6"/>
  <c r="ED39" i="6"/>
  <c r="DR39" i="6"/>
  <c r="DW83" i="6"/>
  <c r="DW39" i="6"/>
  <c r="DK83" i="6"/>
  <c r="DK39" i="6"/>
  <c r="BO83" i="6"/>
  <c r="BO39" i="6"/>
  <c r="S83" i="6"/>
  <c r="S39" i="6"/>
  <c r="CL164" i="17"/>
  <c r="DQ83" i="6"/>
  <c r="DQ39" i="6"/>
  <c r="DE83" i="6"/>
  <c r="DE39" i="6"/>
  <c r="BI83" i="6"/>
  <c r="BI39" i="6"/>
  <c r="Y160" i="8"/>
  <c r="Y153" i="8"/>
  <c r="Q160" i="8"/>
  <c r="Q153" i="8"/>
  <c r="I160" i="8"/>
  <c r="I153" i="8"/>
  <c r="AF3" i="16" l="1"/>
  <c r="AE3" i="16"/>
  <c r="AG3" i="16"/>
  <c r="AI2" i="16"/>
  <c r="AH3" i="16"/>
  <c r="Y425" i="20"/>
  <c r="AA425" i="20"/>
  <c r="Y413" i="20"/>
  <c r="AC413" i="20"/>
  <c r="G152" i="20"/>
  <c r="X152" i="20" s="1"/>
  <c r="EW84" i="6"/>
  <c r="EX35" i="6"/>
  <c r="EX84" i="6" s="1"/>
  <c r="G70" i="20"/>
  <c r="X70" i="20" s="1"/>
  <c r="E237" i="20"/>
  <c r="V237" i="20" s="1"/>
  <c r="K352" i="20"/>
  <c r="AB352" i="20" s="1"/>
  <c r="G505" i="20"/>
  <c r="X505" i="20" s="1"/>
  <c r="AV142" i="2"/>
  <c r="AX189" i="2"/>
  <c r="AV140" i="2"/>
  <c r="AW142" i="2"/>
  <c r="AV101" i="2"/>
  <c r="I174" i="20"/>
  <c r="Z174" i="20" s="1"/>
  <c r="I348" i="20"/>
  <c r="Z348" i="20" s="1"/>
  <c r="AX206" i="2"/>
  <c r="M425" i="20"/>
  <c r="AD425" i="20" s="1"/>
  <c r="L352" i="20"/>
  <c r="AC352" i="20" s="1"/>
  <c r="EY84" i="6"/>
  <c r="AD789" i="7"/>
  <c r="F136" i="2"/>
  <c r="EQ40" i="6"/>
  <c r="ER40" i="6" s="1"/>
  <c r="ER89" i="6" s="1"/>
  <c r="M381" i="20"/>
  <c r="AD381" i="20" s="1"/>
  <c r="F244" i="2"/>
  <c r="G244" i="2"/>
  <c r="AE109" i="21"/>
  <c r="AX197" i="2"/>
  <c r="K341" i="20"/>
  <c r="AB341" i="20" s="1"/>
  <c r="J352" i="20"/>
  <c r="AA352" i="20" s="1"/>
  <c r="M352" i="20"/>
  <c r="AD352" i="20" s="1"/>
  <c r="AW197" i="2"/>
  <c r="L381" i="20"/>
  <c r="AC381" i="20" s="1"/>
  <c r="H483" i="20"/>
  <c r="Y483" i="20" s="1"/>
  <c r="I483" i="20"/>
  <c r="Z483" i="20" s="1"/>
  <c r="AV244" i="2"/>
  <c r="I341" i="20"/>
  <c r="Z341" i="20" s="1"/>
  <c r="H341" i="20"/>
  <c r="Y341" i="20" s="1"/>
  <c r="AV191" i="2"/>
  <c r="L425" i="20"/>
  <c r="AX225" i="2"/>
  <c r="FC11" i="6"/>
  <c r="AF768" i="7"/>
  <c r="F195" i="2"/>
  <c r="E285" i="2"/>
  <c r="AV195" i="2"/>
  <c r="H174" i="20"/>
  <c r="Y174" i="20" s="1"/>
  <c r="E284" i="2"/>
  <c r="AV136" i="2"/>
  <c r="H348" i="20"/>
  <c r="Y348" i="20" s="1"/>
  <c r="E299" i="2"/>
  <c r="EZ76" i="6"/>
  <c r="ES81" i="6"/>
  <c r="E133" i="2"/>
  <c r="AV133" i="2" s="1"/>
  <c r="AF185" i="12"/>
  <c r="DD66" i="17"/>
  <c r="DE66" i="17" s="1"/>
  <c r="DF66" i="17" s="1"/>
  <c r="DF67" i="17"/>
  <c r="DF64" i="17"/>
  <c r="DF80" i="17" s="1"/>
  <c r="DD63" i="17"/>
  <c r="DE63" i="17" s="1"/>
  <c r="DF63" i="17" s="1"/>
  <c r="DD60" i="17"/>
  <c r="DE60" i="17" s="1"/>
  <c r="DF60" i="17" s="1"/>
  <c r="DF61" i="17"/>
  <c r="E104" i="2"/>
  <c r="AE191" i="12"/>
  <c r="AF191" i="12" s="1"/>
  <c r="AF419" i="7" s="1"/>
  <c r="E219" i="2"/>
  <c r="E143" i="2"/>
  <c r="F101" i="2"/>
  <c r="AV110" i="2"/>
  <c r="E318" i="2"/>
  <c r="E319" i="2" s="1"/>
  <c r="E293" i="2"/>
  <c r="AV105" i="2"/>
  <c r="E288" i="2"/>
  <c r="H77" i="20"/>
  <c r="Y77" i="20" s="1"/>
  <c r="E312" i="2"/>
  <c r="E313" i="2" s="1"/>
  <c r="AV108" i="2"/>
  <c r="E291" i="2"/>
  <c r="AV106" i="2"/>
  <c r="E289" i="2"/>
  <c r="AV109" i="2"/>
  <c r="E292" i="2"/>
  <c r="AV111" i="2"/>
  <c r="E294" i="2"/>
  <c r="AE113" i="7"/>
  <c r="AE123" i="7" s="1"/>
  <c r="AF112" i="7"/>
  <c r="AF113" i="7" s="1"/>
  <c r="AF497" i="7"/>
  <c r="AF488" i="7"/>
  <c r="FC40" i="6" s="1"/>
  <c r="FD40" i="6" s="1"/>
  <c r="FD89" i="6" s="1"/>
  <c r="AF651" i="7"/>
  <c r="AF593" i="7"/>
  <c r="AF224" i="8"/>
  <c r="AF180" i="8"/>
  <c r="AF197" i="8"/>
  <c r="AF204" i="8" s="1"/>
  <c r="EE57" i="11"/>
  <c r="EE101" i="11"/>
  <c r="AF175" i="12"/>
  <c r="EE7" i="11"/>
  <c r="AF165" i="12"/>
  <c r="AF12" i="21" s="1"/>
  <c r="EE86" i="11"/>
  <c r="AF173" i="12"/>
  <c r="AE33" i="21"/>
  <c r="AF260" i="12"/>
  <c r="G142" i="2" s="1"/>
  <c r="CH111" i="17"/>
  <c r="CJ116" i="17"/>
  <c r="CG107" i="17"/>
  <c r="CK116" i="17"/>
  <c r="AA413" i="20"/>
  <c r="AW191" i="2"/>
  <c r="J341" i="20"/>
  <c r="AA341" i="20" s="1"/>
  <c r="BC585" i="7"/>
  <c r="CI116" i="17"/>
  <c r="Z150" i="12"/>
  <c r="X610" i="7"/>
  <c r="Y610" i="7"/>
  <c r="AA611" i="7"/>
  <c r="AA604" i="7"/>
  <c r="AA612" i="7" s="1"/>
  <c r="Z587" i="7"/>
  <c r="Z592" i="7"/>
  <c r="Z597" i="7"/>
  <c r="AB611" i="7"/>
  <c r="BC611" i="7" s="1"/>
  <c r="AB604" i="7"/>
  <c r="AB612" i="7" s="1"/>
  <c r="AB587" i="7"/>
  <c r="AC594" i="7" s="1"/>
  <c r="AB597" i="7"/>
  <c r="BC597" i="7" s="1"/>
  <c r="AB592" i="7"/>
  <c r="BC592" i="7" s="1"/>
  <c r="AA587" i="7"/>
  <c r="AA592" i="7"/>
  <c r="AA597" i="7"/>
  <c r="AC589" i="7"/>
  <c r="AC599" i="7"/>
  <c r="Z611" i="7"/>
  <c r="Z604" i="7"/>
  <c r="Z612" i="7" s="1"/>
  <c r="AD123" i="7"/>
  <c r="AE66" i="21"/>
  <c r="AE247" i="12"/>
  <c r="AE254" i="12" s="1"/>
  <c r="ET36" i="6"/>
  <c r="ET85" i="6" s="1"/>
  <c r="G261" i="2"/>
  <c r="AX261" i="2" s="1"/>
  <c r="AE388" i="12"/>
  <c r="AE391" i="12" s="1"/>
  <c r="AE27" i="21"/>
  <c r="AC335" i="12"/>
  <c r="AC78" i="6"/>
  <c r="AD540" i="7"/>
  <c r="AD736" i="7" s="1"/>
  <c r="DM16" i="11"/>
  <c r="DO16" i="11"/>
  <c r="ES47" i="6"/>
  <c r="AE267" i="12"/>
  <c r="AE273" i="12" s="1"/>
  <c r="AE430" i="12"/>
  <c r="AE433" i="12" s="1"/>
  <c r="AE542" i="7"/>
  <c r="AE540" i="7" s="1"/>
  <c r="EU47" i="6" s="1"/>
  <c r="I186" i="20"/>
  <c r="Z186" i="20" s="1"/>
  <c r="H186" i="20"/>
  <c r="Y186" i="20" s="1"/>
  <c r="AC167" i="12"/>
  <c r="AC136" i="12"/>
  <c r="AC330" i="12"/>
  <c r="AC334" i="12" s="1"/>
  <c r="AV146" i="2"/>
  <c r="H505" i="20"/>
  <c r="Y505" i="20" s="1"/>
  <c r="AC404" i="12"/>
  <c r="AC416" i="12" s="1"/>
  <c r="BJ83" i="6"/>
  <c r="AC30" i="21"/>
  <c r="BG34" i="6"/>
  <c r="BG83" i="6" s="1"/>
  <c r="AC424" i="12"/>
  <c r="BP83" i="6"/>
  <c r="BG78" i="6"/>
  <c r="DC78" i="6"/>
  <c r="CE78" i="6"/>
  <c r="DR83" i="6"/>
  <c r="DI34" i="6"/>
  <c r="DI83" i="6" s="1"/>
  <c r="DL39" i="6"/>
  <c r="DL48" i="6" s="1"/>
  <c r="O117" i="8"/>
  <c r="N124" i="8"/>
  <c r="O104" i="21"/>
  <c r="O103" i="21"/>
  <c r="P11" i="21"/>
  <c r="AI218" i="17"/>
  <c r="AI196" i="17"/>
  <c r="AU2" i="6"/>
  <c r="AI161" i="17"/>
  <c r="AI99" i="17"/>
  <c r="AI253" i="17"/>
  <c r="AI275" i="17"/>
  <c r="AI139" i="17"/>
  <c r="AI58" i="17"/>
  <c r="AI20" i="17"/>
  <c r="AI39" i="17"/>
  <c r="AI122" i="17"/>
  <c r="AI4" i="17"/>
  <c r="O3" i="1"/>
  <c r="AV144" i="2"/>
  <c r="H182" i="20"/>
  <c r="Y182" i="20" s="1"/>
  <c r="H504" i="20"/>
  <c r="Y504" i="20" s="1"/>
  <c r="G504" i="20"/>
  <c r="X504" i="20" s="1"/>
  <c r="H190" i="20"/>
  <c r="Y190" i="20" s="1"/>
  <c r="I182" i="20"/>
  <c r="Z182" i="20" s="1"/>
  <c r="G506" i="20"/>
  <c r="X506" i="20" s="1"/>
  <c r="BC603" i="7"/>
  <c r="Z18" i="24"/>
  <c r="BC577" i="7"/>
  <c r="BC565" i="7"/>
  <c r="AA2" i="12"/>
  <c r="DC4" i="11" s="1"/>
  <c r="AD31" i="21"/>
  <c r="DV96" i="11"/>
  <c r="AD295" i="12" s="1"/>
  <c r="AD290" i="12" s="1"/>
  <c r="AD316" i="12"/>
  <c r="AD310" i="12" s="1"/>
  <c r="E145" i="2" s="1"/>
  <c r="AD26" i="21"/>
  <c r="AD32" i="21"/>
  <c r="AD403" i="12"/>
  <c r="AD415" i="12" s="1"/>
  <c r="AD408" i="12"/>
  <c r="AD420" i="12" s="1"/>
  <c r="AD407" i="12"/>
  <c r="AD419" i="12" s="1"/>
  <c r="AW16" i="11"/>
  <c r="CK16" i="11"/>
  <c r="EW11" i="6"/>
  <c r="AE768" i="7"/>
  <c r="AE224" i="8"/>
  <c r="DB83" i="17"/>
  <c r="DA68" i="17"/>
  <c r="AE489" i="7"/>
  <c r="EW40" i="6"/>
  <c r="AE500" i="7"/>
  <c r="AE789" i="7"/>
  <c r="AE62" i="21"/>
  <c r="G191" i="2"/>
  <c r="ES27" i="6"/>
  <c r="EY76" i="6" s="1"/>
  <c r="ET76" i="6"/>
  <c r="DB77" i="17"/>
  <c r="DA62" i="17"/>
  <c r="AE197" i="8"/>
  <c r="AE204" i="8" s="1"/>
  <c r="AD402" i="12"/>
  <c r="AD414" i="12" s="1"/>
  <c r="DZ87" i="11"/>
  <c r="AE172" i="12"/>
  <c r="F108" i="2" s="1"/>
  <c r="DZ102" i="11"/>
  <c r="AE174" i="12"/>
  <c r="F110" i="2" s="1"/>
  <c r="CX65" i="17"/>
  <c r="CX81" i="17" s="1"/>
  <c r="DZ63" i="11"/>
  <c r="AE170" i="12"/>
  <c r="F106" i="2" s="1"/>
  <c r="AW106" i="2" s="1"/>
  <c r="DZ8" i="11"/>
  <c r="EC8" i="11" s="1"/>
  <c r="AE166" i="12"/>
  <c r="F102" i="2" s="1"/>
  <c r="AW102" i="2" s="1"/>
  <c r="DZ62" i="11"/>
  <c r="AE169" i="12"/>
  <c r="F105" i="2" s="1"/>
  <c r="AW105" i="2" s="1"/>
  <c r="DZ58" i="11"/>
  <c r="EC58" i="11" s="1"/>
  <c r="AE178" i="12"/>
  <c r="F131" i="2" s="1"/>
  <c r="AW131" i="2" s="1"/>
  <c r="EA7" i="11"/>
  <c r="EA57" i="11"/>
  <c r="AE218" i="12" s="1"/>
  <c r="AE204" i="12" s="1"/>
  <c r="EA86" i="11"/>
  <c r="AE283" i="12" s="1"/>
  <c r="AE277" i="12" s="1"/>
  <c r="F144" i="2" s="1"/>
  <c r="EA101" i="11"/>
  <c r="AE315" i="12" s="1"/>
  <c r="AE309" i="12" s="1"/>
  <c r="F146" i="2" s="1"/>
  <c r="DX59" i="11"/>
  <c r="DX88" i="11"/>
  <c r="DX103" i="11"/>
  <c r="E261" i="2"/>
  <c r="AV261" i="2" s="1"/>
  <c r="CS25" i="11"/>
  <c r="BO25" i="11"/>
  <c r="BT25" i="11"/>
  <c r="CN25" i="11"/>
  <c r="BY25" i="11"/>
  <c r="CI25" i="11"/>
  <c r="DC25" i="11"/>
  <c r="CD25" i="11"/>
  <c r="CX25" i="11"/>
  <c r="DH25" i="11"/>
  <c r="BY83" i="6"/>
  <c r="Q83" i="6"/>
  <c r="I2" i="12"/>
  <c r="Q4" i="11" s="1"/>
  <c r="Y2" i="12"/>
  <c r="CS4" i="11" s="1"/>
  <c r="K2" i="12"/>
  <c r="AA4" i="11" s="1"/>
  <c r="J2" i="12"/>
  <c r="V4" i="11" s="1"/>
  <c r="DU83" i="6"/>
  <c r="CQ83" i="6"/>
  <c r="Q2" i="12"/>
  <c r="BE4" i="11" s="1"/>
  <c r="W83" i="6"/>
  <c r="AC16" i="11"/>
  <c r="BQ16" i="11"/>
  <c r="E222" i="20"/>
  <c r="V222" i="20" s="1"/>
  <c r="BG36" i="24"/>
  <c r="BG37" i="24"/>
  <c r="CP164" i="17"/>
  <c r="CO165" i="17" s="1"/>
  <c r="D18" i="24"/>
  <c r="BG35" i="24"/>
  <c r="BH36" i="24"/>
  <c r="BE35" i="24"/>
  <c r="AI83" i="6"/>
  <c r="AM16" i="11"/>
  <c r="S2" i="12"/>
  <c r="BO4" i="11" s="1"/>
  <c r="Z2" i="12"/>
  <c r="CX4" i="11" s="1"/>
  <c r="BA83" i="6"/>
  <c r="AD34" i="21"/>
  <c r="AD437" i="12"/>
  <c r="AD442" i="12" s="1"/>
  <c r="S88" i="6"/>
  <c r="S48" i="6"/>
  <c r="BO88" i="6"/>
  <c r="BO48" i="6"/>
  <c r="DW88" i="6"/>
  <c r="DW48" i="6"/>
  <c r="ED88" i="6"/>
  <c r="ED48" i="6"/>
  <c r="BI88" i="6"/>
  <c r="BI48" i="6"/>
  <c r="DE88" i="6"/>
  <c r="DE48" i="6"/>
  <c r="DQ88" i="6"/>
  <c r="DQ48" i="6"/>
  <c r="CL177" i="17"/>
  <c r="CK165" i="17"/>
  <c r="DV88" i="6"/>
  <c r="DV48" i="6"/>
  <c r="DU39" i="6"/>
  <c r="EI96" i="6"/>
  <c r="EL47" i="6"/>
  <c r="EL96" i="6" s="1"/>
  <c r="DJ88" i="6"/>
  <c r="DJ48" i="6"/>
  <c r="AQ88" i="6"/>
  <c r="AQ48" i="6"/>
  <c r="CM88" i="6"/>
  <c r="CM48" i="6"/>
  <c r="AW88" i="6"/>
  <c r="AW48" i="6"/>
  <c r="CS88" i="6"/>
  <c r="CS48" i="6"/>
  <c r="AJ88" i="6"/>
  <c r="AJ48" i="6"/>
  <c r="AI39" i="6"/>
  <c r="AD15" i="21"/>
  <c r="T88" i="6"/>
  <c r="T48" i="6"/>
  <c r="AF88" i="6"/>
  <c r="AF48" i="6"/>
  <c r="AR88" i="6"/>
  <c r="AR48" i="6"/>
  <c r="BD88" i="6"/>
  <c r="BD48" i="6"/>
  <c r="BP88" i="6"/>
  <c r="BP48" i="6"/>
  <c r="CB88" i="6"/>
  <c r="CB48" i="6"/>
  <c r="CN88" i="6"/>
  <c r="CN48" i="6"/>
  <c r="CZ88" i="6"/>
  <c r="CZ48" i="6"/>
  <c r="EM89" i="6"/>
  <c r="Y88" i="6"/>
  <c r="Y48" i="6"/>
  <c r="BU88" i="6"/>
  <c r="BU48" i="6"/>
  <c r="AA18" i="21"/>
  <c r="AO83" i="6"/>
  <c r="X88" i="6"/>
  <c r="X48" i="6"/>
  <c r="W39" i="6"/>
  <c r="H38" i="24"/>
  <c r="AD89" i="12"/>
  <c r="AD83" i="12" s="1"/>
  <c r="DR13" i="11"/>
  <c r="DS13" i="11" s="1"/>
  <c r="CM103" i="17"/>
  <c r="CN70" i="17"/>
  <c r="CM69" i="17"/>
  <c r="CM85" i="17" s="1"/>
  <c r="BF37" i="24"/>
  <c r="BF35" i="24"/>
  <c r="AD254" i="12"/>
  <c r="E224" i="20"/>
  <c r="V224" i="20" s="1"/>
  <c r="G151" i="20"/>
  <c r="X151" i="20" s="1"/>
  <c r="AA15" i="24"/>
  <c r="CS65" i="17"/>
  <c r="AB2" i="12"/>
  <c r="DH4" i="11" s="1"/>
  <c r="CB170" i="17"/>
  <c r="CA169" i="17"/>
  <c r="CA182" i="17" s="1"/>
  <c r="BZ88" i="6"/>
  <c r="BZ48" i="6"/>
  <c r="BY39" i="6"/>
  <c r="R2" i="12"/>
  <c r="BJ4" i="11" s="1"/>
  <c r="N611" i="7"/>
  <c r="N604" i="7"/>
  <c r="N612" i="7" s="1"/>
  <c r="N587" i="7"/>
  <c r="N597" i="7"/>
  <c r="N592" i="7"/>
  <c r="V611" i="7"/>
  <c r="V604" i="7"/>
  <c r="V612" i="7" s="1"/>
  <c r="V587" i="7"/>
  <c r="V597" i="7"/>
  <c r="V592" i="7"/>
  <c r="CP167" i="17"/>
  <c r="CP234" i="17"/>
  <c r="CO222" i="17"/>
  <c r="M597" i="7"/>
  <c r="M592" i="7"/>
  <c r="M587" i="7"/>
  <c r="M611" i="7"/>
  <c r="M604" i="7"/>
  <c r="M612" i="7" s="1"/>
  <c r="BB88" i="6"/>
  <c r="BB48" i="6"/>
  <c r="BA39" i="6"/>
  <c r="AC93" i="21"/>
  <c r="EJ46" i="6"/>
  <c r="EJ95" i="6" s="1"/>
  <c r="AD177" i="12"/>
  <c r="DU70" i="11"/>
  <c r="DX70" i="11" s="1"/>
  <c r="BC88" i="6"/>
  <c r="BC48" i="6"/>
  <c r="CY88" i="6"/>
  <c r="CY48" i="6"/>
  <c r="CR163" i="17"/>
  <c r="CS163" i="17" s="1"/>
  <c r="CT163" i="17" s="1"/>
  <c r="CU163" i="17" s="1"/>
  <c r="CV163" i="17" s="1"/>
  <c r="N88" i="6"/>
  <c r="N48" i="6"/>
  <c r="Z88" i="6"/>
  <c r="Z48" i="6"/>
  <c r="AL88" i="6"/>
  <c r="AL48" i="6"/>
  <c r="AX88" i="6"/>
  <c r="AX48" i="6"/>
  <c r="BJ88" i="6"/>
  <c r="BJ48" i="6"/>
  <c r="BV88" i="6"/>
  <c r="BV48" i="6"/>
  <c r="CH88" i="6"/>
  <c r="CH48" i="6"/>
  <c r="CT88" i="6"/>
  <c r="CT48" i="6"/>
  <c r="DF88" i="6"/>
  <c r="DF48" i="6"/>
  <c r="M2" i="12"/>
  <c r="AK4" i="11" s="1"/>
  <c r="DJ16" i="11"/>
  <c r="DS16" i="11"/>
  <c r="DU16" i="11" s="1"/>
  <c r="D37" i="24"/>
  <c r="AD88" i="6"/>
  <c r="AD48" i="6"/>
  <c r="AC39" i="6"/>
  <c r="BG16" i="11"/>
  <c r="R88" i="6"/>
  <c r="R48" i="6"/>
  <c r="Q39" i="6"/>
  <c r="L611" i="7"/>
  <c r="L604" i="7"/>
  <c r="L612" i="7" s="1"/>
  <c r="L587" i="7"/>
  <c r="L597" i="7"/>
  <c r="L592" i="7"/>
  <c r="T611" i="7"/>
  <c r="T604" i="7"/>
  <c r="T612" i="7" s="1"/>
  <c r="T587" i="7"/>
  <c r="T597" i="7"/>
  <c r="T592" i="7"/>
  <c r="EB88" i="6"/>
  <c r="EB48" i="6"/>
  <c r="EA39" i="6"/>
  <c r="DU64" i="11"/>
  <c r="DT64" i="11" s="1"/>
  <c r="DV59" i="11"/>
  <c r="AD220" i="12" s="1"/>
  <c r="AD206" i="12" s="1"/>
  <c r="DT59" i="11"/>
  <c r="G597" i="7"/>
  <c r="G587" i="7"/>
  <c r="DX88" i="6"/>
  <c r="DX48" i="6"/>
  <c r="CW83" i="6"/>
  <c r="CP237" i="17"/>
  <c r="CO225" i="17"/>
  <c r="O2" i="12"/>
  <c r="AU4" i="11" s="1"/>
  <c r="DP88" i="6"/>
  <c r="DP48" i="6"/>
  <c r="DO39" i="6"/>
  <c r="AD35" i="21"/>
  <c r="AD436" i="12"/>
  <c r="AD441" i="12" s="1"/>
  <c r="CL106" i="17"/>
  <c r="BJ54" i="24"/>
  <c r="BJ52" i="24"/>
  <c r="BJ49" i="24"/>
  <c r="BJ46" i="24"/>
  <c r="BJ45" i="24"/>
  <c r="BJ43" i="24"/>
  <c r="BJ39" i="24"/>
  <c r="AC37" i="24"/>
  <c r="AZ36" i="24"/>
  <c r="AX36" i="24"/>
  <c r="AV36" i="24"/>
  <c r="BJ53" i="24"/>
  <c r="BJ51" i="24"/>
  <c r="BJ50" i="24"/>
  <c r="BJ44" i="24"/>
  <c r="BJ42" i="24"/>
  <c r="BJ37" i="24"/>
  <c r="AD37" i="24"/>
  <c r="AY36" i="24"/>
  <c r="AW36" i="24"/>
  <c r="AG36" i="24"/>
  <c r="BD36" i="24"/>
  <c r="AH36" i="24"/>
  <c r="AN36" i="24"/>
  <c r="AJ36" i="24"/>
  <c r="AI36" i="24"/>
  <c r="AS36" i="24"/>
  <c r="AB36" i="24"/>
  <c r="AM36" i="24"/>
  <c r="AQ36" i="24"/>
  <c r="AR36" i="24"/>
  <c r="AK36" i="24"/>
  <c r="BB36" i="24"/>
  <c r="AE36" i="24"/>
  <c r="AP36" i="24"/>
  <c r="AO36" i="24"/>
  <c r="BC36" i="24"/>
  <c r="BK53" i="24"/>
  <c r="BK51" i="24"/>
  <c r="BK50" i="24"/>
  <c r="BK44" i="24"/>
  <c r="BK42" i="24"/>
  <c r="AD38" i="24"/>
  <c r="AZ37" i="24"/>
  <c r="AX37" i="24"/>
  <c r="AV37" i="24"/>
  <c r="BK54" i="24"/>
  <c r="BK52" i="24"/>
  <c r="BK49" i="24"/>
  <c r="BK46" i="24"/>
  <c r="BK45" i="24"/>
  <c r="BK43" i="24"/>
  <c r="BK39" i="24"/>
  <c r="AC38" i="24"/>
  <c r="AY37" i="24"/>
  <c r="AW37" i="24"/>
  <c r="AG37" i="24"/>
  <c r="AI37" i="24"/>
  <c r="AS37" i="24"/>
  <c r="BD37" i="24"/>
  <c r="AH37" i="24"/>
  <c r="AN37" i="24"/>
  <c r="AJ37" i="24"/>
  <c r="AK37" i="24"/>
  <c r="AB37" i="24"/>
  <c r="AE37" i="24"/>
  <c r="BB37" i="24"/>
  <c r="AM37" i="24"/>
  <c r="AQ37" i="24"/>
  <c r="AR37" i="24"/>
  <c r="AP37" i="24"/>
  <c r="AO37" i="24"/>
  <c r="BC37" i="24"/>
  <c r="BH37" i="24"/>
  <c r="BH35" i="24"/>
  <c r="BE37" i="24"/>
  <c r="DD88" i="6"/>
  <c r="DD48" i="6"/>
  <c r="DC39" i="6"/>
  <c r="E221" i="20"/>
  <c r="V221" i="20" s="1"/>
  <c r="G347" i="20"/>
  <c r="X347" i="20" s="1"/>
  <c r="CA16" i="11"/>
  <c r="DE16" i="11"/>
  <c r="AC28" i="21"/>
  <c r="M88" i="6"/>
  <c r="M48" i="6"/>
  <c r="EC88" i="6"/>
  <c r="EC48" i="6"/>
  <c r="AD37" i="21"/>
  <c r="AD446" i="12"/>
  <c r="AD451" i="12" s="1"/>
  <c r="N16" i="11"/>
  <c r="AH16" i="11"/>
  <c r="BB16" i="11"/>
  <c r="BV16" i="11"/>
  <c r="CP16" i="11"/>
  <c r="CW41" i="17"/>
  <c r="CW52" i="17" s="1"/>
  <c r="J611" i="7"/>
  <c r="J604" i="7"/>
  <c r="J612" i="7" s="1"/>
  <c r="J587" i="7"/>
  <c r="J597" i="7"/>
  <c r="J592" i="7"/>
  <c r="R611" i="7"/>
  <c r="R604" i="7"/>
  <c r="R612" i="7" s="1"/>
  <c r="R587" i="7"/>
  <c r="R597" i="7"/>
  <c r="R592" i="7"/>
  <c r="AV88" i="6"/>
  <c r="AV48" i="6"/>
  <c r="AU39" i="6"/>
  <c r="CE83" i="6"/>
  <c r="AC29" i="21"/>
  <c r="EG46" i="6"/>
  <c r="DU111" i="11"/>
  <c r="CL180" i="17"/>
  <c r="CK168" i="17"/>
  <c r="X16" i="11"/>
  <c r="AR16" i="11"/>
  <c r="BL16" i="11"/>
  <c r="CF16" i="11"/>
  <c r="CZ16" i="11"/>
  <c r="S16" i="11"/>
  <c r="CU16" i="11"/>
  <c r="CK83" i="6"/>
  <c r="BS83" i="6"/>
  <c r="DK88" i="6"/>
  <c r="DK48" i="6"/>
  <c r="DR48" i="6"/>
  <c r="W597" i="7"/>
  <c r="W592" i="7"/>
  <c r="W587" i="7"/>
  <c r="W611" i="7"/>
  <c r="W604" i="7"/>
  <c r="W612" i="7" s="1"/>
  <c r="H611" i="7"/>
  <c r="H604" i="7"/>
  <c r="H612" i="7" s="1"/>
  <c r="H587" i="7"/>
  <c r="H597" i="7"/>
  <c r="H592" i="7"/>
  <c r="P611" i="7"/>
  <c r="P604" i="7"/>
  <c r="P612" i="7" s="1"/>
  <c r="P587" i="7"/>
  <c r="P597" i="7"/>
  <c r="P592" i="7"/>
  <c r="X587" i="7"/>
  <c r="X597" i="7"/>
  <c r="X592" i="7"/>
  <c r="CR88" i="6"/>
  <c r="CR48" i="6"/>
  <c r="CQ39" i="6"/>
  <c r="DS75" i="11"/>
  <c r="AD30" i="12"/>
  <c r="Q597" i="7"/>
  <c r="Q592" i="7"/>
  <c r="Q587" i="7"/>
  <c r="Q611" i="7"/>
  <c r="Q604" i="7"/>
  <c r="Q612" i="7" s="1"/>
  <c r="AP88" i="6"/>
  <c r="AP48" i="6"/>
  <c r="AO39" i="6"/>
  <c r="BF36" i="24"/>
  <c r="EN85" i="6"/>
  <c r="CW71" i="17"/>
  <c r="AD111" i="12"/>
  <c r="AD105" i="12" s="1"/>
  <c r="DR15" i="11"/>
  <c r="DS15" i="11" s="1"/>
  <c r="S597" i="7"/>
  <c r="S592" i="7"/>
  <c r="S587" i="7"/>
  <c r="S611" i="7"/>
  <c r="S604" i="7"/>
  <c r="S612" i="7" s="1"/>
  <c r="BN88" i="6"/>
  <c r="BN48" i="6"/>
  <c r="BM39" i="6"/>
  <c r="CR166" i="17"/>
  <c r="CS166" i="17" s="1"/>
  <c r="CT166" i="17" s="1"/>
  <c r="CU166" i="17" s="1"/>
  <c r="CV166" i="17" s="1"/>
  <c r="CT221" i="17"/>
  <c r="CT234" i="17" s="1"/>
  <c r="CR220" i="17"/>
  <c r="CS220" i="17" s="1"/>
  <c r="CT220" i="17" s="1"/>
  <c r="CU220" i="17" s="1"/>
  <c r="CV220" i="17" s="1"/>
  <c r="EQ11" i="6"/>
  <c r="AD768" i="7"/>
  <c r="U2" i="12"/>
  <c r="BY4" i="11" s="1"/>
  <c r="AT54" i="24"/>
  <c r="AT52" i="24"/>
  <c r="AT49" i="24"/>
  <c r="AT46" i="24"/>
  <c r="AT45" i="24"/>
  <c r="AT43" i="24"/>
  <c r="AT39" i="24"/>
  <c r="AT35" i="24"/>
  <c r="AT33" i="24"/>
  <c r="AT32" i="24"/>
  <c r="AT31" i="24"/>
  <c r="AT28" i="24"/>
  <c r="AT24" i="24"/>
  <c r="AT23" i="24"/>
  <c r="AD18" i="24"/>
  <c r="AT53" i="24"/>
  <c r="AT51" i="24"/>
  <c r="AT50" i="24"/>
  <c r="AT44" i="24"/>
  <c r="AT42" i="24"/>
  <c r="AT37" i="24"/>
  <c r="AT36" i="24"/>
  <c r="AT34" i="24"/>
  <c r="AT30" i="24"/>
  <c r="AT29" i="24"/>
  <c r="AT25" i="24"/>
  <c r="AT22" i="24"/>
  <c r="AT21" i="24"/>
  <c r="AC18" i="24"/>
  <c r="AG18" i="24"/>
  <c r="AI18" i="24"/>
  <c r="AS18" i="24"/>
  <c r="AH18" i="24"/>
  <c r="AN18" i="24"/>
  <c r="AJ18" i="24"/>
  <c r="AK18" i="24"/>
  <c r="AM18" i="24"/>
  <c r="AQ18" i="24"/>
  <c r="AB18" i="24"/>
  <c r="AR18" i="24"/>
  <c r="AP18" i="24"/>
  <c r="AO18" i="24"/>
  <c r="O597" i="7"/>
  <c r="O592" i="7"/>
  <c r="O587" i="7"/>
  <c r="O611" i="7"/>
  <c r="O604" i="7"/>
  <c r="O612" i="7" s="1"/>
  <c r="AC83" i="6"/>
  <c r="AK88" i="6"/>
  <c r="AK48" i="6"/>
  <c r="CG88" i="6"/>
  <c r="CG48" i="6"/>
  <c r="EA83" i="6"/>
  <c r="I597" i="7"/>
  <c r="I592" i="7"/>
  <c r="I587" i="7"/>
  <c r="I611" i="7"/>
  <c r="I604" i="7"/>
  <c r="I612" i="7" s="1"/>
  <c r="Y597" i="7"/>
  <c r="Y592" i="7"/>
  <c r="Y587" i="7"/>
  <c r="CX88" i="6"/>
  <c r="CX48" i="6"/>
  <c r="CW39" i="6"/>
  <c r="CR223" i="17"/>
  <c r="CS223" i="17" s="1"/>
  <c r="CT223" i="17" s="1"/>
  <c r="CU223" i="17" s="1"/>
  <c r="CV223" i="17" s="1"/>
  <c r="CT224" i="17"/>
  <c r="CT237" i="17" s="1"/>
  <c r="AE88" i="6"/>
  <c r="AE48" i="6"/>
  <c r="CA88" i="6"/>
  <c r="CA48" i="6"/>
  <c r="W2" i="12"/>
  <c r="CI4" i="11" s="1"/>
  <c r="Z18" i="21"/>
  <c r="C107" i="2"/>
  <c r="DV88" i="11"/>
  <c r="AD285" i="12" s="1"/>
  <c r="AD279" i="12" s="1"/>
  <c r="DT88" i="11"/>
  <c r="DT13" i="11" s="1"/>
  <c r="L88" i="6"/>
  <c r="L48" i="6"/>
  <c r="K39" i="6"/>
  <c r="BI53" i="24"/>
  <c r="BI51" i="24"/>
  <c r="BI50" i="24"/>
  <c r="BI44" i="24"/>
  <c r="BI42" i="24"/>
  <c r="BI37" i="24"/>
  <c r="BI36" i="24"/>
  <c r="AC36" i="24"/>
  <c r="AY35" i="24"/>
  <c r="AW35" i="24"/>
  <c r="BI54" i="24"/>
  <c r="BI52" i="24"/>
  <c r="BI49" i="24"/>
  <c r="BI46" i="24"/>
  <c r="BI45" i="24"/>
  <c r="BI43" i="24"/>
  <c r="BI39" i="24"/>
  <c r="AD36" i="24"/>
  <c r="AZ35" i="24"/>
  <c r="AX35" i="24"/>
  <c r="AV35" i="24"/>
  <c r="AG35" i="24"/>
  <c r="AH35" i="24"/>
  <c r="AS35" i="24"/>
  <c r="BD35" i="24"/>
  <c r="AN35" i="24"/>
  <c r="AI35" i="24"/>
  <c r="AJ35" i="24"/>
  <c r="AK35" i="24"/>
  <c r="AB35" i="24"/>
  <c r="AM35" i="24"/>
  <c r="AQ35" i="24"/>
  <c r="AR35" i="24"/>
  <c r="AE35" i="24"/>
  <c r="BB35" i="24"/>
  <c r="AP35" i="24"/>
  <c r="AO35" i="24"/>
  <c r="BC35" i="24"/>
  <c r="BE36" i="24"/>
  <c r="F38" i="24"/>
  <c r="DC83" i="6"/>
  <c r="AD86" i="21"/>
  <c r="EP37" i="6"/>
  <c r="AD193" i="12"/>
  <c r="AD419" i="7"/>
  <c r="EJ86" i="6"/>
  <c r="EJ36" i="6"/>
  <c r="CW22" i="17"/>
  <c r="AB18" i="21"/>
  <c r="DV103" i="11"/>
  <c r="AD317" i="12" s="1"/>
  <c r="AD311" i="12" s="1"/>
  <c r="AI16" i="7" s="1"/>
  <c r="AI17" i="7" s="1"/>
  <c r="DT103" i="11"/>
  <c r="CA256" i="17"/>
  <c r="CA257" i="17" s="1"/>
  <c r="CB227" i="17"/>
  <c r="CA226" i="17"/>
  <c r="CA239" i="17" s="1"/>
  <c r="K597" i="7"/>
  <c r="K592" i="7"/>
  <c r="K587" i="7"/>
  <c r="K611" i="7"/>
  <c r="K604" i="7"/>
  <c r="K612" i="7" s="1"/>
  <c r="AU83" i="6"/>
  <c r="CF88" i="6"/>
  <c r="CF48" i="6"/>
  <c r="CE39" i="6"/>
  <c r="CW171" i="17"/>
  <c r="U597" i="7"/>
  <c r="U592" i="7"/>
  <c r="U587" i="7"/>
  <c r="U611" i="7"/>
  <c r="U604" i="7"/>
  <c r="U612" i="7" s="1"/>
  <c r="CL88" i="6"/>
  <c r="CL48" i="6"/>
  <c r="CK39" i="6"/>
  <c r="BT88" i="6"/>
  <c r="BT48" i="6"/>
  <c r="BS39" i="6"/>
  <c r="CW228" i="17"/>
  <c r="BH88" i="6"/>
  <c r="BH48" i="6"/>
  <c r="BG39" i="6"/>
  <c r="AJ3" i="16" l="1"/>
  <c r="AL3" i="16"/>
  <c r="AM2" i="16"/>
  <c r="AI3" i="16"/>
  <c r="AK3" i="16"/>
  <c r="AC425" i="20"/>
  <c r="I505" i="20"/>
  <c r="Z505" i="20" s="1"/>
  <c r="AX142" i="2"/>
  <c r="H68" i="20"/>
  <c r="Y68" i="20" s="1"/>
  <c r="H152" i="20"/>
  <c r="Y152" i="20" s="1"/>
  <c r="H150" i="20"/>
  <c r="Y150" i="20" s="1"/>
  <c r="E317" i="2"/>
  <c r="AW101" i="2"/>
  <c r="L483" i="20"/>
  <c r="AC483" i="20" s="1"/>
  <c r="J174" i="20"/>
  <c r="AA174" i="20" s="1"/>
  <c r="H72" i="20"/>
  <c r="Y72" i="20" s="1"/>
  <c r="H153" i="20"/>
  <c r="Y153" i="20" s="1"/>
  <c r="H66" i="20"/>
  <c r="Y66" i="20" s="1"/>
  <c r="H71" i="20"/>
  <c r="Y71" i="20" s="1"/>
  <c r="I180" i="20"/>
  <c r="Z180" i="20" s="1"/>
  <c r="H61" i="20"/>
  <c r="Y61" i="20" s="1"/>
  <c r="AW244" i="2"/>
  <c r="H70" i="20"/>
  <c r="Y70" i="20" s="1"/>
  <c r="F221" i="20"/>
  <c r="W221" i="20" s="1"/>
  <c r="K348" i="20"/>
  <c r="AB348" i="20" s="1"/>
  <c r="AW136" i="2"/>
  <c r="K174" i="20"/>
  <c r="AB174" i="20" s="1"/>
  <c r="AF66" i="21"/>
  <c r="J483" i="20"/>
  <c r="AA483" i="20" s="1"/>
  <c r="M483" i="20"/>
  <c r="AD483" i="20" s="1"/>
  <c r="AX244" i="2"/>
  <c r="K483" i="20"/>
  <c r="AB483" i="20" s="1"/>
  <c r="AE419" i="7"/>
  <c r="FC89" i="6"/>
  <c r="H60" i="20"/>
  <c r="Y60" i="20" s="1"/>
  <c r="FC60" i="6"/>
  <c r="J348" i="20"/>
  <c r="AA348" i="20" s="1"/>
  <c r="F292" i="2"/>
  <c r="G219" i="2"/>
  <c r="AE86" i="21"/>
  <c r="AF193" i="12"/>
  <c r="AF194" i="12" s="1"/>
  <c r="AW195" i="2"/>
  <c r="F219" i="2"/>
  <c r="EZ36" i="6"/>
  <c r="EZ85" i="6" s="1"/>
  <c r="F284" i="2"/>
  <c r="AF388" i="12"/>
  <c r="AF391" i="12" s="1"/>
  <c r="G101" i="2"/>
  <c r="G195" i="2"/>
  <c r="AF27" i="21"/>
  <c r="AE193" i="12"/>
  <c r="AE394" i="12" s="1"/>
  <c r="EV37" i="6"/>
  <c r="EV36" i="6" s="1"/>
  <c r="F225" i="20"/>
  <c r="W225" i="20" s="1"/>
  <c r="G136" i="2"/>
  <c r="AF247" i="12"/>
  <c r="AF254" i="12" s="1"/>
  <c r="F239" i="20"/>
  <c r="W239" i="20" s="1"/>
  <c r="F299" i="2"/>
  <c r="E311" i="2"/>
  <c r="F294" i="2"/>
  <c r="F231" i="20"/>
  <c r="W231" i="20" s="1"/>
  <c r="F235" i="20"/>
  <c r="W235" i="20" s="1"/>
  <c r="EY47" i="6"/>
  <c r="EY96" i="6" s="1"/>
  <c r="AF33" i="21"/>
  <c r="G109" i="2"/>
  <c r="AX109" i="2" s="1"/>
  <c r="AF20" i="21"/>
  <c r="G111" i="2"/>
  <c r="AX111" i="2" s="1"/>
  <c r="AF22" i="21"/>
  <c r="FB37" i="6"/>
  <c r="FB36" i="6" s="1"/>
  <c r="AF86" i="21"/>
  <c r="AF28" i="21"/>
  <c r="DF77" i="17"/>
  <c r="DE62" i="17"/>
  <c r="DF83" i="17"/>
  <c r="DE68" i="17"/>
  <c r="F289" i="2"/>
  <c r="E137" i="2"/>
  <c r="AW110" i="2"/>
  <c r="F318" i="2"/>
  <c r="AW108" i="2"/>
  <c r="F312" i="2"/>
  <c r="F288" i="2"/>
  <c r="E139" i="2"/>
  <c r="D103" i="2"/>
  <c r="F291" i="2"/>
  <c r="H67" i="20"/>
  <c r="Y67" i="20" s="1"/>
  <c r="H181" i="20"/>
  <c r="Y181" i="20" s="1"/>
  <c r="G500" i="20"/>
  <c r="X500" i="20" s="1"/>
  <c r="F230" i="20"/>
  <c r="W230" i="20" s="1"/>
  <c r="H500" i="20"/>
  <c r="Y500" i="20" s="1"/>
  <c r="AV143" i="2"/>
  <c r="I181" i="20"/>
  <c r="Z181" i="20" s="1"/>
  <c r="AV219" i="2"/>
  <c r="I487" i="20"/>
  <c r="Z487" i="20" s="1"/>
  <c r="H487" i="20"/>
  <c r="Y487" i="20" s="1"/>
  <c r="AV104" i="2"/>
  <c r="E287" i="2"/>
  <c r="H180" i="20"/>
  <c r="Y180" i="20" s="1"/>
  <c r="AF123" i="7"/>
  <c r="EX40" i="6"/>
  <c r="EX89" i="6" s="1"/>
  <c r="AF542" i="7"/>
  <c r="AF549" i="7" s="1"/>
  <c r="AF789" i="7"/>
  <c r="AF500" i="7"/>
  <c r="AF489" i="7"/>
  <c r="EA102" i="11"/>
  <c r="AE316" i="12" s="1"/>
  <c r="AE310" i="12" s="1"/>
  <c r="F145" i="2" s="1"/>
  <c r="EC102" i="11"/>
  <c r="EA87" i="11"/>
  <c r="AE284" i="12" s="1"/>
  <c r="AE278" i="12" s="1"/>
  <c r="F143" i="2" s="1"/>
  <c r="EC87" i="11"/>
  <c r="EF86" i="11"/>
  <c r="AF283" i="12" s="1"/>
  <c r="AF277" i="12" s="1"/>
  <c r="G144" i="2" s="1"/>
  <c r="EF101" i="11"/>
  <c r="AF315" i="12" s="1"/>
  <c r="AF309" i="12" s="1"/>
  <c r="EF57" i="11"/>
  <c r="AF218" i="12" s="1"/>
  <c r="AF204" i="12" s="1"/>
  <c r="AF402" i="12" s="1"/>
  <c r="EE58" i="11"/>
  <c r="EF58" i="11" s="1"/>
  <c r="AF219" i="12" s="1"/>
  <c r="AF178" i="12"/>
  <c r="EA62" i="11"/>
  <c r="AE223" i="12" s="1"/>
  <c r="AE210" i="12" s="1"/>
  <c r="F140" i="2" s="1"/>
  <c r="EC62" i="11"/>
  <c r="EE8" i="11"/>
  <c r="EF8" i="11" s="1"/>
  <c r="AF166" i="12"/>
  <c r="AF13" i="21" s="1"/>
  <c r="EA63" i="11"/>
  <c r="AE224" i="12" s="1"/>
  <c r="AE211" i="12" s="1"/>
  <c r="F141" i="2" s="1"/>
  <c r="AW141" i="2" s="1"/>
  <c r="EC63" i="11"/>
  <c r="EF7" i="11"/>
  <c r="EC59" i="11"/>
  <c r="AE402" i="12"/>
  <c r="AE414" i="12" s="1"/>
  <c r="EA58" i="11"/>
  <c r="AE219" i="12" s="1"/>
  <c r="AE205" i="12" s="1"/>
  <c r="EA8" i="11"/>
  <c r="AF430" i="12"/>
  <c r="AF433" i="12" s="1"/>
  <c r="AF267" i="12"/>
  <c r="AF273" i="12" s="1"/>
  <c r="DM23" i="11"/>
  <c r="EI60" i="11"/>
  <c r="EI61" i="11" s="1"/>
  <c r="DT9" i="11"/>
  <c r="BC587" i="7"/>
  <c r="CP177" i="17"/>
  <c r="AB610" i="7"/>
  <c r="Z610" i="7"/>
  <c r="AA610" i="7"/>
  <c r="AB594" i="7"/>
  <c r="BC594" i="7" s="1"/>
  <c r="AA594" i="7"/>
  <c r="AA589" i="7"/>
  <c r="AA599" i="7"/>
  <c r="AB589" i="7"/>
  <c r="BC589" i="7" s="1"/>
  <c r="AB599" i="7"/>
  <c r="BC599" i="7" s="1"/>
  <c r="Z589" i="7"/>
  <c r="Z594" i="7"/>
  <c r="Z599" i="7"/>
  <c r="AE736" i="7"/>
  <c r="H188" i="20"/>
  <c r="Y188" i="20" s="1"/>
  <c r="AD547" i="7"/>
  <c r="EO47" i="6"/>
  <c r="EU96" i="6" s="1"/>
  <c r="BM83" i="6"/>
  <c r="AD543" i="7"/>
  <c r="AE547" i="7"/>
  <c r="EX47" i="6"/>
  <c r="EX96" i="6" s="1"/>
  <c r="ES96" i="6"/>
  <c r="AE543" i="7"/>
  <c r="AE549" i="7"/>
  <c r="DO83" i="6"/>
  <c r="G508" i="20"/>
  <c r="X508" i="20" s="1"/>
  <c r="AC137" i="12"/>
  <c r="AC55" i="12"/>
  <c r="H189" i="20"/>
  <c r="Y189" i="20" s="1"/>
  <c r="G502" i="20"/>
  <c r="X502" i="20" s="1"/>
  <c r="G501" i="20"/>
  <c r="X501" i="20" s="1"/>
  <c r="I184" i="20"/>
  <c r="Z184" i="20" s="1"/>
  <c r="H184" i="20"/>
  <c r="Y184" i="20" s="1"/>
  <c r="AV145" i="2"/>
  <c r="F238" i="20"/>
  <c r="W238" i="20" s="1"/>
  <c r="F293" i="2"/>
  <c r="F27" i="20"/>
  <c r="W27" i="20" s="1"/>
  <c r="I185" i="20"/>
  <c r="Z185" i="20" s="1"/>
  <c r="H501" i="20"/>
  <c r="Y501" i="20" s="1"/>
  <c r="H185" i="20"/>
  <c r="Y185" i="20" s="1"/>
  <c r="F234" i="20"/>
  <c r="W234" i="20" s="1"/>
  <c r="DI39" i="6"/>
  <c r="DI48" i="6" s="1"/>
  <c r="DL88" i="6"/>
  <c r="DR88" i="6"/>
  <c r="K186" i="20"/>
  <c r="AB186" i="20" s="1"/>
  <c r="DT15" i="11"/>
  <c r="DU15" i="11" s="1"/>
  <c r="BA2" i="6"/>
  <c r="AM275" i="17"/>
  <c r="AM253" i="17"/>
  <c r="AM196" i="17"/>
  <c r="AM218" i="17"/>
  <c r="AM161" i="17"/>
  <c r="AM139" i="17"/>
  <c r="AM122" i="17"/>
  <c r="AM99" i="17"/>
  <c r="AM58" i="17"/>
  <c r="AM20" i="17"/>
  <c r="AM39" i="17"/>
  <c r="AM4" i="17"/>
  <c r="P3" i="1"/>
  <c r="P103" i="21"/>
  <c r="Q11" i="21"/>
  <c r="P104" i="21"/>
  <c r="P117" i="8"/>
  <c r="P124" i="8" s="1"/>
  <c r="O124" i="8"/>
  <c r="I506" i="20"/>
  <c r="Z506" i="20" s="1"/>
  <c r="J504" i="20"/>
  <c r="AA504" i="20" s="1"/>
  <c r="AW146" i="2"/>
  <c r="AW144" i="2"/>
  <c r="J190" i="20"/>
  <c r="AA190" i="20" s="1"/>
  <c r="J182" i="20"/>
  <c r="AA182" i="20" s="1"/>
  <c r="J186" i="20"/>
  <c r="AA186" i="20" s="1"/>
  <c r="I504" i="20"/>
  <c r="Z504" i="20" s="1"/>
  <c r="K182" i="20"/>
  <c r="AB182" i="20" s="1"/>
  <c r="J505" i="20"/>
  <c r="AA505" i="20" s="1"/>
  <c r="BC612" i="7"/>
  <c r="BC604" i="7"/>
  <c r="DZ59" i="11"/>
  <c r="DY59" i="11" s="1"/>
  <c r="BI38" i="24"/>
  <c r="DZ88" i="11"/>
  <c r="DY88" i="11" s="1"/>
  <c r="DY13" i="11" s="1"/>
  <c r="DU96" i="11"/>
  <c r="DU98" i="11" s="1"/>
  <c r="AD447" i="12"/>
  <c r="AD452" i="12" s="1"/>
  <c r="AD330" i="12"/>
  <c r="AD334" i="12" s="1"/>
  <c r="AD36" i="21"/>
  <c r="EW60" i="6"/>
  <c r="EX32" i="6"/>
  <c r="EX81" i="6" s="1"/>
  <c r="ES76" i="6"/>
  <c r="M341" i="20"/>
  <c r="AD341" i="20" s="1"/>
  <c r="AX191" i="2"/>
  <c r="L341" i="20"/>
  <c r="AC341" i="20" s="1"/>
  <c r="EW89" i="6"/>
  <c r="AE436" i="12"/>
  <c r="AE441" i="12" s="1"/>
  <c r="AE35" i="21"/>
  <c r="AE25" i="21"/>
  <c r="AE16" i="21"/>
  <c r="AE13" i="21"/>
  <c r="AE17" i="21"/>
  <c r="AE21" i="21"/>
  <c r="AE19" i="21"/>
  <c r="AE446" i="12"/>
  <c r="AE451" i="12" s="1"/>
  <c r="AE37" i="21"/>
  <c r="CW65" i="17"/>
  <c r="DZ70" i="11"/>
  <c r="AE177" i="12"/>
  <c r="AE24" i="21" s="1"/>
  <c r="DW103" i="11"/>
  <c r="AE106" i="12"/>
  <c r="AE24" i="12"/>
  <c r="AE168" i="12"/>
  <c r="F104" i="2" s="1"/>
  <c r="AW104" i="2" s="1"/>
  <c r="DW88" i="11"/>
  <c r="AE84" i="12"/>
  <c r="DZ103" i="11"/>
  <c r="EA103" i="11" s="1"/>
  <c r="AE317" i="12" s="1"/>
  <c r="AE311" i="12" s="1"/>
  <c r="DV16" i="11"/>
  <c r="AD347" i="12" s="1"/>
  <c r="DX16" i="11"/>
  <c r="DZ16" i="11" s="1"/>
  <c r="DX64" i="11"/>
  <c r="DW59" i="11"/>
  <c r="AE37" i="12" s="1"/>
  <c r="AE23" i="12" s="1"/>
  <c r="AC124" i="21"/>
  <c r="F261" i="2"/>
  <c r="AW261" i="2" s="1"/>
  <c r="L610" i="7"/>
  <c r="M610" i="7"/>
  <c r="Q610" i="7"/>
  <c r="H610" i="7"/>
  <c r="U610" i="7"/>
  <c r="I610" i="7"/>
  <c r="O610" i="7"/>
  <c r="CT167" i="17"/>
  <c r="CT180" i="17" s="1"/>
  <c r="W610" i="7"/>
  <c r="R610" i="7"/>
  <c r="V610" i="7"/>
  <c r="DU13" i="11"/>
  <c r="BH97" i="6"/>
  <c r="BH49" i="6"/>
  <c r="BS88" i="6"/>
  <c r="BS48" i="6"/>
  <c r="CL97" i="6"/>
  <c r="CL49" i="6"/>
  <c r="U102" i="21"/>
  <c r="U599" i="7"/>
  <c r="U594" i="7"/>
  <c r="U589" i="7"/>
  <c r="EI46" i="6"/>
  <c r="EI95" i="6" s="1"/>
  <c r="CE88" i="6"/>
  <c r="CE48" i="6"/>
  <c r="AA102" i="21"/>
  <c r="D237" i="2"/>
  <c r="AB102" i="21"/>
  <c r="CC227" i="17"/>
  <c r="CB226" i="17"/>
  <c r="CB239" i="17" s="1"/>
  <c r="CB256" i="17"/>
  <c r="CB257" i="17" s="1"/>
  <c r="AD448" i="12"/>
  <c r="AD453" i="12" s="1"/>
  <c r="AD339" i="12"/>
  <c r="AD346" i="12" s="1"/>
  <c r="AD312" i="12"/>
  <c r="CW101" i="17"/>
  <c r="CW34" i="17"/>
  <c r="CW32" i="17"/>
  <c r="CX22" i="17"/>
  <c r="AD28" i="21"/>
  <c r="AD425" i="7"/>
  <c r="AD248" i="12"/>
  <c r="AD394" i="12"/>
  <c r="AD397" i="12" s="1"/>
  <c r="AD194" i="12"/>
  <c r="K88" i="6"/>
  <c r="K48" i="6"/>
  <c r="CA97" i="6"/>
  <c r="CA49" i="6"/>
  <c r="AE97" i="6"/>
  <c r="AE49" i="6"/>
  <c r="CS225" i="17"/>
  <c r="CW88" i="6"/>
  <c r="CW48" i="6"/>
  <c r="I102" i="21"/>
  <c r="I599" i="7"/>
  <c r="I594" i="7"/>
  <c r="I589" i="7"/>
  <c r="CG97" i="6"/>
  <c r="CG49" i="6"/>
  <c r="AK97" i="6"/>
  <c r="AK49" i="6"/>
  <c r="O102" i="21"/>
  <c r="O599" i="7"/>
  <c r="O594" i="7"/>
  <c r="O589" i="7"/>
  <c r="BG88" i="6"/>
  <c r="BG48" i="6"/>
  <c r="CX228" i="17"/>
  <c r="CY228" i="17" s="1"/>
  <c r="CW248" i="17"/>
  <c r="CW246" i="17"/>
  <c r="BT97" i="6"/>
  <c r="BT49" i="6"/>
  <c r="CK88" i="6"/>
  <c r="CK48" i="6"/>
  <c r="CW199" i="17"/>
  <c r="CW191" i="17"/>
  <c r="CW189" i="17"/>
  <c r="CX171" i="17"/>
  <c r="CF97" i="6"/>
  <c r="CF49" i="6"/>
  <c r="K610" i="7"/>
  <c r="K102" i="21"/>
  <c r="K599" i="7"/>
  <c r="K594" i="7"/>
  <c r="K589" i="7"/>
  <c r="CW33" i="17"/>
  <c r="EJ85" i="6"/>
  <c r="EG36" i="6"/>
  <c r="EG85" i="6" s="1"/>
  <c r="EP86" i="6"/>
  <c r="EP36" i="6"/>
  <c r="BL54" i="24"/>
  <c r="BL52" i="24"/>
  <c r="BL49" i="24"/>
  <c r="BL46" i="24"/>
  <c r="BL45" i="24"/>
  <c r="BL43" i="24"/>
  <c r="BL39" i="24"/>
  <c r="AD39" i="24"/>
  <c r="AY38" i="24"/>
  <c r="AW38" i="24"/>
  <c r="BL53" i="24"/>
  <c r="BL51" i="24"/>
  <c r="BL50" i="24"/>
  <c r="BL44" i="24"/>
  <c r="BL42" i="24"/>
  <c r="AC39" i="24"/>
  <c r="AZ38" i="24"/>
  <c r="AX38" i="24"/>
  <c r="AV38" i="24"/>
  <c r="AG38" i="24"/>
  <c r="BD38" i="24"/>
  <c r="AN38" i="24"/>
  <c r="AI38" i="24"/>
  <c r="AJ38" i="24"/>
  <c r="AH38" i="24"/>
  <c r="AS38" i="24"/>
  <c r="AB38" i="24"/>
  <c r="AK38" i="24"/>
  <c r="BB38" i="24"/>
  <c r="AM38" i="24"/>
  <c r="AQ38" i="24"/>
  <c r="AR38" i="24"/>
  <c r="AE38" i="24"/>
  <c r="AP38" i="24"/>
  <c r="AO38" i="24"/>
  <c r="BC38" i="24"/>
  <c r="BE38" i="24"/>
  <c r="BH38" i="24"/>
  <c r="BG38" i="24"/>
  <c r="BF38" i="24"/>
  <c r="L97" i="6"/>
  <c r="L49" i="6"/>
  <c r="AD438" i="12"/>
  <c r="AD443" i="12" s="1"/>
  <c r="AD299" i="12"/>
  <c r="AD305" i="12" s="1"/>
  <c r="AD280" i="12"/>
  <c r="AD331" i="12"/>
  <c r="AT107" i="2"/>
  <c r="C309" i="2"/>
  <c r="C315" i="2"/>
  <c r="CX224" i="17"/>
  <c r="CW223" i="17"/>
  <c r="CX223" i="17" s="1"/>
  <c r="CY223" i="17" s="1"/>
  <c r="CX97" i="6"/>
  <c r="CX49" i="6"/>
  <c r="Y102" i="21"/>
  <c r="Y599" i="7"/>
  <c r="Y594" i="7"/>
  <c r="Y589" i="7"/>
  <c r="CX221" i="17"/>
  <c r="CW220" i="17"/>
  <c r="CX220" i="17" s="1"/>
  <c r="CY220" i="17" s="1"/>
  <c r="CW166" i="17"/>
  <c r="CX166" i="17" s="1"/>
  <c r="CY166" i="17" s="1"/>
  <c r="BM88" i="6"/>
  <c r="BM48" i="6"/>
  <c r="S610" i="7"/>
  <c r="S102" i="21"/>
  <c r="S599" i="7"/>
  <c r="S594" i="7"/>
  <c r="S589" i="7"/>
  <c r="CX230" i="17"/>
  <c r="AD123" i="12"/>
  <c r="AD129" i="12" s="1"/>
  <c r="CX71" i="17"/>
  <c r="CY71" i="17" s="1"/>
  <c r="CW94" i="17"/>
  <c r="CW92" i="17"/>
  <c r="AO88" i="6"/>
  <c r="AO48" i="6"/>
  <c r="AD42" i="12"/>
  <c r="AD29" i="12" s="1"/>
  <c r="DR9" i="11"/>
  <c r="DS9" i="11" s="1"/>
  <c r="CR97" i="6"/>
  <c r="CR49" i="6"/>
  <c r="X102" i="21"/>
  <c r="X589" i="7"/>
  <c r="X599" i="7"/>
  <c r="X594" i="7"/>
  <c r="P610" i="7"/>
  <c r="H102" i="21"/>
  <c r="H589" i="7"/>
  <c r="H599" i="7"/>
  <c r="H594" i="7"/>
  <c r="DR97" i="6"/>
  <c r="DR49" i="6"/>
  <c r="DK97" i="6"/>
  <c r="DK49" i="6"/>
  <c r="DU109" i="11"/>
  <c r="DU113" i="11"/>
  <c r="EG95" i="6"/>
  <c r="AU88" i="6"/>
  <c r="AU48" i="6"/>
  <c r="R102" i="21"/>
  <c r="R589" i="7"/>
  <c r="R599" i="7"/>
  <c r="R594" i="7"/>
  <c r="J610" i="7"/>
  <c r="DD97" i="6"/>
  <c r="DD49" i="6"/>
  <c r="BJ38" i="24"/>
  <c r="CL111" i="17"/>
  <c r="CL117" i="17"/>
  <c r="CM116" i="17"/>
  <c r="AA150" i="12"/>
  <c r="CO116" i="17"/>
  <c r="CN116" i="17"/>
  <c r="CK107" i="17"/>
  <c r="DP97" i="6"/>
  <c r="DP49" i="6"/>
  <c r="DX97" i="6"/>
  <c r="DX49" i="6"/>
  <c r="DL97" i="6"/>
  <c r="DL49" i="6"/>
  <c r="G599" i="7"/>
  <c r="G589" i="7"/>
  <c r="DU72" i="11"/>
  <c r="DV64" i="11"/>
  <c r="AD225" i="12" s="1"/>
  <c r="AD212" i="12" s="1"/>
  <c r="EB97" i="6"/>
  <c r="EB49" i="6"/>
  <c r="T610" i="7"/>
  <c r="L102" i="21"/>
  <c r="L589" i="7"/>
  <c r="L599" i="7"/>
  <c r="L594" i="7"/>
  <c r="R97" i="6"/>
  <c r="R49" i="6"/>
  <c r="AD97" i="6"/>
  <c r="AD49" i="6"/>
  <c r="DF97" i="6"/>
  <c r="DF49" i="6"/>
  <c r="CT97" i="6"/>
  <c r="CT49" i="6"/>
  <c r="CH97" i="6"/>
  <c r="CH49" i="6"/>
  <c r="BV97" i="6"/>
  <c r="BV49" i="6"/>
  <c r="BJ97" i="6"/>
  <c r="BJ49" i="6"/>
  <c r="AX97" i="6"/>
  <c r="AX49" i="6"/>
  <c r="AL97" i="6"/>
  <c r="AL49" i="6"/>
  <c r="Z97" i="6"/>
  <c r="Z49" i="6"/>
  <c r="N97" i="6"/>
  <c r="N49" i="6"/>
  <c r="CT164" i="17"/>
  <c r="CT177" i="17" s="1"/>
  <c r="CY97" i="6"/>
  <c r="CY49" i="6"/>
  <c r="BC97" i="6"/>
  <c r="BC49" i="6"/>
  <c r="DV70" i="11"/>
  <c r="AD236" i="12" s="1"/>
  <c r="AD229" i="12" s="1"/>
  <c r="BA88" i="6"/>
  <c r="BA48" i="6"/>
  <c r="CP180" i="17"/>
  <c r="CO168" i="17"/>
  <c r="V102" i="21"/>
  <c r="V589" i="7"/>
  <c r="V599" i="7"/>
  <c r="V594" i="7"/>
  <c r="N610" i="7"/>
  <c r="BY88" i="6"/>
  <c r="BY48" i="6"/>
  <c r="CC170" i="17"/>
  <c r="CB169" i="17"/>
  <c r="CB182" i="17" s="1"/>
  <c r="CW93" i="17"/>
  <c r="CO70" i="17"/>
  <c r="CN69" i="17"/>
  <c r="CN85" i="17" s="1"/>
  <c r="CN103" i="17"/>
  <c r="CN104" i="17" s="1"/>
  <c r="X97" i="6"/>
  <c r="X49" i="6"/>
  <c r="CZ97" i="6"/>
  <c r="CZ49" i="6"/>
  <c r="CN97" i="6"/>
  <c r="CN49" i="6"/>
  <c r="CB97" i="6"/>
  <c r="CB49" i="6"/>
  <c r="BP97" i="6"/>
  <c r="BP49" i="6"/>
  <c r="BD97" i="6"/>
  <c r="BD49" i="6"/>
  <c r="AR97" i="6"/>
  <c r="AR49" i="6"/>
  <c r="AF97" i="6"/>
  <c r="AF49" i="6"/>
  <c r="T97" i="6"/>
  <c r="T49" i="6"/>
  <c r="AJ97" i="6"/>
  <c r="AJ49" i="6"/>
  <c r="CS97" i="6"/>
  <c r="CS49" i="6"/>
  <c r="AW97" i="6"/>
  <c r="AW49" i="6"/>
  <c r="CM97" i="6"/>
  <c r="CM49" i="6"/>
  <c r="AQ97" i="6"/>
  <c r="AQ49" i="6"/>
  <c r="DV97" i="6"/>
  <c r="DV49" i="6"/>
  <c r="DQ97" i="6"/>
  <c r="DQ49" i="6"/>
  <c r="DE97" i="6"/>
  <c r="DE49" i="6"/>
  <c r="BI97" i="6"/>
  <c r="BI49" i="6"/>
  <c r="ED97" i="6"/>
  <c r="ED49" i="6"/>
  <c r="DW97" i="6"/>
  <c r="DW49" i="6"/>
  <c r="BO97" i="6"/>
  <c r="BO49" i="6"/>
  <c r="S97" i="6"/>
  <c r="S49" i="6"/>
  <c r="CW190" i="17"/>
  <c r="AT38" i="24"/>
  <c r="CS222" i="17"/>
  <c r="BN97" i="6"/>
  <c r="BN49" i="6"/>
  <c r="AC14" i="21"/>
  <c r="AP97" i="6"/>
  <c r="AP49" i="6"/>
  <c r="Q102" i="21"/>
  <c r="Q599" i="7"/>
  <c r="Q594" i="7"/>
  <c r="Q589" i="7"/>
  <c r="CQ88" i="6"/>
  <c r="CQ48" i="6"/>
  <c r="P102" i="21"/>
  <c r="P589" i="7"/>
  <c r="P599" i="7"/>
  <c r="P594" i="7"/>
  <c r="W102" i="21"/>
  <c r="W599" i="7"/>
  <c r="W594" i="7"/>
  <c r="W589" i="7"/>
  <c r="CW247" i="17"/>
  <c r="AV97" i="6"/>
  <c r="AV49" i="6"/>
  <c r="Z102" i="21"/>
  <c r="C237" i="2"/>
  <c r="AT237" i="2" s="1"/>
  <c r="J102" i="21"/>
  <c r="J589" i="7"/>
  <c r="J599" i="7"/>
  <c r="J594" i="7"/>
  <c r="CW102" i="17"/>
  <c r="CW53" i="17"/>
  <c r="CW51" i="17"/>
  <c r="CX41" i="17"/>
  <c r="CY41" i="17" s="1"/>
  <c r="EC97" i="6"/>
  <c r="EC49" i="6"/>
  <c r="M97" i="6"/>
  <c r="M49" i="6"/>
  <c r="DC88" i="6"/>
  <c r="DC48" i="6"/>
  <c r="BK38" i="24"/>
  <c r="DO48" i="6"/>
  <c r="AD30" i="21"/>
  <c r="AD404" i="12"/>
  <c r="AD416" i="12" s="1"/>
  <c r="AD207" i="12"/>
  <c r="EA88" i="6"/>
  <c r="EA48" i="6"/>
  <c r="T102" i="21"/>
  <c r="T589" i="7"/>
  <c r="T599" i="7"/>
  <c r="T594" i="7"/>
  <c r="Q88" i="6"/>
  <c r="Q48" i="6"/>
  <c r="AC88" i="6"/>
  <c r="AC48" i="6"/>
  <c r="CW163" i="17"/>
  <c r="CX163" i="17" s="1"/>
  <c r="CY163" i="17" s="1"/>
  <c r="AD24" i="21"/>
  <c r="BB97" i="6"/>
  <c r="BB49" i="6"/>
  <c r="M102" i="21"/>
  <c r="M599" i="7"/>
  <c r="M594" i="7"/>
  <c r="M589" i="7"/>
  <c r="N102" i="21"/>
  <c r="N589" i="7"/>
  <c r="N599" i="7"/>
  <c r="N594" i="7"/>
  <c r="BZ97" i="6"/>
  <c r="BZ49" i="6"/>
  <c r="CM104" i="17"/>
  <c r="CX173" i="17"/>
  <c r="AD115" i="12"/>
  <c r="AD119" i="12" s="1"/>
  <c r="AD93" i="12"/>
  <c r="AD99" i="12" s="1"/>
  <c r="W88" i="6"/>
  <c r="W48" i="6"/>
  <c r="BU97" i="6"/>
  <c r="BU49" i="6"/>
  <c r="Y97" i="6"/>
  <c r="Y49" i="6"/>
  <c r="AI88" i="6"/>
  <c r="AI48" i="6"/>
  <c r="DJ97" i="6"/>
  <c r="DJ49" i="6"/>
  <c r="DU88" i="6"/>
  <c r="DU48" i="6"/>
  <c r="D38" i="24"/>
  <c r="AM3" i="16" l="1"/>
  <c r="AQ2" i="16"/>
  <c r="AN3" i="16"/>
  <c r="AP3" i="16"/>
  <c r="AO3" i="16"/>
  <c r="F233" i="20"/>
  <c r="W233" i="20" s="1"/>
  <c r="F433" i="20"/>
  <c r="W433" i="20" s="1"/>
  <c r="AW140" i="2"/>
  <c r="I152" i="20"/>
  <c r="Z152" i="20" s="1"/>
  <c r="I150" i="20"/>
  <c r="Z150" i="20" s="1"/>
  <c r="M348" i="20"/>
  <c r="AD348" i="20" s="1"/>
  <c r="L504" i="20"/>
  <c r="AC504" i="20" s="1"/>
  <c r="I67" i="20"/>
  <c r="Z67" i="20" s="1"/>
  <c r="AX101" i="2"/>
  <c r="K487" i="20"/>
  <c r="AB487" i="20" s="1"/>
  <c r="L487" i="20"/>
  <c r="AC487" i="20" s="1"/>
  <c r="I71" i="20"/>
  <c r="Z71" i="20" s="1"/>
  <c r="I153" i="20"/>
  <c r="Z153" i="20" s="1"/>
  <c r="I72" i="20"/>
  <c r="Z72" i="20" s="1"/>
  <c r="I68" i="20"/>
  <c r="Z68" i="20" s="1"/>
  <c r="K180" i="20"/>
  <c r="AB180" i="20" s="1"/>
  <c r="AV139" i="2"/>
  <c r="F319" i="2"/>
  <c r="F237" i="20"/>
  <c r="W237" i="20" s="1"/>
  <c r="L174" i="20"/>
  <c r="AC174" i="20" s="1"/>
  <c r="I60" i="20"/>
  <c r="Z60" i="20" s="1"/>
  <c r="AE403" i="12"/>
  <c r="AE415" i="12" s="1"/>
  <c r="AW219" i="2"/>
  <c r="EY36" i="6"/>
  <c r="G137" i="2"/>
  <c r="AF394" i="12"/>
  <c r="AE425" i="7"/>
  <c r="AE439" i="7" s="1"/>
  <c r="G102" i="2"/>
  <c r="AX102" i="2" s="1"/>
  <c r="F137" i="2"/>
  <c r="J487" i="20"/>
  <c r="AA487" i="20" s="1"/>
  <c r="AX195" i="2"/>
  <c r="G231" i="20"/>
  <c r="X231" i="20" s="1"/>
  <c r="M487" i="20"/>
  <c r="AD487" i="20" s="1"/>
  <c r="AX219" i="2"/>
  <c r="AF248" i="12"/>
  <c r="EV85" i="6"/>
  <c r="G239" i="20"/>
  <c r="X239" i="20" s="1"/>
  <c r="AF425" i="7"/>
  <c r="AX136" i="2"/>
  <c r="G221" i="20"/>
  <c r="X221" i="20" s="1"/>
  <c r="AE31" i="21"/>
  <c r="L348" i="20"/>
  <c r="AC348" i="20" s="1"/>
  <c r="AE194" i="12"/>
  <c r="AE248" i="12"/>
  <c r="AE255" i="12" s="1"/>
  <c r="AE28" i="21"/>
  <c r="F313" i="2"/>
  <c r="FB85" i="6"/>
  <c r="ES36" i="6"/>
  <c r="EY85" i="6" s="1"/>
  <c r="G284" i="2"/>
  <c r="AF397" i="12"/>
  <c r="EV86" i="6"/>
  <c r="M174" i="20"/>
  <c r="AD174" i="20" s="1"/>
  <c r="G235" i="20"/>
  <c r="X235" i="20" s="1"/>
  <c r="AE407" i="12"/>
  <c r="AE419" i="12" s="1"/>
  <c r="F229" i="20"/>
  <c r="W229" i="20" s="1"/>
  <c r="AE32" i="21"/>
  <c r="EA111" i="11"/>
  <c r="AE327" i="12" s="1"/>
  <c r="AE322" i="12" s="1"/>
  <c r="E226" i="2"/>
  <c r="E138" i="2"/>
  <c r="F133" i="2"/>
  <c r="AW133" i="2" s="1"/>
  <c r="EA96" i="11"/>
  <c r="AE295" i="12" s="1"/>
  <c r="AE290" i="12" s="1"/>
  <c r="G292" i="2"/>
  <c r="G294" i="2"/>
  <c r="FB86" i="6"/>
  <c r="AF446" i="12"/>
  <c r="AF451" i="12" s="1"/>
  <c r="AF37" i="21"/>
  <c r="AE408" i="12"/>
  <c r="AE420" i="12" s="1"/>
  <c r="G146" i="2"/>
  <c r="F224" i="20"/>
  <c r="W224" i="20" s="1"/>
  <c r="G131" i="2"/>
  <c r="AX131" i="2" s="1"/>
  <c r="AF25" i="21"/>
  <c r="AF436" i="12"/>
  <c r="AF441" i="12" s="1"/>
  <c r="AF35" i="21"/>
  <c r="G225" i="20"/>
  <c r="X225" i="20" s="1"/>
  <c r="I501" i="20"/>
  <c r="Z501" i="20" s="1"/>
  <c r="K184" i="20"/>
  <c r="AB184" i="20" s="1"/>
  <c r="AW145" i="2"/>
  <c r="J185" i="20"/>
  <c r="AA185" i="20" s="1"/>
  <c r="K185" i="20"/>
  <c r="AB185" i="20" s="1"/>
  <c r="J501" i="20"/>
  <c r="AA501" i="20" s="1"/>
  <c r="F317" i="2"/>
  <c r="J184" i="20"/>
  <c r="AA184" i="20" s="1"/>
  <c r="J189" i="20"/>
  <c r="AA189" i="20" s="1"/>
  <c r="I502" i="20"/>
  <c r="Z502" i="20" s="1"/>
  <c r="F287" i="2"/>
  <c r="H149" i="20"/>
  <c r="Y149" i="20" s="1"/>
  <c r="H151" i="20"/>
  <c r="Y151" i="20" s="1"/>
  <c r="F128" i="2"/>
  <c r="AW128" i="2" s="1"/>
  <c r="H486" i="20"/>
  <c r="Y486" i="20" s="1"/>
  <c r="AV137" i="2"/>
  <c r="F285" i="2"/>
  <c r="F222" i="20"/>
  <c r="W222" i="20" s="1"/>
  <c r="I486" i="20"/>
  <c r="Z486" i="20" s="1"/>
  <c r="I175" i="20"/>
  <c r="Z175" i="20" s="1"/>
  <c r="H175" i="20"/>
  <c r="Y175" i="20" s="1"/>
  <c r="I500" i="20"/>
  <c r="Z500" i="20" s="1"/>
  <c r="G230" i="20"/>
  <c r="X230" i="20" s="1"/>
  <c r="J181" i="20"/>
  <c r="AA181" i="20" s="1"/>
  <c r="J500" i="20"/>
  <c r="AA500" i="20" s="1"/>
  <c r="K181" i="20"/>
  <c r="AB181" i="20" s="1"/>
  <c r="AW143" i="2"/>
  <c r="I508" i="20"/>
  <c r="Z508" i="20" s="1"/>
  <c r="J188" i="20"/>
  <c r="AA188" i="20" s="1"/>
  <c r="J180" i="20"/>
  <c r="AA180" i="20" s="1"/>
  <c r="AU103" i="2"/>
  <c r="D286" i="2"/>
  <c r="G75" i="20"/>
  <c r="X75" i="20" s="1"/>
  <c r="D306" i="2"/>
  <c r="D307" i="2" s="1"/>
  <c r="F311" i="2"/>
  <c r="AF205" i="12"/>
  <c r="AF540" i="7"/>
  <c r="FA47" i="6" s="1"/>
  <c r="FA96" i="6" s="1"/>
  <c r="AE26" i="21"/>
  <c r="AF414" i="12"/>
  <c r="EA16" i="11"/>
  <c r="AE347" i="12" s="1"/>
  <c r="EC16" i="11"/>
  <c r="EE16" i="11" s="1"/>
  <c r="EF16" i="11" s="1"/>
  <c r="AF347" i="12" s="1"/>
  <c r="EA70" i="11"/>
  <c r="AE236" i="12" s="1"/>
  <c r="AE229" i="12" s="1"/>
  <c r="EC70" i="11"/>
  <c r="EC64" i="11"/>
  <c r="EB59" i="11"/>
  <c r="AF37" i="12" s="1"/>
  <c r="AF23" i="12" s="1"/>
  <c r="DF65" i="17" s="1"/>
  <c r="AF168" i="12"/>
  <c r="AF15" i="21" s="1"/>
  <c r="AF24" i="12"/>
  <c r="EE59" i="11"/>
  <c r="EE87" i="11"/>
  <c r="AF172" i="12"/>
  <c r="EC88" i="11"/>
  <c r="EE102" i="11"/>
  <c r="AF174" i="12"/>
  <c r="EC103" i="11"/>
  <c r="EE63" i="11"/>
  <c r="EF63" i="11" s="1"/>
  <c r="AF224" i="12" s="1"/>
  <c r="AF211" i="12" s="1"/>
  <c r="AF32" i="21" s="1"/>
  <c r="AF170" i="12"/>
  <c r="EE62" i="11"/>
  <c r="EF62" i="11" s="1"/>
  <c r="AF223" i="12" s="1"/>
  <c r="AF210" i="12" s="1"/>
  <c r="AF31" i="21" s="1"/>
  <c r="AF169" i="12"/>
  <c r="DB65" i="17"/>
  <c r="DB81" i="17" s="1"/>
  <c r="AJ16" i="7"/>
  <c r="AJ17" i="7" s="1"/>
  <c r="AE36" i="21"/>
  <c r="DM24" i="11"/>
  <c r="EO96" i="6"/>
  <c r="ER47" i="6"/>
  <c r="ER96" i="6" s="1"/>
  <c r="DO88" i="6"/>
  <c r="G238" i="20"/>
  <c r="X238" i="20" s="1"/>
  <c r="G27" i="20"/>
  <c r="X27" i="20" s="1"/>
  <c r="CS168" i="17"/>
  <c r="DI88" i="6"/>
  <c r="G234" i="20"/>
  <c r="X234" i="20" s="1"/>
  <c r="BC610" i="7"/>
  <c r="AE30" i="12"/>
  <c r="DW64" i="11"/>
  <c r="K504" i="20"/>
  <c r="AB504" i="20" s="1"/>
  <c r="Q117" i="8"/>
  <c r="Q124" i="8" s="1"/>
  <c r="BG2" i="6"/>
  <c r="AQ253" i="17"/>
  <c r="AQ161" i="17"/>
  <c r="AQ218" i="17"/>
  <c r="AQ122" i="17"/>
  <c r="AQ275" i="17"/>
  <c r="AQ196" i="17"/>
  <c r="AQ39" i="17"/>
  <c r="AQ139" i="17"/>
  <c r="AQ99" i="17"/>
  <c r="AQ58" i="17"/>
  <c r="AQ20" i="17"/>
  <c r="AQ4" i="17"/>
  <c r="Q3" i="1"/>
  <c r="Q104" i="21"/>
  <c r="Q103" i="21"/>
  <c r="R11" i="21"/>
  <c r="M182" i="20"/>
  <c r="AD182" i="20" s="1"/>
  <c r="L182" i="20"/>
  <c r="AC182" i="20" s="1"/>
  <c r="AX144" i="2"/>
  <c r="EA59" i="11"/>
  <c r="AE220" i="12" s="1"/>
  <c r="AE206" i="12" s="1"/>
  <c r="F139" i="2" s="1"/>
  <c r="DZ64" i="11"/>
  <c r="DY64" i="11" s="1"/>
  <c r="DY9" i="11" s="1"/>
  <c r="DU94" i="11"/>
  <c r="DV94" i="11" s="1"/>
  <c r="AD293" i="12" s="1"/>
  <c r="EA88" i="11"/>
  <c r="AE285" i="12" s="1"/>
  <c r="AE279" i="12" s="1"/>
  <c r="CX72" i="17"/>
  <c r="CX88" i="17" s="1"/>
  <c r="DR65" i="11" s="1"/>
  <c r="CZ71" i="17"/>
  <c r="CY92" i="17"/>
  <c r="CZ166" i="17"/>
  <c r="DA166" i="17" s="1"/>
  <c r="DB166" i="17" s="1"/>
  <c r="DC166" i="17" s="1"/>
  <c r="CZ223" i="17"/>
  <c r="DA223" i="17" s="1"/>
  <c r="DB223" i="17" s="1"/>
  <c r="DC223" i="17" s="1"/>
  <c r="DB224" i="17"/>
  <c r="CZ163" i="17"/>
  <c r="DA163" i="17" s="1"/>
  <c r="DB163" i="17" s="1"/>
  <c r="DC163" i="17" s="1"/>
  <c r="CY102" i="17"/>
  <c r="CZ41" i="17"/>
  <c r="CY51" i="17"/>
  <c r="DB221" i="17"/>
  <c r="CZ220" i="17"/>
  <c r="DA220" i="17" s="1"/>
  <c r="DB220" i="17" s="1"/>
  <c r="DC220" i="17" s="1"/>
  <c r="CX172" i="17"/>
  <c r="CX185" i="17" s="1"/>
  <c r="DR89" i="11" s="1"/>
  <c r="CY171" i="17"/>
  <c r="CY246" i="17"/>
  <c r="CZ228" i="17"/>
  <c r="CY22" i="17"/>
  <c r="AE34" i="21"/>
  <c r="AE15" i="21"/>
  <c r="DY103" i="11"/>
  <c r="AE447" i="12"/>
  <c r="AE452" i="12" s="1"/>
  <c r="AE312" i="12"/>
  <c r="AE339" i="12"/>
  <c r="AE346" i="12" s="1"/>
  <c r="AE397" i="12"/>
  <c r="AE330" i="12"/>
  <c r="AE334" i="12" s="1"/>
  <c r="AE437" i="12"/>
  <c r="AE442" i="12" s="1"/>
  <c r="DW15" i="11"/>
  <c r="DX15" i="11" s="1"/>
  <c r="AE111" i="12"/>
  <c r="AE105" i="12" s="1"/>
  <c r="DW13" i="11"/>
  <c r="DX13" i="11" s="1"/>
  <c r="AE89" i="12"/>
  <c r="AE83" i="12" s="1"/>
  <c r="DV15" i="11"/>
  <c r="DX75" i="11"/>
  <c r="DW75" i="11" s="1"/>
  <c r="DV13" i="11"/>
  <c r="EL46" i="6"/>
  <c r="CX167" i="17"/>
  <c r="CX180" i="17" s="1"/>
  <c r="AI97" i="6"/>
  <c r="Q97" i="6"/>
  <c r="EA97" i="6"/>
  <c r="CX102" i="17"/>
  <c r="CX51" i="17"/>
  <c r="AC115" i="21"/>
  <c r="BY97" i="6"/>
  <c r="CS165" i="17"/>
  <c r="CX234" i="17"/>
  <c r="CW222" i="17"/>
  <c r="EP85" i="6"/>
  <c r="EM36" i="6"/>
  <c r="EM85" i="6" s="1"/>
  <c r="CX199" i="17"/>
  <c r="CX189" i="17"/>
  <c r="CK97" i="6"/>
  <c r="CX246" i="17"/>
  <c r="AD255" i="12"/>
  <c r="CX101" i="17"/>
  <c r="CX32" i="17"/>
  <c r="CC256" i="17"/>
  <c r="CC257" i="17" s="1"/>
  <c r="CD227" i="17"/>
  <c r="CC226" i="17"/>
  <c r="CC239" i="17" s="1"/>
  <c r="DU97" i="6"/>
  <c r="W97" i="6"/>
  <c r="AC97" i="6"/>
  <c r="DC97" i="6"/>
  <c r="DI97" i="6"/>
  <c r="CX73" i="17"/>
  <c r="AD53" i="12"/>
  <c r="AD60" i="12" s="1"/>
  <c r="DV72" i="11"/>
  <c r="AD237" i="12" s="1"/>
  <c r="AD230" i="12" s="1"/>
  <c r="AU97" i="6"/>
  <c r="AD167" i="12"/>
  <c r="DU9" i="11"/>
  <c r="DS10" i="11"/>
  <c r="CX237" i="17"/>
  <c r="CW225" i="17"/>
  <c r="AD335" i="12"/>
  <c r="CX186" i="17"/>
  <c r="CX164" i="17"/>
  <c r="DO97" i="6"/>
  <c r="CX42" i="17"/>
  <c r="CY52" i="17" s="1"/>
  <c r="CQ97" i="6"/>
  <c r="CX229" i="17"/>
  <c r="CW230" i="17" s="1"/>
  <c r="CO103" i="17"/>
  <c r="CP70" i="17"/>
  <c r="CO69" i="17"/>
  <c r="CO85" i="17" s="1"/>
  <c r="CD170" i="17"/>
  <c r="CC169" i="17"/>
  <c r="CC182" i="17" s="1"/>
  <c r="BA97" i="6"/>
  <c r="DU73" i="11"/>
  <c r="AD93" i="21"/>
  <c r="EP46" i="6"/>
  <c r="EP95" i="6" s="1"/>
  <c r="AD662" i="7"/>
  <c r="AD763" i="7"/>
  <c r="AD29" i="21"/>
  <c r="EM46" i="6"/>
  <c r="AD409" i="12"/>
  <c r="AD421" i="12" s="1"/>
  <c r="AD249" i="12"/>
  <c r="AD256" i="12" s="1"/>
  <c r="AD213" i="12"/>
  <c r="AD231" i="12"/>
  <c r="CX23" i="17"/>
  <c r="DU112" i="11"/>
  <c r="DV109" i="11"/>
  <c r="AD325" i="12" s="1"/>
  <c r="AD320" i="12" s="1"/>
  <c r="E250" i="2" s="1"/>
  <c r="AO97" i="6"/>
  <c r="CX92" i="17"/>
  <c r="CX243" i="17"/>
  <c r="BM97" i="6"/>
  <c r="BG97" i="6"/>
  <c r="CW97" i="6"/>
  <c r="K97" i="6"/>
  <c r="AD439" i="7"/>
  <c r="G433" i="20"/>
  <c r="E43" i="20"/>
  <c r="V43" i="20" s="1"/>
  <c r="AU237" i="2"/>
  <c r="CE97" i="6"/>
  <c r="BS97" i="6"/>
  <c r="AR3" i="16" l="1"/>
  <c r="AU2" i="16"/>
  <c r="AS3" i="16"/>
  <c r="AQ3" i="16"/>
  <c r="AT3" i="16"/>
  <c r="X433" i="20"/>
  <c r="AH198" i="7"/>
  <c r="L505" i="20"/>
  <c r="AC505" i="20" s="1"/>
  <c r="AW139" i="2"/>
  <c r="J72" i="20"/>
  <c r="AA72" i="20" s="1"/>
  <c r="H177" i="20"/>
  <c r="Y177" i="20" s="1"/>
  <c r="J68" i="20"/>
  <c r="AA68" i="20" s="1"/>
  <c r="H426" i="20"/>
  <c r="I66" i="20"/>
  <c r="Z66" i="20" s="1"/>
  <c r="I149" i="20"/>
  <c r="Z149" i="20" s="1"/>
  <c r="G233" i="20"/>
  <c r="X233" i="20" s="1"/>
  <c r="H221" i="20"/>
  <c r="Y221" i="20" s="1"/>
  <c r="J486" i="20"/>
  <c r="AA486" i="20" s="1"/>
  <c r="L175" i="20"/>
  <c r="I70" i="20"/>
  <c r="Z70" i="20" s="1"/>
  <c r="AW137" i="2"/>
  <c r="F226" i="2"/>
  <c r="AF26" i="21"/>
  <c r="AX137" i="2"/>
  <c r="L486" i="20"/>
  <c r="AC486" i="20" s="1"/>
  <c r="M175" i="20"/>
  <c r="AD175" i="20" s="1"/>
  <c r="M486" i="20"/>
  <c r="AD486" i="20" s="1"/>
  <c r="AX146" i="2"/>
  <c r="K486" i="20"/>
  <c r="AB486" i="20" s="1"/>
  <c r="J175" i="20"/>
  <c r="K175" i="20"/>
  <c r="AB175" i="20" s="1"/>
  <c r="G285" i="2"/>
  <c r="AF439" i="7"/>
  <c r="I151" i="20"/>
  <c r="Z151" i="20" s="1"/>
  <c r="DZ96" i="11"/>
  <c r="DZ94" i="11" s="1"/>
  <c r="DZ97" i="11" s="1"/>
  <c r="AF547" i="7"/>
  <c r="AV138" i="2"/>
  <c r="AV226" i="2"/>
  <c r="DZ111" i="11"/>
  <c r="DZ109" i="11" s="1"/>
  <c r="I176" i="20"/>
  <c r="Z176" i="20" s="1"/>
  <c r="AF255" i="12"/>
  <c r="G229" i="20"/>
  <c r="X229" i="20" s="1"/>
  <c r="G237" i="20"/>
  <c r="X237" i="20" s="1"/>
  <c r="I426" i="20"/>
  <c r="Z426" i="20" s="1"/>
  <c r="J60" i="20"/>
  <c r="AA60" i="20" s="1"/>
  <c r="H176" i="20"/>
  <c r="Y176" i="20" s="1"/>
  <c r="H239" i="20"/>
  <c r="Y239" i="20" s="1"/>
  <c r="G299" i="2"/>
  <c r="H231" i="20"/>
  <c r="Y231" i="20" s="1"/>
  <c r="DA65" i="17"/>
  <c r="K506" i="20"/>
  <c r="AB506" i="20" s="1"/>
  <c r="L190" i="20"/>
  <c r="AC190" i="20" s="1"/>
  <c r="K505" i="20"/>
  <c r="AB505" i="20" s="1"/>
  <c r="E308" i="2"/>
  <c r="I177" i="20"/>
  <c r="Z177" i="20" s="1"/>
  <c r="I179" i="20"/>
  <c r="Z179" i="20" s="1"/>
  <c r="L186" i="20"/>
  <c r="AC186" i="20" s="1"/>
  <c r="H183" i="20"/>
  <c r="Y183" i="20" s="1"/>
  <c r="I183" i="20"/>
  <c r="Z183" i="20" s="1"/>
  <c r="G104" i="2"/>
  <c r="AX104" i="2" s="1"/>
  <c r="H235" i="20"/>
  <c r="Y235" i="20" s="1"/>
  <c r="M186" i="20"/>
  <c r="AD186" i="20" s="1"/>
  <c r="H179" i="20"/>
  <c r="Y179" i="20" s="1"/>
  <c r="E314" i="2"/>
  <c r="E305" i="2"/>
  <c r="E320" i="2"/>
  <c r="G105" i="2"/>
  <c r="AF16" i="21"/>
  <c r="G106" i="2"/>
  <c r="AF17" i="21"/>
  <c r="G108" i="2"/>
  <c r="AF19" i="21"/>
  <c r="G110" i="2"/>
  <c r="AF21" i="21"/>
  <c r="DD220" i="17"/>
  <c r="DE220" i="17" s="1"/>
  <c r="DF220" i="17" s="1"/>
  <c r="DF221" i="17"/>
  <c r="DD166" i="17"/>
  <c r="DE166" i="17" s="1"/>
  <c r="DF166" i="17" s="1"/>
  <c r="DD163" i="17"/>
  <c r="DE163" i="17" s="1"/>
  <c r="DF163" i="17" s="1"/>
  <c r="DF224" i="17"/>
  <c r="DD223" i="17"/>
  <c r="DE223" i="17" s="1"/>
  <c r="DF223" i="17" s="1"/>
  <c r="DF81" i="17"/>
  <c r="DE65" i="17"/>
  <c r="AF407" i="12"/>
  <c r="AF419" i="12" s="1"/>
  <c r="G140" i="2"/>
  <c r="AF408" i="12"/>
  <c r="AF420" i="12" s="1"/>
  <c r="G141" i="2"/>
  <c r="AX141" i="2" s="1"/>
  <c r="E103" i="2"/>
  <c r="AF403" i="12"/>
  <c r="AF415" i="12" s="1"/>
  <c r="G133" i="2"/>
  <c r="AX133" i="2" s="1"/>
  <c r="C307" i="2"/>
  <c r="G63" i="20" s="1"/>
  <c r="X63" i="20" s="1"/>
  <c r="C286" i="2"/>
  <c r="G154" i="20" s="1"/>
  <c r="X154" i="20" s="1"/>
  <c r="G222" i="20"/>
  <c r="X222" i="20" s="1"/>
  <c r="I61" i="20"/>
  <c r="Z61" i="20" s="1"/>
  <c r="G224" i="20"/>
  <c r="X224" i="20" s="1"/>
  <c r="AF543" i="7"/>
  <c r="AF736" i="7"/>
  <c r="FD47" i="6"/>
  <c r="FD96" i="6" s="1"/>
  <c r="EB88" i="11"/>
  <c r="AF84" i="12"/>
  <c r="EF87" i="11"/>
  <c r="EE88" i="11"/>
  <c r="EE70" i="11"/>
  <c r="AF177" i="12"/>
  <c r="EB103" i="11"/>
  <c r="AF106" i="12"/>
  <c r="EF102" i="11"/>
  <c r="EE103" i="11"/>
  <c r="EE64" i="11"/>
  <c r="EF59" i="11"/>
  <c r="AF220" i="12" s="1"/>
  <c r="AF206" i="12" s="1"/>
  <c r="AF30" i="21" s="1"/>
  <c r="ED59" i="11"/>
  <c r="EC75" i="11"/>
  <c r="EB75" i="11" s="1"/>
  <c r="EB64" i="11"/>
  <c r="AF30" i="12"/>
  <c r="DB230" i="17"/>
  <c r="DB243" i="17" s="1"/>
  <c r="DB173" i="17"/>
  <c r="DB186" i="17" s="1"/>
  <c r="AE30" i="21"/>
  <c r="Y426" i="20"/>
  <c r="AE763" i="7"/>
  <c r="H539" i="20"/>
  <c r="Y539" i="20" s="1"/>
  <c r="H541" i="20"/>
  <c r="Y541" i="20" s="1"/>
  <c r="I539" i="20"/>
  <c r="Z539" i="20" s="1"/>
  <c r="I541" i="20"/>
  <c r="Z541" i="20" s="1"/>
  <c r="AV250" i="2"/>
  <c r="CX94" i="17"/>
  <c r="AD149" i="12"/>
  <c r="CW168" i="17"/>
  <c r="DY15" i="11"/>
  <c r="DZ15" i="11" s="1"/>
  <c r="R104" i="21"/>
  <c r="R103" i="21"/>
  <c r="S11" i="21"/>
  <c r="BM2" i="6"/>
  <c r="AU275" i="17"/>
  <c r="AU139" i="17"/>
  <c r="AU253" i="17"/>
  <c r="AU218" i="17"/>
  <c r="AU196" i="17"/>
  <c r="AU99" i="17"/>
  <c r="AU4" i="17"/>
  <c r="AU122" i="17"/>
  <c r="AU58" i="17"/>
  <c r="AU161" i="17"/>
  <c r="AU39" i="17"/>
  <c r="AU20" i="17"/>
  <c r="R3" i="1"/>
  <c r="R117" i="8"/>
  <c r="R124" i="8" s="1"/>
  <c r="AE331" i="12"/>
  <c r="AE335" i="12" s="1"/>
  <c r="CY93" i="17"/>
  <c r="EA64" i="11"/>
  <c r="AE225" i="12" s="1"/>
  <c r="AE212" i="12" s="1"/>
  <c r="AE404" i="12"/>
  <c r="AE416" i="12" s="1"/>
  <c r="AE207" i="12"/>
  <c r="DZ72" i="11"/>
  <c r="EA72" i="11" s="1"/>
  <c r="AE237" i="12" s="1"/>
  <c r="AE230" i="12" s="1"/>
  <c r="AE280" i="12"/>
  <c r="DU97" i="11"/>
  <c r="AE299" i="12"/>
  <c r="AE305" i="12" s="1"/>
  <c r="AD153" i="12"/>
  <c r="CZ93" i="17"/>
  <c r="DB164" i="17"/>
  <c r="DB177" i="17" s="1"/>
  <c r="CW173" i="17"/>
  <c r="CX191" i="17"/>
  <c r="CZ22" i="17"/>
  <c r="CZ33" i="17" s="1"/>
  <c r="CY32" i="17"/>
  <c r="CY33" i="17"/>
  <c r="CY101" i="17"/>
  <c r="CZ246" i="17"/>
  <c r="CZ248" i="17"/>
  <c r="DA228" i="17"/>
  <c r="DB234" i="17"/>
  <c r="DA222" i="17"/>
  <c r="CZ102" i="17"/>
  <c r="CZ51" i="17"/>
  <c r="CZ53" i="17"/>
  <c r="DA41" i="17"/>
  <c r="CZ92" i="17"/>
  <c r="CZ94" i="17"/>
  <c r="DA71" i="17"/>
  <c r="CZ247" i="17"/>
  <c r="CY247" i="17"/>
  <c r="CY199" i="17"/>
  <c r="CY189" i="17"/>
  <c r="CY190" i="17"/>
  <c r="CZ171" i="17"/>
  <c r="CZ52" i="17"/>
  <c r="DB237" i="17"/>
  <c r="DA225" i="17"/>
  <c r="DB167" i="17"/>
  <c r="EV46" i="6"/>
  <c r="EV95" i="6" s="1"/>
  <c r="AE93" i="21"/>
  <c r="AE662" i="7"/>
  <c r="ES85" i="6"/>
  <c r="AE438" i="12"/>
  <c r="AE443" i="12" s="1"/>
  <c r="AE115" i="12"/>
  <c r="AE119" i="12" s="1"/>
  <c r="AE93" i="12"/>
  <c r="AE99" i="12" s="1"/>
  <c r="DZ13" i="11"/>
  <c r="DW9" i="11"/>
  <c r="DX9" i="11" s="1"/>
  <c r="AE42" i="12"/>
  <c r="AE29" i="12" s="1"/>
  <c r="AE123" i="12"/>
  <c r="AE129" i="12" s="1"/>
  <c r="AE448" i="12"/>
  <c r="AE453" i="12" s="1"/>
  <c r="AC78" i="21"/>
  <c r="AD115" i="21"/>
  <c r="AD232" i="12"/>
  <c r="EM95" i="6"/>
  <c r="DU75" i="11"/>
  <c r="DT75" i="11" s="1"/>
  <c r="DV73" i="11"/>
  <c r="AD238" i="12" s="1"/>
  <c r="DU77" i="11"/>
  <c r="DU76" i="11"/>
  <c r="CO104" i="17"/>
  <c r="CX47" i="17"/>
  <c r="DR50" i="11" s="1"/>
  <c r="AD148" i="12"/>
  <c r="CW43" i="17"/>
  <c r="AD55" i="12"/>
  <c r="DR10" i="11"/>
  <c r="AD61" i="12" s="1"/>
  <c r="AD54" i="12" s="1"/>
  <c r="DV9" i="11"/>
  <c r="DU10" i="11"/>
  <c r="DU78" i="11"/>
  <c r="CE227" i="17"/>
  <c r="CD226" i="17"/>
  <c r="CD239" i="17" s="1"/>
  <c r="CD256" i="17"/>
  <c r="CD257" i="17" s="1"/>
  <c r="AD250" i="12"/>
  <c r="CX53" i="17"/>
  <c r="CX28" i="17"/>
  <c r="DR36" i="11" s="1"/>
  <c r="AD147" i="12"/>
  <c r="CW24" i="17"/>
  <c r="CE170" i="17"/>
  <c r="CD169" i="17"/>
  <c r="CD182" i="17" s="1"/>
  <c r="CQ70" i="17"/>
  <c r="CQ103" i="17" s="1"/>
  <c r="CP69" i="17"/>
  <c r="CP85" i="17" s="1"/>
  <c r="CP103" i="17"/>
  <c r="CP104" i="17" s="1"/>
  <c r="CX242" i="17"/>
  <c r="DR104" i="11" s="1"/>
  <c r="AD155" i="12"/>
  <c r="CX177" i="17"/>
  <c r="CW165" i="17"/>
  <c r="AD14" i="21"/>
  <c r="EO46" i="6"/>
  <c r="EO95" i="6" s="1"/>
  <c r="AD735" i="7"/>
  <c r="CX89" i="17"/>
  <c r="CW73" i="17"/>
  <c r="CX34" i="17"/>
  <c r="CX248" i="17"/>
  <c r="AV3" i="16" l="1"/>
  <c r="AU3" i="16"/>
  <c r="AW3" i="16"/>
  <c r="AY2" i="16"/>
  <c r="AX3" i="16"/>
  <c r="AC175" i="20"/>
  <c r="AA175" i="20"/>
  <c r="J426" i="20"/>
  <c r="AX140" i="2"/>
  <c r="J150" i="20"/>
  <c r="AA150" i="20" s="1"/>
  <c r="J61" i="20"/>
  <c r="AA61" i="20" s="1"/>
  <c r="E286" i="2"/>
  <c r="H154" i="20" s="1"/>
  <c r="Y154" i="20" s="1"/>
  <c r="AW226" i="2"/>
  <c r="K426" i="20"/>
  <c r="AB426" i="20" s="1"/>
  <c r="H222" i="20"/>
  <c r="Y222" i="20" s="1"/>
  <c r="DZ113" i="11"/>
  <c r="DZ98" i="11"/>
  <c r="G287" i="2"/>
  <c r="G139" i="2"/>
  <c r="E223" i="20"/>
  <c r="V223" i="20" s="1"/>
  <c r="DF167" i="17"/>
  <c r="DF180" i="17" s="1"/>
  <c r="F138" i="2"/>
  <c r="G128" i="2"/>
  <c r="AX128" i="2" s="1"/>
  <c r="AF24" i="21"/>
  <c r="AX110" i="2"/>
  <c r="G318" i="2"/>
  <c r="G319" i="2" s="1"/>
  <c r="G293" i="2"/>
  <c r="AX108" i="2"/>
  <c r="G291" i="2"/>
  <c r="G312" i="2"/>
  <c r="G313" i="2" s="1"/>
  <c r="AX106" i="2"/>
  <c r="G289" i="2"/>
  <c r="AX105" i="2"/>
  <c r="G288" i="2"/>
  <c r="DF164" i="17"/>
  <c r="DF234" i="17"/>
  <c r="DE222" i="17"/>
  <c r="G62" i="20"/>
  <c r="X62" i="20" s="1"/>
  <c r="E226" i="20"/>
  <c r="V226" i="20" s="1"/>
  <c r="DF237" i="17"/>
  <c r="DE225" i="17"/>
  <c r="F305" i="2"/>
  <c r="H75" i="20"/>
  <c r="Y75" i="20" s="1"/>
  <c r="AV103" i="2"/>
  <c r="E306" i="2"/>
  <c r="E307" i="2" s="1"/>
  <c r="EF103" i="11"/>
  <c r="AF317" i="12" s="1"/>
  <c r="AF311" i="12" s="1"/>
  <c r="AK16" i="7" s="1"/>
  <c r="AK17" i="7" s="1"/>
  <c r="ED103" i="11"/>
  <c r="EF88" i="11"/>
  <c r="AF285" i="12" s="1"/>
  <c r="AF279" i="12" s="1"/>
  <c r="ED88" i="11"/>
  <c r="ED13" i="11" s="1"/>
  <c r="EB9" i="11"/>
  <c r="AF42" i="12"/>
  <c r="AF29" i="12" s="1"/>
  <c r="EE72" i="11"/>
  <c r="EE73" i="11" s="1"/>
  <c r="EF64" i="11"/>
  <c r="AF225" i="12" s="1"/>
  <c r="AF212" i="12" s="1"/>
  <c r="ED64" i="11"/>
  <c r="ED9" i="11" s="1"/>
  <c r="EF111" i="11"/>
  <c r="AF316" i="12"/>
  <c r="AF310" i="12" s="1"/>
  <c r="AF36" i="21" s="1"/>
  <c r="EB15" i="11"/>
  <c r="EC15" i="11" s="1"/>
  <c r="AF111" i="12"/>
  <c r="AF105" i="12" s="1"/>
  <c r="AF123" i="12" s="1"/>
  <c r="AF129" i="12" s="1"/>
  <c r="EF70" i="11"/>
  <c r="AF236" i="12" s="1"/>
  <c r="AF229" i="12" s="1"/>
  <c r="EF96" i="11"/>
  <c r="AF284" i="12"/>
  <c r="AF278" i="12" s="1"/>
  <c r="EB13" i="11"/>
  <c r="EC13" i="11" s="1"/>
  <c r="AF89" i="12"/>
  <c r="AF83" i="12" s="1"/>
  <c r="EA15" i="11"/>
  <c r="AF404" i="12"/>
  <c r="AF416" i="12" s="1"/>
  <c r="AF207" i="12"/>
  <c r="EA13" i="11"/>
  <c r="DB73" i="17"/>
  <c r="DB89" i="17" s="1"/>
  <c r="CQ104" i="17"/>
  <c r="AC304" i="12"/>
  <c r="S117" i="8"/>
  <c r="S104" i="21"/>
  <c r="S103" i="21"/>
  <c r="T11" i="21"/>
  <c r="AY218" i="17"/>
  <c r="AY196" i="17"/>
  <c r="AY139" i="17"/>
  <c r="AY99" i="17"/>
  <c r="BS2" i="6"/>
  <c r="AY275" i="17"/>
  <c r="AY161" i="17"/>
  <c r="AY253" i="17"/>
  <c r="AY122" i="17"/>
  <c r="AY58" i="17"/>
  <c r="AY20" i="17"/>
  <c r="AY39" i="17"/>
  <c r="AY4" i="17"/>
  <c r="S3" i="1"/>
  <c r="AE249" i="12"/>
  <c r="AE250" i="12" s="1"/>
  <c r="AE213" i="12"/>
  <c r="AE29" i="21"/>
  <c r="AE231" i="12"/>
  <c r="AE232" i="12" s="1"/>
  <c r="ES46" i="6"/>
  <c r="ES95" i="6" s="1"/>
  <c r="DZ73" i="11"/>
  <c r="DZ78" i="11" s="1"/>
  <c r="EA94" i="11"/>
  <c r="AE293" i="12" s="1"/>
  <c r="DA165" i="17"/>
  <c r="CZ191" i="17"/>
  <c r="DA171" i="17"/>
  <c r="CZ189" i="17"/>
  <c r="CZ199" i="17"/>
  <c r="DA102" i="17"/>
  <c r="DA51" i="17"/>
  <c r="DA53" i="17"/>
  <c r="DB41" i="17"/>
  <c r="DC41" i="17" s="1"/>
  <c r="DA52" i="17"/>
  <c r="DA246" i="17"/>
  <c r="DA248" i="17"/>
  <c r="DB228" i="17"/>
  <c r="DA247" i="17"/>
  <c r="DB180" i="17"/>
  <c r="DA168" i="17"/>
  <c r="CZ190" i="17"/>
  <c r="DA94" i="17"/>
  <c r="DB71" i="17"/>
  <c r="DA92" i="17"/>
  <c r="DA93" i="17"/>
  <c r="CZ32" i="17"/>
  <c r="CZ34" i="17"/>
  <c r="DA22" i="17"/>
  <c r="CZ101" i="17"/>
  <c r="AE735" i="7"/>
  <c r="EU46" i="6"/>
  <c r="AE409" i="12"/>
  <c r="AE421" i="12" s="1"/>
  <c r="AE167" i="12"/>
  <c r="F103" i="2" s="1"/>
  <c r="DX10" i="11"/>
  <c r="DW10" i="11" s="1"/>
  <c r="AE61" i="12" s="1"/>
  <c r="AE54" i="12" s="1"/>
  <c r="DZ9" i="11"/>
  <c r="AE53" i="12"/>
  <c r="AE60" i="12" s="1"/>
  <c r="EA109" i="11"/>
  <c r="AE325" i="12" s="1"/>
  <c r="AE320" i="12" s="1"/>
  <c r="F250" i="2" s="1"/>
  <c r="DZ112" i="11"/>
  <c r="AD737" i="7"/>
  <c r="CQ9" i="17"/>
  <c r="AD266" i="12"/>
  <c r="AD257" i="12"/>
  <c r="AD251" i="12"/>
  <c r="CE256" i="17"/>
  <c r="CE257" i="17" s="1"/>
  <c r="CF227" i="17"/>
  <c r="CE226" i="17"/>
  <c r="CE239" i="17" s="1"/>
  <c r="DV10" i="11"/>
  <c r="DT10" i="11"/>
  <c r="CX107" i="17"/>
  <c r="AD70" i="12"/>
  <c r="AD76" i="12" s="1"/>
  <c r="CR70" i="17"/>
  <c r="CR103" i="17" s="1"/>
  <c r="CR104" i="17" s="1"/>
  <c r="CQ69" i="17"/>
  <c r="CQ85" i="17" s="1"/>
  <c r="CF170" i="17"/>
  <c r="CE169" i="17"/>
  <c r="CE182" i="17" s="1"/>
  <c r="CP106" i="17"/>
  <c r="ER46" i="6"/>
  <c r="AZ3" i="16" l="1"/>
  <c r="BB3" i="16"/>
  <c r="BC2" i="16"/>
  <c r="AY3" i="16"/>
  <c r="BA3" i="16"/>
  <c r="AA426" i="20"/>
  <c r="F223" i="20"/>
  <c r="W223" i="20" s="1"/>
  <c r="H62" i="20"/>
  <c r="Y62" i="20" s="1"/>
  <c r="J71" i="20"/>
  <c r="AA71" i="20" s="1"/>
  <c r="AX139" i="2"/>
  <c r="J66" i="20"/>
  <c r="AA66" i="20" s="1"/>
  <c r="J70" i="20"/>
  <c r="AA70" i="20" s="1"/>
  <c r="K179" i="20"/>
  <c r="AB179" i="20" s="1"/>
  <c r="J149" i="20"/>
  <c r="AA149" i="20" s="1"/>
  <c r="J67" i="20"/>
  <c r="AA67" i="20" s="1"/>
  <c r="J153" i="20"/>
  <c r="AA153" i="20" s="1"/>
  <c r="AF93" i="21"/>
  <c r="G138" i="2"/>
  <c r="DF73" i="17"/>
  <c r="DF89" i="17" s="1"/>
  <c r="DE168" i="17"/>
  <c r="EC9" i="11"/>
  <c r="EE9" i="11" s="1"/>
  <c r="J176" i="20"/>
  <c r="J151" i="20"/>
  <c r="AA151" i="20" s="1"/>
  <c r="F320" i="2"/>
  <c r="J183" i="20"/>
  <c r="AA183" i="20" s="1"/>
  <c r="H224" i="20"/>
  <c r="Y224" i="20" s="1"/>
  <c r="F314" i="2"/>
  <c r="K177" i="20"/>
  <c r="AB177" i="20" s="1"/>
  <c r="J179" i="20"/>
  <c r="AA179" i="20" s="1"/>
  <c r="AW138" i="2"/>
  <c r="K183" i="20"/>
  <c r="AB183" i="20" s="1"/>
  <c r="J177" i="20"/>
  <c r="AA177" i="20" s="1"/>
  <c r="F308" i="2"/>
  <c r="K176" i="20"/>
  <c r="AB176" i="20" s="1"/>
  <c r="E209" i="2"/>
  <c r="J152" i="20"/>
  <c r="AA152" i="20" s="1"/>
  <c r="H225" i="20"/>
  <c r="Y225" i="20" s="1"/>
  <c r="G143" i="2"/>
  <c r="AF34" i="21"/>
  <c r="EY46" i="6"/>
  <c r="EY95" i="6" s="1"/>
  <c r="AF29" i="21"/>
  <c r="DF230" i="17"/>
  <c r="DB72" i="17"/>
  <c r="DB88" i="17" s="1"/>
  <c r="DW65" i="11" s="1"/>
  <c r="DC71" i="17"/>
  <c r="DB229" i="17"/>
  <c r="DB242" i="17" s="1"/>
  <c r="DW104" i="11" s="1"/>
  <c r="DC228" i="17"/>
  <c r="DC102" i="17"/>
  <c r="DC51" i="17"/>
  <c r="DD41" i="17"/>
  <c r="AF93" i="12"/>
  <c r="AF99" i="12" s="1"/>
  <c r="DF173" i="17"/>
  <c r="DF177" i="17"/>
  <c r="DE165" i="17"/>
  <c r="K539" i="20"/>
  <c r="AB539" i="20" s="1"/>
  <c r="J539" i="20"/>
  <c r="AA539" i="20" s="1"/>
  <c r="K541" i="20"/>
  <c r="AB541" i="20" s="1"/>
  <c r="J541" i="20"/>
  <c r="AA541" i="20" s="1"/>
  <c r="AW250" i="2"/>
  <c r="AW103" i="2"/>
  <c r="F306" i="2"/>
  <c r="F307" i="2" s="1"/>
  <c r="F286" i="2"/>
  <c r="F321" i="2"/>
  <c r="FB46" i="6"/>
  <c r="FB95" i="6" s="1"/>
  <c r="G226" i="2"/>
  <c r="F226" i="20"/>
  <c r="W226" i="20" s="1"/>
  <c r="H63" i="20"/>
  <c r="Y63" i="20" s="1"/>
  <c r="AF447" i="12"/>
  <c r="AF452" i="12" s="1"/>
  <c r="G145" i="2"/>
  <c r="EE13" i="11"/>
  <c r="EF13" i="11" s="1"/>
  <c r="AF763" i="7"/>
  <c r="AF662" i="7"/>
  <c r="AF53" i="12"/>
  <c r="AF60" i="12" s="1"/>
  <c r="AF115" i="12"/>
  <c r="AF119" i="12" s="1"/>
  <c r="AF231" i="12"/>
  <c r="AF249" i="12"/>
  <c r="AF250" i="12" s="1"/>
  <c r="AF409" i="12"/>
  <c r="AF421" i="12" s="1"/>
  <c r="AF213" i="12"/>
  <c r="AF295" i="12"/>
  <c r="AF290" i="12" s="1"/>
  <c r="EE96" i="11"/>
  <c r="EE75" i="11"/>
  <c r="ED75" i="11" s="1"/>
  <c r="EF73" i="11"/>
  <c r="AF238" i="12" s="1"/>
  <c r="EE77" i="11"/>
  <c r="EF72" i="11"/>
  <c r="AF237" i="12" s="1"/>
  <c r="AF230" i="12" s="1"/>
  <c r="FA46" i="6" s="1"/>
  <c r="FA95" i="6" s="1"/>
  <c r="EE78" i="11"/>
  <c r="AF438" i="12"/>
  <c r="AF443" i="12" s="1"/>
  <c r="AF331" i="12"/>
  <c r="AF280" i="12"/>
  <c r="AF299" i="12"/>
  <c r="AF305" i="12" s="1"/>
  <c r="AF312" i="12"/>
  <c r="AF448" i="12"/>
  <c r="AF453" i="12" s="1"/>
  <c r="AF339" i="12"/>
  <c r="AF346" i="12" s="1"/>
  <c r="AF437" i="12"/>
  <c r="AF442" i="12" s="1"/>
  <c r="AF330" i="12"/>
  <c r="AF334" i="12" s="1"/>
  <c r="EE76" i="11"/>
  <c r="AF327" i="12"/>
  <c r="AF322" i="12" s="1"/>
  <c r="EE111" i="11"/>
  <c r="ED15" i="11"/>
  <c r="EE15" i="11" s="1"/>
  <c r="EF15" i="11" s="1"/>
  <c r="DB107" i="17"/>
  <c r="DB112" i="17" s="1"/>
  <c r="EA9" i="11"/>
  <c r="CQ116" i="17"/>
  <c r="CS116" i="17"/>
  <c r="CR116" i="17"/>
  <c r="AC306" i="12"/>
  <c r="BY2" i="6"/>
  <c r="BC196" i="17"/>
  <c r="BC161" i="17"/>
  <c r="BC253" i="17"/>
  <c r="BC218" i="17"/>
  <c r="BC275" i="17"/>
  <c r="BC139" i="17"/>
  <c r="BC122" i="17"/>
  <c r="BC99" i="17"/>
  <c r="BC58" i="17"/>
  <c r="BC20" i="17"/>
  <c r="BC4" i="17"/>
  <c r="BC39" i="17"/>
  <c r="T3" i="1"/>
  <c r="T117" i="8"/>
  <c r="T124" i="8" s="1"/>
  <c r="T103" i="21"/>
  <c r="U11" i="21"/>
  <c r="T104" i="21"/>
  <c r="S124" i="8"/>
  <c r="AE737" i="7"/>
  <c r="AE256" i="12"/>
  <c r="DZ76" i="11"/>
  <c r="DZ75" i="11"/>
  <c r="DY75" i="11" s="1"/>
  <c r="DZ77" i="11"/>
  <c r="EA73" i="11"/>
  <c r="AE238" i="12" s="1"/>
  <c r="DZ10" i="11"/>
  <c r="CR9" i="17"/>
  <c r="DB92" i="17"/>
  <c r="DA230" i="17"/>
  <c r="DA199" i="17"/>
  <c r="DA189" i="17"/>
  <c r="DA191" i="17"/>
  <c r="DB171" i="17"/>
  <c r="DC171" i="17" s="1"/>
  <c r="DA190" i="17"/>
  <c r="DA34" i="17"/>
  <c r="DB22" i="17"/>
  <c r="DA101" i="17"/>
  <c r="DA32" i="17"/>
  <c r="DB246" i="17"/>
  <c r="DB51" i="17"/>
  <c r="DB102" i="17"/>
  <c r="DB42" i="17"/>
  <c r="DA33" i="17"/>
  <c r="AE115" i="21"/>
  <c r="AE14" i="21"/>
  <c r="AD78" i="21"/>
  <c r="EU95" i="6"/>
  <c r="EX46" i="6"/>
  <c r="AE70" i="12"/>
  <c r="AE76" i="12" s="1"/>
  <c r="AE266" i="12"/>
  <c r="AE257" i="12"/>
  <c r="AE251" i="12"/>
  <c r="AE55" i="12"/>
  <c r="CG170" i="17"/>
  <c r="CF169" i="17"/>
  <c r="CF182" i="17" s="1"/>
  <c r="CG206" i="17"/>
  <c r="CG13" i="17" s="1"/>
  <c r="CD19" i="22" s="1"/>
  <c r="CQ11" i="17"/>
  <c r="CN15" i="22"/>
  <c r="CP111" i="17"/>
  <c r="CP117" i="17"/>
  <c r="AB150" i="12"/>
  <c r="CO107" i="17"/>
  <c r="CS70" i="17"/>
  <c r="CS103" i="17" s="1"/>
  <c r="CS104" i="17" s="1"/>
  <c r="CR69" i="17"/>
  <c r="CR85" i="17" s="1"/>
  <c r="CS9" i="17"/>
  <c r="CX112" i="17"/>
  <c r="CG227" i="17"/>
  <c r="CF226" i="17"/>
  <c r="CF239" i="17" s="1"/>
  <c r="CF256" i="17"/>
  <c r="CF257" i="17" s="1"/>
  <c r="AD268" i="12"/>
  <c r="AD272" i="12"/>
  <c r="CR11" i="17"/>
  <c r="BD3" i="16" l="1"/>
  <c r="BF3" i="16"/>
  <c r="BE3" i="16"/>
  <c r="BC3" i="16"/>
  <c r="BG2" i="16"/>
  <c r="AA176" i="20"/>
  <c r="AV209" i="2"/>
  <c r="M180" i="20"/>
  <c r="AD180" i="20" s="1"/>
  <c r="G308" i="2"/>
  <c r="L176" i="20"/>
  <c r="G320" i="2"/>
  <c r="DB248" i="17"/>
  <c r="AE155" i="12"/>
  <c r="M177" i="20"/>
  <c r="AD177" i="20" s="1"/>
  <c r="L177" i="20"/>
  <c r="AC177" i="20" s="1"/>
  <c r="G305" i="2"/>
  <c r="AF167" i="12"/>
  <c r="AF14" i="21" s="1"/>
  <c r="AX138" i="2"/>
  <c r="L179" i="20"/>
  <c r="AC179" i="20" s="1"/>
  <c r="M179" i="20"/>
  <c r="AD179" i="20" s="1"/>
  <c r="M176" i="20"/>
  <c r="AD176" i="20" s="1"/>
  <c r="AE149" i="12"/>
  <c r="DD52" i="17"/>
  <c r="L183" i="20"/>
  <c r="AC183" i="20" s="1"/>
  <c r="M183" i="20"/>
  <c r="AD183" i="20" s="1"/>
  <c r="AX143" i="2"/>
  <c r="K500" i="20"/>
  <c r="AB500" i="20" s="1"/>
  <c r="G314" i="2"/>
  <c r="L189" i="20"/>
  <c r="AC189" i="20" s="1"/>
  <c r="L500" i="20"/>
  <c r="AC500" i="20" s="1"/>
  <c r="EC10" i="11"/>
  <c r="AF55" i="12" s="1"/>
  <c r="DB94" i="17"/>
  <c r="DA73" i="17"/>
  <c r="L180" i="20"/>
  <c r="AC180" i="20" s="1"/>
  <c r="H230" i="20"/>
  <c r="Y230" i="20" s="1"/>
  <c r="G311" i="2"/>
  <c r="M181" i="20"/>
  <c r="AD181" i="20" s="1"/>
  <c r="H386" i="20"/>
  <c r="Y386" i="20" s="1"/>
  <c r="I386" i="20"/>
  <c r="Z386" i="20" s="1"/>
  <c r="AF256" i="12"/>
  <c r="L181" i="20"/>
  <c r="AC181" i="20" s="1"/>
  <c r="F209" i="2"/>
  <c r="DB23" i="17"/>
  <c r="DA24" i="17" s="1"/>
  <c r="DC22" i="17"/>
  <c r="DF186" i="17"/>
  <c r="DD102" i="17"/>
  <c r="DD53" i="17"/>
  <c r="DD51" i="17"/>
  <c r="DE41" i="17"/>
  <c r="DC52" i="17"/>
  <c r="DF243" i="17"/>
  <c r="DC189" i="17"/>
  <c r="DD171" i="17"/>
  <c r="DC199" i="17"/>
  <c r="DC247" i="17"/>
  <c r="DC246" i="17"/>
  <c r="DD228" i="17"/>
  <c r="DC93" i="17"/>
  <c r="DC92" i="17"/>
  <c r="DD71" i="17"/>
  <c r="DD93" i="17" s="1"/>
  <c r="K508" i="20"/>
  <c r="AB508" i="20" s="1"/>
  <c r="H238" i="20"/>
  <c r="Y238" i="20" s="1"/>
  <c r="I62" i="20"/>
  <c r="Z62" i="20" s="1"/>
  <c r="G223" i="20"/>
  <c r="X223" i="20" s="1"/>
  <c r="I154" i="20"/>
  <c r="Z154" i="20" s="1"/>
  <c r="M185" i="20"/>
  <c r="AD185" i="20" s="1"/>
  <c r="L185" i="20"/>
  <c r="AC185" i="20" s="1"/>
  <c r="M184" i="20"/>
  <c r="AD184" i="20" s="1"/>
  <c r="K501" i="20"/>
  <c r="AB501" i="20" s="1"/>
  <c r="G317" i="2"/>
  <c r="H27" i="20"/>
  <c r="Y27" i="20" s="1"/>
  <c r="L501" i="20"/>
  <c r="AC501" i="20" s="1"/>
  <c r="H234" i="20"/>
  <c r="Y234" i="20" s="1"/>
  <c r="AX145" i="2"/>
  <c r="L184" i="20"/>
  <c r="AC184" i="20" s="1"/>
  <c r="L426" i="20"/>
  <c r="M426" i="20"/>
  <c r="AD426" i="20" s="1"/>
  <c r="AX226" i="2"/>
  <c r="K502" i="20"/>
  <c r="AB502" i="20" s="1"/>
  <c r="L188" i="20"/>
  <c r="AC188" i="20" s="1"/>
  <c r="I63" i="20"/>
  <c r="Z63" i="20" s="1"/>
  <c r="G226" i="20"/>
  <c r="X226" i="20" s="1"/>
  <c r="AF232" i="12"/>
  <c r="FD46" i="6"/>
  <c r="AF735" i="7"/>
  <c r="AF737" i="7" s="1"/>
  <c r="AF335" i="12"/>
  <c r="EE109" i="11"/>
  <c r="EE113" i="11"/>
  <c r="EF9" i="11"/>
  <c r="EE10" i="11"/>
  <c r="EE94" i="11"/>
  <c r="EE98" i="11"/>
  <c r="AF266" i="12"/>
  <c r="AF257" i="12"/>
  <c r="AF251" i="12"/>
  <c r="AC338" i="12"/>
  <c r="AC340" i="12" s="1"/>
  <c r="AC72" i="8"/>
  <c r="CO15" i="22"/>
  <c r="AC41" i="21"/>
  <c r="U117" i="8"/>
  <c r="U124" i="8" s="1"/>
  <c r="U104" i="21"/>
  <c r="U103" i="21"/>
  <c r="V11" i="21"/>
  <c r="CE2" i="6"/>
  <c r="BG253" i="17"/>
  <c r="BG161" i="17"/>
  <c r="BG275" i="17"/>
  <c r="BG122" i="17"/>
  <c r="BG139" i="17"/>
  <c r="BG218" i="17"/>
  <c r="BG196" i="17"/>
  <c r="BG39" i="17"/>
  <c r="BG99" i="17"/>
  <c r="BG58" i="17"/>
  <c r="BG4" i="17"/>
  <c r="BG20" i="17"/>
  <c r="U3" i="1"/>
  <c r="AE78" i="21"/>
  <c r="DY10" i="11"/>
  <c r="EA10" i="11"/>
  <c r="DB47" i="17"/>
  <c r="DW50" i="11" s="1"/>
  <c r="DA43" i="17"/>
  <c r="AE148" i="12"/>
  <c r="DB101" i="17"/>
  <c r="DB32" i="17"/>
  <c r="DB199" i="17"/>
  <c r="DB189" i="17"/>
  <c r="DB172" i="17"/>
  <c r="DB191" i="17" s="1"/>
  <c r="DB53" i="17"/>
  <c r="AE268" i="12"/>
  <c r="AE272" i="12"/>
  <c r="CO17" i="22"/>
  <c r="AD298" i="12"/>
  <c r="AD269" i="12"/>
  <c r="AD274" i="12"/>
  <c r="CP15" i="22"/>
  <c r="CN17" i="22"/>
  <c r="CS11" i="17"/>
  <c r="CG256" i="17"/>
  <c r="CG257" i="17" s="1"/>
  <c r="CH227" i="17"/>
  <c r="CG226" i="17"/>
  <c r="CG239" i="17" s="1"/>
  <c r="CT70" i="17"/>
  <c r="CT103" i="17" s="1"/>
  <c r="CT104" i="17" s="1"/>
  <c r="CS69" i="17"/>
  <c r="CS85" i="17" s="1"/>
  <c r="CT9" i="17"/>
  <c r="AA10" i="24"/>
  <c r="CH170" i="17"/>
  <c r="CG169" i="17"/>
  <c r="CG182" i="17" s="1"/>
  <c r="BH3" i="16" l="1"/>
  <c r="BK2" i="16"/>
  <c r="BI3" i="16"/>
  <c r="BG3" i="16"/>
  <c r="BJ3" i="16"/>
  <c r="AC176" i="20"/>
  <c r="AC426" i="20"/>
  <c r="H237" i="20"/>
  <c r="Y237" i="20" s="1"/>
  <c r="H233" i="20"/>
  <c r="Y233" i="20" s="1"/>
  <c r="AW209" i="2"/>
  <c r="H229" i="20"/>
  <c r="Y229" i="20" s="1"/>
  <c r="G103" i="2"/>
  <c r="AF78" i="21"/>
  <c r="AE147" i="12"/>
  <c r="DB28" i="17"/>
  <c r="DW36" i="11" s="1"/>
  <c r="EB10" i="11"/>
  <c r="AF61" i="12" s="1"/>
  <c r="AF54" i="12" s="1"/>
  <c r="AF70" i="12" s="1"/>
  <c r="AF76" i="12" s="1"/>
  <c r="DB34" i="17"/>
  <c r="G209" i="2"/>
  <c r="J386" i="20"/>
  <c r="AA386" i="20" s="1"/>
  <c r="K386" i="20"/>
  <c r="AB386" i="20" s="1"/>
  <c r="DD247" i="17"/>
  <c r="DD190" i="17"/>
  <c r="DD199" i="17"/>
  <c r="DD191" i="17"/>
  <c r="DD189" i="17"/>
  <c r="DE171" i="17"/>
  <c r="DE190" i="17" s="1"/>
  <c r="DC190" i="17"/>
  <c r="DE102" i="17"/>
  <c r="DE53" i="17"/>
  <c r="DE51" i="17"/>
  <c r="DF41" i="17"/>
  <c r="DF42" i="17" s="1"/>
  <c r="DE52" i="17"/>
  <c r="DD94" i="17"/>
  <c r="DD92" i="17"/>
  <c r="DE71" i="17"/>
  <c r="DD248" i="17"/>
  <c r="DD246" i="17"/>
  <c r="DE228" i="17"/>
  <c r="DC101" i="17"/>
  <c r="DC33" i="17"/>
  <c r="DC32" i="17"/>
  <c r="DD22" i="17"/>
  <c r="AC73" i="8"/>
  <c r="EE97" i="11"/>
  <c r="EF94" i="11"/>
  <c r="AF293" i="12" s="1"/>
  <c r="EF10" i="11"/>
  <c r="ED10" i="11"/>
  <c r="EE112" i="11"/>
  <c r="EF109" i="11"/>
  <c r="AF325" i="12" s="1"/>
  <c r="AF320" i="12" s="1"/>
  <c r="AF268" i="12"/>
  <c r="AF272" i="12"/>
  <c r="CT106" i="17"/>
  <c r="AC345" i="12"/>
  <c r="BK275" i="17"/>
  <c r="BK139" i="17"/>
  <c r="BK218" i="17"/>
  <c r="CK2" i="6"/>
  <c r="BK196" i="17"/>
  <c r="BK161" i="17"/>
  <c r="BK253" i="17"/>
  <c r="BK4" i="17"/>
  <c r="BK99" i="17"/>
  <c r="BK58" i="17"/>
  <c r="BK122" i="17"/>
  <c r="BK39" i="17"/>
  <c r="BK20" i="17"/>
  <c r="V3" i="1"/>
  <c r="V104" i="21"/>
  <c r="V103" i="21"/>
  <c r="W11" i="21"/>
  <c r="V117" i="8"/>
  <c r="V124" i="8" s="1"/>
  <c r="DB185" i="17"/>
  <c r="DW89" i="11" s="1"/>
  <c r="DA173" i="17"/>
  <c r="AE153" i="12"/>
  <c r="AE298" i="12"/>
  <c r="AE274" i="12"/>
  <c r="AE269" i="12"/>
  <c r="CI170" i="17"/>
  <c r="CH169" i="17"/>
  <c r="CH182" i="17" s="1"/>
  <c r="CQ15" i="22"/>
  <c r="CU70" i="17"/>
  <c r="CV70" i="17" s="1"/>
  <c r="CT69" i="17"/>
  <c r="CT85" i="17" s="1"/>
  <c r="CU9" i="17"/>
  <c r="CP17" i="22"/>
  <c r="AD304" i="12"/>
  <c r="AD300" i="12"/>
  <c r="AA6" i="24"/>
  <c r="AA7" i="24" s="1"/>
  <c r="AA13" i="24" s="1"/>
  <c r="CI227" i="17"/>
  <c r="CH226" i="17"/>
  <c r="CH239" i="17" s="1"/>
  <c r="CH256" i="17"/>
  <c r="CH257" i="17" s="1"/>
  <c r="CT11" i="17"/>
  <c r="BO2" i="16" l="1"/>
  <c r="BN3" i="16"/>
  <c r="BL3" i="16"/>
  <c r="BK3" i="16"/>
  <c r="BM3" i="16"/>
  <c r="L386" i="20"/>
  <c r="AC386" i="20" s="1"/>
  <c r="G286" i="2"/>
  <c r="G306" i="2"/>
  <c r="G307" i="2" s="1"/>
  <c r="G321" i="2"/>
  <c r="AX103" i="2"/>
  <c r="DF107" i="17"/>
  <c r="DF112" i="17" s="1"/>
  <c r="M386" i="20"/>
  <c r="AD386" i="20" s="1"/>
  <c r="AX209" i="2"/>
  <c r="AC150" i="12"/>
  <c r="CV116" i="17"/>
  <c r="CV103" i="17"/>
  <c r="CV104" i="17" s="1"/>
  <c r="CV69" i="17"/>
  <c r="G250" i="2"/>
  <c r="AF115" i="21"/>
  <c r="D118" i="2"/>
  <c r="DD33" i="17"/>
  <c r="DE248" i="17"/>
  <c r="DE246" i="17"/>
  <c r="DF228" i="17"/>
  <c r="DF229" i="17" s="1"/>
  <c r="DE94" i="17"/>
  <c r="DE92" i="17"/>
  <c r="DF71" i="17"/>
  <c r="DE191" i="17"/>
  <c r="DE189" i="17"/>
  <c r="DF171" i="17"/>
  <c r="DF172" i="17" s="1"/>
  <c r="DE199" i="17"/>
  <c r="DE93" i="17"/>
  <c r="DD101" i="17"/>
  <c r="DD34" i="17"/>
  <c r="DD32" i="17"/>
  <c r="DE22" i="17"/>
  <c r="DF47" i="17"/>
  <c r="EB50" i="11" s="1"/>
  <c r="DE43" i="17"/>
  <c r="AF148" i="12"/>
  <c r="DF102" i="17"/>
  <c r="DF53" i="17"/>
  <c r="DF51" i="17"/>
  <c r="DE247" i="17"/>
  <c r="AF298" i="12"/>
  <c r="AF274" i="12"/>
  <c r="AF269" i="12"/>
  <c r="CT111" i="17"/>
  <c r="CT117" i="17"/>
  <c r="CS107" i="17"/>
  <c r="W117" i="8"/>
  <c r="W124" i="8" s="1"/>
  <c r="W104" i="21"/>
  <c r="W103" i="21"/>
  <c r="X11" i="21"/>
  <c r="CQ2" i="6"/>
  <c r="BO218" i="17"/>
  <c r="BO196" i="17"/>
  <c r="BO253" i="17"/>
  <c r="BO99" i="17"/>
  <c r="BO275" i="17"/>
  <c r="BO161" i="17"/>
  <c r="BO58" i="17"/>
  <c r="BO20" i="17"/>
  <c r="BO122" i="17"/>
  <c r="BO39" i="17"/>
  <c r="BO139" i="17"/>
  <c r="BO4" i="17"/>
  <c r="W3" i="1"/>
  <c r="AE300" i="12"/>
  <c r="AE304" i="12"/>
  <c r="AC152" i="12"/>
  <c r="CU11" i="17"/>
  <c r="CU103" i="17"/>
  <c r="CU69" i="17"/>
  <c r="CU85" i="17" s="1"/>
  <c r="CJ170" i="17"/>
  <c r="CI169" i="17"/>
  <c r="CI182" i="17" s="1"/>
  <c r="CQ17" i="22"/>
  <c r="CI256" i="17"/>
  <c r="CI257" i="17" s="1"/>
  <c r="CJ227" i="17"/>
  <c r="CI226" i="17"/>
  <c r="CI239" i="17" s="1"/>
  <c r="AD306" i="12"/>
  <c r="AD338" i="12"/>
  <c r="AD345" i="12" s="1"/>
  <c r="AD301" i="12"/>
  <c r="CR15" i="22"/>
  <c r="BO3" i="16" l="1"/>
  <c r="BQ3" i="16"/>
  <c r="BP3" i="16"/>
  <c r="BR3" i="16"/>
  <c r="BS2" i="16"/>
  <c r="L539" i="20"/>
  <c r="AC539" i="20" s="1"/>
  <c r="H226" i="20"/>
  <c r="Y226" i="20" s="1"/>
  <c r="J154" i="20"/>
  <c r="AA154" i="20" s="1"/>
  <c r="J62" i="20"/>
  <c r="AA62" i="20" s="1"/>
  <c r="H223" i="20"/>
  <c r="Y223" i="20" s="1"/>
  <c r="J63" i="20"/>
  <c r="AA63" i="20" s="1"/>
  <c r="M539" i="20"/>
  <c r="AD539" i="20" s="1"/>
  <c r="CV85" i="17"/>
  <c r="L541" i="20"/>
  <c r="AC541" i="20" s="1"/>
  <c r="M541" i="20"/>
  <c r="AD541" i="20" s="1"/>
  <c r="AX250" i="2"/>
  <c r="E118" i="2"/>
  <c r="D120" i="2"/>
  <c r="DF92" i="17"/>
  <c r="DF72" i="17"/>
  <c r="DF248" i="17"/>
  <c r="DF246" i="17"/>
  <c r="AU118" i="2"/>
  <c r="E106" i="20"/>
  <c r="V106" i="20" s="1"/>
  <c r="DE101" i="17"/>
  <c r="DE34" i="17"/>
  <c r="DE32" i="17"/>
  <c r="DF22" i="17"/>
  <c r="DF23" i="17" s="1"/>
  <c r="DF185" i="17"/>
  <c r="EB89" i="11" s="1"/>
  <c r="AF153" i="12"/>
  <c r="DE173" i="17"/>
  <c r="DF199" i="17"/>
  <c r="DF191" i="17"/>
  <c r="DF189" i="17"/>
  <c r="DF242" i="17"/>
  <c r="EB104" i="11" s="1"/>
  <c r="AF155" i="12"/>
  <c r="DE230" i="17"/>
  <c r="DE33" i="17"/>
  <c r="AF300" i="12"/>
  <c r="AF304" i="12"/>
  <c r="CW2" i="6"/>
  <c r="BS139" i="17"/>
  <c r="BS275" i="17"/>
  <c r="BS218" i="17"/>
  <c r="BS253" i="17"/>
  <c r="BS196" i="17"/>
  <c r="BS122" i="17"/>
  <c r="BS99" i="17"/>
  <c r="BS161" i="17"/>
  <c r="BS58" i="17"/>
  <c r="BS20" i="17"/>
  <c r="BS4" i="17"/>
  <c r="BS39" i="17"/>
  <c r="X3" i="1"/>
  <c r="X103" i="21"/>
  <c r="Y11" i="21"/>
  <c r="X104" i="21"/>
  <c r="X117" i="8"/>
  <c r="X124" i="8" s="1"/>
  <c r="AE338" i="12"/>
  <c r="AE345" i="12" s="1"/>
  <c r="AE306" i="12"/>
  <c r="AE301" i="12"/>
  <c r="AC154" i="12"/>
  <c r="CS15" i="22"/>
  <c r="CW70" i="17"/>
  <c r="CW110" i="17"/>
  <c r="CW9" i="17" s="1"/>
  <c r="CR17" i="22"/>
  <c r="CK227" i="17"/>
  <c r="CJ226" i="17"/>
  <c r="CJ239" i="17" s="1"/>
  <c r="CJ256" i="17"/>
  <c r="CJ257" i="17" s="1"/>
  <c r="CK170" i="17"/>
  <c r="CJ169" i="17"/>
  <c r="CJ182" i="17" s="1"/>
  <c r="CK206" i="17"/>
  <c r="CK13" i="17" s="1"/>
  <c r="CH19" i="22" s="1"/>
  <c r="CU116" i="17"/>
  <c r="CU115" i="17"/>
  <c r="CU104" i="17"/>
  <c r="CU141" i="17"/>
  <c r="BT3" i="16" l="1"/>
  <c r="BV3" i="16"/>
  <c r="BU3" i="16"/>
  <c r="BS3" i="16"/>
  <c r="BW2" i="16"/>
  <c r="E120" i="2"/>
  <c r="DF101" i="17"/>
  <c r="DF34" i="17"/>
  <c r="DF32" i="17"/>
  <c r="AU120" i="2"/>
  <c r="E109" i="20"/>
  <c r="V109" i="20" s="1"/>
  <c r="AV118" i="2"/>
  <c r="F106" i="20"/>
  <c r="W106" i="20" s="1"/>
  <c r="F118" i="2"/>
  <c r="DF28" i="17"/>
  <c r="EB36" i="11" s="1"/>
  <c r="DE24" i="17"/>
  <c r="AF147" i="12"/>
  <c r="DF88" i="17"/>
  <c r="EB65" i="11" s="1"/>
  <c r="DE73" i="17"/>
  <c r="AF149" i="12"/>
  <c r="DF94" i="17"/>
  <c r="AF338" i="12"/>
  <c r="AF345" i="12" s="1"/>
  <c r="AF306" i="12"/>
  <c r="AF301" i="12"/>
  <c r="Y104" i="21"/>
  <c r="Y103" i="21"/>
  <c r="Z11" i="21"/>
  <c r="Y117" i="8"/>
  <c r="Y124" i="8"/>
  <c r="DC2" i="6"/>
  <c r="BW253" i="17"/>
  <c r="BW161" i="17"/>
  <c r="BW196" i="17"/>
  <c r="BW122" i="17"/>
  <c r="BW218" i="17"/>
  <c r="BW275" i="17"/>
  <c r="BW39" i="17"/>
  <c r="BW139" i="17"/>
  <c r="BW58" i="17"/>
  <c r="BW99" i="17"/>
  <c r="BW20" i="17"/>
  <c r="BW4" i="17"/>
  <c r="Y3" i="1"/>
  <c r="CT215" i="17"/>
  <c r="CW105" i="17"/>
  <c r="CW116" i="17" s="1"/>
  <c r="CW149" i="17"/>
  <c r="CW11" i="17" s="1"/>
  <c r="CT15" i="22"/>
  <c r="CS17" i="22"/>
  <c r="CL170" i="17"/>
  <c r="CK169" i="17"/>
  <c r="CK182" i="17" s="1"/>
  <c r="CK256" i="17"/>
  <c r="CK257" i="17" s="1"/>
  <c r="CL227" i="17"/>
  <c r="CK226" i="17"/>
  <c r="CK239" i="17" s="1"/>
  <c r="CW103" i="17"/>
  <c r="CX70" i="17"/>
  <c r="CW69" i="17"/>
  <c r="CW85" i="17" s="1"/>
  <c r="CX110" i="17"/>
  <c r="CX9" i="17" s="1"/>
  <c r="CU143" i="17"/>
  <c r="CU198" i="17"/>
  <c r="CU155" i="17"/>
  <c r="CU154" i="17"/>
  <c r="BW3" i="16" l="1"/>
  <c r="BZ3" i="16"/>
  <c r="BX3" i="16"/>
  <c r="CA2" i="16"/>
  <c r="BY3" i="16"/>
  <c r="G118" i="2"/>
  <c r="F120" i="2"/>
  <c r="F109" i="20"/>
  <c r="W109" i="20" s="1"/>
  <c r="AV120" i="2"/>
  <c r="G106" i="20"/>
  <c r="X106" i="20" s="1"/>
  <c r="AW118" i="2"/>
  <c r="DI2" i="6"/>
  <c r="CA275" i="17"/>
  <c r="CA139" i="17"/>
  <c r="CA161" i="17"/>
  <c r="CA253" i="17"/>
  <c r="CA196" i="17"/>
  <c r="CA218" i="17"/>
  <c r="CA4" i="17"/>
  <c r="CA58" i="17"/>
  <c r="CA99" i="17"/>
  <c r="CA122" i="17"/>
  <c r="CA39" i="17"/>
  <c r="CA20" i="17"/>
  <c r="Z3" i="1"/>
  <c r="Z104" i="21"/>
  <c r="Z103" i="21"/>
  <c r="AA11" i="21"/>
  <c r="Z117" i="8"/>
  <c r="Z124" i="8" s="1"/>
  <c r="CY70" i="17"/>
  <c r="CY110" i="17"/>
  <c r="CY9" i="17" s="1"/>
  <c r="H118" i="2" s="1"/>
  <c r="CW144" i="17"/>
  <c r="CM170" i="17"/>
  <c r="CL169" i="17"/>
  <c r="CL182" i="17" s="1"/>
  <c r="CT17" i="22"/>
  <c r="CU15" i="22"/>
  <c r="CX69" i="17"/>
  <c r="CX85" i="17" s="1"/>
  <c r="CX103" i="17"/>
  <c r="CX106" i="17" s="1"/>
  <c r="CM227" i="17"/>
  <c r="CL226" i="17"/>
  <c r="CL239" i="17" s="1"/>
  <c r="CL256" i="17"/>
  <c r="CL257" i="17" s="1"/>
  <c r="CX149" i="17"/>
  <c r="CX11" i="17" s="1"/>
  <c r="CW117" i="17"/>
  <c r="CW115" i="17"/>
  <c r="CW104" i="17"/>
  <c r="CW141" i="17"/>
  <c r="CX105" i="17"/>
  <c r="CB3" i="16" l="1"/>
  <c r="CA3" i="16"/>
  <c r="CC3" i="16"/>
  <c r="CE2" i="16"/>
  <c r="CD3" i="16"/>
  <c r="I106" i="20"/>
  <c r="Z106" i="20" s="1"/>
  <c r="AY118" i="2"/>
  <c r="G109" i="20"/>
  <c r="X109" i="20" s="1"/>
  <c r="AW120" i="2"/>
  <c r="H106" i="20"/>
  <c r="Y106" i="20" s="1"/>
  <c r="AX118" i="2"/>
  <c r="G120" i="2"/>
  <c r="AA117" i="8"/>
  <c r="AA124" i="8" s="1"/>
  <c r="DO2" i="6"/>
  <c r="CE218" i="17"/>
  <c r="CE196" i="17"/>
  <c r="CE275" i="17"/>
  <c r="CE99" i="17"/>
  <c r="CE253" i="17"/>
  <c r="CE122" i="17"/>
  <c r="CE161" i="17"/>
  <c r="CE58" i="17"/>
  <c r="CE20" i="17"/>
  <c r="CE139" i="17"/>
  <c r="CE39" i="17"/>
  <c r="CE4" i="17"/>
  <c r="AA3" i="1"/>
  <c r="AA104" i="21"/>
  <c r="AA103" i="21"/>
  <c r="AB11" i="21"/>
  <c r="CY105" i="17"/>
  <c r="CY149" i="17"/>
  <c r="CY11" i="17" s="1"/>
  <c r="H120" i="2" s="1"/>
  <c r="CV15" i="22"/>
  <c r="CY103" i="17"/>
  <c r="CZ70" i="17"/>
  <c r="CY69" i="17"/>
  <c r="CY85" i="17" s="1"/>
  <c r="CZ110" i="17"/>
  <c r="CZ9" i="17" s="1"/>
  <c r="I118" i="2" s="1"/>
  <c r="CX141" i="17"/>
  <c r="CX145" i="17" s="1"/>
  <c r="CX117" i="17"/>
  <c r="CX115" i="17"/>
  <c r="CX104" i="17"/>
  <c r="CU17" i="22"/>
  <c r="CM256" i="17"/>
  <c r="CM257" i="17" s="1"/>
  <c r="CN227" i="17"/>
  <c r="CM226" i="17"/>
  <c r="CM239" i="17" s="1"/>
  <c r="CX111" i="17"/>
  <c r="AD150" i="12"/>
  <c r="CW107" i="17"/>
  <c r="CN170" i="17"/>
  <c r="CM169" i="17"/>
  <c r="CM182" i="17" s="1"/>
  <c r="CX144" i="17"/>
  <c r="CW143" i="17"/>
  <c r="CW198" i="17"/>
  <c r="CW156" i="17"/>
  <c r="CW154" i="17"/>
  <c r="CW155" i="17"/>
  <c r="CF3" i="16" l="1"/>
  <c r="CH3" i="16"/>
  <c r="CI2" i="16"/>
  <c r="CE3" i="16"/>
  <c r="CG3" i="16"/>
  <c r="J106" i="20"/>
  <c r="AA106" i="20" s="1"/>
  <c r="AZ118" i="2"/>
  <c r="AX120" i="2"/>
  <c r="H109" i="20"/>
  <c r="Y109" i="20" s="1"/>
  <c r="I109" i="20"/>
  <c r="Z109" i="20" s="1"/>
  <c r="AY120" i="2"/>
  <c r="AB103" i="21"/>
  <c r="AC11" i="21"/>
  <c r="C251" i="2" s="1"/>
  <c r="AB104" i="21"/>
  <c r="DU2" i="6"/>
  <c r="CI253" i="17"/>
  <c r="CI218" i="17"/>
  <c r="CI161" i="17"/>
  <c r="CI139" i="17"/>
  <c r="CI196" i="17"/>
  <c r="CI275" i="17"/>
  <c r="CI99" i="17"/>
  <c r="CI122" i="17"/>
  <c r="CI58" i="17"/>
  <c r="CI20" i="17"/>
  <c r="CI39" i="17"/>
  <c r="CI4" i="17"/>
  <c r="AB3" i="1"/>
  <c r="AB124" i="8"/>
  <c r="AB117" i="8"/>
  <c r="CW15" i="22"/>
  <c r="DA110" i="17"/>
  <c r="DA9" i="17" s="1"/>
  <c r="J118" i="2" s="1"/>
  <c r="CZ103" i="17"/>
  <c r="CZ69" i="17"/>
  <c r="CZ85" i="17" s="1"/>
  <c r="DA70" i="17"/>
  <c r="CV17" i="22"/>
  <c r="CY144" i="17"/>
  <c r="CY141" i="17"/>
  <c r="CY116" i="17"/>
  <c r="CZ105" i="17"/>
  <c r="CZ116" i="17" s="1"/>
  <c r="CZ149" i="17"/>
  <c r="CZ11" i="17" s="1"/>
  <c r="I120" i="2" s="1"/>
  <c r="CY115" i="17"/>
  <c r="CY104" i="17"/>
  <c r="CX198" i="17"/>
  <c r="CX202" i="17" s="1"/>
  <c r="CX156" i="17"/>
  <c r="CX154" i="17"/>
  <c r="CX143" i="17"/>
  <c r="CX150" i="17"/>
  <c r="CO170" i="17"/>
  <c r="CN169" i="17"/>
  <c r="CN182" i="17" s="1"/>
  <c r="CO206" i="17"/>
  <c r="CO13" i="17" s="1"/>
  <c r="CO227" i="17"/>
  <c r="CN226" i="17"/>
  <c r="CN239" i="17" s="1"/>
  <c r="CN256" i="17"/>
  <c r="CN257" i="17" s="1"/>
  <c r="CI3" i="16" l="1"/>
  <c r="CM2" i="16"/>
  <c r="CJ3" i="16"/>
  <c r="CL3" i="16"/>
  <c r="CK3" i="16"/>
  <c r="AZ120" i="2"/>
  <c r="J109" i="20"/>
  <c r="AA109" i="20" s="1"/>
  <c r="BA118" i="2"/>
  <c r="K106" i="20"/>
  <c r="AB106" i="20" s="1"/>
  <c r="AC117" i="8"/>
  <c r="AC124" i="8" s="1"/>
  <c r="EA2" i="6"/>
  <c r="CM253" i="17"/>
  <c r="CM161" i="17"/>
  <c r="CM139" i="17"/>
  <c r="CM122" i="17"/>
  <c r="CM275" i="17"/>
  <c r="CM196" i="17"/>
  <c r="CM218" i="17"/>
  <c r="CM99" i="17"/>
  <c r="CM39" i="17"/>
  <c r="CM58" i="17"/>
  <c r="CM4" i="17"/>
  <c r="CM20" i="17"/>
  <c r="AC3" i="1"/>
  <c r="CQ20" i="17" s="1"/>
  <c r="AC104" i="21"/>
  <c r="AC103" i="21"/>
  <c r="AD11" i="21"/>
  <c r="D251" i="2" s="1"/>
  <c r="CW17" i="22"/>
  <c r="CY198" i="17"/>
  <c r="CY143" i="17"/>
  <c r="CY154" i="17"/>
  <c r="CY155" i="17"/>
  <c r="CZ144" i="17"/>
  <c r="DA103" i="17"/>
  <c r="DB70" i="17"/>
  <c r="DA69" i="17"/>
  <c r="DA85" i="17" s="1"/>
  <c r="DB110" i="17"/>
  <c r="DB9" i="17" s="1"/>
  <c r="K118" i="2" s="1"/>
  <c r="CZ117" i="17"/>
  <c r="DA105" i="17"/>
  <c r="CZ141" i="17"/>
  <c r="CZ115" i="17"/>
  <c r="DA149" i="17"/>
  <c r="DA11" i="17" s="1"/>
  <c r="J120" i="2" s="1"/>
  <c r="CZ104" i="17"/>
  <c r="CX15" i="22"/>
  <c r="CL19" i="22"/>
  <c r="CP170" i="17"/>
  <c r="CO169" i="17"/>
  <c r="CO182" i="17" s="1"/>
  <c r="CO256" i="17"/>
  <c r="CO257" i="17" s="1"/>
  <c r="CP227" i="17"/>
  <c r="CO226" i="17"/>
  <c r="CO239" i="17" s="1"/>
  <c r="CX207" i="17"/>
  <c r="CN3" i="16" l="1"/>
  <c r="CQ2" i="16"/>
  <c r="CO3" i="16"/>
  <c r="CM3" i="16"/>
  <c r="CP3" i="16"/>
  <c r="BB118" i="2"/>
  <c r="L106" i="20"/>
  <c r="AC106" i="20" s="1"/>
  <c r="DC70" i="17"/>
  <c r="DC110" i="17"/>
  <c r="DC9" i="17" s="1"/>
  <c r="BA120" i="2"/>
  <c r="K109" i="20"/>
  <c r="AB109" i="20" s="1"/>
  <c r="AE11" i="21"/>
  <c r="AF11" i="21" s="1"/>
  <c r="AD104" i="21"/>
  <c r="AD103" i="21"/>
  <c r="CQ275" i="17"/>
  <c r="CQ139" i="17"/>
  <c r="EG2" i="6"/>
  <c r="CQ196" i="17"/>
  <c r="CQ218" i="17"/>
  <c r="CQ253" i="17"/>
  <c r="CQ161" i="17"/>
  <c r="CQ4" i="17"/>
  <c r="CQ122" i="17"/>
  <c r="CQ58" i="17"/>
  <c r="CQ99" i="17"/>
  <c r="CQ39" i="17"/>
  <c r="AD3" i="1"/>
  <c r="AD117" i="8"/>
  <c r="AE117" i="8" s="1"/>
  <c r="CX17" i="22"/>
  <c r="CZ154" i="17"/>
  <c r="CZ143" i="17"/>
  <c r="CZ156" i="17"/>
  <c r="DA144" i="17"/>
  <c r="CZ198" i="17"/>
  <c r="CZ155" i="17"/>
  <c r="DB149" i="17"/>
  <c r="DB11" i="17" s="1"/>
  <c r="K120" i="2" s="1"/>
  <c r="DA104" i="17"/>
  <c r="DA115" i="17"/>
  <c r="DA141" i="17"/>
  <c r="DA117" i="17"/>
  <c r="DB105" i="17"/>
  <c r="CY15" i="22"/>
  <c r="DB69" i="17"/>
  <c r="DB85" i="17" s="1"/>
  <c r="DB103" i="17"/>
  <c r="DB106" i="17" s="1"/>
  <c r="DA116" i="17"/>
  <c r="CQ227" i="17"/>
  <c r="CQ256" i="17" s="1"/>
  <c r="CQ257" i="17" s="1"/>
  <c r="CP226" i="17"/>
  <c r="CP239" i="17" s="1"/>
  <c r="CP256" i="17"/>
  <c r="CP257" i="17" s="1"/>
  <c r="CQ170" i="17"/>
  <c r="CP169" i="17"/>
  <c r="CP182" i="17" s="1"/>
  <c r="AF103" i="21" l="1"/>
  <c r="AF104" i="21"/>
  <c r="CR3" i="16"/>
  <c r="CQ3" i="16"/>
  <c r="CS3" i="16"/>
  <c r="CU2" i="16"/>
  <c r="CT3" i="16"/>
  <c r="L118" i="2"/>
  <c r="CZ15" i="22"/>
  <c r="DC105" i="17"/>
  <c r="DC149" i="17"/>
  <c r="DC11" i="17" s="1"/>
  <c r="L109" i="20"/>
  <c r="AC109" i="20" s="1"/>
  <c r="BB120" i="2"/>
  <c r="DC103" i="17"/>
  <c r="DC69" i="17"/>
  <c r="DC85" i="17" s="1"/>
  <c r="DD70" i="17"/>
  <c r="DD110" i="17"/>
  <c r="DD9" i="17" s="1"/>
  <c r="AE124" i="8"/>
  <c r="AF117" i="8"/>
  <c r="AF124" i="8"/>
  <c r="AD124" i="8"/>
  <c r="CU218" i="17"/>
  <c r="CU196" i="17"/>
  <c r="CU161" i="17"/>
  <c r="CU99" i="17"/>
  <c r="EM2" i="6"/>
  <c r="CU253" i="17"/>
  <c r="CU275" i="17"/>
  <c r="CU139" i="17"/>
  <c r="CU122" i="17"/>
  <c r="CU58" i="17"/>
  <c r="CU20" i="17"/>
  <c r="CU39" i="17"/>
  <c r="CU4" i="17"/>
  <c r="AE3" i="1"/>
  <c r="AE103" i="21"/>
  <c r="AE104" i="21"/>
  <c r="DB111" i="17"/>
  <c r="DA107" i="17"/>
  <c r="AE150" i="12"/>
  <c r="DB117" i="17"/>
  <c r="DB141" i="17"/>
  <c r="DB145" i="17" s="1"/>
  <c r="DB115" i="17"/>
  <c r="DB104" i="17"/>
  <c r="CY17" i="22"/>
  <c r="DA198" i="17"/>
  <c r="DA156" i="17"/>
  <c r="DB144" i="17"/>
  <c r="DA143" i="17"/>
  <c r="DA154" i="17"/>
  <c r="DA155" i="17"/>
  <c r="CQ13" i="17"/>
  <c r="CR170" i="17"/>
  <c r="CS206" i="17" s="1"/>
  <c r="CQ169" i="17"/>
  <c r="CQ182" i="17" s="1"/>
  <c r="CR13" i="17"/>
  <c r="CR227" i="17"/>
  <c r="CR256" i="17" s="1"/>
  <c r="CR257" i="17" s="1"/>
  <c r="CQ226" i="17"/>
  <c r="CQ239" i="17" s="1"/>
  <c r="CX3" i="16" l="1"/>
  <c r="CY2" i="16"/>
  <c r="CU3" i="16"/>
  <c r="CW3" i="16"/>
  <c r="M106" i="20"/>
  <c r="AD106" i="20" s="1"/>
  <c r="BC118" i="2"/>
  <c r="M118" i="2"/>
  <c r="DA15" i="22"/>
  <c r="L120" i="2"/>
  <c r="CZ17" i="22"/>
  <c r="DC144" i="17"/>
  <c r="DE70" i="17"/>
  <c r="DD103" i="17"/>
  <c r="DD69" i="17"/>
  <c r="DD85" i="17" s="1"/>
  <c r="DE110" i="17"/>
  <c r="DE9" i="17" s="1"/>
  <c r="DD149" i="17"/>
  <c r="DD11" i="17" s="1"/>
  <c r="DC141" i="17"/>
  <c r="DC104" i="17"/>
  <c r="DC116" i="17"/>
  <c r="DC115" i="17"/>
  <c r="DD105" i="17"/>
  <c r="DD116" i="17" s="1"/>
  <c r="CY253" i="17"/>
  <c r="CY161" i="17"/>
  <c r="CY99" i="17"/>
  <c r="CY139" i="17"/>
  <c r="CY58" i="17"/>
  <c r="CY4" i="17"/>
  <c r="ES2" i="6"/>
  <c r="CY218" i="17"/>
  <c r="CY39" i="17"/>
  <c r="CY275" i="17"/>
  <c r="CY196" i="17"/>
  <c r="CY122" i="17"/>
  <c r="CY20" i="17"/>
  <c r="AF3" i="1"/>
  <c r="DB150" i="17"/>
  <c r="DB154" i="17"/>
  <c r="DB143" i="17"/>
  <c r="DB156" i="17"/>
  <c r="DB198" i="17"/>
  <c r="DB202" i="17" s="1"/>
  <c r="CO19" i="22"/>
  <c r="CS227" i="17"/>
  <c r="CS256" i="17" s="1"/>
  <c r="CS257" i="17" s="1"/>
  <c r="CR226" i="17"/>
  <c r="CR239" i="17" s="1"/>
  <c r="CS170" i="17"/>
  <c r="CR169" i="17"/>
  <c r="CR182" i="17" s="1"/>
  <c r="CS13" i="17"/>
  <c r="CN19" i="22"/>
  <c r="CY3" i="16" l="1"/>
  <c r="DC2" i="16"/>
  <c r="DC3" i="16" s="1"/>
  <c r="CZ3" i="16"/>
  <c r="DB3" i="16"/>
  <c r="DA3" i="16"/>
  <c r="DC275" i="17"/>
  <c r="DC218" i="17"/>
  <c r="DC161" i="17"/>
  <c r="DC99" i="17"/>
  <c r="DC39" i="17"/>
  <c r="DC4" i="17"/>
  <c r="EY2" i="6"/>
  <c r="DC253" i="17"/>
  <c r="DC196" i="17"/>
  <c r="DC139" i="17"/>
  <c r="DC122" i="17"/>
  <c r="DC58" i="17"/>
  <c r="DC20" i="17"/>
  <c r="N106" i="20"/>
  <c r="AE106" i="20" s="1"/>
  <c r="BC120" i="2"/>
  <c r="BD118" i="2"/>
  <c r="M109" i="20"/>
  <c r="AD109" i="20" s="1"/>
  <c r="M120" i="2"/>
  <c r="DA17" i="22"/>
  <c r="N118" i="2"/>
  <c r="DB15" i="22"/>
  <c r="DC155" i="17"/>
  <c r="DC154" i="17"/>
  <c r="DC198" i="17"/>
  <c r="DC143" i="17"/>
  <c r="DD144" i="17"/>
  <c r="DD117" i="17"/>
  <c r="DD115" i="17"/>
  <c r="DE105" i="17"/>
  <c r="DE116" i="17" s="1"/>
  <c r="DE149" i="17"/>
  <c r="DE11" i="17" s="1"/>
  <c r="DD141" i="17"/>
  <c r="DD104" i="17"/>
  <c r="DE103" i="17"/>
  <c r="DE69" i="17"/>
  <c r="DE85" i="17" s="1"/>
  <c r="DF70" i="17"/>
  <c r="DF110" i="17"/>
  <c r="DF9" i="17" s="1"/>
  <c r="DB207" i="17"/>
  <c r="CP19" i="22"/>
  <c r="CT170" i="17"/>
  <c r="CS169" i="17"/>
  <c r="CS182" i="17" s="1"/>
  <c r="CT13" i="17"/>
  <c r="CT227" i="17"/>
  <c r="CT256" i="17" s="1"/>
  <c r="CT257" i="17" s="1"/>
  <c r="CS226" i="17"/>
  <c r="CS239" i="17" s="1"/>
  <c r="N109" i="20" l="1"/>
  <c r="AE109" i="20" s="1"/>
  <c r="BE118" i="2"/>
  <c r="BD120" i="2"/>
  <c r="O106" i="20"/>
  <c r="AF106" i="20" s="1"/>
  <c r="O118" i="2"/>
  <c r="DC15" i="22"/>
  <c r="N120" i="2"/>
  <c r="DB17" i="22"/>
  <c r="DF103" i="17"/>
  <c r="DF106" i="17" s="1"/>
  <c r="DF69" i="17"/>
  <c r="DF85" i="17" s="1"/>
  <c r="DD198" i="17"/>
  <c r="DD156" i="17"/>
  <c r="DD154" i="17"/>
  <c r="DE144" i="17"/>
  <c r="DE155" i="17" s="1"/>
  <c r="DD143" i="17"/>
  <c r="DD155" i="17"/>
  <c r="DF149" i="17"/>
  <c r="DF11" i="17" s="1"/>
  <c r="DE141" i="17"/>
  <c r="DE104" i="17"/>
  <c r="DE117" i="17"/>
  <c r="DE115" i="17"/>
  <c r="DF105" i="17"/>
  <c r="CU227" i="17"/>
  <c r="CV227" i="17" s="1"/>
  <c r="CT226" i="17"/>
  <c r="CT239" i="17" s="1"/>
  <c r="CQ19" i="22"/>
  <c r="CU170" i="17"/>
  <c r="CV170" i="17" s="1"/>
  <c r="CV169" i="17" s="1"/>
  <c r="CT169" i="17"/>
  <c r="CT182" i="17" s="1"/>
  <c r="CU13" i="17"/>
  <c r="P106" i="20" l="1"/>
  <c r="AG106" i="20" s="1"/>
  <c r="BE120" i="2"/>
  <c r="O109" i="20"/>
  <c r="AF109" i="20" s="1"/>
  <c r="CV226" i="17"/>
  <c r="CV256" i="17"/>
  <c r="CV257" i="17" s="1"/>
  <c r="BF118" i="2"/>
  <c r="O120" i="2"/>
  <c r="DC17" i="22"/>
  <c r="D122" i="2"/>
  <c r="DF117" i="17"/>
  <c r="DF115" i="17"/>
  <c r="DF141" i="17"/>
  <c r="DF145" i="17" s="1"/>
  <c r="DF150" i="17" s="1"/>
  <c r="DF104" i="17"/>
  <c r="DE156" i="17"/>
  <c r="DE154" i="17"/>
  <c r="DE198" i="17"/>
  <c r="DE143" i="17"/>
  <c r="DF144" i="17"/>
  <c r="DF111" i="17"/>
  <c r="AF150" i="12"/>
  <c r="DE107" i="17"/>
  <c r="CU256" i="17"/>
  <c r="CU226" i="17"/>
  <c r="CU239" i="17" s="1"/>
  <c r="CR19" i="22"/>
  <c r="CU169" i="17"/>
  <c r="CU182" i="17" s="1"/>
  <c r="CT134" i="17"/>
  <c r="BF120" i="2" l="1"/>
  <c r="CV239" i="17"/>
  <c r="P109" i="20"/>
  <c r="AG109" i="20" s="1"/>
  <c r="CV182" i="17"/>
  <c r="E122" i="2"/>
  <c r="AU122" i="2"/>
  <c r="E111" i="20"/>
  <c r="V111" i="20" s="1"/>
  <c r="DF198" i="17"/>
  <c r="DF202" i="17" s="1"/>
  <c r="DF207" i="17" s="1"/>
  <c r="DF156" i="17"/>
  <c r="DF154" i="17"/>
  <c r="DF143" i="17"/>
  <c r="CU255" i="17"/>
  <c r="CU200" i="17"/>
  <c r="CU212" i="17"/>
  <c r="CU211" i="17"/>
  <c r="CT10" i="17"/>
  <c r="CS19" i="22"/>
  <c r="CW170" i="17"/>
  <c r="CW206" i="17"/>
  <c r="CW13" i="17" s="1"/>
  <c r="CW227" i="17"/>
  <c r="F122" i="2" l="1"/>
  <c r="AV122" i="2"/>
  <c r="F111" i="20"/>
  <c r="W111" i="20" s="1"/>
  <c r="CT19" i="22"/>
  <c r="CX170" i="17"/>
  <c r="CW169" i="17"/>
  <c r="CW182" i="17" s="1"/>
  <c r="CX206" i="17"/>
  <c r="CX13" i="17" s="1"/>
  <c r="CW256" i="17"/>
  <c r="CX227" i="17"/>
  <c r="CY227" i="17" s="1"/>
  <c r="CW226" i="17"/>
  <c r="CW239" i="17" s="1"/>
  <c r="CQ16" i="22"/>
  <c r="CW201" i="17"/>
  <c r="G111" i="20" l="1"/>
  <c r="X111" i="20" s="1"/>
  <c r="AW122" i="2"/>
  <c r="G122" i="2"/>
  <c r="CY226" i="17"/>
  <c r="CY256" i="17"/>
  <c r="CZ227" i="17"/>
  <c r="CX169" i="17"/>
  <c r="CX182" i="17" s="1"/>
  <c r="CY170" i="17"/>
  <c r="CY206" i="17"/>
  <c r="CY13" i="17" s="1"/>
  <c r="H122" i="2" s="1"/>
  <c r="CW255" i="17"/>
  <c r="CW258" i="17" s="1"/>
  <c r="CX201" i="17"/>
  <c r="CW200" i="17"/>
  <c r="CW213" i="17"/>
  <c r="CW211" i="17"/>
  <c r="CW212" i="17"/>
  <c r="CX226" i="17"/>
  <c r="CX239" i="17" s="1"/>
  <c r="CX256" i="17"/>
  <c r="CU19" i="22"/>
  <c r="AY122" i="2" l="1"/>
  <c r="I111" i="20"/>
  <c r="Z111" i="20" s="1"/>
  <c r="H111" i="20"/>
  <c r="Y111" i="20" s="1"/>
  <c r="AX122" i="2"/>
  <c r="CY201" i="17"/>
  <c r="CY200" i="17" s="1"/>
  <c r="CV19" i="22"/>
  <c r="CZ170" i="17"/>
  <c r="CY169" i="17"/>
  <c r="CY182" i="17" s="1"/>
  <c r="CZ206" i="17"/>
  <c r="CZ13" i="17" s="1"/>
  <c r="I122" i="2" s="1"/>
  <c r="DA227" i="17"/>
  <c r="CZ256" i="17"/>
  <c r="CZ226" i="17"/>
  <c r="CZ239" i="17" s="1"/>
  <c r="CY239" i="17"/>
  <c r="CS16" i="22"/>
  <c r="CX213" i="17"/>
  <c r="CX211" i="17"/>
  <c r="CX255" i="17"/>
  <c r="CX258" i="17" s="1"/>
  <c r="CX200" i="17"/>
  <c r="CW134" i="17"/>
  <c r="CW10" i="17" s="1"/>
  <c r="CW263" i="17"/>
  <c r="CW15" i="17" l="1"/>
  <c r="CT21" i="22" s="1"/>
  <c r="CW135" i="17"/>
  <c r="AZ122" i="2"/>
  <c r="J111" i="20"/>
  <c r="AA111" i="20" s="1"/>
  <c r="CY212" i="17"/>
  <c r="CY211" i="17"/>
  <c r="CY255" i="17"/>
  <c r="CY258" i="17" s="1"/>
  <c r="CW19" i="22"/>
  <c r="DA170" i="17"/>
  <c r="CZ169" i="17"/>
  <c r="CZ182" i="17" s="1"/>
  <c r="DA206" i="17"/>
  <c r="DA13" i="17" s="1"/>
  <c r="J122" i="2" s="1"/>
  <c r="DA256" i="17"/>
  <c r="DB227" i="17"/>
  <c r="DC227" i="17" s="1"/>
  <c r="DA226" i="17"/>
  <c r="DA239" i="17" s="1"/>
  <c r="CZ201" i="17"/>
  <c r="CT16" i="22"/>
  <c r="CX268" i="17"/>
  <c r="CX263" i="17"/>
  <c r="CX134" i="17"/>
  <c r="CX10" i="17" s="1"/>
  <c r="CX15" i="17" l="1"/>
  <c r="CU21" i="22" s="1"/>
  <c r="CX135" i="17"/>
  <c r="DD227" i="17"/>
  <c r="DC256" i="17"/>
  <c r="DC226" i="17"/>
  <c r="K111" i="20"/>
  <c r="AB111" i="20" s="1"/>
  <c r="BA122" i="2"/>
  <c r="G119" i="2"/>
  <c r="CY263" i="17"/>
  <c r="CY134" i="17"/>
  <c r="CY10" i="17" s="1"/>
  <c r="CV16" i="22" s="1"/>
  <c r="CZ255" i="17"/>
  <c r="CZ258" i="17" s="1"/>
  <c r="CZ211" i="17"/>
  <c r="CZ200" i="17"/>
  <c r="CZ213" i="17"/>
  <c r="DA201" i="17"/>
  <c r="DA212" i="17" s="1"/>
  <c r="CZ212" i="17"/>
  <c r="DB226" i="17"/>
  <c r="DB239" i="17" s="1"/>
  <c r="DB256" i="17"/>
  <c r="CX19" i="22"/>
  <c r="DA169" i="17"/>
  <c r="DA182" i="17" s="1"/>
  <c r="DB170" i="17"/>
  <c r="DB206" i="17"/>
  <c r="DB13" i="17" s="1"/>
  <c r="K122" i="2" s="1"/>
  <c r="CU16" i="22"/>
  <c r="CY15" i="17" l="1"/>
  <c r="CV21" i="22" s="1"/>
  <c r="CY135" i="17"/>
  <c r="DB169" i="17"/>
  <c r="DC170" i="17"/>
  <c r="DC206" i="17"/>
  <c r="DC13" i="17" s="1"/>
  <c r="H107" i="20"/>
  <c r="Y107" i="20" s="1"/>
  <c r="AX119" i="2"/>
  <c r="DC239" i="17"/>
  <c r="DD256" i="17"/>
  <c r="DD226" i="17"/>
  <c r="DD239" i="17" s="1"/>
  <c r="DE227" i="17"/>
  <c r="BB122" i="2"/>
  <c r="L111" i="20"/>
  <c r="AC111" i="20" s="1"/>
  <c r="CY19" i="22"/>
  <c r="DB182" i="17"/>
  <c r="DA255" i="17"/>
  <c r="DA258" i="17" s="1"/>
  <c r="DA211" i="17"/>
  <c r="DA200" i="17"/>
  <c r="DA213" i="17"/>
  <c r="DB201" i="17"/>
  <c r="CZ268" i="17"/>
  <c r="CZ134" i="17"/>
  <c r="CZ10" i="17" s="1"/>
  <c r="I119" i="2" s="1"/>
  <c r="CZ270" i="17"/>
  <c r="CZ263" i="17"/>
  <c r="CZ15" i="17" l="1"/>
  <c r="CZ135" i="17"/>
  <c r="DC201" i="17"/>
  <c r="DC211" i="17" s="1"/>
  <c r="L122" i="2"/>
  <c r="CZ19" i="22"/>
  <c r="DD170" i="17"/>
  <c r="DC169" i="17"/>
  <c r="DC182" i="17" s="1"/>
  <c r="DD206" i="17"/>
  <c r="DD13" i="17" s="1"/>
  <c r="AZ119" i="2"/>
  <c r="J107" i="20"/>
  <c r="AA107" i="20" s="1"/>
  <c r="DC212" i="17"/>
  <c r="DE256" i="17"/>
  <c r="DF227" i="17"/>
  <c r="DE226" i="17"/>
  <c r="DE239" i="17" s="1"/>
  <c r="CW21" i="22"/>
  <c r="CW16" i="22"/>
  <c r="DB255" i="17"/>
  <c r="DB258" i="17" s="1"/>
  <c r="DB211" i="17"/>
  <c r="DB213" i="17"/>
  <c r="DB200" i="17"/>
  <c r="DA268" i="17"/>
  <c r="DA134" i="17"/>
  <c r="DA10" i="17" s="1"/>
  <c r="J119" i="2" s="1"/>
  <c r="DA270" i="17"/>
  <c r="DA263" i="17"/>
  <c r="BC122" i="2" l="1"/>
  <c r="DA15" i="17"/>
  <c r="J124" i="2" s="1"/>
  <c r="DA135" i="17"/>
  <c r="DC255" i="17"/>
  <c r="DC258" i="17" s="1"/>
  <c r="DC263" i="17" s="1"/>
  <c r="M111" i="20"/>
  <c r="AD111" i="20" s="1"/>
  <c r="DC200" i="17"/>
  <c r="DD201" i="17"/>
  <c r="DD212" i="17" s="1"/>
  <c r="M122" i="2"/>
  <c r="DA19" i="22"/>
  <c r="DF256" i="17"/>
  <c r="DF226" i="17"/>
  <c r="DF239" i="17" s="1"/>
  <c r="DC268" i="17"/>
  <c r="K107" i="20"/>
  <c r="AB107" i="20" s="1"/>
  <c r="BA119" i="2"/>
  <c r="DD169" i="17"/>
  <c r="DD182" i="17" s="1"/>
  <c r="DE170" i="17"/>
  <c r="DE206" i="17"/>
  <c r="DE13" i="17" s="1"/>
  <c r="CX16" i="22"/>
  <c r="DB263" i="17"/>
  <c r="DB268" i="17"/>
  <c r="DB134" i="17"/>
  <c r="DB10" i="17" s="1"/>
  <c r="K119" i="2" s="1"/>
  <c r="DB259" i="17"/>
  <c r="DB270" i="17" s="1"/>
  <c r="K113" i="20" l="1"/>
  <c r="AB113" i="20" s="1"/>
  <c r="N111" i="20"/>
  <c r="AE111" i="20" s="1"/>
  <c r="CX21" i="22"/>
  <c r="BA124" i="2"/>
  <c r="DB15" i="17"/>
  <c r="K124" i="2" s="1"/>
  <c r="DB135" i="17"/>
  <c r="DC15" i="17"/>
  <c r="CZ21" i="22" s="1"/>
  <c r="DC135" i="17"/>
  <c r="DD255" i="17"/>
  <c r="DD258" i="17" s="1"/>
  <c r="DD270" i="17" s="1"/>
  <c r="DD213" i="17"/>
  <c r="DC134" i="17"/>
  <c r="DC10" i="17" s="1"/>
  <c r="CZ16" i="22" s="1"/>
  <c r="DD200" i="17"/>
  <c r="DD211" i="17"/>
  <c r="BD122" i="2"/>
  <c r="N122" i="2"/>
  <c r="DB19" i="22"/>
  <c r="L124" i="2"/>
  <c r="BB119" i="2"/>
  <c r="L107" i="20"/>
  <c r="AC107" i="20" s="1"/>
  <c r="DF170" i="17"/>
  <c r="DF169" i="17" s="1"/>
  <c r="DE169" i="17"/>
  <c r="DE182" i="17" s="1"/>
  <c r="DF206" i="17"/>
  <c r="DF13" i="17" s="1"/>
  <c r="DE201" i="17"/>
  <c r="DC269" i="17"/>
  <c r="CY16" i="22"/>
  <c r="BC124" i="2" l="1"/>
  <c r="BB124" i="2"/>
  <c r="O111" i="20"/>
  <c r="AF111" i="20" s="1"/>
  <c r="L113" i="20"/>
  <c r="AC113" i="20" s="1"/>
  <c r="CY21" i="22"/>
  <c r="L119" i="2"/>
  <c r="DD269" i="17"/>
  <c r="DD134" i="17"/>
  <c r="DD10" i="17" s="1"/>
  <c r="M119" i="2" s="1"/>
  <c r="DD268" i="17"/>
  <c r="DD263" i="17"/>
  <c r="BE122" i="2"/>
  <c r="M113" i="20"/>
  <c r="AD113" i="20" s="1"/>
  <c r="O122" i="2"/>
  <c r="DC19" i="22"/>
  <c r="DE213" i="17"/>
  <c r="DE211" i="17"/>
  <c r="DF201" i="17"/>
  <c r="DE255" i="17"/>
  <c r="DE258" i="17" s="1"/>
  <c r="DE200" i="17"/>
  <c r="DE212" i="17"/>
  <c r="DF182" i="17"/>
  <c r="P111" i="20" l="1"/>
  <c r="AG111" i="20" s="1"/>
  <c r="N107" i="20"/>
  <c r="AE107" i="20" s="1"/>
  <c r="M107" i="20"/>
  <c r="AD107" i="20" s="1"/>
  <c r="DA16" i="22"/>
  <c r="BC119" i="2"/>
  <c r="DD15" i="17"/>
  <c r="DA21" i="22" s="1"/>
  <c r="DD135" i="17"/>
  <c r="M124" i="2"/>
  <c r="BD119" i="2"/>
  <c r="BF122" i="2"/>
  <c r="DE270" i="17"/>
  <c r="DE268" i="17"/>
  <c r="DE263" i="17"/>
  <c r="DE134" i="17"/>
  <c r="DE10" i="17" s="1"/>
  <c r="DE269" i="17"/>
  <c r="DF255" i="17"/>
  <c r="DF258" i="17" s="1"/>
  <c r="DF200" i="17"/>
  <c r="DF213" i="17"/>
  <c r="DF211" i="17"/>
  <c r="AT251" i="2"/>
  <c r="N113" i="20" l="1"/>
  <c r="AE113" i="20" s="1"/>
  <c r="DE15" i="17"/>
  <c r="N124" i="2" s="1"/>
  <c r="DE135" i="17"/>
  <c r="BD124" i="2"/>
  <c r="N119" i="2"/>
  <c r="DB16" i="22"/>
  <c r="DF268" i="17"/>
  <c r="DF263" i="17"/>
  <c r="DF134" i="17"/>
  <c r="DF10" i="17" s="1"/>
  <c r="DF259" i="17"/>
  <c r="DF264" i="17" s="1"/>
  <c r="AU251" i="2"/>
  <c r="E537" i="20"/>
  <c r="V537" i="20" s="1"/>
  <c r="BE119" i="2" l="1"/>
  <c r="BE124" i="2"/>
  <c r="DB21" i="22"/>
  <c r="DF15" i="17"/>
  <c r="DC21" i="22" s="1"/>
  <c r="DF135" i="17"/>
  <c r="O107" i="20"/>
  <c r="AF107" i="20" s="1"/>
  <c r="O113" i="20"/>
  <c r="AF113" i="20" s="1"/>
  <c r="O119" i="2"/>
  <c r="DC16" i="22"/>
  <c r="O124" i="2"/>
  <c r="DF270" i="17"/>
  <c r="AB101" i="21"/>
  <c r="AB349" i="12"/>
  <c r="P107" i="20" l="1"/>
  <c r="AG107" i="20" s="1"/>
  <c r="P113" i="20"/>
  <c r="AG113" i="20" s="1"/>
  <c r="BF119" i="2"/>
  <c r="BF124" i="2"/>
  <c r="CR15" i="17"/>
  <c r="CQ15" i="17"/>
  <c r="CQ10" i="17"/>
  <c r="CR10" i="17"/>
  <c r="CO16" i="22" l="1"/>
  <c r="E119" i="2"/>
  <c r="CN16" i="22"/>
  <c r="CN21" i="22"/>
  <c r="CO21" i="22"/>
  <c r="AV119" i="2" l="1"/>
  <c r="F107" i="20"/>
  <c r="W107" i="20" s="1"/>
  <c r="AB367" i="12" l="1"/>
  <c r="DJ41" i="11"/>
  <c r="DJ67" i="11" s="1"/>
  <c r="DJ42" i="11"/>
  <c r="DJ50" i="11" l="1"/>
  <c r="DJ66" i="11"/>
  <c r="CW268" i="17" l="1"/>
  <c r="CS10" i="17"/>
  <c r="CT15" i="17"/>
  <c r="CS15" i="17"/>
  <c r="AC156" i="12" l="1"/>
  <c r="CT272" i="17"/>
  <c r="CQ21" i="22"/>
  <c r="G124" i="2"/>
  <c r="CP16" i="22"/>
  <c r="F119" i="2"/>
  <c r="CP21" i="22"/>
  <c r="F124" i="2"/>
  <c r="AW124" i="2" l="1"/>
  <c r="G113" i="20"/>
  <c r="X113" i="20" s="1"/>
  <c r="G107" i="20"/>
  <c r="X107" i="20" s="1"/>
  <c r="AW119" i="2"/>
  <c r="AX124" i="2"/>
  <c r="H113" i="20"/>
  <c r="Y113" i="20" s="1"/>
  <c r="AB30" i="8" l="1"/>
  <c r="AC47" i="8" l="1"/>
  <c r="AC70" i="8" s="1"/>
  <c r="AC58" i="8"/>
  <c r="AB29" i="8"/>
  <c r="AB188" i="8"/>
  <c r="AC195" i="8" s="1"/>
  <c r="AC202" i="8" s="1"/>
  <c r="I140" i="7"/>
  <c r="J140" i="7"/>
  <c r="K140" i="7"/>
  <c r="L140" i="7"/>
  <c r="M140" i="7"/>
  <c r="N140" i="7"/>
  <c r="O140" i="7"/>
  <c r="P140" i="7"/>
  <c r="Q140" i="7"/>
  <c r="R140" i="7"/>
  <c r="S140" i="7"/>
  <c r="Y140" i="7"/>
  <c r="Z140" i="7"/>
  <c r="AA140" i="7"/>
  <c r="AB140" i="7"/>
  <c r="AB142" i="7" s="1"/>
  <c r="AC140" i="7"/>
  <c r="AC142" i="7" s="1"/>
  <c r="H140" i="7"/>
  <c r="G140" i="7"/>
  <c r="AC157" i="7" l="1"/>
  <c r="AC149" i="7"/>
  <c r="AJ150" i="7" s="1"/>
  <c r="AC46" i="8"/>
  <c r="AC68" i="8" s="1"/>
  <c r="AC57" i="8"/>
  <c r="G771" i="7"/>
  <c r="I18" i="6"/>
  <c r="J18" i="6" s="1"/>
  <c r="G157" i="7"/>
  <c r="G142" i="7"/>
  <c r="BC140" i="7"/>
  <c r="AB157" i="7"/>
  <c r="BC157" i="7" s="1"/>
  <c r="EE18" i="6"/>
  <c r="AB771" i="7"/>
  <c r="BC771" i="7" s="1"/>
  <c r="AB149" i="7"/>
  <c r="BC142" i="7"/>
  <c r="Z157" i="7"/>
  <c r="Z771" i="7"/>
  <c r="DS18" i="6"/>
  <c r="Z149" i="7"/>
  <c r="Z142" i="7"/>
  <c r="X140" i="7"/>
  <c r="Y149" i="7" s="1"/>
  <c r="X239" i="1"/>
  <c r="V140" i="7"/>
  <c r="V239" i="1"/>
  <c r="T140" i="7"/>
  <c r="T239" i="1"/>
  <c r="BW18" i="6"/>
  <c r="R157" i="7"/>
  <c r="R771" i="7"/>
  <c r="R149" i="7"/>
  <c r="R142" i="7"/>
  <c r="BK18" i="6"/>
  <c r="P157" i="7"/>
  <c r="P771" i="7"/>
  <c r="P149" i="7"/>
  <c r="P142" i="7"/>
  <c r="AY18" i="6"/>
  <c r="N157" i="7"/>
  <c r="N771" i="7"/>
  <c r="N149" i="7"/>
  <c r="N142" i="7"/>
  <c r="AM18" i="6"/>
  <c r="L157" i="7"/>
  <c r="L771" i="7"/>
  <c r="L149" i="7"/>
  <c r="L142" i="7"/>
  <c r="AA18" i="6"/>
  <c r="J157" i="7"/>
  <c r="J771" i="7"/>
  <c r="J149" i="7"/>
  <c r="J142" i="7"/>
  <c r="O18" i="6"/>
  <c r="H157" i="7"/>
  <c r="H771" i="7"/>
  <c r="H149" i="7"/>
  <c r="H142" i="7"/>
  <c r="AA157" i="7"/>
  <c r="AA142" i="7"/>
  <c r="DY18" i="6"/>
  <c r="AA149" i="7"/>
  <c r="AA771" i="7"/>
  <c r="Y157" i="7"/>
  <c r="Y142" i="7"/>
  <c r="Y771" i="7"/>
  <c r="DM18" i="6"/>
  <c r="W140" i="7"/>
  <c r="W239" i="1"/>
  <c r="U140" i="7"/>
  <c r="U239" i="1"/>
  <c r="S142" i="7"/>
  <c r="S771" i="7"/>
  <c r="S157" i="7"/>
  <c r="CC18" i="6"/>
  <c r="S149" i="7"/>
  <c r="Q771" i="7"/>
  <c r="Q157" i="7"/>
  <c r="BQ18" i="6"/>
  <c r="Q149" i="7"/>
  <c r="Q142" i="7"/>
  <c r="O142" i="7"/>
  <c r="O771" i="7"/>
  <c r="O157" i="7"/>
  <c r="BE18" i="6"/>
  <c r="O149" i="7"/>
  <c r="M771" i="7"/>
  <c r="M157" i="7"/>
  <c r="AS18" i="6"/>
  <c r="M149" i="7"/>
  <c r="M142" i="7"/>
  <c r="AG18" i="6"/>
  <c r="K149" i="7"/>
  <c r="K142" i="7"/>
  <c r="K771" i="7"/>
  <c r="K157" i="7"/>
  <c r="I142" i="7"/>
  <c r="U18" i="6"/>
  <c r="I149" i="7"/>
  <c r="I771" i="7"/>
  <c r="I157" i="7"/>
  <c r="AD30" i="8"/>
  <c r="AB212" i="8"/>
  <c r="AB187" i="8"/>
  <c r="AC194" i="8" s="1"/>
  <c r="AC201" i="8" s="1"/>
  <c r="AH150" i="7" l="1"/>
  <c r="AD29" i="8"/>
  <c r="AS67" i="6"/>
  <c r="AT18" i="6"/>
  <c r="AT67" i="6" s="1"/>
  <c r="BE67" i="6"/>
  <c r="BF18" i="6"/>
  <c r="BF67" i="6" s="1"/>
  <c r="BQ67" i="6"/>
  <c r="BR18" i="6"/>
  <c r="BR67" i="6" s="1"/>
  <c r="CC67" i="6"/>
  <c r="CD18" i="6"/>
  <c r="CD67" i="6" s="1"/>
  <c r="O67" i="6"/>
  <c r="P18" i="6"/>
  <c r="P67" i="6" s="1"/>
  <c r="AM67" i="6"/>
  <c r="AN18" i="6"/>
  <c r="AN67" i="6" s="1"/>
  <c r="BK67" i="6"/>
  <c r="BL18" i="6"/>
  <c r="BL67" i="6" s="1"/>
  <c r="DS67" i="6"/>
  <c r="DT18" i="6"/>
  <c r="DT67" i="6" s="1"/>
  <c r="BC149" i="7"/>
  <c r="AI150" i="7"/>
  <c r="EK18" i="6"/>
  <c r="EK67" i="6" s="1"/>
  <c r="AD140" i="7"/>
  <c r="AC771" i="7"/>
  <c r="AD58" i="8"/>
  <c r="AE30" i="8"/>
  <c r="U67" i="6"/>
  <c r="V18" i="6"/>
  <c r="V67" i="6" s="1"/>
  <c r="AG67" i="6"/>
  <c r="AH18" i="6"/>
  <c r="AH67" i="6" s="1"/>
  <c r="U771" i="7"/>
  <c r="U157" i="7"/>
  <c r="CO18" i="6"/>
  <c r="U149" i="7"/>
  <c r="U142" i="7"/>
  <c r="W142" i="7"/>
  <c r="W771" i="7"/>
  <c r="W157" i="7"/>
  <c r="DA18" i="6"/>
  <c r="W149" i="7"/>
  <c r="DN18" i="6"/>
  <c r="DN67" i="6" s="1"/>
  <c r="DY67" i="6"/>
  <c r="DZ18" i="6"/>
  <c r="DZ67" i="6" s="1"/>
  <c r="AA67" i="6"/>
  <c r="AB18" i="6"/>
  <c r="AB67" i="6" s="1"/>
  <c r="AY67" i="6"/>
  <c r="AZ18" i="6"/>
  <c r="AZ67" i="6" s="1"/>
  <c r="BW67" i="6"/>
  <c r="BX18" i="6"/>
  <c r="BX67" i="6" s="1"/>
  <c r="CI18" i="6"/>
  <c r="T157" i="7"/>
  <c r="T771" i="7"/>
  <c r="T149" i="7"/>
  <c r="T142" i="7"/>
  <c r="CU18" i="6"/>
  <c r="V157" i="7"/>
  <c r="V771" i="7"/>
  <c r="V149" i="7"/>
  <c r="V142" i="7"/>
  <c r="X157" i="7"/>
  <c r="DG18" i="6"/>
  <c r="DM67" i="6" s="1"/>
  <c r="X149" i="7"/>
  <c r="X771" i="7"/>
  <c r="X142" i="7"/>
  <c r="EE67" i="6"/>
  <c r="EF18" i="6"/>
  <c r="EF67" i="6" s="1"/>
  <c r="AE58" i="8" l="1"/>
  <c r="AF30" i="8"/>
  <c r="AF58" i="8" s="1"/>
  <c r="CU67" i="6"/>
  <c r="CV18" i="6"/>
  <c r="CV67" i="6" s="1"/>
  <c r="CI67" i="6"/>
  <c r="CJ18" i="6"/>
  <c r="CJ67" i="6" s="1"/>
  <c r="DA67" i="6"/>
  <c r="DB18" i="6"/>
  <c r="DB67" i="6" s="1"/>
  <c r="CO67" i="6"/>
  <c r="CP18" i="6"/>
  <c r="CP67" i="6" s="1"/>
  <c r="DG67" i="6"/>
  <c r="DH18" i="6"/>
  <c r="DH67" i="6" s="1"/>
  <c r="AE140" i="7"/>
  <c r="AF140" i="7" s="1"/>
  <c r="FC18" i="6" s="1"/>
  <c r="EQ18" i="6"/>
  <c r="EQ67" i="6" s="1"/>
  <c r="AD771" i="7"/>
  <c r="AE29" i="8"/>
  <c r="AF29" i="8" s="1"/>
  <c r="AD31" i="8"/>
  <c r="E163" i="2" s="1"/>
  <c r="AV163" i="2" s="1"/>
  <c r="AD57" i="8"/>
  <c r="AC49" i="21"/>
  <c r="H30" i="8"/>
  <c r="I30" i="8"/>
  <c r="J30" i="8"/>
  <c r="K30" i="8"/>
  <c r="L30" i="8"/>
  <c r="M30" i="8"/>
  <c r="N30" i="8"/>
  <c r="O30" i="8"/>
  <c r="P30" i="8"/>
  <c r="Q30" i="8"/>
  <c r="R30" i="8"/>
  <c r="S30" i="8"/>
  <c r="T30" i="8"/>
  <c r="U30" i="8"/>
  <c r="V30" i="8"/>
  <c r="W30" i="8"/>
  <c r="X30" i="8"/>
  <c r="Y30" i="8"/>
  <c r="Z30" i="8"/>
  <c r="G30" i="8"/>
  <c r="AF771" i="7" l="1"/>
  <c r="AF57" i="8"/>
  <c r="AF31" i="8"/>
  <c r="AF49" i="21" s="1"/>
  <c r="G188" i="8"/>
  <c r="G212" i="8" s="1"/>
  <c r="G29" i="8"/>
  <c r="G187" i="8" s="1"/>
  <c r="Z29" i="8"/>
  <c r="Z188" i="8"/>
  <c r="Z47" i="8"/>
  <c r="Z70" i="8" s="1"/>
  <c r="Z58" i="8"/>
  <c r="X29" i="8"/>
  <c r="X188" i="8"/>
  <c r="X47" i="8"/>
  <c r="X70" i="8" s="1"/>
  <c r="X58" i="8"/>
  <c r="V29" i="8"/>
  <c r="V188" i="8"/>
  <c r="V47" i="8"/>
  <c r="V70" i="8" s="1"/>
  <c r="V58" i="8"/>
  <c r="T29" i="8"/>
  <c r="T188" i="8"/>
  <c r="T47" i="8"/>
  <c r="T70" i="8" s="1"/>
  <c r="T58" i="8"/>
  <c r="R29" i="8"/>
  <c r="R188" i="8"/>
  <c r="R47" i="8"/>
  <c r="R70" i="8" s="1"/>
  <c r="R58" i="8"/>
  <c r="P29" i="8"/>
  <c r="P188" i="8"/>
  <c r="P47" i="8"/>
  <c r="P70" i="8" s="1"/>
  <c r="P58" i="8"/>
  <c r="N29" i="8"/>
  <c r="N188" i="8"/>
  <c r="N47" i="8"/>
  <c r="N70" i="8" s="1"/>
  <c r="N58" i="8"/>
  <c r="L29" i="8"/>
  <c r="L188" i="8"/>
  <c r="L47" i="8"/>
  <c r="L70" i="8" s="1"/>
  <c r="L58" i="8"/>
  <c r="J29" i="8"/>
  <c r="J188" i="8"/>
  <c r="J47" i="8"/>
  <c r="J70" i="8" s="1"/>
  <c r="J58" i="8"/>
  <c r="H29" i="8"/>
  <c r="H188" i="8"/>
  <c r="H47" i="8"/>
  <c r="H70" i="8" s="1"/>
  <c r="H58" i="8"/>
  <c r="AC45" i="21"/>
  <c r="AD48" i="8"/>
  <c r="AD76" i="8"/>
  <c r="AD49" i="21"/>
  <c r="AD59" i="8"/>
  <c r="AD33" i="8"/>
  <c r="E159" i="2" s="1"/>
  <c r="EW18" i="6"/>
  <c r="FC67" i="6" s="1"/>
  <c r="AE771" i="7"/>
  <c r="AA30" i="8"/>
  <c r="Y188" i="8"/>
  <c r="Y58" i="8"/>
  <c r="Y29" i="8"/>
  <c r="Y47" i="8"/>
  <c r="Y70" i="8" s="1"/>
  <c r="W188" i="8"/>
  <c r="W58" i="8"/>
  <c r="W47" i="8"/>
  <c r="W70" i="8" s="1"/>
  <c r="W29" i="8"/>
  <c r="U188" i="8"/>
  <c r="U58" i="8"/>
  <c r="U29" i="8"/>
  <c r="U47" i="8"/>
  <c r="U70" i="8" s="1"/>
  <c r="S188" i="8"/>
  <c r="S58" i="8"/>
  <c r="S47" i="8"/>
  <c r="S70" i="8" s="1"/>
  <c r="S29" i="8"/>
  <c r="Q188" i="8"/>
  <c r="Q58" i="8"/>
  <c r="Q29" i="8"/>
  <c r="Q47" i="8"/>
  <c r="Q70" i="8" s="1"/>
  <c r="O188" i="8"/>
  <c r="O58" i="8"/>
  <c r="O47" i="8"/>
  <c r="O70" i="8" s="1"/>
  <c r="O29" i="8"/>
  <c r="M188" i="8"/>
  <c r="M58" i="8"/>
  <c r="M29" i="8"/>
  <c r="M47" i="8"/>
  <c r="M70" i="8" s="1"/>
  <c r="K188" i="8"/>
  <c r="K58" i="8"/>
  <c r="K47" i="8"/>
  <c r="K70" i="8" s="1"/>
  <c r="K29" i="8"/>
  <c r="I188" i="8"/>
  <c r="I58" i="8"/>
  <c r="I29" i="8"/>
  <c r="I47" i="8"/>
  <c r="I70" i="8" s="1"/>
  <c r="AE57" i="8"/>
  <c r="AE31" i="8"/>
  <c r="F163" i="2" s="1"/>
  <c r="AW163" i="2" s="1"/>
  <c r="EW67" i="6" l="1"/>
  <c r="AF76" i="8"/>
  <c r="AF59" i="8"/>
  <c r="AF48" i="8"/>
  <c r="AF33" i="8"/>
  <c r="AF45" i="21" s="1"/>
  <c r="N71" i="8"/>
  <c r="R71" i="8"/>
  <c r="V71" i="8"/>
  <c r="Z71" i="8"/>
  <c r="I46" i="8"/>
  <c r="I68" i="8" s="1"/>
  <c r="I187" i="8"/>
  <c r="I57" i="8"/>
  <c r="AE49" i="21"/>
  <c r="AE33" i="8"/>
  <c r="F159" i="2" s="1"/>
  <c r="AE76" i="8"/>
  <c r="G163" i="2"/>
  <c r="AX163" i="2" s="1"/>
  <c r="AE48" i="8"/>
  <c r="AE59" i="8"/>
  <c r="L71" i="8"/>
  <c r="K187" i="8"/>
  <c r="K46" i="8"/>
  <c r="K68" i="8" s="1"/>
  <c r="K57" i="8"/>
  <c r="P71" i="8"/>
  <c r="O187" i="8"/>
  <c r="O46" i="8"/>
  <c r="O68" i="8" s="1"/>
  <c r="O57" i="8"/>
  <c r="T71" i="8"/>
  <c r="S187" i="8"/>
  <c r="S46" i="8"/>
  <c r="S68" i="8" s="1"/>
  <c r="S57" i="8"/>
  <c r="X71" i="8"/>
  <c r="W187" i="8"/>
  <c r="W46" i="8"/>
  <c r="W68" i="8" s="1"/>
  <c r="W57" i="8"/>
  <c r="AA188" i="8"/>
  <c r="AA58" i="8"/>
  <c r="AA29" i="8"/>
  <c r="AA47" i="8"/>
  <c r="AA70" i="8" s="1"/>
  <c r="AB47" i="8"/>
  <c r="AB70" i="8" s="1"/>
  <c r="AB58" i="8"/>
  <c r="AD45" i="21"/>
  <c r="AD243" i="8"/>
  <c r="AD239" i="8" s="1"/>
  <c r="AD50" i="8"/>
  <c r="AD99" i="8"/>
  <c r="AD61" i="8"/>
  <c r="AD35" i="8"/>
  <c r="E179" i="2" s="1"/>
  <c r="AC55" i="21"/>
  <c r="AV159" i="2"/>
  <c r="I279" i="20"/>
  <c r="Z279" i="20" s="1"/>
  <c r="H279" i="20"/>
  <c r="Y279" i="20" s="1"/>
  <c r="F31" i="20"/>
  <c r="W31" i="20" s="1"/>
  <c r="AC56" i="21"/>
  <c r="H212" i="8"/>
  <c r="H195" i="8"/>
  <c r="H202" i="8" s="1"/>
  <c r="J212" i="8"/>
  <c r="J195" i="8"/>
  <c r="J202" i="8" s="1"/>
  <c r="L212" i="8"/>
  <c r="L195" i="8"/>
  <c r="L202" i="8" s="1"/>
  <c r="N212" i="8"/>
  <c r="N195" i="8"/>
  <c r="N202" i="8" s="1"/>
  <c r="P212" i="8"/>
  <c r="P195" i="8"/>
  <c r="P202" i="8" s="1"/>
  <c r="R212" i="8"/>
  <c r="R195" i="8"/>
  <c r="R202" i="8" s="1"/>
  <c r="T212" i="8"/>
  <c r="T195" i="8"/>
  <c r="T202" i="8" s="1"/>
  <c r="V212" i="8"/>
  <c r="V195" i="8"/>
  <c r="V202" i="8" s="1"/>
  <c r="X212" i="8"/>
  <c r="X195" i="8"/>
  <c r="X202" i="8" s="1"/>
  <c r="Z212" i="8"/>
  <c r="Z195" i="8"/>
  <c r="Z202" i="8" s="1"/>
  <c r="I195" i="8"/>
  <c r="I202" i="8" s="1"/>
  <c r="I212" i="8"/>
  <c r="K195" i="8"/>
  <c r="K202" i="8" s="1"/>
  <c r="K212" i="8"/>
  <c r="M57" i="8"/>
  <c r="M46" i="8"/>
  <c r="M68" i="8" s="1"/>
  <c r="M187" i="8"/>
  <c r="M195" i="8"/>
  <c r="M202" i="8" s="1"/>
  <c r="M212" i="8"/>
  <c r="O195" i="8"/>
  <c r="O202" i="8" s="1"/>
  <c r="O212" i="8"/>
  <c r="Q46" i="8"/>
  <c r="Q68" i="8" s="1"/>
  <c r="Q187" i="8"/>
  <c r="Q57" i="8"/>
  <c r="Q195" i="8"/>
  <c r="Q202" i="8" s="1"/>
  <c r="Q212" i="8"/>
  <c r="S195" i="8"/>
  <c r="S202" i="8" s="1"/>
  <c r="S212" i="8"/>
  <c r="U57" i="8"/>
  <c r="U46" i="8"/>
  <c r="U68" i="8" s="1"/>
  <c r="U187" i="8"/>
  <c r="U195" i="8"/>
  <c r="U202" i="8" s="1"/>
  <c r="U212" i="8"/>
  <c r="W195" i="8"/>
  <c r="W202" i="8" s="1"/>
  <c r="W212" i="8"/>
  <c r="Y46" i="8"/>
  <c r="Y68" i="8" s="1"/>
  <c r="Y187" i="8"/>
  <c r="Y57" i="8"/>
  <c r="Y195" i="8"/>
  <c r="Y202" i="8" s="1"/>
  <c r="Y212" i="8"/>
  <c r="AD101" i="8"/>
  <c r="AD81" i="8"/>
  <c r="AD78" i="8"/>
  <c r="E183" i="2" s="1"/>
  <c r="K71" i="8"/>
  <c r="H187" i="8"/>
  <c r="H194" i="8" s="1"/>
  <c r="H201" i="8" s="1"/>
  <c r="H46" i="8"/>
  <c r="H68" i="8" s="1"/>
  <c r="H57" i="8"/>
  <c r="M71" i="8"/>
  <c r="J187" i="8"/>
  <c r="J46" i="8"/>
  <c r="J68" i="8" s="1"/>
  <c r="J57" i="8"/>
  <c r="O71" i="8"/>
  <c r="L187" i="8"/>
  <c r="L46" i="8"/>
  <c r="L68" i="8" s="1"/>
  <c r="L57" i="8"/>
  <c r="Q71" i="8"/>
  <c r="N187" i="8"/>
  <c r="N57" i="8"/>
  <c r="N46" i="8"/>
  <c r="N68" i="8" s="1"/>
  <c r="S71" i="8"/>
  <c r="P187" i="8"/>
  <c r="P46" i="8"/>
  <c r="P68" i="8" s="1"/>
  <c r="P57" i="8"/>
  <c r="U71" i="8"/>
  <c r="R187" i="8"/>
  <c r="R46" i="8"/>
  <c r="R68" i="8" s="1"/>
  <c r="R57" i="8"/>
  <c r="W71" i="8"/>
  <c r="T187" i="8"/>
  <c r="T46" i="8"/>
  <c r="T68" i="8" s="1"/>
  <c r="T57" i="8"/>
  <c r="Y71" i="8"/>
  <c r="V187" i="8"/>
  <c r="V57" i="8"/>
  <c r="V46" i="8"/>
  <c r="V68" i="8" s="1"/>
  <c r="X187" i="8"/>
  <c r="X46" i="8"/>
  <c r="X68" i="8" s="1"/>
  <c r="X57" i="8"/>
  <c r="Z187" i="8"/>
  <c r="Z46" i="8"/>
  <c r="Z68" i="8" s="1"/>
  <c r="Z57" i="8"/>
  <c r="AF243" i="8" l="1"/>
  <c r="AF61" i="8"/>
  <c r="AF50" i="8"/>
  <c r="AF35" i="8"/>
  <c r="AF55" i="21" s="1"/>
  <c r="AF99" i="8"/>
  <c r="AF81" i="8"/>
  <c r="AF78" i="8"/>
  <c r="AF101" i="8"/>
  <c r="V194" i="8"/>
  <c r="V201" i="8" s="1"/>
  <c r="T194" i="8"/>
  <c r="T201" i="8" s="1"/>
  <c r="P194" i="8"/>
  <c r="P201" i="8" s="1"/>
  <c r="L194" i="8"/>
  <c r="L201" i="8" s="1"/>
  <c r="R194" i="8"/>
  <c r="R201" i="8" s="1"/>
  <c r="X194" i="8"/>
  <c r="X201" i="8" s="1"/>
  <c r="J194" i="8"/>
  <c r="J201" i="8" s="1"/>
  <c r="AC71" i="8"/>
  <c r="Z194" i="8"/>
  <c r="Z201" i="8" s="1"/>
  <c r="AA71" i="8"/>
  <c r="N194" i="8"/>
  <c r="N201" i="8" s="1"/>
  <c r="W69" i="8"/>
  <c r="O69" i="8"/>
  <c r="Y69" i="8"/>
  <c r="Q69" i="8"/>
  <c r="AD56" i="21"/>
  <c r="AD83" i="8"/>
  <c r="Y194" i="8"/>
  <c r="Y201" i="8" s="1"/>
  <c r="U194" i="8"/>
  <c r="U201" i="8" s="1"/>
  <c r="Q194" i="8"/>
  <c r="Q201" i="8" s="1"/>
  <c r="M194" i="8"/>
  <c r="M201" i="8" s="1"/>
  <c r="G309" i="20"/>
  <c r="X309" i="20" s="1"/>
  <c r="H309" i="20"/>
  <c r="Y309" i="20" s="1"/>
  <c r="G307" i="20"/>
  <c r="X307" i="20" s="1"/>
  <c r="G310" i="20"/>
  <c r="X310" i="20" s="1"/>
  <c r="H307" i="20"/>
  <c r="Y307" i="20" s="1"/>
  <c r="AV179" i="2"/>
  <c r="AB71" i="8"/>
  <c r="Z69" i="8"/>
  <c r="V69" i="8"/>
  <c r="R69" i="8"/>
  <c r="N69" i="8"/>
  <c r="AE78" i="8"/>
  <c r="F183" i="2" s="1"/>
  <c r="AE101" i="8"/>
  <c r="AE81" i="8"/>
  <c r="I194" i="8"/>
  <c r="I201" i="8" s="1"/>
  <c r="U69" i="8"/>
  <c r="S69" i="8"/>
  <c r="M69" i="8"/>
  <c r="K69" i="8"/>
  <c r="X69" i="8"/>
  <c r="T69" i="8"/>
  <c r="P69" i="8"/>
  <c r="H308" i="20"/>
  <c r="Y308" i="20" s="1"/>
  <c r="AV183" i="2"/>
  <c r="G308" i="20"/>
  <c r="X308" i="20" s="1"/>
  <c r="AD55" i="21"/>
  <c r="AD63" i="8"/>
  <c r="AD36" i="8"/>
  <c r="AD52" i="8"/>
  <c r="G31" i="20"/>
  <c r="X31" i="20" s="1"/>
  <c r="AW159" i="2"/>
  <c r="J279" i="20"/>
  <c r="AA279" i="20" s="1"/>
  <c r="K279" i="20"/>
  <c r="AB279" i="20" s="1"/>
  <c r="AA57" i="8"/>
  <c r="AA46" i="8"/>
  <c r="AA68" i="8" s="1"/>
  <c r="AA187" i="8"/>
  <c r="AB57" i="8"/>
  <c r="AB46" i="8"/>
  <c r="AB68" i="8" s="1"/>
  <c r="AA212" i="8"/>
  <c r="AA195" i="8"/>
  <c r="AA202" i="8" s="1"/>
  <c r="AB195" i="8"/>
  <c r="AB202" i="8" s="1"/>
  <c r="W194" i="8"/>
  <c r="W201" i="8" s="1"/>
  <c r="S194" i="8"/>
  <c r="S201" i="8" s="1"/>
  <c r="O194" i="8"/>
  <c r="O201" i="8" s="1"/>
  <c r="K194" i="8"/>
  <c r="K201" i="8" s="1"/>
  <c r="AE45" i="21"/>
  <c r="AE50" i="8"/>
  <c r="AE35" i="8"/>
  <c r="F179" i="2" s="1"/>
  <c r="AE61" i="8"/>
  <c r="AE243" i="8"/>
  <c r="AE239" i="8" s="1"/>
  <c r="AE99" i="8"/>
  <c r="G159" i="2"/>
  <c r="L69" i="8"/>
  <c r="J308" i="20" l="1"/>
  <c r="AA308" i="20" s="1"/>
  <c r="AF83" i="8"/>
  <c r="AF56" i="21"/>
  <c r="AF63" i="8"/>
  <c r="AF52" i="8"/>
  <c r="AF36" i="8"/>
  <c r="AF239" i="8"/>
  <c r="AC69" i="8"/>
  <c r="I307" i="20"/>
  <c r="Z307" i="20" s="1"/>
  <c r="AW179" i="2"/>
  <c r="I310" i="20"/>
  <c r="Z310" i="20" s="1"/>
  <c r="J307" i="20"/>
  <c r="AA307" i="20" s="1"/>
  <c r="J309" i="20"/>
  <c r="AA309" i="20" s="1"/>
  <c r="I309" i="20"/>
  <c r="Z309" i="20" s="1"/>
  <c r="AE56" i="21"/>
  <c r="AE83" i="8"/>
  <c r="G183" i="2"/>
  <c r="AX183" i="2" s="1"/>
  <c r="I308" i="20"/>
  <c r="Z308" i="20" s="1"/>
  <c r="AW183" i="2"/>
  <c r="L279" i="20"/>
  <c r="AC279" i="20" s="1"/>
  <c r="H31" i="20"/>
  <c r="Y31" i="20" s="1"/>
  <c r="M279" i="20"/>
  <c r="AD279" i="20" s="1"/>
  <c r="AX159" i="2"/>
  <c r="AE55" i="21"/>
  <c r="AE63" i="8"/>
  <c r="AE52" i="8"/>
  <c r="AE36" i="8"/>
  <c r="G179" i="2"/>
  <c r="AA194" i="8"/>
  <c r="AA201" i="8" s="1"/>
  <c r="AB194" i="8"/>
  <c r="AB201" i="8" s="1"/>
  <c r="AB69" i="8"/>
  <c r="AA69" i="8"/>
  <c r="L308" i="20" l="1"/>
  <c r="AC308" i="20" s="1"/>
  <c r="K308" i="20"/>
  <c r="AB308" i="20" s="1"/>
  <c r="K310" i="20"/>
  <c r="AB310" i="20" s="1"/>
  <c r="AX179" i="2"/>
  <c r="K307" i="20"/>
  <c r="AB307" i="20" s="1"/>
  <c r="L307" i="20"/>
  <c r="AC307" i="20" s="1"/>
  <c r="L309" i="20"/>
  <c r="AC309" i="20" s="1"/>
  <c r="K309" i="20"/>
  <c r="AB309" i="20" s="1"/>
  <c r="Z133" i="8" l="1"/>
  <c r="Y133" i="8"/>
  <c r="X133" i="8"/>
  <c r="W133" i="8"/>
  <c r="V133" i="8"/>
  <c r="U133" i="8"/>
  <c r="T133" i="8"/>
  <c r="S133" i="8"/>
  <c r="R133" i="8"/>
  <c r="Q133" i="8"/>
  <c r="P133" i="8"/>
  <c r="O133" i="8"/>
  <c r="N133" i="8"/>
  <c r="M133" i="8"/>
  <c r="L133" i="8"/>
  <c r="K133" i="8"/>
  <c r="J133" i="8"/>
  <c r="I133" i="8"/>
  <c r="H133" i="8"/>
  <c r="G133" i="8"/>
  <c r="AC231" i="1"/>
  <c r="AC215" i="8" s="1"/>
  <c r="AB231" i="1"/>
  <c r="AB215" i="8" s="1"/>
  <c r="AA231" i="1"/>
  <c r="AA215" i="8" s="1"/>
  <c r="Z231" i="1"/>
  <c r="Z215" i="8" s="1"/>
  <c r="Y231" i="1"/>
  <c r="Y215" i="8" s="1"/>
  <c r="X231" i="1"/>
  <c r="X215" i="8" s="1"/>
  <c r="W231" i="1"/>
  <c r="W215" i="8" s="1"/>
  <c r="V231" i="1"/>
  <c r="V215" i="8" s="1"/>
  <c r="U231" i="1"/>
  <c r="U215" i="8" s="1"/>
  <c r="T231" i="1"/>
  <c r="T215" i="8" s="1"/>
  <c r="S231" i="1"/>
  <c r="S215" i="8" s="1"/>
  <c r="R231" i="1"/>
  <c r="R215" i="8" s="1"/>
  <c r="Q231" i="1"/>
  <c r="Q215" i="8" s="1"/>
  <c r="P231" i="1"/>
  <c r="P215" i="8" s="1"/>
  <c r="O231" i="1"/>
  <c r="O215" i="8" s="1"/>
  <c r="N231" i="1"/>
  <c r="N215" i="8" s="1"/>
  <c r="M231" i="1"/>
  <c r="M215" i="8" s="1"/>
  <c r="L231" i="1"/>
  <c r="L215" i="8" s="1"/>
  <c r="K231" i="1"/>
  <c r="K215" i="8" s="1"/>
  <c r="J231" i="1"/>
  <c r="J215" i="8" s="1"/>
  <c r="I231" i="1"/>
  <c r="I215" i="8" s="1"/>
  <c r="H231" i="1"/>
  <c r="H215" i="8" s="1"/>
  <c r="AC520" i="7"/>
  <c r="AB520" i="7"/>
  <c r="AA520" i="7"/>
  <c r="Z520" i="7"/>
  <c r="Y520" i="7"/>
  <c r="X520" i="7"/>
  <c r="W520" i="7"/>
  <c r="V520" i="7"/>
  <c r="U520" i="7"/>
  <c r="T520" i="7"/>
  <c r="S520" i="7"/>
  <c r="R520" i="7"/>
  <c r="Q520" i="7"/>
  <c r="P520" i="7"/>
  <c r="O520" i="7"/>
  <c r="N520" i="7"/>
  <c r="M520" i="7"/>
  <c r="L520" i="7"/>
  <c r="K520" i="7"/>
  <c r="J520" i="7"/>
  <c r="I520" i="7"/>
  <c r="H520" i="7"/>
  <c r="G520" i="7"/>
  <c r="AC488" i="7"/>
  <c r="AB488" i="7"/>
  <c r="AA488" i="7"/>
  <c r="Z488" i="7"/>
  <c r="X488" i="7"/>
  <c r="W488" i="7"/>
  <c r="V488" i="7"/>
  <c r="U488" i="7"/>
  <c r="T488" i="7"/>
  <c r="S488" i="7"/>
  <c r="R488" i="7"/>
  <c r="Q488" i="7"/>
  <c r="P488" i="7"/>
  <c r="O488" i="7"/>
  <c r="N488" i="7"/>
  <c r="M488" i="7"/>
  <c r="L488" i="7"/>
  <c r="K488" i="7"/>
  <c r="J488" i="7"/>
  <c r="I488" i="7"/>
  <c r="H488" i="7"/>
  <c r="AC250" i="1"/>
  <c r="AA250" i="1"/>
  <c r="Z250" i="1"/>
  <c r="Y250" i="1"/>
  <c r="Y299" i="7" s="1"/>
  <c r="X250" i="1"/>
  <c r="X299" i="7" s="1"/>
  <c r="W250" i="1"/>
  <c r="W299" i="7" s="1"/>
  <c r="V250" i="1"/>
  <c r="V299" i="7" s="1"/>
  <c r="U250" i="1"/>
  <c r="U299" i="7" s="1"/>
  <c r="T250" i="1"/>
  <c r="T299" i="7" s="1"/>
  <c r="S250" i="1"/>
  <c r="S299" i="7" s="1"/>
  <c r="R250" i="1"/>
  <c r="R299" i="7" s="1"/>
  <c r="Q250" i="1"/>
  <c r="Q299" i="7" s="1"/>
  <c r="P250" i="1"/>
  <c r="P299" i="7" s="1"/>
  <c r="O250" i="1"/>
  <c r="O299" i="7" s="1"/>
  <c r="N250" i="1"/>
  <c r="N299" i="7" s="1"/>
  <c r="M250" i="1"/>
  <c r="M299" i="7" s="1"/>
  <c r="L250" i="1"/>
  <c r="L299" i="7" s="1"/>
  <c r="K250" i="1"/>
  <c r="K299" i="7" s="1"/>
  <c r="J250" i="1"/>
  <c r="J299" i="7" s="1"/>
  <c r="I250" i="1"/>
  <c r="I299" i="7" s="1"/>
  <c r="H250" i="1"/>
  <c r="H299" i="7" s="1"/>
  <c r="AC246" i="1"/>
  <c r="AC256" i="7" s="1"/>
  <c r="AB246" i="1"/>
  <c r="AB256" i="7" s="1"/>
  <c r="AA246" i="1"/>
  <c r="AA256" i="7" s="1"/>
  <c r="Z246" i="1"/>
  <c r="Z256" i="7" s="1"/>
  <c r="Y246" i="1"/>
  <c r="Y256" i="7" s="1"/>
  <c r="X246" i="1"/>
  <c r="X256" i="7" s="1"/>
  <c r="W246" i="1"/>
  <c r="W256" i="7" s="1"/>
  <c r="V246" i="1"/>
  <c r="V256" i="7" s="1"/>
  <c r="U246" i="1"/>
  <c r="U256" i="7" s="1"/>
  <c r="T246" i="1"/>
  <c r="T256" i="7" s="1"/>
  <c r="S246" i="1"/>
  <c r="S256" i="7" s="1"/>
  <c r="Q246" i="1"/>
  <c r="Q256" i="7" s="1"/>
  <c r="P246" i="1"/>
  <c r="P256" i="7" s="1"/>
  <c r="O246" i="1"/>
  <c r="O256" i="7" s="1"/>
  <c r="M246" i="1"/>
  <c r="M256" i="7" s="1"/>
  <c r="L246" i="1"/>
  <c r="L256" i="7" s="1"/>
  <c r="K246" i="1"/>
  <c r="K256" i="7" s="1"/>
  <c r="J246" i="1"/>
  <c r="J256" i="7" s="1"/>
  <c r="I246" i="1"/>
  <c r="I256" i="7" s="1"/>
  <c r="H246" i="1"/>
  <c r="H256" i="7" s="1"/>
  <c r="G254" i="1"/>
  <c r="G327" i="7" s="1"/>
  <c r="G250" i="1"/>
  <c r="G299" i="7" s="1"/>
  <c r="N49" i="7"/>
  <c r="M49" i="7"/>
  <c r="L49" i="7"/>
  <c r="K49" i="7"/>
  <c r="J49" i="7"/>
  <c r="I49" i="7"/>
  <c r="H49" i="7"/>
  <c r="G49" i="7"/>
  <c r="AC12" i="7"/>
  <c r="AI18" i="7" s="1"/>
  <c r="AI20" i="7" s="1"/>
  <c r="AB12" i="7"/>
  <c r="AH18" i="7" s="1"/>
  <c r="AH20" i="7" s="1"/>
  <c r="AA12" i="7"/>
  <c r="AA34" i="7" s="1"/>
  <c r="AA38" i="7" s="1"/>
  <c r="Z12" i="7"/>
  <c r="Z34" i="7" s="1"/>
  <c r="Y12" i="7"/>
  <c r="Y34" i="7" s="1"/>
  <c r="Y38" i="7" s="1"/>
  <c r="X12" i="7"/>
  <c r="X34" i="7" s="1"/>
  <c r="W12" i="7"/>
  <c r="V12" i="7"/>
  <c r="U12" i="7"/>
  <c r="T12" i="7"/>
  <c r="S12" i="7"/>
  <c r="R12" i="7"/>
  <c r="Q12" i="7"/>
  <c r="P12" i="7"/>
  <c r="O12" i="7"/>
  <c r="N12" i="7"/>
  <c r="M12" i="7"/>
  <c r="L12" i="7"/>
  <c r="K12" i="7"/>
  <c r="J12" i="7"/>
  <c r="I12" i="7"/>
  <c r="H12" i="7"/>
  <c r="G12" i="7"/>
  <c r="R246" i="1" l="1"/>
  <c r="R256" i="7" s="1"/>
  <c r="AB250" i="1"/>
  <c r="G246" i="1"/>
  <c r="G256" i="7" s="1"/>
  <c r="I24" i="6" s="1"/>
  <c r="E24" i="6" s="1"/>
  <c r="N246" i="1"/>
  <c r="N256" i="7" s="1"/>
  <c r="N268" i="7" s="1"/>
  <c r="AI21" i="7"/>
  <c r="AD21" i="7" s="1"/>
  <c r="W301" i="7"/>
  <c r="DA32" i="6"/>
  <c r="CW32" i="6" s="1"/>
  <c r="DB32" i="6" s="1"/>
  <c r="DB81" i="6" s="1"/>
  <c r="W781" i="7"/>
  <c r="W314" i="7"/>
  <c r="X301" i="7"/>
  <c r="DG32" i="6"/>
  <c r="X781" i="7"/>
  <c r="X307" i="7"/>
  <c r="X314" i="7"/>
  <c r="Y301" i="7"/>
  <c r="Y307" i="7"/>
  <c r="Y314" i="7"/>
  <c r="Y781" i="7"/>
  <c r="Z307" i="7"/>
  <c r="DM32" i="6"/>
  <c r="AC692" i="7"/>
  <c r="AC697" i="7" s="1"/>
  <c r="AC699" i="7" s="1"/>
  <c r="AC770" i="7"/>
  <c r="AC30" i="7"/>
  <c r="AC34" i="7"/>
  <c r="AC38" i="7" s="1"/>
  <c r="Y282" i="7"/>
  <c r="Y260" i="7"/>
  <c r="AC282" i="7"/>
  <c r="AC260" i="7"/>
  <c r="O301" i="7"/>
  <c r="O781" i="7"/>
  <c r="BE32" i="6"/>
  <c r="BA32" i="6" s="1"/>
  <c r="BF32" i="6" s="1"/>
  <c r="BF81" i="6" s="1"/>
  <c r="O314" i="7"/>
  <c r="S301" i="7"/>
  <c r="S781" i="7"/>
  <c r="S314" i="7"/>
  <c r="CC32" i="6"/>
  <c r="S307" i="7"/>
  <c r="AA527" i="7"/>
  <c r="AA533" i="7"/>
  <c r="AA521" i="7"/>
  <c r="DY45" i="6"/>
  <c r="AA790" i="7"/>
  <c r="AC527" i="7"/>
  <c r="AC533" i="7"/>
  <c r="AC521" i="7"/>
  <c r="AC790" i="7"/>
  <c r="AC768" i="7"/>
  <c r="Y35" i="7"/>
  <c r="Y36" i="7" s="1"/>
  <c r="X38" i="7"/>
  <c r="AA35" i="7"/>
  <c r="AA36" i="7" s="1"/>
  <c r="Z35" i="7"/>
  <c r="Z36" i="7" s="1"/>
  <c r="Z38" i="7"/>
  <c r="AB30" i="7"/>
  <c r="BC30" i="7" s="1"/>
  <c r="AB34" i="7"/>
  <c r="X282" i="7"/>
  <c r="X260" i="7"/>
  <c r="Z282" i="7"/>
  <c r="Z260" i="7"/>
  <c r="AB282" i="7"/>
  <c r="BC282" i="7" s="1"/>
  <c r="AB260" i="7"/>
  <c r="BC260" i="7" s="1"/>
  <c r="P301" i="7"/>
  <c r="P781" i="7"/>
  <c r="P307" i="7"/>
  <c r="BK32" i="6"/>
  <c r="P314" i="7"/>
  <c r="R301" i="7"/>
  <c r="R781" i="7"/>
  <c r="R307" i="7"/>
  <c r="BW32" i="6"/>
  <c r="R314" i="7"/>
  <c r="T301" i="7"/>
  <c r="T781" i="7"/>
  <c r="T307" i="7"/>
  <c r="CI32" i="6"/>
  <c r="T314" i="7"/>
  <c r="V301" i="7"/>
  <c r="V781" i="7"/>
  <c r="V307" i="7"/>
  <c r="CU32" i="6"/>
  <c r="V314" i="7"/>
  <c r="W307" i="7"/>
  <c r="AA500" i="7"/>
  <c r="AA511" i="7"/>
  <c r="AA489" i="7"/>
  <c r="AA789" i="7"/>
  <c r="DY40" i="6"/>
  <c r="DZ40" i="6" s="1"/>
  <c r="DZ89" i="6" s="1"/>
  <c r="AC500" i="7"/>
  <c r="AC511" i="7"/>
  <c r="AC489" i="7"/>
  <c r="AC789" i="7"/>
  <c r="AC791" i="7" s="1"/>
  <c r="AC793" i="7" s="1"/>
  <c r="AD500" i="7"/>
  <c r="EK40" i="6"/>
  <c r="X527" i="7"/>
  <c r="X533" i="7"/>
  <c r="Z527" i="7"/>
  <c r="Z533" i="7"/>
  <c r="Z521" i="7"/>
  <c r="DS45" i="6"/>
  <c r="DT45" i="6" s="1"/>
  <c r="DT94" i="6" s="1"/>
  <c r="Z790" i="7"/>
  <c r="AB527" i="7"/>
  <c r="BC527" i="7" s="1"/>
  <c r="AB533" i="7"/>
  <c r="BC533" i="7" s="1"/>
  <c r="AB521" i="7"/>
  <c r="BC521" i="7" s="1"/>
  <c r="BC520" i="7"/>
  <c r="EE45" i="6"/>
  <c r="AB790" i="7"/>
  <c r="BC790" i="7" s="1"/>
  <c r="AA282" i="7"/>
  <c r="AA260" i="7"/>
  <c r="Q301" i="7"/>
  <c r="BQ32" i="6"/>
  <c r="Q781" i="7"/>
  <c r="Q314" i="7"/>
  <c r="Q307" i="7"/>
  <c r="U301" i="7"/>
  <c r="CO32" i="6"/>
  <c r="U781" i="7"/>
  <c r="U314" i="7"/>
  <c r="U307" i="7"/>
  <c r="AB511" i="7"/>
  <c r="BC511" i="7" s="1"/>
  <c r="AB500" i="7"/>
  <c r="BC500" i="7" s="1"/>
  <c r="BC488" i="7"/>
  <c r="EE40" i="6"/>
  <c r="AB489" i="7"/>
  <c r="BC489" i="7" s="1"/>
  <c r="AB789" i="7"/>
  <c r="Y527" i="7"/>
  <c r="Y533" i="7"/>
  <c r="AC21" i="7"/>
  <c r="AC780" i="7"/>
  <c r="AC268" i="7"/>
  <c r="AC224" i="8"/>
  <c r="AC190" i="8"/>
  <c r="AC232" i="8"/>
  <c r="AC217" i="8"/>
  <c r="G231" i="1"/>
  <c r="G215" i="8" s="1"/>
  <c r="G217" i="8" s="1"/>
  <c r="J34" i="7"/>
  <c r="AA16" i="6"/>
  <c r="J692" i="7"/>
  <c r="J697" i="7" s="1"/>
  <c r="J699" i="7" s="1"/>
  <c r="J30" i="7"/>
  <c r="J14" i="7"/>
  <c r="J98" i="21"/>
  <c r="J770" i="7"/>
  <c r="J21" i="7"/>
  <c r="N34" i="7"/>
  <c r="AY16" i="6"/>
  <c r="N692" i="7"/>
  <c r="N697" i="7" s="1"/>
  <c r="N699" i="7" s="1"/>
  <c r="N30" i="7"/>
  <c r="N14" i="7"/>
  <c r="N98" i="21"/>
  <c r="N770" i="7"/>
  <c r="N21" i="7"/>
  <c r="P34" i="7"/>
  <c r="P14" i="7"/>
  <c r="BK16" i="6"/>
  <c r="P692" i="7"/>
  <c r="P697" i="7" s="1"/>
  <c r="P699" i="7" s="1"/>
  <c r="P30" i="7"/>
  <c r="P98" i="21"/>
  <c r="P770" i="7"/>
  <c r="P21" i="7"/>
  <c r="R34" i="7"/>
  <c r="BW16" i="6"/>
  <c r="R692" i="7"/>
  <c r="R697" i="7" s="1"/>
  <c r="R699" i="7" s="1"/>
  <c r="R30" i="7"/>
  <c r="R14" i="7"/>
  <c r="R98" i="21"/>
  <c r="R770" i="7"/>
  <c r="R21" i="7"/>
  <c r="T34" i="7"/>
  <c r="T14" i="7"/>
  <c r="CI16" i="6"/>
  <c r="T692" i="7"/>
  <c r="T697" i="7" s="1"/>
  <c r="T699" i="7" s="1"/>
  <c r="T30" i="7"/>
  <c r="T98" i="21"/>
  <c r="T770" i="7"/>
  <c r="T21" i="7"/>
  <c r="V34" i="7"/>
  <c r="CU16" i="6"/>
  <c r="V692" i="7"/>
  <c r="V697" i="7" s="1"/>
  <c r="V699" i="7" s="1"/>
  <c r="V30" i="7"/>
  <c r="V14" i="7"/>
  <c r="V98" i="21"/>
  <c r="V770" i="7"/>
  <c r="V21" i="7"/>
  <c r="X30" i="7"/>
  <c r="DG16" i="6"/>
  <c r="X692" i="7"/>
  <c r="X697" i="7" s="1"/>
  <c r="X699" i="7" s="1"/>
  <c r="X14" i="7"/>
  <c r="X98" i="21"/>
  <c r="X770" i="7"/>
  <c r="X21" i="7"/>
  <c r="Z30" i="7"/>
  <c r="Z14" i="7"/>
  <c r="Z98" i="21"/>
  <c r="DS16" i="6"/>
  <c r="Z692" i="7"/>
  <c r="Z697" i="7" s="1"/>
  <c r="Z699" i="7" s="1"/>
  <c r="Z770" i="7"/>
  <c r="Z21" i="7"/>
  <c r="BC12" i="7"/>
  <c r="D231" i="2"/>
  <c r="AB98" i="21"/>
  <c r="AB770" i="7"/>
  <c r="BC770" i="7" s="1"/>
  <c r="AB21" i="7"/>
  <c r="BC21" i="7" s="1"/>
  <c r="AB14" i="7"/>
  <c r="EE16" i="6"/>
  <c r="AB692" i="7"/>
  <c r="O17" i="6"/>
  <c r="H66" i="7"/>
  <c r="H51" i="7"/>
  <c r="H100" i="21"/>
  <c r="H769" i="7"/>
  <c r="H58" i="7"/>
  <c r="J51" i="7"/>
  <c r="J100" i="21"/>
  <c r="J769" i="7"/>
  <c r="J58" i="7"/>
  <c r="AA17" i="6"/>
  <c r="J66" i="7"/>
  <c r="AM17" i="6"/>
  <c r="L66" i="7"/>
  <c r="L51" i="7"/>
  <c r="L100" i="21"/>
  <c r="L769" i="7"/>
  <c r="L58" i="7"/>
  <c r="N51" i="7"/>
  <c r="N100" i="21"/>
  <c r="N769" i="7"/>
  <c r="N58" i="7"/>
  <c r="AY17" i="6"/>
  <c r="N66" i="7"/>
  <c r="O58" i="7"/>
  <c r="G301" i="7"/>
  <c r="G781" i="7"/>
  <c r="G314" i="7"/>
  <c r="I32" i="6"/>
  <c r="E32" i="6" s="1"/>
  <c r="J32" i="6" s="1"/>
  <c r="G242" i="1"/>
  <c r="G202" i="7" s="1"/>
  <c r="H780" i="7"/>
  <c r="H268" i="7"/>
  <c r="O24" i="6"/>
  <c r="H282" i="7"/>
  <c r="H260" i="7"/>
  <c r="K268" i="7"/>
  <c r="J282" i="7"/>
  <c r="AA24" i="6"/>
  <c r="J268" i="7"/>
  <c r="J780" i="7"/>
  <c r="J260" i="7"/>
  <c r="L780" i="7"/>
  <c r="L268" i="7"/>
  <c r="AM24" i="6"/>
  <c r="L282" i="7"/>
  <c r="L260" i="7"/>
  <c r="P780" i="7"/>
  <c r="P268" i="7"/>
  <c r="BK24" i="6"/>
  <c r="P282" i="7"/>
  <c r="P260" i="7"/>
  <c r="S268" i="7"/>
  <c r="R282" i="7"/>
  <c r="BW24" i="6"/>
  <c r="BX31" i="6" s="1"/>
  <c r="BX80" i="6" s="1"/>
  <c r="R268" i="7"/>
  <c r="R780" i="7"/>
  <c r="R260" i="7"/>
  <c r="T780" i="7"/>
  <c r="T268" i="7"/>
  <c r="CI24" i="6"/>
  <c r="T282" i="7"/>
  <c r="T260" i="7"/>
  <c r="W268" i="7"/>
  <c r="V282" i="7"/>
  <c r="CU24" i="6"/>
  <c r="CV31" i="6" s="1"/>
  <c r="CV80" i="6" s="1"/>
  <c r="V268" i="7"/>
  <c r="V780" i="7"/>
  <c r="V260" i="7"/>
  <c r="X780" i="7"/>
  <c r="X268" i="7"/>
  <c r="DG24" i="6"/>
  <c r="AA268" i="7"/>
  <c r="DS24" i="6"/>
  <c r="DT31" i="6" s="1"/>
  <c r="DT80" i="6" s="1"/>
  <c r="Z268" i="7"/>
  <c r="Z780" i="7"/>
  <c r="BC256" i="7"/>
  <c r="AB780" i="7"/>
  <c r="BC780" i="7" s="1"/>
  <c r="AB268" i="7"/>
  <c r="BD268" i="7" s="1"/>
  <c r="EE24" i="6"/>
  <c r="O32" i="6"/>
  <c r="H781" i="7"/>
  <c r="H307" i="7"/>
  <c r="H301" i="7"/>
  <c r="H314" i="7"/>
  <c r="AA32" i="6"/>
  <c r="J314" i="7"/>
  <c r="J781" i="7"/>
  <c r="J307" i="7"/>
  <c r="J301" i="7"/>
  <c r="AM32" i="6"/>
  <c r="L781" i="7"/>
  <c r="L307" i="7"/>
  <c r="L301" i="7"/>
  <c r="L314" i="7"/>
  <c r="AY32" i="6"/>
  <c r="N314" i="7"/>
  <c r="N781" i="7"/>
  <c r="N307" i="7"/>
  <c r="N301" i="7"/>
  <c r="O307" i="7"/>
  <c r="H254" i="1"/>
  <c r="H327" i="7" s="1"/>
  <c r="J254" i="1"/>
  <c r="J327" i="7" s="1"/>
  <c r="L254" i="1"/>
  <c r="L327" i="7" s="1"/>
  <c r="N254" i="1"/>
  <c r="N327" i="7" s="1"/>
  <c r="P254" i="1"/>
  <c r="P327" i="7" s="1"/>
  <c r="R254" i="1"/>
  <c r="R327" i="7" s="1"/>
  <c r="T254" i="1"/>
  <c r="T327" i="7" s="1"/>
  <c r="V254" i="1"/>
  <c r="V327" i="7" s="1"/>
  <c r="X254" i="1"/>
  <c r="X327" i="7" s="1"/>
  <c r="Z254" i="1"/>
  <c r="Z327" i="7" s="1"/>
  <c r="AB254" i="1"/>
  <c r="AB327" i="7" s="1"/>
  <c r="AB319" i="7" s="1"/>
  <c r="BC319" i="7" s="1"/>
  <c r="H242" i="1"/>
  <c r="H202" i="7" s="1"/>
  <c r="J242" i="1"/>
  <c r="J202" i="7" s="1"/>
  <c r="L242" i="1"/>
  <c r="L202" i="7" s="1"/>
  <c r="N242" i="1"/>
  <c r="N202" i="7" s="1"/>
  <c r="P242" i="1"/>
  <c r="P202" i="7" s="1"/>
  <c r="R242" i="1"/>
  <c r="R202" i="7" s="1"/>
  <c r="T242" i="1"/>
  <c r="T202" i="7" s="1"/>
  <c r="V242" i="1"/>
  <c r="V202" i="7" s="1"/>
  <c r="X242" i="1"/>
  <c r="X202" i="7" s="1"/>
  <c r="Z242" i="1"/>
  <c r="Z202" i="7" s="1"/>
  <c r="AB242" i="1"/>
  <c r="AB202" i="7" s="1"/>
  <c r="O40" i="6"/>
  <c r="H511" i="7"/>
  <c r="H789" i="7"/>
  <c r="H489" i="7"/>
  <c r="AA40" i="6"/>
  <c r="J511" i="7"/>
  <c r="J789" i="7"/>
  <c r="J500" i="7"/>
  <c r="J489" i="7"/>
  <c r="AM40" i="6"/>
  <c r="L511" i="7"/>
  <c r="L789" i="7"/>
  <c r="L500" i="7"/>
  <c r="L489" i="7"/>
  <c r="AY40" i="6"/>
  <c r="N511" i="7"/>
  <c r="N789" i="7"/>
  <c r="N500" i="7"/>
  <c r="N489" i="7"/>
  <c r="BK40" i="6"/>
  <c r="P511" i="7"/>
  <c r="P789" i="7"/>
  <c r="P500" i="7"/>
  <c r="P489" i="7"/>
  <c r="BW40" i="6"/>
  <c r="R511" i="7"/>
  <c r="R789" i="7"/>
  <c r="R500" i="7"/>
  <c r="R489" i="7"/>
  <c r="CI40" i="6"/>
  <c r="T511" i="7"/>
  <c r="T789" i="7"/>
  <c r="T500" i="7"/>
  <c r="T489" i="7"/>
  <c r="CU40" i="6"/>
  <c r="V511" i="7"/>
  <c r="V789" i="7"/>
  <c r="V500" i="7"/>
  <c r="V489" i="7"/>
  <c r="DG40" i="6"/>
  <c r="X511" i="7"/>
  <c r="X789" i="7"/>
  <c r="X500" i="7"/>
  <c r="X489" i="7"/>
  <c r="DS40" i="6"/>
  <c r="Z511" i="7"/>
  <c r="Z789" i="7"/>
  <c r="Z489" i="7"/>
  <c r="G521" i="7"/>
  <c r="G790" i="7"/>
  <c r="G533" i="7"/>
  <c r="I45" i="6"/>
  <c r="J45" i="6" s="1"/>
  <c r="I521" i="7"/>
  <c r="U45" i="6"/>
  <c r="I527" i="7"/>
  <c r="I790" i="7"/>
  <c r="I533" i="7"/>
  <c r="K521" i="7"/>
  <c r="AG45" i="6"/>
  <c r="K527" i="7"/>
  <c r="K790" i="7"/>
  <c r="K533" i="7"/>
  <c r="M521" i="7"/>
  <c r="AS45" i="6"/>
  <c r="M527" i="7"/>
  <c r="M790" i="7"/>
  <c r="M533" i="7"/>
  <c r="O521" i="7"/>
  <c r="BE45" i="6"/>
  <c r="O527" i="7"/>
  <c r="O790" i="7"/>
  <c r="O533" i="7"/>
  <c r="Q521" i="7"/>
  <c r="BQ45" i="6"/>
  <c r="Q527" i="7"/>
  <c r="Q790" i="7"/>
  <c r="Q533" i="7"/>
  <c r="S521" i="7"/>
  <c r="CC45" i="6"/>
  <c r="S527" i="7"/>
  <c r="S790" i="7"/>
  <c r="S533" i="7"/>
  <c r="U521" i="7"/>
  <c r="CO45" i="6"/>
  <c r="U527" i="7"/>
  <c r="U790" i="7"/>
  <c r="U533" i="7"/>
  <c r="W521" i="7"/>
  <c r="DA45" i="6"/>
  <c r="W527" i="7"/>
  <c r="W790" i="7"/>
  <c r="W533" i="7"/>
  <c r="Y521" i="7"/>
  <c r="DM45" i="6"/>
  <c r="Y790" i="7"/>
  <c r="U11" i="6"/>
  <c r="I768" i="7"/>
  <c r="I224" i="8"/>
  <c r="I217" i="8"/>
  <c r="I232" i="8"/>
  <c r="I180" i="8"/>
  <c r="I190" i="8"/>
  <c r="AG11" i="6"/>
  <c r="K232" i="8"/>
  <c r="K768" i="7"/>
  <c r="K224" i="8"/>
  <c r="K217" i="8"/>
  <c r="K180" i="8"/>
  <c r="K190" i="8"/>
  <c r="AS11" i="6"/>
  <c r="M768" i="7"/>
  <c r="M224" i="8"/>
  <c r="M217" i="8"/>
  <c r="M232" i="8"/>
  <c r="M180" i="8"/>
  <c r="M190" i="8"/>
  <c r="BE11" i="6"/>
  <c r="O232" i="8"/>
  <c r="O768" i="7"/>
  <c r="O224" i="8"/>
  <c r="O217" i="8"/>
  <c r="O180" i="8"/>
  <c r="O190" i="8"/>
  <c r="BQ11" i="6"/>
  <c r="Q768" i="7"/>
  <c r="Q224" i="8"/>
  <c r="Q217" i="8"/>
  <c r="Q232" i="8"/>
  <c r="Q180" i="8"/>
  <c r="Q190" i="8"/>
  <c r="CC11" i="6"/>
  <c r="S232" i="8"/>
  <c r="S768" i="7"/>
  <c r="S224" i="8"/>
  <c r="S217" i="8"/>
  <c r="S180" i="8"/>
  <c r="S190" i="8"/>
  <c r="CO11" i="6"/>
  <c r="U768" i="7"/>
  <c r="U224" i="8"/>
  <c r="U217" i="8"/>
  <c r="U232" i="8"/>
  <c r="U180" i="8"/>
  <c r="U190" i="8"/>
  <c r="DA11" i="6"/>
  <c r="W232" i="8"/>
  <c r="W768" i="7"/>
  <c r="W224" i="8"/>
  <c r="W217" i="8"/>
  <c r="W180" i="8"/>
  <c r="W190" i="8"/>
  <c r="DM11" i="6"/>
  <c r="Y768" i="7"/>
  <c r="Y224" i="8"/>
  <c r="Y217" i="8"/>
  <c r="Y232" i="8"/>
  <c r="Y180" i="8"/>
  <c r="Y190" i="8"/>
  <c r="DY11" i="6"/>
  <c r="AA232" i="8"/>
  <c r="AA768" i="7"/>
  <c r="AA224" i="8"/>
  <c r="AA217" i="8"/>
  <c r="AA180" i="8"/>
  <c r="AA190" i="8"/>
  <c r="H132" i="8"/>
  <c r="H111" i="8" s="1"/>
  <c r="H112" i="8"/>
  <c r="H164" i="8"/>
  <c r="J132" i="8"/>
  <c r="J111" i="8" s="1"/>
  <c r="J112" i="8"/>
  <c r="J164" i="8"/>
  <c r="L132" i="8"/>
  <c r="L111" i="8" s="1"/>
  <c r="L112" i="8"/>
  <c r="L164" i="8"/>
  <c r="N132" i="8"/>
  <c r="N111" i="8" s="1"/>
  <c r="N112" i="8"/>
  <c r="N164" i="8"/>
  <c r="P132" i="8"/>
  <c r="P111" i="8" s="1"/>
  <c r="P112" i="8"/>
  <c r="P164" i="8"/>
  <c r="R132" i="8"/>
  <c r="R111" i="8" s="1"/>
  <c r="R112" i="8"/>
  <c r="R164" i="8"/>
  <c r="T132" i="8"/>
  <c r="T111" i="8" s="1"/>
  <c r="T112" i="8"/>
  <c r="T164" i="8"/>
  <c r="V132" i="8"/>
  <c r="V111" i="8" s="1"/>
  <c r="V112" i="8"/>
  <c r="V164" i="8"/>
  <c r="X132" i="8"/>
  <c r="X111" i="8" s="1"/>
  <c r="X112" i="8"/>
  <c r="X164" i="8"/>
  <c r="Z132" i="8"/>
  <c r="Z111" i="8" s="1"/>
  <c r="Z164" i="8"/>
  <c r="Z112" i="8"/>
  <c r="AB133" i="8"/>
  <c r="H34" i="7"/>
  <c r="H14" i="7"/>
  <c r="O16" i="6"/>
  <c r="H692" i="7"/>
  <c r="H697" i="7" s="1"/>
  <c r="H699" i="7" s="1"/>
  <c r="H30" i="7"/>
  <c r="H98" i="21"/>
  <c r="H770" i="7"/>
  <c r="H21" i="7"/>
  <c r="L34" i="7"/>
  <c r="L14" i="7"/>
  <c r="AM16" i="6"/>
  <c r="L692" i="7"/>
  <c r="L697" i="7" s="1"/>
  <c r="L699" i="7" s="1"/>
  <c r="L30" i="7"/>
  <c r="L98" i="21"/>
  <c r="L770" i="7"/>
  <c r="L21" i="7"/>
  <c r="G14" i="7"/>
  <c r="I16" i="6"/>
  <c r="J16" i="6" s="1"/>
  <c r="G692" i="7"/>
  <c r="G697" i="7" s="1"/>
  <c r="G699" i="7" s="1"/>
  <c r="G770" i="7"/>
  <c r="G30" i="7"/>
  <c r="G34" i="7"/>
  <c r="G38" i="7" s="1"/>
  <c r="I98" i="21"/>
  <c r="I770" i="7"/>
  <c r="I30" i="7"/>
  <c r="I14" i="7"/>
  <c r="U16" i="6"/>
  <c r="I692" i="7"/>
  <c r="I697" i="7" s="1"/>
  <c r="I699" i="7" s="1"/>
  <c r="I21" i="7"/>
  <c r="I34" i="7"/>
  <c r="K14" i="7"/>
  <c r="K98" i="21"/>
  <c r="K770" i="7"/>
  <c r="K30" i="7"/>
  <c r="AG16" i="6"/>
  <c r="K692" i="7"/>
  <c r="K697" i="7" s="1"/>
  <c r="K699" i="7" s="1"/>
  <c r="K21" i="7"/>
  <c r="K34" i="7"/>
  <c r="M98" i="21"/>
  <c r="M770" i="7"/>
  <c r="M30" i="7"/>
  <c r="M14" i="7"/>
  <c r="AS16" i="6"/>
  <c r="M692" i="7"/>
  <c r="M697" i="7" s="1"/>
  <c r="M699" i="7" s="1"/>
  <c r="M21" i="7"/>
  <c r="M34" i="7"/>
  <c r="O14" i="7"/>
  <c r="O98" i="21"/>
  <c r="O770" i="7"/>
  <c r="O30" i="7"/>
  <c r="BE16" i="6"/>
  <c r="O692" i="7"/>
  <c r="O697" i="7" s="1"/>
  <c r="O699" i="7" s="1"/>
  <c r="O21" i="7"/>
  <c r="O34" i="7"/>
  <c r="Q98" i="21"/>
  <c r="Q770" i="7"/>
  <c r="Q30" i="7"/>
  <c r="Q14" i="7"/>
  <c r="BQ16" i="6"/>
  <c r="Q692" i="7"/>
  <c r="Q697" i="7" s="1"/>
  <c r="Q699" i="7" s="1"/>
  <c r="Q21" i="7"/>
  <c r="Q34" i="7"/>
  <c r="S14" i="7"/>
  <c r="S98" i="21"/>
  <c r="S770" i="7"/>
  <c r="S30" i="7"/>
  <c r="CC16" i="6"/>
  <c r="S692" i="7"/>
  <c r="S697" i="7" s="1"/>
  <c r="S699" i="7" s="1"/>
  <c r="S21" i="7"/>
  <c r="S34" i="7"/>
  <c r="U98" i="21"/>
  <c r="U770" i="7"/>
  <c r="U30" i="7"/>
  <c r="U14" i="7"/>
  <c r="CO16" i="6"/>
  <c r="U692" i="7"/>
  <c r="U697" i="7" s="1"/>
  <c r="U699" i="7" s="1"/>
  <c r="U21" i="7"/>
  <c r="U34" i="7"/>
  <c r="W14" i="7"/>
  <c r="W98" i="21"/>
  <c r="W770" i="7"/>
  <c r="W30" i="7"/>
  <c r="DA16" i="6"/>
  <c r="W692" i="7"/>
  <c r="W697" i="7" s="1"/>
  <c r="W699" i="7" s="1"/>
  <c r="W21" i="7"/>
  <c r="W34" i="7"/>
  <c r="X35" i="7" s="1"/>
  <c r="X36" i="7" s="1"/>
  <c r="Y30" i="7"/>
  <c r="Y98" i="21"/>
  <c r="Y770" i="7"/>
  <c r="Y21" i="7"/>
  <c r="Y14" i="7"/>
  <c r="DM16" i="6"/>
  <c r="Y692" i="7"/>
  <c r="Y697" i="7" s="1"/>
  <c r="Y699" i="7" s="1"/>
  <c r="AA30" i="7"/>
  <c r="AA14" i="7"/>
  <c r="AA770" i="7"/>
  <c r="AA21" i="7"/>
  <c r="AA98" i="21"/>
  <c r="DY16" i="6"/>
  <c r="AA692" i="7"/>
  <c r="AA697" i="7" s="1"/>
  <c r="AA699" i="7" s="1"/>
  <c r="C231" i="2"/>
  <c r="AT231" i="2" s="1"/>
  <c r="G51" i="7"/>
  <c r="I17" i="6"/>
  <c r="J17" i="6" s="1"/>
  <c r="G66" i="7"/>
  <c r="G769" i="7"/>
  <c r="U17" i="6"/>
  <c r="I66" i="7"/>
  <c r="I51" i="7"/>
  <c r="I100" i="21"/>
  <c r="I769" i="7"/>
  <c r="I58" i="7"/>
  <c r="K51" i="7"/>
  <c r="K100" i="21"/>
  <c r="K769" i="7"/>
  <c r="K58" i="7"/>
  <c r="AG17" i="6"/>
  <c r="K66" i="7"/>
  <c r="AS17" i="6"/>
  <c r="M66" i="7"/>
  <c r="M51" i="7"/>
  <c r="M100" i="21"/>
  <c r="M769" i="7"/>
  <c r="M58" i="7"/>
  <c r="G328" i="7"/>
  <c r="G346" i="7"/>
  <c r="I28" i="6"/>
  <c r="E28" i="6" s="1"/>
  <c r="G779" i="7"/>
  <c r="U24" i="6"/>
  <c r="I282" i="7"/>
  <c r="I260" i="7"/>
  <c r="I268" i="7"/>
  <c r="I780" i="7"/>
  <c r="K780" i="7"/>
  <c r="AG24" i="6"/>
  <c r="K282" i="7"/>
  <c r="K260" i="7"/>
  <c r="M780" i="7"/>
  <c r="AS24" i="6"/>
  <c r="M260" i="7"/>
  <c r="M268" i="7"/>
  <c r="M282" i="7"/>
  <c r="O780" i="7"/>
  <c r="BE24" i="6"/>
  <c r="O260" i="7"/>
  <c r="O282" i="7"/>
  <c r="Q268" i="7"/>
  <c r="Q282" i="7"/>
  <c r="Q260" i="7"/>
  <c r="Q780" i="7"/>
  <c r="BQ24" i="6"/>
  <c r="S780" i="7"/>
  <c r="CC24" i="6"/>
  <c r="S282" i="7"/>
  <c r="S260" i="7"/>
  <c r="U780" i="7"/>
  <c r="U268" i="7"/>
  <c r="U260" i="7"/>
  <c r="CO24" i="6"/>
  <c r="U282" i="7"/>
  <c r="W780" i="7"/>
  <c r="DA24" i="6"/>
  <c r="W260" i="7"/>
  <c r="W282" i="7"/>
  <c r="Y268" i="7"/>
  <c r="Y780" i="7"/>
  <c r="DM24" i="6"/>
  <c r="AA780" i="7"/>
  <c r="DY24" i="6"/>
  <c r="U32" i="6"/>
  <c r="I314" i="7"/>
  <c r="I781" i="7"/>
  <c r="I301" i="7"/>
  <c r="I307" i="7"/>
  <c r="K301" i="7"/>
  <c r="AG32" i="6"/>
  <c r="K307" i="7"/>
  <c r="K781" i="7"/>
  <c r="K314" i="7"/>
  <c r="AS32" i="6"/>
  <c r="M301" i="7"/>
  <c r="M314" i="7"/>
  <c r="M781" i="7"/>
  <c r="M307" i="7"/>
  <c r="I254" i="1"/>
  <c r="I327" i="7" s="1"/>
  <c r="K254" i="1"/>
  <c r="K327" i="7" s="1"/>
  <c r="M254" i="1"/>
  <c r="M327" i="7" s="1"/>
  <c r="O254" i="1"/>
  <c r="O327" i="7" s="1"/>
  <c r="Q254" i="1"/>
  <c r="Q327" i="7" s="1"/>
  <c r="S254" i="1"/>
  <c r="S327" i="7" s="1"/>
  <c r="U254" i="1"/>
  <c r="U327" i="7" s="1"/>
  <c r="W254" i="1"/>
  <c r="W327" i="7" s="1"/>
  <c r="Y254" i="1"/>
  <c r="Y327" i="7" s="1"/>
  <c r="AA254" i="1"/>
  <c r="AA327" i="7" s="1"/>
  <c r="AA319" i="7" s="1"/>
  <c r="AC254" i="1"/>
  <c r="AC327" i="7" s="1"/>
  <c r="AC319" i="7" s="1"/>
  <c r="I242" i="1"/>
  <c r="I202" i="7" s="1"/>
  <c r="K242" i="1"/>
  <c r="K202" i="7" s="1"/>
  <c r="M242" i="1"/>
  <c r="M202" i="7" s="1"/>
  <c r="O242" i="1"/>
  <c r="O202" i="7" s="1"/>
  <c r="Q242" i="1"/>
  <c r="Q202" i="7" s="1"/>
  <c r="S242" i="1"/>
  <c r="S202" i="7" s="1"/>
  <c r="U242" i="1"/>
  <c r="U202" i="7" s="1"/>
  <c r="W242" i="1"/>
  <c r="W202" i="7" s="1"/>
  <c r="Y242" i="1"/>
  <c r="Y202" i="7" s="1"/>
  <c r="AA242" i="1"/>
  <c r="AA202" i="7" s="1"/>
  <c r="AC242" i="1"/>
  <c r="AC202" i="7" s="1"/>
  <c r="U40" i="6"/>
  <c r="I500" i="7"/>
  <c r="I789" i="7"/>
  <c r="I511" i="7"/>
  <c r="I489" i="7"/>
  <c r="AG40" i="6"/>
  <c r="K500" i="7"/>
  <c r="K789" i="7"/>
  <c r="K511" i="7"/>
  <c r="K489" i="7"/>
  <c r="AS40" i="6"/>
  <c r="M500" i="7"/>
  <c r="M789" i="7"/>
  <c r="M511" i="7"/>
  <c r="M489" i="7"/>
  <c r="BE40" i="6"/>
  <c r="O500" i="7"/>
  <c r="O789" i="7"/>
  <c r="O511" i="7"/>
  <c r="O489" i="7"/>
  <c r="BQ40" i="6"/>
  <c r="Q500" i="7"/>
  <c r="Q789" i="7"/>
  <c r="Q511" i="7"/>
  <c r="Q489" i="7"/>
  <c r="CC40" i="6"/>
  <c r="S500" i="7"/>
  <c r="S789" i="7"/>
  <c r="S511" i="7"/>
  <c r="S489" i="7"/>
  <c r="CO40" i="6"/>
  <c r="U500" i="7"/>
  <c r="U789" i="7"/>
  <c r="U511" i="7"/>
  <c r="U489" i="7"/>
  <c r="DA40" i="6"/>
  <c r="W500" i="7"/>
  <c r="W789" i="7"/>
  <c r="W511" i="7"/>
  <c r="W489" i="7"/>
  <c r="H790" i="7"/>
  <c r="H527" i="7"/>
  <c r="O45" i="6"/>
  <c r="H533" i="7"/>
  <c r="H521" i="7"/>
  <c r="J790" i="7"/>
  <c r="J527" i="7"/>
  <c r="AA45" i="6"/>
  <c r="J533" i="7"/>
  <c r="J521" i="7"/>
  <c r="L790" i="7"/>
  <c r="L527" i="7"/>
  <c r="AM45" i="6"/>
  <c r="L533" i="7"/>
  <c r="L521" i="7"/>
  <c r="N790" i="7"/>
  <c r="N527" i="7"/>
  <c r="AY45" i="6"/>
  <c r="N533" i="7"/>
  <c r="N521" i="7"/>
  <c r="P790" i="7"/>
  <c r="P527" i="7"/>
  <c r="BK45" i="6"/>
  <c r="P533" i="7"/>
  <c r="P521" i="7"/>
  <c r="R790" i="7"/>
  <c r="R527" i="7"/>
  <c r="BW45" i="6"/>
  <c r="R533" i="7"/>
  <c r="R521" i="7"/>
  <c r="T790" i="7"/>
  <c r="T527" i="7"/>
  <c r="CI45" i="6"/>
  <c r="T533" i="7"/>
  <c r="T521" i="7"/>
  <c r="V790" i="7"/>
  <c r="V533" i="7"/>
  <c r="V521" i="7"/>
  <c r="CU45" i="6"/>
  <c r="V527" i="7"/>
  <c r="DG45" i="6"/>
  <c r="X790" i="7"/>
  <c r="X521" i="7"/>
  <c r="H768" i="7"/>
  <c r="O11" i="6"/>
  <c r="H217" i="8"/>
  <c r="H232" i="8"/>
  <c r="H180" i="8"/>
  <c r="H190" i="8"/>
  <c r="J217" i="8"/>
  <c r="J768" i="7"/>
  <c r="J224" i="8"/>
  <c r="J232" i="8"/>
  <c r="AA11" i="6"/>
  <c r="J180" i="8"/>
  <c r="J190" i="8"/>
  <c r="L768" i="7"/>
  <c r="L224" i="8"/>
  <c r="AM11" i="6"/>
  <c r="L217" i="8"/>
  <c r="L232" i="8"/>
  <c r="L190" i="8"/>
  <c r="L180" i="8"/>
  <c r="N217" i="8"/>
  <c r="N768" i="7"/>
  <c r="N224" i="8"/>
  <c r="N232" i="8"/>
  <c r="AY11" i="6"/>
  <c r="N180" i="8"/>
  <c r="N190" i="8"/>
  <c r="P768" i="7"/>
  <c r="P224" i="8"/>
  <c r="BK11" i="6"/>
  <c r="P217" i="8"/>
  <c r="P232" i="8"/>
  <c r="P190" i="8"/>
  <c r="P180" i="8"/>
  <c r="R768" i="7"/>
  <c r="R232" i="8"/>
  <c r="R217" i="8"/>
  <c r="R224" i="8"/>
  <c r="BW11" i="6"/>
  <c r="R180" i="8"/>
  <c r="R190" i="8"/>
  <c r="T768" i="7"/>
  <c r="CI11" i="6"/>
  <c r="T224" i="8"/>
  <c r="T217" i="8"/>
  <c r="T232" i="8"/>
  <c r="T180" i="8"/>
  <c r="T190" i="8"/>
  <c r="V217" i="8"/>
  <c r="V768" i="7"/>
  <c r="V224" i="8"/>
  <c r="V232" i="8"/>
  <c r="CU11" i="6"/>
  <c r="V180" i="8"/>
  <c r="V190" i="8"/>
  <c r="X768" i="7"/>
  <c r="DG11" i="6"/>
  <c r="X224" i="8"/>
  <c r="X217" i="8"/>
  <c r="X232" i="8"/>
  <c r="X180" i="8"/>
  <c r="X190" i="8"/>
  <c r="Z217" i="8"/>
  <c r="Z768" i="7"/>
  <c r="Z224" i="8"/>
  <c r="Z232" i="8"/>
  <c r="DS11" i="6"/>
  <c r="Z180" i="8"/>
  <c r="Z190" i="8"/>
  <c r="AB768" i="7"/>
  <c r="EE11" i="6"/>
  <c r="AB224" i="8"/>
  <c r="AB217" i="8"/>
  <c r="AB232" i="8"/>
  <c r="AB180" i="8"/>
  <c r="AB190" i="8"/>
  <c r="G164" i="8"/>
  <c r="G112" i="8"/>
  <c r="G132" i="8"/>
  <c r="G111" i="8" s="1"/>
  <c r="I164" i="8"/>
  <c r="I132" i="8"/>
  <c r="I111" i="8" s="1"/>
  <c r="I112" i="8"/>
  <c r="K164" i="8"/>
  <c r="K112" i="8"/>
  <c r="K132" i="8"/>
  <c r="K111" i="8" s="1"/>
  <c r="M164" i="8"/>
  <c r="M132" i="8"/>
  <c r="M111" i="8" s="1"/>
  <c r="M112" i="8"/>
  <c r="O164" i="8"/>
  <c r="O112" i="8"/>
  <c r="O132" i="8"/>
  <c r="O111" i="8" s="1"/>
  <c r="Q164" i="8"/>
  <c r="Q132" i="8"/>
  <c r="Q111" i="8" s="1"/>
  <c r="Q112" i="8"/>
  <c r="S164" i="8"/>
  <c r="S112" i="8"/>
  <c r="S132" i="8"/>
  <c r="S111" i="8" s="1"/>
  <c r="U164" i="8"/>
  <c r="U132" i="8"/>
  <c r="U111" i="8" s="1"/>
  <c r="U112" i="8"/>
  <c r="W164" i="8"/>
  <c r="W112" i="8"/>
  <c r="W132" i="8"/>
  <c r="W111" i="8" s="1"/>
  <c r="Y164" i="8"/>
  <c r="Y132" i="8"/>
  <c r="Y111" i="8" s="1"/>
  <c r="Y112" i="8"/>
  <c r="AA133" i="8"/>
  <c r="AC133" i="8"/>
  <c r="Y488" i="7"/>
  <c r="AD268" i="7" l="1"/>
  <c r="AE268" i="7" s="1"/>
  <c r="AF268" i="7" s="1"/>
  <c r="G780" i="7"/>
  <c r="G282" i="7"/>
  <c r="G260" i="7"/>
  <c r="AY24" i="6"/>
  <c r="AZ31" i="6" s="1"/>
  <c r="AZ80" i="6" s="1"/>
  <c r="N780" i="7"/>
  <c r="O268" i="7"/>
  <c r="N260" i="7"/>
  <c r="N282" i="7"/>
  <c r="Y118" i="8"/>
  <c r="Q118" i="8"/>
  <c r="I118" i="8"/>
  <c r="R197" i="8"/>
  <c r="R204" i="8" s="1"/>
  <c r="J197" i="8"/>
  <c r="J204" i="8" s="1"/>
  <c r="T197" i="8"/>
  <c r="T204" i="8" s="1"/>
  <c r="U118" i="8"/>
  <c r="M118" i="8"/>
  <c r="N197" i="8"/>
  <c r="N204" i="8" s="1"/>
  <c r="DM81" i="6"/>
  <c r="DI32" i="6"/>
  <c r="DS81" i="6"/>
  <c r="DG81" i="6"/>
  <c r="DC32" i="6"/>
  <c r="G232" i="8"/>
  <c r="Z791" i="7"/>
  <c r="Z107" i="21" s="1"/>
  <c r="AA37" i="7"/>
  <c r="AA791" i="7"/>
  <c r="AA107" i="21" s="1"/>
  <c r="G190" i="8"/>
  <c r="H197" i="8" s="1"/>
  <c r="H204" i="8" s="1"/>
  <c r="I11" i="6"/>
  <c r="O60" i="6" s="1"/>
  <c r="X197" i="8"/>
  <c r="X204" i="8" s="1"/>
  <c r="G180" i="8"/>
  <c r="G768" i="7"/>
  <c r="G772" i="7" s="1"/>
  <c r="G774" i="7" s="1"/>
  <c r="H224" i="8"/>
  <c r="AA566" i="7"/>
  <c r="AA567" i="7" s="1"/>
  <c r="AC337" i="7"/>
  <c r="AC346" i="7"/>
  <c r="Z337" i="7"/>
  <c r="Z346" i="7"/>
  <c r="CO81" i="6"/>
  <c r="CK32" i="6"/>
  <c r="Z566" i="7"/>
  <c r="Z567" i="7" s="1"/>
  <c r="EF45" i="6"/>
  <c r="EF94" i="6" s="1"/>
  <c r="EE94" i="6"/>
  <c r="EK89" i="6"/>
  <c r="EQ89" i="6"/>
  <c r="EL40" i="6"/>
  <c r="EL89" i="6" s="1"/>
  <c r="CI81" i="6"/>
  <c r="CE32" i="6"/>
  <c r="BK81" i="6"/>
  <c r="BG32" i="6"/>
  <c r="AC35" i="7"/>
  <c r="AC36" i="7" s="1"/>
  <c r="AB38" i="7"/>
  <c r="AC39" i="7" s="1"/>
  <c r="AB35" i="7"/>
  <c r="AB36" i="7" s="1"/>
  <c r="AB37" i="7" s="1"/>
  <c r="AC566" i="7"/>
  <c r="AC567" i="7" s="1"/>
  <c r="DY94" i="6"/>
  <c r="DZ45" i="6"/>
  <c r="DZ94" i="6" s="1"/>
  <c r="AA337" i="7"/>
  <c r="AA346" i="7"/>
  <c r="AB337" i="7"/>
  <c r="BC337" i="7" s="1"/>
  <c r="AB346" i="7"/>
  <c r="BC346" i="7" s="1"/>
  <c r="AB791" i="7"/>
  <c r="BC789" i="7"/>
  <c r="EE89" i="6"/>
  <c r="EF40" i="6"/>
  <c r="EF89" i="6" s="1"/>
  <c r="BQ81" i="6"/>
  <c r="BM32" i="6"/>
  <c r="AB566" i="7"/>
  <c r="AB567" i="7" s="1"/>
  <c r="BC567" i="7" s="1"/>
  <c r="CQ32" i="6"/>
  <c r="CU81" i="6"/>
  <c r="DA81" i="6"/>
  <c r="BS32" i="6"/>
  <c r="BX32" i="6" s="1"/>
  <c r="BX81" i="6" s="1"/>
  <c r="BW81" i="6"/>
  <c r="AA39" i="7"/>
  <c r="CC81" i="6"/>
  <c r="BY32" i="6"/>
  <c r="J566" i="7"/>
  <c r="J567" i="7" s="1"/>
  <c r="H566" i="7"/>
  <c r="H567" i="7" s="1"/>
  <c r="W118" i="8"/>
  <c r="S118" i="8"/>
  <c r="O118" i="8"/>
  <c r="K118" i="8"/>
  <c r="P197" i="8"/>
  <c r="P204" i="8" s="1"/>
  <c r="L197" i="8"/>
  <c r="L204" i="8" s="1"/>
  <c r="J772" i="7"/>
  <c r="J775" i="7" s="1"/>
  <c r="U791" i="7"/>
  <c r="U793" i="7" s="1"/>
  <c r="Q791" i="7"/>
  <c r="Q107" i="21" s="1"/>
  <c r="M791" i="7"/>
  <c r="M793" i="7" s="1"/>
  <c r="I791" i="7"/>
  <c r="I107" i="21" s="1"/>
  <c r="X566" i="7"/>
  <c r="X567" i="7" s="1"/>
  <c r="AC779" i="7"/>
  <c r="AC328" i="7"/>
  <c r="EK28" i="6"/>
  <c r="AD337" i="7"/>
  <c r="V566" i="7"/>
  <c r="V567" i="7" s="1"/>
  <c r="AC778" i="7"/>
  <c r="AC210" i="7"/>
  <c r="AC112" i="8"/>
  <c r="AC132" i="8"/>
  <c r="AC111" i="8" s="1"/>
  <c r="Z197" i="8"/>
  <c r="Z204" i="8" s="1"/>
  <c r="V197" i="8"/>
  <c r="V204" i="8" s="1"/>
  <c r="W791" i="7"/>
  <c r="W793" i="7" s="1"/>
  <c r="O791" i="7"/>
  <c r="O793" i="7" s="1"/>
  <c r="N566" i="7"/>
  <c r="N567" i="7" s="1"/>
  <c r="AC197" i="8"/>
  <c r="AC204" i="8" s="1"/>
  <c r="AD197" i="8"/>
  <c r="AD204" i="8" s="1"/>
  <c r="Z772" i="7"/>
  <c r="Z775" i="7" s="1"/>
  <c r="V772" i="7"/>
  <c r="V105" i="21" s="1"/>
  <c r="N772" i="7"/>
  <c r="S791" i="7"/>
  <c r="S793" i="7" s="1"/>
  <c r="K791" i="7"/>
  <c r="K793" i="7" s="1"/>
  <c r="R566" i="7"/>
  <c r="R567" i="7" s="1"/>
  <c r="P566" i="7"/>
  <c r="P567" i="7" s="1"/>
  <c r="H125" i="8"/>
  <c r="DM40" i="6"/>
  <c r="DS89" i="6" s="1"/>
  <c r="Y500" i="7"/>
  <c r="Y789" i="7"/>
  <c r="Y791" i="7" s="1"/>
  <c r="Y511" i="7"/>
  <c r="Y489" i="7"/>
  <c r="AA164" i="8"/>
  <c r="AA132" i="8"/>
  <c r="AA111" i="8" s="1"/>
  <c r="AA118" i="8" s="1"/>
  <c r="AA112" i="8"/>
  <c r="AA125" i="8" s="1"/>
  <c r="W178" i="8"/>
  <c r="W171" i="8"/>
  <c r="W143" i="8"/>
  <c r="W163" i="8"/>
  <c r="S178" i="8"/>
  <c r="S171" i="8"/>
  <c r="S143" i="8"/>
  <c r="S163" i="8"/>
  <c r="O178" i="8"/>
  <c r="O171" i="8"/>
  <c r="O143" i="8"/>
  <c r="O163" i="8"/>
  <c r="K178" i="8"/>
  <c r="K171" i="8"/>
  <c r="K143" i="8"/>
  <c r="K163" i="8"/>
  <c r="G178" i="8"/>
  <c r="G163" i="8"/>
  <c r="G143" i="8"/>
  <c r="G157" i="8" s="1"/>
  <c r="AB197" i="8"/>
  <c r="AB204" i="8" s="1"/>
  <c r="EE60" i="6"/>
  <c r="EF13" i="6"/>
  <c r="EF62" i="6" s="1"/>
  <c r="DG60" i="6"/>
  <c r="DH13" i="6"/>
  <c r="DH62" i="6" s="1"/>
  <c r="CI60" i="6"/>
  <c r="CJ13" i="6"/>
  <c r="CJ62" i="6" s="1"/>
  <c r="BW94" i="6"/>
  <c r="BX45" i="6"/>
  <c r="BX94" i="6" s="1"/>
  <c r="AY94" i="6"/>
  <c r="AZ45" i="6"/>
  <c r="AZ94" i="6" s="1"/>
  <c r="AA94" i="6"/>
  <c r="AB45" i="6"/>
  <c r="AB94" i="6" s="1"/>
  <c r="DA89" i="6"/>
  <c r="DB40" i="6"/>
  <c r="DB89" i="6" s="1"/>
  <c r="CC89" i="6"/>
  <c r="CD40" i="6"/>
  <c r="CD89" i="6" s="1"/>
  <c r="BE89" i="6"/>
  <c r="BF40" i="6"/>
  <c r="BF89" i="6" s="1"/>
  <c r="AG89" i="6"/>
  <c r="AH40" i="6"/>
  <c r="AH89" i="6" s="1"/>
  <c r="DM30" i="6"/>
  <c r="DN30" i="6" s="1"/>
  <c r="DN79" i="6" s="1"/>
  <c r="Y778" i="7"/>
  <c r="Y204" i="7"/>
  <c r="Y222" i="7"/>
  <c r="CO30" i="6"/>
  <c r="CP30" i="6" s="1"/>
  <c r="CP79" i="6" s="1"/>
  <c r="U778" i="7"/>
  <c r="U204" i="7"/>
  <c r="U222" i="7"/>
  <c r="BQ30" i="6"/>
  <c r="BR30" i="6" s="1"/>
  <c r="BR79" i="6" s="1"/>
  <c r="Q778" i="7"/>
  <c r="Q204" i="7"/>
  <c r="Q222" i="7"/>
  <c r="AS30" i="6"/>
  <c r="AT30" i="6" s="1"/>
  <c r="AT79" i="6" s="1"/>
  <c r="M778" i="7"/>
  <c r="M204" i="7"/>
  <c r="M222" i="7"/>
  <c r="U30" i="6"/>
  <c r="V30" i="6" s="1"/>
  <c r="V79" i="6" s="1"/>
  <c r="I778" i="7"/>
  <c r="I204" i="7"/>
  <c r="I222" i="7"/>
  <c r="DY28" i="6"/>
  <c r="DZ33" i="6" s="1"/>
  <c r="DZ82" i="6" s="1"/>
  <c r="AA328" i="7"/>
  <c r="AA779" i="7"/>
  <c r="W337" i="7"/>
  <c r="W328" i="7"/>
  <c r="DA28" i="6"/>
  <c r="W779" i="7"/>
  <c r="W346" i="7"/>
  <c r="S328" i="7"/>
  <c r="S346" i="7"/>
  <c r="CC28" i="6"/>
  <c r="S779" i="7"/>
  <c r="O328" i="7"/>
  <c r="O779" i="7"/>
  <c r="O346" i="7"/>
  <c r="BE28" i="6"/>
  <c r="O337" i="7"/>
  <c r="K328" i="7"/>
  <c r="AG28" i="6"/>
  <c r="K779" i="7"/>
  <c r="K346" i="7"/>
  <c r="AO32" i="6"/>
  <c r="AS81" i="6"/>
  <c r="AC32" i="6"/>
  <c r="AG81" i="6"/>
  <c r="Q32" i="6"/>
  <c r="U81" i="6"/>
  <c r="DA73" i="6"/>
  <c r="DB31" i="6"/>
  <c r="DB80" i="6" s="1"/>
  <c r="BF31" i="6"/>
  <c r="BF80" i="6" s="1"/>
  <c r="DA65" i="6"/>
  <c r="DB16" i="6"/>
  <c r="DB65" i="6" s="1"/>
  <c r="CO65" i="6"/>
  <c r="CP16" i="6"/>
  <c r="CP65" i="6" s="1"/>
  <c r="CC65" i="6"/>
  <c r="CD16" i="6"/>
  <c r="CD65" i="6" s="1"/>
  <c r="BQ65" i="6"/>
  <c r="BR16" i="6"/>
  <c r="BR65" i="6" s="1"/>
  <c r="BE65" i="6"/>
  <c r="BF16" i="6"/>
  <c r="BF65" i="6" s="1"/>
  <c r="AS65" i="6"/>
  <c r="AT16" i="6"/>
  <c r="AT65" i="6" s="1"/>
  <c r="AG65" i="6"/>
  <c r="AH16" i="6"/>
  <c r="AH65" i="6" s="1"/>
  <c r="U65" i="6"/>
  <c r="V16" i="6"/>
  <c r="V65" i="6" s="1"/>
  <c r="AM65" i="6"/>
  <c r="AN16" i="6"/>
  <c r="AN65" i="6" s="1"/>
  <c r="L35" i="7"/>
  <c r="L36" i="7" s="1"/>
  <c r="L38" i="7"/>
  <c r="O65" i="6"/>
  <c r="P16" i="6"/>
  <c r="P65" i="6" s="1"/>
  <c r="H38" i="7"/>
  <c r="H35" i="7"/>
  <c r="H36" i="7" s="1"/>
  <c r="AB137" i="8"/>
  <c r="AB132" i="8"/>
  <c r="AB112" i="8"/>
  <c r="AB164" i="8"/>
  <c r="Z171" i="8"/>
  <c r="Z143" i="8"/>
  <c r="Z163" i="8"/>
  <c r="Z178" i="8"/>
  <c r="X171" i="8"/>
  <c r="X143" i="8"/>
  <c r="X163" i="8"/>
  <c r="X178" i="8"/>
  <c r="X118" i="8"/>
  <c r="V119" i="8"/>
  <c r="W125" i="8"/>
  <c r="T171" i="8"/>
  <c r="T143" i="8"/>
  <c r="T163" i="8"/>
  <c r="T178" i="8"/>
  <c r="T118" i="8"/>
  <c r="R119" i="8"/>
  <c r="S125" i="8"/>
  <c r="P171" i="8"/>
  <c r="P143" i="8"/>
  <c r="P163" i="8"/>
  <c r="P178" i="8"/>
  <c r="P118" i="8"/>
  <c r="N119" i="8"/>
  <c r="O125" i="8"/>
  <c r="L171" i="8"/>
  <c r="L143" i="8"/>
  <c r="L163" i="8"/>
  <c r="L178" i="8"/>
  <c r="L118" i="8"/>
  <c r="J119" i="8"/>
  <c r="K125" i="8"/>
  <c r="H171" i="8"/>
  <c r="H143" i="8"/>
  <c r="H163" i="8"/>
  <c r="H178" i="8"/>
  <c r="H118" i="8"/>
  <c r="AA197" i="8"/>
  <c r="AA204" i="8" s="1"/>
  <c r="AA772" i="7"/>
  <c r="DY60" i="6"/>
  <c r="DZ13" i="6"/>
  <c r="DZ62" i="6" s="1"/>
  <c r="DM60" i="6"/>
  <c r="DN13" i="6"/>
  <c r="DN62" i="6" s="1"/>
  <c r="W772" i="7"/>
  <c r="DA60" i="6"/>
  <c r="DB13" i="6"/>
  <c r="DB62" i="6" s="1"/>
  <c r="CO60" i="6"/>
  <c r="CP13" i="6"/>
  <c r="CP62" i="6" s="1"/>
  <c r="S772" i="7"/>
  <c r="CC60" i="6"/>
  <c r="CD13" i="6"/>
  <c r="CD62" i="6" s="1"/>
  <c r="BQ60" i="6"/>
  <c r="BR13" i="6"/>
  <c r="BR62" i="6" s="1"/>
  <c r="O772" i="7"/>
  <c r="BE60" i="6"/>
  <c r="BF13" i="6"/>
  <c r="BF62" i="6" s="1"/>
  <c r="AS60" i="6"/>
  <c r="AT13" i="6"/>
  <c r="AT62" i="6" s="1"/>
  <c r="K772" i="7"/>
  <c r="AG60" i="6"/>
  <c r="AH13" i="6"/>
  <c r="AH62" i="6" s="1"/>
  <c r="U60" i="6"/>
  <c r="V13" i="6"/>
  <c r="V62" i="6" s="1"/>
  <c r="DA94" i="6"/>
  <c r="DB45" i="6"/>
  <c r="DB94" i="6" s="1"/>
  <c r="CC94" i="6"/>
  <c r="CD45" i="6"/>
  <c r="CD94" i="6" s="1"/>
  <c r="BE94" i="6"/>
  <c r="BF45" i="6"/>
  <c r="BF94" i="6" s="1"/>
  <c r="AG94" i="6"/>
  <c r="AH45" i="6"/>
  <c r="AH94" i="6" s="1"/>
  <c r="DY89" i="6"/>
  <c r="DT40" i="6"/>
  <c r="DT89" i="6" s="1"/>
  <c r="V791" i="7"/>
  <c r="CU89" i="6"/>
  <c r="CV40" i="6"/>
  <c r="CV89" i="6" s="1"/>
  <c r="R791" i="7"/>
  <c r="BW89" i="6"/>
  <c r="BX40" i="6"/>
  <c r="BX89" i="6" s="1"/>
  <c r="N791" i="7"/>
  <c r="AY89" i="6"/>
  <c r="AZ40" i="6"/>
  <c r="AZ89" i="6" s="1"/>
  <c r="J791" i="7"/>
  <c r="AA89" i="6"/>
  <c r="AB40" i="6"/>
  <c r="AB89" i="6" s="1"/>
  <c r="AB778" i="7"/>
  <c r="EE30" i="6"/>
  <c r="EF30" i="6" s="1"/>
  <c r="EF79" i="6" s="1"/>
  <c r="AB204" i="7"/>
  <c r="BD204" i="7" s="1"/>
  <c r="AB210" i="7"/>
  <c r="BC210" i="7" s="1"/>
  <c r="BD202" i="7"/>
  <c r="AB222" i="7"/>
  <c r="BC222" i="7" s="1"/>
  <c r="Y210" i="7"/>
  <c r="X778" i="7"/>
  <c r="X210" i="7"/>
  <c r="X204" i="7"/>
  <c r="DG30" i="6"/>
  <c r="X222" i="7"/>
  <c r="U210" i="7"/>
  <c r="T778" i="7"/>
  <c r="T210" i="7"/>
  <c r="T204" i="7"/>
  <c r="CI30" i="6"/>
  <c r="T222" i="7"/>
  <c r="Q210" i="7"/>
  <c r="P778" i="7"/>
  <c r="P210" i="7"/>
  <c r="P204" i="7"/>
  <c r="BK30" i="6"/>
  <c r="P222" i="7"/>
  <c r="M210" i="7"/>
  <c r="L778" i="7"/>
  <c r="L210" i="7"/>
  <c r="L204" i="7"/>
  <c r="AM30" i="6"/>
  <c r="L222" i="7"/>
  <c r="I210" i="7"/>
  <c r="H778" i="7"/>
  <c r="H210" i="7"/>
  <c r="H204" i="7"/>
  <c r="O30" i="6"/>
  <c r="H222" i="7"/>
  <c r="Z779" i="7"/>
  <c r="Z328" i="7"/>
  <c r="DS28" i="6"/>
  <c r="CU28" i="6"/>
  <c r="V779" i="7"/>
  <c r="V337" i="7"/>
  <c r="V328" i="7"/>
  <c r="V346" i="7"/>
  <c r="S337" i="7"/>
  <c r="R779" i="7"/>
  <c r="R337" i="7"/>
  <c r="R328" i="7"/>
  <c r="BW28" i="6"/>
  <c r="R346" i="7"/>
  <c r="AY28" i="6"/>
  <c r="N337" i="7"/>
  <c r="N779" i="7"/>
  <c r="N328" i="7"/>
  <c r="N346" i="7"/>
  <c r="K337" i="7"/>
  <c r="J337" i="7"/>
  <c r="J779" i="7"/>
  <c r="J328" i="7"/>
  <c r="J346" i="7"/>
  <c r="AA28" i="6"/>
  <c r="AI32" i="6"/>
  <c r="AM81" i="6"/>
  <c r="K32" i="6"/>
  <c r="O81" i="6"/>
  <c r="EK24" i="6"/>
  <c r="EK73" i="6" s="1"/>
  <c r="EE73" i="6"/>
  <c r="EF31" i="6"/>
  <c r="EF80" i="6" s="1"/>
  <c r="DG73" i="6"/>
  <c r="DH31" i="6"/>
  <c r="DH80" i="6" s="1"/>
  <c r="BK73" i="6"/>
  <c r="BL31" i="6"/>
  <c r="BL80" i="6" s="1"/>
  <c r="O73" i="6"/>
  <c r="P31" i="6"/>
  <c r="P80" i="6" s="1"/>
  <c r="AY66" i="6"/>
  <c r="BE66" i="6"/>
  <c r="AZ17" i="6"/>
  <c r="AZ66" i="6" s="1"/>
  <c r="AM66" i="6"/>
  <c r="AN17" i="6"/>
  <c r="AN66" i="6" s="1"/>
  <c r="AA66" i="6"/>
  <c r="AB17" i="6"/>
  <c r="AB66" i="6" s="1"/>
  <c r="O66" i="6"/>
  <c r="P17" i="6"/>
  <c r="P66" i="6" s="1"/>
  <c r="BC692" i="7"/>
  <c r="AB697" i="7"/>
  <c r="BC14" i="7"/>
  <c r="BC34" i="7"/>
  <c r="DS65" i="6"/>
  <c r="DT16" i="6"/>
  <c r="DT65" i="6" s="1"/>
  <c r="DG65" i="6"/>
  <c r="DH16" i="6"/>
  <c r="DH65" i="6" s="1"/>
  <c r="V35" i="7"/>
  <c r="V36" i="7" s="1"/>
  <c r="V38" i="7"/>
  <c r="CI65" i="6"/>
  <c r="CJ16" i="6"/>
  <c r="CJ65" i="6" s="1"/>
  <c r="T35" i="7"/>
  <c r="T36" i="7" s="1"/>
  <c r="T38" i="7"/>
  <c r="R38" i="7"/>
  <c r="R35" i="7"/>
  <c r="R36" i="7" s="1"/>
  <c r="BK65" i="6"/>
  <c r="BL16" i="6"/>
  <c r="BL65" i="6" s="1"/>
  <c r="P38" i="7"/>
  <c r="P35" i="7"/>
  <c r="P36" i="7" s="1"/>
  <c r="N35" i="7"/>
  <c r="N36" i="7" s="1"/>
  <c r="N38" i="7"/>
  <c r="J38" i="7"/>
  <c r="J35" i="7"/>
  <c r="J36" i="7" s="1"/>
  <c r="Y119" i="8"/>
  <c r="Z125" i="8"/>
  <c r="Y143" i="8"/>
  <c r="Y178" i="8"/>
  <c r="Y171" i="8"/>
  <c r="Y163" i="8"/>
  <c r="W119" i="8"/>
  <c r="X125" i="8"/>
  <c r="U119" i="8"/>
  <c r="V125" i="8"/>
  <c r="U143" i="8"/>
  <c r="U178" i="8"/>
  <c r="U171" i="8"/>
  <c r="U163" i="8"/>
  <c r="S119" i="8"/>
  <c r="T125" i="8"/>
  <c r="Q119" i="8"/>
  <c r="R125" i="8"/>
  <c r="Q143" i="8"/>
  <c r="Q178" i="8"/>
  <c r="Q171" i="8"/>
  <c r="Q163" i="8"/>
  <c r="O119" i="8"/>
  <c r="P125" i="8"/>
  <c r="M119" i="8"/>
  <c r="N125" i="8"/>
  <c r="M143" i="8"/>
  <c r="M178" i="8"/>
  <c r="M171" i="8"/>
  <c r="M163" i="8"/>
  <c r="K119" i="8"/>
  <c r="L125" i="8"/>
  <c r="I119" i="8"/>
  <c r="J125" i="8"/>
  <c r="I143" i="8"/>
  <c r="I178" i="8"/>
  <c r="I171" i="8"/>
  <c r="I163" i="8"/>
  <c r="BC768" i="7"/>
  <c r="AB772" i="7"/>
  <c r="DS60" i="6"/>
  <c r="DT13" i="6"/>
  <c r="DT62" i="6" s="1"/>
  <c r="X772" i="7"/>
  <c r="CU60" i="6"/>
  <c r="CV13" i="6"/>
  <c r="CV62" i="6" s="1"/>
  <c r="T566" i="7"/>
  <c r="T567" i="7" s="1"/>
  <c r="T772" i="7"/>
  <c r="BW60" i="6"/>
  <c r="BX13" i="6"/>
  <c r="BX62" i="6" s="1"/>
  <c r="R772" i="7"/>
  <c r="BK60" i="6"/>
  <c r="BL13" i="6"/>
  <c r="BL62" i="6" s="1"/>
  <c r="P772" i="7"/>
  <c r="AY60" i="6"/>
  <c r="AZ13" i="6"/>
  <c r="AZ62" i="6" s="1"/>
  <c r="L566" i="7"/>
  <c r="L567" i="7" s="1"/>
  <c r="AM60" i="6"/>
  <c r="AN13" i="6"/>
  <c r="AN62" i="6" s="1"/>
  <c r="L772" i="7"/>
  <c r="AA60" i="6"/>
  <c r="AB13" i="6"/>
  <c r="AB62" i="6" s="1"/>
  <c r="P13" i="6"/>
  <c r="P62" i="6" s="1"/>
  <c r="H772" i="7"/>
  <c r="DG94" i="6"/>
  <c r="DH45" i="6"/>
  <c r="DH94" i="6" s="1"/>
  <c r="CU94" i="6"/>
  <c r="CV45" i="6"/>
  <c r="CV94" i="6" s="1"/>
  <c r="CI94" i="6"/>
  <c r="CJ45" i="6"/>
  <c r="CJ94" i="6" s="1"/>
  <c r="BK94" i="6"/>
  <c r="BL45" i="6"/>
  <c r="BL94" i="6" s="1"/>
  <c r="AM94" i="6"/>
  <c r="AN45" i="6"/>
  <c r="AN94" i="6" s="1"/>
  <c r="O94" i="6"/>
  <c r="P45" i="6"/>
  <c r="P94" i="6" s="1"/>
  <c r="CO89" i="6"/>
  <c r="CP40" i="6"/>
  <c r="CP89" i="6" s="1"/>
  <c r="BQ89" i="6"/>
  <c r="BR40" i="6"/>
  <c r="BR89" i="6" s="1"/>
  <c r="AS89" i="6"/>
  <c r="AT40" i="6"/>
  <c r="AT89" i="6" s="1"/>
  <c r="U89" i="6"/>
  <c r="V40" i="6"/>
  <c r="V89" i="6" s="1"/>
  <c r="AA204" i="7"/>
  <c r="DY30" i="6"/>
  <c r="AA778" i="7"/>
  <c r="AA210" i="7"/>
  <c r="AA222" i="7"/>
  <c r="W204" i="7"/>
  <c r="W222" i="7"/>
  <c r="W210" i="7"/>
  <c r="DA30" i="6"/>
  <c r="W778" i="7"/>
  <c r="S204" i="7"/>
  <c r="CC30" i="6"/>
  <c r="S210" i="7"/>
  <c r="S222" i="7"/>
  <c r="S778" i="7"/>
  <c r="O204" i="7"/>
  <c r="O222" i="7"/>
  <c r="O210" i="7"/>
  <c r="BE30" i="6"/>
  <c r="O778" i="7"/>
  <c r="K204" i="7"/>
  <c r="AG30" i="6"/>
  <c r="K210" i="7"/>
  <c r="K222" i="7"/>
  <c r="K778" i="7"/>
  <c r="Y779" i="7"/>
  <c r="DM28" i="6"/>
  <c r="Y346" i="7"/>
  <c r="Y328" i="7"/>
  <c r="U779" i="7"/>
  <c r="CO28" i="6"/>
  <c r="U346" i="7"/>
  <c r="U328" i="7"/>
  <c r="BQ28" i="6"/>
  <c r="Q346" i="7"/>
  <c r="Q779" i="7"/>
  <c r="Q328" i="7"/>
  <c r="M779" i="7"/>
  <c r="AS28" i="6"/>
  <c r="M346" i="7"/>
  <c r="M328" i="7"/>
  <c r="U28" i="6"/>
  <c r="I346" i="7"/>
  <c r="I779" i="7"/>
  <c r="I328" i="7"/>
  <c r="DY73" i="6"/>
  <c r="DZ31" i="6"/>
  <c r="DZ80" i="6" s="1"/>
  <c r="DS73" i="6"/>
  <c r="DM73" i="6"/>
  <c r="DN31" i="6"/>
  <c r="DN80" i="6" s="1"/>
  <c r="CU73" i="6"/>
  <c r="CO73" i="6"/>
  <c r="CP31" i="6"/>
  <c r="CP80" i="6" s="1"/>
  <c r="CC73" i="6"/>
  <c r="CD31" i="6"/>
  <c r="CD80" i="6" s="1"/>
  <c r="BW73" i="6"/>
  <c r="BQ73" i="6"/>
  <c r="BR31" i="6"/>
  <c r="BR80" i="6" s="1"/>
  <c r="AS73" i="6"/>
  <c r="AT31" i="6"/>
  <c r="AT80" i="6" s="1"/>
  <c r="AG73" i="6"/>
  <c r="AH31" i="6"/>
  <c r="AH80" i="6" s="1"/>
  <c r="U73" i="6"/>
  <c r="V31" i="6"/>
  <c r="V80" i="6" s="1"/>
  <c r="J33" i="6"/>
  <c r="K77" i="6"/>
  <c r="J31" i="6"/>
  <c r="K73" i="6"/>
  <c r="AS66" i="6"/>
  <c r="AT17" i="6"/>
  <c r="AT66" i="6" s="1"/>
  <c r="AG66" i="6"/>
  <c r="AH17" i="6"/>
  <c r="AH66" i="6" s="1"/>
  <c r="U66" i="6"/>
  <c r="V17" i="6"/>
  <c r="V66" i="6" s="1"/>
  <c r="DY65" i="6"/>
  <c r="DZ16" i="6"/>
  <c r="DZ65" i="6" s="1"/>
  <c r="DM65" i="6"/>
  <c r="DN16" i="6"/>
  <c r="DN65" i="6" s="1"/>
  <c r="W35" i="7"/>
  <c r="W36" i="7" s="1"/>
  <c r="Z37" i="7" s="1"/>
  <c r="W38" i="7"/>
  <c r="Z39" i="7" s="1"/>
  <c r="U38" i="7"/>
  <c r="U35" i="7"/>
  <c r="U36" i="7" s="1"/>
  <c r="S35" i="7"/>
  <c r="S36" i="7" s="1"/>
  <c r="S38" i="7"/>
  <c r="Q38" i="7"/>
  <c r="Q35" i="7"/>
  <c r="Q36" i="7" s="1"/>
  <c r="O35" i="7"/>
  <c r="O36" i="7" s="1"/>
  <c r="O38" i="7"/>
  <c r="M38" i="7"/>
  <c r="M35" i="7"/>
  <c r="M36" i="7" s="1"/>
  <c r="K35" i="7"/>
  <c r="K36" i="7" s="1"/>
  <c r="K38" i="7"/>
  <c r="I38" i="7"/>
  <c r="I35" i="7"/>
  <c r="I36" i="7" s="1"/>
  <c r="Z119" i="8"/>
  <c r="Z118" i="8"/>
  <c r="X119" i="8"/>
  <c r="Y125" i="8"/>
  <c r="V171" i="8"/>
  <c r="V143" i="8"/>
  <c r="V163" i="8"/>
  <c r="V178" i="8"/>
  <c r="V118" i="8"/>
  <c r="T119" i="8"/>
  <c r="U125" i="8"/>
  <c r="R171" i="8"/>
  <c r="R143" i="8"/>
  <c r="R163" i="8"/>
  <c r="R178" i="8"/>
  <c r="R118" i="8"/>
  <c r="P119" i="8"/>
  <c r="Q125" i="8"/>
  <c r="N171" i="8"/>
  <c r="N143" i="8"/>
  <c r="N163" i="8"/>
  <c r="N178" i="8"/>
  <c r="N118" i="8"/>
  <c r="L119" i="8"/>
  <c r="M125" i="8"/>
  <c r="J171" i="8"/>
  <c r="J143" i="8"/>
  <c r="J163" i="8"/>
  <c r="J178" i="8"/>
  <c r="J118" i="8"/>
  <c r="H119" i="8"/>
  <c r="I125" i="8"/>
  <c r="Y197" i="8"/>
  <c r="Y204" i="8" s="1"/>
  <c r="Y566" i="7"/>
  <c r="Y567" i="7" s="1"/>
  <c r="Y772" i="7"/>
  <c r="W197" i="8"/>
  <c r="W204" i="8" s="1"/>
  <c r="W566" i="7"/>
  <c r="W567" i="7" s="1"/>
  <c r="U197" i="8"/>
  <c r="U204" i="8" s="1"/>
  <c r="U566" i="7"/>
  <c r="U567" i="7" s="1"/>
  <c r="U772" i="7"/>
  <c r="S197" i="8"/>
  <c r="S204" i="8" s="1"/>
  <c r="S566" i="7"/>
  <c r="S567" i="7" s="1"/>
  <c r="Q197" i="8"/>
  <c r="Q204" i="8" s="1"/>
  <c r="Q566" i="7"/>
  <c r="Q567" i="7" s="1"/>
  <c r="Q772" i="7"/>
  <c r="O197" i="8"/>
  <c r="O204" i="8" s="1"/>
  <c r="O566" i="7"/>
  <c r="O567" i="7" s="1"/>
  <c r="M197" i="8"/>
  <c r="M204" i="8" s="1"/>
  <c r="M566" i="7"/>
  <c r="M567" i="7" s="1"/>
  <c r="M772" i="7"/>
  <c r="K197" i="8"/>
  <c r="K204" i="8" s="1"/>
  <c r="K566" i="7"/>
  <c r="K567" i="7" s="1"/>
  <c r="I197" i="8"/>
  <c r="I204" i="8" s="1"/>
  <c r="I566" i="7"/>
  <c r="I567" i="7" s="1"/>
  <c r="I772" i="7"/>
  <c r="DM94" i="6"/>
  <c r="DS94" i="6"/>
  <c r="DN45" i="6"/>
  <c r="DN94" i="6" s="1"/>
  <c r="CO94" i="6"/>
  <c r="CP45" i="6"/>
  <c r="CP94" i="6" s="1"/>
  <c r="BQ94" i="6"/>
  <c r="BR45" i="6"/>
  <c r="BR94" i="6" s="1"/>
  <c r="AS94" i="6"/>
  <c r="AT45" i="6"/>
  <c r="AT94" i="6" s="1"/>
  <c r="U94" i="6"/>
  <c r="V45" i="6"/>
  <c r="V94" i="6" s="1"/>
  <c r="Z500" i="7"/>
  <c r="X791" i="7"/>
  <c r="DG89" i="6"/>
  <c r="DH40" i="6"/>
  <c r="DH89" i="6" s="1"/>
  <c r="T791" i="7"/>
  <c r="CI89" i="6"/>
  <c r="CJ40" i="6"/>
  <c r="CJ89" i="6" s="1"/>
  <c r="P791" i="7"/>
  <c r="BK89" i="6"/>
  <c r="BL40" i="6"/>
  <c r="BL89" i="6" s="1"/>
  <c r="L791" i="7"/>
  <c r="AM89" i="6"/>
  <c r="AN40" i="6"/>
  <c r="AN89" i="6" s="1"/>
  <c r="H791" i="7"/>
  <c r="P40" i="6"/>
  <c r="P89" i="6" s="1"/>
  <c r="Z222" i="7"/>
  <c r="DS30" i="6"/>
  <c r="Z210" i="7"/>
  <c r="Z778" i="7"/>
  <c r="Z204" i="7"/>
  <c r="CU30" i="6"/>
  <c r="V222" i="7"/>
  <c r="V778" i="7"/>
  <c r="V210" i="7"/>
  <c r="V204" i="7"/>
  <c r="BW30" i="6"/>
  <c r="R222" i="7"/>
  <c r="R778" i="7"/>
  <c r="R210" i="7"/>
  <c r="R204" i="7"/>
  <c r="AY30" i="6"/>
  <c r="N222" i="7"/>
  <c r="N778" i="7"/>
  <c r="N210" i="7"/>
  <c r="N204" i="7"/>
  <c r="AA30" i="6"/>
  <c r="J222" i="7"/>
  <c r="J778" i="7"/>
  <c r="J210" i="7"/>
  <c r="J204" i="7"/>
  <c r="BC327" i="7"/>
  <c r="EE28" i="6"/>
  <c r="AB779" i="7"/>
  <c r="BC779" i="7" s="1"/>
  <c r="AB328" i="7"/>
  <c r="BC328" i="7" s="1"/>
  <c r="Y337" i="7"/>
  <c r="DG28" i="6"/>
  <c r="DH33" i="6" s="1"/>
  <c r="DH82" i="6" s="1"/>
  <c r="X346" i="7"/>
  <c r="X779" i="7"/>
  <c r="X337" i="7"/>
  <c r="X328" i="7"/>
  <c r="U337" i="7"/>
  <c r="CI28" i="6"/>
  <c r="T346" i="7"/>
  <c r="T779" i="7"/>
  <c r="T337" i="7"/>
  <c r="T328" i="7"/>
  <c r="Q337" i="7"/>
  <c r="BK28" i="6"/>
  <c r="BL33" i="6" s="1"/>
  <c r="BL82" i="6" s="1"/>
  <c r="P346" i="7"/>
  <c r="P779" i="7"/>
  <c r="P337" i="7"/>
  <c r="P328" i="7"/>
  <c r="M337" i="7"/>
  <c r="L779" i="7"/>
  <c r="L337" i="7"/>
  <c r="L346" i="7"/>
  <c r="AM28" i="6"/>
  <c r="AN33" i="6" s="1"/>
  <c r="AN82" i="6" s="1"/>
  <c r="L328" i="7"/>
  <c r="I337" i="7"/>
  <c r="H779" i="7"/>
  <c r="H337" i="7"/>
  <c r="O28" i="6"/>
  <c r="H346" i="7"/>
  <c r="H328" i="7"/>
  <c r="AY81" i="6"/>
  <c r="AU32" i="6"/>
  <c r="BE81" i="6"/>
  <c r="AA81" i="6"/>
  <c r="W32" i="6"/>
  <c r="CI73" i="6"/>
  <c r="CJ31" i="6"/>
  <c r="CJ80" i="6" s="1"/>
  <c r="AM73" i="6"/>
  <c r="AN31" i="6"/>
  <c r="AN80" i="6" s="1"/>
  <c r="AA73" i="6"/>
  <c r="AB31" i="6"/>
  <c r="AB80" i="6" s="1"/>
  <c r="G778" i="7"/>
  <c r="G204" i="7"/>
  <c r="G222" i="7"/>
  <c r="I30" i="6"/>
  <c r="E30" i="6" s="1"/>
  <c r="EE65" i="6"/>
  <c r="EF16" i="6"/>
  <c r="EF65" i="6" s="1"/>
  <c r="AU231" i="2"/>
  <c r="G436" i="20"/>
  <c r="X436" i="20" s="1"/>
  <c r="F195" i="20"/>
  <c r="W195" i="20" s="1"/>
  <c r="G195" i="20"/>
  <c r="X195" i="20" s="1"/>
  <c r="CU65" i="6"/>
  <c r="CV16" i="6"/>
  <c r="CV65" i="6" s="1"/>
  <c r="BW65" i="6"/>
  <c r="BX16" i="6"/>
  <c r="BX65" i="6" s="1"/>
  <c r="AY65" i="6"/>
  <c r="AZ16" i="6"/>
  <c r="AZ65" i="6" s="1"/>
  <c r="AA65" i="6"/>
  <c r="AB16" i="6"/>
  <c r="AB65" i="6" s="1"/>
  <c r="G783" i="7" l="1"/>
  <c r="BE73" i="6"/>
  <c r="AY73" i="6"/>
  <c r="AD256" i="7"/>
  <c r="L126" i="8"/>
  <c r="V774" i="7"/>
  <c r="BC38" i="7"/>
  <c r="J39" i="7"/>
  <c r="J121" i="21" s="1"/>
  <c r="Q793" i="7"/>
  <c r="Z793" i="7"/>
  <c r="O783" i="7"/>
  <c r="O786" i="7" s="1"/>
  <c r="T126" i="8"/>
  <c r="AA793" i="7"/>
  <c r="I793" i="7"/>
  <c r="DO81" i="6"/>
  <c r="DI81" i="6"/>
  <c r="DN32" i="6"/>
  <c r="DN81" i="6" s="1"/>
  <c r="J774" i="7"/>
  <c r="DC81" i="6"/>
  <c r="DH32" i="6"/>
  <c r="DH81" i="6" s="1"/>
  <c r="S107" i="21"/>
  <c r="Q126" i="8"/>
  <c r="M107" i="21"/>
  <c r="AB39" i="7"/>
  <c r="J105" i="21"/>
  <c r="AC37" i="7"/>
  <c r="C242" i="2"/>
  <c r="AT242" i="2" s="1"/>
  <c r="AC783" i="7"/>
  <c r="AC785" i="7" s="1"/>
  <c r="J13" i="6"/>
  <c r="AC125" i="8"/>
  <c r="BC566" i="7"/>
  <c r="Y126" i="8"/>
  <c r="X37" i="7"/>
  <c r="U107" i="21"/>
  <c r="W107" i="21"/>
  <c r="Y39" i="7"/>
  <c r="Y121" i="21" s="1"/>
  <c r="BY81" i="6"/>
  <c r="CD32" i="6"/>
  <c r="CD81" i="6" s="1"/>
  <c r="CW81" i="6"/>
  <c r="CV32" i="6"/>
  <c r="CV81" i="6" s="1"/>
  <c r="CQ81" i="6"/>
  <c r="AB793" i="7"/>
  <c r="BC793" i="7" s="1"/>
  <c r="AB107" i="21"/>
  <c r="BC791" i="7"/>
  <c r="D242" i="2"/>
  <c r="BL32" i="6"/>
  <c r="BL81" i="6" s="1"/>
  <c r="BG81" i="6"/>
  <c r="CE81" i="6"/>
  <c r="CJ32" i="6"/>
  <c r="CJ81" i="6" s="1"/>
  <c r="CK81" i="6"/>
  <c r="CP32" i="6"/>
  <c r="CP81" i="6" s="1"/>
  <c r="X39" i="7"/>
  <c r="X121" i="21" s="1"/>
  <c r="Y37" i="7"/>
  <c r="BS81" i="6"/>
  <c r="BR32" i="6"/>
  <c r="BR81" i="6" s="1"/>
  <c r="BM81" i="6"/>
  <c r="I126" i="8"/>
  <c r="V775" i="7"/>
  <c r="J783" i="7"/>
  <c r="J106" i="21" s="1"/>
  <c r="R783" i="7"/>
  <c r="R106" i="21" s="1"/>
  <c r="G775" i="7"/>
  <c r="K107" i="21"/>
  <c r="N775" i="7"/>
  <c r="Z774" i="7"/>
  <c r="O107" i="21"/>
  <c r="AA126" i="8"/>
  <c r="EL33" i="6"/>
  <c r="EL82" i="6" s="1"/>
  <c r="EQ77" i="6"/>
  <c r="M126" i="8"/>
  <c r="W783" i="7"/>
  <c r="W786" i="7" s="1"/>
  <c r="N774" i="7"/>
  <c r="Z105" i="21"/>
  <c r="N105" i="21"/>
  <c r="U126" i="8"/>
  <c r="AC119" i="8"/>
  <c r="O48" i="6"/>
  <c r="O49" i="6" s="1"/>
  <c r="N37" i="7"/>
  <c r="P39" i="7"/>
  <c r="P121" i="21" s="1"/>
  <c r="R37" i="7"/>
  <c r="V37" i="7"/>
  <c r="AA121" i="21"/>
  <c r="N783" i="7"/>
  <c r="N785" i="7" s="1"/>
  <c r="AY48" i="6"/>
  <c r="AY49" i="6" s="1"/>
  <c r="V783" i="7"/>
  <c r="V786" i="7" s="1"/>
  <c r="Z783" i="7"/>
  <c r="Z106" i="21" s="1"/>
  <c r="DS48" i="6"/>
  <c r="DT48" i="6" s="1"/>
  <c r="DT97" i="6" s="1"/>
  <c r="L37" i="7"/>
  <c r="N39" i="7"/>
  <c r="N121" i="21" s="1"/>
  <c r="R39" i="7"/>
  <c r="R121" i="21" s="1"/>
  <c r="T37" i="7"/>
  <c r="V39" i="7"/>
  <c r="V121" i="21" s="1"/>
  <c r="AS48" i="6"/>
  <c r="AT48" i="6" s="1"/>
  <c r="AT97" i="6" s="1"/>
  <c r="CO48" i="6"/>
  <c r="CO49" i="6" s="1"/>
  <c r="K783" i="7"/>
  <c r="K106" i="21" s="1"/>
  <c r="S783" i="7"/>
  <c r="S106" i="21" s="1"/>
  <c r="AA783" i="7"/>
  <c r="AA786" i="7" s="1"/>
  <c r="P126" i="8"/>
  <c r="X126" i="8"/>
  <c r="CI48" i="6"/>
  <c r="CJ48" i="6" s="1"/>
  <c r="CJ97" i="6" s="1"/>
  <c r="DG48" i="6"/>
  <c r="DG49" i="6" s="1"/>
  <c r="J30" i="6"/>
  <c r="K79" i="6"/>
  <c r="W81" i="6"/>
  <c r="AB32" i="6"/>
  <c r="AB81" i="6" s="1"/>
  <c r="EE77" i="6"/>
  <c r="EF33" i="6"/>
  <c r="EF82" i="6" s="1"/>
  <c r="EK77" i="6"/>
  <c r="AA79" i="6"/>
  <c r="AB30" i="6"/>
  <c r="AB79" i="6" s="1"/>
  <c r="BW79" i="6"/>
  <c r="BX30" i="6"/>
  <c r="BX79" i="6" s="1"/>
  <c r="L793" i="7"/>
  <c r="L107" i="21"/>
  <c r="T793" i="7"/>
  <c r="T107" i="21"/>
  <c r="I105" i="21"/>
  <c r="I774" i="7"/>
  <c r="I775" i="7"/>
  <c r="Q775" i="7"/>
  <c r="Q105" i="21"/>
  <c r="Q774" i="7"/>
  <c r="Y105" i="21"/>
  <c r="Y774" i="7"/>
  <c r="Y775" i="7"/>
  <c r="J170" i="8"/>
  <c r="J177" i="8"/>
  <c r="J142" i="8"/>
  <c r="N157" i="8"/>
  <c r="N150" i="8"/>
  <c r="R177" i="8"/>
  <c r="R142" i="8"/>
  <c r="R170" i="8"/>
  <c r="V157" i="8"/>
  <c r="V150" i="8"/>
  <c r="L39" i="7"/>
  <c r="L121" i="21" s="1"/>
  <c r="P37" i="7"/>
  <c r="T39" i="7"/>
  <c r="T121" i="21" s="1"/>
  <c r="Z121" i="21"/>
  <c r="U77" i="6"/>
  <c r="V33" i="6"/>
  <c r="V82" i="6" s="1"/>
  <c r="BQ77" i="6"/>
  <c r="BR33" i="6"/>
  <c r="BR82" i="6" s="1"/>
  <c r="AG79" i="6"/>
  <c r="AH30" i="6"/>
  <c r="AH79" i="6" s="1"/>
  <c r="CC79" i="6"/>
  <c r="CD30" i="6"/>
  <c r="CD79" i="6" s="1"/>
  <c r="EE79" i="6"/>
  <c r="DY79" i="6"/>
  <c r="DZ30" i="6"/>
  <c r="DZ79" i="6" s="1"/>
  <c r="H105" i="21"/>
  <c r="H774" i="7"/>
  <c r="H775" i="7"/>
  <c r="X775" i="7"/>
  <c r="X105" i="21"/>
  <c r="X774" i="7"/>
  <c r="AB105" i="21"/>
  <c r="AB774" i="7"/>
  <c r="BC774" i="7" s="1"/>
  <c r="AB775" i="7"/>
  <c r="BC775" i="7" s="1"/>
  <c r="BC772" i="7"/>
  <c r="I170" i="8"/>
  <c r="I177" i="8"/>
  <c r="I142" i="8"/>
  <c r="J126" i="8"/>
  <c r="M170" i="8"/>
  <c r="M177" i="8"/>
  <c r="M142" i="8"/>
  <c r="N126" i="8"/>
  <c r="Q170" i="8"/>
  <c r="Q177" i="8"/>
  <c r="Q142" i="8"/>
  <c r="R126" i="8"/>
  <c r="U170" i="8"/>
  <c r="U177" i="8"/>
  <c r="U142" i="8"/>
  <c r="V126" i="8"/>
  <c r="Y170" i="8"/>
  <c r="Y177" i="8"/>
  <c r="Y142" i="8"/>
  <c r="Z126" i="8"/>
  <c r="M37" i="7"/>
  <c r="Q37" i="7"/>
  <c r="S37" i="7"/>
  <c r="U37" i="7"/>
  <c r="W37" i="7"/>
  <c r="AA77" i="6"/>
  <c r="AB33" i="6"/>
  <c r="AB82" i="6" s="1"/>
  <c r="AY77" i="6"/>
  <c r="AZ33" i="6"/>
  <c r="AZ82" i="6" s="1"/>
  <c r="BW77" i="6"/>
  <c r="BX33" i="6"/>
  <c r="BX82" i="6" s="1"/>
  <c r="DY77" i="6"/>
  <c r="DS77" i="6"/>
  <c r="DT33" i="6"/>
  <c r="DT82" i="6" s="1"/>
  <c r="H783" i="7"/>
  <c r="L783" i="7"/>
  <c r="P783" i="7"/>
  <c r="T783" i="7"/>
  <c r="X783" i="7"/>
  <c r="BC778" i="7"/>
  <c r="AB783" i="7"/>
  <c r="N793" i="7"/>
  <c r="N107" i="21"/>
  <c r="V793" i="7"/>
  <c r="V107" i="21"/>
  <c r="U48" i="6"/>
  <c r="K105" i="21"/>
  <c r="K774" i="7"/>
  <c r="K775" i="7"/>
  <c r="BQ48" i="6"/>
  <c r="CC48" i="6"/>
  <c r="S775" i="7"/>
  <c r="S105" i="21"/>
  <c r="S774" i="7"/>
  <c r="AA774" i="7"/>
  <c r="C240" i="2"/>
  <c r="AT240" i="2" s="1"/>
  <c r="AA105" i="21"/>
  <c r="AA775" i="7"/>
  <c r="H177" i="8"/>
  <c r="H142" i="8"/>
  <c r="H170" i="8"/>
  <c r="L150" i="8"/>
  <c r="L157" i="8"/>
  <c r="O126" i="8"/>
  <c r="P170" i="8"/>
  <c r="P177" i="8"/>
  <c r="P142" i="8"/>
  <c r="T150" i="8"/>
  <c r="T157" i="8"/>
  <c r="W126" i="8"/>
  <c r="X177" i="8"/>
  <c r="X142" i="8"/>
  <c r="X170" i="8"/>
  <c r="Z177" i="8"/>
  <c r="Z142" i="8"/>
  <c r="Z170" i="8"/>
  <c r="AB119" i="8"/>
  <c r="K39" i="7"/>
  <c r="K121" i="21" s="1"/>
  <c r="O37" i="7"/>
  <c r="Q81" i="6"/>
  <c r="V32" i="6"/>
  <c r="V81" i="6" s="1"/>
  <c r="AH32" i="6"/>
  <c r="AH81" i="6" s="1"/>
  <c r="AC81" i="6"/>
  <c r="AO81" i="6"/>
  <c r="AT32" i="6"/>
  <c r="AT81" i="6" s="1"/>
  <c r="BK77" i="6"/>
  <c r="BF33" i="6"/>
  <c r="BF82" i="6" s="1"/>
  <c r="BE77" i="6"/>
  <c r="DG77" i="6"/>
  <c r="DA77" i="6"/>
  <c r="DB33" i="6"/>
  <c r="DB82" i="6" s="1"/>
  <c r="EE48" i="6"/>
  <c r="G142" i="8"/>
  <c r="G156" i="8" s="1"/>
  <c r="G177" i="8"/>
  <c r="K177" i="8"/>
  <c r="K142" i="8"/>
  <c r="K170" i="8"/>
  <c r="O177" i="8"/>
  <c r="O142" i="8"/>
  <c r="O170" i="8"/>
  <c r="S177" i="8"/>
  <c r="S142" i="8"/>
  <c r="S170" i="8"/>
  <c r="W177" i="8"/>
  <c r="W142" i="8"/>
  <c r="W170" i="8"/>
  <c r="AA119" i="8"/>
  <c r="AB125" i="8"/>
  <c r="AB126" i="8" s="1"/>
  <c r="AA143" i="8"/>
  <c r="AA163" i="8"/>
  <c r="AA178" i="8"/>
  <c r="AA171" i="8"/>
  <c r="G785" i="7"/>
  <c r="G786" i="7"/>
  <c r="AU81" i="6"/>
  <c r="BA81" i="6"/>
  <c r="AZ32" i="6"/>
  <c r="AZ81" i="6" s="1"/>
  <c r="O77" i="6"/>
  <c r="P33" i="6"/>
  <c r="P82" i="6" s="1"/>
  <c r="CI77" i="6"/>
  <c r="CJ33" i="6"/>
  <c r="CJ82" i="6" s="1"/>
  <c r="AY79" i="6"/>
  <c r="AZ30" i="6"/>
  <c r="AZ79" i="6" s="1"/>
  <c r="CU79" i="6"/>
  <c r="CV30" i="6"/>
  <c r="CV79" i="6" s="1"/>
  <c r="DS79" i="6"/>
  <c r="DT30" i="6"/>
  <c r="DT79" i="6" s="1"/>
  <c r="H793" i="7"/>
  <c r="H107" i="21"/>
  <c r="P793" i="7"/>
  <c r="P107" i="21"/>
  <c r="X793" i="7"/>
  <c r="X107" i="21"/>
  <c r="M105" i="21"/>
  <c r="M774" i="7"/>
  <c r="M775" i="7"/>
  <c r="U775" i="7"/>
  <c r="U105" i="21"/>
  <c r="U774" i="7"/>
  <c r="J150" i="8"/>
  <c r="J157" i="8"/>
  <c r="N177" i="8"/>
  <c r="N142" i="8"/>
  <c r="N170" i="8"/>
  <c r="R150" i="8"/>
  <c r="R157" i="8"/>
  <c r="V170" i="8"/>
  <c r="V177" i="8"/>
  <c r="V142" i="8"/>
  <c r="AS77" i="6"/>
  <c r="AT33" i="6"/>
  <c r="AT82" i="6" s="1"/>
  <c r="CO77" i="6"/>
  <c r="CP33" i="6"/>
  <c r="CP82" i="6" s="1"/>
  <c r="DM77" i="6"/>
  <c r="DN33" i="6"/>
  <c r="DN82" i="6" s="1"/>
  <c r="BE79" i="6"/>
  <c r="BF30" i="6"/>
  <c r="BF79" i="6" s="1"/>
  <c r="DA79" i="6"/>
  <c r="DB30" i="6"/>
  <c r="DB79" i="6" s="1"/>
  <c r="AA48" i="6"/>
  <c r="L775" i="7"/>
  <c r="L105" i="21"/>
  <c r="L774" i="7"/>
  <c r="AM48" i="6"/>
  <c r="P775" i="7"/>
  <c r="P105" i="21"/>
  <c r="P774" i="7"/>
  <c r="BK48" i="6"/>
  <c r="R775" i="7"/>
  <c r="R105" i="21"/>
  <c r="R774" i="7"/>
  <c r="BW48" i="6"/>
  <c r="T105" i="21"/>
  <c r="T774" i="7"/>
  <c r="T775" i="7"/>
  <c r="CU48" i="6"/>
  <c r="I157" i="8"/>
  <c r="I150" i="8"/>
  <c r="M157" i="8"/>
  <c r="M150" i="8"/>
  <c r="Q157" i="8"/>
  <c r="Q150" i="8"/>
  <c r="U157" i="8"/>
  <c r="U150" i="8"/>
  <c r="Y157" i="8"/>
  <c r="Y150" i="8"/>
  <c r="M39" i="7"/>
  <c r="M121" i="21" s="1"/>
  <c r="Q39" i="7"/>
  <c r="Q121" i="21" s="1"/>
  <c r="S39" i="7"/>
  <c r="S121" i="21" s="1"/>
  <c r="U39" i="7"/>
  <c r="U121" i="21" s="1"/>
  <c r="W39" i="7"/>
  <c r="W121" i="21" s="1"/>
  <c r="BC36" i="7"/>
  <c r="BC35" i="7"/>
  <c r="AB699" i="7"/>
  <c r="BC699" i="7" s="1"/>
  <c r="BC697" i="7"/>
  <c r="K81" i="6"/>
  <c r="P32" i="6"/>
  <c r="P81" i="6" s="1"/>
  <c r="AI81" i="6"/>
  <c r="AN32" i="6"/>
  <c r="AN81" i="6" s="1"/>
  <c r="CU77" i="6"/>
  <c r="CV33" i="6"/>
  <c r="CV82" i="6" s="1"/>
  <c r="U79" i="6"/>
  <c r="P30" i="6"/>
  <c r="P79" i="6" s="1"/>
  <c r="O79" i="6"/>
  <c r="AS79" i="6"/>
  <c r="AN30" i="6"/>
  <c r="AN79" i="6" s="1"/>
  <c r="AM79" i="6"/>
  <c r="BQ79" i="6"/>
  <c r="BK79" i="6"/>
  <c r="BL30" i="6"/>
  <c r="BL79" i="6" s="1"/>
  <c r="CO79" i="6"/>
  <c r="CJ30" i="6"/>
  <c r="CJ79" i="6" s="1"/>
  <c r="CI79" i="6"/>
  <c r="DM79" i="6"/>
  <c r="DG79" i="6"/>
  <c r="DH30" i="6"/>
  <c r="DH79" i="6" s="1"/>
  <c r="EK30" i="6"/>
  <c r="EK79" i="6" s="1"/>
  <c r="AD202" i="7"/>
  <c r="J793" i="7"/>
  <c r="J107" i="21"/>
  <c r="R793" i="7"/>
  <c r="R107" i="21"/>
  <c r="AG48" i="6"/>
  <c r="BE48" i="6"/>
  <c r="O105" i="21"/>
  <c r="O774" i="7"/>
  <c r="O775" i="7"/>
  <c r="DA48" i="6"/>
  <c r="W105" i="21"/>
  <c r="W774" i="7"/>
  <c r="W775" i="7"/>
  <c r="DM48" i="6"/>
  <c r="DY48" i="6"/>
  <c r="H157" i="8"/>
  <c r="H150" i="8"/>
  <c r="K126" i="8"/>
  <c r="L170" i="8"/>
  <c r="L177" i="8"/>
  <c r="L142" i="8"/>
  <c r="P157" i="8"/>
  <c r="P150" i="8"/>
  <c r="S126" i="8"/>
  <c r="T177" i="8"/>
  <c r="T142" i="8"/>
  <c r="T170" i="8"/>
  <c r="X157" i="8"/>
  <c r="X150" i="8"/>
  <c r="Z150" i="8"/>
  <c r="Z157" i="8"/>
  <c r="AB178" i="8"/>
  <c r="AB163" i="8"/>
  <c r="AB171" i="8"/>
  <c r="AB143" i="8"/>
  <c r="AB138" i="8"/>
  <c r="AB111" i="8"/>
  <c r="AC118" i="8" s="1"/>
  <c r="K37" i="7"/>
  <c r="O39" i="7"/>
  <c r="O121" i="21" s="1"/>
  <c r="AM77" i="6"/>
  <c r="AG77" i="6"/>
  <c r="AH33" i="6"/>
  <c r="AH82" i="6" s="1"/>
  <c r="CC77" i="6"/>
  <c r="CD33" i="6"/>
  <c r="CD82" i="6" s="1"/>
  <c r="I783" i="7"/>
  <c r="M783" i="7"/>
  <c r="Q783" i="7"/>
  <c r="U783" i="7"/>
  <c r="Y783" i="7"/>
  <c r="K157" i="8"/>
  <c r="K150" i="8"/>
  <c r="O157" i="8"/>
  <c r="O150" i="8"/>
  <c r="S157" i="8"/>
  <c r="S150" i="8"/>
  <c r="W157" i="8"/>
  <c r="W150" i="8"/>
  <c r="Y793" i="7"/>
  <c r="Y107" i="21"/>
  <c r="DM89" i="6"/>
  <c r="DN40" i="6"/>
  <c r="DN89" i="6" s="1"/>
  <c r="AE256" i="7" l="1"/>
  <c r="AF256" i="7" s="1"/>
  <c r="FC24" i="6" s="1"/>
  <c r="AD780" i="7"/>
  <c r="EQ24" i="6"/>
  <c r="EQ73" i="6" s="1"/>
  <c r="O785" i="7"/>
  <c r="O2" i="7" s="1"/>
  <c r="W106" i="21"/>
  <c r="O106" i="21"/>
  <c r="AA785" i="7"/>
  <c r="AA2" i="7" s="1"/>
  <c r="J786" i="7"/>
  <c r="AC786" i="7"/>
  <c r="K786" i="7"/>
  <c r="V106" i="21"/>
  <c r="E516" i="20"/>
  <c r="V516" i="20" s="1"/>
  <c r="AU242" i="2"/>
  <c r="J785" i="7"/>
  <c r="J2" i="7" s="1"/>
  <c r="C241" i="2"/>
  <c r="AT241" i="2" s="1"/>
  <c r="AA106" i="21"/>
  <c r="K785" i="7"/>
  <c r="K2" i="7" s="1"/>
  <c r="V785" i="7"/>
  <c r="V2" i="7" s="1"/>
  <c r="N786" i="7"/>
  <c r="N106" i="21"/>
  <c r="R785" i="7"/>
  <c r="R2" i="7" s="1"/>
  <c r="R786" i="7"/>
  <c r="DS49" i="6"/>
  <c r="P48" i="6"/>
  <c r="P97" i="6" s="1"/>
  <c r="W785" i="7"/>
  <c r="W2" i="7" s="1"/>
  <c r="Z786" i="7"/>
  <c r="S785" i="7"/>
  <c r="S2" i="7" s="1"/>
  <c r="Z785" i="7"/>
  <c r="Z2" i="7" s="1"/>
  <c r="AC126" i="8"/>
  <c r="S786" i="7"/>
  <c r="N2" i="7"/>
  <c r="CI97" i="6"/>
  <c r="DH48" i="6"/>
  <c r="DH97" i="6" s="1"/>
  <c r="AS49" i="6"/>
  <c r="AY97" i="6"/>
  <c r="CO97" i="6"/>
  <c r="CI49" i="6"/>
  <c r="AZ48" i="6"/>
  <c r="AZ97" i="6" s="1"/>
  <c r="CP48" i="6"/>
  <c r="CP97" i="6" s="1"/>
  <c r="U106" i="21"/>
  <c r="U785" i="7"/>
  <c r="U2" i="7" s="1"/>
  <c r="U786" i="7"/>
  <c r="M786" i="7"/>
  <c r="M106" i="21"/>
  <c r="M785" i="7"/>
  <c r="M2" i="7" s="1"/>
  <c r="T149" i="8"/>
  <c r="T156" i="8"/>
  <c r="DM97" i="6"/>
  <c r="DM49" i="6"/>
  <c r="DN48" i="6"/>
  <c r="DN97" i="6" s="1"/>
  <c r="DA49" i="6"/>
  <c r="DA97" i="6"/>
  <c r="DB48" i="6"/>
  <c r="DB97" i="6" s="1"/>
  <c r="BE49" i="6"/>
  <c r="BE97" i="6"/>
  <c r="BF48" i="6"/>
  <c r="BF97" i="6" s="1"/>
  <c r="CU97" i="6"/>
  <c r="CU49" i="6"/>
  <c r="CV48" i="6"/>
  <c r="CV97" i="6" s="1"/>
  <c r="BW97" i="6"/>
  <c r="BW49" i="6"/>
  <c r="BX48" i="6"/>
  <c r="BX97" i="6" s="1"/>
  <c r="BK49" i="6"/>
  <c r="BK97" i="6"/>
  <c r="BL48" i="6"/>
  <c r="BL97" i="6" s="1"/>
  <c r="AM49" i="6"/>
  <c r="AM97" i="6"/>
  <c r="AN48" i="6"/>
  <c r="AN97" i="6" s="1"/>
  <c r="AG97" i="6"/>
  <c r="AA49" i="6"/>
  <c r="AA97" i="6"/>
  <c r="AB48" i="6"/>
  <c r="AB97" i="6" s="1"/>
  <c r="BC39" i="7"/>
  <c r="C258" i="2"/>
  <c r="AB121" i="21"/>
  <c r="AA177" i="8"/>
  <c r="AA142" i="8"/>
  <c r="AA170" i="8"/>
  <c r="S156" i="8"/>
  <c r="S149" i="8"/>
  <c r="K156" i="8"/>
  <c r="K149" i="8"/>
  <c r="EE97" i="6"/>
  <c r="EE49" i="6"/>
  <c r="EF48" i="6"/>
  <c r="EF97" i="6" s="1"/>
  <c r="X149" i="8"/>
  <c r="X156" i="8"/>
  <c r="H149" i="8"/>
  <c r="H156" i="8"/>
  <c r="BQ97" i="6"/>
  <c r="BQ49" i="6"/>
  <c r="BR48" i="6"/>
  <c r="BR97" i="6" s="1"/>
  <c r="U97" i="6"/>
  <c r="U49" i="6"/>
  <c r="V48" i="6"/>
  <c r="V97" i="6" s="1"/>
  <c r="T786" i="7"/>
  <c r="T106" i="21"/>
  <c r="T785" i="7"/>
  <c r="T2" i="7" s="1"/>
  <c r="L786" i="7"/>
  <c r="L106" i="21"/>
  <c r="L785" i="7"/>
  <c r="L2" i="7" s="1"/>
  <c r="Y149" i="8"/>
  <c r="Y156" i="8"/>
  <c r="U149" i="8"/>
  <c r="U156" i="8"/>
  <c r="Q149" i="8"/>
  <c r="Q156" i="8"/>
  <c r="M149" i="8"/>
  <c r="M156" i="8"/>
  <c r="I149" i="8"/>
  <c r="I156" i="8"/>
  <c r="R149" i="8"/>
  <c r="R156" i="8"/>
  <c r="J149" i="8"/>
  <c r="J156" i="8"/>
  <c r="DG97" i="6"/>
  <c r="AS97" i="6"/>
  <c r="DS97" i="6"/>
  <c r="Y786" i="7"/>
  <c r="Y106" i="21"/>
  <c r="Y785" i="7"/>
  <c r="Y2" i="7" s="1"/>
  <c r="Q786" i="7"/>
  <c r="Q106" i="21"/>
  <c r="Q785" i="7"/>
  <c r="Q2" i="7" s="1"/>
  <c r="I106" i="21"/>
  <c r="I785" i="7"/>
  <c r="I2" i="7" s="1"/>
  <c r="I786" i="7"/>
  <c r="AB118" i="8"/>
  <c r="AB157" i="8"/>
  <c r="AB150" i="8"/>
  <c r="AB170" i="8"/>
  <c r="AB177" i="8"/>
  <c r="AB142" i="8"/>
  <c r="L149" i="8"/>
  <c r="L156" i="8"/>
  <c r="DY97" i="6"/>
  <c r="DY49" i="6"/>
  <c r="DZ48" i="6"/>
  <c r="DZ97" i="6" s="1"/>
  <c r="AG49" i="6"/>
  <c r="AH48" i="6"/>
  <c r="AH97" i="6" s="1"/>
  <c r="AE202" i="7"/>
  <c r="AF202" i="7" s="1"/>
  <c r="FC30" i="6" s="1"/>
  <c r="EQ30" i="6"/>
  <c r="EQ79" i="6" s="1"/>
  <c r="AD778" i="7"/>
  <c r="AC106" i="21"/>
  <c r="V149" i="8"/>
  <c r="V156" i="8"/>
  <c r="N149" i="8"/>
  <c r="N156" i="8"/>
  <c r="AA157" i="8"/>
  <c r="AA150" i="8"/>
  <c r="W156" i="8"/>
  <c r="W149" i="8"/>
  <c r="O156" i="8"/>
  <c r="O149" i="8"/>
  <c r="AD112" i="8"/>
  <c r="AD125" i="8" s="1"/>
  <c r="AD126" i="8" s="1"/>
  <c r="Z156" i="8"/>
  <c r="Z149" i="8"/>
  <c r="P149" i="8"/>
  <c r="P156" i="8"/>
  <c r="CC49" i="6"/>
  <c r="CC97" i="6"/>
  <c r="CD48" i="6"/>
  <c r="CD97" i="6" s="1"/>
  <c r="BC783" i="7"/>
  <c r="AB786" i="7"/>
  <c r="BC786" i="7" s="1"/>
  <c r="D241" i="2"/>
  <c r="AB106" i="21"/>
  <c r="AB785" i="7"/>
  <c r="X106" i="21"/>
  <c r="X785" i="7"/>
  <c r="X2" i="7" s="1"/>
  <c r="X786" i="7"/>
  <c r="P106" i="21"/>
  <c r="P785" i="7"/>
  <c r="P2" i="7" s="1"/>
  <c r="P786" i="7"/>
  <c r="H106" i="21"/>
  <c r="H785" i="7"/>
  <c r="H2" i="7" s="1"/>
  <c r="H786" i="7"/>
  <c r="BC37" i="7"/>
  <c r="AF780" i="7" l="1"/>
  <c r="EW24" i="6"/>
  <c r="FC73" i="6" s="1"/>
  <c r="AE780" i="7"/>
  <c r="AL28" i="7"/>
  <c r="AD783" i="7"/>
  <c r="E241" i="2" s="1"/>
  <c r="AF778" i="7"/>
  <c r="AC137" i="8"/>
  <c r="BC785" i="7"/>
  <c r="AB2" i="7"/>
  <c r="BC2" i="7" s="1"/>
  <c r="AU241" i="2"/>
  <c r="E512" i="20"/>
  <c r="V512" i="20" s="1"/>
  <c r="AE778" i="7"/>
  <c r="EW30" i="6"/>
  <c r="FC79" i="6" s="1"/>
  <c r="AB156" i="8"/>
  <c r="AB149" i="8"/>
  <c r="AT258" i="2"/>
  <c r="G453" i="20"/>
  <c r="X453" i="20" s="1"/>
  <c r="AE112" i="8"/>
  <c r="AD133" i="8"/>
  <c r="AD137" i="8" s="1"/>
  <c r="AD111" i="8"/>
  <c r="AA149" i="8"/>
  <c r="AA156" i="8"/>
  <c r="AE783" i="7" l="1"/>
  <c r="F241" i="2" s="1"/>
  <c r="I512" i="20" s="1"/>
  <c r="Z512" i="20" s="1"/>
  <c r="AF783" i="7"/>
  <c r="AF106" i="21" s="1"/>
  <c r="EW73" i="6"/>
  <c r="AD106" i="21"/>
  <c r="G512" i="20"/>
  <c r="X512" i="20" s="1"/>
  <c r="AD784" i="7"/>
  <c r="AD785" i="7" s="1"/>
  <c r="AV241" i="2"/>
  <c r="EW79" i="6"/>
  <c r="AF112" i="8"/>
  <c r="AE111" i="8"/>
  <c r="AF111" i="8" s="1"/>
  <c r="AD132" i="8"/>
  <c r="AE125" i="8"/>
  <c r="AE126" i="8" s="1"/>
  <c r="AE133" i="8"/>
  <c r="AE137" i="8" s="1"/>
  <c r="AE784" i="7" l="1"/>
  <c r="AE785" i="7" s="1"/>
  <c r="G241" i="2"/>
  <c r="AX241" i="2" s="1"/>
  <c r="AF784" i="7"/>
  <c r="AF785" i="7" s="1"/>
  <c r="AE106" i="21"/>
  <c r="AW241" i="2"/>
  <c r="AF133" i="8"/>
  <c r="AF137" i="8" s="1"/>
  <c r="AF132" i="8"/>
  <c r="AF125" i="8"/>
  <c r="AF126" i="8" s="1"/>
  <c r="AD134" i="8"/>
  <c r="AE132" i="8"/>
  <c r="K512" i="20" l="1"/>
  <c r="AB512" i="20" s="1"/>
  <c r="AF138" i="8"/>
  <c r="AF134" i="8"/>
  <c r="AF48" i="21" s="1"/>
  <c r="AE134" i="8"/>
  <c r="F162" i="2" s="1"/>
  <c r="AE138" i="8"/>
  <c r="AD136" i="8"/>
  <c r="AD48" i="21"/>
  <c r="AD113" i="8"/>
  <c r="V45" i="12"/>
  <c r="W45" i="12"/>
  <c r="AF136" i="8" l="1"/>
  <c r="AF113" i="8"/>
  <c r="W424" i="12"/>
  <c r="W48" i="12"/>
  <c r="CI70" i="11" s="1"/>
  <c r="CJ70" i="11" s="1"/>
  <c r="AD59" i="21"/>
  <c r="AD115" i="8"/>
  <c r="EN14" i="6"/>
  <c r="G162" i="2"/>
  <c r="AE48" i="21"/>
  <c r="AE136" i="8"/>
  <c r="F188" i="2" s="1"/>
  <c r="AE113" i="8"/>
  <c r="V424" i="12"/>
  <c r="AW162" i="2"/>
  <c r="J282" i="20"/>
  <c r="AA282" i="20" s="1"/>
  <c r="U45" i="12"/>
  <c r="M282" i="20" l="1"/>
  <c r="AD282" i="20" s="1"/>
  <c r="AF59" i="21"/>
  <c r="EZ14" i="6"/>
  <c r="AF139" i="8"/>
  <c r="AF115" i="8"/>
  <c r="AF120" i="8"/>
  <c r="U424" i="12"/>
  <c r="V427" i="12" s="1"/>
  <c r="V48" i="12"/>
  <c r="CD70" i="11" s="1"/>
  <c r="CE70" i="11" s="1"/>
  <c r="G188" i="2"/>
  <c r="AE59" i="21"/>
  <c r="AE115" i="8"/>
  <c r="ET14" i="6"/>
  <c r="AE139" i="8"/>
  <c r="L282" i="20"/>
  <c r="AC282" i="20" s="1"/>
  <c r="AX162" i="2"/>
  <c r="W177" i="12"/>
  <c r="W24" i="21" s="1"/>
  <c r="CK70" i="11"/>
  <c r="CJ75" i="11"/>
  <c r="AE120" i="8"/>
  <c r="AW188" i="2"/>
  <c r="J339" i="20"/>
  <c r="AA339" i="20" s="1"/>
  <c r="W427" i="12"/>
  <c r="X45" i="12"/>
  <c r="Y45" i="12"/>
  <c r="T45" i="12"/>
  <c r="S45" i="12"/>
  <c r="EZ63" i="6" l="1"/>
  <c r="ET63" i="6"/>
  <c r="AF122" i="8"/>
  <c r="Z45" i="12"/>
  <c r="Z424" i="12" s="1"/>
  <c r="T48" i="12"/>
  <c r="BT70" i="11" s="1"/>
  <c r="BU70" i="11" s="1"/>
  <c r="T424" i="12"/>
  <c r="Y424" i="12"/>
  <c r="Y48" i="12"/>
  <c r="CS70" i="11" s="1"/>
  <c r="CT70" i="11" s="1"/>
  <c r="X48" i="12"/>
  <c r="CN70" i="11" s="1"/>
  <c r="CO70" i="11" s="1"/>
  <c r="X424" i="12"/>
  <c r="X427" i="12" s="1"/>
  <c r="AC773" i="7"/>
  <c r="U48" i="12"/>
  <c r="BY70" i="11" s="1"/>
  <c r="BZ70" i="11" s="1"/>
  <c r="S424" i="12"/>
  <c r="CK75" i="11"/>
  <c r="AE122" i="8"/>
  <c r="M339" i="20"/>
  <c r="AD339" i="20" s="1"/>
  <c r="AX188" i="2"/>
  <c r="L339" i="20"/>
  <c r="AC339" i="20" s="1"/>
  <c r="V177" i="12"/>
  <c r="V24" i="21" s="1"/>
  <c r="CF70" i="11"/>
  <c r="CE75" i="11"/>
  <c r="U427" i="12"/>
  <c r="AA45" i="12"/>
  <c r="AB45" i="12"/>
  <c r="AC48" i="12" s="1"/>
  <c r="DM70" i="11" s="1"/>
  <c r="DN70" i="11" s="1"/>
  <c r="R45" i="12"/>
  <c r="DO70" i="11" l="1"/>
  <c r="AC177" i="12"/>
  <c r="DN75" i="11"/>
  <c r="Z48" i="12"/>
  <c r="CX70" i="11" s="1"/>
  <c r="CY70" i="11" s="1"/>
  <c r="Z177" i="12" s="1"/>
  <c r="Z24" i="21" s="1"/>
  <c r="AB48" i="12"/>
  <c r="DH70" i="11" s="1"/>
  <c r="DI70" i="11" s="1"/>
  <c r="AB424" i="12"/>
  <c r="AC427" i="12" s="1"/>
  <c r="CF75" i="11"/>
  <c r="CA70" i="11"/>
  <c r="U177" i="12"/>
  <c r="U24" i="21" s="1"/>
  <c r="BZ75" i="11"/>
  <c r="CU70" i="11"/>
  <c r="Y177" i="12"/>
  <c r="Y24" i="21" s="1"/>
  <c r="CT75" i="11"/>
  <c r="T427" i="12"/>
  <c r="R424" i="12"/>
  <c r="AA48" i="12"/>
  <c r="DC70" i="11" s="1"/>
  <c r="DD70" i="11" s="1"/>
  <c r="AA424" i="12"/>
  <c r="AA427" i="12" s="1"/>
  <c r="CI75" i="11"/>
  <c r="S48" i="12"/>
  <c r="BO70" i="11" s="1"/>
  <c r="BP70" i="11" s="1"/>
  <c r="X177" i="12"/>
  <c r="X24" i="21" s="1"/>
  <c r="CP70" i="11"/>
  <c r="CO75" i="11"/>
  <c r="Y427" i="12"/>
  <c r="Z427" i="12"/>
  <c r="T177" i="12"/>
  <c r="T24" i="21" s="1"/>
  <c r="BV70" i="11"/>
  <c r="BU75" i="11"/>
  <c r="Q45" i="12"/>
  <c r="DO75" i="11" l="1"/>
  <c r="DR75" i="11"/>
  <c r="AC24" i="21"/>
  <c r="E128" i="2"/>
  <c r="CZ70" i="11"/>
  <c r="CY75" i="11"/>
  <c r="CX75" i="11" s="1"/>
  <c r="BV75" i="11"/>
  <c r="S177" i="12"/>
  <c r="S24" i="21" s="1"/>
  <c r="BQ70" i="11"/>
  <c r="BP75" i="11"/>
  <c r="BQ75" i="11" s="1"/>
  <c r="CA75" i="11"/>
  <c r="BY75" i="11"/>
  <c r="S427" i="12"/>
  <c r="CD75" i="11"/>
  <c r="AD45" i="12"/>
  <c r="Q424" i="12"/>
  <c r="CP75" i="11"/>
  <c r="CN75" i="11"/>
  <c r="AA177" i="12"/>
  <c r="DE70" i="11"/>
  <c r="DD75" i="11"/>
  <c r="R48" i="12"/>
  <c r="BJ70" i="11" s="1"/>
  <c r="BK70" i="11" s="1"/>
  <c r="CU75" i="11"/>
  <c r="CS75" i="11"/>
  <c r="AB427" i="12"/>
  <c r="DJ70" i="11"/>
  <c r="AB177" i="12"/>
  <c r="DI75" i="11"/>
  <c r="DM75" i="11" s="1"/>
  <c r="P45" i="12"/>
  <c r="AV128" i="2" l="1"/>
  <c r="E321" i="2"/>
  <c r="CZ75" i="11"/>
  <c r="P424" i="12"/>
  <c r="Q427" i="12" s="1"/>
  <c r="D128" i="2"/>
  <c r="AB24" i="21"/>
  <c r="R177" i="12"/>
  <c r="R24" i="21" s="1"/>
  <c r="BL70" i="11"/>
  <c r="BK75" i="11"/>
  <c r="Q48" i="12"/>
  <c r="BE70" i="11" s="1"/>
  <c r="BF70" i="11" s="1"/>
  <c r="AD424" i="12"/>
  <c r="AD427" i="12" s="1"/>
  <c r="AE45" i="12"/>
  <c r="DJ75" i="11"/>
  <c r="DH75" i="11"/>
  <c r="DE75" i="11"/>
  <c r="DC75" i="11"/>
  <c r="C128" i="2"/>
  <c r="AA24" i="21"/>
  <c r="R427" i="12"/>
  <c r="BT75" i="11"/>
  <c r="O45" i="12"/>
  <c r="AE424" i="12" l="1"/>
  <c r="AE427" i="12" s="1"/>
  <c r="AF45" i="12"/>
  <c r="AF424" i="12" s="1"/>
  <c r="O424" i="12"/>
  <c r="P427" i="12" s="1"/>
  <c r="AT128" i="2"/>
  <c r="C321" i="2"/>
  <c r="BO75" i="11"/>
  <c r="BL75" i="11"/>
  <c r="D296" i="2"/>
  <c r="D321" i="2"/>
  <c r="D322" i="2" s="1"/>
  <c r="AU128" i="2"/>
  <c r="P48" i="12"/>
  <c r="AZ70" i="11" s="1"/>
  <c r="BA70" i="11" s="1"/>
  <c r="BG70" i="11"/>
  <c r="Q177" i="12"/>
  <c r="Q24" i="21" s="1"/>
  <c r="BF75" i="11"/>
  <c r="BJ75" i="11" s="1"/>
  <c r="N45" i="12"/>
  <c r="AF427" i="12" l="1"/>
  <c r="N424" i="12"/>
  <c r="O427" i="12" s="1"/>
  <c r="C296" i="2"/>
  <c r="G146" i="20" s="1"/>
  <c r="X146" i="20" s="1"/>
  <c r="E296" i="2"/>
  <c r="O48" i="12"/>
  <c r="AU70" i="11" s="1"/>
  <c r="AV70" i="11" s="1"/>
  <c r="BG75" i="11"/>
  <c r="P177" i="12"/>
  <c r="P24" i="21" s="1"/>
  <c r="BB70" i="11"/>
  <c r="BA75" i="11"/>
  <c r="C322" i="2"/>
  <c r="G147" i="20" s="1"/>
  <c r="X147" i="20" s="1"/>
  <c r="E322" i="2"/>
  <c r="M45" i="12"/>
  <c r="H147" i="20" l="1"/>
  <c r="Y147" i="20" s="1"/>
  <c r="F322" i="2"/>
  <c r="BB75" i="11"/>
  <c r="F296" i="2"/>
  <c r="H146" i="20"/>
  <c r="Y146" i="20" s="1"/>
  <c r="M424" i="12"/>
  <c r="N427" i="12" s="1"/>
  <c r="BE75" i="11"/>
  <c r="O177" i="12"/>
  <c r="O24" i="21" s="1"/>
  <c r="AW70" i="11"/>
  <c r="AV75" i="11"/>
  <c r="N48" i="12"/>
  <c r="AP70" i="11" s="1"/>
  <c r="AQ70" i="11" s="1"/>
  <c r="L45" i="12"/>
  <c r="N177" i="12" l="1"/>
  <c r="N24" i="21" s="1"/>
  <c r="AR70" i="11"/>
  <c r="AQ75" i="11"/>
  <c r="AU75" i="11" s="1"/>
  <c r="L424" i="12"/>
  <c r="M427" i="12" s="1"/>
  <c r="AW75" i="11"/>
  <c r="M48" i="12"/>
  <c r="AK70" i="11" s="1"/>
  <c r="AL70" i="11" s="1"/>
  <c r="G296" i="2"/>
  <c r="I146" i="20"/>
  <c r="Z146" i="20" s="1"/>
  <c r="AZ75" i="11"/>
  <c r="G322" i="2"/>
  <c r="I147" i="20"/>
  <c r="Z147" i="20" s="1"/>
  <c r="K45" i="12"/>
  <c r="J147" i="20" l="1"/>
  <c r="AA147" i="20" s="1"/>
  <c r="J146" i="20"/>
  <c r="AA146" i="20" s="1"/>
  <c r="K424" i="12"/>
  <c r="L427" i="12" s="1"/>
  <c r="AM70" i="11"/>
  <c r="M177" i="12"/>
  <c r="M24" i="21" s="1"/>
  <c r="AL75" i="11"/>
  <c r="AP75" i="11" s="1"/>
  <c r="AR75" i="11"/>
  <c r="L48" i="12"/>
  <c r="AF70" i="11" s="1"/>
  <c r="AG70" i="11" s="1"/>
  <c r="J45" i="12"/>
  <c r="K48" i="12" s="1"/>
  <c r="AA70" i="11" s="1"/>
  <c r="AB70" i="11" s="1"/>
  <c r="L177" i="12" l="1"/>
  <c r="L24" i="21" s="1"/>
  <c r="AH70" i="11"/>
  <c r="AG75" i="11"/>
  <c r="AK75" i="11" s="1"/>
  <c r="K177" i="12"/>
  <c r="K24" i="21" s="1"/>
  <c r="AC70" i="11"/>
  <c r="AB75" i="11"/>
  <c r="AC75" i="11" s="1"/>
  <c r="J424" i="12"/>
  <c r="K427" i="12" s="1"/>
  <c r="AM75" i="11"/>
  <c r="I45" i="12"/>
  <c r="I424" i="12" l="1"/>
  <c r="J427" i="12" s="1"/>
  <c r="J48" i="12"/>
  <c r="V70" i="11" s="1"/>
  <c r="W70" i="11" s="1"/>
  <c r="AF75" i="11"/>
  <c r="AH75" i="11"/>
  <c r="H45" i="12"/>
  <c r="G45" i="12"/>
  <c r="G424" i="12" s="1"/>
  <c r="H48" i="12" l="1"/>
  <c r="L70" i="11" s="1"/>
  <c r="M70" i="11" s="1"/>
  <c r="H424" i="12"/>
  <c r="H427" i="12" s="1"/>
  <c r="J177" i="12"/>
  <c r="J24" i="21" s="1"/>
  <c r="X70" i="11"/>
  <c r="W75" i="11"/>
  <c r="I48" i="12"/>
  <c r="Q70" i="11" s="1"/>
  <c r="R70" i="11" s="1"/>
  <c r="I427" i="12" l="1"/>
  <c r="I177" i="12"/>
  <c r="I24" i="21" s="1"/>
  <c r="S70" i="11"/>
  <c r="R75" i="11"/>
  <c r="V75" i="11" s="1"/>
  <c r="AA75" i="11"/>
  <c r="X75" i="11"/>
  <c r="H177" i="12"/>
  <c r="H24" i="21" s="1"/>
  <c r="N70" i="11"/>
  <c r="M75" i="11"/>
  <c r="N75" i="11" s="1"/>
  <c r="S75" i="11" l="1"/>
  <c r="Q75" i="11"/>
  <c r="G488" i="7" l="1"/>
  <c r="G789" i="7" l="1"/>
  <c r="G791" i="7" s="1"/>
  <c r="G511" i="7"/>
  <c r="I40" i="6"/>
  <c r="G489" i="7"/>
  <c r="H500" i="7"/>
  <c r="G566" i="7"/>
  <c r="G567" i="7" s="1"/>
  <c r="G793" i="7" l="1"/>
  <c r="G2" i="7" s="1"/>
  <c r="J40" i="6"/>
  <c r="O89" i="6"/>
  <c r="I48" i="6"/>
  <c r="I49" i="6" l="1"/>
  <c r="J48" i="6"/>
  <c r="O97" i="6"/>
  <c r="AD138" i="8" l="1"/>
  <c r="AC138" i="8"/>
  <c r="AC48" i="21" l="1"/>
  <c r="E162" i="2"/>
  <c r="AC59" i="21" l="1"/>
  <c r="AC139" i="8"/>
  <c r="EH14" i="6"/>
  <c r="AD139" i="8"/>
  <c r="E188" i="2"/>
  <c r="AD120" i="8"/>
  <c r="AV162" i="2"/>
  <c r="I282" i="20"/>
  <c r="Z282" i="20" s="1"/>
  <c r="H282" i="20"/>
  <c r="Y282" i="20" s="1"/>
  <c r="K282" i="20"/>
  <c r="AB282" i="20" s="1"/>
  <c r="AD122" i="8" l="1"/>
  <c r="AV188" i="2"/>
  <c r="K339" i="20"/>
  <c r="AB339" i="20" s="1"/>
  <c r="H339" i="20"/>
  <c r="Y339" i="20" s="1"/>
  <c r="I339" i="20"/>
  <c r="Z339" i="20" s="1"/>
  <c r="EN63" i="6"/>
  <c r="EH63" i="6"/>
  <c r="AC347" i="12" l="1"/>
  <c r="AC221" i="7"/>
  <c r="AA4" i="24"/>
  <c r="AC38" i="21"/>
  <c r="AC220" i="7"/>
  <c r="AC222" i="7"/>
  <c r="AC456" i="12"/>
  <c r="AC459" i="12" s="1"/>
  <c r="AA16" i="24"/>
  <c r="EG5" i="6"/>
  <c r="EG54" i="6" s="1"/>
  <c r="AC348" i="12"/>
  <c r="AC236" i="7" l="1"/>
  <c r="AC242" i="7"/>
  <c r="AC228" i="7"/>
  <c r="EI9" i="6"/>
  <c r="EI58" i="6" s="1"/>
  <c r="AC71" i="21"/>
  <c r="AC216" i="7"/>
  <c r="AC215" i="7"/>
  <c r="AH201" i="7" s="1"/>
  <c r="AC214" i="7"/>
  <c r="AC243" i="7" l="1"/>
  <c r="AC229" i="7"/>
  <c r="AC237" i="7"/>
  <c r="EH9" i="6"/>
  <c r="EJ45" i="6"/>
  <c r="AH148" i="7"/>
  <c r="EJ9" i="6"/>
  <c r="EJ58" i="6" s="1"/>
  <c r="AC101" i="21"/>
  <c r="AA5" i="24"/>
  <c r="AC94" i="21" l="1"/>
  <c r="EJ94" i="6"/>
  <c r="EG45" i="6"/>
  <c r="EH8" i="6"/>
  <c r="EJ20" i="6"/>
  <c r="EK45" i="6"/>
  <c r="EK94" i="6" s="1"/>
  <c r="EG9" i="6"/>
  <c r="EG58" i="6" s="1"/>
  <c r="EH58" i="6"/>
  <c r="AC91" i="21" l="1"/>
  <c r="EH18" i="6"/>
  <c r="AC61" i="21"/>
  <c r="EL45" i="6"/>
  <c r="EL94" i="6" s="1"/>
  <c r="EG94" i="6"/>
  <c r="AC107" i="21"/>
  <c r="EJ69" i="6"/>
  <c r="EJ18" i="6"/>
  <c r="EJ67" i="6" s="1"/>
  <c r="EH57" i="6"/>
  <c r="EH12" i="6"/>
  <c r="EH61" i="6" l="1"/>
  <c r="EG18" i="6"/>
  <c r="EH67" i="6"/>
  <c r="EL18" i="6" l="1"/>
  <c r="EL67" i="6" s="1"/>
  <c r="EG67" i="6"/>
  <c r="AC252" i="8" l="1"/>
  <c r="AA12" i="24" s="1"/>
  <c r="AC112" i="21" l="1"/>
  <c r="AD288" i="12" l="1"/>
  <c r="E247" i="2" s="1"/>
  <c r="AD112" i="21" l="1"/>
  <c r="AE288" i="12"/>
  <c r="AF288" i="12" s="1"/>
  <c r="AF112" i="21" s="1"/>
  <c r="H535" i="20"/>
  <c r="Y535" i="20" s="1"/>
  <c r="AV247" i="2"/>
  <c r="I535" i="20"/>
  <c r="Z535" i="20" s="1"/>
  <c r="H542" i="20"/>
  <c r="Y542" i="20" s="1"/>
  <c r="H537" i="20"/>
  <c r="Y537" i="20" s="1"/>
  <c r="I537" i="20"/>
  <c r="Z537" i="20" s="1"/>
  <c r="F247" i="2" l="1"/>
  <c r="G247" i="2"/>
  <c r="AE112" i="21"/>
  <c r="J535" i="20" l="1"/>
  <c r="AA535" i="20" s="1"/>
  <c r="J542" i="20"/>
  <c r="AA542" i="20" s="1"/>
  <c r="K535" i="20"/>
  <c r="AB535" i="20" s="1"/>
  <c r="J537" i="20"/>
  <c r="AA537" i="20" s="1"/>
  <c r="AW247" i="2"/>
  <c r="K537" i="20"/>
  <c r="AB537" i="20" s="1"/>
  <c r="M535" i="20"/>
  <c r="AD535" i="20" s="1"/>
  <c r="L535" i="20"/>
  <c r="AC535" i="20" s="1"/>
  <c r="AX247" i="2"/>
  <c r="L537" i="20"/>
  <c r="AC537" i="20" s="1"/>
  <c r="M537" i="20"/>
  <c r="AD537" i="20" s="1"/>
  <c r="L542" i="20"/>
  <c r="AC542" i="20" s="1"/>
  <c r="DO66" i="11" l="1"/>
  <c r="AC179" i="12" l="1"/>
  <c r="D158" i="2" s="1"/>
  <c r="AU158" i="2" l="1"/>
  <c r="D301" i="2"/>
  <c r="AC44" i="21"/>
  <c r="F280" i="20" l="1"/>
  <c r="W280" i="20" s="1"/>
  <c r="F278" i="20"/>
  <c r="W278" i="20" s="1"/>
  <c r="F284" i="20"/>
  <c r="W284" i="20" s="1"/>
  <c r="C301" i="2"/>
  <c r="G278" i="20" s="1"/>
  <c r="X278" i="20" s="1"/>
  <c r="G284" i="20" l="1"/>
  <c r="X284" i="20" s="1"/>
  <c r="G280" i="20"/>
  <c r="X280" i="20" s="1"/>
  <c r="E35" i="20"/>
  <c r="V35" i="20" s="1"/>
  <c r="DS11" i="11" l="1"/>
  <c r="AC138" i="12"/>
  <c r="AC171" i="12"/>
  <c r="D107" i="2" s="1"/>
  <c r="G76" i="20" l="1"/>
  <c r="X76" i="20" s="1"/>
  <c r="AU107" i="2"/>
  <c r="D315" i="2"/>
  <c r="D316" i="2" s="1"/>
  <c r="E28" i="20"/>
  <c r="V28" i="20" s="1"/>
  <c r="D290" i="2"/>
  <c r="C290" i="2" s="1"/>
  <c r="D309" i="2"/>
  <c r="D310" i="2" s="1"/>
  <c r="DM25" i="11"/>
  <c r="AC139" i="12"/>
  <c r="DM26" i="11" s="1"/>
  <c r="AC73" i="12"/>
  <c r="AC18" i="21"/>
  <c r="AD171" i="12"/>
  <c r="E107" i="2" s="1"/>
  <c r="DS12" i="11"/>
  <c r="DU11" i="11"/>
  <c r="C310" i="2" l="1"/>
  <c r="G65" i="20" s="1"/>
  <c r="X65" i="20" s="1"/>
  <c r="C316" i="2"/>
  <c r="G69" i="20" s="1"/>
  <c r="X69" i="20" s="1"/>
  <c r="AD73" i="12"/>
  <c r="AD139" i="12"/>
  <c r="DR26" i="11" s="1"/>
  <c r="DR12" i="11"/>
  <c r="AD78" i="12" s="1"/>
  <c r="AD72" i="12" s="1"/>
  <c r="DS14" i="11"/>
  <c r="AD18" i="21"/>
  <c r="DV11" i="11"/>
  <c r="DX11" i="11"/>
  <c r="DU12" i="11"/>
  <c r="F28" i="20"/>
  <c r="W28" i="20" s="1"/>
  <c r="H76" i="20"/>
  <c r="Y76" i="20" s="1"/>
  <c r="E290" i="2"/>
  <c r="AV107" i="2"/>
  <c r="E309" i="2"/>
  <c r="E310" i="2" s="1"/>
  <c r="E315" i="2"/>
  <c r="E316" i="2" s="1"/>
  <c r="AC95" i="12"/>
  <c r="AC2" i="12" s="1"/>
  <c r="DM4" i="11" s="1"/>
  <c r="AC141" i="12"/>
  <c r="DM28" i="11" s="1"/>
  <c r="E232" i="20" l="1"/>
  <c r="V232" i="20" s="1"/>
  <c r="E228" i="20"/>
  <c r="V228" i="20" s="1"/>
  <c r="DM116" i="11"/>
  <c r="DN116" i="11" s="1"/>
  <c r="DO116" i="11" s="1"/>
  <c r="AC144" i="12"/>
  <c r="AC176" i="12"/>
  <c r="D112" i="2" s="1"/>
  <c r="H69" i="20"/>
  <c r="Y69" i="20" s="1"/>
  <c r="F232" i="20"/>
  <c r="W232" i="20" s="1"/>
  <c r="DV12" i="11"/>
  <c r="DT12" i="11"/>
  <c r="DU14" i="11"/>
  <c r="DU17" i="11" s="1"/>
  <c r="AD152" i="12"/>
  <c r="AD92" i="12"/>
  <c r="AD98" i="12" s="1"/>
  <c r="CX146" i="17"/>
  <c r="DP67" i="11"/>
  <c r="AD134" i="12"/>
  <c r="DR21" i="11" s="1"/>
  <c r="AD136" i="12"/>
  <c r="DR23" i="11" s="1"/>
  <c r="AD137" i="12"/>
  <c r="DR24" i="11" s="1"/>
  <c r="AD135" i="12"/>
  <c r="DR22" i="11" s="1"/>
  <c r="EI57" i="11"/>
  <c r="AD145" i="12"/>
  <c r="AD140" i="12"/>
  <c r="AD142" i="12"/>
  <c r="DR29" i="11" s="1"/>
  <c r="AD138" i="12"/>
  <c r="DR25" i="11" s="1"/>
  <c r="H65" i="20"/>
  <c r="Y65" i="20" s="1"/>
  <c r="F228" i="20"/>
  <c r="W228" i="20" s="1"/>
  <c r="AE171" i="12"/>
  <c r="F107" i="2" s="1"/>
  <c r="DX12" i="11"/>
  <c r="DZ11" i="11"/>
  <c r="EC11" i="11" s="1"/>
  <c r="AD141" i="12"/>
  <c r="DR28" i="11" s="1"/>
  <c r="AD95" i="12"/>
  <c r="AD2" i="12" s="1"/>
  <c r="DR4" i="11" s="1"/>
  <c r="DR14" i="11"/>
  <c r="AD100" i="12" s="1"/>
  <c r="AD94" i="12" s="1"/>
  <c r="DS17" i="11"/>
  <c r="F290" i="2" l="1"/>
  <c r="G28" i="20"/>
  <c r="X28" i="20" s="1"/>
  <c r="F315" i="2"/>
  <c r="F316" i="2" s="1"/>
  <c r="F309" i="2"/>
  <c r="F310" i="2" s="1"/>
  <c r="AU112" i="2"/>
  <c r="D295" i="2"/>
  <c r="AW107" i="2"/>
  <c r="EE11" i="11"/>
  <c r="AF171" i="12"/>
  <c r="EC12" i="11"/>
  <c r="DM30" i="11"/>
  <c r="EA11" i="11"/>
  <c r="DZ12" i="11"/>
  <c r="AE18" i="21"/>
  <c r="AD154" i="12"/>
  <c r="AD122" i="12"/>
  <c r="AD128" i="12" s="1"/>
  <c r="CX203" i="17"/>
  <c r="DW12" i="11"/>
  <c r="AE78" i="12" s="1"/>
  <c r="AE72" i="12" s="1"/>
  <c r="AE73" i="12"/>
  <c r="DX14" i="11"/>
  <c r="DV14" i="11"/>
  <c r="DT14" i="11"/>
  <c r="AC23" i="21"/>
  <c r="AD144" i="12"/>
  <c r="AD176" i="12"/>
  <c r="E112" i="2" s="1"/>
  <c r="DR17" i="11"/>
  <c r="DR27" i="11"/>
  <c r="AD143" i="12"/>
  <c r="CX151" i="17"/>
  <c r="CW146" i="17"/>
  <c r="I65" i="20" l="1"/>
  <c r="Z65" i="20" s="1"/>
  <c r="I69" i="20"/>
  <c r="Z69" i="20" s="1"/>
  <c r="G232" i="20"/>
  <c r="X232" i="20" s="1"/>
  <c r="G228" i="20"/>
  <c r="X228" i="20" s="1"/>
  <c r="G107" i="2"/>
  <c r="AF18" i="21"/>
  <c r="C295" i="2"/>
  <c r="G73" i="20" s="1"/>
  <c r="X73" i="20" s="1"/>
  <c r="EB12" i="11"/>
  <c r="AF78" i="12" s="1"/>
  <c r="AF72" i="12" s="1"/>
  <c r="DF146" i="17" s="1"/>
  <c r="EC14" i="11"/>
  <c r="AF73" i="12"/>
  <c r="EF11" i="11"/>
  <c r="EE12" i="11"/>
  <c r="DR30" i="11"/>
  <c r="AE92" i="12"/>
  <c r="AE98" i="12" s="1"/>
  <c r="AE152" i="12"/>
  <c r="DB146" i="17"/>
  <c r="CX208" i="17"/>
  <c r="CX215" i="17" s="1"/>
  <c r="CW203" i="17"/>
  <c r="AD23" i="21"/>
  <c r="AV112" i="2"/>
  <c r="E295" i="2"/>
  <c r="AE145" i="12"/>
  <c r="AE142" i="12"/>
  <c r="DW29" i="11" s="1"/>
  <c r="AE135" i="12"/>
  <c r="DW22" i="11" s="1"/>
  <c r="AE134" i="12"/>
  <c r="DW21" i="11" s="1"/>
  <c r="DT17" i="11"/>
  <c r="DT116" i="11" s="1"/>
  <c r="DT119" i="11" s="1"/>
  <c r="AE136" i="12"/>
  <c r="DW23" i="11" s="1"/>
  <c r="AE137" i="12"/>
  <c r="DW24" i="11" s="1"/>
  <c r="AE140" i="12"/>
  <c r="DV17" i="11"/>
  <c r="AD348" i="12" s="1"/>
  <c r="AI13" i="7" s="1"/>
  <c r="AE138" i="12"/>
  <c r="DW25" i="11" s="1"/>
  <c r="AE95" i="12"/>
  <c r="AE2" i="12" s="1"/>
  <c r="DW4" i="11" s="1"/>
  <c r="DW14" i="11"/>
  <c r="AE100" i="12" s="1"/>
  <c r="AE94" i="12" s="1"/>
  <c r="AE141" i="12"/>
  <c r="DW28" i="11" s="1"/>
  <c r="DX17" i="11"/>
  <c r="AE139" i="12"/>
  <c r="DW26" i="11" s="1"/>
  <c r="EA12" i="11"/>
  <c r="DY12" i="11"/>
  <c r="DZ14" i="11"/>
  <c r="AD131" i="12"/>
  <c r="DR116" i="11"/>
  <c r="DS116" i="11" s="1"/>
  <c r="G309" i="2" l="1"/>
  <c r="G310" i="2" s="1"/>
  <c r="H228" i="20" s="1"/>
  <c r="Y228" i="20" s="1"/>
  <c r="G315" i="2"/>
  <c r="G316" i="2" s="1"/>
  <c r="AX107" i="2"/>
  <c r="G290" i="2"/>
  <c r="E256" i="20"/>
  <c r="V256" i="20" s="1"/>
  <c r="E236" i="20"/>
  <c r="V236" i="20" s="1"/>
  <c r="E29" i="20"/>
  <c r="V29" i="20" s="1"/>
  <c r="H28" i="20"/>
  <c r="Y28" i="20" s="1"/>
  <c r="E257" i="20"/>
  <c r="V257" i="20" s="1"/>
  <c r="E254" i="20"/>
  <c r="V254" i="20" s="1"/>
  <c r="E259" i="20"/>
  <c r="V259" i="20" s="1"/>
  <c r="E33" i="20"/>
  <c r="V33" i="20" s="1"/>
  <c r="E253" i="20"/>
  <c r="V253" i="20" s="1"/>
  <c r="E258" i="20"/>
  <c r="V258" i="20" s="1"/>
  <c r="DF151" i="17"/>
  <c r="DE146" i="17"/>
  <c r="AF152" i="12"/>
  <c r="AF92" i="12"/>
  <c r="AF98" i="12" s="1"/>
  <c r="EF12" i="11"/>
  <c r="ED12" i="11"/>
  <c r="EE14" i="11"/>
  <c r="EC17" i="11"/>
  <c r="EB14" i="11"/>
  <c r="AF100" i="12" s="1"/>
  <c r="AF94" i="12" s="1"/>
  <c r="DF203" i="17" s="1"/>
  <c r="AF95" i="12"/>
  <c r="AF2" i="12" s="1"/>
  <c r="EB4" i="11" s="1"/>
  <c r="DZ17" i="11"/>
  <c r="AF141" i="12" s="1"/>
  <c r="EB28" i="11" s="1"/>
  <c r="DU116" i="11"/>
  <c r="DV116" i="11" s="1"/>
  <c r="AD70" i="8"/>
  <c r="AD68" i="8"/>
  <c r="AD72" i="8"/>
  <c r="AD125" i="12"/>
  <c r="AD17" i="12" s="1"/>
  <c r="AD216" i="7"/>
  <c r="AD214" i="7"/>
  <c r="AD215" i="7"/>
  <c r="AI201" i="7" s="1"/>
  <c r="AD236" i="7"/>
  <c r="AD349" i="12"/>
  <c r="AD342" i="12" s="1"/>
  <c r="E236" i="2" s="1"/>
  <c r="AV236" i="2" s="1"/>
  <c r="AD526" i="7"/>
  <c r="AD519" i="7" s="1"/>
  <c r="AD147" i="7"/>
  <c r="AD341" i="12"/>
  <c r="DY14" i="11"/>
  <c r="EA14" i="11"/>
  <c r="AE144" i="12"/>
  <c r="DW17" i="11"/>
  <c r="AE176" i="12"/>
  <c r="F112" i="2" s="1"/>
  <c r="AW112" i="2" s="1"/>
  <c r="AE154" i="12"/>
  <c r="AE122" i="12"/>
  <c r="AE128" i="12" s="1"/>
  <c r="DB203" i="17"/>
  <c r="AE143" i="12"/>
  <c r="DW27" i="11"/>
  <c r="H73" i="20"/>
  <c r="Y73" i="20" s="1"/>
  <c r="F33" i="20"/>
  <c r="W33" i="20" s="1"/>
  <c r="F29" i="20"/>
  <c r="W29" i="20" s="1"/>
  <c r="DB151" i="17"/>
  <c r="DA146" i="17"/>
  <c r="AD31" i="12" l="1"/>
  <c r="AD6" i="7"/>
  <c r="AD205" i="7"/>
  <c r="AD261" i="7" s="1"/>
  <c r="J65" i="20"/>
  <c r="AA65" i="20" s="1"/>
  <c r="H232" i="20"/>
  <c r="Y232" i="20" s="1"/>
  <c r="J69" i="20"/>
  <c r="AA69" i="20" s="1"/>
  <c r="E255" i="20"/>
  <c r="V255" i="20" s="1"/>
  <c r="E147" i="2"/>
  <c r="DE203" i="17"/>
  <c r="DF208" i="17"/>
  <c r="DF215" i="17" s="1"/>
  <c r="AF122" i="12"/>
  <c r="AF128" i="12" s="1"/>
  <c r="AF154" i="12"/>
  <c r="EB17" i="11"/>
  <c r="AF176" i="12"/>
  <c r="AF23" i="21" s="1"/>
  <c r="EE17" i="11"/>
  <c r="EF14" i="11"/>
  <c r="ED14" i="11"/>
  <c r="AF144" i="12"/>
  <c r="EB30" i="11" s="1"/>
  <c r="AF134" i="12"/>
  <c r="EB21" i="11" s="1"/>
  <c r="AF145" i="12"/>
  <c r="AF135" i="12"/>
  <c r="EB22" i="11" s="1"/>
  <c r="AF140" i="12"/>
  <c r="AF142" i="12"/>
  <c r="EB29" i="11" s="1"/>
  <c r="AF136" i="12"/>
  <c r="EB23" i="11" s="1"/>
  <c r="AF137" i="12"/>
  <c r="EB24" i="11" s="1"/>
  <c r="AF138" i="12"/>
  <c r="EB25" i="11" s="1"/>
  <c r="AF139" i="12"/>
  <c r="EB26" i="11" s="1"/>
  <c r="DW30" i="11"/>
  <c r="AD319" i="7"/>
  <c r="AD435" i="7"/>
  <c r="AD421" i="7" s="1"/>
  <c r="AD294" i="7"/>
  <c r="AD293" i="7" s="1"/>
  <c r="DB208" i="17"/>
  <c r="DB215" i="17" s="1"/>
  <c r="DA203" i="17"/>
  <c r="DW116" i="11"/>
  <c r="DX116" i="11" s="1"/>
  <c r="AE131" i="12"/>
  <c r="AE125" i="12" s="1"/>
  <c r="AE17" i="12" s="1"/>
  <c r="DY17" i="11"/>
  <c r="DY116" i="11" s="1"/>
  <c r="DY119" i="11" s="1"/>
  <c r="EA17" i="11"/>
  <c r="AE348" i="12" s="1"/>
  <c r="AD672" i="7"/>
  <c r="AD232" i="8"/>
  <c r="AD641" i="7"/>
  <c r="AD313" i="7"/>
  <c r="AD315" i="7"/>
  <c r="AD278" i="7"/>
  <c r="AD505" i="7"/>
  <c r="AD555" i="7"/>
  <c r="AD340" i="7"/>
  <c r="AD406" i="7"/>
  <c r="AD448" i="7"/>
  <c r="AD506" i="7"/>
  <c r="AD244" i="12"/>
  <c r="AD346" i="7"/>
  <c r="AD64" i="7"/>
  <c r="AD670" i="7"/>
  <c r="AD552" i="7"/>
  <c r="AD220" i="7"/>
  <c r="AD214" i="12"/>
  <c r="AD129" i="7"/>
  <c r="AD408" i="7"/>
  <c r="AD554" i="7"/>
  <c r="AD621" i="7"/>
  <c r="AD503" i="7"/>
  <c r="AD63" i="7"/>
  <c r="AD243" i="12"/>
  <c r="AD221" i="7"/>
  <c r="AD153" i="7"/>
  <c r="AD612" i="7"/>
  <c r="AD312" i="7"/>
  <c r="AD222" i="7"/>
  <c r="AD344" i="7"/>
  <c r="AD280" i="7"/>
  <c r="AD639" i="7"/>
  <c r="AD342" i="7"/>
  <c r="AD671" i="7"/>
  <c r="AD156" i="7"/>
  <c r="AD598" i="7"/>
  <c r="AD242" i="12"/>
  <c r="AD407" i="7"/>
  <c r="AD676" i="7"/>
  <c r="AD340" i="12"/>
  <c r="AD511" i="7"/>
  <c r="AD786" i="7"/>
  <c r="AD530" i="7"/>
  <c r="AD154" i="7"/>
  <c r="AD444" i="7"/>
  <c r="AD508" i="7"/>
  <c r="AD449" i="7"/>
  <c r="AD553" i="7"/>
  <c r="AD507" i="7"/>
  <c r="AD531" i="7"/>
  <c r="AD241" i="12"/>
  <c r="AD450" i="7"/>
  <c r="AD345" i="7"/>
  <c r="AD228" i="8"/>
  <c r="AD38" i="21"/>
  <c r="AD65" i="7"/>
  <c r="AD281" i="7"/>
  <c r="AD504" i="7"/>
  <c r="AD509" i="7"/>
  <c r="AD341" i="7"/>
  <c r="AD157" i="7"/>
  <c r="AD510" i="7"/>
  <c r="AD314" i="7"/>
  <c r="AD638" i="7"/>
  <c r="AD698" i="7"/>
  <c r="AD343" i="7"/>
  <c r="AD311" i="7"/>
  <c r="AD282" i="7"/>
  <c r="AD409" i="7"/>
  <c r="AD445" i="7"/>
  <c r="AD127" i="7"/>
  <c r="AD62" i="7"/>
  <c r="AD456" i="12"/>
  <c r="AD459" i="12" s="1"/>
  <c r="AD238" i="7"/>
  <c r="EM5" i="6"/>
  <c r="AD532" i="7"/>
  <c r="AD761" i="7"/>
  <c r="AD520" i="7"/>
  <c r="EP45" i="6"/>
  <c r="CX260" i="17"/>
  <c r="AD69" i="8"/>
  <c r="AE23" i="21"/>
  <c r="G112" i="2"/>
  <c r="AX112" i="2" s="1"/>
  <c r="AI148" i="7"/>
  <c r="AD138" i="7"/>
  <c r="AD101" i="21"/>
  <c r="AD237" i="7"/>
  <c r="AD73" i="8"/>
  <c r="AD71" i="8"/>
  <c r="AE31" i="12" l="1"/>
  <c r="AV147" i="2"/>
  <c r="H178" i="20"/>
  <c r="Y178" i="20" s="1"/>
  <c r="G507" i="20"/>
  <c r="X507" i="20" s="1"/>
  <c r="H201" i="20"/>
  <c r="I77" i="20"/>
  <c r="Z77" i="20" s="1"/>
  <c r="G509" i="20"/>
  <c r="X509" i="20" s="1"/>
  <c r="I75" i="20"/>
  <c r="Z75" i="20" s="1"/>
  <c r="I201" i="20"/>
  <c r="Z201" i="20" s="1"/>
  <c r="I76" i="20"/>
  <c r="Z76" i="20" s="1"/>
  <c r="I440" i="20"/>
  <c r="Z440" i="20" s="1"/>
  <c r="G503" i="20"/>
  <c r="X503" i="20" s="1"/>
  <c r="I439" i="20"/>
  <c r="Z439" i="20" s="1"/>
  <c r="H187" i="20"/>
  <c r="O183" i="20" s="1"/>
  <c r="I438" i="20"/>
  <c r="Z438" i="20" s="1"/>
  <c r="I187" i="20"/>
  <c r="Z187" i="20" s="1"/>
  <c r="F236" i="20"/>
  <c r="W236" i="20" s="1"/>
  <c r="F254" i="20"/>
  <c r="W254" i="20" s="1"/>
  <c r="F259" i="20"/>
  <c r="W259" i="20" s="1"/>
  <c r="F295" i="2"/>
  <c r="AF143" i="12"/>
  <c r="EB27" i="11"/>
  <c r="EF17" i="11"/>
  <c r="AF348" i="12" s="1"/>
  <c r="AK13" i="7" s="1"/>
  <c r="ED17" i="11"/>
  <c r="ED116" i="11" s="1"/>
  <c r="ED119" i="11" s="1"/>
  <c r="EB116" i="11"/>
  <c r="AF131" i="12"/>
  <c r="AE341" i="12"/>
  <c r="AJ13" i="7"/>
  <c r="AE19" i="7" s="1"/>
  <c r="AD446" i="7"/>
  <c r="AD428" i="7"/>
  <c r="AD762" i="7"/>
  <c r="EP94" i="6"/>
  <c r="EM45" i="6"/>
  <c r="CX265" i="17"/>
  <c r="AD533" i="7"/>
  <c r="AD527" i="7"/>
  <c r="EQ45" i="6"/>
  <c r="EQ94" i="6" s="1"/>
  <c r="AD790" i="7"/>
  <c r="AD791" i="7" s="1"/>
  <c r="E242" i="2" s="1"/>
  <c r="AD521" i="7"/>
  <c r="AD19" i="7"/>
  <c r="AD10" i="7" s="1"/>
  <c r="E202" i="2" s="1"/>
  <c r="AD18" i="7"/>
  <c r="AD9" i="7" s="1"/>
  <c r="AD11" i="7"/>
  <c r="AD239" i="7"/>
  <c r="AE236" i="7"/>
  <c r="AE526" i="7"/>
  <c r="AE519" i="7" s="1"/>
  <c r="AE216" i="7"/>
  <c r="AE147" i="7"/>
  <c r="AE214" i="7"/>
  <c r="AE349" i="12"/>
  <c r="AE342" i="12" s="1"/>
  <c r="F236" i="2" s="1"/>
  <c r="AW236" i="2" s="1"/>
  <c r="AE215" i="7"/>
  <c r="AJ201" i="7" s="1"/>
  <c r="AE68" i="8"/>
  <c r="AE72" i="8"/>
  <c r="AE70" i="8"/>
  <c r="AD752" i="7"/>
  <c r="AD155" i="7"/>
  <c r="EP20" i="6"/>
  <c r="AD141" i="7"/>
  <c r="E190" i="2" s="1"/>
  <c r="AE156" i="12"/>
  <c r="DB260" i="17"/>
  <c r="EM54" i="6"/>
  <c r="DZ116" i="11"/>
  <c r="EC116" i="11" l="1"/>
  <c r="EE116" i="11" s="1"/>
  <c r="EF116" i="11" s="1"/>
  <c r="Y201" i="20"/>
  <c r="AE6" i="7"/>
  <c r="AE205" i="7"/>
  <c r="AE261" i="7" s="1"/>
  <c r="AF18" i="7"/>
  <c r="AF19" i="7"/>
  <c r="O178" i="20"/>
  <c r="O177" i="20"/>
  <c r="O180" i="20"/>
  <c r="O184" i="20"/>
  <c r="O185" i="20"/>
  <c r="O186" i="20"/>
  <c r="O187" i="20"/>
  <c r="O175" i="20"/>
  <c r="O182" i="20"/>
  <c r="Y187" i="20"/>
  <c r="O181" i="20"/>
  <c r="O176" i="20"/>
  <c r="O174" i="20"/>
  <c r="O179" i="20"/>
  <c r="E227" i="2"/>
  <c r="F147" i="2"/>
  <c r="G33" i="20"/>
  <c r="X33" i="20" s="1"/>
  <c r="G29" i="20"/>
  <c r="X29" i="20" s="1"/>
  <c r="I73" i="20"/>
  <c r="Z73" i="20" s="1"/>
  <c r="AV190" i="2"/>
  <c r="H340" i="20"/>
  <c r="Y340" i="20" s="1"/>
  <c r="I340" i="20"/>
  <c r="Z340" i="20" s="1"/>
  <c r="AV202" i="2"/>
  <c r="H377" i="20"/>
  <c r="Y377" i="20" s="1"/>
  <c r="I377" i="20"/>
  <c r="Z377" i="20" s="1"/>
  <c r="AV242" i="2"/>
  <c r="G516" i="20"/>
  <c r="X516" i="20" s="1"/>
  <c r="AE138" i="7"/>
  <c r="AE752" i="7" s="1"/>
  <c r="AJ148" i="7"/>
  <c r="AF341" i="12"/>
  <c r="AE237" i="7"/>
  <c r="AF349" i="12"/>
  <c r="AF342" i="12" s="1"/>
  <c r="AF101" i="21" s="1"/>
  <c r="AF526" i="7"/>
  <c r="AF519" i="7" s="1"/>
  <c r="FB45" i="6" s="1"/>
  <c r="AF236" i="7"/>
  <c r="AF237" i="7" s="1"/>
  <c r="AF215" i="7"/>
  <c r="AK201" i="7" s="1"/>
  <c r="AF216" i="7"/>
  <c r="AF214" i="7"/>
  <c r="AF147" i="7"/>
  <c r="AE71" i="8"/>
  <c r="AE69" i="8"/>
  <c r="AF125" i="12"/>
  <c r="AF17" i="12" s="1"/>
  <c r="AF70" i="8"/>
  <c r="AF71" i="8" s="1"/>
  <c r="AF68" i="8"/>
  <c r="AF69" i="8" s="1"/>
  <c r="AF72" i="8"/>
  <c r="AF73" i="8" s="1"/>
  <c r="AE73" i="8"/>
  <c r="AE18" i="7"/>
  <c r="AE9" i="7" s="1"/>
  <c r="AE11" i="7"/>
  <c r="AF11" i="7" s="1"/>
  <c r="FB9" i="6" s="1"/>
  <c r="AE319" i="7"/>
  <c r="AE281" i="7"/>
  <c r="AE294" i="7"/>
  <c r="AE293" i="7" s="1"/>
  <c r="AE554" i="7"/>
  <c r="AE671" i="7"/>
  <c r="ES5" i="6"/>
  <c r="ES54" i="6" s="1"/>
  <c r="AE552" i="7"/>
  <c r="AE341" i="7"/>
  <c r="AE241" i="12"/>
  <c r="AE407" i="7"/>
  <c r="AE315" i="7"/>
  <c r="AE340" i="7"/>
  <c r="AE282" i="7"/>
  <c r="AE505" i="7"/>
  <c r="AE456" i="12"/>
  <c r="AE459" i="12" s="1"/>
  <c r="AE676" i="7"/>
  <c r="AE311" i="7"/>
  <c r="AE220" i="7"/>
  <c r="AE553" i="7"/>
  <c r="AE508" i="7"/>
  <c r="AE503" i="7"/>
  <c r="AE531" i="7"/>
  <c r="AE408" i="7"/>
  <c r="AE154" i="7"/>
  <c r="AE238" i="7"/>
  <c r="AE62" i="7"/>
  <c r="AE641" i="7"/>
  <c r="AE156" i="7"/>
  <c r="AE448" i="7"/>
  <c r="AE345" i="7"/>
  <c r="AE129" i="7"/>
  <c r="AE409" i="7"/>
  <c r="AE153" i="7"/>
  <c r="AE444" i="7"/>
  <c r="AE243" i="12"/>
  <c r="AE242" i="12"/>
  <c r="AE506" i="7"/>
  <c r="AE221" i="7"/>
  <c r="AE38" i="21"/>
  <c r="AE222" i="7"/>
  <c r="AE672" i="7"/>
  <c r="AE127" i="7"/>
  <c r="AE598" i="7"/>
  <c r="AE786" i="7"/>
  <c r="AE232" i="8"/>
  <c r="AE639" i="7"/>
  <c r="AE214" i="12"/>
  <c r="AE314" i="7"/>
  <c r="AE244" i="12"/>
  <c r="AE449" i="7"/>
  <c r="AE638" i="7"/>
  <c r="AE346" i="7"/>
  <c r="AE612" i="7"/>
  <c r="AE698" i="7"/>
  <c r="AE450" i="7"/>
  <c r="AE342" i="7"/>
  <c r="AE280" i="7"/>
  <c r="AE313" i="7"/>
  <c r="AE64" i="7"/>
  <c r="AE312" i="7"/>
  <c r="AE228" i="8"/>
  <c r="AE507" i="7"/>
  <c r="AE504" i="7"/>
  <c r="AE406" i="7"/>
  <c r="AE555" i="7"/>
  <c r="AE340" i="12"/>
  <c r="AE670" i="7"/>
  <c r="AE343" i="7"/>
  <c r="AE445" i="7"/>
  <c r="AE530" i="7"/>
  <c r="AE278" i="7"/>
  <c r="AE157" i="7"/>
  <c r="AE344" i="7"/>
  <c r="AE511" i="7"/>
  <c r="AE621" i="7"/>
  <c r="AE63" i="7"/>
  <c r="AE65" i="7"/>
  <c r="AE510" i="7"/>
  <c r="AE509" i="7"/>
  <c r="AE435" i="7"/>
  <c r="AE421" i="7" s="1"/>
  <c r="AE10" i="7"/>
  <c r="AD663" i="7"/>
  <c r="AD677" i="7" s="1"/>
  <c r="AD94" i="21"/>
  <c r="AD764" i="7"/>
  <c r="AD765" i="7" s="1"/>
  <c r="AD142" i="7"/>
  <c r="AD150" i="7"/>
  <c r="AD158" i="7"/>
  <c r="AD61" i="21"/>
  <c r="EN18" i="6"/>
  <c r="AE101" i="21"/>
  <c r="AE532" i="7"/>
  <c r="AE520" i="7"/>
  <c r="AE521" i="7" s="1"/>
  <c r="AE761" i="7"/>
  <c r="EV45" i="6"/>
  <c r="AD27" i="7"/>
  <c r="EN9" i="6"/>
  <c r="AD73" i="7"/>
  <c r="AD75" i="7" s="1"/>
  <c r="EM94" i="6"/>
  <c r="ER45" i="6"/>
  <c r="ER94" i="6" s="1"/>
  <c r="DA260" i="17"/>
  <c r="DB265" i="17"/>
  <c r="EA116" i="11"/>
  <c r="EP69" i="6"/>
  <c r="EP18" i="6"/>
  <c r="EP67" i="6" s="1"/>
  <c r="EP9" i="6"/>
  <c r="EP58" i="6" s="1"/>
  <c r="AD29" i="7"/>
  <c r="AD751" i="7"/>
  <c r="AD756" i="7" s="1"/>
  <c r="E224" i="2" s="1"/>
  <c r="AD422" i="7"/>
  <c r="AD28" i="7"/>
  <c r="AD71" i="21"/>
  <c r="EO9" i="6"/>
  <c r="EO58" i="6" s="1"/>
  <c r="AD107" i="21"/>
  <c r="AD792" i="7"/>
  <c r="AD793" i="7" s="1"/>
  <c r="AF31" i="12" l="1"/>
  <c r="AF6" i="7"/>
  <c r="AF205" i="7"/>
  <c r="AF261" i="7" s="1"/>
  <c r="I427" i="20"/>
  <c r="Z427" i="20" s="1"/>
  <c r="AF10" i="7"/>
  <c r="FA9" i="6" s="1"/>
  <c r="AF9" i="7"/>
  <c r="EZ9" i="6" s="1"/>
  <c r="AF154" i="7"/>
  <c r="AE141" i="7"/>
  <c r="F190" i="2" s="1"/>
  <c r="AE155" i="7"/>
  <c r="G236" i="2"/>
  <c r="AX236" i="2" s="1"/>
  <c r="AF282" i="7"/>
  <c r="F202" i="2"/>
  <c r="AF621" i="7"/>
  <c r="AF340" i="12"/>
  <c r="G147" i="2"/>
  <c r="AF671" i="7"/>
  <c r="H427" i="20"/>
  <c r="AF214" i="12"/>
  <c r="AF530" i="7"/>
  <c r="AF312" i="7"/>
  <c r="AV227" i="2"/>
  <c r="AF598" i="7"/>
  <c r="AF670" i="7"/>
  <c r="AF408" i="7"/>
  <c r="K438" i="20"/>
  <c r="AB438" i="20" s="1"/>
  <c r="AW147" i="2"/>
  <c r="K201" i="20"/>
  <c r="AB201" i="20" s="1"/>
  <c r="J77" i="20"/>
  <c r="AA77" i="20" s="1"/>
  <c r="I503" i="20"/>
  <c r="Z503" i="20" s="1"/>
  <c r="K187" i="20"/>
  <c r="AB187" i="20" s="1"/>
  <c r="G254" i="20"/>
  <c r="X254" i="20" s="1"/>
  <c r="I509" i="20"/>
  <c r="Z509" i="20" s="1"/>
  <c r="J76" i="20"/>
  <c r="AA76" i="20" s="1"/>
  <c r="G295" i="2"/>
  <c r="I507" i="20"/>
  <c r="Z507" i="20" s="1"/>
  <c r="G236" i="20"/>
  <c r="X236" i="20" s="1"/>
  <c r="J75" i="20"/>
  <c r="AA75" i="20" s="1"/>
  <c r="G259" i="20"/>
  <c r="X259" i="20" s="1"/>
  <c r="J187" i="20"/>
  <c r="AA187" i="20" s="1"/>
  <c r="K439" i="20"/>
  <c r="AB439" i="20" s="1"/>
  <c r="J178" i="20"/>
  <c r="AA178" i="20" s="1"/>
  <c r="J201" i="20"/>
  <c r="K440" i="20"/>
  <c r="AB440" i="20" s="1"/>
  <c r="EY5" i="6"/>
  <c r="EY54" i="6" s="1"/>
  <c r="AF38" i="21"/>
  <c r="AF156" i="12"/>
  <c r="DF260" i="17"/>
  <c r="EV20" i="6"/>
  <c r="EV69" i="6" s="1"/>
  <c r="AV224" i="2"/>
  <c r="I421" i="20"/>
  <c r="Z421" i="20" s="1"/>
  <c r="H421" i="20"/>
  <c r="AF232" i="8"/>
  <c r="AF450" i="7"/>
  <c r="AF506" i="7"/>
  <c r="AF129" i="7"/>
  <c r="AF346" i="7"/>
  <c r="AF507" i="7"/>
  <c r="AF552" i="7"/>
  <c r="AF344" i="7"/>
  <c r="AF64" i="7"/>
  <c r="AF138" i="7"/>
  <c r="FB20" i="6" s="1"/>
  <c r="FB18" i="6" s="1"/>
  <c r="AF242" i="12"/>
  <c r="AF786" i="7"/>
  <c r="AF676" i="7"/>
  <c r="AF511" i="7"/>
  <c r="AF315" i="7"/>
  <c r="AF409" i="7"/>
  <c r="AF510" i="7"/>
  <c r="AF319" i="7"/>
  <c r="AF509" i="7"/>
  <c r="AF639" i="7"/>
  <c r="AF343" i="7"/>
  <c r="AF65" i="7"/>
  <c r="AF311" i="7"/>
  <c r="AF503" i="7"/>
  <c r="AF444" i="7"/>
  <c r="AF280" i="7"/>
  <c r="AF342" i="7"/>
  <c r="AF313" i="7"/>
  <c r="AF612" i="7"/>
  <c r="AF244" i="12"/>
  <c r="AF243" i="12"/>
  <c r="AF241" i="12"/>
  <c r="AF228" i="8"/>
  <c r="AF222" i="7"/>
  <c r="AF157" i="7"/>
  <c r="AF553" i="7"/>
  <c r="AF555" i="7"/>
  <c r="AF641" i="7"/>
  <c r="AF508" i="7"/>
  <c r="AF127" i="7"/>
  <c r="AF445" i="7"/>
  <c r="AF505" i="7"/>
  <c r="AF314" i="7"/>
  <c r="AF281" i="7"/>
  <c r="AF448" i="7"/>
  <c r="AF672" i="7"/>
  <c r="AF278" i="7"/>
  <c r="AF638" i="7"/>
  <c r="AF406" i="7"/>
  <c r="AF63" i="7"/>
  <c r="AF340" i="7"/>
  <c r="AF341" i="7"/>
  <c r="AF449" i="7"/>
  <c r="AF504" i="7"/>
  <c r="AF156" i="7"/>
  <c r="AF238" i="7"/>
  <c r="AF239" i="7" s="1"/>
  <c r="AF554" i="7"/>
  <c r="AF345" i="7"/>
  <c r="AF153" i="7"/>
  <c r="AF407" i="7"/>
  <c r="AF62" i="7"/>
  <c r="AF221" i="7"/>
  <c r="AF531" i="7"/>
  <c r="AF220" i="7"/>
  <c r="AF294" i="7"/>
  <c r="AF293" i="7" s="1"/>
  <c r="AF698" i="7"/>
  <c r="FB94" i="6"/>
  <c r="EY45" i="6"/>
  <c r="AF456" i="12"/>
  <c r="AF459" i="12" s="1"/>
  <c r="AF761" i="7"/>
  <c r="AF762" i="7" s="1"/>
  <c r="AF532" i="7"/>
  <c r="AF520" i="7"/>
  <c r="AF751" i="7"/>
  <c r="AF422" i="7"/>
  <c r="AF29" i="7"/>
  <c r="AE428" i="7"/>
  <c r="AF435" i="7" s="1"/>
  <c r="AF421" i="7" s="1"/>
  <c r="AE239" i="7"/>
  <c r="AE446" i="7"/>
  <c r="AE762" i="7"/>
  <c r="AE71" i="21"/>
  <c r="AE28" i="7"/>
  <c r="EU9" i="6"/>
  <c r="EU58" i="6" s="1"/>
  <c r="AD436" i="7"/>
  <c r="AD447" i="7"/>
  <c r="AE29" i="7"/>
  <c r="EV9" i="6"/>
  <c r="FB58" i="6" s="1"/>
  <c r="AE751" i="7"/>
  <c r="AE756" i="7" s="1"/>
  <c r="F224" i="2" s="1"/>
  <c r="AE422" i="7"/>
  <c r="AE27" i="7"/>
  <c r="ET9" i="6"/>
  <c r="AE73" i="7"/>
  <c r="AE75" i="7" s="1"/>
  <c r="EM9" i="6"/>
  <c r="EM58" i="6" s="1"/>
  <c r="EN58" i="6"/>
  <c r="AE527" i="7"/>
  <c r="AE533" i="7"/>
  <c r="EW45" i="6"/>
  <c r="EW94" i="6" s="1"/>
  <c r="AE790" i="7"/>
  <c r="AE791" i="7" s="1"/>
  <c r="F242" i="2" s="1"/>
  <c r="AD91" i="21"/>
  <c r="AD660" i="7"/>
  <c r="AD674" i="7" s="1"/>
  <c r="AD92" i="7"/>
  <c r="AD76" i="7"/>
  <c r="AD77" i="7"/>
  <c r="EN8" i="6"/>
  <c r="EV94" i="6"/>
  <c r="ES45" i="6"/>
  <c r="EN67" i="6"/>
  <c r="EM18" i="6"/>
  <c r="Y421" i="20" l="1"/>
  <c r="Y427" i="20"/>
  <c r="AA201" i="20"/>
  <c r="AW242" i="2"/>
  <c r="AW202" i="2"/>
  <c r="J340" i="20"/>
  <c r="AA340" i="20" s="1"/>
  <c r="K507" i="20"/>
  <c r="AB507" i="20" s="1"/>
  <c r="AF71" i="21"/>
  <c r="G202" i="2"/>
  <c r="AX202" i="2" s="1"/>
  <c r="AF28" i="7"/>
  <c r="AF94" i="21"/>
  <c r="AF73" i="7"/>
  <c r="EZ8" i="6" s="1"/>
  <c r="EZ12" i="6" s="1"/>
  <c r="EZ58" i="6"/>
  <c r="AF27" i="7"/>
  <c r="EY9" i="6"/>
  <c r="K377" i="20"/>
  <c r="AB377" i="20" s="1"/>
  <c r="AW190" i="2"/>
  <c r="AE158" i="7"/>
  <c r="ET18" i="6"/>
  <c r="ET67" i="6" s="1"/>
  <c r="K340" i="20"/>
  <c r="AB340" i="20" s="1"/>
  <c r="AE150" i="7"/>
  <c r="J377" i="20"/>
  <c r="AA377" i="20" s="1"/>
  <c r="AE142" i="7"/>
  <c r="AE61" i="21"/>
  <c r="L201" i="20"/>
  <c r="H236" i="20"/>
  <c r="Y236" i="20" s="1"/>
  <c r="AX147" i="2"/>
  <c r="EV18" i="6"/>
  <c r="EV67" i="6" s="1"/>
  <c r="M439" i="20"/>
  <c r="AD439" i="20" s="1"/>
  <c r="K503" i="20"/>
  <c r="AB503" i="20" s="1"/>
  <c r="AF155" i="7"/>
  <c r="H259" i="20"/>
  <c r="Y259" i="20" s="1"/>
  <c r="L178" i="20"/>
  <c r="AC178" i="20" s="1"/>
  <c r="M438" i="20"/>
  <c r="AD438" i="20" s="1"/>
  <c r="M440" i="20"/>
  <c r="AD440" i="20" s="1"/>
  <c r="K509" i="20"/>
  <c r="AB509" i="20" s="1"/>
  <c r="M201" i="20"/>
  <c r="AD201" i="20" s="1"/>
  <c r="L187" i="20"/>
  <c r="AC187" i="20" s="1"/>
  <c r="M187" i="20"/>
  <c r="AD187" i="20" s="1"/>
  <c r="H254" i="20"/>
  <c r="Y254" i="20" s="1"/>
  <c r="FB69" i="6"/>
  <c r="F227" i="2"/>
  <c r="H29" i="20"/>
  <c r="Y29" i="20" s="1"/>
  <c r="J73" i="20"/>
  <c r="AA73" i="20" s="1"/>
  <c r="H33" i="20"/>
  <c r="Y33" i="20" s="1"/>
  <c r="DF265" i="17"/>
  <c r="DE260" i="17"/>
  <c r="I516" i="20"/>
  <c r="Z516" i="20" s="1"/>
  <c r="AF141" i="7"/>
  <c r="AF61" i="21" s="1"/>
  <c r="AF752" i="7"/>
  <c r="AF756" i="7" s="1"/>
  <c r="EY94" i="6"/>
  <c r="AF521" i="7"/>
  <c r="FC45" i="6"/>
  <c r="FC94" i="6" s="1"/>
  <c r="FA58" i="6"/>
  <c r="EV58" i="6"/>
  <c r="AF447" i="7"/>
  <c r="AF436" i="7"/>
  <c r="AF446" i="7"/>
  <c r="AF428" i="7"/>
  <c r="AF790" i="7"/>
  <c r="AF791" i="7" s="1"/>
  <c r="AF107" i="21" s="1"/>
  <c r="AF527" i="7"/>
  <c r="AF533" i="7"/>
  <c r="AF764" i="7"/>
  <c r="AF765" i="7" s="1"/>
  <c r="AF663" i="7"/>
  <c r="AF677" i="7" s="1"/>
  <c r="AE663" i="7"/>
  <c r="AE677" i="7" s="1"/>
  <c r="AE764" i="7"/>
  <c r="AE765" i="7" s="1"/>
  <c r="AE94" i="21"/>
  <c r="G227" i="2"/>
  <c r="K421" i="20"/>
  <c r="AB421" i="20" s="1"/>
  <c r="J421" i="20"/>
  <c r="AW224" i="2"/>
  <c r="AE107" i="21"/>
  <c r="AE792" i="7"/>
  <c r="AE793" i="7" s="1"/>
  <c r="AE77" i="7"/>
  <c r="AE76" i="7"/>
  <c r="AE92" i="7"/>
  <c r="ET8" i="6"/>
  <c r="AE91" i="21"/>
  <c r="AE660" i="7"/>
  <c r="AE674" i="7" s="1"/>
  <c r="ER18" i="6"/>
  <c r="ER67" i="6" s="1"/>
  <c r="EM67" i="6"/>
  <c r="ES94" i="6"/>
  <c r="EX45" i="6"/>
  <c r="EX94" i="6" s="1"/>
  <c r="EN57" i="6"/>
  <c r="EN12" i="6"/>
  <c r="ES9" i="6"/>
  <c r="ES58" i="6" s="1"/>
  <c r="ET58" i="6"/>
  <c r="AE436" i="7"/>
  <c r="AE447" i="7"/>
  <c r="AC201" i="20" l="1"/>
  <c r="L377" i="20"/>
  <c r="AC377" i="20" s="1"/>
  <c r="AW227" i="2"/>
  <c r="M377" i="20"/>
  <c r="AD377" i="20" s="1"/>
  <c r="DF272" i="17"/>
  <c r="DF136" i="17"/>
  <c r="EZ57" i="6"/>
  <c r="AF75" i="7"/>
  <c r="AF92" i="7"/>
  <c r="AF77" i="7"/>
  <c r="AF76" i="7"/>
  <c r="FB67" i="6"/>
  <c r="ES18" i="6"/>
  <c r="EX18" i="6" s="1"/>
  <c r="EX67" i="6" s="1"/>
  <c r="M427" i="20"/>
  <c r="AD427" i="20" s="1"/>
  <c r="K427" i="20"/>
  <c r="AB427" i="20" s="1"/>
  <c r="J427" i="20"/>
  <c r="AF142" i="7"/>
  <c r="G242" i="2"/>
  <c r="AF660" i="7"/>
  <c r="AF674" i="7" s="1"/>
  <c r="AF91" i="21"/>
  <c r="EZ18" i="6"/>
  <c r="G190" i="2"/>
  <c r="G224" i="2"/>
  <c r="AF158" i="7"/>
  <c r="AF150" i="7"/>
  <c r="EY58" i="6"/>
  <c r="FD45" i="6"/>
  <c r="FD94" i="6" s="1"/>
  <c r="AF792" i="7"/>
  <c r="AF793" i="7" s="1"/>
  <c r="AA421" i="20"/>
  <c r="AX227" i="2"/>
  <c r="L427" i="20"/>
  <c r="EN61" i="6"/>
  <c r="ET57" i="6"/>
  <c r="ET12" i="6"/>
  <c r="EZ61" i="6" s="1"/>
  <c r="AA427" i="20" l="1"/>
  <c r="AX224" i="2"/>
  <c r="K516" i="20"/>
  <c r="AB516" i="20" s="1"/>
  <c r="ES67" i="6"/>
  <c r="AX242" i="2"/>
  <c r="M421" i="20"/>
  <c r="AD421" i="20" s="1"/>
  <c r="L421" i="20"/>
  <c r="L340" i="20"/>
  <c r="AC340" i="20" s="1"/>
  <c r="AX190" i="2"/>
  <c r="M340" i="20"/>
  <c r="AD340" i="20" s="1"/>
  <c r="EZ67" i="6"/>
  <c r="EY18" i="6"/>
  <c r="AC427" i="20"/>
  <c r="ET61" i="6"/>
  <c r="AC421" i="20" l="1"/>
  <c r="FD18" i="6"/>
  <c r="FD67" i="6" s="1"/>
  <c r="EY67" i="6"/>
  <c r="AC54" i="21"/>
  <c r="AC53" i="8"/>
  <c r="AC64" i="8"/>
  <c r="AC39" i="8" s="1"/>
  <c r="AC40" i="8" l="1"/>
  <c r="AC58" i="21" l="1"/>
  <c r="AC47" i="21"/>
  <c r="AC87" i="21"/>
  <c r="EJ11" i="6"/>
  <c r="EJ60" i="6" s="1"/>
  <c r="AD224" i="8"/>
  <c r="AC72" i="21"/>
  <c r="EI11" i="6"/>
  <c r="EI60" i="6" s="1"/>
  <c r="EK11" i="6"/>
  <c r="DO50" i="11"/>
  <c r="AC167" i="8"/>
  <c r="AC258" i="7" s="1"/>
  <c r="EJ8" i="6"/>
  <c r="EJ57" i="6" s="1"/>
  <c r="AC253" i="8"/>
  <c r="EH13" i="6"/>
  <c r="AC164" i="8"/>
  <c r="AC143" i="8" s="1"/>
  <c r="AH8" i="7"/>
  <c r="AC165" i="8"/>
  <c r="AC270" i="7" l="1"/>
  <c r="AC259" i="7"/>
  <c r="AC271" i="7" s="1"/>
  <c r="AC163" i="8"/>
  <c r="AC177" i="8" s="1"/>
  <c r="AC157" i="8"/>
  <c r="AC150" i="8"/>
  <c r="AD143" i="8"/>
  <c r="AC172" i="8"/>
  <c r="AC179" i="8"/>
  <c r="AC166" i="8"/>
  <c r="AC144" i="8"/>
  <c r="AC426" i="7"/>
  <c r="AC171" i="8"/>
  <c r="AC178" i="8"/>
  <c r="AC110" i="21"/>
  <c r="AC83" i="21"/>
  <c r="EJ25" i="6"/>
  <c r="EH62" i="6"/>
  <c r="EH15" i="6"/>
  <c r="EH64" i="6" s="1"/>
  <c r="EG13" i="6"/>
  <c r="AC174" i="8"/>
  <c r="AC181" i="8"/>
  <c r="AC146" i="8"/>
  <c r="EH22" i="6"/>
  <c r="EJ12" i="6"/>
  <c r="EQ60" i="6"/>
  <c r="EK60" i="6"/>
  <c r="EG11" i="6"/>
  <c r="EG60" i="6" s="1"/>
  <c r="AC170" i="8" l="1"/>
  <c r="AC142" i="8"/>
  <c r="AC156" i="8" s="1"/>
  <c r="EH71" i="6"/>
  <c r="EH29" i="6"/>
  <c r="AC82" i="21"/>
  <c r="AC158" i="8"/>
  <c r="AC151" i="8"/>
  <c r="AC39" i="21"/>
  <c r="EG6" i="6"/>
  <c r="DP117" i="11"/>
  <c r="DQ117" i="11" s="1"/>
  <c r="EJ61" i="6"/>
  <c r="AC160" i="8"/>
  <c r="AC153" i="8"/>
  <c r="EL13" i="6"/>
  <c r="EL62" i="6" s="1"/>
  <c r="EG62" i="6"/>
  <c r="EJ24" i="6"/>
  <c r="EJ74" i="6"/>
  <c r="AC63" i="21"/>
  <c r="AC219" i="7"/>
  <c r="EH30" i="6"/>
  <c r="AD173" i="8"/>
  <c r="AC180" i="8"/>
  <c r="AC173" i="8"/>
  <c r="AD157" i="8"/>
  <c r="AD164" i="8"/>
  <c r="AD188" i="8"/>
  <c r="AE143" i="8"/>
  <c r="AF143" i="8" s="1"/>
  <c r="AC98" i="21"/>
  <c r="EK16" i="6"/>
  <c r="AF164" i="8" l="1"/>
  <c r="AF157" i="8"/>
  <c r="AF188" i="8"/>
  <c r="AC149" i="8"/>
  <c r="AD142" i="8"/>
  <c r="AD156" i="8" s="1"/>
  <c r="AD195" i="8"/>
  <c r="AD202" i="8" s="1"/>
  <c r="AD210" i="8"/>
  <c r="AD44" i="8" s="1"/>
  <c r="EH79" i="6"/>
  <c r="EG30" i="6"/>
  <c r="AC43" i="21"/>
  <c r="DP119" i="11"/>
  <c r="EG55" i="6"/>
  <c r="EG8" i="6"/>
  <c r="EH31" i="6"/>
  <c r="EH34" i="6" s="1"/>
  <c r="EH78" i="6"/>
  <c r="EK65" i="6"/>
  <c r="AE157" i="8"/>
  <c r="AE164" i="8"/>
  <c r="AE188" i="8"/>
  <c r="AD171" i="8"/>
  <c r="AC223" i="7"/>
  <c r="EJ23" i="6"/>
  <c r="AC81" i="21"/>
  <c r="AC204" i="7"/>
  <c r="EJ73" i="6"/>
  <c r="EG24" i="6"/>
  <c r="EG73" i="6" s="1"/>
  <c r="AC80" i="21"/>
  <c r="EJ16" i="6"/>
  <c r="AC14" i="7"/>
  <c r="AC123" i="21"/>
  <c r="AD212" i="8" l="1"/>
  <c r="E220" i="2"/>
  <c r="AF210" i="8"/>
  <c r="AF195" i="8"/>
  <c r="AF202" i="8" s="1"/>
  <c r="AF171" i="8"/>
  <c r="AE142" i="8"/>
  <c r="AD187" i="8"/>
  <c r="AD194" i="8" s="1"/>
  <c r="AD201" i="8" s="1"/>
  <c r="AD163" i="8"/>
  <c r="AD170" i="8" s="1"/>
  <c r="AD178" i="8"/>
  <c r="AC122" i="21"/>
  <c r="EG23" i="6"/>
  <c r="EG72" i="6" s="1"/>
  <c r="EJ72" i="6"/>
  <c r="AE171" i="8"/>
  <c r="AC236" i="8"/>
  <c r="EG31" i="6"/>
  <c r="EH80" i="6"/>
  <c r="EG12" i="6"/>
  <c r="EG61" i="6" s="1"/>
  <c r="EG57" i="6"/>
  <c r="AC89" i="7"/>
  <c r="AC69" i="21"/>
  <c r="EI8" i="6"/>
  <c r="DQ119" i="11"/>
  <c r="DO119" i="11"/>
  <c r="EJ65" i="6"/>
  <c r="EG16" i="6"/>
  <c r="AE195" i="8"/>
  <c r="AE202" i="8" s="1"/>
  <c r="AE210" i="8"/>
  <c r="EH83" i="6"/>
  <c r="EH39" i="6"/>
  <c r="AC64" i="21"/>
  <c r="EG79" i="6"/>
  <c r="EP11" i="6"/>
  <c r="EP60" i="6" s="1"/>
  <c r="AD87" i="21"/>
  <c r="AD222" i="8"/>
  <c r="AD263" i="7" s="1"/>
  <c r="AD230" i="8"/>
  <c r="AD416" i="7"/>
  <c r="AD83" i="7"/>
  <c r="AD86" i="7" s="1"/>
  <c r="AF212" i="8" l="1"/>
  <c r="AF44" i="8"/>
  <c r="AE178" i="8"/>
  <c r="AE44" i="8"/>
  <c r="AF178" i="8"/>
  <c r="F220" i="2"/>
  <c r="FB11" i="6"/>
  <c r="AF87" i="21"/>
  <c r="AF416" i="7"/>
  <c r="AF83" i="7"/>
  <c r="AF86" i="7" s="1"/>
  <c r="I480" i="20"/>
  <c r="Z480" i="20" s="1"/>
  <c r="H415" i="20"/>
  <c r="I415" i="20"/>
  <c r="Z415" i="20" s="1"/>
  <c r="H480" i="20"/>
  <c r="Y480" i="20" s="1"/>
  <c r="AV220" i="2"/>
  <c r="AE156" i="8"/>
  <c r="AF142" i="8"/>
  <c r="AF230" i="8"/>
  <c r="AF222" i="8"/>
  <c r="AD165" i="8"/>
  <c r="AD172" i="8" s="1"/>
  <c r="AE163" i="8"/>
  <c r="AE170" i="8" s="1"/>
  <c r="AE187" i="8"/>
  <c r="AE194" i="8" s="1"/>
  <c r="AE201" i="8" s="1"/>
  <c r="EL30" i="6"/>
  <c r="EL79" i="6" s="1"/>
  <c r="AD442" i="7"/>
  <c r="AD430" i="7"/>
  <c r="AD417" i="7"/>
  <c r="E245" i="2" s="1"/>
  <c r="AD654" i="7"/>
  <c r="EH48" i="6"/>
  <c r="EH88" i="6"/>
  <c r="EG65" i="6"/>
  <c r="EL16" i="6"/>
  <c r="EL65" i="6" s="1"/>
  <c r="EI57" i="6"/>
  <c r="EI12" i="6"/>
  <c r="EL8" i="6"/>
  <c r="EL57" i="6" s="1"/>
  <c r="AC650" i="7"/>
  <c r="AD85" i="7"/>
  <c r="AD94" i="7"/>
  <c r="AD87" i="7"/>
  <c r="EP8" i="6"/>
  <c r="AE87" i="21"/>
  <c r="AE230" i="8"/>
  <c r="EV11" i="6"/>
  <c r="AE222" i="8"/>
  <c r="G220" i="2"/>
  <c r="AE416" i="7"/>
  <c r="AE83" i="7"/>
  <c r="AE212" i="8"/>
  <c r="AC73" i="21"/>
  <c r="EG80" i="6"/>
  <c r="EL31" i="6"/>
  <c r="EL80" i="6" s="1"/>
  <c r="AC121" i="21"/>
  <c r="Y415" i="20" l="1"/>
  <c r="J415" i="20"/>
  <c r="FB60" i="6"/>
  <c r="AW220" i="2"/>
  <c r="K415" i="20"/>
  <c r="AB415" i="20" s="1"/>
  <c r="K480" i="20"/>
  <c r="AB480" i="20" s="1"/>
  <c r="J480" i="20"/>
  <c r="AA480" i="20" s="1"/>
  <c r="AF654" i="7"/>
  <c r="AF668" i="7" s="1"/>
  <c r="AF442" i="7"/>
  <c r="AF417" i="7"/>
  <c r="AF426" i="7" s="1"/>
  <c r="AF430" i="7"/>
  <c r="AF87" i="7"/>
  <c r="AF85" i="7"/>
  <c r="FB8" i="6"/>
  <c r="FB12" i="6" s="1"/>
  <c r="I484" i="20"/>
  <c r="Z484" i="20" s="1"/>
  <c r="I481" i="20"/>
  <c r="Z481" i="20" s="1"/>
  <c r="H484" i="20"/>
  <c r="Y484" i="20" s="1"/>
  <c r="I416" i="20"/>
  <c r="Z416" i="20" s="1"/>
  <c r="H481" i="20"/>
  <c r="Y481" i="20" s="1"/>
  <c r="H416" i="20"/>
  <c r="AV245" i="2"/>
  <c r="EV60" i="6"/>
  <c r="AE86" i="7"/>
  <c r="AF94" i="7"/>
  <c r="AF163" i="8"/>
  <c r="AF156" i="8"/>
  <c r="AF187" i="8"/>
  <c r="AF194" i="8" s="1"/>
  <c r="AF201" i="8" s="1"/>
  <c r="AD213" i="8"/>
  <c r="E161" i="2" s="1"/>
  <c r="AD144" i="8"/>
  <c r="AD151" i="8" s="1"/>
  <c r="AD167" i="8"/>
  <c r="AD258" i="7" s="1"/>
  <c r="AD270" i="7" s="1"/>
  <c r="AE165" i="8"/>
  <c r="AE213" i="8" s="1"/>
  <c r="F161" i="2" s="1"/>
  <c r="AD431" i="7"/>
  <c r="AD414" i="7"/>
  <c r="AD426" i="7"/>
  <c r="AC115" i="7"/>
  <c r="AE442" i="7"/>
  <c r="AE430" i="7"/>
  <c r="AE417" i="7"/>
  <c r="AE654" i="7"/>
  <c r="EP57" i="6"/>
  <c r="EP12" i="6"/>
  <c r="EI61" i="6"/>
  <c r="EI22" i="6"/>
  <c r="EH97" i="6"/>
  <c r="EH49" i="6"/>
  <c r="AD443" i="7"/>
  <c r="AI8" i="7"/>
  <c r="AI9" i="7" s="1"/>
  <c r="AD655" i="7"/>
  <c r="AD669" i="7" s="1"/>
  <c r="AD110" i="21"/>
  <c r="AE94" i="7"/>
  <c r="AE87" i="7"/>
  <c r="AE85" i="7"/>
  <c r="EV8" i="6"/>
  <c r="M415" i="20"/>
  <c r="AD415" i="20" s="1"/>
  <c r="AX220" i="2"/>
  <c r="M480" i="20"/>
  <c r="AD480" i="20" s="1"/>
  <c r="L480" i="20"/>
  <c r="AC480" i="20" s="1"/>
  <c r="L415" i="20"/>
  <c r="AD668" i="7"/>
  <c r="AA415" i="20" l="1"/>
  <c r="Y416" i="20"/>
  <c r="AD158" i="8"/>
  <c r="AD231" i="8"/>
  <c r="AD179" i="8"/>
  <c r="AD223" i="8"/>
  <c r="AI200" i="7" s="1"/>
  <c r="AD216" i="8"/>
  <c r="AD225" i="8" s="1"/>
  <c r="AD209" i="8"/>
  <c r="E203" i="2" s="1"/>
  <c r="FB57" i="6"/>
  <c r="AF431" i="7"/>
  <c r="AD181" i="8"/>
  <c r="AD47" i="21"/>
  <c r="AF655" i="7"/>
  <c r="AF669" i="7" s="1"/>
  <c r="AF110" i="21"/>
  <c r="AF414" i="7"/>
  <c r="AK8" i="7"/>
  <c r="AF443" i="7"/>
  <c r="F253" i="20"/>
  <c r="I283" i="20"/>
  <c r="Z283" i="20" s="1"/>
  <c r="AV161" i="2"/>
  <c r="F34" i="20"/>
  <c r="W34" i="20" s="1"/>
  <c r="I197" i="20"/>
  <c r="Z197" i="20" s="1"/>
  <c r="H194" i="20"/>
  <c r="Y194" i="20" s="1"/>
  <c r="I194" i="20"/>
  <c r="Z194" i="20" s="1"/>
  <c r="I281" i="20"/>
  <c r="Z281" i="20" s="1"/>
  <c r="H283" i="20"/>
  <c r="Y283" i="20" s="1"/>
  <c r="H197" i="20"/>
  <c r="Y197" i="20" s="1"/>
  <c r="H281" i="20"/>
  <c r="Y281" i="20" s="1"/>
  <c r="F245" i="2"/>
  <c r="AF170" i="8"/>
  <c r="AF165" i="8"/>
  <c r="AD146" i="8"/>
  <c r="AD191" i="8" s="1"/>
  <c r="AD198" i="8" s="1"/>
  <c r="AD205" i="8" s="1"/>
  <c r="AD174" i="8"/>
  <c r="AD189" i="8"/>
  <c r="AD196" i="8" s="1"/>
  <c r="AD203" i="8" s="1"/>
  <c r="AE144" i="8"/>
  <c r="AE189" i="8" s="1"/>
  <c r="AE172" i="8"/>
  <c r="AC415" i="20"/>
  <c r="AE167" i="8"/>
  <c r="AE146" i="8" s="1"/>
  <c r="AE431" i="7"/>
  <c r="AE414" i="7"/>
  <c r="AI10" i="7"/>
  <c r="AI11" i="7" s="1"/>
  <c r="J194" i="20"/>
  <c r="AA194" i="20" s="1"/>
  <c r="J283" i="20"/>
  <c r="AA283" i="20" s="1"/>
  <c r="K281" i="20"/>
  <c r="AB281" i="20" s="1"/>
  <c r="K194" i="20"/>
  <c r="AB194" i="20" s="1"/>
  <c r="G34" i="20"/>
  <c r="X34" i="20" s="1"/>
  <c r="AW161" i="2"/>
  <c r="J281" i="20"/>
  <c r="AA281" i="20" s="1"/>
  <c r="J197" i="20"/>
  <c r="AA197" i="20" s="1"/>
  <c r="K197" i="20"/>
  <c r="AB197" i="20" s="1"/>
  <c r="K283" i="20"/>
  <c r="AB283" i="20" s="1"/>
  <c r="G253" i="20"/>
  <c r="AD251" i="7"/>
  <c r="AE263" i="7" s="1"/>
  <c r="EI71" i="6"/>
  <c r="EI29" i="6"/>
  <c r="EP61" i="6"/>
  <c r="AE110" i="21"/>
  <c r="AJ8" i="7"/>
  <c r="AE655" i="7"/>
  <c r="AE669" i="7" s="1"/>
  <c r="AE443" i="7"/>
  <c r="G245" i="2"/>
  <c r="EV57" i="6"/>
  <c r="EV12" i="6"/>
  <c r="FB61" i="6" s="1"/>
  <c r="AE231" i="8"/>
  <c r="AE47" i="21"/>
  <c r="AE223" i="8"/>
  <c r="AE274" i="7" s="1"/>
  <c r="AE209" i="8"/>
  <c r="AE216" i="8"/>
  <c r="F187" i="2" s="1"/>
  <c r="AE179" i="8"/>
  <c r="AE668" i="7"/>
  <c r="AE426" i="7"/>
  <c r="AD153" i="8" l="1"/>
  <c r="K481" i="20"/>
  <c r="AB481" i="20" s="1"/>
  <c r="AD177" i="8"/>
  <c r="AD72" i="21"/>
  <c r="AE158" i="8"/>
  <c r="AD58" i="21"/>
  <c r="AD274" i="7"/>
  <c r="EN13" i="6"/>
  <c r="EN22" i="6" s="1"/>
  <c r="EO11" i="6"/>
  <c r="EO60" i="6" s="1"/>
  <c r="AD221" i="8"/>
  <c r="AE221" i="8"/>
  <c r="AD229" i="8"/>
  <c r="AD214" i="8"/>
  <c r="AD178" i="7"/>
  <c r="AD184" i="7" s="1"/>
  <c r="AD233" i="8"/>
  <c r="E187" i="2"/>
  <c r="I338" i="20" s="1"/>
  <c r="Z338" i="20" s="1"/>
  <c r="AD217" i="8"/>
  <c r="AD160" i="8"/>
  <c r="F203" i="2"/>
  <c r="J484" i="20"/>
  <c r="AA484" i="20" s="1"/>
  <c r="K416" i="20"/>
  <c r="AB416" i="20" s="1"/>
  <c r="J416" i="20"/>
  <c r="J481" i="20"/>
  <c r="AA481" i="20" s="1"/>
  <c r="K484" i="20"/>
  <c r="AB484" i="20" s="1"/>
  <c r="AW245" i="2"/>
  <c r="AE251" i="7"/>
  <c r="E216" i="2"/>
  <c r="AV203" i="2"/>
  <c r="H378" i="20"/>
  <c r="Y378" i="20" s="1"/>
  <c r="I378" i="20"/>
  <c r="Z378" i="20" s="1"/>
  <c r="W253" i="20"/>
  <c r="F255" i="20"/>
  <c r="W255" i="20" s="1"/>
  <c r="AJ9" i="7"/>
  <c r="AK9" i="7"/>
  <c r="AF172" i="8"/>
  <c r="AF167" i="8"/>
  <c r="AF258" i="7" s="1"/>
  <c r="AF144" i="8"/>
  <c r="AF213" i="8"/>
  <c r="AD247" i="8"/>
  <c r="AE151" i="8"/>
  <c r="AE174" i="8"/>
  <c r="AE258" i="7"/>
  <c r="AD17" i="7"/>
  <c r="AD8" i="7" s="1"/>
  <c r="AI208" i="7"/>
  <c r="AD207" i="7" s="1"/>
  <c r="AD12" i="7"/>
  <c r="AE225" i="8"/>
  <c r="AE58" i="21"/>
  <c r="AE233" i="8"/>
  <c r="AE178" i="7"/>
  <c r="ET13" i="6"/>
  <c r="AE229" i="8"/>
  <c r="AE214" i="8"/>
  <c r="AE72" i="21"/>
  <c r="EU11" i="6"/>
  <c r="AE177" i="8"/>
  <c r="AE217" i="8"/>
  <c r="AW187" i="2"/>
  <c r="J338" i="20"/>
  <c r="AA338" i="20" s="1"/>
  <c r="AX245" i="2"/>
  <c r="M481" i="20"/>
  <c r="AD481" i="20" s="1"/>
  <c r="M416" i="20"/>
  <c r="AD416" i="20" s="1"/>
  <c r="L481" i="20"/>
  <c r="AC481" i="20" s="1"/>
  <c r="L416" i="20"/>
  <c r="M484" i="20"/>
  <c r="AD484" i="20" s="1"/>
  <c r="L484" i="20"/>
  <c r="AC484" i="20" s="1"/>
  <c r="EI78" i="6"/>
  <c r="EI34" i="6"/>
  <c r="AE160" i="8"/>
  <c r="AE153" i="8"/>
  <c r="AE191" i="8"/>
  <c r="AE198" i="8" s="1"/>
  <c r="AE205" i="8" s="1"/>
  <c r="AE196" i="8"/>
  <c r="AE203" i="8" s="1"/>
  <c r="AE247" i="8"/>
  <c r="EV61" i="6"/>
  <c r="AE181" i="8"/>
  <c r="AD277" i="7"/>
  <c r="EP25" i="6"/>
  <c r="AD83" i="21"/>
  <c r="AD694" i="7"/>
  <c r="AD253" i="7"/>
  <c r="E215" i="2" s="1"/>
  <c r="X253" i="20"/>
  <c r="G255" i="20"/>
  <c r="X255" i="20" s="1"/>
  <c r="AA416" i="20" l="1"/>
  <c r="F216" i="2"/>
  <c r="AW216" i="2" s="1"/>
  <c r="AF263" i="7"/>
  <c r="AF251" i="7" s="1"/>
  <c r="G216" i="2" s="1"/>
  <c r="AL289" i="7"/>
  <c r="AL287" i="7"/>
  <c r="AL290" i="7"/>
  <c r="H338" i="20"/>
  <c r="Y338" i="20" s="1"/>
  <c r="J378" i="20"/>
  <c r="AA378" i="20" s="1"/>
  <c r="EN15" i="6"/>
  <c r="EN64" i="6" s="1"/>
  <c r="EN62" i="6"/>
  <c r="EM13" i="6"/>
  <c r="EM62" i="6" s="1"/>
  <c r="EM11" i="6"/>
  <c r="EM60" i="6" s="1"/>
  <c r="AW203" i="2"/>
  <c r="K378" i="20"/>
  <c r="AB378" i="20" s="1"/>
  <c r="AV187" i="2"/>
  <c r="K338" i="20"/>
  <c r="AB338" i="20" s="1"/>
  <c r="AD352" i="7"/>
  <c r="AD358" i="7" s="1"/>
  <c r="AD190" i="7"/>
  <c r="AF47" i="21"/>
  <c r="G161" i="2"/>
  <c r="AV215" i="2"/>
  <c r="G466" i="20"/>
  <c r="X466" i="20" s="1"/>
  <c r="H411" i="20"/>
  <c r="G467" i="20"/>
  <c r="G464" i="20"/>
  <c r="I411" i="20"/>
  <c r="Z411" i="20" s="1"/>
  <c r="I412" i="20"/>
  <c r="Z412" i="20" s="1"/>
  <c r="H412" i="20"/>
  <c r="AV216" i="2"/>
  <c r="AJ18" i="7"/>
  <c r="AJ20" i="7" s="1"/>
  <c r="AJ21" i="7" s="1"/>
  <c r="AE21" i="7" s="1"/>
  <c r="E231" i="2"/>
  <c r="AV231" i="2" s="1"/>
  <c r="AD26" i="7"/>
  <c r="E150" i="2"/>
  <c r="AE270" i="7"/>
  <c r="AF270" i="7"/>
  <c r="AF158" i="8"/>
  <c r="AF151" i="8"/>
  <c r="AF189" i="8"/>
  <c r="AF223" i="8"/>
  <c r="AF274" i="7" s="1"/>
  <c r="AF231" i="8"/>
  <c r="AF216" i="8"/>
  <c r="AF209" i="8"/>
  <c r="AF174" i="8"/>
  <c r="AF146" i="8"/>
  <c r="AF179" i="8"/>
  <c r="AC416" i="20"/>
  <c r="AD98" i="21"/>
  <c r="AD88" i="7"/>
  <c r="EM6" i="6"/>
  <c r="EM8" i="6" s="1"/>
  <c r="AJ10" i="7"/>
  <c r="AJ11" i="7" s="1"/>
  <c r="AD39" i="21"/>
  <c r="DU117" i="11"/>
  <c r="DV117" i="11" s="1"/>
  <c r="AD199" i="7"/>
  <c r="AD228" i="7"/>
  <c r="AD226" i="7"/>
  <c r="AD770" i="7"/>
  <c r="AD30" i="7"/>
  <c r="EQ16" i="6"/>
  <c r="EQ65" i="6" s="1"/>
  <c r="AD692" i="7"/>
  <c r="AD13" i="7"/>
  <c r="AE83" i="21"/>
  <c r="AE694" i="7"/>
  <c r="EV25" i="6"/>
  <c r="AE277" i="7"/>
  <c r="AE253" i="7"/>
  <c r="F215" i="2" s="1"/>
  <c r="AD82" i="21"/>
  <c r="AD265" i="7"/>
  <c r="AD287" i="7" s="1"/>
  <c r="AD289" i="7"/>
  <c r="AD279" i="7"/>
  <c r="AD626" i="7"/>
  <c r="AD637" i="7" s="1"/>
  <c r="AD257" i="7"/>
  <c r="AD260" i="7" s="1"/>
  <c r="EP74" i="6"/>
  <c r="EP24" i="6"/>
  <c r="EI83" i="6"/>
  <c r="EI39" i="6"/>
  <c r="EN71" i="6"/>
  <c r="EN29" i="6"/>
  <c r="AA18" i="24"/>
  <c r="ET62" i="6"/>
  <c r="ES13" i="6"/>
  <c r="ET15" i="6"/>
  <c r="ET22" i="6"/>
  <c r="EU60" i="6"/>
  <c r="ES11" i="6"/>
  <c r="AE190" i="7"/>
  <c r="AE184" i="7"/>
  <c r="AE352" i="7"/>
  <c r="Y412" i="20" l="1"/>
  <c r="Y411" i="20"/>
  <c r="K412" i="20"/>
  <c r="AB412" i="20" s="1"/>
  <c r="J412" i="20"/>
  <c r="AN290" i="7"/>
  <c r="AN289" i="7"/>
  <c r="AN287" i="7"/>
  <c r="X467" i="20"/>
  <c r="X464" i="20"/>
  <c r="ER13" i="6"/>
  <c r="ER62" i="6" s="1"/>
  <c r="AD364" i="7"/>
  <c r="AF72" i="21"/>
  <c r="FA11" i="6"/>
  <c r="G203" i="2"/>
  <c r="L283" i="20"/>
  <c r="AC283" i="20" s="1"/>
  <c r="M197" i="20"/>
  <c r="AD197" i="20" s="1"/>
  <c r="L194" i="20"/>
  <c r="AC194" i="20" s="1"/>
  <c r="L281" i="20"/>
  <c r="AC281" i="20" s="1"/>
  <c r="M194" i="20"/>
  <c r="AD194" i="20" s="1"/>
  <c r="L197" i="20"/>
  <c r="AC197" i="20" s="1"/>
  <c r="M281" i="20"/>
  <c r="AD281" i="20" s="1"/>
  <c r="H34" i="20"/>
  <c r="Y34" i="20" s="1"/>
  <c r="AX161" i="2"/>
  <c r="M283" i="20"/>
  <c r="AD283" i="20" s="1"/>
  <c r="H253" i="20"/>
  <c r="EZ13" i="6"/>
  <c r="AF58" i="21"/>
  <c r="AF178" i="7"/>
  <c r="G187" i="2"/>
  <c r="AJ200" i="7"/>
  <c r="AJ208" i="7" s="1"/>
  <c r="AE207" i="7" s="1"/>
  <c r="E192" i="2"/>
  <c r="AF181" i="8"/>
  <c r="FB25" i="6"/>
  <c r="FB24" i="6" s="1"/>
  <c r="EY24" i="6" s="1"/>
  <c r="AF83" i="21"/>
  <c r="AD691" i="7"/>
  <c r="E213" i="2"/>
  <c r="AD352" i="12"/>
  <c r="AD355" i="12" s="1"/>
  <c r="E157" i="2"/>
  <c r="AV157" i="2" s="1"/>
  <c r="H199" i="20"/>
  <c r="Y199" i="20" s="1"/>
  <c r="I199" i="20"/>
  <c r="Z199" i="20" s="1"/>
  <c r="F258" i="20"/>
  <c r="W258" i="20" s="1"/>
  <c r="H198" i="20"/>
  <c r="Y198" i="20" s="1"/>
  <c r="I198" i="20"/>
  <c r="Z198" i="20" s="1"/>
  <c r="H196" i="20"/>
  <c r="Y196" i="20" s="1"/>
  <c r="I196" i="20"/>
  <c r="Z196" i="20" s="1"/>
  <c r="AV150" i="2"/>
  <c r="AE12" i="7"/>
  <c r="EW16" i="6" s="1"/>
  <c r="AE17" i="7"/>
  <c r="AE8" i="7" s="1"/>
  <c r="AK10" i="7" s="1"/>
  <c r="AK11" i="7" s="1"/>
  <c r="ES60" i="6"/>
  <c r="ET64" i="6"/>
  <c r="AF694" i="7"/>
  <c r="AF253" i="7"/>
  <c r="AF82" i="21" s="1"/>
  <c r="AF277" i="7"/>
  <c r="AD229" i="7"/>
  <c r="AD227" i="7"/>
  <c r="AF221" i="8"/>
  <c r="AF229" i="8"/>
  <c r="AF214" i="8"/>
  <c r="AF177" i="8"/>
  <c r="AF160" i="8"/>
  <c r="AF153" i="8"/>
  <c r="AF191" i="8"/>
  <c r="AF198" i="8" s="1"/>
  <c r="AF205" i="8" s="1"/>
  <c r="AF225" i="8"/>
  <c r="AF236" i="8"/>
  <c r="AF233" i="8"/>
  <c r="AF217" i="8"/>
  <c r="AF196" i="8"/>
  <c r="AF203" i="8" s="1"/>
  <c r="AF247" i="8"/>
  <c r="EN30" i="6"/>
  <c r="EM30" i="6" s="1"/>
  <c r="EM55" i="6"/>
  <c r="AD95" i="7"/>
  <c r="AA412" i="20"/>
  <c r="AD63" i="21"/>
  <c r="AD219" i="7"/>
  <c r="AD203" i="7"/>
  <c r="AD230" i="7"/>
  <c r="AD101" i="7"/>
  <c r="AD78" i="7"/>
  <c r="AD93" i="7" s="1"/>
  <c r="AD98" i="7"/>
  <c r="AD100" i="7"/>
  <c r="AD43" i="21"/>
  <c r="DU119" i="11"/>
  <c r="DV119" i="11" s="1"/>
  <c r="AD624" i="7"/>
  <c r="AD635" i="7" s="1"/>
  <c r="EP16" i="6"/>
  <c r="EM16" i="6" s="1"/>
  <c r="AD31" i="7"/>
  <c r="AD80" i="21"/>
  <c r="AD22" i="7"/>
  <c r="AD14" i="7"/>
  <c r="AD34" i="7"/>
  <c r="AD38" i="7" s="1"/>
  <c r="AE358" i="7"/>
  <c r="AE364" i="7"/>
  <c r="ET71" i="6"/>
  <c r="ET29" i="6"/>
  <c r="EX13" i="6"/>
  <c r="EX62" i="6" s="1"/>
  <c r="ES62" i="6"/>
  <c r="AD283" i="7"/>
  <c r="AD269" i="7"/>
  <c r="AD259" i="7"/>
  <c r="AD271" i="7" s="1"/>
  <c r="AD712" i="7"/>
  <c r="AD715" i="7" s="1"/>
  <c r="E193" i="2" s="1"/>
  <c r="EN31" i="6"/>
  <c r="AD373" i="7"/>
  <c r="AW215" i="2"/>
  <c r="I464" i="20"/>
  <c r="I467" i="20"/>
  <c r="I466" i="20"/>
  <c r="Z466" i="20" s="1"/>
  <c r="J411" i="20"/>
  <c r="K411" i="20"/>
  <c r="AB411" i="20" s="1"/>
  <c r="AD290" i="7"/>
  <c r="AD123" i="21" s="1"/>
  <c r="AD288" i="7"/>
  <c r="AE82" i="21"/>
  <c r="AE279" i="7"/>
  <c r="AE265" i="7"/>
  <c r="AE287" i="7" s="1"/>
  <c r="AE288" i="7" s="1"/>
  <c r="AE289" i="7"/>
  <c r="AE290" i="7" s="1"/>
  <c r="AE123" i="21" s="1"/>
  <c r="AE257" i="7"/>
  <c r="AE260" i="7" s="1"/>
  <c r="AE626" i="7"/>
  <c r="AE637" i="7" s="1"/>
  <c r="EV74" i="6"/>
  <c r="EV24" i="6"/>
  <c r="EN78" i="6"/>
  <c r="EI88" i="6"/>
  <c r="EI48" i="6"/>
  <c r="EM57" i="6"/>
  <c r="EM12" i="6"/>
  <c r="EM61" i="6" s="1"/>
  <c r="EP73" i="6"/>
  <c r="EM24" i="6"/>
  <c r="EM73" i="6" s="1"/>
  <c r="L412" i="20"/>
  <c r="AX216" i="2"/>
  <c r="M412" i="20"/>
  <c r="AD412" i="20" s="1"/>
  <c r="AE692" i="7" l="1"/>
  <c r="AL29" i="7"/>
  <c r="AL27" i="7"/>
  <c r="AL30" i="7"/>
  <c r="Z467" i="20"/>
  <c r="Z464" i="20"/>
  <c r="AD693" i="7"/>
  <c r="AD697" i="7" s="1"/>
  <c r="AD699" i="7" s="1"/>
  <c r="AD197" i="7"/>
  <c r="FB73" i="6"/>
  <c r="EY11" i="6"/>
  <c r="EY60" i="6" s="1"/>
  <c r="FA60" i="6"/>
  <c r="EY13" i="6"/>
  <c r="EZ15" i="6"/>
  <c r="EZ64" i="6" s="1"/>
  <c r="EZ22" i="6"/>
  <c r="EZ62" i="6"/>
  <c r="AV193" i="2"/>
  <c r="H343" i="20"/>
  <c r="Y343" i="20" s="1"/>
  <c r="I343" i="20"/>
  <c r="Z343" i="20" s="1"/>
  <c r="E214" i="2"/>
  <c r="AX187" i="2"/>
  <c r="L338" i="20"/>
  <c r="AC338" i="20" s="1"/>
  <c r="M338" i="20"/>
  <c r="AD338" i="20" s="1"/>
  <c r="Y253" i="20"/>
  <c r="H255" i="20"/>
  <c r="Y255" i="20" s="1"/>
  <c r="G215" i="2"/>
  <c r="FB74" i="6"/>
  <c r="AV192" i="2"/>
  <c r="I342" i="20"/>
  <c r="Z342" i="20" s="1"/>
  <c r="I409" i="20"/>
  <c r="Z409" i="20" s="1"/>
  <c r="H409" i="20"/>
  <c r="H342" i="20"/>
  <c r="Y342" i="20" s="1"/>
  <c r="I346" i="20"/>
  <c r="Z346" i="20" s="1"/>
  <c r="H350" i="20"/>
  <c r="Y350" i="20" s="1"/>
  <c r="H346" i="20"/>
  <c r="Y346" i="20" s="1"/>
  <c r="H349" i="20"/>
  <c r="Y349" i="20" s="1"/>
  <c r="I344" i="20"/>
  <c r="Z344" i="20" s="1"/>
  <c r="I347" i="20"/>
  <c r="Z347" i="20" s="1"/>
  <c r="I353" i="20"/>
  <c r="Z353" i="20" s="1"/>
  <c r="H344" i="20"/>
  <c r="Y344" i="20" s="1"/>
  <c r="I349" i="20"/>
  <c r="Z349" i="20" s="1"/>
  <c r="H353" i="20"/>
  <c r="Y353" i="20" s="1"/>
  <c r="H347" i="20"/>
  <c r="Y347" i="20" s="1"/>
  <c r="H354" i="20"/>
  <c r="Y354" i="20" s="1"/>
  <c r="AF352" i="7"/>
  <c r="AF190" i="7"/>
  <c r="AF184" i="7"/>
  <c r="M378" i="20"/>
  <c r="AD378" i="20" s="1"/>
  <c r="AX203" i="2"/>
  <c r="L378" i="20"/>
  <c r="AC378" i="20" s="1"/>
  <c r="AE98" i="21"/>
  <c r="AE770" i="7"/>
  <c r="AE30" i="7"/>
  <c r="AD80" i="7"/>
  <c r="E200" i="2"/>
  <c r="G454" i="20"/>
  <c r="X454" i="20" s="1"/>
  <c r="H407" i="20"/>
  <c r="G455" i="20"/>
  <c r="I407" i="20"/>
  <c r="Z407" i="20" s="1"/>
  <c r="AV213" i="2"/>
  <c r="G452" i="20"/>
  <c r="AF17" i="7"/>
  <c r="AF8" i="7" s="1"/>
  <c r="G150" i="2" s="1"/>
  <c r="F150" i="2"/>
  <c r="AK18" i="7"/>
  <c r="AK20" i="7" s="1"/>
  <c r="AK21" i="7" s="1"/>
  <c r="AF21" i="7" s="1"/>
  <c r="AF12" i="7" s="1"/>
  <c r="AF98" i="21" s="1"/>
  <c r="F231" i="2"/>
  <c r="AW231" i="2" s="1"/>
  <c r="ES6" i="6"/>
  <c r="ES55" i="6" s="1"/>
  <c r="AF626" i="7"/>
  <c r="AF637" i="7" s="1"/>
  <c r="AF265" i="7"/>
  <c r="AF287" i="7" s="1"/>
  <c r="AF288" i="7" s="1"/>
  <c r="AF257" i="7"/>
  <c r="EZ31" i="6" s="1"/>
  <c r="EY31" i="6" s="1"/>
  <c r="FD31" i="6" s="1"/>
  <c r="FD80" i="6" s="1"/>
  <c r="AF289" i="7"/>
  <c r="AF290" i="7" s="1"/>
  <c r="AF123" i="21" s="1"/>
  <c r="AF279" i="7"/>
  <c r="AD231" i="7"/>
  <c r="EN79" i="6"/>
  <c r="EN34" i="6"/>
  <c r="EN83" i="6" s="1"/>
  <c r="AD81" i="21"/>
  <c r="AD211" i="7"/>
  <c r="AD242" i="7" s="1"/>
  <c r="AD223" i="7"/>
  <c r="AD625" i="7"/>
  <c r="AD636" i="7" s="1"/>
  <c r="AD244" i="7"/>
  <c r="AD204" i="7"/>
  <c r="EP23" i="6"/>
  <c r="EP72" i="6" s="1"/>
  <c r="AC412" i="20"/>
  <c r="AA411" i="20"/>
  <c r="AD81" i="7"/>
  <c r="AD99" i="7"/>
  <c r="AD89" i="7"/>
  <c r="AD108" i="7"/>
  <c r="AD69" i="21"/>
  <c r="EO8" i="6"/>
  <c r="ER8" i="6" s="1"/>
  <c r="ER57" i="6" s="1"/>
  <c r="DS119" i="11"/>
  <c r="DR119" i="11" s="1"/>
  <c r="AD162" i="12" s="1"/>
  <c r="AD159" i="12" s="1"/>
  <c r="AE199" i="7"/>
  <c r="AE228" i="7"/>
  <c r="AE226" i="7"/>
  <c r="EP65" i="6"/>
  <c r="DZ117" i="11"/>
  <c r="AE13" i="7"/>
  <c r="AE39" i="21"/>
  <c r="AE88" i="7"/>
  <c r="AE26" i="7"/>
  <c r="AD35" i="7"/>
  <c r="AD36" i="7" s="1"/>
  <c r="AD39" i="7"/>
  <c r="AD121" i="21" s="1"/>
  <c r="EM79" i="6"/>
  <c r="EW65" i="6"/>
  <c r="ES24" i="6"/>
  <c r="EY73" i="6" s="1"/>
  <c r="EV73" i="6"/>
  <c r="AD385" i="7"/>
  <c r="AD379" i="7"/>
  <c r="AD456" i="7"/>
  <c r="AD236" i="8"/>
  <c r="AD64" i="21"/>
  <c r="ET78" i="6"/>
  <c r="EI49" i="6"/>
  <c r="EI97" i="6"/>
  <c r="AE283" i="7"/>
  <c r="AE269" i="7"/>
  <c r="AE259" i="7"/>
  <c r="AE271" i="7" s="1"/>
  <c r="AE712" i="7"/>
  <c r="AE715" i="7" s="1"/>
  <c r="F193" i="2" s="1"/>
  <c r="ET31" i="6"/>
  <c r="EN80" i="6"/>
  <c r="EM31" i="6"/>
  <c r="EM65" i="6"/>
  <c r="ER16" i="6"/>
  <c r="ER65" i="6" s="1"/>
  <c r="Y409" i="20" l="1"/>
  <c r="Y407" i="20"/>
  <c r="AL215" i="7"/>
  <c r="AL213" i="7"/>
  <c r="AL216" i="7"/>
  <c r="AP289" i="7"/>
  <c r="AP287" i="7"/>
  <c r="AP290" i="7"/>
  <c r="I429" i="20"/>
  <c r="Z429" i="20" s="1"/>
  <c r="M411" i="20"/>
  <c r="AD411" i="20" s="1"/>
  <c r="X455" i="20"/>
  <c r="X452" i="20"/>
  <c r="F192" i="2"/>
  <c r="K467" i="20"/>
  <c r="AB467" i="20" s="1"/>
  <c r="AX215" i="2"/>
  <c r="AD629" i="7"/>
  <c r="AD650" i="7" s="1"/>
  <c r="L411" i="20"/>
  <c r="K466" i="20"/>
  <c r="AB466" i="20" s="1"/>
  <c r="K464" i="20"/>
  <c r="AB464" i="20" s="1"/>
  <c r="M199" i="20"/>
  <c r="AD199" i="20" s="1"/>
  <c r="ES8" i="6"/>
  <c r="ES12" i="6" s="1"/>
  <c r="ES61" i="6" s="1"/>
  <c r="AV214" i="2"/>
  <c r="G460" i="20"/>
  <c r="X460" i="20" s="1"/>
  <c r="H408" i="20"/>
  <c r="G461" i="20"/>
  <c r="G458" i="20"/>
  <c r="I408" i="20"/>
  <c r="Z408" i="20" s="1"/>
  <c r="FD13" i="6"/>
  <c r="FD62" i="6" s="1"/>
  <c r="EY62" i="6"/>
  <c r="H414" i="20"/>
  <c r="I414" i="20"/>
  <c r="Z414" i="20" s="1"/>
  <c r="H429" i="20"/>
  <c r="EZ29" i="6"/>
  <c r="EZ78" i="6" s="1"/>
  <c r="EZ71" i="6"/>
  <c r="I436" i="20"/>
  <c r="Z436" i="20" s="1"/>
  <c r="AF364" i="7"/>
  <c r="AF358" i="7"/>
  <c r="AF770" i="7"/>
  <c r="EZ80" i="6"/>
  <c r="AF692" i="7"/>
  <c r="E204" i="2"/>
  <c r="AV204" i="2" s="1"/>
  <c r="EY6" i="6"/>
  <c r="EY55" i="6" s="1"/>
  <c r="AF39" i="21"/>
  <c r="AF30" i="7"/>
  <c r="AE352" i="12"/>
  <c r="AE355" i="12" s="1"/>
  <c r="F157" i="2"/>
  <c r="AW157" i="2" s="1"/>
  <c r="F213" i="2"/>
  <c r="FC16" i="6"/>
  <c r="FC65" i="6" s="1"/>
  <c r="G231" i="2"/>
  <c r="AX231" i="2" s="1"/>
  <c r="I379" i="20"/>
  <c r="Z379" i="20" s="1"/>
  <c r="H379" i="20"/>
  <c r="Y379" i="20" s="1"/>
  <c r="H389" i="20"/>
  <c r="Y389" i="20" s="1"/>
  <c r="I375" i="20"/>
  <c r="Z375" i="20" s="1"/>
  <c r="H375" i="20"/>
  <c r="Y375" i="20" s="1"/>
  <c r="AV200" i="2"/>
  <c r="F41" i="20"/>
  <c r="W41" i="20" s="1"/>
  <c r="H384" i="20"/>
  <c r="Y384" i="20" s="1"/>
  <c r="H388" i="20"/>
  <c r="Y388" i="20" s="1"/>
  <c r="H385" i="20"/>
  <c r="Y385" i="20" s="1"/>
  <c r="I384" i="20"/>
  <c r="Z384" i="20" s="1"/>
  <c r="J196" i="20"/>
  <c r="AA196" i="20" s="1"/>
  <c r="K196" i="20"/>
  <c r="AB196" i="20" s="1"/>
  <c r="J198" i="20"/>
  <c r="AA198" i="20" s="1"/>
  <c r="K199" i="20"/>
  <c r="AB199" i="20" s="1"/>
  <c r="K198" i="20"/>
  <c r="AB198" i="20" s="1"/>
  <c r="J199" i="20"/>
  <c r="AA199" i="20" s="1"/>
  <c r="G258" i="20"/>
  <c r="X258" i="20" s="1"/>
  <c r="AW150" i="2"/>
  <c r="AK200" i="7"/>
  <c r="AK208" i="7" s="1"/>
  <c r="AF207" i="7" s="1"/>
  <c r="ES73" i="6"/>
  <c r="AD37" i="7"/>
  <c r="AE229" i="7"/>
  <c r="AD245" i="7"/>
  <c r="AD122" i="21" s="1"/>
  <c r="AF712" i="7"/>
  <c r="AF715" i="7" s="1"/>
  <c r="AF64" i="21" s="1"/>
  <c r="AF259" i="7"/>
  <c r="AF271" i="7" s="1"/>
  <c r="AF283" i="7"/>
  <c r="AF269" i="7"/>
  <c r="AF26" i="7"/>
  <c r="EE117" i="11"/>
  <c r="EE119" i="11" s="1"/>
  <c r="EC119" i="11" s="1"/>
  <c r="AF179" i="12" s="1"/>
  <c r="AF44" i="21" s="1"/>
  <c r="AF88" i="7"/>
  <c r="AF43" i="21" s="1"/>
  <c r="AE227" i="7"/>
  <c r="AE373" i="7"/>
  <c r="AD243" i="7"/>
  <c r="AF260" i="7"/>
  <c r="EA117" i="11"/>
  <c r="EN39" i="6"/>
  <c r="EN48" i="6" s="1"/>
  <c r="AD128" i="7"/>
  <c r="EM23" i="6"/>
  <c r="EM72" i="6" s="1"/>
  <c r="EO12" i="6"/>
  <c r="EO61" i="6" s="1"/>
  <c r="AD82" i="7"/>
  <c r="AD119" i="7"/>
  <c r="AD234" i="7" s="1"/>
  <c r="AD179" i="7"/>
  <c r="AD185" i="7" s="1"/>
  <c r="EO57" i="6"/>
  <c r="AD179" i="12"/>
  <c r="AD114" i="7"/>
  <c r="AD73" i="21"/>
  <c r="ET30" i="6"/>
  <c r="ET34" i="6" s="1"/>
  <c r="AE203" i="7"/>
  <c r="AE197" i="7" s="1"/>
  <c r="AE230" i="7"/>
  <c r="AE63" i="21"/>
  <c r="AE219" i="7"/>
  <c r="AE624" i="7"/>
  <c r="AE635" i="7" s="1"/>
  <c r="DZ119" i="11"/>
  <c r="AX150" i="2"/>
  <c r="L198" i="20"/>
  <c r="AC198" i="20" s="1"/>
  <c r="M196" i="20"/>
  <c r="AD196" i="20" s="1"/>
  <c r="L196" i="20"/>
  <c r="AC196" i="20" s="1"/>
  <c r="H258" i="20"/>
  <c r="Y258" i="20" s="1"/>
  <c r="M198" i="20"/>
  <c r="AD198" i="20" s="1"/>
  <c r="AE34" i="7"/>
  <c r="AE35" i="7" s="1"/>
  <c r="AE36" i="7" s="1"/>
  <c r="AE37" i="7" s="1"/>
  <c r="L199" i="20"/>
  <c r="AC199" i="20" s="1"/>
  <c r="AE691" i="7"/>
  <c r="AE22" i="7"/>
  <c r="EV16" i="6"/>
  <c r="EV65" i="6" s="1"/>
  <c r="AE80" i="21"/>
  <c r="AE14" i="7"/>
  <c r="AF13" i="7" s="1"/>
  <c r="G213" i="2" s="1"/>
  <c r="AE31" i="7"/>
  <c r="AE95" i="7"/>
  <c r="AE43" i="21"/>
  <c r="AE100" i="7"/>
  <c r="AE98" i="7"/>
  <c r="AE78" i="7"/>
  <c r="AE101" i="7"/>
  <c r="AE64" i="21"/>
  <c r="AD242" i="8"/>
  <c r="AW193" i="2"/>
  <c r="J343" i="20"/>
  <c r="AA343" i="20" s="1"/>
  <c r="K343" i="20"/>
  <c r="AB343" i="20" s="1"/>
  <c r="AD474" i="7"/>
  <c r="AD468" i="7"/>
  <c r="AD462" i="7"/>
  <c r="AD561" i="7"/>
  <c r="EM80" i="6"/>
  <c r="ER31" i="6"/>
  <c r="ER80" i="6" s="1"/>
  <c r="ET80" i="6"/>
  <c r="ES31" i="6"/>
  <c r="EY80" i="6" s="1"/>
  <c r="AC355" i="12"/>
  <c r="AB355" i="12"/>
  <c r="Y414" i="20" l="1"/>
  <c r="AC411" i="20"/>
  <c r="Y429" i="20"/>
  <c r="Y408" i="20"/>
  <c r="AP29" i="7"/>
  <c r="AP27" i="7"/>
  <c r="AP30" i="7"/>
  <c r="AN30" i="7"/>
  <c r="AN29" i="7"/>
  <c r="AN27" i="7"/>
  <c r="AW192" i="2"/>
  <c r="X461" i="20"/>
  <c r="X458" i="20"/>
  <c r="AE379" i="7"/>
  <c r="K409" i="20"/>
  <c r="AB409" i="20" s="1"/>
  <c r="J349" i="20"/>
  <c r="AA349" i="20" s="1"/>
  <c r="J347" i="20"/>
  <c r="AA347" i="20" s="1"/>
  <c r="K347" i="20"/>
  <c r="AB347" i="20" s="1"/>
  <c r="J354" i="20"/>
  <c r="AA354" i="20" s="1"/>
  <c r="J344" i="20"/>
  <c r="AA344" i="20" s="1"/>
  <c r="K344" i="20"/>
  <c r="AB344" i="20" s="1"/>
  <c r="K353" i="20"/>
  <c r="AB353" i="20" s="1"/>
  <c r="J353" i="20"/>
  <c r="AA353" i="20" s="1"/>
  <c r="K346" i="20"/>
  <c r="AB346" i="20" s="1"/>
  <c r="J346" i="20"/>
  <c r="AA346" i="20" s="1"/>
  <c r="J350" i="20"/>
  <c r="AA350" i="20" s="1"/>
  <c r="K349" i="20"/>
  <c r="AB349" i="20" s="1"/>
  <c r="J409" i="20"/>
  <c r="J342" i="20"/>
  <c r="AA342" i="20" s="1"/>
  <c r="K342" i="20"/>
  <c r="AB342" i="20" s="1"/>
  <c r="AD640" i="7"/>
  <c r="AD631" i="7"/>
  <c r="AD632" i="7" s="1"/>
  <c r="ES57" i="6"/>
  <c r="G193" i="2"/>
  <c r="G157" i="2"/>
  <c r="AX157" i="2" s="1"/>
  <c r="AF226" i="7"/>
  <c r="AF227" i="7" s="1"/>
  <c r="AF228" i="7"/>
  <c r="AF229" i="7" s="1"/>
  <c r="F214" i="2"/>
  <c r="AF199" i="7"/>
  <c r="AF355" i="12"/>
  <c r="AE456" i="7"/>
  <c r="AE385" i="7"/>
  <c r="AE236" i="8"/>
  <c r="EY8" i="6"/>
  <c r="EY57" i="6" s="1"/>
  <c r="FB16" i="6"/>
  <c r="FB65" i="6" s="1"/>
  <c r="AF80" i="21"/>
  <c r="J407" i="20"/>
  <c r="I454" i="20"/>
  <c r="Z454" i="20" s="1"/>
  <c r="I452" i="20"/>
  <c r="I455" i="20"/>
  <c r="K407" i="20"/>
  <c r="AB407" i="20" s="1"/>
  <c r="AW213" i="2"/>
  <c r="AE80" i="7"/>
  <c r="F200" i="2"/>
  <c r="E158" i="2"/>
  <c r="EF117" i="11"/>
  <c r="AF691" i="7"/>
  <c r="AF624" i="7"/>
  <c r="AF34" i="7"/>
  <c r="AF31" i="7"/>
  <c r="AF22" i="7"/>
  <c r="AF14" i="7"/>
  <c r="AE231" i="7"/>
  <c r="AD235" i="7"/>
  <c r="AF95" i="7"/>
  <c r="AF78" i="7"/>
  <c r="AF101" i="7"/>
  <c r="AF98" i="7"/>
  <c r="AF100" i="7"/>
  <c r="DX119" i="11"/>
  <c r="AE179" i="12" s="1"/>
  <c r="F158" i="2" s="1"/>
  <c r="AW158" i="2" s="1"/>
  <c r="EF119" i="11"/>
  <c r="EB119" i="11"/>
  <c r="AF162" i="12" s="1"/>
  <c r="AD124" i="7"/>
  <c r="EN88" i="6"/>
  <c r="AD115" i="7"/>
  <c r="ER30" i="6"/>
  <c r="ER79" i="6" s="1"/>
  <c r="EO22" i="6"/>
  <c r="EO71" i="6" s="1"/>
  <c r="AD353" i="7"/>
  <c r="AD359" i="7" s="1"/>
  <c r="AD44" i="21"/>
  <c r="AD191" i="7"/>
  <c r="AD374" i="7"/>
  <c r="AD457" i="7" s="1"/>
  <c r="AD130" i="7"/>
  <c r="EA119" i="11"/>
  <c r="AE204" i="7"/>
  <c r="AE81" i="21"/>
  <c r="AE625" i="7"/>
  <c r="AE636" i="7" s="1"/>
  <c r="AE693" i="7"/>
  <c r="AE697" i="7" s="1"/>
  <c r="AE699" i="7" s="1"/>
  <c r="AE211" i="7"/>
  <c r="AE242" i="7" s="1"/>
  <c r="AE244" i="7"/>
  <c r="EV23" i="6"/>
  <c r="AE223" i="7"/>
  <c r="ET79" i="6"/>
  <c r="ES30" i="6"/>
  <c r="ES79" i="6" s="1"/>
  <c r="AE38" i="7"/>
  <c r="ES16" i="6"/>
  <c r="EX16" i="6" s="1"/>
  <c r="EX65" i="6" s="1"/>
  <c r="EU8" i="6"/>
  <c r="EX8" i="6" s="1"/>
  <c r="EX57" i="6" s="1"/>
  <c r="M407" i="20"/>
  <c r="AD407" i="20" s="1"/>
  <c r="K454" i="20"/>
  <c r="AB454" i="20" s="1"/>
  <c r="AE89" i="7"/>
  <c r="L407" i="20"/>
  <c r="AE93" i="7"/>
  <c r="AX213" i="2"/>
  <c r="AE81" i="7"/>
  <c r="K455" i="20"/>
  <c r="AB455" i="20" s="1"/>
  <c r="AE99" i="7"/>
  <c r="K452" i="20"/>
  <c r="AB452" i="20" s="1"/>
  <c r="AE108" i="7"/>
  <c r="AE69" i="21"/>
  <c r="ES80" i="6"/>
  <c r="EX31" i="6"/>
  <c r="EX80" i="6" s="1"/>
  <c r="AD576" i="7"/>
  <c r="AD570" i="7"/>
  <c r="AD238" i="8"/>
  <c r="AD244" i="8"/>
  <c r="ET83" i="6"/>
  <c r="ET39" i="6"/>
  <c r="EN97" i="6"/>
  <c r="EN49" i="6"/>
  <c r="AA409" i="20" l="1"/>
  <c r="AA407" i="20"/>
  <c r="AN215" i="7"/>
  <c r="AN213" i="7"/>
  <c r="AN216" i="7"/>
  <c r="K414" i="20"/>
  <c r="AB414" i="20" s="1"/>
  <c r="AX193" i="2"/>
  <c r="Z455" i="20"/>
  <c r="Z452" i="20"/>
  <c r="AE561" i="7"/>
  <c r="AF230" i="7"/>
  <c r="AF231" i="7" s="1"/>
  <c r="AD642" i="7"/>
  <c r="L343" i="20"/>
  <c r="AC343" i="20" s="1"/>
  <c r="M343" i="20"/>
  <c r="AD343" i="20" s="1"/>
  <c r="EZ30" i="6"/>
  <c r="EZ34" i="6" s="1"/>
  <c r="DW119" i="11"/>
  <c r="AE162" i="12" s="1"/>
  <c r="AE159" i="12" s="1"/>
  <c r="AF159" i="12" s="1"/>
  <c r="AF242" i="8" s="1"/>
  <c r="AE474" i="7"/>
  <c r="EY12" i="6"/>
  <c r="EY61" i="6" s="1"/>
  <c r="I460" i="20"/>
  <c r="Z460" i="20" s="1"/>
  <c r="K408" i="20"/>
  <c r="AB408" i="20" s="1"/>
  <c r="I461" i="20"/>
  <c r="I458" i="20"/>
  <c r="AW214" i="2"/>
  <c r="J408" i="20"/>
  <c r="J429" i="20"/>
  <c r="K436" i="20"/>
  <c r="AB436" i="20" s="1"/>
  <c r="AF63" i="21"/>
  <c r="G192" i="2"/>
  <c r="AF219" i="7"/>
  <c r="AF373" i="7"/>
  <c r="AF203" i="7"/>
  <c r="K429" i="20"/>
  <c r="AB429" i="20" s="1"/>
  <c r="J414" i="20"/>
  <c r="AE468" i="7"/>
  <c r="AE462" i="7"/>
  <c r="EY16" i="6"/>
  <c r="EY65" i="6" s="1"/>
  <c r="EO29" i="6"/>
  <c r="EO34" i="6" s="1"/>
  <c r="F204" i="2"/>
  <c r="AW204" i="2" s="1"/>
  <c r="FA8" i="6"/>
  <c r="FD8" i="6" s="1"/>
  <c r="FD57" i="6" s="1"/>
  <c r="AF69" i="21"/>
  <c r="G200" i="2"/>
  <c r="E301" i="2"/>
  <c r="AV158" i="2"/>
  <c r="J389" i="20"/>
  <c r="AA389" i="20" s="1"/>
  <c r="G41" i="20"/>
  <c r="X41" i="20" s="1"/>
  <c r="AW200" i="2"/>
  <c r="K384" i="20"/>
  <c r="AB384" i="20" s="1"/>
  <c r="J384" i="20"/>
  <c r="AA384" i="20" s="1"/>
  <c r="K375" i="20"/>
  <c r="AB375" i="20" s="1"/>
  <c r="J375" i="20"/>
  <c r="AA375" i="20" s="1"/>
  <c r="J379" i="20"/>
  <c r="AA379" i="20" s="1"/>
  <c r="J388" i="20"/>
  <c r="AA388" i="20" s="1"/>
  <c r="K379" i="20"/>
  <c r="AB379" i="20" s="1"/>
  <c r="J385" i="20"/>
  <c r="AA385" i="20" s="1"/>
  <c r="AE39" i="7"/>
  <c r="AE121" i="21" s="1"/>
  <c r="AE245" i="7"/>
  <c r="AE122" i="21" s="1"/>
  <c r="AF108" i="7"/>
  <c r="AF93" i="7"/>
  <c r="AF81" i="7"/>
  <c r="AF99" i="7"/>
  <c r="AF80" i="7"/>
  <c r="AF89" i="7"/>
  <c r="AF635" i="7"/>
  <c r="AE243" i="7"/>
  <c r="AF38" i="7"/>
  <c r="AF39" i="7" s="1"/>
  <c r="AF121" i="21" s="1"/>
  <c r="AF35" i="7"/>
  <c r="AF36" i="7" s="1"/>
  <c r="AF37" i="7" s="1"/>
  <c r="AE73" i="21"/>
  <c r="AC407" i="20"/>
  <c r="AD380" i="7"/>
  <c r="AD365" i="7"/>
  <c r="AD386" i="7"/>
  <c r="AE629" i="7"/>
  <c r="AE640" i="7" s="1"/>
  <c r="ES23" i="6"/>
  <c r="EV72" i="6"/>
  <c r="ES65" i="6"/>
  <c r="EU57" i="6"/>
  <c r="EU12" i="6"/>
  <c r="EU61" i="6" s="1"/>
  <c r="AE114" i="7"/>
  <c r="AE119" i="7"/>
  <c r="AE234" i="7" s="1"/>
  <c r="AE128" i="7"/>
  <c r="AE82" i="7"/>
  <c r="AE179" i="7"/>
  <c r="AE353" i="7" s="1"/>
  <c r="AE44" i="21"/>
  <c r="G158" i="2"/>
  <c r="AX158" i="2" s="1"/>
  <c r="ET88" i="6"/>
  <c r="ET48" i="6"/>
  <c r="AD463" i="7"/>
  <c r="AD469" i="7"/>
  <c r="AD562" i="7"/>
  <c r="AD248" i="8"/>
  <c r="AD249" i="8" s="1"/>
  <c r="AD253" i="8" s="1"/>
  <c r="AD252" i="8"/>
  <c r="AA408" i="20" l="1"/>
  <c r="AA414" i="20"/>
  <c r="AA429" i="20"/>
  <c r="EZ79" i="6"/>
  <c r="AX200" i="2"/>
  <c r="Z461" i="20"/>
  <c r="Z458" i="20"/>
  <c r="AE576" i="7"/>
  <c r="AE570" i="7"/>
  <c r="AF379" i="7"/>
  <c r="AF223" i="7"/>
  <c r="AF197" i="7"/>
  <c r="AF625" i="7"/>
  <c r="AF636" i="7" s="1"/>
  <c r="EY30" i="6"/>
  <c r="EY79" i="6" s="1"/>
  <c r="AE242" i="8"/>
  <c r="AE238" i="8" s="1"/>
  <c r="AF244" i="7"/>
  <c r="AF245" i="7" s="1"/>
  <c r="AF122" i="21" s="1"/>
  <c r="AF693" i="7"/>
  <c r="AF697" i="7" s="1"/>
  <c r="AF699" i="7" s="1"/>
  <c r="AF204" i="7"/>
  <c r="EO78" i="6"/>
  <c r="M379" i="20"/>
  <c r="AD379" i="20" s="1"/>
  <c r="L384" i="20"/>
  <c r="AC384" i="20" s="1"/>
  <c r="L385" i="20"/>
  <c r="AC385" i="20" s="1"/>
  <c r="FD16" i="6"/>
  <c r="FD65" i="6" s="1"/>
  <c r="AF456" i="7"/>
  <c r="AF385" i="7"/>
  <c r="L342" i="20"/>
  <c r="AC342" i="20" s="1"/>
  <c r="L344" i="20"/>
  <c r="AC344" i="20" s="1"/>
  <c r="L347" i="20"/>
  <c r="AC347" i="20" s="1"/>
  <c r="M346" i="20"/>
  <c r="AD346" i="20" s="1"/>
  <c r="M349" i="20"/>
  <c r="AD349" i="20" s="1"/>
  <c r="M353" i="20"/>
  <c r="AD353" i="20" s="1"/>
  <c r="M342" i="20"/>
  <c r="AD342" i="20" s="1"/>
  <c r="L353" i="20"/>
  <c r="AC353" i="20" s="1"/>
  <c r="L349" i="20"/>
  <c r="AC349" i="20" s="1"/>
  <c r="L354" i="20"/>
  <c r="AC354" i="20" s="1"/>
  <c r="L409" i="20"/>
  <c r="AX192" i="2"/>
  <c r="M347" i="20"/>
  <c r="AD347" i="20" s="1"/>
  <c r="L350" i="20"/>
  <c r="AC350" i="20" s="1"/>
  <c r="M409" i="20"/>
  <c r="AD409" i="20" s="1"/>
  <c r="M344" i="20"/>
  <c r="AD344" i="20" s="1"/>
  <c r="L346" i="20"/>
  <c r="AC346" i="20" s="1"/>
  <c r="AF211" i="7"/>
  <c r="AF242" i="7" s="1"/>
  <c r="AF243" i="7" s="1"/>
  <c r="AF81" i="21"/>
  <c r="G214" i="2"/>
  <c r="FB23" i="6"/>
  <c r="L388" i="20"/>
  <c r="AC388" i="20" s="1"/>
  <c r="L375" i="20"/>
  <c r="AC375" i="20" s="1"/>
  <c r="L379" i="20"/>
  <c r="AC379" i="20" s="1"/>
  <c r="FA12" i="6"/>
  <c r="FA61" i="6" s="1"/>
  <c r="M375" i="20"/>
  <c r="AD375" i="20" s="1"/>
  <c r="H41" i="20"/>
  <c r="Y41" i="20" s="1"/>
  <c r="M384" i="20"/>
  <c r="AD384" i="20" s="1"/>
  <c r="FA57" i="6"/>
  <c r="L389" i="20"/>
  <c r="AC389" i="20" s="1"/>
  <c r="G204" i="2"/>
  <c r="AX204" i="2" s="1"/>
  <c r="AF73" i="21"/>
  <c r="H278" i="20"/>
  <c r="Y278" i="20" s="1"/>
  <c r="I278" i="20"/>
  <c r="Z278" i="20" s="1"/>
  <c r="H280" i="20"/>
  <c r="Y280" i="20" s="1"/>
  <c r="I280" i="20"/>
  <c r="Z280" i="20" s="1"/>
  <c r="H284" i="20"/>
  <c r="Y284" i="20" s="1"/>
  <c r="I284" i="20"/>
  <c r="Z284" i="20" s="1"/>
  <c r="F35" i="20"/>
  <c r="W35" i="20" s="1"/>
  <c r="F301" i="2"/>
  <c r="EZ39" i="6"/>
  <c r="EZ83" i="6"/>
  <c r="AF179" i="7"/>
  <c r="AF128" i="7"/>
  <c r="AF119" i="7"/>
  <c r="AF234" i="7" s="1"/>
  <c r="AF235" i="7" s="1"/>
  <c r="AF82" i="7"/>
  <c r="AF114" i="7"/>
  <c r="AE235" i="7"/>
  <c r="AF244" i="8"/>
  <c r="AE124" i="7"/>
  <c r="AE631" i="7"/>
  <c r="AE650" i="7"/>
  <c r="ES72" i="6"/>
  <c r="EX30" i="6"/>
  <c r="EX79" i="6" s="1"/>
  <c r="EU22" i="6"/>
  <c r="EU29" i="6" s="1"/>
  <c r="AE185" i="7"/>
  <c r="AE130" i="7"/>
  <c r="AE115" i="7"/>
  <c r="AE374" i="7"/>
  <c r="AE457" i="7" s="1"/>
  <c r="AE191" i="7"/>
  <c r="EO39" i="6"/>
  <c r="EO83" i="6"/>
  <c r="AE359" i="7"/>
  <c r="AE365" i="7"/>
  <c r="AD577" i="7"/>
  <c r="AD571" i="7"/>
  <c r="ET97" i="6"/>
  <c r="ET49" i="6"/>
  <c r="AC409" i="20" l="1"/>
  <c r="AP215" i="7"/>
  <c r="AP213" i="7"/>
  <c r="AP216" i="7"/>
  <c r="G301" i="2"/>
  <c r="M280" i="20" s="1"/>
  <c r="AD280" i="20" s="1"/>
  <c r="AF115" i="7"/>
  <c r="AF462" i="7"/>
  <c r="AF629" i="7"/>
  <c r="AF650" i="7" s="1"/>
  <c r="AF238" i="8"/>
  <c r="AE244" i="8"/>
  <c r="AE248" i="8" s="1"/>
  <c r="AE249" i="8" s="1"/>
  <c r="AE253" i="8" s="1"/>
  <c r="AF474" i="7"/>
  <c r="AF561" i="7"/>
  <c r="AF468" i="7"/>
  <c r="EY23" i="6"/>
  <c r="FB72" i="6"/>
  <c r="L429" i="20"/>
  <c r="L414" i="20"/>
  <c r="M408" i="20"/>
  <c r="AD408" i="20" s="1"/>
  <c r="K460" i="20"/>
  <c r="AB460" i="20" s="1"/>
  <c r="K458" i="20"/>
  <c r="AB458" i="20" s="1"/>
  <c r="L408" i="20"/>
  <c r="K461" i="20"/>
  <c r="AB461" i="20" s="1"/>
  <c r="AX214" i="2"/>
  <c r="M436" i="20"/>
  <c r="AD436" i="20" s="1"/>
  <c r="M429" i="20"/>
  <c r="AD429" i="20" s="1"/>
  <c r="M414" i="20"/>
  <c r="AD414" i="20" s="1"/>
  <c r="FA22" i="6"/>
  <c r="FA71" i="6" s="1"/>
  <c r="K278" i="20"/>
  <c r="AB278" i="20" s="1"/>
  <c r="J280" i="20"/>
  <c r="AA280" i="20" s="1"/>
  <c r="J284" i="20"/>
  <c r="AA284" i="20" s="1"/>
  <c r="K284" i="20"/>
  <c r="AB284" i="20" s="1"/>
  <c r="K280" i="20"/>
  <c r="AB280" i="20" s="1"/>
  <c r="J278" i="20"/>
  <c r="AA278" i="20" s="1"/>
  <c r="G35" i="20"/>
  <c r="X35" i="20" s="1"/>
  <c r="EZ48" i="6"/>
  <c r="EZ88" i="6"/>
  <c r="AF130" i="7"/>
  <c r="AF124" i="7"/>
  <c r="AF374" i="7"/>
  <c r="AF353" i="7"/>
  <c r="AF191" i="7"/>
  <c r="AF185" i="7"/>
  <c r="AF248" i="8"/>
  <c r="AF249" i="8" s="1"/>
  <c r="AE642" i="7"/>
  <c r="AE632" i="7"/>
  <c r="EU71" i="6"/>
  <c r="AE386" i="7"/>
  <c r="AE380" i="7"/>
  <c r="L284" i="20"/>
  <c r="AC284" i="20" s="1"/>
  <c r="AE469" i="7"/>
  <c r="AE463" i="7"/>
  <c r="AE562" i="7"/>
  <c r="EU78" i="6"/>
  <c r="EU34" i="6"/>
  <c r="EO48" i="6"/>
  <c r="EO88" i="6"/>
  <c r="AC408" i="20" l="1"/>
  <c r="AC414" i="20"/>
  <c r="AC429" i="20"/>
  <c r="M284" i="20"/>
  <c r="AD284" i="20" s="1"/>
  <c r="L278" i="20"/>
  <c r="AC278" i="20" s="1"/>
  <c r="H35" i="20"/>
  <c r="Y35" i="20" s="1"/>
  <c r="M278" i="20"/>
  <c r="AD278" i="20" s="1"/>
  <c r="L280" i="20"/>
  <c r="AC280" i="20" s="1"/>
  <c r="AF570" i="7"/>
  <c r="AF640" i="7"/>
  <c r="AF631" i="7"/>
  <c r="AF632" i="7" s="1"/>
  <c r="AF576" i="7"/>
  <c r="AF253" i="8"/>
  <c r="AE252" i="8"/>
  <c r="AF252" i="8"/>
  <c r="FA29" i="6"/>
  <c r="FA78" i="6" s="1"/>
  <c r="EY72" i="6"/>
  <c r="FD30" i="6"/>
  <c r="FD79" i="6" s="1"/>
  <c r="EZ49" i="6"/>
  <c r="EZ97" i="6"/>
  <c r="AF359" i="7"/>
  <c r="AF365" i="7"/>
  <c r="AF386" i="7"/>
  <c r="AF457" i="7"/>
  <c r="AF380" i="7"/>
  <c r="EO97" i="6"/>
  <c r="EO49" i="6"/>
  <c r="EU83" i="6"/>
  <c r="EU39" i="6"/>
  <c r="AE571" i="7"/>
  <c r="AE577" i="7"/>
  <c r="AF642" i="7" l="1"/>
  <c r="FA34" i="6"/>
  <c r="FA39" i="6" s="1"/>
  <c r="AF562" i="7"/>
  <c r="AF463" i="7"/>
  <c r="AF469" i="7"/>
  <c r="EU88" i="6"/>
  <c r="EU48" i="6"/>
  <c r="FA83" i="6" l="1"/>
  <c r="FA88" i="6"/>
  <c r="FA48" i="6"/>
  <c r="AF571" i="7"/>
  <c r="AF577" i="7"/>
  <c r="EU97" i="6"/>
  <c r="EU49" i="6"/>
  <c r="AC100" i="21"/>
  <c r="EK17" i="6"/>
  <c r="EK66" i="6" s="1"/>
  <c r="AC772" i="7"/>
  <c r="D240" i="2" s="1"/>
  <c r="EJ17" i="6"/>
  <c r="EJ66" i="6" s="1"/>
  <c r="AD49" i="7"/>
  <c r="AD50" i="7" s="1"/>
  <c r="E223" i="2" s="1"/>
  <c r="H423" i="20" l="1"/>
  <c r="F191" i="20"/>
  <c r="W191" i="20" s="1"/>
  <c r="F192" i="20"/>
  <c r="W192" i="20" s="1"/>
  <c r="AU240" i="2"/>
  <c r="E511" i="20"/>
  <c r="V511" i="20" s="1"/>
  <c r="G192" i="20"/>
  <c r="X192" i="20" s="1"/>
  <c r="E514" i="20"/>
  <c r="V514" i="20" s="1"/>
  <c r="E40" i="20"/>
  <c r="V40" i="20" s="1"/>
  <c r="E518" i="20"/>
  <c r="V518" i="20" s="1"/>
  <c r="E517" i="20"/>
  <c r="V517" i="20" s="1"/>
  <c r="E510" i="20"/>
  <c r="V510" i="20" s="1"/>
  <c r="E513" i="20"/>
  <c r="V513" i="20" s="1"/>
  <c r="E515" i="20"/>
  <c r="V515" i="20" s="1"/>
  <c r="E233" i="2"/>
  <c r="AV233" i="2" s="1"/>
  <c r="FA49" i="6"/>
  <c r="FA97" i="6"/>
  <c r="EJ22" i="6"/>
  <c r="EG22" i="6" s="1"/>
  <c r="EG71" i="6" s="1"/>
  <c r="EG17" i="6"/>
  <c r="EG66" i="6" s="1"/>
  <c r="EK48" i="6"/>
  <c r="EK97" i="6" s="1"/>
  <c r="H422" i="20"/>
  <c r="AE49" i="7"/>
  <c r="F233" i="2" s="1"/>
  <c r="AW233" i="2" s="1"/>
  <c r="H432" i="20"/>
  <c r="AD769" i="7"/>
  <c r="AD772" i="7" s="1"/>
  <c r="E240" i="2" s="1"/>
  <c r="AC105" i="21"/>
  <c r="AC774" i="7"/>
  <c r="AC775" i="7"/>
  <c r="AD90" i="21"/>
  <c r="AD659" i="7"/>
  <c r="AD59" i="7"/>
  <c r="AD588" i="7"/>
  <c r="AD180" i="7"/>
  <c r="AD587" i="7"/>
  <c r="EP17" i="6"/>
  <c r="AD67" i="7"/>
  <c r="AC90" i="21"/>
  <c r="AC51" i="7"/>
  <c r="I420" i="20"/>
  <c r="Z420" i="20" s="1"/>
  <c r="AD566" i="7"/>
  <c r="AD66" i="7"/>
  <c r="AD100" i="21"/>
  <c r="AD51" i="7"/>
  <c r="EQ17" i="6"/>
  <c r="H430" i="20"/>
  <c r="I432" i="20"/>
  <c r="Z432" i="20" s="1"/>
  <c r="H420" i="20"/>
  <c r="I431" i="20"/>
  <c r="AV223" i="2"/>
  <c r="I430" i="20"/>
  <c r="H431" i="20"/>
  <c r="I423" i="20"/>
  <c r="Z423" i="20" s="1"/>
  <c r="H424" i="20"/>
  <c r="I422" i="20"/>
  <c r="Z422" i="20" s="1"/>
  <c r="Y423" i="20" l="1"/>
  <c r="H195" i="20"/>
  <c r="Y195" i="20" s="1"/>
  <c r="I195" i="20"/>
  <c r="Z195" i="20" s="1"/>
  <c r="F257" i="20"/>
  <c r="W257" i="20" s="1"/>
  <c r="F256" i="20"/>
  <c r="W256" i="20" s="1"/>
  <c r="AE566" i="7"/>
  <c r="AF49" i="7"/>
  <c r="G233" i="2" s="1"/>
  <c r="AX233" i="2" s="1"/>
  <c r="Y424" i="20"/>
  <c r="Y422" i="20"/>
  <c r="Y420" i="20"/>
  <c r="Y432" i="20"/>
  <c r="Z430" i="20"/>
  <c r="Y431" i="20"/>
  <c r="Z431" i="20"/>
  <c r="Y430" i="20"/>
  <c r="AD158" i="21"/>
  <c r="AD775" i="7"/>
  <c r="EJ29" i="6"/>
  <c r="EJ34" i="6" s="1"/>
  <c r="EJ71" i="6"/>
  <c r="EK49" i="6"/>
  <c r="EL17" i="6"/>
  <c r="EL66" i="6" s="1"/>
  <c r="AD773" i="7"/>
  <c r="AD774" i="7" s="1"/>
  <c r="AD105" i="21"/>
  <c r="AE66" i="7"/>
  <c r="AE50" i="7"/>
  <c r="AE59" i="7" s="1"/>
  <c r="AE100" i="21"/>
  <c r="EW17" i="6"/>
  <c r="AE769" i="7"/>
  <c r="AE772" i="7" s="1"/>
  <c r="F240" i="2" s="1"/>
  <c r="EQ66" i="6"/>
  <c r="EQ48" i="6"/>
  <c r="AD192" i="7"/>
  <c r="AD181" i="7"/>
  <c r="AD186" i="7"/>
  <c r="AD354" i="7"/>
  <c r="AD375" i="7"/>
  <c r="EP66" i="6"/>
  <c r="EP22" i="6"/>
  <c r="EM17" i="6"/>
  <c r="AD589" i="7"/>
  <c r="AD102" i="21"/>
  <c r="AD599" i="7"/>
  <c r="AI6" i="7" s="1"/>
  <c r="AD673" i="7"/>
  <c r="AD661" i="7"/>
  <c r="I192" i="20"/>
  <c r="Z192" i="20" s="1"/>
  <c r="F40" i="20"/>
  <c r="W40" i="20" s="1"/>
  <c r="G517" i="20"/>
  <c r="X517" i="20" s="1"/>
  <c r="H192" i="20"/>
  <c r="Y192" i="20" s="1"/>
  <c r="G518" i="20"/>
  <c r="X518" i="20" s="1"/>
  <c r="G510" i="20"/>
  <c r="X510" i="20" s="1"/>
  <c r="AV240" i="2"/>
  <c r="G513" i="20"/>
  <c r="X513" i="20" s="1"/>
  <c r="G511" i="20"/>
  <c r="X511" i="20" s="1"/>
  <c r="G514" i="20"/>
  <c r="X514" i="20" s="1"/>
  <c r="G515" i="20"/>
  <c r="X515" i="20" s="1"/>
  <c r="H191" i="20"/>
  <c r="Y191" i="20" s="1"/>
  <c r="I511" i="20" l="1"/>
  <c r="Z511" i="20" s="1"/>
  <c r="FC17" i="6"/>
  <c r="FC48" i="6" s="1"/>
  <c r="FC49" i="6" s="1"/>
  <c r="AF100" i="21"/>
  <c r="AE67" i="7"/>
  <c r="F223" i="2"/>
  <c r="E251" i="2"/>
  <c r="AV251" i="2" s="1"/>
  <c r="EW48" i="6"/>
  <c r="EW49" i="6" s="1"/>
  <c r="AF769" i="7"/>
  <c r="AF772" i="7" s="1"/>
  <c r="G240" i="2" s="1"/>
  <c r="AF66" i="7"/>
  <c r="AF50" i="7"/>
  <c r="G223" i="2" s="1"/>
  <c r="AF566" i="7"/>
  <c r="AE587" i="7"/>
  <c r="AE659" i="7"/>
  <c r="AE661" i="7" s="1"/>
  <c r="AE588" i="7"/>
  <c r="AE51" i="7"/>
  <c r="AE158" i="21"/>
  <c r="G251" i="2" s="1"/>
  <c r="AE775" i="7"/>
  <c r="EG29" i="6"/>
  <c r="EG78" i="6" s="1"/>
  <c r="AE180" i="7"/>
  <c r="AE192" i="7" s="1"/>
  <c r="EV17" i="6"/>
  <c r="AE90" i="21"/>
  <c r="EJ78" i="6"/>
  <c r="EW66" i="6"/>
  <c r="G40" i="20"/>
  <c r="X40" i="20" s="1"/>
  <c r="AW240" i="2"/>
  <c r="I510" i="20"/>
  <c r="Z510" i="20" s="1"/>
  <c r="K192" i="20"/>
  <c r="AB192" i="20" s="1"/>
  <c r="I514" i="20"/>
  <c r="Z514" i="20" s="1"/>
  <c r="I517" i="20"/>
  <c r="Z517" i="20" s="1"/>
  <c r="J191" i="20"/>
  <c r="AA191" i="20" s="1"/>
  <c r="I513" i="20"/>
  <c r="Z513" i="20" s="1"/>
  <c r="I515" i="20"/>
  <c r="Z515" i="20" s="1"/>
  <c r="AE105" i="21"/>
  <c r="J192" i="20"/>
  <c r="AA192" i="20" s="1"/>
  <c r="I518" i="20"/>
  <c r="Z518" i="20" s="1"/>
  <c r="AE773" i="7"/>
  <c r="AE774" i="7" s="1"/>
  <c r="AD664" i="7"/>
  <c r="AD686" i="7"/>
  <c r="AD675" i="7"/>
  <c r="AD381" i="7"/>
  <c r="AD376" i="7"/>
  <c r="AD387" i="7"/>
  <c r="AD458" i="7"/>
  <c r="EG34" i="6"/>
  <c r="EG83" i="6" s="1"/>
  <c r="EJ39" i="6"/>
  <c r="EJ83" i="6"/>
  <c r="EM66" i="6"/>
  <c r="ER17" i="6"/>
  <c r="ER66" i="6" s="1"/>
  <c r="AD366" i="7"/>
  <c r="AD360" i="7"/>
  <c r="AD355" i="7"/>
  <c r="EM22" i="6"/>
  <c r="EM71" i="6" s="1"/>
  <c r="EP29" i="6"/>
  <c r="EP71" i="6"/>
  <c r="AC678" i="7"/>
  <c r="AC686" i="7"/>
  <c r="AD193" i="7"/>
  <c r="AD187" i="7"/>
  <c r="EQ97" i="6"/>
  <c r="EQ49" i="6"/>
  <c r="K515" i="20" l="1"/>
  <c r="AB515" i="20" s="1"/>
  <c r="FC66" i="6"/>
  <c r="EW97" i="6"/>
  <c r="FC97" i="6"/>
  <c r="J430" i="20"/>
  <c r="K420" i="20"/>
  <c r="AB420" i="20" s="1"/>
  <c r="K431" i="20"/>
  <c r="G257" i="20"/>
  <c r="X257" i="20" s="1"/>
  <c r="J423" i="20"/>
  <c r="K195" i="20"/>
  <c r="AB195" i="20" s="1"/>
  <c r="G256" i="20"/>
  <c r="X256" i="20" s="1"/>
  <c r="J195" i="20"/>
  <c r="AA195" i="20" s="1"/>
  <c r="J422" i="20"/>
  <c r="K430" i="20"/>
  <c r="AB430" i="20" s="1"/>
  <c r="K422" i="20"/>
  <c r="AB422" i="20" s="1"/>
  <c r="J424" i="20"/>
  <c r="J432" i="20"/>
  <c r="J420" i="20"/>
  <c r="J431" i="20"/>
  <c r="K432" i="20"/>
  <c r="AB432" i="20" s="1"/>
  <c r="AW223" i="2"/>
  <c r="K423" i="20"/>
  <c r="AB423" i="20" s="1"/>
  <c r="H256" i="20"/>
  <c r="Y256" i="20" s="1"/>
  <c r="FB17" i="6"/>
  <c r="FB22" i="6" s="1"/>
  <c r="AF90" i="21"/>
  <c r="AF105" i="21"/>
  <c r="AF158" i="21"/>
  <c r="AE599" i="7"/>
  <c r="AJ6" i="7" s="1"/>
  <c r="F237" i="2"/>
  <c r="F251" i="2"/>
  <c r="AW251" i="2" s="1"/>
  <c r="AF51" i="7"/>
  <c r="EV66" i="6"/>
  <c r="AF659" i="7"/>
  <c r="AF67" i="7"/>
  <c r="AF59" i="7"/>
  <c r="AF180" i="7"/>
  <c r="AF588" i="7"/>
  <c r="AF587" i="7"/>
  <c r="AF102" i="21" s="1"/>
  <c r="AF775" i="7"/>
  <c r="AF773" i="7"/>
  <c r="AF774" i="7" s="1"/>
  <c r="AE102" i="21"/>
  <c r="M432" i="20"/>
  <c r="AD432" i="20" s="1"/>
  <c r="L431" i="20"/>
  <c r="M430" i="20"/>
  <c r="AD430" i="20" s="1"/>
  <c r="M431" i="20"/>
  <c r="L430" i="20"/>
  <c r="L422" i="20"/>
  <c r="L423" i="20"/>
  <c r="M423" i="20"/>
  <c r="AD423" i="20" s="1"/>
  <c r="L420" i="20"/>
  <c r="M195" i="20"/>
  <c r="AD195" i="20" s="1"/>
  <c r="M422" i="20"/>
  <c r="AD422" i="20" s="1"/>
  <c r="M420" i="20"/>
  <c r="AD420" i="20" s="1"/>
  <c r="H257" i="20"/>
  <c r="Y257" i="20" s="1"/>
  <c r="AX223" i="2"/>
  <c r="L424" i="20"/>
  <c r="L195" i="20"/>
  <c r="AC195" i="20" s="1"/>
  <c r="L432" i="20"/>
  <c r="AE673" i="7"/>
  <c r="AE594" i="7"/>
  <c r="AE589" i="7"/>
  <c r="AE375" i="7"/>
  <c r="AE376" i="7" s="1"/>
  <c r="AE354" i="7"/>
  <c r="AE366" i="7" s="1"/>
  <c r="AE186" i="7"/>
  <c r="ES17" i="6"/>
  <c r="EV22" i="6"/>
  <c r="AE181" i="7"/>
  <c r="AE187" i="7" s="1"/>
  <c r="K510" i="20"/>
  <c r="AB510" i="20" s="1"/>
  <c r="K518" i="20"/>
  <c r="AB518" i="20" s="1"/>
  <c r="L191" i="20"/>
  <c r="AC191" i="20" s="1"/>
  <c r="K514" i="20"/>
  <c r="AB514" i="20" s="1"/>
  <c r="L192" i="20"/>
  <c r="AC192" i="20" s="1"/>
  <c r="M192" i="20"/>
  <c r="AD192" i="20" s="1"/>
  <c r="K517" i="20"/>
  <c r="AB517" i="20" s="1"/>
  <c r="H40" i="20"/>
  <c r="Y40" i="20" s="1"/>
  <c r="K511" i="20"/>
  <c r="AB511" i="20" s="1"/>
  <c r="K513" i="20"/>
  <c r="AB513" i="20" s="1"/>
  <c r="AX240" i="2"/>
  <c r="AE355" i="7"/>
  <c r="EM29" i="6"/>
  <c r="EM78" i="6" s="1"/>
  <c r="EP78" i="6"/>
  <c r="EP34" i="6"/>
  <c r="AD464" i="7"/>
  <c r="AD470" i="7"/>
  <c r="AD563" i="7"/>
  <c r="AD459" i="7"/>
  <c r="EJ48" i="6"/>
  <c r="EJ88" i="6"/>
  <c r="EG39" i="6"/>
  <c r="AD382" i="7"/>
  <c r="AD388" i="7"/>
  <c r="AE664" i="7"/>
  <c r="F229" i="2" s="1"/>
  <c r="AW229" i="2" s="1"/>
  <c r="AE686" i="7"/>
  <c r="AE675" i="7"/>
  <c r="AC687" i="7"/>
  <c r="E229" i="2"/>
  <c r="AV229" i="2" s="1"/>
  <c r="AC96" i="21"/>
  <c r="AD367" i="7"/>
  <c r="AD361" i="7"/>
  <c r="AD687" i="7"/>
  <c r="AD678" i="7"/>
  <c r="AD665" i="7"/>
  <c r="AD96" i="21"/>
  <c r="AA424" i="20" l="1"/>
  <c r="AA431" i="20"/>
  <c r="AA420" i="20"/>
  <c r="AA432" i="20"/>
  <c r="AA422" i="20"/>
  <c r="AA423" i="20"/>
  <c r="AA430" i="20"/>
  <c r="EY17" i="6"/>
  <c r="FD17" i="6" s="1"/>
  <c r="FD66" i="6" s="1"/>
  <c r="FB66" i="6"/>
  <c r="AB431" i="20"/>
  <c r="AD440" i="7"/>
  <c r="G237" i="2"/>
  <c r="K433" i="20"/>
  <c r="J433" i="20"/>
  <c r="AA433" i="20" s="1"/>
  <c r="G43" i="20"/>
  <c r="X43" i="20" s="1"/>
  <c r="AW237" i="2"/>
  <c r="FB29" i="6"/>
  <c r="EY22" i="6"/>
  <c r="EV71" i="6"/>
  <c r="FB71" i="6"/>
  <c r="ES66" i="6"/>
  <c r="AF599" i="7"/>
  <c r="AK6" i="7" s="1"/>
  <c r="AF594" i="7"/>
  <c r="AF589" i="7"/>
  <c r="AF354" i="7"/>
  <c r="AF375" i="7"/>
  <c r="AF186" i="7"/>
  <c r="AF192" i="7"/>
  <c r="AF181" i="7"/>
  <c r="AF673" i="7"/>
  <c r="AF661" i="7"/>
  <c r="AD431" i="20"/>
  <c r="AE440" i="7"/>
  <c r="AC420" i="20"/>
  <c r="AC430" i="20"/>
  <c r="AC424" i="20"/>
  <c r="AC423" i="20"/>
  <c r="AC432" i="20"/>
  <c r="AC422" i="20"/>
  <c r="AC431" i="20"/>
  <c r="AE387" i="7"/>
  <c r="AE381" i="7"/>
  <c r="AE458" i="7"/>
  <c r="AE360" i="7"/>
  <c r="EX17" i="6"/>
  <c r="EX66" i="6" s="1"/>
  <c r="AX251" i="2"/>
  <c r="ES22" i="6"/>
  <c r="EV29" i="6"/>
  <c r="EV34" i="6" s="1"/>
  <c r="AE193" i="7"/>
  <c r="AE361" i="7"/>
  <c r="AE367" i="7"/>
  <c r="EJ49" i="6"/>
  <c r="EJ97" i="6"/>
  <c r="AD578" i="7"/>
  <c r="AD572" i="7"/>
  <c r="AD603" i="7"/>
  <c r="AD585" i="7"/>
  <c r="AD564" i="7"/>
  <c r="EG88" i="6"/>
  <c r="EG48" i="6"/>
  <c r="AD471" i="7"/>
  <c r="AD465" i="7"/>
  <c r="EP83" i="6"/>
  <c r="EP39" i="6"/>
  <c r="EM34" i="6"/>
  <c r="EM83" i="6" s="1"/>
  <c r="AE687" i="7"/>
  <c r="AE665" i="7"/>
  <c r="AE678" i="7"/>
  <c r="AE96" i="21"/>
  <c r="AE388" i="7"/>
  <c r="AE382" i="7"/>
  <c r="AE309" i="7" l="1"/>
  <c r="AJ198" i="7"/>
  <c r="AX237" i="2"/>
  <c r="EY66" i="6"/>
  <c r="L433" i="20"/>
  <c r="AC433" i="20" s="1"/>
  <c r="H43" i="20"/>
  <c r="Y43" i="20" s="1"/>
  <c r="M433" i="20"/>
  <c r="AF309" i="7" s="1"/>
  <c r="AH325" i="7"/>
  <c r="AI15" i="7"/>
  <c r="AH60" i="7"/>
  <c r="AB433" i="20"/>
  <c r="FB34" i="6"/>
  <c r="FB78" i="6"/>
  <c r="EY29" i="6"/>
  <c r="ES71" i="6"/>
  <c r="EY71" i="6"/>
  <c r="AF686" i="7"/>
  <c r="AF675" i="7"/>
  <c r="AF664" i="7"/>
  <c r="AF193" i="7"/>
  <c r="AF187" i="7"/>
  <c r="AF366" i="7"/>
  <c r="AF360" i="7"/>
  <c r="AF355" i="7"/>
  <c r="AF458" i="7"/>
  <c r="AF381" i="7"/>
  <c r="AF387" i="7"/>
  <c r="AF376" i="7"/>
  <c r="AE563" i="7"/>
  <c r="AE464" i="7"/>
  <c r="AE470" i="7"/>
  <c r="AE459" i="7"/>
  <c r="AE465" i="7" s="1"/>
  <c r="ES29" i="6"/>
  <c r="ES78" i="6" s="1"/>
  <c r="AD611" i="7"/>
  <c r="EV78" i="6"/>
  <c r="E237" i="2"/>
  <c r="AD594" i="7"/>
  <c r="AC102" i="21"/>
  <c r="AD579" i="7"/>
  <c r="AD567" i="7"/>
  <c r="AD573" i="7"/>
  <c r="AD565" i="7"/>
  <c r="EV83" i="6"/>
  <c r="EV39" i="6"/>
  <c r="ES34" i="6"/>
  <c r="ES83" i="6" s="1"/>
  <c r="EP48" i="6"/>
  <c r="EP88" i="6"/>
  <c r="EM39" i="6"/>
  <c r="EL48" i="6"/>
  <c r="EL97" i="6" s="1"/>
  <c r="EG97" i="6"/>
  <c r="AD597" i="7"/>
  <c r="AD592" i="7"/>
  <c r="AC2" i="7"/>
  <c r="AJ325" i="7" l="1"/>
  <c r="AK15" i="7"/>
  <c r="AD433" i="20"/>
  <c r="AI325" i="7"/>
  <c r="AJ15" i="7"/>
  <c r="AI60" i="7"/>
  <c r="AK198" i="7"/>
  <c r="G229" i="2"/>
  <c r="AX229" i="2" s="1"/>
  <c r="AF96" i="21"/>
  <c r="EY78" i="6"/>
  <c r="FB39" i="6"/>
  <c r="FB83" i="6"/>
  <c r="EY34" i="6"/>
  <c r="EY83" i="6" s="1"/>
  <c r="AF388" i="7"/>
  <c r="AF382" i="7"/>
  <c r="AF361" i="7"/>
  <c r="AF367" i="7"/>
  <c r="AF470" i="7"/>
  <c r="AF563" i="7"/>
  <c r="AF464" i="7"/>
  <c r="AF459" i="7"/>
  <c r="AF678" i="7"/>
  <c r="AF665" i="7"/>
  <c r="AF687" i="7"/>
  <c r="AE603" i="7"/>
  <c r="AE611" i="7" s="1"/>
  <c r="AE471" i="7"/>
  <c r="AE572" i="7"/>
  <c r="AE578" i="7"/>
  <c r="AE585" i="7"/>
  <c r="AE592" i="7" s="1"/>
  <c r="AE564" i="7"/>
  <c r="AD2" i="7"/>
  <c r="F43" i="20"/>
  <c r="W43" i="20" s="1"/>
  <c r="AV237" i="2"/>
  <c r="I433" i="20"/>
  <c r="DT32" i="11" s="1"/>
  <c r="H433" i="20"/>
  <c r="EM48" i="6"/>
  <c r="EM88" i="6"/>
  <c r="EV48" i="6"/>
  <c r="ES39" i="6"/>
  <c r="EV88" i="6"/>
  <c r="EP49" i="6"/>
  <c r="EP97" i="6"/>
  <c r="Z433" i="20" l="1"/>
  <c r="AI198" i="7"/>
  <c r="FB48" i="6"/>
  <c r="FB88" i="6"/>
  <c r="EY39" i="6"/>
  <c r="AF465" i="7"/>
  <c r="AF471" i="7"/>
  <c r="AF603" i="7"/>
  <c r="AF611" i="7" s="1"/>
  <c r="AF585" i="7"/>
  <c r="AF578" i="7"/>
  <c r="AF572" i="7"/>
  <c r="AF564" i="7"/>
  <c r="AE573" i="7"/>
  <c r="Y433" i="20"/>
  <c r="AE565" i="7"/>
  <c r="AE567" i="7"/>
  <c r="AE597" i="7"/>
  <c r="AE579" i="7"/>
  <c r="ER48" i="6"/>
  <c r="ER97" i="6" s="1"/>
  <c r="EM97" i="6"/>
  <c r="ES48" i="6"/>
  <c r="ES88" i="6"/>
  <c r="EV49" i="6"/>
  <c r="EV97" i="6"/>
  <c r="AF565" i="7" l="1"/>
  <c r="EY88" i="6"/>
  <c r="EY48" i="6"/>
  <c r="FB49" i="6"/>
  <c r="FB97" i="6"/>
  <c r="AF597" i="7"/>
  <c r="AF592" i="7"/>
  <c r="AF573" i="7"/>
  <c r="AF579" i="7"/>
  <c r="AF567" i="7"/>
  <c r="AE2" i="7"/>
  <c r="ES97" i="6"/>
  <c r="EX48" i="6"/>
  <c r="EX97" i="6" s="1"/>
  <c r="AC95" i="21"/>
  <c r="AF2" i="7" l="1"/>
  <c r="FD48" i="6"/>
  <c r="FD97" i="6" s="1"/>
  <c r="EY97" i="6"/>
  <c r="AD171" i="7"/>
  <c r="AD602" i="7"/>
  <c r="AC613" i="7"/>
  <c r="AC610" i="7" s="1"/>
  <c r="AD172" i="7"/>
  <c r="AD143" i="7" l="1"/>
  <c r="AD605" i="7"/>
  <c r="E228" i="2" s="1"/>
  <c r="I435" i="20" l="1"/>
  <c r="Z435" i="20" s="1"/>
  <c r="F45" i="20"/>
  <c r="W45" i="20" s="1"/>
  <c r="AV228" i="2"/>
  <c r="H435" i="20"/>
  <c r="AE171" i="7"/>
  <c r="AD607" i="7"/>
  <c r="AD613" i="7" s="1"/>
  <c r="AD610" i="7" s="1"/>
  <c r="AE602" i="7"/>
  <c r="AD606" i="7"/>
  <c r="AE172" i="7"/>
  <c r="AD95" i="21"/>
  <c r="Y435" i="20" l="1"/>
  <c r="AE143" i="7"/>
  <c r="AE605" i="7"/>
  <c r="F228" i="2" s="1"/>
  <c r="G45" i="20" l="1"/>
  <c r="X45" i="20" s="1"/>
  <c r="K435" i="20"/>
  <c r="AB435" i="20" s="1"/>
  <c r="J435" i="20"/>
  <c r="AW228" i="2"/>
  <c r="AF602" i="7"/>
  <c r="AF171" i="7"/>
  <c r="AF172" i="7"/>
  <c r="AE606" i="7"/>
  <c r="AE607" i="7"/>
  <c r="AE613" i="7" s="1"/>
  <c r="AE610" i="7" s="1"/>
  <c r="AE95" i="21"/>
  <c r="AA435" i="20" l="1"/>
  <c r="AF605" i="7"/>
  <c r="AF143" i="7"/>
  <c r="G228" i="2" l="1"/>
  <c r="AF95" i="21"/>
  <c r="AF606" i="7"/>
  <c r="AF607" i="7"/>
  <c r="AF613" i="7" s="1"/>
  <c r="AF610" i="7" s="1"/>
  <c r="L435" i="20" l="1"/>
  <c r="AX228" i="2"/>
  <c r="H45" i="20"/>
  <c r="Y45" i="20" s="1"/>
  <c r="M435" i="20"/>
  <c r="AD435" i="20" s="1"/>
  <c r="AC10" i="8"/>
  <c r="AC435" i="20" l="1"/>
  <c r="AD11" i="8"/>
  <c r="AC23" i="8"/>
  <c r="AC42" i="8"/>
  <c r="AC38" i="8"/>
  <c r="AC41" i="8"/>
  <c r="AC65" i="8" l="1"/>
  <c r="AC54" i="8"/>
  <c r="AD10" i="8"/>
  <c r="AD42" i="8"/>
  <c r="AD37" i="8"/>
  <c r="E178" i="2" s="1"/>
  <c r="AD23" i="8"/>
  <c r="AE11" i="8"/>
  <c r="AF11" i="8" l="1"/>
  <c r="AF37" i="8" s="1"/>
  <c r="AF54" i="21" s="1"/>
  <c r="AV178" i="2"/>
  <c r="G311" i="20"/>
  <c r="X311" i="20" s="1"/>
  <c r="G306" i="20"/>
  <c r="X306" i="20" s="1"/>
  <c r="G312" i="20"/>
  <c r="X312" i="20" s="1"/>
  <c r="H305" i="20"/>
  <c r="Y305" i="20" s="1"/>
  <c r="H311" i="20"/>
  <c r="Y311" i="20" s="1"/>
  <c r="G305" i="20"/>
  <c r="X305" i="20" s="1"/>
  <c r="AF42" i="8"/>
  <c r="AD54" i="8"/>
  <c r="AD65" i="8"/>
  <c r="AE23" i="8"/>
  <c r="AE37" i="8"/>
  <c r="F178" i="2" s="1"/>
  <c r="AE10" i="8"/>
  <c r="AE42" i="8"/>
  <c r="AD38" i="8"/>
  <c r="AD54" i="21"/>
  <c r="AD53" i="8"/>
  <c r="AD64" i="8"/>
  <c r="AD39" i="8" s="1"/>
  <c r="AF23" i="8" l="1"/>
  <c r="AF10" i="8"/>
  <c r="AF38" i="8"/>
  <c r="AF64" i="8"/>
  <c r="AF53" i="8"/>
  <c r="AF65" i="8"/>
  <c r="AF54" i="8"/>
  <c r="AE54" i="8"/>
  <c r="AE65" i="8"/>
  <c r="AE38" i="8"/>
  <c r="AE54" i="21"/>
  <c r="AE53" i="8"/>
  <c r="AE64" i="8"/>
  <c r="AE39" i="8" s="1"/>
  <c r="G178" i="2"/>
  <c r="AD41" i="8"/>
  <c r="AD40" i="8"/>
  <c r="J305" i="20"/>
  <c r="AA305" i="20" s="1"/>
  <c r="I312" i="20"/>
  <c r="Z312" i="20" s="1"/>
  <c r="I306" i="20"/>
  <c r="Z306" i="20" s="1"/>
  <c r="J311" i="20"/>
  <c r="AA311" i="20" s="1"/>
  <c r="I305" i="20"/>
  <c r="Z305" i="20" s="1"/>
  <c r="I311" i="20"/>
  <c r="Z311" i="20" s="1"/>
  <c r="AW178" i="2"/>
  <c r="AF39" i="8" l="1"/>
  <c r="AE40" i="8"/>
  <c r="AE41" i="8"/>
  <c r="K305" i="20"/>
  <c r="AB305" i="20" s="1"/>
  <c r="K311" i="20"/>
  <c r="AB311" i="20" s="1"/>
  <c r="L305" i="20"/>
  <c r="AC305" i="20" s="1"/>
  <c r="L311" i="20"/>
  <c r="AC311" i="20" s="1"/>
  <c r="AX178" i="2"/>
  <c r="K306" i="20"/>
  <c r="AB306" i="20" s="1"/>
  <c r="K312" i="20"/>
  <c r="AB312" i="20" s="1"/>
  <c r="AF40" i="8" l="1"/>
  <c r="AF41" i="8"/>
  <c r="K283" i="17"/>
  <c r="L283" i="17"/>
  <c r="M283" i="17"/>
  <c r="N283" i="17"/>
  <c r="O283" i="17"/>
  <c r="P283" i="17"/>
  <c r="Q283" i="17"/>
  <c r="R283" i="17"/>
  <c r="S283" i="17"/>
  <c r="T283" i="17"/>
  <c r="U283" i="17"/>
  <c r="V283" i="17"/>
  <c r="W283" i="17"/>
  <c r="X283" i="17"/>
  <c r="Y283" i="17"/>
  <c r="Z283" i="17"/>
  <c r="AA283" i="17"/>
  <c r="AB283" i="17"/>
  <c r="AC283" i="17"/>
  <c r="AD283" i="17"/>
  <c r="AE283" i="17"/>
  <c r="AF283" i="17"/>
  <c r="AG283" i="17"/>
  <c r="AH283" i="17"/>
  <c r="AI283" i="17"/>
  <c r="AJ283" i="17"/>
  <c r="AK283" i="17"/>
  <c r="AL283" i="17"/>
  <c r="AM283" i="17"/>
  <c r="AN283" i="17"/>
  <c r="AO283" i="17"/>
  <c r="AP283" i="17"/>
  <c r="AQ283" i="17"/>
  <c r="AR283" i="17"/>
  <c r="AS283" i="17"/>
  <c r="AT283" i="17"/>
  <c r="AU283" i="17"/>
  <c r="AV283" i="17"/>
  <c r="AW283" i="17"/>
  <c r="AX283" i="17"/>
  <c r="AY283" i="17"/>
  <c r="AZ283" i="17"/>
  <c r="BA283" i="17"/>
  <c r="BB283" i="17"/>
  <c r="BC283" i="17"/>
  <c r="BD283" i="17"/>
  <c r="BE283" i="17"/>
  <c r="BF283" i="17"/>
  <c r="BG283" i="17"/>
  <c r="BH283" i="17"/>
  <c r="BI283" i="17"/>
  <c r="BJ283" i="17"/>
  <c r="BK283" i="17"/>
  <c r="BL283" i="17"/>
  <c r="BM283" i="17"/>
  <c r="BN283" i="17"/>
  <c r="BO283" i="17"/>
  <c r="BP283" i="17"/>
  <c r="BQ283" i="17"/>
  <c r="BR283" i="17"/>
  <c r="BS283" i="17"/>
  <c r="BT283" i="17"/>
  <c r="BU283" i="17"/>
  <c r="BV283" i="17"/>
  <c r="BW283" i="17"/>
  <c r="BX283" i="17"/>
  <c r="BY283" i="17"/>
  <c r="BZ283" i="17"/>
  <c r="CA283" i="17"/>
  <c r="CB283" i="17"/>
  <c r="CC283" i="17"/>
  <c r="CD283" i="17"/>
  <c r="CE283" i="17"/>
  <c r="CF283" i="17"/>
  <c r="CG283" i="17"/>
  <c r="CH283" i="17"/>
  <c r="CI283" i="17"/>
  <c r="CJ283" i="17"/>
  <c r="CK283" i="17"/>
  <c r="CL283" i="17"/>
  <c r="CM283" i="17"/>
  <c r="CN283" i="17"/>
  <c r="CO283" i="17"/>
  <c r="CP283" i="17"/>
  <c r="CQ283" i="17"/>
  <c r="CU317" i="17" s="1"/>
  <c r="CR283" i="17"/>
  <c r="CV317" i="17" s="1"/>
  <c r="CS283" i="17"/>
  <c r="CW317" i="17" s="1"/>
  <c r="CT283" i="17"/>
  <c r="CW296" i="17" s="1"/>
  <c r="CV296" i="17" l="1"/>
  <c r="CR317" i="17"/>
  <c r="CO22" i="22"/>
  <c r="CT317" i="17"/>
  <c r="CM22" i="22"/>
  <c r="CP317" i="17"/>
  <c r="CK22" i="22"/>
  <c r="CN317" i="17"/>
  <c r="CI22" i="22"/>
  <c r="CL317" i="17"/>
  <c r="CG22" i="22"/>
  <c r="CJ317" i="17"/>
  <c r="CE22" i="22"/>
  <c r="CH317" i="17"/>
  <c r="CC22" i="22"/>
  <c r="CF317" i="17"/>
  <c r="CA22" i="22"/>
  <c r="CD317" i="17"/>
  <c r="BY22" i="22"/>
  <c r="CB317" i="17"/>
  <c r="BW22" i="22"/>
  <c r="BZ317" i="17"/>
  <c r="BU22" i="22"/>
  <c r="BX317" i="17"/>
  <c r="BS22" i="22"/>
  <c r="BV317" i="17"/>
  <c r="BQ22" i="22"/>
  <c r="BT317" i="17"/>
  <c r="BO22" i="22"/>
  <c r="BR317" i="17"/>
  <c r="BM22" i="22"/>
  <c r="BP317" i="17"/>
  <c r="BK22" i="22"/>
  <c r="BN317" i="17"/>
  <c r="BI22" i="22"/>
  <c r="BL317" i="17"/>
  <c r="BG22" i="22"/>
  <c r="BJ317" i="17"/>
  <c r="BE22" i="22"/>
  <c r="BH317" i="17"/>
  <c r="BC22" i="22"/>
  <c r="BF317" i="17"/>
  <c r="BA22" i="22"/>
  <c r="BD317" i="17"/>
  <c r="AY22" i="22"/>
  <c r="BB317" i="17"/>
  <c r="AW22" i="22"/>
  <c r="AZ317" i="17"/>
  <c r="AU22" i="22"/>
  <c r="AX317" i="17"/>
  <c r="AS22" i="22"/>
  <c r="AV317" i="17"/>
  <c r="AQ22" i="22"/>
  <c r="AT317" i="17"/>
  <c r="AO22" i="22"/>
  <c r="AR317" i="17"/>
  <c r="AM22" i="22"/>
  <c r="AP317" i="17"/>
  <c r="AK22" i="22"/>
  <c r="AN317" i="17"/>
  <c r="AI22" i="22"/>
  <c r="AL317" i="17"/>
  <c r="AG22" i="22"/>
  <c r="AJ317" i="17"/>
  <c r="AE22" i="22"/>
  <c r="AH317" i="17"/>
  <c r="AC22" i="22"/>
  <c r="AF317" i="17"/>
  <c r="AA22" i="22"/>
  <c r="AD317" i="17"/>
  <c r="Y22" i="22"/>
  <c r="AB317" i="17"/>
  <c r="W22" i="22"/>
  <c r="Z317" i="17"/>
  <c r="U22" i="22"/>
  <c r="X317" i="17"/>
  <c r="S22" i="22"/>
  <c r="V317" i="17"/>
  <c r="Q22" i="22"/>
  <c r="T317" i="17"/>
  <c r="O22" i="22"/>
  <c r="R317" i="17"/>
  <c r="M22" i="22"/>
  <c r="P317" i="17"/>
  <c r="N317" i="17"/>
  <c r="K22" i="22"/>
  <c r="N282" i="17"/>
  <c r="N284" i="17" s="1"/>
  <c r="L317" i="17"/>
  <c r="I22" i="22"/>
  <c r="CQ22" i="22"/>
  <c r="CP22" i="22"/>
  <c r="CQ317" i="17"/>
  <c r="D125" i="2" s="1"/>
  <c r="CN22" i="22"/>
  <c r="CT296" i="17"/>
  <c r="CS317" i="17"/>
  <c r="CL22" i="22"/>
  <c r="CO317" i="17"/>
  <c r="CR296" i="17"/>
  <c r="AC127" i="8" s="1"/>
  <c r="CM317" i="17"/>
  <c r="CJ22" i="22"/>
  <c r="CP296" i="17"/>
  <c r="CH22" i="22"/>
  <c r="CK317" i="17"/>
  <c r="CN296" i="17"/>
  <c r="AB127" i="8" s="1"/>
  <c r="CI317" i="17"/>
  <c r="CL296" i="17"/>
  <c r="CF22" i="22"/>
  <c r="CD22" i="22"/>
  <c r="CG317" i="17"/>
  <c r="CJ296" i="17"/>
  <c r="AA127" i="8" s="1"/>
  <c r="CE317" i="17"/>
  <c r="CB22" i="22"/>
  <c r="CH296" i="17"/>
  <c r="BZ22" i="22"/>
  <c r="CC317" i="17"/>
  <c r="CF296" i="17"/>
  <c r="Z127" i="8" s="1"/>
  <c r="CA317" i="17"/>
  <c r="CD296" i="17"/>
  <c r="BX22" i="22"/>
  <c r="BV22" i="22"/>
  <c r="BY317" i="17"/>
  <c r="CB296" i="17"/>
  <c r="Y127" i="8" s="1"/>
  <c r="BW317" i="17"/>
  <c r="BT22" i="22"/>
  <c r="BZ296" i="17"/>
  <c r="BR22" i="22"/>
  <c r="BU317" i="17"/>
  <c r="BX296" i="17"/>
  <c r="X127" i="8" s="1"/>
  <c r="BS317" i="17"/>
  <c r="BV296" i="17"/>
  <c r="BP22" i="22"/>
  <c r="BN22" i="22"/>
  <c r="BQ317" i="17"/>
  <c r="BT296" i="17"/>
  <c r="W127" i="8" s="1"/>
  <c r="BO317" i="17"/>
  <c r="BL22" i="22"/>
  <c r="BR296" i="17"/>
  <c r="BJ22" i="22"/>
  <c r="BM317" i="17"/>
  <c r="BP296" i="17"/>
  <c r="V127" i="8" s="1"/>
  <c r="BH22" i="22"/>
  <c r="BK317" i="17"/>
  <c r="BN296" i="17"/>
  <c r="BL296" i="17"/>
  <c r="U127" i="8" s="1"/>
  <c r="BF22" i="22"/>
  <c r="BI317" i="17"/>
  <c r="BD22" i="22"/>
  <c r="BJ296" i="17"/>
  <c r="BG317" i="17"/>
  <c r="BH296" i="17"/>
  <c r="T127" i="8" s="1"/>
  <c r="BE317" i="17"/>
  <c r="BB22" i="22"/>
  <c r="AZ22" i="22"/>
  <c r="BF296" i="17"/>
  <c r="BC317" i="17"/>
  <c r="BD296" i="17"/>
  <c r="S127" i="8" s="1"/>
  <c r="AX22" i="22"/>
  <c r="BA317" i="17"/>
  <c r="AV22" i="22"/>
  <c r="BB296" i="17"/>
  <c r="AY317" i="17"/>
  <c r="AZ296" i="17"/>
  <c r="R127" i="8" s="1"/>
  <c r="AW317" i="17"/>
  <c r="AT22" i="22"/>
  <c r="AR22" i="22"/>
  <c r="AX296" i="17"/>
  <c r="AU317" i="17"/>
  <c r="AV296" i="17"/>
  <c r="Q127" i="8" s="1"/>
  <c r="AP22" i="22"/>
  <c r="AS317" i="17"/>
  <c r="AN22" i="22"/>
  <c r="AT296" i="17"/>
  <c r="AQ317" i="17"/>
  <c r="AR296" i="17"/>
  <c r="P127" i="8" s="1"/>
  <c r="AO317" i="17"/>
  <c r="AL22" i="22"/>
  <c r="AJ22" i="22"/>
  <c r="AP296" i="17"/>
  <c r="AM317" i="17"/>
  <c r="AN296" i="17"/>
  <c r="O127" i="8" s="1"/>
  <c r="AH22" i="22"/>
  <c r="AK317" i="17"/>
  <c r="AF22" i="22"/>
  <c r="AL296" i="17"/>
  <c r="AI317" i="17"/>
  <c r="AJ296" i="17"/>
  <c r="N127" i="8" s="1"/>
  <c r="AG317" i="17"/>
  <c r="AD22" i="22"/>
  <c r="AB22" i="22"/>
  <c r="AH296" i="17"/>
  <c r="AE317" i="17"/>
  <c r="AF296" i="17"/>
  <c r="M127" i="8" s="1"/>
  <c r="Z22" i="22"/>
  <c r="AC317" i="17"/>
  <c r="X22" i="22"/>
  <c r="AD296" i="17"/>
  <c r="AA317" i="17"/>
  <c r="AB296" i="17"/>
  <c r="L127" i="8" s="1"/>
  <c r="Y317" i="17"/>
  <c r="V22" i="22"/>
  <c r="T22" i="22"/>
  <c r="Z296" i="17"/>
  <c r="W317" i="17"/>
  <c r="X296" i="17"/>
  <c r="K127" i="8" s="1"/>
  <c r="R22" i="22"/>
  <c r="U317" i="17"/>
  <c r="P22" i="22"/>
  <c r="V296" i="17"/>
  <c r="S317" i="17"/>
  <c r="T296" i="17"/>
  <c r="J127" i="8" s="1"/>
  <c r="Q317" i="17"/>
  <c r="N22" i="22"/>
  <c r="L22" i="22"/>
  <c r="R296" i="17"/>
  <c r="O317" i="17"/>
  <c r="P296" i="17"/>
  <c r="I127" i="8" s="1"/>
  <c r="I128" i="8" s="1"/>
  <c r="I129" i="8" s="1"/>
  <c r="J22" i="22"/>
  <c r="M317" i="17"/>
  <c r="H22" i="22"/>
  <c r="N296" i="17"/>
  <c r="L296" i="17"/>
  <c r="K317" i="17"/>
  <c r="J128" i="8" l="1"/>
  <c r="J129" i="8" s="1"/>
  <c r="R329" i="17"/>
  <c r="I383" i="12"/>
  <c r="K128" i="8"/>
  <c r="K129" i="8" s="1"/>
  <c r="M128" i="8"/>
  <c r="M129" i="8" s="1"/>
  <c r="O128" i="8"/>
  <c r="O129" i="8" s="1"/>
  <c r="Q128" i="8"/>
  <c r="Q129" i="8" s="1"/>
  <c r="R128" i="8"/>
  <c r="R129" i="8" s="1"/>
  <c r="S128" i="8"/>
  <c r="S129" i="8" s="1"/>
  <c r="T128" i="8"/>
  <c r="T129" i="8" s="1"/>
  <c r="U128" i="8"/>
  <c r="U129" i="8" s="1"/>
  <c r="BN329" i="17"/>
  <c r="U383" i="12"/>
  <c r="V128" i="8"/>
  <c r="V129" i="8" s="1"/>
  <c r="V383" i="12"/>
  <c r="BR329" i="17"/>
  <c r="W128" i="8"/>
  <c r="W129" i="8" s="1"/>
  <c r="X128" i="8"/>
  <c r="X129" i="8" s="1"/>
  <c r="X383" i="12"/>
  <c r="BZ329" i="17"/>
  <c r="Y128" i="8"/>
  <c r="Y129" i="8" s="1"/>
  <c r="Z128" i="8"/>
  <c r="Z129" i="8" s="1"/>
  <c r="Z383" i="12"/>
  <c r="CH329" i="17"/>
  <c r="AA128" i="8"/>
  <c r="AA129" i="8" s="1"/>
  <c r="AB128" i="8"/>
  <c r="AB129" i="8" s="1"/>
  <c r="AB383" i="12"/>
  <c r="CP329" i="17"/>
  <c r="AU125" i="2"/>
  <c r="E117" i="20"/>
  <c r="V117" i="20" s="1"/>
  <c r="L128" i="8"/>
  <c r="L129" i="8" s="1"/>
  <c r="N128" i="8"/>
  <c r="N129" i="8" s="1"/>
  <c r="P128" i="8"/>
  <c r="P129" i="8" s="1"/>
  <c r="N329" i="17"/>
  <c r="H383" i="12"/>
  <c r="N295" i="17"/>
  <c r="N297" i="17" s="1"/>
  <c r="J383" i="12"/>
  <c r="V329" i="17"/>
  <c r="Z329" i="17"/>
  <c r="K383" i="12"/>
  <c r="L383" i="12"/>
  <c r="AD329" i="17"/>
  <c r="AH329" i="17"/>
  <c r="M383" i="12"/>
  <c r="N383" i="12"/>
  <c r="AL329" i="17"/>
  <c r="AP329" i="17"/>
  <c r="O383" i="12"/>
  <c r="P383" i="12"/>
  <c r="AT329" i="17"/>
  <c r="AX329" i="17"/>
  <c r="Q383" i="12"/>
  <c r="R383" i="12"/>
  <c r="BB329" i="17"/>
  <c r="BF329" i="17"/>
  <c r="S383" i="12"/>
  <c r="T383" i="12"/>
  <c r="BJ329" i="17"/>
  <c r="BV329" i="17"/>
  <c r="W383" i="12"/>
  <c r="CD329" i="17"/>
  <c r="Y383" i="12"/>
  <c r="CL329" i="17"/>
  <c r="AA383" i="12"/>
  <c r="AC128" i="8"/>
  <c r="AC129" i="8" s="1"/>
  <c r="CT329" i="17"/>
  <c r="AC383" i="12"/>
  <c r="K277" i="17"/>
  <c r="K278" i="17"/>
  <c r="K279" i="17"/>
  <c r="K280" i="17"/>
  <c r="K281" i="17"/>
  <c r="K286" i="17"/>
  <c r="L277" i="17"/>
  <c r="I24" i="22" s="1"/>
  <c r="M277" i="17"/>
  <c r="J24" i="22" s="1"/>
  <c r="N277" i="17"/>
  <c r="K24" i="22" s="1"/>
  <c r="O277" i="17"/>
  <c r="P277" i="17"/>
  <c r="Q277" i="17"/>
  <c r="R277" i="17"/>
  <c r="S277" i="17"/>
  <c r="T277" i="17"/>
  <c r="U277" i="17"/>
  <c r="V277" i="17"/>
  <c r="W277" i="17"/>
  <c r="X277" i="17"/>
  <c r="Y277" i="17"/>
  <c r="Z277" i="17"/>
  <c r="AA277" i="17"/>
  <c r="AB277" i="17"/>
  <c r="AC277" i="17"/>
  <c r="AD277" i="17"/>
  <c r="AE277" i="17"/>
  <c r="AF277" i="17"/>
  <c r="AG277" i="17"/>
  <c r="AH277" i="17"/>
  <c r="AI277" i="17"/>
  <c r="AJ277" i="17"/>
  <c r="AK277" i="17"/>
  <c r="AL277" i="17"/>
  <c r="AM277" i="17"/>
  <c r="AN277" i="17"/>
  <c r="AO277" i="17"/>
  <c r="AP277" i="17"/>
  <c r="AQ277" i="17"/>
  <c r="AR277" i="17"/>
  <c r="AS277" i="17"/>
  <c r="AT277" i="17"/>
  <c r="AU277" i="17"/>
  <c r="AV277" i="17"/>
  <c r="AW277" i="17"/>
  <c r="AX277" i="17"/>
  <c r="AY277" i="17"/>
  <c r="AZ277" i="17"/>
  <c r="BA277" i="17"/>
  <c r="BB277" i="17"/>
  <c r="BC277" i="17"/>
  <c r="BD277" i="17"/>
  <c r="BE277" i="17"/>
  <c r="BF277" i="17"/>
  <c r="BG277" i="17"/>
  <c r="BH277" i="17"/>
  <c r="BI277" i="17"/>
  <c r="BJ277" i="17"/>
  <c r="BK277" i="17"/>
  <c r="BL277" i="17"/>
  <c r="BM277" i="17"/>
  <c r="BN277" i="17"/>
  <c r="BO277" i="17"/>
  <c r="BP277" i="17"/>
  <c r="BQ277" i="17"/>
  <c r="BR277" i="17"/>
  <c r="BS277" i="17"/>
  <c r="BT277" i="17"/>
  <c r="BU277" i="17"/>
  <c r="BV277" i="17"/>
  <c r="BW277" i="17"/>
  <c r="BX277" i="17"/>
  <c r="BY277" i="17"/>
  <c r="BZ277" i="17"/>
  <c r="CA277" i="17"/>
  <c r="CB277" i="17"/>
  <c r="CC277" i="17"/>
  <c r="CD277" i="17"/>
  <c r="CE277" i="17"/>
  <c r="CF277" i="17"/>
  <c r="CG277" i="17"/>
  <c r="CH277" i="17"/>
  <c r="CI277" i="17"/>
  <c r="CJ277" i="17"/>
  <c r="CK277" i="17"/>
  <c r="CL277" i="17"/>
  <c r="CM277" i="17"/>
  <c r="CN277" i="17"/>
  <c r="CO277" i="17"/>
  <c r="CP277" i="17"/>
  <c r="CQ277" i="17"/>
  <c r="CR277" i="17"/>
  <c r="CS277" i="17"/>
  <c r="L278" i="17"/>
  <c r="I25" i="22" s="1"/>
  <c r="M278" i="17"/>
  <c r="J25" i="22" s="1"/>
  <c r="N278" i="17"/>
  <c r="K25" i="22" s="1"/>
  <c r="O278" i="17"/>
  <c r="P278" i="17"/>
  <c r="Q278" i="17"/>
  <c r="R278" i="17"/>
  <c r="S278" i="17"/>
  <c r="T278" i="17"/>
  <c r="U278" i="17"/>
  <c r="V278" i="17"/>
  <c r="W278" i="17"/>
  <c r="X278" i="17"/>
  <c r="Y278" i="17"/>
  <c r="Z278" i="17"/>
  <c r="AA278" i="17"/>
  <c r="AB278" i="17"/>
  <c r="AC278" i="17"/>
  <c r="AD278" i="17"/>
  <c r="AE278" i="17"/>
  <c r="AF278" i="17"/>
  <c r="AG278" i="17"/>
  <c r="AH278" i="17"/>
  <c r="AI278" i="17"/>
  <c r="AJ278" i="17"/>
  <c r="AK278" i="17"/>
  <c r="AL278" i="17"/>
  <c r="AM278" i="17"/>
  <c r="AN278" i="17"/>
  <c r="AO278" i="17"/>
  <c r="AP278" i="17"/>
  <c r="AQ278" i="17"/>
  <c r="AR278" i="17"/>
  <c r="AS278" i="17"/>
  <c r="AT278" i="17"/>
  <c r="AU278" i="17"/>
  <c r="AV278" i="17"/>
  <c r="AW278" i="17"/>
  <c r="AX278" i="17"/>
  <c r="AY278" i="17"/>
  <c r="AZ278" i="17"/>
  <c r="BA278" i="17"/>
  <c r="BB278" i="17"/>
  <c r="BC278" i="17"/>
  <c r="BD278" i="17"/>
  <c r="BE278" i="17"/>
  <c r="BF278" i="17"/>
  <c r="BG278" i="17"/>
  <c r="BH278" i="17"/>
  <c r="BI278" i="17"/>
  <c r="BJ278" i="17"/>
  <c r="BK278" i="17"/>
  <c r="BL278" i="17"/>
  <c r="BM278" i="17"/>
  <c r="BN278" i="17"/>
  <c r="BO278" i="17"/>
  <c r="BP278" i="17"/>
  <c r="BQ278" i="17"/>
  <c r="BR278" i="17"/>
  <c r="BS278" i="17"/>
  <c r="BT278" i="17"/>
  <c r="BU278" i="17"/>
  <c r="BV278" i="17"/>
  <c r="BW278" i="17"/>
  <c r="BX278" i="17"/>
  <c r="BY278" i="17"/>
  <c r="BZ278" i="17"/>
  <c r="CA278" i="17"/>
  <c r="CB278" i="17"/>
  <c r="CC278" i="17"/>
  <c r="CD278" i="17"/>
  <c r="CE278" i="17"/>
  <c r="CF278" i="17"/>
  <c r="CG278" i="17"/>
  <c r="CH278" i="17"/>
  <c r="CI278" i="17"/>
  <c r="CJ278" i="17"/>
  <c r="CK278" i="17"/>
  <c r="CL278" i="17"/>
  <c r="CM278" i="17"/>
  <c r="CN278" i="17"/>
  <c r="CO278" i="17"/>
  <c r="CP278" i="17"/>
  <c r="CQ278" i="17"/>
  <c r="CU312" i="17" s="1"/>
  <c r="CR278" i="17"/>
  <c r="CV312" i="17" s="1"/>
  <c r="CV334" i="17" s="1"/>
  <c r="CS278" i="17"/>
  <c r="CW312" i="17" s="1"/>
  <c r="CW334" i="17" s="1"/>
  <c r="L279" i="17"/>
  <c r="I27" i="22" s="1"/>
  <c r="M279" i="17"/>
  <c r="J27" i="22" s="1"/>
  <c r="N279" i="17"/>
  <c r="K27" i="22" s="1"/>
  <c r="O279" i="17"/>
  <c r="P279" i="17"/>
  <c r="Q279" i="17"/>
  <c r="R279" i="17"/>
  <c r="S279" i="17"/>
  <c r="T279" i="17"/>
  <c r="U279" i="17"/>
  <c r="V279" i="17"/>
  <c r="W279" i="17"/>
  <c r="X279" i="17"/>
  <c r="Y279" i="17"/>
  <c r="Z279" i="17"/>
  <c r="AA279" i="17"/>
  <c r="AB279" i="17"/>
  <c r="AC279" i="17"/>
  <c r="AD279" i="17"/>
  <c r="AE279" i="17"/>
  <c r="AF279" i="17"/>
  <c r="AG279" i="17"/>
  <c r="AH279" i="17"/>
  <c r="AI279" i="17"/>
  <c r="AJ279" i="17"/>
  <c r="AK279" i="17"/>
  <c r="AL279" i="17"/>
  <c r="AM279" i="17"/>
  <c r="AN279" i="17"/>
  <c r="AO279" i="17"/>
  <c r="AP279" i="17"/>
  <c r="AQ279" i="17"/>
  <c r="AR279" i="17"/>
  <c r="AS279" i="17"/>
  <c r="AT279" i="17"/>
  <c r="AU279" i="17"/>
  <c r="AV279" i="17"/>
  <c r="AW279" i="17"/>
  <c r="AX279" i="17"/>
  <c r="AY279" i="17"/>
  <c r="AZ279" i="17"/>
  <c r="BA279" i="17"/>
  <c r="BB279" i="17"/>
  <c r="BC279" i="17"/>
  <c r="BD279" i="17"/>
  <c r="BE279" i="17"/>
  <c r="BF279" i="17"/>
  <c r="BG279" i="17"/>
  <c r="BH279" i="17"/>
  <c r="BI279" i="17"/>
  <c r="BJ279" i="17"/>
  <c r="BK279" i="17"/>
  <c r="BL279" i="17"/>
  <c r="BM279" i="17"/>
  <c r="BN279" i="17"/>
  <c r="BO279" i="17"/>
  <c r="BP279" i="17"/>
  <c r="BQ279" i="17"/>
  <c r="BR279" i="17"/>
  <c r="BS279" i="17"/>
  <c r="BT279" i="17"/>
  <c r="BU279" i="17"/>
  <c r="BV279" i="17"/>
  <c r="BW279" i="17"/>
  <c r="BX279" i="17"/>
  <c r="BY279" i="17"/>
  <c r="BZ279" i="17"/>
  <c r="CA279" i="17"/>
  <c r="CB279" i="17"/>
  <c r="CC279" i="17"/>
  <c r="CD279" i="17"/>
  <c r="CE279" i="17"/>
  <c r="CF279" i="17"/>
  <c r="CG279" i="17"/>
  <c r="CH279" i="17"/>
  <c r="CI279" i="17"/>
  <c r="CJ279" i="17"/>
  <c r="CK279" i="17"/>
  <c r="CL279" i="17"/>
  <c r="CM279" i="17"/>
  <c r="CN279" i="17"/>
  <c r="CO279" i="17"/>
  <c r="CP279" i="17"/>
  <c r="CQ279" i="17"/>
  <c r="CU313" i="17" s="1"/>
  <c r="CR279" i="17"/>
  <c r="CV313" i="17" s="1"/>
  <c r="CV335" i="17" s="1"/>
  <c r="CS279" i="17"/>
  <c r="CW313" i="17" s="1"/>
  <c r="CW335" i="17" s="1"/>
  <c r="L280" i="17"/>
  <c r="I26" i="22" s="1"/>
  <c r="M280" i="17"/>
  <c r="J26" i="22" s="1"/>
  <c r="N280" i="17"/>
  <c r="K26" i="22" s="1"/>
  <c r="O280" i="17"/>
  <c r="P280" i="17"/>
  <c r="Q280" i="17"/>
  <c r="R280" i="17"/>
  <c r="S280" i="17"/>
  <c r="T280" i="17"/>
  <c r="U280" i="17"/>
  <c r="V280" i="17"/>
  <c r="W280" i="17"/>
  <c r="X280" i="17"/>
  <c r="Y280" i="17"/>
  <c r="Z280" i="17"/>
  <c r="AA280" i="17"/>
  <c r="AB280" i="17"/>
  <c r="AC280" i="17"/>
  <c r="AD280" i="17"/>
  <c r="AE280" i="17"/>
  <c r="AF280" i="17"/>
  <c r="AG280" i="17"/>
  <c r="AH280" i="17"/>
  <c r="AI280" i="17"/>
  <c r="AJ280" i="17"/>
  <c r="AK280" i="17"/>
  <c r="AL280" i="17"/>
  <c r="AM280" i="17"/>
  <c r="AN280" i="17"/>
  <c r="AO280" i="17"/>
  <c r="AP280" i="17"/>
  <c r="AQ280" i="17"/>
  <c r="AR280" i="17"/>
  <c r="AS280" i="17"/>
  <c r="AT280" i="17"/>
  <c r="AU280" i="17"/>
  <c r="AV280" i="17"/>
  <c r="AW280" i="17"/>
  <c r="AX280" i="17"/>
  <c r="AY280" i="17"/>
  <c r="AZ280" i="17"/>
  <c r="BA280" i="17"/>
  <c r="BB280" i="17"/>
  <c r="BC280" i="17"/>
  <c r="BD280" i="17"/>
  <c r="BE280" i="17"/>
  <c r="BF280" i="17"/>
  <c r="BG280" i="17"/>
  <c r="BH280" i="17"/>
  <c r="BI280" i="17"/>
  <c r="BJ280" i="17"/>
  <c r="BK280" i="17"/>
  <c r="BL280" i="17"/>
  <c r="BM280" i="17"/>
  <c r="BN280" i="17"/>
  <c r="BO280" i="17"/>
  <c r="BP280" i="17"/>
  <c r="BQ280" i="17"/>
  <c r="BR280" i="17"/>
  <c r="BS280" i="17"/>
  <c r="BT280" i="17"/>
  <c r="BU280" i="17"/>
  <c r="BV280" i="17"/>
  <c r="BW280" i="17"/>
  <c r="BX280" i="17"/>
  <c r="BY280" i="17"/>
  <c r="BZ280" i="17"/>
  <c r="CA280" i="17"/>
  <c r="CB280" i="17"/>
  <c r="CC280" i="17"/>
  <c r="CD280" i="17"/>
  <c r="CE280" i="17"/>
  <c r="CF280" i="17"/>
  <c r="CG280" i="17"/>
  <c r="CH280" i="17"/>
  <c r="CI280" i="17"/>
  <c r="CJ280" i="17"/>
  <c r="CK280" i="17"/>
  <c r="CL280" i="17"/>
  <c r="CM280" i="17"/>
  <c r="CN280" i="17"/>
  <c r="CO280" i="17"/>
  <c r="CP280" i="17"/>
  <c r="CQ280" i="17"/>
  <c r="CU314" i="17" s="1"/>
  <c r="CR280" i="17"/>
  <c r="CV314" i="17" s="1"/>
  <c r="CV336" i="17" s="1"/>
  <c r="CS280" i="17"/>
  <c r="CW314" i="17" s="1"/>
  <c r="CW336" i="17" s="1"/>
  <c r="L281" i="17"/>
  <c r="I28" i="22" s="1"/>
  <c r="M281" i="17"/>
  <c r="J28" i="22" s="1"/>
  <c r="N281" i="17"/>
  <c r="K28" i="22" s="1"/>
  <c r="O281" i="17"/>
  <c r="P281" i="17"/>
  <c r="Q281" i="17"/>
  <c r="R281" i="17"/>
  <c r="S281" i="17"/>
  <c r="T281" i="17"/>
  <c r="U281" i="17"/>
  <c r="V281" i="17"/>
  <c r="W281" i="17"/>
  <c r="X281" i="17"/>
  <c r="Y281" i="17"/>
  <c r="Z281" i="17"/>
  <c r="AA281" i="17"/>
  <c r="AB281" i="17"/>
  <c r="AC281" i="17"/>
  <c r="AD281" i="17"/>
  <c r="AE281" i="17"/>
  <c r="AF281" i="17"/>
  <c r="AG281" i="17"/>
  <c r="AH281" i="17"/>
  <c r="AI281" i="17"/>
  <c r="AJ281" i="17"/>
  <c r="AK281" i="17"/>
  <c r="AL281" i="17"/>
  <c r="AM281" i="17"/>
  <c r="AN281" i="17"/>
  <c r="AO281" i="17"/>
  <c r="AP281" i="17"/>
  <c r="AQ281" i="17"/>
  <c r="AR281" i="17"/>
  <c r="AS281" i="17"/>
  <c r="AT281" i="17"/>
  <c r="AU281" i="17"/>
  <c r="AV281" i="17"/>
  <c r="AW281" i="17"/>
  <c r="AX281" i="17"/>
  <c r="AY281" i="17"/>
  <c r="AZ281" i="17"/>
  <c r="BA281" i="17"/>
  <c r="BB281" i="17"/>
  <c r="BC281" i="17"/>
  <c r="BD281" i="17"/>
  <c r="BE281" i="17"/>
  <c r="BF281" i="17"/>
  <c r="BG281" i="17"/>
  <c r="BH281" i="17"/>
  <c r="BI281" i="17"/>
  <c r="BJ281" i="17"/>
  <c r="BK281" i="17"/>
  <c r="BL281" i="17"/>
  <c r="BM281" i="17"/>
  <c r="BN281" i="17"/>
  <c r="BO281" i="17"/>
  <c r="BP281" i="17"/>
  <c r="BQ281" i="17"/>
  <c r="BR281" i="17"/>
  <c r="BS281" i="17"/>
  <c r="BT281" i="17"/>
  <c r="BU281" i="17"/>
  <c r="BV281" i="17"/>
  <c r="BW281" i="17"/>
  <c r="BX281" i="17"/>
  <c r="BY281" i="17"/>
  <c r="BZ281" i="17"/>
  <c r="CA281" i="17"/>
  <c r="CB281" i="17"/>
  <c r="CC281" i="17"/>
  <c r="CD281" i="17"/>
  <c r="CE281" i="17"/>
  <c r="CF281" i="17"/>
  <c r="CG281" i="17"/>
  <c r="CH281" i="17"/>
  <c r="CI281" i="17"/>
  <c r="CJ281" i="17"/>
  <c r="CK281" i="17"/>
  <c r="CL281" i="17"/>
  <c r="CM281" i="17"/>
  <c r="CN281" i="17"/>
  <c r="CO281" i="17"/>
  <c r="CP281" i="17"/>
  <c r="CQ281" i="17"/>
  <c r="CU315" i="17" s="1"/>
  <c r="CR281" i="17"/>
  <c r="CV315" i="17" s="1"/>
  <c r="CV337" i="17" s="1"/>
  <c r="CS281" i="17"/>
  <c r="CW315" i="17" s="1"/>
  <c r="CW337" i="17" s="1"/>
  <c r="L286" i="17"/>
  <c r="I23" i="22" s="1"/>
  <c r="M286" i="17"/>
  <c r="N286" i="17"/>
  <c r="O286" i="17"/>
  <c r="P286" i="17"/>
  <c r="Q286" i="17"/>
  <c r="R286" i="17"/>
  <c r="S286" i="17"/>
  <c r="T286" i="17"/>
  <c r="U286" i="17"/>
  <c r="V286" i="17"/>
  <c r="W286" i="17"/>
  <c r="X286" i="17"/>
  <c r="Y286" i="17"/>
  <c r="Z286" i="17"/>
  <c r="AA286" i="17"/>
  <c r="AB286" i="17"/>
  <c r="AC286" i="17"/>
  <c r="AD286" i="17"/>
  <c r="AE286" i="17"/>
  <c r="AF286" i="17"/>
  <c r="AG286" i="17"/>
  <c r="AH286" i="17"/>
  <c r="AI286" i="17"/>
  <c r="AJ286" i="17"/>
  <c r="AK286" i="17"/>
  <c r="AL286" i="17"/>
  <c r="AM286" i="17"/>
  <c r="AN286" i="17"/>
  <c r="AO286" i="17"/>
  <c r="AP286" i="17"/>
  <c r="AQ286" i="17"/>
  <c r="AR286" i="17"/>
  <c r="AS286" i="17"/>
  <c r="AT286" i="17"/>
  <c r="AU286" i="17"/>
  <c r="AV286" i="17"/>
  <c r="AW286" i="17"/>
  <c r="AX286" i="17"/>
  <c r="AY286" i="17"/>
  <c r="AZ286" i="17"/>
  <c r="BA286" i="17"/>
  <c r="BB286" i="17"/>
  <c r="BC286" i="17"/>
  <c r="BD286" i="17"/>
  <c r="BE286" i="17"/>
  <c r="BF286" i="17"/>
  <c r="BG286" i="17"/>
  <c r="BH286" i="17"/>
  <c r="BI286" i="17"/>
  <c r="BJ286" i="17"/>
  <c r="BK286" i="17"/>
  <c r="BL286" i="17"/>
  <c r="BM286" i="17"/>
  <c r="BN286" i="17"/>
  <c r="BO286" i="17"/>
  <c r="BP286" i="17"/>
  <c r="BQ286" i="17"/>
  <c r="BR286" i="17"/>
  <c r="BS286" i="17"/>
  <c r="BT286" i="17"/>
  <c r="BU286" i="17"/>
  <c r="BV286" i="17"/>
  <c r="BW286" i="17"/>
  <c r="BX286" i="17"/>
  <c r="BY286" i="17"/>
  <c r="BZ286" i="17"/>
  <c r="CA286" i="17"/>
  <c r="CB286" i="17"/>
  <c r="CC286" i="17"/>
  <c r="CD286" i="17"/>
  <c r="CE286" i="17"/>
  <c r="CF286" i="17"/>
  <c r="CG286" i="17"/>
  <c r="CH286" i="17"/>
  <c r="CI286" i="17"/>
  <c r="CJ286" i="17"/>
  <c r="CK286" i="17"/>
  <c r="CL286" i="17"/>
  <c r="CM286" i="17"/>
  <c r="CN286" i="17"/>
  <c r="CO286" i="17"/>
  <c r="CP286" i="17"/>
  <c r="CQ286" i="17"/>
  <c r="CU320" i="17" s="1"/>
  <c r="CR286" i="17"/>
  <c r="CV320" i="17" s="1"/>
  <c r="CS286" i="17"/>
  <c r="CW320" i="17" s="1"/>
  <c r="CT286" i="17"/>
  <c r="CW299" i="17" s="1"/>
  <c r="CT278" i="17"/>
  <c r="CT279" i="17"/>
  <c r="CT280" i="17"/>
  <c r="CT281" i="17"/>
  <c r="CT277" i="17"/>
  <c r="CW282" i="17" l="1"/>
  <c r="CW284" i="17" s="1"/>
  <c r="CW285" i="17"/>
  <c r="CW287" i="17" s="1"/>
  <c r="CW311" i="17"/>
  <c r="CW333" i="17" s="1"/>
  <c r="CV299" i="17"/>
  <c r="CV282" i="17"/>
  <c r="CV284" i="17" s="1"/>
  <c r="CV311" i="17"/>
  <c r="CV333" i="17" s="1"/>
  <c r="CV285" i="17"/>
  <c r="CV287" i="17" s="1"/>
  <c r="H271" i="2"/>
  <c r="CU337" i="17"/>
  <c r="CU282" i="17"/>
  <c r="CU284" i="17" s="1"/>
  <c r="H269" i="2"/>
  <c r="CU336" i="17"/>
  <c r="H270" i="2"/>
  <c r="CU335" i="17"/>
  <c r="H268" i="2"/>
  <c r="CU334" i="17"/>
  <c r="CU311" i="17"/>
  <c r="CU285" i="17"/>
  <c r="CU287" i="17" s="1"/>
  <c r="CX280" i="17"/>
  <c r="CQ26" i="22"/>
  <c r="CP23" i="22"/>
  <c r="CS320" i="17"/>
  <c r="CO320" i="17"/>
  <c r="CL23" i="22"/>
  <c r="CR299" i="17"/>
  <c r="CK320" i="17"/>
  <c r="CH23" i="22"/>
  <c r="CN299" i="17"/>
  <c r="CG320" i="17"/>
  <c r="CD23" i="22"/>
  <c r="CJ299" i="17"/>
  <c r="CC320" i="17"/>
  <c r="BZ23" i="22"/>
  <c r="CF299" i="17"/>
  <c r="CD299" i="17"/>
  <c r="BX23" i="22"/>
  <c r="CA320" i="17"/>
  <c r="BV23" i="22"/>
  <c r="CB299" i="17"/>
  <c r="BY320" i="17"/>
  <c r="BZ299" i="17"/>
  <c r="BT23" i="22"/>
  <c r="BW320" i="17"/>
  <c r="BR23" i="22"/>
  <c r="BX299" i="17"/>
  <c r="BU320" i="17"/>
  <c r="BV299" i="17"/>
  <c r="BP23" i="22"/>
  <c r="BS320" i="17"/>
  <c r="BN23" i="22"/>
  <c r="BT299" i="17"/>
  <c r="BQ320" i="17"/>
  <c r="BR299" i="17"/>
  <c r="BL23" i="22"/>
  <c r="BO320" i="17"/>
  <c r="BJ23" i="22"/>
  <c r="BP299" i="17"/>
  <c r="BM320" i="17"/>
  <c r="BN299" i="17"/>
  <c r="BH23" i="22"/>
  <c r="BK320" i="17"/>
  <c r="BF23" i="22"/>
  <c r="BL299" i="17"/>
  <c r="BI320" i="17"/>
  <c r="BJ299" i="17"/>
  <c r="BD23" i="22"/>
  <c r="BG320" i="17"/>
  <c r="BB23" i="22"/>
  <c r="BH299" i="17"/>
  <c r="BE320" i="17"/>
  <c r="BF299" i="17"/>
  <c r="AZ23" i="22"/>
  <c r="BC320" i="17"/>
  <c r="AX23" i="22"/>
  <c r="BD299" i="17"/>
  <c r="BA320" i="17"/>
  <c r="BB299" i="17"/>
  <c r="AV23" i="22"/>
  <c r="AY320" i="17"/>
  <c r="AT23" i="22"/>
  <c r="AZ299" i="17"/>
  <c r="AW320" i="17"/>
  <c r="AX299" i="17"/>
  <c r="AR23" i="22"/>
  <c r="AU320" i="17"/>
  <c r="AP23" i="22"/>
  <c r="AV299" i="17"/>
  <c r="AS320" i="17"/>
  <c r="AT299" i="17"/>
  <c r="AN23" i="22"/>
  <c r="AQ320" i="17"/>
  <c r="AO320" i="17"/>
  <c r="AR299" i="17"/>
  <c r="AL23" i="22"/>
  <c r="AJ23" i="22"/>
  <c r="AM320" i="17"/>
  <c r="AP299" i="17"/>
  <c r="AK320" i="17"/>
  <c r="AH23" i="22"/>
  <c r="AN299" i="17"/>
  <c r="AF23" i="22"/>
  <c r="AI320" i="17"/>
  <c r="AL299" i="17"/>
  <c r="AG320" i="17"/>
  <c r="AJ299" i="17"/>
  <c r="AD23" i="22"/>
  <c r="AB23" i="22"/>
  <c r="AE320" i="17"/>
  <c r="AH299" i="17"/>
  <c r="AC320" i="17"/>
  <c r="Z23" i="22"/>
  <c r="AF299" i="17"/>
  <c r="X23" i="22"/>
  <c r="AA320" i="17"/>
  <c r="AD299" i="17"/>
  <c r="Y320" i="17"/>
  <c r="AB299" i="17"/>
  <c r="V23" i="22"/>
  <c r="T23" i="22"/>
  <c r="W320" i="17"/>
  <c r="Z299" i="17"/>
  <c r="U320" i="17"/>
  <c r="R23" i="22"/>
  <c r="X299" i="17"/>
  <c r="P23" i="22"/>
  <c r="S320" i="17"/>
  <c r="V299" i="17"/>
  <c r="Q320" i="17"/>
  <c r="T299" i="17"/>
  <c r="N23" i="22"/>
  <c r="L23" i="22"/>
  <c r="O320" i="17"/>
  <c r="R299" i="17"/>
  <c r="J23" i="22"/>
  <c r="P299" i="17"/>
  <c r="CP28" i="22"/>
  <c r="CT294" i="17"/>
  <c r="CQ315" i="17"/>
  <c r="CQ337" i="17" s="1"/>
  <c r="CN28" i="22"/>
  <c r="CS315" i="17"/>
  <c r="CS337" i="17" s="1"/>
  <c r="CL28" i="22"/>
  <c r="CO315" i="17"/>
  <c r="CM315" i="17"/>
  <c r="CP294" i="17"/>
  <c r="CJ28" i="22"/>
  <c r="CK315" i="17"/>
  <c r="CK337" i="17" s="1"/>
  <c r="CH28" i="22"/>
  <c r="CF28" i="22"/>
  <c r="CI315" i="17"/>
  <c r="CI337" i="17" s="1"/>
  <c r="CL294" i="17"/>
  <c r="CD28" i="22"/>
  <c r="CG315" i="17"/>
  <c r="CG337" i="17" s="1"/>
  <c r="CE315" i="17"/>
  <c r="CE337" i="17" s="1"/>
  <c r="CB28" i="22"/>
  <c r="CH294" i="17"/>
  <c r="CC315" i="17"/>
  <c r="CC337" i="17" s="1"/>
  <c r="BZ28" i="22"/>
  <c r="BX28" i="22"/>
  <c r="CA315" i="17"/>
  <c r="CA337" i="17" s="1"/>
  <c r="CD294" i="17"/>
  <c r="BV28" i="22"/>
  <c r="BY315" i="17"/>
  <c r="BY337" i="17" s="1"/>
  <c r="BW315" i="17"/>
  <c r="BW337" i="17" s="1"/>
  <c r="BZ294" i="17"/>
  <c r="BT28" i="22"/>
  <c r="BU315" i="17"/>
  <c r="BU337" i="17" s="1"/>
  <c r="BR28" i="22"/>
  <c r="BP28" i="22"/>
  <c r="BS315" i="17"/>
  <c r="BS337" i="17" s="1"/>
  <c r="BV294" i="17"/>
  <c r="BN28" i="22"/>
  <c r="BQ315" i="17"/>
  <c r="BQ337" i="17" s="1"/>
  <c r="BO315" i="17"/>
  <c r="BO337" i="17" s="1"/>
  <c r="BL28" i="22"/>
  <c r="BR294" i="17"/>
  <c r="BM315" i="17"/>
  <c r="BM337" i="17" s="1"/>
  <c r="BJ28" i="22"/>
  <c r="BH28" i="22"/>
  <c r="BK315" i="17"/>
  <c r="BK337" i="17" s="1"/>
  <c r="BN294" i="17"/>
  <c r="BF28" i="22"/>
  <c r="BI315" i="17"/>
  <c r="BI337" i="17" s="1"/>
  <c r="BG315" i="17"/>
  <c r="BG337" i="17" s="1"/>
  <c r="BJ294" i="17"/>
  <c r="BD28" i="22"/>
  <c r="BE315" i="17"/>
  <c r="BE337" i="17" s="1"/>
  <c r="BB28" i="22"/>
  <c r="AZ28" i="22"/>
  <c r="BC315" i="17"/>
  <c r="BC337" i="17" s="1"/>
  <c r="BF294" i="17"/>
  <c r="AX28" i="22"/>
  <c r="BA315" i="17"/>
  <c r="BA337" i="17" s="1"/>
  <c r="AY315" i="17"/>
  <c r="AY337" i="17" s="1"/>
  <c r="AV28" i="22"/>
  <c r="BB294" i="17"/>
  <c r="AW315" i="17"/>
  <c r="AW337" i="17" s="1"/>
  <c r="AT28" i="22"/>
  <c r="AR28" i="22"/>
  <c r="AU315" i="17"/>
  <c r="AU337" i="17" s="1"/>
  <c r="AX294" i="17"/>
  <c r="AP28" i="22"/>
  <c r="AS315" i="17"/>
  <c r="AS337" i="17" s="1"/>
  <c r="AQ315" i="17"/>
  <c r="AQ337" i="17" s="1"/>
  <c r="AT294" i="17"/>
  <c r="AN28" i="22"/>
  <c r="AO315" i="17"/>
  <c r="AO337" i="17" s="1"/>
  <c r="AL28" i="22"/>
  <c r="AJ28" i="22"/>
  <c r="AM315" i="17"/>
  <c r="AM337" i="17" s="1"/>
  <c r="AP294" i="17"/>
  <c r="AH28" i="22"/>
  <c r="AK315" i="17"/>
  <c r="AK337" i="17" s="1"/>
  <c r="AI315" i="17"/>
  <c r="AI337" i="17" s="1"/>
  <c r="AF28" i="22"/>
  <c r="AL294" i="17"/>
  <c r="AG315" i="17"/>
  <c r="AG337" i="17" s="1"/>
  <c r="AD28" i="22"/>
  <c r="AB28" i="22"/>
  <c r="AE315" i="17"/>
  <c r="AE337" i="17" s="1"/>
  <c r="AH294" i="17"/>
  <c r="Z28" i="22"/>
  <c r="AC315" i="17"/>
  <c r="AC337" i="17" s="1"/>
  <c r="AA315" i="17"/>
  <c r="AA337" i="17" s="1"/>
  <c r="AD294" i="17"/>
  <c r="X28" i="22"/>
  <c r="Y315" i="17"/>
  <c r="Y337" i="17" s="1"/>
  <c r="V28" i="22"/>
  <c r="T28" i="22"/>
  <c r="W315" i="17"/>
  <c r="W337" i="17" s="1"/>
  <c r="Z294" i="17"/>
  <c r="R28" i="22"/>
  <c r="U315" i="17"/>
  <c r="U337" i="17" s="1"/>
  <c r="S315" i="17"/>
  <c r="S337" i="17" s="1"/>
  <c r="P28" i="22"/>
  <c r="V294" i="17"/>
  <c r="Q315" i="17"/>
  <c r="Q337" i="17" s="1"/>
  <c r="N28" i="22"/>
  <c r="L28" i="22"/>
  <c r="O315" i="17"/>
  <c r="O337" i="17" s="1"/>
  <c r="R294" i="17"/>
  <c r="CP26" i="22"/>
  <c r="CQ314" i="17"/>
  <c r="CQ336" i="17" s="1"/>
  <c r="CT293" i="17"/>
  <c r="CN26" i="22"/>
  <c r="CS314" i="17"/>
  <c r="CS336" i="17" s="1"/>
  <c r="CL26" i="22"/>
  <c r="CO314" i="17"/>
  <c r="CM314" i="17"/>
  <c r="CJ26" i="22"/>
  <c r="CP293" i="17"/>
  <c r="CK314" i="17"/>
  <c r="CK336" i="17" s="1"/>
  <c r="CH26" i="22"/>
  <c r="CF26" i="22"/>
  <c r="CL293" i="17"/>
  <c r="CI314" i="17"/>
  <c r="CI336" i="17" s="1"/>
  <c r="CD26" i="22"/>
  <c r="CG314" i="17"/>
  <c r="CG336" i="17" s="1"/>
  <c r="CE314" i="17"/>
  <c r="CE336" i="17" s="1"/>
  <c r="CH293" i="17"/>
  <c r="CB26" i="22"/>
  <c r="CC314" i="17"/>
  <c r="CC336" i="17" s="1"/>
  <c r="BZ26" i="22"/>
  <c r="BX26" i="22"/>
  <c r="CD293" i="17"/>
  <c r="CA314" i="17"/>
  <c r="CA336" i="17" s="1"/>
  <c r="BV26" i="22"/>
  <c r="BY314" i="17"/>
  <c r="BY336" i="17" s="1"/>
  <c r="BW314" i="17"/>
  <c r="BW336" i="17" s="1"/>
  <c r="BT26" i="22"/>
  <c r="BZ293" i="17"/>
  <c r="BU314" i="17"/>
  <c r="BU336" i="17" s="1"/>
  <c r="BR26" i="22"/>
  <c r="BP26" i="22"/>
  <c r="BV293" i="17"/>
  <c r="BS314" i="17"/>
  <c r="BS336" i="17" s="1"/>
  <c r="BN26" i="22"/>
  <c r="BQ314" i="17"/>
  <c r="BQ336" i="17" s="1"/>
  <c r="BO314" i="17"/>
  <c r="BO336" i="17" s="1"/>
  <c r="BR293" i="17"/>
  <c r="BL26" i="22"/>
  <c r="BM314" i="17"/>
  <c r="BM336" i="17" s="1"/>
  <c r="BJ26" i="22"/>
  <c r="BH26" i="22"/>
  <c r="BN293" i="17"/>
  <c r="BK314" i="17"/>
  <c r="BK336" i="17" s="1"/>
  <c r="BF26" i="22"/>
  <c r="BI314" i="17"/>
  <c r="BI336" i="17" s="1"/>
  <c r="BG314" i="17"/>
  <c r="BG336" i="17" s="1"/>
  <c r="BD26" i="22"/>
  <c r="BJ293" i="17"/>
  <c r="BE314" i="17"/>
  <c r="BE336" i="17" s="1"/>
  <c r="BB26" i="22"/>
  <c r="AZ26" i="22"/>
  <c r="BF293" i="17"/>
  <c r="BC314" i="17"/>
  <c r="BC336" i="17" s="1"/>
  <c r="AX26" i="22"/>
  <c r="BA314" i="17"/>
  <c r="BA336" i="17" s="1"/>
  <c r="AY314" i="17"/>
  <c r="AY336" i="17" s="1"/>
  <c r="BB293" i="17"/>
  <c r="AV26" i="22"/>
  <c r="AW314" i="17"/>
  <c r="AW336" i="17" s="1"/>
  <c r="AT26" i="22"/>
  <c r="AR26" i="22"/>
  <c r="AX293" i="17"/>
  <c r="AU314" i="17"/>
  <c r="AU336" i="17" s="1"/>
  <c r="AP26" i="22"/>
  <c r="AS314" i="17"/>
  <c r="AS336" i="17" s="1"/>
  <c r="AQ314" i="17"/>
  <c r="AQ336" i="17" s="1"/>
  <c r="AN26" i="22"/>
  <c r="AT293" i="17"/>
  <c r="AO314" i="17"/>
  <c r="AO336" i="17" s="1"/>
  <c r="AL26" i="22"/>
  <c r="AJ26" i="22"/>
  <c r="AP293" i="17"/>
  <c r="AM314" i="17"/>
  <c r="AM336" i="17" s="1"/>
  <c r="AH26" i="22"/>
  <c r="AK314" i="17"/>
  <c r="AK336" i="17" s="1"/>
  <c r="AI314" i="17"/>
  <c r="AI336" i="17" s="1"/>
  <c r="AL293" i="17"/>
  <c r="AF26" i="22"/>
  <c r="AG314" i="17"/>
  <c r="AG336" i="17" s="1"/>
  <c r="AD26" i="22"/>
  <c r="AB26" i="22"/>
  <c r="AH293" i="17"/>
  <c r="AE314" i="17"/>
  <c r="AE336" i="17" s="1"/>
  <c r="Z26" i="22"/>
  <c r="AC314" i="17"/>
  <c r="AC336" i="17" s="1"/>
  <c r="AA314" i="17"/>
  <c r="AA336" i="17" s="1"/>
  <c r="X26" i="22"/>
  <c r="AD293" i="17"/>
  <c r="Y314" i="17"/>
  <c r="Y336" i="17" s="1"/>
  <c r="V26" i="22"/>
  <c r="T26" i="22"/>
  <c r="Z293" i="17"/>
  <c r="W314" i="17"/>
  <c r="W336" i="17" s="1"/>
  <c r="R26" i="22"/>
  <c r="U314" i="17"/>
  <c r="U336" i="17" s="1"/>
  <c r="S314" i="17"/>
  <c r="S336" i="17" s="1"/>
  <c r="V293" i="17"/>
  <c r="P26" i="22"/>
  <c r="Q314" i="17"/>
  <c r="Q336" i="17" s="1"/>
  <c r="N26" i="22"/>
  <c r="L26" i="22"/>
  <c r="R293" i="17"/>
  <c r="O314" i="17"/>
  <c r="O336" i="17" s="1"/>
  <c r="CP27" i="22"/>
  <c r="CQ313" i="17"/>
  <c r="CQ335" i="17" s="1"/>
  <c r="CT292" i="17"/>
  <c r="AC380" i="12" s="1"/>
  <c r="CN27" i="22"/>
  <c r="CS313" i="17"/>
  <c r="CS335" i="17" s="1"/>
  <c r="CL27" i="22"/>
  <c r="CO313" i="17"/>
  <c r="CM313" i="17"/>
  <c r="CP292" i="17"/>
  <c r="CJ27" i="22"/>
  <c r="CK313" i="17"/>
  <c r="CK335" i="17" s="1"/>
  <c r="CH27" i="22"/>
  <c r="CF27" i="22"/>
  <c r="CL292" i="17"/>
  <c r="CI313" i="17"/>
  <c r="CI335" i="17" s="1"/>
  <c r="CD27" i="22"/>
  <c r="CG313" i="17"/>
  <c r="CG335" i="17" s="1"/>
  <c r="CE313" i="17"/>
  <c r="CE335" i="17" s="1"/>
  <c r="CB27" i="22"/>
  <c r="CH292" i="17"/>
  <c r="CC313" i="17"/>
  <c r="CC335" i="17" s="1"/>
  <c r="BZ27" i="22"/>
  <c r="BX27" i="22"/>
  <c r="CD292" i="17"/>
  <c r="CA313" i="17"/>
  <c r="CA335" i="17" s="1"/>
  <c r="BV27" i="22"/>
  <c r="BY313" i="17"/>
  <c r="BY335" i="17" s="1"/>
  <c r="BW313" i="17"/>
  <c r="BW335" i="17" s="1"/>
  <c r="BZ292" i="17"/>
  <c r="BT27" i="22"/>
  <c r="BU313" i="17"/>
  <c r="BU335" i="17" s="1"/>
  <c r="BR27" i="22"/>
  <c r="BP27" i="22"/>
  <c r="BV292" i="17"/>
  <c r="BS313" i="17"/>
  <c r="BS335" i="17" s="1"/>
  <c r="BN27" i="22"/>
  <c r="BQ313" i="17"/>
  <c r="BQ335" i="17" s="1"/>
  <c r="BO313" i="17"/>
  <c r="BO335" i="17" s="1"/>
  <c r="BL27" i="22"/>
  <c r="BR292" i="17"/>
  <c r="BM313" i="17"/>
  <c r="BM335" i="17" s="1"/>
  <c r="BJ27" i="22"/>
  <c r="BH27" i="22"/>
  <c r="BN292" i="17"/>
  <c r="BK313" i="17"/>
  <c r="BK335" i="17" s="1"/>
  <c r="BF27" i="22"/>
  <c r="BI313" i="17"/>
  <c r="BI335" i="17" s="1"/>
  <c r="BG313" i="17"/>
  <c r="BG335" i="17" s="1"/>
  <c r="BJ292" i="17"/>
  <c r="BD27" i="22"/>
  <c r="BE313" i="17"/>
  <c r="BE335" i="17" s="1"/>
  <c r="BB27" i="22"/>
  <c r="AZ27" i="22"/>
  <c r="BF292" i="17"/>
  <c r="BC313" i="17"/>
  <c r="BC335" i="17" s="1"/>
  <c r="AX27" i="22"/>
  <c r="BA313" i="17"/>
  <c r="BA335" i="17" s="1"/>
  <c r="AY313" i="17"/>
  <c r="AY335" i="17" s="1"/>
  <c r="AV27" i="22"/>
  <c r="BB292" i="17"/>
  <c r="AW313" i="17"/>
  <c r="AW335" i="17" s="1"/>
  <c r="AT27" i="22"/>
  <c r="AR27" i="22"/>
  <c r="AX292" i="17"/>
  <c r="AU313" i="17"/>
  <c r="AU335" i="17" s="1"/>
  <c r="AP27" i="22"/>
  <c r="AS313" i="17"/>
  <c r="AS335" i="17" s="1"/>
  <c r="AQ313" i="17"/>
  <c r="AQ335" i="17" s="1"/>
  <c r="AT292" i="17"/>
  <c r="AN27" i="22"/>
  <c r="AO313" i="17"/>
  <c r="AO335" i="17" s="1"/>
  <c r="AL27" i="22"/>
  <c r="AJ27" i="22"/>
  <c r="AP292" i="17"/>
  <c r="AM313" i="17"/>
  <c r="AM335" i="17" s="1"/>
  <c r="AH27" i="22"/>
  <c r="AK313" i="17"/>
  <c r="AK335" i="17" s="1"/>
  <c r="AI313" i="17"/>
  <c r="AI335" i="17" s="1"/>
  <c r="AF27" i="22"/>
  <c r="AL292" i="17"/>
  <c r="AG313" i="17"/>
  <c r="AG335" i="17" s="1"/>
  <c r="AD27" i="22"/>
  <c r="AB27" i="22"/>
  <c r="AH292" i="17"/>
  <c r="AE313" i="17"/>
  <c r="AE335" i="17" s="1"/>
  <c r="Z27" i="22"/>
  <c r="AC313" i="17"/>
  <c r="AC335" i="17" s="1"/>
  <c r="AA313" i="17"/>
  <c r="AA335" i="17" s="1"/>
  <c r="AD292" i="17"/>
  <c r="X27" i="22"/>
  <c r="Y313" i="17"/>
  <c r="Y335" i="17" s="1"/>
  <c r="V27" i="22"/>
  <c r="T27" i="22"/>
  <c r="Z292" i="17"/>
  <c r="W313" i="17"/>
  <c r="W335" i="17" s="1"/>
  <c r="R27" i="22"/>
  <c r="U313" i="17"/>
  <c r="U335" i="17" s="1"/>
  <c r="S313" i="17"/>
  <c r="S335" i="17" s="1"/>
  <c r="P27" i="22"/>
  <c r="V292" i="17"/>
  <c r="Q313" i="17"/>
  <c r="Q335" i="17" s="1"/>
  <c r="N27" i="22"/>
  <c r="L27" i="22"/>
  <c r="R292" i="17"/>
  <c r="O313" i="17"/>
  <c r="O335" i="17" s="1"/>
  <c r="CP25" i="22"/>
  <c r="CQ312" i="17"/>
  <c r="CT291" i="17"/>
  <c r="AC379" i="12" s="1"/>
  <c r="CN25" i="22"/>
  <c r="CS312" i="17"/>
  <c r="CL25" i="22"/>
  <c r="CO312" i="17"/>
  <c r="CO334" i="17" s="1"/>
  <c r="CM312" i="17"/>
  <c r="CM334" i="17" s="1"/>
  <c r="CJ25" i="22"/>
  <c r="CP291" i="17"/>
  <c r="CK312" i="17"/>
  <c r="CK334" i="17" s="1"/>
  <c r="CH25" i="22"/>
  <c r="CF25" i="22"/>
  <c r="CL291" i="17"/>
  <c r="CI312" i="17"/>
  <c r="CI334" i="17" s="1"/>
  <c r="CD25" i="22"/>
  <c r="CG312" i="17"/>
  <c r="CG334" i="17" s="1"/>
  <c r="CE312" i="17"/>
  <c r="CE334" i="17" s="1"/>
  <c r="CH291" i="17"/>
  <c r="CB25" i="22"/>
  <c r="CC312" i="17"/>
  <c r="CC334" i="17" s="1"/>
  <c r="BZ25" i="22"/>
  <c r="BX25" i="22"/>
  <c r="CD291" i="17"/>
  <c r="CA312" i="17"/>
  <c r="CA334" i="17" s="1"/>
  <c r="BV25" i="22"/>
  <c r="BY312" i="17"/>
  <c r="BY334" i="17" s="1"/>
  <c r="BW312" i="17"/>
  <c r="BW334" i="17" s="1"/>
  <c r="BT25" i="22"/>
  <c r="BZ291" i="17"/>
  <c r="BU312" i="17"/>
  <c r="BU334" i="17" s="1"/>
  <c r="BR25" i="22"/>
  <c r="BP25" i="22"/>
  <c r="BV291" i="17"/>
  <c r="BS312" i="17"/>
  <c r="BS334" i="17" s="1"/>
  <c r="BN25" i="22"/>
  <c r="BQ312" i="17"/>
  <c r="BQ334" i="17" s="1"/>
  <c r="BO312" i="17"/>
  <c r="BO334" i="17" s="1"/>
  <c r="BR291" i="17"/>
  <c r="BL25" i="22"/>
  <c r="BM312" i="17"/>
  <c r="BM334" i="17" s="1"/>
  <c r="BJ25" i="22"/>
  <c r="BH25" i="22"/>
  <c r="BN291" i="17"/>
  <c r="BK312" i="17"/>
  <c r="BK334" i="17" s="1"/>
  <c r="BF25" i="22"/>
  <c r="BI312" i="17"/>
  <c r="BI334" i="17" s="1"/>
  <c r="BG312" i="17"/>
  <c r="BG334" i="17" s="1"/>
  <c r="BD25" i="22"/>
  <c r="BJ291" i="17"/>
  <c r="BE312" i="17"/>
  <c r="BE334" i="17" s="1"/>
  <c r="BB25" i="22"/>
  <c r="AZ25" i="22"/>
  <c r="BF291" i="17"/>
  <c r="BC312" i="17"/>
  <c r="BC334" i="17" s="1"/>
  <c r="AX25" i="22"/>
  <c r="BA312" i="17"/>
  <c r="BA334" i="17" s="1"/>
  <c r="AY312" i="17"/>
  <c r="AY334" i="17" s="1"/>
  <c r="BB291" i="17"/>
  <c r="AV25" i="22"/>
  <c r="AW312" i="17"/>
  <c r="AW334" i="17" s="1"/>
  <c r="AT25" i="22"/>
  <c r="AR25" i="22"/>
  <c r="AX291" i="17"/>
  <c r="AU312" i="17"/>
  <c r="AU334" i="17" s="1"/>
  <c r="AP25" i="22"/>
  <c r="AS312" i="17"/>
  <c r="AS334" i="17" s="1"/>
  <c r="AQ312" i="17"/>
  <c r="AQ334" i="17" s="1"/>
  <c r="AN25" i="22"/>
  <c r="AT291" i="17"/>
  <c r="AO312" i="17"/>
  <c r="AO334" i="17" s="1"/>
  <c r="AL25" i="22"/>
  <c r="AJ25" i="22"/>
  <c r="AP291" i="17"/>
  <c r="AM312" i="17"/>
  <c r="AM334" i="17" s="1"/>
  <c r="AH25" i="22"/>
  <c r="AK312" i="17"/>
  <c r="AK334" i="17" s="1"/>
  <c r="AI312" i="17"/>
  <c r="AI334" i="17" s="1"/>
  <c r="AL291" i="17"/>
  <c r="AF25" i="22"/>
  <c r="AG312" i="17"/>
  <c r="AG334" i="17" s="1"/>
  <c r="AD25" i="22"/>
  <c r="AB25" i="22"/>
  <c r="AH291" i="17"/>
  <c r="AE312" i="17"/>
  <c r="AE334" i="17" s="1"/>
  <c r="Z25" i="22"/>
  <c r="AC312" i="17"/>
  <c r="AC334" i="17" s="1"/>
  <c r="AA312" i="17"/>
  <c r="AA334" i="17" s="1"/>
  <c r="X25" i="22"/>
  <c r="AD291" i="17"/>
  <c r="Y312" i="17"/>
  <c r="Y334" i="17" s="1"/>
  <c r="V25" i="22"/>
  <c r="T25" i="22"/>
  <c r="Z291" i="17"/>
  <c r="W312" i="17"/>
  <c r="W334" i="17" s="1"/>
  <c r="R25" i="22"/>
  <c r="U312" i="17"/>
  <c r="U334" i="17" s="1"/>
  <c r="S312" i="17"/>
  <c r="S334" i="17" s="1"/>
  <c r="V291" i="17"/>
  <c r="P25" i="22"/>
  <c r="Q312" i="17"/>
  <c r="Q334" i="17" s="1"/>
  <c r="N25" i="22"/>
  <c r="L25" i="22"/>
  <c r="R291" i="17"/>
  <c r="O312" i="17"/>
  <c r="O334" i="17" s="1"/>
  <c r="CP24" i="22"/>
  <c r="CS282" i="17"/>
  <c r="CW316" i="17" s="1"/>
  <c r="CS285" i="17"/>
  <c r="CW319" i="17" s="1"/>
  <c r="CW321" i="17" s="1"/>
  <c r="CT290" i="17"/>
  <c r="CQ285" i="17"/>
  <c r="CQ311" i="17"/>
  <c r="CQ333" i="17" s="1"/>
  <c r="CQ282" i="17"/>
  <c r="CN24" i="22"/>
  <c r="CS311" i="17"/>
  <c r="CS333" i="17" s="1"/>
  <c r="CL24" i="22"/>
  <c r="CO311" i="17"/>
  <c r="CO285" i="17"/>
  <c r="CO282" i="17"/>
  <c r="CM282" i="17"/>
  <c r="CP290" i="17"/>
  <c r="CJ24" i="22"/>
  <c r="CM285" i="17"/>
  <c r="CM287" i="17" s="1"/>
  <c r="CM311" i="17"/>
  <c r="CK311" i="17"/>
  <c r="CK333" i="17" s="1"/>
  <c r="CH24" i="22"/>
  <c r="CK282" i="17"/>
  <c r="CK285" i="17"/>
  <c r="CF24" i="22"/>
  <c r="CI282" i="17"/>
  <c r="CI285" i="17"/>
  <c r="CI311" i="17"/>
  <c r="CI333" i="17" s="1"/>
  <c r="CL290" i="17"/>
  <c r="CD24" i="22"/>
  <c r="CG311" i="17"/>
  <c r="CG333" i="17" s="1"/>
  <c r="CG285" i="17"/>
  <c r="CG282" i="17"/>
  <c r="CE282" i="17"/>
  <c r="CH290" i="17"/>
  <c r="CE311" i="17"/>
  <c r="CE333" i="17" s="1"/>
  <c r="CB24" i="22"/>
  <c r="CE285" i="17"/>
  <c r="CC311" i="17"/>
  <c r="CC333" i="17" s="1"/>
  <c r="BZ24" i="22"/>
  <c r="CC282" i="17"/>
  <c r="CC285" i="17"/>
  <c r="BX24" i="22"/>
  <c r="CA282" i="17"/>
  <c r="CA285" i="17"/>
  <c r="CD290" i="17"/>
  <c r="CA311" i="17"/>
  <c r="CA333" i="17" s="1"/>
  <c r="BV24" i="22"/>
  <c r="BY311" i="17"/>
  <c r="BY333" i="17" s="1"/>
  <c r="BY285" i="17"/>
  <c r="BY282" i="17"/>
  <c r="BW282" i="17"/>
  <c r="BZ290" i="17"/>
  <c r="BT24" i="22"/>
  <c r="BW285" i="17"/>
  <c r="BW311" i="17"/>
  <c r="BW333" i="17" s="1"/>
  <c r="BU311" i="17"/>
  <c r="BU333" i="17" s="1"/>
  <c r="BR24" i="22"/>
  <c r="BU282" i="17"/>
  <c r="BU285" i="17"/>
  <c r="BP24" i="22"/>
  <c r="BS282" i="17"/>
  <c r="BS285" i="17"/>
  <c r="BS311" i="17"/>
  <c r="BS333" i="17" s="1"/>
  <c r="BV290" i="17"/>
  <c r="BN24" i="22"/>
  <c r="BQ311" i="17"/>
  <c r="BQ333" i="17" s="1"/>
  <c r="BQ285" i="17"/>
  <c r="BQ282" i="17"/>
  <c r="BO282" i="17"/>
  <c r="BR290" i="17"/>
  <c r="BO311" i="17"/>
  <c r="BO333" i="17" s="1"/>
  <c r="BL24" i="22"/>
  <c r="BO285" i="17"/>
  <c r="BM311" i="17"/>
  <c r="BM333" i="17" s="1"/>
  <c r="BJ24" i="22"/>
  <c r="BM282" i="17"/>
  <c r="BM285" i="17"/>
  <c r="BH24" i="22"/>
  <c r="BK282" i="17"/>
  <c r="BK285" i="17"/>
  <c r="BN290" i="17"/>
  <c r="BK311" i="17"/>
  <c r="BK333" i="17" s="1"/>
  <c r="BF24" i="22"/>
  <c r="BI311" i="17"/>
  <c r="BI333" i="17" s="1"/>
  <c r="BI285" i="17"/>
  <c r="BI282" i="17"/>
  <c r="BG282" i="17"/>
  <c r="BJ290" i="17"/>
  <c r="BD24" i="22"/>
  <c r="BG285" i="17"/>
  <c r="BG311" i="17"/>
  <c r="BG333" i="17" s="1"/>
  <c r="BE311" i="17"/>
  <c r="BE333" i="17" s="1"/>
  <c r="BB24" i="22"/>
  <c r="BE282" i="17"/>
  <c r="BE285" i="17"/>
  <c r="AZ24" i="22"/>
  <c r="BC282" i="17"/>
  <c r="BC285" i="17"/>
  <c r="BC311" i="17"/>
  <c r="BC333" i="17" s="1"/>
  <c r="BF290" i="17"/>
  <c r="AX24" i="22"/>
  <c r="BA311" i="17"/>
  <c r="BA333" i="17" s="1"/>
  <c r="BA285" i="17"/>
  <c r="BA282" i="17"/>
  <c r="AY282" i="17"/>
  <c r="BB290" i="17"/>
  <c r="AY311" i="17"/>
  <c r="AY333" i="17" s="1"/>
  <c r="AV24" i="22"/>
  <c r="AY285" i="17"/>
  <c r="AW311" i="17"/>
  <c r="AW333" i="17" s="1"/>
  <c r="AT24" i="22"/>
  <c r="AW282" i="17"/>
  <c r="AW285" i="17"/>
  <c r="AR24" i="22"/>
  <c r="AU282" i="17"/>
  <c r="AU285" i="17"/>
  <c r="AX290" i="17"/>
  <c r="AU311" i="17"/>
  <c r="AU333" i="17" s="1"/>
  <c r="AP24" i="22"/>
  <c r="AS311" i="17"/>
  <c r="AS333" i="17" s="1"/>
  <c r="AS285" i="17"/>
  <c r="AS282" i="17"/>
  <c r="AQ282" i="17"/>
  <c r="AT290" i="17"/>
  <c r="AN24" i="22"/>
  <c r="AQ285" i="17"/>
  <c r="AQ311" i="17"/>
  <c r="AQ333" i="17" s="1"/>
  <c r="AO311" i="17"/>
  <c r="AO333" i="17" s="1"/>
  <c r="AL24" i="22"/>
  <c r="AO282" i="17"/>
  <c r="AO285" i="17"/>
  <c r="AJ24" i="22"/>
  <c r="AM282" i="17"/>
  <c r="AM285" i="17"/>
  <c r="AM311" i="17"/>
  <c r="AM333" i="17" s="1"/>
  <c r="AP290" i="17"/>
  <c r="AH24" i="22"/>
  <c r="AK311" i="17"/>
  <c r="AK333" i="17" s="1"/>
  <c r="AK285" i="17"/>
  <c r="AK282" i="17"/>
  <c r="AI282" i="17"/>
  <c r="AL290" i="17"/>
  <c r="AI311" i="17"/>
  <c r="AI333" i="17" s="1"/>
  <c r="AF24" i="22"/>
  <c r="AI285" i="17"/>
  <c r="AG311" i="17"/>
  <c r="AG333" i="17" s="1"/>
  <c r="AD24" i="22"/>
  <c r="AG282" i="17"/>
  <c r="AG285" i="17"/>
  <c r="AB24" i="22"/>
  <c r="AE282" i="17"/>
  <c r="AE285" i="17"/>
  <c r="AH290" i="17"/>
  <c r="AE311" i="17"/>
  <c r="AE333" i="17" s="1"/>
  <c r="Z24" i="22"/>
  <c r="AC311" i="17"/>
  <c r="AC333" i="17" s="1"/>
  <c r="AC285" i="17"/>
  <c r="AC282" i="17"/>
  <c r="AA282" i="17"/>
  <c r="AD290" i="17"/>
  <c r="X24" i="22"/>
  <c r="AA285" i="17"/>
  <c r="AA311" i="17"/>
  <c r="AA333" i="17" s="1"/>
  <c r="Y311" i="17"/>
  <c r="Y333" i="17" s="1"/>
  <c r="V24" i="22"/>
  <c r="Y282" i="17"/>
  <c r="Y285" i="17"/>
  <c r="T24" i="22"/>
  <c r="W282" i="17"/>
  <c r="W285" i="17"/>
  <c r="W311" i="17"/>
  <c r="W333" i="17" s="1"/>
  <c r="Z290" i="17"/>
  <c r="R24" i="22"/>
  <c r="U311" i="17"/>
  <c r="U333" i="17" s="1"/>
  <c r="U285" i="17"/>
  <c r="U282" i="17"/>
  <c r="S282" i="17"/>
  <c r="V290" i="17"/>
  <c r="S311" i="17"/>
  <c r="S333" i="17" s="1"/>
  <c r="P24" i="22"/>
  <c r="S285" i="17"/>
  <c r="Q311" i="17"/>
  <c r="Q333" i="17" s="1"/>
  <c r="N24" i="22"/>
  <c r="Q282" i="17"/>
  <c r="Q284" i="17" s="1"/>
  <c r="Q285" i="17"/>
  <c r="Q287" i="17" s="1"/>
  <c r="L24" i="22"/>
  <c r="O282" i="17"/>
  <c r="O284" i="17" s="1"/>
  <c r="O285" i="17"/>
  <c r="O287" i="17" s="1"/>
  <c r="R290" i="17"/>
  <c r="O311" i="17"/>
  <c r="O333" i="17" s="1"/>
  <c r="H23" i="22"/>
  <c r="N299" i="17"/>
  <c r="H26" i="22"/>
  <c r="N293" i="17"/>
  <c r="H381" i="12" s="1"/>
  <c r="H131" i="21" s="1"/>
  <c r="H25" i="22"/>
  <c r="N291" i="17"/>
  <c r="H379" i="12" s="1"/>
  <c r="H130" i="21" s="1"/>
  <c r="CQ24" i="22"/>
  <c r="CX277" i="17"/>
  <c r="CT285" i="17"/>
  <c r="CT282" i="17"/>
  <c r="CX278" i="17"/>
  <c r="CQ25" i="22"/>
  <c r="CQ320" i="17"/>
  <c r="D266" i="2" s="1"/>
  <c r="CT299" i="17"/>
  <c r="CN23" i="22"/>
  <c r="CJ23" i="22"/>
  <c r="CM320" i="17"/>
  <c r="CP299" i="17"/>
  <c r="CF23" i="22"/>
  <c r="CI320" i="17"/>
  <c r="CL299" i="17"/>
  <c r="CB23" i="22"/>
  <c r="CE320" i="17"/>
  <c r="CH299" i="17"/>
  <c r="CX281" i="17"/>
  <c r="CQ28" i="22"/>
  <c r="CQ27" i="22"/>
  <c r="CX279" i="17"/>
  <c r="CQ23" i="22"/>
  <c r="CR320" i="17"/>
  <c r="CO23" i="22"/>
  <c r="CT320" i="17"/>
  <c r="CM23" i="22"/>
  <c r="CP320" i="17"/>
  <c r="CK23" i="22"/>
  <c r="CN320" i="17"/>
  <c r="CI23" i="22"/>
  <c r="CL320" i="17"/>
  <c r="CG23" i="22"/>
  <c r="CJ320" i="17"/>
  <c r="CE23" i="22"/>
  <c r="CH320" i="17"/>
  <c r="CC23" i="22"/>
  <c r="CF320" i="17"/>
  <c r="CA23" i="22"/>
  <c r="CD320" i="17"/>
  <c r="BY23" i="22"/>
  <c r="CB320" i="17"/>
  <c r="BW23" i="22"/>
  <c r="BZ320" i="17"/>
  <c r="BU23" i="22"/>
  <c r="BX320" i="17"/>
  <c r="BS23" i="22"/>
  <c r="BV320" i="17"/>
  <c r="BQ23" i="22"/>
  <c r="BT320" i="17"/>
  <c r="BO23" i="22"/>
  <c r="BR320" i="17"/>
  <c r="BM23" i="22"/>
  <c r="BP320" i="17"/>
  <c r="BK23" i="22"/>
  <c r="BN320" i="17"/>
  <c r="BI23" i="22"/>
  <c r="BL320" i="17"/>
  <c r="BG23" i="22"/>
  <c r="BJ320" i="17"/>
  <c r="BE23" i="22"/>
  <c r="BH320" i="17"/>
  <c r="BC23" i="22"/>
  <c r="BF320" i="17"/>
  <c r="BA23" i="22"/>
  <c r="BD320" i="17"/>
  <c r="AY23" i="22"/>
  <c r="BB320" i="17"/>
  <c r="AW23" i="22"/>
  <c r="AZ320" i="17"/>
  <c r="AU23" i="22"/>
  <c r="AX320" i="17"/>
  <c r="AS23" i="22"/>
  <c r="AV320" i="17"/>
  <c r="AQ23" i="22"/>
  <c r="AT320" i="17"/>
  <c r="AO23" i="22"/>
  <c r="AR320" i="17"/>
  <c r="AM23" i="22"/>
  <c r="AP320" i="17"/>
  <c r="AK23" i="22"/>
  <c r="AN320" i="17"/>
  <c r="AI23" i="22"/>
  <c r="AL320" i="17"/>
  <c r="AG23" i="22"/>
  <c r="AJ320" i="17"/>
  <c r="AE23" i="22"/>
  <c r="AH320" i="17"/>
  <c r="AC23" i="22"/>
  <c r="AF320" i="17"/>
  <c r="AA23" i="22"/>
  <c r="AD320" i="17"/>
  <c r="Y23" i="22"/>
  <c r="AB320" i="17"/>
  <c r="W23" i="22"/>
  <c r="Z320" i="17"/>
  <c r="U23" i="22"/>
  <c r="X320" i="17"/>
  <c r="S23" i="22"/>
  <c r="V320" i="17"/>
  <c r="Q23" i="22"/>
  <c r="T320" i="17"/>
  <c r="O23" i="22"/>
  <c r="R320" i="17"/>
  <c r="M23" i="22"/>
  <c r="P320" i="17"/>
  <c r="K23" i="22"/>
  <c r="N285" i="17"/>
  <c r="N287" i="17" s="1"/>
  <c r="CR315" i="17"/>
  <c r="CR337" i="17" s="1"/>
  <c r="CO28" i="22"/>
  <c r="CT315" i="17"/>
  <c r="CT337" i="17" s="1"/>
  <c r="CM28" i="22"/>
  <c r="CP315" i="17"/>
  <c r="CK28" i="22"/>
  <c r="CN315" i="17"/>
  <c r="CI28" i="22"/>
  <c r="CL315" i="17"/>
  <c r="CL337" i="17" s="1"/>
  <c r="CG28" i="22"/>
  <c r="CJ315" i="17"/>
  <c r="CJ337" i="17" s="1"/>
  <c r="CE28" i="22"/>
  <c r="CH315" i="17"/>
  <c r="CH337" i="17" s="1"/>
  <c r="CC28" i="22"/>
  <c r="CF315" i="17"/>
  <c r="CF337" i="17" s="1"/>
  <c r="CA28" i="22"/>
  <c r="CD315" i="17"/>
  <c r="CD337" i="17" s="1"/>
  <c r="BY28" i="22"/>
  <c r="CB315" i="17"/>
  <c r="CB337" i="17" s="1"/>
  <c r="BW28" i="22"/>
  <c r="BZ315" i="17"/>
  <c r="BZ337" i="17" s="1"/>
  <c r="BU28" i="22"/>
  <c r="BX315" i="17"/>
  <c r="BX337" i="17" s="1"/>
  <c r="BS28" i="22"/>
  <c r="BV315" i="17"/>
  <c r="BV337" i="17" s="1"/>
  <c r="BQ28" i="22"/>
  <c r="BT315" i="17"/>
  <c r="BT337" i="17" s="1"/>
  <c r="BO28" i="22"/>
  <c r="BR315" i="17"/>
  <c r="BR337" i="17" s="1"/>
  <c r="BM28" i="22"/>
  <c r="BP315" i="17"/>
  <c r="BP337" i="17" s="1"/>
  <c r="BK28" i="22"/>
  <c r="BN315" i="17"/>
  <c r="BN337" i="17" s="1"/>
  <c r="BI28" i="22"/>
  <c r="BL315" i="17"/>
  <c r="BL337" i="17" s="1"/>
  <c r="BG28" i="22"/>
  <c r="BJ315" i="17"/>
  <c r="BJ337" i="17" s="1"/>
  <c r="BE28" i="22"/>
  <c r="BH315" i="17"/>
  <c r="BH337" i="17" s="1"/>
  <c r="BC28" i="22"/>
  <c r="BF315" i="17"/>
  <c r="BF337" i="17" s="1"/>
  <c r="BA28" i="22"/>
  <c r="BD315" i="17"/>
  <c r="BD337" i="17" s="1"/>
  <c r="AY28" i="22"/>
  <c r="BB315" i="17"/>
  <c r="BB337" i="17" s="1"/>
  <c r="AW28" i="22"/>
  <c r="AZ315" i="17"/>
  <c r="AZ337" i="17" s="1"/>
  <c r="AU28" i="22"/>
  <c r="AX315" i="17"/>
  <c r="AX337" i="17" s="1"/>
  <c r="AS28" i="22"/>
  <c r="AV315" i="17"/>
  <c r="AV337" i="17" s="1"/>
  <c r="AQ28" i="22"/>
  <c r="AT315" i="17"/>
  <c r="AT337" i="17" s="1"/>
  <c r="AO28" i="22"/>
  <c r="AR315" i="17"/>
  <c r="AR337" i="17" s="1"/>
  <c r="AM28" i="22"/>
  <c r="AP315" i="17"/>
  <c r="AP337" i="17" s="1"/>
  <c r="AK28" i="22"/>
  <c r="AN315" i="17"/>
  <c r="AN337" i="17" s="1"/>
  <c r="AI28" i="22"/>
  <c r="AL315" i="17"/>
  <c r="AL337" i="17" s="1"/>
  <c r="AG28" i="22"/>
  <c r="AJ315" i="17"/>
  <c r="AJ337" i="17" s="1"/>
  <c r="AE28" i="22"/>
  <c r="AH315" i="17"/>
  <c r="AH337" i="17" s="1"/>
  <c r="AC28" i="22"/>
  <c r="AF315" i="17"/>
  <c r="AF337" i="17" s="1"/>
  <c r="AA28" i="22"/>
  <c r="AD315" i="17"/>
  <c r="AD337" i="17" s="1"/>
  <c r="Y28" i="22"/>
  <c r="AB315" i="17"/>
  <c r="AB337" i="17" s="1"/>
  <c r="W28" i="22"/>
  <c r="Z315" i="17"/>
  <c r="Z337" i="17" s="1"/>
  <c r="U28" i="22"/>
  <c r="X315" i="17"/>
  <c r="X337" i="17" s="1"/>
  <c r="S28" i="22"/>
  <c r="V315" i="17"/>
  <c r="V337" i="17" s="1"/>
  <c r="Q28" i="22"/>
  <c r="T315" i="17"/>
  <c r="T337" i="17" s="1"/>
  <c r="O28" i="22"/>
  <c r="R315" i="17"/>
  <c r="R337" i="17" s="1"/>
  <c r="M28" i="22"/>
  <c r="P315" i="17"/>
  <c r="P337" i="17" s="1"/>
  <c r="CR314" i="17"/>
  <c r="CR336" i="17" s="1"/>
  <c r="CO26" i="22"/>
  <c r="CT314" i="17"/>
  <c r="CT336" i="17" s="1"/>
  <c r="CM26" i="22"/>
  <c r="CP314" i="17"/>
  <c r="CK26" i="22"/>
  <c r="CN314" i="17"/>
  <c r="CI26" i="22"/>
  <c r="CL314" i="17"/>
  <c r="CL336" i="17" s="1"/>
  <c r="CG26" i="22"/>
  <c r="CJ314" i="17"/>
  <c r="CJ336" i="17" s="1"/>
  <c r="CE26" i="22"/>
  <c r="CH314" i="17"/>
  <c r="CH336" i="17" s="1"/>
  <c r="CC26" i="22"/>
  <c r="CF314" i="17"/>
  <c r="CF336" i="17" s="1"/>
  <c r="CA26" i="22"/>
  <c r="CD314" i="17"/>
  <c r="CD336" i="17" s="1"/>
  <c r="BY26" i="22"/>
  <c r="CB314" i="17"/>
  <c r="CB336" i="17" s="1"/>
  <c r="BW26" i="22"/>
  <c r="BZ314" i="17"/>
  <c r="BZ336" i="17" s="1"/>
  <c r="BU26" i="22"/>
  <c r="BX314" i="17"/>
  <c r="BX336" i="17" s="1"/>
  <c r="BS26" i="22"/>
  <c r="BV314" i="17"/>
  <c r="BV336" i="17" s="1"/>
  <c r="BQ26" i="22"/>
  <c r="BT314" i="17"/>
  <c r="BT336" i="17" s="1"/>
  <c r="BO26" i="22"/>
  <c r="BR314" i="17"/>
  <c r="BR336" i="17" s="1"/>
  <c r="BM26" i="22"/>
  <c r="BP314" i="17"/>
  <c r="BP336" i="17" s="1"/>
  <c r="BK26" i="22"/>
  <c r="BN314" i="17"/>
  <c r="BN336" i="17" s="1"/>
  <c r="BI26" i="22"/>
  <c r="BL314" i="17"/>
  <c r="BL336" i="17" s="1"/>
  <c r="BG26" i="22"/>
  <c r="BJ314" i="17"/>
  <c r="BJ336" i="17" s="1"/>
  <c r="BE26" i="22"/>
  <c r="BH314" i="17"/>
  <c r="BH336" i="17" s="1"/>
  <c r="BC26" i="22"/>
  <c r="BF314" i="17"/>
  <c r="BF336" i="17" s="1"/>
  <c r="BA26" i="22"/>
  <c r="BD314" i="17"/>
  <c r="BD336" i="17" s="1"/>
  <c r="AY26" i="22"/>
  <c r="BB314" i="17"/>
  <c r="BB336" i="17" s="1"/>
  <c r="AW26" i="22"/>
  <c r="AZ314" i="17"/>
  <c r="AZ336" i="17" s="1"/>
  <c r="AU26" i="22"/>
  <c r="AX314" i="17"/>
  <c r="AX336" i="17" s="1"/>
  <c r="AS26" i="22"/>
  <c r="AV314" i="17"/>
  <c r="AV336" i="17" s="1"/>
  <c r="AQ26" i="22"/>
  <c r="AT314" i="17"/>
  <c r="AT336" i="17" s="1"/>
  <c r="AO26" i="22"/>
  <c r="AR314" i="17"/>
  <c r="AR336" i="17" s="1"/>
  <c r="AM26" i="22"/>
  <c r="AP314" i="17"/>
  <c r="AP336" i="17" s="1"/>
  <c r="AK26" i="22"/>
  <c r="AN314" i="17"/>
  <c r="AN336" i="17" s="1"/>
  <c r="AI26" i="22"/>
  <c r="AL314" i="17"/>
  <c r="AL336" i="17" s="1"/>
  <c r="AG26" i="22"/>
  <c r="AJ314" i="17"/>
  <c r="AJ336" i="17" s="1"/>
  <c r="AE26" i="22"/>
  <c r="AH314" i="17"/>
  <c r="AH336" i="17" s="1"/>
  <c r="AC26" i="22"/>
  <c r="AF314" i="17"/>
  <c r="AF336" i="17" s="1"/>
  <c r="AA26" i="22"/>
  <c r="AD314" i="17"/>
  <c r="AD336" i="17" s="1"/>
  <c r="Y26" i="22"/>
  <c r="AB314" i="17"/>
  <c r="AB336" i="17" s="1"/>
  <c r="W26" i="22"/>
  <c r="Z314" i="17"/>
  <c r="Z336" i="17" s="1"/>
  <c r="U26" i="22"/>
  <c r="X314" i="17"/>
  <c r="X336" i="17" s="1"/>
  <c r="S26" i="22"/>
  <c r="V314" i="17"/>
  <c r="V336" i="17" s="1"/>
  <c r="Q26" i="22"/>
  <c r="T314" i="17"/>
  <c r="T336" i="17" s="1"/>
  <c r="O26" i="22"/>
  <c r="R314" i="17"/>
  <c r="R336" i="17" s="1"/>
  <c r="M26" i="22"/>
  <c r="P314" i="17"/>
  <c r="P336" i="17" s="1"/>
  <c r="CR313" i="17"/>
  <c r="CR335" i="17" s="1"/>
  <c r="CO27" i="22"/>
  <c r="CT313" i="17"/>
  <c r="CT335" i="17" s="1"/>
  <c r="CM27" i="22"/>
  <c r="CP313" i="17"/>
  <c r="CK27" i="22"/>
  <c r="CN313" i="17"/>
  <c r="CI27" i="22"/>
  <c r="CL313" i="17"/>
  <c r="CL335" i="17" s="1"/>
  <c r="CG27" i="22"/>
  <c r="CJ313" i="17"/>
  <c r="CJ335" i="17" s="1"/>
  <c r="CE27" i="22"/>
  <c r="CH313" i="17"/>
  <c r="CH335" i="17" s="1"/>
  <c r="CC27" i="22"/>
  <c r="CF313" i="17"/>
  <c r="CF335" i="17" s="1"/>
  <c r="CA27" i="22"/>
  <c r="CD313" i="17"/>
  <c r="CD335" i="17" s="1"/>
  <c r="BY27" i="22"/>
  <c r="CB313" i="17"/>
  <c r="CB335" i="17" s="1"/>
  <c r="BW27" i="22"/>
  <c r="BZ313" i="17"/>
  <c r="BZ335" i="17" s="1"/>
  <c r="BU27" i="22"/>
  <c r="BX313" i="17"/>
  <c r="BX335" i="17" s="1"/>
  <c r="BS27" i="22"/>
  <c r="BV313" i="17"/>
  <c r="BV335" i="17" s="1"/>
  <c r="BQ27" i="22"/>
  <c r="BT313" i="17"/>
  <c r="BT335" i="17" s="1"/>
  <c r="BO27" i="22"/>
  <c r="BR313" i="17"/>
  <c r="BR335" i="17" s="1"/>
  <c r="BM27" i="22"/>
  <c r="BP313" i="17"/>
  <c r="BP335" i="17" s="1"/>
  <c r="BK27" i="22"/>
  <c r="BN313" i="17"/>
  <c r="BN335" i="17" s="1"/>
  <c r="BI27" i="22"/>
  <c r="BL313" i="17"/>
  <c r="BL335" i="17" s="1"/>
  <c r="BG27" i="22"/>
  <c r="BJ313" i="17"/>
  <c r="BJ335" i="17" s="1"/>
  <c r="BE27" i="22"/>
  <c r="BH313" i="17"/>
  <c r="BH335" i="17" s="1"/>
  <c r="BC27" i="22"/>
  <c r="BF313" i="17"/>
  <c r="BF335" i="17" s="1"/>
  <c r="BA27" i="22"/>
  <c r="BD313" i="17"/>
  <c r="BD335" i="17" s="1"/>
  <c r="AY27" i="22"/>
  <c r="BB313" i="17"/>
  <c r="BB335" i="17" s="1"/>
  <c r="AW27" i="22"/>
  <c r="AZ313" i="17"/>
  <c r="AZ335" i="17" s="1"/>
  <c r="AU27" i="22"/>
  <c r="AX313" i="17"/>
  <c r="AX335" i="17" s="1"/>
  <c r="AS27" i="22"/>
  <c r="AV313" i="17"/>
  <c r="AV335" i="17" s="1"/>
  <c r="AQ27" i="22"/>
  <c r="AT313" i="17"/>
  <c r="AT335" i="17" s="1"/>
  <c r="AO27" i="22"/>
  <c r="AR313" i="17"/>
  <c r="AR335" i="17" s="1"/>
  <c r="AM27" i="22"/>
  <c r="AP313" i="17"/>
  <c r="AP335" i="17" s="1"/>
  <c r="AK27" i="22"/>
  <c r="AN313" i="17"/>
  <c r="AN335" i="17" s="1"/>
  <c r="AI27" i="22"/>
  <c r="AL313" i="17"/>
  <c r="AL335" i="17" s="1"/>
  <c r="AG27" i="22"/>
  <c r="AJ313" i="17"/>
  <c r="AJ335" i="17" s="1"/>
  <c r="AE27" i="22"/>
  <c r="AH313" i="17"/>
  <c r="AH335" i="17" s="1"/>
  <c r="AC27" i="22"/>
  <c r="AF313" i="17"/>
  <c r="AF335" i="17" s="1"/>
  <c r="AA27" i="22"/>
  <c r="AD313" i="17"/>
  <c r="AD335" i="17" s="1"/>
  <c r="Y27" i="22"/>
  <c r="AB313" i="17"/>
  <c r="AB335" i="17" s="1"/>
  <c r="W27" i="22"/>
  <c r="Z313" i="17"/>
  <c r="Z335" i="17" s="1"/>
  <c r="U27" i="22"/>
  <c r="X313" i="17"/>
  <c r="X335" i="17" s="1"/>
  <c r="S27" i="22"/>
  <c r="V313" i="17"/>
  <c r="V335" i="17" s="1"/>
  <c r="Q27" i="22"/>
  <c r="T313" i="17"/>
  <c r="T335" i="17" s="1"/>
  <c r="O27" i="22"/>
  <c r="R313" i="17"/>
  <c r="R335" i="17" s="1"/>
  <c r="M27" i="22"/>
  <c r="P313" i="17"/>
  <c r="P335" i="17" s="1"/>
  <c r="CR312" i="17"/>
  <c r="CO25" i="22"/>
  <c r="CT312" i="17"/>
  <c r="CM25" i="22"/>
  <c r="CP312" i="17"/>
  <c r="CP334" i="17" s="1"/>
  <c r="CK25" i="22"/>
  <c r="CN312" i="17"/>
  <c r="CN334" i="17" s="1"/>
  <c r="CI25" i="22"/>
  <c r="CL312" i="17"/>
  <c r="CL334" i="17" s="1"/>
  <c r="CG25" i="22"/>
  <c r="CJ312" i="17"/>
  <c r="CJ334" i="17" s="1"/>
  <c r="CE25" i="22"/>
  <c r="CH312" i="17"/>
  <c r="CH334" i="17" s="1"/>
  <c r="CC25" i="22"/>
  <c r="CF312" i="17"/>
  <c r="CF334" i="17" s="1"/>
  <c r="CA25" i="22"/>
  <c r="CD312" i="17"/>
  <c r="CD334" i="17" s="1"/>
  <c r="BY25" i="22"/>
  <c r="CB312" i="17"/>
  <c r="CB334" i="17" s="1"/>
  <c r="BW25" i="22"/>
  <c r="BZ312" i="17"/>
  <c r="BZ334" i="17" s="1"/>
  <c r="BU25" i="22"/>
  <c r="BX312" i="17"/>
  <c r="BX334" i="17" s="1"/>
  <c r="BS25" i="22"/>
  <c r="BV312" i="17"/>
  <c r="BV334" i="17" s="1"/>
  <c r="BQ25" i="22"/>
  <c r="BT312" i="17"/>
  <c r="BT334" i="17" s="1"/>
  <c r="BO25" i="22"/>
  <c r="BR312" i="17"/>
  <c r="BR334" i="17" s="1"/>
  <c r="BM25" i="22"/>
  <c r="BP312" i="17"/>
  <c r="BP334" i="17" s="1"/>
  <c r="BK25" i="22"/>
  <c r="BN312" i="17"/>
  <c r="BN334" i="17" s="1"/>
  <c r="BI25" i="22"/>
  <c r="BL312" i="17"/>
  <c r="BL334" i="17" s="1"/>
  <c r="BG25" i="22"/>
  <c r="BJ312" i="17"/>
  <c r="BJ334" i="17" s="1"/>
  <c r="BE25" i="22"/>
  <c r="BH312" i="17"/>
  <c r="BH334" i="17" s="1"/>
  <c r="BC25" i="22"/>
  <c r="BF312" i="17"/>
  <c r="BF334" i="17" s="1"/>
  <c r="BA25" i="22"/>
  <c r="BD312" i="17"/>
  <c r="BD334" i="17" s="1"/>
  <c r="AY25" i="22"/>
  <c r="BB312" i="17"/>
  <c r="BB334" i="17" s="1"/>
  <c r="AW25" i="22"/>
  <c r="AZ312" i="17"/>
  <c r="AZ334" i="17" s="1"/>
  <c r="AU25" i="22"/>
  <c r="AX312" i="17"/>
  <c r="AX334" i="17" s="1"/>
  <c r="AS25" i="22"/>
  <c r="AV312" i="17"/>
  <c r="AV334" i="17" s="1"/>
  <c r="AQ25" i="22"/>
  <c r="AT312" i="17"/>
  <c r="AT334" i="17" s="1"/>
  <c r="AO25" i="22"/>
  <c r="AR312" i="17"/>
  <c r="AR334" i="17" s="1"/>
  <c r="AM25" i="22"/>
  <c r="AP312" i="17"/>
  <c r="AP334" i="17" s="1"/>
  <c r="AK25" i="22"/>
  <c r="AN312" i="17"/>
  <c r="AN334" i="17" s="1"/>
  <c r="AI25" i="22"/>
  <c r="AL312" i="17"/>
  <c r="AL334" i="17" s="1"/>
  <c r="AG25" i="22"/>
  <c r="AJ312" i="17"/>
  <c r="AJ334" i="17" s="1"/>
  <c r="AE25" i="22"/>
  <c r="AH312" i="17"/>
  <c r="AH334" i="17" s="1"/>
  <c r="AC25" i="22"/>
  <c r="AF312" i="17"/>
  <c r="AF334" i="17" s="1"/>
  <c r="AA25" i="22"/>
  <c r="AD312" i="17"/>
  <c r="AD334" i="17" s="1"/>
  <c r="Y25" i="22"/>
  <c r="AB312" i="17"/>
  <c r="AB334" i="17" s="1"/>
  <c r="W25" i="22"/>
  <c r="Z312" i="17"/>
  <c r="Z334" i="17" s="1"/>
  <c r="U25" i="22"/>
  <c r="X312" i="17"/>
  <c r="X334" i="17" s="1"/>
  <c r="S25" i="22"/>
  <c r="V312" i="17"/>
  <c r="V334" i="17" s="1"/>
  <c r="Q25" i="22"/>
  <c r="T312" i="17"/>
  <c r="T334" i="17" s="1"/>
  <c r="O25" i="22"/>
  <c r="R312" i="17"/>
  <c r="R334" i="17" s="1"/>
  <c r="M25" i="22"/>
  <c r="P312" i="17"/>
  <c r="P334" i="17" s="1"/>
  <c r="CR311" i="17"/>
  <c r="CO24" i="22"/>
  <c r="CR285" i="17"/>
  <c r="CR282" i="17"/>
  <c r="CT311" i="17"/>
  <c r="CT333" i="17" s="1"/>
  <c r="CM24" i="22"/>
  <c r="CP311" i="17"/>
  <c r="CP282" i="17"/>
  <c r="CP285" i="17"/>
  <c r="CK24" i="22"/>
  <c r="CN311" i="17"/>
  <c r="CN333" i="17" s="1"/>
  <c r="CN285" i="17"/>
  <c r="CN282" i="17"/>
  <c r="CI24" i="22"/>
  <c r="CL311" i="17"/>
  <c r="CL333" i="17" s="1"/>
  <c r="CL282" i="17"/>
  <c r="CL285" i="17"/>
  <c r="CG24" i="22"/>
  <c r="CJ311" i="17"/>
  <c r="CJ333" i="17" s="1"/>
  <c r="CJ285" i="17"/>
  <c r="CJ287" i="17" s="1"/>
  <c r="CJ282" i="17"/>
  <c r="CE24" i="22"/>
  <c r="CH311" i="17"/>
  <c r="CH333" i="17" s="1"/>
  <c r="CH282" i="17"/>
  <c r="CH285" i="17"/>
  <c r="CC24" i="22"/>
  <c r="CF311" i="17"/>
  <c r="CF333" i="17" s="1"/>
  <c r="CF282" i="17"/>
  <c r="CF285" i="17"/>
  <c r="CA24" i="22"/>
  <c r="CD311" i="17"/>
  <c r="CD333" i="17" s="1"/>
  <c r="CD282" i="17"/>
  <c r="CD285" i="17"/>
  <c r="BY24" i="22"/>
  <c r="CB311" i="17"/>
  <c r="CB333" i="17" s="1"/>
  <c r="CB282" i="17"/>
  <c r="CB285" i="17"/>
  <c r="BW24" i="22"/>
  <c r="BZ311" i="17"/>
  <c r="BZ333" i="17" s="1"/>
  <c r="BZ282" i="17"/>
  <c r="BZ285" i="17"/>
  <c r="BU24" i="22"/>
  <c r="BX311" i="17"/>
  <c r="BX333" i="17" s="1"/>
  <c r="BX282" i="17"/>
  <c r="BX285" i="17"/>
  <c r="BS24" i="22"/>
  <c r="BV311" i="17"/>
  <c r="BV333" i="17" s="1"/>
  <c r="BV282" i="17"/>
  <c r="BV285" i="17"/>
  <c r="BQ24" i="22"/>
  <c r="BT311" i="17"/>
  <c r="BT333" i="17" s="1"/>
  <c r="BT285" i="17"/>
  <c r="BT287" i="17" s="1"/>
  <c r="BT282" i="17"/>
  <c r="BO24" i="22"/>
  <c r="BR311" i="17"/>
  <c r="BR333" i="17" s="1"/>
  <c r="BR282" i="17"/>
  <c r="BR285" i="17"/>
  <c r="BM24" i="22"/>
  <c r="BP311" i="17"/>
  <c r="BP333" i="17" s="1"/>
  <c r="BP285" i="17"/>
  <c r="BP282" i="17"/>
  <c r="BK24" i="22"/>
  <c r="BN311" i="17"/>
  <c r="BN333" i="17" s="1"/>
  <c r="BN282" i="17"/>
  <c r="BN285" i="17"/>
  <c r="BI24" i="22"/>
  <c r="BL311" i="17"/>
  <c r="BL333" i="17" s="1"/>
  <c r="BL282" i="17"/>
  <c r="BL285" i="17"/>
  <c r="BG24" i="22"/>
  <c r="BJ311" i="17"/>
  <c r="BJ333" i="17" s="1"/>
  <c r="BJ282" i="17"/>
  <c r="BJ285" i="17"/>
  <c r="BE24" i="22"/>
  <c r="BH311" i="17"/>
  <c r="BH333" i="17" s="1"/>
  <c r="BH282" i="17"/>
  <c r="BH285" i="17"/>
  <c r="BC24" i="22"/>
  <c r="BF311" i="17"/>
  <c r="BF333" i="17" s="1"/>
  <c r="BF282" i="17"/>
  <c r="BF285" i="17"/>
  <c r="BA24" i="22"/>
  <c r="BD311" i="17"/>
  <c r="BD333" i="17" s="1"/>
  <c r="BD285" i="17"/>
  <c r="BD287" i="17" s="1"/>
  <c r="BD282" i="17"/>
  <c r="AY24" i="22"/>
  <c r="BB311" i="17"/>
  <c r="BB333" i="17" s="1"/>
  <c r="BB282" i="17"/>
  <c r="BB285" i="17"/>
  <c r="AW24" i="22"/>
  <c r="AZ311" i="17"/>
  <c r="AZ333" i="17" s="1"/>
  <c r="AZ282" i="17"/>
  <c r="AZ285" i="17"/>
  <c r="AU24" i="22"/>
  <c r="AX311" i="17"/>
  <c r="AX333" i="17" s="1"/>
  <c r="AX282" i="17"/>
  <c r="AX285" i="17"/>
  <c r="AS24" i="22"/>
  <c r="AV311" i="17"/>
  <c r="AV333" i="17" s="1"/>
  <c r="AV282" i="17"/>
  <c r="AV285" i="17"/>
  <c r="AQ24" i="22"/>
  <c r="AT311" i="17"/>
  <c r="AT333" i="17" s="1"/>
  <c r="AT282" i="17"/>
  <c r="AT285" i="17"/>
  <c r="AO24" i="22"/>
  <c r="AR311" i="17"/>
  <c r="AR333" i="17" s="1"/>
  <c r="AR282" i="17"/>
  <c r="AR285" i="17"/>
  <c r="AM24" i="22"/>
  <c r="AP311" i="17"/>
  <c r="AP333" i="17" s="1"/>
  <c r="AP282" i="17"/>
  <c r="AP285" i="17"/>
  <c r="AK24" i="22"/>
  <c r="AN311" i="17"/>
  <c r="AN333" i="17" s="1"/>
  <c r="AN285" i="17"/>
  <c r="AN287" i="17" s="1"/>
  <c r="AN282" i="17"/>
  <c r="AI24" i="22"/>
  <c r="AL311" i="17"/>
  <c r="AL333" i="17" s="1"/>
  <c r="AL282" i="17"/>
  <c r="AL285" i="17"/>
  <c r="AG24" i="22"/>
  <c r="AJ311" i="17"/>
  <c r="AJ333" i="17" s="1"/>
  <c r="AJ282" i="17"/>
  <c r="AJ285" i="17"/>
  <c r="AE24" i="22"/>
  <c r="AH311" i="17"/>
  <c r="AH333" i="17" s="1"/>
  <c r="AH282" i="17"/>
  <c r="AH285" i="17"/>
  <c r="AC24" i="22"/>
  <c r="AF311" i="17"/>
  <c r="AF333" i="17" s="1"/>
  <c r="AF282" i="17"/>
  <c r="AF285" i="17"/>
  <c r="AA24" i="22"/>
  <c r="AD311" i="17"/>
  <c r="AD333" i="17" s="1"/>
  <c r="AD282" i="17"/>
  <c r="AD285" i="17"/>
  <c r="Y24" i="22"/>
  <c r="AB311" i="17"/>
  <c r="AB333" i="17" s="1"/>
  <c r="AB282" i="17"/>
  <c r="AB285" i="17"/>
  <c r="W24" i="22"/>
  <c r="Z311" i="17"/>
  <c r="Z333" i="17" s="1"/>
  <c r="Z282" i="17"/>
  <c r="Z285" i="17"/>
  <c r="U24" i="22"/>
  <c r="X311" i="17"/>
  <c r="X333" i="17" s="1"/>
  <c r="X285" i="17"/>
  <c r="X287" i="17" s="1"/>
  <c r="X282" i="17"/>
  <c r="S24" i="22"/>
  <c r="V311" i="17"/>
  <c r="V333" i="17" s="1"/>
  <c r="V282" i="17"/>
  <c r="V285" i="17"/>
  <c r="Q24" i="22"/>
  <c r="T311" i="17"/>
  <c r="T333" i="17" s="1"/>
  <c r="T282" i="17"/>
  <c r="T285" i="17"/>
  <c r="O24" i="22"/>
  <c r="R311" i="17"/>
  <c r="R333" i="17" s="1"/>
  <c r="R282" i="17"/>
  <c r="R285" i="17"/>
  <c r="R287" i="17" s="1"/>
  <c r="M24" i="22"/>
  <c r="P311" i="17"/>
  <c r="P333" i="17" s="1"/>
  <c r="P282" i="17"/>
  <c r="P284" i="17" s="1"/>
  <c r="P285" i="17"/>
  <c r="P287" i="17" s="1"/>
  <c r="H28" i="22"/>
  <c r="N294" i="17"/>
  <c r="H382" i="12" s="1"/>
  <c r="H133" i="21" s="1"/>
  <c r="H27" i="22"/>
  <c r="N292" i="17"/>
  <c r="H380" i="12" s="1"/>
  <c r="H132" i="21" s="1"/>
  <c r="H24" i="22"/>
  <c r="N290" i="17"/>
  <c r="H378" i="12" s="1"/>
  <c r="H129" i="21" s="1"/>
  <c r="CW318" i="17" l="1"/>
  <c r="CW338" i="17"/>
  <c r="CV319" i="17"/>
  <c r="CV321" i="17" s="1"/>
  <c r="CV316" i="17"/>
  <c r="CV318" i="17" s="1"/>
  <c r="CU316" i="17"/>
  <c r="CU338" i="17" s="1"/>
  <c r="CU319" i="17"/>
  <c r="CU321" i="17" s="1"/>
  <c r="H267" i="2"/>
  <c r="CU333" i="17"/>
  <c r="I119" i="20"/>
  <c r="Z119" i="20" s="1"/>
  <c r="AY268" i="2"/>
  <c r="I121" i="20"/>
  <c r="Z121" i="20" s="1"/>
  <c r="AY270" i="2"/>
  <c r="I120" i="20"/>
  <c r="Z120" i="20" s="1"/>
  <c r="AY269" i="2"/>
  <c r="I122" i="20"/>
  <c r="Z122" i="20" s="1"/>
  <c r="AY271" i="2"/>
  <c r="CU318" i="17"/>
  <c r="CT287" i="17"/>
  <c r="CQ287" i="17"/>
  <c r="CR319" i="17"/>
  <c r="CR321" i="17" s="1"/>
  <c r="T287" i="17"/>
  <c r="T319" i="17"/>
  <c r="T321" i="17" s="1"/>
  <c r="V298" i="17"/>
  <c r="V300" i="17" s="1"/>
  <c r="V319" i="17"/>
  <c r="V321" i="17" s="1"/>
  <c r="X316" i="17"/>
  <c r="X284" i="17"/>
  <c r="Z298" i="17"/>
  <c r="Z300" i="17" s="1"/>
  <c r="Z319" i="17"/>
  <c r="Z321" i="17" s="1"/>
  <c r="AB287" i="17"/>
  <c r="AB319" i="17"/>
  <c r="AB321" i="17" s="1"/>
  <c r="AD319" i="17"/>
  <c r="AD321" i="17" s="1"/>
  <c r="AF319" i="17"/>
  <c r="AF321" i="17" s="1"/>
  <c r="AH298" i="17"/>
  <c r="AH300" i="17" s="1"/>
  <c r="AH319" i="17"/>
  <c r="AH321" i="17" s="1"/>
  <c r="AJ287" i="17"/>
  <c r="AJ319" i="17"/>
  <c r="AJ321" i="17" s="1"/>
  <c r="AL298" i="17"/>
  <c r="AL300" i="17" s="1"/>
  <c r="AL319" i="17"/>
  <c r="AL321" i="17" s="1"/>
  <c r="AN316" i="17"/>
  <c r="AN284" i="17"/>
  <c r="AP298" i="17"/>
  <c r="AP300" i="17" s="1"/>
  <c r="AP319" i="17"/>
  <c r="AP321" i="17" s="1"/>
  <c r="AR287" i="17"/>
  <c r="AR319" i="17"/>
  <c r="AR321" i="17" s="1"/>
  <c r="AT319" i="17"/>
  <c r="AT321" i="17" s="1"/>
  <c r="AV319" i="17"/>
  <c r="AV321" i="17" s="1"/>
  <c r="AX319" i="17"/>
  <c r="AX321" i="17" s="1"/>
  <c r="AZ287" i="17"/>
  <c r="AZ319" i="17"/>
  <c r="AZ321" i="17" s="1"/>
  <c r="BB298" i="17"/>
  <c r="BB300" i="17" s="1"/>
  <c r="BB319" i="17"/>
  <c r="BB321" i="17" s="1"/>
  <c r="BD316" i="17"/>
  <c r="BD284" i="17"/>
  <c r="BF298" i="17"/>
  <c r="BF300" i="17" s="1"/>
  <c r="BF319" i="17"/>
  <c r="BF321" i="17" s="1"/>
  <c r="BH287" i="17"/>
  <c r="BH319" i="17"/>
  <c r="BH321" i="17" s="1"/>
  <c r="BJ319" i="17"/>
  <c r="BJ321" i="17" s="1"/>
  <c r="BL319" i="17"/>
  <c r="BL321" i="17" s="1"/>
  <c r="BN298" i="17"/>
  <c r="BN300" i="17" s="1"/>
  <c r="BN319" i="17"/>
  <c r="BN321" i="17" s="1"/>
  <c r="BP316" i="17"/>
  <c r="BP284" i="17"/>
  <c r="BR298" i="17"/>
  <c r="BR300" i="17" s="1"/>
  <c r="BR319" i="17"/>
  <c r="BR321" i="17" s="1"/>
  <c r="BT316" i="17"/>
  <c r="BT284" i="17"/>
  <c r="BV298" i="17"/>
  <c r="BV300" i="17" s="1"/>
  <c r="BV319" i="17"/>
  <c r="BV321" i="17" s="1"/>
  <c r="BX287" i="17"/>
  <c r="BX319" i="17"/>
  <c r="BX321" i="17" s="1"/>
  <c r="BZ319" i="17"/>
  <c r="BZ321" i="17" s="1"/>
  <c r="CB319" i="17"/>
  <c r="CB321" i="17" s="1"/>
  <c r="CD319" i="17"/>
  <c r="CD321" i="17" s="1"/>
  <c r="CF287" i="17"/>
  <c r="CF319" i="17"/>
  <c r="CF321" i="17" s="1"/>
  <c r="CH298" i="17"/>
  <c r="CH300" i="17" s="1"/>
  <c r="CH319" i="17"/>
  <c r="CH321" i="17" s="1"/>
  <c r="CJ316" i="17"/>
  <c r="CJ284" i="17"/>
  <c r="CL298" i="17"/>
  <c r="CL300" i="17" s="1"/>
  <c r="CL319" i="17"/>
  <c r="CL321" i="17" s="1"/>
  <c r="CN284" i="17"/>
  <c r="CN316" i="17"/>
  <c r="CP287" i="17"/>
  <c r="CP319" i="17"/>
  <c r="CP321" i="17" s="1"/>
  <c r="G267" i="2"/>
  <c r="CP333" i="17"/>
  <c r="CZ277" i="17"/>
  <c r="DD277" i="17" s="1"/>
  <c r="DA24" i="22" s="1"/>
  <c r="CS24" i="22"/>
  <c r="G268" i="2"/>
  <c r="CT334" i="17"/>
  <c r="E270" i="2"/>
  <c r="CN335" i="17"/>
  <c r="G270" i="2"/>
  <c r="CP335" i="17"/>
  <c r="CZ279" i="17"/>
  <c r="CS27" i="22"/>
  <c r="E269" i="2"/>
  <c r="CN336" i="17"/>
  <c r="G269" i="2"/>
  <c r="CP336" i="17"/>
  <c r="E271" i="2"/>
  <c r="CN337" i="17"/>
  <c r="G271" i="2"/>
  <c r="CP337" i="17"/>
  <c r="AD287" i="17"/>
  <c r="AH287" i="17"/>
  <c r="AT287" i="17"/>
  <c r="AX287" i="17"/>
  <c r="BJ287" i="17"/>
  <c r="BN287" i="17"/>
  <c r="BZ287" i="17"/>
  <c r="CD287" i="17"/>
  <c r="CR287" i="17"/>
  <c r="DB279" i="17"/>
  <c r="CU27" i="22"/>
  <c r="Z384" i="12"/>
  <c r="Z134" i="21" s="1"/>
  <c r="CH330" i="17"/>
  <c r="CT330" i="17"/>
  <c r="AC384" i="12"/>
  <c r="AU266" i="2"/>
  <c r="E123" i="20"/>
  <c r="V123" i="20" s="1"/>
  <c r="DB278" i="17"/>
  <c r="CU25" i="22"/>
  <c r="CT319" i="17"/>
  <c r="CT321" i="17" s="1"/>
  <c r="I378" i="12"/>
  <c r="I129" i="21" s="1"/>
  <c r="R324" i="17"/>
  <c r="S287" i="17"/>
  <c r="S319" i="17"/>
  <c r="S321" i="17" s="1"/>
  <c r="S316" i="17"/>
  <c r="S284" i="17"/>
  <c r="U319" i="17"/>
  <c r="U321" i="17" s="1"/>
  <c r="W316" i="17"/>
  <c r="W284" i="17"/>
  <c r="Y319" i="17"/>
  <c r="Y321" i="17" s="1"/>
  <c r="AA316" i="17"/>
  <c r="AA284" i="17"/>
  <c r="AC319" i="17"/>
  <c r="AC321" i="17" s="1"/>
  <c r="M378" i="12"/>
  <c r="M129" i="21" s="1"/>
  <c r="AH324" i="17"/>
  <c r="AE316" i="17"/>
  <c r="AH295" i="17"/>
  <c r="AH297" i="17" s="1"/>
  <c r="AE284" i="17"/>
  <c r="AG319" i="17"/>
  <c r="AG321" i="17" s="1"/>
  <c r="AI287" i="17"/>
  <c r="AI319" i="17"/>
  <c r="AI321" i="17" s="1"/>
  <c r="AI316" i="17"/>
  <c r="AL295" i="17"/>
  <c r="AL297" i="17" s="1"/>
  <c r="AI284" i="17"/>
  <c r="AK319" i="17"/>
  <c r="AK321" i="17" s="1"/>
  <c r="AM316" i="17"/>
  <c r="AP295" i="17"/>
  <c r="AP297" i="17" s="1"/>
  <c r="AM284" i="17"/>
  <c r="AO319" i="17"/>
  <c r="AO321" i="17" s="1"/>
  <c r="AQ316" i="17"/>
  <c r="AQ284" i="17"/>
  <c r="AS319" i="17"/>
  <c r="AS321" i="17" s="1"/>
  <c r="Q378" i="12"/>
  <c r="Q129" i="21" s="1"/>
  <c r="AX324" i="17"/>
  <c r="AU316" i="17"/>
  <c r="AX295" i="17"/>
  <c r="AX297" i="17" s="1"/>
  <c r="AU284" i="17"/>
  <c r="AW319" i="17"/>
  <c r="AW321" i="17" s="1"/>
  <c r="AY287" i="17"/>
  <c r="AY319" i="17"/>
  <c r="AY321" i="17" s="1"/>
  <c r="AY316" i="17"/>
  <c r="BB295" i="17"/>
  <c r="BB297" i="17" s="1"/>
  <c r="AY284" i="17"/>
  <c r="BA319" i="17"/>
  <c r="BA321" i="17" s="1"/>
  <c r="BC316" i="17"/>
  <c r="BF295" i="17"/>
  <c r="BF297" i="17" s="1"/>
  <c r="BC284" i="17"/>
  <c r="BE319" i="17"/>
  <c r="BE321" i="17" s="1"/>
  <c r="BG316" i="17"/>
  <c r="BG284" i="17"/>
  <c r="BI319" i="17"/>
  <c r="BI321" i="17" s="1"/>
  <c r="U378" i="12"/>
  <c r="U129" i="21" s="1"/>
  <c r="BN324" i="17"/>
  <c r="BK316" i="17"/>
  <c r="BN295" i="17"/>
  <c r="BN297" i="17" s="1"/>
  <c r="BK284" i="17"/>
  <c r="BM319" i="17"/>
  <c r="BM321" i="17" s="1"/>
  <c r="BO287" i="17"/>
  <c r="BO319" i="17"/>
  <c r="BO321" i="17" s="1"/>
  <c r="BO316" i="17"/>
  <c r="BR295" i="17"/>
  <c r="BR297" i="17" s="1"/>
  <c r="BO284" i="17"/>
  <c r="BQ319" i="17"/>
  <c r="BQ321" i="17" s="1"/>
  <c r="BS316" i="17"/>
  <c r="BV295" i="17"/>
  <c r="BV297" i="17" s="1"/>
  <c r="BS284" i="17"/>
  <c r="BU319" i="17"/>
  <c r="BU321" i="17" s="1"/>
  <c r="BW316" i="17"/>
  <c r="BW284" i="17"/>
  <c r="BY319" i="17"/>
  <c r="BY321" i="17" s="1"/>
  <c r="Y378" i="12"/>
  <c r="Y129" i="21" s="1"/>
  <c r="CD324" i="17"/>
  <c r="CA316" i="17"/>
  <c r="CD295" i="17"/>
  <c r="CD297" i="17" s="1"/>
  <c r="CA284" i="17"/>
  <c r="CC319" i="17"/>
  <c r="CC321" i="17" s="1"/>
  <c r="CE287" i="17"/>
  <c r="CE319" i="17"/>
  <c r="CE321" i="17" s="1"/>
  <c r="CE316" i="17"/>
  <c r="CH295" i="17"/>
  <c r="CH297" i="17" s="1"/>
  <c r="CE284" i="17"/>
  <c r="CG319" i="17"/>
  <c r="CG321" i="17" s="1"/>
  <c r="CI316" i="17"/>
  <c r="CL295" i="17"/>
  <c r="CL297" i="17" s="1"/>
  <c r="CI284" i="17"/>
  <c r="CK319" i="17"/>
  <c r="CK321" i="17" s="1"/>
  <c r="D267" i="2"/>
  <c r="CM333" i="17"/>
  <c r="CM316" i="17"/>
  <c r="CM284" i="17"/>
  <c r="CO319" i="17"/>
  <c r="CO321" i="17" s="1"/>
  <c r="CY277" i="17"/>
  <c r="DC277" i="17" s="1"/>
  <c r="CZ24" i="22" s="1"/>
  <c r="CR24" i="22"/>
  <c r="CX290" i="17"/>
  <c r="CQ319" i="17"/>
  <c r="CQ321" i="17" s="1"/>
  <c r="CT298" i="17"/>
  <c r="CT300" i="17" s="1"/>
  <c r="CS319" i="17"/>
  <c r="CS321" i="17" s="1"/>
  <c r="J379" i="12"/>
  <c r="J130" i="21" s="1"/>
  <c r="V325" i="17"/>
  <c r="N379" i="12"/>
  <c r="N130" i="21" s="1"/>
  <c r="AL325" i="17"/>
  <c r="R379" i="12"/>
  <c r="R130" i="21" s="1"/>
  <c r="BB325" i="17"/>
  <c r="V379" i="12"/>
  <c r="V130" i="21" s="1"/>
  <c r="BR325" i="17"/>
  <c r="Z379" i="12"/>
  <c r="Z130" i="21" s="1"/>
  <c r="CH325" i="17"/>
  <c r="F268" i="2"/>
  <c r="CS334" i="17"/>
  <c r="CY278" i="17"/>
  <c r="DC278" i="17" s="1"/>
  <c r="CZ25" i="22" s="1"/>
  <c r="CR25" i="22"/>
  <c r="CX291" i="17"/>
  <c r="D268" i="2"/>
  <c r="CQ334" i="17"/>
  <c r="DA278" i="17"/>
  <c r="CT25" i="22"/>
  <c r="I380" i="12"/>
  <c r="I132" i="21" s="1"/>
  <c r="R326" i="17"/>
  <c r="J380" i="12"/>
  <c r="J132" i="21" s="1"/>
  <c r="V326" i="17"/>
  <c r="K380" i="12"/>
  <c r="K132" i="21" s="1"/>
  <c r="Z326" i="17"/>
  <c r="M380" i="12"/>
  <c r="M132" i="21" s="1"/>
  <c r="AH326" i="17"/>
  <c r="N380" i="12"/>
  <c r="N132" i="21" s="1"/>
  <c r="AL326" i="17"/>
  <c r="O380" i="12"/>
  <c r="O132" i="21" s="1"/>
  <c r="AP326" i="17"/>
  <c r="Q380" i="12"/>
  <c r="Q132" i="21" s="1"/>
  <c r="AX326" i="17"/>
  <c r="R380" i="12"/>
  <c r="R132" i="21" s="1"/>
  <c r="BB326" i="17"/>
  <c r="S380" i="12"/>
  <c r="S132" i="21" s="1"/>
  <c r="BF326" i="17"/>
  <c r="U380" i="12"/>
  <c r="U132" i="21" s="1"/>
  <c r="BN326" i="17"/>
  <c r="V380" i="12"/>
  <c r="V132" i="21" s="1"/>
  <c r="BR326" i="17"/>
  <c r="W380" i="12"/>
  <c r="W132" i="21" s="1"/>
  <c r="BV326" i="17"/>
  <c r="Y380" i="12"/>
  <c r="Y132" i="21" s="1"/>
  <c r="CD326" i="17"/>
  <c r="Z380" i="12"/>
  <c r="Z132" i="21" s="1"/>
  <c r="CH326" i="17"/>
  <c r="AA380" i="12"/>
  <c r="CL326" i="17"/>
  <c r="D270" i="2"/>
  <c r="CM335" i="17"/>
  <c r="AC132" i="21"/>
  <c r="J381" i="12"/>
  <c r="J131" i="21" s="1"/>
  <c r="V327" i="17"/>
  <c r="N381" i="12"/>
  <c r="N131" i="21" s="1"/>
  <c r="AL327" i="17"/>
  <c r="R381" i="12"/>
  <c r="R131" i="21" s="1"/>
  <c r="BB327" i="17"/>
  <c r="V381" i="12"/>
  <c r="V131" i="21" s="1"/>
  <c r="BR327" i="17"/>
  <c r="Z381" i="12"/>
  <c r="Z131" i="21" s="1"/>
  <c r="CH327" i="17"/>
  <c r="F269" i="2"/>
  <c r="CO336" i="17"/>
  <c r="CY280" i="17"/>
  <c r="DC280" i="17" s="1"/>
  <c r="CZ26" i="22" s="1"/>
  <c r="CR26" i="22"/>
  <c r="CX293" i="17"/>
  <c r="DA280" i="17"/>
  <c r="CT26" i="22"/>
  <c r="J382" i="12"/>
  <c r="J133" i="21" s="1"/>
  <c r="V328" i="17"/>
  <c r="N382" i="12"/>
  <c r="N133" i="21" s="1"/>
  <c r="AL328" i="17"/>
  <c r="R382" i="12"/>
  <c r="R133" i="21" s="1"/>
  <c r="BB328" i="17"/>
  <c r="V382" i="12"/>
  <c r="V133" i="21" s="1"/>
  <c r="BR328" i="17"/>
  <c r="Z382" i="12"/>
  <c r="Z133" i="21" s="1"/>
  <c r="CH328" i="17"/>
  <c r="D271" i="2"/>
  <c r="CM337" i="17"/>
  <c r="U287" i="17"/>
  <c r="K384" i="12"/>
  <c r="K134" i="21" s="1"/>
  <c r="Z330" i="17"/>
  <c r="AC287" i="17"/>
  <c r="M384" i="12"/>
  <c r="M134" i="21" s="1"/>
  <c r="AH330" i="17"/>
  <c r="AK287" i="17"/>
  <c r="O384" i="12"/>
  <c r="O134" i="21" s="1"/>
  <c r="AP330" i="17"/>
  <c r="AS287" i="17"/>
  <c r="Q384" i="12"/>
  <c r="Q134" i="21" s="1"/>
  <c r="AX330" i="17"/>
  <c r="BA287" i="17"/>
  <c r="S384" i="12"/>
  <c r="S134" i="21" s="1"/>
  <c r="BF330" i="17"/>
  <c r="BI287" i="17"/>
  <c r="U384" i="12"/>
  <c r="U134" i="21" s="1"/>
  <c r="BN330" i="17"/>
  <c r="BQ287" i="17"/>
  <c r="W384" i="12"/>
  <c r="W134" i="21" s="1"/>
  <c r="BV330" i="17"/>
  <c r="BY287" i="17"/>
  <c r="Y384" i="12"/>
  <c r="Y134" i="21" s="1"/>
  <c r="CD330" i="17"/>
  <c r="CO287" i="17"/>
  <c r="CS287" i="17"/>
  <c r="R298" i="17"/>
  <c r="R300" i="17" s="1"/>
  <c r="R319" i="17"/>
  <c r="R321" i="17" s="1"/>
  <c r="R295" i="17"/>
  <c r="R297" i="17" s="1"/>
  <c r="R316" i="17"/>
  <c r="R284" i="17"/>
  <c r="T316" i="17"/>
  <c r="T284" i="17"/>
  <c r="V295" i="17"/>
  <c r="V297" i="17" s="1"/>
  <c r="V316" i="17"/>
  <c r="V284" i="17"/>
  <c r="X319" i="17"/>
  <c r="X321" i="17" s="1"/>
  <c r="Z295" i="17"/>
  <c r="Z297" i="17" s="1"/>
  <c r="Z316" i="17"/>
  <c r="Z284" i="17"/>
  <c r="AB284" i="17"/>
  <c r="AB316" i="17"/>
  <c r="AD295" i="17"/>
  <c r="AD297" i="17" s="1"/>
  <c r="AD316" i="17"/>
  <c r="AD284" i="17"/>
  <c r="AF316" i="17"/>
  <c r="AF284" i="17"/>
  <c r="AH316" i="17"/>
  <c r="AH284" i="17"/>
  <c r="AJ316" i="17"/>
  <c r="AJ284" i="17"/>
  <c r="AL316" i="17"/>
  <c r="AL284" i="17"/>
  <c r="AN319" i="17"/>
  <c r="AN321" i="17" s="1"/>
  <c r="AP316" i="17"/>
  <c r="AP284" i="17"/>
  <c r="AR284" i="17"/>
  <c r="AR316" i="17"/>
  <c r="AT295" i="17"/>
  <c r="AT297" i="17" s="1"/>
  <c r="AT316" i="17"/>
  <c r="AT284" i="17"/>
  <c r="AV316" i="17"/>
  <c r="AV284" i="17"/>
  <c r="AX316" i="17"/>
  <c r="AX284" i="17"/>
  <c r="AZ316" i="17"/>
  <c r="AZ284" i="17"/>
  <c r="BB316" i="17"/>
  <c r="BB284" i="17"/>
  <c r="BD319" i="17"/>
  <c r="BD321" i="17" s="1"/>
  <c r="BF316" i="17"/>
  <c r="BF284" i="17"/>
  <c r="BH284" i="17"/>
  <c r="BH316" i="17"/>
  <c r="BJ295" i="17"/>
  <c r="BJ297" i="17" s="1"/>
  <c r="BJ316" i="17"/>
  <c r="BJ284" i="17"/>
  <c r="BL316" i="17"/>
  <c r="BL284" i="17"/>
  <c r="BN316" i="17"/>
  <c r="BN284" i="17"/>
  <c r="BP287" i="17"/>
  <c r="BP319" i="17"/>
  <c r="BP321" i="17" s="1"/>
  <c r="BR316" i="17"/>
  <c r="BR284" i="17"/>
  <c r="BT319" i="17"/>
  <c r="BT321" i="17" s="1"/>
  <c r="BV316" i="17"/>
  <c r="BV284" i="17"/>
  <c r="BX284" i="17"/>
  <c r="BX316" i="17"/>
  <c r="BZ295" i="17"/>
  <c r="BZ297" i="17" s="1"/>
  <c r="BZ316" i="17"/>
  <c r="BZ284" i="17"/>
  <c r="CB316" i="17"/>
  <c r="CB284" i="17"/>
  <c r="CD316" i="17"/>
  <c r="CD284" i="17"/>
  <c r="CF316" i="17"/>
  <c r="CF284" i="17"/>
  <c r="CH316" i="17"/>
  <c r="CH284" i="17"/>
  <c r="CJ319" i="17"/>
  <c r="CJ321" i="17" s="1"/>
  <c r="CL316" i="17"/>
  <c r="CL284" i="17"/>
  <c r="CN287" i="17"/>
  <c r="CN319" i="17"/>
  <c r="CN321" i="17" s="1"/>
  <c r="CP295" i="17"/>
  <c r="CP297" i="17" s="1"/>
  <c r="CP316" i="17"/>
  <c r="CP284" i="17"/>
  <c r="CR316" i="17"/>
  <c r="CR284" i="17"/>
  <c r="E267" i="2"/>
  <c r="CR333" i="17"/>
  <c r="CZ278" i="17"/>
  <c r="CS25" i="22"/>
  <c r="E268" i="2"/>
  <c r="CR334" i="17"/>
  <c r="CZ280" i="17"/>
  <c r="CS26" i="22"/>
  <c r="CZ281" i="17"/>
  <c r="CS28" i="22"/>
  <c r="V287" i="17"/>
  <c r="Z287" i="17"/>
  <c r="AF287" i="17"/>
  <c r="AL287" i="17"/>
  <c r="AP287" i="17"/>
  <c r="AV287" i="17"/>
  <c r="BB287" i="17"/>
  <c r="BF287" i="17"/>
  <c r="BL287" i="17"/>
  <c r="BR287" i="17"/>
  <c r="BV287" i="17"/>
  <c r="CB287" i="17"/>
  <c r="CH287" i="17"/>
  <c r="CL287" i="17"/>
  <c r="DB281" i="17"/>
  <c r="CU28" i="22"/>
  <c r="AA384" i="12"/>
  <c r="CL330" i="17"/>
  <c r="AB384" i="12"/>
  <c r="CP330" i="17"/>
  <c r="CT316" i="17"/>
  <c r="CT284" i="17"/>
  <c r="DB277" i="17"/>
  <c r="DF277" i="17" s="1"/>
  <c r="DC24" i="22" s="1"/>
  <c r="CU24" i="22"/>
  <c r="CX285" i="17"/>
  <c r="CX319" i="17" s="1"/>
  <c r="CX282" i="17"/>
  <c r="CX316" i="17" s="1"/>
  <c r="H384" i="12"/>
  <c r="H134" i="21" s="1"/>
  <c r="N298" i="17"/>
  <c r="N300" i="17" s="1"/>
  <c r="V324" i="17"/>
  <c r="J378" i="12"/>
  <c r="J129" i="21" s="1"/>
  <c r="U316" i="17"/>
  <c r="U284" i="17"/>
  <c r="Z324" i="17"/>
  <c r="K378" i="12"/>
  <c r="K129" i="21" s="1"/>
  <c r="W287" i="17"/>
  <c r="W319" i="17"/>
  <c r="W321" i="17" s="1"/>
  <c r="Y316" i="17"/>
  <c r="Y284" i="17"/>
  <c r="AA287" i="17"/>
  <c r="AA319" i="17"/>
  <c r="AA321" i="17" s="1"/>
  <c r="AD298" i="17"/>
  <c r="AD300" i="17" s="1"/>
  <c r="L378" i="12"/>
  <c r="L129" i="21" s="1"/>
  <c r="AD324" i="17"/>
  <c r="AC316" i="17"/>
  <c r="AC284" i="17"/>
  <c r="AE287" i="17"/>
  <c r="AE319" i="17"/>
  <c r="AE321" i="17" s="1"/>
  <c r="AG316" i="17"/>
  <c r="AG284" i="17"/>
  <c r="AL324" i="17"/>
  <c r="N378" i="12"/>
  <c r="N129" i="21" s="1"/>
  <c r="AK316" i="17"/>
  <c r="AK284" i="17"/>
  <c r="AP324" i="17"/>
  <c r="O378" i="12"/>
  <c r="O129" i="21" s="1"/>
  <c r="AM287" i="17"/>
  <c r="AM319" i="17"/>
  <c r="AM321" i="17" s="1"/>
  <c r="AO316" i="17"/>
  <c r="AO284" i="17"/>
  <c r="AQ287" i="17"/>
  <c r="AQ319" i="17"/>
  <c r="AQ321" i="17" s="1"/>
  <c r="AT298" i="17"/>
  <c r="AT300" i="17" s="1"/>
  <c r="P378" i="12"/>
  <c r="P129" i="21" s="1"/>
  <c r="AT324" i="17"/>
  <c r="AS316" i="17"/>
  <c r="AS284" i="17"/>
  <c r="AU287" i="17"/>
  <c r="AU319" i="17"/>
  <c r="AU321" i="17" s="1"/>
  <c r="AX298" i="17"/>
  <c r="AX300" i="17" s="1"/>
  <c r="AW316" i="17"/>
  <c r="AW284" i="17"/>
  <c r="BB324" i="17"/>
  <c r="R378" i="12"/>
  <c r="R129" i="21" s="1"/>
  <c r="BA316" i="17"/>
  <c r="BA284" i="17"/>
  <c r="BF324" i="17"/>
  <c r="S378" i="12"/>
  <c r="S129" i="21" s="1"/>
  <c r="BC287" i="17"/>
  <c r="BC319" i="17"/>
  <c r="BC321" i="17" s="1"/>
  <c r="BE316" i="17"/>
  <c r="BE284" i="17"/>
  <c r="BG287" i="17"/>
  <c r="BG319" i="17"/>
  <c r="BG321" i="17" s="1"/>
  <c r="BJ298" i="17"/>
  <c r="BJ300" i="17" s="1"/>
  <c r="T378" i="12"/>
  <c r="T129" i="21" s="1"/>
  <c r="BJ324" i="17"/>
  <c r="BI316" i="17"/>
  <c r="BI284" i="17"/>
  <c r="BK287" i="17"/>
  <c r="BK319" i="17"/>
  <c r="BK321" i="17" s="1"/>
  <c r="BM316" i="17"/>
  <c r="BM284" i="17"/>
  <c r="BR324" i="17"/>
  <c r="V378" i="12"/>
  <c r="V129" i="21" s="1"/>
  <c r="BQ316" i="17"/>
  <c r="BQ284" i="17"/>
  <c r="BV324" i="17"/>
  <c r="W378" i="12"/>
  <c r="W129" i="21" s="1"/>
  <c r="BS287" i="17"/>
  <c r="BS319" i="17"/>
  <c r="BS321" i="17" s="1"/>
  <c r="BU316" i="17"/>
  <c r="BU284" i="17"/>
  <c r="BW287" i="17"/>
  <c r="BW319" i="17"/>
  <c r="BW321" i="17" s="1"/>
  <c r="BZ298" i="17"/>
  <c r="BZ300" i="17" s="1"/>
  <c r="X378" i="12"/>
  <c r="X129" i="21" s="1"/>
  <c r="BZ324" i="17"/>
  <c r="BY316" i="17"/>
  <c r="BY284" i="17"/>
  <c r="CA287" i="17"/>
  <c r="CA319" i="17"/>
  <c r="CA321" i="17" s="1"/>
  <c r="CD298" i="17"/>
  <c r="CD300" i="17" s="1"/>
  <c r="CC316" i="17"/>
  <c r="CC284" i="17"/>
  <c r="CH324" i="17"/>
  <c r="Z378" i="12"/>
  <c r="Z129" i="21" s="1"/>
  <c r="CG316" i="17"/>
  <c r="CG284" i="17"/>
  <c r="CL324" i="17"/>
  <c r="AA378" i="12"/>
  <c r="CI287" i="17"/>
  <c r="CI319" i="17"/>
  <c r="CI321" i="17" s="1"/>
  <c r="CK316" i="17"/>
  <c r="CK284" i="17"/>
  <c r="CM319" i="17"/>
  <c r="CM321" i="17" s="1"/>
  <c r="CP298" i="17"/>
  <c r="CP300" i="17" s="1"/>
  <c r="AB378" i="12"/>
  <c r="CP324" i="17"/>
  <c r="CO316" i="17"/>
  <c r="CO284" i="17"/>
  <c r="F267" i="2"/>
  <c r="CO333" i="17"/>
  <c r="CQ316" i="17"/>
  <c r="CT295" i="17"/>
  <c r="CT297" i="17" s="1"/>
  <c r="CQ284" i="17"/>
  <c r="AC378" i="12"/>
  <c r="CT324" i="17"/>
  <c r="CS316" i="17"/>
  <c r="CS284" i="17"/>
  <c r="DA277" i="17"/>
  <c r="DE277" i="17" s="1"/>
  <c r="DB24" i="22" s="1"/>
  <c r="CT24" i="22"/>
  <c r="I379" i="12"/>
  <c r="I130" i="21" s="1"/>
  <c r="R325" i="17"/>
  <c r="K379" i="12"/>
  <c r="K130" i="21" s="1"/>
  <c r="Z325" i="17"/>
  <c r="L379" i="12"/>
  <c r="L130" i="21" s="1"/>
  <c r="AD325" i="17"/>
  <c r="M379" i="12"/>
  <c r="M130" i="21" s="1"/>
  <c r="AH325" i="17"/>
  <c r="O379" i="12"/>
  <c r="O130" i="21" s="1"/>
  <c r="AP325" i="17"/>
  <c r="P379" i="12"/>
  <c r="P130" i="21" s="1"/>
  <c r="AT325" i="17"/>
  <c r="Q379" i="12"/>
  <c r="Q130" i="21" s="1"/>
  <c r="AX325" i="17"/>
  <c r="S379" i="12"/>
  <c r="S130" i="21" s="1"/>
  <c r="BF325" i="17"/>
  <c r="T379" i="12"/>
  <c r="T130" i="21" s="1"/>
  <c r="BJ325" i="17"/>
  <c r="U379" i="12"/>
  <c r="U130" i="21" s="1"/>
  <c r="BN325" i="17"/>
  <c r="W379" i="12"/>
  <c r="W130" i="21" s="1"/>
  <c r="BV325" i="17"/>
  <c r="X379" i="12"/>
  <c r="X130" i="21" s="1"/>
  <c r="BZ325" i="17"/>
  <c r="Y379" i="12"/>
  <c r="Y130" i="21" s="1"/>
  <c r="CD325" i="17"/>
  <c r="AA379" i="12"/>
  <c r="CL325" i="17"/>
  <c r="CT325" i="17"/>
  <c r="AB379" i="12"/>
  <c r="CP325" i="17"/>
  <c r="AC130" i="21"/>
  <c r="L380" i="12"/>
  <c r="L132" i="21" s="1"/>
  <c r="AD326" i="17"/>
  <c r="P380" i="12"/>
  <c r="P132" i="21" s="1"/>
  <c r="AT326" i="17"/>
  <c r="T380" i="12"/>
  <c r="T132" i="21" s="1"/>
  <c r="BJ326" i="17"/>
  <c r="X380" i="12"/>
  <c r="X132" i="21" s="1"/>
  <c r="BZ326" i="17"/>
  <c r="CT326" i="17"/>
  <c r="AB380" i="12"/>
  <c r="CP326" i="17"/>
  <c r="F270" i="2"/>
  <c r="CO335" i="17"/>
  <c r="CY279" i="17"/>
  <c r="DC279" i="17" s="1"/>
  <c r="CZ27" i="22" s="1"/>
  <c r="CR27" i="22"/>
  <c r="CX292" i="17"/>
  <c r="DA279" i="17"/>
  <c r="CT27" i="22"/>
  <c r="I381" i="12"/>
  <c r="I131" i="21" s="1"/>
  <c r="R327" i="17"/>
  <c r="K381" i="12"/>
  <c r="K131" i="21" s="1"/>
  <c r="Z327" i="17"/>
  <c r="L381" i="12"/>
  <c r="L131" i="21" s="1"/>
  <c r="AD327" i="17"/>
  <c r="M381" i="12"/>
  <c r="M131" i="21" s="1"/>
  <c r="AH327" i="17"/>
  <c r="O381" i="12"/>
  <c r="O131" i="21" s="1"/>
  <c r="AP327" i="17"/>
  <c r="P381" i="12"/>
  <c r="P131" i="21" s="1"/>
  <c r="AT327" i="17"/>
  <c r="Q381" i="12"/>
  <c r="Q131" i="21" s="1"/>
  <c r="AX327" i="17"/>
  <c r="S381" i="12"/>
  <c r="S131" i="21" s="1"/>
  <c r="BF327" i="17"/>
  <c r="T381" i="12"/>
  <c r="T131" i="21" s="1"/>
  <c r="BJ327" i="17"/>
  <c r="U381" i="12"/>
  <c r="U131" i="21" s="1"/>
  <c r="BN327" i="17"/>
  <c r="W381" i="12"/>
  <c r="W131" i="21" s="1"/>
  <c r="BV327" i="17"/>
  <c r="X381" i="12"/>
  <c r="X131" i="21" s="1"/>
  <c r="BZ327" i="17"/>
  <c r="Y381" i="12"/>
  <c r="Y131" i="21" s="1"/>
  <c r="CD327" i="17"/>
  <c r="AA381" i="12"/>
  <c r="CL327" i="17"/>
  <c r="AB381" i="12"/>
  <c r="CP327" i="17"/>
  <c r="D269" i="2"/>
  <c r="CM336" i="17"/>
  <c r="AC381" i="12"/>
  <c r="CT327" i="17"/>
  <c r="I382" i="12"/>
  <c r="I133" i="21" s="1"/>
  <c r="R328" i="17"/>
  <c r="K382" i="12"/>
  <c r="K133" i="21" s="1"/>
  <c r="Z328" i="17"/>
  <c r="L382" i="12"/>
  <c r="L133" i="21" s="1"/>
  <c r="AD328" i="17"/>
  <c r="M382" i="12"/>
  <c r="M133" i="21" s="1"/>
  <c r="AH328" i="17"/>
  <c r="O382" i="12"/>
  <c r="O133" i="21" s="1"/>
  <c r="AP328" i="17"/>
  <c r="P382" i="12"/>
  <c r="P133" i="21" s="1"/>
  <c r="AT328" i="17"/>
  <c r="Q382" i="12"/>
  <c r="Q133" i="21" s="1"/>
  <c r="AX328" i="17"/>
  <c r="S382" i="12"/>
  <c r="S133" i="21" s="1"/>
  <c r="BF328" i="17"/>
  <c r="T382" i="12"/>
  <c r="T133" i="21" s="1"/>
  <c r="BJ328" i="17"/>
  <c r="U382" i="12"/>
  <c r="U133" i="21" s="1"/>
  <c r="BN328" i="17"/>
  <c r="W382" i="12"/>
  <c r="W133" i="21" s="1"/>
  <c r="BV328" i="17"/>
  <c r="X382" i="12"/>
  <c r="X133" i="21" s="1"/>
  <c r="BZ328" i="17"/>
  <c r="Y382" i="12"/>
  <c r="Y133" i="21" s="1"/>
  <c r="CD328" i="17"/>
  <c r="AA382" i="12"/>
  <c r="CL328" i="17"/>
  <c r="AB382" i="12"/>
  <c r="CP328" i="17"/>
  <c r="F271" i="2"/>
  <c r="CO337" i="17"/>
  <c r="CY281" i="17"/>
  <c r="DC281" i="17" s="1"/>
  <c r="CZ28" i="22" s="1"/>
  <c r="CR28" i="22"/>
  <c r="CX294" i="17"/>
  <c r="AC382" i="12"/>
  <c r="CT328" i="17"/>
  <c r="DA281" i="17"/>
  <c r="CT28" i="22"/>
  <c r="I384" i="12"/>
  <c r="I134" i="21" s="1"/>
  <c r="R330" i="17"/>
  <c r="J384" i="12"/>
  <c r="J134" i="21" s="1"/>
  <c r="V330" i="17"/>
  <c r="Y287" i="17"/>
  <c r="L384" i="12"/>
  <c r="L134" i="21" s="1"/>
  <c r="AD330" i="17"/>
  <c r="AG287" i="17"/>
  <c r="N384" i="12"/>
  <c r="N134" i="21" s="1"/>
  <c r="AL330" i="17"/>
  <c r="AO287" i="17"/>
  <c r="P384" i="12"/>
  <c r="P134" i="21" s="1"/>
  <c r="AT330" i="17"/>
  <c r="AW287" i="17"/>
  <c r="R384" i="12"/>
  <c r="R134" i="21" s="1"/>
  <c r="BB330" i="17"/>
  <c r="BE287" i="17"/>
  <c r="T384" i="12"/>
  <c r="T134" i="21" s="1"/>
  <c r="BJ330" i="17"/>
  <c r="BM287" i="17"/>
  <c r="V384" i="12"/>
  <c r="V134" i="21" s="1"/>
  <c r="BR330" i="17"/>
  <c r="BU287" i="17"/>
  <c r="X384" i="12"/>
  <c r="X134" i="21" s="1"/>
  <c r="BZ330" i="17"/>
  <c r="CC287" i="17"/>
  <c r="CG287" i="17"/>
  <c r="CK287" i="17"/>
  <c r="DB280" i="17"/>
  <c r="CU26" i="22"/>
  <c r="CV338" i="17" l="1"/>
  <c r="CX27" i="22"/>
  <c r="DE279" i="17"/>
  <c r="DB27" i="22" s="1"/>
  <c r="CY26" i="22"/>
  <c r="DF280" i="17"/>
  <c r="DC26" i="22" s="1"/>
  <c r="CX28" i="22"/>
  <c r="DE281" i="17"/>
  <c r="DB28" i="22" s="1"/>
  <c r="CY28" i="22"/>
  <c r="DF281" i="17"/>
  <c r="DC28" i="22" s="1"/>
  <c r="CW28" i="22"/>
  <c r="DD281" i="17"/>
  <c r="CW26" i="22"/>
  <c r="DD280" i="17"/>
  <c r="DA26" i="22" s="1"/>
  <c r="CW25" i="22"/>
  <c r="DD278" i="17"/>
  <c r="DA25" i="22" s="1"/>
  <c r="DF290" i="17"/>
  <c r="CY25" i="22"/>
  <c r="DF278" i="17"/>
  <c r="DC25" i="22" s="1"/>
  <c r="CY27" i="22"/>
  <c r="DF279" i="17"/>
  <c r="DC27" i="22" s="1"/>
  <c r="CX26" i="22"/>
  <c r="DE280" i="17"/>
  <c r="CX25" i="22"/>
  <c r="DE278" i="17"/>
  <c r="DB25" i="22" s="1"/>
  <c r="CW27" i="22"/>
  <c r="DD279" i="17"/>
  <c r="I118" i="20"/>
  <c r="Z118" i="20" s="1"/>
  <c r="AY267" i="2"/>
  <c r="CL331" i="17"/>
  <c r="CT331" i="17"/>
  <c r="DO37" i="11" s="1"/>
  <c r="CH331" i="17"/>
  <c r="CP331" i="17"/>
  <c r="DJ37" i="11" s="1"/>
  <c r="CD331" i="17"/>
  <c r="AW271" i="2"/>
  <c r="G122" i="20"/>
  <c r="X122" i="20" s="1"/>
  <c r="AC131" i="21"/>
  <c r="AU269" i="2"/>
  <c r="E120" i="20"/>
  <c r="V120" i="20" s="1"/>
  <c r="D274" i="2"/>
  <c r="AB131" i="21"/>
  <c r="AA131" i="21"/>
  <c r="C274" i="2"/>
  <c r="AT274" i="2" s="1"/>
  <c r="D273" i="2"/>
  <c r="AB130" i="21"/>
  <c r="F125" i="2"/>
  <c r="CQ318" i="17"/>
  <c r="CQ338" i="17"/>
  <c r="AW267" i="2"/>
  <c r="G118" i="20"/>
  <c r="X118" i="20" s="1"/>
  <c r="CO318" i="17"/>
  <c r="CO338" i="17"/>
  <c r="AB129" i="21"/>
  <c r="D272" i="2"/>
  <c r="CK338" i="17"/>
  <c r="CK318" i="17"/>
  <c r="CG318" i="17"/>
  <c r="CG338" i="17"/>
  <c r="CC318" i="17"/>
  <c r="CC338" i="17"/>
  <c r="BU318" i="17"/>
  <c r="BU338" i="17"/>
  <c r="BQ318" i="17"/>
  <c r="BQ338" i="17"/>
  <c r="BM318" i="17"/>
  <c r="BM338" i="17"/>
  <c r="BI318" i="17"/>
  <c r="BI338" i="17"/>
  <c r="AS318" i="17"/>
  <c r="AS338" i="17"/>
  <c r="Y318" i="17"/>
  <c r="Y338" i="17"/>
  <c r="U318" i="17"/>
  <c r="U338" i="17"/>
  <c r="CX320" i="17"/>
  <c r="G266" i="2" s="1"/>
  <c r="CX286" i="17"/>
  <c r="CY24" i="22"/>
  <c r="DB285" i="17"/>
  <c r="DB319" i="17" s="1"/>
  <c r="DB320" i="17" s="1"/>
  <c r="CT318" i="17"/>
  <c r="CT338" i="17"/>
  <c r="D277" i="2"/>
  <c r="AB134" i="21"/>
  <c r="C277" i="2"/>
  <c r="AT277" i="2" s="1"/>
  <c r="AA134" i="21"/>
  <c r="AV268" i="2"/>
  <c r="F119" i="20"/>
  <c r="W119" i="20" s="1"/>
  <c r="F118" i="20"/>
  <c r="W118" i="20" s="1"/>
  <c r="AV267" i="2"/>
  <c r="CR318" i="17"/>
  <c r="CR338" i="17"/>
  <c r="CP318" i="17"/>
  <c r="CP338" i="17"/>
  <c r="CH318" i="17"/>
  <c r="CH338" i="17"/>
  <c r="CF318" i="17"/>
  <c r="CF338" i="17"/>
  <c r="CD318" i="17"/>
  <c r="CD338" i="17"/>
  <c r="CB318" i="17"/>
  <c r="CB338" i="17"/>
  <c r="BZ318" i="17"/>
  <c r="BZ338" i="17"/>
  <c r="BX318" i="17"/>
  <c r="BX338" i="17"/>
  <c r="BR318" i="17"/>
  <c r="BR338" i="17"/>
  <c r="BN318" i="17"/>
  <c r="BN338" i="17"/>
  <c r="BL318" i="17"/>
  <c r="BL338" i="17"/>
  <c r="BJ318" i="17"/>
  <c r="BJ338" i="17"/>
  <c r="BH318" i="17"/>
  <c r="BH338" i="17"/>
  <c r="BB318" i="17"/>
  <c r="BB338" i="17"/>
  <c r="AZ318" i="17"/>
  <c r="AZ338" i="17"/>
  <c r="AX318" i="17"/>
  <c r="AX338" i="17"/>
  <c r="AV318" i="17"/>
  <c r="AV338" i="17"/>
  <c r="AT318" i="17"/>
  <c r="AT338" i="17"/>
  <c r="AR318" i="17"/>
  <c r="AR338" i="17"/>
  <c r="AL318" i="17"/>
  <c r="AL338" i="17"/>
  <c r="AJ318" i="17"/>
  <c r="AJ338" i="17"/>
  <c r="AH318" i="17"/>
  <c r="AH338" i="17"/>
  <c r="AF318" i="17"/>
  <c r="AF338" i="17"/>
  <c r="AD318" i="17"/>
  <c r="AD338" i="17"/>
  <c r="AB318" i="17"/>
  <c r="AB338" i="17"/>
  <c r="T318" i="17"/>
  <c r="T338" i="17"/>
  <c r="R318" i="17"/>
  <c r="R338" i="17"/>
  <c r="AD381" i="12"/>
  <c r="E274" i="2" s="1"/>
  <c r="CX327" i="17"/>
  <c r="CV26" i="22"/>
  <c r="DB293" i="17"/>
  <c r="AW269" i="2"/>
  <c r="G120" i="20"/>
  <c r="X120" i="20" s="1"/>
  <c r="AU270" i="2"/>
  <c r="E121" i="20"/>
  <c r="V121" i="20" s="1"/>
  <c r="C275" i="2"/>
  <c r="AT275" i="2" s="1"/>
  <c r="AA132" i="21"/>
  <c r="AU268" i="2"/>
  <c r="E119" i="20"/>
  <c r="V119" i="20" s="1"/>
  <c r="CX298" i="17"/>
  <c r="CM318" i="17"/>
  <c r="CM338" i="17"/>
  <c r="E118" i="20"/>
  <c r="V118" i="20" s="1"/>
  <c r="AU267" i="2"/>
  <c r="CI338" i="17"/>
  <c r="CI318" i="17"/>
  <c r="CE318" i="17"/>
  <c r="CE338" i="17"/>
  <c r="CA338" i="17"/>
  <c r="CA318" i="17"/>
  <c r="BG318" i="17"/>
  <c r="BG338" i="17"/>
  <c r="BC318" i="17"/>
  <c r="BC338" i="17"/>
  <c r="AY318" i="17"/>
  <c r="AY338" i="17"/>
  <c r="AU318" i="17"/>
  <c r="AU338" i="17"/>
  <c r="AA318" i="17"/>
  <c r="AA338" i="17"/>
  <c r="S318" i="17"/>
  <c r="S338" i="17"/>
  <c r="E125" i="2"/>
  <c r="CN318" i="17"/>
  <c r="CN338" i="17"/>
  <c r="BT318" i="17"/>
  <c r="BT338" i="17"/>
  <c r="BP318" i="17"/>
  <c r="BP338" i="17"/>
  <c r="BD318" i="17"/>
  <c r="BD338" i="17"/>
  <c r="AD382" i="12"/>
  <c r="E276" i="2" s="1"/>
  <c r="CX328" i="17"/>
  <c r="CV28" i="22"/>
  <c r="DB294" i="17"/>
  <c r="AB133" i="21"/>
  <c r="D276" i="2"/>
  <c r="AA133" i="21"/>
  <c r="C276" i="2"/>
  <c r="AT276" i="2" s="1"/>
  <c r="AC133" i="21"/>
  <c r="AD380" i="12"/>
  <c r="E275" i="2" s="1"/>
  <c r="CX326" i="17"/>
  <c r="CV27" i="22"/>
  <c r="DB292" i="17"/>
  <c r="AW270" i="2"/>
  <c r="G121" i="20"/>
  <c r="X121" i="20" s="1"/>
  <c r="AB132" i="21"/>
  <c r="D275" i="2"/>
  <c r="AA130" i="21"/>
  <c r="C273" i="2"/>
  <c r="AT273" i="2" s="1"/>
  <c r="F266" i="2"/>
  <c r="CX24" i="22"/>
  <c r="DA285" i="17"/>
  <c r="DA319" i="17" s="1"/>
  <c r="DA320" i="17" s="1"/>
  <c r="CS318" i="17"/>
  <c r="CS338" i="17"/>
  <c r="AC129" i="21"/>
  <c r="AA129" i="21"/>
  <c r="C272" i="2"/>
  <c r="AT272" i="2" s="1"/>
  <c r="BY318" i="17"/>
  <c r="BY338" i="17"/>
  <c r="BE318" i="17"/>
  <c r="BE338" i="17"/>
  <c r="BA318" i="17"/>
  <c r="BA338" i="17"/>
  <c r="AW318" i="17"/>
  <c r="AW338" i="17"/>
  <c r="AO318" i="17"/>
  <c r="AO338" i="17"/>
  <c r="AK318" i="17"/>
  <c r="AK338" i="17"/>
  <c r="AG318" i="17"/>
  <c r="AG338" i="17"/>
  <c r="AC318" i="17"/>
  <c r="AC338" i="17"/>
  <c r="CX317" i="17"/>
  <c r="G125" i="2" s="1"/>
  <c r="CX338" i="17"/>
  <c r="CX283" i="17"/>
  <c r="DB282" i="17" s="1"/>
  <c r="DB316" i="17" s="1"/>
  <c r="CL338" i="17"/>
  <c r="CL318" i="17"/>
  <c r="BV318" i="17"/>
  <c r="BV338" i="17"/>
  <c r="BF318" i="17"/>
  <c r="BF338" i="17"/>
  <c r="AP318" i="17"/>
  <c r="AP338" i="17"/>
  <c r="Z318" i="17"/>
  <c r="Z338" i="17"/>
  <c r="V318" i="17"/>
  <c r="V338" i="17"/>
  <c r="AU271" i="2"/>
  <c r="E122" i="20"/>
  <c r="V122" i="20" s="1"/>
  <c r="AD379" i="12"/>
  <c r="E273" i="2" s="1"/>
  <c r="CX325" i="17"/>
  <c r="CV25" i="22"/>
  <c r="DB291" i="17"/>
  <c r="AW268" i="2"/>
  <c r="G119" i="20"/>
  <c r="X119" i="20" s="1"/>
  <c r="CX295" i="17"/>
  <c r="CX324" i="17"/>
  <c r="AD378" i="12"/>
  <c r="E272" i="2" s="1"/>
  <c r="CV24" i="22"/>
  <c r="DB290" i="17"/>
  <c r="CY285" i="17"/>
  <c r="BW318" i="17"/>
  <c r="BW338" i="17"/>
  <c r="BS338" i="17"/>
  <c r="BS318" i="17"/>
  <c r="BO318" i="17"/>
  <c r="BO338" i="17"/>
  <c r="BK318" i="17"/>
  <c r="BK338" i="17"/>
  <c r="AQ318" i="17"/>
  <c r="AQ338" i="17"/>
  <c r="AM318" i="17"/>
  <c r="AM338" i="17"/>
  <c r="AI318" i="17"/>
  <c r="AI338" i="17"/>
  <c r="AE318" i="17"/>
  <c r="AE338" i="17"/>
  <c r="W318" i="17"/>
  <c r="W338" i="17"/>
  <c r="AC134" i="21"/>
  <c r="H122" i="20"/>
  <c r="Y122" i="20" s="1"/>
  <c r="AX271" i="2"/>
  <c r="AV271" i="2"/>
  <c r="F122" i="20"/>
  <c r="W122" i="20" s="1"/>
  <c r="H120" i="20"/>
  <c r="Y120" i="20" s="1"/>
  <c r="AX269" i="2"/>
  <c r="AV269" i="2"/>
  <c r="F120" i="20"/>
  <c r="W120" i="20" s="1"/>
  <c r="H121" i="20"/>
  <c r="Y121" i="20" s="1"/>
  <c r="AX270" i="2"/>
  <c r="AV270" i="2"/>
  <c r="F121" i="20"/>
  <c r="W121" i="20" s="1"/>
  <c r="H119" i="20"/>
  <c r="Y119" i="20" s="1"/>
  <c r="AX268" i="2"/>
  <c r="E266" i="2"/>
  <c r="CW24" i="22"/>
  <c r="CZ285" i="17"/>
  <c r="CZ319" i="17" s="1"/>
  <c r="CZ320" i="17" s="1"/>
  <c r="H118" i="20"/>
  <c r="Y118" i="20" s="1"/>
  <c r="AX267" i="2"/>
  <c r="CJ318" i="17"/>
  <c r="CJ338" i="17"/>
  <c r="AN318" i="17"/>
  <c r="AN338" i="17"/>
  <c r="X318" i="17"/>
  <c r="X338" i="17"/>
  <c r="AV273" i="2" l="1"/>
  <c r="AV275" i="2"/>
  <c r="DF293" i="17"/>
  <c r="DF327" i="17" s="1"/>
  <c r="DB26" i="22"/>
  <c r="DF294" i="17"/>
  <c r="DF328" i="17" s="1"/>
  <c r="DA28" i="22"/>
  <c r="DF292" i="17"/>
  <c r="DF326" i="17" s="1"/>
  <c r="DA27" i="22"/>
  <c r="F246" i="20"/>
  <c r="W246" i="20" s="1"/>
  <c r="DD285" i="17"/>
  <c r="DD319" i="17" s="1"/>
  <c r="DD320" i="17" s="1"/>
  <c r="DD321" i="17" s="1"/>
  <c r="DE285" i="17"/>
  <c r="DE319" i="17" s="1"/>
  <c r="DE320" i="17" s="1"/>
  <c r="DE321" i="17" s="1"/>
  <c r="DC285" i="17"/>
  <c r="DF291" i="17"/>
  <c r="DF324" i="17"/>
  <c r="AF378" i="12"/>
  <c r="AF129" i="21" s="1"/>
  <c r="DF285" i="17"/>
  <c r="DF319" i="17" s="1"/>
  <c r="DF320" i="17" s="1"/>
  <c r="DF321" i="17" s="1"/>
  <c r="AV125" i="2"/>
  <c r="F117" i="20"/>
  <c r="W117" i="20" s="1"/>
  <c r="H123" i="20"/>
  <c r="Y123" i="20" s="1"/>
  <c r="AX266" i="2"/>
  <c r="G117" i="20"/>
  <c r="X117" i="20" s="1"/>
  <c r="AW125" i="2"/>
  <c r="F123" i="20"/>
  <c r="W123" i="20" s="1"/>
  <c r="AV266" i="2"/>
  <c r="AX125" i="2"/>
  <c r="H117" i="20"/>
  <c r="Y117" i="20" s="1"/>
  <c r="G123" i="20"/>
  <c r="X123" i="20" s="1"/>
  <c r="AW266" i="2"/>
  <c r="F244" i="20"/>
  <c r="W244" i="20" s="1"/>
  <c r="CY282" i="17"/>
  <c r="CY316" i="17" s="1"/>
  <c r="CZ282" i="17"/>
  <c r="CZ316" i="17" s="1"/>
  <c r="CZ283" i="17" s="1"/>
  <c r="DB338" i="17"/>
  <c r="DB317" i="17"/>
  <c r="K125" i="2" s="1"/>
  <c r="I266" i="2"/>
  <c r="DB298" i="17"/>
  <c r="CY319" i="17"/>
  <c r="CY320" i="17" s="1"/>
  <c r="AD130" i="21"/>
  <c r="DA282" i="17"/>
  <c r="DA316" i="17" s="1"/>
  <c r="J266" i="2"/>
  <c r="AD132" i="21"/>
  <c r="AV276" i="2"/>
  <c r="F247" i="20"/>
  <c r="W247" i="20" s="1"/>
  <c r="AD133" i="21"/>
  <c r="AE381" i="12"/>
  <c r="F274" i="2" s="1"/>
  <c r="DB327" i="17"/>
  <c r="CX321" i="17"/>
  <c r="K266" i="2"/>
  <c r="CZ321" i="17"/>
  <c r="CS23" i="22"/>
  <c r="CZ286" i="17"/>
  <c r="AE378" i="12"/>
  <c r="F272" i="2" s="1"/>
  <c r="DB324" i="17"/>
  <c r="AD129" i="21"/>
  <c r="AE379" i="12"/>
  <c r="F273" i="2" s="1"/>
  <c r="DB325" i="17"/>
  <c r="CU22" i="22"/>
  <c r="CX284" i="17"/>
  <c r="DB283" i="17"/>
  <c r="DF282" i="17" s="1"/>
  <c r="DF316" i="17" s="1"/>
  <c r="CX318" i="17"/>
  <c r="AV272" i="2"/>
  <c r="F243" i="20"/>
  <c r="W243" i="20" s="1"/>
  <c r="DA321" i="17"/>
  <c r="DA286" i="17"/>
  <c r="CT23" i="22"/>
  <c r="AU275" i="2"/>
  <c r="E246" i="20"/>
  <c r="V246" i="20" s="1"/>
  <c r="AE380" i="12"/>
  <c r="F275" i="2" s="1"/>
  <c r="DB326" i="17"/>
  <c r="AU276" i="2"/>
  <c r="E247" i="20"/>
  <c r="V247" i="20" s="1"/>
  <c r="AE382" i="12"/>
  <c r="F276" i="2" s="1"/>
  <c r="DB328" i="17"/>
  <c r="CS22" i="22"/>
  <c r="AD131" i="21"/>
  <c r="AU277" i="2"/>
  <c r="E248" i="20"/>
  <c r="V248" i="20" s="1"/>
  <c r="DB321" i="17"/>
  <c r="DB286" i="17"/>
  <c r="CX287" i="17"/>
  <c r="CU23" i="22"/>
  <c r="AU272" i="2"/>
  <c r="E243" i="20"/>
  <c r="V243" i="20" s="1"/>
  <c r="CT22" i="22"/>
  <c r="E244" i="20"/>
  <c r="V244" i="20" s="1"/>
  <c r="AU273" i="2"/>
  <c r="E245" i="20"/>
  <c r="V245" i="20" s="1"/>
  <c r="AU274" i="2"/>
  <c r="AV274" i="2"/>
  <c r="F245" i="20"/>
  <c r="W245" i="20" s="1"/>
  <c r="AF381" i="12" l="1"/>
  <c r="AF131" i="21" s="1"/>
  <c r="AF380" i="12"/>
  <c r="AF132" i="21" s="1"/>
  <c r="AF382" i="12"/>
  <c r="AF133" i="21" s="1"/>
  <c r="DF286" i="17"/>
  <c r="DC23" i="22" s="1"/>
  <c r="O266" i="2"/>
  <c r="M266" i="2"/>
  <c r="DD286" i="17"/>
  <c r="DD287" i="17" s="1"/>
  <c r="N266" i="2"/>
  <c r="DF317" i="17"/>
  <c r="DF318" i="17" s="1"/>
  <c r="DF338" i="17"/>
  <c r="DE286" i="17"/>
  <c r="DF325" i="17"/>
  <c r="AF379" i="12"/>
  <c r="AF130" i="21" s="1"/>
  <c r="DF283" i="17"/>
  <c r="DC282" i="17"/>
  <c r="DD282" i="17"/>
  <c r="DD316" i="17" s="1"/>
  <c r="DC319" i="17"/>
  <c r="DC320" i="17" s="1"/>
  <c r="DC321" i="17" s="1"/>
  <c r="DF298" i="17"/>
  <c r="DE282" i="17"/>
  <c r="DE316" i="17" s="1"/>
  <c r="CZ317" i="17"/>
  <c r="CZ318" i="17" s="1"/>
  <c r="CZ338" i="17"/>
  <c r="DB295" i="17"/>
  <c r="DB287" i="17"/>
  <c r="CY23" i="22"/>
  <c r="CY286" i="17"/>
  <c r="CR23" i="22"/>
  <c r="CX299" i="17"/>
  <c r="AE133" i="21"/>
  <c r="AE132" i="21"/>
  <c r="DA287" i="17"/>
  <c r="CX23" i="22"/>
  <c r="L117" i="20"/>
  <c r="AC117" i="20" s="1"/>
  <c r="BB125" i="2"/>
  <c r="CZ287" i="17"/>
  <c r="CW23" i="22"/>
  <c r="AE131" i="21"/>
  <c r="G274" i="2"/>
  <c r="G247" i="20"/>
  <c r="X247" i="20" s="1"/>
  <c r="AW276" i="2"/>
  <c r="G246" i="20"/>
  <c r="X246" i="20" s="1"/>
  <c r="AW275" i="2"/>
  <c r="K123" i="20"/>
  <c r="AB123" i="20" s="1"/>
  <c r="BA266" i="2"/>
  <c r="CX296" i="17"/>
  <c r="CR22" i="22"/>
  <c r="CY283" i="17"/>
  <c r="AD127" i="8"/>
  <c r="AD128" i="8" s="1"/>
  <c r="AD129" i="8" s="1"/>
  <c r="AZ266" i="2"/>
  <c r="J123" i="20"/>
  <c r="AA123" i="20" s="1"/>
  <c r="DB318" i="17"/>
  <c r="G245" i="20"/>
  <c r="X245" i="20" s="1"/>
  <c r="AW274" i="2"/>
  <c r="H266" i="2"/>
  <c r="CY22" i="22"/>
  <c r="DB284" i="17"/>
  <c r="AE130" i="21"/>
  <c r="G243" i="20"/>
  <c r="X243" i="20" s="1"/>
  <c r="AW272" i="2"/>
  <c r="AE129" i="21"/>
  <c r="G272" i="2"/>
  <c r="CY317" i="17"/>
  <c r="H125" i="2" s="1"/>
  <c r="CY338" i="17"/>
  <c r="BB266" i="2"/>
  <c r="L123" i="20"/>
  <c r="AC123" i="20" s="1"/>
  <c r="DA283" i="17"/>
  <c r="DA317" i="17"/>
  <c r="J125" i="2" s="1"/>
  <c r="DA338" i="17"/>
  <c r="G244" i="20"/>
  <c r="X244" i="20" s="1"/>
  <c r="AW273" i="2"/>
  <c r="CY321" i="17"/>
  <c r="CZ284" i="17"/>
  <c r="CW22" i="22"/>
  <c r="O123" i="20" l="1"/>
  <c r="AF123" i="20" s="1"/>
  <c r="BA125" i="2"/>
  <c r="BD266" i="2"/>
  <c r="P123" i="20"/>
  <c r="AG123" i="20" s="1"/>
  <c r="DC286" i="17"/>
  <c r="CZ23" i="22" s="1"/>
  <c r="N123" i="20"/>
  <c r="AE123" i="20" s="1"/>
  <c r="G276" i="2"/>
  <c r="O125" i="2"/>
  <c r="G275" i="2"/>
  <c r="L266" i="2"/>
  <c r="G273" i="2"/>
  <c r="BE266" i="2"/>
  <c r="DF287" i="17"/>
  <c r="BF266" i="2"/>
  <c r="DA23" i="22"/>
  <c r="DF284" i="17"/>
  <c r="DC22" i="22"/>
  <c r="DE287" i="17"/>
  <c r="DB23" i="22"/>
  <c r="DE283" i="17"/>
  <c r="K117" i="20"/>
  <c r="AB117" i="20" s="1"/>
  <c r="DD317" i="17"/>
  <c r="DD318" i="17" s="1"/>
  <c r="DD338" i="17"/>
  <c r="DE317" i="17"/>
  <c r="DE318" i="17" s="1"/>
  <c r="DE338" i="17"/>
  <c r="DC316" i="17"/>
  <c r="DC283" i="17" s="1"/>
  <c r="CZ22" i="22" s="1"/>
  <c r="DF295" i="17"/>
  <c r="DD283" i="17"/>
  <c r="I125" i="2"/>
  <c r="DA284" i="17"/>
  <c r="CX22" i="22"/>
  <c r="CY318" i="17"/>
  <c r="I117" i="20"/>
  <c r="Z117" i="20" s="1"/>
  <c r="AY125" i="2"/>
  <c r="AD383" i="12"/>
  <c r="CX329" i="17"/>
  <c r="CX297" i="17"/>
  <c r="CX330" i="17"/>
  <c r="CX300" i="17"/>
  <c r="AD384" i="12"/>
  <c r="E277" i="2" s="1"/>
  <c r="CV23" i="22"/>
  <c r="CY287" i="17"/>
  <c r="DB299" i="17"/>
  <c r="CZ299" i="17"/>
  <c r="DA318" i="17"/>
  <c r="H243" i="20"/>
  <c r="Y243" i="20" s="1"/>
  <c r="AX272" i="2"/>
  <c r="AY266" i="2"/>
  <c r="I123" i="20"/>
  <c r="Z123" i="20" s="1"/>
  <c r="CV22" i="22"/>
  <c r="DB296" i="17"/>
  <c r="CY284" i="17"/>
  <c r="CZ296" i="17"/>
  <c r="AE127" i="8" s="1"/>
  <c r="AX274" i="2"/>
  <c r="H245" i="20"/>
  <c r="Y245" i="20" s="1"/>
  <c r="M123" i="20" l="1"/>
  <c r="AD123" i="20" s="1"/>
  <c r="P117" i="20"/>
  <c r="AG117" i="20" s="1"/>
  <c r="AX273" i="2"/>
  <c r="H247" i="20"/>
  <c r="Y247" i="20" s="1"/>
  <c r="H246" i="20"/>
  <c r="Y246" i="20" s="1"/>
  <c r="M125" i="2"/>
  <c r="DD299" i="17"/>
  <c r="DC287" i="17"/>
  <c r="DF299" i="17"/>
  <c r="DF330" i="17" s="1"/>
  <c r="BC266" i="2"/>
  <c r="AX276" i="2"/>
  <c r="AX275" i="2"/>
  <c r="BF125" i="2"/>
  <c r="H244" i="20"/>
  <c r="Y244" i="20" s="1"/>
  <c r="N125" i="2"/>
  <c r="DD284" i="17"/>
  <c r="DA22" i="22"/>
  <c r="DE284" i="17"/>
  <c r="DB22" i="22"/>
  <c r="DF296" i="17"/>
  <c r="DC284" i="17"/>
  <c r="DD296" i="17"/>
  <c r="AF127" i="8" s="1"/>
  <c r="AF128" i="8" s="1"/>
  <c r="AF129" i="8" s="1"/>
  <c r="DC317" i="17"/>
  <c r="DC338" i="17"/>
  <c r="AV277" i="2"/>
  <c r="F248" i="20"/>
  <c r="W248" i="20" s="1"/>
  <c r="AZ125" i="2"/>
  <c r="J117" i="20"/>
  <c r="AA117" i="20" s="1"/>
  <c r="AE128" i="8"/>
  <c r="AE129" i="8" s="1"/>
  <c r="DB297" i="17"/>
  <c r="DB329" i="17"/>
  <c r="AE383" i="12"/>
  <c r="AD134" i="21"/>
  <c r="DT41" i="11"/>
  <c r="CX331" i="17"/>
  <c r="DT37" i="11" s="1"/>
  <c r="DB330" i="17"/>
  <c r="DB300" i="17"/>
  <c r="AE384" i="12"/>
  <c r="F277" i="2" s="1"/>
  <c r="O117" i="20" l="1"/>
  <c r="AF117" i="20" s="1"/>
  <c r="BD125" i="2"/>
  <c r="N117" i="20"/>
  <c r="AE117" i="20" s="1"/>
  <c r="AF384" i="12"/>
  <c r="AF134" i="21" s="1"/>
  <c r="DF300" i="17"/>
  <c r="BE125" i="2"/>
  <c r="DC318" i="17"/>
  <c r="L125" i="2"/>
  <c r="DF329" i="17"/>
  <c r="DF297" i="17"/>
  <c r="AF383" i="12"/>
  <c r="AE134" i="21"/>
  <c r="DT42" i="11"/>
  <c r="DT66" i="11"/>
  <c r="AD368" i="12"/>
  <c r="AD363" i="12" s="1"/>
  <c r="DU41" i="11"/>
  <c r="DT50" i="11"/>
  <c r="AW277" i="2"/>
  <c r="G248" i="20"/>
  <c r="X248" i="20" s="1"/>
  <c r="DY41" i="11"/>
  <c r="DB331" i="17"/>
  <c r="DY37" i="11" s="1"/>
  <c r="G277" i="2" l="1"/>
  <c r="E154" i="2"/>
  <c r="M117" i="20"/>
  <c r="AD117" i="20" s="1"/>
  <c r="BC125" i="2"/>
  <c r="ED41" i="11"/>
  <c r="ED50" i="11" s="1"/>
  <c r="DF331" i="17"/>
  <c r="ED37" i="11" s="1"/>
  <c r="DY66" i="11"/>
  <c r="DY42" i="11"/>
  <c r="AE367" i="12" s="1"/>
  <c r="AE368" i="12"/>
  <c r="AE363" i="12" s="1"/>
  <c r="DY50" i="11"/>
  <c r="DZ41" i="11"/>
  <c r="AD41" i="21"/>
  <c r="AD367" i="12"/>
  <c r="AD362" i="12" s="1"/>
  <c r="DU42" i="11"/>
  <c r="F242" i="20" l="1"/>
  <c r="H248" i="20"/>
  <c r="Y248" i="20" s="1"/>
  <c r="AX277" i="2"/>
  <c r="AV154" i="2"/>
  <c r="F37" i="20"/>
  <c r="W37" i="20" s="1"/>
  <c r="F154" i="2"/>
  <c r="EE41" i="11"/>
  <c r="ED42" i="11"/>
  <c r="AF367" i="12" s="1"/>
  <c r="AF368" i="12"/>
  <c r="AF363" i="12" s="1"/>
  <c r="ED66" i="11"/>
  <c r="AE362" i="12"/>
  <c r="DZ42" i="11"/>
  <c r="AE41" i="21"/>
  <c r="W242" i="20" l="1"/>
  <c r="CX309" i="17"/>
  <c r="G242" i="20"/>
  <c r="X242" i="20" s="1"/>
  <c r="EE42" i="11"/>
  <c r="AW154" i="2"/>
  <c r="G37" i="20"/>
  <c r="X37" i="20" s="1"/>
  <c r="AF362" i="12"/>
  <c r="G154" i="2"/>
  <c r="AF41" i="21"/>
  <c r="H242" i="20" l="1"/>
  <c r="Y242" i="20" s="1"/>
  <c r="H37" i="20"/>
  <c r="Y37" i="20" s="1"/>
  <c r="AX154" i="2"/>
  <c r="CY268" i="17"/>
  <c r="CU269" i="17"/>
  <c r="CW270" i="17"/>
  <c r="CU268" i="17"/>
  <c r="CW269" i="17"/>
  <c r="CX259" i="17"/>
  <c r="CX270" i="17" s="1"/>
  <c r="CU15" i="17"/>
  <c r="CU134" i="17"/>
  <c r="CU10" i="17" s="1"/>
  <c r="CU257" i="17"/>
  <c r="E124" i="2"/>
  <c r="CR21" i="22" l="1"/>
  <c r="D124" i="2"/>
  <c r="F113" i="20"/>
  <c r="W113" i="20" s="1"/>
  <c r="AV124" i="2"/>
  <c r="H119" i="2"/>
  <c r="D119" i="2"/>
  <c r="H124" i="2"/>
  <c r="CS21" i="22"/>
  <c r="I124" i="2"/>
  <c r="CX264" i="17"/>
  <c r="CW260" i="17"/>
  <c r="DA269" i="17"/>
  <c r="CZ269" i="17"/>
  <c r="CR16" i="22"/>
  <c r="DB264" i="17"/>
  <c r="CY269" i="17"/>
  <c r="AD156" i="12"/>
  <c r="AY124" i="2" l="1"/>
  <c r="AY119" i="2"/>
  <c r="CX272" i="17"/>
  <c r="CX136" i="17"/>
  <c r="DB272" i="17"/>
  <c r="DB136" i="17"/>
  <c r="I107" i="20"/>
  <c r="Z107" i="20" s="1"/>
  <c r="AU119" i="2"/>
  <c r="E107" i="20"/>
  <c r="V107" i="20" s="1"/>
  <c r="AU124" i="2"/>
  <c r="E113" i="20"/>
  <c r="V113" i="20" s="1"/>
  <c r="I113" i="20"/>
  <c r="Z113" i="20" s="1"/>
  <c r="AZ124" i="2"/>
  <c r="J113" i="20"/>
  <c r="AA113" i="2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www.statistikdatabasen.scb.se</author>
  </authors>
  <commentList>
    <comment ref="B161" authorId="0" shapeId="0" xr:uid="{00000000-0006-0000-0000-000001000000}">
      <text>
        <r>
          <rPr>
            <sz val="8"/>
            <color indexed="8"/>
            <rFont val="Tahoma"/>
            <family val="2"/>
          </rPr>
          <t xml:space="preserve">Corrected  indexnumbers for 2008 (2010-03-25)
</t>
        </r>
      </text>
    </comment>
    <comment ref="B162" authorId="0" shapeId="0" xr:uid="{00000000-0006-0000-0000-000002000000}">
      <text>
        <r>
          <rPr>
            <sz val="8"/>
            <color indexed="8"/>
            <rFont val="Tahoma"/>
            <family val="2"/>
          </rPr>
          <t xml:space="preserve">Corrected  indexnumbers for 2008 (2010-03-25)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Justois</author>
    <author>bethuge</author>
    <author>KORNER Johann (ECFIN)</author>
  </authors>
  <commentList>
    <comment ref="AC4" authorId="0" shapeId="0" xr:uid="{00000000-0006-0000-0300-000001000000}">
      <text>
        <r>
          <rPr>
            <b/>
            <sz val="9"/>
            <color indexed="81"/>
            <rFont val="Tahoma"/>
            <family val="2"/>
          </rPr>
          <t>Justois:</t>
        </r>
        <r>
          <rPr>
            <sz val="9"/>
            <color indexed="81"/>
            <rFont val="Tahoma"/>
            <family val="2"/>
          </rPr>
          <t xml:space="preserve">
Using SCB instead of AMECO. Please change directly in data_p. 
Update from this table, which has previously fit AMECO data perfectly: (excel direct request SCB):
http://www.statistikdatabasen.scb.se/sq/18511
</t>
        </r>
      </text>
    </comment>
    <comment ref="A10" authorId="1" shapeId="0" xr:uid="{00000000-0006-0000-0300-000002000000}">
      <text>
        <r>
          <rPr>
            <b/>
            <sz val="8"/>
            <color indexed="81"/>
            <rFont val="Tahoma"/>
            <family val="2"/>
          </rPr>
          <t>bethuge:</t>
        </r>
        <r>
          <rPr>
            <sz val="8"/>
            <color indexed="81"/>
            <rFont val="Tahoma"/>
            <family val="2"/>
          </rPr>
          <t xml:space="preserve">
For BE no FTE data exists. We use totals instead.</t>
        </r>
      </text>
    </comment>
    <comment ref="A24" authorId="1" shapeId="0" xr:uid="{00000000-0006-0000-0300-000003000000}">
      <text>
        <r>
          <rPr>
            <b/>
            <sz val="8"/>
            <color indexed="81"/>
            <rFont val="Tahoma"/>
            <family val="2"/>
          </rPr>
          <t>bethuge:</t>
        </r>
        <r>
          <rPr>
            <sz val="8"/>
            <color indexed="81"/>
            <rFont val="Tahoma"/>
            <family val="2"/>
          </rPr>
          <t xml:space="preserve">
Not available for BE</t>
        </r>
      </text>
    </comment>
    <comment ref="A25" authorId="1" shapeId="0" xr:uid="{00000000-0006-0000-0300-000004000000}">
      <text>
        <r>
          <rPr>
            <b/>
            <sz val="8"/>
            <color indexed="81"/>
            <rFont val="Tahoma"/>
            <family val="2"/>
          </rPr>
          <t>bethuge:</t>
        </r>
        <r>
          <rPr>
            <sz val="8"/>
            <color indexed="81"/>
            <rFont val="Tahoma"/>
            <family val="2"/>
          </rPr>
          <t xml:space="preserve">
Not available for BE</t>
        </r>
      </text>
    </comment>
    <comment ref="A30" authorId="1" shapeId="0" xr:uid="{00000000-0006-0000-0300-000005000000}">
      <text>
        <r>
          <rPr>
            <b/>
            <sz val="8"/>
            <color indexed="81"/>
            <rFont val="Tahoma"/>
            <family val="2"/>
          </rPr>
          <t>bethuge:</t>
        </r>
        <r>
          <rPr>
            <sz val="8"/>
            <color indexed="81"/>
            <rFont val="Tahoma"/>
            <family val="2"/>
          </rPr>
          <t xml:space="preserve">
Not available for BE</t>
        </r>
      </text>
    </comment>
    <comment ref="A31" authorId="1" shapeId="0" xr:uid="{00000000-0006-0000-0300-000006000000}">
      <text>
        <r>
          <rPr>
            <b/>
            <sz val="8"/>
            <color indexed="81"/>
            <rFont val="Tahoma"/>
            <family val="2"/>
          </rPr>
          <t>bethuge:</t>
        </r>
        <r>
          <rPr>
            <sz val="8"/>
            <color indexed="81"/>
            <rFont val="Tahoma"/>
            <family val="2"/>
          </rPr>
          <t xml:space="preserve">
Not available for BE</t>
        </r>
      </text>
    </comment>
    <comment ref="A36" authorId="1" shapeId="0" xr:uid="{00000000-0006-0000-0300-000007000000}">
      <text>
        <r>
          <rPr>
            <b/>
            <sz val="8"/>
            <color indexed="81"/>
            <rFont val="Tahoma"/>
            <family val="2"/>
          </rPr>
          <t>bethuge:</t>
        </r>
        <r>
          <rPr>
            <sz val="8"/>
            <color indexed="81"/>
            <rFont val="Tahoma"/>
            <family val="2"/>
          </rPr>
          <t xml:space="preserve">
PROBLEM WITH CHAINLINKING:
This variable needs to be loaded separately when chainlinking, instead of as an aggregation of two other variables</t>
        </r>
      </text>
    </comment>
    <comment ref="A41" authorId="1" shapeId="0" xr:uid="{00000000-0006-0000-0300-000008000000}">
      <text>
        <r>
          <rPr>
            <b/>
            <sz val="8"/>
            <color indexed="81"/>
            <rFont val="Tahoma"/>
            <family val="2"/>
          </rPr>
          <t>bethuge:</t>
        </r>
        <r>
          <rPr>
            <sz val="8"/>
            <color indexed="81"/>
            <rFont val="Tahoma"/>
            <family val="2"/>
          </rPr>
          <t xml:space="preserve">
For BE this is constructed on the basis of Belgostat as total consumption plus GFCF, assuming additivity !!!</t>
        </r>
      </text>
    </comment>
    <comment ref="A65" authorId="1" shapeId="0" xr:uid="{00000000-0006-0000-0300-000009000000}">
      <text>
        <r>
          <rPr>
            <b/>
            <sz val="8"/>
            <color indexed="81"/>
            <rFont val="Tahoma"/>
            <family val="2"/>
          </rPr>
          <t>bethuge:</t>
        </r>
        <r>
          <rPr>
            <sz val="8"/>
            <color indexed="81"/>
            <rFont val="Tahoma"/>
            <family val="2"/>
          </rPr>
          <t xml:space="preserve">
Not available for BE</t>
        </r>
      </text>
    </comment>
    <comment ref="A66" authorId="1" shapeId="0" xr:uid="{00000000-0006-0000-0300-00000A000000}">
      <text>
        <r>
          <rPr>
            <b/>
            <sz val="8"/>
            <color indexed="81"/>
            <rFont val="Tahoma"/>
            <family val="2"/>
          </rPr>
          <t>bethuge:</t>
        </r>
        <r>
          <rPr>
            <sz val="8"/>
            <color indexed="81"/>
            <rFont val="Tahoma"/>
            <family val="2"/>
          </rPr>
          <t xml:space="preserve">
Not available for BE</t>
        </r>
      </text>
    </comment>
    <comment ref="A70" authorId="1" shapeId="0" xr:uid="{00000000-0006-0000-0300-00000B000000}">
      <text>
        <r>
          <rPr>
            <b/>
            <sz val="8"/>
            <color indexed="81"/>
            <rFont val="Tahoma"/>
            <family val="2"/>
          </rPr>
          <t>bethuge:</t>
        </r>
        <r>
          <rPr>
            <sz val="8"/>
            <color indexed="81"/>
            <rFont val="Tahoma"/>
            <family val="2"/>
          </rPr>
          <t xml:space="preserve">
Not available for BE</t>
        </r>
      </text>
    </comment>
    <comment ref="A71" authorId="1" shapeId="0" xr:uid="{00000000-0006-0000-0300-00000C000000}">
      <text>
        <r>
          <rPr>
            <b/>
            <sz val="8"/>
            <color indexed="81"/>
            <rFont val="Tahoma"/>
            <family val="2"/>
          </rPr>
          <t>bethuge:</t>
        </r>
        <r>
          <rPr>
            <sz val="8"/>
            <color indexed="81"/>
            <rFont val="Tahoma"/>
            <family val="2"/>
          </rPr>
          <t xml:space="preserve">
Not available for BE</t>
        </r>
      </text>
    </comment>
    <comment ref="A84" authorId="1" shapeId="0" xr:uid="{00000000-0006-0000-0300-00000D000000}">
      <text>
        <r>
          <rPr>
            <b/>
            <sz val="8"/>
            <color indexed="81"/>
            <rFont val="Tahoma"/>
            <family val="2"/>
          </rPr>
          <t>bethuge:</t>
        </r>
        <r>
          <rPr>
            <sz val="8"/>
            <color indexed="81"/>
            <rFont val="Tahoma"/>
            <family val="2"/>
          </rPr>
          <t xml:space="preserve">
If there are no historical data for this variable, it could also be defined as the residual in the Sector1 sheet. 
However, if there are historical data we encourage you to use them because it provides a stronger check on consistency. </t>
        </r>
      </text>
    </comment>
    <comment ref="A93" authorId="1" shapeId="0" xr:uid="{00000000-0006-0000-0300-00000E000000}">
      <text>
        <r>
          <rPr>
            <b/>
            <sz val="8"/>
            <color indexed="81"/>
            <rFont val="Tahoma"/>
            <family val="2"/>
          </rPr>
          <t>bethuge:</t>
        </r>
        <r>
          <rPr>
            <sz val="8"/>
            <color indexed="81"/>
            <rFont val="Tahoma"/>
            <family val="2"/>
          </rPr>
          <t xml:space="preserve">
This variable is for consistency checking only. </t>
        </r>
      </text>
    </comment>
    <comment ref="A94" authorId="1" shapeId="0" xr:uid="{00000000-0006-0000-0300-00000F000000}">
      <text>
        <r>
          <rPr>
            <b/>
            <sz val="8"/>
            <color indexed="81"/>
            <rFont val="Tahoma"/>
            <family val="2"/>
          </rPr>
          <t>bethuge:</t>
        </r>
        <r>
          <rPr>
            <sz val="8"/>
            <color indexed="81"/>
            <rFont val="Tahoma"/>
            <family val="2"/>
          </rPr>
          <t xml:space="preserve">
This variable is for consistency checking only. </t>
        </r>
      </text>
    </comment>
    <comment ref="A95" authorId="1" shapeId="0" xr:uid="{00000000-0006-0000-0300-000010000000}">
      <text>
        <r>
          <rPr>
            <b/>
            <sz val="8"/>
            <color indexed="81"/>
            <rFont val="Tahoma"/>
            <family val="2"/>
          </rPr>
          <t>bethuge:</t>
        </r>
        <r>
          <rPr>
            <sz val="8"/>
            <color indexed="81"/>
            <rFont val="Tahoma"/>
            <family val="2"/>
          </rPr>
          <t xml:space="preserve">
This variable is for consistency checking only. </t>
        </r>
      </text>
    </comment>
    <comment ref="A99" authorId="1" shapeId="0" xr:uid="{00000000-0006-0000-0300-000011000000}">
      <text>
        <r>
          <rPr>
            <b/>
            <sz val="8"/>
            <color indexed="81"/>
            <rFont val="Tahoma"/>
            <family val="2"/>
          </rPr>
          <t>bethuge:</t>
        </r>
        <r>
          <rPr>
            <sz val="8"/>
            <color indexed="81"/>
            <rFont val="Tahoma"/>
            <family val="2"/>
          </rPr>
          <t xml:space="preserve">
If there are no historical data for this variable, it could also be defined as the residual in the Sector1 sheet. 
However, if there are historical data we encourage you to use them because it provides a stronger check on consistency. </t>
        </r>
      </text>
    </comment>
    <comment ref="A100" authorId="1" shapeId="0" xr:uid="{00000000-0006-0000-0300-000012000000}">
      <text>
        <r>
          <rPr>
            <b/>
            <sz val="8"/>
            <color indexed="81"/>
            <rFont val="Tahoma"/>
            <family val="2"/>
          </rPr>
          <t>bethuge:</t>
        </r>
        <r>
          <rPr>
            <sz val="8"/>
            <color indexed="81"/>
            <rFont val="Tahoma"/>
            <family val="2"/>
          </rPr>
          <t xml:space="preserve">
If there are no historical data for this variable, it could also be defined as the residual in the Sector1 sheet. 
However, if there are historical data we encourage you to use them because it provides a stronger check on consistency. </t>
        </r>
      </text>
    </comment>
    <comment ref="A106" authorId="1" shapeId="0" xr:uid="{00000000-0006-0000-0300-000013000000}">
      <text>
        <r>
          <rPr>
            <b/>
            <sz val="8"/>
            <color indexed="81"/>
            <rFont val="Tahoma"/>
            <family val="2"/>
          </rPr>
          <t>bethuge:</t>
        </r>
        <r>
          <rPr>
            <sz val="8"/>
            <color indexed="81"/>
            <rFont val="Tahoma"/>
            <family val="2"/>
          </rPr>
          <t xml:space="preserve">
If there are no historical data for this variable, it could also be defined as the residual in the Sector1 sheet. 
However, if there are historical data we encourage you to use them because it provides a stronger check on consistency. </t>
        </r>
      </text>
    </comment>
    <comment ref="F222" authorId="2" shapeId="0" xr:uid="{00000000-0006-0000-0300-000014000000}">
      <text>
        <r>
          <rPr>
            <b/>
            <sz val="9"/>
            <color indexed="81"/>
            <rFont val="Tahoma"/>
            <family val="2"/>
          </rPr>
          <t>KORNER Johann (ECFIN):</t>
        </r>
        <r>
          <rPr>
            <sz val="9"/>
            <color indexed="81"/>
            <rFont val="Tahoma"/>
            <family val="2"/>
          </rPr>
          <t xml:space="preserve">
from sprin gfc 2012 onwards, included in NN tab, line 30.</t>
        </r>
      </text>
    </comment>
    <comment ref="F228" authorId="2" shapeId="0" xr:uid="{00000000-0006-0000-0300-000015000000}">
      <text>
        <r>
          <rPr>
            <b/>
            <sz val="9"/>
            <color indexed="81"/>
            <rFont val="Tahoma"/>
            <family val="2"/>
          </rPr>
          <t>KORNER Johann (ECFIN):</t>
        </r>
        <r>
          <rPr>
            <sz val="9"/>
            <color indexed="81"/>
            <rFont val="Tahoma"/>
            <family val="2"/>
          </rPr>
          <t xml:space="preserve">
from spring 2012 fc replaced by row UN 611.</t>
        </r>
      </text>
    </comment>
    <comment ref="A231" authorId="1" shapeId="0" xr:uid="{00000000-0006-0000-0300-000016000000}">
      <text>
        <r>
          <rPr>
            <b/>
            <sz val="8"/>
            <color indexed="81"/>
            <rFont val="Tahoma"/>
            <family val="2"/>
          </rPr>
          <t>bethuge:</t>
        </r>
        <r>
          <rPr>
            <sz val="8"/>
            <color indexed="81"/>
            <rFont val="Tahoma"/>
            <family val="2"/>
          </rPr>
          <t xml:space="preserve">
If there are no historical data for this variable, it could also be defined as the residual in the Sector1 sheet. 
However, if there are historical data we encourage you to use them because it provides a stronger check on consistency. </t>
        </r>
      </text>
    </comment>
    <comment ref="A233" authorId="1" shapeId="0" xr:uid="{00000000-0006-0000-0300-000017000000}">
      <text>
        <r>
          <rPr>
            <b/>
            <sz val="8"/>
            <color indexed="81"/>
            <rFont val="Tahoma"/>
            <family val="2"/>
          </rPr>
          <t>bethuge:</t>
        </r>
        <r>
          <rPr>
            <sz val="8"/>
            <color indexed="81"/>
            <rFont val="Tahoma"/>
            <family val="2"/>
          </rPr>
          <t xml:space="preserve">
If there are no historical data for this variable, it could also be defined as the residual in the Sector1 sheet. 
However, if there are historical data we encourage you to use them because it provides a stronger check on consistency. </t>
        </r>
      </text>
    </comment>
    <comment ref="A235" authorId="1" shapeId="0" xr:uid="{00000000-0006-0000-0300-000018000000}">
      <text>
        <r>
          <rPr>
            <b/>
            <sz val="8"/>
            <color indexed="81"/>
            <rFont val="Tahoma"/>
            <family val="2"/>
          </rPr>
          <t>bethuge:</t>
        </r>
        <r>
          <rPr>
            <sz val="8"/>
            <color indexed="81"/>
            <rFont val="Tahoma"/>
            <family val="2"/>
          </rPr>
          <t xml:space="preserve">
If there are no historical data for this variable, it could also be defined as the residual in the Sector1 sheet. 
However, if there are historical data we encourage you to use them because it provides a stronger check on consistency. </t>
        </r>
      </text>
    </comment>
    <comment ref="A238" authorId="1" shapeId="0" xr:uid="{00000000-0006-0000-0300-000019000000}">
      <text>
        <r>
          <rPr>
            <b/>
            <sz val="8"/>
            <color indexed="81"/>
            <rFont val="Tahoma"/>
            <family val="2"/>
          </rPr>
          <t>bethuge:</t>
        </r>
        <r>
          <rPr>
            <sz val="8"/>
            <color indexed="81"/>
            <rFont val="Tahoma"/>
            <family val="2"/>
          </rPr>
          <t xml:space="preserve">
If there are no historical data for this variable, it could also be defined as the residual in the Sector1 sheet. 
However, if there are historical data we encourage you to use them because it provides a stronger check on consistency. </t>
        </r>
      </text>
    </comment>
    <comment ref="A242" authorId="1" shapeId="0" xr:uid="{00000000-0006-0000-0300-00001A000000}">
      <text>
        <r>
          <rPr>
            <b/>
            <sz val="8"/>
            <color indexed="81"/>
            <rFont val="Tahoma"/>
            <family val="2"/>
          </rPr>
          <t>bethuge:</t>
        </r>
        <r>
          <rPr>
            <sz val="8"/>
            <color indexed="81"/>
            <rFont val="Tahoma"/>
            <family val="2"/>
          </rPr>
          <t xml:space="preserve">
If there are no historical data for this variable, it could also be defined as the residual in the Sector1 sheet. 
However, if there are historical data we encourage you to use them because it provides a stronger check on consistency. </t>
        </r>
      </text>
    </comment>
    <comment ref="A246" authorId="1" shapeId="0" xr:uid="{00000000-0006-0000-0300-00001B000000}">
      <text>
        <r>
          <rPr>
            <b/>
            <sz val="8"/>
            <color indexed="81"/>
            <rFont val="Tahoma"/>
            <family val="2"/>
          </rPr>
          <t>bethuge:</t>
        </r>
        <r>
          <rPr>
            <sz val="8"/>
            <color indexed="81"/>
            <rFont val="Tahoma"/>
            <family val="2"/>
          </rPr>
          <t xml:space="preserve">
If there are no historical data for this variable, it could also be defined as the residual in the Sector1 sheet. 
However, if there are historical data we encourage you to use them because it provides a stronger check on consistency. </t>
        </r>
      </text>
    </comment>
    <comment ref="A250" authorId="1" shapeId="0" xr:uid="{00000000-0006-0000-0300-00001C000000}">
      <text>
        <r>
          <rPr>
            <b/>
            <sz val="8"/>
            <color indexed="81"/>
            <rFont val="Tahoma"/>
            <family val="2"/>
          </rPr>
          <t>bethuge:</t>
        </r>
        <r>
          <rPr>
            <sz val="8"/>
            <color indexed="81"/>
            <rFont val="Tahoma"/>
            <family val="2"/>
          </rPr>
          <t xml:space="preserve">
If there are no historical data for this variable, it could also be defined as the residual in the Sector1 sheet. 
However, if there are historical data we encourage you to use them because it provides a stronger check on consistency. </t>
        </r>
      </text>
    </comment>
    <comment ref="A254" authorId="1" shapeId="0" xr:uid="{00000000-0006-0000-0300-00001D000000}">
      <text>
        <r>
          <rPr>
            <b/>
            <sz val="8"/>
            <color indexed="81"/>
            <rFont val="Tahoma"/>
            <family val="2"/>
          </rPr>
          <t>bethuge:</t>
        </r>
        <r>
          <rPr>
            <sz val="8"/>
            <color indexed="81"/>
            <rFont val="Tahoma"/>
            <family val="2"/>
          </rPr>
          <t xml:space="preserve">
If there are no historical data for this variable, it could also be defined as the residual in the Sector1 sheet. 
However, if there are historical data we encourage you to use them because it provides a stronger check on consistency. </t>
        </r>
      </text>
    </comment>
    <comment ref="A256" authorId="1" shapeId="0" xr:uid="{00000000-0006-0000-0300-00001E000000}">
      <text>
        <r>
          <rPr>
            <b/>
            <sz val="8"/>
            <color indexed="81"/>
            <rFont val="Tahoma"/>
            <family val="2"/>
          </rPr>
          <t>bethuge:</t>
        </r>
        <r>
          <rPr>
            <sz val="8"/>
            <color indexed="81"/>
            <rFont val="Tahoma"/>
            <family val="2"/>
          </rPr>
          <t xml:space="preserve">
If there are no historical data for this variable, it could also be defined as the residual in the Sector1 sheet. 
However, if there are historical data we encourage you to use them because it provides a stronger check on consistency. </t>
        </r>
      </text>
    </comment>
    <comment ref="A257" authorId="1" shapeId="0" xr:uid="{00000000-0006-0000-0300-00001F000000}">
      <text>
        <r>
          <rPr>
            <b/>
            <sz val="8"/>
            <color indexed="81"/>
            <rFont val="Tahoma"/>
            <family val="2"/>
          </rPr>
          <t>bethuge:</t>
        </r>
        <r>
          <rPr>
            <sz val="8"/>
            <color indexed="81"/>
            <rFont val="Tahoma"/>
            <family val="2"/>
          </rPr>
          <t xml:space="preserve">
If there are no historical data for this variable, it could also be defined as the residual in the Sector1 sheet. 
However, if there are historical data we encourage you to use them because it provides a stronger check on consistency. </t>
        </r>
      </text>
    </comment>
    <comment ref="A268" authorId="1" shapeId="0" xr:uid="{00000000-0006-0000-0300-000020000000}">
      <text>
        <r>
          <rPr>
            <b/>
            <sz val="8"/>
            <color indexed="81"/>
            <rFont val="Tahoma"/>
            <family val="2"/>
          </rPr>
          <t>bethuge:</t>
        </r>
        <r>
          <rPr>
            <sz val="8"/>
            <color indexed="81"/>
            <rFont val="Tahoma"/>
            <family val="2"/>
          </rPr>
          <t xml:space="preserve">
No longer in use for BE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bethuge</author>
  </authors>
  <commentList>
    <comment ref="A25" authorId="0" shapeId="0" xr:uid="{00000000-0006-0000-0400-000001000000}">
      <text>
        <r>
          <rPr>
            <b/>
            <sz val="8"/>
            <color indexed="81"/>
            <rFont val="Tahoma"/>
            <family val="2"/>
          </rPr>
          <t>bethuge:</t>
        </r>
        <r>
          <rPr>
            <sz val="8"/>
            <color indexed="81"/>
            <rFont val="Tahoma"/>
            <family val="2"/>
          </rPr>
          <t xml:space="preserve">
This line is only required in the sheet Q1b1 and Q1b2.
It can be left empty if you use the simplified sheet Q1a. </t>
        </r>
      </text>
    </comment>
    <comment ref="A26" authorId="0" shapeId="0" xr:uid="{00000000-0006-0000-0400-000002000000}">
      <text>
        <r>
          <rPr>
            <b/>
            <sz val="8"/>
            <color indexed="81"/>
            <rFont val="Tahoma"/>
            <family val="2"/>
          </rPr>
          <t>bethuge:</t>
        </r>
        <r>
          <rPr>
            <sz val="8"/>
            <color indexed="81"/>
            <rFont val="Tahoma"/>
            <family val="2"/>
          </rPr>
          <t xml:space="preserve">
This line is only required in the sheet Q1b1 and Q1b2.
It can be left empty if you use the simplified sheet Q1a. </t>
        </r>
      </text>
    </comment>
    <comment ref="A27" authorId="0" shapeId="0" xr:uid="{00000000-0006-0000-0400-000003000000}">
      <text>
        <r>
          <rPr>
            <b/>
            <sz val="8"/>
            <color indexed="81"/>
            <rFont val="Tahoma"/>
            <family val="2"/>
          </rPr>
          <t>bethuge:</t>
        </r>
        <r>
          <rPr>
            <sz val="8"/>
            <color indexed="81"/>
            <rFont val="Tahoma"/>
            <family val="2"/>
          </rPr>
          <t xml:space="preserve">
This line is only required in the sheet Q1b1 and Q1b2.
It can be left empty if you use the simplified sheet Q1a. </t>
        </r>
      </text>
    </comment>
    <comment ref="A28" authorId="0" shapeId="0" xr:uid="{00000000-0006-0000-0400-000004000000}">
      <text>
        <r>
          <rPr>
            <b/>
            <sz val="8"/>
            <color indexed="81"/>
            <rFont val="Tahoma"/>
            <family val="2"/>
          </rPr>
          <t>bethuge:</t>
        </r>
        <r>
          <rPr>
            <sz val="8"/>
            <color indexed="81"/>
            <rFont val="Tahoma"/>
            <family val="2"/>
          </rPr>
          <t xml:space="preserve">
This line is only required in the sheet Q1b1 and Q1b2.
It can be left empty if you use the simplified sheet Q1a. </t>
        </r>
      </text>
    </comment>
    <comment ref="A29" authorId="0" shapeId="0" xr:uid="{00000000-0006-0000-0400-000005000000}">
      <text>
        <r>
          <rPr>
            <b/>
            <sz val="8"/>
            <color indexed="81"/>
            <rFont val="Tahoma"/>
            <family val="2"/>
          </rPr>
          <t>bethuge:</t>
        </r>
        <r>
          <rPr>
            <sz val="8"/>
            <color indexed="81"/>
            <rFont val="Tahoma"/>
            <family val="2"/>
          </rPr>
          <t xml:space="preserve">
This line is only required in the sheet Q1b1 and Q1b2.
It can be left empty if you use the simplified sheet Q1a. </t>
        </r>
      </text>
    </comment>
    <comment ref="A30" authorId="0" shapeId="0" xr:uid="{00000000-0006-0000-0400-000006000000}">
      <text>
        <r>
          <rPr>
            <b/>
            <sz val="8"/>
            <color indexed="81"/>
            <rFont val="Tahoma"/>
            <family val="2"/>
          </rPr>
          <t>bethuge:</t>
        </r>
        <r>
          <rPr>
            <sz val="8"/>
            <color indexed="81"/>
            <rFont val="Tahoma"/>
            <family val="2"/>
          </rPr>
          <t xml:space="preserve">
This line is only required in the sheet Q1b1 and Q1b2.
It can be left empty if you use the simplified sheet Q1a. </t>
        </r>
      </text>
    </comment>
    <comment ref="A31" authorId="0" shapeId="0" xr:uid="{00000000-0006-0000-0400-000007000000}">
      <text>
        <r>
          <rPr>
            <b/>
            <sz val="8"/>
            <color indexed="81"/>
            <rFont val="Tahoma"/>
            <family val="2"/>
          </rPr>
          <t>bethuge:</t>
        </r>
        <r>
          <rPr>
            <sz val="8"/>
            <color indexed="81"/>
            <rFont val="Tahoma"/>
            <family val="2"/>
          </rPr>
          <t xml:space="preserve">
This line is only required in the sheet Q1b1 and Q1b2.
It can be left empty if you use the simplified sheet Q1a. </t>
        </r>
      </text>
    </comment>
    <comment ref="A32" authorId="0" shapeId="0" xr:uid="{00000000-0006-0000-0400-000008000000}">
      <text>
        <r>
          <rPr>
            <b/>
            <sz val="8"/>
            <color indexed="81"/>
            <rFont val="Tahoma"/>
            <family val="2"/>
          </rPr>
          <t>bethuge:</t>
        </r>
        <r>
          <rPr>
            <sz val="8"/>
            <color indexed="81"/>
            <rFont val="Tahoma"/>
            <family val="2"/>
          </rPr>
          <t xml:space="preserve">
This line is only required in the sheet Q1b1 and Q1b2.
It can be left empty if you use the simplified sheet Q1a. </t>
        </r>
      </text>
    </comment>
    <comment ref="A34" authorId="0" shapeId="0" xr:uid="{00000000-0006-0000-0400-00000900000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35" authorId="0" shapeId="0" xr:uid="{00000000-0006-0000-0400-00000A00000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36" authorId="0" shapeId="0" xr:uid="{00000000-0006-0000-0400-00000B00000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37" authorId="0" shapeId="0" xr:uid="{00000000-0006-0000-0400-00000C00000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38" authorId="0" shapeId="0" xr:uid="{00000000-0006-0000-0400-00000D00000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39" authorId="0" shapeId="0" xr:uid="{00000000-0006-0000-0400-00000E00000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40" authorId="0" shapeId="0" xr:uid="{00000000-0006-0000-0400-00000F00000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41" authorId="0" shapeId="0" xr:uid="{00000000-0006-0000-0400-00001000000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42" authorId="0" shapeId="0" xr:uid="{00000000-0006-0000-0400-00001100000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43" authorId="0" shapeId="0" xr:uid="{00000000-0006-0000-0400-00001200000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44" authorId="0" shapeId="0" xr:uid="{00000000-0006-0000-0400-00001300000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45" authorId="0" shapeId="0" xr:uid="{00000000-0006-0000-0400-00001400000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46" authorId="0" shapeId="0" xr:uid="{00000000-0006-0000-0400-00001500000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47" authorId="0" shapeId="0" xr:uid="{00000000-0006-0000-0400-00001600000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48" authorId="0" shapeId="0" xr:uid="{00000000-0006-0000-0400-00001700000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49" authorId="0" shapeId="0" xr:uid="{00000000-0006-0000-0400-00001800000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50" authorId="0" shapeId="0" xr:uid="{00000000-0006-0000-0400-00001900000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51" authorId="0" shapeId="0" xr:uid="{00000000-0006-0000-0400-00001A00000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53" authorId="0" shapeId="0" xr:uid="{00000000-0006-0000-0400-00001B00000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54" authorId="0" shapeId="0" xr:uid="{00000000-0006-0000-0400-00001C00000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55" authorId="0" shapeId="0" xr:uid="{00000000-0006-0000-0400-00001D00000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56" authorId="0" shapeId="0" xr:uid="{00000000-0006-0000-0400-00001E00000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57" authorId="0" shapeId="0" xr:uid="{00000000-0006-0000-0400-00001F00000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58" authorId="0" shapeId="0" xr:uid="{00000000-0006-0000-0400-00002000000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59" authorId="0" shapeId="0" xr:uid="{00000000-0006-0000-0400-00002100000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60" authorId="0" shapeId="0" xr:uid="{00000000-0006-0000-0400-00002200000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61" authorId="0" shapeId="0" xr:uid="{00000000-0006-0000-0400-00002300000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62" authorId="0" shapeId="0" xr:uid="{00000000-0006-0000-0400-00002400000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63" authorId="0" shapeId="0" xr:uid="{00000000-0006-0000-0400-00002500000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64" authorId="0" shapeId="0" xr:uid="{00000000-0006-0000-0400-00002600000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65" authorId="0" shapeId="0" xr:uid="{00000000-0006-0000-0400-00002700000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66" authorId="0" shapeId="0" xr:uid="{00000000-0006-0000-0400-00002800000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67" authorId="0" shapeId="0" xr:uid="{00000000-0006-0000-0400-00002900000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68" authorId="0" shapeId="0" xr:uid="{00000000-0006-0000-0400-00002A00000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69" authorId="0" shapeId="0" xr:uid="{00000000-0006-0000-0400-00002B00000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70" authorId="0" shapeId="0" xr:uid="{00000000-0006-0000-0400-00002C00000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bethuge</author>
  </authors>
  <commentList>
    <comment ref="E2" authorId="0" shapeId="0" xr:uid="{00000000-0006-0000-0600-000001000000}">
      <text>
        <r>
          <rPr>
            <b/>
            <sz val="8"/>
            <color indexed="81"/>
            <rFont val="Tahoma"/>
            <family val="2"/>
          </rPr>
          <t>bethuge:</t>
        </r>
        <r>
          <rPr>
            <sz val="8"/>
            <color indexed="81"/>
            <rFont val="Tahoma"/>
            <family val="2"/>
          </rPr>
          <t xml:space="preserve">
If the country </t>
        </r>
        <r>
          <rPr>
            <u/>
            <sz val="8"/>
            <color indexed="81"/>
            <rFont val="Tahoma"/>
            <family val="2"/>
          </rPr>
          <t>does not use chain linking</t>
        </r>
        <r>
          <rPr>
            <sz val="8"/>
            <color indexed="81"/>
            <rFont val="Tahoma"/>
            <family val="2"/>
          </rPr>
          <t>, all aggregates (AG) are calculated in VVP2, because previous year prices is non-additive.
If the</t>
        </r>
        <r>
          <rPr>
            <sz val="8"/>
            <color indexed="81"/>
            <rFont val="Tahoma"/>
            <family val="2"/>
          </rPr>
          <t xml:space="preserve"> country </t>
        </r>
        <r>
          <rPr>
            <u/>
            <sz val="8"/>
            <color indexed="81"/>
            <rFont val="Tahoma"/>
            <family val="2"/>
          </rPr>
          <t>uses chain linking</t>
        </r>
        <r>
          <rPr>
            <sz val="8"/>
            <color indexed="81"/>
            <rFont val="Tahoma"/>
            <family val="2"/>
          </rPr>
          <t>, all a</t>
        </r>
        <r>
          <rPr>
            <sz val="8"/>
            <color indexed="81"/>
            <rFont val="Tahoma"/>
            <family val="2"/>
          </rPr>
          <t xml:space="preserve">ggregates (AG) are calculated in previous year's prices, because constant prices is non-additive.
Aggregates are marked as </t>
        </r>
        <r>
          <rPr>
            <b/>
            <sz val="8"/>
            <color indexed="10"/>
            <rFont val="Tahoma"/>
            <family val="2"/>
          </rPr>
          <t>AG</t>
        </r>
        <r>
          <rPr>
            <sz val="8"/>
            <color indexed="81"/>
            <rFont val="Tahoma"/>
            <family val="2"/>
          </rPr>
          <t xml:space="preserve">. 
</t>
        </r>
      </text>
    </comment>
    <comment ref="E16" authorId="0" shapeId="0" xr:uid="{00000000-0006-0000-0600-000002000000}">
      <text>
        <r>
          <rPr>
            <b/>
            <sz val="8"/>
            <color indexed="81"/>
            <rFont val="Tahoma"/>
            <family val="2"/>
          </rPr>
          <t>bethuge:</t>
        </r>
        <r>
          <rPr>
            <sz val="8"/>
            <color indexed="81"/>
            <rFont val="Tahoma"/>
            <family val="2"/>
          </rPr>
          <t xml:space="preserve">
In a limited number of countries expenditure components do not add up to GDP. If this is the case, this line captures the residu. 
However, in most cases a statistical discrepancy shown in this line indicates inconsistent input data. Please verify that your country really has statistical discrepancies before proceeding. 
As for the forecast years, unless there is compelling evidence that the statistical discrepancy is changing, it is usually best to assume that growth of this component is 0. 
Note: This should not be confused with a chainlinking residual, which is the difference between the sum of expenditure compenents and GDP due to non-additivity of chainlinked data.</t>
        </r>
      </text>
    </comment>
    <comment ref="E41" authorId="0" shapeId="0" xr:uid="{00000000-0006-0000-0600-000003000000}">
      <text>
        <r>
          <rPr>
            <b/>
            <sz val="8"/>
            <color indexed="81"/>
            <rFont val="Tahoma"/>
            <family val="2"/>
          </rPr>
          <t>bethuge:</t>
        </r>
        <r>
          <rPr>
            <sz val="8"/>
            <color indexed="81"/>
            <rFont val="Tahoma"/>
            <family val="2"/>
          </rPr>
          <t xml:space="preserve">
Annual forecast is automatically linked to the cumulative forecast for the corresponding quarters.</t>
        </r>
      </text>
    </comment>
    <comment ref="E42" authorId="0" shapeId="0" xr:uid="{00000000-0006-0000-0600-000004000000}">
      <text>
        <r>
          <rPr>
            <b/>
            <sz val="8"/>
            <color indexed="81"/>
            <rFont val="Tahoma"/>
            <family val="2"/>
          </rPr>
          <t>bethuge:</t>
        </r>
        <r>
          <rPr>
            <sz val="8"/>
            <color indexed="81"/>
            <rFont val="Tahoma"/>
            <family val="2"/>
          </rPr>
          <t xml:space="preserve">
This line is optional if HICP is forecasted</t>
        </r>
      </text>
    </comment>
    <comment ref="DV58" authorId="0" shapeId="0" xr:uid="{00000000-0006-0000-0600-000005000000}">
      <text>
        <r>
          <rPr>
            <b/>
            <sz val="8"/>
            <color indexed="81"/>
            <rFont val="Tahoma"/>
            <family val="2"/>
          </rPr>
          <t>bethuge:</t>
        </r>
        <r>
          <rPr>
            <sz val="8"/>
            <color indexed="81"/>
            <rFont val="Tahoma"/>
            <family val="2"/>
          </rPr>
          <t xml:space="preserve">
This should normally be close to GFCF by HH below. </t>
        </r>
      </text>
    </comment>
    <comment ref="EA58" authorId="0" shapeId="0" xr:uid="{00000000-0006-0000-0600-000006000000}">
      <text>
        <r>
          <rPr>
            <b/>
            <sz val="8"/>
            <color indexed="81"/>
            <rFont val="Tahoma"/>
            <family val="2"/>
          </rPr>
          <t>bethuge:</t>
        </r>
        <r>
          <rPr>
            <sz val="8"/>
            <color indexed="81"/>
            <rFont val="Tahoma"/>
            <family val="2"/>
          </rPr>
          <t xml:space="preserve">
This should normally be close to GFCF by HH below. </t>
        </r>
      </text>
    </comment>
    <comment ref="EF58" authorId="0" shapeId="0" xr:uid="{00000000-0006-0000-0600-000007000000}">
      <text>
        <r>
          <rPr>
            <b/>
            <sz val="8"/>
            <color indexed="81"/>
            <rFont val="Tahoma"/>
            <family val="2"/>
          </rPr>
          <t>bethuge:</t>
        </r>
        <r>
          <rPr>
            <sz val="8"/>
            <color indexed="81"/>
            <rFont val="Tahoma"/>
            <family val="2"/>
          </rPr>
          <t xml:space="preserve">
This should normally be close to GFCF by HH below. </t>
        </r>
      </text>
    </comment>
    <comment ref="E72" authorId="0" shapeId="0" xr:uid="{00000000-0006-0000-0600-000008000000}">
      <text>
        <r>
          <rPr>
            <b/>
            <sz val="8"/>
            <color indexed="81"/>
            <rFont val="Tahoma"/>
            <family val="2"/>
          </rPr>
          <t>bethuge:</t>
        </r>
        <r>
          <rPr>
            <sz val="8"/>
            <color indexed="81"/>
            <rFont val="Tahoma"/>
            <family val="2"/>
          </rPr>
          <t xml:space="preserve">
Implicit residual.
</t>
        </r>
      </text>
    </comment>
    <comment ref="I74" authorId="0" shapeId="0" xr:uid="{00000000-0006-0000-0600-000009000000}">
      <text>
        <r>
          <rPr>
            <b/>
            <sz val="8"/>
            <color indexed="81"/>
            <rFont val="Tahoma"/>
            <family val="2"/>
          </rPr>
          <t>bethuge:</t>
        </r>
        <r>
          <rPr>
            <sz val="8"/>
            <color indexed="81"/>
            <rFont val="Tahoma"/>
            <family val="2"/>
          </rPr>
          <t xml:space="preserve">
This is a check to see if historical values are consistent (i.e. if total per asset type is equal to total per sector).</t>
        </r>
      </text>
    </comment>
    <comment ref="N74" authorId="0" shapeId="0" xr:uid="{00000000-0006-0000-0600-00000A000000}">
      <text>
        <r>
          <rPr>
            <b/>
            <sz val="8"/>
            <color indexed="81"/>
            <rFont val="Tahoma"/>
            <family val="2"/>
          </rPr>
          <t>bethuge:</t>
        </r>
        <r>
          <rPr>
            <sz val="8"/>
            <color indexed="81"/>
            <rFont val="Tahoma"/>
            <family val="2"/>
          </rPr>
          <t xml:space="preserve">
This is a check to see if historical values are consistent (i.e. if total per asset type is equal to total per sector).</t>
        </r>
      </text>
    </comment>
    <comment ref="S74" authorId="0" shapeId="0" xr:uid="{00000000-0006-0000-0600-00000B000000}">
      <text>
        <r>
          <rPr>
            <b/>
            <sz val="8"/>
            <color indexed="81"/>
            <rFont val="Tahoma"/>
            <family val="2"/>
          </rPr>
          <t>bethuge:</t>
        </r>
        <r>
          <rPr>
            <sz val="8"/>
            <color indexed="81"/>
            <rFont val="Tahoma"/>
            <family val="2"/>
          </rPr>
          <t xml:space="preserve">
This is a check to see if historical values are consistent (i.e. if total per asset type is equal to total per sector).</t>
        </r>
      </text>
    </comment>
    <comment ref="X74" authorId="0" shapeId="0" xr:uid="{00000000-0006-0000-0600-00000C000000}">
      <text>
        <r>
          <rPr>
            <b/>
            <sz val="8"/>
            <color indexed="81"/>
            <rFont val="Tahoma"/>
            <family val="2"/>
          </rPr>
          <t>bethuge:</t>
        </r>
        <r>
          <rPr>
            <sz val="8"/>
            <color indexed="81"/>
            <rFont val="Tahoma"/>
            <family val="2"/>
          </rPr>
          <t xml:space="preserve">
This is a check to see if historical values are consistent (i.e. if total per asset type is equal to total per sector).</t>
        </r>
      </text>
    </comment>
    <comment ref="AC74" authorId="0" shapeId="0" xr:uid="{00000000-0006-0000-0600-00000D000000}">
      <text>
        <r>
          <rPr>
            <b/>
            <sz val="8"/>
            <color indexed="81"/>
            <rFont val="Tahoma"/>
            <family val="2"/>
          </rPr>
          <t>bethuge:</t>
        </r>
        <r>
          <rPr>
            <sz val="8"/>
            <color indexed="81"/>
            <rFont val="Tahoma"/>
            <family val="2"/>
          </rPr>
          <t xml:space="preserve">
This is a check to see if historical values are consistent (i.e. if total per asset type is equal to total per sector).</t>
        </r>
      </text>
    </comment>
    <comment ref="AH74" authorId="0" shapeId="0" xr:uid="{00000000-0006-0000-0600-00000E000000}">
      <text>
        <r>
          <rPr>
            <b/>
            <sz val="8"/>
            <color indexed="81"/>
            <rFont val="Tahoma"/>
            <family val="2"/>
          </rPr>
          <t>bethuge:</t>
        </r>
        <r>
          <rPr>
            <sz val="8"/>
            <color indexed="81"/>
            <rFont val="Tahoma"/>
            <family val="2"/>
          </rPr>
          <t xml:space="preserve">
This is a check to see if historical values are consistent (i.e. if total per asset type is equal to total per sector).</t>
        </r>
      </text>
    </comment>
    <comment ref="AM74" authorId="0" shapeId="0" xr:uid="{00000000-0006-0000-0600-00000F000000}">
      <text>
        <r>
          <rPr>
            <b/>
            <sz val="8"/>
            <color indexed="81"/>
            <rFont val="Tahoma"/>
            <family val="2"/>
          </rPr>
          <t>bethuge:</t>
        </r>
        <r>
          <rPr>
            <sz val="8"/>
            <color indexed="81"/>
            <rFont val="Tahoma"/>
            <family val="2"/>
          </rPr>
          <t xml:space="preserve">
This is a check to see if historical values are consistent (i.e. if total per asset type is equal to total per sector).</t>
        </r>
      </text>
    </comment>
    <comment ref="AR74" authorId="0" shapeId="0" xr:uid="{00000000-0006-0000-0600-000010000000}">
      <text>
        <r>
          <rPr>
            <b/>
            <sz val="8"/>
            <color indexed="81"/>
            <rFont val="Tahoma"/>
            <family val="2"/>
          </rPr>
          <t>bethuge:</t>
        </r>
        <r>
          <rPr>
            <sz val="8"/>
            <color indexed="81"/>
            <rFont val="Tahoma"/>
            <family val="2"/>
          </rPr>
          <t xml:space="preserve">
This is a check to see if historical values are consistent (i.e. if total per asset type is equal to total per sector).</t>
        </r>
      </text>
    </comment>
    <comment ref="AW74" authorId="0" shapeId="0" xr:uid="{00000000-0006-0000-0600-000011000000}">
      <text>
        <r>
          <rPr>
            <b/>
            <sz val="8"/>
            <color indexed="81"/>
            <rFont val="Tahoma"/>
            <family val="2"/>
          </rPr>
          <t>bethuge:</t>
        </r>
        <r>
          <rPr>
            <sz val="8"/>
            <color indexed="81"/>
            <rFont val="Tahoma"/>
            <family val="2"/>
          </rPr>
          <t xml:space="preserve">
This is a check to see if historical values are consistent (i.e. if total per asset type is equal to total per sector).</t>
        </r>
      </text>
    </comment>
    <comment ref="BB74" authorId="0" shapeId="0" xr:uid="{00000000-0006-0000-0600-000012000000}">
      <text>
        <r>
          <rPr>
            <b/>
            <sz val="8"/>
            <color indexed="81"/>
            <rFont val="Tahoma"/>
            <family val="2"/>
          </rPr>
          <t>bethuge:</t>
        </r>
        <r>
          <rPr>
            <sz val="8"/>
            <color indexed="81"/>
            <rFont val="Tahoma"/>
            <family val="2"/>
          </rPr>
          <t xml:space="preserve">
This is a check to see if historical values are consistent (i.e. if total per asset type is equal to total per sector).</t>
        </r>
      </text>
    </comment>
    <comment ref="BG74" authorId="0" shapeId="0" xr:uid="{00000000-0006-0000-0600-000013000000}">
      <text>
        <r>
          <rPr>
            <b/>
            <sz val="8"/>
            <color indexed="81"/>
            <rFont val="Tahoma"/>
            <family val="2"/>
          </rPr>
          <t>bethuge:</t>
        </r>
        <r>
          <rPr>
            <sz val="8"/>
            <color indexed="81"/>
            <rFont val="Tahoma"/>
            <family val="2"/>
          </rPr>
          <t xml:space="preserve">
This is a check to see if historical values are consistent (i.e. if total per asset type is equal to total per sector).</t>
        </r>
      </text>
    </comment>
    <comment ref="BL74" authorId="0" shapeId="0" xr:uid="{00000000-0006-0000-0600-000014000000}">
      <text>
        <r>
          <rPr>
            <b/>
            <sz val="8"/>
            <color indexed="81"/>
            <rFont val="Tahoma"/>
            <family val="2"/>
          </rPr>
          <t>bethuge:</t>
        </r>
        <r>
          <rPr>
            <sz val="8"/>
            <color indexed="81"/>
            <rFont val="Tahoma"/>
            <family val="2"/>
          </rPr>
          <t xml:space="preserve">
This is a check to see if historical values are consistent (i.e. if total per asset type is equal to total per sector).</t>
        </r>
      </text>
    </comment>
    <comment ref="BQ74" authorId="0" shapeId="0" xr:uid="{00000000-0006-0000-0600-000015000000}">
      <text>
        <r>
          <rPr>
            <b/>
            <sz val="8"/>
            <color indexed="81"/>
            <rFont val="Tahoma"/>
            <family val="2"/>
          </rPr>
          <t>bethuge:</t>
        </r>
        <r>
          <rPr>
            <sz val="8"/>
            <color indexed="81"/>
            <rFont val="Tahoma"/>
            <family val="2"/>
          </rPr>
          <t xml:space="preserve">
This is a check to see if historical values are consistent (i.e. if total per asset type is equal to total per sector).</t>
        </r>
      </text>
    </comment>
    <comment ref="BV74" authorId="0" shapeId="0" xr:uid="{00000000-0006-0000-0600-000016000000}">
      <text>
        <r>
          <rPr>
            <b/>
            <sz val="8"/>
            <color indexed="81"/>
            <rFont val="Tahoma"/>
            <family val="2"/>
          </rPr>
          <t>bethuge:</t>
        </r>
        <r>
          <rPr>
            <sz val="8"/>
            <color indexed="81"/>
            <rFont val="Tahoma"/>
            <family val="2"/>
          </rPr>
          <t xml:space="preserve">
This is a check to see if historical values are consistent (i.e. if total per asset type is equal to total per sector).</t>
        </r>
      </text>
    </comment>
    <comment ref="CA74" authorId="0" shapeId="0" xr:uid="{00000000-0006-0000-0600-000017000000}">
      <text>
        <r>
          <rPr>
            <b/>
            <sz val="8"/>
            <color indexed="81"/>
            <rFont val="Tahoma"/>
            <family val="2"/>
          </rPr>
          <t>bethuge:</t>
        </r>
        <r>
          <rPr>
            <sz val="8"/>
            <color indexed="81"/>
            <rFont val="Tahoma"/>
            <family val="2"/>
          </rPr>
          <t xml:space="preserve">
This is a check to see if historical values are consistent (i.e. if total per asset type is equal to total per sector).</t>
        </r>
      </text>
    </comment>
    <comment ref="CF74" authorId="0" shapeId="0" xr:uid="{00000000-0006-0000-0600-000018000000}">
      <text>
        <r>
          <rPr>
            <b/>
            <sz val="8"/>
            <color indexed="81"/>
            <rFont val="Tahoma"/>
            <family val="2"/>
          </rPr>
          <t>bethuge:</t>
        </r>
        <r>
          <rPr>
            <sz val="8"/>
            <color indexed="81"/>
            <rFont val="Tahoma"/>
            <family val="2"/>
          </rPr>
          <t xml:space="preserve">
This is a check to see if historical values are consistent (i.e. if total per asset type is equal to total per sector).</t>
        </r>
      </text>
    </comment>
    <comment ref="CK74" authorId="0" shapeId="0" xr:uid="{00000000-0006-0000-0600-000019000000}">
      <text>
        <r>
          <rPr>
            <b/>
            <sz val="8"/>
            <color indexed="81"/>
            <rFont val="Tahoma"/>
            <family val="2"/>
          </rPr>
          <t>bethuge:</t>
        </r>
        <r>
          <rPr>
            <sz val="8"/>
            <color indexed="81"/>
            <rFont val="Tahoma"/>
            <family val="2"/>
          </rPr>
          <t xml:space="preserve">
This is a check to see if historical values are consistent (i.e. if total per asset type is equal to total per sector).</t>
        </r>
      </text>
    </comment>
    <comment ref="CP74" authorId="0" shapeId="0" xr:uid="{00000000-0006-0000-0600-00001A000000}">
      <text>
        <r>
          <rPr>
            <b/>
            <sz val="8"/>
            <color indexed="81"/>
            <rFont val="Tahoma"/>
            <family val="2"/>
          </rPr>
          <t>bethuge:</t>
        </r>
        <r>
          <rPr>
            <sz val="8"/>
            <color indexed="81"/>
            <rFont val="Tahoma"/>
            <family val="2"/>
          </rPr>
          <t xml:space="preserve">
This is a check to see if historical values are consistent (i.e. if total per asset type is equal to total per sector).</t>
        </r>
      </text>
    </comment>
    <comment ref="CU74" authorId="0" shapeId="0" xr:uid="{00000000-0006-0000-0600-00001B000000}">
      <text>
        <r>
          <rPr>
            <b/>
            <sz val="8"/>
            <color indexed="81"/>
            <rFont val="Tahoma"/>
            <family val="2"/>
          </rPr>
          <t>bethuge:</t>
        </r>
        <r>
          <rPr>
            <sz val="8"/>
            <color indexed="81"/>
            <rFont val="Tahoma"/>
            <family val="2"/>
          </rPr>
          <t xml:space="preserve">
This is a check to see if historical values are consistent (i.e. if total per asset type is equal to total per sector).</t>
        </r>
      </text>
    </comment>
    <comment ref="DV94" authorId="0" shapeId="0" xr:uid="{00000000-0006-0000-0600-00001C000000}">
      <text>
        <r>
          <rPr>
            <b/>
            <sz val="8"/>
            <color indexed="81"/>
            <rFont val="Tahoma"/>
            <family val="2"/>
          </rPr>
          <t>bethuge:</t>
        </r>
        <r>
          <rPr>
            <sz val="8"/>
            <color indexed="81"/>
            <rFont val="Tahoma"/>
            <family val="2"/>
          </rPr>
          <t xml:space="preserve">
Attention! Value adjusts automatically to preserve forecast consistency</t>
        </r>
      </text>
    </comment>
    <comment ref="EA94" authorId="0" shapeId="0" xr:uid="{00000000-0006-0000-0600-00001D000000}">
      <text>
        <r>
          <rPr>
            <b/>
            <sz val="8"/>
            <color indexed="81"/>
            <rFont val="Tahoma"/>
            <family val="2"/>
          </rPr>
          <t>bethuge:</t>
        </r>
        <r>
          <rPr>
            <sz val="8"/>
            <color indexed="81"/>
            <rFont val="Tahoma"/>
            <family val="2"/>
          </rPr>
          <t xml:space="preserve">
Attention! Value adjusts automatically to preserve forecast consistency</t>
        </r>
      </text>
    </comment>
    <comment ref="EF94" authorId="0" shapeId="0" xr:uid="{00000000-0006-0000-0600-00001E000000}">
      <text>
        <r>
          <rPr>
            <b/>
            <sz val="8"/>
            <color indexed="81"/>
            <rFont val="Tahoma"/>
            <family val="2"/>
          </rPr>
          <t>bethuge:</t>
        </r>
        <r>
          <rPr>
            <sz val="8"/>
            <color indexed="81"/>
            <rFont val="Tahoma"/>
            <family val="2"/>
          </rPr>
          <t xml:space="preserve">
Attention! Value adjusts automatically to preserve forecast consistency</t>
        </r>
      </text>
    </comment>
    <comment ref="DV109" authorId="0" shapeId="0" xr:uid="{00000000-0006-0000-0600-00001F000000}">
      <text>
        <r>
          <rPr>
            <b/>
            <sz val="8"/>
            <color indexed="81"/>
            <rFont val="Tahoma"/>
            <family val="2"/>
          </rPr>
          <t>bethuge:</t>
        </r>
        <r>
          <rPr>
            <sz val="8"/>
            <color indexed="81"/>
            <rFont val="Tahoma"/>
            <family val="2"/>
          </rPr>
          <t xml:space="preserve">
Attention! Value adjusts automatically to preserve forecast consistency</t>
        </r>
      </text>
    </comment>
    <comment ref="EA109" authorId="0" shapeId="0" xr:uid="{00000000-0006-0000-0600-000020000000}">
      <text>
        <r>
          <rPr>
            <b/>
            <sz val="8"/>
            <color indexed="81"/>
            <rFont val="Tahoma"/>
            <family val="2"/>
          </rPr>
          <t>bethuge:</t>
        </r>
        <r>
          <rPr>
            <sz val="8"/>
            <color indexed="81"/>
            <rFont val="Tahoma"/>
            <family val="2"/>
          </rPr>
          <t xml:space="preserve">
Attention! Value adjusts automatically to preserve forecast consistency</t>
        </r>
      </text>
    </comment>
    <comment ref="EF109" authorId="0" shapeId="0" xr:uid="{00000000-0006-0000-0600-000021000000}">
      <text>
        <r>
          <rPr>
            <b/>
            <sz val="8"/>
            <color indexed="81"/>
            <rFont val="Tahoma"/>
            <family val="2"/>
          </rPr>
          <t>bethuge:</t>
        </r>
        <r>
          <rPr>
            <sz val="8"/>
            <color indexed="81"/>
            <rFont val="Tahoma"/>
            <family val="2"/>
          </rPr>
          <t xml:space="preserve">
Attention! Value adjusts automatically to preserve forecast consistency</t>
        </r>
      </text>
    </comment>
    <comment ref="E110" authorId="0" shapeId="0" xr:uid="{00000000-0006-0000-0600-000022000000}">
      <text>
        <r>
          <rPr>
            <b/>
            <sz val="8"/>
            <color indexed="81"/>
            <rFont val="Tahoma"/>
            <family val="2"/>
          </rPr>
          <t>bethuge:</t>
        </r>
        <r>
          <rPr>
            <sz val="8"/>
            <color indexed="81"/>
            <rFont val="Tahoma"/>
            <family val="2"/>
          </rPr>
          <t xml:space="preserve">
Attention: this variable is used by DG BUDG for the estimation of import duties.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bethuge</author>
  </authors>
  <commentList>
    <comment ref="F2" authorId="0" shapeId="0" xr:uid="{00000000-0006-0000-0700-000001000000}">
      <text>
        <r>
          <rPr>
            <b/>
            <sz val="8"/>
            <color indexed="81"/>
            <rFont val="Tahoma"/>
            <family val="2"/>
          </rPr>
          <t>bethuge:</t>
        </r>
        <r>
          <rPr>
            <sz val="8"/>
            <color indexed="81"/>
            <rFont val="Tahoma"/>
            <family val="2"/>
          </rPr>
          <t xml:space="preserve">
Sets the maximum tolerance for inconsistencies to be ignored (in bn euro).</t>
        </r>
      </text>
    </comment>
    <comment ref="E54" authorId="0" shapeId="0" xr:uid="{00000000-0006-0000-0700-000002000000}">
      <text>
        <r>
          <rPr>
            <b/>
            <sz val="8"/>
            <color indexed="81"/>
            <rFont val="Tahoma"/>
            <family val="2"/>
          </rPr>
          <t>bethuge:</t>
        </r>
        <r>
          <rPr>
            <sz val="8"/>
            <color indexed="81"/>
            <rFont val="Tahoma"/>
            <family val="2"/>
          </rPr>
          <t xml:space="preserve">
Constructed on the basis of Belgostat as total consumption plus GFCF, assuming additivity !!!</t>
        </r>
      </text>
    </comment>
    <comment ref="E194" authorId="0" shapeId="0" xr:uid="{00000000-0006-0000-0700-000003000000}">
      <text>
        <r>
          <rPr>
            <b/>
            <sz val="8"/>
            <color indexed="81"/>
            <rFont val="Tahoma"/>
            <family val="2"/>
          </rPr>
          <t>bethuge:</t>
        </r>
        <r>
          <rPr>
            <sz val="8"/>
            <color indexed="81"/>
            <rFont val="Tahoma"/>
            <family val="2"/>
          </rPr>
          <t xml:space="preserve">
Inconsistent data can result from different vintages of nationa accounts data</t>
        </r>
      </text>
    </comment>
    <comment ref="E213" authorId="0" shapeId="0" xr:uid="{00000000-0006-0000-0700-000004000000}">
      <text>
        <r>
          <rPr>
            <b/>
            <sz val="8"/>
            <color indexed="81"/>
            <rFont val="Tahoma"/>
            <family val="2"/>
          </rPr>
          <t>bethuge:</t>
        </r>
        <r>
          <rPr>
            <sz val="8"/>
            <color indexed="81"/>
            <rFont val="Tahoma"/>
            <family val="2"/>
          </rPr>
          <t xml:space="preserve">
Inconsistent data can result from different vintages of nationa accounts data</t>
        </r>
      </text>
    </comment>
    <comment ref="E232" authorId="0" shapeId="0" xr:uid="{00000000-0006-0000-0700-000005000000}">
      <text>
        <r>
          <rPr>
            <b/>
            <sz val="8"/>
            <color indexed="81"/>
            <rFont val="Tahoma"/>
            <family val="2"/>
          </rPr>
          <t>bethuge:</t>
        </r>
        <r>
          <rPr>
            <sz val="8"/>
            <color indexed="81"/>
            <rFont val="Tahoma"/>
            <family val="2"/>
          </rPr>
          <t xml:space="preserve">
Inconsistent data can result from different vintages of nationa accounts data</t>
        </r>
      </text>
    </comment>
    <comment ref="E251" authorId="0" shapeId="0" xr:uid="{00000000-0006-0000-0700-000006000000}">
      <text>
        <r>
          <rPr>
            <b/>
            <sz val="8"/>
            <color indexed="81"/>
            <rFont val="Tahoma"/>
            <family val="2"/>
          </rPr>
          <t>bethuge:</t>
        </r>
        <r>
          <rPr>
            <sz val="8"/>
            <color indexed="81"/>
            <rFont val="Tahoma"/>
            <family val="2"/>
          </rPr>
          <t xml:space="preserve">
Inconsistent data can result from different vintages of nationa accounts data</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bethuge</author>
    <author>Justois</author>
  </authors>
  <commentList>
    <comment ref="F87" authorId="0" shapeId="0" xr:uid="{00000000-0006-0000-0900-000001000000}">
      <text>
        <r>
          <rPr>
            <b/>
            <sz val="8"/>
            <color indexed="81"/>
            <rFont val="Tahoma"/>
            <family val="2"/>
          </rPr>
          <t>bethuge:</t>
        </r>
        <r>
          <rPr>
            <sz val="8"/>
            <color indexed="81"/>
            <rFont val="Tahoma"/>
            <family val="2"/>
          </rPr>
          <t xml:space="preserve">
Insert "N" in case the aggregate is forecast directly.
Insert "Y" in case of forecast by components. In that case, the growth rate is calculated as a weighted average of the subcomponents (by default, these lines are hidden). 
</t>
        </r>
      </text>
    </comment>
    <comment ref="B105" authorId="0" shapeId="0" xr:uid="{00000000-0006-0000-0900-000002000000}">
      <text>
        <r>
          <rPr>
            <b/>
            <sz val="8"/>
            <color indexed="81"/>
            <rFont val="Tahoma"/>
            <family val="2"/>
          </rPr>
          <t>bethuge:</t>
        </r>
        <r>
          <rPr>
            <sz val="8"/>
            <color indexed="81"/>
            <rFont val="Tahoma"/>
            <family val="2"/>
          </rPr>
          <t xml:space="preserve">
With chainlinked data, these should not add up. 
However, for BE this aggregate is not published. </t>
        </r>
      </text>
    </comment>
    <comment ref="B144" authorId="0" shapeId="0" xr:uid="{00000000-0006-0000-0900-000003000000}">
      <text>
        <r>
          <rPr>
            <b/>
            <sz val="8"/>
            <color indexed="81"/>
            <rFont val="Tahoma"/>
            <family val="2"/>
          </rPr>
          <t>bethuge:</t>
        </r>
        <r>
          <rPr>
            <sz val="8"/>
            <color indexed="81"/>
            <rFont val="Tahoma"/>
            <family val="2"/>
          </rPr>
          <t xml:space="preserve">
With chainlinked data, these should not add up. 
However, for BE this aggregate is not published. </t>
        </r>
      </text>
    </comment>
    <comment ref="F184" authorId="0" shapeId="0" xr:uid="{00000000-0006-0000-0900-000004000000}">
      <text>
        <r>
          <rPr>
            <b/>
            <sz val="8"/>
            <color indexed="81"/>
            <rFont val="Tahoma"/>
            <family val="2"/>
          </rPr>
          <t>bethuge:</t>
        </r>
        <r>
          <rPr>
            <sz val="8"/>
            <color indexed="81"/>
            <rFont val="Tahoma"/>
            <family val="2"/>
          </rPr>
          <t xml:space="preserve">
Insert "N" in case the aggregate is forecast directly.
Insert "Y" in case of forecast by components. In that case, the growth rate is calculated as a weighted average of the subcomponents (by default, these lines are hidden). 
</t>
        </r>
      </text>
    </comment>
    <comment ref="B201" authorId="0" shapeId="0" xr:uid="{00000000-0006-0000-0900-000005000000}">
      <text>
        <r>
          <rPr>
            <b/>
            <sz val="8"/>
            <color indexed="81"/>
            <rFont val="Tahoma"/>
            <family val="2"/>
          </rPr>
          <t>bethuge:</t>
        </r>
        <r>
          <rPr>
            <sz val="8"/>
            <color indexed="81"/>
            <rFont val="Tahoma"/>
            <family val="2"/>
          </rPr>
          <t xml:space="preserve">
With chainlinked data, these should not add up. 
However, for BE this aggregate is not published. </t>
        </r>
      </text>
    </comment>
    <comment ref="F241" authorId="0" shapeId="0" xr:uid="{00000000-0006-0000-0900-000006000000}">
      <text>
        <r>
          <rPr>
            <b/>
            <sz val="8"/>
            <color indexed="81"/>
            <rFont val="Tahoma"/>
            <family val="2"/>
          </rPr>
          <t>bethuge:</t>
        </r>
        <r>
          <rPr>
            <sz val="8"/>
            <color indexed="81"/>
            <rFont val="Tahoma"/>
            <family val="2"/>
          </rPr>
          <t xml:space="preserve">
Insert "N" in case the aggregate is forecast directly.
Insert "Y" in case of forecast by components. In that case, the growth rate is calculated as a weighted average of the subcomponents (by default, these lines are hidden). 
</t>
        </r>
      </text>
    </comment>
    <comment ref="B258" authorId="0" shapeId="0" xr:uid="{00000000-0006-0000-0900-000007000000}">
      <text>
        <r>
          <rPr>
            <b/>
            <sz val="8"/>
            <color indexed="81"/>
            <rFont val="Tahoma"/>
            <family val="2"/>
          </rPr>
          <t>bethuge:</t>
        </r>
        <r>
          <rPr>
            <sz val="8"/>
            <color indexed="81"/>
            <rFont val="Tahoma"/>
            <family val="2"/>
          </rPr>
          <t xml:space="preserve">
With chainlinked data, these should not add up precisely. </t>
        </r>
      </text>
    </comment>
    <comment ref="CY307" authorId="0" shapeId="0" xr:uid="{00000000-0006-0000-0900-000008000000}">
      <text>
        <r>
          <rPr>
            <b/>
            <sz val="8"/>
            <color indexed="81"/>
            <rFont val="Tahoma"/>
            <family val="2"/>
          </rPr>
          <t>bethuge:</t>
        </r>
        <r>
          <rPr>
            <sz val="8"/>
            <color indexed="81"/>
            <rFont val="Tahoma"/>
            <family val="2"/>
          </rPr>
          <t xml:space="preserve">
Weight adjusts automatically to ensure sum of weights equals 1000</t>
        </r>
      </text>
    </comment>
    <comment ref="DC307" authorId="0" shapeId="0" xr:uid="{00000000-0006-0000-0900-000009000000}">
      <text>
        <r>
          <rPr>
            <b/>
            <sz val="8"/>
            <color indexed="81"/>
            <rFont val="Tahoma"/>
            <family val="2"/>
          </rPr>
          <t>bethuge:</t>
        </r>
        <r>
          <rPr>
            <sz val="8"/>
            <color indexed="81"/>
            <rFont val="Tahoma"/>
            <family val="2"/>
          </rPr>
          <t xml:space="preserve">
Weight adjusts automatically to ensure sum of weights equals 1000</t>
        </r>
      </text>
    </comment>
    <comment ref="E312" authorId="1" shapeId="0" xr:uid="{00000000-0006-0000-0900-00000A000000}">
      <text>
        <r>
          <rPr>
            <b/>
            <sz val="9"/>
            <color indexed="81"/>
            <rFont val="Tahoma"/>
            <family val="2"/>
          </rPr>
          <t>Justois:</t>
        </r>
        <r>
          <rPr>
            <sz val="9"/>
            <color indexed="81"/>
            <rFont val="Tahoma"/>
            <family val="2"/>
          </rPr>
          <t xml:space="preserve">
computations from HICP energy file (linking with oil prices external assumptions)</t>
        </r>
      </text>
    </comment>
    <comment ref="DF312" authorId="1" shapeId="0" xr:uid="{00000000-0006-0000-0900-00000B000000}">
      <text>
        <r>
          <rPr>
            <b/>
            <sz val="9"/>
            <color indexed="81"/>
            <rFont val="Tahoma"/>
            <family val="2"/>
          </rPr>
          <t>Justois:</t>
        </r>
        <r>
          <rPr>
            <sz val="9"/>
            <color indexed="81"/>
            <rFont val="Tahoma"/>
            <family val="2"/>
          </rPr>
          <t xml:space="preserve">
computations from HICP energy file (linking with oil prices external assumptions) and adjusted for 2017</t>
        </r>
      </text>
    </comment>
    <comment ref="DO312" authorId="1" shapeId="0" xr:uid="{00000000-0006-0000-0900-00000C000000}">
      <text>
        <r>
          <rPr>
            <b/>
            <sz val="9"/>
            <color indexed="81"/>
            <rFont val="Tahoma"/>
            <family val="2"/>
          </rPr>
          <t>Justois:</t>
        </r>
        <r>
          <rPr>
            <sz val="9"/>
            <color indexed="81"/>
            <rFont val="Tahoma"/>
            <family val="2"/>
          </rPr>
          <t xml:space="preserve">
computations from HICP energy file (linking with oil prices external assumptions) and adjusted for 2017</t>
        </r>
      </text>
    </comment>
    <comment ref="DS312" authorId="1" shapeId="0" xr:uid="{00000000-0006-0000-0900-00000D000000}">
      <text>
        <r>
          <rPr>
            <b/>
            <sz val="9"/>
            <color indexed="81"/>
            <rFont val="Tahoma"/>
            <family val="2"/>
          </rPr>
          <t>Justois:</t>
        </r>
        <r>
          <rPr>
            <sz val="9"/>
            <color indexed="81"/>
            <rFont val="Tahoma"/>
            <family val="2"/>
          </rPr>
          <t xml:space="preserve">
computations from HICP energy file (linking with oil prices external assumptions) and adjusted for 2017</t>
        </r>
      </text>
    </comment>
    <comment ref="E317" authorId="0" shapeId="0" xr:uid="{00000000-0006-0000-0900-00000E000000}">
      <text>
        <r>
          <rPr>
            <b/>
            <sz val="8"/>
            <color indexed="81"/>
            <rFont val="Tahoma"/>
            <family val="2"/>
          </rPr>
          <t>bethuge:</t>
        </r>
        <r>
          <rPr>
            <sz val="8"/>
            <color indexed="81"/>
            <rFont val="Tahoma"/>
            <family val="2"/>
          </rPr>
          <t xml:space="preserve">
By default, HICP forecast is identical to the aggregate on a quarterly basis. 
However, this is only approximately correct (need to make a forecast on a monthly basis to do it entirely correct). 
Calculated growth rates can be overwritten manually if desired. </t>
        </r>
      </text>
    </comment>
    <comment ref="E320" authorId="0" shapeId="0" xr:uid="{00000000-0006-0000-0900-00000F000000}">
      <text>
        <r>
          <rPr>
            <b/>
            <sz val="8"/>
            <color indexed="81"/>
            <rFont val="Tahoma"/>
            <family val="2"/>
          </rPr>
          <t>bethuge:</t>
        </r>
        <r>
          <rPr>
            <sz val="8"/>
            <color indexed="81"/>
            <rFont val="Tahoma"/>
            <family val="2"/>
          </rPr>
          <t xml:space="preserve">
By default, HICP forecast is identical to the aggregate on a quarterly basis. 
However, this is only approximately correct (need to make a forecast on a monthly basis to do it entirely correct). 
Calculated growth rates can be overwritten manually if desired.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Justois</author>
    <author>bethuge</author>
    <author>justois</author>
  </authors>
  <commentList>
    <comment ref="AD14" authorId="0" shapeId="0" xr:uid="{00000000-0006-0000-0B00-000001000000}">
      <text>
        <r>
          <rPr>
            <b/>
            <sz val="9"/>
            <color indexed="81"/>
            <rFont val="Tahoma"/>
            <family val="2"/>
          </rPr>
          <t>Justois:</t>
        </r>
        <r>
          <rPr>
            <sz val="9"/>
            <color indexed="81"/>
            <rFont val="Tahoma"/>
            <family val="2"/>
          </rPr>
          <t xml:space="preserve">
SCB pop forecast from April 2018!</t>
        </r>
      </text>
    </comment>
    <comment ref="E39" authorId="1" shapeId="0" xr:uid="{00000000-0006-0000-0B00-000002000000}">
      <text>
        <r>
          <rPr>
            <b/>
            <sz val="8"/>
            <color indexed="81"/>
            <rFont val="Tahoma"/>
            <family val="2"/>
          </rPr>
          <t>bethuge:</t>
        </r>
        <r>
          <rPr>
            <sz val="8"/>
            <color indexed="81"/>
            <rFont val="Tahoma"/>
            <family val="2"/>
          </rPr>
          <t xml:space="preserve">
For BE this overestimates true unemployment due to long-term unemployed, no longer looking for a job.</t>
        </r>
      </text>
    </comment>
    <comment ref="AE48" authorId="2" shapeId="0" xr:uid="{00000000-0006-0000-0B00-000003000000}">
      <text>
        <r>
          <rPr>
            <b/>
            <sz val="9"/>
            <color indexed="81"/>
            <rFont val="Tahoma"/>
            <family val="2"/>
          </rPr>
          <t>justois:</t>
        </r>
        <r>
          <rPr>
            <sz val="9"/>
            <color indexed="81"/>
            <rFont val="Tahoma"/>
            <family val="2"/>
          </rPr>
          <t xml:space="preserve">
compare with Empl forecast model</t>
        </r>
      </text>
    </comment>
    <comment ref="AF48" authorId="2" shapeId="0" xr:uid="{00000000-0006-0000-0B00-000004000000}">
      <text>
        <r>
          <rPr>
            <b/>
            <sz val="9"/>
            <color indexed="81"/>
            <rFont val="Tahoma"/>
            <family val="2"/>
          </rPr>
          <t>justois:</t>
        </r>
        <r>
          <rPr>
            <sz val="9"/>
            <color indexed="81"/>
            <rFont val="Tahoma"/>
            <family val="2"/>
          </rPr>
          <t xml:space="preserve">
compare with Empl forecast model</t>
        </r>
      </text>
    </comment>
    <comment ref="E124" authorId="1" shapeId="0" xr:uid="{00000000-0006-0000-0B00-000005000000}">
      <text>
        <r>
          <rPr>
            <b/>
            <sz val="8"/>
            <color indexed="81"/>
            <rFont val="Tahoma"/>
            <family val="2"/>
          </rPr>
          <t>bethuge:</t>
        </r>
        <r>
          <rPr>
            <sz val="8"/>
            <color indexed="81"/>
            <rFont val="Tahoma"/>
            <family val="2"/>
          </rPr>
          <t xml:space="preserve">
Bit unorthodox, I know.</t>
        </r>
      </text>
    </comment>
    <comment ref="E165" authorId="1" shapeId="0" xr:uid="{00000000-0006-0000-0B00-000006000000}">
      <text>
        <r>
          <rPr>
            <b/>
            <sz val="8"/>
            <color indexed="81"/>
            <rFont val="Tahoma"/>
            <family val="2"/>
          </rPr>
          <t>bethuge:</t>
        </r>
        <r>
          <rPr>
            <sz val="8"/>
            <color indexed="81"/>
            <rFont val="Tahoma"/>
            <family val="2"/>
          </rPr>
          <t xml:space="preserve">
In ESA95, employers' social contributions are treated as if they were received by households as parrt of compensation of employees (D.1r) and then paid to the government as social contributions (D.61p), even though the social contributions paid by the employer is never actually received by households.
This implies that employers' social contributions is not at the expenditure side for corporations (at least not explicitly), since it is already integrated in compensation paid (D.1p).
</t>
        </r>
      </text>
    </comment>
    <comment ref="E167" authorId="1" shapeId="0" xr:uid="{00000000-0006-0000-0B00-000007000000}">
      <text>
        <r>
          <rPr>
            <b/>
            <sz val="8"/>
            <color indexed="81"/>
            <rFont val="Tahoma"/>
            <family val="2"/>
          </rPr>
          <t>bethuge:</t>
        </r>
        <r>
          <rPr>
            <sz val="8"/>
            <color indexed="81"/>
            <rFont val="Tahoma"/>
            <family val="2"/>
          </rPr>
          <t xml:space="preserve">
In ESA95, employers' social contributions are treated as if they were received by households as parrt of compensation of employees (D.1r) and then paid to the government as social contributions (D.61p), even though the social contributions paid by the employer is never actually received by households.
This implies that employers' social contributions is not at the expenditure side for corporations (at least not explicitly), since it is already integrated in compensation paid (D.1p).
</t>
        </r>
      </text>
    </comment>
    <comment ref="E209" authorId="1" shapeId="0" xr:uid="{00000000-0006-0000-0B00-000008000000}">
      <text>
        <r>
          <rPr>
            <b/>
            <sz val="8"/>
            <color indexed="81"/>
            <rFont val="Tahoma"/>
            <family val="2"/>
          </rPr>
          <t>bethuge:</t>
        </r>
        <r>
          <rPr>
            <sz val="8"/>
            <color indexed="81"/>
            <rFont val="Tahoma"/>
            <family val="2"/>
          </rPr>
          <t xml:space="preserve">
Implicit residual</t>
        </r>
      </text>
    </comment>
    <comment ref="E210" authorId="1" shapeId="0" xr:uid="{00000000-0006-0000-0B00-000009000000}">
      <text>
        <r>
          <rPr>
            <b/>
            <sz val="8"/>
            <color indexed="81"/>
            <rFont val="Tahoma"/>
            <family val="2"/>
          </rPr>
          <t>bethuge:</t>
        </r>
        <r>
          <rPr>
            <sz val="8"/>
            <color indexed="81"/>
            <rFont val="Tahoma"/>
            <family val="2"/>
          </rPr>
          <t xml:space="preserve">
GVT D.1p is part of government final consumption expenditure (P.3) - See link.</t>
        </r>
      </text>
    </comment>
    <comment ref="E212" authorId="1" shapeId="0" xr:uid="{00000000-0006-0000-0B00-00000A000000}">
      <text>
        <r>
          <rPr>
            <b/>
            <sz val="8"/>
            <color indexed="81"/>
            <rFont val="Tahoma"/>
            <family val="2"/>
          </rPr>
          <t>bethuge:</t>
        </r>
        <r>
          <rPr>
            <sz val="8"/>
            <color indexed="81"/>
            <rFont val="Tahoma"/>
            <family val="2"/>
          </rPr>
          <t xml:space="preserve">
Inconsistent data can result from different vintages of national accounts data</t>
        </r>
      </text>
    </comment>
    <comment ref="A213" authorId="1" shapeId="0" xr:uid="{00000000-0006-0000-0B00-00000B000000}">
      <text>
        <r>
          <rPr>
            <b/>
            <sz val="8"/>
            <color indexed="81"/>
            <rFont val="Tahoma"/>
            <family val="2"/>
          </rPr>
          <t>bethuge:</t>
        </r>
        <r>
          <rPr>
            <sz val="8"/>
            <color indexed="81"/>
            <rFont val="Tahoma"/>
            <family val="2"/>
          </rPr>
          <t xml:space="preserve">
If there are no historical data for this variable, it could also be defined as the residual. 
However, if there are historical data we encourage you to use them because it provides a stronger check on consistency. </t>
        </r>
      </text>
    </comment>
    <comment ref="E214" authorId="1" shapeId="0" xr:uid="{00000000-0006-0000-0B00-00000C000000}">
      <text>
        <r>
          <rPr>
            <b/>
            <sz val="8"/>
            <color indexed="81"/>
            <rFont val="Tahoma"/>
            <family val="2"/>
          </rPr>
          <t>bethuge:</t>
        </r>
        <r>
          <rPr>
            <sz val="8"/>
            <color indexed="81"/>
            <rFont val="Tahoma"/>
            <family val="2"/>
          </rPr>
          <t xml:space="preserve">
Inconsistent data can result from different vintages of nationa accounts data</t>
        </r>
      </text>
    </comment>
    <comment ref="A215" authorId="1" shapeId="0" xr:uid="{00000000-0006-0000-0B00-00000D000000}">
      <text>
        <r>
          <rPr>
            <b/>
            <sz val="8"/>
            <color indexed="81"/>
            <rFont val="Tahoma"/>
            <family val="2"/>
          </rPr>
          <t>bethuge:</t>
        </r>
        <r>
          <rPr>
            <sz val="8"/>
            <color indexed="81"/>
            <rFont val="Tahoma"/>
            <family val="2"/>
          </rPr>
          <t xml:space="preserve">
If there are no historical data for this variable, it could also be defined as the residual. 
However, if there are historical data we encourage you to use them because it provides a stronger check on consistency. </t>
        </r>
      </text>
    </comment>
    <comment ref="E217" authorId="1" shapeId="0" xr:uid="{00000000-0006-0000-0B00-00000E000000}">
      <text>
        <r>
          <rPr>
            <b/>
            <sz val="8"/>
            <color indexed="81"/>
            <rFont val="Tahoma"/>
            <family val="2"/>
          </rPr>
          <t>bethuge:</t>
        </r>
        <r>
          <rPr>
            <sz val="8"/>
            <color indexed="81"/>
            <rFont val="Tahoma"/>
            <family val="2"/>
          </rPr>
          <t xml:space="preserve">
Inconsistent data can result from different vintages of national accounts data</t>
        </r>
      </text>
    </comment>
    <comment ref="E221" authorId="1" shapeId="0" xr:uid="{00000000-0006-0000-0B00-00000F000000}">
      <text>
        <r>
          <rPr>
            <b/>
            <sz val="8"/>
            <color indexed="81"/>
            <rFont val="Tahoma"/>
            <family val="2"/>
          </rPr>
          <t>bethuge:</t>
        </r>
        <r>
          <rPr>
            <sz val="8"/>
            <color indexed="81"/>
            <rFont val="Tahoma"/>
            <family val="2"/>
          </rPr>
          <t xml:space="preserve">
Implicit residual</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bethuge</author>
    <author>author</author>
    <author>MONTEIRO Daniel (ECFIN)</author>
    <author>VIDAN BERMUDEZ Alberto (ECFIN-EXT)</author>
    <author>GAAL Norbert (ECFIN)</author>
    <author>HARTLEY Julien (ECFIN)</author>
  </authors>
  <commentList>
    <comment ref="F2" authorId="0" shapeId="0" xr:uid="{00000000-0006-0000-0D00-000001000000}">
      <text>
        <r>
          <rPr>
            <b/>
            <sz val="8"/>
            <color indexed="81"/>
            <rFont val="Tahoma"/>
            <family val="2"/>
          </rPr>
          <t>bethuge:</t>
        </r>
        <r>
          <rPr>
            <sz val="8"/>
            <color indexed="81"/>
            <rFont val="Tahoma"/>
            <family val="2"/>
          </rPr>
          <t xml:space="preserve">
Sets the maximum tolerance for inconsistencies to be ignored (in bn euro).</t>
        </r>
      </text>
    </comment>
    <comment ref="A12" authorId="0" shapeId="0" xr:uid="{00000000-0006-0000-0D00-000002000000}">
      <text>
        <r>
          <rPr>
            <b/>
            <sz val="8"/>
            <color indexed="81"/>
            <rFont val="Tahoma"/>
            <family val="2"/>
          </rPr>
          <t>bethuge:</t>
        </r>
        <r>
          <rPr>
            <sz val="8"/>
            <color indexed="81"/>
            <rFont val="Tahoma"/>
            <family val="2"/>
          </rPr>
          <t xml:space="preserve">
If there are no historical data for this variable, it could also be defined as the residual. 
However, if there are historical data we encourage you to use them because it provides a stronger check on consistency. </t>
        </r>
      </text>
    </comment>
    <comment ref="E14" authorId="0" shapeId="0" xr:uid="{00000000-0006-0000-0D00-000003000000}">
      <text>
        <r>
          <rPr>
            <b/>
            <sz val="8"/>
            <color indexed="81"/>
            <rFont val="Tahoma"/>
            <family val="2"/>
          </rPr>
          <t>bethuge:</t>
        </r>
        <r>
          <rPr>
            <sz val="8"/>
            <color indexed="81"/>
            <rFont val="Tahoma"/>
            <family val="2"/>
          </rPr>
          <t xml:space="preserve">
Inconsistent data can result from different vintages of nationa accounts data</t>
        </r>
      </text>
    </comment>
    <comment ref="F36" authorId="0" shapeId="0" xr:uid="{00000000-0006-0000-0D00-000004000000}">
      <text>
        <r>
          <rPr>
            <b/>
            <sz val="8"/>
            <color indexed="81"/>
            <rFont val="Tahoma"/>
            <family val="2"/>
          </rPr>
          <t>bethuge:</t>
        </r>
        <r>
          <rPr>
            <sz val="8"/>
            <color indexed="81"/>
            <rFont val="Tahoma"/>
            <family val="2"/>
          </rPr>
          <t xml:space="preserve">
Theoretical value by OECD</t>
        </r>
      </text>
    </comment>
    <comment ref="A49" authorId="0" shapeId="0" xr:uid="{00000000-0006-0000-0D00-000005000000}">
      <text>
        <r>
          <rPr>
            <b/>
            <sz val="8"/>
            <color indexed="81"/>
            <rFont val="Tahoma"/>
            <family val="2"/>
          </rPr>
          <t>bethuge:</t>
        </r>
        <r>
          <rPr>
            <sz val="8"/>
            <color indexed="81"/>
            <rFont val="Tahoma"/>
            <family val="2"/>
          </rPr>
          <t xml:space="preserve">
If there are no historical data for this variable, it could also be defined as the residual. 
However, if there are historical data we encourage you to use them because it provides a stronger check on consistency. </t>
        </r>
      </text>
    </comment>
    <comment ref="E51" authorId="0" shapeId="0" xr:uid="{00000000-0006-0000-0D00-000006000000}">
      <text>
        <r>
          <rPr>
            <b/>
            <sz val="8"/>
            <color indexed="81"/>
            <rFont val="Tahoma"/>
            <family val="2"/>
          </rPr>
          <t>bethuge:</t>
        </r>
        <r>
          <rPr>
            <sz val="8"/>
            <color indexed="81"/>
            <rFont val="Tahoma"/>
            <family val="2"/>
          </rPr>
          <t xml:space="preserve">
Inconsistent data can result from different vintages of nationa accounts data</t>
        </r>
      </text>
    </comment>
    <comment ref="A88" authorId="0" shapeId="0" xr:uid="{00000000-0006-0000-0D00-000007000000}">
      <text>
        <r>
          <rPr>
            <b/>
            <sz val="8"/>
            <color indexed="81"/>
            <rFont val="Tahoma"/>
            <family val="2"/>
          </rPr>
          <t>bethuge:</t>
        </r>
        <r>
          <rPr>
            <sz val="8"/>
            <color indexed="81"/>
            <rFont val="Tahoma"/>
            <family val="2"/>
          </rPr>
          <t xml:space="preserve">
If there are no historical data for this variable, it could also be defined as the residual. 
However, if there are historical data we encourage you to use them because it provides a stronger check on consistency. </t>
        </r>
      </text>
    </comment>
    <comment ref="E89" authorId="0" shapeId="0" xr:uid="{00000000-0006-0000-0D00-000008000000}">
      <text>
        <r>
          <rPr>
            <b/>
            <sz val="8"/>
            <color indexed="81"/>
            <rFont val="Tahoma"/>
            <family val="2"/>
          </rPr>
          <t>bethuge:</t>
        </r>
        <r>
          <rPr>
            <sz val="8"/>
            <color indexed="81"/>
            <rFont val="Tahoma"/>
            <family val="2"/>
          </rPr>
          <t xml:space="preserve">
Inconsistent data can result from different vintages of nationa accounts data</t>
        </r>
      </text>
    </comment>
    <comment ref="E108" authorId="0" shapeId="0" xr:uid="{00000000-0006-0000-0D00-000009000000}">
      <text>
        <r>
          <rPr>
            <b/>
            <sz val="8"/>
            <color indexed="81"/>
            <rFont val="Tahoma"/>
            <family val="2"/>
          </rPr>
          <t>bethuge:</t>
        </r>
        <r>
          <rPr>
            <sz val="8"/>
            <color indexed="81"/>
            <rFont val="Tahoma"/>
            <family val="2"/>
          </rPr>
          <t xml:space="preserve">
Implicit residual.
</t>
        </r>
      </text>
    </comment>
    <comment ref="E109" authorId="0" shapeId="0" xr:uid="{00000000-0006-0000-0D00-00000A000000}">
      <text>
        <r>
          <rPr>
            <b/>
            <sz val="8"/>
            <color indexed="81"/>
            <rFont val="Tahoma"/>
            <family val="2"/>
          </rPr>
          <t>bethuge:</t>
        </r>
        <r>
          <rPr>
            <sz val="8"/>
            <color indexed="81"/>
            <rFont val="Tahoma"/>
            <family val="2"/>
          </rPr>
          <t xml:space="preserve">
GVT B.2g is part of government final consumption expenditure (P.3) - See link.</t>
        </r>
      </text>
    </comment>
    <comment ref="A114" authorId="0" shapeId="0" xr:uid="{00000000-0006-0000-0D00-00000B000000}">
      <text>
        <r>
          <rPr>
            <b/>
            <sz val="8"/>
            <color indexed="81"/>
            <rFont val="Tahoma"/>
            <family val="2"/>
          </rPr>
          <t>bethuge:</t>
        </r>
        <r>
          <rPr>
            <sz val="8"/>
            <color indexed="81"/>
            <rFont val="Tahoma"/>
            <family val="2"/>
          </rPr>
          <t xml:space="preserve">
If there are no historical data for this variable, it could also be defined as the residual. 
However, if there are historical data we encourage you to use them because it provides a stronger check on consistency. </t>
        </r>
      </text>
    </comment>
    <comment ref="E115" authorId="0" shapeId="0" xr:uid="{00000000-0006-0000-0D00-00000C000000}">
      <text>
        <r>
          <rPr>
            <b/>
            <sz val="8"/>
            <color indexed="81"/>
            <rFont val="Tahoma"/>
            <family val="2"/>
          </rPr>
          <t>bethuge:</t>
        </r>
        <r>
          <rPr>
            <sz val="8"/>
            <color indexed="81"/>
            <rFont val="Tahoma"/>
            <family val="2"/>
          </rPr>
          <t xml:space="preserve">
Inconsistent data can result from different vintages of nationa accounts data</t>
        </r>
      </text>
    </comment>
    <comment ref="E119" authorId="0" shapeId="0" xr:uid="{00000000-0006-0000-0D00-00000D000000}">
      <text>
        <r>
          <rPr>
            <b/>
            <sz val="8"/>
            <color indexed="81"/>
            <rFont val="Tahoma"/>
            <family val="2"/>
          </rPr>
          <t>bethuge:</t>
        </r>
        <r>
          <rPr>
            <sz val="8"/>
            <color indexed="81"/>
            <rFont val="Tahoma"/>
            <family val="2"/>
          </rPr>
          <t xml:space="preserve">
Implicit residual.
</t>
        </r>
      </text>
    </comment>
    <comment ref="A140" authorId="0" shapeId="0" xr:uid="{00000000-0006-0000-0D00-00000E000000}">
      <text>
        <r>
          <rPr>
            <b/>
            <sz val="8"/>
            <color indexed="81"/>
            <rFont val="Tahoma"/>
            <family val="2"/>
          </rPr>
          <t>bethuge:</t>
        </r>
        <r>
          <rPr>
            <sz val="8"/>
            <color indexed="81"/>
            <rFont val="Tahoma"/>
            <family val="2"/>
          </rPr>
          <t xml:space="preserve">
If there are no historical data for this variable, it could also be defined as the residual. 
However, if there are historical data we encourage you to use them because it provides a stronger check on consistency. </t>
        </r>
      </text>
    </comment>
    <comment ref="AB140" authorId="1" shapeId="0" xr:uid="{00000000-0006-0000-0D00-00000F000000}">
      <text>
        <r>
          <rPr>
            <b/>
            <sz val="9"/>
            <color indexed="81"/>
            <rFont val="Tahoma"/>
            <family val="2"/>
          </rPr>
          <t>Justois:</t>
        </r>
        <r>
          <rPr>
            <sz val="9"/>
            <color indexed="81"/>
            <rFont val="Tahoma"/>
            <family val="2"/>
          </rPr>
          <t xml:space="preserve">
Source: SCB
http://www.statistikdatabasen.scb.se/pxweb/en/ssd/START__NR__NR0103__NR0103F/SektorENS2010Ar/?rxid=052c7cee-6260-4ef0-a7f9-40eda8e7a13b
</t>
        </r>
      </text>
    </comment>
    <comment ref="BB140" authorId="1" shapeId="0" xr:uid="{00000000-0006-0000-0D00-000010000000}">
      <text>
        <r>
          <rPr>
            <b/>
            <sz val="9"/>
            <color rgb="FF000000"/>
            <rFont val="Tahoma"/>
            <family val="2"/>
          </rPr>
          <t>Justois:</t>
        </r>
        <r>
          <rPr>
            <sz val="9"/>
            <color rgb="FF000000"/>
            <rFont val="Tahoma"/>
            <family val="2"/>
          </rPr>
          <t xml:space="preserve">
Source: SCB
http://www.statistikdatabasen.scb.se/pxweb/en/ssd/START__NR__NR0103__NR0103F/SektorENS2010Ar/?rxid=052c7cee-6260-4ef0-a7f9-40eda8e7a13b
</t>
        </r>
      </text>
    </comment>
    <comment ref="E142" authorId="0" shapeId="0" xr:uid="{00000000-0006-0000-0D00-000011000000}">
      <text>
        <r>
          <rPr>
            <b/>
            <sz val="8"/>
            <color indexed="81"/>
            <rFont val="Tahoma"/>
            <family val="2"/>
          </rPr>
          <t>bethuge:</t>
        </r>
        <r>
          <rPr>
            <sz val="8"/>
            <color indexed="81"/>
            <rFont val="Tahoma"/>
            <family val="2"/>
          </rPr>
          <t xml:space="preserve">
Inconsistent data can result from different vintages of nationa accounts data</t>
        </r>
      </text>
    </comment>
    <comment ref="AB142" authorId="1" shapeId="0" xr:uid="{00000000-0006-0000-0D00-000012000000}">
      <text>
        <r>
          <rPr>
            <b/>
            <sz val="9"/>
            <color indexed="81"/>
            <rFont val="Tahoma"/>
            <family val="2"/>
          </rPr>
          <t>formula was changed for line 140 - 
sign convention changed</t>
        </r>
        <r>
          <rPr>
            <sz val="9"/>
            <color indexed="81"/>
            <rFont val="Tahoma"/>
            <family val="2"/>
          </rPr>
          <t xml:space="preserve">
</t>
        </r>
      </text>
    </comment>
    <comment ref="BB142" authorId="1" shapeId="0" xr:uid="{00000000-0006-0000-0D00-000013000000}">
      <text>
        <r>
          <rPr>
            <b/>
            <sz val="9"/>
            <color rgb="FF000000"/>
            <rFont val="Tahoma"/>
            <family val="2"/>
          </rPr>
          <t>formula was changed for line 140 - 
sign convention changed</t>
        </r>
        <r>
          <rPr>
            <sz val="9"/>
            <color rgb="FF000000"/>
            <rFont val="Tahoma"/>
            <family val="2"/>
          </rPr>
          <t xml:space="preserve">
</t>
        </r>
      </text>
    </comment>
    <comment ref="E163" authorId="2" shapeId="0" xr:uid="{00000000-0006-0000-0D00-000014000000}">
      <text>
        <r>
          <rPr>
            <b/>
            <sz val="9"/>
            <color indexed="81"/>
            <rFont val="Tahoma"/>
            <family val="2"/>
          </rPr>
          <t>MONTEIRO Daniel (ECFIN):</t>
        </r>
        <r>
          <rPr>
            <sz val="9"/>
            <color indexed="81"/>
            <rFont val="Tahoma"/>
            <family val="2"/>
          </rPr>
          <t xml:space="preserve">
Set equal to D.41p for forecast years as per ESA 2010 rules.</t>
        </r>
      </text>
    </comment>
    <comment ref="AG200" authorId="3" shapeId="0" xr:uid="{00000000-0006-0000-0D00-000015000000}">
      <text>
        <r>
          <rPr>
            <b/>
            <sz val="9"/>
            <color indexed="81"/>
            <rFont val="Tahoma"/>
            <family val="2"/>
          </rPr>
          <t>VIDAN BERMUDEZ Alberto (ECFIN-EXT):</t>
        </r>
        <r>
          <rPr>
            <sz val="9"/>
            <color indexed="81"/>
            <rFont val="Tahoma"/>
            <family val="2"/>
          </rPr>
          <t xml:space="preserve">
elast oecd -0.71</t>
        </r>
      </text>
    </comment>
    <comment ref="A202" authorId="0" shapeId="0" xr:uid="{00000000-0006-0000-0D00-000016000000}">
      <text>
        <r>
          <rPr>
            <b/>
            <sz val="8"/>
            <color indexed="81"/>
            <rFont val="Tahoma"/>
            <family val="2"/>
          </rPr>
          <t>bethuge:</t>
        </r>
        <r>
          <rPr>
            <sz val="8"/>
            <color indexed="81"/>
            <rFont val="Tahoma"/>
            <family val="2"/>
          </rPr>
          <t xml:space="preserve">
If there are no historical data for this variable, it could also be defined as the residual. 
However, if there are historical data we encourage you to use them because it provides a stronger check on consistency. </t>
        </r>
      </text>
    </comment>
    <comment ref="X202" authorId="4" shapeId="0" xr:uid="{00000000-0006-0000-0D00-000017000000}">
      <text>
        <r>
          <rPr>
            <b/>
            <sz val="9"/>
            <color indexed="81"/>
            <rFont val="Tahoma"/>
            <family val="2"/>
          </rPr>
          <t>GAAL Norbert (ECFIN):</t>
        </r>
        <r>
          <rPr>
            <sz val="9"/>
            <color indexed="81"/>
            <rFont val="Tahoma"/>
            <family val="2"/>
          </rPr>
          <t xml:space="preserve">
forced consistency has been updated to real data figures from the input sheet</t>
        </r>
      </text>
    </comment>
    <comment ref="E204" authorId="0" shapeId="0" xr:uid="{00000000-0006-0000-0D00-000018000000}">
      <text>
        <r>
          <rPr>
            <b/>
            <sz val="8"/>
            <color indexed="81"/>
            <rFont val="Tahoma"/>
            <family val="2"/>
          </rPr>
          <t>bethuge:</t>
        </r>
        <r>
          <rPr>
            <sz val="8"/>
            <color indexed="81"/>
            <rFont val="Tahoma"/>
            <family val="2"/>
          </rPr>
          <t xml:space="preserve">
Inconsistent data can result from different vintages of nationa accounts data</t>
        </r>
      </text>
    </comment>
    <comment ref="AL207" authorId="3" shapeId="0" xr:uid="{00000000-0006-0000-0D00-000019000000}">
      <text>
        <r>
          <rPr>
            <b/>
            <sz val="9"/>
            <color indexed="81"/>
            <rFont val="Tahoma"/>
            <family val="2"/>
          </rPr>
          <t>VIDAN BERMUDEZ Alberto (ECFIN-EXT):</t>
        </r>
        <r>
          <rPr>
            <sz val="9"/>
            <color indexed="81"/>
            <rFont val="Tahoma"/>
            <family val="2"/>
          </rPr>
          <t xml:space="preserve">
1,17 elast GDP
</t>
        </r>
      </text>
    </comment>
    <comment ref="AD208" authorId="5" shapeId="0" xr:uid="{00000000-0006-0000-0D00-00001A000000}">
      <text>
        <r>
          <rPr>
            <b/>
            <sz val="9"/>
            <color indexed="81"/>
            <rFont val="Tahoma"/>
            <family val="2"/>
          </rPr>
          <t>HARTLEY Julien (ECFIN):</t>
        </r>
        <r>
          <rPr>
            <sz val="9"/>
            <color indexed="81"/>
            <rFont val="Tahoma"/>
            <family val="2"/>
          </rPr>
          <t xml:space="preserve">
AF2017 was 3.5</t>
        </r>
      </text>
    </comment>
    <comment ref="AE208" authorId="5" shapeId="0" xr:uid="{00000000-0006-0000-0D00-00001B000000}">
      <text>
        <r>
          <rPr>
            <b/>
            <sz val="9"/>
            <color indexed="81"/>
            <rFont val="Tahoma"/>
            <family val="2"/>
          </rPr>
          <t>HARTLEY Julien (ECFIN):</t>
        </r>
        <r>
          <rPr>
            <sz val="9"/>
            <color indexed="81"/>
            <rFont val="Tahoma"/>
            <family val="2"/>
          </rPr>
          <t xml:space="preserve">
af2017 was 2.5</t>
        </r>
      </text>
    </comment>
    <comment ref="AF208" authorId="5" shapeId="0" xr:uid="{00000000-0006-0000-0D00-00001C000000}">
      <text>
        <r>
          <rPr>
            <b/>
            <sz val="9"/>
            <color indexed="81"/>
            <rFont val="Tahoma"/>
            <family val="2"/>
          </rPr>
          <t>HARTLEY Julien (ECFIN):</t>
        </r>
        <r>
          <rPr>
            <sz val="9"/>
            <color indexed="81"/>
            <rFont val="Tahoma"/>
            <family val="2"/>
          </rPr>
          <t xml:space="preserve">
af2017 was 2.5</t>
        </r>
      </text>
    </comment>
    <comment ref="F228" authorId="0" shapeId="0" xr:uid="{00000000-0006-0000-0D00-00001D000000}">
      <text>
        <r>
          <rPr>
            <b/>
            <sz val="8"/>
            <color indexed="81"/>
            <rFont val="Tahoma"/>
            <family val="2"/>
          </rPr>
          <t>bethuge:</t>
        </r>
        <r>
          <rPr>
            <sz val="8"/>
            <color indexed="81"/>
            <rFont val="Tahoma"/>
            <family val="2"/>
          </rPr>
          <t xml:space="preserve">
Theoretical value by OECD</t>
        </r>
      </text>
    </comment>
    <comment ref="F236" authorId="0" shapeId="0" xr:uid="{00000000-0006-0000-0D00-00001E000000}">
      <text>
        <r>
          <rPr>
            <b/>
            <sz val="8"/>
            <color indexed="81"/>
            <rFont val="Tahoma"/>
            <family val="2"/>
          </rPr>
          <t>bethuge:</t>
        </r>
        <r>
          <rPr>
            <sz val="8"/>
            <color indexed="81"/>
            <rFont val="Tahoma"/>
            <family val="2"/>
          </rPr>
          <t xml:space="preserve">
Theoretical value by OECD</t>
        </r>
      </text>
    </comment>
    <comment ref="E242" authorId="2" shapeId="0" xr:uid="{00000000-0006-0000-0D00-00001F000000}">
      <text>
        <r>
          <rPr>
            <b/>
            <sz val="9"/>
            <color indexed="81"/>
            <rFont val="Tahoma"/>
            <family val="2"/>
          </rPr>
          <t>MONTEIRO Daniel (ECFIN):</t>
        </r>
        <r>
          <rPr>
            <sz val="9"/>
            <color indexed="81"/>
            <rFont val="Tahoma"/>
            <family val="2"/>
          </rPr>
          <t xml:space="preserve">
Manually calculated as a weighted average based on HH and E shares of current taxes on income and wealth</t>
        </r>
      </text>
    </comment>
    <comment ref="F242" authorId="0" shapeId="0" xr:uid="{00000000-0006-0000-0D00-000020000000}">
      <text>
        <r>
          <rPr>
            <b/>
            <sz val="8"/>
            <color indexed="81"/>
            <rFont val="Tahoma"/>
            <family val="2"/>
          </rPr>
          <t>bethuge:</t>
        </r>
        <r>
          <rPr>
            <sz val="8"/>
            <color indexed="81"/>
            <rFont val="Tahoma"/>
            <family val="2"/>
          </rPr>
          <t xml:space="preserve">
Theoretical value by OECD</t>
        </r>
      </text>
    </comment>
    <comment ref="A256" authorId="0" shapeId="0" xr:uid="{00000000-0006-0000-0D00-000021000000}">
      <text>
        <r>
          <rPr>
            <b/>
            <sz val="8"/>
            <color indexed="81"/>
            <rFont val="Tahoma"/>
            <family val="2"/>
          </rPr>
          <t>bethuge:</t>
        </r>
        <r>
          <rPr>
            <sz val="8"/>
            <color indexed="81"/>
            <rFont val="Tahoma"/>
            <family val="2"/>
          </rPr>
          <t xml:space="preserve">
If there are no historical data for this variable, it could also be defined as the residual. 
However, if there are historical data we encourage you to use them because it provides a stronger check on consistency. </t>
        </r>
      </text>
    </comment>
    <comment ref="E258" authorId="0" shapeId="0" xr:uid="{00000000-0006-0000-0D00-000022000000}">
      <text>
        <r>
          <rPr>
            <b/>
            <sz val="8"/>
            <color indexed="81"/>
            <rFont val="Tahoma"/>
            <family val="2"/>
          </rPr>
          <t>bethuge:</t>
        </r>
        <r>
          <rPr>
            <sz val="8"/>
            <color indexed="81"/>
            <rFont val="Tahoma"/>
            <family val="2"/>
          </rPr>
          <t xml:space="preserve">
In ESA95, employers' social contributions are treated as if they were received by households as part of compensation of employees (D.1r) and then paid to the government as social contributions (D.61p), even though the social contributions paid by the employer is never actually received by households.
This implies that employers' social contributions is not at the expenditure side for corporations (at least not explicitly), since it is already integrated in compensation paid (D.1p).
</t>
        </r>
      </text>
    </comment>
    <comment ref="E260" authorId="0" shapeId="0" xr:uid="{00000000-0006-0000-0D00-000023000000}">
      <text>
        <r>
          <rPr>
            <b/>
            <sz val="8"/>
            <color indexed="81"/>
            <rFont val="Tahoma"/>
            <family val="2"/>
          </rPr>
          <t>bethuge:</t>
        </r>
        <r>
          <rPr>
            <sz val="8"/>
            <color indexed="81"/>
            <rFont val="Tahoma"/>
            <family val="2"/>
          </rPr>
          <t xml:space="preserve">
Inconsistent data can result from different vintages of nationa accounts data</t>
        </r>
      </text>
    </comment>
    <comment ref="F287" authorId="0" shapeId="0" xr:uid="{00000000-0006-0000-0D00-000024000000}">
      <text>
        <r>
          <rPr>
            <b/>
            <sz val="8"/>
            <color indexed="81"/>
            <rFont val="Tahoma"/>
            <family val="2"/>
          </rPr>
          <t>bethuge:</t>
        </r>
        <r>
          <rPr>
            <sz val="8"/>
            <color indexed="81"/>
            <rFont val="Tahoma"/>
            <family val="2"/>
          </rPr>
          <t xml:space="preserve">
Theoretical value by OECD</t>
        </r>
      </text>
    </comment>
    <comment ref="A299" authorId="0" shapeId="0" xr:uid="{00000000-0006-0000-0D00-000025000000}">
      <text>
        <r>
          <rPr>
            <b/>
            <sz val="8"/>
            <color indexed="81"/>
            <rFont val="Tahoma"/>
            <family val="2"/>
          </rPr>
          <t>bethuge:</t>
        </r>
        <r>
          <rPr>
            <sz val="8"/>
            <color indexed="81"/>
            <rFont val="Tahoma"/>
            <family val="2"/>
          </rPr>
          <t xml:space="preserve">
If there are no historical data for this variable, it could also be defined as the residual. 
However, if there are historical data we encourage you to use them because it provides a stronger check on consistency. </t>
        </r>
      </text>
    </comment>
    <comment ref="E301" authorId="0" shapeId="0" xr:uid="{00000000-0006-0000-0D00-000026000000}">
      <text>
        <r>
          <rPr>
            <b/>
            <sz val="8"/>
            <color indexed="81"/>
            <rFont val="Tahoma"/>
            <family val="2"/>
          </rPr>
          <t>bethuge:</t>
        </r>
        <r>
          <rPr>
            <sz val="8"/>
            <color indexed="81"/>
            <rFont val="Tahoma"/>
            <family val="2"/>
          </rPr>
          <t xml:space="preserve">
Inconsistent data can result from different vintages of nationa accounts data</t>
        </r>
      </text>
    </comment>
    <comment ref="AD306" authorId="5" shapeId="0" xr:uid="{00000000-0006-0000-0D00-000027000000}">
      <text>
        <r>
          <rPr>
            <b/>
            <sz val="9"/>
            <color indexed="81"/>
            <rFont val="Tahoma"/>
            <family val="2"/>
          </rPr>
          <t>HARTLEY Julien (ECFIN):</t>
        </r>
        <r>
          <rPr>
            <sz val="9"/>
            <color indexed="81"/>
            <rFont val="Tahoma"/>
            <family val="2"/>
          </rPr>
          <t xml:space="preserve">
AF 2017 was hard keyed 4.6</t>
        </r>
      </text>
    </comment>
    <comment ref="AE306" authorId="5" shapeId="0" xr:uid="{00000000-0006-0000-0D00-000028000000}">
      <text>
        <r>
          <rPr>
            <b/>
            <sz val="9"/>
            <color indexed="81"/>
            <rFont val="Tahoma"/>
            <family val="2"/>
          </rPr>
          <t>HARTLEY Julien (ECFIN):</t>
        </r>
        <r>
          <rPr>
            <sz val="9"/>
            <color indexed="81"/>
            <rFont val="Tahoma"/>
            <family val="2"/>
          </rPr>
          <t xml:space="preserve">
AF 2017 was hard keyed 3.75</t>
        </r>
      </text>
    </comment>
    <comment ref="AF306" authorId="5" shapeId="0" xr:uid="{00000000-0006-0000-0D00-000029000000}">
      <text>
        <r>
          <rPr>
            <b/>
            <sz val="9"/>
            <color indexed="81"/>
            <rFont val="Tahoma"/>
            <family val="2"/>
          </rPr>
          <t>HARTLEY Julien (ECFIN):</t>
        </r>
        <r>
          <rPr>
            <sz val="9"/>
            <color indexed="81"/>
            <rFont val="Tahoma"/>
            <family val="2"/>
          </rPr>
          <t xml:space="preserve">
AF 2017 was hard keyed 3.75</t>
        </r>
      </text>
    </comment>
    <comment ref="A327" authorId="0" shapeId="0" xr:uid="{00000000-0006-0000-0D00-00002A000000}">
      <text>
        <r>
          <rPr>
            <b/>
            <sz val="8"/>
            <color indexed="81"/>
            <rFont val="Tahoma"/>
            <family val="2"/>
          </rPr>
          <t>bethuge:</t>
        </r>
        <r>
          <rPr>
            <sz val="8"/>
            <color indexed="81"/>
            <rFont val="Tahoma"/>
            <family val="2"/>
          </rPr>
          <t xml:space="preserve">
If there are no historical data for this variable, it could also be defined as the residual. 
However, if there are historical data we encourage you to use them because it provides a stronger check on consistency. </t>
        </r>
      </text>
    </comment>
    <comment ref="E328" authorId="0" shapeId="0" xr:uid="{00000000-0006-0000-0D00-00002B000000}">
      <text>
        <r>
          <rPr>
            <b/>
            <sz val="8"/>
            <color indexed="81"/>
            <rFont val="Tahoma"/>
            <family val="2"/>
          </rPr>
          <t>bethuge:</t>
        </r>
        <r>
          <rPr>
            <sz val="8"/>
            <color indexed="81"/>
            <rFont val="Tahoma"/>
            <family val="2"/>
          </rPr>
          <t xml:space="preserve">
Inconsistent data can result from different vintages of nationa accounts data</t>
        </r>
      </text>
    </comment>
    <comment ref="AE331" authorId="5" shapeId="0" xr:uid="{00000000-0006-0000-0D00-00002C000000}">
      <text>
        <r>
          <rPr>
            <b/>
            <sz val="9"/>
            <color indexed="81"/>
            <rFont val="Tahoma"/>
            <family val="2"/>
          </rPr>
          <t>HARTLEY Julien (ECFIN):</t>
        </r>
        <r>
          <rPr>
            <sz val="9"/>
            <color indexed="81"/>
            <rFont val="Tahoma"/>
            <family val="2"/>
          </rPr>
          <t xml:space="preserve">
was 5 for af2017</t>
        </r>
      </text>
    </comment>
    <comment ref="AF331" authorId="5" shapeId="0" xr:uid="{00000000-0006-0000-0D00-00002D000000}">
      <text>
        <r>
          <rPr>
            <b/>
            <sz val="9"/>
            <color indexed="81"/>
            <rFont val="Tahoma"/>
            <family val="2"/>
          </rPr>
          <t>HARTLEY Julien (ECFIN):</t>
        </r>
        <r>
          <rPr>
            <sz val="9"/>
            <color indexed="81"/>
            <rFont val="Tahoma"/>
            <family val="2"/>
          </rPr>
          <t xml:space="preserve">
was 5 for af2017</t>
        </r>
      </text>
    </comment>
    <comment ref="AE332" authorId="5" shapeId="0" xr:uid="{00000000-0006-0000-0D00-00002E000000}">
      <text>
        <r>
          <rPr>
            <b/>
            <sz val="9"/>
            <color indexed="81"/>
            <rFont val="Tahoma"/>
            <family val="2"/>
          </rPr>
          <t>HARTLEY Julien (ECFIN):</t>
        </r>
        <r>
          <rPr>
            <sz val="9"/>
            <color indexed="81"/>
            <rFont val="Tahoma"/>
            <family val="2"/>
          </rPr>
          <t xml:space="preserve">
was 5 for af2017</t>
        </r>
      </text>
    </comment>
    <comment ref="AF332" authorId="5" shapeId="0" xr:uid="{00000000-0006-0000-0D00-00002F000000}">
      <text>
        <r>
          <rPr>
            <b/>
            <sz val="9"/>
            <color indexed="81"/>
            <rFont val="Tahoma"/>
            <family val="2"/>
          </rPr>
          <t>HARTLEY Julien (ECFIN):</t>
        </r>
        <r>
          <rPr>
            <sz val="9"/>
            <color indexed="81"/>
            <rFont val="Tahoma"/>
            <family val="2"/>
          </rPr>
          <t xml:space="preserve">
was 5 for af2017</t>
        </r>
      </text>
    </comment>
    <comment ref="AE333" authorId="5" shapeId="0" xr:uid="{00000000-0006-0000-0D00-000030000000}">
      <text>
        <r>
          <rPr>
            <b/>
            <sz val="9"/>
            <color indexed="81"/>
            <rFont val="Tahoma"/>
            <family val="2"/>
          </rPr>
          <t>HARTLEY Julien (ECFIN):</t>
        </r>
        <r>
          <rPr>
            <sz val="9"/>
            <color indexed="81"/>
            <rFont val="Tahoma"/>
            <family val="2"/>
          </rPr>
          <t xml:space="preserve">
af2017 was 5</t>
        </r>
      </text>
    </comment>
    <comment ref="AF333" authorId="5" shapeId="0" xr:uid="{00000000-0006-0000-0D00-000031000000}">
      <text>
        <r>
          <rPr>
            <b/>
            <sz val="9"/>
            <color indexed="81"/>
            <rFont val="Tahoma"/>
            <family val="2"/>
          </rPr>
          <t>HARTLEY Julien (ECFIN):</t>
        </r>
        <r>
          <rPr>
            <sz val="9"/>
            <color indexed="81"/>
            <rFont val="Tahoma"/>
            <family val="2"/>
          </rPr>
          <t xml:space="preserve">
af2017 was 5</t>
        </r>
      </text>
    </comment>
    <comment ref="AE335" authorId="5" shapeId="0" xr:uid="{00000000-0006-0000-0D00-000032000000}">
      <text>
        <r>
          <rPr>
            <b/>
            <sz val="9"/>
            <color indexed="81"/>
            <rFont val="Tahoma"/>
            <family val="2"/>
          </rPr>
          <t>HARTLEY Julien (ECFIN):</t>
        </r>
        <r>
          <rPr>
            <sz val="9"/>
            <color indexed="81"/>
            <rFont val="Tahoma"/>
            <family val="2"/>
          </rPr>
          <t xml:space="preserve">
af2017 was 2</t>
        </r>
      </text>
    </comment>
    <comment ref="AF335" authorId="5" shapeId="0" xr:uid="{00000000-0006-0000-0D00-000033000000}">
      <text>
        <r>
          <rPr>
            <b/>
            <sz val="9"/>
            <color indexed="81"/>
            <rFont val="Tahoma"/>
            <family val="2"/>
          </rPr>
          <t>HARTLEY Julien (ECFIN):</t>
        </r>
        <r>
          <rPr>
            <sz val="9"/>
            <color indexed="81"/>
            <rFont val="Tahoma"/>
            <family val="2"/>
          </rPr>
          <t xml:space="preserve">
af2017 was 2</t>
        </r>
      </text>
    </comment>
    <comment ref="AE336" authorId="5" shapeId="0" xr:uid="{00000000-0006-0000-0D00-000034000000}">
      <text>
        <r>
          <rPr>
            <b/>
            <sz val="9"/>
            <color indexed="81"/>
            <rFont val="Tahoma"/>
            <family val="2"/>
          </rPr>
          <t>HARTLEY Julien (ECFIN):</t>
        </r>
        <r>
          <rPr>
            <sz val="9"/>
            <color indexed="81"/>
            <rFont val="Tahoma"/>
            <family val="2"/>
          </rPr>
          <t xml:space="preserve">
af2017 was 1</t>
        </r>
      </text>
    </comment>
    <comment ref="AF336" authorId="5" shapeId="0" xr:uid="{00000000-0006-0000-0D00-000035000000}">
      <text>
        <r>
          <rPr>
            <b/>
            <sz val="9"/>
            <color indexed="81"/>
            <rFont val="Tahoma"/>
            <family val="2"/>
          </rPr>
          <t>HARTLEY Julien (ECFIN):</t>
        </r>
        <r>
          <rPr>
            <sz val="9"/>
            <color indexed="81"/>
            <rFont val="Tahoma"/>
            <family val="2"/>
          </rPr>
          <t xml:space="preserve">
af2017 was 1</t>
        </r>
      </text>
    </comment>
    <comment ref="E417" authorId="0" shapeId="0" xr:uid="{00000000-0006-0000-0D00-000036000000}">
      <text>
        <r>
          <rPr>
            <b/>
            <sz val="8"/>
            <color indexed="81"/>
            <rFont val="Tahoma"/>
            <family val="2"/>
          </rPr>
          <t>bethuge:</t>
        </r>
        <r>
          <rPr>
            <sz val="8"/>
            <color indexed="81"/>
            <rFont val="Tahoma"/>
            <family val="2"/>
          </rPr>
          <t xml:space="preserve">
Implicit residual.
</t>
        </r>
      </text>
    </comment>
    <comment ref="E424" authorId="0" shapeId="0" xr:uid="{00000000-0006-0000-0D00-000037000000}">
      <text>
        <r>
          <rPr>
            <b/>
            <sz val="8"/>
            <color indexed="81"/>
            <rFont val="Tahoma"/>
            <family val="2"/>
          </rPr>
          <t>bethuge:</t>
        </r>
        <r>
          <rPr>
            <sz val="8"/>
            <color indexed="81"/>
            <rFont val="Tahoma"/>
            <family val="2"/>
          </rPr>
          <t xml:space="preserve">
Sales = 
Market output (P.11) + 
Output for own final use (P.12) + 
Payments for the other non-market output (P.131).</t>
        </r>
      </text>
    </comment>
    <comment ref="E426" authorId="0" shapeId="0" xr:uid="{00000000-0006-0000-0D00-000038000000}">
      <text>
        <r>
          <rPr>
            <b/>
            <sz val="8"/>
            <color indexed="81"/>
            <rFont val="Tahoma"/>
            <family val="2"/>
          </rPr>
          <t>bethuge:</t>
        </r>
        <r>
          <rPr>
            <sz val="8"/>
            <color indexed="81"/>
            <rFont val="Tahoma"/>
            <family val="2"/>
          </rPr>
          <t xml:space="preserve">
Inconsistent data can result from different vintages of national accounts data</t>
        </r>
      </text>
    </comment>
    <comment ref="E434" authorId="0" shapeId="0" xr:uid="{00000000-0006-0000-0D00-000039000000}">
      <text>
        <r>
          <rPr>
            <b/>
            <sz val="8"/>
            <color indexed="81"/>
            <rFont val="Tahoma"/>
            <family val="2"/>
          </rPr>
          <t>bethuge:</t>
        </r>
        <r>
          <rPr>
            <sz val="8"/>
            <color indexed="81"/>
            <rFont val="Tahoma"/>
            <family val="2"/>
          </rPr>
          <t xml:space="preserve">
In most cases the net operating surplus of the government sector is close to zero. 
Therefore consumption of fixed capital should be nearly identical to gross operating surplus. 
</t>
        </r>
      </text>
    </comment>
    <comment ref="AD438" authorId="5" shapeId="0" xr:uid="{00000000-0006-0000-0D00-00003A000000}">
      <text>
        <r>
          <rPr>
            <b/>
            <sz val="9"/>
            <color indexed="81"/>
            <rFont val="Tahoma"/>
            <family val="2"/>
          </rPr>
          <t>HARTLEY Julien (ECFIN):</t>
        </r>
        <r>
          <rPr>
            <sz val="9"/>
            <color indexed="81"/>
            <rFont val="Tahoma"/>
            <family val="2"/>
          </rPr>
          <t xml:space="preserve">
was 0.4 af2017</t>
        </r>
      </text>
    </comment>
    <comment ref="AE438" authorId="5" shapeId="0" xr:uid="{00000000-0006-0000-0D00-00003B000000}">
      <text>
        <r>
          <rPr>
            <b/>
            <sz val="9"/>
            <color indexed="81"/>
            <rFont val="Tahoma"/>
            <family val="2"/>
          </rPr>
          <t>HARTLEY Julien (ECFIN):</t>
        </r>
        <r>
          <rPr>
            <sz val="9"/>
            <color indexed="81"/>
            <rFont val="Tahoma"/>
            <family val="2"/>
          </rPr>
          <t xml:space="preserve">
was 1 af2017</t>
        </r>
      </text>
    </comment>
    <comment ref="AF438" authorId="5" shapeId="0" xr:uid="{00000000-0006-0000-0D00-00003C000000}">
      <text>
        <r>
          <rPr>
            <b/>
            <sz val="9"/>
            <color indexed="81"/>
            <rFont val="Tahoma"/>
            <family val="2"/>
          </rPr>
          <t>HARTLEY Julien (ECFIN):</t>
        </r>
        <r>
          <rPr>
            <sz val="9"/>
            <color indexed="81"/>
            <rFont val="Tahoma"/>
            <family val="2"/>
          </rPr>
          <t xml:space="preserve">
was 1 af2017</t>
        </r>
      </text>
    </comment>
    <comment ref="E481" authorId="0" shapeId="0" xr:uid="{00000000-0006-0000-0D00-00003D000000}">
      <text>
        <r>
          <rPr>
            <b/>
            <sz val="8"/>
            <color indexed="81"/>
            <rFont val="Tahoma"/>
            <family val="2"/>
          </rPr>
          <t>bethuge:</t>
        </r>
        <r>
          <rPr>
            <sz val="8"/>
            <color indexed="81"/>
            <rFont val="Tahoma"/>
            <family val="2"/>
          </rPr>
          <t xml:space="preserve">
Capital transfers to relevant sectors for taxes and social contributions assessed but unlikely to be collected D.995</t>
        </r>
      </text>
    </comment>
    <comment ref="A488" authorId="0" shapeId="0" xr:uid="{00000000-0006-0000-0D00-00003E000000}">
      <text>
        <r>
          <rPr>
            <b/>
            <sz val="8"/>
            <color indexed="81"/>
            <rFont val="Tahoma"/>
            <family val="2"/>
          </rPr>
          <t>bethuge:</t>
        </r>
        <r>
          <rPr>
            <sz val="8"/>
            <color indexed="81"/>
            <rFont val="Tahoma"/>
            <family val="2"/>
          </rPr>
          <t xml:space="preserve">
If there are no historical data for this variable, it could also be defined as the residual. 
However, if there are historical data we encourage you to use them because it provides a stronger check on consistency. </t>
        </r>
      </text>
    </comment>
    <comment ref="E489" authorId="0" shapeId="0" xr:uid="{00000000-0006-0000-0D00-00003F000000}">
      <text>
        <r>
          <rPr>
            <b/>
            <sz val="8"/>
            <color indexed="81"/>
            <rFont val="Tahoma"/>
            <family val="2"/>
          </rPr>
          <t>bethuge:</t>
        </r>
        <r>
          <rPr>
            <sz val="8"/>
            <color indexed="81"/>
            <rFont val="Tahoma"/>
            <family val="2"/>
          </rPr>
          <t xml:space="preserve">
Inconsistent data can result from different vintages of nationa accounts data</t>
        </r>
      </text>
    </comment>
    <comment ref="A520" authorId="0" shapeId="0" xr:uid="{00000000-0006-0000-0D00-000040000000}">
      <text>
        <r>
          <rPr>
            <b/>
            <sz val="8"/>
            <color indexed="81"/>
            <rFont val="Tahoma"/>
            <family val="2"/>
          </rPr>
          <t>bethuge:</t>
        </r>
        <r>
          <rPr>
            <sz val="8"/>
            <color indexed="81"/>
            <rFont val="Tahoma"/>
            <family val="2"/>
          </rPr>
          <t xml:space="preserve">
If there are no historical data for this variable, it could also be defined as the residual. 
However, if there are historical data we encourage you to use them because it provides a stronger check on consistency. </t>
        </r>
      </text>
    </comment>
    <comment ref="E521" authorId="0" shapeId="0" xr:uid="{00000000-0006-0000-0D00-000041000000}">
      <text>
        <r>
          <rPr>
            <b/>
            <sz val="8"/>
            <color indexed="81"/>
            <rFont val="Tahoma"/>
            <family val="2"/>
          </rPr>
          <t>bethuge:</t>
        </r>
        <r>
          <rPr>
            <sz val="8"/>
            <color indexed="81"/>
            <rFont val="Tahoma"/>
            <family val="2"/>
          </rPr>
          <t xml:space="preserve">
Inconsistent data can result from different vintages of nationa accounts data</t>
        </r>
      </text>
    </comment>
    <comment ref="E540" authorId="0" shapeId="0" xr:uid="{00000000-0006-0000-0D00-000042000000}">
      <text>
        <r>
          <rPr>
            <b/>
            <sz val="8"/>
            <color indexed="81"/>
            <rFont val="Tahoma"/>
            <family val="2"/>
          </rPr>
          <t>bethuge:</t>
        </r>
        <r>
          <rPr>
            <sz val="8"/>
            <color indexed="81"/>
            <rFont val="Tahoma"/>
            <family val="2"/>
          </rPr>
          <t xml:space="preserve">
Implicit residual.
</t>
        </r>
      </text>
    </comment>
    <comment ref="E543" authorId="0" shapeId="0" xr:uid="{00000000-0006-0000-0D00-000043000000}">
      <text>
        <r>
          <rPr>
            <b/>
            <sz val="8"/>
            <color indexed="81"/>
            <rFont val="Tahoma"/>
            <family val="2"/>
          </rPr>
          <t>bethuge:</t>
        </r>
        <r>
          <rPr>
            <sz val="8"/>
            <color indexed="81"/>
            <rFont val="Tahoma"/>
            <family val="2"/>
          </rPr>
          <t xml:space="preserve">
Inconsistent data can result from different vintages of nationa accounts data</t>
        </r>
      </text>
    </comment>
    <comment ref="E547" authorId="0" shapeId="0" xr:uid="{00000000-0006-0000-0D00-000044000000}">
      <text>
        <r>
          <rPr>
            <b/>
            <sz val="8"/>
            <color indexed="81"/>
            <rFont val="Tahoma"/>
            <family val="2"/>
          </rPr>
          <t>bethuge:</t>
        </r>
        <r>
          <rPr>
            <sz val="8"/>
            <color indexed="81"/>
            <rFont val="Tahoma"/>
            <family val="2"/>
          </rPr>
          <t xml:space="preserve">
Implicit residual.
</t>
        </r>
      </text>
    </comment>
    <comment ref="A564" authorId="0" shapeId="0" xr:uid="{00000000-0006-0000-0D00-000045000000}">
      <text>
        <r>
          <rPr>
            <b/>
            <sz val="8"/>
            <color indexed="81"/>
            <rFont val="Tahoma"/>
            <family val="2"/>
          </rPr>
          <t>bethuge:</t>
        </r>
        <r>
          <rPr>
            <sz val="8"/>
            <color indexed="81"/>
            <rFont val="Tahoma"/>
            <family val="2"/>
          </rPr>
          <t xml:space="preserve">
If there are no historical data for this variable, it could also be defined as the residual. 
However, if there are historical data we encourage you to use them because it provides a stronger check on consistency. </t>
        </r>
      </text>
    </comment>
    <comment ref="E565" authorId="0" shapeId="0" xr:uid="{00000000-0006-0000-0D00-000046000000}">
      <text>
        <r>
          <rPr>
            <b/>
            <sz val="8"/>
            <color indexed="81"/>
            <rFont val="Tahoma"/>
            <family val="2"/>
          </rPr>
          <t>bethuge:</t>
        </r>
        <r>
          <rPr>
            <sz val="8"/>
            <color indexed="81"/>
            <rFont val="Tahoma"/>
            <family val="2"/>
          </rPr>
          <t xml:space="preserve">
Inconsistent data can result from different vintages of nationa accounts data</t>
        </r>
      </text>
    </comment>
    <comment ref="E567" authorId="0" shapeId="0" xr:uid="{00000000-0006-0000-0D00-000047000000}">
      <text>
        <r>
          <rPr>
            <b/>
            <sz val="8"/>
            <color indexed="81"/>
            <rFont val="Tahoma"/>
            <family val="2"/>
          </rPr>
          <t>bethuge:</t>
        </r>
        <r>
          <rPr>
            <sz val="8"/>
            <color indexed="81"/>
            <rFont val="Tahoma"/>
            <family val="2"/>
          </rPr>
          <t xml:space="preserve">
Inconsistent data can result from different vintages of nationa accounts data</t>
        </r>
      </text>
    </comment>
    <comment ref="E587" authorId="2" shapeId="0" xr:uid="{00000000-0006-0000-0D00-000048000000}">
      <text>
        <r>
          <rPr>
            <b/>
            <sz val="9"/>
            <color indexed="81"/>
            <rFont val="Tahoma"/>
            <family val="2"/>
          </rPr>
          <t>MONTEIRO Daniel (ECFIN):</t>
        </r>
        <r>
          <rPr>
            <sz val="9"/>
            <color indexed="81"/>
            <rFont val="Tahoma"/>
            <family val="2"/>
          </rPr>
          <t xml:space="preserve">
GVT net lending (EDP) made equal to GVT net lending as per ESA 2010 rules.</t>
        </r>
      </text>
    </comment>
    <comment ref="E631" authorId="0" shapeId="0" xr:uid="{00000000-0006-0000-0D00-000049000000}">
      <text>
        <r>
          <rPr>
            <b/>
            <sz val="8"/>
            <color indexed="81"/>
            <rFont val="Tahoma"/>
            <family val="2"/>
          </rPr>
          <t>bethuge:</t>
        </r>
        <r>
          <rPr>
            <sz val="8"/>
            <color indexed="81"/>
            <rFont val="Tahoma"/>
            <family val="2"/>
          </rPr>
          <t xml:space="preserve">
Total government expenditure = P.2 + P.5 + D.1p + D.29p + D.3p + D.4p + D.5p D.62p + D.6311p + D.63121p + D.63131p + D.7p + D.8 + D.9p + K.2.</t>
        </r>
      </text>
    </comment>
    <comment ref="E632" authorId="0" shapeId="0" xr:uid="{00000000-0006-0000-0D00-00004A000000}">
      <text>
        <r>
          <rPr>
            <b/>
            <sz val="8"/>
            <color indexed="81"/>
            <rFont val="Tahoma"/>
            <family val="2"/>
          </rPr>
          <t>bethuge:</t>
        </r>
        <r>
          <rPr>
            <sz val="8"/>
            <color indexed="81"/>
            <rFont val="Tahoma"/>
            <family val="2"/>
          </rPr>
          <t xml:space="preserve">
Inconsistent data can result from different vintages of nationa accounts data</t>
        </r>
      </text>
    </comment>
    <comment ref="E664" authorId="0" shapeId="0" xr:uid="{00000000-0006-0000-0D00-00004B000000}">
      <text>
        <r>
          <rPr>
            <b/>
            <sz val="8"/>
            <color indexed="81"/>
            <rFont val="Tahoma"/>
            <family val="2"/>
          </rPr>
          <t>bethuge:</t>
        </r>
        <r>
          <rPr>
            <sz val="8"/>
            <color indexed="81"/>
            <rFont val="Tahoma"/>
            <family val="2"/>
          </rPr>
          <t xml:space="preserve">
Total government expenditure = P.2 + P.5 + D.1p + D.29p + D.3p + D.4p + D.5p D.62p + D.6311p + D.63121p + D.63131p + D.7p + D.8 + D.9p + K.2.</t>
        </r>
      </text>
    </comment>
    <comment ref="E665" authorId="0" shapeId="0" xr:uid="{00000000-0006-0000-0D00-00004C000000}">
      <text>
        <r>
          <rPr>
            <b/>
            <sz val="8"/>
            <color indexed="81"/>
            <rFont val="Tahoma"/>
            <family val="2"/>
          </rPr>
          <t>bethuge:</t>
        </r>
        <r>
          <rPr>
            <sz val="8"/>
            <color indexed="81"/>
            <rFont val="Tahoma"/>
            <family val="2"/>
          </rPr>
          <t xml:space="preserve">
Inconsistent data can result from different vintages of nationa accounts data</t>
        </r>
      </text>
    </comment>
    <comment ref="AC772" authorId="1" shapeId="0" xr:uid="{00000000-0006-0000-0D00-00004D000000}">
      <text>
        <r>
          <rPr>
            <b/>
            <sz val="9"/>
            <color indexed="81"/>
            <rFont val="Tahoma"/>
            <family val="2"/>
          </rPr>
          <t>chnaged sign convention for line 771</t>
        </r>
        <r>
          <rPr>
            <sz val="9"/>
            <color indexed="81"/>
            <rFont val="Tahoma"/>
            <family val="2"/>
          </rPr>
          <t xml:space="preserve">
</t>
        </r>
      </text>
    </comment>
    <comment ref="AD772" authorId="1" shapeId="0" xr:uid="{00000000-0006-0000-0D00-00004E000000}">
      <text>
        <r>
          <rPr>
            <b/>
            <sz val="9"/>
            <color indexed="81"/>
            <rFont val="Tahoma"/>
            <family val="2"/>
          </rPr>
          <t>chnaged sign convention for line 771</t>
        </r>
        <r>
          <rPr>
            <sz val="9"/>
            <color indexed="81"/>
            <rFont val="Tahoma"/>
            <family val="2"/>
          </rPr>
          <t xml:space="preserve">
</t>
        </r>
      </text>
    </comment>
    <comment ref="AE772" authorId="1" shapeId="0" xr:uid="{00000000-0006-0000-0D00-00004F000000}">
      <text>
        <r>
          <rPr>
            <b/>
            <sz val="9"/>
            <color indexed="81"/>
            <rFont val="Tahoma"/>
            <family val="2"/>
          </rPr>
          <t>chnaged sign convention for line 771</t>
        </r>
        <r>
          <rPr>
            <sz val="9"/>
            <color indexed="81"/>
            <rFont val="Tahoma"/>
            <family val="2"/>
          </rPr>
          <t xml:space="preserve">
</t>
        </r>
      </text>
    </comment>
    <comment ref="AF772" authorId="1" shapeId="0" xr:uid="{00000000-0006-0000-0D00-000050000000}">
      <text>
        <r>
          <rPr>
            <b/>
            <sz val="9"/>
            <color indexed="81"/>
            <rFont val="Tahoma"/>
            <family val="2"/>
          </rPr>
          <t>chnaged sign convention for line 771</t>
        </r>
        <r>
          <rPr>
            <sz val="9"/>
            <color indexed="81"/>
            <rFont val="Tahoma"/>
            <family val="2"/>
          </rPr>
          <t xml:space="preserve">
</t>
        </r>
      </text>
    </comment>
    <comment ref="E774" authorId="0" shapeId="0" xr:uid="{00000000-0006-0000-0D00-000051000000}">
      <text>
        <r>
          <rPr>
            <b/>
            <sz val="8"/>
            <color indexed="81"/>
            <rFont val="Tahoma"/>
            <family val="2"/>
          </rPr>
          <t>bethuge:</t>
        </r>
        <r>
          <rPr>
            <sz val="8"/>
            <color indexed="81"/>
            <rFont val="Tahoma"/>
            <family val="2"/>
          </rPr>
          <t xml:space="preserve">
Inconsistent data can result from different vintages of nationa accounts data</t>
        </r>
      </text>
    </comment>
    <comment ref="E785" authorId="0" shapeId="0" xr:uid="{00000000-0006-0000-0D00-000052000000}">
      <text>
        <r>
          <rPr>
            <b/>
            <sz val="8"/>
            <color indexed="81"/>
            <rFont val="Tahoma"/>
            <family val="2"/>
          </rPr>
          <t>bethuge:</t>
        </r>
        <r>
          <rPr>
            <sz val="8"/>
            <color indexed="81"/>
            <rFont val="Tahoma"/>
            <family val="2"/>
          </rPr>
          <t xml:space="preserve">
Inconsistent data can result from different vintages of nationa accounts data</t>
        </r>
      </text>
    </comment>
    <comment ref="E793" authorId="0" shapeId="0" xr:uid="{00000000-0006-0000-0D00-000053000000}">
      <text>
        <r>
          <rPr>
            <b/>
            <sz val="8"/>
            <color indexed="81"/>
            <rFont val="Tahoma"/>
            <family val="2"/>
          </rPr>
          <t>bethuge:</t>
        </r>
        <r>
          <rPr>
            <sz val="8"/>
            <color indexed="81"/>
            <rFont val="Tahoma"/>
            <family val="2"/>
          </rPr>
          <t xml:space="preserve">
Inconsistent data can result from different vintages of nationa accounts data</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Justois</author>
    <author>VIDAN BERMUDEZ Alberto (ECFIN-EXT)</author>
    <author>HARTLEY Julien (ECFIN)</author>
    <author>author</author>
  </authors>
  <commentList>
    <comment ref="A11" authorId="0" shapeId="0" xr:uid="{00000000-0006-0000-1200-000001000000}">
      <text>
        <r>
          <rPr>
            <sz val="9"/>
            <color indexed="81"/>
            <rFont val="Tahoma"/>
            <family val="2"/>
          </rPr>
          <t>Saved by NET1\JUSTOIS on 22/10/2018 12:23:15
Latest revision date 22/10/2018 12:23:09</t>
        </r>
      </text>
    </comment>
    <comment ref="H42" authorId="1" shapeId="0" xr:uid="{00000000-0006-0000-1200-000002000000}">
      <text>
        <r>
          <rPr>
            <sz val="9"/>
            <color indexed="81"/>
            <rFont val="Tahoma"/>
            <family val="2"/>
          </rPr>
          <t>Invalid value</t>
        </r>
      </text>
    </comment>
    <comment ref="I42" authorId="1" shapeId="0" xr:uid="{00000000-0006-0000-1200-000003000000}">
      <text>
        <r>
          <rPr>
            <sz val="9"/>
            <color indexed="81"/>
            <rFont val="Tahoma"/>
            <family val="2"/>
          </rPr>
          <t>Invalid value</t>
        </r>
      </text>
    </comment>
    <comment ref="J42" authorId="1" shapeId="0" xr:uid="{00000000-0006-0000-1200-000004000000}">
      <text>
        <r>
          <rPr>
            <sz val="9"/>
            <color indexed="81"/>
            <rFont val="Tahoma"/>
            <family val="2"/>
          </rPr>
          <t>Invalid value</t>
        </r>
      </text>
    </comment>
    <comment ref="K42" authorId="1" shapeId="0" xr:uid="{00000000-0006-0000-1200-000005000000}">
      <text>
        <r>
          <rPr>
            <sz val="9"/>
            <color indexed="81"/>
            <rFont val="Tahoma"/>
            <family val="2"/>
          </rPr>
          <t>Invalid value</t>
        </r>
      </text>
    </comment>
    <comment ref="L42" authorId="1" shapeId="0" xr:uid="{00000000-0006-0000-1200-000006000000}">
      <text>
        <r>
          <rPr>
            <sz val="9"/>
            <color indexed="81"/>
            <rFont val="Tahoma"/>
            <family val="2"/>
          </rPr>
          <t>Invalid value</t>
        </r>
      </text>
    </comment>
    <comment ref="M42" authorId="1" shapeId="0" xr:uid="{00000000-0006-0000-1200-000007000000}">
      <text>
        <r>
          <rPr>
            <sz val="9"/>
            <color indexed="81"/>
            <rFont val="Tahoma"/>
            <family val="2"/>
          </rPr>
          <t>Invalid value</t>
        </r>
      </text>
    </comment>
    <comment ref="N42" authorId="1" shapeId="0" xr:uid="{00000000-0006-0000-1200-000008000000}">
      <text>
        <r>
          <rPr>
            <sz val="9"/>
            <color indexed="81"/>
            <rFont val="Tahoma"/>
            <family val="2"/>
          </rPr>
          <t>Invalid value</t>
        </r>
      </text>
    </comment>
    <comment ref="O42" authorId="1" shapeId="0" xr:uid="{00000000-0006-0000-1200-000009000000}">
      <text>
        <r>
          <rPr>
            <sz val="9"/>
            <color indexed="81"/>
            <rFont val="Tahoma"/>
            <family val="2"/>
          </rPr>
          <t>Invalid value</t>
        </r>
      </text>
    </comment>
    <comment ref="P42" authorId="1" shapeId="0" xr:uid="{00000000-0006-0000-1200-00000A000000}">
      <text>
        <r>
          <rPr>
            <sz val="9"/>
            <color indexed="81"/>
            <rFont val="Tahoma"/>
            <family val="2"/>
          </rPr>
          <t>Invalid value</t>
        </r>
      </text>
    </comment>
    <comment ref="Q42" authorId="1" shapeId="0" xr:uid="{00000000-0006-0000-1200-00000B000000}">
      <text>
        <r>
          <rPr>
            <sz val="9"/>
            <color indexed="81"/>
            <rFont val="Tahoma"/>
            <family val="2"/>
          </rPr>
          <t>Invalid value</t>
        </r>
      </text>
    </comment>
    <comment ref="R42" authorId="1" shapeId="0" xr:uid="{00000000-0006-0000-1200-00000C000000}">
      <text>
        <r>
          <rPr>
            <sz val="9"/>
            <color indexed="81"/>
            <rFont val="Tahoma"/>
            <family val="2"/>
          </rPr>
          <t>Invalid value</t>
        </r>
      </text>
    </comment>
    <comment ref="S42" authorId="1" shapeId="0" xr:uid="{00000000-0006-0000-1200-00000D000000}">
      <text>
        <r>
          <rPr>
            <sz val="9"/>
            <color indexed="81"/>
            <rFont val="Tahoma"/>
            <family val="2"/>
          </rPr>
          <t>Invalid value</t>
        </r>
      </text>
    </comment>
    <comment ref="T42" authorId="1" shapeId="0" xr:uid="{00000000-0006-0000-1200-00000E000000}">
      <text>
        <r>
          <rPr>
            <sz val="9"/>
            <color indexed="81"/>
            <rFont val="Tahoma"/>
            <family val="2"/>
          </rPr>
          <t>Invalid value</t>
        </r>
      </text>
    </comment>
    <comment ref="U42" authorId="1" shapeId="0" xr:uid="{00000000-0006-0000-1200-00000F000000}">
      <text>
        <r>
          <rPr>
            <sz val="9"/>
            <color indexed="81"/>
            <rFont val="Tahoma"/>
            <family val="2"/>
          </rPr>
          <t>Invalid value</t>
        </r>
      </text>
    </comment>
    <comment ref="V42" authorId="1" shapeId="0" xr:uid="{00000000-0006-0000-1200-000010000000}">
      <text>
        <r>
          <rPr>
            <sz val="9"/>
            <color indexed="81"/>
            <rFont val="Tahoma"/>
            <family val="2"/>
          </rPr>
          <t>Invalid value</t>
        </r>
      </text>
    </comment>
    <comment ref="W42" authorId="1" shapeId="0" xr:uid="{00000000-0006-0000-1200-000011000000}">
      <text>
        <r>
          <rPr>
            <sz val="9"/>
            <color indexed="81"/>
            <rFont val="Tahoma"/>
            <family val="2"/>
          </rPr>
          <t>Invalid value</t>
        </r>
      </text>
    </comment>
    <comment ref="X42" authorId="1" shapeId="0" xr:uid="{00000000-0006-0000-1200-000012000000}">
      <text>
        <r>
          <rPr>
            <sz val="9"/>
            <color indexed="81"/>
            <rFont val="Tahoma"/>
            <family val="2"/>
          </rPr>
          <t>Invalid value</t>
        </r>
      </text>
    </comment>
    <comment ref="Y42" authorId="1" shapeId="0" xr:uid="{00000000-0006-0000-1200-000013000000}">
      <text>
        <r>
          <rPr>
            <sz val="9"/>
            <color indexed="81"/>
            <rFont val="Tahoma"/>
            <family val="2"/>
          </rPr>
          <t>Invalid value</t>
        </r>
      </text>
    </comment>
    <comment ref="Z42" authorId="1" shapeId="0" xr:uid="{00000000-0006-0000-1200-000014000000}">
      <text>
        <r>
          <rPr>
            <sz val="9"/>
            <color indexed="81"/>
            <rFont val="Tahoma"/>
            <family val="2"/>
          </rPr>
          <t>Invalid value</t>
        </r>
      </text>
    </comment>
    <comment ref="AA42" authorId="1" shapeId="0" xr:uid="{00000000-0006-0000-1200-000015000000}">
      <text>
        <r>
          <rPr>
            <sz val="9"/>
            <color indexed="81"/>
            <rFont val="Tahoma"/>
            <family val="2"/>
          </rPr>
          <t>Invalid value</t>
        </r>
      </text>
    </comment>
    <comment ref="AB42" authorId="1" shapeId="0" xr:uid="{00000000-0006-0000-1200-000016000000}">
      <text>
        <r>
          <rPr>
            <sz val="9"/>
            <color indexed="81"/>
            <rFont val="Tahoma"/>
            <family val="2"/>
          </rPr>
          <t>Invalid value</t>
        </r>
      </text>
    </comment>
    <comment ref="AC42" authorId="1" shapeId="0" xr:uid="{00000000-0006-0000-1200-000017000000}">
      <text>
        <r>
          <rPr>
            <sz val="9"/>
            <color indexed="81"/>
            <rFont val="Tahoma"/>
            <family val="2"/>
          </rPr>
          <t>Invalid value</t>
        </r>
      </text>
    </comment>
    <comment ref="AD42" authorId="1" shapeId="0" xr:uid="{00000000-0006-0000-1200-000018000000}">
      <text>
        <r>
          <rPr>
            <sz val="9"/>
            <color indexed="81"/>
            <rFont val="Tahoma"/>
            <family val="2"/>
          </rPr>
          <t>Invalid value</t>
        </r>
      </text>
    </comment>
    <comment ref="AE42" authorId="1" shapeId="0" xr:uid="{00000000-0006-0000-1200-000019000000}">
      <text>
        <r>
          <rPr>
            <sz val="9"/>
            <color indexed="81"/>
            <rFont val="Tahoma"/>
            <family val="2"/>
          </rPr>
          <t>Invalid value</t>
        </r>
      </text>
    </comment>
    <comment ref="AF42" authorId="1" shapeId="0" xr:uid="{00000000-0006-0000-1200-00001A000000}">
      <text>
        <r>
          <rPr>
            <sz val="9"/>
            <color indexed="81"/>
            <rFont val="Tahoma"/>
            <family val="2"/>
          </rPr>
          <t>Invalid value</t>
        </r>
      </text>
    </comment>
    <comment ref="H46" authorId="1" shapeId="0" xr:uid="{00000000-0006-0000-1200-00001B000000}">
      <text>
        <r>
          <rPr>
            <sz val="9"/>
            <color indexed="81"/>
            <rFont val="Tahoma"/>
            <family val="2"/>
          </rPr>
          <t>Invalid value</t>
        </r>
      </text>
    </comment>
    <comment ref="I46" authorId="1" shapeId="0" xr:uid="{00000000-0006-0000-1200-00001C000000}">
      <text>
        <r>
          <rPr>
            <sz val="9"/>
            <color indexed="81"/>
            <rFont val="Tahoma"/>
            <family val="2"/>
          </rPr>
          <t>Invalid value</t>
        </r>
      </text>
    </comment>
    <comment ref="J46" authorId="1" shapeId="0" xr:uid="{00000000-0006-0000-1200-00001D000000}">
      <text>
        <r>
          <rPr>
            <sz val="9"/>
            <color indexed="81"/>
            <rFont val="Tahoma"/>
            <family val="2"/>
          </rPr>
          <t>Invalid value</t>
        </r>
      </text>
    </comment>
    <comment ref="K46" authorId="1" shapeId="0" xr:uid="{00000000-0006-0000-1200-00001E000000}">
      <text>
        <r>
          <rPr>
            <sz val="9"/>
            <color indexed="81"/>
            <rFont val="Tahoma"/>
            <family val="2"/>
          </rPr>
          <t>Invalid value</t>
        </r>
      </text>
    </comment>
    <comment ref="L46" authorId="1" shapeId="0" xr:uid="{00000000-0006-0000-1200-00001F000000}">
      <text>
        <r>
          <rPr>
            <sz val="9"/>
            <color indexed="81"/>
            <rFont val="Tahoma"/>
            <family val="2"/>
          </rPr>
          <t>Invalid value</t>
        </r>
      </text>
    </comment>
    <comment ref="M46" authorId="1" shapeId="0" xr:uid="{00000000-0006-0000-1200-000020000000}">
      <text>
        <r>
          <rPr>
            <sz val="9"/>
            <color indexed="81"/>
            <rFont val="Tahoma"/>
            <family val="2"/>
          </rPr>
          <t>Invalid value</t>
        </r>
      </text>
    </comment>
    <comment ref="N46" authorId="1" shapeId="0" xr:uid="{00000000-0006-0000-1200-000021000000}">
      <text>
        <r>
          <rPr>
            <sz val="9"/>
            <color indexed="81"/>
            <rFont val="Tahoma"/>
            <family val="2"/>
          </rPr>
          <t>Invalid value</t>
        </r>
      </text>
    </comment>
    <comment ref="O46" authorId="1" shapeId="0" xr:uid="{00000000-0006-0000-1200-000022000000}">
      <text>
        <r>
          <rPr>
            <sz val="9"/>
            <color indexed="81"/>
            <rFont val="Tahoma"/>
            <family val="2"/>
          </rPr>
          <t>Invalid value</t>
        </r>
      </text>
    </comment>
    <comment ref="P46" authorId="1" shapeId="0" xr:uid="{00000000-0006-0000-1200-000023000000}">
      <text>
        <r>
          <rPr>
            <sz val="9"/>
            <color indexed="81"/>
            <rFont val="Tahoma"/>
            <family val="2"/>
          </rPr>
          <t>Invalid value</t>
        </r>
      </text>
    </comment>
    <comment ref="Q46" authorId="1" shapeId="0" xr:uid="{00000000-0006-0000-1200-000024000000}">
      <text>
        <r>
          <rPr>
            <sz val="9"/>
            <color indexed="81"/>
            <rFont val="Tahoma"/>
            <family val="2"/>
          </rPr>
          <t>Invalid value</t>
        </r>
      </text>
    </comment>
    <comment ref="R46" authorId="1" shapeId="0" xr:uid="{00000000-0006-0000-1200-000025000000}">
      <text>
        <r>
          <rPr>
            <sz val="9"/>
            <color indexed="81"/>
            <rFont val="Tahoma"/>
            <family val="2"/>
          </rPr>
          <t>Invalid value</t>
        </r>
      </text>
    </comment>
    <comment ref="S46" authorId="1" shapeId="0" xr:uid="{00000000-0006-0000-1200-000026000000}">
      <text>
        <r>
          <rPr>
            <sz val="9"/>
            <color indexed="81"/>
            <rFont val="Tahoma"/>
            <family val="2"/>
          </rPr>
          <t>Invalid value</t>
        </r>
      </text>
    </comment>
    <comment ref="T46" authorId="1" shapeId="0" xr:uid="{00000000-0006-0000-1200-000027000000}">
      <text>
        <r>
          <rPr>
            <sz val="9"/>
            <color indexed="81"/>
            <rFont val="Tahoma"/>
            <family val="2"/>
          </rPr>
          <t>Invalid value</t>
        </r>
      </text>
    </comment>
    <comment ref="U46" authorId="1" shapeId="0" xr:uid="{00000000-0006-0000-1200-000028000000}">
      <text>
        <r>
          <rPr>
            <sz val="9"/>
            <color indexed="81"/>
            <rFont val="Tahoma"/>
            <family val="2"/>
          </rPr>
          <t>Invalid value</t>
        </r>
      </text>
    </comment>
    <comment ref="V46" authorId="1" shapeId="0" xr:uid="{00000000-0006-0000-1200-000029000000}">
      <text>
        <r>
          <rPr>
            <sz val="9"/>
            <color indexed="81"/>
            <rFont val="Tahoma"/>
            <family val="2"/>
          </rPr>
          <t>Invalid value</t>
        </r>
      </text>
    </comment>
    <comment ref="W46" authorId="1" shapeId="0" xr:uid="{00000000-0006-0000-1200-00002A000000}">
      <text>
        <r>
          <rPr>
            <sz val="9"/>
            <color indexed="81"/>
            <rFont val="Tahoma"/>
            <family val="2"/>
          </rPr>
          <t>Invalid value</t>
        </r>
      </text>
    </comment>
    <comment ref="X46" authorId="1" shapeId="0" xr:uid="{00000000-0006-0000-1200-00002B000000}">
      <text>
        <r>
          <rPr>
            <sz val="9"/>
            <color indexed="81"/>
            <rFont val="Tahoma"/>
            <family val="2"/>
          </rPr>
          <t>Invalid value</t>
        </r>
      </text>
    </comment>
    <comment ref="Y46" authorId="1" shapeId="0" xr:uid="{00000000-0006-0000-1200-00002C000000}">
      <text>
        <r>
          <rPr>
            <sz val="9"/>
            <color indexed="81"/>
            <rFont val="Tahoma"/>
            <family val="2"/>
          </rPr>
          <t>Invalid value</t>
        </r>
      </text>
    </comment>
    <comment ref="Z46" authorId="1" shapeId="0" xr:uid="{00000000-0006-0000-1200-00002D000000}">
      <text>
        <r>
          <rPr>
            <sz val="9"/>
            <color indexed="81"/>
            <rFont val="Tahoma"/>
            <family val="2"/>
          </rPr>
          <t>Invalid value</t>
        </r>
      </text>
    </comment>
    <comment ref="AA46" authorId="1" shapeId="0" xr:uid="{00000000-0006-0000-1200-00002E000000}">
      <text>
        <r>
          <rPr>
            <sz val="9"/>
            <color indexed="81"/>
            <rFont val="Tahoma"/>
            <family val="2"/>
          </rPr>
          <t>Invalid value</t>
        </r>
      </text>
    </comment>
    <comment ref="AB46" authorId="1" shapeId="0" xr:uid="{00000000-0006-0000-1200-00002F000000}">
      <text>
        <r>
          <rPr>
            <sz val="9"/>
            <color indexed="81"/>
            <rFont val="Tahoma"/>
            <family val="2"/>
          </rPr>
          <t>Invalid value</t>
        </r>
      </text>
    </comment>
    <comment ref="AC46" authorId="1" shapeId="0" xr:uid="{00000000-0006-0000-1200-000030000000}">
      <text>
        <r>
          <rPr>
            <sz val="9"/>
            <color indexed="81"/>
            <rFont val="Tahoma"/>
            <family val="2"/>
          </rPr>
          <t>Invalid value</t>
        </r>
      </text>
    </comment>
    <comment ref="AD46" authorId="1" shapeId="0" xr:uid="{00000000-0006-0000-1200-000031000000}">
      <text>
        <r>
          <rPr>
            <sz val="9"/>
            <color indexed="81"/>
            <rFont val="Tahoma"/>
            <family val="2"/>
          </rPr>
          <t>Invalid value</t>
        </r>
      </text>
    </comment>
    <comment ref="AE46" authorId="1" shapeId="0" xr:uid="{00000000-0006-0000-1200-000032000000}">
      <text>
        <r>
          <rPr>
            <sz val="9"/>
            <color indexed="81"/>
            <rFont val="Tahoma"/>
            <family val="2"/>
          </rPr>
          <t>Invalid value</t>
        </r>
      </text>
    </comment>
    <comment ref="AF46" authorId="1" shapeId="0" xr:uid="{00000000-0006-0000-1200-000033000000}">
      <text>
        <r>
          <rPr>
            <sz val="9"/>
            <color indexed="81"/>
            <rFont val="Tahoma"/>
            <family val="2"/>
          </rPr>
          <t>Invalid value</t>
        </r>
      </text>
    </comment>
    <comment ref="H50" authorId="1" shapeId="0" xr:uid="{00000000-0006-0000-1200-000034000000}">
      <text>
        <r>
          <rPr>
            <sz val="9"/>
            <color indexed="81"/>
            <rFont val="Tahoma"/>
            <family val="2"/>
          </rPr>
          <t>Invalid value</t>
        </r>
      </text>
    </comment>
    <comment ref="I50" authorId="1" shapeId="0" xr:uid="{00000000-0006-0000-1200-000035000000}">
      <text>
        <r>
          <rPr>
            <sz val="9"/>
            <color indexed="81"/>
            <rFont val="Tahoma"/>
            <family val="2"/>
          </rPr>
          <t>Invalid value</t>
        </r>
      </text>
    </comment>
    <comment ref="J50" authorId="1" shapeId="0" xr:uid="{00000000-0006-0000-1200-000036000000}">
      <text>
        <r>
          <rPr>
            <sz val="9"/>
            <color indexed="81"/>
            <rFont val="Tahoma"/>
            <family val="2"/>
          </rPr>
          <t>Invalid value</t>
        </r>
      </text>
    </comment>
    <comment ref="K50" authorId="1" shapeId="0" xr:uid="{00000000-0006-0000-1200-000037000000}">
      <text>
        <r>
          <rPr>
            <sz val="9"/>
            <color indexed="81"/>
            <rFont val="Tahoma"/>
            <family val="2"/>
          </rPr>
          <t>Invalid value</t>
        </r>
      </text>
    </comment>
    <comment ref="L50" authorId="1" shapeId="0" xr:uid="{00000000-0006-0000-1200-000038000000}">
      <text>
        <r>
          <rPr>
            <sz val="9"/>
            <color indexed="81"/>
            <rFont val="Tahoma"/>
            <family val="2"/>
          </rPr>
          <t>Invalid value</t>
        </r>
      </text>
    </comment>
    <comment ref="M50" authorId="1" shapeId="0" xr:uid="{00000000-0006-0000-1200-000039000000}">
      <text>
        <r>
          <rPr>
            <sz val="9"/>
            <color indexed="81"/>
            <rFont val="Tahoma"/>
            <family val="2"/>
          </rPr>
          <t>Invalid value</t>
        </r>
      </text>
    </comment>
    <comment ref="N50" authorId="1" shapeId="0" xr:uid="{00000000-0006-0000-1200-00003A000000}">
      <text>
        <r>
          <rPr>
            <sz val="9"/>
            <color indexed="81"/>
            <rFont val="Tahoma"/>
            <family val="2"/>
          </rPr>
          <t>Invalid value</t>
        </r>
      </text>
    </comment>
    <comment ref="O50" authorId="1" shapeId="0" xr:uid="{00000000-0006-0000-1200-00003B000000}">
      <text>
        <r>
          <rPr>
            <sz val="9"/>
            <color indexed="81"/>
            <rFont val="Tahoma"/>
            <family val="2"/>
          </rPr>
          <t>Invalid value</t>
        </r>
      </text>
    </comment>
    <comment ref="P50" authorId="1" shapeId="0" xr:uid="{00000000-0006-0000-1200-00003C000000}">
      <text>
        <r>
          <rPr>
            <sz val="9"/>
            <color indexed="81"/>
            <rFont val="Tahoma"/>
            <family val="2"/>
          </rPr>
          <t>Invalid value</t>
        </r>
      </text>
    </comment>
    <comment ref="Q50" authorId="1" shapeId="0" xr:uid="{00000000-0006-0000-1200-00003D000000}">
      <text>
        <r>
          <rPr>
            <sz val="9"/>
            <color indexed="81"/>
            <rFont val="Tahoma"/>
            <family val="2"/>
          </rPr>
          <t>Invalid value</t>
        </r>
      </text>
    </comment>
    <comment ref="R50" authorId="1" shapeId="0" xr:uid="{00000000-0006-0000-1200-00003E000000}">
      <text>
        <r>
          <rPr>
            <sz val="9"/>
            <color indexed="81"/>
            <rFont val="Tahoma"/>
            <family val="2"/>
          </rPr>
          <t>Invalid value</t>
        </r>
      </text>
    </comment>
    <comment ref="S50" authorId="1" shapeId="0" xr:uid="{00000000-0006-0000-1200-00003F000000}">
      <text>
        <r>
          <rPr>
            <sz val="9"/>
            <color indexed="81"/>
            <rFont val="Tahoma"/>
            <family val="2"/>
          </rPr>
          <t>Invalid value</t>
        </r>
      </text>
    </comment>
    <comment ref="T50" authorId="1" shapeId="0" xr:uid="{00000000-0006-0000-1200-000040000000}">
      <text>
        <r>
          <rPr>
            <sz val="9"/>
            <color indexed="81"/>
            <rFont val="Tahoma"/>
            <family val="2"/>
          </rPr>
          <t>Invalid value</t>
        </r>
      </text>
    </comment>
    <comment ref="U50" authorId="1" shapeId="0" xr:uid="{00000000-0006-0000-1200-000041000000}">
      <text>
        <r>
          <rPr>
            <sz val="9"/>
            <color indexed="81"/>
            <rFont val="Tahoma"/>
            <family val="2"/>
          </rPr>
          <t>Invalid value</t>
        </r>
      </text>
    </comment>
    <comment ref="V50" authorId="1" shapeId="0" xr:uid="{00000000-0006-0000-1200-000042000000}">
      <text>
        <r>
          <rPr>
            <sz val="9"/>
            <color indexed="81"/>
            <rFont val="Tahoma"/>
            <family val="2"/>
          </rPr>
          <t>Invalid value</t>
        </r>
      </text>
    </comment>
    <comment ref="W50" authorId="1" shapeId="0" xr:uid="{00000000-0006-0000-1200-000043000000}">
      <text>
        <r>
          <rPr>
            <sz val="9"/>
            <color indexed="81"/>
            <rFont val="Tahoma"/>
            <family val="2"/>
          </rPr>
          <t>Invalid value</t>
        </r>
      </text>
    </comment>
    <comment ref="X50" authorId="1" shapeId="0" xr:uid="{00000000-0006-0000-1200-000044000000}">
      <text>
        <r>
          <rPr>
            <sz val="9"/>
            <color indexed="81"/>
            <rFont val="Tahoma"/>
            <family val="2"/>
          </rPr>
          <t>Invalid value</t>
        </r>
      </text>
    </comment>
    <comment ref="Y50" authorId="1" shapeId="0" xr:uid="{00000000-0006-0000-1200-000045000000}">
      <text>
        <r>
          <rPr>
            <sz val="9"/>
            <color indexed="81"/>
            <rFont val="Tahoma"/>
            <family val="2"/>
          </rPr>
          <t>Invalid value</t>
        </r>
      </text>
    </comment>
    <comment ref="Z50" authorId="1" shapeId="0" xr:uid="{00000000-0006-0000-1200-000046000000}">
      <text>
        <r>
          <rPr>
            <sz val="9"/>
            <color indexed="81"/>
            <rFont val="Tahoma"/>
            <family val="2"/>
          </rPr>
          <t>Invalid value</t>
        </r>
      </text>
    </comment>
    <comment ref="AA50" authorId="1" shapeId="0" xr:uid="{00000000-0006-0000-1200-000047000000}">
      <text>
        <r>
          <rPr>
            <sz val="9"/>
            <color indexed="81"/>
            <rFont val="Tahoma"/>
            <family val="2"/>
          </rPr>
          <t>Invalid value</t>
        </r>
      </text>
    </comment>
    <comment ref="AB50" authorId="1" shapeId="0" xr:uid="{00000000-0006-0000-1200-000048000000}">
      <text>
        <r>
          <rPr>
            <sz val="9"/>
            <color indexed="81"/>
            <rFont val="Tahoma"/>
            <family val="2"/>
          </rPr>
          <t>Invalid value</t>
        </r>
      </text>
    </comment>
    <comment ref="AC50" authorId="1" shapeId="0" xr:uid="{00000000-0006-0000-1200-000049000000}">
      <text>
        <r>
          <rPr>
            <sz val="9"/>
            <color indexed="81"/>
            <rFont val="Tahoma"/>
            <family val="2"/>
          </rPr>
          <t>Invalid value</t>
        </r>
      </text>
    </comment>
    <comment ref="AD50" authorId="1" shapeId="0" xr:uid="{00000000-0006-0000-1200-00004A000000}">
      <text>
        <r>
          <rPr>
            <sz val="9"/>
            <color indexed="81"/>
            <rFont val="Tahoma"/>
            <family val="2"/>
          </rPr>
          <t>Invalid value</t>
        </r>
      </text>
    </comment>
    <comment ref="AE50" authorId="1" shapeId="0" xr:uid="{00000000-0006-0000-1200-00004B000000}">
      <text>
        <r>
          <rPr>
            <sz val="9"/>
            <color indexed="81"/>
            <rFont val="Tahoma"/>
            <family val="2"/>
          </rPr>
          <t>Invalid value</t>
        </r>
      </text>
    </comment>
    <comment ref="AF50" authorId="1" shapeId="0" xr:uid="{00000000-0006-0000-1200-00004C000000}">
      <text>
        <r>
          <rPr>
            <sz val="9"/>
            <color indexed="81"/>
            <rFont val="Tahoma"/>
            <family val="2"/>
          </rPr>
          <t>Invalid value</t>
        </r>
      </text>
    </comment>
    <comment ref="H103" authorId="1" shapeId="0" xr:uid="{00000000-0006-0000-1200-00004D000000}">
      <text>
        <r>
          <rPr>
            <sz val="9"/>
            <color indexed="81"/>
            <rFont val="Tahoma"/>
            <family val="2"/>
          </rPr>
          <t>Invalid value</t>
        </r>
      </text>
    </comment>
    <comment ref="I103" authorId="1" shapeId="0" xr:uid="{00000000-0006-0000-1200-00004E000000}">
      <text>
        <r>
          <rPr>
            <sz val="9"/>
            <color indexed="81"/>
            <rFont val="Tahoma"/>
            <family val="2"/>
          </rPr>
          <t>Invalid value</t>
        </r>
      </text>
    </comment>
    <comment ref="J103" authorId="1" shapeId="0" xr:uid="{00000000-0006-0000-1200-00004F000000}">
      <text>
        <r>
          <rPr>
            <sz val="9"/>
            <color indexed="81"/>
            <rFont val="Tahoma"/>
            <family val="2"/>
          </rPr>
          <t>Invalid value</t>
        </r>
      </text>
    </comment>
    <comment ref="K103" authorId="1" shapeId="0" xr:uid="{00000000-0006-0000-1200-000050000000}">
      <text>
        <r>
          <rPr>
            <sz val="9"/>
            <color indexed="81"/>
            <rFont val="Tahoma"/>
            <family val="2"/>
          </rPr>
          <t>Invalid value</t>
        </r>
      </text>
    </comment>
    <comment ref="L103" authorId="1" shapeId="0" xr:uid="{00000000-0006-0000-1200-000051000000}">
      <text>
        <r>
          <rPr>
            <sz val="9"/>
            <color indexed="81"/>
            <rFont val="Tahoma"/>
            <family val="2"/>
          </rPr>
          <t>Invalid value</t>
        </r>
      </text>
    </comment>
    <comment ref="M103" authorId="1" shapeId="0" xr:uid="{00000000-0006-0000-1200-000052000000}">
      <text>
        <r>
          <rPr>
            <sz val="9"/>
            <color indexed="81"/>
            <rFont val="Tahoma"/>
            <family val="2"/>
          </rPr>
          <t>Invalid value</t>
        </r>
      </text>
    </comment>
    <comment ref="N103" authorId="1" shapeId="0" xr:uid="{00000000-0006-0000-1200-000053000000}">
      <text>
        <r>
          <rPr>
            <sz val="9"/>
            <color indexed="81"/>
            <rFont val="Tahoma"/>
            <family val="2"/>
          </rPr>
          <t>Invalid value</t>
        </r>
      </text>
    </comment>
    <comment ref="O103" authorId="1" shapeId="0" xr:uid="{00000000-0006-0000-1200-000054000000}">
      <text>
        <r>
          <rPr>
            <sz val="9"/>
            <color indexed="81"/>
            <rFont val="Tahoma"/>
            <family val="2"/>
          </rPr>
          <t>Invalid value</t>
        </r>
      </text>
    </comment>
    <comment ref="P103" authorId="1" shapeId="0" xr:uid="{00000000-0006-0000-1200-000055000000}">
      <text>
        <r>
          <rPr>
            <sz val="9"/>
            <color indexed="81"/>
            <rFont val="Tahoma"/>
            <family val="2"/>
          </rPr>
          <t>Invalid value</t>
        </r>
      </text>
    </comment>
    <comment ref="Q103" authorId="1" shapeId="0" xr:uid="{00000000-0006-0000-1200-000056000000}">
      <text>
        <r>
          <rPr>
            <sz val="9"/>
            <color indexed="81"/>
            <rFont val="Tahoma"/>
            <family val="2"/>
          </rPr>
          <t>Invalid value</t>
        </r>
      </text>
    </comment>
    <comment ref="R103" authorId="1" shapeId="0" xr:uid="{00000000-0006-0000-1200-000057000000}">
      <text>
        <r>
          <rPr>
            <sz val="9"/>
            <color indexed="81"/>
            <rFont val="Tahoma"/>
            <family val="2"/>
          </rPr>
          <t>Invalid value</t>
        </r>
      </text>
    </comment>
    <comment ref="S103" authorId="1" shapeId="0" xr:uid="{00000000-0006-0000-1200-000058000000}">
      <text>
        <r>
          <rPr>
            <sz val="9"/>
            <color indexed="81"/>
            <rFont val="Tahoma"/>
            <family val="2"/>
          </rPr>
          <t>Invalid value</t>
        </r>
      </text>
    </comment>
    <comment ref="T103" authorId="1" shapeId="0" xr:uid="{00000000-0006-0000-1200-000059000000}">
      <text>
        <r>
          <rPr>
            <sz val="9"/>
            <color indexed="81"/>
            <rFont val="Tahoma"/>
            <family val="2"/>
          </rPr>
          <t>Invalid value</t>
        </r>
      </text>
    </comment>
    <comment ref="U103" authorId="1" shapeId="0" xr:uid="{00000000-0006-0000-1200-00005A000000}">
      <text>
        <r>
          <rPr>
            <sz val="9"/>
            <color indexed="81"/>
            <rFont val="Tahoma"/>
            <family val="2"/>
          </rPr>
          <t>Invalid value</t>
        </r>
      </text>
    </comment>
    <comment ref="V103" authorId="1" shapeId="0" xr:uid="{00000000-0006-0000-1200-00005B000000}">
      <text>
        <r>
          <rPr>
            <sz val="9"/>
            <color indexed="81"/>
            <rFont val="Tahoma"/>
            <family val="2"/>
          </rPr>
          <t>Invalid value</t>
        </r>
      </text>
    </comment>
    <comment ref="W103" authorId="1" shapeId="0" xr:uid="{00000000-0006-0000-1200-00005C000000}">
      <text>
        <r>
          <rPr>
            <sz val="9"/>
            <color indexed="81"/>
            <rFont val="Tahoma"/>
            <family val="2"/>
          </rPr>
          <t>Invalid value</t>
        </r>
      </text>
    </comment>
    <comment ref="X103" authorId="1" shapeId="0" xr:uid="{00000000-0006-0000-1200-00005D000000}">
      <text>
        <r>
          <rPr>
            <sz val="9"/>
            <color indexed="81"/>
            <rFont val="Tahoma"/>
            <family val="2"/>
          </rPr>
          <t>Invalid value</t>
        </r>
      </text>
    </comment>
    <comment ref="Y103" authorId="1" shapeId="0" xr:uid="{00000000-0006-0000-1200-00005E000000}">
      <text>
        <r>
          <rPr>
            <sz val="9"/>
            <color indexed="81"/>
            <rFont val="Tahoma"/>
            <family val="2"/>
          </rPr>
          <t>Invalid value</t>
        </r>
      </text>
    </comment>
    <comment ref="H104" authorId="1" shapeId="0" xr:uid="{00000000-0006-0000-1200-00005F000000}">
      <text>
        <r>
          <rPr>
            <sz val="9"/>
            <color indexed="81"/>
            <rFont val="Tahoma"/>
            <family val="2"/>
          </rPr>
          <t>Invalid value</t>
        </r>
      </text>
    </comment>
    <comment ref="I104" authorId="1" shapeId="0" xr:uid="{00000000-0006-0000-1200-000060000000}">
      <text>
        <r>
          <rPr>
            <sz val="9"/>
            <color indexed="81"/>
            <rFont val="Tahoma"/>
            <family val="2"/>
          </rPr>
          <t>Invalid value</t>
        </r>
      </text>
    </comment>
    <comment ref="J104" authorId="1" shapeId="0" xr:uid="{00000000-0006-0000-1200-000061000000}">
      <text>
        <r>
          <rPr>
            <sz val="9"/>
            <color indexed="81"/>
            <rFont val="Tahoma"/>
            <family val="2"/>
          </rPr>
          <t>Invalid value</t>
        </r>
      </text>
    </comment>
    <comment ref="K104" authorId="1" shapeId="0" xr:uid="{00000000-0006-0000-1200-000062000000}">
      <text>
        <r>
          <rPr>
            <sz val="9"/>
            <color indexed="81"/>
            <rFont val="Tahoma"/>
            <family val="2"/>
          </rPr>
          <t>Invalid value</t>
        </r>
      </text>
    </comment>
    <comment ref="L104" authorId="1" shapeId="0" xr:uid="{00000000-0006-0000-1200-000063000000}">
      <text>
        <r>
          <rPr>
            <sz val="9"/>
            <color indexed="81"/>
            <rFont val="Tahoma"/>
            <family val="2"/>
          </rPr>
          <t>Invalid value</t>
        </r>
      </text>
    </comment>
    <comment ref="M104" authorId="1" shapeId="0" xr:uid="{00000000-0006-0000-1200-000064000000}">
      <text>
        <r>
          <rPr>
            <sz val="9"/>
            <color indexed="81"/>
            <rFont val="Tahoma"/>
            <family val="2"/>
          </rPr>
          <t>Invalid value</t>
        </r>
      </text>
    </comment>
    <comment ref="N104" authorId="1" shapeId="0" xr:uid="{00000000-0006-0000-1200-000065000000}">
      <text>
        <r>
          <rPr>
            <sz val="9"/>
            <color indexed="81"/>
            <rFont val="Tahoma"/>
            <family val="2"/>
          </rPr>
          <t>Invalid value</t>
        </r>
      </text>
    </comment>
    <comment ref="O104" authorId="1" shapeId="0" xr:uid="{00000000-0006-0000-1200-000066000000}">
      <text>
        <r>
          <rPr>
            <sz val="9"/>
            <color indexed="81"/>
            <rFont val="Tahoma"/>
            <family val="2"/>
          </rPr>
          <t>Invalid value</t>
        </r>
      </text>
    </comment>
    <comment ref="P104" authorId="1" shapeId="0" xr:uid="{00000000-0006-0000-1200-000067000000}">
      <text>
        <r>
          <rPr>
            <sz val="9"/>
            <color indexed="81"/>
            <rFont val="Tahoma"/>
            <family val="2"/>
          </rPr>
          <t>Invalid value</t>
        </r>
      </text>
    </comment>
    <comment ref="Q104" authorId="1" shapeId="0" xr:uid="{00000000-0006-0000-1200-000068000000}">
      <text>
        <r>
          <rPr>
            <sz val="9"/>
            <color indexed="81"/>
            <rFont val="Tahoma"/>
            <family val="2"/>
          </rPr>
          <t>Invalid value</t>
        </r>
      </text>
    </comment>
    <comment ref="R104" authorId="1" shapeId="0" xr:uid="{00000000-0006-0000-1200-000069000000}">
      <text>
        <r>
          <rPr>
            <sz val="9"/>
            <color indexed="81"/>
            <rFont val="Tahoma"/>
            <family val="2"/>
          </rPr>
          <t>Invalid value</t>
        </r>
      </text>
    </comment>
    <comment ref="S104" authorId="1" shapeId="0" xr:uid="{00000000-0006-0000-1200-00006A000000}">
      <text>
        <r>
          <rPr>
            <sz val="9"/>
            <color indexed="81"/>
            <rFont val="Tahoma"/>
            <family val="2"/>
          </rPr>
          <t>Invalid value</t>
        </r>
      </text>
    </comment>
    <comment ref="T104" authorId="1" shapeId="0" xr:uid="{00000000-0006-0000-1200-00006B000000}">
      <text>
        <r>
          <rPr>
            <sz val="9"/>
            <color indexed="81"/>
            <rFont val="Tahoma"/>
            <family val="2"/>
          </rPr>
          <t>Invalid value</t>
        </r>
      </text>
    </comment>
    <comment ref="U104" authorId="1" shapeId="0" xr:uid="{00000000-0006-0000-1200-00006C000000}">
      <text>
        <r>
          <rPr>
            <sz val="9"/>
            <color indexed="81"/>
            <rFont val="Tahoma"/>
            <family val="2"/>
          </rPr>
          <t>Invalid value</t>
        </r>
      </text>
    </comment>
    <comment ref="V104" authorId="1" shapeId="0" xr:uid="{00000000-0006-0000-1200-00006D000000}">
      <text>
        <r>
          <rPr>
            <sz val="9"/>
            <color indexed="81"/>
            <rFont val="Tahoma"/>
            <family val="2"/>
          </rPr>
          <t>Invalid value</t>
        </r>
      </text>
    </comment>
    <comment ref="W104" authorId="1" shapeId="0" xr:uid="{00000000-0006-0000-1200-00006E000000}">
      <text>
        <r>
          <rPr>
            <sz val="9"/>
            <color indexed="81"/>
            <rFont val="Tahoma"/>
            <family val="2"/>
          </rPr>
          <t>Invalid value</t>
        </r>
      </text>
    </comment>
    <comment ref="X104" authorId="1" shapeId="0" xr:uid="{00000000-0006-0000-1200-00006F000000}">
      <text>
        <r>
          <rPr>
            <sz val="9"/>
            <color indexed="81"/>
            <rFont val="Tahoma"/>
            <family val="2"/>
          </rPr>
          <t>Invalid value</t>
        </r>
      </text>
    </comment>
    <comment ref="Y104" authorId="1" shapeId="0" xr:uid="{00000000-0006-0000-1200-000070000000}">
      <text>
        <r>
          <rPr>
            <sz val="9"/>
            <color indexed="81"/>
            <rFont val="Tahoma"/>
            <family val="2"/>
          </rPr>
          <t>Invalid value</t>
        </r>
      </text>
    </comment>
    <comment ref="H117" authorId="1" shapeId="0" xr:uid="{00000000-0006-0000-1200-000071000000}">
      <text>
        <r>
          <rPr>
            <sz val="9"/>
            <color indexed="81"/>
            <rFont val="Tahoma"/>
            <family val="2"/>
          </rPr>
          <t>Invalid value</t>
        </r>
      </text>
    </comment>
    <comment ref="I117" authorId="1" shapeId="0" xr:uid="{00000000-0006-0000-1200-000072000000}">
      <text>
        <r>
          <rPr>
            <sz val="9"/>
            <color indexed="81"/>
            <rFont val="Tahoma"/>
            <family val="2"/>
          </rPr>
          <t>Invalid value</t>
        </r>
      </text>
    </comment>
    <comment ref="J117" authorId="1" shapeId="0" xr:uid="{00000000-0006-0000-1200-000073000000}">
      <text>
        <r>
          <rPr>
            <sz val="9"/>
            <color indexed="81"/>
            <rFont val="Tahoma"/>
            <family val="2"/>
          </rPr>
          <t>Invalid value</t>
        </r>
      </text>
    </comment>
    <comment ref="K117" authorId="1" shapeId="0" xr:uid="{00000000-0006-0000-1200-000074000000}">
      <text>
        <r>
          <rPr>
            <sz val="9"/>
            <color indexed="81"/>
            <rFont val="Tahoma"/>
            <family val="2"/>
          </rPr>
          <t>Invalid value</t>
        </r>
      </text>
    </comment>
    <comment ref="L117" authorId="1" shapeId="0" xr:uid="{00000000-0006-0000-1200-000075000000}">
      <text>
        <r>
          <rPr>
            <sz val="9"/>
            <color indexed="81"/>
            <rFont val="Tahoma"/>
            <family val="2"/>
          </rPr>
          <t>Invalid value</t>
        </r>
      </text>
    </comment>
    <comment ref="M117" authorId="1" shapeId="0" xr:uid="{00000000-0006-0000-1200-000076000000}">
      <text>
        <r>
          <rPr>
            <sz val="9"/>
            <color indexed="81"/>
            <rFont val="Tahoma"/>
            <family val="2"/>
          </rPr>
          <t>Invalid value</t>
        </r>
      </text>
    </comment>
    <comment ref="N117" authorId="1" shapeId="0" xr:uid="{00000000-0006-0000-1200-000077000000}">
      <text>
        <r>
          <rPr>
            <sz val="9"/>
            <color indexed="81"/>
            <rFont val="Tahoma"/>
            <family val="2"/>
          </rPr>
          <t>Invalid value</t>
        </r>
      </text>
    </comment>
    <comment ref="O117" authorId="1" shapeId="0" xr:uid="{00000000-0006-0000-1200-000078000000}">
      <text>
        <r>
          <rPr>
            <sz val="9"/>
            <color indexed="81"/>
            <rFont val="Tahoma"/>
            <family val="2"/>
          </rPr>
          <t>Invalid value</t>
        </r>
      </text>
    </comment>
    <comment ref="P117" authorId="1" shapeId="0" xr:uid="{00000000-0006-0000-1200-000079000000}">
      <text>
        <r>
          <rPr>
            <sz val="9"/>
            <color indexed="81"/>
            <rFont val="Tahoma"/>
            <family val="2"/>
          </rPr>
          <t>Invalid value</t>
        </r>
      </text>
    </comment>
    <comment ref="Q117" authorId="1" shapeId="0" xr:uid="{00000000-0006-0000-1200-00007A000000}">
      <text>
        <r>
          <rPr>
            <sz val="9"/>
            <color indexed="81"/>
            <rFont val="Tahoma"/>
            <family val="2"/>
          </rPr>
          <t>Invalid value</t>
        </r>
      </text>
    </comment>
    <comment ref="R117" authorId="1" shapeId="0" xr:uid="{00000000-0006-0000-1200-00007B000000}">
      <text>
        <r>
          <rPr>
            <sz val="9"/>
            <color indexed="81"/>
            <rFont val="Tahoma"/>
            <family val="2"/>
          </rPr>
          <t>Invalid value</t>
        </r>
      </text>
    </comment>
    <comment ref="S117" authorId="1" shapeId="0" xr:uid="{00000000-0006-0000-1200-00007C000000}">
      <text>
        <r>
          <rPr>
            <sz val="9"/>
            <color indexed="81"/>
            <rFont val="Tahoma"/>
            <family val="2"/>
          </rPr>
          <t>Invalid value</t>
        </r>
      </text>
    </comment>
    <comment ref="T117" authorId="1" shapeId="0" xr:uid="{00000000-0006-0000-1200-00007D000000}">
      <text>
        <r>
          <rPr>
            <sz val="9"/>
            <color indexed="81"/>
            <rFont val="Tahoma"/>
            <family val="2"/>
          </rPr>
          <t>Invalid value</t>
        </r>
      </text>
    </comment>
    <comment ref="U117" authorId="1" shapeId="0" xr:uid="{00000000-0006-0000-1200-00007E000000}">
      <text>
        <r>
          <rPr>
            <sz val="9"/>
            <color indexed="81"/>
            <rFont val="Tahoma"/>
            <family val="2"/>
          </rPr>
          <t>Invalid value</t>
        </r>
      </text>
    </comment>
    <comment ref="V117" authorId="1" shapeId="0" xr:uid="{00000000-0006-0000-1200-00007F000000}">
      <text>
        <r>
          <rPr>
            <sz val="9"/>
            <color indexed="81"/>
            <rFont val="Tahoma"/>
            <family val="2"/>
          </rPr>
          <t>Invalid value</t>
        </r>
      </text>
    </comment>
    <comment ref="W117" authorId="1" shapeId="0" xr:uid="{00000000-0006-0000-1200-000080000000}">
      <text>
        <r>
          <rPr>
            <sz val="9"/>
            <color indexed="81"/>
            <rFont val="Tahoma"/>
            <family val="2"/>
          </rPr>
          <t>Invalid value</t>
        </r>
      </text>
    </comment>
    <comment ref="X117" authorId="1" shapeId="0" xr:uid="{00000000-0006-0000-1200-000081000000}">
      <text>
        <r>
          <rPr>
            <sz val="9"/>
            <color indexed="81"/>
            <rFont val="Tahoma"/>
            <family val="2"/>
          </rPr>
          <t>Invalid value</t>
        </r>
      </text>
    </comment>
    <comment ref="Y117" authorId="1" shapeId="0" xr:uid="{00000000-0006-0000-1200-000082000000}">
      <text>
        <r>
          <rPr>
            <sz val="9"/>
            <color indexed="81"/>
            <rFont val="Tahoma"/>
            <family val="2"/>
          </rPr>
          <t>Invalid value</t>
        </r>
      </text>
    </comment>
    <comment ref="H118" authorId="1" shapeId="0" xr:uid="{00000000-0006-0000-1200-000083000000}">
      <text>
        <r>
          <rPr>
            <sz val="9"/>
            <color indexed="81"/>
            <rFont val="Tahoma"/>
            <family val="2"/>
          </rPr>
          <t>Invalid value</t>
        </r>
      </text>
    </comment>
    <comment ref="I118" authorId="1" shapeId="0" xr:uid="{00000000-0006-0000-1200-000084000000}">
      <text>
        <r>
          <rPr>
            <sz val="9"/>
            <color indexed="81"/>
            <rFont val="Tahoma"/>
            <family val="2"/>
          </rPr>
          <t>Invalid value</t>
        </r>
      </text>
    </comment>
    <comment ref="J118" authorId="1" shapeId="0" xr:uid="{00000000-0006-0000-1200-000085000000}">
      <text>
        <r>
          <rPr>
            <sz val="9"/>
            <color indexed="81"/>
            <rFont val="Tahoma"/>
            <family val="2"/>
          </rPr>
          <t>Invalid value</t>
        </r>
      </text>
    </comment>
    <comment ref="K118" authorId="1" shapeId="0" xr:uid="{00000000-0006-0000-1200-000086000000}">
      <text>
        <r>
          <rPr>
            <sz val="9"/>
            <color indexed="81"/>
            <rFont val="Tahoma"/>
            <family val="2"/>
          </rPr>
          <t>Invalid value</t>
        </r>
      </text>
    </comment>
    <comment ref="L118" authorId="1" shapeId="0" xr:uid="{00000000-0006-0000-1200-000087000000}">
      <text>
        <r>
          <rPr>
            <sz val="9"/>
            <color indexed="81"/>
            <rFont val="Tahoma"/>
            <family val="2"/>
          </rPr>
          <t>Invalid value</t>
        </r>
      </text>
    </comment>
    <comment ref="M118" authorId="1" shapeId="0" xr:uid="{00000000-0006-0000-1200-000088000000}">
      <text>
        <r>
          <rPr>
            <sz val="9"/>
            <color indexed="81"/>
            <rFont val="Tahoma"/>
            <family val="2"/>
          </rPr>
          <t>Invalid value</t>
        </r>
      </text>
    </comment>
    <comment ref="N118" authorId="1" shapeId="0" xr:uid="{00000000-0006-0000-1200-000089000000}">
      <text>
        <r>
          <rPr>
            <sz val="9"/>
            <color indexed="81"/>
            <rFont val="Tahoma"/>
            <family val="2"/>
          </rPr>
          <t>Invalid value</t>
        </r>
      </text>
    </comment>
    <comment ref="O118" authorId="1" shapeId="0" xr:uid="{00000000-0006-0000-1200-00008A000000}">
      <text>
        <r>
          <rPr>
            <sz val="9"/>
            <color indexed="81"/>
            <rFont val="Tahoma"/>
            <family val="2"/>
          </rPr>
          <t>Invalid value</t>
        </r>
      </text>
    </comment>
    <comment ref="P118" authorId="1" shapeId="0" xr:uid="{00000000-0006-0000-1200-00008B000000}">
      <text>
        <r>
          <rPr>
            <sz val="9"/>
            <color indexed="81"/>
            <rFont val="Tahoma"/>
            <family val="2"/>
          </rPr>
          <t>Invalid value</t>
        </r>
      </text>
    </comment>
    <comment ref="Q118" authorId="1" shapeId="0" xr:uid="{00000000-0006-0000-1200-00008C000000}">
      <text>
        <r>
          <rPr>
            <sz val="9"/>
            <color indexed="81"/>
            <rFont val="Tahoma"/>
            <family val="2"/>
          </rPr>
          <t>Invalid value</t>
        </r>
      </text>
    </comment>
    <comment ref="R118" authorId="1" shapeId="0" xr:uid="{00000000-0006-0000-1200-00008D000000}">
      <text>
        <r>
          <rPr>
            <sz val="9"/>
            <color indexed="81"/>
            <rFont val="Tahoma"/>
            <family val="2"/>
          </rPr>
          <t>Invalid value</t>
        </r>
      </text>
    </comment>
    <comment ref="S118" authorId="1" shapeId="0" xr:uid="{00000000-0006-0000-1200-00008E000000}">
      <text>
        <r>
          <rPr>
            <sz val="9"/>
            <color indexed="81"/>
            <rFont val="Tahoma"/>
            <family val="2"/>
          </rPr>
          <t>Invalid value</t>
        </r>
      </text>
    </comment>
    <comment ref="T118" authorId="1" shapeId="0" xr:uid="{00000000-0006-0000-1200-00008F000000}">
      <text>
        <r>
          <rPr>
            <sz val="9"/>
            <color indexed="81"/>
            <rFont val="Tahoma"/>
            <family val="2"/>
          </rPr>
          <t>Invalid value</t>
        </r>
      </text>
    </comment>
    <comment ref="U118" authorId="1" shapeId="0" xr:uid="{00000000-0006-0000-1200-000090000000}">
      <text>
        <r>
          <rPr>
            <sz val="9"/>
            <color indexed="81"/>
            <rFont val="Tahoma"/>
            <family val="2"/>
          </rPr>
          <t>Invalid value</t>
        </r>
      </text>
    </comment>
    <comment ref="V118" authorId="1" shapeId="0" xr:uid="{00000000-0006-0000-1200-000091000000}">
      <text>
        <r>
          <rPr>
            <sz val="9"/>
            <color indexed="81"/>
            <rFont val="Tahoma"/>
            <family val="2"/>
          </rPr>
          <t>Invalid value</t>
        </r>
      </text>
    </comment>
    <comment ref="W118" authorId="1" shapeId="0" xr:uid="{00000000-0006-0000-1200-000092000000}">
      <text>
        <r>
          <rPr>
            <sz val="9"/>
            <color indexed="81"/>
            <rFont val="Tahoma"/>
            <family val="2"/>
          </rPr>
          <t>Invalid value</t>
        </r>
      </text>
    </comment>
    <comment ref="X118" authorId="1" shapeId="0" xr:uid="{00000000-0006-0000-1200-000093000000}">
      <text>
        <r>
          <rPr>
            <sz val="9"/>
            <color indexed="81"/>
            <rFont val="Tahoma"/>
            <family val="2"/>
          </rPr>
          <t>Invalid value</t>
        </r>
      </text>
    </comment>
    <comment ref="Y118" authorId="1" shapeId="0" xr:uid="{00000000-0006-0000-1200-000094000000}">
      <text>
        <r>
          <rPr>
            <sz val="9"/>
            <color indexed="81"/>
            <rFont val="Tahoma"/>
            <family val="2"/>
          </rPr>
          <t>Invalid value</t>
        </r>
      </text>
    </comment>
    <comment ref="H119" authorId="1" shapeId="0" xr:uid="{00000000-0006-0000-1200-000095000000}">
      <text>
        <r>
          <rPr>
            <sz val="9"/>
            <color indexed="81"/>
            <rFont val="Tahoma"/>
            <family val="2"/>
          </rPr>
          <t>Invalid value</t>
        </r>
      </text>
    </comment>
    <comment ref="I119" authorId="1" shapeId="0" xr:uid="{00000000-0006-0000-1200-000096000000}">
      <text>
        <r>
          <rPr>
            <sz val="9"/>
            <color indexed="81"/>
            <rFont val="Tahoma"/>
            <family val="2"/>
          </rPr>
          <t>Invalid value</t>
        </r>
      </text>
    </comment>
    <comment ref="J119" authorId="1" shapeId="0" xr:uid="{00000000-0006-0000-1200-000097000000}">
      <text>
        <r>
          <rPr>
            <sz val="9"/>
            <color indexed="81"/>
            <rFont val="Tahoma"/>
            <family val="2"/>
          </rPr>
          <t>Invalid value</t>
        </r>
      </text>
    </comment>
    <comment ref="K119" authorId="1" shapeId="0" xr:uid="{00000000-0006-0000-1200-000098000000}">
      <text>
        <r>
          <rPr>
            <sz val="9"/>
            <color indexed="81"/>
            <rFont val="Tahoma"/>
            <family val="2"/>
          </rPr>
          <t>Invalid value</t>
        </r>
      </text>
    </comment>
    <comment ref="L119" authorId="1" shapeId="0" xr:uid="{00000000-0006-0000-1200-000099000000}">
      <text>
        <r>
          <rPr>
            <sz val="9"/>
            <color indexed="81"/>
            <rFont val="Tahoma"/>
            <family val="2"/>
          </rPr>
          <t>Invalid value</t>
        </r>
      </text>
    </comment>
    <comment ref="M119" authorId="1" shapeId="0" xr:uid="{00000000-0006-0000-1200-00009A000000}">
      <text>
        <r>
          <rPr>
            <sz val="9"/>
            <color indexed="81"/>
            <rFont val="Tahoma"/>
            <family val="2"/>
          </rPr>
          <t>Invalid value</t>
        </r>
      </text>
    </comment>
    <comment ref="N119" authorId="1" shapeId="0" xr:uid="{00000000-0006-0000-1200-00009B000000}">
      <text>
        <r>
          <rPr>
            <sz val="9"/>
            <color indexed="81"/>
            <rFont val="Tahoma"/>
            <family val="2"/>
          </rPr>
          <t>Invalid value</t>
        </r>
      </text>
    </comment>
    <comment ref="O119" authorId="1" shapeId="0" xr:uid="{00000000-0006-0000-1200-00009C000000}">
      <text>
        <r>
          <rPr>
            <sz val="9"/>
            <color indexed="81"/>
            <rFont val="Tahoma"/>
            <family val="2"/>
          </rPr>
          <t>Invalid value</t>
        </r>
      </text>
    </comment>
    <comment ref="P119" authorId="1" shapeId="0" xr:uid="{00000000-0006-0000-1200-00009D000000}">
      <text>
        <r>
          <rPr>
            <sz val="9"/>
            <color indexed="81"/>
            <rFont val="Tahoma"/>
            <family val="2"/>
          </rPr>
          <t>Invalid value</t>
        </r>
      </text>
    </comment>
    <comment ref="Q119" authorId="1" shapeId="0" xr:uid="{00000000-0006-0000-1200-00009E000000}">
      <text>
        <r>
          <rPr>
            <sz val="9"/>
            <color indexed="81"/>
            <rFont val="Tahoma"/>
            <family val="2"/>
          </rPr>
          <t>Invalid value</t>
        </r>
      </text>
    </comment>
    <comment ref="R119" authorId="1" shapeId="0" xr:uid="{00000000-0006-0000-1200-00009F000000}">
      <text>
        <r>
          <rPr>
            <sz val="9"/>
            <color indexed="81"/>
            <rFont val="Tahoma"/>
            <family val="2"/>
          </rPr>
          <t>Invalid value</t>
        </r>
      </text>
    </comment>
    <comment ref="S119" authorId="1" shapeId="0" xr:uid="{00000000-0006-0000-1200-0000A0000000}">
      <text>
        <r>
          <rPr>
            <sz val="9"/>
            <color indexed="81"/>
            <rFont val="Tahoma"/>
            <family val="2"/>
          </rPr>
          <t>Invalid value</t>
        </r>
      </text>
    </comment>
    <comment ref="T119" authorId="1" shapeId="0" xr:uid="{00000000-0006-0000-1200-0000A1000000}">
      <text>
        <r>
          <rPr>
            <sz val="9"/>
            <color indexed="81"/>
            <rFont val="Tahoma"/>
            <family val="2"/>
          </rPr>
          <t>Invalid value</t>
        </r>
      </text>
    </comment>
    <comment ref="U119" authorId="1" shapeId="0" xr:uid="{00000000-0006-0000-1200-0000A2000000}">
      <text>
        <r>
          <rPr>
            <sz val="9"/>
            <color indexed="81"/>
            <rFont val="Tahoma"/>
            <family val="2"/>
          </rPr>
          <t>Invalid value</t>
        </r>
      </text>
    </comment>
    <comment ref="V119" authorId="1" shapeId="0" xr:uid="{00000000-0006-0000-1200-0000A3000000}">
      <text>
        <r>
          <rPr>
            <sz val="9"/>
            <color indexed="81"/>
            <rFont val="Tahoma"/>
            <family val="2"/>
          </rPr>
          <t>Invalid value</t>
        </r>
      </text>
    </comment>
    <comment ref="W119" authorId="1" shapeId="0" xr:uid="{00000000-0006-0000-1200-0000A4000000}">
      <text>
        <r>
          <rPr>
            <sz val="9"/>
            <color indexed="81"/>
            <rFont val="Tahoma"/>
            <family val="2"/>
          </rPr>
          <t>Invalid value</t>
        </r>
      </text>
    </comment>
    <comment ref="X119" authorId="1" shapeId="0" xr:uid="{00000000-0006-0000-1200-0000A5000000}">
      <text>
        <r>
          <rPr>
            <sz val="9"/>
            <color indexed="81"/>
            <rFont val="Tahoma"/>
            <family val="2"/>
          </rPr>
          <t>Invalid value</t>
        </r>
      </text>
    </comment>
    <comment ref="Y119" authorId="1" shapeId="0" xr:uid="{00000000-0006-0000-1200-0000A6000000}">
      <text>
        <r>
          <rPr>
            <sz val="9"/>
            <color indexed="81"/>
            <rFont val="Tahoma"/>
            <family val="2"/>
          </rPr>
          <t>Invalid value</t>
        </r>
      </text>
    </comment>
    <comment ref="H120" authorId="1" shapeId="0" xr:uid="{00000000-0006-0000-1200-0000A7000000}">
      <text>
        <r>
          <rPr>
            <sz val="9"/>
            <color indexed="81"/>
            <rFont val="Tahoma"/>
            <family val="2"/>
          </rPr>
          <t>Invalid value</t>
        </r>
      </text>
    </comment>
    <comment ref="I120" authorId="1" shapeId="0" xr:uid="{00000000-0006-0000-1200-0000A8000000}">
      <text>
        <r>
          <rPr>
            <sz val="9"/>
            <color indexed="81"/>
            <rFont val="Tahoma"/>
            <family val="2"/>
          </rPr>
          <t>Invalid value</t>
        </r>
      </text>
    </comment>
    <comment ref="J120" authorId="1" shapeId="0" xr:uid="{00000000-0006-0000-1200-0000A9000000}">
      <text>
        <r>
          <rPr>
            <sz val="9"/>
            <color indexed="81"/>
            <rFont val="Tahoma"/>
            <family val="2"/>
          </rPr>
          <t>Invalid value</t>
        </r>
      </text>
    </comment>
    <comment ref="K120" authorId="1" shapeId="0" xr:uid="{00000000-0006-0000-1200-0000AA000000}">
      <text>
        <r>
          <rPr>
            <sz val="9"/>
            <color indexed="81"/>
            <rFont val="Tahoma"/>
            <family val="2"/>
          </rPr>
          <t>Invalid value</t>
        </r>
      </text>
    </comment>
    <comment ref="L120" authorId="1" shapeId="0" xr:uid="{00000000-0006-0000-1200-0000AB000000}">
      <text>
        <r>
          <rPr>
            <sz val="9"/>
            <color indexed="81"/>
            <rFont val="Tahoma"/>
            <family val="2"/>
          </rPr>
          <t>Invalid value</t>
        </r>
      </text>
    </comment>
    <comment ref="M120" authorId="1" shapeId="0" xr:uid="{00000000-0006-0000-1200-0000AC000000}">
      <text>
        <r>
          <rPr>
            <sz val="9"/>
            <color indexed="81"/>
            <rFont val="Tahoma"/>
            <family val="2"/>
          </rPr>
          <t>Invalid value</t>
        </r>
      </text>
    </comment>
    <comment ref="N120" authorId="1" shapeId="0" xr:uid="{00000000-0006-0000-1200-0000AD000000}">
      <text>
        <r>
          <rPr>
            <sz val="9"/>
            <color indexed="81"/>
            <rFont val="Tahoma"/>
            <family val="2"/>
          </rPr>
          <t>Invalid value</t>
        </r>
      </text>
    </comment>
    <comment ref="O120" authorId="1" shapeId="0" xr:uid="{00000000-0006-0000-1200-0000AE000000}">
      <text>
        <r>
          <rPr>
            <sz val="9"/>
            <color indexed="81"/>
            <rFont val="Tahoma"/>
            <family val="2"/>
          </rPr>
          <t>Invalid value</t>
        </r>
      </text>
    </comment>
    <comment ref="P120" authorId="1" shapeId="0" xr:uid="{00000000-0006-0000-1200-0000AF000000}">
      <text>
        <r>
          <rPr>
            <sz val="9"/>
            <color indexed="81"/>
            <rFont val="Tahoma"/>
            <family val="2"/>
          </rPr>
          <t>Invalid value</t>
        </r>
      </text>
    </comment>
    <comment ref="Q120" authorId="1" shapeId="0" xr:uid="{00000000-0006-0000-1200-0000B0000000}">
      <text>
        <r>
          <rPr>
            <sz val="9"/>
            <color indexed="81"/>
            <rFont val="Tahoma"/>
            <family val="2"/>
          </rPr>
          <t>Invalid value</t>
        </r>
      </text>
    </comment>
    <comment ref="R120" authorId="1" shapeId="0" xr:uid="{00000000-0006-0000-1200-0000B1000000}">
      <text>
        <r>
          <rPr>
            <sz val="9"/>
            <color indexed="81"/>
            <rFont val="Tahoma"/>
            <family val="2"/>
          </rPr>
          <t>Invalid value</t>
        </r>
      </text>
    </comment>
    <comment ref="S120" authorId="1" shapeId="0" xr:uid="{00000000-0006-0000-1200-0000B2000000}">
      <text>
        <r>
          <rPr>
            <sz val="9"/>
            <color indexed="81"/>
            <rFont val="Tahoma"/>
            <family val="2"/>
          </rPr>
          <t>Invalid value</t>
        </r>
      </text>
    </comment>
    <comment ref="T120" authorId="1" shapeId="0" xr:uid="{00000000-0006-0000-1200-0000B3000000}">
      <text>
        <r>
          <rPr>
            <sz val="9"/>
            <color indexed="81"/>
            <rFont val="Tahoma"/>
            <family val="2"/>
          </rPr>
          <t>Invalid value</t>
        </r>
      </text>
    </comment>
    <comment ref="U120" authorId="1" shapeId="0" xr:uid="{00000000-0006-0000-1200-0000B4000000}">
      <text>
        <r>
          <rPr>
            <sz val="9"/>
            <color indexed="81"/>
            <rFont val="Tahoma"/>
            <family val="2"/>
          </rPr>
          <t>Invalid value</t>
        </r>
      </text>
    </comment>
    <comment ref="V120" authorId="1" shapeId="0" xr:uid="{00000000-0006-0000-1200-0000B5000000}">
      <text>
        <r>
          <rPr>
            <sz val="9"/>
            <color indexed="81"/>
            <rFont val="Tahoma"/>
            <family val="2"/>
          </rPr>
          <t>Invalid value</t>
        </r>
      </text>
    </comment>
    <comment ref="W120" authorId="1" shapeId="0" xr:uid="{00000000-0006-0000-1200-0000B6000000}">
      <text>
        <r>
          <rPr>
            <sz val="9"/>
            <color indexed="81"/>
            <rFont val="Tahoma"/>
            <family val="2"/>
          </rPr>
          <t>Invalid value</t>
        </r>
      </text>
    </comment>
    <comment ref="X120" authorId="1" shapeId="0" xr:uid="{00000000-0006-0000-1200-0000B7000000}">
      <text>
        <r>
          <rPr>
            <sz val="9"/>
            <color indexed="81"/>
            <rFont val="Tahoma"/>
            <family val="2"/>
          </rPr>
          <t>Invalid value</t>
        </r>
      </text>
    </comment>
    <comment ref="Y120" authorId="1" shapeId="0" xr:uid="{00000000-0006-0000-1200-0000B8000000}">
      <text>
        <r>
          <rPr>
            <sz val="9"/>
            <color indexed="81"/>
            <rFont val="Tahoma"/>
            <family val="2"/>
          </rPr>
          <t>Invalid value</t>
        </r>
      </text>
    </comment>
    <comment ref="H121" authorId="1" shapeId="0" xr:uid="{00000000-0006-0000-1200-0000B9000000}">
      <text>
        <r>
          <rPr>
            <sz val="9"/>
            <color indexed="81"/>
            <rFont val="Tahoma"/>
            <family val="2"/>
          </rPr>
          <t>Invalid value</t>
        </r>
      </text>
    </comment>
    <comment ref="I121" authorId="1" shapeId="0" xr:uid="{00000000-0006-0000-1200-0000BA000000}">
      <text>
        <r>
          <rPr>
            <sz val="9"/>
            <color indexed="81"/>
            <rFont val="Tahoma"/>
            <family val="2"/>
          </rPr>
          <t>Invalid value</t>
        </r>
      </text>
    </comment>
    <comment ref="H122" authorId="1" shapeId="0" xr:uid="{00000000-0006-0000-1200-0000BB000000}">
      <text>
        <r>
          <rPr>
            <sz val="9"/>
            <color indexed="81"/>
            <rFont val="Tahoma"/>
            <family val="2"/>
          </rPr>
          <t>Invalid value</t>
        </r>
      </text>
    </comment>
    <comment ref="I122" authorId="1" shapeId="0" xr:uid="{00000000-0006-0000-1200-0000BC000000}">
      <text>
        <r>
          <rPr>
            <sz val="9"/>
            <color indexed="81"/>
            <rFont val="Tahoma"/>
            <family val="2"/>
          </rPr>
          <t>Invalid value</t>
        </r>
      </text>
    </comment>
    <comment ref="H123" authorId="1" shapeId="0" xr:uid="{00000000-0006-0000-1200-0000BD000000}">
      <text>
        <r>
          <rPr>
            <sz val="9"/>
            <color indexed="81"/>
            <rFont val="Tahoma"/>
            <family val="2"/>
          </rPr>
          <t>Invalid value</t>
        </r>
      </text>
    </comment>
    <comment ref="I123" authorId="1" shapeId="0" xr:uid="{00000000-0006-0000-1200-0000BE000000}">
      <text>
        <r>
          <rPr>
            <sz val="9"/>
            <color indexed="81"/>
            <rFont val="Tahoma"/>
            <family val="2"/>
          </rPr>
          <t>Invalid value</t>
        </r>
      </text>
    </comment>
    <comment ref="H135" authorId="2" shapeId="0" xr:uid="{00000000-0006-0000-1200-0000BF000000}">
      <text>
        <r>
          <rPr>
            <sz val="9"/>
            <color indexed="81"/>
            <rFont val="Tahoma"/>
            <family val="2"/>
          </rPr>
          <t>Invalid value</t>
        </r>
      </text>
    </comment>
    <comment ref="I135" authorId="2" shapeId="0" xr:uid="{00000000-0006-0000-1200-0000C0000000}">
      <text>
        <r>
          <rPr>
            <sz val="9"/>
            <color indexed="81"/>
            <rFont val="Tahoma"/>
            <family val="2"/>
          </rPr>
          <t>Invalid value</t>
        </r>
      </text>
    </comment>
    <comment ref="J135" authorId="2" shapeId="0" xr:uid="{00000000-0006-0000-1200-0000C1000000}">
      <text>
        <r>
          <rPr>
            <sz val="9"/>
            <color indexed="81"/>
            <rFont val="Tahoma"/>
            <family val="2"/>
          </rPr>
          <t>Invalid value</t>
        </r>
      </text>
    </comment>
    <comment ref="K135" authorId="2" shapeId="0" xr:uid="{00000000-0006-0000-1200-0000C2000000}">
      <text>
        <r>
          <rPr>
            <sz val="9"/>
            <color indexed="81"/>
            <rFont val="Tahoma"/>
            <family val="2"/>
          </rPr>
          <t>Invalid value</t>
        </r>
      </text>
    </comment>
    <comment ref="L135" authorId="2" shapeId="0" xr:uid="{00000000-0006-0000-1200-0000C3000000}">
      <text>
        <r>
          <rPr>
            <sz val="9"/>
            <color indexed="81"/>
            <rFont val="Tahoma"/>
            <family val="2"/>
          </rPr>
          <t>Invalid value</t>
        </r>
      </text>
    </comment>
    <comment ref="M135" authorId="2" shapeId="0" xr:uid="{00000000-0006-0000-1200-0000C4000000}">
      <text>
        <r>
          <rPr>
            <sz val="9"/>
            <color indexed="81"/>
            <rFont val="Tahoma"/>
            <family val="2"/>
          </rPr>
          <t>Invalid value</t>
        </r>
      </text>
    </comment>
    <comment ref="N135" authorId="2" shapeId="0" xr:uid="{00000000-0006-0000-1200-0000C5000000}">
      <text>
        <r>
          <rPr>
            <sz val="9"/>
            <color indexed="81"/>
            <rFont val="Tahoma"/>
            <family val="2"/>
          </rPr>
          <t>Invalid value</t>
        </r>
      </text>
    </comment>
    <comment ref="O135" authorId="2" shapeId="0" xr:uid="{00000000-0006-0000-1200-0000C6000000}">
      <text>
        <r>
          <rPr>
            <sz val="9"/>
            <color indexed="81"/>
            <rFont val="Tahoma"/>
            <family val="2"/>
          </rPr>
          <t>Invalid value</t>
        </r>
      </text>
    </comment>
    <comment ref="P135" authorId="2" shapeId="0" xr:uid="{00000000-0006-0000-1200-0000C7000000}">
      <text>
        <r>
          <rPr>
            <sz val="9"/>
            <color indexed="81"/>
            <rFont val="Tahoma"/>
            <family val="2"/>
          </rPr>
          <t>Invalid value</t>
        </r>
      </text>
    </comment>
    <comment ref="Q135" authorId="2" shapeId="0" xr:uid="{00000000-0006-0000-1200-0000C8000000}">
      <text>
        <r>
          <rPr>
            <sz val="9"/>
            <color indexed="81"/>
            <rFont val="Tahoma"/>
            <family val="2"/>
          </rPr>
          <t>Invalid value</t>
        </r>
      </text>
    </comment>
    <comment ref="R135" authorId="2" shapeId="0" xr:uid="{00000000-0006-0000-1200-0000C9000000}">
      <text>
        <r>
          <rPr>
            <sz val="9"/>
            <color indexed="81"/>
            <rFont val="Tahoma"/>
            <family val="2"/>
          </rPr>
          <t>Invalid value</t>
        </r>
      </text>
    </comment>
    <comment ref="S135" authorId="2" shapeId="0" xr:uid="{00000000-0006-0000-1200-0000CA000000}">
      <text>
        <r>
          <rPr>
            <sz val="9"/>
            <color indexed="81"/>
            <rFont val="Tahoma"/>
            <family val="2"/>
          </rPr>
          <t>Invalid value</t>
        </r>
      </text>
    </comment>
    <comment ref="T135" authorId="2" shapeId="0" xr:uid="{00000000-0006-0000-1200-0000CB000000}">
      <text>
        <r>
          <rPr>
            <sz val="9"/>
            <color indexed="81"/>
            <rFont val="Tahoma"/>
            <family val="2"/>
          </rPr>
          <t>Invalid value</t>
        </r>
      </text>
    </comment>
    <comment ref="U135" authorId="2" shapeId="0" xr:uid="{00000000-0006-0000-1200-0000CC000000}">
      <text>
        <r>
          <rPr>
            <sz val="9"/>
            <color indexed="81"/>
            <rFont val="Tahoma"/>
            <family val="2"/>
          </rPr>
          <t>Invalid value</t>
        </r>
      </text>
    </comment>
    <comment ref="V135" authorId="2" shapeId="0" xr:uid="{00000000-0006-0000-1200-0000CD000000}">
      <text>
        <r>
          <rPr>
            <sz val="9"/>
            <color indexed="81"/>
            <rFont val="Tahoma"/>
            <family val="2"/>
          </rPr>
          <t>Invalid value</t>
        </r>
      </text>
    </comment>
    <comment ref="W135" authorId="2" shapeId="0" xr:uid="{00000000-0006-0000-1200-0000CE000000}">
      <text>
        <r>
          <rPr>
            <sz val="9"/>
            <color indexed="81"/>
            <rFont val="Tahoma"/>
            <family val="2"/>
          </rPr>
          <t>Invalid value</t>
        </r>
      </text>
    </comment>
    <comment ref="X135" authorId="2" shapeId="0" xr:uid="{00000000-0006-0000-1200-0000CF000000}">
      <text>
        <r>
          <rPr>
            <sz val="9"/>
            <color indexed="81"/>
            <rFont val="Tahoma"/>
            <family val="2"/>
          </rPr>
          <t>Invalid value</t>
        </r>
      </text>
    </comment>
    <comment ref="Y135" authorId="2" shapeId="0" xr:uid="{00000000-0006-0000-1200-0000D0000000}">
      <text>
        <r>
          <rPr>
            <sz val="9"/>
            <color indexed="81"/>
            <rFont val="Tahoma"/>
            <family val="2"/>
          </rPr>
          <t>Invalid value</t>
        </r>
      </text>
    </comment>
    <comment ref="Z135" authorId="2" shapeId="0" xr:uid="{00000000-0006-0000-1200-0000D1000000}">
      <text>
        <r>
          <rPr>
            <sz val="9"/>
            <color indexed="81"/>
            <rFont val="Tahoma"/>
            <family val="2"/>
          </rPr>
          <t>Invalid value</t>
        </r>
      </text>
    </comment>
    <comment ref="AA135" authorId="2" shapeId="0" xr:uid="{00000000-0006-0000-1200-0000D2000000}">
      <text>
        <r>
          <rPr>
            <sz val="9"/>
            <color indexed="81"/>
            <rFont val="Tahoma"/>
            <family val="2"/>
          </rPr>
          <t>Invalid value</t>
        </r>
      </text>
    </comment>
    <comment ref="AB135" authorId="2" shapeId="0" xr:uid="{00000000-0006-0000-1200-0000D3000000}">
      <text>
        <r>
          <rPr>
            <sz val="9"/>
            <color indexed="81"/>
            <rFont val="Tahoma"/>
            <family val="2"/>
          </rPr>
          <t>Invalid value</t>
        </r>
      </text>
    </comment>
    <comment ref="AC135" authorId="2" shapeId="0" xr:uid="{00000000-0006-0000-1200-0000D4000000}">
      <text>
        <r>
          <rPr>
            <sz val="9"/>
            <color indexed="81"/>
            <rFont val="Tahoma"/>
            <family val="2"/>
          </rPr>
          <t>Invalid value</t>
        </r>
      </text>
    </comment>
    <comment ref="AD135" authorId="2" shapeId="0" xr:uid="{00000000-0006-0000-1200-0000D5000000}">
      <text>
        <r>
          <rPr>
            <sz val="9"/>
            <color indexed="81"/>
            <rFont val="Tahoma"/>
            <family val="2"/>
          </rPr>
          <t>Invalid value</t>
        </r>
      </text>
    </comment>
    <comment ref="AE135" authorId="2" shapeId="0" xr:uid="{00000000-0006-0000-1200-0000D6000000}">
      <text>
        <r>
          <rPr>
            <sz val="9"/>
            <color indexed="81"/>
            <rFont val="Tahoma"/>
            <family val="2"/>
          </rPr>
          <t>Invalid value</t>
        </r>
      </text>
    </comment>
    <comment ref="AF135" authorId="2" shapeId="0" xr:uid="{00000000-0006-0000-1200-0000D7000000}">
      <text>
        <r>
          <rPr>
            <sz val="9"/>
            <color indexed="81"/>
            <rFont val="Tahoma"/>
            <family val="2"/>
          </rPr>
          <t>Invalid value</t>
        </r>
      </text>
    </comment>
    <comment ref="H136" authorId="2" shapeId="0" xr:uid="{00000000-0006-0000-1200-0000D8000000}">
      <text>
        <r>
          <rPr>
            <sz val="9"/>
            <color indexed="81"/>
            <rFont val="Tahoma"/>
            <family val="2"/>
          </rPr>
          <t>Invalid value</t>
        </r>
      </text>
    </comment>
    <comment ref="I136" authorId="2" shapeId="0" xr:uid="{00000000-0006-0000-1200-0000D9000000}">
      <text>
        <r>
          <rPr>
            <sz val="9"/>
            <color indexed="81"/>
            <rFont val="Tahoma"/>
            <family val="2"/>
          </rPr>
          <t>Invalid value</t>
        </r>
      </text>
    </comment>
    <comment ref="J136" authorId="2" shapeId="0" xr:uid="{00000000-0006-0000-1200-0000DA000000}">
      <text>
        <r>
          <rPr>
            <sz val="9"/>
            <color indexed="81"/>
            <rFont val="Tahoma"/>
            <family val="2"/>
          </rPr>
          <t>Invalid value</t>
        </r>
      </text>
    </comment>
    <comment ref="K136" authorId="2" shapeId="0" xr:uid="{00000000-0006-0000-1200-0000DB000000}">
      <text>
        <r>
          <rPr>
            <sz val="9"/>
            <color indexed="81"/>
            <rFont val="Tahoma"/>
            <family val="2"/>
          </rPr>
          <t>Invalid value</t>
        </r>
      </text>
    </comment>
    <comment ref="L136" authorId="2" shapeId="0" xr:uid="{00000000-0006-0000-1200-0000DC000000}">
      <text>
        <r>
          <rPr>
            <sz val="9"/>
            <color indexed="81"/>
            <rFont val="Tahoma"/>
            <family val="2"/>
          </rPr>
          <t>Invalid value</t>
        </r>
      </text>
    </comment>
    <comment ref="M136" authorId="2" shapeId="0" xr:uid="{00000000-0006-0000-1200-0000DD000000}">
      <text>
        <r>
          <rPr>
            <sz val="9"/>
            <color indexed="81"/>
            <rFont val="Tahoma"/>
            <family val="2"/>
          </rPr>
          <t>Invalid value</t>
        </r>
      </text>
    </comment>
    <comment ref="N136" authorId="2" shapeId="0" xr:uid="{00000000-0006-0000-1200-0000DE000000}">
      <text>
        <r>
          <rPr>
            <sz val="9"/>
            <color indexed="81"/>
            <rFont val="Tahoma"/>
            <family val="2"/>
          </rPr>
          <t>Invalid value</t>
        </r>
      </text>
    </comment>
    <comment ref="O136" authorId="2" shapeId="0" xr:uid="{00000000-0006-0000-1200-0000DF000000}">
      <text>
        <r>
          <rPr>
            <sz val="9"/>
            <color indexed="81"/>
            <rFont val="Tahoma"/>
            <family val="2"/>
          </rPr>
          <t>Invalid value</t>
        </r>
      </text>
    </comment>
    <comment ref="P136" authorId="2" shapeId="0" xr:uid="{00000000-0006-0000-1200-0000E0000000}">
      <text>
        <r>
          <rPr>
            <sz val="9"/>
            <color indexed="81"/>
            <rFont val="Tahoma"/>
            <family val="2"/>
          </rPr>
          <t>Invalid value</t>
        </r>
      </text>
    </comment>
    <comment ref="Q136" authorId="2" shapeId="0" xr:uid="{00000000-0006-0000-1200-0000E1000000}">
      <text>
        <r>
          <rPr>
            <sz val="9"/>
            <color indexed="81"/>
            <rFont val="Tahoma"/>
            <family val="2"/>
          </rPr>
          <t>Invalid value</t>
        </r>
      </text>
    </comment>
    <comment ref="R136" authorId="2" shapeId="0" xr:uid="{00000000-0006-0000-1200-0000E2000000}">
      <text>
        <r>
          <rPr>
            <sz val="9"/>
            <color indexed="81"/>
            <rFont val="Tahoma"/>
            <family val="2"/>
          </rPr>
          <t>Invalid value</t>
        </r>
      </text>
    </comment>
    <comment ref="S136" authorId="2" shapeId="0" xr:uid="{00000000-0006-0000-1200-0000E3000000}">
      <text>
        <r>
          <rPr>
            <sz val="9"/>
            <color indexed="81"/>
            <rFont val="Tahoma"/>
            <family val="2"/>
          </rPr>
          <t>Invalid value</t>
        </r>
      </text>
    </comment>
    <comment ref="T136" authorId="2" shapeId="0" xr:uid="{00000000-0006-0000-1200-0000E4000000}">
      <text>
        <r>
          <rPr>
            <sz val="9"/>
            <color indexed="81"/>
            <rFont val="Tahoma"/>
            <family val="2"/>
          </rPr>
          <t>Invalid value</t>
        </r>
      </text>
    </comment>
    <comment ref="U136" authorId="2" shapeId="0" xr:uid="{00000000-0006-0000-1200-0000E5000000}">
      <text>
        <r>
          <rPr>
            <sz val="9"/>
            <color indexed="81"/>
            <rFont val="Tahoma"/>
            <family val="2"/>
          </rPr>
          <t>Invalid value</t>
        </r>
      </text>
    </comment>
    <comment ref="V136" authorId="2" shapeId="0" xr:uid="{00000000-0006-0000-1200-0000E6000000}">
      <text>
        <r>
          <rPr>
            <sz val="9"/>
            <color indexed="81"/>
            <rFont val="Tahoma"/>
            <family val="2"/>
          </rPr>
          <t>Invalid value</t>
        </r>
      </text>
    </comment>
    <comment ref="W136" authorId="2" shapeId="0" xr:uid="{00000000-0006-0000-1200-0000E7000000}">
      <text>
        <r>
          <rPr>
            <sz val="9"/>
            <color indexed="81"/>
            <rFont val="Tahoma"/>
            <family val="2"/>
          </rPr>
          <t>Invalid value</t>
        </r>
      </text>
    </comment>
    <comment ref="X136" authorId="2" shapeId="0" xr:uid="{00000000-0006-0000-1200-0000E8000000}">
      <text>
        <r>
          <rPr>
            <sz val="9"/>
            <color indexed="81"/>
            <rFont val="Tahoma"/>
            <family val="2"/>
          </rPr>
          <t>Invalid value</t>
        </r>
      </text>
    </comment>
    <comment ref="Y136" authorId="2" shapeId="0" xr:uid="{00000000-0006-0000-1200-0000E9000000}">
      <text>
        <r>
          <rPr>
            <sz val="9"/>
            <color indexed="81"/>
            <rFont val="Tahoma"/>
            <family val="2"/>
          </rPr>
          <t>Invalid value</t>
        </r>
      </text>
    </comment>
    <comment ref="Z136" authorId="2" shapeId="0" xr:uid="{00000000-0006-0000-1200-0000EA000000}">
      <text>
        <r>
          <rPr>
            <sz val="9"/>
            <color indexed="81"/>
            <rFont val="Tahoma"/>
            <family val="2"/>
          </rPr>
          <t>Invalid value</t>
        </r>
      </text>
    </comment>
    <comment ref="AA136" authorId="2" shapeId="0" xr:uid="{00000000-0006-0000-1200-0000EB000000}">
      <text>
        <r>
          <rPr>
            <sz val="9"/>
            <color indexed="81"/>
            <rFont val="Tahoma"/>
            <family val="2"/>
          </rPr>
          <t>Invalid value</t>
        </r>
      </text>
    </comment>
    <comment ref="AB136" authorId="2" shapeId="0" xr:uid="{00000000-0006-0000-1200-0000EC000000}">
      <text>
        <r>
          <rPr>
            <sz val="9"/>
            <color indexed="81"/>
            <rFont val="Tahoma"/>
            <family val="2"/>
          </rPr>
          <t>Invalid value</t>
        </r>
      </text>
    </comment>
    <comment ref="AC136" authorId="2" shapeId="0" xr:uid="{00000000-0006-0000-1200-0000ED000000}">
      <text>
        <r>
          <rPr>
            <sz val="9"/>
            <color indexed="81"/>
            <rFont val="Tahoma"/>
            <family val="2"/>
          </rPr>
          <t>Invalid value</t>
        </r>
      </text>
    </comment>
    <comment ref="AD136" authorId="2" shapeId="0" xr:uid="{00000000-0006-0000-1200-0000EE000000}">
      <text>
        <r>
          <rPr>
            <sz val="9"/>
            <color indexed="81"/>
            <rFont val="Tahoma"/>
            <family val="2"/>
          </rPr>
          <t>Invalid value</t>
        </r>
      </text>
    </comment>
    <comment ref="AE136" authorId="2" shapeId="0" xr:uid="{00000000-0006-0000-1200-0000EF000000}">
      <text>
        <r>
          <rPr>
            <sz val="9"/>
            <color indexed="81"/>
            <rFont val="Tahoma"/>
            <family val="2"/>
          </rPr>
          <t>Invalid value</t>
        </r>
      </text>
    </comment>
    <comment ref="AF136" authorId="2" shapeId="0" xr:uid="{00000000-0006-0000-1200-0000F0000000}">
      <text>
        <r>
          <rPr>
            <sz val="9"/>
            <color indexed="81"/>
            <rFont val="Tahoma"/>
            <family val="2"/>
          </rPr>
          <t>Invalid value</t>
        </r>
      </text>
    </comment>
    <comment ref="H137" authorId="2" shapeId="0" xr:uid="{00000000-0006-0000-1200-0000F1000000}">
      <text>
        <r>
          <rPr>
            <sz val="9"/>
            <color indexed="81"/>
            <rFont val="Tahoma"/>
            <family val="2"/>
          </rPr>
          <t>Invalid value</t>
        </r>
      </text>
    </comment>
    <comment ref="I137" authorId="2" shapeId="0" xr:uid="{00000000-0006-0000-1200-0000F2000000}">
      <text>
        <r>
          <rPr>
            <sz val="9"/>
            <color indexed="81"/>
            <rFont val="Tahoma"/>
            <family val="2"/>
          </rPr>
          <t>Invalid value</t>
        </r>
      </text>
    </comment>
    <comment ref="J137" authorId="2" shapeId="0" xr:uid="{00000000-0006-0000-1200-0000F3000000}">
      <text>
        <r>
          <rPr>
            <sz val="9"/>
            <color indexed="81"/>
            <rFont val="Tahoma"/>
            <family val="2"/>
          </rPr>
          <t>Invalid value</t>
        </r>
      </text>
    </comment>
    <comment ref="K137" authorId="2" shapeId="0" xr:uid="{00000000-0006-0000-1200-0000F4000000}">
      <text>
        <r>
          <rPr>
            <sz val="9"/>
            <color indexed="81"/>
            <rFont val="Tahoma"/>
            <family val="2"/>
          </rPr>
          <t>Invalid value</t>
        </r>
      </text>
    </comment>
    <comment ref="L137" authorId="2" shapeId="0" xr:uid="{00000000-0006-0000-1200-0000F5000000}">
      <text>
        <r>
          <rPr>
            <sz val="9"/>
            <color indexed="81"/>
            <rFont val="Tahoma"/>
            <family val="2"/>
          </rPr>
          <t>Invalid value</t>
        </r>
      </text>
    </comment>
    <comment ref="M137" authorId="2" shapeId="0" xr:uid="{00000000-0006-0000-1200-0000F6000000}">
      <text>
        <r>
          <rPr>
            <sz val="9"/>
            <color indexed="81"/>
            <rFont val="Tahoma"/>
            <family val="2"/>
          </rPr>
          <t>Invalid value</t>
        </r>
      </text>
    </comment>
    <comment ref="N137" authorId="2" shapeId="0" xr:uid="{00000000-0006-0000-1200-0000F7000000}">
      <text>
        <r>
          <rPr>
            <sz val="9"/>
            <color indexed="81"/>
            <rFont val="Tahoma"/>
            <family val="2"/>
          </rPr>
          <t>Invalid value</t>
        </r>
      </text>
    </comment>
    <comment ref="O137" authorId="2" shapeId="0" xr:uid="{00000000-0006-0000-1200-0000F8000000}">
      <text>
        <r>
          <rPr>
            <sz val="9"/>
            <color indexed="81"/>
            <rFont val="Tahoma"/>
            <family val="2"/>
          </rPr>
          <t>Invalid value</t>
        </r>
      </text>
    </comment>
    <comment ref="P137" authorId="2" shapeId="0" xr:uid="{00000000-0006-0000-1200-0000F9000000}">
      <text>
        <r>
          <rPr>
            <sz val="9"/>
            <color indexed="81"/>
            <rFont val="Tahoma"/>
            <family val="2"/>
          </rPr>
          <t>Invalid value</t>
        </r>
      </text>
    </comment>
    <comment ref="Q137" authorId="2" shapeId="0" xr:uid="{00000000-0006-0000-1200-0000FA000000}">
      <text>
        <r>
          <rPr>
            <sz val="9"/>
            <color indexed="81"/>
            <rFont val="Tahoma"/>
            <family val="2"/>
          </rPr>
          <t>Invalid value</t>
        </r>
      </text>
    </comment>
    <comment ref="R137" authorId="2" shapeId="0" xr:uid="{00000000-0006-0000-1200-0000FB000000}">
      <text>
        <r>
          <rPr>
            <sz val="9"/>
            <color indexed="81"/>
            <rFont val="Tahoma"/>
            <family val="2"/>
          </rPr>
          <t>Invalid value</t>
        </r>
      </text>
    </comment>
    <comment ref="S137" authorId="2" shapeId="0" xr:uid="{00000000-0006-0000-1200-0000FC000000}">
      <text>
        <r>
          <rPr>
            <sz val="9"/>
            <color indexed="81"/>
            <rFont val="Tahoma"/>
            <family val="2"/>
          </rPr>
          <t>Invalid value</t>
        </r>
      </text>
    </comment>
    <comment ref="T137" authorId="2" shapeId="0" xr:uid="{00000000-0006-0000-1200-0000FD000000}">
      <text>
        <r>
          <rPr>
            <sz val="9"/>
            <color indexed="81"/>
            <rFont val="Tahoma"/>
            <family val="2"/>
          </rPr>
          <t>Invalid value</t>
        </r>
      </text>
    </comment>
    <comment ref="U137" authorId="2" shapeId="0" xr:uid="{00000000-0006-0000-1200-0000FE000000}">
      <text>
        <r>
          <rPr>
            <sz val="9"/>
            <color indexed="81"/>
            <rFont val="Tahoma"/>
            <family val="2"/>
          </rPr>
          <t>Invalid value</t>
        </r>
      </text>
    </comment>
    <comment ref="V137" authorId="2" shapeId="0" xr:uid="{00000000-0006-0000-1200-0000FF000000}">
      <text>
        <r>
          <rPr>
            <sz val="9"/>
            <color indexed="81"/>
            <rFont val="Tahoma"/>
            <family val="2"/>
          </rPr>
          <t>Invalid value</t>
        </r>
      </text>
    </comment>
    <comment ref="W137" authorId="2" shapeId="0" xr:uid="{00000000-0006-0000-1200-000000010000}">
      <text>
        <r>
          <rPr>
            <sz val="9"/>
            <color indexed="81"/>
            <rFont val="Tahoma"/>
            <family val="2"/>
          </rPr>
          <t>Invalid value</t>
        </r>
      </text>
    </comment>
    <comment ref="X137" authorId="2" shapeId="0" xr:uid="{00000000-0006-0000-1200-000001010000}">
      <text>
        <r>
          <rPr>
            <sz val="9"/>
            <color indexed="81"/>
            <rFont val="Tahoma"/>
            <family val="2"/>
          </rPr>
          <t>Invalid value</t>
        </r>
      </text>
    </comment>
    <comment ref="Y137" authorId="2" shapeId="0" xr:uid="{00000000-0006-0000-1200-000002010000}">
      <text>
        <r>
          <rPr>
            <sz val="9"/>
            <color indexed="81"/>
            <rFont val="Tahoma"/>
            <family val="2"/>
          </rPr>
          <t>Invalid value</t>
        </r>
      </text>
    </comment>
    <comment ref="Z137" authorId="2" shapeId="0" xr:uid="{00000000-0006-0000-1200-000003010000}">
      <text>
        <r>
          <rPr>
            <sz val="9"/>
            <color indexed="81"/>
            <rFont val="Tahoma"/>
            <family val="2"/>
          </rPr>
          <t>Invalid value</t>
        </r>
      </text>
    </comment>
    <comment ref="AA137" authorId="2" shapeId="0" xr:uid="{00000000-0006-0000-1200-000004010000}">
      <text>
        <r>
          <rPr>
            <sz val="9"/>
            <color indexed="81"/>
            <rFont val="Tahoma"/>
            <family val="2"/>
          </rPr>
          <t>Invalid value</t>
        </r>
      </text>
    </comment>
    <comment ref="AB137" authorId="2" shapeId="0" xr:uid="{00000000-0006-0000-1200-000005010000}">
      <text>
        <r>
          <rPr>
            <sz val="9"/>
            <color indexed="81"/>
            <rFont val="Tahoma"/>
            <family val="2"/>
          </rPr>
          <t>Invalid value</t>
        </r>
      </text>
    </comment>
    <comment ref="AC137" authorId="2" shapeId="0" xr:uid="{00000000-0006-0000-1200-000006010000}">
      <text>
        <r>
          <rPr>
            <sz val="9"/>
            <color indexed="81"/>
            <rFont val="Tahoma"/>
            <family val="2"/>
          </rPr>
          <t>Invalid value</t>
        </r>
      </text>
    </comment>
    <comment ref="AD137" authorId="2" shapeId="0" xr:uid="{00000000-0006-0000-1200-000007010000}">
      <text>
        <r>
          <rPr>
            <sz val="9"/>
            <color indexed="81"/>
            <rFont val="Tahoma"/>
            <family val="2"/>
          </rPr>
          <t>Invalid value</t>
        </r>
      </text>
    </comment>
    <comment ref="AE137" authorId="2" shapeId="0" xr:uid="{00000000-0006-0000-1200-000008010000}">
      <text>
        <r>
          <rPr>
            <sz val="9"/>
            <color indexed="81"/>
            <rFont val="Tahoma"/>
            <family val="2"/>
          </rPr>
          <t>Invalid value</t>
        </r>
      </text>
    </comment>
    <comment ref="AF137" authorId="2" shapeId="0" xr:uid="{00000000-0006-0000-1200-000009010000}">
      <text>
        <r>
          <rPr>
            <sz val="9"/>
            <color indexed="81"/>
            <rFont val="Tahoma"/>
            <family val="2"/>
          </rPr>
          <t>Invalid value</t>
        </r>
      </text>
    </comment>
    <comment ref="H138" authorId="2" shapeId="0" xr:uid="{00000000-0006-0000-1200-00000A010000}">
      <text>
        <r>
          <rPr>
            <sz val="9"/>
            <color indexed="81"/>
            <rFont val="Tahoma"/>
            <family val="2"/>
          </rPr>
          <t>Invalid value</t>
        </r>
      </text>
    </comment>
    <comment ref="I138" authorId="2" shapeId="0" xr:uid="{00000000-0006-0000-1200-00000B010000}">
      <text>
        <r>
          <rPr>
            <sz val="9"/>
            <color indexed="81"/>
            <rFont val="Tahoma"/>
            <family val="2"/>
          </rPr>
          <t>Invalid value</t>
        </r>
      </text>
    </comment>
    <comment ref="J138" authorId="2" shapeId="0" xr:uid="{00000000-0006-0000-1200-00000C010000}">
      <text>
        <r>
          <rPr>
            <sz val="9"/>
            <color indexed="81"/>
            <rFont val="Tahoma"/>
            <family val="2"/>
          </rPr>
          <t>Invalid value</t>
        </r>
      </text>
    </comment>
    <comment ref="K138" authorId="2" shapeId="0" xr:uid="{00000000-0006-0000-1200-00000D010000}">
      <text>
        <r>
          <rPr>
            <sz val="9"/>
            <color indexed="81"/>
            <rFont val="Tahoma"/>
            <family val="2"/>
          </rPr>
          <t>Invalid value</t>
        </r>
      </text>
    </comment>
    <comment ref="L138" authorId="2" shapeId="0" xr:uid="{00000000-0006-0000-1200-00000E010000}">
      <text>
        <r>
          <rPr>
            <sz val="9"/>
            <color indexed="81"/>
            <rFont val="Tahoma"/>
            <family val="2"/>
          </rPr>
          <t>Invalid value</t>
        </r>
      </text>
    </comment>
    <comment ref="M138" authorId="2" shapeId="0" xr:uid="{00000000-0006-0000-1200-00000F010000}">
      <text>
        <r>
          <rPr>
            <sz val="9"/>
            <color indexed="81"/>
            <rFont val="Tahoma"/>
            <family val="2"/>
          </rPr>
          <t>Invalid value</t>
        </r>
      </text>
    </comment>
    <comment ref="N138" authorId="2" shapeId="0" xr:uid="{00000000-0006-0000-1200-000010010000}">
      <text>
        <r>
          <rPr>
            <sz val="9"/>
            <color indexed="81"/>
            <rFont val="Tahoma"/>
            <family val="2"/>
          </rPr>
          <t>Invalid value</t>
        </r>
      </text>
    </comment>
    <comment ref="O138" authorId="2" shapeId="0" xr:uid="{00000000-0006-0000-1200-000011010000}">
      <text>
        <r>
          <rPr>
            <sz val="9"/>
            <color indexed="81"/>
            <rFont val="Tahoma"/>
            <family val="2"/>
          </rPr>
          <t>Invalid value</t>
        </r>
      </text>
    </comment>
    <comment ref="P138" authorId="2" shapeId="0" xr:uid="{00000000-0006-0000-1200-000012010000}">
      <text>
        <r>
          <rPr>
            <sz val="9"/>
            <color indexed="81"/>
            <rFont val="Tahoma"/>
            <family val="2"/>
          </rPr>
          <t>Invalid value</t>
        </r>
      </text>
    </comment>
    <comment ref="Q138" authorId="2" shapeId="0" xr:uid="{00000000-0006-0000-1200-000013010000}">
      <text>
        <r>
          <rPr>
            <sz val="9"/>
            <color indexed="81"/>
            <rFont val="Tahoma"/>
            <family val="2"/>
          </rPr>
          <t>Invalid value</t>
        </r>
      </text>
    </comment>
    <comment ref="R138" authorId="2" shapeId="0" xr:uid="{00000000-0006-0000-1200-000014010000}">
      <text>
        <r>
          <rPr>
            <sz val="9"/>
            <color indexed="81"/>
            <rFont val="Tahoma"/>
            <family val="2"/>
          </rPr>
          <t>Invalid value</t>
        </r>
      </text>
    </comment>
    <comment ref="S138" authorId="2" shapeId="0" xr:uid="{00000000-0006-0000-1200-000015010000}">
      <text>
        <r>
          <rPr>
            <sz val="9"/>
            <color indexed="81"/>
            <rFont val="Tahoma"/>
            <family val="2"/>
          </rPr>
          <t>Invalid value</t>
        </r>
      </text>
    </comment>
    <comment ref="T138" authorId="2" shapeId="0" xr:uid="{00000000-0006-0000-1200-000016010000}">
      <text>
        <r>
          <rPr>
            <sz val="9"/>
            <color indexed="81"/>
            <rFont val="Tahoma"/>
            <family val="2"/>
          </rPr>
          <t>Invalid value</t>
        </r>
      </text>
    </comment>
    <comment ref="U138" authorId="2" shapeId="0" xr:uid="{00000000-0006-0000-1200-000017010000}">
      <text>
        <r>
          <rPr>
            <sz val="9"/>
            <color indexed="81"/>
            <rFont val="Tahoma"/>
            <family val="2"/>
          </rPr>
          <t>Invalid value</t>
        </r>
      </text>
    </comment>
    <comment ref="V138" authorId="2" shapeId="0" xr:uid="{00000000-0006-0000-1200-000018010000}">
      <text>
        <r>
          <rPr>
            <sz val="9"/>
            <color indexed="81"/>
            <rFont val="Tahoma"/>
            <family val="2"/>
          </rPr>
          <t>Invalid value</t>
        </r>
      </text>
    </comment>
    <comment ref="W138" authorId="2" shapeId="0" xr:uid="{00000000-0006-0000-1200-000019010000}">
      <text>
        <r>
          <rPr>
            <sz val="9"/>
            <color indexed="81"/>
            <rFont val="Tahoma"/>
            <family val="2"/>
          </rPr>
          <t>Invalid value</t>
        </r>
      </text>
    </comment>
    <comment ref="X138" authorId="2" shapeId="0" xr:uid="{00000000-0006-0000-1200-00001A010000}">
      <text>
        <r>
          <rPr>
            <sz val="9"/>
            <color indexed="81"/>
            <rFont val="Tahoma"/>
            <family val="2"/>
          </rPr>
          <t>Invalid value</t>
        </r>
      </text>
    </comment>
    <comment ref="Y138" authorId="2" shapeId="0" xr:uid="{00000000-0006-0000-1200-00001B010000}">
      <text>
        <r>
          <rPr>
            <sz val="9"/>
            <color indexed="81"/>
            <rFont val="Tahoma"/>
            <family val="2"/>
          </rPr>
          <t>Invalid value</t>
        </r>
      </text>
    </comment>
    <comment ref="Z138" authorId="2" shapeId="0" xr:uid="{00000000-0006-0000-1200-00001C010000}">
      <text>
        <r>
          <rPr>
            <sz val="9"/>
            <color indexed="81"/>
            <rFont val="Tahoma"/>
            <family val="2"/>
          </rPr>
          <t>Invalid value</t>
        </r>
      </text>
    </comment>
    <comment ref="AA138" authorId="2" shapeId="0" xr:uid="{00000000-0006-0000-1200-00001D010000}">
      <text>
        <r>
          <rPr>
            <sz val="9"/>
            <color indexed="81"/>
            <rFont val="Tahoma"/>
            <family val="2"/>
          </rPr>
          <t>Invalid value</t>
        </r>
      </text>
    </comment>
    <comment ref="AB138" authorId="2" shapeId="0" xr:uid="{00000000-0006-0000-1200-00001E010000}">
      <text>
        <r>
          <rPr>
            <sz val="9"/>
            <color indexed="81"/>
            <rFont val="Tahoma"/>
            <family val="2"/>
          </rPr>
          <t>Invalid value</t>
        </r>
      </text>
    </comment>
    <comment ref="AC138" authorId="2" shapeId="0" xr:uid="{00000000-0006-0000-1200-00001F010000}">
      <text>
        <r>
          <rPr>
            <sz val="9"/>
            <color indexed="81"/>
            <rFont val="Tahoma"/>
            <family val="2"/>
          </rPr>
          <t>Invalid value</t>
        </r>
      </text>
    </comment>
    <comment ref="AD138" authorId="2" shapeId="0" xr:uid="{00000000-0006-0000-1200-000020010000}">
      <text>
        <r>
          <rPr>
            <sz val="9"/>
            <color indexed="81"/>
            <rFont val="Tahoma"/>
            <family val="2"/>
          </rPr>
          <t>Invalid value</t>
        </r>
      </text>
    </comment>
    <comment ref="AE138" authorId="2" shapeId="0" xr:uid="{00000000-0006-0000-1200-000021010000}">
      <text>
        <r>
          <rPr>
            <sz val="9"/>
            <color indexed="81"/>
            <rFont val="Tahoma"/>
            <family val="2"/>
          </rPr>
          <t>Invalid value</t>
        </r>
      </text>
    </comment>
    <comment ref="AF138" authorId="2" shapeId="0" xr:uid="{00000000-0006-0000-1200-000022010000}">
      <text>
        <r>
          <rPr>
            <sz val="9"/>
            <color indexed="81"/>
            <rFont val="Tahoma"/>
            <family val="2"/>
          </rPr>
          <t>Invalid value</t>
        </r>
      </text>
    </comment>
    <comment ref="H139" authorId="2" shapeId="0" xr:uid="{00000000-0006-0000-1200-000023010000}">
      <text>
        <r>
          <rPr>
            <sz val="9"/>
            <color indexed="81"/>
            <rFont val="Tahoma"/>
            <family val="2"/>
          </rPr>
          <t>Invalid value</t>
        </r>
      </text>
    </comment>
    <comment ref="I139" authorId="2" shapeId="0" xr:uid="{00000000-0006-0000-1200-000024010000}">
      <text>
        <r>
          <rPr>
            <sz val="9"/>
            <color indexed="81"/>
            <rFont val="Tahoma"/>
            <family val="2"/>
          </rPr>
          <t>Invalid value</t>
        </r>
      </text>
    </comment>
    <comment ref="J139" authorId="2" shapeId="0" xr:uid="{00000000-0006-0000-1200-000025010000}">
      <text>
        <r>
          <rPr>
            <sz val="9"/>
            <color indexed="81"/>
            <rFont val="Tahoma"/>
            <family val="2"/>
          </rPr>
          <t>Invalid value</t>
        </r>
      </text>
    </comment>
    <comment ref="K139" authorId="2" shapeId="0" xr:uid="{00000000-0006-0000-1200-000026010000}">
      <text>
        <r>
          <rPr>
            <sz val="9"/>
            <color indexed="81"/>
            <rFont val="Tahoma"/>
            <family val="2"/>
          </rPr>
          <t>Invalid value</t>
        </r>
      </text>
    </comment>
    <comment ref="L139" authorId="2" shapeId="0" xr:uid="{00000000-0006-0000-1200-000027010000}">
      <text>
        <r>
          <rPr>
            <sz val="9"/>
            <color indexed="81"/>
            <rFont val="Tahoma"/>
            <family val="2"/>
          </rPr>
          <t>Invalid value</t>
        </r>
      </text>
    </comment>
    <comment ref="M139" authorId="2" shapeId="0" xr:uid="{00000000-0006-0000-1200-000028010000}">
      <text>
        <r>
          <rPr>
            <sz val="9"/>
            <color indexed="81"/>
            <rFont val="Tahoma"/>
            <family val="2"/>
          </rPr>
          <t>Invalid value</t>
        </r>
      </text>
    </comment>
    <comment ref="N139" authorId="2" shapeId="0" xr:uid="{00000000-0006-0000-1200-000029010000}">
      <text>
        <r>
          <rPr>
            <sz val="9"/>
            <color indexed="81"/>
            <rFont val="Tahoma"/>
            <family val="2"/>
          </rPr>
          <t>Invalid value</t>
        </r>
      </text>
    </comment>
    <comment ref="O139" authorId="2" shapeId="0" xr:uid="{00000000-0006-0000-1200-00002A010000}">
      <text>
        <r>
          <rPr>
            <sz val="9"/>
            <color indexed="81"/>
            <rFont val="Tahoma"/>
            <family val="2"/>
          </rPr>
          <t>Invalid value</t>
        </r>
      </text>
    </comment>
    <comment ref="P139" authorId="2" shapeId="0" xr:uid="{00000000-0006-0000-1200-00002B010000}">
      <text>
        <r>
          <rPr>
            <sz val="9"/>
            <color indexed="81"/>
            <rFont val="Tahoma"/>
            <family val="2"/>
          </rPr>
          <t>Invalid value</t>
        </r>
      </text>
    </comment>
    <comment ref="Q139" authorId="2" shapeId="0" xr:uid="{00000000-0006-0000-1200-00002C010000}">
      <text>
        <r>
          <rPr>
            <sz val="9"/>
            <color indexed="81"/>
            <rFont val="Tahoma"/>
            <family val="2"/>
          </rPr>
          <t>Invalid value</t>
        </r>
      </text>
    </comment>
    <comment ref="R139" authorId="2" shapeId="0" xr:uid="{00000000-0006-0000-1200-00002D010000}">
      <text>
        <r>
          <rPr>
            <sz val="9"/>
            <color indexed="81"/>
            <rFont val="Tahoma"/>
            <family val="2"/>
          </rPr>
          <t>Invalid value</t>
        </r>
      </text>
    </comment>
    <comment ref="S139" authorId="2" shapeId="0" xr:uid="{00000000-0006-0000-1200-00002E010000}">
      <text>
        <r>
          <rPr>
            <sz val="9"/>
            <color indexed="81"/>
            <rFont val="Tahoma"/>
            <family val="2"/>
          </rPr>
          <t>Invalid value</t>
        </r>
      </text>
    </comment>
    <comment ref="T139" authorId="2" shapeId="0" xr:uid="{00000000-0006-0000-1200-00002F010000}">
      <text>
        <r>
          <rPr>
            <sz val="9"/>
            <color indexed="81"/>
            <rFont val="Tahoma"/>
            <family val="2"/>
          </rPr>
          <t>Invalid value</t>
        </r>
      </text>
    </comment>
    <comment ref="U139" authorId="2" shapeId="0" xr:uid="{00000000-0006-0000-1200-000030010000}">
      <text>
        <r>
          <rPr>
            <sz val="9"/>
            <color indexed="81"/>
            <rFont val="Tahoma"/>
            <family val="2"/>
          </rPr>
          <t>Invalid value</t>
        </r>
      </text>
    </comment>
    <comment ref="V139" authorId="2" shapeId="0" xr:uid="{00000000-0006-0000-1200-000031010000}">
      <text>
        <r>
          <rPr>
            <sz val="9"/>
            <color indexed="81"/>
            <rFont val="Tahoma"/>
            <family val="2"/>
          </rPr>
          <t>Invalid value</t>
        </r>
      </text>
    </comment>
    <comment ref="W139" authorId="2" shapeId="0" xr:uid="{00000000-0006-0000-1200-000032010000}">
      <text>
        <r>
          <rPr>
            <sz val="9"/>
            <color indexed="81"/>
            <rFont val="Tahoma"/>
            <family val="2"/>
          </rPr>
          <t>Invalid value</t>
        </r>
      </text>
    </comment>
    <comment ref="X139" authorId="2" shapeId="0" xr:uid="{00000000-0006-0000-1200-000033010000}">
      <text>
        <r>
          <rPr>
            <sz val="9"/>
            <color indexed="81"/>
            <rFont val="Tahoma"/>
            <family val="2"/>
          </rPr>
          <t>Invalid value</t>
        </r>
      </text>
    </comment>
    <comment ref="Y139" authorId="2" shapeId="0" xr:uid="{00000000-0006-0000-1200-000034010000}">
      <text>
        <r>
          <rPr>
            <sz val="9"/>
            <color indexed="81"/>
            <rFont val="Tahoma"/>
            <family val="2"/>
          </rPr>
          <t>Invalid value</t>
        </r>
      </text>
    </comment>
    <comment ref="Z139" authorId="2" shapeId="0" xr:uid="{00000000-0006-0000-1200-000035010000}">
      <text>
        <r>
          <rPr>
            <sz val="9"/>
            <color indexed="81"/>
            <rFont val="Tahoma"/>
            <family val="2"/>
          </rPr>
          <t>Invalid value</t>
        </r>
      </text>
    </comment>
    <comment ref="AA139" authorId="2" shapeId="0" xr:uid="{00000000-0006-0000-1200-000036010000}">
      <text>
        <r>
          <rPr>
            <sz val="9"/>
            <color indexed="81"/>
            <rFont val="Tahoma"/>
            <family val="2"/>
          </rPr>
          <t>Invalid value</t>
        </r>
      </text>
    </comment>
    <comment ref="AB139" authorId="2" shapeId="0" xr:uid="{00000000-0006-0000-1200-000037010000}">
      <text>
        <r>
          <rPr>
            <sz val="9"/>
            <color indexed="81"/>
            <rFont val="Tahoma"/>
            <family val="2"/>
          </rPr>
          <t>Invalid value</t>
        </r>
      </text>
    </comment>
    <comment ref="AC139" authorId="2" shapeId="0" xr:uid="{00000000-0006-0000-1200-000038010000}">
      <text>
        <r>
          <rPr>
            <sz val="9"/>
            <color indexed="81"/>
            <rFont val="Tahoma"/>
            <family val="2"/>
          </rPr>
          <t>Invalid value</t>
        </r>
      </text>
    </comment>
    <comment ref="AD139" authorId="2" shapeId="0" xr:uid="{00000000-0006-0000-1200-000039010000}">
      <text>
        <r>
          <rPr>
            <sz val="9"/>
            <color indexed="81"/>
            <rFont val="Tahoma"/>
            <family val="2"/>
          </rPr>
          <t>Invalid value</t>
        </r>
      </text>
    </comment>
    <comment ref="AE139" authorId="2" shapeId="0" xr:uid="{00000000-0006-0000-1200-00003A010000}">
      <text>
        <r>
          <rPr>
            <sz val="9"/>
            <color indexed="81"/>
            <rFont val="Tahoma"/>
            <family val="2"/>
          </rPr>
          <t>Invalid value</t>
        </r>
      </text>
    </comment>
    <comment ref="AF139" authorId="2" shapeId="0" xr:uid="{00000000-0006-0000-1200-00003B010000}">
      <text>
        <r>
          <rPr>
            <sz val="9"/>
            <color indexed="81"/>
            <rFont val="Tahoma"/>
            <family val="2"/>
          </rPr>
          <t>Invalid value</t>
        </r>
      </text>
    </comment>
    <comment ref="H140" authorId="2" shapeId="0" xr:uid="{00000000-0006-0000-1200-00003C010000}">
      <text>
        <r>
          <rPr>
            <sz val="9"/>
            <color indexed="81"/>
            <rFont val="Tahoma"/>
            <family val="2"/>
          </rPr>
          <t>Invalid value</t>
        </r>
      </text>
    </comment>
    <comment ref="I140" authorId="2" shapeId="0" xr:uid="{00000000-0006-0000-1200-00003D010000}">
      <text>
        <r>
          <rPr>
            <sz val="9"/>
            <color indexed="81"/>
            <rFont val="Tahoma"/>
            <family val="2"/>
          </rPr>
          <t>Invalid value</t>
        </r>
      </text>
    </comment>
    <comment ref="J140" authorId="2" shapeId="0" xr:uid="{00000000-0006-0000-1200-00003E010000}">
      <text>
        <r>
          <rPr>
            <sz val="9"/>
            <color indexed="81"/>
            <rFont val="Tahoma"/>
            <family val="2"/>
          </rPr>
          <t>Invalid value</t>
        </r>
      </text>
    </comment>
    <comment ref="K140" authorId="2" shapeId="0" xr:uid="{00000000-0006-0000-1200-00003F010000}">
      <text>
        <r>
          <rPr>
            <sz val="9"/>
            <color indexed="81"/>
            <rFont val="Tahoma"/>
            <family val="2"/>
          </rPr>
          <t>Invalid value</t>
        </r>
      </text>
    </comment>
    <comment ref="L140" authorId="2" shapeId="0" xr:uid="{00000000-0006-0000-1200-000040010000}">
      <text>
        <r>
          <rPr>
            <sz val="9"/>
            <color indexed="81"/>
            <rFont val="Tahoma"/>
            <family val="2"/>
          </rPr>
          <t>Invalid value</t>
        </r>
      </text>
    </comment>
    <comment ref="M140" authorId="2" shapeId="0" xr:uid="{00000000-0006-0000-1200-000041010000}">
      <text>
        <r>
          <rPr>
            <sz val="9"/>
            <color indexed="81"/>
            <rFont val="Tahoma"/>
            <family val="2"/>
          </rPr>
          <t>Invalid value</t>
        </r>
      </text>
    </comment>
    <comment ref="N140" authorId="2" shapeId="0" xr:uid="{00000000-0006-0000-1200-000042010000}">
      <text>
        <r>
          <rPr>
            <sz val="9"/>
            <color indexed="81"/>
            <rFont val="Tahoma"/>
            <family val="2"/>
          </rPr>
          <t>Invalid value</t>
        </r>
      </text>
    </comment>
    <comment ref="O140" authorId="2" shapeId="0" xr:uid="{00000000-0006-0000-1200-000043010000}">
      <text>
        <r>
          <rPr>
            <sz val="9"/>
            <color indexed="81"/>
            <rFont val="Tahoma"/>
            <family val="2"/>
          </rPr>
          <t>Invalid value</t>
        </r>
      </text>
    </comment>
    <comment ref="P140" authorId="2" shapeId="0" xr:uid="{00000000-0006-0000-1200-000044010000}">
      <text>
        <r>
          <rPr>
            <sz val="9"/>
            <color indexed="81"/>
            <rFont val="Tahoma"/>
            <family val="2"/>
          </rPr>
          <t>Invalid value</t>
        </r>
      </text>
    </comment>
    <comment ref="Q140" authorId="2" shapeId="0" xr:uid="{00000000-0006-0000-1200-000045010000}">
      <text>
        <r>
          <rPr>
            <sz val="9"/>
            <color indexed="81"/>
            <rFont val="Tahoma"/>
            <family val="2"/>
          </rPr>
          <t>Invalid value</t>
        </r>
      </text>
    </comment>
    <comment ref="R140" authorId="2" shapeId="0" xr:uid="{00000000-0006-0000-1200-000046010000}">
      <text>
        <r>
          <rPr>
            <sz val="9"/>
            <color indexed="81"/>
            <rFont val="Tahoma"/>
            <family val="2"/>
          </rPr>
          <t>Invalid value</t>
        </r>
      </text>
    </comment>
    <comment ref="S140" authorId="2" shapeId="0" xr:uid="{00000000-0006-0000-1200-000047010000}">
      <text>
        <r>
          <rPr>
            <sz val="9"/>
            <color indexed="81"/>
            <rFont val="Tahoma"/>
            <family val="2"/>
          </rPr>
          <t>Invalid value</t>
        </r>
      </text>
    </comment>
    <comment ref="T140" authorId="2" shapeId="0" xr:uid="{00000000-0006-0000-1200-000048010000}">
      <text>
        <r>
          <rPr>
            <sz val="9"/>
            <color indexed="81"/>
            <rFont val="Tahoma"/>
            <family val="2"/>
          </rPr>
          <t>Invalid value</t>
        </r>
      </text>
    </comment>
    <comment ref="U140" authorId="2" shapeId="0" xr:uid="{00000000-0006-0000-1200-000049010000}">
      <text>
        <r>
          <rPr>
            <sz val="9"/>
            <color indexed="81"/>
            <rFont val="Tahoma"/>
            <family val="2"/>
          </rPr>
          <t>Invalid value</t>
        </r>
      </text>
    </comment>
    <comment ref="V140" authorId="2" shapeId="0" xr:uid="{00000000-0006-0000-1200-00004A010000}">
      <text>
        <r>
          <rPr>
            <sz val="9"/>
            <color indexed="81"/>
            <rFont val="Tahoma"/>
            <family val="2"/>
          </rPr>
          <t>Invalid value</t>
        </r>
      </text>
    </comment>
    <comment ref="W140" authorId="2" shapeId="0" xr:uid="{00000000-0006-0000-1200-00004B010000}">
      <text>
        <r>
          <rPr>
            <sz val="9"/>
            <color indexed="81"/>
            <rFont val="Tahoma"/>
            <family val="2"/>
          </rPr>
          <t>Invalid value</t>
        </r>
      </text>
    </comment>
    <comment ref="X140" authorId="2" shapeId="0" xr:uid="{00000000-0006-0000-1200-00004C010000}">
      <text>
        <r>
          <rPr>
            <sz val="9"/>
            <color indexed="81"/>
            <rFont val="Tahoma"/>
            <family val="2"/>
          </rPr>
          <t>Invalid value</t>
        </r>
      </text>
    </comment>
    <comment ref="Y140" authorId="2" shapeId="0" xr:uid="{00000000-0006-0000-1200-00004D010000}">
      <text>
        <r>
          <rPr>
            <sz val="9"/>
            <color indexed="81"/>
            <rFont val="Tahoma"/>
            <family val="2"/>
          </rPr>
          <t>Invalid value</t>
        </r>
      </text>
    </comment>
    <comment ref="Z140" authorId="2" shapeId="0" xr:uid="{00000000-0006-0000-1200-00004E010000}">
      <text>
        <r>
          <rPr>
            <sz val="9"/>
            <color indexed="81"/>
            <rFont val="Tahoma"/>
            <family val="2"/>
          </rPr>
          <t>Invalid value</t>
        </r>
      </text>
    </comment>
    <comment ref="AA140" authorId="2" shapeId="0" xr:uid="{00000000-0006-0000-1200-00004F010000}">
      <text>
        <r>
          <rPr>
            <sz val="9"/>
            <color indexed="81"/>
            <rFont val="Tahoma"/>
            <family val="2"/>
          </rPr>
          <t>Invalid value</t>
        </r>
      </text>
    </comment>
    <comment ref="AB140" authorId="2" shapeId="0" xr:uid="{00000000-0006-0000-1200-000050010000}">
      <text>
        <r>
          <rPr>
            <sz val="9"/>
            <color indexed="81"/>
            <rFont val="Tahoma"/>
            <family val="2"/>
          </rPr>
          <t>Invalid value</t>
        </r>
      </text>
    </comment>
    <comment ref="AC140" authorId="2" shapeId="0" xr:uid="{00000000-0006-0000-1200-000051010000}">
      <text>
        <r>
          <rPr>
            <sz val="9"/>
            <color indexed="81"/>
            <rFont val="Tahoma"/>
            <family val="2"/>
          </rPr>
          <t>Invalid value</t>
        </r>
      </text>
    </comment>
    <comment ref="AD140" authorId="2" shapeId="0" xr:uid="{00000000-0006-0000-1200-000052010000}">
      <text>
        <r>
          <rPr>
            <sz val="9"/>
            <color indexed="81"/>
            <rFont val="Tahoma"/>
            <family val="2"/>
          </rPr>
          <t>Invalid value</t>
        </r>
      </text>
    </comment>
    <comment ref="AE140" authorId="2" shapeId="0" xr:uid="{00000000-0006-0000-1200-000053010000}">
      <text>
        <r>
          <rPr>
            <sz val="9"/>
            <color indexed="81"/>
            <rFont val="Tahoma"/>
            <family val="2"/>
          </rPr>
          <t>Invalid value</t>
        </r>
      </text>
    </comment>
    <comment ref="AF140" authorId="2" shapeId="0" xr:uid="{00000000-0006-0000-1200-000054010000}">
      <text>
        <r>
          <rPr>
            <sz val="9"/>
            <color indexed="81"/>
            <rFont val="Tahoma"/>
            <family val="2"/>
          </rPr>
          <t>Invalid value</t>
        </r>
      </text>
    </comment>
    <comment ref="H141" authorId="2" shapeId="0" xr:uid="{00000000-0006-0000-1200-000055010000}">
      <text>
        <r>
          <rPr>
            <sz val="9"/>
            <color indexed="81"/>
            <rFont val="Tahoma"/>
            <family val="2"/>
          </rPr>
          <t>Invalid value</t>
        </r>
      </text>
    </comment>
    <comment ref="I141" authorId="2" shapeId="0" xr:uid="{00000000-0006-0000-1200-000056010000}">
      <text>
        <r>
          <rPr>
            <sz val="9"/>
            <color indexed="81"/>
            <rFont val="Tahoma"/>
            <family val="2"/>
          </rPr>
          <t>Invalid value</t>
        </r>
      </text>
    </comment>
    <comment ref="J141" authorId="2" shapeId="0" xr:uid="{00000000-0006-0000-1200-000057010000}">
      <text>
        <r>
          <rPr>
            <sz val="9"/>
            <color indexed="81"/>
            <rFont val="Tahoma"/>
            <family val="2"/>
          </rPr>
          <t>Invalid value</t>
        </r>
      </text>
    </comment>
    <comment ref="K141" authorId="2" shapeId="0" xr:uid="{00000000-0006-0000-1200-000058010000}">
      <text>
        <r>
          <rPr>
            <sz val="9"/>
            <color indexed="81"/>
            <rFont val="Tahoma"/>
            <family val="2"/>
          </rPr>
          <t>Invalid value</t>
        </r>
      </text>
    </comment>
    <comment ref="L141" authorId="2" shapeId="0" xr:uid="{00000000-0006-0000-1200-000059010000}">
      <text>
        <r>
          <rPr>
            <sz val="9"/>
            <color indexed="81"/>
            <rFont val="Tahoma"/>
            <family val="2"/>
          </rPr>
          <t>Invalid value</t>
        </r>
      </text>
    </comment>
    <comment ref="M141" authorId="2" shapeId="0" xr:uid="{00000000-0006-0000-1200-00005A010000}">
      <text>
        <r>
          <rPr>
            <sz val="9"/>
            <color indexed="81"/>
            <rFont val="Tahoma"/>
            <family val="2"/>
          </rPr>
          <t>Invalid value</t>
        </r>
      </text>
    </comment>
    <comment ref="N141" authorId="2" shapeId="0" xr:uid="{00000000-0006-0000-1200-00005B010000}">
      <text>
        <r>
          <rPr>
            <sz val="9"/>
            <color indexed="81"/>
            <rFont val="Tahoma"/>
            <family val="2"/>
          </rPr>
          <t>Invalid value</t>
        </r>
      </text>
    </comment>
    <comment ref="O141" authorId="2" shapeId="0" xr:uid="{00000000-0006-0000-1200-00005C010000}">
      <text>
        <r>
          <rPr>
            <sz val="9"/>
            <color indexed="81"/>
            <rFont val="Tahoma"/>
            <family val="2"/>
          </rPr>
          <t>Invalid value</t>
        </r>
      </text>
    </comment>
    <comment ref="P141" authorId="2" shapeId="0" xr:uid="{00000000-0006-0000-1200-00005D010000}">
      <text>
        <r>
          <rPr>
            <sz val="9"/>
            <color indexed="81"/>
            <rFont val="Tahoma"/>
            <family val="2"/>
          </rPr>
          <t>Invalid value</t>
        </r>
      </text>
    </comment>
    <comment ref="Q141" authorId="2" shapeId="0" xr:uid="{00000000-0006-0000-1200-00005E010000}">
      <text>
        <r>
          <rPr>
            <sz val="9"/>
            <color indexed="81"/>
            <rFont val="Tahoma"/>
            <family val="2"/>
          </rPr>
          <t>Invalid value</t>
        </r>
      </text>
    </comment>
    <comment ref="R141" authorId="2" shapeId="0" xr:uid="{00000000-0006-0000-1200-00005F010000}">
      <text>
        <r>
          <rPr>
            <sz val="9"/>
            <color indexed="81"/>
            <rFont val="Tahoma"/>
            <family val="2"/>
          </rPr>
          <t>Invalid value</t>
        </r>
      </text>
    </comment>
    <comment ref="S141" authorId="2" shapeId="0" xr:uid="{00000000-0006-0000-1200-000060010000}">
      <text>
        <r>
          <rPr>
            <sz val="9"/>
            <color indexed="81"/>
            <rFont val="Tahoma"/>
            <family val="2"/>
          </rPr>
          <t>Invalid value</t>
        </r>
      </text>
    </comment>
    <comment ref="T141" authorId="2" shapeId="0" xr:uid="{00000000-0006-0000-1200-000061010000}">
      <text>
        <r>
          <rPr>
            <sz val="9"/>
            <color indexed="81"/>
            <rFont val="Tahoma"/>
            <family val="2"/>
          </rPr>
          <t>Invalid value</t>
        </r>
      </text>
    </comment>
    <comment ref="U141" authorId="2" shapeId="0" xr:uid="{00000000-0006-0000-1200-000062010000}">
      <text>
        <r>
          <rPr>
            <sz val="9"/>
            <color indexed="81"/>
            <rFont val="Tahoma"/>
            <family val="2"/>
          </rPr>
          <t>Invalid value</t>
        </r>
      </text>
    </comment>
    <comment ref="V141" authorId="2" shapeId="0" xr:uid="{00000000-0006-0000-1200-000063010000}">
      <text>
        <r>
          <rPr>
            <sz val="9"/>
            <color indexed="81"/>
            <rFont val="Tahoma"/>
            <family val="2"/>
          </rPr>
          <t>Invalid value</t>
        </r>
      </text>
    </comment>
    <comment ref="W141" authorId="2" shapeId="0" xr:uid="{00000000-0006-0000-1200-000064010000}">
      <text>
        <r>
          <rPr>
            <sz val="9"/>
            <color indexed="81"/>
            <rFont val="Tahoma"/>
            <family val="2"/>
          </rPr>
          <t>Invalid value</t>
        </r>
      </text>
    </comment>
    <comment ref="X141" authorId="2" shapeId="0" xr:uid="{00000000-0006-0000-1200-000065010000}">
      <text>
        <r>
          <rPr>
            <sz val="9"/>
            <color indexed="81"/>
            <rFont val="Tahoma"/>
            <family val="2"/>
          </rPr>
          <t>Invalid value</t>
        </r>
      </text>
    </comment>
    <comment ref="Y141" authorId="2" shapeId="0" xr:uid="{00000000-0006-0000-1200-000066010000}">
      <text>
        <r>
          <rPr>
            <sz val="9"/>
            <color indexed="81"/>
            <rFont val="Tahoma"/>
            <family val="2"/>
          </rPr>
          <t>Invalid value</t>
        </r>
      </text>
    </comment>
    <comment ref="Z141" authorId="2" shapeId="0" xr:uid="{00000000-0006-0000-1200-000067010000}">
      <text>
        <r>
          <rPr>
            <sz val="9"/>
            <color indexed="81"/>
            <rFont val="Tahoma"/>
            <family val="2"/>
          </rPr>
          <t>Invalid value</t>
        </r>
      </text>
    </comment>
    <comment ref="AA141" authorId="2" shapeId="0" xr:uid="{00000000-0006-0000-1200-000068010000}">
      <text>
        <r>
          <rPr>
            <sz val="9"/>
            <color indexed="81"/>
            <rFont val="Tahoma"/>
            <family val="2"/>
          </rPr>
          <t>Invalid value</t>
        </r>
      </text>
    </comment>
    <comment ref="AB141" authorId="2" shapeId="0" xr:uid="{00000000-0006-0000-1200-000069010000}">
      <text>
        <r>
          <rPr>
            <sz val="9"/>
            <color indexed="81"/>
            <rFont val="Tahoma"/>
            <family val="2"/>
          </rPr>
          <t>Invalid value</t>
        </r>
      </text>
    </comment>
    <comment ref="AC141" authorId="2" shapeId="0" xr:uid="{00000000-0006-0000-1200-00006A010000}">
      <text>
        <r>
          <rPr>
            <sz val="9"/>
            <color indexed="81"/>
            <rFont val="Tahoma"/>
            <family val="2"/>
          </rPr>
          <t>Invalid value</t>
        </r>
      </text>
    </comment>
    <comment ref="AD141" authorId="2" shapeId="0" xr:uid="{00000000-0006-0000-1200-00006B010000}">
      <text>
        <r>
          <rPr>
            <sz val="9"/>
            <color indexed="81"/>
            <rFont val="Tahoma"/>
            <family val="2"/>
          </rPr>
          <t>Invalid value</t>
        </r>
      </text>
    </comment>
    <comment ref="AE141" authorId="2" shapeId="0" xr:uid="{00000000-0006-0000-1200-00006C010000}">
      <text>
        <r>
          <rPr>
            <sz val="9"/>
            <color indexed="81"/>
            <rFont val="Tahoma"/>
            <family val="2"/>
          </rPr>
          <t>Invalid value</t>
        </r>
      </text>
    </comment>
    <comment ref="AF141" authorId="2" shapeId="0" xr:uid="{00000000-0006-0000-1200-00006D010000}">
      <text>
        <r>
          <rPr>
            <sz val="9"/>
            <color indexed="81"/>
            <rFont val="Tahoma"/>
            <family val="2"/>
          </rPr>
          <t>Invalid value</t>
        </r>
      </text>
    </comment>
    <comment ref="H142" authorId="2" shapeId="0" xr:uid="{00000000-0006-0000-1200-00006E010000}">
      <text>
        <r>
          <rPr>
            <sz val="9"/>
            <color indexed="81"/>
            <rFont val="Tahoma"/>
            <family val="2"/>
          </rPr>
          <t>Invalid value</t>
        </r>
      </text>
    </comment>
    <comment ref="I142" authorId="2" shapeId="0" xr:uid="{00000000-0006-0000-1200-00006F010000}">
      <text>
        <r>
          <rPr>
            <sz val="9"/>
            <color indexed="81"/>
            <rFont val="Tahoma"/>
            <family val="2"/>
          </rPr>
          <t>Invalid value</t>
        </r>
      </text>
    </comment>
    <comment ref="J142" authorId="2" shapeId="0" xr:uid="{00000000-0006-0000-1200-000070010000}">
      <text>
        <r>
          <rPr>
            <sz val="9"/>
            <color indexed="81"/>
            <rFont val="Tahoma"/>
            <family val="2"/>
          </rPr>
          <t>Invalid value</t>
        </r>
      </text>
    </comment>
    <comment ref="K142" authorId="2" shapeId="0" xr:uid="{00000000-0006-0000-1200-000071010000}">
      <text>
        <r>
          <rPr>
            <sz val="9"/>
            <color indexed="81"/>
            <rFont val="Tahoma"/>
            <family val="2"/>
          </rPr>
          <t>Invalid value</t>
        </r>
      </text>
    </comment>
    <comment ref="L142" authorId="2" shapeId="0" xr:uid="{00000000-0006-0000-1200-000072010000}">
      <text>
        <r>
          <rPr>
            <sz val="9"/>
            <color indexed="81"/>
            <rFont val="Tahoma"/>
            <family val="2"/>
          </rPr>
          <t>Invalid value</t>
        </r>
      </text>
    </comment>
    <comment ref="M142" authorId="2" shapeId="0" xr:uid="{00000000-0006-0000-1200-000073010000}">
      <text>
        <r>
          <rPr>
            <sz val="9"/>
            <color indexed="81"/>
            <rFont val="Tahoma"/>
            <family val="2"/>
          </rPr>
          <t>Invalid value</t>
        </r>
      </text>
    </comment>
    <comment ref="N142" authorId="2" shapeId="0" xr:uid="{00000000-0006-0000-1200-000074010000}">
      <text>
        <r>
          <rPr>
            <sz val="9"/>
            <color indexed="81"/>
            <rFont val="Tahoma"/>
            <family val="2"/>
          </rPr>
          <t>Invalid value</t>
        </r>
      </text>
    </comment>
    <comment ref="O142" authorId="2" shapeId="0" xr:uid="{00000000-0006-0000-1200-000075010000}">
      <text>
        <r>
          <rPr>
            <sz val="9"/>
            <color indexed="81"/>
            <rFont val="Tahoma"/>
            <family val="2"/>
          </rPr>
          <t>Invalid value</t>
        </r>
      </text>
    </comment>
    <comment ref="P142" authorId="2" shapeId="0" xr:uid="{00000000-0006-0000-1200-000076010000}">
      <text>
        <r>
          <rPr>
            <sz val="9"/>
            <color indexed="81"/>
            <rFont val="Tahoma"/>
            <family val="2"/>
          </rPr>
          <t>Invalid value</t>
        </r>
      </text>
    </comment>
    <comment ref="Q142" authorId="2" shapeId="0" xr:uid="{00000000-0006-0000-1200-000077010000}">
      <text>
        <r>
          <rPr>
            <sz val="9"/>
            <color indexed="81"/>
            <rFont val="Tahoma"/>
            <family val="2"/>
          </rPr>
          <t>Invalid value</t>
        </r>
      </text>
    </comment>
    <comment ref="R142" authorId="2" shapeId="0" xr:uid="{00000000-0006-0000-1200-000078010000}">
      <text>
        <r>
          <rPr>
            <sz val="9"/>
            <color indexed="81"/>
            <rFont val="Tahoma"/>
            <family val="2"/>
          </rPr>
          <t>Invalid value</t>
        </r>
      </text>
    </comment>
    <comment ref="S142" authorId="2" shapeId="0" xr:uid="{00000000-0006-0000-1200-000079010000}">
      <text>
        <r>
          <rPr>
            <sz val="9"/>
            <color indexed="81"/>
            <rFont val="Tahoma"/>
            <family val="2"/>
          </rPr>
          <t>Invalid value</t>
        </r>
      </text>
    </comment>
    <comment ref="T142" authorId="2" shapeId="0" xr:uid="{00000000-0006-0000-1200-00007A010000}">
      <text>
        <r>
          <rPr>
            <sz val="9"/>
            <color indexed="81"/>
            <rFont val="Tahoma"/>
            <family val="2"/>
          </rPr>
          <t>Invalid value</t>
        </r>
      </text>
    </comment>
    <comment ref="U142" authorId="2" shapeId="0" xr:uid="{00000000-0006-0000-1200-00007B010000}">
      <text>
        <r>
          <rPr>
            <sz val="9"/>
            <color indexed="81"/>
            <rFont val="Tahoma"/>
            <family val="2"/>
          </rPr>
          <t>Invalid value</t>
        </r>
      </text>
    </comment>
    <comment ref="V142" authorId="2" shapeId="0" xr:uid="{00000000-0006-0000-1200-00007C010000}">
      <text>
        <r>
          <rPr>
            <sz val="9"/>
            <color indexed="81"/>
            <rFont val="Tahoma"/>
            <family val="2"/>
          </rPr>
          <t>Invalid value</t>
        </r>
      </text>
    </comment>
    <comment ref="W142" authorId="2" shapeId="0" xr:uid="{00000000-0006-0000-1200-00007D010000}">
      <text>
        <r>
          <rPr>
            <sz val="9"/>
            <color indexed="81"/>
            <rFont val="Tahoma"/>
            <family val="2"/>
          </rPr>
          <t>Invalid value</t>
        </r>
      </text>
    </comment>
    <comment ref="X142" authorId="2" shapeId="0" xr:uid="{00000000-0006-0000-1200-00007E010000}">
      <text>
        <r>
          <rPr>
            <sz val="9"/>
            <color indexed="81"/>
            <rFont val="Tahoma"/>
            <family val="2"/>
          </rPr>
          <t>Invalid value</t>
        </r>
      </text>
    </comment>
    <comment ref="Y142" authorId="2" shapeId="0" xr:uid="{00000000-0006-0000-1200-00007F010000}">
      <text>
        <r>
          <rPr>
            <sz val="9"/>
            <color indexed="81"/>
            <rFont val="Tahoma"/>
            <family val="2"/>
          </rPr>
          <t>Invalid value</t>
        </r>
      </text>
    </comment>
    <comment ref="Z142" authorId="2" shapeId="0" xr:uid="{00000000-0006-0000-1200-000080010000}">
      <text>
        <r>
          <rPr>
            <sz val="9"/>
            <color indexed="81"/>
            <rFont val="Tahoma"/>
            <family val="2"/>
          </rPr>
          <t>Invalid value</t>
        </r>
      </text>
    </comment>
    <comment ref="AA142" authorId="2" shapeId="0" xr:uid="{00000000-0006-0000-1200-000081010000}">
      <text>
        <r>
          <rPr>
            <sz val="9"/>
            <color indexed="81"/>
            <rFont val="Tahoma"/>
            <family val="2"/>
          </rPr>
          <t>Invalid value</t>
        </r>
      </text>
    </comment>
    <comment ref="AB142" authorId="2" shapeId="0" xr:uid="{00000000-0006-0000-1200-000082010000}">
      <text>
        <r>
          <rPr>
            <sz val="9"/>
            <color indexed="81"/>
            <rFont val="Tahoma"/>
            <family val="2"/>
          </rPr>
          <t>Invalid value</t>
        </r>
      </text>
    </comment>
    <comment ref="AC142" authorId="2" shapeId="0" xr:uid="{00000000-0006-0000-1200-000083010000}">
      <text>
        <r>
          <rPr>
            <sz val="9"/>
            <color indexed="81"/>
            <rFont val="Tahoma"/>
            <family val="2"/>
          </rPr>
          <t>Invalid value</t>
        </r>
      </text>
    </comment>
    <comment ref="AD142" authorId="2" shapeId="0" xr:uid="{00000000-0006-0000-1200-000084010000}">
      <text>
        <r>
          <rPr>
            <sz val="9"/>
            <color indexed="81"/>
            <rFont val="Tahoma"/>
            <family val="2"/>
          </rPr>
          <t>Invalid value</t>
        </r>
      </text>
    </comment>
    <comment ref="AE142" authorId="2" shapeId="0" xr:uid="{00000000-0006-0000-1200-000085010000}">
      <text>
        <r>
          <rPr>
            <sz val="9"/>
            <color indexed="81"/>
            <rFont val="Tahoma"/>
            <family val="2"/>
          </rPr>
          <t>Invalid value</t>
        </r>
      </text>
    </comment>
    <comment ref="AF142" authorId="2" shapeId="0" xr:uid="{00000000-0006-0000-1200-000086010000}">
      <text>
        <r>
          <rPr>
            <sz val="9"/>
            <color indexed="81"/>
            <rFont val="Tahoma"/>
            <family val="2"/>
          </rPr>
          <t>Invalid value</t>
        </r>
      </text>
    </comment>
    <comment ref="H143" authorId="2" shapeId="0" xr:uid="{00000000-0006-0000-1200-000087010000}">
      <text>
        <r>
          <rPr>
            <sz val="9"/>
            <color indexed="81"/>
            <rFont val="Tahoma"/>
            <family val="2"/>
          </rPr>
          <t>Invalid value</t>
        </r>
      </text>
    </comment>
    <comment ref="I143" authorId="2" shapeId="0" xr:uid="{00000000-0006-0000-1200-000088010000}">
      <text>
        <r>
          <rPr>
            <sz val="9"/>
            <color indexed="81"/>
            <rFont val="Tahoma"/>
            <family val="2"/>
          </rPr>
          <t>Invalid value</t>
        </r>
      </text>
    </comment>
    <comment ref="J143" authorId="2" shapeId="0" xr:uid="{00000000-0006-0000-1200-000089010000}">
      <text>
        <r>
          <rPr>
            <sz val="9"/>
            <color indexed="81"/>
            <rFont val="Tahoma"/>
            <family val="2"/>
          </rPr>
          <t>Invalid value</t>
        </r>
      </text>
    </comment>
    <comment ref="K143" authorId="2" shapeId="0" xr:uid="{00000000-0006-0000-1200-00008A010000}">
      <text>
        <r>
          <rPr>
            <sz val="9"/>
            <color indexed="81"/>
            <rFont val="Tahoma"/>
            <family val="2"/>
          </rPr>
          <t>Invalid value</t>
        </r>
      </text>
    </comment>
    <comment ref="L143" authorId="2" shapeId="0" xr:uid="{00000000-0006-0000-1200-00008B010000}">
      <text>
        <r>
          <rPr>
            <sz val="9"/>
            <color indexed="81"/>
            <rFont val="Tahoma"/>
            <family val="2"/>
          </rPr>
          <t>Invalid value</t>
        </r>
      </text>
    </comment>
    <comment ref="M143" authorId="2" shapeId="0" xr:uid="{00000000-0006-0000-1200-00008C010000}">
      <text>
        <r>
          <rPr>
            <sz val="9"/>
            <color indexed="81"/>
            <rFont val="Tahoma"/>
            <family val="2"/>
          </rPr>
          <t>Invalid value</t>
        </r>
      </text>
    </comment>
    <comment ref="N143" authorId="2" shapeId="0" xr:uid="{00000000-0006-0000-1200-00008D010000}">
      <text>
        <r>
          <rPr>
            <sz val="9"/>
            <color indexed="81"/>
            <rFont val="Tahoma"/>
            <family val="2"/>
          </rPr>
          <t>Invalid value</t>
        </r>
      </text>
    </comment>
    <comment ref="O143" authorId="2" shapeId="0" xr:uid="{00000000-0006-0000-1200-00008E010000}">
      <text>
        <r>
          <rPr>
            <sz val="9"/>
            <color indexed="81"/>
            <rFont val="Tahoma"/>
            <family val="2"/>
          </rPr>
          <t>Invalid value</t>
        </r>
      </text>
    </comment>
    <comment ref="P143" authorId="2" shapeId="0" xr:uid="{00000000-0006-0000-1200-00008F010000}">
      <text>
        <r>
          <rPr>
            <sz val="9"/>
            <color indexed="81"/>
            <rFont val="Tahoma"/>
            <family val="2"/>
          </rPr>
          <t>Invalid value</t>
        </r>
      </text>
    </comment>
    <comment ref="Q143" authorId="2" shapeId="0" xr:uid="{00000000-0006-0000-1200-000090010000}">
      <text>
        <r>
          <rPr>
            <sz val="9"/>
            <color indexed="81"/>
            <rFont val="Tahoma"/>
            <family val="2"/>
          </rPr>
          <t>Invalid value</t>
        </r>
      </text>
    </comment>
    <comment ref="R143" authorId="2" shapeId="0" xr:uid="{00000000-0006-0000-1200-000091010000}">
      <text>
        <r>
          <rPr>
            <sz val="9"/>
            <color indexed="81"/>
            <rFont val="Tahoma"/>
            <family val="2"/>
          </rPr>
          <t>Invalid value</t>
        </r>
      </text>
    </comment>
    <comment ref="S143" authorId="2" shapeId="0" xr:uid="{00000000-0006-0000-1200-000092010000}">
      <text>
        <r>
          <rPr>
            <sz val="9"/>
            <color indexed="81"/>
            <rFont val="Tahoma"/>
            <family val="2"/>
          </rPr>
          <t>Invalid value</t>
        </r>
      </text>
    </comment>
    <comment ref="T143" authorId="2" shapeId="0" xr:uid="{00000000-0006-0000-1200-000093010000}">
      <text>
        <r>
          <rPr>
            <sz val="9"/>
            <color indexed="81"/>
            <rFont val="Tahoma"/>
            <family val="2"/>
          </rPr>
          <t>Invalid value</t>
        </r>
      </text>
    </comment>
    <comment ref="U143" authorId="2" shapeId="0" xr:uid="{00000000-0006-0000-1200-000094010000}">
      <text>
        <r>
          <rPr>
            <sz val="9"/>
            <color indexed="81"/>
            <rFont val="Tahoma"/>
            <family val="2"/>
          </rPr>
          <t>Invalid value</t>
        </r>
      </text>
    </comment>
    <comment ref="V143" authorId="2" shapeId="0" xr:uid="{00000000-0006-0000-1200-000095010000}">
      <text>
        <r>
          <rPr>
            <sz val="9"/>
            <color indexed="81"/>
            <rFont val="Tahoma"/>
            <family val="2"/>
          </rPr>
          <t>Invalid value</t>
        </r>
      </text>
    </comment>
    <comment ref="W143" authorId="2" shapeId="0" xr:uid="{00000000-0006-0000-1200-000096010000}">
      <text>
        <r>
          <rPr>
            <sz val="9"/>
            <color indexed="81"/>
            <rFont val="Tahoma"/>
            <family val="2"/>
          </rPr>
          <t>Invalid value</t>
        </r>
      </text>
    </comment>
    <comment ref="X143" authorId="2" shapeId="0" xr:uid="{00000000-0006-0000-1200-000097010000}">
      <text>
        <r>
          <rPr>
            <sz val="9"/>
            <color indexed="81"/>
            <rFont val="Tahoma"/>
            <family val="2"/>
          </rPr>
          <t>Invalid value</t>
        </r>
      </text>
    </comment>
    <comment ref="Y143" authorId="2" shapeId="0" xr:uid="{00000000-0006-0000-1200-000098010000}">
      <text>
        <r>
          <rPr>
            <sz val="9"/>
            <color indexed="81"/>
            <rFont val="Tahoma"/>
            <family val="2"/>
          </rPr>
          <t>Invalid value</t>
        </r>
      </text>
    </comment>
    <comment ref="Z143" authorId="2" shapeId="0" xr:uid="{00000000-0006-0000-1200-000099010000}">
      <text>
        <r>
          <rPr>
            <sz val="9"/>
            <color indexed="81"/>
            <rFont val="Tahoma"/>
            <family val="2"/>
          </rPr>
          <t>Invalid value</t>
        </r>
      </text>
    </comment>
    <comment ref="AA143" authorId="2" shapeId="0" xr:uid="{00000000-0006-0000-1200-00009A010000}">
      <text>
        <r>
          <rPr>
            <sz val="9"/>
            <color indexed="81"/>
            <rFont val="Tahoma"/>
            <family val="2"/>
          </rPr>
          <t>Invalid value</t>
        </r>
      </text>
    </comment>
    <comment ref="AB143" authorId="2" shapeId="0" xr:uid="{00000000-0006-0000-1200-00009B010000}">
      <text>
        <r>
          <rPr>
            <sz val="9"/>
            <color indexed="81"/>
            <rFont val="Tahoma"/>
            <family val="2"/>
          </rPr>
          <t>Invalid value</t>
        </r>
      </text>
    </comment>
    <comment ref="AC143" authorId="2" shapeId="0" xr:uid="{00000000-0006-0000-1200-00009C010000}">
      <text>
        <r>
          <rPr>
            <sz val="9"/>
            <color indexed="81"/>
            <rFont val="Tahoma"/>
            <family val="2"/>
          </rPr>
          <t>Invalid value</t>
        </r>
      </text>
    </comment>
    <comment ref="AD143" authorId="2" shapeId="0" xr:uid="{00000000-0006-0000-1200-00009D010000}">
      <text>
        <r>
          <rPr>
            <sz val="9"/>
            <color indexed="81"/>
            <rFont val="Tahoma"/>
            <family val="2"/>
          </rPr>
          <t>Invalid value</t>
        </r>
      </text>
    </comment>
    <comment ref="AE143" authorId="2" shapeId="0" xr:uid="{00000000-0006-0000-1200-00009E010000}">
      <text>
        <r>
          <rPr>
            <sz val="9"/>
            <color indexed="81"/>
            <rFont val="Tahoma"/>
            <family val="2"/>
          </rPr>
          <t>Invalid value</t>
        </r>
      </text>
    </comment>
    <comment ref="AF143" authorId="2" shapeId="0" xr:uid="{00000000-0006-0000-1200-00009F010000}">
      <text>
        <r>
          <rPr>
            <sz val="9"/>
            <color indexed="81"/>
            <rFont val="Tahoma"/>
            <family val="2"/>
          </rPr>
          <t>Invalid value</t>
        </r>
      </text>
    </comment>
    <comment ref="H144" authorId="2" shapeId="0" xr:uid="{00000000-0006-0000-1200-0000A0010000}">
      <text>
        <r>
          <rPr>
            <sz val="9"/>
            <color indexed="81"/>
            <rFont val="Tahoma"/>
            <family val="2"/>
          </rPr>
          <t>Invalid value</t>
        </r>
      </text>
    </comment>
    <comment ref="I144" authorId="2" shapeId="0" xr:uid="{00000000-0006-0000-1200-0000A1010000}">
      <text>
        <r>
          <rPr>
            <sz val="9"/>
            <color indexed="81"/>
            <rFont val="Tahoma"/>
            <family val="2"/>
          </rPr>
          <t>Invalid value</t>
        </r>
      </text>
    </comment>
    <comment ref="J144" authorId="2" shapeId="0" xr:uid="{00000000-0006-0000-1200-0000A2010000}">
      <text>
        <r>
          <rPr>
            <sz val="9"/>
            <color indexed="81"/>
            <rFont val="Tahoma"/>
            <family val="2"/>
          </rPr>
          <t>Invalid value</t>
        </r>
      </text>
    </comment>
    <comment ref="K144" authorId="2" shapeId="0" xr:uid="{00000000-0006-0000-1200-0000A3010000}">
      <text>
        <r>
          <rPr>
            <sz val="9"/>
            <color indexed="81"/>
            <rFont val="Tahoma"/>
            <family val="2"/>
          </rPr>
          <t>Invalid value</t>
        </r>
      </text>
    </comment>
    <comment ref="L144" authorId="2" shapeId="0" xr:uid="{00000000-0006-0000-1200-0000A4010000}">
      <text>
        <r>
          <rPr>
            <sz val="9"/>
            <color indexed="81"/>
            <rFont val="Tahoma"/>
            <family val="2"/>
          </rPr>
          <t>Invalid value</t>
        </r>
      </text>
    </comment>
    <comment ref="M144" authorId="2" shapeId="0" xr:uid="{00000000-0006-0000-1200-0000A5010000}">
      <text>
        <r>
          <rPr>
            <sz val="9"/>
            <color indexed="81"/>
            <rFont val="Tahoma"/>
            <family val="2"/>
          </rPr>
          <t>Invalid value</t>
        </r>
      </text>
    </comment>
    <comment ref="N144" authorId="2" shapeId="0" xr:uid="{00000000-0006-0000-1200-0000A6010000}">
      <text>
        <r>
          <rPr>
            <sz val="9"/>
            <color indexed="81"/>
            <rFont val="Tahoma"/>
            <family val="2"/>
          </rPr>
          <t>Invalid value</t>
        </r>
      </text>
    </comment>
    <comment ref="O144" authorId="2" shapeId="0" xr:uid="{00000000-0006-0000-1200-0000A7010000}">
      <text>
        <r>
          <rPr>
            <sz val="9"/>
            <color indexed="81"/>
            <rFont val="Tahoma"/>
            <family val="2"/>
          </rPr>
          <t>Invalid value</t>
        </r>
      </text>
    </comment>
    <comment ref="P144" authorId="2" shapeId="0" xr:uid="{00000000-0006-0000-1200-0000A8010000}">
      <text>
        <r>
          <rPr>
            <sz val="9"/>
            <color indexed="81"/>
            <rFont val="Tahoma"/>
            <family val="2"/>
          </rPr>
          <t>Invalid value</t>
        </r>
      </text>
    </comment>
    <comment ref="Q144" authorId="2" shapeId="0" xr:uid="{00000000-0006-0000-1200-0000A9010000}">
      <text>
        <r>
          <rPr>
            <sz val="9"/>
            <color indexed="81"/>
            <rFont val="Tahoma"/>
            <family val="2"/>
          </rPr>
          <t>Invalid value</t>
        </r>
      </text>
    </comment>
    <comment ref="R144" authorId="2" shapeId="0" xr:uid="{00000000-0006-0000-1200-0000AA010000}">
      <text>
        <r>
          <rPr>
            <sz val="9"/>
            <color indexed="81"/>
            <rFont val="Tahoma"/>
            <family val="2"/>
          </rPr>
          <t>Invalid value</t>
        </r>
      </text>
    </comment>
    <comment ref="S144" authorId="2" shapeId="0" xr:uid="{00000000-0006-0000-1200-0000AB010000}">
      <text>
        <r>
          <rPr>
            <sz val="9"/>
            <color indexed="81"/>
            <rFont val="Tahoma"/>
            <family val="2"/>
          </rPr>
          <t>Invalid value</t>
        </r>
      </text>
    </comment>
    <comment ref="T144" authorId="2" shapeId="0" xr:uid="{00000000-0006-0000-1200-0000AC010000}">
      <text>
        <r>
          <rPr>
            <sz val="9"/>
            <color indexed="81"/>
            <rFont val="Tahoma"/>
            <family val="2"/>
          </rPr>
          <t>Invalid value</t>
        </r>
      </text>
    </comment>
    <comment ref="U144" authorId="2" shapeId="0" xr:uid="{00000000-0006-0000-1200-0000AD010000}">
      <text>
        <r>
          <rPr>
            <sz val="9"/>
            <color indexed="81"/>
            <rFont val="Tahoma"/>
            <family val="2"/>
          </rPr>
          <t>Invalid value</t>
        </r>
      </text>
    </comment>
    <comment ref="V144" authorId="2" shapeId="0" xr:uid="{00000000-0006-0000-1200-0000AE010000}">
      <text>
        <r>
          <rPr>
            <sz val="9"/>
            <color indexed="81"/>
            <rFont val="Tahoma"/>
            <family val="2"/>
          </rPr>
          <t>Invalid value</t>
        </r>
      </text>
    </comment>
    <comment ref="W144" authorId="2" shapeId="0" xr:uid="{00000000-0006-0000-1200-0000AF010000}">
      <text>
        <r>
          <rPr>
            <sz val="9"/>
            <color indexed="81"/>
            <rFont val="Tahoma"/>
            <family val="2"/>
          </rPr>
          <t>Invalid value</t>
        </r>
      </text>
    </comment>
    <comment ref="X144" authorId="2" shapeId="0" xr:uid="{00000000-0006-0000-1200-0000B0010000}">
      <text>
        <r>
          <rPr>
            <sz val="9"/>
            <color indexed="81"/>
            <rFont val="Tahoma"/>
            <family val="2"/>
          </rPr>
          <t>Invalid value</t>
        </r>
      </text>
    </comment>
    <comment ref="Y144" authorId="2" shapeId="0" xr:uid="{00000000-0006-0000-1200-0000B1010000}">
      <text>
        <r>
          <rPr>
            <sz val="9"/>
            <color indexed="81"/>
            <rFont val="Tahoma"/>
            <family val="2"/>
          </rPr>
          <t>Invalid value</t>
        </r>
      </text>
    </comment>
    <comment ref="Z144" authorId="2" shapeId="0" xr:uid="{00000000-0006-0000-1200-0000B2010000}">
      <text>
        <r>
          <rPr>
            <sz val="9"/>
            <color indexed="81"/>
            <rFont val="Tahoma"/>
            <family val="2"/>
          </rPr>
          <t>Invalid value</t>
        </r>
      </text>
    </comment>
    <comment ref="AA144" authorId="2" shapeId="0" xr:uid="{00000000-0006-0000-1200-0000B3010000}">
      <text>
        <r>
          <rPr>
            <sz val="9"/>
            <color indexed="81"/>
            <rFont val="Tahoma"/>
            <family val="2"/>
          </rPr>
          <t>Invalid value</t>
        </r>
      </text>
    </comment>
    <comment ref="AB144" authorId="2" shapeId="0" xr:uid="{00000000-0006-0000-1200-0000B4010000}">
      <text>
        <r>
          <rPr>
            <sz val="9"/>
            <color indexed="81"/>
            <rFont val="Tahoma"/>
            <family val="2"/>
          </rPr>
          <t>Invalid value</t>
        </r>
      </text>
    </comment>
    <comment ref="AC144" authorId="2" shapeId="0" xr:uid="{00000000-0006-0000-1200-0000B5010000}">
      <text>
        <r>
          <rPr>
            <sz val="9"/>
            <color indexed="81"/>
            <rFont val="Tahoma"/>
            <family val="2"/>
          </rPr>
          <t>Invalid value</t>
        </r>
      </text>
    </comment>
    <comment ref="AD144" authorId="2" shapeId="0" xr:uid="{00000000-0006-0000-1200-0000B6010000}">
      <text>
        <r>
          <rPr>
            <sz val="9"/>
            <color indexed="81"/>
            <rFont val="Tahoma"/>
            <family val="2"/>
          </rPr>
          <t>Invalid value</t>
        </r>
      </text>
    </comment>
    <comment ref="AE144" authorId="2" shapeId="0" xr:uid="{00000000-0006-0000-1200-0000B7010000}">
      <text>
        <r>
          <rPr>
            <sz val="9"/>
            <color indexed="81"/>
            <rFont val="Tahoma"/>
            <family val="2"/>
          </rPr>
          <t>Invalid value</t>
        </r>
      </text>
    </comment>
    <comment ref="AF144" authorId="2" shapeId="0" xr:uid="{00000000-0006-0000-1200-0000B8010000}">
      <text>
        <r>
          <rPr>
            <sz val="9"/>
            <color indexed="81"/>
            <rFont val="Tahoma"/>
            <family val="2"/>
          </rPr>
          <t>Invalid value</t>
        </r>
      </text>
    </comment>
    <comment ref="H145" authorId="2" shapeId="0" xr:uid="{00000000-0006-0000-1200-0000B9010000}">
      <text>
        <r>
          <rPr>
            <sz val="9"/>
            <color indexed="81"/>
            <rFont val="Tahoma"/>
            <family val="2"/>
          </rPr>
          <t>Invalid value</t>
        </r>
      </text>
    </comment>
    <comment ref="I145" authorId="2" shapeId="0" xr:uid="{00000000-0006-0000-1200-0000BA010000}">
      <text>
        <r>
          <rPr>
            <sz val="9"/>
            <color indexed="81"/>
            <rFont val="Tahoma"/>
            <family val="2"/>
          </rPr>
          <t>Invalid value</t>
        </r>
      </text>
    </comment>
    <comment ref="J145" authorId="2" shapeId="0" xr:uid="{00000000-0006-0000-1200-0000BB010000}">
      <text>
        <r>
          <rPr>
            <sz val="9"/>
            <color indexed="81"/>
            <rFont val="Tahoma"/>
            <family val="2"/>
          </rPr>
          <t>Invalid value</t>
        </r>
      </text>
    </comment>
    <comment ref="K145" authorId="2" shapeId="0" xr:uid="{00000000-0006-0000-1200-0000BC010000}">
      <text>
        <r>
          <rPr>
            <sz val="9"/>
            <color indexed="81"/>
            <rFont val="Tahoma"/>
            <family val="2"/>
          </rPr>
          <t>Invalid value</t>
        </r>
      </text>
    </comment>
    <comment ref="L145" authorId="2" shapeId="0" xr:uid="{00000000-0006-0000-1200-0000BD010000}">
      <text>
        <r>
          <rPr>
            <sz val="9"/>
            <color indexed="81"/>
            <rFont val="Tahoma"/>
            <family val="2"/>
          </rPr>
          <t>Invalid value</t>
        </r>
      </text>
    </comment>
    <comment ref="M145" authorId="2" shapeId="0" xr:uid="{00000000-0006-0000-1200-0000BE010000}">
      <text>
        <r>
          <rPr>
            <sz val="9"/>
            <color indexed="81"/>
            <rFont val="Tahoma"/>
            <family val="2"/>
          </rPr>
          <t>Invalid value</t>
        </r>
      </text>
    </comment>
    <comment ref="N145" authorId="2" shapeId="0" xr:uid="{00000000-0006-0000-1200-0000BF010000}">
      <text>
        <r>
          <rPr>
            <sz val="9"/>
            <color indexed="81"/>
            <rFont val="Tahoma"/>
            <family val="2"/>
          </rPr>
          <t>Invalid value</t>
        </r>
      </text>
    </comment>
    <comment ref="O145" authorId="2" shapeId="0" xr:uid="{00000000-0006-0000-1200-0000C0010000}">
      <text>
        <r>
          <rPr>
            <sz val="9"/>
            <color indexed="81"/>
            <rFont val="Tahoma"/>
            <family val="2"/>
          </rPr>
          <t>Invalid value</t>
        </r>
      </text>
    </comment>
    <comment ref="P145" authorId="2" shapeId="0" xr:uid="{00000000-0006-0000-1200-0000C1010000}">
      <text>
        <r>
          <rPr>
            <sz val="9"/>
            <color indexed="81"/>
            <rFont val="Tahoma"/>
            <family val="2"/>
          </rPr>
          <t>Invalid value</t>
        </r>
      </text>
    </comment>
    <comment ref="Q145" authorId="2" shapeId="0" xr:uid="{00000000-0006-0000-1200-0000C2010000}">
      <text>
        <r>
          <rPr>
            <sz val="9"/>
            <color indexed="81"/>
            <rFont val="Tahoma"/>
            <family val="2"/>
          </rPr>
          <t>Invalid value</t>
        </r>
      </text>
    </comment>
    <comment ref="R145" authorId="2" shapeId="0" xr:uid="{00000000-0006-0000-1200-0000C3010000}">
      <text>
        <r>
          <rPr>
            <sz val="9"/>
            <color indexed="81"/>
            <rFont val="Tahoma"/>
            <family val="2"/>
          </rPr>
          <t>Invalid value</t>
        </r>
      </text>
    </comment>
    <comment ref="S145" authorId="2" shapeId="0" xr:uid="{00000000-0006-0000-1200-0000C4010000}">
      <text>
        <r>
          <rPr>
            <sz val="9"/>
            <color indexed="81"/>
            <rFont val="Tahoma"/>
            <family val="2"/>
          </rPr>
          <t>Invalid value</t>
        </r>
      </text>
    </comment>
    <comment ref="T145" authorId="2" shapeId="0" xr:uid="{00000000-0006-0000-1200-0000C5010000}">
      <text>
        <r>
          <rPr>
            <sz val="9"/>
            <color indexed="81"/>
            <rFont val="Tahoma"/>
            <family val="2"/>
          </rPr>
          <t>Invalid value</t>
        </r>
      </text>
    </comment>
    <comment ref="U145" authorId="2" shapeId="0" xr:uid="{00000000-0006-0000-1200-0000C6010000}">
      <text>
        <r>
          <rPr>
            <sz val="9"/>
            <color indexed="81"/>
            <rFont val="Tahoma"/>
            <family val="2"/>
          </rPr>
          <t>Invalid value</t>
        </r>
      </text>
    </comment>
    <comment ref="V145" authorId="2" shapeId="0" xr:uid="{00000000-0006-0000-1200-0000C7010000}">
      <text>
        <r>
          <rPr>
            <sz val="9"/>
            <color indexed="81"/>
            <rFont val="Tahoma"/>
            <family val="2"/>
          </rPr>
          <t>Invalid value</t>
        </r>
      </text>
    </comment>
    <comment ref="W145" authorId="2" shapeId="0" xr:uid="{00000000-0006-0000-1200-0000C8010000}">
      <text>
        <r>
          <rPr>
            <sz val="9"/>
            <color indexed="81"/>
            <rFont val="Tahoma"/>
            <family val="2"/>
          </rPr>
          <t>Invalid value</t>
        </r>
      </text>
    </comment>
    <comment ref="X145" authorId="2" shapeId="0" xr:uid="{00000000-0006-0000-1200-0000C9010000}">
      <text>
        <r>
          <rPr>
            <sz val="9"/>
            <color indexed="81"/>
            <rFont val="Tahoma"/>
            <family val="2"/>
          </rPr>
          <t>Invalid value</t>
        </r>
      </text>
    </comment>
    <comment ref="Y145" authorId="2" shapeId="0" xr:uid="{00000000-0006-0000-1200-0000CA010000}">
      <text>
        <r>
          <rPr>
            <sz val="9"/>
            <color indexed="81"/>
            <rFont val="Tahoma"/>
            <family val="2"/>
          </rPr>
          <t>Invalid value</t>
        </r>
      </text>
    </comment>
    <comment ref="Z145" authorId="2" shapeId="0" xr:uid="{00000000-0006-0000-1200-0000CB010000}">
      <text>
        <r>
          <rPr>
            <sz val="9"/>
            <color indexed="81"/>
            <rFont val="Tahoma"/>
            <family val="2"/>
          </rPr>
          <t>Invalid value</t>
        </r>
      </text>
    </comment>
    <comment ref="AA145" authorId="2" shapeId="0" xr:uid="{00000000-0006-0000-1200-0000CC010000}">
      <text>
        <r>
          <rPr>
            <sz val="9"/>
            <color indexed="81"/>
            <rFont val="Tahoma"/>
            <family val="2"/>
          </rPr>
          <t>Invalid value</t>
        </r>
      </text>
    </comment>
    <comment ref="AB145" authorId="2" shapeId="0" xr:uid="{00000000-0006-0000-1200-0000CD010000}">
      <text>
        <r>
          <rPr>
            <sz val="9"/>
            <color indexed="81"/>
            <rFont val="Tahoma"/>
            <family val="2"/>
          </rPr>
          <t>Invalid value</t>
        </r>
      </text>
    </comment>
    <comment ref="AC145" authorId="2" shapeId="0" xr:uid="{00000000-0006-0000-1200-0000CE010000}">
      <text>
        <r>
          <rPr>
            <sz val="9"/>
            <color indexed="81"/>
            <rFont val="Tahoma"/>
            <family val="2"/>
          </rPr>
          <t>Invalid value</t>
        </r>
      </text>
    </comment>
    <comment ref="AD145" authorId="2" shapeId="0" xr:uid="{00000000-0006-0000-1200-0000CF010000}">
      <text>
        <r>
          <rPr>
            <sz val="9"/>
            <color indexed="81"/>
            <rFont val="Tahoma"/>
            <family val="2"/>
          </rPr>
          <t>Invalid value</t>
        </r>
      </text>
    </comment>
    <comment ref="AE145" authorId="2" shapeId="0" xr:uid="{00000000-0006-0000-1200-0000D0010000}">
      <text>
        <r>
          <rPr>
            <sz val="9"/>
            <color indexed="81"/>
            <rFont val="Tahoma"/>
            <family val="2"/>
          </rPr>
          <t>Invalid value</t>
        </r>
      </text>
    </comment>
    <comment ref="AF145" authorId="2" shapeId="0" xr:uid="{00000000-0006-0000-1200-0000D1010000}">
      <text>
        <r>
          <rPr>
            <sz val="9"/>
            <color indexed="81"/>
            <rFont val="Tahoma"/>
            <family val="2"/>
          </rPr>
          <t>Invalid value</t>
        </r>
      </text>
    </comment>
    <comment ref="H146" authorId="2" shapeId="0" xr:uid="{00000000-0006-0000-1200-0000D2010000}">
      <text>
        <r>
          <rPr>
            <sz val="9"/>
            <color indexed="81"/>
            <rFont val="Tahoma"/>
            <family val="2"/>
          </rPr>
          <t>Invalid value</t>
        </r>
      </text>
    </comment>
    <comment ref="I146" authorId="2" shapeId="0" xr:uid="{00000000-0006-0000-1200-0000D3010000}">
      <text>
        <r>
          <rPr>
            <sz val="9"/>
            <color indexed="81"/>
            <rFont val="Tahoma"/>
            <family val="2"/>
          </rPr>
          <t>Invalid value</t>
        </r>
      </text>
    </comment>
    <comment ref="J146" authorId="2" shapeId="0" xr:uid="{00000000-0006-0000-1200-0000D4010000}">
      <text>
        <r>
          <rPr>
            <sz val="9"/>
            <color indexed="81"/>
            <rFont val="Tahoma"/>
            <family val="2"/>
          </rPr>
          <t>Invalid value</t>
        </r>
      </text>
    </comment>
    <comment ref="K146" authorId="2" shapeId="0" xr:uid="{00000000-0006-0000-1200-0000D5010000}">
      <text>
        <r>
          <rPr>
            <sz val="9"/>
            <color indexed="81"/>
            <rFont val="Tahoma"/>
            <family val="2"/>
          </rPr>
          <t>Invalid value</t>
        </r>
      </text>
    </comment>
    <comment ref="L146" authorId="2" shapeId="0" xr:uid="{00000000-0006-0000-1200-0000D6010000}">
      <text>
        <r>
          <rPr>
            <sz val="9"/>
            <color indexed="81"/>
            <rFont val="Tahoma"/>
            <family val="2"/>
          </rPr>
          <t>Invalid value</t>
        </r>
      </text>
    </comment>
    <comment ref="M146" authorId="2" shapeId="0" xr:uid="{00000000-0006-0000-1200-0000D7010000}">
      <text>
        <r>
          <rPr>
            <sz val="9"/>
            <color indexed="81"/>
            <rFont val="Tahoma"/>
            <family val="2"/>
          </rPr>
          <t>Invalid value</t>
        </r>
      </text>
    </comment>
    <comment ref="N146" authorId="2" shapeId="0" xr:uid="{00000000-0006-0000-1200-0000D8010000}">
      <text>
        <r>
          <rPr>
            <sz val="9"/>
            <color indexed="81"/>
            <rFont val="Tahoma"/>
            <family val="2"/>
          </rPr>
          <t>Invalid value</t>
        </r>
      </text>
    </comment>
    <comment ref="O146" authorId="2" shapeId="0" xr:uid="{00000000-0006-0000-1200-0000D9010000}">
      <text>
        <r>
          <rPr>
            <sz val="9"/>
            <color indexed="81"/>
            <rFont val="Tahoma"/>
            <family val="2"/>
          </rPr>
          <t>Invalid value</t>
        </r>
      </text>
    </comment>
    <comment ref="P146" authorId="2" shapeId="0" xr:uid="{00000000-0006-0000-1200-0000DA010000}">
      <text>
        <r>
          <rPr>
            <sz val="9"/>
            <color indexed="81"/>
            <rFont val="Tahoma"/>
            <family val="2"/>
          </rPr>
          <t>Invalid value</t>
        </r>
      </text>
    </comment>
    <comment ref="Q146" authorId="2" shapeId="0" xr:uid="{00000000-0006-0000-1200-0000DB010000}">
      <text>
        <r>
          <rPr>
            <sz val="9"/>
            <color indexed="81"/>
            <rFont val="Tahoma"/>
            <family val="2"/>
          </rPr>
          <t>Invalid value</t>
        </r>
      </text>
    </comment>
    <comment ref="R146" authorId="2" shapeId="0" xr:uid="{00000000-0006-0000-1200-0000DC010000}">
      <text>
        <r>
          <rPr>
            <sz val="9"/>
            <color indexed="81"/>
            <rFont val="Tahoma"/>
            <family val="2"/>
          </rPr>
          <t>Invalid value</t>
        </r>
      </text>
    </comment>
    <comment ref="S146" authorId="2" shapeId="0" xr:uid="{00000000-0006-0000-1200-0000DD010000}">
      <text>
        <r>
          <rPr>
            <sz val="9"/>
            <color indexed="81"/>
            <rFont val="Tahoma"/>
            <family val="2"/>
          </rPr>
          <t>Invalid value</t>
        </r>
      </text>
    </comment>
    <comment ref="T146" authorId="2" shapeId="0" xr:uid="{00000000-0006-0000-1200-0000DE010000}">
      <text>
        <r>
          <rPr>
            <sz val="9"/>
            <color indexed="81"/>
            <rFont val="Tahoma"/>
            <family val="2"/>
          </rPr>
          <t>Invalid value</t>
        </r>
      </text>
    </comment>
    <comment ref="U146" authorId="2" shapeId="0" xr:uid="{00000000-0006-0000-1200-0000DF010000}">
      <text>
        <r>
          <rPr>
            <sz val="9"/>
            <color indexed="81"/>
            <rFont val="Tahoma"/>
            <family val="2"/>
          </rPr>
          <t>Invalid value</t>
        </r>
      </text>
    </comment>
    <comment ref="V146" authorId="2" shapeId="0" xr:uid="{00000000-0006-0000-1200-0000E0010000}">
      <text>
        <r>
          <rPr>
            <sz val="9"/>
            <color indexed="81"/>
            <rFont val="Tahoma"/>
            <family val="2"/>
          </rPr>
          <t>Invalid value</t>
        </r>
      </text>
    </comment>
    <comment ref="W146" authorId="2" shapeId="0" xr:uid="{00000000-0006-0000-1200-0000E1010000}">
      <text>
        <r>
          <rPr>
            <sz val="9"/>
            <color indexed="81"/>
            <rFont val="Tahoma"/>
            <family val="2"/>
          </rPr>
          <t>Invalid value</t>
        </r>
      </text>
    </comment>
    <comment ref="X146" authorId="2" shapeId="0" xr:uid="{00000000-0006-0000-1200-0000E2010000}">
      <text>
        <r>
          <rPr>
            <sz val="9"/>
            <color indexed="81"/>
            <rFont val="Tahoma"/>
            <family val="2"/>
          </rPr>
          <t>Invalid value</t>
        </r>
      </text>
    </comment>
    <comment ref="Y146" authorId="2" shapeId="0" xr:uid="{00000000-0006-0000-1200-0000E3010000}">
      <text>
        <r>
          <rPr>
            <sz val="9"/>
            <color indexed="81"/>
            <rFont val="Tahoma"/>
            <family val="2"/>
          </rPr>
          <t>Invalid value</t>
        </r>
      </text>
    </comment>
    <comment ref="Z146" authorId="2" shapeId="0" xr:uid="{00000000-0006-0000-1200-0000E4010000}">
      <text>
        <r>
          <rPr>
            <sz val="9"/>
            <color indexed="81"/>
            <rFont val="Tahoma"/>
            <family val="2"/>
          </rPr>
          <t>Invalid value</t>
        </r>
      </text>
    </comment>
    <comment ref="AA146" authorId="2" shapeId="0" xr:uid="{00000000-0006-0000-1200-0000E5010000}">
      <text>
        <r>
          <rPr>
            <sz val="9"/>
            <color indexed="81"/>
            <rFont val="Tahoma"/>
            <family val="2"/>
          </rPr>
          <t>Invalid value</t>
        </r>
      </text>
    </comment>
    <comment ref="AB146" authorId="2" shapeId="0" xr:uid="{00000000-0006-0000-1200-0000E6010000}">
      <text>
        <r>
          <rPr>
            <sz val="9"/>
            <color indexed="81"/>
            <rFont val="Tahoma"/>
            <family val="2"/>
          </rPr>
          <t>Invalid value</t>
        </r>
      </text>
    </comment>
    <comment ref="AC146" authorId="2" shapeId="0" xr:uid="{00000000-0006-0000-1200-0000E7010000}">
      <text>
        <r>
          <rPr>
            <sz val="9"/>
            <color indexed="81"/>
            <rFont val="Tahoma"/>
            <family val="2"/>
          </rPr>
          <t>Invalid value</t>
        </r>
      </text>
    </comment>
    <comment ref="AD146" authorId="2" shapeId="0" xr:uid="{00000000-0006-0000-1200-0000E8010000}">
      <text>
        <r>
          <rPr>
            <sz val="9"/>
            <color indexed="81"/>
            <rFont val="Tahoma"/>
            <family val="2"/>
          </rPr>
          <t>Invalid value</t>
        </r>
      </text>
    </comment>
    <comment ref="AE146" authorId="2" shapeId="0" xr:uid="{00000000-0006-0000-1200-0000E9010000}">
      <text>
        <r>
          <rPr>
            <sz val="9"/>
            <color indexed="81"/>
            <rFont val="Tahoma"/>
            <family val="2"/>
          </rPr>
          <t>Invalid value</t>
        </r>
      </text>
    </comment>
    <comment ref="AF146" authorId="2" shapeId="0" xr:uid="{00000000-0006-0000-1200-0000EA010000}">
      <text>
        <r>
          <rPr>
            <sz val="9"/>
            <color indexed="81"/>
            <rFont val="Tahoma"/>
            <family val="2"/>
          </rPr>
          <t>Invalid value</t>
        </r>
      </text>
    </comment>
    <comment ref="H147" authorId="2" shapeId="0" xr:uid="{00000000-0006-0000-1200-0000EB010000}">
      <text>
        <r>
          <rPr>
            <sz val="9"/>
            <color indexed="81"/>
            <rFont val="Tahoma"/>
            <family val="2"/>
          </rPr>
          <t>Invalid value</t>
        </r>
      </text>
    </comment>
    <comment ref="I147" authorId="2" shapeId="0" xr:uid="{00000000-0006-0000-1200-0000EC010000}">
      <text>
        <r>
          <rPr>
            <sz val="9"/>
            <color indexed="81"/>
            <rFont val="Tahoma"/>
            <family val="2"/>
          </rPr>
          <t>Invalid value</t>
        </r>
      </text>
    </comment>
    <comment ref="J147" authorId="2" shapeId="0" xr:uid="{00000000-0006-0000-1200-0000ED010000}">
      <text>
        <r>
          <rPr>
            <sz val="9"/>
            <color indexed="81"/>
            <rFont val="Tahoma"/>
            <family val="2"/>
          </rPr>
          <t>Invalid value</t>
        </r>
      </text>
    </comment>
    <comment ref="K147" authorId="2" shapeId="0" xr:uid="{00000000-0006-0000-1200-0000EE010000}">
      <text>
        <r>
          <rPr>
            <sz val="9"/>
            <color indexed="81"/>
            <rFont val="Tahoma"/>
            <family val="2"/>
          </rPr>
          <t>Invalid value</t>
        </r>
      </text>
    </comment>
    <comment ref="L147" authorId="2" shapeId="0" xr:uid="{00000000-0006-0000-1200-0000EF010000}">
      <text>
        <r>
          <rPr>
            <sz val="9"/>
            <color indexed="81"/>
            <rFont val="Tahoma"/>
            <family val="2"/>
          </rPr>
          <t>Invalid value</t>
        </r>
      </text>
    </comment>
    <comment ref="M147" authorId="2" shapeId="0" xr:uid="{00000000-0006-0000-1200-0000F0010000}">
      <text>
        <r>
          <rPr>
            <sz val="9"/>
            <color indexed="81"/>
            <rFont val="Tahoma"/>
            <family val="2"/>
          </rPr>
          <t>Invalid value</t>
        </r>
      </text>
    </comment>
    <comment ref="N147" authorId="2" shapeId="0" xr:uid="{00000000-0006-0000-1200-0000F1010000}">
      <text>
        <r>
          <rPr>
            <sz val="9"/>
            <color indexed="81"/>
            <rFont val="Tahoma"/>
            <family val="2"/>
          </rPr>
          <t>Invalid value</t>
        </r>
      </text>
    </comment>
    <comment ref="O147" authorId="2" shapeId="0" xr:uid="{00000000-0006-0000-1200-0000F2010000}">
      <text>
        <r>
          <rPr>
            <sz val="9"/>
            <color indexed="81"/>
            <rFont val="Tahoma"/>
            <family val="2"/>
          </rPr>
          <t>Invalid value</t>
        </r>
      </text>
    </comment>
    <comment ref="P147" authorId="2" shapeId="0" xr:uid="{00000000-0006-0000-1200-0000F3010000}">
      <text>
        <r>
          <rPr>
            <sz val="9"/>
            <color indexed="81"/>
            <rFont val="Tahoma"/>
            <family val="2"/>
          </rPr>
          <t>Invalid value</t>
        </r>
      </text>
    </comment>
    <comment ref="Q147" authorId="2" shapeId="0" xr:uid="{00000000-0006-0000-1200-0000F4010000}">
      <text>
        <r>
          <rPr>
            <sz val="9"/>
            <color indexed="81"/>
            <rFont val="Tahoma"/>
            <family val="2"/>
          </rPr>
          <t>Invalid value</t>
        </r>
      </text>
    </comment>
    <comment ref="R147" authorId="2" shapeId="0" xr:uid="{00000000-0006-0000-1200-0000F5010000}">
      <text>
        <r>
          <rPr>
            <sz val="9"/>
            <color indexed="81"/>
            <rFont val="Tahoma"/>
            <family val="2"/>
          </rPr>
          <t>Invalid value</t>
        </r>
      </text>
    </comment>
    <comment ref="S147" authorId="2" shapeId="0" xr:uid="{00000000-0006-0000-1200-0000F6010000}">
      <text>
        <r>
          <rPr>
            <sz val="9"/>
            <color indexed="81"/>
            <rFont val="Tahoma"/>
            <family val="2"/>
          </rPr>
          <t>Invalid value</t>
        </r>
      </text>
    </comment>
    <comment ref="T147" authorId="2" shapeId="0" xr:uid="{00000000-0006-0000-1200-0000F7010000}">
      <text>
        <r>
          <rPr>
            <sz val="9"/>
            <color indexed="81"/>
            <rFont val="Tahoma"/>
            <family val="2"/>
          </rPr>
          <t>Invalid value</t>
        </r>
      </text>
    </comment>
    <comment ref="U147" authorId="2" shapeId="0" xr:uid="{00000000-0006-0000-1200-0000F8010000}">
      <text>
        <r>
          <rPr>
            <sz val="9"/>
            <color indexed="81"/>
            <rFont val="Tahoma"/>
            <family val="2"/>
          </rPr>
          <t>Invalid value</t>
        </r>
      </text>
    </comment>
    <comment ref="V147" authorId="2" shapeId="0" xr:uid="{00000000-0006-0000-1200-0000F9010000}">
      <text>
        <r>
          <rPr>
            <sz val="9"/>
            <color indexed="81"/>
            <rFont val="Tahoma"/>
            <family val="2"/>
          </rPr>
          <t>Invalid value</t>
        </r>
      </text>
    </comment>
    <comment ref="W147" authorId="2" shapeId="0" xr:uid="{00000000-0006-0000-1200-0000FA010000}">
      <text>
        <r>
          <rPr>
            <sz val="9"/>
            <color indexed="81"/>
            <rFont val="Tahoma"/>
            <family val="2"/>
          </rPr>
          <t>Invalid value</t>
        </r>
      </text>
    </comment>
    <comment ref="X147" authorId="2" shapeId="0" xr:uid="{00000000-0006-0000-1200-0000FB010000}">
      <text>
        <r>
          <rPr>
            <sz val="9"/>
            <color indexed="81"/>
            <rFont val="Tahoma"/>
            <family val="2"/>
          </rPr>
          <t>Invalid value</t>
        </r>
      </text>
    </comment>
    <comment ref="Y147" authorId="2" shapeId="0" xr:uid="{00000000-0006-0000-1200-0000FC010000}">
      <text>
        <r>
          <rPr>
            <sz val="9"/>
            <color indexed="81"/>
            <rFont val="Tahoma"/>
            <family val="2"/>
          </rPr>
          <t>Invalid value</t>
        </r>
      </text>
    </comment>
    <comment ref="Z147" authorId="2" shapeId="0" xr:uid="{00000000-0006-0000-1200-0000FD010000}">
      <text>
        <r>
          <rPr>
            <sz val="9"/>
            <color indexed="81"/>
            <rFont val="Tahoma"/>
            <family val="2"/>
          </rPr>
          <t>Invalid value</t>
        </r>
      </text>
    </comment>
    <comment ref="AA147" authorId="2" shapeId="0" xr:uid="{00000000-0006-0000-1200-0000FE010000}">
      <text>
        <r>
          <rPr>
            <sz val="9"/>
            <color indexed="81"/>
            <rFont val="Tahoma"/>
            <family val="2"/>
          </rPr>
          <t>Invalid value</t>
        </r>
      </text>
    </comment>
    <comment ref="AB147" authorId="2" shapeId="0" xr:uid="{00000000-0006-0000-1200-0000FF010000}">
      <text>
        <r>
          <rPr>
            <sz val="9"/>
            <color indexed="81"/>
            <rFont val="Tahoma"/>
            <family val="2"/>
          </rPr>
          <t>Invalid value</t>
        </r>
      </text>
    </comment>
    <comment ref="AC147" authorId="2" shapeId="0" xr:uid="{00000000-0006-0000-1200-000000020000}">
      <text>
        <r>
          <rPr>
            <sz val="9"/>
            <color indexed="81"/>
            <rFont val="Tahoma"/>
            <family val="2"/>
          </rPr>
          <t>Invalid value</t>
        </r>
      </text>
    </comment>
    <comment ref="AD147" authorId="2" shapeId="0" xr:uid="{00000000-0006-0000-1200-000001020000}">
      <text>
        <r>
          <rPr>
            <sz val="9"/>
            <color indexed="81"/>
            <rFont val="Tahoma"/>
            <family val="2"/>
          </rPr>
          <t>Invalid value</t>
        </r>
      </text>
    </comment>
    <comment ref="AE147" authorId="2" shapeId="0" xr:uid="{00000000-0006-0000-1200-000002020000}">
      <text>
        <r>
          <rPr>
            <sz val="9"/>
            <color indexed="81"/>
            <rFont val="Tahoma"/>
            <family val="2"/>
          </rPr>
          <t>Invalid value</t>
        </r>
      </text>
    </comment>
    <comment ref="AF147" authorId="2" shapeId="0" xr:uid="{00000000-0006-0000-1200-000003020000}">
      <text>
        <r>
          <rPr>
            <sz val="9"/>
            <color indexed="81"/>
            <rFont val="Tahoma"/>
            <family val="2"/>
          </rPr>
          <t>Invalid value</t>
        </r>
      </text>
    </comment>
    <comment ref="H148" authorId="2" shapeId="0" xr:uid="{00000000-0006-0000-1200-000004020000}">
      <text>
        <r>
          <rPr>
            <sz val="9"/>
            <color indexed="81"/>
            <rFont val="Tahoma"/>
            <family val="2"/>
          </rPr>
          <t>Invalid value</t>
        </r>
      </text>
    </comment>
    <comment ref="I148" authorId="2" shapeId="0" xr:uid="{00000000-0006-0000-1200-000005020000}">
      <text>
        <r>
          <rPr>
            <sz val="9"/>
            <color indexed="81"/>
            <rFont val="Tahoma"/>
            <family val="2"/>
          </rPr>
          <t>Invalid value</t>
        </r>
      </text>
    </comment>
    <comment ref="J148" authorId="2" shapeId="0" xr:uid="{00000000-0006-0000-1200-000006020000}">
      <text>
        <r>
          <rPr>
            <sz val="9"/>
            <color indexed="81"/>
            <rFont val="Tahoma"/>
            <family val="2"/>
          </rPr>
          <t>Invalid value</t>
        </r>
      </text>
    </comment>
    <comment ref="K148" authorId="2" shapeId="0" xr:uid="{00000000-0006-0000-1200-000007020000}">
      <text>
        <r>
          <rPr>
            <sz val="9"/>
            <color indexed="81"/>
            <rFont val="Tahoma"/>
            <family val="2"/>
          </rPr>
          <t>Invalid value</t>
        </r>
      </text>
    </comment>
    <comment ref="L148" authorId="2" shapeId="0" xr:uid="{00000000-0006-0000-1200-000008020000}">
      <text>
        <r>
          <rPr>
            <sz val="9"/>
            <color indexed="81"/>
            <rFont val="Tahoma"/>
            <family val="2"/>
          </rPr>
          <t>Invalid value</t>
        </r>
      </text>
    </comment>
    <comment ref="M148" authorId="2" shapeId="0" xr:uid="{00000000-0006-0000-1200-000009020000}">
      <text>
        <r>
          <rPr>
            <sz val="9"/>
            <color indexed="81"/>
            <rFont val="Tahoma"/>
            <family val="2"/>
          </rPr>
          <t>Invalid value</t>
        </r>
      </text>
    </comment>
    <comment ref="N148" authorId="2" shapeId="0" xr:uid="{00000000-0006-0000-1200-00000A020000}">
      <text>
        <r>
          <rPr>
            <sz val="9"/>
            <color indexed="81"/>
            <rFont val="Tahoma"/>
            <family val="2"/>
          </rPr>
          <t>Invalid value</t>
        </r>
      </text>
    </comment>
    <comment ref="O148" authorId="2" shapeId="0" xr:uid="{00000000-0006-0000-1200-00000B020000}">
      <text>
        <r>
          <rPr>
            <sz val="9"/>
            <color indexed="81"/>
            <rFont val="Tahoma"/>
            <family val="2"/>
          </rPr>
          <t>Invalid value</t>
        </r>
      </text>
    </comment>
    <comment ref="P148" authorId="2" shapeId="0" xr:uid="{00000000-0006-0000-1200-00000C020000}">
      <text>
        <r>
          <rPr>
            <sz val="9"/>
            <color indexed="81"/>
            <rFont val="Tahoma"/>
            <family val="2"/>
          </rPr>
          <t>Invalid value</t>
        </r>
      </text>
    </comment>
    <comment ref="Q148" authorId="2" shapeId="0" xr:uid="{00000000-0006-0000-1200-00000D020000}">
      <text>
        <r>
          <rPr>
            <sz val="9"/>
            <color indexed="81"/>
            <rFont val="Tahoma"/>
            <family val="2"/>
          </rPr>
          <t>Invalid value</t>
        </r>
      </text>
    </comment>
    <comment ref="R148" authorId="2" shapeId="0" xr:uid="{00000000-0006-0000-1200-00000E020000}">
      <text>
        <r>
          <rPr>
            <sz val="9"/>
            <color indexed="81"/>
            <rFont val="Tahoma"/>
            <family val="2"/>
          </rPr>
          <t>Invalid value</t>
        </r>
      </text>
    </comment>
    <comment ref="S148" authorId="2" shapeId="0" xr:uid="{00000000-0006-0000-1200-00000F020000}">
      <text>
        <r>
          <rPr>
            <sz val="9"/>
            <color indexed="81"/>
            <rFont val="Tahoma"/>
            <family val="2"/>
          </rPr>
          <t>Invalid value</t>
        </r>
      </text>
    </comment>
    <comment ref="T148" authorId="2" shapeId="0" xr:uid="{00000000-0006-0000-1200-000010020000}">
      <text>
        <r>
          <rPr>
            <sz val="9"/>
            <color indexed="81"/>
            <rFont val="Tahoma"/>
            <family val="2"/>
          </rPr>
          <t>Invalid value</t>
        </r>
      </text>
    </comment>
    <comment ref="U148" authorId="2" shapeId="0" xr:uid="{00000000-0006-0000-1200-000011020000}">
      <text>
        <r>
          <rPr>
            <sz val="9"/>
            <color indexed="81"/>
            <rFont val="Tahoma"/>
            <family val="2"/>
          </rPr>
          <t>Invalid value</t>
        </r>
      </text>
    </comment>
    <comment ref="V148" authorId="2" shapeId="0" xr:uid="{00000000-0006-0000-1200-000012020000}">
      <text>
        <r>
          <rPr>
            <sz val="9"/>
            <color indexed="81"/>
            <rFont val="Tahoma"/>
            <family val="2"/>
          </rPr>
          <t>Invalid value</t>
        </r>
      </text>
    </comment>
    <comment ref="W148" authorId="2" shapeId="0" xr:uid="{00000000-0006-0000-1200-000013020000}">
      <text>
        <r>
          <rPr>
            <sz val="9"/>
            <color indexed="81"/>
            <rFont val="Tahoma"/>
            <family val="2"/>
          </rPr>
          <t>Invalid value</t>
        </r>
      </text>
    </comment>
    <comment ref="X148" authorId="2" shapeId="0" xr:uid="{00000000-0006-0000-1200-000014020000}">
      <text>
        <r>
          <rPr>
            <sz val="9"/>
            <color indexed="81"/>
            <rFont val="Tahoma"/>
            <family val="2"/>
          </rPr>
          <t>Invalid value</t>
        </r>
      </text>
    </comment>
    <comment ref="Y148" authorId="2" shapeId="0" xr:uid="{00000000-0006-0000-1200-000015020000}">
      <text>
        <r>
          <rPr>
            <sz val="9"/>
            <color indexed="81"/>
            <rFont val="Tahoma"/>
            <family val="2"/>
          </rPr>
          <t>Invalid value</t>
        </r>
      </text>
    </comment>
    <comment ref="Z148" authorId="2" shapeId="0" xr:uid="{00000000-0006-0000-1200-000016020000}">
      <text>
        <r>
          <rPr>
            <sz val="9"/>
            <color indexed="81"/>
            <rFont val="Tahoma"/>
            <family val="2"/>
          </rPr>
          <t>Invalid value</t>
        </r>
      </text>
    </comment>
    <comment ref="AA148" authorId="2" shapeId="0" xr:uid="{00000000-0006-0000-1200-000017020000}">
      <text>
        <r>
          <rPr>
            <sz val="9"/>
            <color indexed="81"/>
            <rFont val="Tahoma"/>
            <family val="2"/>
          </rPr>
          <t>Invalid value</t>
        </r>
      </text>
    </comment>
    <comment ref="AB148" authorId="2" shapeId="0" xr:uid="{00000000-0006-0000-1200-000018020000}">
      <text>
        <r>
          <rPr>
            <sz val="9"/>
            <color indexed="81"/>
            <rFont val="Tahoma"/>
            <family val="2"/>
          </rPr>
          <t>Invalid value</t>
        </r>
      </text>
    </comment>
    <comment ref="AC148" authorId="2" shapeId="0" xr:uid="{00000000-0006-0000-1200-000019020000}">
      <text>
        <r>
          <rPr>
            <sz val="9"/>
            <color indexed="81"/>
            <rFont val="Tahoma"/>
            <family val="2"/>
          </rPr>
          <t>Invalid value</t>
        </r>
      </text>
    </comment>
    <comment ref="AD148" authorId="2" shapeId="0" xr:uid="{00000000-0006-0000-1200-00001A020000}">
      <text>
        <r>
          <rPr>
            <sz val="9"/>
            <color indexed="81"/>
            <rFont val="Tahoma"/>
            <family val="2"/>
          </rPr>
          <t>Invalid value</t>
        </r>
      </text>
    </comment>
    <comment ref="AE148" authorId="2" shapeId="0" xr:uid="{00000000-0006-0000-1200-00001B020000}">
      <text>
        <r>
          <rPr>
            <sz val="9"/>
            <color indexed="81"/>
            <rFont val="Tahoma"/>
            <family val="2"/>
          </rPr>
          <t>Invalid value</t>
        </r>
      </text>
    </comment>
    <comment ref="AF148" authorId="2" shapeId="0" xr:uid="{00000000-0006-0000-1200-00001C020000}">
      <text>
        <r>
          <rPr>
            <sz val="9"/>
            <color indexed="81"/>
            <rFont val="Tahoma"/>
            <family val="2"/>
          </rPr>
          <t>Invalid value</t>
        </r>
      </text>
    </comment>
    <comment ref="H149" authorId="2" shapeId="0" xr:uid="{00000000-0006-0000-1200-00001D020000}">
      <text>
        <r>
          <rPr>
            <sz val="9"/>
            <color indexed="81"/>
            <rFont val="Tahoma"/>
            <family val="2"/>
          </rPr>
          <t>Invalid value</t>
        </r>
      </text>
    </comment>
    <comment ref="I149" authorId="2" shapeId="0" xr:uid="{00000000-0006-0000-1200-00001E020000}">
      <text>
        <r>
          <rPr>
            <sz val="9"/>
            <color indexed="81"/>
            <rFont val="Tahoma"/>
            <family val="2"/>
          </rPr>
          <t>Invalid value</t>
        </r>
      </text>
    </comment>
    <comment ref="J149" authorId="2" shapeId="0" xr:uid="{00000000-0006-0000-1200-00001F020000}">
      <text>
        <r>
          <rPr>
            <sz val="9"/>
            <color indexed="81"/>
            <rFont val="Tahoma"/>
            <family val="2"/>
          </rPr>
          <t>Invalid value</t>
        </r>
      </text>
    </comment>
    <comment ref="K149" authorId="2" shapeId="0" xr:uid="{00000000-0006-0000-1200-000020020000}">
      <text>
        <r>
          <rPr>
            <sz val="9"/>
            <color indexed="81"/>
            <rFont val="Tahoma"/>
            <family val="2"/>
          </rPr>
          <t>Invalid value</t>
        </r>
      </text>
    </comment>
    <comment ref="L149" authorId="2" shapeId="0" xr:uid="{00000000-0006-0000-1200-000021020000}">
      <text>
        <r>
          <rPr>
            <sz val="9"/>
            <color indexed="81"/>
            <rFont val="Tahoma"/>
            <family val="2"/>
          </rPr>
          <t>Invalid value</t>
        </r>
      </text>
    </comment>
    <comment ref="M149" authorId="2" shapeId="0" xr:uid="{00000000-0006-0000-1200-000022020000}">
      <text>
        <r>
          <rPr>
            <sz val="9"/>
            <color indexed="81"/>
            <rFont val="Tahoma"/>
            <family val="2"/>
          </rPr>
          <t>Invalid value</t>
        </r>
      </text>
    </comment>
    <comment ref="N149" authorId="2" shapeId="0" xr:uid="{00000000-0006-0000-1200-000023020000}">
      <text>
        <r>
          <rPr>
            <sz val="9"/>
            <color indexed="81"/>
            <rFont val="Tahoma"/>
            <family val="2"/>
          </rPr>
          <t>Invalid value</t>
        </r>
      </text>
    </comment>
    <comment ref="O149" authorId="2" shapeId="0" xr:uid="{00000000-0006-0000-1200-000024020000}">
      <text>
        <r>
          <rPr>
            <sz val="9"/>
            <color indexed="81"/>
            <rFont val="Tahoma"/>
            <family val="2"/>
          </rPr>
          <t>Invalid value</t>
        </r>
      </text>
    </comment>
    <comment ref="P149" authorId="2" shapeId="0" xr:uid="{00000000-0006-0000-1200-000025020000}">
      <text>
        <r>
          <rPr>
            <sz val="9"/>
            <color indexed="81"/>
            <rFont val="Tahoma"/>
            <family val="2"/>
          </rPr>
          <t>Invalid value</t>
        </r>
      </text>
    </comment>
    <comment ref="Q149" authorId="2" shapeId="0" xr:uid="{00000000-0006-0000-1200-000026020000}">
      <text>
        <r>
          <rPr>
            <sz val="9"/>
            <color indexed="81"/>
            <rFont val="Tahoma"/>
            <family val="2"/>
          </rPr>
          <t>Invalid value</t>
        </r>
      </text>
    </comment>
    <comment ref="R149" authorId="2" shapeId="0" xr:uid="{00000000-0006-0000-1200-000027020000}">
      <text>
        <r>
          <rPr>
            <sz val="9"/>
            <color indexed="81"/>
            <rFont val="Tahoma"/>
            <family val="2"/>
          </rPr>
          <t>Invalid value</t>
        </r>
      </text>
    </comment>
    <comment ref="S149" authorId="2" shapeId="0" xr:uid="{00000000-0006-0000-1200-000028020000}">
      <text>
        <r>
          <rPr>
            <sz val="9"/>
            <color indexed="81"/>
            <rFont val="Tahoma"/>
            <family val="2"/>
          </rPr>
          <t>Invalid value</t>
        </r>
      </text>
    </comment>
    <comment ref="T149" authorId="2" shapeId="0" xr:uid="{00000000-0006-0000-1200-000029020000}">
      <text>
        <r>
          <rPr>
            <sz val="9"/>
            <color indexed="81"/>
            <rFont val="Tahoma"/>
            <family val="2"/>
          </rPr>
          <t>Invalid value</t>
        </r>
      </text>
    </comment>
    <comment ref="U149" authorId="2" shapeId="0" xr:uid="{00000000-0006-0000-1200-00002A020000}">
      <text>
        <r>
          <rPr>
            <sz val="9"/>
            <color indexed="81"/>
            <rFont val="Tahoma"/>
            <family val="2"/>
          </rPr>
          <t>Invalid value</t>
        </r>
      </text>
    </comment>
    <comment ref="V149" authorId="2" shapeId="0" xr:uid="{00000000-0006-0000-1200-00002B020000}">
      <text>
        <r>
          <rPr>
            <sz val="9"/>
            <color indexed="81"/>
            <rFont val="Tahoma"/>
            <family val="2"/>
          </rPr>
          <t>Invalid value</t>
        </r>
      </text>
    </comment>
    <comment ref="W149" authorId="2" shapeId="0" xr:uid="{00000000-0006-0000-1200-00002C020000}">
      <text>
        <r>
          <rPr>
            <sz val="9"/>
            <color indexed="81"/>
            <rFont val="Tahoma"/>
            <family val="2"/>
          </rPr>
          <t>Invalid value</t>
        </r>
      </text>
    </comment>
    <comment ref="X149" authorId="2" shapeId="0" xr:uid="{00000000-0006-0000-1200-00002D020000}">
      <text>
        <r>
          <rPr>
            <sz val="9"/>
            <color indexed="81"/>
            <rFont val="Tahoma"/>
            <family val="2"/>
          </rPr>
          <t>Invalid value</t>
        </r>
      </text>
    </comment>
    <comment ref="Y149" authorId="2" shapeId="0" xr:uid="{00000000-0006-0000-1200-00002E020000}">
      <text>
        <r>
          <rPr>
            <sz val="9"/>
            <color indexed="81"/>
            <rFont val="Tahoma"/>
            <family val="2"/>
          </rPr>
          <t>Invalid value</t>
        </r>
      </text>
    </comment>
    <comment ref="Z149" authorId="2" shapeId="0" xr:uid="{00000000-0006-0000-1200-00002F020000}">
      <text>
        <r>
          <rPr>
            <sz val="9"/>
            <color indexed="81"/>
            <rFont val="Tahoma"/>
            <family val="2"/>
          </rPr>
          <t>Invalid value</t>
        </r>
      </text>
    </comment>
    <comment ref="AA149" authorId="2" shapeId="0" xr:uid="{00000000-0006-0000-1200-000030020000}">
      <text>
        <r>
          <rPr>
            <sz val="9"/>
            <color indexed="81"/>
            <rFont val="Tahoma"/>
            <family val="2"/>
          </rPr>
          <t>Invalid value</t>
        </r>
      </text>
    </comment>
    <comment ref="AB149" authorId="2" shapeId="0" xr:uid="{00000000-0006-0000-1200-000031020000}">
      <text>
        <r>
          <rPr>
            <sz val="9"/>
            <color indexed="81"/>
            <rFont val="Tahoma"/>
            <family val="2"/>
          </rPr>
          <t>Invalid value</t>
        </r>
      </text>
    </comment>
    <comment ref="AC149" authorId="2" shapeId="0" xr:uid="{00000000-0006-0000-1200-000032020000}">
      <text>
        <r>
          <rPr>
            <sz val="9"/>
            <color indexed="81"/>
            <rFont val="Tahoma"/>
            <family val="2"/>
          </rPr>
          <t>Invalid value</t>
        </r>
      </text>
    </comment>
    <comment ref="AD149" authorId="2" shapeId="0" xr:uid="{00000000-0006-0000-1200-000033020000}">
      <text>
        <r>
          <rPr>
            <sz val="9"/>
            <color indexed="81"/>
            <rFont val="Tahoma"/>
            <family val="2"/>
          </rPr>
          <t>Invalid value</t>
        </r>
      </text>
    </comment>
    <comment ref="AE149" authorId="2" shapeId="0" xr:uid="{00000000-0006-0000-1200-000034020000}">
      <text>
        <r>
          <rPr>
            <sz val="9"/>
            <color indexed="81"/>
            <rFont val="Tahoma"/>
            <family val="2"/>
          </rPr>
          <t>Invalid value</t>
        </r>
      </text>
    </comment>
    <comment ref="AF149" authorId="2" shapeId="0" xr:uid="{00000000-0006-0000-1200-000035020000}">
      <text>
        <r>
          <rPr>
            <sz val="9"/>
            <color indexed="81"/>
            <rFont val="Tahoma"/>
            <family val="2"/>
          </rPr>
          <t>Invalid value</t>
        </r>
      </text>
    </comment>
    <comment ref="H150" authorId="2" shapeId="0" xr:uid="{00000000-0006-0000-1200-000036020000}">
      <text>
        <r>
          <rPr>
            <sz val="9"/>
            <color indexed="81"/>
            <rFont val="Tahoma"/>
            <family val="2"/>
          </rPr>
          <t>Invalid value</t>
        </r>
      </text>
    </comment>
    <comment ref="I150" authorId="2" shapeId="0" xr:uid="{00000000-0006-0000-1200-000037020000}">
      <text>
        <r>
          <rPr>
            <sz val="9"/>
            <color indexed="81"/>
            <rFont val="Tahoma"/>
            <family val="2"/>
          </rPr>
          <t>Invalid value</t>
        </r>
      </text>
    </comment>
    <comment ref="J150" authorId="2" shapeId="0" xr:uid="{00000000-0006-0000-1200-000038020000}">
      <text>
        <r>
          <rPr>
            <sz val="9"/>
            <color indexed="81"/>
            <rFont val="Tahoma"/>
            <family val="2"/>
          </rPr>
          <t>Invalid value</t>
        </r>
      </text>
    </comment>
    <comment ref="K150" authorId="2" shapeId="0" xr:uid="{00000000-0006-0000-1200-000039020000}">
      <text>
        <r>
          <rPr>
            <sz val="9"/>
            <color indexed="81"/>
            <rFont val="Tahoma"/>
            <family val="2"/>
          </rPr>
          <t>Invalid value</t>
        </r>
      </text>
    </comment>
    <comment ref="L150" authorId="2" shapeId="0" xr:uid="{00000000-0006-0000-1200-00003A020000}">
      <text>
        <r>
          <rPr>
            <sz val="9"/>
            <color indexed="81"/>
            <rFont val="Tahoma"/>
            <family val="2"/>
          </rPr>
          <t>Invalid value</t>
        </r>
      </text>
    </comment>
    <comment ref="M150" authorId="2" shapeId="0" xr:uid="{00000000-0006-0000-1200-00003B020000}">
      <text>
        <r>
          <rPr>
            <sz val="9"/>
            <color indexed="81"/>
            <rFont val="Tahoma"/>
            <family val="2"/>
          </rPr>
          <t>Invalid value</t>
        </r>
      </text>
    </comment>
    <comment ref="N150" authorId="2" shapeId="0" xr:uid="{00000000-0006-0000-1200-00003C020000}">
      <text>
        <r>
          <rPr>
            <sz val="9"/>
            <color indexed="81"/>
            <rFont val="Tahoma"/>
            <family val="2"/>
          </rPr>
          <t>Invalid value</t>
        </r>
      </text>
    </comment>
    <comment ref="O150" authorId="2" shapeId="0" xr:uid="{00000000-0006-0000-1200-00003D020000}">
      <text>
        <r>
          <rPr>
            <sz val="9"/>
            <color indexed="81"/>
            <rFont val="Tahoma"/>
            <family val="2"/>
          </rPr>
          <t>Invalid value</t>
        </r>
      </text>
    </comment>
    <comment ref="P150" authorId="2" shapeId="0" xr:uid="{00000000-0006-0000-1200-00003E020000}">
      <text>
        <r>
          <rPr>
            <sz val="9"/>
            <color indexed="81"/>
            <rFont val="Tahoma"/>
            <family val="2"/>
          </rPr>
          <t>Invalid value</t>
        </r>
      </text>
    </comment>
    <comment ref="Q150" authorId="2" shapeId="0" xr:uid="{00000000-0006-0000-1200-00003F020000}">
      <text>
        <r>
          <rPr>
            <sz val="9"/>
            <color indexed="81"/>
            <rFont val="Tahoma"/>
            <family val="2"/>
          </rPr>
          <t>Invalid value</t>
        </r>
      </text>
    </comment>
    <comment ref="R150" authorId="2" shapeId="0" xr:uid="{00000000-0006-0000-1200-000040020000}">
      <text>
        <r>
          <rPr>
            <sz val="9"/>
            <color indexed="81"/>
            <rFont val="Tahoma"/>
            <family val="2"/>
          </rPr>
          <t>Invalid value</t>
        </r>
      </text>
    </comment>
    <comment ref="S150" authorId="2" shapeId="0" xr:uid="{00000000-0006-0000-1200-000041020000}">
      <text>
        <r>
          <rPr>
            <sz val="9"/>
            <color indexed="81"/>
            <rFont val="Tahoma"/>
            <family val="2"/>
          </rPr>
          <t>Invalid value</t>
        </r>
      </text>
    </comment>
    <comment ref="T150" authorId="2" shapeId="0" xr:uid="{00000000-0006-0000-1200-000042020000}">
      <text>
        <r>
          <rPr>
            <sz val="9"/>
            <color indexed="81"/>
            <rFont val="Tahoma"/>
            <family val="2"/>
          </rPr>
          <t>Invalid value</t>
        </r>
      </text>
    </comment>
    <comment ref="U150" authorId="2" shapeId="0" xr:uid="{00000000-0006-0000-1200-000043020000}">
      <text>
        <r>
          <rPr>
            <sz val="9"/>
            <color indexed="81"/>
            <rFont val="Tahoma"/>
            <family val="2"/>
          </rPr>
          <t>Invalid value</t>
        </r>
      </text>
    </comment>
    <comment ref="V150" authorId="2" shapeId="0" xr:uid="{00000000-0006-0000-1200-000044020000}">
      <text>
        <r>
          <rPr>
            <sz val="9"/>
            <color indexed="81"/>
            <rFont val="Tahoma"/>
            <family val="2"/>
          </rPr>
          <t>Invalid value</t>
        </r>
      </text>
    </comment>
    <comment ref="W150" authorId="2" shapeId="0" xr:uid="{00000000-0006-0000-1200-000045020000}">
      <text>
        <r>
          <rPr>
            <sz val="9"/>
            <color indexed="81"/>
            <rFont val="Tahoma"/>
            <family val="2"/>
          </rPr>
          <t>Invalid value</t>
        </r>
      </text>
    </comment>
    <comment ref="X150" authorId="2" shapeId="0" xr:uid="{00000000-0006-0000-1200-000046020000}">
      <text>
        <r>
          <rPr>
            <sz val="9"/>
            <color indexed="81"/>
            <rFont val="Tahoma"/>
            <family val="2"/>
          </rPr>
          <t>Invalid value</t>
        </r>
      </text>
    </comment>
    <comment ref="Y150" authorId="2" shapeId="0" xr:uid="{00000000-0006-0000-1200-000047020000}">
      <text>
        <r>
          <rPr>
            <sz val="9"/>
            <color indexed="81"/>
            <rFont val="Tahoma"/>
            <family val="2"/>
          </rPr>
          <t>Invalid value</t>
        </r>
      </text>
    </comment>
    <comment ref="Z150" authorId="2" shapeId="0" xr:uid="{00000000-0006-0000-1200-000048020000}">
      <text>
        <r>
          <rPr>
            <sz val="9"/>
            <color indexed="81"/>
            <rFont val="Tahoma"/>
            <family val="2"/>
          </rPr>
          <t>Invalid value</t>
        </r>
      </text>
    </comment>
    <comment ref="AA150" authorId="2" shapeId="0" xr:uid="{00000000-0006-0000-1200-000049020000}">
      <text>
        <r>
          <rPr>
            <sz val="9"/>
            <color indexed="81"/>
            <rFont val="Tahoma"/>
            <family val="2"/>
          </rPr>
          <t>Invalid value</t>
        </r>
      </text>
    </comment>
    <comment ref="AB150" authorId="2" shapeId="0" xr:uid="{00000000-0006-0000-1200-00004A020000}">
      <text>
        <r>
          <rPr>
            <sz val="9"/>
            <color indexed="81"/>
            <rFont val="Tahoma"/>
            <family val="2"/>
          </rPr>
          <t>Invalid value</t>
        </r>
      </text>
    </comment>
    <comment ref="AC150" authorId="2" shapeId="0" xr:uid="{00000000-0006-0000-1200-00004B020000}">
      <text>
        <r>
          <rPr>
            <sz val="9"/>
            <color indexed="81"/>
            <rFont val="Tahoma"/>
            <family val="2"/>
          </rPr>
          <t>Invalid value</t>
        </r>
      </text>
    </comment>
    <comment ref="AD150" authorId="2" shapeId="0" xr:uid="{00000000-0006-0000-1200-00004C020000}">
      <text>
        <r>
          <rPr>
            <sz val="9"/>
            <color indexed="81"/>
            <rFont val="Tahoma"/>
            <family val="2"/>
          </rPr>
          <t>Invalid value</t>
        </r>
      </text>
    </comment>
    <comment ref="AE150" authorId="2" shapeId="0" xr:uid="{00000000-0006-0000-1200-00004D020000}">
      <text>
        <r>
          <rPr>
            <sz val="9"/>
            <color indexed="81"/>
            <rFont val="Tahoma"/>
            <family val="2"/>
          </rPr>
          <t>Invalid value</t>
        </r>
      </text>
    </comment>
    <comment ref="AF150" authorId="2" shapeId="0" xr:uid="{00000000-0006-0000-1200-00004E020000}">
      <text>
        <r>
          <rPr>
            <sz val="9"/>
            <color indexed="81"/>
            <rFont val="Tahoma"/>
            <family val="2"/>
          </rPr>
          <t>Invalid value</t>
        </r>
      </text>
    </comment>
    <comment ref="H151" authorId="2" shapeId="0" xr:uid="{00000000-0006-0000-1200-00004F020000}">
      <text>
        <r>
          <rPr>
            <sz val="9"/>
            <color indexed="81"/>
            <rFont val="Tahoma"/>
            <family val="2"/>
          </rPr>
          <t>Invalid value</t>
        </r>
      </text>
    </comment>
    <comment ref="I151" authorId="2" shapeId="0" xr:uid="{00000000-0006-0000-1200-000050020000}">
      <text>
        <r>
          <rPr>
            <sz val="9"/>
            <color indexed="81"/>
            <rFont val="Tahoma"/>
            <family val="2"/>
          </rPr>
          <t>Invalid value</t>
        </r>
      </text>
    </comment>
    <comment ref="J151" authorId="2" shapeId="0" xr:uid="{00000000-0006-0000-1200-000051020000}">
      <text>
        <r>
          <rPr>
            <sz val="9"/>
            <color indexed="81"/>
            <rFont val="Tahoma"/>
            <family val="2"/>
          </rPr>
          <t>Invalid value</t>
        </r>
      </text>
    </comment>
    <comment ref="K151" authorId="2" shapeId="0" xr:uid="{00000000-0006-0000-1200-000052020000}">
      <text>
        <r>
          <rPr>
            <sz val="9"/>
            <color indexed="81"/>
            <rFont val="Tahoma"/>
            <family val="2"/>
          </rPr>
          <t>Invalid value</t>
        </r>
      </text>
    </comment>
    <comment ref="L151" authorId="2" shapeId="0" xr:uid="{00000000-0006-0000-1200-000053020000}">
      <text>
        <r>
          <rPr>
            <sz val="9"/>
            <color indexed="81"/>
            <rFont val="Tahoma"/>
            <family val="2"/>
          </rPr>
          <t>Invalid value</t>
        </r>
      </text>
    </comment>
    <comment ref="M151" authorId="2" shapeId="0" xr:uid="{00000000-0006-0000-1200-000054020000}">
      <text>
        <r>
          <rPr>
            <sz val="9"/>
            <color indexed="81"/>
            <rFont val="Tahoma"/>
            <family val="2"/>
          </rPr>
          <t>Invalid value</t>
        </r>
      </text>
    </comment>
    <comment ref="N151" authorId="2" shapeId="0" xr:uid="{00000000-0006-0000-1200-000055020000}">
      <text>
        <r>
          <rPr>
            <sz val="9"/>
            <color indexed="81"/>
            <rFont val="Tahoma"/>
            <family val="2"/>
          </rPr>
          <t>Invalid value</t>
        </r>
      </text>
    </comment>
    <comment ref="O151" authorId="2" shapeId="0" xr:uid="{00000000-0006-0000-1200-000056020000}">
      <text>
        <r>
          <rPr>
            <sz val="9"/>
            <color indexed="81"/>
            <rFont val="Tahoma"/>
            <family val="2"/>
          </rPr>
          <t>Invalid value</t>
        </r>
      </text>
    </comment>
    <comment ref="P151" authorId="2" shapeId="0" xr:uid="{00000000-0006-0000-1200-000057020000}">
      <text>
        <r>
          <rPr>
            <sz val="9"/>
            <color indexed="81"/>
            <rFont val="Tahoma"/>
            <family val="2"/>
          </rPr>
          <t>Invalid value</t>
        </r>
      </text>
    </comment>
    <comment ref="Q151" authorId="2" shapeId="0" xr:uid="{00000000-0006-0000-1200-000058020000}">
      <text>
        <r>
          <rPr>
            <sz val="9"/>
            <color indexed="81"/>
            <rFont val="Tahoma"/>
            <family val="2"/>
          </rPr>
          <t>Invalid value</t>
        </r>
      </text>
    </comment>
    <comment ref="R151" authorId="2" shapeId="0" xr:uid="{00000000-0006-0000-1200-000059020000}">
      <text>
        <r>
          <rPr>
            <sz val="9"/>
            <color indexed="81"/>
            <rFont val="Tahoma"/>
            <family val="2"/>
          </rPr>
          <t>Invalid value</t>
        </r>
      </text>
    </comment>
    <comment ref="S151" authorId="2" shapeId="0" xr:uid="{00000000-0006-0000-1200-00005A020000}">
      <text>
        <r>
          <rPr>
            <sz val="9"/>
            <color indexed="81"/>
            <rFont val="Tahoma"/>
            <family val="2"/>
          </rPr>
          <t>Invalid value</t>
        </r>
      </text>
    </comment>
    <comment ref="T151" authorId="2" shapeId="0" xr:uid="{00000000-0006-0000-1200-00005B020000}">
      <text>
        <r>
          <rPr>
            <sz val="9"/>
            <color indexed="81"/>
            <rFont val="Tahoma"/>
            <family val="2"/>
          </rPr>
          <t>Invalid value</t>
        </r>
      </text>
    </comment>
    <comment ref="U151" authorId="2" shapeId="0" xr:uid="{00000000-0006-0000-1200-00005C020000}">
      <text>
        <r>
          <rPr>
            <sz val="9"/>
            <color indexed="81"/>
            <rFont val="Tahoma"/>
            <family val="2"/>
          </rPr>
          <t>Invalid value</t>
        </r>
      </text>
    </comment>
    <comment ref="V151" authorId="2" shapeId="0" xr:uid="{00000000-0006-0000-1200-00005D020000}">
      <text>
        <r>
          <rPr>
            <sz val="9"/>
            <color indexed="81"/>
            <rFont val="Tahoma"/>
            <family val="2"/>
          </rPr>
          <t>Invalid value</t>
        </r>
      </text>
    </comment>
    <comment ref="W151" authorId="2" shapeId="0" xr:uid="{00000000-0006-0000-1200-00005E020000}">
      <text>
        <r>
          <rPr>
            <sz val="9"/>
            <color indexed="81"/>
            <rFont val="Tahoma"/>
            <family val="2"/>
          </rPr>
          <t>Invalid value</t>
        </r>
      </text>
    </comment>
    <comment ref="X151" authorId="2" shapeId="0" xr:uid="{00000000-0006-0000-1200-00005F020000}">
      <text>
        <r>
          <rPr>
            <sz val="9"/>
            <color indexed="81"/>
            <rFont val="Tahoma"/>
            <family val="2"/>
          </rPr>
          <t>Invalid value</t>
        </r>
      </text>
    </comment>
    <comment ref="Y151" authorId="2" shapeId="0" xr:uid="{00000000-0006-0000-1200-000060020000}">
      <text>
        <r>
          <rPr>
            <sz val="9"/>
            <color indexed="81"/>
            <rFont val="Tahoma"/>
            <family val="2"/>
          </rPr>
          <t>Invalid value</t>
        </r>
      </text>
    </comment>
    <comment ref="Z151" authorId="2" shapeId="0" xr:uid="{00000000-0006-0000-1200-000061020000}">
      <text>
        <r>
          <rPr>
            <sz val="9"/>
            <color indexed="81"/>
            <rFont val="Tahoma"/>
            <family val="2"/>
          </rPr>
          <t>Invalid value</t>
        </r>
      </text>
    </comment>
    <comment ref="AA151" authorId="2" shapeId="0" xr:uid="{00000000-0006-0000-1200-000062020000}">
      <text>
        <r>
          <rPr>
            <sz val="9"/>
            <color indexed="81"/>
            <rFont val="Tahoma"/>
            <family val="2"/>
          </rPr>
          <t>Invalid value</t>
        </r>
      </text>
    </comment>
    <comment ref="AB151" authorId="2" shapeId="0" xr:uid="{00000000-0006-0000-1200-000063020000}">
      <text>
        <r>
          <rPr>
            <sz val="9"/>
            <color indexed="81"/>
            <rFont val="Tahoma"/>
            <family val="2"/>
          </rPr>
          <t>Invalid value</t>
        </r>
      </text>
    </comment>
    <comment ref="AC151" authorId="2" shapeId="0" xr:uid="{00000000-0006-0000-1200-000064020000}">
      <text>
        <r>
          <rPr>
            <sz val="9"/>
            <color indexed="81"/>
            <rFont val="Tahoma"/>
            <family val="2"/>
          </rPr>
          <t>Invalid value</t>
        </r>
      </text>
    </comment>
    <comment ref="AD151" authorId="2" shapeId="0" xr:uid="{00000000-0006-0000-1200-000065020000}">
      <text>
        <r>
          <rPr>
            <sz val="9"/>
            <color indexed="81"/>
            <rFont val="Tahoma"/>
            <family val="2"/>
          </rPr>
          <t>Invalid value</t>
        </r>
      </text>
    </comment>
    <comment ref="AE151" authorId="2" shapeId="0" xr:uid="{00000000-0006-0000-1200-000066020000}">
      <text>
        <r>
          <rPr>
            <sz val="9"/>
            <color indexed="81"/>
            <rFont val="Tahoma"/>
            <family val="2"/>
          </rPr>
          <t>Invalid value</t>
        </r>
      </text>
    </comment>
    <comment ref="AF151" authorId="2" shapeId="0" xr:uid="{00000000-0006-0000-1200-000067020000}">
      <text>
        <r>
          <rPr>
            <sz val="9"/>
            <color indexed="81"/>
            <rFont val="Tahoma"/>
            <family val="2"/>
          </rPr>
          <t>Invalid value</t>
        </r>
      </text>
    </comment>
    <comment ref="H152" authorId="2" shapeId="0" xr:uid="{00000000-0006-0000-1200-000068020000}">
      <text>
        <r>
          <rPr>
            <sz val="9"/>
            <color indexed="81"/>
            <rFont val="Tahoma"/>
            <family val="2"/>
          </rPr>
          <t>Invalid value</t>
        </r>
      </text>
    </comment>
    <comment ref="I152" authorId="2" shapeId="0" xr:uid="{00000000-0006-0000-1200-000069020000}">
      <text>
        <r>
          <rPr>
            <sz val="9"/>
            <color indexed="81"/>
            <rFont val="Tahoma"/>
            <family val="2"/>
          </rPr>
          <t>Invalid value</t>
        </r>
      </text>
    </comment>
    <comment ref="J152" authorId="2" shapeId="0" xr:uid="{00000000-0006-0000-1200-00006A020000}">
      <text>
        <r>
          <rPr>
            <sz val="9"/>
            <color indexed="81"/>
            <rFont val="Tahoma"/>
            <family val="2"/>
          </rPr>
          <t>Invalid value</t>
        </r>
      </text>
    </comment>
    <comment ref="K152" authorId="2" shapeId="0" xr:uid="{00000000-0006-0000-1200-00006B020000}">
      <text>
        <r>
          <rPr>
            <sz val="9"/>
            <color indexed="81"/>
            <rFont val="Tahoma"/>
            <family val="2"/>
          </rPr>
          <t>Invalid value</t>
        </r>
      </text>
    </comment>
    <comment ref="L152" authorId="2" shapeId="0" xr:uid="{00000000-0006-0000-1200-00006C020000}">
      <text>
        <r>
          <rPr>
            <sz val="9"/>
            <color indexed="81"/>
            <rFont val="Tahoma"/>
            <family val="2"/>
          </rPr>
          <t>Invalid value</t>
        </r>
      </text>
    </comment>
    <comment ref="M152" authorId="2" shapeId="0" xr:uid="{00000000-0006-0000-1200-00006D020000}">
      <text>
        <r>
          <rPr>
            <sz val="9"/>
            <color indexed="81"/>
            <rFont val="Tahoma"/>
            <family val="2"/>
          </rPr>
          <t>Invalid value</t>
        </r>
      </text>
    </comment>
    <comment ref="N152" authorId="2" shapeId="0" xr:uid="{00000000-0006-0000-1200-00006E020000}">
      <text>
        <r>
          <rPr>
            <sz val="9"/>
            <color indexed="81"/>
            <rFont val="Tahoma"/>
            <family val="2"/>
          </rPr>
          <t>Invalid value</t>
        </r>
      </text>
    </comment>
    <comment ref="O152" authorId="2" shapeId="0" xr:uid="{00000000-0006-0000-1200-00006F020000}">
      <text>
        <r>
          <rPr>
            <sz val="9"/>
            <color indexed="81"/>
            <rFont val="Tahoma"/>
            <family val="2"/>
          </rPr>
          <t>Invalid value</t>
        </r>
      </text>
    </comment>
    <comment ref="P152" authorId="2" shapeId="0" xr:uid="{00000000-0006-0000-1200-000070020000}">
      <text>
        <r>
          <rPr>
            <sz val="9"/>
            <color indexed="81"/>
            <rFont val="Tahoma"/>
            <family val="2"/>
          </rPr>
          <t>Invalid value</t>
        </r>
      </text>
    </comment>
    <comment ref="Q152" authorId="2" shapeId="0" xr:uid="{00000000-0006-0000-1200-000071020000}">
      <text>
        <r>
          <rPr>
            <sz val="9"/>
            <color indexed="81"/>
            <rFont val="Tahoma"/>
            <family val="2"/>
          </rPr>
          <t>Invalid value</t>
        </r>
      </text>
    </comment>
    <comment ref="R152" authorId="2" shapeId="0" xr:uid="{00000000-0006-0000-1200-000072020000}">
      <text>
        <r>
          <rPr>
            <sz val="9"/>
            <color indexed="81"/>
            <rFont val="Tahoma"/>
            <family val="2"/>
          </rPr>
          <t>Invalid value</t>
        </r>
      </text>
    </comment>
    <comment ref="S152" authorId="2" shapeId="0" xr:uid="{00000000-0006-0000-1200-000073020000}">
      <text>
        <r>
          <rPr>
            <sz val="9"/>
            <color indexed="81"/>
            <rFont val="Tahoma"/>
            <family val="2"/>
          </rPr>
          <t>Invalid value</t>
        </r>
      </text>
    </comment>
    <comment ref="T152" authorId="2" shapeId="0" xr:uid="{00000000-0006-0000-1200-000074020000}">
      <text>
        <r>
          <rPr>
            <sz val="9"/>
            <color indexed="81"/>
            <rFont val="Tahoma"/>
            <family val="2"/>
          </rPr>
          <t>Invalid value</t>
        </r>
      </text>
    </comment>
    <comment ref="U152" authorId="2" shapeId="0" xr:uid="{00000000-0006-0000-1200-000075020000}">
      <text>
        <r>
          <rPr>
            <sz val="9"/>
            <color indexed="81"/>
            <rFont val="Tahoma"/>
            <family val="2"/>
          </rPr>
          <t>Invalid value</t>
        </r>
      </text>
    </comment>
    <comment ref="V152" authorId="2" shapeId="0" xr:uid="{00000000-0006-0000-1200-000076020000}">
      <text>
        <r>
          <rPr>
            <sz val="9"/>
            <color indexed="81"/>
            <rFont val="Tahoma"/>
            <family val="2"/>
          </rPr>
          <t>Invalid value</t>
        </r>
      </text>
    </comment>
    <comment ref="W152" authorId="2" shapeId="0" xr:uid="{00000000-0006-0000-1200-000077020000}">
      <text>
        <r>
          <rPr>
            <sz val="9"/>
            <color indexed="81"/>
            <rFont val="Tahoma"/>
            <family val="2"/>
          </rPr>
          <t>Invalid value</t>
        </r>
      </text>
    </comment>
    <comment ref="X152" authorId="2" shapeId="0" xr:uid="{00000000-0006-0000-1200-000078020000}">
      <text>
        <r>
          <rPr>
            <sz val="9"/>
            <color indexed="81"/>
            <rFont val="Tahoma"/>
            <family val="2"/>
          </rPr>
          <t>Invalid value</t>
        </r>
      </text>
    </comment>
    <comment ref="Y152" authorId="2" shapeId="0" xr:uid="{00000000-0006-0000-1200-000079020000}">
      <text>
        <r>
          <rPr>
            <sz val="9"/>
            <color indexed="81"/>
            <rFont val="Tahoma"/>
            <family val="2"/>
          </rPr>
          <t>Invalid value</t>
        </r>
      </text>
    </comment>
    <comment ref="Z152" authorId="2" shapeId="0" xr:uid="{00000000-0006-0000-1200-00007A020000}">
      <text>
        <r>
          <rPr>
            <sz val="9"/>
            <color indexed="81"/>
            <rFont val="Tahoma"/>
            <family val="2"/>
          </rPr>
          <t>Invalid value</t>
        </r>
      </text>
    </comment>
    <comment ref="AA152" authorId="2" shapeId="0" xr:uid="{00000000-0006-0000-1200-00007B020000}">
      <text>
        <r>
          <rPr>
            <sz val="9"/>
            <color indexed="81"/>
            <rFont val="Tahoma"/>
            <family val="2"/>
          </rPr>
          <t>Invalid value</t>
        </r>
      </text>
    </comment>
    <comment ref="AB152" authorId="2" shapeId="0" xr:uid="{00000000-0006-0000-1200-00007C020000}">
      <text>
        <r>
          <rPr>
            <sz val="9"/>
            <color indexed="81"/>
            <rFont val="Tahoma"/>
            <family val="2"/>
          </rPr>
          <t>Invalid value</t>
        </r>
      </text>
    </comment>
    <comment ref="AC152" authorId="2" shapeId="0" xr:uid="{00000000-0006-0000-1200-00007D020000}">
      <text>
        <r>
          <rPr>
            <sz val="9"/>
            <color indexed="81"/>
            <rFont val="Tahoma"/>
            <family val="2"/>
          </rPr>
          <t>Invalid value</t>
        </r>
      </text>
    </comment>
    <comment ref="AD152" authorId="2" shapeId="0" xr:uid="{00000000-0006-0000-1200-00007E020000}">
      <text>
        <r>
          <rPr>
            <sz val="9"/>
            <color indexed="81"/>
            <rFont val="Tahoma"/>
            <family val="2"/>
          </rPr>
          <t>Invalid value</t>
        </r>
      </text>
    </comment>
    <comment ref="AE152" authorId="2" shapeId="0" xr:uid="{00000000-0006-0000-1200-00007F020000}">
      <text>
        <r>
          <rPr>
            <sz val="9"/>
            <color indexed="81"/>
            <rFont val="Tahoma"/>
            <family val="2"/>
          </rPr>
          <t>Invalid value</t>
        </r>
      </text>
    </comment>
    <comment ref="AF152" authorId="2" shapeId="0" xr:uid="{00000000-0006-0000-1200-000080020000}">
      <text>
        <r>
          <rPr>
            <sz val="9"/>
            <color indexed="81"/>
            <rFont val="Tahoma"/>
            <family val="2"/>
          </rPr>
          <t>Invalid value</t>
        </r>
      </text>
    </comment>
    <comment ref="H153" authorId="2" shapeId="0" xr:uid="{00000000-0006-0000-1200-000081020000}">
      <text>
        <r>
          <rPr>
            <sz val="9"/>
            <color indexed="81"/>
            <rFont val="Tahoma"/>
            <family val="2"/>
          </rPr>
          <t>Invalid value</t>
        </r>
      </text>
    </comment>
    <comment ref="I153" authorId="2" shapeId="0" xr:uid="{00000000-0006-0000-1200-000082020000}">
      <text>
        <r>
          <rPr>
            <sz val="9"/>
            <color indexed="81"/>
            <rFont val="Tahoma"/>
            <family val="2"/>
          </rPr>
          <t>Invalid value</t>
        </r>
      </text>
    </comment>
    <comment ref="J153" authorId="2" shapeId="0" xr:uid="{00000000-0006-0000-1200-000083020000}">
      <text>
        <r>
          <rPr>
            <sz val="9"/>
            <color indexed="81"/>
            <rFont val="Tahoma"/>
            <family val="2"/>
          </rPr>
          <t>Invalid value</t>
        </r>
      </text>
    </comment>
    <comment ref="K153" authorId="2" shapeId="0" xr:uid="{00000000-0006-0000-1200-000084020000}">
      <text>
        <r>
          <rPr>
            <sz val="9"/>
            <color indexed="81"/>
            <rFont val="Tahoma"/>
            <family val="2"/>
          </rPr>
          <t>Invalid value</t>
        </r>
      </text>
    </comment>
    <comment ref="L153" authorId="2" shapeId="0" xr:uid="{00000000-0006-0000-1200-000085020000}">
      <text>
        <r>
          <rPr>
            <sz val="9"/>
            <color indexed="81"/>
            <rFont val="Tahoma"/>
            <family val="2"/>
          </rPr>
          <t>Invalid value</t>
        </r>
      </text>
    </comment>
    <comment ref="M153" authorId="2" shapeId="0" xr:uid="{00000000-0006-0000-1200-000086020000}">
      <text>
        <r>
          <rPr>
            <sz val="9"/>
            <color indexed="81"/>
            <rFont val="Tahoma"/>
            <family val="2"/>
          </rPr>
          <t>Invalid value</t>
        </r>
      </text>
    </comment>
    <comment ref="N153" authorId="2" shapeId="0" xr:uid="{00000000-0006-0000-1200-000087020000}">
      <text>
        <r>
          <rPr>
            <sz val="9"/>
            <color indexed="81"/>
            <rFont val="Tahoma"/>
            <family val="2"/>
          </rPr>
          <t>Invalid value</t>
        </r>
      </text>
    </comment>
    <comment ref="O153" authorId="2" shapeId="0" xr:uid="{00000000-0006-0000-1200-000088020000}">
      <text>
        <r>
          <rPr>
            <sz val="9"/>
            <color indexed="81"/>
            <rFont val="Tahoma"/>
            <family val="2"/>
          </rPr>
          <t>Invalid value</t>
        </r>
      </text>
    </comment>
    <comment ref="P153" authorId="2" shapeId="0" xr:uid="{00000000-0006-0000-1200-000089020000}">
      <text>
        <r>
          <rPr>
            <sz val="9"/>
            <color indexed="81"/>
            <rFont val="Tahoma"/>
            <family val="2"/>
          </rPr>
          <t>Invalid value</t>
        </r>
      </text>
    </comment>
    <comment ref="Q153" authorId="2" shapeId="0" xr:uid="{00000000-0006-0000-1200-00008A020000}">
      <text>
        <r>
          <rPr>
            <sz val="9"/>
            <color indexed="81"/>
            <rFont val="Tahoma"/>
            <family val="2"/>
          </rPr>
          <t>Invalid value</t>
        </r>
      </text>
    </comment>
    <comment ref="R153" authorId="2" shapeId="0" xr:uid="{00000000-0006-0000-1200-00008B020000}">
      <text>
        <r>
          <rPr>
            <sz val="9"/>
            <color indexed="81"/>
            <rFont val="Tahoma"/>
            <family val="2"/>
          </rPr>
          <t>Invalid value</t>
        </r>
      </text>
    </comment>
    <comment ref="S153" authorId="2" shapeId="0" xr:uid="{00000000-0006-0000-1200-00008C020000}">
      <text>
        <r>
          <rPr>
            <sz val="9"/>
            <color indexed="81"/>
            <rFont val="Tahoma"/>
            <family val="2"/>
          </rPr>
          <t>Invalid value</t>
        </r>
      </text>
    </comment>
    <comment ref="T153" authorId="2" shapeId="0" xr:uid="{00000000-0006-0000-1200-00008D020000}">
      <text>
        <r>
          <rPr>
            <sz val="9"/>
            <color indexed="81"/>
            <rFont val="Tahoma"/>
            <family val="2"/>
          </rPr>
          <t>Invalid value</t>
        </r>
      </text>
    </comment>
    <comment ref="U153" authorId="2" shapeId="0" xr:uid="{00000000-0006-0000-1200-00008E020000}">
      <text>
        <r>
          <rPr>
            <sz val="9"/>
            <color indexed="81"/>
            <rFont val="Tahoma"/>
            <family val="2"/>
          </rPr>
          <t>Invalid value</t>
        </r>
      </text>
    </comment>
    <comment ref="V153" authorId="2" shapeId="0" xr:uid="{00000000-0006-0000-1200-00008F020000}">
      <text>
        <r>
          <rPr>
            <sz val="9"/>
            <color indexed="81"/>
            <rFont val="Tahoma"/>
            <family val="2"/>
          </rPr>
          <t>Invalid value</t>
        </r>
      </text>
    </comment>
    <comment ref="W153" authorId="2" shapeId="0" xr:uid="{00000000-0006-0000-1200-000090020000}">
      <text>
        <r>
          <rPr>
            <sz val="9"/>
            <color indexed="81"/>
            <rFont val="Tahoma"/>
            <family val="2"/>
          </rPr>
          <t>Invalid value</t>
        </r>
      </text>
    </comment>
    <comment ref="X153" authorId="2" shapeId="0" xr:uid="{00000000-0006-0000-1200-000091020000}">
      <text>
        <r>
          <rPr>
            <sz val="9"/>
            <color indexed="81"/>
            <rFont val="Tahoma"/>
            <family val="2"/>
          </rPr>
          <t>Invalid value</t>
        </r>
      </text>
    </comment>
    <comment ref="Y153" authorId="2" shapeId="0" xr:uid="{00000000-0006-0000-1200-000092020000}">
      <text>
        <r>
          <rPr>
            <sz val="9"/>
            <color indexed="81"/>
            <rFont val="Tahoma"/>
            <family val="2"/>
          </rPr>
          <t>Invalid value</t>
        </r>
      </text>
    </comment>
    <comment ref="Z153" authorId="2" shapeId="0" xr:uid="{00000000-0006-0000-1200-000093020000}">
      <text>
        <r>
          <rPr>
            <sz val="9"/>
            <color indexed="81"/>
            <rFont val="Tahoma"/>
            <family val="2"/>
          </rPr>
          <t>Invalid value</t>
        </r>
      </text>
    </comment>
    <comment ref="AA153" authorId="2" shapeId="0" xr:uid="{00000000-0006-0000-1200-000094020000}">
      <text>
        <r>
          <rPr>
            <sz val="9"/>
            <color indexed="81"/>
            <rFont val="Tahoma"/>
            <family val="2"/>
          </rPr>
          <t>Invalid value</t>
        </r>
      </text>
    </comment>
    <comment ref="AB153" authorId="2" shapeId="0" xr:uid="{00000000-0006-0000-1200-000095020000}">
      <text>
        <r>
          <rPr>
            <sz val="9"/>
            <color indexed="81"/>
            <rFont val="Tahoma"/>
            <family val="2"/>
          </rPr>
          <t>Invalid value</t>
        </r>
      </text>
    </comment>
    <comment ref="AC153" authorId="2" shapeId="0" xr:uid="{00000000-0006-0000-1200-000096020000}">
      <text>
        <r>
          <rPr>
            <sz val="9"/>
            <color indexed="81"/>
            <rFont val="Tahoma"/>
            <family val="2"/>
          </rPr>
          <t>Invalid value</t>
        </r>
      </text>
    </comment>
    <comment ref="AD153" authorId="2" shapeId="0" xr:uid="{00000000-0006-0000-1200-000097020000}">
      <text>
        <r>
          <rPr>
            <sz val="9"/>
            <color indexed="81"/>
            <rFont val="Tahoma"/>
            <family val="2"/>
          </rPr>
          <t>Invalid value</t>
        </r>
      </text>
    </comment>
    <comment ref="AE153" authorId="2" shapeId="0" xr:uid="{00000000-0006-0000-1200-000098020000}">
      <text>
        <r>
          <rPr>
            <sz val="9"/>
            <color indexed="81"/>
            <rFont val="Tahoma"/>
            <family val="2"/>
          </rPr>
          <t>Invalid value</t>
        </r>
      </text>
    </comment>
    <comment ref="AF153" authorId="2" shapeId="0" xr:uid="{00000000-0006-0000-1200-000099020000}">
      <text>
        <r>
          <rPr>
            <sz val="9"/>
            <color indexed="81"/>
            <rFont val="Tahoma"/>
            <family val="2"/>
          </rPr>
          <t>Invalid value</t>
        </r>
      </text>
    </comment>
    <comment ref="H154" authorId="2" shapeId="0" xr:uid="{00000000-0006-0000-1200-00009A020000}">
      <text>
        <r>
          <rPr>
            <sz val="9"/>
            <color indexed="81"/>
            <rFont val="Tahoma"/>
            <family val="2"/>
          </rPr>
          <t>Invalid value</t>
        </r>
      </text>
    </comment>
    <comment ref="I154" authorId="2" shapeId="0" xr:uid="{00000000-0006-0000-1200-00009B020000}">
      <text>
        <r>
          <rPr>
            <sz val="9"/>
            <color indexed="81"/>
            <rFont val="Tahoma"/>
            <family val="2"/>
          </rPr>
          <t>Invalid value</t>
        </r>
      </text>
    </comment>
    <comment ref="J154" authorId="2" shapeId="0" xr:uid="{00000000-0006-0000-1200-00009C020000}">
      <text>
        <r>
          <rPr>
            <sz val="9"/>
            <color indexed="81"/>
            <rFont val="Tahoma"/>
            <family val="2"/>
          </rPr>
          <t>Invalid value</t>
        </r>
      </text>
    </comment>
    <comment ref="K154" authorId="2" shapeId="0" xr:uid="{00000000-0006-0000-1200-00009D020000}">
      <text>
        <r>
          <rPr>
            <sz val="9"/>
            <color indexed="81"/>
            <rFont val="Tahoma"/>
            <family val="2"/>
          </rPr>
          <t>Invalid value</t>
        </r>
      </text>
    </comment>
    <comment ref="L154" authorId="2" shapeId="0" xr:uid="{00000000-0006-0000-1200-00009E020000}">
      <text>
        <r>
          <rPr>
            <sz val="9"/>
            <color indexed="81"/>
            <rFont val="Tahoma"/>
            <family val="2"/>
          </rPr>
          <t>Invalid value</t>
        </r>
      </text>
    </comment>
    <comment ref="M154" authorId="2" shapeId="0" xr:uid="{00000000-0006-0000-1200-00009F020000}">
      <text>
        <r>
          <rPr>
            <sz val="9"/>
            <color indexed="81"/>
            <rFont val="Tahoma"/>
            <family val="2"/>
          </rPr>
          <t>Invalid value</t>
        </r>
      </text>
    </comment>
    <comment ref="N154" authorId="2" shapeId="0" xr:uid="{00000000-0006-0000-1200-0000A0020000}">
      <text>
        <r>
          <rPr>
            <sz val="9"/>
            <color indexed="81"/>
            <rFont val="Tahoma"/>
            <family val="2"/>
          </rPr>
          <t>Invalid value</t>
        </r>
      </text>
    </comment>
    <comment ref="O154" authorId="2" shapeId="0" xr:uid="{00000000-0006-0000-1200-0000A1020000}">
      <text>
        <r>
          <rPr>
            <sz val="9"/>
            <color indexed="81"/>
            <rFont val="Tahoma"/>
            <family val="2"/>
          </rPr>
          <t>Invalid value</t>
        </r>
      </text>
    </comment>
    <comment ref="P154" authorId="2" shapeId="0" xr:uid="{00000000-0006-0000-1200-0000A2020000}">
      <text>
        <r>
          <rPr>
            <sz val="9"/>
            <color indexed="81"/>
            <rFont val="Tahoma"/>
            <family val="2"/>
          </rPr>
          <t>Invalid value</t>
        </r>
      </text>
    </comment>
    <comment ref="Q154" authorId="2" shapeId="0" xr:uid="{00000000-0006-0000-1200-0000A3020000}">
      <text>
        <r>
          <rPr>
            <sz val="9"/>
            <color indexed="81"/>
            <rFont val="Tahoma"/>
            <family val="2"/>
          </rPr>
          <t>Invalid value</t>
        </r>
      </text>
    </comment>
    <comment ref="R154" authorId="2" shapeId="0" xr:uid="{00000000-0006-0000-1200-0000A4020000}">
      <text>
        <r>
          <rPr>
            <sz val="9"/>
            <color indexed="81"/>
            <rFont val="Tahoma"/>
            <family val="2"/>
          </rPr>
          <t>Invalid value</t>
        </r>
      </text>
    </comment>
    <comment ref="S154" authorId="2" shapeId="0" xr:uid="{00000000-0006-0000-1200-0000A5020000}">
      <text>
        <r>
          <rPr>
            <sz val="9"/>
            <color indexed="81"/>
            <rFont val="Tahoma"/>
            <family val="2"/>
          </rPr>
          <t>Invalid value</t>
        </r>
      </text>
    </comment>
    <comment ref="T154" authorId="2" shapeId="0" xr:uid="{00000000-0006-0000-1200-0000A6020000}">
      <text>
        <r>
          <rPr>
            <sz val="9"/>
            <color indexed="81"/>
            <rFont val="Tahoma"/>
            <family val="2"/>
          </rPr>
          <t>Invalid value</t>
        </r>
      </text>
    </comment>
    <comment ref="U154" authorId="2" shapeId="0" xr:uid="{00000000-0006-0000-1200-0000A7020000}">
      <text>
        <r>
          <rPr>
            <sz val="9"/>
            <color indexed="81"/>
            <rFont val="Tahoma"/>
            <family val="2"/>
          </rPr>
          <t>Invalid value</t>
        </r>
      </text>
    </comment>
    <comment ref="V154" authorId="2" shapeId="0" xr:uid="{00000000-0006-0000-1200-0000A8020000}">
      <text>
        <r>
          <rPr>
            <sz val="9"/>
            <color indexed="81"/>
            <rFont val="Tahoma"/>
            <family val="2"/>
          </rPr>
          <t>Invalid value</t>
        </r>
      </text>
    </comment>
    <comment ref="W154" authorId="2" shapeId="0" xr:uid="{00000000-0006-0000-1200-0000A9020000}">
      <text>
        <r>
          <rPr>
            <sz val="9"/>
            <color indexed="81"/>
            <rFont val="Tahoma"/>
            <family val="2"/>
          </rPr>
          <t>Invalid value</t>
        </r>
      </text>
    </comment>
    <comment ref="X154" authorId="2" shapeId="0" xr:uid="{00000000-0006-0000-1200-0000AA020000}">
      <text>
        <r>
          <rPr>
            <sz val="9"/>
            <color indexed="81"/>
            <rFont val="Tahoma"/>
            <family val="2"/>
          </rPr>
          <t>Invalid value</t>
        </r>
      </text>
    </comment>
    <comment ref="Y154" authorId="2" shapeId="0" xr:uid="{00000000-0006-0000-1200-0000AB020000}">
      <text>
        <r>
          <rPr>
            <sz val="9"/>
            <color indexed="81"/>
            <rFont val="Tahoma"/>
            <family val="2"/>
          </rPr>
          <t>Invalid value</t>
        </r>
      </text>
    </comment>
    <comment ref="Z154" authorId="2" shapeId="0" xr:uid="{00000000-0006-0000-1200-0000AC020000}">
      <text>
        <r>
          <rPr>
            <sz val="9"/>
            <color indexed="81"/>
            <rFont val="Tahoma"/>
            <family val="2"/>
          </rPr>
          <t>Invalid value</t>
        </r>
      </text>
    </comment>
    <comment ref="AA154" authorId="2" shapeId="0" xr:uid="{00000000-0006-0000-1200-0000AD020000}">
      <text>
        <r>
          <rPr>
            <sz val="9"/>
            <color indexed="81"/>
            <rFont val="Tahoma"/>
            <family val="2"/>
          </rPr>
          <t>Invalid value</t>
        </r>
      </text>
    </comment>
    <comment ref="AB154" authorId="2" shapeId="0" xr:uid="{00000000-0006-0000-1200-0000AE020000}">
      <text>
        <r>
          <rPr>
            <sz val="9"/>
            <color indexed="81"/>
            <rFont val="Tahoma"/>
            <family val="2"/>
          </rPr>
          <t>Invalid value</t>
        </r>
      </text>
    </comment>
    <comment ref="AC154" authorId="2" shapeId="0" xr:uid="{00000000-0006-0000-1200-0000AF020000}">
      <text>
        <r>
          <rPr>
            <sz val="9"/>
            <color indexed="81"/>
            <rFont val="Tahoma"/>
            <family val="2"/>
          </rPr>
          <t>Invalid value</t>
        </r>
      </text>
    </comment>
    <comment ref="AD154" authorId="2" shapeId="0" xr:uid="{00000000-0006-0000-1200-0000B0020000}">
      <text>
        <r>
          <rPr>
            <sz val="9"/>
            <color indexed="81"/>
            <rFont val="Tahoma"/>
            <family val="2"/>
          </rPr>
          <t>Invalid value</t>
        </r>
      </text>
    </comment>
    <comment ref="AE154" authorId="2" shapeId="0" xr:uid="{00000000-0006-0000-1200-0000B1020000}">
      <text>
        <r>
          <rPr>
            <sz val="9"/>
            <color indexed="81"/>
            <rFont val="Tahoma"/>
            <family val="2"/>
          </rPr>
          <t>Invalid value</t>
        </r>
      </text>
    </comment>
    <comment ref="AF154" authorId="2" shapeId="0" xr:uid="{00000000-0006-0000-1200-0000B2020000}">
      <text>
        <r>
          <rPr>
            <sz val="9"/>
            <color indexed="81"/>
            <rFont val="Tahoma"/>
            <family val="2"/>
          </rPr>
          <t>Invalid value</t>
        </r>
      </text>
    </comment>
    <comment ref="H155" authorId="2" shapeId="0" xr:uid="{00000000-0006-0000-1200-0000B3020000}">
      <text>
        <r>
          <rPr>
            <sz val="9"/>
            <color indexed="81"/>
            <rFont val="Tahoma"/>
            <family val="2"/>
          </rPr>
          <t>Invalid value</t>
        </r>
      </text>
    </comment>
    <comment ref="I155" authorId="2" shapeId="0" xr:uid="{00000000-0006-0000-1200-0000B4020000}">
      <text>
        <r>
          <rPr>
            <sz val="9"/>
            <color indexed="81"/>
            <rFont val="Tahoma"/>
            <family val="2"/>
          </rPr>
          <t>Invalid value</t>
        </r>
      </text>
    </comment>
    <comment ref="J155" authorId="2" shapeId="0" xr:uid="{00000000-0006-0000-1200-0000B5020000}">
      <text>
        <r>
          <rPr>
            <sz val="9"/>
            <color indexed="81"/>
            <rFont val="Tahoma"/>
            <family val="2"/>
          </rPr>
          <t>Invalid value</t>
        </r>
      </text>
    </comment>
    <comment ref="K155" authorId="2" shapeId="0" xr:uid="{00000000-0006-0000-1200-0000B6020000}">
      <text>
        <r>
          <rPr>
            <sz val="9"/>
            <color indexed="81"/>
            <rFont val="Tahoma"/>
            <family val="2"/>
          </rPr>
          <t>Invalid value</t>
        </r>
      </text>
    </comment>
    <comment ref="L155" authorId="2" shapeId="0" xr:uid="{00000000-0006-0000-1200-0000B7020000}">
      <text>
        <r>
          <rPr>
            <sz val="9"/>
            <color indexed="81"/>
            <rFont val="Tahoma"/>
            <family val="2"/>
          </rPr>
          <t>Invalid value</t>
        </r>
      </text>
    </comment>
    <comment ref="M155" authorId="2" shapeId="0" xr:uid="{00000000-0006-0000-1200-0000B8020000}">
      <text>
        <r>
          <rPr>
            <sz val="9"/>
            <color indexed="81"/>
            <rFont val="Tahoma"/>
            <family val="2"/>
          </rPr>
          <t>Invalid value</t>
        </r>
      </text>
    </comment>
    <comment ref="N155" authorId="2" shapeId="0" xr:uid="{00000000-0006-0000-1200-0000B9020000}">
      <text>
        <r>
          <rPr>
            <sz val="9"/>
            <color indexed="81"/>
            <rFont val="Tahoma"/>
            <family val="2"/>
          </rPr>
          <t>Invalid value</t>
        </r>
      </text>
    </comment>
    <comment ref="O155" authorId="2" shapeId="0" xr:uid="{00000000-0006-0000-1200-0000BA020000}">
      <text>
        <r>
          <rPr>
            <sz val="9"/>
            <color indexed="81"/>
            <rFont val="Tahoma"/>
            <family val="2"/>
          </rPr>
          <t>Invalid value</t>
        </r>
      </text>
    </comment>
    <comment ref="P155" authorId="2" shapeId="0" xr:uid="{00000000-0006-0000-1200-0000BB020000}">
      <text>
        <r>
          <rPr>
            <sz val="9"/>
            <color indexed="81"/>
            <rFont val="Tahoma"/>
            <family val="2"/>
          </rPr>
          <t>Invalid value</t>
        </r>
      </text>
    </comment>
    <comment ref="Q155" authorId="2" shapeId="0" xr:uid="{00000000-0006-0000-1200-0000BC020000}">
      <text>
        <r>
          <rPr>
            <sz val="9"/>
            <color indexed="81"/>
            <rFont val="Tahoma"/>
            <family val="2"/>
          </rPr>
          <t>Invalid value</t>
        </r>
      </text>
    </comment>
    <comment ref="R155" authorId="2" shapeId="0" xr:uid="{00000000-0006-0000-1200-0000BD020000}">
      <text>
        <r>
          <rPr>
            <sz val="9"/>
            <color indexed="81"/>
            <rFont val="Tahoma"/>
            <family val="2"/>
          </rPr>
          <t>Invalid value</t>
        </r>
      </text>
    </comment>
    <comment ref="S155" authorId="2" shapeId="0" xr:uid="{00000000-0006-0000-1200-0000BE020000}">
      <text>
        <r>
          <rPr>
            <sz val="9"/>
            <color indexed="81"/>
            <rFont val="Tahoma"/>
            <family val="2"/>
          </rPr>
          <t>Invalid value</t>
        </r>
      </text>
    </comment>
    <comment ref="T155" authorId="2" shapeId="0" xr:uid="{00000000-0006-0000-1200-0000BF020000}">
      <text>
        <r>
          <rPr>
            <sz val="9"/>
            <color indexed="81"/>
            <rFont val="Tahoma"/>
            <family val="2"/>
          </rPr>
          <t>Invalid value</t>
        </r>
      </text>
    </comment>
    <comment ref="U155" authorId="2" shapeId="0" xr:uid="{00000000-0006-0000-1200-0000C0020000}">
      <text>
        <r>
          <rPr>
            <sz val="9"/>
            <color indexed="81"/>
            <rFont val="Tahoma"/>
            <family val="2"/>
          </rPr>
          <t>Invalid value</t>
        </r>
      </text>
    </comment>
    <comment ref="V155" authorId="2" shapeId="0" xr:uid="{00000000-0006-0000-1200-0000C1020000}">
      <text>
        <r>
          <rPr>
            <sz val="9"/>
            <color indexed="81"/>
            <rFont val="Tahoma"/>
            <family val="2"/>
          </rPr>
          <t>Invalid value</t>
        </r>
      </text>
    </comment>
    <comment ref="W155" authorId="2" shapeId="0" xr:uid="{00000000-0006-0000-1200-0000C2020000}">
      <text>
        <r>
          <rPr>
            <sz val="9"/>
            <color indexed="81"/>
            <rFont val="Tahoma"/>
            <family val="2"/>
          </rPr>
          <t>Invalid value</t>
        </r>
      </text>
    </comment>
    <comment ref="X155" authorId="2" shapeId="0" xr:uid="{00000000-0006-0000-1200-0000C3020000}">
      <text>
        <r>
          <rPr>
            <sz val="9"/>
            <color indexed="81"/>
            <rFont val="Tahoma"/>
            <family val="2"/>
          </rPr>
          <t>Invalid value</t>
        </r>
      </text>
    </comment>
    <comment ref="Y155" authorId="2" shapeId="0" xr:uid="{00000000-0006-0000-1200-0000C4020000}">
      <text>
        <r>
          <rPr>
            <sz val="9"/>
            <color indexed="81"/>
            <rFont val="Tahoma"/>
            <family val="2"/>
          </rPr>
          <t>Invalid value</t>
        </r>
      </text>
    </comment>
    <comment ref="Z155" authorId="2" shapeId="0" xr:uid="{00000000-0006-0000-1200-0000C5020000}">
      <text>
        <r>
          <rPr>
            <sz val="9"/>
            <color indexed="81"/>
            <rFont val="Tahoma"/>
            <family val="2"/>
          </rPr>
          <t>Invalid value</t>
        </r>
      </text>
    </comment>
    <comment ref="AA155" authorId="2" shapeId="0" xr:uid="{00000000-0006-0000-1200-0000C6020000}">
      <text>
        <r>
          <rPr>
            <sz val="9"/>
            <color indexed="81"/>
            <rFont val="Tahoma"/>
            <family val="2"/>
          </rPr>
          <t>Invalid value</t>
        </r>
      </text>
    </comment>
    <comment ref="AB155" authorId="2" shapeId="0" xr:uid="{00000000-0006-0000-1200-0000C7020000}">
      <text>
        <r>
          <rPr>
            <sz val="9"/>
            <color indexed="81"/>
            <rFont val="Tahoma"/>
            <family val="2"/>
          </rPr>
          <t>Invalid value</t>
        </r>
      </text>
    </comment>
    <comment ref="AC155" authorId="2" shapeId="0" xr:uid="{00000000-0006-0000-1200-0000C8020000}">
      <text>
        <r>
          <rPr>
            <sz val="9"/>
            <color indexed="81"/>
            <rFont val="Tahoma"/>
            <family val="2"/>
          </rPr>
          <t>Invalid value</t>
        </r>
      </text>
    </comment>
    <comment ref="AD155" authorId="2" shapeId="0" xr:uid="{00000000-0006-0000-1200-0000C9020000}">
      <text>
        <r>
          <rPr>
            <sz val="9"/>
            <color indexed="81"/>
            <rFont val="Tahoma"/>
            <family val="2"/>
          </rPr>
          <t>Invalid value</t>
        </r>
      </text>
    </comment>
    <comment ref="AE155" authorId="2" shapeId="0" xr:uid="{00000000-0006-0000-1200-0000CA020000}">
      <text>
        <r>
          <rPr>
            <sz val="9"/>
            <color indexed="81"/>
            <rFont val="Tahoma"/>
            <family val="2"/>
          </rPr>
          <t>Invalid value</t>
        </r>
      </text>
    </comment>
    <comment ref="AF155" authorId="2" shapeId="0" xr:uid="{00000000-0006-0000-1200-0000CB020000}">
      <text>
        <r>
          <rPr>
            <sz val="9"/>
            <color indexed="81"/>
            <rFont val="Tahoma"/>
            <family val="2"/>
          </rPr>
          <t>Invalid value</t>
        </r>
      </text>
    </comment>
    <comment ref="H156" authorId="2" shapeId="0" xr:uid="{00000000-0006-0000-1200-0000CC020000}">
      <text>
        <r>
          <rPr>
            <sz val="9"/>
            <color indexed="81"/>
            <rFont val="Tahoma"/>
            <family val="2"/>
          </rPr>
          <t>Invalid value</t>
        </r>
      </text>
    </comment>
    <comment ref="I156" authorId="2" shapeId="0" xr:uid="{00000000-0006-0000-1200-0000CD020000}">
      <text>
        <r>
          <rPr>
            <sz val="9"/>
            <color indexed="81"/>
            <rFont val="Tahoma"/>
            <family val="2"/>
          </rPr>
          <t>Invalid value</t>
        </r>
      </text>
    </comment>
    <comment ref="J156" authorId="2" shapeId="0" xr:uid="{00000000-0006-0000-1200-0000CE020000}">
      <text>
        <r>
          <rPr>
            <sz val="9"/>
            <color indexed="81"/>
            <rFont val="Tahoma"/>
            <family val="2"/>
          </rPr>
          <t>Invalid value</t>
        </r>
      </text>
    </comment>
    <comment ref="K156" authorId="2" shapeId="0" xr:uid="{00000000-0006-0000-1200-0000CF020000}">
      <text>
        <r>
          <rPr>
            <sz val="9"/>
            <color indexed="81"/>
            <rFont val="Tahoma"/>
            <family val="2"/>
          </rPr>
          <t>Invalid value</t>
        </r>
      </text>
    </comment>
    <comment ref="L156" authorId="2" shapeId="0" xr:uid="{00000000-0006-0000-1200-0000D0020000}">
      <text>
        <r>
          <rPr>
            <sz val="9"/>
            <color indexed="81"/>
            <rFont val="Tahoma"/>
            <family val="2"/>
          </rPr>
          <t>Invalid value</t>
        </r>
      </text>
    </comment>
    <comment ref="M156" authorId="2" shapeId="0" xr:uid="{00000000-0006-0000-1200-0000D1020000}">
      <text>
        <r>
          <rPr>
            <sz val="9"/>
            <color indexed="81"/>
            <rFont val="Tahoma"/>
            <family val="2"/>
          </rPr>
          <t>Invalid value</t>
        </r>
      </text>
    </comment>
    <comment ref="N156" authorId="2" shapeId="0" xr:uid="{00000000-0006-0000-1200-0000D2020000}">
      <text>
        <r>
          <rPr>
            <sz val="9"/>
            <color indexed="81"/>
            <rFont val="Tahoma"/>
            <family val="2"/>
          </rPr>
          <t>Invalid value</t>
        </r>
      </text>
    </comment>
    <comment ref="O156" authorId="2" shapeId="0" xr:uid="{00000000-0006-0000-1200-0000D3020000}">
      <text>
        <r>
          <rPr>
            <sz val="9"/>
            <color indexed="81"/>
            <rFont val="Tahoma"/>
            <family val="2"/>
          </rPr>
          <t>Invalid value</t>
        </r>
      </text>
    </comment>
    <comment ref="P156" authorId="2" shapeId="0" xr:uid="{00000000-0006-0000-1200-0000D4020000}">
      <text>
        <r>
          <rPr>
            <sz val="9"/>
            <color indexed="81"/>
            <rFont val="Tahoma"/>
            <family val="2"/>
          </rPr>
          <t>Invalid value</t>
        </r>
      </text>
    </comment>
    <comment ref="Q156" authorId="2" shapeId="0" xr:uid="{00000000-0006-0000-1200-0000D5020000}">
      <text>
        <r>
          <rPr>
            <sz val="9"/>
            <color indexed="81"/>
            <rFont val="Tahoma"/>
            <family val="2"/>
          </rPr>
          <t>Invalid value</t>
        </r>
      </text>
    </comment>
    <comment ref="R156" authorId="2" shapeId="0" xr:uid="{00000000-0006-0000-1200-0000D6020000}">
      <text>
        <r>
          <rPr>
            <sz val="9"/>
            <color indexed="81"/>
            <rFont val="Tahoma"/>
            <family val="2"/>
          </rPr>
          <t>Invalid value</t>
        </r>
      </text>
    </comment>
    <comment ref="S156" authorId="2" shapeId="0" xr:uid="{00000000-0006-0000-1200-0000D7020000}">
      <text>
        <r>
          <rPr>
            <sz val="9"/>
            <color indexed="81"/>
            <rFont val="Tahoma"/>
            <family val="2"/>
          </rPr>
          <t>Invalid value</t>
        </r>
      </text>
    </comment>
    <comment ref="T156" authorId="2" shapeId="0" xr:uid="{00000000-0006-0000-1200-0000D8020000}">
      <text>
        <r>
          <rPr>
            <sz val="9"/>
            <color indexed="81"/>
            <rFont val="Tahoma"/>
            <family val="2"/>
          </rPr>
          <t>Invalid value</t>
        </r>
      </text>
    </comment>
    <comment ref="U156" authorId="2" shapeId="0" xr:uid="{00000000-0006-0000-1200-0000D9020000}">
      <text>
        <r>
          <rPr>
            <sz val="9"/>
            <color indexed="81"/>
            <rFont val="Tahoma"/>
            <family val="2"/>
          </rPr>
          <t>Invalid value</t>
        </r>
      </text>
    </comment>
    <comment ref="V156" authorId="2" shapeId="0" xr:uid="{00000000-0006-0000-1200-0000DA020000}">
      <text>
        <r>
          <rPr>
            <sz val="9"/>
            <color indexed="81"/>
            <rFont val="Tahoma"/>
            <family val="2"/>
          </rPr>
          <t>Invalid value</t>
        </r>
      </text>
    </comment>
    <comment ref="W156" authorId="2" shapeId="0" xr:uid="{00000000-0006-0000-1200-0000DB020000}">
      <text>
        <r>
          <rPr>
            <sz val="9"/>
            <color indexed="81"/>
            <rFont val="Tahoma"/>
            <family val="2"/>
          </rPr>
          <t>Invalid value</t>
        </r>
      </text>
    </comment>
    <comment ref="X156" authorId="2" shapeId="0" xr:uid="{00000000-0006-0000-1200-0000DC020000}">
      <text>
        <r>
          <rPr>
            <sz val="9"/>
            <color indexed="81"/>
            <rFont val="Tahoma"/>
            <family val="2"/>
          </rPr>
          <t>Invalid value</t>
        </r>
      </text>
    </comment>
    <comment ref="Y156" authorId="2" shapeId="0" xr:uid="{00000000-0006-0000-1200-0000DD020000}">
      <text>
        <r>
          <rPr>
            <sz val="9"/>
            <color indexed="81"/>
            <rFont val="Tahoma"/>
            <family val="2"/>
          </rPr>
          <t>Invalid value</t>
        </r>
      </text>
    </comment>
    <comment ref="Z156" authorId="2" shapeId="0" xr:uid="{00000000-0006-0000-1200-0000DE020000}">
      <text>
        <r>
          <rPr>
            <sz val="9"/>
            <color indexed="81"/>
            <rFont val="Tahoma"/>
            <family val="2"/>
          </rPr>
          <t>Invalid value</t>
        </r>
      </text>
    </comment>
    <comment ref="AA156" authorId="2" shapeId="0" xr:uid="{00000000-0006-0000-1200-0000DF020000}">
      <text>
        <r>
          <rPr>
            <sz val="9"/>
            <color indexed="81"/>
            <rFont val="Tahoma"/>
            <family val="2"/>
          </rPr>
          <t>Invalid value</t>
        </r>
      </text>
    </comment>
    <comment ref="AB156" authorId="2" shapeId="0" xr:uid="{00000000-0006-0000-1200-0000E0020000}">
      <text>
        <r>
          <rPr>
            <sz val="9"/>
            <color indexed="81"/>
            <rFont val="Tahoma"/>
            <family val="2"/>
          </rPr>
          <t>Invalid value</t>
        </r>
      </text>
    </comment>
    <comment ref="AC156" authorId="2" shapeId="0" xr:uid="{00000000-0006-0000-1200-0000E1020000}">
      <text>
        <r>
          <rPr>
            <sz val="9"/>
            <color indexed="81"/>
            <rFont val="Tahoma"/>
            <family val="2"/>
          </rPr>
          <t>Invalid value</t>
        </r>
      </text>
    </comment>
    <comment ref="AD156" authorId="2" shapeId="0" xr:uid="{00000000-0006-0000-1200-0000E2020000}">
      <text>
        <r>
          <rPr>
            <sz val="9"/>
            <color indexed="81"/>
            <rFont val="Tahoma"/>
            <family val="2"/>
          </rPr>
          <t>Invalid value</t>
        </r>
      </text>
    </comment>
    <comment ref="AE156" authorId="2" shapeId="0" xr:uid="{00000000-0006-0000-1200-0000E3020000}">
      <text>
        <r>
          <rPr>
            <sz val="9"/>
            <color indexed="81"/>
            <rFont val="Tahoma"/>
            <family val="2"/>
          </rPr>
          <t>Invalid value</t>
        </r>
      </text>
    </comment>
    <comment ref="AF156" authorId="2" shapeId="0" xr:uid="{00000000-0006-0000-1200-0000E4020000}">
      <text>
        <r>
          <rPr>
            <sz val="9"/>
            <color indexed="81"/>
            <rFont val="Tahoma"/>
            <family val="2"/>
          </rPr>
          <t>Invalid value</t>
        </r>
      </text>
    </comment>
    <comment ref="H157" authorId="2" shapeId="0" xr:uid="{00000000-0006-0000-1200-0000E5020000}">
      <text>
        <r>
          <rPr>
            <sz val="9"/>
            <color indexed="81"/>
            <rFont val="Tahoma"/>
            <family val="2"/>
          </rPr>
          <t>Invalid value</t>
        </r>
      </text>
    </comment>
    <comment ref="I157" authorId="2" shapeId="0" xr:uid="{00000000-0006-0000-1200-0000E6020000}">
      <text>
        <r>
          <rPr>
            <sz val="9"/>
            <color indexed="81"/>
            <rFont val="Tahoma"/>
            <family val="2"/>
          </rPr>
          <t>Invalid value</t>
        </r>
      </text>
    </comment>
    <comment ref="J157" authorId="2" shapeId="0" xr:uid="{00000000-0006-0000-1200-0000E7020000}">
      <text>
        <r>
          <rPr>
            <sz val="9"/>
            <color indexed="81"/>
            <rFont val="Tahoma"/>
            <family val="2"/>
          </rPr>
          <t>Invalid value</t>
        </r>
      </text>
    </comment>
    <comment ref="K157" authorId="2" shapeId="0" xr:uid="{00000000-0006-0000-1200-0000E8020000}">
      <text>
        <r>
          <rPr>
            <sz val="9"/>
            <color indexed="81"/>
            <rFont val="Tahoma"/>
            <family val="2"/>
          </rPr>
          <t>Invalid value</t>
        </r>
      </text>
    </comment>
    <comment ref="L157" authorId="2" shapeId="0" xr:uid="{00000000-0006-0000-1200-0000E9020000}">
      <text>
        <r>
          <rPr>
            <sz val="9"/>
            <color indexed="81"/>
            <rFont val="Tahoma"/>
            <family val="2"/>
          </rPr>
          <t>Invalid value</t>
        </r>
      </text>
    </comment>
    <comment ref="M157" authorId="2" shapeId="0" xr:uid="{00000000-0006-0000-1200-0000EA020000}">
      <text>
        <r>
          <rPr>
            <sz val="9"/>
            <color indexed="81"/>
            <rFont val="Tahoma"/>
            <family val="2"/>
          </rPr>
          <t>Invalid value</t>
        </r>
      </text>
    </comment>
    <comment ref="N157" authorId="2" shapeId="0" xr:uid="{00000000-0006-0000-1200-0000EB020000}">
      <text>
        <r>
          <rPr>
            <sz val="9"/>
            <color indexed="81"/>
            <rFont val="Tahoma"/>
            <family val="2"/>
          </rPr>
          <t>Invalid value</t>
        </r>
      </text>
    </comment>
    <comment ref="O157" authorId="2" shapeId="0" xr:uid="{00000000-0006-0000-1200-0000EC020000}">
      <text>
        <r>
          <rPr>
            <sz val="9"/>
            <color indexed="81"/>
            <rFont val="Tahoma"/>
            <family val="2"/>
          </rPr>
          <t>Invalid value</t>
        </r>
      </text>
    </comment>
    <comment ref="P157" authorId="2" shapeId="0" xr:uid="{00000000-0006-0000-1200-0000ED020000}">
      <text>
        <r>
          <rPr>
            <sz val="9"/>
            <color indexed="81"/>
            <rFont val="Tahoma"/>
            <family val="2"/>
          </rPr>
          <t>Invalid value</t>
        </r>
      </text>
    </comment>
    <comment ref="Q157" authorId="2" shapeId="0" xr:uid="{00000000-0006-0000-1200-0000EE020000}">
      <text>
        <r>
          <rPr>
            <sz val="9"/>
            <color indexed="81"/>
            <rFont val="Tahoma"/>
            <family val="2"/>
          </rPr>
          <t>Invalid value</t>
        </r>
      </text>
    </comment>
    <comment ref="R157" authorId="2" shapeId="0" xr:uid="{00000000-0006-0000-1200-0000EF020000}">
      <text>
        <r>
          <rPr>
            <sz val="9"/>
            <color indexed="81"/>
            <rFont val="Tahoma"/>
            <family val="2"/>
          </rPr>
          <t>Invalid value</t>
        </r>
      </text>
    </comment>
    <comment ref="S157" authorId="2" shapeId="0" xr:uid="{00000000-0006-0000-1200-0000F0020000}">
      <text>
        <r>
          <rPr>
            <sz val="9"/>
            <color indexed="81"/>
            <rFont val="Tahoma"/>
            <family val="2"/>
          </rPr>
          <t>Invalid value</t>
        </r>
      </text>
    </comment>
    <comment ref="T157" authorId="2" shapeId="0" xr:uid="{00000000-0006-0000-1200-0000F1020000}">
      <text>
        <r>
          <rPr>
            <sz val="9"/>
            <color indexed="81"/>
            <rFont val="Tahoma"/>
            <family val="2"/>
          </rPr>
          <t>Invalid value</t>
        </r>
      </text>
    </comment>
    <comment ref="U157" authorId="2" shapeId="0" xr:uid="{00000000-0006-0000-1200-0000F2020000}">
      <text>
        <r>
          <rPr>
            <sz val="9"/>
            <color indexed="81"/>
            <rFont val="Tahoma"/>
            <family val="2"/>
          </rPr>
          <t>Invalid value</t>
        </r>
      </text>
    </comment>
    <comment ref="V157" authorId="2" shapeId="0" xr:uid="{00000000-0006-0000-1200-0000F3020000}">
      <text>
        <r>
          <rPr>
            <sz val="9"/>
            <color indexed="81"/>
            <rFont val="Tahoma"/>
            <family val="2"/>
          </rPr>
          <t>Invalid value</t>
        </r>
      </text>
    </comment>
    <comment ref="W157" authorId="2" shapeId="0" xr:uid="{00000000-0006-0000-1200-0000F4020000}">
      <text>
        <r>
          <rPr>
            <sz val="9"/>
            <color indexed="81"/>
            <rFont val="Tahoma"/>
            <family val="2"/>
          </rPr>
          <t>Invalid value</t>
        </r>
      </text>
    </comment>
    <comment ref="X157" authorId="2" shapeId="0" xr:uid="{00000000-0006-0000-1200-0000F5020000}">
      <text>
        <r>
          <rPr>
            <sz val="9"/>
            <color indexed="81"/>
            <rFont val="Tahoma"/>
            <family val="2"/>
          </rPr>
          <t>Invalid value</t>
        </r>
      </text>
    </comment>
    <comment ref="Y157" authorId="2" shapeId="0" xr:uid="{00000000-0006-0000-1200-0000F6020000}">
      <text>
        <r>
          <rPr>
            <sz val="9"/>
            <color indexed="81"/>
            <rFont val="Tahoma"/>
            <family val="2"/>
          </rPr>
          <t>Invalid value</t>
        </r>
      </text>
    </comment>
    <comment ref="Z157" authorId="2" shapeId="0" xr:uid="{00000000-0006-0000-1200-0000F7020000}">
      <text>
        <r>
          <rPr>
            <sz val="9"/>
            <color indexed="81"/>
            <rFont val="Tahoma"/>
            <family val="2"/>
          </rPr>
          <t>Invalid value</t>
        </r>
      </text>
    </comment>
    <comment ref="AA157" authorId="2" shapeId="0" xr:uid="{00000000-0006-0000-1200-0000F8020000}">
      <text>
        <r>
          <rPr>
            <sz val="9"/>
            <color indexed="81"/>
            <rFont val="Tahoma"/>
            <family val="2"/>
          </rPr>
          <t>Invalid value</t>
        </r>
      </text>
    </comment>
    <comment ref="AB157" authorId="2" shapeId="0" xr:uid="{00000000-0006-0000-1200-0000F9020000}">
      <text>
        <r>
          <rPr>
            <sz val="9"/>
            <color indexed="81"/>
            <rFont val="Tahoma"/>
            <family val="2"/>
          </rPr>
          <t>Invalid value</t>
        </r>
      </text>
    </comment>
    <comment ref="AC157" authorId="2" shapeId="0" xr:uid="{00000000-0006-0000-1200-0000FA020000}">
      <text>
        <r>
          <rPr>
            <sz val="9"/>
            <color indexed="81"/>
            <rFont val="Tahoma"/>
            <family val="2"/>
          </rPr>
          <t>Invalid value</t>
        </r>
      </text>
    </comment>
    <comment ref="AD157" authorId="2" shapeId="0" xr:uid="{00000000-0006-0000-1200-0000FB020000}">
      <text>
        <r>
          <rPr>
            <sz val="9"/>
            <color indexed="81"/>
            <rFont val="Tahoma"/>
            <family val="2"/>
          </rPr>
          <t>Invalid value</t>
        </r>
      </text>
    </comment>
    <comment ref="AE157" authorId="2" shapeId="0" xr:uid="{00000000-0006-0000-1200-0000FC020000}">
      <text>
        <r>
          <rPr>
            <sz val="9"/>
            <color indexed="81"/>
            <rFont val="Tahoma"/>
            <family val="2"/>
          </rPr>
          <t>Invalid value</t>
        </r>
      </text>
    </comment>
    <comment ref="AF157" authorId="2" shapeId="0" xr:uid="{00000000-0006-0000-1200-0000FD020000}">
      <text>
        <r>
          <rPr>
            <sz val="9"/>
            <color indexed="81"/>
            <rFont val="Tahoma"/>
            <family val="2"/>
          </rPr>
          <t>Invalid value</t>
        </r>
      </text>
    </comment>
    <comment ref="G158" authorId="3" shapeId="0" xr:uid="{00000000-0006-0000-1200-0000FE020000}">
      <text>
        <r>
          <rPr>
            <sz val="9"/>
            <color indexed="81"/>
            <rFont val="Tahoma"/>
            <family val="2"/>
          </rPr>
          <t>Invalid value</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Justois</author>
  </authors>
  <commentList>
    <comment ref="A11" authorId="0" shapeId="0" xr:uid="{00000000-0006-0000-1300-000001000000}">
      <text>
        <r>
          <rPr>
            <sz val="9"/>
            <color indexed="81"/>
            <rFont val="Tahoma"/>
            <family val="2"/>
          </rPr>
          <t>Saved by NET1\JUSTOIS on 22/10/2018 12:23:26
Latest revision date 22/10/2018 12:23:21</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50" type="4" refreshedVersion="4" background="1" saveData="1">
    <webPr sourceData="1" parsePre="1" consecutive="1" xl2000="1" url="http://intragate.ec.europa.eu/scopax/dfm/web_query/qy_transfer_matrix.cfm?cty=SE" htmlTables="1" htmlFormat="all"/>
  </connection>
  <connection id="2" xr16:uid="{00000000-0015-0000-FFFF-FFFF01000000}" name="Connection501" type="4" refreshedVersion="4" background="1" saveData="1">
    <webPr sourceData="1" parsePre="1" consecutive="1" xl2000="1" url="http://intragate.ec.europa.eu/scopax/dfm/web_query/qy_transfer_matrix.cfm?cty=SE&amp;cvt=1" htmlTables="1" htmlFormat="all"/>
  </connection>
  <connection id="3" xr16:uid="{00000000-0015-0000-FFFF-FFFF02000000}" name="Connection51" type="4" refreshedVersion="4" background="1" saveData="1">
    <webPr sourceData="1" parsePre="1" consecutive="1" xl2000="1" url="http://intragate.ec.europa.eu/scopax/dfm/web_query/qy_additional_impact.cfm?cty=SE" htmlTables="1" htmlFormat="all"/>
  </connection>
  <connection id="4" xr16:uid="{00000000-0015-0000-FFFF-FFFF03000000}" name="Connection511" type="4" refreshedVersion="4" background="1" saveData="1">
    <webPr sourceData="1" parsePre="1" consecutive="1" xl2000="1" url="http://intragate.ec.europa.eu/scopax/dfm/web_query/qy_additional_impact.cfm?cty=SE&amp;cvt=1" htmlTables="1" htmlFormat="all"/>
  </connection>
</connections>
</file>

<file path=xl/sharedStrings.xml><?xml version="1.0" encoding="utf-8"?>
<sst xmlns="http://schemas.openxmlformats.org/spreadsheetml/2006/main" count="17504" uniqueCount="2844">
  <si>
    <t xml:space="preserve"> External file UNEMPLR (ECFIN A-4 database, source : Ameco + nat. uneployment rates)</t>
  </si>
  <si>
    <t xml:space="preserve"> L12:L59</t>
  </si>
  <si>
    <t xml:space="preserve"> L61:L63</t>
  </si>
  <si>
    <t xml:space="preserve"> (L61:L63) : (L58:L59)</t>
  </si>
  <si>
    <t xml:space="preserve"> External file RULCU (ECFIN A-4 database, source : Ameco)</t>
  </si>
  <si>
    <t xml:space="preserve"> L55</t>
  </si>
  <si>
    <t xml:space="preserve"> L15</t>
  </si>
  <si>
    <t xml:space="preserve"> L17</t>
  </si>
  <si>
    <t xml:space="preserve"> L18</t>
  </si>
  <si>
    <t xml:space="preserve"> L20</t>
  </si>
  <si>
    <t xml:space="preserve"> L22</t>
  </si>
  <si>
    <t xml:space="preserve"> L23</t>
  </si>
  <si>
    <t xml:space="preserve"> L36</t>
  </si>
  <si>
    <t xml:space="preserve"> L37</t>
  </si>
  <si>
    <t xml:space="preserve"> L38</t>
  </si>
  <si>
    <t xml:space="preserve"> L36+L37+L38</t>
  </si>
  <si>
    <t xml:space="preserve"> L36+L37+L38+L42</t>
  </si>
  <si>
    <t xml:space="preserve"> L43+L44</t>
  </si>
  <si>
    <t xml:space="preserve"> L36+L37+L38+L42+L43+L44</t>
  </si>
  <si>
    <t xml:space="preserve"> L45+L46</t>
  </si>
  <si>
    <t xml:space="preserve"> L61</t>
  </si>
  <si>
    <t xml:space="preserve"> L36:L1</t>
  </si>
  <si>
    <t xml:space="preserve"> L37:L2</t>
  </si>
  <si>
    <t xml:space="preserve"> L38:L3</t>
  </si>
  <si>
    <t xml:space="preserve"> L39:L4</t>
  </si>
  <si>
    <t xml:space="preserve"> L40:L5</t>
  </si>
  <si>
    <t xml:space="preserve"> (L36+L37+L38) : (L1+L2+L3)</t>
  </si>
  <si>
    <t>To use these data, you need to overwrite the forecast columns for t-1 with columns linking to historical data.</t>
  </si>
  <si>
    <t>Subsidies on production from the rest of the world</t>
  </si>
  <si>
    <t>Taxes on production to the rest of the world</t>
  </si>
  <si>
    <t>NYPrimRow</t>
  </si>
  <si>
    <t>Balance of primary income (rest of the world)</t>
  </si>
  <si>
    <t xml:space="preserve">In sheet Sector2: select the last block of 6 columns and copy it to the right. </t>
  </si>
  <si>
    <t>In sheet Transfer: change the global setting 'Last forecast year' to the desired value.</t>
  </si>
  <si>
    <t xml:space="preserve">   Gross value added (B.1g-D.21+D.31)</t>
  </si>
  <si>
    <t xml:space="preserve"> 11a. - of which, terms of trade of goods</t>
  </si>
  <si>
    <t>GG NOTIFIED GDP FOR PUBLIC FINANCE</t>
  </si>
  <si>
    <t>GG SUBSIDIES FROM THE REST OF THE WORLD</t>
  </si>
  <si>
    <t>Try this only if you feel lucky or if you are a very experienced user who is fully aware of the deep consequences.</t>
  </si>
  <si>
    <r>
      <t>Important remark 1</t>
    </r>
    <r>
      <rPr>
        <sz val="11"/>
        <rFont val="Arial"/>
        <family val="2"/>
      </rPr>
      <t xml:space="preserve">: indicate if the country uses </t>
    </r>
    <r>
      <rPr>
        <b/>
        <sz val="11"/>
        <color indexed="10"/>
        <rFont val="Arial"/>
        <family val="2"/>
      </rPr>
      <t>chain linking</t>
    </r>
    <r>
      <rPr>
        <sz val="11"/>
        <rFont val="Arial"/>
        <family val="2"/>
      </rPr>
      <t xml:space="preserve"> (YES / NO) in VVP1 (top left corner)</t>
    </r>
  </si>
  <si>
    <t xml:space="preserve">   Social contributions (D.61r)</t>
  </si>
  <si>
    <t xml:space="preserve">   Government and EDP</t>
  </si>
  <si>
    <t xml:space="preserve">If you choose NO your volume data will be transfered in constant prices. </t>
  </si>
  <si>
    <t>gerrit.bethuyne@ec.europa.eu</t>
  </si>
  <si>
    <t>Compare with the following saved matrix</t>
  </si>
  <si>
    <t xml:space="preserve">  7a.  - of which, goods</t>
  </si>
  <si>
    <t xml:space="preserve"> L44</t>
  </si>
  <si>
    <t xml:space="preserve">  9a.  - of which, services</t>
  </si>
  <si>
    <t xml:space="preserve"> L46</t>
  </si>
  <si>
    <t xml:space="preserve"> L47</t>
  </si>
  <si>
    <t>B.11</t>
  </si>
  <si>
    <t>HH GROSS OPERATION SURPLUS</t>
  </si>
  <si>
    <t>YHGos</t>
  </si>
  <si>
    <t xml:space="preserve"> (L113+L114+L115+L117+L143) - (L120+L121+L122+L123+L124+L145+L146)</t>
  </si>
  <si>
    <t xml:space="preserve"> L126</t>
  </si>
  <si>
    <t xml:space="preserve"> L100</t>
  </si>
  <si>
    <t xml:space="preserve"> L101</t>
  </si>
  <si>
    <t xml:space="preserve"> L102</t>
  </si>
  <si>
    <t xml:space="preserve"> L103</t>
  </si>
  <si>
    <t xml:space="preserve"> L105</t>
  </si>
  <si>
    <t xml:space="preserve"> L106</t>
  </si>
  <si>
    <t xml:space="preserve"> L108</t>
  </si>
  <si>
    <t xml:space="preserve"> (L100+L101-L102-L103) + L105 + L106 - L107 - L108</t>
  </si>
  <si>
    <t>Dom. demand incl. ch. in invent. &amp; incl. net acq. of val.</t>
  </si>
  <si>
    <t>Exports of goods and services</t>
  </si>
  <si>
    <t>2. Taxes less subsidies on products (D.21 - D.31) are forecasted for the total economy in Sector1</t>
  </si>
  <si>
    <t>At sectoral level:</t>
  </si>
  <si>
    <t xml:space="preserve"> L174</t>
  </si>
  <si>
    <t xml:space="preserve"> L175</t>
  </si>
  <si>
    <t xml:space="preserve"> L176</t>
  </si>
  <si>
    <t xml:space="preserve"> L177</t>
  </si>
  <si>
    <t>VIny</t>
  </si>
  <si>
    <t>VOL. EXPORTS OF GOODS (FOB)</t>
  </si>
  <si>
    <t>VOL. EXPORTS OF SERVICES</t>
  </si>
  <si>
    <t>VXS</t>
  </si>
  <si>
    <t>Follow this link to GVT final consumption expenditure</t>
  </si>
  <si>
    <t>Follow this link to GVT final consumption expenditure (P.3)</t>
  </si>
  <si>
    <t>Tax burden as % of GDP</t>
  </si>
  <si>
    <t>Other current resources</t>
  </si>
  <si>
    <t>Other current expenditure</t>
  </si>
  <si>
    <t>Residual summary needed for transfer matrix</t>
  </si>
  <si>
    <t>Government &amp; EDP</t>
  </si>
  <si>
    <t xml:space="preserve">Compensation of employees (D.1p) </t>
  </si>
  <si>
    <t>Net operating surplus (B.2n)</t>
  </si>
  <si>
    <t>Consumption of fixed capital (K.1)</t>
  </si>
  <si>
    <t>Gross operating surplus (B.2g) / Mixed income</t>
  </si>
  <si>
    <t>Wage &amp; salary earners (private sector)</t>
  </si>
  <si>
    <t>LEmpDPriv</t>
  </si>
  <si>
    <t>D62+D7</t>
  </si>
  <si>
    <t>Report in transfer in PYP (Y / N)?</t>
  </si>
  <si>
    <t>CHECK: Residual should be zero for consistency</t>
  </si>
  <si>
    <t>Consistency checks</t>
  </si>
  <si>
    <t>Be careful: you should normally use previous year prices if the country uses chain linking, and constant prices otherwise.</t>
  </si>
  <si>
    <t>However, some of the variables are not filled in because they are produced by the central system.</t>
  </si>
  <si>
    <t>VAL. Domestic demand</t>
  </si>
  <si>
    <t>AGG. Domestic demand</t>
  </si>
  <si>
    <t>VOL. Domestic demand</t>
  </si>
  <si>
    <t>VAL. Final demand</t>
  </si>
  <si>
    <t>Auxiliary table (aggregates)</t>
  </si>
  <si>
    <t>AGG. Final demand</t>
  </si>
  <si>
    <t>VOL. Final demand</t>
  </si>
  <si>
    <t xml:space="preserve">VAL. Imports of goods and services </t>
  </si>
  <si>
    <t xml:space="preserve">AGG. Imports of goods and services </t>
  </si>
  <si>
    <t xml:space="preserve">VOL. Imports of goods and services </t>
  </si>
  <si>
    <t>VAL. GFCF in other domestic sectors</t>
  </si>
  <si>
    <t xml:space="preserve">Current taxes on income and wealth (D.5p)  </t>
  </si>
  <si>
    <t xml:space="preserve">Current taxes on income and wealth (Net) (D.5)  </t>
  </si>
  <si>
    <t>RowTaxDirN</t>
  </si>
  <si>
    <t>Social contributions (D.61)</t>
  </si>
  <si>
    <t>Database Text</t>
  </si>
  <si>
    <t>QUART. HICP (cols 2-13)</t>
  </si>
  <si>
    <t xml:space="preserve">VOL. FIXED INVESTMENT GOVERNMENT  </t>
  </si>
  <si>
    <t>VAI</t>
  </si>
  <si>
    <t xml:space="preserve">VOL. FIXED INVESTMENT CORPORATIONS </t>
  </si>
  <si>
    <t>VOL. FIXED INVESTMENT HH AND NPISH</t>
  </si>
  <si>
    <t>VOL. FIXED INVESTMENT HOUSING</t>
  </si>
  <si>
    <t>To integrate historical data for Qn(t) (the n'th quarter of year t), use the following procedure:</t>
  </si>
  <si>
    <t xml:space="preserve">  3a. -of which, housing</t>
  </si>
  <si>
    <t>Pi6(4)</t>
  </si>
  <si>
    <t>RES</t>
  </si>
  <si>
    <r>
      <t xml:space="preserve">The sheet also checks the </t>
    </r>
    <r>
      <rPr>
        <b/>
        <sz val="11"/>
        <rFont val="Arial"/>
        <family val="2"/>
      </rPr>
      <t>consistency</t>
    </r>
    <r>
      <rPr>
        <sz val="11"/>
        <rFont val="Arial"/>
        <family val="2"/>
      </rPr>
      <t xml:space="preserve"> between annual figures and quarters.</t>
    </r>
  </si>
  <si>
    <t xml:space="preserve">   2. Government consumption expenditure</t>
  </si>
  <si>
    <t xml:space="preserve">  4. Calculated activity rate (%) (3:2)</t>
  </si>
  <si>
    <t>P51</t>
  </si>
  <si>
    <t>P52+P53</t>
  </si>
  <si>
    <t xml:space="preserve"> 21. Net lending (EDP)</t>
  </si>
  <si>
    <t xml:space="preserve">   4. Exports of services (a)</t>
  </si>
  <si>
    <t xml:space="preserve">   8a. - of which, balance of primary income</t>
  </si>
  <si>
    <t xml:space="preserve">  8b. - of which, net current Transfers</t>
  </si>
  <si>
    <t xml:space="preserve">Gross domestic product at market prices                                         </t>
  </si>
  <si>
    <t>QUART</t>
  </si>
  <si>
    <t>Q1</t>
  </si>
  <si>
    <t>Q2</t>
  </si>
  <si>
    <t>Q3</t>
  </si>
  <si>
    <t>Q4</t>
  </si>
  <si>
    <t>Government final consumption expenditure</t>
  </si>
  <si>
    <t>Year total from annual forecast</t>
  </si>
  <si>
    <t>Growth rate (year-on-year)</t>
  </si>
  <si>
    <t>Gross fixed capital formation</t>
  </si>
  <si>
    <t>Domestic demand (excl. Inventories)</t>
  </si>
  <si>
    <t>Household final consumption expenditure</t>
  </si>
  <si>
    <t>COR GROSS CAPITAL FORMATION</t>
  </si>
  <si>
    <t>COR OTHER CAPITAL EXPENDITURE (PAID-REC.)</t>
  </si>
  <si>
    <t>$ETCap</t>
  </si>
  <si>
    <t>GG TAXES ON PRODUCTION AND IMPORTS</t>
  </si>
  <si>
    <t>Elasticity w.r.t. private consumption</t>
  </si>
  <si>
    <t>Implicit employees' social contributions</t>
  </si>
  <si>
    <t>Elasticity w.r.t. compensation of employees</t>
  </si>
  <si>
    <t>Tax rate relative to compensation of employees</t>
  </si>
  <si>
    <t>YATaxIndir</t>
  </si>
  <si>
    <t xml:space="preserve">GG CURRENT TAXES ON INCOME AND WEALTH </t>
  </si>
  <si>
    <t>YATaxDir</t>
  </si>
  <si>
    <t>GG SOCIAL CONTRIBUTIONS</t>
  </si>
  <si>
    <t>YATaxSoc</t>
  </si>
  <si>
    <t>GG ACTUAL SOCIAL CONTRIBUTIONS</t>
  </si>
  <si>
    <t>Carry-over to next year</t>
  </si>
  <si>
    <t>Ann. growth if qoq growth is zero in the next quarters</t>
  </si>
  <si>
    <t>YACapT</t>
  </si>
  <si>
    <t>AG</t>
  </si>
  <si>
    <t>GVA[E] = GVA[ECO]
 - GVA[HH] - GVA[GVT]</t>
  </si>
  <si>
    <t>B.2g[E] = GVA[E] - D.1p[E] - (D.29p[E] - D.39r[E])</t>
  </si>
  <si>
    <t>D.1p[HH]</t>
  </si>
  <si>
    <t>D29p[HH] - D39r[HH]</t>
  </si>
  <si>
    <t>B.2g[HH]</t>
  </si>
  <si>
    <t>Property income (net, excluding interests paid) (D.4-D.41p)</t>
  </si>
  <si>
    <t xml:space="preserve"> L128</t>
  </si>
  <si>
    <t xml:space="preserve"> L113+L114+L116+L130+L131</t>
  </si>
  <si>
    <t>Ygos</t>
  </si>
  <si>
    <t>$GNI</t>
  </si>
  <si>
    <t>Balance of primary income (gross) / GNI (B.5g)</t>
  </si>
  <si>
    <t>COR CURRENT TRANSFERS (NET RECEIPTS)</t>
  </si>
  <si>
    <t>COR CURRENT TAXES ON INCOME AND WEALTH</t>
  </si>
  <si>
    <t>Government consumption (deflator)</t>
  </si>
  <si>
    <t>Investment by type of asset  (deflator)</t>
  </si>
  <si>
    <t>Investment by sector  (deflator)</t>
  </si>
  <si>
    <t>Investment in inventories (current prices)</t>
  </si>
  <si>
    <t>Exports (current prices)</t>
  </si>
  <si>
    <t>Imports (current prices)</t>
  </si>
  <si>
    <t>Balances (current prices)</t>
  </si>
  <si>
    <t>$Pr$ICstNonR</t>
  </si>
  <si>
    <t>$Pr$Eq</t>
  </si>
  <si>
    <t>Table 11</t>
  </si>
  <si>
    <t>EXTERNAL TRANSACTIONS ACCOUNT OF THE NATION (S2)</t>
  </si>
  <si>
    <t xml:space="preserve">   1. Exports of goods (fob)</t>
  </si>
  <si>
    <t>KEY POINTS OF THE FORECAST</t>
  </si>
  <si>
    <t>1. Compensation of employees (D.1p) is forecasted for HH, E and GVT (in Labour1)</t>
  </si>
  <si>
    <t xml:space="preserve">  4. Domestic demand (excl. inventories)</t>
  </si>
  <si>
    <t xml:space="preserve">  12. HICP excl. energy and unprocessed food</t>
  </si>
  <si>
    <t xml:space="preserve">   6. Domestic demand (incl. inventories) (4+5)</t>
  </si>
  <si>
    <t xml:space="preserve">   4. Domestic demand (excl. inventories) (1+2+3)</t>
  </si>
  <si>
    <t xml:space="preserve"> 12a. Non-energy industrial goods</t>
  </si>
  <si>
    <t xml:space="preserve"> 12b. Energy</t>
  </si>
  <si>
    <t xml:space="preserve"> 12c. Processed food (incl. alcohol and tobacco)</t>
  </si>
  <si>
    <t xml:space="preserve"> 12d. Unprocessed food</t>
  </si>
  <si>
    <t xml:space="preserve"> 12e. Services</t>
  </si>
  <si>
    <t xml:space="preserve"> 13. HICP excl. energy and unprocessed food</t>
  </si>
  <si>
    <t xml:space="preserve">  5. Total employment</t>
  </si>
  <si>
    <t xml:space="preserve">  5a. - of which, employees</t>
  </si>
  <si>
    <t xml:space="preserve">  5b. - of which, self-employed</t>
  </si>
  <si>
    <t xml:space="preserve">  8. Calculated unemployment rate (%) (8:5)</t>
  </si>
  <si>
    <t>$I</t>
  </si>
  <si>
    <t>$XFob</t>
  </si>
  <si>
    <t xml:space="preserve">$MCif </t>
  </si>
  <si>
    <t>$BG</t>
  </si>
  <si>
    <t>$B</t>
  </si>
  <si>
    <t>36/95</t>
  </si>
  <si>
    <t>*137</t>
  </si>
  <si>
    <t>Imports  (deflator)</t>
  </si>
  <si>
    <t>Gross domestic product (B.1g - deflator)</t>
  </si>
  <si>
    <t>FOR INFORMATION ONLY - There are no forecasts in this sheet</t>
  </si>
  <si>
    <t>Pi6(1,6)</t>
  </si>
  <si>
    <t xml:space="preserve">  6. Gross fixed capital formation</t>
  </si>
  <si>
    <t xml:space="preserve">      (whole economy)  (=1+2=3+4+5)</t>
  </si>
  <si>
    <t>Table 4</t>
  </si>
  <si>
    <t>Volume</t>
  </si>
  <si>
    <t xml:space="preserve">Household final consumption expenditure (domestic)            </t>
  </si>
  <si>
    <r>
      <t xml:space="preserve">3. Also in the forecast sheet, </t>
    </r>
    <r>
      <rPr>
        <b/>
        <sz val="11"/>
        <rFont val="Arial"/>
        <family val="2"/>
      </rPr>
      <t>overwrite previous forecast years</t>
    </r>
    <r>
      <rPr>
        <sz val="11"/>
        <rFont val="Arial"/>
        <family val="2"/>
      </rPr>
      <t xml:space="preserve"> for which you now have a full set of historical data.</t>
    </r>
  </si>
  <si>
    <t>If YES, aggregates are not additive in constant prices, but they are additive in previous year's prices.</t>
  </si>
  <si>
    <t>The growth rates will then be calculated in VVP1 (in previous year's prices) and used to calculate aggregates in constant prices.</t>
  </si>
  <si>
    <t xml:space="preserve">   16a. - of which, labour costs, including self-employed</t>
  </si>
  <si>
    <t>Comment: differences are usually the result of seasonal or working day adjustments in the quarterly pattern.</t>
  </si>
  <si>
    <t xml:space="preserve">   8. Balance of primary incomes and current Transfers</t>
  </si>
  <si>
    <t xml:space="preserve">  9. Imports of goods and services </t>
  </si>
  <si>
    <t xml:space="preserve">  9a.  - of which, goods</t>
  </si>
  <si>
    <t xml:space="preserve">   3. euro (1 EUR = )</t>
  </si>
  <si>
    <r>
      <t xml:space="preserve">All forecasts are grouped by variable, to ensure </t>
    </r>
    <r>
      <rPr>
        <b/>
        <sz val="11"/>
        <rFont val="Arial"/>
        <family val="2"/>
      </rPr>
      <t>consistency</t>
    </r>
    <r>
      <rPr>
        <sz val="11"/>
        <rFont val="Arial"/>
        <family val="2"/>
      </rPr>
      <t xml:space="preserve">. </t>
    </r>
  </si>
  <si>
    <t xml:space="preserve">  8c. p.m. 8 as % of GDP</t>
  </si>
  <si>
    <t xml:space="preserve">  9a. p.m. 9 as % of GDP</t>
  </si>
  <si>
    <t xml:space="preserve">  10. Net capital transactions</t>
  </si>
  <si>
    <t xml:space="preserve">   6a. p.m. 6 as % of GDP</t>
  </si>
  <si>
    <t>Social contributions (Net) (D.61)</t>
  </si>
  <si>
    <t>RowTaxSocN</t>
  </si>
  <si>
    <t>RowTSocN</t>
  </si>
  <si>
    <t>Other current transfers (D.7)</t>
  </si>
  <si>
    <t>Changes in inventories / valuables (P.52 + P.53)</t>
  </si>
  <si>
    <t>Net lending / net borrowing (B.9)</t>
  </si>
  <si>
    <t>As % of GDP</t>
  </si>
  <si>
    <t>GROWTH RATES</t>
  </si>
  <si>
    <t xml:space="preserve"> L42:L47</t>
  </si>
  <si>
    <t xml:space="preserve"> L28</t>
  </si>
  <si>
    <t xml:space="preserve"> L29+L30 or L3-L28 if these lines are missing</t>
  </si>
  <si>
    <t xml:space="preserve"> L4</t>
  </si>
  <si>
    <t xml:space="preserve"> L31</t>
  </si>
  <si>
    <t xml:space="preserve"> L4-L31</t>
  </si>
  <si>
    <t xml:space="preserve"> L5</t>
  </si>
  <si>
    <t xml:space="preserve"> L6</t>
  </si>
  <si>
    <t xml:space="preserve"> L3</t>
  </si>
  <si>
    <t xml:space="preserve"> L1</t>
  </si>
  <si>
    <t xml:space="preserve"> L2</t>
  </si>
  <si>
    <t xml:space="preserve"> L1+L2+L3</t>
  </si>
  <si>
    <t xml:space="preserve"> L1+L2+L3+L7</t>
  </si>
  <si>
    <t xml:space="preserve"> L8+L9</t>
  </si>
  <si>
    <t xml:space="preserve"> L8</t>
  </si>
  <si>
    <t xml:space="preserve"> L9</t>
  </si>
  <si>
    <t xml:space="preserve"> L1+L2+L3+L7+L8+L9</t>
  </si>
  <si>
    <t xml:space="preserve"> L10+L11</t>
  </si>
  <si>
    <t xml:space="preserve"> L10</t>
  </si>
  <si>
    <t xml:space="preserve"> L11</t>
  </si>
  <si>
    <t xml:space="preserve"> L12</t>
  </si>
  <si>
    <t xml:space="preserve"> ((L1+L2+L3(T)) - (L1+L2+L3(T-1))) : L12(T-1)</t>
  </si>
  <si>
    <t xml:space="preserve"> ((L7(T)) - (L7(T-1))) : L12(T-1)</t>
  </si>
  <si>
    <t xml:space="preserve"> ((L8+L9-L10-L11(T)) - (L8+L9-L10-L11(T-1))) : L12(T-1)</t>
  </si>
  <si>
    <t xml:space="preserve"> External file CYCLPBAL (ECFIN B-5 database, source : Ameco)</t>
  </si>
  <si>
    <t xml:space="preserve"> ((L43+L44+L140+L141) - (L45+L46)) : L47</t>
  </si>
  <si>
    <t xml:space="preserve"> External file EFFC (ECFIN A-4 database)</t>
  </si>
  <si>
    <t xml:space="preserve"> External file USDM  (ECFIN A-4 database)</t>
  </si>
  <si>
    <t xml:space="preserve"> External file ECUS  (ECFIN A-4 database)</t>
  </si>
  <si>
    <t xml:space="preserve"> External file NOMM  (ECFIN A-4 database)</t>
  </si>
  <si>
    <t xml:space="preserve"> External file LONGM  (ECFIN A-4 database)</t>
  </si>
  <si>
    <t xml:space="preserve"> L45:L10</t>
  </si>
  <si>
    <t xml:space="preserve"> External file GDPGAP (ECFIN A-4 database, source : Ameco)</t>
  </si>
  <si>
    <t xml:space="preserve"> L59</t>
  </si>
  <si>
    <t xml:space="preserve">   4. Short-term interest rate</t>
  </si>
  <si>
    <t xml:space="preserve">   5. Long-term interest rate</t>
  </si>
  <si>
    <t>volumes (only for the major expenditure variables)</t>
  </si>
  <si>
    <t>values (euro, persons, ...), and in some cases also:</t>
  </si>
  <si>
    <t>LEmpDFTE</t>
  </si>
  <si>
    <t>VAICstNonR</t>
  </si>
  <si>
    <t>VPrvICstNonR</t>
  </si>
  <si>
    <t>VICstNonR</t>
  </si>
  <si>
    <t>VICstR</t>
  </si>
  <si>
    <t>VAIEq</t>
  </si>
  <si>
    <t>VPrvEq</t>
  </si>
  <si>
    <t>VIEq</t>
  </si>
  <si>
    <t>VIO(1)</t>
  </si>
  <si>
    <t>VIO(2)</t>
  </si>
  <si>
    <t>Viny</t>
  </si>
  <si>
    <t>VX</t>
  </si>
  <si>
    <t>VM</t>
  </si>
  <si>
    <t>VGrVadd</t>
  </si>
  <si>
    <t>P.3 (HH)</t>
  </si>
  <si>
    <t>P.31 (GVT)</t>
  </si>
  <si>
    <t>P.32 (GVT)</t>
  </si>
  <si>
    <t>P.3 (GVT)</t>
  </si>
  <si>
    <t>P61</t>
  </si>
  <si>
    <t>As a rule, the user can insert as many additional lines as needed without impact on the transfer matrix.</t>
  </si>
  <si>
    <t>Extra-EU imports of goods</t>
  </si>
  <si>
    <t>Forecast file SE</t>
  </si>
  <si>
    <r>
      <t xml:space="preserve">There is </t>
    </r>
    <r>
      <rPr>
        <b/>
        <sz val="11"/>
        <rFont val="Arial"/>
        <family val="2"/>
      </rPr>
      <t>no forecasting</t>
    </r>
    <r>
      <rPr>
        <sz val="11"/>
        <rFont val="Arial"/>
        <family val="2"/>
      </rPr>
      <t xml:space="preserve"> in Sectors2. All variables are forecasted in previous sheets.</t>
    </r>
  </si>
  <si>
    <t>3. Transfer matrix and tables</t>
  </si>
  <si>
    <t>VOL. FIXED INVESTMENT MANUFACTURING</t>
  </si>
  <si>
    <t>-</t>
  </si>
  <si>
    <t>2. The forecast sheets</t>
  </si>
  <si>
    <t>a. Volumes, value and prices</t>
  </si>
  <si>
    <t>If you start with the autumn forecast from the previous year, these columns should already be present.</t>
  </si>
  <si>
    <t>Contribution to change in GDP</t>
  </si>
  <si>
    <t>Total compensation / employee (frontier workers)</t>
  </si>
  <si>
    <t>Total compensation / employee (national)</t>
  </si>
  <si>
    <t>YCompAvDPr</t>
  </si>
  <si>
    <t>YCompAvDPu</t>
  </si>
  <si>
    <t>Employment / Wage &amp; salary earners (FTE)</t>
  </si>
  <si>
    <t>Implicit FTE per salary earner</t>
  </si>
  <si>
    <t>Implicit FTE per employed person</t>
  </si>
  <si>
    <t>Social benefits (D.62)</t>
  </si>
  <si>
    <r>
      <t>You can make as many '</t>
    </r>
    <r>
      <rPr>
        <b/>
        <sz val="11"/>
        <rFont val="Arial"/>
        <family val="2"/>
      </rPr>
      <t>private storages</t>
    </r>
    <r>
      <rPr>
        <sz val="11"/>
        <rFont val="Arial"/>
        <family val="2"/>
      </rPr>
      <t>' as you wish. However, a '</t>
    </r>
    <r>
      <rPr>
        <b/>
        <sz val="11"/>
        <rFont val="Arial"/>
        <family val="2"/>
      </rPr>
      <t>shared storage</t>
    </r>
    <r>
      <rPr>
        <sz val="11"/>
        <rFont val="Arial"/>
        <family val="2"/>
      </rPr>
      <t>' is final and irreversible.</t>
    </r>
  </si>
  <si>
    <t>For the first forecast year, it often happens that you have historical data for some variables (but not for all).</t>
  </si>
  <si>
    <t>For example: In the quarterly sheet, usually information on HICP available sooner than data on expenditure.</t>
  </si>
  <si>
    <t>*1</t>
  </si>
  <si>
    <t>*2</t>
  </si>
  <si>
    <t>*4</t>
  </si>
  <si>
    <t>*5</t>
  </si>
  <si>
    <t>*6</t>
  </si>
  <si>
    <t>*3</t>
  </si>
  <si>
    <t>*7</t>
  </si>
  <si>
    <t>*9</t>
  </si>
  <si>
    <t>*8</t>
  </si>
  <si>
    <t>*11</t>
  </si>
  <si>
    <t>*10</t>
  </si>
  <si>
    <t>*12</t>
  </si>
  <si>
    <t>*28</t>
  </si>
  <si>
    <t>*58</t>
  </si>
  <si>
    <t>Employer's social contr. / employee (private)</t>
  </si>
  <si>
    <t>Employer's social contr. / employee (public)</t>
  </si>
  <si>
    <t>Table 3</t>
  </si>
  <si>
    <t xml:space="preserve">  By sector</t>
  </si>
  <si>
    <t xml:space="preserve">  1. General government</t>
  </si>
  <si>
    <t>S13</t>
  </si>
  <si>
    <t xml:space="preserve">  2. Other domestic sectors</t>
  </si>
  <si>
    <t>S1-S13</t>
  </si>
  <si>
    <t>This table is used for ...</t>
  </si>
  <si>
    <t>Auxiliary table (constant prices)</t>
  </si>
  <si>
    <t xml:space="preserve">AGG. Exports of goods and services </t>
  </si>
  <si>
    <t xml:space="preserve">VOL. Exports of goods and services </t>
  </si>
  <si>
    <t>- Non-financial and financial corporations (S.11 + S.12)</t>
  </si>
  <si>
    <r>
      <t xml:space="preserve">The information in Sectors 1 is </t>
    </r>
    <r>
      <rPr>
        <b/>
        <sz val="11"/>
        <rFont val="Arial"/>
        <family val="2"/>
      </rPr>
      <t>a more detailed version of standard output tables</t>
    </r>
    <r>
      <rPr>
        <sz val="11"/>
        <rFont val="Arial"/>
        <family val="2"/>
      </rPr>
      <t xml:space="preserve"> 8 - 11.</t>
    </r>
  </si>
  <si>
    <t>GG SUBSIDIES FROM EU</t>
  </si>
  <si>
    <t>GG VOL. INDIVIDUAL CONSUMPT. EXPENDITURE</t>
  </si>
  <si>
    <t xml:space="preserve">Note: A positive sign indicates an expenditure increasing measure. Incremental impact compared to previous year, in national currency. </t>
  </si>
  <si>
    <t>03.08.2009</t>
  </si>
  <si>
    <t>GG OTHER CAPITAL EXPENDITURE, NET</t>
  </si>
  <si>
    <t>GG GEN. GVMNT CONSOLIDATED GROSS DEBT</t>
  </si>
  <si>
    <t>MFob</t>
  </si>
  <si>
    <t>European Commission, Office BU-1 01/111</t>
  </si>
  <si>
    <t>Year total implicit in quarterly profile</t>
  </si>
  <si>
    <t>USE AND SUPPLY OF GOODS AND SERVICES, VOLUMES (ESA, AT 1995 PRICES)</t>
  </si>
  <si>
    <t xml:space="preserve">   2. Current taxes on income and wealth</t>
  </si>
  <si>
    <t>Table 10b</t>
  </si>
  <si>
    <t>GOVERNMENT CONSUMPTION EXPENDITURE</t>
  </si>
  <si>
    <t xml:space="preserve">   2. Intermediate consumption</t>
  </si>
  <si>
    <t xml:space="preserve">   3. Social transfers in kind via market producers</t>
  </si>
  <si>
    <t xml:space="preserve">   2. Non-labour income, net</t>
  </si>
  <si>
    <t>B2g+B3g+D4</t>
  </si>
  <si>
    <t xml:space="preserve">   18. - taxes on products</t>
  </si>
  <si>
    <t xml:space="preserve">   19. - subsidies on products</t>
  </si>
  <si>
    <t>$ATaxProd</t>
  </si>
  <si>
    <t>D.29p (GVT)</t>
  </si>
  <si>
    <t>D.39r (GVT)</t>
  </si>
  <si>
    <t>YASubProd</t>
  </si>
  <si>
    <t>Check:</t>
  </si>
  <si>
    <t>D.8r (HH)</t>
  </si>
  <si>
    <t>D.8p (E)</t>
  </si>
  <si>
    <t>Adj. for change in net eq. of pens. fund res. (D.8r)</t>
  </si>
  <si>
    <t>Adj. for change in net eq. of pens. fund res. (D.8p)</t>
  </si>
  <si>
    <t>D.8p (GVT)</t>
  </si>
  <si>
    <t>RowChEqPenR</t>
  </si>
  <si>
    <t>Exports of goods and services (P.6)</t>
  </si>
  <si>
    <t>Final demand</t>
  </si>
  <si>
    <t>Final consumption expenditure</t>
  </si>
  <si>
    <t>The forecast system contains four actual forecast sheets:</t>
  </si>
  <si>
    <t xml:space="preserve">  L120</t>
  </si>
  <si>
    <t xml:space="preserve">  L145</t>
  </si>
  <si>
    <t xml:space="preserve">  L146</t>
  </si>
  <si>
    <t xml:space="preserve">  L144</t>
  </si>
  <si>
    <t xml:space="preserve">  L143</t>
  </si>
  <si>
    <t xml:space="preserve">  L37</t>
  </si>
  <si>
    <t xml:space="preserve"> Table-line 11 : L47</t>
  </si>
  <si>
    <t xml:space="preserve"> Table-line 9 : L47</t>
  </si>
  <si>
    <t>Debt increase as % of GDP</t>
  </si>
  <si>
    <t>Stock-flow adjustment as % of GDP</t>
  </si>
  <si>
    <t>Snowball effect</t>
  </si>
  <si>
    <t>Net borrowing as % of GDP</t>
  </si>
  <si>
    <t>- ALend</t>
  </si>
  <si>
    <t>ADebt[t] - ADebt[t-1]</t>
  </si>
  <si>
    <t>- growth rate in values</t>
  </si>
  <si>
    <r>
      <t>VVP2</t>
    </r>
    <r>
      <rPr>
        <sz val="11"/>
        <rFont val="Arial"/>
        <family val="2"/>
      </rPr>
      <t xml:space="preserve"> has only </t>
    </r>
    <r>
      <rPr>
        <b/>
        <sz val="11"/>
        <rFont val="Arial"/>
        <family val="2"/>
      </rPr>
      <t>one column for each year</t>
    </r>
    <r>
      <rPr>
        <sz val="11"/>
        <rFont val="Arial"/>
        <family val="2"/>
      </rPr>
      <t>.</t>
    </r>
  </si>
  <si>
    <t>Non-residential construction</t>
  </si>
  <si>
    <r>
      <t xml:space="preserve">% vol </t>
    </r>
    <r>
      <rPr>
        <b/>
        <sz val="10"/>
        <color indexed="9"/>
        <rFont val="Symbol"/>
        <family val="1"/>
        <charset val="2"/>
      </rPr>
      <t>D</t>
    </r>
  </si>
  <si>
    <t>Employer's social contr. (private)</t>
  </si>
  <si>
    <t>Employer's social contr. (public)</t>
  </si>
  <si>
    <t>Employer's social contr. (domestic)</t>
  </si>
  <si>
    <t xml:space="preserve">  7. Unemployment (3 - 5)</t>
  </si>
  <si>
    <t>Columns F and following will be filled automatically. The sheet can hold data till 2020.</t>
  </si>
  <si>
    <t>Employer's social contributions</t>
  </si>
  <si>
    <t>GG GROSS FIXED CAPITAL FORMATION</t>
  </si>
  <si>
    <t>% change on previous year</t>
  </si>
  <si>
    <t>Employer's social contributions (growth rates)</t>
  </si>
  <si>
    <t>Employer's social contributions (% of total compensation)</t>
  </si>
  <si>
    <t xml:space="preserve">  10. Gross domestic product at market prices</t>
  </si>
  <si>
    <t xml:space="preserve"> L24</t>
  </si>
  <si>
    <t xml:space="preserve">   2. Apparent elasticity of forecast</t>
  </si>
  <si>
    <t xml:space="preserve">   3. Past average tax rate</t>
  </si>
  <si>
    <t>D.4p (E)</t>
  </si>
  <si>
    <t>P.52 (E)</t>
  </si>
  <si>
    <t>P.53 (E)</t>
  </si>
  <si>
    <t>$EIny</t>
  </si>
  <si>
    <t>YESubProd</t>
  </si>
  <si>
    <t xml:space="preserve"> ((L43-L45) + (L44-L46)) + (L140+L141)</t>
  </si>
  <si>
    <t xml:space="preserve"> Table-line 8 : L47</t>
  </si>
  <si>
    <t xml:space="preserve"> L43</t>
  </si>
  <si>
    <t xml:space="preserve"> L45</t>
  </si>
  <si>
    <t xml:space="preserve"> Table-line 3 : L47</t>
  </si>
  <si>
    <t xml:space="preserve"> Table-line 6 : L47</t>
  </si>
  <si>
    <t>Employer's social contr. / employee (in % of wages)</t>
  </si>
  <si>
    <t xml:space="preserve"> 12. HICP</t>
  </si>
  <si>
    <t xml:space="preserve">   9a.  - of which goods</t>
  </si>
  <si>
    <t>P71</t>
  </si>
  <si>
    <t>P72</t>
  </si>
  <si>
    <t>B1*g</t>
  </si>
  <si>
    <t xml:space="preserve">   Wages and salaries, employer's social contributions and compensation of employees</t>
  </si>
  <si>
    <t xml:space="preserve">GG CAPITAL TRANSFERS, RECEIVED </t>
  </si>
  <si>
    <r>
      <t xml:space="preserve">In the </t>
    </r>
    <r>
      <rPr>
        <b/>
        <sz val="11"/>
        <rFont val="Arial"/>
        <family val="2"/>
      </rPr>
      <t>Autumn forecast</t>
    </r>
    <r>
      <rPr>
        <sz val="11"/>
        <rFont val="Arial"/>
        <family val="2"/>
      </rPr>
      <t xml:space="preserve"> of year t, an </t>
    </r>
    <r>
      <rPr>
        <b/>
        <sz val="11"/>
        <rFont val="Arial"/>
        <family val="2"/>
      </rPr>
      <t>additional forecast year</t>
    </r>
    <r>
      <rPr>
        <sz val="11"/>
        <rFont val="Arial"/>
        <family val="2"/>
      </rPr>
      <t xml:space="preserve"> is added: t, t+1 and</t>
    </r>
    <r>
      <rPr>
        <b/>
        <sz val="11"/>
        <rFont val="Arial"/>
        <family val="2"/>
      </rPr>
      <t xml:space="preserve"> t+2.</t>
    </r>
  </si>
  <si>
    <t xml:space="preserve"> (((L47+L123+L133) - (L113+L131)) : L47) x (((L47+L123+L133) - (L113+L131)) : L12)</t>
  </si>
  <si>
    <t>Table 6</t>
  </si>
  <si>
    <t>ESA</t>
  </si>
  <si>
    <t>WHOLE ECONOMY</t>
  </si>
  <si>
    <t>Table 7</t>
  </si>
  <si>
    <t>QUARTERLY PROFILES</t>
  </si>
  <si>
    <t>FURTHER ANALYSIS OF FIXED INVESTMENT</t>
  </si>
  <si>
    <t>USE AND SUPPLY OF GOODS AND SERVICES (VALUES)</t>
  </si>
  <si>
    <t xml:space="preserve">  11. HICP</t>
  </si>
  <si>
    <t>In principle, for a variable we report:</t>
  </si>
  <si>
    <t>Residual due to chainlinking and statistical discrepancy</t>
  </si>
  <si>
    <t>Export of goods</t>
  </si>
  <si>
    <t>Export of services</t>
  </si>
  <si>
    <t xml:space="preserve"> L47-L50+L51</t>
  </si>
  <si>
    <t xml:space="preserve">   16. Gross value added at basic prices* </t>
  </si>
  <si>
    <t>* Note: 16 = 14 + 15 + Other taxes less subsidies on production (D.29r - D.39p)</t>
  </si>
  <si>
    <t>Employer's social contributions (values)</t>
  </si>
  <si>
    <t>Domestic demand (incl. Inventories)</t>
  </si>
  <si>
    <r>
      <t xml:space="preserve">Growth rates </t>
    </r>
    <r>
      <rPr>
        <b/>
        <sz val="10"/>
        <color indexed="10"/>
        <rFont val="Arial"/>
        <family val="2"/>
      </rPr>
      <t>(year-on-year)</t>
    </r>
  </si>
  <si>
    <t>YATaxActSoc</t>
  </si>
  <si>
    <t>GG OTHER CURRENT RESOURCES</t>
  </si>
  <si>
    <t>YAO</t>
  </si>
  <si>
    <t>GG COLLECTIVE CONSUMPTION EXPENDITURE</t>
  </si>
  <si>
    <t>GG SOCIAL TRANSFERS IN KIND</t>
  </si>
  <si>
    <t>GG COMPENSATION OF EMPLOYEES</t>
  </si>
  <si>
    <t>[Table 8.12]</t>
  </si>
  <si>
    <t xml:space="preserve">   Gross savings (B.8g - private sector)</t>
  </si>
  <si>
    <t>growth rates</t>
  </si>
  <si>
    <t>Structure</t>
  </si>
  <si>
    <t>Balances (constant prices)</t>
  </si>
  <si>
    <t>Household consumption (current prices)</t>
  </si>
  <si>
    <t>Government consumption (current prices)</t>
  </si>
  <si>
    <t>Investment by type of asset (current prices)</t>
  </si>
  <si>
    <t>Investment by sector (current prices)</t>
  </si>
  <si>
    <t xml:space="preserve">COR OTHER SUBSIDIES ON PRODUCTION </t>
  </si>
  <si>
    <t>COR OTHER TAXES ON PRODUCTS</t>
  </si>
  <si>
    <t>$ETaxProd</t>
  </si>
  <si>
    <t xml:space="preserve">  1. Gross value added in volumes</t>
  </si>
  <si>
    <t>DISCRETIONARY MEASURES CURRENT REVENUE</t>
  </si>
  <si>
    <t>DISCRETIONARY MEASURES CAPITAL EXPENDITURE</t>
  </si>
  <si>
    <t>DISCRETIONARY MEASURES CAPITAL TRANSFERS RECEIVED</t>
  </si>
  <si>
    <r>
      <t xml:space="preserve">Note: A positive sign means that expenditure </t>
    </r>
    <r>
      <rPr>
        <b/>
        <u/>
        <sz val="10"/>
        <color indexed="10"/>
        <rFont val="Arial"/>
        <family val="2"/>
      </rPr>
      <t>decreases</t>
    </r>
    <r>
      <rPr>
        <b/>
        <sz val="10"/>
        <color indexed="10"/>
        <rFont val="Arial"/>
        <family val="2"/>
      </rPr>
      <t xml:space="preserve">. Total amount, in national currency. </t>
    </r>
  </si>
  <si>
    <t>In sheets VVP2, Labour1 and Sector1: select the column for t-2 and copy it to the right (overwriting the old forecast column for t-1).</t>
  </si>
  <si>
    <t>In sheet Quart1: select the block of 4 columns for t-2 and copy to the right (overwriting the old forecast columns for t-1).</t>
  </si>
  <si>
    <t xml:space="preserve">  4. Equipment</t>
  </si>
  <si>
    <r>
      <t xml:space="preserve">Statistical discrepancy </t>
    </r>
    <r>
      <rPr>
        <b/>
        <sz val="10"/>
        <color indexed="10"/>
        <rFont val="Arial"/>
        <family val="2"/>
      </rPr>
      <t>(read comment)</t>
    </r>
  </si>
  <si>
    <t>This will store the matrix as a txt file on your local D:\data folder.</t>
  </si>
  <si>
    <r>
      <t xml:space="preserve">Then use the shortcut </t>
    </r>
    <r>
      <rPr>
        <b/>
        <sz val="11"/>
        <rFont val="Arial"/>
        <family val="2"/>
      </rPr>
      <t>EU4CAST</t>
    </r>
    <r>
      <rPr>
        <sz val="11"/>
        <rFont val="Arial"/>
        <family val="2"/>
      </rPr>
      <t xml:space="preserve"> on your desktop to store this file into the central forecast system. </t>
    </r>
  </si>
  <si>
    <t xml:space="preserve"> L107</t>
  </si>
  <si>
    <t xml:space="preserve"> L143+L117</t>
  </si>
  <si>
    <t xml:space="preserve"> L113+L114+L115+L117+L143</t>
  </si>
  <si>
    <t xml:space="preserve"> L120</t>
  </si>
  <si>
    <t xml:space="preserve"> L146</t>
  </si>
  <si>
    <t xml:space="preserve"> L120+L121+L122+L123+L124+L145+L146</t>
  </si>
  <si>
    <t xml:space="preserve"> % GDP. Value divided by L47 (current GDP)</t>
  </si>
  <si>
    <t>GG UNPAID TAXES</t>
  </si>
  <si>
    <t>Residual due to chainlinking</t>
  </si>
  <si>
    <t xml:space="preserve"> L43-L45                                                                    </t>
  </si>
  <si>
    <t xml:space="preserve">   3a. p.m. (3) as % of GDP</t>
  </si>
  <si>
    <t>B11</t>
  </si>
  <si>
    <t>Table 2</t>
  </si>
  <si>
    <t>I</t>
  </si>
  <si>
    <t>II</t>
  </si>
  <si>
    <t>III</t>
  </si>
  <si>
    <t>IV</t>
  </si>
  <si>
    <t>Harmonized consumer price index</t>
  </si>
  <si>
    <t>in columns A and B means that the variable comes from row 11 in the input sheet and goes to row 23 of the transfer matrix.</t>
  </si>
  <si>
    <t>Household consumption (constant prices)</t>
  </si>
  <si>
    <t>Government consumption (constant prices)</t>
  </si>
  <si>
    <t>- sums received are equal to sums paid</t>
  </si>
  <si>
    <t>- the sum of the domestic sectors is equal to the total economy</t>
  </si>
  <si>
    <t>- Government (S.13)</t>
  </si>
  <si>
    <t xml:space="preserve">- Households and non-profit institutions serving households (S.14 + S.15) </t>
  </si>
  <si>
    <t>- Rest of the world (S.2)</t>
  </si>
  <si>
    <t>d. Sector sheets</t>
  </si>
  <si>
    <t>Exports of goods by region</t>
  </si>
  <si>
    <t>XGIntr</t>
  </si>
  <si>
    <t>XGExtr</t>
  </si>
  <si>
    <t>Intra-EU exports of goods</t>
  </si>
  <si>
    <t>Extra-EU exports of goods</t>
  </si>
  <si>
    <t>Imports of goods by region</t>
  </si>
  <si>
    <t xml:space="preserve">TRADE IN GOODS BY REGION (CUSTOMS BASIS) </t>
  </si>
  <si>
    <t>% trade</t>
  </si>
  <si>
    <t xml:space="preserve">   Exports of goods (fob)</t>
  </si>
  <si>
    <t xml:space="preserve">   Imports of goods (cif)</t>
  </si>
  <si>
    <t xml:space="preserve">  11. Net lending (+)/ net borrowing (-) (9+10)</t>
  </si>
  <si>
    <t xml:space="preserve"> L78 : (L78 + L79)</t>
  </si>
  <si>
    <t xml:space="preserve">  6. Calculated employment rate (5:2)</t>
  </si>
  <si>
    <t>ADebt[t-1]</t>
  </si>
  <si>
    <t xml:space="preserve">  12. Other capital expenditure, net</t>
  </si>
  <si>
    <t xml:space="preserve">  13a. p.m. 13 as % of GDP</t>
  </si>
  <si>
    <t>Table 10</t>
  </si>
  <si>
    <t>RESOURCES AND EXPENDITURE OF GENERAL GOVERNMENT (S13)</t>
  </si>
  <si>
    <t xml:space="preserve">   3a.  - of which, actual social contributions</t>
  </si>
  <si>
    <r>
      <t>PLEASE MAKE SURE THAT THE DATA_P.XLS FILE IS IN THE SAME FOLDER AS THIS FORECAST SHEET!</t>
    </r>
    <r>
      <rPr>
        <b/>
        <sz val="10"/>
        <rFont val="Arial"/>
        <family val="2"/>
      </rPr>
      <t xml:space="preserve"> </t>
    </r>
    <r>
      <rPr>
        <b/>
        <u/>
        <sz val="10"/>
        <rFont val="Arial"/>
        <family val="2"/>
      </rPr>
      <t>Instruction</t>
    </r>
    <r>
      <rPr>
        <b/>
        <sz val="10"/>
        <rFont val="Arial"/>
        <family val="2"/>
      </rPr>
      <t>: To create a link to data_p, enter the data_p sheetname (e.g. UG) in column D and the data_p row number in column E. Columns F - AF will be filled automatically</t>
    </r>
    <r>
      <rPr>
        <b/>
        <sz val="10"/>
        <color indexed="10"/>
        <rFont val="Arial"/>
        <family val="2"/>
      </rPr>
      <t/>
    </r>
  </si>
  <si>
    <t>These contain quarterly data (usually in QUART) and additional annual data which is not in Ameco (usually in Data_A11).</t>
  </si>
  <si>
    <t xml:space="preserve">   3. Other taxes on production</t>
  </si>
  <si>
    <t>D29</t>
  </si>
  <si>
    <t xml:space="preserve">   4. Compensation of employees</t>
  </si>
  <si>
    <t xml:space="preserve">   5. Gross operating surplus (1+2-3-4)</t>
  </si>
  <si>
    <t>B2g</t>
  </si>
  <si>
    <t>Total expenditure</t>
  </si>
  <si>
    <t>Capital expenditure</t>
  </si>
  <si>
    <t>INDUSTRIAL PRODUCTION</t>
  </si>
  <si>
    <t>Debt dynamics</t>
  </si>
  <si>
    <t>Gross value added</t>
  </si>
  <si>
    <t>XFob</t>
  </si>
  <si>
    <t>XG</t>
  </si>
  <si>
    <t xml:space="preserve">MCif </t>
  </si>
  <si>
    <t>XS</t>
  </si>
  <si>
    <t>MS</t>
  </si>
  <si>
    <t>MG</t>
  </si>
  <si>
    <t>ATaxProd</t>
  </si>
  <si>
    <t xml:space="preserve"> 15. Compensation of employees</t>
  </si>
  <si>
    <t xml:space="preserve"> 15a. - of which, gross wages and salaries</t>
  </si>
  <si>
    <t xml:space="preserve"> 15b. - of which, employers' social contributions</t>
  </si>
  <si>
    <t xml:space="preserve"> 16. Gross operating surplus/mixed income</t>
  </si>
  <si>
    <t xml:space="preserve"> 17. Gross value added at basic prices</t>
  </si>
  <si>
    <t xml:space="preserve"> 18. Taxes net of subsidies</t>
  </si>
  <si>
    <t xml:space="preserve"> 19. Gross domestic product at market prices</t>
  </si>
  <si>
    <r>
      <t xml:space="preserve">There are </t>
    </r>
    <r>
      <rPr>
        <b/>
        <sz val="11"/>
        <rFont val="Arial"/>
        <family val="2"/>
      </rPr>
      <t xml:space="preserve">two input sheets </t>
    </r>
    <r>
      <rPr>
        <sz val="11"/>
        <rFont val="Arial"/>
        <family val="2"/>
      </rPr>
      <t>for historical data; one for annual data and one for quarterly data.</t>
    </r>
  </si>
  <si>
    <r>
      <t xml:space="preserve">In principle, data_p has the same </t>
    </r>
    <r>
      <rPr>
        <b/>
        <sz val="11"/>
        <rFont val="Arial"/>
        <family val="2"/>
      </rPr>
      <t>structure</t>
    </r>
    <r>
      <rPr>
        <sz val="11"/>
        <rFont val="Arial"/>
        <family val="2"/>
      </rPr>
      <t xml:space="preserve"> for all countries.</t>
    </r>
  </si>
  <si>
    <t>In the input sheets, fill in the name of the sheet in data_p where a variable is stored (in column D) and its identifying number (in column E).</t>
  </si>
  <si>
    <t xml:space="preserve">  3b.  - of which, equipment </t>
  </si>
  <si>
    <t>ACTIVITY RATE (Struct. Ind. def, calc by B-5)</t>
  </si>
  <si>
    <t>EMPLOYMENT RATE (Struct. Ind. def, calc by B-5)</t>
  </si>
  <si>
    <t>AV. HOURS WORKED</t>
  </si>
  <si>
    <t>HH COMPENSATION OF EMPLOYEES</t>
  </si>
  <si>
    <t xml:space="preserve">  7. Exports of goods and services </t>
  </si>
  <si>
    <t xml:space="preserve">   3. Trade balance (goods, fob/fob) (1-2)</t>
  </si>
  <si>
    <t>$AInt / $Debt(t-1)</t>
  </si>
  <si>
    <t>In sheets VVP2, Labour1 and Sector1: select the last column and copy it to the right.</t>
  </si>
  <si>
    <t>HICP Index services</t>
  </si>
  <si>
    <t>HICP Index</t>
  </si>
  <si>
    <t>HICP Index unprocessed food</t>
  </si>
  <si>
    <t>HICP Index processed food incl. alcohol and tobacco</t>
  </si>
  <si>
    <t>HICP Index energy</t>
  </si>
  <si>
    <t>HICP Index non-energy industrial goods</t>
  </si>
  <si>
    <t>Weights</t>
  </si>
  <si>
    <t>Contributions</t>
  </si>
  <si>
    <t>Corresponding annual index</t>
  </si>
  <si>
    <t>Corresponding annual growth rate</t>
  </si>
  <si>
    <t>HICP Non-energy industrial goods - weight</t>
  </si>
  <si>
    <t xml:space="preserve">   7. Trade balance (fob/cif) (3 - 6)</t>
  </si>
  <si>
    <t>Table 0</t>
  </si>
  <si>
    <t>ESA 95</t>
  </si>
  <si>
    <t>Level</t>
  </si>
  <si>
    <t>Exchange rates, annual average</t>
  </si>
  <si>
    <t xml:space="preserve">   1. Effective (%change)</t>
  </si>
  <si>
    <t xml:space="preserve"> 11. Terms of trade of goods and services</t>
  </si>
  <si>
    <t>LUemp (Eurostat)</t>
  </si>
  <si>
    <t>Registered unemployment (Eurostat)</t>
  </si>
  <si>
    <t>LUempEstat</t>
  </si>
  <si>
    <t>Unemployment rate (Eurostat)</t>
  </si>
  <si>
    <t>HICP Processed food incl. alcohol and tobacco - weight</t>
  </si>
  <si>
    <t>HICP Services - weight</t>
  </si>
  <si>
    <t xml:space="preserve">   9. Social transfers other than in kind</t>
  </si>
  <si>
    <t xml:space="preserve">  2. Government consumption expenditure</t>
  </si>
  <si>
    <t xml:space="preserve">  3. Gross fixed capital formation</t>
  </si>
  <si>
    <t>other useful information (% of GDP, elasticities, ...)</t>
  </si>
  <si>
    <t>Tax rate relative to private consumption expenditure</t>
  </si>
  <si>
    <t xml:space="preserve">Current taxes on income and wealth (D.5p) </t>
  </si>
  <si>
    <t>VAL. G.F.C.F. OTHER</t>
  </si>
  <si>
    <t>$IO</t>
  </si>
  <si>
    <t>VAL. CHANGE IN INVENTORIES</t>
  </si>
  <si>
    <t>$Iny</t>
  </si>
  <si>
    <t>VAL. EXPORTS OF GOODS (FOB)</t>
  </si>
  <si>
    <t>VAL. EXPORTS OF SERVICES</t>
  </si>
  <si>
    <t>$XS</t>
  </si>
  <si>
    <t>VAL. IMPORTS OF GOODS (FOB)</t>
  </si>
  <si>
    <t>VAL. IMPORTS OF SERVICES</t>
  </si>
  <si>
    <t>$MS</t>
  </si>
  <si>
    <t>VAL. GROSS DOMESTIC PRODUCT</t>
  </si>
  <si>
    <t>TAXES ON PRODUCTS</t>
  </si>
  <si>
    <t>YATaxProd</t>
  </si>
  <si>
    <t>SUBSIDIES ON PRODUCTS</t>
  </si>
  <si>
    <t>Total imports of goods</t>
  </si>
  <si>
    <t>Gross domestic product (B.1g - current prices)</t>
  </si>
  <si>
    <t>Before you start making a forecast, some preparations need to be made:</t>
  </si>
  <si>
    <r>
      <t xml:space="preserve">1. </t>
    </r>
    <r>
      <rPr>
        <b/>
        <sz val="11"/>
        <rFont val="Arial"/>
        <family val="2"/>
      </rPr>
      <t>Update data_p</t>
    </r>
    <r>
      <rPr>
        <sz val="11"/>
        <rFont val="Arial"/>
        <family val="2"/>
      </rPr>
      <t xml:space="preserve"> with the latest available historical data</t>
    </r>
  </si>
  <si>
    <r>
      <t xml:space="preserve">2. In the forecast sheet, make sure all sheets have </t>
    </r>
    <r>
      <rPr>
        <b/>
        <sz val="11"/>
        <rFont val="Arial"/>
        <family val="2"/>
      </rPr>
      <t>sufficient forecast columns</t>
    </r>
    <r>
      <rPr>
        <sz val="11"/>
        <rFont val="Arial"/>
        <family val="2"/>
      </rPr>
      <t xml:space="preserve"> to reach the forecast horizon.</t>
    </r>
  </si>
  <si>
    <t>Property income (net - negative means paid) (D.4)</t>
  </si>
  <si>
    <t>UNEMPLOYMENT RATE (Eurostat def, calc by B-5)</t>
  </si>
  <si>
    <t>How to add a forecast year?</t>
  </si>
  <si>
    <r>
      <t xml:space="preserve">This is a technical feature that should not be used lightly: people from Ameco </t>
    </r>
    <r>
      <rPr>
        <b/>
        <sz val="11"/>
        <color indexed="10"/>
        <rFont val="Arial"/>
        <family val="2"/>
      </rPr>
      <t>DO NOT LIKE IT AT ALL</t>
    </r>
    <r>
      <rPr>
        <sz val="11"/>
        <rFont val="Arial"/>
        <family val="2"/>
      </rPr>
      <t>!!!</t>
    </r>
  </si>
  <si>
    <t>HH OTHER NON-LABOUR INCOME (NET)</t>
  </si>
  <si>
    <t>YHProp</t>
  </si>
  <si>
    <t>HH CURRENT TRANSFERS RECEIVED</t>
  </si>
  <si>
    <t>YHT</t>
  </si>
  <si>
    <t xml:space="preserve">   Labour productivity and unit labour cost</t>
  </si>
  <si>
    <t>Values as percent of HH disposable income</t>
  </si>
  <si>
    <t>Real total compensation per employee (GDP deflator)</t>
  </si>
  <si>
    <t>Taxes on production and imports (D.2r) - Elasticities table 10a</t>
  </si>
  <si>
    <t>D3</t>
  </si>
  <si>
    <t>D9</t>
  </si>
  <si>
    <t xml:space="preserve"> L125</t>
  </si>
  <si>
    <t xml:space="preserve"> L127</t>
  </si>
  <si>
    <t>% of GDP</t>
  </si>
  <si>
    <t>Gross value added (B.1g-D.21+D.31)</t>
  </si>
  <si>
    <t>TAX ELASTICITY OECD SOCIAL CONTR. (col 1)</t>
  </si>
  <si>
    <t>VMG</t>
  </si>
  <si>
    <t>$XG</t>
  </si>
  <si>
    <r>
      <t xml:space="preserve">Normally, in the </t>
    </r>
    <r>
      <rPr>
        <b/>
        <sz val="11"/>
        <rFont val="Arial"/>
        <family val="2"/>
      </rPr>
      <t>Spring forecast</t>
    </r>
    <r>
      <rPr>
        <sz val="11"/>
        <rFont val="Arial"/>
        <family val="2"/>
      </rPr>
      <t xml:space="preserve"> of year t, columns should be available for t-1 (which is estimated), t and t+1 (forecasted).</t>
    </r>
  </si>
  <si>
    <t>Total employment (domestic)</t>
  </si>
  <si>
    <t>Total employment (national)</t>
  </si>
  <si>
    <t xml:space="preserve">  11. Gross capital formation</t>
  </si>
  <si>
    <r>
      <t xml:space="preserve">5. Updating the </t>
    </r>
    <r>
      <rPr>
        <b/>
        <sz val="11"/>
        <rFont val="Arial"/>
        <family val="2"/>
      </rPr>
      <t>charts.</t>
    </r>
  </si>
  <si>
    <t>Wage and salary earners (domestic)</t>
  </si>
  <si>
    <t>LEmpSelfD</t>
  </si>
  <si>
    <t>Employment (domestic)</t>
  </si>
  <si>
    <t>Frontier workers</t>
  </si>
  <si>
    <t>LEmp</t>
  </si>
  <si>
    <t xml:space="preserve">  2. Population of working age (15-64 years)</t>
  </si>
  <si>
    <t xml:space="preserve">  3. Total labour force</t>
  </si>
  <si>
    <t>D41</t>
  </si>
  <si>
    <t>Statistical discrepancy</t>
  </si>
  <si>
    <t>GVT: Capital taxes (D.91r)</t>
  </si>
  <si>
    <t xml:space="preserve">  5. Unit labour costs (4:3)</t>
  </si>
  <si>
    <t>Total current revenue</t>
  </si>
  <si>
    <t>[Table 10.15]</t>
  </si>
  <si>
    <t>[Table 10.13]</t>
  </si>
  <si>
    <t>[Table 10.17]</t>
  </si>
  <si>
    <t xml:space="preserve">  12. Saving rate (%) (11:8)</t>
  </si>
  <si>
    <t xml:space="preserve">  13. Gross capital formation</t>
  </si>
  <si>
    <t>P5</t>
  </si>
  <si>
    <t>D.9 (HH)</t>
  </si>
  <si>
    <t>HTCapN</t>
  </si>
  <si>
    <t>$HTaxSoc(1)</t>
  </si>
  <si>
    <t>$HTaxSoc(2)</t>
  </si>
  <si>
    <t>D.4 (HH)</t>
  </si>
  <si>
    <t>HPropN</t>
  </si>
  <si>
    <t>$Hprop</t>
  </si>
  <si>
    <t>ECO</t>
  </si>
  <si>
    <t>HH</t>
  </si>
  <si>
    <t>E</t>
  </si>
  <si>
    <t>GVT</t>
  </si>
  <si>
    <t>EXT</t>
  </si>
  <si>
    <t>CHK</t>
  </si>
  <si>
    <t>Gross value added / Gross domestic product (B.1g)</t>
  </si>
  <si>
    <t>Wages &amp; salaries (frontier workers)</t>
  </si>
  <si>
    <t>Wages &amp; salaries (national)</t>
  </si>
  <si>
    <t xml:space="preserve"> Levels as % of GDP</t>
  </si>
  <si>
    <t xml:space="preserve"> 19. Current external balance</t>
  </si>
  <si>
    <t xml:space="preserve"> 20. Private sector net lending</t>
  </si>
  <si>
    <t>General Government</t>
  </si>
  <si>
    <t xml:space="preserve"> 21. Net lending</t>
  </si>
  <si>
    <t xml:space="preserve"> 22. Cyclically-adjusted primary balance</t>
  </si>
  <si>
    <t xml:space="preserve"> 23. Gross debt</t>
  </si>
  <si>
    <t xml:space="preserve"> L128:L47</t>
  </si>
  <si>
    <t>Table 1</t>
  </si>
  <si>
    <t>GVT: Individual consumption expenditure (P.31)</t>
  </si>
  <si>
    <t>GVT: Collective consumption expenditure (P.32)</t>
  </si>
  <si>
    <t>$AProp</t>
  </si>
  <si>
    <t>Other capital transfers (D.9r-D.91r-D.995)</t>
  </si>
  <si>
    <t>Unpaid taxes (D.995)</t>
  </si>
  <si>
    <t xml:space="preserve"> (L43+L44) - (L45+L46)</t>
  </si>
  <si>
    <t xml:space="preserve"> L43-L45</t>
  </si>
  <si>
    <t xml:space="preserve"> L44-L46</t>
  </si>
  <si>
    <t>TAX RATE INDIRECT TAXES PAST 4-Y AVG (col 1)</t>
  </si>
  <si>
    <t xml:space="preserve">   4. Consumption of fixed capital</t>
  </si>
  <si>
    <t>K1</t>
  </si>
  <si>
    <t xml:space="preserve">   5. Other</t>
  </si>
  <si>
    <t xml:space="preserve">   6. Sales</t>
  </si>
  <si>
    <t>Country acronym:</t>
  </si>
  <si>
    <t>Label part</t>
  </si>
  <si>
    <t>T row</t>
  </si>
  <si>
    <t>ESA code</t>
  </si>
  <si>
    <t xml:space="preserve">VOL. GOVERNMENT CONSUMPTION EXPEND. </t>
  </si>
  <si>
    <t>VAC</t>
  </si>
  <si>
    <t>VOL. G.F.C.F. TOTAL</t>
  </si>
  <si>
    <t>VOL. G.F.C.F. CONSTRUCTION</t>
  </si>
  <si>
    <t>VICst</t>
  </si>
  <si>
    <t>VOL. G.F.C.F. EQUIPMENT</t>
  </si>
  <si>
    <t>VOL. G.F.C.F. OTHER</t>
  </si>
  <si>
    <t>Discrepancies due to calendar effects</t>
  </si>
  <si>
    <t xml:space="preserve">   12. Balance of primary income with rest of the world</t>
  </si>
  <si>
    <t>B5</t>
  </si>
  <si>
    <t xml:space="preserve"> L140</t>
  </si>
  <si>
    <t>B5*g</t>
  </si>
  <si>
    <t xml:space="preserve"> L47+L140</t>
  </si>
  <si>
    <t>D1</t>
  </si>
  <si>
    <t>B2g+B3g</t>
  </si>
  <si>
    <t>PIny</t>
  </si>
  <si>
    <t>PXS</t>
  </si>
  <si>
    <t>PXG</t>
  </si>
  <si>
    <t>PXFob</t>
  </si>
  <si>
    <t>PIO</t>
  </si>
  <si>
    <t>PI</t>
  </si>
  <si>
    <t>PAI</t>
  </si>
  <si>
    <t>Net-lending</t>
  </si>
  <si>
    <t>Net-lending (EDP)</t>
  </si>
  <si>
    <t>Debt previous year</t>
  </si>
  <si>
    <t>Stock-flow adjustment</t>
  </si>
  <si>
    <t>Debt current year</t>
  </si>
  <si>
    <t>ALend</t>
  </si>
  <si>
    <t>AStockflow</t>
  </si>
  <si>
    <t>ADebt [t]</t>
  </si>
  <si>
    <t>ALend (EDP)</t>
  </si>
  <si>
    <t>Tax burden</t>
  </si>
  <si>
    <t>Wages &amp; salaries / employee (frontier workers)</t>
  </si>
  <si>
    <t>Wages &amp; salaries / employee (domestic)</t>
  </si>
  <si>
    <t>Wages &amp; salaries / employee (national)</t>
  </si>
  <si>
    <t>YWAvDPr</t>
  </si>
  <si>
    <t>YWAvDPu</t>
  </si>
  <si>
    <t>YWAvD</t>
  </si>
  <si>
    <t>YWAvRow</t>
  </si>
  <si>
    <t>YWAv</t>
  </si>
  <si>
    <t>How to overwrite forecast columns with columns linking to historical data?</t>
  </si>
  <si>
    <t>YETO</t>
  </si>
  <si>
    <t>$ETO</t>
  </si>
  <si>
    <t>YESoc</t>
  </si>
  <si>
    <t>$ETSoc</t>
  </si>
  <si>
    <t>ENonFinN</t>
  </si>
  <si>
    <t>$EI</t>
  </si>
  <si>
    <t xml:space="preserve">   7. External balance of goods &amp; services (3+6)</t>
  </si>
  <si>
    <t xml:space="preserve">   9. Current external balance (7+8)</t>
  </si>
  <si>
    <t xml:space="preserve">   8. Current taxes on income and wealth</t>
  </si>
  <si>
    <t xml:space="preserve">  15a. p.m. 15 as % of GDP</t>
  </si>
  <si>
    <t xml:space="preserve">  15. Net lending (+) or net borrowing (-) (11-13-14)</t>
  </si>
  <si>
    <t>B9</t>
  </si>
  <si>
    <t>ANonFinN</t>
  </si>
  <si>
    <t>YAGVadd</t>
  </si>
  <si>
    <t>$Aiswap</t>
  </si>
  <si>
    <t>D.2r (GVT)</t>
  </si>
  <si>
    <t>D.5r (GVT)</t>
  </si>
  <si>
    <t>D.5p (GVT)</t>
  </si>
  <si>
    <t>D.4r (GVT)</t>
  </si>
  <si>
    <t>D.4p (GVT)</t>
  </si>
  <si>
    <t>D.41p (GVT)</t>
  </si>
  <si>
    <t>YAPropN</t>
  </si>
  <si>
    <t>D.7r (GVT)</t>
  </si>
  <si>
    <t>D.7p (GVT)</t>
  </si>
  <si>
    <t>D.611r (GVT)</t>
  </si>
  <si>
    <t xml:space="preserve">   4. Current taxes on income and wealth</t>
  </si>
  <si>
    <t>D5K</t>
  </si>
  <si>
    <t>D5</t>
  </si>
  <si>
    <t xml:space="preserve">   5. Current Transfers paid</t>
  </si>
  <si>
    <t>*142</t>
  </si>
  <si>
    <t>Net capital transactions (rest of the world)</t>
  </si>
  <si>
    <t>INCOME AND EXPENDITURE OF HOUSEHOLDS AND NON-PROFIT INSTITUTIONS SERVING HOUSEHOLDS (S14+S15)</t>
  </si>
  <si>
    <t>ESA -95</t>
  </si>
  <si>
    <t>Code</t>
  </si>
  <si>
    <t xml:space="preserve">   1. Compensation of employees</t>
  </si>
  <si>
    <t>European Commission</t>
  </si>
  <si>
    <t>Directorate-General for Economic and Financial Affairs</t>
  </si>
  <si>
    <t>Economies of the Member States</t>
  </si>
  <si>
    <t>Desk Belgium</t>
  </si>
  <si>
    <t>Author: G. Bethuyne</t>
  </si>
  <si>
    <t xml:space="preserve">Last update: </t>
  </si>
  <si>
    <t>Avenue de Beaulieu 1, B-1160 Brussels</t>
  </si>
  <si>
    <t>Email:</t>
  </si>
  <si>
    <t>CPI</t>
  </si>
  <si>
    <t>TOT. EMPLOYMENT PERSONS</t>
  </si>
  <si>
    <t>LEmpTotD</t>
  </si>
  <si>
    <t>Tax rate relative to GDP</t>
  </si>
  <si>
    <t>Net exports</t>
  </si>
  <si>
    <t>VNX</t>
  </si>
  <si>
    <t xml:space="preserve"> Structural Indicators definitions</t>
  </si>
  <si>
    <t xml:space="preserve"> 10. Unemployment rate, Eurostat definition (%)</t>
  </si>
  <si>
    <t xml:space="preserve"> 11. Activity rate (%)</t>
  </si>
  <si>
    <t xml:space="preserve"> 12. Employment rate (%)</t>
  </si>
  <si>
    <t>Table 8</t>
  </si>
  <si>
    <t>Government net-lending (EDP definition) - Values</t>
  </si>
  <si>
    <t>Government net-lending (EDP definition) - Growth rate</t>
  </si>
  <si>
    <t>Government net-lending (EDP definition) - as % of GDP</t>
  </si>
  <si>
    <t>Debt current year - as % of GDP</t>
  </si>
  <si>
    <t>Debt current year - Growth rate</t>
  </si>
  <si>
    <t>VAL. Gross value added (non-manufacturing)</t>
  </si>
  <si>
    <t>AGG. Gross value added (non-manufacturing)</t>
  </si>
  <si>
    <t>VOL. Gross value added (non-manufacturing)</t>
  </si>
  <si>
    <t>MAN. GROSS VALUE ADDED (VAL)</t>
  </si>
  <si>
    <t>MAN. GROSS VALUE ADDED (VOL)</t>
  </si>
  <si>
    <t>Gross capital formation (P.5)</t>
  </si>
  <si>
    <t>Gross saving (B.8g) / Adj. Disp. Income (B.6g + D.8)</t>
  </si>
  <si>
    <t xml:space="preserve">   7a.  - of which, goods</t>
  </si>
  <si>
    <t xml:space="preserve">  14. Gross saving (5-13)</t>
  </si>
  <si>
    <t>When forecasting a variable (e.g. social contributions - D.61), the sheet automatically enforces consistency between</t>
  </si>
  <si>
    <t xml:space="preserve">sums received and paid and between the aggregates and their components. </t>
  </si>
  <si>
    <t>Non-residential construction and civil engineering</t>
  </si>
  <si>
    <t>Dwellings</t>
  </si>
  <si>
    <t>Construction</t>
  </si>
  <si>
    <t>Equipment</t>
  </si>
  <si>
    <t>Others</t>
  </si>
  <si>
    <t>HH+E</t>
  </si>
  <si>
    <t>==</t>
  </si>
  <si>
    <t>Changes in inventories / valuables (P.51+P.52)</t>
  </si>
  <si>
    <t>Exports of services (P.62)</t>
  </si>
  <si>
    <t xml:space="preserve">  1. Private consumption expenditure</t>
  </si>
  <si>
    <t xml:space="preserve"> 10. Gross domestic product at market prices</t>
  </si>
  <si>
    <t xml:space="preserve">Current taxes on income and wealth (D.5r)  </t>
  </si>
  <si>
    <t>Social contributions (D.61r)</t>
  </si>
  <si>
    <t>GVT: Actual social contributions (D.611r)</t>
  </si>
  <si>
    <t>EYDisp</t>
  </si>
  <si>
    <t>YADisp</t>
  </si>
  <si>
    <t>ERR</t>
  </si>
  <si>
    <t>Hsav</t>
  </si>
  <si>
    <t>Esav</t>
  </si>
  <si>
    <t>Asav</t>
  </si>
  <si>
    <t>*97</t>
  </si>
  <si>
    <t>*110</t>
  </si>
  <si>
    <t>YACapTN</t>
  </si>
  <si>
    <t xml:space="preserve">   Exports (P.6)</t>
  </si>
  <si>
    <t xml:space="preserve">   Final demand</t>
  </si>
  <si>
    <t xml:space="preserve">   Imports (P.7)</t>
  </si>
  <si>
    <t xml:space="preserve">   Gross domestic product (B.1g)</t>
  </si>
  <si>
    <t>Net operating surplus</t>
  </si>
  <si>
    <t>Intermediate consumption (P.2)</t>
  </si>
  <si>
    <t>Social transfers in kind via market producers (D.6311+D.63121+D.63122)</t>
  </si>
  <si>
    <t>p.m. as % of total social transfers in kind (D.63 = P.31)</t>
  </si>
  <si>
    <t>K.1</t>
  </si>
  <si>
    <t>P.2</t>
  </si>
  <si>
    <t>Other subsidies on production received (D.39r)</t>
  </si>
  <si>
    <t>Other taxes on production paid (D.29p)</t>
  </si>
  <si>
    <t>Sales (P.11 + P.12 + P.131)</t>
  </si>
  <si>
    <t>P.11 + P.12</t>
  </si>
  <si>
    <t>P.131</t>
  </si>
  <si>
    <t>P.11 + P.12 + P.131</t>
  </si>
  <si>
    <t>D.6311p + D.63121p + D.63131p</t>
  </si>
  <si>
    <t>GG SALES</t>
  </si>
  <si>
    <t>GG CONSUMPTION OF FIXED CAPITAL</t>
  </si>
  <si>
    <t xml:space="preserve"> L91</t>
  </si>
  <si>
    <t xml:space="preserve"> L93</t>
  </si>
  <si>
    <t xml:space="preserve"> From line 18 onwards : % GDP instead of % change in every second column. Value divided by L47 (current GDP)</t>
  </si>
  <si>
    <t xml:space="preserve"> L113+L114+L115+L117+L125+L143</t>
  </si>
  <si>
    <t xml:space="preserve"> L120+L121+L122+L123+L124+L126+L127+L145+L146</t>
  </si>
  <si>
    <t xml:space="preserve"> (L113+L114+L115+L117+L125+L143)-(L120+L121+L122+L123+L124+L126+L127+L145+L146)</t>
  </si>
  <si>
    <t>Employer's social contr. / employee (values in 1000 euro)</t>
  </si>
  <si>
    <t>Wages &amp; salaries</t>
  </si>
  <si>
    <t>Gross value added (current prices)</t>
  </si>
  <si>
    <t>There are no further forecasts below this line</t>
  </si>
  <si>
    <t>Consumption price indices</t>
  </si>
  <si>
    <t>Harmonized index</t>
  </si>
  <si>
    <t>IND</t>
  </si>
  <si>
    <t>**125</t>
  </si>
  <si>
    <t>*127</t>
  </si>
  <si>
    <t>YANonFinN</t>
  </si>
  <si>
    <t>???</t>
  </si>
  <si>
    <t>*96</t>
  </si>
  <si>
    <t>*109</t>
  </si>
  <si>
    <t>$Hiny</t>
  </si>
  <si>
    <t>$Einy</t>
  </si>
  <si>
    <t>$Ainy</t>
  </si>
  <si>
    <t>HLend</t>
  </si>
  <si>
    <t>Balance of goods</t>
  </si>
  <si>
    <t>Balance of goods and services</t>
  </si>
  <si>
    <t>HICP Q PROCESSED FOOD INCL. ALCOHOL AND TOBACCO</t>
  </si>
  <si>
    <t>HICP Q UNPROCESSED FOOD</t>
  </si>
  <si>
    <t>Difference matrix</t>
  </si>
  <si>
    <t>2006Q1</t>
  </si>
  <si>
    <t>2006Q2</t>
  </si>
  <si>
    <t>2006Q3</t>
  </si>
  <si>
    <t>2006Q4</t>
  </si>
  <si>
    <t>2007Q1</t>
  </si>
  <si>
    <t>2007Q2</t>
  </si>
  <si>
    <t>2007Q3</t>
  </si>
  <si>
    <t>2007Q4</t>
  </si>
  <si>
    <t>2008Q1</t>
  </si>
  <si>
    <t>2008Q2</t>
  </si>
  <si>
    <t>2008Q3</t>
  </si>
  <si>
    <t>2008Q4</t>
  </si>
  <si>
    <t>You can store a transfer matrix for later comparison</t>
  </si>
  <si>
    <t>Adding forecast years / changing old forecast years into historical years</t>
  </si>
  <si>
    <r>
      <t xml:space="preserve">4. You can also </t>
    </r>
    <r>
      <rPr>
        <b/>
        <sz val="11"/>
        <rFont val="Arial"/>
        <family val="2"/>
      </rPr>
      <t>integrate partial historical data</t>
    </r>
  </si>
  <si>
    <t xml:space="preserve">When this system was created (2007), charts were created to cover the period 1995 - 2014. </t>
  </si>
  <si>
    <t>However, after that new forecast years will no longer be shown in the charts unless the data range in all charts is updated.</t>
  </si>
  <si>
    <t xml:space="preserve">   7. Exports of goods and services </t>
  </si>
  <si>
    <t>P6</t>
  </si>
  <si>
    <t>P.61</t>
  </si>
  <si>
    <t>P.62</t>
  </si>
  <si>
    <t>P.6</t>
  </si>
  <si>
    <t>P.71</t>
  </si>
  <si>
    <t>P.72</t>
  </si>
  <si>
    <t>P.7</t>
  </si>
  <si>
    <t>ON</t>
  </si>
  <si>
    <t>VIO</t>
  </si>
  <si>
    <t>$ACIndv</t>
  </si>
  <si>
    <t>$ACColl</t>
  </si>
  <si>
    <t>$AICstNonR</t>
  </si>
  <si>
    <t>$PrvICstNonR</t>
  </si>
  <si>
    <t>$ICstNonR</t>
  </si>
  <si>
    <t>$ICstR</t>
  </si>
  <si>
    <t xml:space="preserve">   3. Current Transfers received</t>
  </si>
  <si>
    <t>Wage &amp; salary earners (public sector)</t>
  </si>
  <si>
    <t>LEmpDPubl</t>
  </si>
  <si>
    <t>Between here</t>
  </si>
  <si>
    <r>
      <t>===</t>
    </r>
    <r>
      <rPr>
        <b/>
        <sz val="12"/>
        <color indexed="9"/>
        <rFont val="Arial"/>
        <family val="2"/>
      </rPr>
      <t>&gt;</t>
    </r>
  </si>
  <si>
    <r>
      <t>&lt;</t>
    </r>
    <r>
      <rPr>
        <sz val="12"/>
        <color indexed="9"/>
        <rFont val="Arial"/>
        <family val="2"/>
      </rPr>
      <t>===</t>
    </r>
  </si>
  <si>
    <t>and here is the comparison matrix.</t>
  </si>
  <si>
    <t>It is selected from the stored transfer matrices</t>
  </si>
  <si>
    <t>by selecting an option in the Tables sheet</t>
  </si>
  <si>
    <t>Sweden</t>
  </si>
  <si>
    <t>SWE</t>
  </si>
  <si>
    <t>bn SEK</t>
  </si>
  <si>
    <t xml:space="preserve">  22. General government consolidated gross debt</t>
  </si>
  <si>
    <t xml:space="preserve">  23. Tax burden = D2(incl. paid to EU)+D5+D611+D91-D995</t>
  </si>
  <si>
    <t xml:space="preserve">  23. Tax burden = D2 (incl. paid to EU)+D5+D611+D91-D995</t>
  </si>
  <si>
    <t>Final domestic demand (excl. inventories)</t>
  </si>
  <si>
    <t xml:space="preserve">Changes in inventories and net acquisition of valuables as % of GDP                        </t>
  </si>
  <si>
    <t xml:space="preserve">  L37-L120-L144-L145-L146+L143</t>
  </si>
  <si>
    <t xml:space="preserve">  L119</t>
  </si>
  <si>
    <t xml:space="preserve">  L118</t>
  </si>
  <si>
    <t xml:space="preserve"> L137</t>
  </si>
  <si>
    <t xml:space="preserve">   7. Change in net equity in pension funds</t>
  </si>
  <si>
    <t>D8</t>
  </si>
  <si>
    <t xml:space="preserve">   8. Adjusted gross disposable income (6+7)</t>
  </si>
  <si>
    <t>B7g</t>
  </si>
  <si>
    <t>TOTAL POPULATION</t>
  </si>
  <si>
    <r>
      <t xml:space="preserve">The labour sheet is used to forecast all variables related to the </t>
    </r>
    <r>
      <rPr>
        <b/>
        <sz val="11"/>
        <rFont val="Arial"/>
        <family val="2"/>
      </rPr>
      <t>labour market</t>
    </r>
    <r>
      <rPr>
        <sz val="11"/>
        <rFont val="Arial"/>
        <family val="2"/>
      </rPr>
      <t xml:space="preserve"> (population, employment, wages &amp; productivity).</t>
    </r>
  </si>
  <si>
    <t>Here, volumes are expressed in constant prices (e.g. prices of 2000).</t>
  </si>
  <si>
    <t xml:space="preserve">The growth rates obtained in VVP2 will then be used to determine the volume growth in previous year's prices. </t>
  </si>
  <si>
    <t xml:space="preserve">   3. Social contributions</t>
  </si>
  <si>
    <t>D61</t>
  </si>
  <si>
    <r>
      <t>Quart</t>
    </r>
    <r>
      <rPr>
        <sz val="11"/>
        <rFont val="Arial"/>
        <family val="2"/>
      </rPr>
      <t xml:space="preserve"> contains all variables forecasted on a quarterly basis.</t>
    </r>
  </si>
  <si>
    <r>
      <t>Labour</t>
    </r>
    <r>
      <rPr>
        <sz val="11"/>
        <rFont val="Arial"/>
        <family val="2"/>
      </rPr>
      <t xml:space="preserve"> contains all data related to population and labour market (employment, wages &amp; productivity)</t>
    </r>
  </si>
  <si>
    <r>
      <t>Sector</t>
    </r>
    <r>
      <rPr>
        <sz val="11"/>
        <rFont val="Arial"/>
        <family val="2"/>
      </rPr>
      <t xml:space="preserve"> contains all data attributed to different sectors (government, households, corporations and rest of the world).</t>
    </r>
  </si>
  <si>
    <t>VOL. CHANGE IN INVENTORIES</t>
  </si>
  <si>
    <t>GVT: Property income (received) (D.4r)</t>
  </si>
  <si>
    <t>GVT: Property income (paid, excluding interests) (D.4-D.41p)</t>
  </si>
  <si>
    <t>Scrolling down, the first part of the sheet contains all volumes developments, the second part values and the third implicit prices.</t>
  </si>
  <si>
    <t>*141</t>
  </si>
  <si>
    <t>YTaxDir</t>
  </si>
  <si>
    <t>YRowTaxDir</t>
  </si>
  <si>
    <t>*93</t>
  </si>
  <si>
    <t>*106</t>
  </si>
  <si>
    <t>YHTSoc (*)</t>
  </si>
  <si>
    <t>YESoc (*)</t>
  </si>
  <si>
    <t>AYTaxSoc</t>
  </si>
  <si>
    <t>TSocToRow (*)</t>
  </si>
  <si>
    <t>*91</t>
  </si>
  <si>
    <t>YHTot</t>
  </si>
  <si>
    <t>YETot</t>
  </si>
  <si>
    <t>YATot</t>
  </si>
  <si>
    <t>*124</t>
  </si>
  <si>
    <t>$HTSoc (*)</t>
  </si>
  <si>
    <t>TSocFrRow (*)</t>
  </si>
  <si>
    <t>$ATH</t>
  </si>
  <si>
    <t>YHDisp</t>
  </si>
  <si>
    <r>
      <t>VVP1</t>
    </r>
    <r>
      <rPr>
        <sz val="11"/>
        <rFont val="Arial"/>
        <family val="2"/>
      </rPr>
      <t xml:space="preserve"> contains </t>
    </r>
    <r>
      <rPr>
        <b/>
        <sz val="11"/>
        <rFont val="Arial"/>
        <family val="2"/>
      </rPr>
      <t>five columns for every year</t>
    </r>
    <r>
      <rPr>
        <sz val="11"/>
        <rFont val="Arial"/>
        <family val="2"/>
      </rPr>
      <t>, expressing:</t>
    </r>
  </si>
  <si>
    <t>VOL. IMPORTS OF GOODS (FOB)</t>
  </si>
  <si>
    <t>VOL. IMPORTS OF SERVICES</t>
  </si>
  <si>
    <t>VMS</t>
  </si>
  <si>
    <t>VOL. GROSS DOMESTIC PRODUCT</t>
  </si>
  <si>
    <t>FOR FUTURE USE</t>
  </si>
  <si>
    <t xml:space="preserve"> </t>
  </si>
  <si>
    <t>This allows you to store the values of up to five transfer matrices.</t>
  </si>
  <si>
    <t>$ETaxSoc</t>
  </si>
  <si>
    <t>131/*140</t>
  </si>
  <si>
    <t>Taxes on products (D.2r) (Taxes paid to RoW)</t>
  </si>
  <si>
    <t>D.2r (EXT)</t>
  </si>
  <si>
    <t>D.3p (EXT)</t>
  </si>
  <si>
    <t>133/*141</t>
  </si>
  <si>
    <t>Subsidies on products (D.3p) (Subsidies from RoW)</t>
  </si>
  <si>
    <t>Nevertheless, the system is capable to transfer in constant prices when using chain linking (or vice versa).</t>
  </si>
  <si>
    <t>In sheet VVP1, select the block of 5 columns for t-2 and copy to the right (overwriting the old forecast columns for t-1).</t>
  </si>
  <si>
    <t>MAN. EMPLOYMENT F.T.E.</t>
  </si>
  <si>
    <t>TOT. EMPLOYMENT F.T.E.</t>
  </si>
  <si>
    <t>One-off measures</t>
  </si>
  <si>
    <t>One-offs</t>
  </si>
  <si>
    <t>1FS</t>
  </si>
  <si>
    <t>Global settings:</t>
  </si>
  <si>
    <t>Country:</t>
  </si>
  <si>
    <t>Employment rate</t>
  </si>
  <si>
    <t>Household consumption</t>
  </si>
  <si>
    <t>Quarter on quarter growth rates</t>
  </si>
  <si>
    <t>Domestic demand (incl. inventories)</t>
  </si>
  <si>
    <t>Overview table</t>
  </si>
  <si>
    <t>HICP Q EXCL. ENERGY AND UNPROCESSED FOOD</t>
  </si>
  <si>
    <t>HICP Q NON-ENERGY INDUSTRIAL GOODS</t>
  </si>
  <si>
    <t>HICP Q ENERGY</t>
  </si>
  <si>
    <t>A particular section is the calculation of gross value added (GVA) and Gross operating surplus (GOS)</t>
  </si>
  <si>
    <t>You can use them to save the values as they were transfered in the preliminary or provisional storage (or any other you prefer).</t>
  </si>
  <si>
    <t xml:space="preserve">These can be used for comparison, to see what has changed between two storages. </t>
  </si>
  <si>
    <t>VAL. G.F.C.F. EQUIPMENT</t>
  </si>
  <si>
    <t xml:space="preserve"> ((L87+L89+L90+L91-L92-L93) + L94) - L95</t>
  </si>
  <si>
    <t xml:space="preserve"> (((L87+L89+L90+L91-L92-L93) + L94) - L95) : ((L87+L89+L90+L91-L92-L93) + L94)</t>
  </si>
  <si>
    <t xml:space="preserve"> L96</t>
  </si>
  <si>
    <t xml:space="preserve"> L97</t>
  </si>
  <si>
    <t xml:space="preserve"> (((L87+L89+L90+L91-L92-L93) + L94) - L95) - L96 - L97</t>
  </si>
  <si>
    <t xml:space="preserve"> Table-line 15 : L47</t>
  </si>
  <si>
    <t xml:space="preserve"> L76</t>
  </si>
  <si>
    <t xml:space="preserve"> L78+L79</t>
  </si>
  <si>
    <t xml:space="preserve"> (L78+L79) : L76</t>
  </si>
  <si>
    <t xml:space="preserve"> L79</t>
  </si>
  <si>
    <t xml:space="preserve"> L83 or L63 (if L83 is not filled)</t>
  </si>
  <si>
    <t xml:space="preserve"> L79-L83 or L79-L63 (if L83 is not filled)</t>
  </si>
  <si>
    <t xml:space="preserve"> L79:L76</t>
  </si>
  <si>
    <t xml:space="preserve"> L78</t>
  </si>
  <si>
    <t xml:space="preserve"> L58:L59</t>
  </si>
  <si>
    <t xml:space="preserve"> L62:L63</t>
  </si>
  <si>
    <t xml:space="preserve"> (L61-L62) : L63</t>
  </si>
  <si>
    <t xml:space="preserve">  3b. - of which other construction</t>
  </si>
  <si>
    <t>HICP Q SERVICES</t>
  </si>
  <si>
    <t xml:space="preserve">  5. Inventories</t>
  </si>
  <si>
    <t xml:space="preserve">  6. Domestic demand (incl. inventories)</t>
  </si>
  <si>
    <t xml:space="preserve">  5. Change in inventories and net-acquisition of valuables</t>
  </si>
  <si>
    <t xml:space="preserve">  7a.  - of which goods</t>
  </si>
  <si>
    <t xml:space="preserve">  7b.  - of which services</t>
  </si>
  <si>
    <t xml:space="preserve">  6. Domestic demand (incl. inventories) (4+5)</t>
  </si>
  <si>
    <t xml:space="preserve">  9a.  - of which goods</t>
  </si>
  <si>
    <t xml:space="preserve">  9b.  - of which services</t>
  </si>
  <si>
    <t xml:space="preserve"> 12. Change in inventories + net acq. of valuables</t>
  </si>
  <si>
    <t xml:space="preserve"> 13. External balance of goods and services </t>
  </si>
  <si>
    <t xml:space="preserve">   4. Domestic demand (excl. inventories)</t>
  </si>
  <si>
    <t xml:space="preserve">   6. Domestic demand (incl. inventories)</t>
  </si>
  <si>
    <t xml:space="preserve">   5. Change in inventories + net acquisition of valuables</t>
  </si>
  <si>
    <t xml:space="preserve">       (as % of GDP)</t>
  </si>
  <si>
    <t xml:space="preserve">   5. Change in inventories + net acq. of valuables (% of GDP)</t>
  </si>
  <si>
    <t xml:space="preserve"> 11. Domestic demand (excl. inventories)</t>
  </si>
  <si>
    <t xml:space="preserve"> 14. Consumer prices national index)</t>
  </si>
  <si>
    <t xml:space="preserve"> L167</t>
  </si>
  <si>
    <t xml:space="preserve"> L168</t>
  </si>
  <si>
    <t xml:space="preserve"> L169</t>
  </si>
  <si>
    <t xml:space="preserve"> L170</t>
  </si>
  <si>
    <t xml:space="preserve"> L171</t>
  </si>
  <si>
    <t xml:space="preserve"> L166</t>
  </si>
  <si>
    <t xml:space="preserve"> L172</t>
  </si>
  <si>
    <t xml:space="preserve"> L173</t>
  </si>
  <si>
    <t>Gross operating surplus / mixed income (B.2g)</t>
  </si>
  <si>
    <t>D.4p - D.41p (GVT)</t>
  </si>
  <si>
    <t>$AProp - $AInt</t>
  </si>
  <si>
    <t>D.7p (E)</t>
  </si>
  <si>
    <t>D.61r (E)</t>
  </si>
  <si>
    <t>D.62p (E)</t>
  </si>
  <si>
    <t>AGG. GFCF in other domestic sectors</t>
  </si>
  <si>
    <t>VOL. GFCF in other domestic sectors</t>
  </si>
  <si>
    <t>QUART. VOL. FINAL DEMAND (cols 2-13)</t>
  </si>
  <si>
    <t>QUART. VOL. IMPORTS G AND S (cols 2-13)</t>
  </si>
  <si>
    <t>QUART. VOL. GROSS DOM. PRODUCT (cols 2-13)</t>
  </si>
  <si>
    <t>National index (optional)</t>
  </si>
  <si>
    <t xml:space="preserve"> ((L114 t - L114 t-1) ÷ L114 t-1) ÷ ((L47 t - L47 t-1) ÷ L47 t-1)</t>
  </si>
  <si>
    <t xml:space="preserve"> L159 col 1</t>
  </si>
  <si>
    <t xml:space="preserve"> L114 ÷ L47</t>
  </si>
  <si>
    <t>((L114 t ÷ L114 t-1) - (L163 col 1 × (L47 t ÷ L47 t-1))) × (L114 t-1 ÷ L47 t)</t>
  </si>
  <si>
    <t xml:space="preserve"> ((L115 t - L115 t-1) ÷ L115 t-1) ÷ ((L61 t - L61 t-1) ÷ L61 t-1)</t>
  </si>
  <si>
    <t xml:space="preserve"> L160 col 1</t>
  </si>
  <si>
    <t xml:space="preserve"> L115 ÷ L61</t>
  </si>
  <si>
    <t>((L115 t ÷ L115 t-1) - (L164 col 1 × (L61 t ÷ L61 t-1))) × (L115 t-1 ÷ L47 t)</t>
  </si>
  <si>
    <t xml:space="preserve"> L113</t>
  </si>
  <si>
    <t xml:space="preserve"> L114</t>
  </si>
  <si>
    <t xml:space="preserve"> L92</t>
  </si>
  <si>
    <t xml:space="preserve"> L115</t>
  </si>
  <si>
    <t xml:space="preserve"> L116</t>
  </si>
  <si>
    <t xml:space="preserve"> L145</t>
  </si>
  <si>
    <t xml:space="preserve"> L121</t>
  </si>
  <si>
    <t xml:space="preserve"> L122</t>
  </si>
  <si>
    <t xml:space="preserve"> L123</t>
  </si>
  <si>
    <t xml:space="preserve"> L124</t>
  </si>
  <si>
    <t>Differences exceeding a chosen tolerance level will be highlighted.</t>
  </si>
  <si>
    <t>Sheet</t>
  </si>
  <si>
    <t>Row</t>
  </si>
  <si>
    <t xml:space="preserve">   17. Taxes net of subsidies (18-19)</t>
  </si>
  <si>
    <t>GG ONE-OFF MEASURES (REVENUE SIDE)</t>
  </si>
  <si>
    <t>GG ONE-OFF MEASURES (EXPENDITURE SIDE)</t>
  </si>
  <si>
    <t>1OFS (REVENUE SIDE)</t>
  </si>
  <si>
    <t>1OFS (EXPENDITURE SIDE)</t>
  </si>
  <si>
    <t>One-offs (Revenue side)</t>
  </si>
  <si>
    <t>One-offs (Expenditure side)</t>
  </si>
  <si>
    <t>1FSR</t>
  </si>
  <si>
    <t>1FSE</t>
  </si>
  <si>
    <t>p.m. implicit values for private sector</t>
  </si>
  <si>
    <t>HICP Y WEIGHT NON-ENERGY INDUSTRIAL GOODS</t>
  </si>
  <si>
    <t>HICP Y WEIGHT ENERGY</t>
  </si>
  <si>
    <t>HICP Y WEIGHT PROCESSED FOOD INCL. ALCOHOL AND TOBACCO</t>
  </si>
  <si>
    <t>HICP Y WEIGHT UNPROCESSED FOOD</t>
  </si>
  <si>
    <t>HICP Y WEIGHT SERVICES</t>
  </si>
  <si>
    <t>HICP Y INDEX EXCL. ENERGY AND UNPROCESSED FOOD</t>
  </si>
  <si>
    <t>Residual</t>
  </si>
  <si>
    <t>*161</t>
  </si>
  <si>
    <t>*162</t>
  </si>
  <si>
    <t>*163</t>
  </si>
  <si>
    <t>*164</t>
  </si>
  <si>
    <t>*165</t>
  </si>
  <si>
    <t>Annual HICP WEIGHTS</t>
  </si>
  <si>
    <t>*177</t>
  </si>
  <si>
    <t xml:space="preserve">  11a. Non-energy industrial goods</t>
  </si>
  <si>
    <t xml:space="preserve">  11c. Processed food (incl. alcohol and tobacco)</t>
  </si>
  <si>
    <t xml:space="preserve">  11d. Unprocessed food</t>
  </si>
  <si>
    <t xml:space="preserve">  11e. Services</t>
  </si>
  <si>
    <t xml:space="preserve">  11b. Energy</t>
  </si>
  <si>
    <t>2. Taxes less subsidies on production (D.29 - D.39) is forecasted for HH, E and GVT (in Sector1)</t>
  </si>
  <si>
    <t>3. Gross operating surplus (B.2g) is forecasted for HH and GVT in Sector1 (but not for E !)</t>
  </si>
  <si>
    <t>1. Gross value added of HH and GVT = B.2g + (D.29 - D.39) + D.1p</t>
  </si>
  <si>
    <t>2. Gross value added of E = GVA(ECO) - GVA(GVT) - GVA(HH)</t>
  </si>
  <si>
    <t>3. Gross operating surplus (B.2g) of E = GVA[E] - D.1p - (D.29 - D.39)</t>
  </si>
  <si>
    <t>For the total economy (ECO):</t>
  </si>
  <si>
    <t>D.21 - D.31</t>
  </si>
  <si>
    <t>GVA[ECO] = B.1g - (D.21 - D.31)</t>
  </si>
  <si>
    <t>GG EDP REPORTED DEFICIT / SURPLUS</t>
  </si>
  <si>
    <t>Prices</t>
  </si>
  <si>
    <t>Household consumption (deflator)</t>
  </si>
  <si>
    <t xml:space="preserve"> Table-line 10 : L47</t>
  </si>
  <si>
    <t xml:space="preserve"> L109</t>
  </si>
  <si>
    <t xml:space="preserve"> L110</t>
  </si>
  <si>
    <t xml:space="preserve"> ((L100+L101-L102-L103) + L105 + L106 - L107 - L108) - L109 - L110</t>
  </si>
  <si>
    <t xml:space="preserve"> Table-line 13 : L47</t>
  </si>
  <si>
    <t>GVA[HH] 
= B.2g[HH] + D.29[HH] - D.39[HH] + D.1p[HH]</t>
  </si>
  <si>
    <t>GVA[GVT] 
= B.2g[GVT] + D.29[GVT] - D.39[GVT] + D.1p[GVT]</t>
  </si>
  <si>
    <t>D.1p[GVT]</t>
  </si>
  <si>
    <t>D29p[GVT] - D39r[GVT]</t>
  </si>
  <si>
    <t>B.2g[GVT]</t>
  </si>
  <si>
    <t>D.1p[E]</t>
  </si>
  <si>
    <t>D29p[E] - D39r[E]</t>
  </si>
  <si>
    <t>Taxes on income and wealth (direct taxes)</t>
  </si>
  <si>
    <t>Social contributions</t>
  </si>
  <si>
    <t xml:space="preserve">   Subsidies (D.3 = D.31+D.39)</t>
  </si>
  <si>
    <t>Implicitly, GVA for the total economy is forecasted as B.1g - (D.21 - D.31)</t>
  </si>
  <si>
    <t>In doing so, we also implicitly forecast:</t>
  </si>
  <si>
    <r>
      <t xml:space="preserve">To </t>
    </r>
    <r>
      <rPr>
        <b/>
        <sz val="11"/>
        <rFont val="Arial"/>
        <family val="2"/>
      </rPr>
      <t>make a forecast</t>
    </r>
    <r>
      <rPr>
        <sz val="11"/>
        <rFont val="Arial"/>
        <family val="2"/>
      </rPr>
      <t>, fill the yellow cells, go to the transfer sheet, press the button 'transfer forecast data' and you're done.</t>
    </r>
  </si>
  <si>
    <t xml:space="preserve">   Government consumption expenditure (P.3)</t>
  </si>
  <si>
    <t xml:space="preserve">   Private consumption expenditure (P.3)</t>
  </si>
  <si>
    <t xml:space="preserve">   Gross fixed capital formation (P.51)</t>
  </si>
  <si>
    <t xml:space="preserve">  4. Domestic demand (excl. inventories) (1+2+3)</t>
  </si>
  <si>
    <t xml:space="preserve">VAL. Exports of goods and services </t>
  </si>
  <si>
    <t>VAL. Domestic demand excl. Inventories</t>
  </si>
  <si>
    <t>AGG. Domestic demand excl. Inventories</t>
  </si>
  <si>
    <t>VOL. Domestic demand excl. Inventories</t>
  </si>
  <si>
    <t xml:space="preserve">   5. Imports of services (a)</t>
  </si>
  <si>
    <t>p.m. Total labour force</t>
  </si>
  <si>
    <t xml:space="preserve">   1a.  - of which, gross wages and salaries</t>
  </si>
  <si>
    <t>D11</t>
  </si>
  <si>
    <t>GG SOCIAL TRANSFERS OTHER THAN IN KIND</t>
  </si>
  <si>
    <t>$ATToH</t>
  </si>
  <si>
    <t>GG INTEREST excl SWAPS</t>
  </si>
  <si>
    <t>$AInt</t>
  </si>
  <si>
    <t>GG SUBSIDIES</t>
  </si>
  <si>
    <t>GG OTHER CURRENT EXPENDITURE</t>
  </si>
  <si>
    <t>Employment / Unemployment</t>
  </si>
  <si>
    <t>Registered unemployment</t>
  </si>
  <si>
    <t>ULUemp</t>
  </si>
  <si>
    <t>1000 persons</t>
  </si>
  <si>
    <t>x</t>
  </si>
  <si>
    <t>Growth (1000 persons)</t>
  </si>
  <si>
    <t>ULage</t>
  </si>
  <si>
    <t xml:space="preserve">   3. Gross fixed capital formation</t>
  </si>
  <si>
    <t xml:space="preserve">Current taxes on income and wealth (D.5)  </t>
  </si>
  <si>
    <t>Compensation of employees (D.1)</t>
  </si>
  <si>
    <t>Taxes on production and imports (D.2 = D.21+D.29)</t>
  </si>
  <si>
    <t>Subsidies (D.3 = D.31+D.39)</t>
  </si>
  <si>
    <r>
      <t xml:space="preserve">All variables (aggregates) affected by chain linking are marked in </t>
    </r>
    <r>
      <rPr>
        <b/>
        <sz val="11"/>
        <color indexed="10"/>
        <rFont val="Arial"/>
        <family val="2"/>
      </rPr>
      <t xml:space="preserve">red </t>
    </r>
    <r>
      <rPr>
        <sz val="11"/>
        <rFont val="Arial"/>
        <family val="2"/>
      </rPr>
      <t xml:space="preserve">and have </t>
    </r>
    <r>
      <rPr>
        <b/>
        <sz val="11"/>
        <color indexed="10"/>
        <rFont val="Arial"/>
        <family val="2"/>
      </rPr>
      <t>AG</t>
    </r>
    <r>
      <rPr>
        <sz val="11"/>
        <rFont val="Arial"/>
        <family val="2"/>
      </rPr>
      <t xml:space="preserve"> in the left margin. </t>
    </r>
  </si>
  <si>
    <r>
      <t>Quart</t>
    </r>
    <r>
      <rPr>
        <sz val="11"/>
        <rFont val="Arial"/>
        <family val="2"/>
      </rPr>
      <t xml:space="preserve"> contains all variables to be forecasted on a quarterly basis and has </t>
    </r>
    <r>
      <rPr>
        <b/>
        <sz val="11"/>
        <rFont val="Arial"/>
        <family val="2"/>
      </rPr>
      <t>one column per quarter</t>
    </r>
    <r>
      <rPr>
        <sz val="11"/>
        <rFont val="Arial"/>
        <family val="2"/>
      </rPr>
      <t>.</t>
    </r>
  </si>
  <si>
    <t xml:space="preserve">   7a. p.m. 7 as % of GDP</t>
  </si>
  <si>
    <r>
      <t xml:space="preserve">In the </t>
    </r>
    <r>
      <rPr>
        <b/>
        <sz val="11"/>
        <rFont val="Arial"/>
        <family val="2"/>
      </rPr>
      <t xml:space="preserve">Autumn </t>
    </r>
    <r>
      <rPr>
        <sz val="11"/>
        <rFont val="Arial"/>
        <family val="2"/>
      </rPr>
      <t>and</t>
    </r>
    <r>
      <rPr>
        <b/>
        <sz val="11"/>
        <rFont val="Arial"/>
        <family val="2"/>
      </rPr>
      <t xml:space="preserve"> Spring forecast</t>
    </r>
    <r>
      <rPr>
        <sz val="11"/>
        <rFont val="Arial"/>
        <family val="2"/>
      </rPr>
      <t>, you should have historical data for the early quarters of the first forecast year.</t>
    </r>
  </si>
  <si>
    <t xml:space="preserve"> External files XXXKEY (XXX : 3-letter country name) created in ECFIN A-4 Consistency exercise</t>
  </si>
  <si>
    <t>Wage and salary earners (domestic - full time equivalent)</t>
  </si>
  <si>
    <t>Wage &amp; salary earners (national)</t>
  </si>
  <si>
    <t>Elasticity w.r.t. GOS</t>
  </si>
  <si>
    <t xml:space="preserve">Note: </t>
  </si>
  <si>
    <t>To see labels attached to the data points,</t>
  </si>
  <si>
    <t>you need to install pup6 add in.</t>
  </si>
  <si>
    <t>Go to Tools, Add-in and browse.</t>
  </si>
  <si>
    <t>You will find pup6 on your c drive under program files</t>
  </si>
  <si>
    <t>Investment in inventories  (deflator)</t>
  </si>
  <si>
    <t>Exports  (deflator)</t>
  </si>
  <si>
    <t>Exports (deflator)</t>
  </si>
  <si>
    <t>Other current transfers (Net) (D.7)</t>
  </si>
  <si>
    <t>RowTON</t>
  </si>
  <si>
    <t>Other capital transfers (D.9r-D.91r)</t>
  </si>
  <si>
    <t xml:space="preserve">   6. Export markets total</t>
  </si>
  <si>
    <t xml:space="preserve">   Domestic demand</t>
  </si>
  <si>
    <t>VDDE</t>
  </si>
  <si>
    <t>VDDI</t>
  </si>
  <si>
    <t>VFD</t>
  </si>
  <si>
    <t xml:space="preserve">   Consumption expenditure (P.3)</t>
  </si>
  <si>
    <t xml:space="preserve">   Employment</t>
  </si>
  <si>
    <t xml:space="preserve">   Hours worked / FTE Employment</t>
  </si>
  <si>
    <t>HICP (calculated)</t>
  </si>
  <si>
    <t>*172</t>
  </si>
  <si>
    <t>*173</t>
  </si>
  <si>
    <t>*174</t>
  </si>
  <si>
    <t>*175</t>
  </si>
  <si>
    <t>*176</t>
  </si>
  <si>
    <t>When copying formulas, always copy Q1 into Q1 etc. (instead of Q1 into Q2)</t>
  </si>
  <si>
    <t>YACap</t>
  </si>
  <si>
    <t>D.9r (GVT)</t>
  </si>
  <si>
    <t>D.995</t>
  </si>
  <si>
    <t>GVT: Unpaid taxes (D.995)</t>
  </si>
  <si>
    <t xml:space="preserve">COR COMPENSATION OF EMPLOYEES </t>
  </si>
  <si>
    <t>$EComp</t>
  </si>
  <si>
    <t>COR GROSS OPERATING SURPLUS</t>
  </si>
  <si>
    <t>YEGos</t>
  </si>
  <si>
    <t>COR PROPERTY INCOME (NET)</t>
  </si>
  <si>
    <t>YEPropN</t>
  </si>
  <si>
    <t>Compensation of employees (D.1p) (Domestic)</t>
  </si>
  <si>
    <t>Compensation of employees (Net) (D.1)</t>
  </si>
  <si>
    <t>CompRowN</t>
  </si>
  <si>
    <t>Gross domestic product (B.1g)</t>
  </si>
  <si>
    <t>Sectors as % of total economy</t>
  </si>
  <si>
    <t>Value at current prices</t>
  </si>
  <si>
    <t>level</t>
  </si>
  <si>
    <t>% change</t>
  </si>
  <si>
    <r>
      <t xml:space="preserve">In the </t>
    </r>
    <r>
      <rPr>
        <b/>
        <sz val="11"/>
        <rFont val="Arial"/>
        <family val="2"/>
      </rPr>
      <t>Autumn forecast</t>
    </r>
    <r>
      <rPr>
        <sz val="11"/>
        <rFont val="Arial"/>
        <family val="2"/>
      </rPr>
      <t xml:space="preserve"> of year t, historical data should be available for t-1 (see also item 1).</t>
    </r>
  </si>
  <si>
    <t xml:space="preserve">   2. US dollar (1 USD = )</t>
  </si>
  <si>
    <t>Interest rates, annual average</t>
  </si>
  <si>
    <t>$ADebt[t-1]</t>
  </si>
  <si>
    <t>$ACapT</t>
  </si>
  <si>
    <t>$AI</t>
  </si>
  <si>
    <t>$AIny</t>
  </si>
  <si>
    <t>Gross domestic product (constant prices)</t>
  </si>
  <si>
    <t>D.21r (GVT)</t>
  </si>
  <si>
    <t xml:space="preserve">  19. Total government expenditure (13+16+17)</t>
  </si>
  <si>
    <t xml:space="preserve">  18. Total government revenue (5+15)</t>
  </si>
  <si>
    <t>Contributions to growth</t>
  </si>
  <si>
    <t>Domestic demand</t>
  </si>
  <si>
    <t>Text</t>
  </si>
  <si>
    <t>Lpop</t>
  </si>
  <si>
    <t>Lage</t>
  </si>
  <si>
    <t>NP</t>
  </si>
  <si>
    <t>NN</t>
  </si>
  <si>
    <t>Domestic demand excluding inventories</t>
  </si>
  <si>
    <t>Domestic demand including inventories</t>
  </si>
  <si>
    <t>$ETaxDir</t>
  </si>
  <si>
    <t>COR CHANGE IN NET EQUITY IN PENSION FUNDS</t>
  </si>
  <si>
    <t>All links should be updated automatically.</t>
  </si>
  <si>
    <r>
      <t>Sectors2</t>
    </r>
    <r>
      <rPr>
        <sz val="11"/>
        <rFont val="Arial"/>
        <family val="2"/>
      </rPr>
      <t xml:space="preserve"> is</t>
    </r>
    <r>
      <rPr>
        <b/>
        <sz val="11"/>
        <rFont val="Arial"/>
        <family val="2"/>
      </rPr>
      <t xml:space="preserve"> </t>
    </r>
    <r>
      <rPr>
        <sz val="11"/>
        <rFont val="Arial"/>
        <family val="2"/>
      </rPr>
      <t>an</t>
    </r>
    <r>
      <rPr>
        <b/>
        <sz val="11"/>
        <rFont val="Arial"/>
        <family val="2"/>
      </rPr>
      <t xml:space="preserve"> </t>
    </r>
    <r>
      <rPr>
        <sz val="11"/>
        <rFont val="Arial"/>
        <family val="2"/>
      </rPr>
      <t xml:space="preserve">overview sheet </t>
    </r>
    <r>
      <rPr>
        <sz val="11"/>
        <rFont val="Arial"/>
        <family val="2"/>
      </rPr>
      <t>and follows the standard order of ESA95. It groups information in 4 economic sectors</t>
    </r>
  </si>
  <si>
    <t>Other taxes less subsidies on production (D.29p - D.39r)</t>
  </si>
  <si>
    <t>- growth rate in volumes</t>
  </si>
  <si>
    <t>- level, expressed in previous year's prices (PYP)</t>
  </si>
  <si>
    <t>- level in values</t>
  </si>
  <si>
    <r>
      <t xml:space="preserve">% p </t>
    </r>
    <r>
      <rPr>
        <b/>
        <sz val="10"/>
        <color indexed="9"/>
        <rFont val="Symbol"/>
        <family val="1"/>
        <charset val="2"/>
      </rPr>
      <t>D</t>
    </r>
  </si>
  <si>
    <r>
      <t xml:space="preserve">% val </t>
    </r>
    <r>
      <rPr>
        <b/>
        <sz val="10"/>
        <color indexed="9"/>
        <rFont val="Symbol"/>
        <family val="1"/>
        <charset val="2"/>
      </rPr>
      <t>D</t>
    </r>
  </si>
  <si>
    <t>YEDisp</t>
  </si>
  <si>
    <t>YDisp</t>
  </si>
  <si>
    <t>Total compensation / employee (private)</t>
  </si>
  <si>
    <t>Total compensation / employee (public)</t>
  </si>
  <si>
    <t>Total compensation / employee (domestic)</t>
  </si>
  <si>
    <t>VOLUMES</t>
  </si>
  <si>
    <t>VOL. PRIVATE CONSUMPTION EXPEND.</t>
  </si>
  <si>
    <t>VPrvC</t>
  </si>
  <si>
    <t xml:space="preserve">   Taxes on production and imports (D.2r = D.21r+D.29r)</t>
  </si>
  <si>
    <t xml:space="preserve">   Current taxes on income and wealth (D.5r)  </t>
  </si>
  <si>
    <t>Gross operating surplus (B.2g) / Mixed income (implicit)</t>
  </si>
  <si>
    <t>Interest paid (D.41p)</t>
  </si>
  <si>
    <t>Previous year prices series</t>
  </si>
  <si>
    <t>D.3p (GVT)</t>
  </si>
  <si>
    <t>D.62p (GVT)</t>
  </si>
  <si>
    <t>D.91r (GVT)</t>
  </si>
  <si>
    <t>D.1p (GVT)</t>
  </si>
  <si>
    <t>D.9p</t>
  </si>
  <si>
    <t>P.51 (GVT)</t>
  </si>
  <si>
    <t>D.41p (GVT - EDP)</t>
  </si>
  <si>
    <t>UG</t>
  </si>
  <si>
    <t>YHGrVadd</t>
  </si>
  <si>
    <t>UH</t>
  </si>
  <si>
    <t>$HTaxOth</t>
  </si>
  <si>
    <t>YHSubOth</t>
  </si>
  <si>
    <t>$HComp</t>
  </si>
  <si>
    <t>YHTSoc(1)</t>
  </si>
  <si>
    <t>YHTSoc(2)</t>
  </si>
  <si>
    <t>YHTO</t>
  </si>
  <si>
    <t>$HTaxSoc</t>
  </si>
  <si>
    <t>$HTO</t>
  </si>
  <si>
    <t>HChEqPenR</t>
  </si>
  <si>
    <t>YHTCap</t>
  </si>
  <si>
    <t>$HTCap</t>
  </si>
  <si>
    <t>HNonFinN</t>
  </si>
  <si>
    <t>B.1g (HH)</t>
  </si>
  <si>
    <t>D.29p (HH)</t>
  </si>
  <si>
    <t>D.39r (HH)</t>
  </si>
  <si>
    <t>D.1r (HH)</t>
  </si>
  <si>
    <t>D.11r (HH)</t>
  </si>
  <si>
    <t>D.1p</t>
  </si>
  <si>
    <t>D.4r (HH)</t>
  </si>
  <si>
    <t>D.4p (HH)</t>
  </si>
  <si>
    <t>D.61r (HH)</t>
  </si>
  <si>
    <t>D.62r (HH)</t>
  </si>
  <si>
    <t>Contribution to % change in cost</t>
  </si>
  <si>
    <t>Intra-EU imports of goods</t>
  </si>
  <si>
    <t>D.31p (GVT)</t>
  </si>
  <si>
    <t>$IO(1)</t>
  </si>
  <si>
    <t>$IO(2)</t>
  </si>
  <si>
    <t>ETCapN</t>
  </si>
  <si>
    <t>D.9 (E)</t>
  </si>
  <si>
    <t>D.4 (E)</t>
  </si>
  <si>
    <t>$HIny</t>
  </si>
  <si>
    <t xml:space="preserve">   11. - of wich, external balance of goods and services</t>
  </si>
  <si>
    <t xml:space="preserve">   11a. - of wich, goods</t>
  </si>
  <si>
    <t xml:space="preserve">   11b. - of wich, services</t>
  </si>
  <si>
    <t xml:space="preserve">   13. Gross national income at market prices (10+12)</t>
  </si>
  <si>
    <t xml:space="preserve">   14. Compensation of employees</t>
  </si>
  <si>
    <t xml:space="preserve">   15. Gross operating surplus and mixed income</t>
  </si>
  <si>
    <t>GG VOL. COLLECTIVE CONSUMPT. EXPENDITURE</t>
  </si>
  <si>
    <t>EXPORTS OF TOURISM</t>
  </si>
  <si>
    <t>IMPORTS OF TOURISM</t>
  </si>
  <si>
    <t>BALANCE OF PRIMARY INCOME</t>
  </si>
  <si>
    <t>NET CURRENT TRANSFERS</t>
  </si>
  <si>
    <t>NTRow</t>
  </si>
  <si>
    <t xml:space="preserve">   9. Imports of goods and services </t>
  </si>
  <si>
    <t>P7</t>
  </si>
  <si>
    <r>
      <t>Sectors1</t>
    </r>
    <r>
      <rPr>
        <sz val="11"/>
        <rFont val="Arial"/>
        <family val="2"/>
      </rPr>
      <t xml:space="preserve"> is used to forecast variables on a sectoral basis. It contains </t>
    </r>
    <r>
      <rPr>
        <b/>
        <sz val="11"/>
        <rFont val="Arial"/>
        <family val="2"/>
      </rPr>
      <t>one column per year</t>
    </r>
    <r>
      <rPr>
        <sz val="11"/>
        <rFont val="Arial"/>
        <family val="2"/>
      </rPr>
      <t xml:space="preserve">. </t>
    </r>
  </si>
  <si>
    <t>Percentage change from previous quarter</t>
  </si>
  <si>
    <t xml:space="preserve"> L16</t>
  </si>
  <si>
    <t xml:space="preserve"> L19</t>
  </si>
  <si>
    <t xml:space="preserve"> L21</t>
  </si>
  <si>
    <t>LempRow</t>
  </si>
  <si>
    <t>LempD</t>
  </si>
  <si>
    <t>Wages &amp; salaries / employee (private)</t>
  </si>
  <si>
    <t>Wages &amp; salaries / employee (public)</t>
  </si>
  <si>
    <t>--</t>
  </si>
  <si>
    <t xml:space="preserve">  5. Other</t>
  </si>
  <si>
    <t>GG ONE-OFF MEASURES</t>
  </si>
  <si>
    <t>Volumes</t>
  </si>
  <si>
    <t>AC</t>
  </si>
  <si>
    <t>GDP</t>
  </si>
  <si>
    <t>TC</t>
  </si>
  <si>
    <t>Avg. ann. hours worked / person</t>
  </si>
  <si>
    <t>Growth rate</t>
  </si>
  <si>
    <t>Hours / year</t>
  </si>
  <si>
    <r>
      <t>VVP</t>
    </r>
    <r>
      <rPr>
        <sz val="11"/>
        <rFont val="Arial"/>
        <family val="2"/>
      </rPr>
      <t xml:space="preserve"> contains all variables for which volume, value and price developments have to be forecasted.</t>
    </r>
  </si>
  <si>
    <t>GVT: Capital transfers (D.9p)</t>
  </si>
  <si>
    <t>Acq. less disp. of non-fin. non-prod. assets (K.2)</t>
  </si>
  <si>
    <t>Gross fixed capital formation (P.51)</t>
  </si>
  <si>
    <r>
      <t xml:space="preserve">Fields marked in this colour need to be filled in by the forecaster. These are the </t>
    </r>
    <r>
      <rPr>
        <b/>
        <sz val="11"/>
        <color indexed="10"/>
        <rFont val="Arial"/>
        <family val="2"/>
      </rPr>
      <t>ONLY</t>
    </r>
    <r>
      <rPr>
        <sz val="11"/>
        <rFont val="Arial"/>
        <family val="2"/>
      </rPr>
      <t xml:space="preserve"> fields that should be filled in. </t>
    </r>
  </si>
  <si>
    <t>Fields in this colour contain forecasts made elsewhere in the workbook</t>
  </si>
  <si>
    <t xml:space="preserve">   1. Taxes on production and imports</t>
  </si>
  <si>
    <t>D2</t>
  </si>
  <si>
    <r>
      <t xml:space="preserve">Fields marked in </t>
    </r>
    <r>
      <rPr>
        <b/>
        <sz val="11"/>
        <rFont val="Arial"/>
        <family val="2"/>
      </rPr>
      <t>yellow</t>
    </r>
    <r>
      <rPr>
        <sz val="11"/>
        <rFont val="Arial"/>
        <family val="2"/>
      </rPr>
      <t xml:space="preserve"> need</t>
    </r>
    <r>
      <rPr>
        <sz val="11"/>
        <rFont val="Arial"/>
        <family val="2"/>
      </rPr>
      <t xml:space="preserve"> to be filled in by the forecaster. These are the </t>
    </r>
    <r>
      <rPr>
        <b/>
        <sz val="11"/>
        <color indexed="10"/>
        <rFont val="Arial"/>
        <family val="2"/>
      </rPr>
      <t>ONLY</t>
    </r>
    <r>
      <rPr>
        <sz val="11"/>
        <rFont val="Arial"/>
        <family val="2"/>
      </rPr>
      <t xml:space="preserve"> fields that should be filled in. </t>
    </r>
  </si>
  <si>
    <t xml:space="preserve">VAL. FIXED INVESTMENT HOUSING </t>
  </si>
  <si>
    <t>VAL. FIXED INVESTMENT MANUFACTURING</t>
  </si>
  <si>
    <t>Productivity and unit labour cost</t>
  </si>
  <si>
    <t>Unit labour cost</t>
  </si>
  <si>
    <t>Unit labour productivity</t>
  </si>
  <si>
    <t>ULCost</t>
  </si>
  <si>
    <t>YWAvDPu x LEmpDPu</t>
  </si>
  <si>
    <t>YWAvDPr x LempDpr</t>
  </si>
  <si>
    <t>Hours worked per person</t>
  </si>
  <si>
    <t xml:space="preserve">Gross value added (B.1g-D.21+D.31 - Volumes) </t>
  </si>
  <si>
    <t>ULPdty</t>
  </si>
  <si>
    <t>/</t>
  </si>
  <si>
    <t>YCompAvD</t>
  </si>
  <si>
    <t>Productivity</t>
  </si>
  <si>
    <t xml:space="preserve">  By type of asset</t>
  </si>
  <si>
    <t>Pi6</t>
  </si>
  <si>
    <t xml:space="preserve">  3. Construction</t>
  </si>
  <si>
    <t>HARMONISED INDEX OF CONSUMER PRICES</t>
  </si>
  <si>
    <t>Percentage change from four quarters earlier</t>
  </si>
  <si>
    <t xml:space="preserve"> L25</t>
  </si>
  <si>
    <t xml:space="preserve">   Balance of goods and services</t>
  </si>
  <si>
    <t xml:space="preserve">   GDP and GVA</t>
  </si>
  <si>
    <t>Total population</t>
  </si>
  <si>
    <t>(in the example: only select the part of the column covering HICP).</t>
  </si>
  <si>
    <t xml:space="preserve">Although the previous example is still relatively easy, integrating partial historical data can in some cases cause some complications. </t>
  </si>
  <si>
    <t>Annual HICP INDEX</t>
  </si>
  <si>
    <t>HICP Y INDEX NON-ENERGY INDUSTRIAL GOODS</t>
  </si>
  <si>
    <t>HICP Y INDEX ENERGY</t>
  </si>
  <si>
    <t>HICP Y INDEX PROCESSED FOOD INCL. ALCOHOL AND TOBACCO</t>
  </si>
  <si>
    <t>HICP Y INDEX UNPROCESSED FOOD</t>
  </si>
  <si>
    <t>HICP Y INDEX SERVICES</t>
  </si>
  <si>
    <r>
      <t xml:space="preserve">Information is </t>
    </r>
    <r>
      <rPr>
        <b/>
        <sz val="11"/>
        <rFont val="Arial"/>
        <family val="2"/>
      </rPr>
      <t>grouped by type of variable</t>
    </r>
    <r>
      <rPr>
        <sz val="11"/>
        <rFont val="Arial"/>
        <family val="2"/>
      </rPr>
      <t xml:space="preserve">, to ensure that aggregates are equal to the sum of the components. </t>
    </r>
  </si>
  <si>
    <t>b. Quarterly sheet</t>
  </si>
  <si>
    <t>c. Labour sheet</t>
  </si>
  <si>
    <t xml:space="preserve">   4. Average tax rate of forecast (in percent)</t>
  </si>
  <si>
    <t xml:space="preserve">   5. Other factors including discretionary measures implied by forecast (% GDP)</t>
  </si>
  <si>
    <t>Imports of goods (P.61)</t>
  </si>
  <si>
    <t>MGIntr</t>
  </si>
  <si>
    <t>$MFob</t>
  </si>
  <si>
    <t>MGExtr</t>
  </si>
  <si>
    <t>Unemployment rate (national definition)</t>
  </si>
  <si>
    <t>Difference with Eurostat</t>
  </si>
  <si>
    <t xml:space="preserve"> 10. Output gap (relative to trend)</t>
  </si>
  <si>
    <t xml:space="preserve"> 11. Employment</t>
  </si>
  <si>
    <t xml:space="preserve"> 12. Unemployment rate (level) (Eurostat)</t>
  </si>
  <si>
    <t xml:space="preserve"> 13. GDP per person employed</t>
  </si>
  <si>
    <t>Capital transfers (D.9p)</t>
  </si>
  <si>
    <t>Other current revenue (D.39r + D.4r + D.7r)</t>
  </si>
  <si>
    <t>Other capital expenditure (K.2 + P.52 + P.53 + D.9p)</t>
  </si>
  <si>
    <t>Other current expenditure (D.29p + D.4p - D.41p + D.5p + D.7p + D.8p)</t>
  </si>
  <si>
    <t xml:space="preserve">Final demand                                                                    </t>
  </si>
  <si>
    <t>Imports of goods and services</t>
  </si>
  <si>
    <t>FOR INTERNAL CALCULATIONS BY A4</t>
  </si>
  <si>
    <t xml:space="preserve"> L142                                                                </t>
  </si>
  <si>
    <t xml:space="preserve"> (((L43-L45) + (L44-L46)) + (L140+L141)) + L142</t>
  </si>
  <si>
    <t xml:space="preserve">  11a. p.m. 11 as % of GDP</t>
  </si>
  <si>
    <t>Table 12</t>
  </si>
  <si>
    <r>
      <t xml:space="preserve">When the </t>
    </r>
    <r>
      <rPr>
        <b/>
        <sz val="11"/>
        <rFont val="Arial"/>
        <family val="2"/>
      </rPr>
      <t>forecast is finished</t>
    </r>
    <r>
      <rPr>
        <sz val="11"/>
        <rFont val="Arial"/>
        <family val="2"/>
      </rPr>
      <t>, press the button "transfer forecast".</t>
    </r>
  </si>
  <si>
    <t>Pi6(4+5)</t>
  </si>
  <si>
    <t>QGDP</t>
  </si>
  <si>
    <t xml:space="preserve">   7. Import prices of goods</t>
  </si>
  <si>
    <t xml:space="preserve">   8. Final demand</t>
  </si>
  <si>
    <t xml:space="preserve">   9. GDP</t>
  </si>
  <si>
    <t>GG TOTAL GOVERNMENT EXPENDITURE</t>
  </si>
  <si>
    <t>$ATotExp</t>
  </si>
  <si>
    <t>GG CAPITAL TAXES</t>
  </si>
  <si>
    <t>GG TAXES TO EU</t>
  </si>
  <si>
    <t>GG INTEREST incl. SWAPS</t>
  </si>
  <si>
    <t xml:space="preserve">Careful: The sheet approximates chainlinked aggregates with weighted averages of growth rates. </t>
  </si>
  <si>
    <t>Import of services</t>
  </si>
  <si>
    <t>Import of goods</t>
  </si>
  <si>
    <t>Import of goods and services</t>
  </si>
  <si>
    <t>Export of goods and services</t>
  </si>
  <si>
    <t>GFCF: Equipment</t>
  </si>
  <si>
    <t>GFCF: Construction</t>
  </si>
  <si>
    <t>GFCF: Other</t>
  </si>
  <si>
    <t>Total revenue (excluding impact of discretionary measures)</t>
  </si>
  <si>
    <t xml:space="preserve">Note: A positive sign indicates a revenue increasing measure. Incremental impact compared to previous year, in national currency. </t>
  </si>
  <si>
    <t>The easiest way is to fill the sheet from left to right, top to bottom (in that case new inputs do not affect your previous forecasts).</t>
  </si>
  <si>
    <t>Somewhat longer instructions:</t>
  </si>
  <si>
    <t>QDDE</t>
  </si>
  <si>
    <t>QDDI</t>
  </si>
  <si>
    <t>QIny</t>
  </si>
  <si>
    <t>QFD</t>
  </si>
  <si>
    <t>Total revenue (harmonised)</t>
  </si>
  <si>
    <t>Total expenditure (harmonised)</t>
  </si>
  <si>
    <t>Transfer sheet</t>
  </si>
  <si>
    <t>P2</t>
  </si>
  <si>
    <t>Pi6(2+3)</t>
  </si>
  <si>
    <t>*31</t>
  </si>
  <si>
    <t>Current transfers received</t>
  </si>
  <si>
    <t>Current transfers paid</t>
  </si>
  <si>
    <t>Other capital expenditure</t>
  </si>
  <si>
    <t>YHCapN</t>
  </si>
  <si>
    <t>- ACapTN</t>
  </si>
  <si>
    <t>- HTCapN</t>
  </si>
  <si>
    <t>- ETCapN</t>
  </si>
  <si>
    <t>Capital transfers (received - paid) (D.9)</t>
  </si>
  <si>
    <r>
      <t>Capital transfers (</t>
    </r>
    <r>
      <rPr>
        <b/>
        <sz val="10"/>
        <color indexed="10"/>
        <rFont val="Arial"/>
        <family val="2"/>
      </rPr>
      <t>received - paid</t>
    </r>
    <r>
      <rPr>
        <sz val="10"/>
        <rFont val="Arial"/>
        <family val="2"/>
      </rPr>
      <t>) (D.9)</t>
    </r>
  </si>
  <si>
    <r>
      <t>Capital transfers (</t>
    </r>
    <r>
      <rPr>
        <b/>
        <sz val="10"/>
        <color indexed="10"/>
        <rFont val="Arial"/>
        <family val="2"/>
      </rPr>
      <t>paid - received</t>
    </r>
    <r>
      <rPr>
        <sz val="10"/>
        <rFont val="Arial"/>
        <family val="2"/>
      </rPr>
      <t>) (D.9)</t>
    </r>
  </si>
  <si>
    <t>Capital transfers (paid - received) (D.9)</t>
  </si>
  <si>
    <t>YECapN</t>
  </si>
  <si>
    <t>Current transfers (Net)</t>
  </si>
  <si>
    <t>ETN</t>
  </si>
  <si>
    <t>Swaps</t>
  </si>
  <si>
    <t>$Swap</t>
  </si>
  <si>
    <t>Interest paid (D.41p - EDP)</t>
  </si>
  <si>
    <t>In sheet VVP1: select the last block of 5 columns and copy it to the right.</t>
  </si>
  <si>
    <t>Capital taxes (D.91r)</t>
  </si>
  <si>
    <t>RoWTCapN</t>
  </si>
  <si>
    <t>Acquisition less disposal of non-fin. non-prod. assets (K.2)</t>
  </si>
  <si>
    <t>Capital transfers (D.9r)</t>
  </si>
  <si>
    <t xml:space="preserve"> L149</t>
  </si>
  <si>
    <t xml:space="preserve"> L147+L149</t>
  </si>
  <si>
    <t xml:space="preserve"> L150</t>
  </si>
  <si>
    <t xml:space="preserve"> L152</t>
  </si>
  <si>
    <t xml:space="preserve"> L150+L152</t>
  </si>
  <si>
    <t xml:space="preserve"> (L147+L149) - (L150-L152)</t>
  </si>
  <si>
    <t xml:space="preserve"> L58</t>
  </si>
  <si>
    <t xml:space="preserve"> L60</t>
  </si>
  <si>
    <t xml:space="preserve"> L58:L60</t>
  </si>
  <si>
    <t xml:space="preserve"> L61:L64</t>
  </si>
  <si>
    <t xml:space="preserve"> L62:L64</t>
  </si>
  <si>
    <t xml:space="preserve"> (L61-L62) : L64</t>
  </si>
  <si>
    <t xml:space="preserve"> (L61:L64) : (L58:L60)</t>
  </si>
  <si>
    <t>NET CAPITAL TRANSACTIONS (RECEIV - PAYED)</t>
  </si>
  <si>
    <t>EXPORTS OF GOODS INTRA-EU (FOB)</t>
  </si>
  <si>
    <t>$XGIntr</t>
  </si>
  <si>
    <t>EXPORTS OF GOODS EXTRA-EU (FOB)</t>
  </si>
  <si>
    <t>$XGExtr</t>
  </si>
  <si>
    <t>IMPORTS OF GOODS INTRA-EU (CIF)</t>
  </si>
  <si>
    <t>$MGIntr</t>
  </si>
  <si>
    <t>IMPORTS OF GOODS EXTRA-EU (CIF)</t>
  </si>
  <si>
    <t>$MGExtr</t>
  </si>
  <si>
    <t xml:space="preserve">  25. One-off measures (expenditure side)</t>
  </si>
  <si>
    <t xml:space="preserve">  24. One-off measures (revenue side)</t>
  </si>
  <si>
    <t xml:space="preserve">  26. One-off measures (total)</t>
  </si>
  <si>
    <t>Gross domestic product at market prices</t>
  </si>
  <si>
    <t>Private consumption expenditure</t>
  </si>
  <si>
    <t>Government consumption expenditure</t>
  </si>
  <si>
    <t>Changes in inventories / valuables (P.52+P.53)</t>
  </si>
  <si>
    <t>EDP B9</t>
  </si>
  <si>
    <t>Table 10a</t>
  </si>
  <si>
    <t>ASubProd</t>
  </si>
  <si>
    <t>GVA</t>
  </si>
  <si>
    <t>Gross value added (constant prices)</t>
  </si>
  <si>
    <t>GVAdd</t>
  </si>
  <si>
    <t>$GVAdd</t>
  </si>
  <si>
    <t>VGVAdd</t>
  </si>
  <si>
    <t>INDICATOR CHAINED INDEX (col 1)</t>
  </si>
  <si>
    <t xml:space="preserve">  13. Net lending (+) or net borrowing (-) (10-11-12)</t>
  </si>
  <si>
    <t>P62</t>
  </si>
  <si>
    <t>$AIEq</t>
  </si>
  <si>
    <t>$PrvIEq</t>
  </si>
  <si>
    <t>$IEq</t>
  </si>
  <si>
    <t>$X</t>
  </si>
  <si>
    <t>$M</t>
  </si>
  <si>
    <t>YCompD</t>
  </si>
  <si>
    <t>UN</t>
  </si>
  <si>
    <t>P.52 + P.53</t>
  </si>
  <si>
    <t xml:space="preserve">   6. Property income, net</t>
  </si>
  <si>
    <t>D4</t>
  </si>
  <si>
    <t xml:space="preserve">   7. Current Transfers, net receipts</t>
  </si>
  <si>
    <t>D7+D6</t>
  </si>
  <si>
    <t xml:space="preserve">  14. Other capital expenditure, net</t>
  </si>
  <si>
    <t>D9+K2</t>
  </si>
  <si>
    <t>D.5p (E)</t>
  </si>
  <si>
    <t>D.9r (E)</t>
  </si>
  <si>
    <t>UC</t>
  </si>
  <si>
    <t>YETCap</t>
  </si>
  <si>
    <t>D.9p (E)</t>
  </si>
  <si>
    <t>K.2</t>
  </si>
  <si>
    <t>P.51</t>
  </si>
  <si>
    <t>YEProp</t>
  </si>
  <si>
    <t>$Eprop</t>
  </si>
  <si>
    <t>D.39r (E)</t>
  </si>
  <si>
    <t>D.4r (E)</t>
  </si>
  <si>
    <t>D611</t>
  </si>
  <si>
    <t>Table 9</t>
  </si>
  <si>
    <t>INCOME AND EXPENDITURE OF CORPORATIONS (S11+S12)</t>
  </si>
  <si>
    <t>code</t>
  </si>
  <si>
    <t xml:space="preserve">   1. Gross value added at basic prices</t>
  </si>
  <si>
    <t xml:space="preserve">   2. Other subsidies on production </t>
  </si>
  <si>
    <t>D39</t>
  </si>
  <si>
    <t xml:space="preserve"> (L43-L45) + (L44-L46)</t>
  </si>
  <si>
    <t xml:space="preserve"> Table-line 7 : L47</t>
  </si>
  <si>
    <t xml:space="preserve"> L140+L141</t>
  </si>
  <si>
    <t xml:space="preserve"> L141</t>
  </si>
  <si>
    <t xml:space="preserve"> L147</t>
  </si>
  <si>
    <t>CONSISTENCY ANALYSIS OF REVENUE FORECASTS</t>
  </si>
  <si>
    <t xml:space="preserve">   1. Ex ante elasticity with respect to private consumption</t>
  </si>
  <si>
    <t>Final domestic demand</t>
  </si>
  <si>
    <t>Total current resources</t>
  </si>
  <si>
    <t>Total current expenditure</t>
  </si>
  <si>
    <t>[Table 10.5]</t>
  </si>
  <si>
    <t>$AO</t>
  </si>
  <si>
    <t>[Table 10.14]</t>
  </si>
  <si>
    <t>Gross real wage growth per employee in public sector (July - July estimates)</t>
  </si>
  <si>
    <t>HICP mid-year index average</t>
  </si>
  <si>
    <t xml:space="preserve">   20. Gross domestic product at market prices ( 16 + 17 )</t>
  </si>
  <si>
    <t>$ATaxDir</t>
  </si>
  <si>
    <t>YATaxSocImp</t>
  </si>
  <si>
    <t>AChEqPenR</t>
  </si>
  <si>
    <t>YAProp</t>
  </si>
  <si>
    <t>COSTS AND PRICES</t>
  </si>
  <si>
    <t>PRODUCTIVITY AND UNIT LABOUR COSTS</t>
  </si>
  <si>
    <t>Compared to:</t>
  </si>
  <si>
    <t xml:space="preserve">  7b.  - of which, services</t>
  </si>
  <si>
    <t xml:space="preserve">  8. Final demand</t>
  </si>
  <si>
    <t xml:space="preserve">The identifying number is a unique code assigned to each variable in data_p. </t>
  </si>
  <si>
    <t>The information in columns A, B and C of the input sheets is optional and for information only.</t>
  </si>
  <si>
    <t>YHComp</t>
  </si>
  <si>
    <t>HH GROSS WAGES AND SALARIES</t>
  </si>
  <si>
    <t>YHW</t>
  </si>
  <si>
    <t xml:space="preserve">   1. Ex ante elasticity with respect to nominal GDP</t>
  </si>
  <si>
    <t xml:space="preserve">   1. Ex ante elasticity with respect to compensation of employees</t>
  </si>
  <si>
    <t>GVT+EXT</t>
  </si>
  <si>
    <t>HH CURRENT TAXES ON INCOME AND WEALTH</t>
  </si>
  <si>
    <t>$HTaxDir</t>
  </si>
  <si>
    <t>HH CURRENT TRANSFERS PAID</t>
  </si>
  <si>
    <t>$HT</t>
  </si>
  <si>
    <t>HH CHANGE IN NET EQUITY IN PENSION FUNDS</t>
  </si>
  <si>
    <t>HH FINAL CONSUMPTION EXPENDITURE</t>
  </si>
  <si>
    <t>HH GROSS CAPITAL FORMATION</t>
  </si>
  <si>
    <t>$HI</t>
  </si>
  <si>
    <t>HH OTHER CAPITAL EXPENDITURE (PAID-REC.)</t>
  </si>
  <si>
    <t xml:space="preserve">COR GROSS VALUE ADDED </t>
  </si>
  <si>
    <t>Current revenue</t>
  </si>
  <si>
    <t>Capital transfers received</t>
  </si>
  <si>
    <t>Impact of discretionary measures on expenditure</t>
  </si>
  <si>
    <t>Current expenditure</t>
  </si>
  <si>
    <t>Capital expenditure (GFCF and other)</t>
  </si>
  <si>
    <t>DISCRETIONARY MEASURES CURRENT EXPENDITURE</t>
  </si>
  <si>
    <t>In sheet Quart1: select the last block of 4 columns and copy it to the right.</t>
  </si>
  <si>
    <t xml:space="preserve"> (L113+L114+L115+L117+L125+L143)-(L120+L121+L123+L124+L126+L127+L145+L146)</t>
  </si>
  <si>
    <t xml:space="preserve">   6. Total imports (4 + 5)</t>
  </si>
  <si>
    <t xml:space="preserve">Note: A positive sign means that revenue increases. Total amount, in national currency. </t>
  </si>
  <si>
    <t>Implicit interest rates</t>
  </si>
  <si>
    <t>YWAvRow x LEmpRow</t>
  </si>
  <si>
    <t>p.m. Registered unemployment (national definition)</t>
  </si>
  <si>
    <t>B.1g</t>
  </si>
  <si>
    <t>B.1g (E)</t>
  </si>
  <si>
    <t>D.29p (E)</t>
  </si>
  <si>
    <t>D.1p (E)</t>
  </si>
  <si>
    <t>D.7r (E)</t>
  </si>
  <si>
    <t>YATO</t>
  </si>
  <si>
    <t>$ATO</t>
  </si>
  <si>
    <t>YACapTax</t>
  </si>
  <si>
    <t>YACapTO</t>
  </si>
  <si>
    <t>$AComp</t>
  </si>
  <si>
    <t>CONSUMER PRICE GENERAL INDEX</t>
  </si>
  <si>
    <t>REVENUE AND EXPENDITURE OF GENERAL GOVERNMENT (S13)</t>
  </si>
  <si>
    <t>TR</t>
  </si>
  <si>
    <t>TE</t>
  </si>
  <si>
    <t xml:space="preserve">   7a. - individual consumption = social transfers in kind</t>
  </si>
  <si>
    <t xml:space="preserve">   7b. - collective consumption</t>
  </si>
  <si>
    <t xml:space="preserve">  20a. - primary balance (20+10)</t>
  </si>
  <si>
    <t xml:space="preserve">  3a.  - of which, construction </t>
  </si>
  <si>
    <t xml:space="preserve">   7. Government consumption (1+2+3+4+5-6)</t>
  </si>
  <si>
    <t>P31=D63</t>
  </si>
  <si>
    <t xml:space="preserve">   4. Sales and other current revenue</t>
  </si>
  <si>
    <t xml:space="preserve">   2a.  - of which, paid by households and NPISH</t>
  </si>
  <si>
    <t xml:space="preserve">   2b.  - of which, paid by corporations</t>
  </si>
  <si>
    <t xml:space="preserve">   5. Total current revenue (1+2+3+4)</t>
  </si>
  <si>
    <t xml:space="preserve">   6. Compensation of employees</t>
  </si>
  <si>
    <t xml:space="preserve">   7. Intermediate consumption</t>
  </si>
  <si>
    <t xml:space="preserve">   8. Social transfers in kind supplied via market producers</t>
  </si>
  <si>
    <t xml:space="preserve">  10. Interest</t>
  </si>
  <si>
    <t xml:space="preserve">  11. Subsidies</t>
  </si>
  <si>
    <t xml:space="preserve">  12. Other current expenditure</t>
  </si>
  <si>
    <t xml:space="preserve">  13. Total current expenditure (6+7+8+9+10+11+12)</t>
  </si>
  <si>
    <t>N</t>
  </si>
  <si>
    <t>p.m. Employers' social contributions</t>
  </si>
  <si>
    <t>$ETSocD</t>
  </si>
  <si>
    <t>Self employed</t>
  </si>
  <si>
    <t>$AIswap / $Debt(t-1)</t>
  </si>
  <si>
    <t>Government consumption</t>
  </si>
  <si>
    <t>ACIndv</t>
  </si>
  <si>
    <t>ACColl</t>
  </si>
  <si>
    <r>
      <t xml:space="preserve">Above all: </t>
    </r>
    <r>
      <rPr>
        <b/>
        <sz val="11"/>
        <color indexed="10"/>
        <rFont val="Arial"/>
        <family val="2"/>
      </rPr>
      <t>DO NOT INSERT OR DELETE COLUMNS (NEVER, NEVER, NEVER !!!)</t>
    </r>
    <r>
      <rPr>
        <sz val="11"/>
        <rFont val="Arial"/>
        <family val="2"/>
      </rPr>
      <t xml:space="preserve">. </t>
    </r>
  </si>
  <si>
    <t>CONSUMER PRICE HARMONIZED INDEX</t>
  </si>
  <si>
    <t>HICP</t>
  </si>
  <si>
    <t>p.m. corresponding number in quarterly sheet</t>
  </si>
  <si>
    <t>USE AND SUPPLY OF GOODS AND SERVICES</t>
  </si>
  <si>
    <r>
      <t xml:space="preserve">The Labour sheet has </t>
    </r>
    <r>
      <rPr>
        <b/>
        <sz val="11"/>
        <rFont val="Arial"/>
        <family val="2"/>
      </rPr>
      <t>one column for each year</t>
    </r>
    <r>
      <rPr>
        <sz val="11"/>
        <rFont val="Arial"/>
        <family val="2"/>
      </rPr>
      <t xml:space="preserve"> (historical and forecast years).</t>
    </r>
  </si>
  <si>
    <r>
      <t xml:space="preserve">For each year there is a </t>
    </r>
    <r>
      <rPr>
        <b/>
        <sz val="11"/>
        <rFont val="Arial"/>
        <family val="2"/>
      </rPr>
      <t>consistency check</t>
    </r>
    <r>
      <rPr>
        <sz val="11"/>
        <rFont val="Arial"/>
        <family val="2"/>
      </rPr>
      <t>, which makes sure that:</t>
    </r>
  </si>
  <si>
    <t>1. The input sheets</t>
  </si>
  <si>
    <t xml:space="preserve">   6. Services balance (a) (4-5)</t>
  </si>
  <si>
    <t xml:space="preserve">TAX RATE DIRECT TAXES PAST 4-Y AVG (col 1) </t>
  </si>
  <si>
    <t>TAX RATE SOCIAL CONTR. PAST 4-Y AVG (col 1)</t>
  </si>
  <si>
    <t>TAX ELASTICITY OECD INDIRECT TAXES (col 1)</t>
  </si>
  <si>
    <t>VXG</t>
  </si>
  <si>
    <t>TAX ELASTICITY OECD DIRECT TAXES (col 1)</t>
  </si>
  <si>
    <t>Select the entire column for Qn(t-1) and copy it over the old forecast column for Qn(t), for all quarters with historical data.</t>
  </si>
  <si>
    <t>Growth rates (quarter-on-quarter)</t>
  </si>
  <si>
    <r>
      <t xml:space="preserve">Data_p can also contain </t>
    </r>
    <r>
      <rPr>
        <u/>
        <sz val="11"/>
        <rFont val="Arial"/>
        <family val="2"/>
      </rPr>
      <t>additional sheets</t>
    </r>
    <r>
      <rPr>
        <sz val="11"/>
        <rFont val="Arial"/>
        <family val="2"/>
      </rPr>
      <t xml:space="preserve"> (at least two, although it is possible to add more).</t>
    </r>
  </si>
  <si>
    <t>Employer's social contr. / employee (domestic)</t>
  </si>
  <si>
    <t>Employer's social contr. / employee (frontier workers)</t>
  </si>
  <si>
    <t>Participation ratio</t>
  </si>
  <si>
    <t>UL</t>
  </si>
  <si>
    <t>Total labour force</t>
  </si>
  <si>
    <t>L</t>
  </si>
  <si>
    <r>
      <t>PLEASE MAKE SURE THAT THE DATA_P.XLS FILE IS IN THE SAME FOLDER AS THIS FORECAST SHEET!</t>
    </r>
    <r>
      <rPr>
        <b/>
        <sz val="10"/>
        <rFont val="Arial"/>
        <family val="2"/>
      </rPr>
      <t xml:space="preserve"> </t>
    </r>
    <r>
      <rPr>
        <b/>
        <u/>
        <sz val="10"/>
        <rFont val="Arial"/>
        <family val="2"/>
      </rPr>
      <t>Instruction</t>
    </r>
    <r>
      <rPr>
        <b/>
        <sz val="10"/>
        <rFont val="Arial"/>
        <family val="2"/>
      </rPr>
      <t>: To create a link to data_p, enter the data_p sheetname (e.g. UG) in column D and the data_p row number in column E. Columns F - AF will be filled automatically.</t>
    </r>
    <r>
      <rPr>
        <b/>
        <sz val="10"/>
        <color indexed="10"/>
        <rFont val="Arial"/>
        <family val="2"/>
      </rPr>
      <t xml:space="preserve"> </t>
    </r>
  </si>
  <si>
    <t>Employer's social contr. (frontier workers)</t>
  </si>
  <si>
    <t>Employer's social contr. (national)</t>
  </si>
  <si>
    <t>YWD</t>
  </si>
  <si>
    <t>ETSocAvDPr</t>
  </si>
  <si>
    <t>ETSocAvDPu</t>
  </si>
  <si>
    <t>ETSocAvD</t>
  </si>
  <si>
    <t>ETSocAvRow</t>
  </si>
  <si>
    <t>ETSocAv</t>
  </si>
  <si>
    <t>ETSocAvDPr x LempDpr</t>
  </si>
  <si>
    <t>ETSocAvDPu x LEmpDPu</t>
  </si>
  <si>
    <t>Gross saving (B.8g)</t>
  </si>
  <si>
    <t>Capital transfers (net) (D.9)</t>
  </si>
  <si>
    <t>GVT: Imputed social contributions (D.612r)</t>
  </si>
  <si>
    <t>Social benefits (D.62r)</t>
  </si>
  <si>
    <t>Other current transfers (D.7r)</t>
  </si>
  <si>
    <t>Total revenue</t>
  </si>
  <si>
    <t>Current taxes on income and wealth (D.5p)</t>
  </si>
  <si>
    <t>Social contributions (D.61p)</t>
  </si>
  <si>
    <t>Social benefits (D.62p)</t>
  </si>
  <si>
    <t>Other current transfers (D.7p)</t>
  </si>
  <si>
    <t>Disposable income (B.6g)</t>
  </si>
  <si>
    <t>Adjustment for change in net equity of pension fund reserves (D.8)</t>
  </si>
  <si>
    <t>Employer's social contr. / employee (national)</t>
  </si>
  <si>
    <t>Wages &amp; salaries (values)</t>
  </si>
  <si>
    <t>Wages &amp; salaries (private)</t>
  </si>
  <si>
    <t>Wages &amp; salaries (public)</t>
  </si>
  <si>
    <t>Wages &amp; salaries (domestic)</t>
  </si>
  <si>
    <t xml:space="preserve"> ((L87+89+90+91+94+100+101+105+106) - (L92+93+95+96+97+102+103+107+108+109+110)) : L47</t>
  </si>
  <si>
    <t>Taxes on production and imports (Indirect taxes)</t>
  </si>
  <si>
    <r>
      <t xml:space="preserve">The sheet </t>
    </r>
    <r>
      <rPr>
        <b/>
        <sz val="11"/>
        <rFont val="Arial"/>
        <family val="2"/>
      </rPr>
      <t xml:space="preserve">Transfer </t>
    </r>
    <r>
      <rPr>
        <sz val="11"/>
        <rFont val="Arial"/>
        <family val="2"/>
      </rPr>
      <t>contains</t>
    </r>
    <r>
      <rPr>
        <b/>
        <sz val="11"/>
        <rFont val="Arial"/>
        <family val="2"/>
      </rPr>
      <t xml:space="preserve"> </t>
    </r>
    <r>
      <rPr>
        <sz val="11"/>
        <rFont val="Arial"/>
        <family val="2"/>
      </rPr>
      <t>the matrix of country variables and forecasts that will be sent to the central system.</t>
    </r>
  </si>
  <si>
    <t>Non-energy industrial goods</t>
  </si>
  <si>
    <t>Energy</t>
  </si>
  <si>
    <t>Processed food (incl. Alcohol and tobacco)</t>
  </si>
  <si>
    <t>Unprocessed food</t>
  </si>
  <si>
    <t>Services</t>
  </si>
  <si>
    <t>Index</t>
  </si>
  <si>
    <t>HICP Energy - weight</t>
  </si>
  <si>
    <t>HICP Unprocessed food - weight</t>
  </si>
  <si>
    <r>
      <t xml:space="preserve">The </t>
    </r>
    <r>
      <rPr>
        <u/>
        <sz val="11"/>
        <rFont val="Arial"/>
        <family val="2"/>
      </rPr>
      <t>first sheets</t>
    </r>
    <r>
      <rPr>
        <sz val="11"/>
        <rFont val="Arial"/>
        <family val="2"/>
      </rPr>
      <t xml:space="preserve"> of data_p have a structure identical to a file ( XXX-Ameco.xls, where XXX is a country code).</t>
    </r>
  </si>
  <si>
    <t>D.612r (GVT)</t>
  </si>
  <si>
    <t>K.2 (GVT)</t>
  </si>
  <si>
    <t>P.52 + P.53 (GVT)</t>
  </si>
  <si>
    <t>D.9 (EXT)</t>
  </si>
  <si>
    <r>
      <t xml:space="preserve">To </t>
    </r>
    <r>
      <rPr>
        <b/>
        <sz val="11"/>
        <rFont val="Arial"/>
        <family val="2"/>
      </rPr>
      <t xml:space="preserve">add additional years </t>
    </r>
    <r>
      <rPr>
        <sz val="11"/>
        <rFont val="Arial"/>
        <family val="2"/>
      </rPr>
      <t>or change forecast year into historical year, read the somewhat longer instructions (sorry for that).</t>
    </r>
  </si>
  <si>
    <t>calendar factor:</t>
  </si>
  <si>
    <t>Household consumption prices</t>
  </si>
  <si>
    <t>Deflator</t>
  </si>
  <si>
    <t>National consumer price index</t>
  </si>
  <si>
    <t>PPrvC</t>
  </si>
  <si>
    <t>PAIEq</t>
  </si>
  <si>
    <t>PIEq</t>
  </si>
  <si>
    <t>Alend</t>
  </si>
  <si>
    <t>RowLend</t>
  </si>
  <si>
    <t>VAL GROSS VALUE ADDED</t>
  </si>
  <si>
    <t>VOL GROSS VALUE ADDED</t>
  </si>
  <si>
    <t>D.7r (HH)</t>
  </si>
  <si>
    <t>D.5p (HH)</t>
  </si>
  <si>
    <t>D.61p (HH)</t>
  </si>
  <si>
    <t>D.62p (HH)</t>
  </si>
  <si>
    <t>D.7p (HH)</t>
  </si>
  <si>
    <t>D.9r (HH)</t>
  </si>
  <si>
    <t>D.9p (HH)</t>
  </si>
  <si>
    <t>P.51 (HH)</t>
  </si>
  <si>
    <t>K.2 (HH)</t>
  </si>
  <si>
    <t>P.52 (HH)</t>
  </si>
  <si>
    <t>P.53 (HH)</t>
  </si>
  <si>
    <t>DATA_A11</t>
  </si>
  <si>
    <t>YCompD W&amp;S</t>
  </si>
  <si>
    <t>LEmpTot</t>
  </si>
  <si>
    <t>CompFrRow</t>
  </si>
  <si>
    <t>CompToRow</t>
  </si>
  <si>
    <t>GDP (EDP)</t>
  </si>
  <si>
    <t>PropFrRowN</t>
  </si>
  <si>
    <t>CapTRowN</t>
  </si>
  <si>
    <t>RowNonFinN</t>
  </si>
  <si>
    <t>$ASubProd</t>
  </si>
  <si>
    <t>AvHoursWorked</t>
  </si>
  <si>
    <t>D.1p (EXT)</t>
  </si>
  <si>
    <t>D.1r (EXT)</t>
  </si>
  <si>
    <t>B.1g (EDP)</t>
  </si>
  <si>
    <t>$RowTaxDir</t>
  </si>
  <si>
    <t>TOFrRow</t>
  </si>
  <si>
    <t>TOToRow</t>
  </si>
  <si>
    <t>D.4 (EXT)</t>
  </si>
  <si>
    <t>D.5r (EXT)</t>
  </si>
  <si>
    <t>D.61r (EXT)</t>
  </si>
  <si>
    <t>D.62r (EXT)</t>
  </si>
  <si>
    <t>D.7r (EXT)</t>
  </si>
  <si>
    <t>D.5p (EXT)</t>
  </si>
  <si>
    <t>D.61p (EXT)</t>
  </si>
  <si>
    <t>D.62p (EXT)</t>
  </si>
  <si>
    <t>D.7p (EXT)</t>
  </si>
  <si>
    <t>$MG</t>
  </si>
  <si>
    <t>D62</t>
  </si>
  <si>
    <t>Investment by type of asset</t>
  </si>
  <si>
    <t>Investment by sector</t>
  </si>
  <si>
    <t>Exports</t>
  </si>
  <si>
    <t>Imports</t>
  </si>
  <si>
    <t>VXFob</t>
  </si>
  <si>
    <t xml:space="preserve">VMCif </t>
  </si>
  <si>
    <t>VHI</t>
  </si>
  <si>
    <t>VEI</t>
  </si>
  <si>
    <t>VI</t>
  </si>
  <si>
    <t>Investment in inventories</t>
  </si>
  <si>
    <t>Individual consumption expenditure (P.31)</t>
  </si>
  <si>
    <t>Collective consumption expenditure (P.32)</t>
  </si>
  <si>
    <t>Pi6(5)</t>
  </si>
  <si>
    <t>Currency:</t>
  </si>
  <si>
    <t>Formats and colour codes</t>
  </si>
  <si>
    <t>4 year average</t>
  </si>
  <si>
    <t>Taxes on production and imports (D.2r)</t>
  </si>
  <si>
    <t>Elasticity w.r.t. GDP</t>
  </si>
  <si>
    <t>D61+D7</t>
  </si>
  <si>
    <t xml:space="preserve">   6. Gross disposable income (1+2+3-4-5)</t>
  </si>
  <si>
    <t>B6g</t>
  </si>
  <si>
    <t>Value according to theoretical OECD elasticity</t>
  </si>
  <si>
    <t>OECD</t>
  </si>
  <si>
    <t>Other taxes on production (D.29p)</t>
  </si>
  <si>
    <t xml:space="preserve">Changes in inventories and net acquisition of valuables                         </t>
  </si>
  <si>
    <t>in % GDP</t>
  </si>
  <si>
    <t>Change in inventories in % of GDP</t>
  </si>
  <si>
    <t>If necessary ask someone who is more familiar with the system.</t>
  </si>
  <si>
    <t>VAL</t>
  </si>
  <si>
    <t>PrvC</t>
  </si>
  <si>
    <t>PYP</t>
  </si>
  <si>
    <t>(although somehow, in real life, it may take slightly longer than this box seems to suggest).</t>
  </si>
  <si>
    <r>
      <t>DO NOT INSERT OR DELETE COLUMNS (NEVER, NEVER, NEVER !!!)</t>
    </r>
    <r>
      <rPr>
        <sz val="11"/>
        <rFont val="Arial"/>
        <family val="2"/>
      </rPr>
      <t>. Such operation will inevitably damage the transfer matrix.</t>
    </r>
  </si>
  <si>
    <t xml:space="preserve">   Social benefits (D.61)</t>
  </si>
  <si>
    <t>Values as % of GDP</t>
  </si>
  <si>
    <t xml:space="preserve">HSav </t>
  </si>
  <si>
    <t>Household savings rate</t>
  </si>
  <si>
    <t>Hint: updating charts is easier if you do it before all the empty values are filled.</t>
  </si>
  <si>
    <t>YATaxIndir + TaxToRow(1)</t>
  </si>
  <si>
    <t>Yearly growth implicit in quarterly profile</t>
  </si>
  <si>
    <t xml:space="preserve">Government final consumption expenditure                                        </t>
  </si>
  <si>
    <t xml:space="preserve">   3. Total exports (1 + 2)</t>
  </si>
  <si>
    <t>historical year = a year for which data is available in the input sheet</t>
  </si>
  <si>
    <t>forecast year = a year for which a variable needs to be forecasted</t>
  </si>
  <si>
    <t xml:space="preserve"> L100+L101-L102-L103 (or if any of these 4 line are missing : L104)</t>
  </si>
  <si>
    <t>Removing sheets can damage the workbook beyond repair.</t>
  </si>
  <si>
    <t>Taxes on products (D.21p)</t>
  </si>
  <si>
    <t>+</t>
  </si>
  <si>
    <t>Subsidies on products (D.31r)</t>
  </si>
  <si>
    <t>=</t>
  </si>
  <si>
    <t>CODE</t>
  </si>
  <si>
    <t>Percentage change</t>
  </si>
  <si>
    <t xml:space="preserve">   1. Private consumption expenditure</t>
  </si>
  <si>
    <t>P3</t>
  </si>
  <si>
    <r>
      <t xml:space="preserve">Historical data should be put in a file called </t>
    </r>
    <r>
      <rPr>
        <b/>
        <sz val="11"/>
        <color indexed="10"/>
        <rFont val="Arial"/>
        <family val="2"/>
      </rPr>
      <t>data_p.xls</t>
    </r>
    <r>
      <rPr>
        <sz val="11"/>
        <rFont val="Arial"/>
        <family val="2"/>
      </rPr>
      <t xml:space="preserve">, stored in the </t>
    </r>
    <r>
      <rPr>
        <b/>
        <sz val="11"/>
        <color indexed="10"/>
        <rFont val="Arial"/>
        <family val="2"/>
      </rPr>
      <t>same folder as the forecast sheet</t>
    </r>
    <r>
      <rPr>
        <sz val="11"/>
        <rFont val="Arial"/>
        <family val="2"/>
      </rPr>
      <t xml:space="preserve">. </t>
    </r>
  </si>
  <si>
    <t xml:space="preserve">This file is produced by the Ameco team. </t>
  </si>
  <si>
    <t>Unless better / earlier data are available from an alternative source, these Ameco figures can be copied directly in data_p.</t>
  </si>
  <si>
    <t>Subsidies (D.3p = D.31p+D.39p)</t>
  </si>
  <si>
    <t>Property income (net) (D.4)</t>
  </si>
  <si>
    <t>GVT: Interest paid (D.41p)</t>
  </si>
  <si>
    <t>Balance of primary income (gross) / Gross national income (B.5g)</t>
  </si>
  <si>
    <t xml:space="preserve">   1. Intra-EU</t>
  </si>
  <si>
    <t xml:space="preserve">   2. Extra-EU</t>
  </si>
  <si>
    <t xml:space="preserve">   4. Intra-EU</t>
  </si>
  <si>
    <t xml:space="preserve">   5. Extra-EU</t>
  </si>
  <si>
    <t>P32</t>
  </si>
  <si>
    <t>$RowTaxDirNet</t>
  </si>
  <si>
    <t>D.5 (EXT)</t>
  </si>
  <si>
    <t>D.61 (EXT)</t>
  </si>
  <si>
    <t>D.62 (EXT)</t>
  </si>
  <si>
    <t>D.7</t>
  </si>
  <si>
    <t>CompRowNet</t>
  </si>
  <si>
    <t>D.1 (EXT)</t>
  </si>
  <si>
    <t xml:space="preserve">   9. Change in HH's net equity in pension funds</t>
  </si>
  <si>
    <t xml:space="preserve">  10. Gross saving (5+6+7-8-9)</t>
  </si>
  <si>
    <t xml:space="preserve">  10a. p.m. 10 as % of GDP</t>
  </si>
  <si>
    <t>Y</t>
  </si>
  <si>
    <t>Exports of goods (P.61)</t>
  </si>
  <si>
    <t>Exports (P.6)</t>
  </si>
  <si>
    <t>Imports of services (P.72)</t>
  </si>
  <si>
    <t>Imports of goods (P.71)</t>
  </si>
  <si>
    <t>Imports of goods and services (P.7)</t>
  </si>
  <si>
    <t xml:space="preserve">  15. Capital Transfers, received</t>
  </si>
  <si>
    <t xml:space="preserve">  16. Gross fixed capital formation</t>
  </si>
  <si>
    <t xml:space="preserve">  17. Other capital expenditure</t>
  </si>
  <si>
    <t xml:space="preserve">  14a. p.m. as % of GDP</t>
  </si>
  <si>
    <t xml:space="preserve">  20. Net lending (+) / net borrowing (-) (18-19)</t>
  </si>
  <si>
    <t xml:space="preserve">  21. Net lending/borrowing for EDP purposes</t>
  </si>
  <si>
    <t>Elasticity of domestic employment w.r.t. GDP growth</t>
  </si>
  <si>
    <t>Wages &amp; salaries / employee (values in 1000 euro)</t>
  </si>
  <si>
    <t>Elend</t>
  </si>
  <si>
    <t>Gross domestic product (B.1g - constant prices)</t>
  </si>
  <si>
    <t>VB</t>
  </si>
  <si>
    <t>VBG</t>
  </si>
  <si>
    <t>VGDP</t>
  </si>
  <si>
    <t>Total compensation per employee (values in 1000 euro)</t>
  </si>
  <si>
    <t>Changes in inventories / net acq. of valuables</t>
  </si>
  <si>
    <t>YEGrVadd</t>
  </si>
  <si>
    <t>EChEqPenR</t>
  </si>
  <si>
    <t>The reference storage is one of the five storages you have savedusing the "save values" button described above.</t>
  </si>
  <si>
    <t>(This description may seem somewhat long, but in practice most procedures will only take a couple of seconds for an experienced user)</t>
  </si>
  <si>
    <t>Although not strictly necessary, the storage will be executed much faster if you close Excel before you use EU4CAST.</t>
  </si>
  <si>
    <r>
      <t xml:space="preserve">The sheet </t>
    </r>
    <r>
      <rPr>
        <b/>
        <sz val="11"/>
        <rFont val="Arial"/>
        <family val="2"/>
      </rPr>
      <t>Tables</t>
    </r>
    <r>
      <rPr>
        <sz val="11"/>
        <rFont val="Arial"/>
        <family val="2"/>
      </rPr>
      <t xml:space="preserve"> gives the main tables that will be produced centrally after a storage.</t>
    </r>
  </si>
  <si>
    <t>TOT. COMPENSATION OF EMPLOYEES</t>
  </si>
  <si>
    <t>TOT. WAGES AND SALARIES</t>
  </si>
  <si>
    <t>TOT. WAGE AND SALARY EARNERS PERSONS</t>
  </si>
  <si>
    <t>LEmpD</t>
  </si>
  <si>
    <t>TOT. WAGE AND SALARY EARNERS F.T.E.</t>
  </si>
  <si>
    <t>MAN. EMPLOYMENT PERSONS</t>
  </si>
  <si>
    <t>MAN. COMPENSATION OF EMPLOYEES</t>
  </si>
  <si>
    <t>MAN. WAGES AND SALARIES</t>
  </si>
  <si>
    <t>MAN. WAGE AND SALARY EARNERS PERSONS</t>
  </si>
  <si>
    <t>MAN. WAGE AND SALARY EARNERS F.T.E.</t>
  </si>
  <si>
    <t xml:space="preserve"> Special calculation A-4 based on Benchmark activity rates</t>
  </si>
  <si>
    <t xml:space="preserve"> Special calculation A-4 based on Benchmark employment rates</t>
  </si>
  <si>
    <t>Unit: '000 persons</t>
  </si>
  <si>
    <t>ETSocAvRow x LEmpRow</t>
  </si>
  <si>
    <t xml:space="preserve">   7a.  - of which, services</t>
  </si>
  <si>
    <t xml:space="preserve">   8. Final demand (6+7)</t>
  </si>
  <si>
    <t xml:space="preserve">   9a.  - of which, services</t>
  </si>
  <si>
    <t xml:space="preserve">   10. Gross domestic product at market prices ( 8-9 )</t>
  </si>
  <si>
    <t>QUART. VOL. PRIV. CONS. EXP. (cols 2-13)</t>
  </si>
  <si>
    <t xml:space="preserve"> Special calculation A-4 based on Eurostat unemployment rates</t>
  </si>
  <si>
    <t>Other subsidies on production (D.39r)</t>
  </si>
  <si>
    <t>Compensation of employees (D.1p)</t>
  </si>
  <si>
    <t>Gross operating surplus (B.2g) / mixed income (B.3g)</t>
  </si>
  <si>
    <t>Compensation of employees (D.1r)</t>
  </si>
  <si>
    <t>HH: Wages and salaries (D.11r)</t>
  </si>
  <si>
    <t>POPULATION OF WORKING AGE (15-64)</t>
  </si>
  <si>
    <t>CIVILIAN LABOUR FORCE</t>
  </si>
  <si>
    <t>REGISTERED UNEMPLOYED PERSONS</t>
  </si>
  <si>
    <t>LUemp</t>
  </si>
  <si>
    <t>TOTAL EMPLOYMENT LAB. FORCE STATISTICS</t>
  </si>
  <si>
    <t>QUART. VOL. GVMNT CONS. EXP. (cols 2-13)</t>
  </si>
  <si>
    <t>HH: Employer's social contributions (D.12r)</t>
  </si>
  <si>
    <t>Taxes on production and imports (D.2r = D.21r+D.29r)</t>
  </si>
  <si>
    <t>Short instructions:</t>
  </si>
  <si>
    <t xml:space="preserve">   2. Imports of goods (fob) </t>
  </si>
  <si>
    <t>Values</t>
  </si>
  <si>
    <t>Growth rates</t>
  </si>
  <si>
    <t>Values as percent of GDP</t>
  </si>
  <si>
    <t xml:space="preserve"> (L47+L123+L133) - (L61+L113+L131)</t>
  </si>
  <si>
    <t>B1g</t>
  </si>
  <si>
    <t xml:space="preserve"> (L59xL61) : L63</t>
  </si>
  <si>
    <t xml:space="preserve"> L50-L51</t>
  </si>
  <si>
    <t>D21</t>
  </si>
  <si>
    <t xml:space="preserve"> L50</t>
  </si>
  <si>
    <t>D31</t>
  </si>
  <si>
    <t xml:space="preserve"> L51</t>
  </si>
  <si>
    <t>Last forecast year</t>
  </si>
  <si>
    <t xml:space="preserve"> L47 (repeat of line 10)</t>
  </si>
  <si>
    <t>Table 5</t>
  </si>
  <si>
    <t>% change in implicit price deflator</t>
  </si>
  <si>
    <t>QUART. VOL. G.F.C.F. TOTAL (cols 2-13)</t>
  </si>
  <si>
    <t>QUART. VOL. FINAL DOM. DEMAND (cols 2-13)</t>
  </si>
  <si>
    <t>Investment by type of asset (constant prices)</t>
  </si>
  <si>
    <t>Investment by sector (constant prices)</t>
  </si>
  <si>
    <t>Investment in inventories (constant prices)</t>
  </si>
  <si>
    <t>Exports (constant prices)</t>
  </si>
  <si>
    <t>Imports (constant prices)</t>
  </si>
  <si>
    <t xml:space="preserve"> L137 : L47</t>
  </si>
  <si>
    <t>Tel. +32-2-29 52214</t>
  </si>
  <si>
    <t>In that case, you can use the procedure explained in 3., but instead of selecting an entire column, only select the relevant part.</t>
  </si>
  <si>
    <t>EMPLOYMENT AND UNEMPLOYMENT</t>
  </si>
  <si>
    <t xml:space="preserve">  1. Total population</t>
  </si>
  <si>
    <t xml:space="preserve"> 14. Compensation of employees per head</t>
  </si>
  <si>
    <t xml:space="preserve"> 15. Unit labour costs</t>
  </si>
  <si>
    <t xml:space="preserve"> 16. Relative unit labour costs in USD</t>
  </si>
  <si>
    <t xml:space="preserve"> 17. HICP</t>
  </si>
  <si>
    <t xml:space="preserve"> L54</t>
  </si>
  <si>
    <t xml:space="preserve"> 18. National CPI</t>
  </si>
  <si>
    <t xml:space="preserve"> 11b. - of which, terms of trade of services</t>
  </si>
  <si>
    <t>PAC</t>
  </si>
  <si>
    <t>PAICstNonR</t>
  </si>
  <si>
    <t>PPr$ICstNonR</t>
  </si>
  <si>
    <t>PICstNonR</t>
  </si>
  <si>
    <t>PICstR</t>
  </si>
  <si>
    <t>PICst</t>
  </si>
  <si>
    <t xml:space="preserve">   Domestic demand (Excl. Inventories)</t>
  </si>
  <si>
    <t xml:space="preserve">   Domestic demand (Incl. Inventories)</t>
  </si>
  <si>
    <t xml:space="preserve">  8. Final demand (6+7)</t>
  </si>
  <si>
    <t xml:space="preserve"> 10. Gross domestic product at market prices (8-9)</t>
  </si>
  <si>
    <t>per unit of real GDP at market prices</t>
  </si>
  <si>
    <t xml:space="preserve">   4. Exports of services</t>
  </si>
  <si>
    <t xml:space="preserve">   5. Imports of services</t>
  </si>
  <si>
    <t xml:space="preserve">   6. Services balance (4-5)</t>
  </si>
  <si>
    <t xml:space="preserve">  8. Calculated unemployment rate (%) (7:3)</t>
  </si>
  <si>
    <t>The sheet also provides comparison tables, which clearly indicate all cells that have changed compared to a reference storage.</t>
  </si>
  <si>
    <t>CompAvRowN</t>
  </si>
  <si>
    <t>YCompAv</t>
  </si>
  <si>
    <t>LEmpPrivD</t>
  </si>
  <si>
    <t>LEmpPublD</t>
  </si>
  <si>
    <t>Wage &amp; salary earners (domestic)</t>
  </si>
  <si>
    <t>Total employment (domestic - full time equivalent)</t>
  </si>
  <si>
    <t>per unit of real GDP at market prices*</t>
  </si>
  <si>
    <t>* Note: Contributions are non-additive and may differ from results in official forecast tables</t>
  </si>
  <si>
    <t>and here are all stored transfer matrices (up to five).</t>
  </si>
  <si>
    <t>This matrix is transfered to the central forecast system</t>
  </si>
  <si>
    <t>Volumes are stored in constant or previous year prices</t>
  </si>
  <si>
    <t>depending on your choice in sheet VVP1</t>
  </si>
  <si>
    <t>by pressing "save values" in the Transfer sheet</t>
  </si>
  <si>
    <t>Core inflation</t>
  </si>
  <si>
    <t>Core inflation (calculated)</t>
  </si>
  <si>
    <t>HICP Index core inflation</t>
  </si>
  <si>
    <t xml:space="preserve"> L87+L89+L90+L91-L92-L93</t>
  </si>
  <si>
    <t xml:space="preserve"> L94</t>
  </si>
  <si>
    <t xml:space="preserve"> (L87+L89+L90+L91-L92-L93) + L94</t>
  </si>
  <si>
    <t xml:space="preserve"> ((L87+L89+L90+L91-L92-L93) + L94) : (L36:L1)    L36:L1 = private consumption deflator</t>
  </si>
  <si>
    <t xml:space="preserve"> L95</t>
  </si>
  <si>
    <t>Follow this link to the detailed breakdown of nominal government consumption in the sector sheet</t>
  </si>
  <si>
    <t>Follow this link to the total consumption forecast in VVP1</t>
  </si>
  <si>
    <t>Of which:</t>
  </si>
  <si>
    <t xml:space="preserve">   9. Real adjusted gross disposable income</t>
  </si>
  <si>
    <t xml:space="preserve">  10. Final consumption expenditure</t>
  </si>
  <si>
    <t xml:space="preserve">  11. Gross saving (8-10)</t>
  </si>
  <si>
    <t>B8g</t>
  </si>
  <si>
    <t>HSav</t>
  </si>
  <si>
    <t>ESav</t>
  </si>
  <si>
    <t>ASav</t>
  </si>
  <si>
    <t>Sav</t>
  </si>
  <si>
    <t>ELend</t>
  </si>
  <si>
    <t>RoWLend</t>
  </si>
  <si>
    <t>Country uses chain linking (Y / N) ?</t>
  </si>
  <si>
    <t xml:space="preserve">   HICP</t>
  </si>
  <si>
    <t>QPrvC</t>
  </si>
  <si>
    <t>QAC</t>
  </si>
  <si>
    <t xml:space="preserve">Sheets with yellow tabs contain the actual forecast. </t>
  </si>
  <si>
    <t>Sheets with blue tabs are for information or (in some cases) contain necessary calculations.</t>
  </si>
  <si>
    <t>Sheets with green tabs contain charts for illustration.</t>
  </si>
  <si>
    <t>- price growth</t>
  </si>
  <si>
    <t>GG INTERMEDIATE CONSUMPTION</t>
  </si>
  <si>
    <t>GG SOC TRANSF IN KIND VIA MARKET PRODUCERS</t>
  </si>
  <si>
    <t>Other current revenue</t>
  </si>
  <si>
    <t>p.m. growth of total social transfers in kind (D.63 = P.31)</t>
  </si>
  <si>
    <t>YATotRev</t>
  </si>
  <si>
    <t>Total government revenue (harmonised)</t>
  </si>
  <si>
    <t>Total government expenditure (harmonised)</t>
  </si>
  <si>
    <t>Property income (paid, excluding interests) (D.4p-D.41p)</t>
  </si>
  <si>
    <t>Property income (received) (D.4r)</t>
  </si>
  <si>
    <t>Net current transfers (rest of the world)</t>
  </si>
  <si>
    <t xml:space="preserve"> L87</t>
  </si>
  <si>
    <t xml:space="preserve"> L88</t>
  </si>
  <si>
    <t xml:space="preserve"> L89+L90</t>
  </si>
  <si>
    <t xml:space="preserve"> (L36+L37+L38+L42) : (L1+L2+L3+L7)</t>
  </si>
  <si>
    <t xml:space="preserve"> (L43+L44) : (L8+L9)</t>
  </si>
  <si>
    <t xml:space="preserve"> L43:L8</t>
  </si>
  <si>
    <t xml:space="preserve"> L44:L9</t>
  </si>
  <si>
    <t xml:space="preserve"> (L36+L37+L38+L42+L43+L44) : (L1+L2+L3+L7+L8+L9)</t>
  </si>
  <si>
    <t xml:space="preserve"> (L45+L46) : (L10+L11)</t>
  </si>
  <si>
    <t xml:space="preserve"> L46:L11</t>
  </si>
  <si>
    <t xml:space="preserve"> L47:L12</t>
  </si>
  <si>
    <t xml:space="preserve"> ((L43+L44) : (L8+L9)) : ((L45+L46) : (L10+L11))</t>
  </si>
  <si>
    <t>Change in civil servants purchasing power (July - July estimates)</t>
  </si>
  <si>
    <t>Growth July - July</t>
  </si>
  <si>
    <t>Final consumption expenditure (P.3)</t>
  </si>
  <si>
    <r>
      <t xml:space="preserve">All </t>
    </r>
    <r>
      <rPr>
        <b/>
        <sz val="11"/>
        <rFont val="Arial"/>
        <family val="2"/>
      </rPr>
      <t>forecasts</t>
    </r>
    <r>
      <rPr>
        <sz val="11"/>
        <rFont val="Arial"/>
        <family val="2"/>
      </rPr>
      <t xml:space="preserve"> are made in VVP1. The second sheet is only used for calculations and to make the charts.</t>
    </r>
  </si>
  <si>
    <t>If NO, aggregates (like GDP) are additive in constant prices and therefore they will be calculated in VVP2.</t>
  </si>
  <si>
    <t xml:space="preserve"> (L43:L8) : (L45:L10)</t>
  </si>
  <si>
    <t xml:space="preserve"> (L44:L9) : (L46:L11)</t>
  </si>
  <si>
    <t xml:space="preserve"> (L61:L47) x (L61:L12)</t>
  </si>
  <si>
    <t xml:space="preserve"> (L62:L47) x (L62:L12)</t>
  </si>
  <si>
    <t xml:space="preserve"> ((L61:L47) x (L61:L12)) : ((L62:L47) x (L62:L12))</t>
  </si>
  <si>
    <t xml:space="preserve"> (((L47+L123+L133) - (L61+L113+L131)) : L47) x (((L47+L123+L133) - (L61+L113+L131)) : L12)</t>
  </si>
  <si>
    <t xml:space="preserve"> ((L50-L51) : L47) x ((L50-L51) : L12)</t>
  </si>
  <si>
    <t xml:space="preserve"> L47:L12 (repeat of line 10)</t>
  </si>
  <si>
    <t xml:space="preserve"> L75</t>
  </si>
  <si>
    <r>
      <t xml:space="preserve">A very </t>
    </r>
    <r>
      <rPr>
        <b/>
        <sz val="11"/>
        <rFont val="Arial"/>
        <family val="2"/>
      </rPr>
      <t>useful feature</t>
    </r>
    <r>
      <rPr>
        <sz val="11"/>
        <rFont val="Arial"/>
        <family val="2"/>
      </rPr>
      <t xml:space="preserve"> is the "save values" button.</t>
    </r>
  </si>
  <si>
    <r>
      <t xml:space="preserve">Don't forget to fill in the </t>
    </r>
    <r>
      <rPr>
        <b/>
        <sz val="11"/>
        <rFont val="Arial"/>
        <family val="2"/>
      </rPr>
      <t>global settings</t>
    </r>
    <r>
      <rPr>
        <sz val="11"/>
        <rFont val="Arial"/>
        <family val="2"/>
      </rPr>
      <t xml:space="preserve"> at the top before you decide to store your data in the central system.</t>
    </r>
  </si>
  <si>
    <t>EMPLOYEES LAB. FORCE STATISTICS</t>
  </si>
  <si>
    <t xml:space="preserve">VAL. PRIVATE CONSUMPTION EXPEND. </t>
  </si>
  <si>
    <t>$PrvC</t>
  </si>
  <si>
    <t xml:space="preserve">VAL. GOVERNMENT CONSUMPTION EXPEND. </t>
  </si>
  <si>
    <t>$AC</t>
  </si>
  <si>
    <t>VAL. G.F.C.F. TOTAL</t>
  </si>
  <si>
    <t>VAL. G.F.C.F. CONSTRUCTION</t>
  </si>
  <si>
    <t>$ICst</t>
  </si>
  <si>
    <t>Consumption of fixed capital</t>
  </si>
  <si>
    <t>Taxes on products (D.21)</t>
  </si>
  <si>
    <t>Subsidies on products (D.31)</t>
  </si>
  <si>
    <t>CORRESPONDANCE</t>
  </si>
  <si>
    <t>TRANSFER MATRIX</t>
  </si>
  <si>
    <t>VARIABLES</t>
  </si>
  <si>
    <t>$GDP</t>
  </si>
  <si>
    <t>$Gvadd</t>
  </si>
  <si>
    <t>*140</t>
  </si>
  <si>
    <t>$Hcomp</t>
  </si>
  <si>
    <t>$Ecomp</t>
  </si>
  <si>
    <t>$Acomp</t>
  </si>
  <si>
    <t>*117</t>
  </si>
  <si>
    <t>YAGos</t>
  </si>
  <si>
    <t>Actual social contributions (D.611r)</t>
  </si>
  <si>
    <t>Imputed social contributions (D.612r)</t>
  </si>
  <si>
    <t>QUART. VOL. CHANGE IN INVENTORIES (cols 2-13)</t>
  </si>
  <si>
    <t>QUART. VOL. DOMESTIC DEMAND (cols 2-13)</t>
  </si>
  <si>
    <t>QUART. VOL. EXPORTS G AND S (cols 2-13)</t>
  </si>
  <si>
    <t>GVT: Other capital transfers (D.9r-D.91r-D.995)</t>
  </si>
  <si>
    <t>TaxToRow</t>
  </si>
  <si>
    <t>133/*140</t>
  </si>
  <si>
    <t>$ATE</t>
  </si>
  <si>
    <t>SubFrRow</t>
  </si>
  <si>
    <t>YHPropN</t>
  </si>
  <si>
    <t>$Aint</t>
  </si>
  <si>
    <t>$HGNI</t>
  </si>
  <si>
    <t>$EGNI</t>
  </si>
  <si>
    <t>$AGNI</t>
  </si>
  <si>
    <t xml:space="preserve"> ((L113+L131 t - L113+L131 t-1) ÷ L113+L131 t-1) ÷ ((L36 t - L36 t-1) ÷ L36 t-1)</t>
  </si>
  <si>
    <t xml:space="preserve"> L158 col 1</t>
  </si>
  <si>
    <t xml:space="preserve"> (L113+L131) ÷ L36</t>
  </si>
  <si>
    <t>((L113+L131 t ÷ L113+L131 t-1) - (L162 col 1 × (L36 t ÷ L36 t-1))) × (L113+L131 t-1 ÷ L47 t)</t>
  </si>
  <si>
    <t>GG TAXES TO THE REST OF THE WORLD</t>
  </si>
  <si>
    <t>In sheet Sector2, select the block of 6 columns for t-2 ad copy it to the right (overwriting the old forecast columns for t-1).</t>
  </si>
  <si>
    <t>Gross operating surplus (B.2g) / Mixed income (implicit residual)</t>
  </si>
  <si>
    <r>
      <t>Important remark 2</t>
    </r>
    <r>
      <rPr>
        <sz val="11"/>
        <rFont val="Arial"/>
        <family val="2"/>
      </rPr>
      <t xml:space="preserve">: indicate if you want to report in </t>
    </r>
    <r>
      <rPr>
        <b/>
        <sz val="11"/>
        <color indexed="10"/>
        <rFont val="Arial"/>
        <family val="2"/>
      </rPr>
      <t>previous year prices</t>
    </r>
    <r>
      <rPr>
        <sz val="11"/>
        <rFont val="Arial"/>
        <family val="2"/>
      </rPr>
      <t xml:space="preserve"> (YES / NO) in VVP1 (top left corner)</t>
    </r>
  </si>
  <si>
    <t>It ensures the consistency between GDP from expenditure and income side. The forecast of this section is set up as follows:</t>
  </si>
  <si>
    <t>1. GDP (B.1g) is first forecasted from the expenditure side in VVP1</t>
  </si>
  <si>
    <t>Fraction at working age (15-74)</t>
  </si>
  <si>
    <t>Population at working age (15-74)</t>
  </si>
  <si>
    <t>Fraction at working age  (15-64)</t>
  </si>
  <si>
    <t>Population at working age  (15-64)</t>
  </si>
  <si>
    <t>Population at working age (15-64)</t>
  </si>
  <si>
    <r>
      <t>LEmpTot /(15-</t>
    </r>
    <r>
      <rPr>
        <b/>
        <sz val="7.2"/>
        <rFont val="Arial"/>
        <family val="2"/>
      </rPr>
      <t>74</t>
    </r>
    <r>
      <rPr>
        <sz val="8"/>
        <rFont val="Arial"/>
        <family val="2"/>
      </rPr>
      <t>)</t>
    </r>
  </si>
  <si>
    <t>POPULATION OF WORKING AGE (15-74)</t>
  </si>
  <si>
    <t>\\DG ECFIN\Forecast\Country databases\Desk transfer databases\</t>
  </si>
  <si>
    <t>Variable code</t>
  </si>
  <si>
    <t>Unit</t>
  </si>
  <si>
    <t>TM line</t>
  </si>
  <si>
    <t>EcDatabase</t>
  </si>
  <si>
    <t>Country</t>
  </si>
  <si>
    <t>Frequency</t>
  </si>
  <si>
    <t>Variable</t>
  </si>
  <si>
    <t>Annual</t>
  </si>
  <si>
    <t>OCPH</t>
  </si>
  <si>
    <t>billions</t>
  </si>
  <si>
    <t>OCTG</t>
  </si>
  <si>
    <t>OIGT</t>
  </si>
  <si>
    <t>OIGCO</t>
  </si>
  <si>
    <t>OIGEQ</t>
  </si>
  <si>
    <t>OIGOT</t>
  </si>
  <si>
    <t>OIST</t>
  </si>
  <si>
    <t>OXGN</t>
  </si>
  <si>
    <t>OXSN</t>
  </si>
  <si>
    <t>OMGN</t>
  </si>
  <si>
    <t>OMSN</t>
  </si>
  <si>
    <t>OVGD</t>
  </si>
  <si>
    <t>OIGG</t>
  </si>
  <si>
    <t>OIGDW</t>
  </si>
  <si>
    <t>UIGDW</t>
  </si>
  <si>
    <t>UCPH</t>
  </si>
  <si>
    <t>UCTG</t>
  </si>
  <si>
    <t>UIGT</t>
  </si>
  <si>
    <t>UIGCO</t>
  </si>
  <si>
    <t>UIGEQ</t>
  </si>
  <si>
    <t>UIGOT</t>
  </si>
  <si>
    <t>UIST</t>
  </si>
  <si>
    <t>UXGN</t>
  </si>
  <si>
    <t>UXSN</t>
  </si>
  <si>
    <t>UMGN</t>
  </si>
  <si>
    <t>UMSN</t>
  </si>
  <si>
    <t>UVGD</t>
  </si>
  <si>
    <t>UTVTBP</t>
  </si>
  <si>
    <t>UYVTBP</t>
  </si>
  <si>
    <t>ZCPIH</t>
  </si>
  <si>
    <t>ZCPIN</t>
  </si>
  <si>
    <t>n.a.</t>
  </si>
  <si>
    <t>UVGE</t>
  </si>
  <si>
    <t>OVGE</t>
  </si>
  <si>
    <t>NETD</t>
  </si>
  <si>
    <t>thousands</t>
  </si>
  <si>
    <t>FETD</t>
  </si>
  <si>
    <t>UWCD</t>
  </si>
  <si>
    <t>UWWD</t>
  </si>
  <si>
    <t>NWTD</t>
  </si>
  <si>
    <t>FWTD</t>
  </si>
  <si>
    <t>NPTD</t>
  </si>
  <si>
    <t>NPAN</t>
  </si>
  <si>
    <t>NPAN1</t>
  </si>
  <si>
    <t>NUTN</t>
  </si>
  <si>
    <t>NETN</t>
  </si>
  <si>
    <t>NLFS</t>
  </si>
  <si>
    <t>NLHA</t>
  </si>
  <si>
    <t>UWCH</t>
  </si>
  <si>
    <t>UWSH</t>
  </si>
  <si>
    <t>UOGH</t>
  </si>
  <si>
    <t>UYNH</t>
  </si>
  <si>
    <t>UCTRH</t>
  </si>
  <si>
    <t>UTYH</t>
  </si>
  <si>
    <t>UCTPH</t>
  </si>
  <si>
    <t>UEHH</t>
  </si>
  <si>
    <t>UCPH0</t>
  </si>
  <si>
    <t>UITH</t>
  </si>
  <si>
    <t>UKOH</t>
  </si>
  <si>
    <t>UGVAC</t>
  </si>
  <si>
    <t>UYVC</t>
  </si>
  <si>
    <t>UTVC</t>
  </si>
  <si>
    <t>UWCC</t>
  </si>
  <si>
    <t>UOGC</t>
  </si>
  <si>
    <t>UYNC</t>
  </si>
  <si>
    <t>UCTRC</t>
  </si>
  <si>
    <t>UTYC</t>
  </si>
  <si>
    <t>UEHC</t>
  </si>
  <si>
    <t>UITC</t>
  </si>
  <si>
    <t>UKOC</t>
  </si>
  <si>
    <t>UTVG</t>
  </si>
  <si>
    <t>UTYG</t>
  </si>
  <si>
    <t>UTSG</t>
  </si>
  <si>
    <t>UTAG</t>
  </si>
  <si>
    <t>UROG</t>
  </si>
  <si>
    <t>UCCG0</t>
  </si>
  <si>
    <t>UCIG0</t>
  </si>
  <si>
    <t>UWCG</t>
  </si>
  <si>
    <t>UYTGH</t>
  </si>
  <si>
    <t>UYIG</t>
  </si>
  <si>
    <t>UYVG</t>
  </si>
  <si>
    <t>UUOG</t>
  </si>
  <si>
    <t>UKTTG</t>
  </si>
  <si>
    <t>UIGG0</t>
  </si>
  <si>
    <t>UKOG</t>
  </si>
  <si>
    <t>UDGG</t>
  </si>
  <si>
    <t>UUTG</t>
  </si>
  <si>
    <t>UTKG</t>
  </si>
  <si>
    <t>UTEU</t>
  </si>
  <si>
    <t>UYIGE</t>
  </si>
  <si>
    <t>UYEU</t>
  </si>
  <si>
    <t>UVGDH</t>
  </si>
  <si>
    <t>UBLGE</t>
  </si>
  <si>
    <t>UOOMSR</t>
  </si>
  <si>
    <t>UOOMSE</t>
  </si>
  <si>
    <t>UBRA</t>
  </si>
  <si>
    <t>UBTA</t>
  </si>
  <si>
    <t>UBKA</t>
  </si>
  <si>
    <t>UPOMN</t>
  </si>
  <si>
    <t>UKCG0</t>
  </si>
  <si>
    <t>UCTGI</t>
  </si>
  <si>
    <t>UYTGM</t>
  </si>
  <si>
    <t>DXGI</t>
  </si>
  <si>
    <t>UKTG995</t>
  </si>
  <si>
    <t>DXGE</t>
  </si>
  <si>
    <t>DMGI</t>
  </si>
  <si>
    <t>DMGE</t>
  </si>
  <si>
    <t>UDMGCE</t>
  </si>
  <si>
    <t>UDMGCR</t>
  </si>
  <si>
    <t>UDMGKE</t>
  </si>
  <si>
    <t>UDMGKTR</t>
  </si>
  <si>
    <t>TRIT</t>
  </si>
  <si>
    <t>TAX RATE INDIRECT TAXES PAST 4-Y AVG</t>
  </si>
  <si>
    <t>TRDT</t>
  </si>
  <si>
    <t xml:space="preserve">TAX RATE DIRECT TAXES PAST 4-Y AVG </t>
  </si>
  <si>
    <t>TRSC</t>
  </si>
  <si>
    <t>TAX RATE SOCIAL CONTR. PAST 4-Y AVG</t>
  </si>
  <si>
    <t>WCPINEG</t>
  </si>
  <si>
    <t>WCPIENG</t>
  </si>
  <si>
    <t>WCPIFOO</t>
  </si>
  <si>
    <t>WCPIUNF</t>
  </si>
  <si>
    <t>WCPISER</t>
  </si>
  <si>
    <t>ZCPINEG</t>
  </si>
  <si>
    <t>ZCPIENG</t>
  </si>
  <si>
    <t>ZCPIFOO</t>
  </si>
  <si>
    <t>ZCPIUNF</t>
  </si>
  <si>
    <t>ZCPISER</t>
  </si>
  <si>
    <t>ZCPIXEF</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</si>
  <si>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</si>
  <si>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</si>
  <si>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</si>
  <si>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</si>
  <si>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</si>
  <si>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</si>
  <si>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</si>
  <si>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</si>
  <si>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</si>
  <si>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</si>
  <si>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</si>
  <si>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</si>
  <si>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</si>
  <si>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</si>
  <si>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</si>
  <si>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</si>
  <si>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</si>
  <si>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</si>
  <si>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</si>
  <si>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</si>
  <si>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</si>
  <si>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</si>
  <si>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</si>
  <si>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</si>
  <si>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</si>
  <si>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</si>
  <si>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</si>
  <si>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</si>
  <si>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</si>
  <si>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</si>
  <si>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</si>
  <si>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</si>
  <si>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</si>
  <si>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</si>
  <si>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</si>
  <si>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</si>
  <si>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</si>
  <si>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</si>
  <si>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</si>
  <si>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</si>
  <si>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</si>
  <si>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</si>
  <si>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</si>
  <si>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</si>
  <si>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</si>
  <si>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</si>
  <si>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</si>
  <si>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</si>
  <si>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</si>
  <si>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</si>
  <si>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</si>
  <si>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</si>
  <si>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</si>
  <si>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</si>
  <si>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</si>
  <si>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</si>
  <si>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</si>
  <si>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</si>
  <si>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</si>
  <si>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</si>
  <si>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2014Q1</t>
  </si>
  <si>
    <t>2014Q2</t>
  </si>
  <si>
    <t>2014Q3</t>
  </si>
  <si>
    <t>2014Q4</t>
  </si>
  <si>
    <t>Quarterly</t>
  </si>
  <si>
    <t>OUNF</t>
  </si>
  <si>
    <t>OUNT</t>
  </si>
  <si>
    <t>OXGS</t>
  </si>
  <si>
    <t>OUTT</t>
  </si>
  <si>
    <t>OMGS</t>
  </si>
  <si>
    <t>SE</t>
  </si>
  <si>
    <t>QUART. VOL. PRIV. CONS. EXP. (cols 2-201)</t>
  </si>
  <si>
    <t>QUART. VOL. GVMNT CONS. EXP. (cols 2-201)</t>
  </si>
  <si>
    <t>QUART. VOL. G.F.C.F. TOTAL (cols 2-201)</t>
  </si>
  <si>
    <t>QUART. VOL. FINAL DOM. DEMAND (cols 2-201)</t>
  </si>
  <si>
    <t>QUART. VOL. CHANGE IN INVENTORIES (cols 2-201)</t>
  </si>
  <si>
    <t>QUART. VOL. DOMESTIC DEMAND (cols 2-201)</t>
  </si>
  <si>
    <t>QUART. VOL. EXPORTS G AND S (cols 2-201)</t>
  </si>
  <si>
    <t>QUART. VOL. FINAL DEMAND (cols 2-201)</t>
  </si>
  <si>
    <t>QUART. VOL. IMPORTS G AND S (cols 2-201)</t>
  </si>
  <si>
    <t>QUART. VOL. GROSS DOM. PRODUCT (cols 2-201)</t>
  </si>
  <si>
    <t>QUART. HICP (cols 2-201)</t>
  </si>
  <si>
    <t xml:space="preserve">In sheets Transfer FDMS+ A and FDMS+ Q: select the last column(s) and copy them to the right. </t>
  </si>
  <si>
    <t>2015Q1</t>
  </si>
  <si>
    <t>2015Q2</t>
  </si>
  <si>
    <t>2015Q3</t>
  </si>
  <si>
    <t>2015Q4</t>
  </si>
  <si>
    <t>Scale</t>
  </si>
  <si>
    <t>units</t>
  </si>
  <si>
    <t>UTNXTMR</t>
  </si>
  <si>
    <t>dNFAmfi_Mon</t>
  </si>
  <si>
    <t>Net foreign assets (MFI)</t>
  </si>
  <si>
    <t>UTNDCMG</t>
  </si>
  <si>
    <t>dNDCgvt</t>
  </si>
  <si>
    <t>Net credit to the general government (MFI)</t>
  </si>
  <si>
    <t>UTADCMY</t>
  </si>
  <si>
    <t>dDCprv</t>
  </si>
  <si>
    <t>Credit to the domestic private sector (MFI)</t>
  </si>
  <si>
    <t>UTLCDMY</t>
  </si>
  <si>
    <t>d(C+D)</t>
  </si>
  <si>
    <t>Currency and deposits (MFI)</t>
  </si>
  <si>
    <t>UTNOIMU</t>
  </si>
  <si>
    <t>OINmfi</t>
  </si>
  <si>
    <t>Other items, net (MFI)</t>
  </si>
  <si>
    <t>CAB_BoP</t>
  </si>
  <si>
    <t>Current account, net (BoP)</t>
  </si>
  <si>
    <t>UTNFBRG</t>
  </si>
  <si>
    <t>NFBgvt</t>
  </si>
  <si>
    <t>Net foreign borrowing of the general government</t>
  </si>
  <si>
    <t>UTNFBRY</t>
  </si>
  <si>
    <t>NFBprv</t>
  </si>
  <si>
    <t>Net foreign borrowing of the private sector</t>
  </si>
  <si>
    <t>UTNNBYG</t>
  </si>
  <si>
    <t>NB</t>
  </si>
  <si>
    <t>Non-bank domestic borrowing (GVT)</t>
  </si>
  <si>
    <t>UTNOIGU</t>
  </si>
  <si>
    <t>OINgvt</t>
  </si>
  <si>
    <t>Other items, net (GVT)</t>
  </si>
  <si>
    <t>UTNOIYU</t>
  </si>
  <si>
    <t>OINprv</t>
  </si>
  <si>
    <t>Other items, net (PRV)</t>
  </si>
  <si>
    <t>USNXTMR</t>
  </si>
  <si>
    <t>NFAmfi</t>
  </si>
  <si>
    <t>Net foreign assets of MFI sector</t>
  </si>
  <si>
    <t>USNDCMG</t>
  </si>
  <si>
    <t>NDCgvt</t>
  </si>
  <si>
    <t>Net claims of MFI sector on government</t>
  </si>
  <si>
    <t>USADCMY</t>
  </si>
  <si>
    <t>DCprv</t>
  </si>
  <si>
    <t>Credit (all instruments) of the MFI sector to the domestic private sector</t>
  </si>
  <si>
    <t>USLCUMY</t>
  </si>
  <si>
    <t>C</t>
  </si>
  <si>
    <t>Currency in circulation</t>
  </si>
  <si>
    <t>USLDPMY</t>
  </si>
  <si>
    <t>D</t>
  </si>
  <si>
    <t>Deposits of the domestic private sector with MFI</t>
  </si>
  <si>
    <t>USLCDMY</t>
  </si>
  <si>
    <t>C+D</t>
  </si>
  <si>
    <t>Currency and deposits (MFI liabilities)</t>
  </si>
  <si>
    <t>USNOIMU</t>
  </si>
  <si>
    <t>ONAmfi</t>
  </si>
  <si>
    <t>Other net assets of the MFI sector</t>
  </si>
  <si>
    <t>Proportion (2013)</t>
  </si>
  <si>
    <t>consistency check</t>
  </si>
  <si>
    <t>GDP per capita</t>
  </si>
  <si>
    <t>INPUT DATA</t>
  </si>
  <si>
    <t>nominal $GDP</t>
  </si>
  <si>
    <t>SEK</t>
  </si>
  <si>
    <t>nominal GDP (EDP)</t>
  </si>
  <si>
    <t>GDP market value</t>
  </si>
  <si>
    <t>GDP per capita SEK</t>
  </si>
  <si>
    <t>DRIVERS OF GROWTH</t>
  </si>
  <si>
    <t>Real GDP growth</t>
  </si>
  <si>
    <t>%</t>
  </si>
  <si>
    <t xml:space="preserve"> Total population growth</t>
  </si>
  <si>
    <t xml:space="preserve"> Unit labour productivity</t>
  </si>
  <si>
    <t>Change of investment</t>
  </si>
  <si>
    <t>Investment ratio</t>
  </si>
  <si>
    <t>ENTR net lending per GDP</t>
  </si>
  <si>
    <t>HOUSEHOLD CONSUMPTION</t>
  </si>
  <si>
    <t xml:space="preserve">CONSUMPTION </t>
  </si>
  <si>
    <t>DISPOSABLE INCOME</t>
  </si>
  <si>
    <t>Compensation of employees</t>
  </si>
  <si>
    <t>HH  gross saving</t>
  </si>
  <si>
    <t xml:space="preserve">  HH  gross saving change</t>
  </si>
  <si>
    <t xml:space="preserve">  HH gross saving per disposable income</t>
  </si>
  <si>
    <t xml:space="preserve">  HH gross saving per GDP</t>
  </si>
  <si>
    <t>HH net lending</t>
  </si>
  <si>
    <t xml:space="preserve">  hh net lending change</t>
  </si>
  <si>
    <t xml:space="preserve">  hh net lending per GDP</t>
  </si>
  <si>
    <t>HH gross saving - HH net lending</t>
  </si>
  <si>
    <t>HOUSE PRICES</t>
  </si>
  <si>
    <t>LABOUR MARKET</t>
  </si>
  <si>
    <t>LABOUR FORCE</t>
  </si>
  <si>
    <t>EMPLOYED</t>
  </si>
  <si>
    <t>HOURS WORKED</t>
  </si>
  <si>
    <t>Unemployment</t>
  </si>
  <si>
    <t>EARNINGS and PRICES</t>
  </si>
  <si>
    <t>Compensation per employee</t>
  </si>
  <si>
    <t>ULP</t>
  </si>
  <si>
    <t>ULC</t>
  </si>
  <si>
    <t>US</t>
  </si>
  <si>
    <t>GERMANY</t>
  </si>
  <si>
    <t>NORWAY</t>
  </si>
  <si>
    <t>UK</t>
  </si>
  <si>
    <t>FINLAND</t>
  </si>
  <si>
    <t>AVERAGE</t>
  </si>
  <si>
    <t>xx</t>
  </si>
  <si>
    <t>Confidence indicator total industry</t>
  </si>
  <si>
    <t>Confidence indicator manufacturing</t>
  </si>
  <si>
    <t>Building and civil engineering (41+42)</t>
  </si>
  <si>
    <t>Retail trade (45+47)</t>
  </si>
  <si>
    <t>Confidence indicator private service sector</t>
  </si>
  <si>
    <t>xxx</t>
  </si>
  <si>
    <t>xx emplo</t>
  </si>
  <si>
    <t xml:space="preserve">  R-SQUARED </t>
  </si>
  <si>
    <t>CONFIDENCE INDICATORS</t>
  </si>
  <si>
    <t>MAIN TRADING PARTNERS GROWTH</t>
  </si>
  <si>
    <t xml:space="preserve">  R-SQUARED MECHANIC</t>
  </si>
  <si>
    <t>GDP!!</t>
  </si>
  <si>
    <t>DISPOSABLE INCOME (t-1)</t>
  </si>
  <si>
    <t>2016Q1</t>
  </si>
  <si>
    <t>2016Q2</t>
  </si>
  <si>
    <t>2016Q3</t>
  </si>
  <si>
    <t>2016Q4</t>
  </si>
  <si>
    <t>Deflator (private consumption)</t>
  </si>
  <si>
    <t>Deflator (gov consumption)</t>
  </si>
  <si>
    <t>Deflator GFCF</t>
  </si>
  <si>
    <t>Def EXP</t>
  </si>
  <si>
    <t>Def IMP</t>
  </si>
  <si>
    <t>Def GDP</t>
  </si>
  <si>
    <t>Average(CPI+HICP+services)</t>
  </si>
  <si>
    <t>R2 - RSQ</t>
  </si>
  <si>
    <t>hist</t>
  </si>
  <si>
    <t>hist (t-4)</t>
  </si>
  <si>
    <t>TCE</t>
  </si>
  <si>
    <t>ok</t>
  </si>
  <si>
    <t>PPI</t>
  </si>
  <si>
    <t>B-E</t>
  </si>
  <si>
    <t>Total, products from mining and quarrying; manufactured products; electricity; gas; heating; cooling; water; waste collection, treatment and disposal activities; materials recovery</t>
  </si>
  <si>
    <t>A-E</t>
  </si>
  <si>
    <t>Products of agriculture, forestry and fishing; mining and quarrying; manufactured products; electricity; gas; heating; cooling; water</t>
  </si>
  <si>
    <t>MANUFACTURED PRODUCTS</t>
  </si>
  <si>
    <t>source</t>
  </si>
  <si>
    <t>Export price</t>
  </si>
  <si>
    <t>Import price</t>
  </si>
  <si>
    <t>Euro area (EUR)</t>
  </si>
  <si>
    <t>Import-weighted</t>
  </si>
  <si>
    <t>Export-weighted</t>
  </si>
  <si>
    <t>Competitor-weighted</t>
  </si>
  <si>
    <t>KIX</t>
  </si>
  <si>
    <t>SEK movement</t>
  </si>
  <si>
    <r>
      <rPr>
        <b/>
        <sz val="11.5"/>
        <rFont val="Arial"/>
        <family val="2"/>
      </rPr>
      <t>NP</t>
    </r>
    <r>
      <rPr>
        <sz val="10"/>
        <rFont val="Arial"/>
        <family val="2"/>
      </rPr>
      <t xml:space="preserve"> (EXT)</t>
    </r>
  </si>
  <si>
    <t>2017Q1</t>
  </si>
  <si>
    <t>2017Q2</t>
  </si>
  <si>
    <t>2017Q3</t>
  </si>
  <si>
    <t>2017Q4</t>
  </si>
  <si>
    <t xml:space="preserve">   9. Change in E's net equity in pension funds</t>
  </si>
  <si>
    <t>Indicator</t>
  </si>
  <si>
    <t>Description</t>
  </si>
  <si>
    <t>153 DISCRETIONARY MEASURES CURRENT EXPENDITURE</t>
  </si>
  <si>
    <t>154 DISCRETIONARY MEASURES CURRENT REVENUE</t>
  </si>
  <si>
    <t>155 DISCRETIONARY MEASURES CAPITAL EXPENDITURE</t>
  </si>
  <si>
    <t>156 DISCRETIONARY MEASURES CAPITAL TRANSFERS RECEIVED</t>
  </si>
  <si>
    <t>D.8</t>
  </si>
  <si>
    <t>P.52/53 - Changes in inventories / valuables</t>
  </si>
  <si>
    <t>Impact of discretionary measures on revenue</t>
  </si>
  <si>
    <t>138 GG ONE-OFF MEASURES (REVENUE SIDE)</t>
  </si>
  <si>
    <t>139 GG ONE-OFF MEASURES (EXPENDITURE SIDE)</t>
  </si>
  <si>
    <t>UPDATE: click inside table area, right mouse button, refresh!</t>
  </si>
  <si>
    <t>,</t>
  </si>
  <si>
    <t>debt service ratio</t>
  </si>
  <si>
    <t>mof</t>
  </si>
  <si>
    <t>CF (low)</t>
  </si>
  <si>
    <t>2018Q1</t>
  </si>
  <si>
    <t>2018Q2</t>
  </si>
  <si>
    <t>2018Q3</t>
  </si>
  <si>
    <t>2018Q4</t>
  </si>
  <si>
    <t>USADCMYH</t>
  </si>
  <si>
    <t>Credit (all instruments) of the MFI sector to the domestic private sector - households</t>
  </si>
  <si>
    <t>USADCMYC</t>
  </si>
  <si>
    <t>Credit (all instruments) of the MFI sector to the domestic private sector - domestic non-financial corporations (inc. securities)</t>
  </si>
  <si>
    <t>USADCMYO</t>
  </si>
  <si>
    <t>Credit (all instruments) of the MFI sector to the domestic private sector - other domestic financial intermediaries and auxiliaries</t>
  </si>
  <si>
    <t>UTADCMYH</t>
  </si>
  <si>
    <t>Credit to the domestic private sector (MFI) - households</t>
  </si>
  <si>
    <t>UTADCMYC</t>
  </si>
  <si>
    <t>Credit to the domestic private sector (MFI) - domestic non-financial corporations (inc. securities)</t>
  </si>
  <si>
    <t>UTADCMYO</t>
  </si>
  <si>
    <t>Credit to the domestic private sector (MFI) - other domestic financial intermediaries and auxiliarie</t>
  </si>
  <si>
    <t>Current account BOP</t>
  </si>
  <si>
    <t>UBCABOP</t>
  </si>
  <si>
    <t>UCTREU</t>
  </si>
  <si>
    <t>UKTGEU</t>
  </si>
  <si>
    <t>Current transfers from EU Institutions</t>
  </si>
  <si>
    <t>Capital transfers from EU Institutions</t>
  </si>
  <si>
    <t>GG CURRENT TRANSFERS FROM EU INSTITUTIONS</t>
  </si>
  <si>
    <t>CAPITAL TRANSFERS FROM EU INSTITUTIONS</t>
  </si>
  <si>
    <t>wage bargain</t>
  </si>
  <si>
    <t>2019Q1</t>
  </si>
  <si>
    <t>2019Q2</t>
  </si>
  <si>
    <t>2019Q3</t>
  </si>
  <si>
    <t>2019Q4</t>
  </si>
  <si>
    <t>always in need</t>
  </si>
  <si>
    <t>imported goods</t>
  </si>
  <si>
    <t>avg 5 yrs</t>
  </si>
  <si>
    <t>avg. 3 yrs</t>
  </si>
  <si>
    <t>Not ok</t>
  </si>
  <si>
    <t>D.39</t>
  </si>
  <si>
    <t>D.3</t>
  </si>
  <si>
    <t>D.5</t>
  </si>
  <si>
    <t>D.9</t>
  </si>
  <si>
    <t>D.39 - Other subsidies on production (paid to government)</t>
  </si>
  <si>
    <t>D.3 - Subsidies (paid to RoW)</t>
  </si>
  <si>
    <t>D.4-D.41</t>
  </si>
  <si>
    <t>D.4-D.41 - Property income (paid, excluding interests)</t>
  </si>
  <si>
    <t>D.41</t>
  </si>
  <si>
    <t>D.41 - Interest (paid)</t>
  </si>
  <si>
    <t>D.5 - Current taxes on income and wealth (paid to government)</t>
  </si>
  <si>
    <t>D.5 - Current taxes on income and wealth (paid to RoW)</t>
  </si>
  <si>
    <t>D.62</t>
  </si>
  <si>
    <t>D.62 - Social benefits other than in kind (paid)</t>
  </si>
  <si>
    <t>D.632</t>
  </si>
  <si>
    <t>D.632 - Social transfers in kind supplied via market producers (paid)</t>
  </si>
  <si>
    <t>D.7 - Other current transfers (paid)</t>
  </si>
  <si>
    <t>D.8 - Adjustment for change in pension entitlements</t>
  </si>
  <si>
    <t>D.9 - Capital transfers (paid)</t>
  </si>
  <si>
    <t>P.51g</t>
  </si>
  <si>
    <t>P.51g - Gross fixed capital expenditure</t>
  </si>
  <si>
    <t>P.52/53</t>
  </si>
  <si>
    <t>NP - Acquisition less disposal of non-produced assets</t>
  </si>
  <si>
    <t>UOOMSR.1.0.0.0</t>
  </si>
  <si>
    <t>UOOMSE.1.0.0.0</t>
  </si>
  <si>
    <t>UDMGCE.1.0.0.0</t>
  </si>
  <si>
    <t>UDMGCR.1.0.0.0</t>
  </si>
  <si>
    <t>UDMGKE.1.0.0.0</t>
  </si>
  <si>
    <t>UDMGKTR.1.0.0.0</t>
  </si>
  <si>
    <t>P.11+P.12+</t>
  </si>
  <si>
    <t>P.11+P.12+P.131 - 'Total sales of goods and services'</t>
  </si>
  <si>
    <t>D.21</t>
  </si>
  <si>
    <t>D.21 - Taxes on products (received from the domestic economy)</t>
  </si>
  <si>
    <t>D.29</t>
  </si>
  <si>
    <t>D.29 - Other taxes on production (received from households)</t>
  </si>
  <si>
    <t>D.29 - Other taxes on production (received from corporations)</t>
  </si>
  <si>
    <t>D.29 - Other taxes on production (received from government)</t>
  </si>
  <si>
    <t>D.2</t>
  </si>
  <si>
    <t>D.2 - Taxes on production and imports (received from RoW)</t>
  </si>
  <si>
    <t>D.39 - Other subsidies on production (received from government)</t>
  </si>
  <si>
    <t>D.3 - Subsidies (received from RoW)</t>
  </si>
  <si>
    <t>D.4</t>
  </si>
  <si>
    <t>D.4 - Property income (received)</t>
  </si>
  <si>
    <t>D.5 - Current taxes on income and wealth (received from households)</t>
  </si>
  <si>
    <t>D.5 - Current taxes on income and wealth (received from corporations)</t>
  </si>
  <si>
    <t>D.5 - Current taxes on income and wealth (received from government)</t>
  </si>
  <si>
    <t>D.5 - Current taxes on income and wealth (received from RoW)</t>
  </si>
  <si>
    <t>D.611+D.61</t>
  </si>
  <si>
    <t>D.611+D.613 - Actual social contributions (received)</t>
  </si>
  <si>
    <t>D.612+D.61</t>
  </si>
  <si>
    <t>D.612+D.614-D.61SC - Imputed and other social contributions (received)</t>
  </si>
  <si>
    <t>D.7 - Other current transfers (received)</t>
  </si>
  <si>
    <t>D.9 - Capital transfers (received)</t>
  </si>
  <si>
    <t>P.2 - Intermediate consumption</t>
  </si>
  <si>
    <t>D.1</t>
  </si>
  <si>
    <t>D.1 - Compensation of employees</t>
  </si>
  <si>
    <t>D.29 - Other taxes on production (paid to government)</t>
  </si>
  <si>
    <t>D.2 - Taxes on production and imports (paid to RoW)</t>
  </si>
  <si>
    <t>D.31</t>
  </si>
  <si>
    <t>D.31 - Subsidies on products (paid to the domestic economy)</t>
  </si>
  <si>
    <t>D.39 - Other subsidies on production (paid to households)</t>
  </si>
  <si>
    <t>D.39 - Other subsidies on production (paid to corporations)</t>
  </si>
  <si>
    <t>prices memo</t>
  </si>
  <si>
    <t>pulp industry</t>
  </si>
  <si>
    <t>Northvolts</t>
  </si>
  <si>
    <t>Cce Masse salariale totale</t>
  </si>
  <si>
    <t>4 bn euros</t>
  </si>
  <si>
    <t>40 bn sek</t>
  </si>
  <si>
    <t>GFCF</t>
  </si>
  <si>
    <t>pp change</t>
  </si>
  <si>
    <t xml:space="preserve">share of </t>
  </si>
  <si>
    <t>always in need/tax hikes?/higher import prices</t>
  </si>
  <si>
    <t>2017 vs 2016</t>
  </si>
  <si>
    <t>OLD data</t>
  </si>
  <si>
    <r>
      <rPr>
        <sz val="10"/>
        <rFont val="Calibri"/>
        <family val="2"/>
      </rPr>
      <t>Δ</t>
    </r>
    <r>
      <rPr>
        <sz val="8"/>
        <rFont val="Arial"/>
        <family val="2"/>
      </rPr>
      <t xml:space="preserve"> NGDP</t>
    </r>
  </si>
  <si>
    <t>VAT base = Final C X+GFCF+Intermediate C</t>
  </si>
  <si>
    <t>Δ VAT base, %</t>
  </si>
  <si>
    <t>Taxes on products * Δ VAT base, %</t>
  </si>
  <si>
    <t>input, % Δ taxes on products (ECO+EXT)</t>
  </si>
  <si>
    <t>elasticity</t>
  </si>
  <si>
    <t>input for other taxes</t>
  </si>
  <si>
    <t>!CHECK!</t>
  </si>
  <si>
    <t>Net lending</t>
  </si>
  <si>
    <t>hard</t>
  </si>
  <si>
    <t>Hard</t>
  </si>
  <si>
    <t>Elasticities</t>
  </si>
  <si>
    <r>
      <t>Current tx on income*(</t>
    </r>
    <r>
      <rPr>
        <sz val="10"/>
        <rFont val="Calibri"/>
        <family val="2"/>
      </rPr>
      <t>Δ</t>
    </r>
    <r>
      <rPr>
        <sz val="8"/>
        <rFont val="Arial"/>
        <family val="2"/>
      </rPr>
      <t>% Compensation Empl)+DFM</t>
    </r>
  </si>
  <si>
    <r>
      <t>Elasticity*</t>
    </r>
    <r>
      <rPr>
        <sz val="10"/>
        <rFont val="Calibri"/>
        <family val="2"/>
      </rPr>
      <t>Δ</t>
    </r>
    <r>
      <rPr>
        <sz val="8"/>
        <rFont val="Arial"/>
        <family val="2"/>
      </rPr>
      <t>current tx on income</t>
    </r>
  </si>
  <si>
    <t>not used</t>
  </si>
  <si>
    <t>ADJ</t>
  </si>
  <si>
    <t>!check!</t>
  </si>
  <si>
    <t>keeping it at -0.1% GDP</t>
  </si>
  <si>
    <t>NO LINK, residual above</t>
  </si>
  <si>
    <t>Country: SE - Scale: Billions - Last update (server time): 2018.04.17 - 16:05:32</t>
  </si>
  <si>
    <t>Δ imports, %</t>
  </si>
  <si>
    <t>Value</t>
  </si>
  <si>
    <t>Δ</t>
  </si>
  <si>
    <t>Average</t>
  </si>
  <si>
    <t>Hard!</t>
  </si>
  <si>
    <t>final storage SF18</t>
  </si>
  <si>
    <t>00xe Overall index excluding energy</t>
  </si>
  <si>
    <t>00xefood Overall index excluding energy, food, alcohol and tobacco</t>
  </si>
  <si>
    <t>00xefoodunp Core inflation Overall index excl.energy&amp;unproc.food</t>
  </si>
  <si>
    <t>2020Q1</t>
  </si>
  <si>
    <t>2020Q2</t>
  </si>
  <si>
    <t>2020Q3</t>
  </si>
  <si>
    <t>2020Q4</t>
  </si>
  <si>
    <t>adj</t>
  </si>
  <si>
    <t>adf for other</t>
  </si>
  <si>
    <t>net lending</t>
  </si>
  <si>
    <t>ST1 AF18</t>
  </si>
  <si>
    <t>Jun+July</t>
  </si>
  <si>
    <t>Relative prices/ToT</t>
  </si>
  <si>
    <t>legumes/cereales/follow external assumption commodity prices</t>
  </si>
  <si>
    <t>Contribution to growth</t>
  </si>
  <si>
    <t>DWELLINGS</t>
  </si>
  <si>
    <t>ST2 AF18</t>
  </si>
  <si>
    <t>total</t>
  </si>
  <si>
    <t>elasticities</t>
  </si>
  <si>
    <t>TOTAL</t>
  </si>
  <si>
    <t>1995Q1</t>
  </si>
  <si>
    <t>1995Q2</t>
  </si>
  <si>
    <t>1995Q3</t>
  </si>
  <si>
    <t>1995Q4</t>
  </si>
  <si>
    <t>1Q1</t>
  </si>
  <si>
    <t>TCE4 AF18</t>
  </si>
  <si>
    <t>Final storage 2018 AF</t>
  </si>
  <si>
    <t xml:space="preserve">10  Population; total            </t>
  </si>
  <si>
    <t>:</t>
  </si>
  <si>
    <t xml:space="preserve">12  Population; 15 to 64 years   </t>
  </si>
  <si>
    <t xml:space="preserve">14  Population; 15 to 74 years   </t>
  </si>
  <si>
    <t xml:space="preserve">10  Employment - Total economy                                    </t>
  </si>
  <si>
    <t xml:space="preserve">20  Wage and salary earners - Total economy                                   </t>
  </si>
  <si>
    <t>30  Employment - Total economy (National concept)</t>
  </si>
  <si>
    <t xml:space="preserve">41  Unemployed persons   </t>
  </si>
  <si>
    <t xml:space="preserve">200  Household final consumption expenditure (national)                              </t>
  </si>
  <si>
    <t xml:space="preserve">100  Government final consumption expenditure                                        </t>
  </si>
  <si>
    <t xml:space="preserve">317  Non-residential construction and civil engineering                              </t>
  </si>
  <si>
    <t xml:space="preserve">316  Dwellings                                                                       </t>
  </si>
  <si>
    <t xml:space="preserve">315  Construction                                                                    </t>
  </si>
  <si>
    <t xml:space="preserve">312  Equipment                                                                       </t>
  </si>
  <si>
    <t xml:space="preserve">311  Agricultural, forestry and fishery products                                     </t>
  </si>
  <si>
    <t xml:space="preserve">318  Other products                                                                  </t>
  </si>
  <si>
    <t>319 Other investment</t>
  </si>
  <si>
    <t xml:space="preserve">310  Gross fixed capital formation                                                   </t>
  </si>
  <si>
    <t xml:space="preserve">320  Changes in inventories and net acquisition of valuables                         </t>
  </si>
  <si>
    <t>401  Domestic demand excluding change in inventories and net acquisition of valuables</t>
  </si>
  <si>
    <t>402  Domestic demand including change in inventories and net acquisition of valuables</t>
  </si>
  <si>
    <t xml:space="preserve">403  Final demand                                                                    </t>
  </si>
  <si>
    <t xml:space="preserve">511  Exports of goods                                                                </t>
  </si>
  <si>
    <t xml:space="preserve">512  Exports of services </t>
  </si>
  <si>
    <t xml:space="preserve">510  Exports of goods and services                                                   </t>
  </si>
  <si>
    <t xml:space="preserve">521  Imports of goods                                                                </t>
  </si>
  <si>
    <t xml:space="preserve">522  Imports of services </t>
  </si>
  <si>
    <t xml:space="preserve">520  Imports of goods and services                                                   </t>
  </si>
  <si>
    <t xml:space="preserve">601  Gross value added at basic prices (net of FISIM)                                </t>
  </si>
  <si>
    <t xml:space="preserve">600  Gross domestic product at market prices                                         </t>
  </si>
  <si>
    <t xml:space="preserve">200  Household final consumption expenditure (national)                           </t>
  </si>
  <si>
    <t xml:space="preserve">110  Individual consumption expenditure                                           </t>
  </si>
  <si>
    <t xml:space="preserve">120  Collective consumption expenditure                                           </t>
  </si>
  <si>
    <t xml:space="preserve">100  Government final consumption expenditure                                     </t>
  </si>
  <si>
    <t xml:space="preserve">317  Non-residential construction and civil engineering                           </t>
  </si>
  <si>
    <t xml:space="preserve">316  Dwellings                                                                    </t>
  </si>
  <si>
    <t xml:space="preserve">312  Equipment                                                                    </t>
  </si>
  <si>
    <t xml:space="preserve">315  Construction                                                                 </t>
  </si>
  <si>
    <t xml:space="preserve">311  Agricultural, forestry and fishery products                                  </t>
  </si>
  <si>
    <t xml:space="preserve">318  Other products                                                               </t>
  </si>
  <si>
    <t xml:space="preserve">310  Gross fixed capital formation                                                </t>
  </si>
  <si>
    <t xml:space="preserve">320  Changes in inventories and net acquisition of valuables                      </t>
  </si>
  <si>
    <t>401  Domestic demand excl. changes in inventories and net acquisition of valuables</t>
  </si>
  <si>
    <t>402  Domestic demand incl. changes in inventories and net acquisition of valuables</t>
  </si>
  <si>
    <t xml:space="preserve">403  Final demand                                                                 </t>
  </si>
  <si>
    <t xml:space="preserve">500  Net lending (+) or net borrowing (-) of the nation                           </t>
  </si>
  <si>
    <t xml:space="preserve">511  Exports of goods                                                             </t>
  </si>
  <si>
    <t xml:space="preserve">510  Exports of goods and services                                                </t>
  </si>
  <si>
    <t xml:space="preserve">521  Imports of goods                                                             </t>
  </si>
  <si>
    <t xml:space="preserve">520  Imports of goods and services                                                </t>
  </si>
  <si>
    <t xml:space="preserve">530  Balance of primary income with the r.o.w.                                    </t>
  </si>
  <si>
    <t xml:space="preserve">540  Net current transfers with the r.o.w.                                        </t>
  </si>
  <si>
    <t xml:space="preserve">550  Net capital transfers with the r.o.w.                                        </t>
  </si>
  <si>
    <t xml:space="preserve">600  Gross domestic product at market prices                                      </t>
  </si>
  <si>
    <t xml:space="preserve">601  Gross value added at current basic prices (net of FISIM)                             </t>
  </si>
  <si>
    <t xml:space="preserve">610  Compensation of employees                                                    </t>
  </si>
  <si>
    <t xml:space="preserve">611  Wages and salaries                                                   </t>
  </si>
  <si>
    <t>634  Taxes on products (D.21)</t>
  </si>
  <si>
    <t>635  Subsidies on products (D.31)</t>
  </si>
  <si>
    <t xml:space="preserve">640  Operating surplus/mixed income (gross)                                       </t>
  </si>
  <si>
    <t xml:space="preserve">3   Gross value added at basic prices  B1g                                               </t>
  </si>
  <si>
    <t>7 Other taxes on production, payable D.29p</t>
  </si>
  <si>
    <t>8 Other subsidies on production receivable D.39r</t>
  </si>
  <si>
    <t xml:space="preserve">6   Compensation of employees, payable  D.1p                                  </t>
  </si>
  <si>
    <t>10 Property income, receivable D.4r</t>
  </si>
  <si>
    <t>11 Property income, payable D.4p</t>
  </si>
  <si>
    <t>16 Current taxes on income and wealth, payable D.5p</t>
  </si>
  <si>
    <t>14 Social contributions, receivable D.61r</t>
  </si>
  <si>
    <t>17 Social benefits other than social transfers in kind, payable D.62p</t>
  </si>
  <si>
    <t>15 Other current transfers, receivable D.7r</t>
  </si>
  <si>
    <t>18 Other current transfers, payable D.7p</t>
  </si>
  <si>
    <t>20 Adjustment for the change in net equity of households on pension funds D.8</t>
  </si>
  <si>
    <t>22 Capital transfers, receivable D.9r</t>
  </si>
  <si>
    <t>23 Capital transfers, payable D.9p</t>
  </si>
  <si>
    <t>28 Net acquisitions of non-produced non-financial assets K.2</t>
  </si>
  <si>
    <t>25. Gross fixed capital formation P.51</t>
  </si>
  <si>
    <t xml:space="preserve">26 Changes in inventories P.52 </t>
  </si>
  <si>
    <t>27 Net acquisitions of valuables P.53</t>
  </si>
  <si>
    <t>2 Market output  and output for own use P.11+P.12</t>
  </si>
  <si>
    <t>4 Payments for other non-market output P.131</t>
  </si>
  <si>
    <t>7 Intermediate consumption P.2</t>
  </si>
  <si>
    <t>8 Value added, gross B.1g</t>
  </si>
  <si>
    <t>9 Consumption of fixed capital K.1</t>
  </si>
  <si>
    <t>11 Compensation of employees, payable D.1p</t>
  </si>
  <si>
    <t>15 Taxes on production and imports, receivable D.2r</t>
  </si>
  <si>
    <t>17 Subsidies, payable D.3p</t>
  </si>
  <si>
    <t>12 Other taxes on production, payable D.29p</t>
  </si>
  <si>
    <t>13 Other subsidies on production receivable D.39r</t>
  </si>
  <si>
    <t>16 Property income, receivable D.4r</t>
  </si>
  <si>
    <t>18 Property income, payable D.4p</t>
  </si>
  <si>
    <t>19 Interest D.41p</t>
  </si>
  <si>
    <t>22 Current taxes on income and wealth, receivable D.5r</t>
  </si>
  <si>
    <t>27 Current taxes on income and wealth, payable D.5p</t>
  </si>
  <si>
    <t>25 Imputed social contributions D.612</t>
  </si>
  <si>
    <t>24 Actual social contributions D.611r</t>
  </si>
  <si>
    <t>28 Social benefits other than social transfers in kind, payable D.62p</t>
  </si>
  <si>
    <t>26 Other current transfers, receivable D.7r</t>
  </si>
  <si>
    <t>29 Social transfers in kind related to expenditure on products supplied to households via market producers D.6311p + D.63121p + D.63131p</t>
  </si>
  <si>
    <t>31 Other current transfers, payable D.7p</t>
  </si>
  <si>
    <t>36 Adjustment for the change in net equity of households on pension funds D.8</t>
  </si>
  <si>
    <t>39 Capital transfers, receivable D.9r</t>
  </si>
  <si>
    <t>40 Capital taxes D.91r</t>
  </si>
  <si>
    <t>42 Capital transfers, payable D.9p</t>
  </si>
  <si>
    <t>84 Capital transfers to relevant sectors for taxes and social contributions assessed but unlikely to be collected D.995</t>
  </si>
  <si>
    <t>44. Gross fixed capital formation P.51</t>
  </si>
  <si>
    <t>45 Changes in inventories and Acquisitions less disposals of valuables and P.52 + P.53</t>
  </si>
  <si>
    <t>46 Acquisitions of non-produced non-financial assets K.2</t>
  </si>
  <si>
    <t xml:space="preserve">900 Consolodated gross debt </t>
  </si>
  <si>
    <t>49 Total General government expenditure  (harmonised) TE</t>
  </si>
  <si>
    <t>50 Total General government revenue  (harmonised) TR</t>
  </si>
  <si>
    <t>190 Interest D.41p (EDP)</t>
  </si>
  <si>
    <t xml:space="preserve">11 Compensation of employees, receivable D.1r                                </t>
  </si>
  <si>
    <t xml:space="preserve">12 Gross wages and salaries D.11r                                            </t>
  </si>
  <si>
    <t>13 Property income, receivable D.4r</t>
  </si>
  <si>
    <t>14 Property income, payable D.4p</t>
  </si>
  <si>
    <t>19 Current taxes on income and wealth, payable D.5p</t>
  </si>
  <si>
    <t>16 Social contributions, receivable D.61r</t>
  </si>
  <si>
    <t xml:space="preserve">17  Social benefits other than social transfers in kind, receivable  D.62r     </t>
  </si>
  <si>
    <t xml:space="preserve">20  Social contributions, payable  D.61p                                       </t>
  </si>
  <si>
    <t>21 Social benefits other than social transfers in kind, payable D.62p</t>
  </si>
  <si>
    <t>18 Other current transfers, receivable D.7r</t>
  </si>
  <si>
    <t>22 Other current transfers, payable D.7p</t>
  </si>
  <si>
    <t>24 Adjustment for the change in net equity of households on pension funds D.8</t>
  </si>
  <si>
    <t>27 Capital transfers, receivable D.9r</t>
  </si>
  <si>
    <t>28 Capital transfers, payable D.9p</t>
  </si>
  <si>
    <t>33 Net acquisitions of non-produced non-financial assets K.2</t>
  </si>
  <si>
    <t>30. Gross fixed capital formation P.51</t>
  </si>
  <si>
    <t xml:space="preserve">31 Changes in inventories P.52 </t>
  </si>
  <si>
    <t>32 Net acquisitions of valuables P.53</t>
  </si>
  <si>
    <t>2503 Gross Fixed Capital Formation Public Administration</t>
  </si>
  <si>
    <t>2401 National employment</t>
  </si>
  <si>
    <t xml:space="preserve">2402 Unemployed persons   </t>
  </si>
  <si>
    <t>2403 Average annual hours worked per person employed</t>
  </si>
  <si>
    <t>2702 Compensation of employees (paid by ROW)</t>
  </si>
  <si>
    <t>2703 Compensation of employees (received by RoW)</t>
  </si>
  <si>
    <t>2602 Taxes to RoW</t>
  </si>
  <si>
    <t>2612 Subsidies from EU</t>
  </si>
  <si>
    <t xml:space="preserve">2704 Net property income </t>
  </si>
  <si>
    <t>2906 Current taxes on income and wealth (paid by RoW)</t>
  </si>
  <si>
    <t>2901 Current taxes on income and wealth (received by RoW), wealth, etc.</t>
  </si>
  <si>
    <t>2902 Social contributions (received by RoW)</t>
  </si>
  <si>
    <t>2907 Social contributions (paid by RoW)</t>
  </si>
  <si>
    <t>2903 Social benefits other than social transfers in kind (received by RoW)</t>
  </si>
  <si>
    <t>2908 Social benefits other than social transfers in kind (paid by RoW)</t>
  </si>
  <si>
    <t>2905 Other current transfers (received by RoW)</t>
  </si>
  <si>
    <t>2910 Other current transfers (paid by RoW)</t>
  </si>
  <si>
    <t xml:space="preserve">2925 Net capital transfers </t>
  </si>
  <si>
    <t>2926 Acq. less disp. of non-fin. non-prod. Assets</t>
  </si>
  <si>
    <t>2221 Nominal Expenditure Exports of Goods to EU</t>
  </si>
  <si>
    <t>2222 Nominal Expenditure Exports of Goods extra EU</t>
  </si>
  <si>
    <t xml:space="preserve">2223 Nominal Expenditure Imports of Goods from EU </t>
  </si>
  <si>
    <t xml:space="preserve">2224 Nominal Expenditure Imports of Goods extra EU </t>
  </si>
  <si>
    <t>2301 Consumer price general index</t>
  </si>
  <si>
    <t>2300 Consumer price harmonized index</t>
  </si>
  <si>
    <t>2920 GDP (EDP-notification)</t>
  </si>
  <si>
    <t>2301 HICP Non-energy industrial goods - weight</t>
  </si>
  <si>
    <t>2302 HICP Energy - weight</t>
  </si>
  <si>
    <t>2303 HICP Unprocessed food - weight</t>
  </si>
  <si>
    <t>2304 HICP Processed food incl. alcohol and tobacco - weight</t>
  </si>
  <si>
    <t>2305 HICP Services - weight</t>
  </si>
  <si>
    <t>3001 One-off and other temporary measures (revenue side)</t>
  </si>
  <si>
    <t>3002 One-off and other temporary measures (expenditure side)</t>
  </si>
  <si>
    <t>3011 Employees in general government</t>
  </si>
  <si>
    <t>3012 Wages and salaries in public administration</t>
  </si>
  <si>
    <t xml:space="preserve">65  Household final consumption expenditure (domestic)                              </t>
  </si>
  <si>
    <t xml:space="preserve">66  Government final consumption expenditure                                        </t>
  </si>
  <si>
    <t xml:space="preserve">67  Gross fixed capital formation                                                   </t>
  </si>
  <si>
    <t xml:space="preserve">68  Changes in inventories and net acquisition of valuables                         </t>
  </si>
  <si>
    <t xml:space="preserve">69  Exports of goods and services                                                   </t>
  </si>
  <si>
    <t xml:space="preserve">70  Imports of goods and services                                                   </t>
  </si>
  <si>
    <t>71  Domestic demand excluding change in inventories and net acquisition of valuables</t>
  </si>
  <si>
    <t>72  Domestic demand including change in inventories and net acquisition of valuables</t>
  </si>
  <si>
    <t xml:space="preserve">73  Final demand                                                                    </t>
  </si>
  <si>
    <t xml:space="preserve">64  Gross domestic product at market prices                                         </t>
  </si>
  <si>
    <t>90 Consumer price harmonized index</t>
  </si>
  <si>
    <t>91 HICP Non-energy industrial goods</t>
  </si>
  <si>
    <t>92 HICP Energy</t>
  </si>
  <si>
    <t>93 HICP Unprocessed food</t>
  </si>
  <si>
    <t>94 HICP Processed food incl. alcohol and tobacco</t>
  </si>
  <si>
    <t>95 HICP Services</t>
  </si>
  <si>
    <t>97 Core inflation</t>
  </si>
  <si>
    <t>80 GFCF equipment</t>
  </si>
  <si>
    <t>81 GFCF construction</t>
  </si>
  <si>
    <t>82 GFCF other</t>
  </si>
  <si>
    <t>85 Gross capital formation</t>
  </si>
  <si>
    <t xml:space="preserve">84  Exports of goods                              </t>
  </si>
  <si>
    <t xml:space="preserve">85  Exports of services                                                   </t>
  </si>
  <si>
    <t xml:space="preserve">86  Imports of goods          </t>
  </si>
  <si>
    <t xml:space="preserve">87  Imports of services                                                   </t>
  </si>
  <si>
    <t xml:space="preserve">100  Household final consumption expenditure (domestic)                              </t>
  </si>
  <si>
    <t xml:space="preserve">101  Government final consumption expenditure                                        </t>
  </si>
  <si>
    <t xml:space="preserve">102  Gross fixed capital formation                                                   </t>
  </si>
  <si>
    <t xml:space="preserve">103  Changes in inventories and net acquisition of valuables                         </t>
  </si>
  <si>
    <t xml:space="preserve">104  Exports of goods and services                                                   </t>
  </si>
  <si>
    <t xml:space="preserve">105  Imports of goods and services                                                   </t>
  </si>
  <si>
    <t>106  Domestic demand excluding change in inventories and net acquisition of valuables</t>
  </si>
  <si>
    <t>107  Domestic demand including change in inventories and net acquisition of valuables</t>
  </si>
  <si>
    <t xml:space="preserve">108  Final demand                                                                    </t>
  </si>
  <si>
    <t>109 GFCF equipment</t>
  </si>
  <si>
    <t>110 GFCF construction</t>
  </si>
  <si>
    <t>111 GFCF other</t>
  </si>
  <si>
    <t>112 Gross capital formation (incl. Inventories)</t>
  </si>
  <si>
    <t xml:space="preserve">113  Exports of goods                              </t>
  </si>
  <si>
    <t xml:space="preserve">114  Exports of services                                                   </t>
  </si>
  <si>
    <t xml:space="preserve">115  Imports of goods          </t>
  </si>
  <si>
    <t xml:space="preserve">116  Imports of services                                                   </t>
  </si>
  <si>
    <t xml:space="preserve">117  GDP                                                 </t>
  </si>
  <si>
    <t xml:space="preserve">120  Household final consumption expenditure (domestic)                              </t>
  </si>
  <si>
    <t xml:space="preserve">121  Government final consumption expenditure                                        </t>
  </si>
  <si>
    <t xml:space="preserve">122  Gross fixed capital formation                                                   </t>
  </si>
  <si>
    <t xml:space="preserve">123  Changes in inventories and net acquisition of valuables                         </t>
  </si>
  <si>
    <t xml:space="preserve">124  Exports of goods and services                                                   </t>
  </si>
  <si>
    <t xml:space="preserve">125  Imports of goods and services                                                   </t>
  </si>
  <si>
    <t>126  Domestic demand excluding change in inventories and net acquisition of valuables</t>
  </si>
  <si>
    <t>127  Domestic demand including change in inventories and net acquisition of valuables</t>
  </si>
  <si>
    <t xml:space="preserve">128  Final demand                                                                    </t>
  </si>
  <si>
    <t>129 GFCF equipment</t>
  </si>
  <si>
    <t>130 GFCF construction</t>
  </si>
  <si>
    <t>131 GFCF other</t>
  </si>
  <si>
    <t>132 Gross capital formation (incl. Inventories)</t>
  </si>
  <si>
    <t xml:space="preserve">133  Exports of goods                              </t>
  </si>
  <si>
    <t xml:space="preserve">134  Exports of services                                                   </t>
  </si>
  <si>
    <t xml:space="preserve">135  Imports of goods          </t>
  </si>
  <si>
    <t xml:space="preserve">136  Imports of services                                                   </t>
  </si>
  <si>
    <t xml:space="preserve">137  GDP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</si>
</sst>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43" formatCode="_-* #,##0.00\ _€_-;\-* #,##0.00\ _€_-;_-* &quot;-&quot;??\ _€_-;_-@_-"/>
    <numFmt numFmtId="164" formatCode="0.0"/>
    <numFmt numFmtId="165" formatCode="0.0%"/>
    <numFmt numFmtId="166" formatCode="0.000"/>
    <numFmt numFmtId="167" formatCode="0.0000"/>
    <numFmt numFmtId="168" formatCode="0.0_)"/>
    <numFmt numFmtId="169" formatCode="0.0_);[Red]\-0.0_)"/>
    <numFmt numFmtId="170" formatCode="0.00_);[Red]\-0.00_)"/>
    <numFmt numFmtId="171" formatCode="#,##0.0"/>
    <numFmt numFmtId="172" formatCode="0.0000000"/>
    <numFmt numFmtId="173" formatCode="dd/mm/yyyy\ hh:mm:ss"/>
    <numFmt numFmtId="174" formatCode="#,##0\ &quot;Kč&quot;;\-#,##0\ &quot;Kč&quot;"/>
    <numFmt numFmtId="175" formatCode="0.000000"/>
    <numFmt numFmtId="176" formatCode="0.000%"/>
    <numFmt numFmtId="177" formatCode="d\ mmm\ yyyy\ \-\ hh:mm"/>
    <numFmt numFmtId="178" formatCode="0.00_#"/>
    <numFmt numFmtId="179" formatCode="#,##0.000"/>
    <numFmt numFmtId="180" formatCode="0.0000%"/>
    <numFmt numFmtId="181" formatCode="_-* #,##0\ _€_-;\-* #,##0\ _€_-;_-* &quot;-&quot;??\ _€_-;_-@_-"/>
    <numFmt numFmtId="182" formatCode="_-* #,##0.0\ _€_-;\-* #,##0.0\ _€_-;_-* &quot;-&quot;??\ _€_-;_-@_-"/>
  </numFmts>
  <fonts count="167">
    <font>
      <sz val="10"/>
      <name val="Arial"/>
    </font>
    <font>
      <sz val="10"/>
      <name val="Arial"/>
      <family val="2"/>
    </font>
    <font>
      <sz val="10"/>
      <name val="Arial"/>
      <family val="2"/>
    </font>
    <font>
      <sz val="10"/>
      <name val="Arial"/>
      <family val="2"/>
    </font>
    <font>
      <sz val="11"/>
      <color theme="1"/>
      <name val="Calibri"/>
      <family val="2"/>
      <scheme val="minor"/>
    </font>
    <font>
      <sz val="11"/>
      <name val="Arial"/>
      <family val="2"/>
    </font>
    <font>
      <sz val="8"/>
      <name val="Arial"/>
      <family val="2"/>
    </font>
    <font>
      <sz val="11"/>
      <color theme="1"/>
      <name val="Calibri"/>
      <family val="2"/>
      <scheme val="minor"/>
    </font>
    <font>
      <sz val="10"/>
      <name val="Arial"/>
      <family val="2"/>
    </font>
    <font>
      <sz val="10"/>
      <color indexed="9"/>
      <name val="Arial"/>
      <family val="2"/>
    </font>
    <font>
      <sz val="8"/>
      <name val="Arial"/>
      <family val="2"/>
    </font>
    <font>
      <b/>
      <sz val="8"/>
      <name val="Arial"/>
      <family val="2"/>
    </font>
    <font>
      <sz val="8"/>
      <name val="Tms Rmn"/>
    </font>
    <font>
      <b/>
      <sz val="11"/>
      <name val="Gentle Sans"/>
    </font>
    <font>
      <sz val="10"/>
      <color indexed="14"/>
      <name val="Arial MT"/>
    </font>
    <font>
      <sz val="10"/>
      <color indexed="8"/>
      <name val="Arial MT"/>
    </font>
    <font>
      <b/>
      <i/>
      <sz val="12"/>
      <name val="Gentle Sans"/>
    </font>
    <font>
      <u/>
      <sz val="10"/>
      <color indexed="20"/>
      <name val="Arial"/>
      <family val="2"/>
    </font>
    <font>
      <sz val="10"/>
      <name val="Helv"/>
    </font>
    <font>
      <u/>
      <sz val="7.5"/>
      <color indexed="12"/>
      <name val="Arial"/>
      <family val="2"/>
    </font>
    <font>
      <u/>
      <sz val="10"/>
      <color indexed="12"/>
      <name val="Arial"/>
      <family val="2"/>
    </font>
    <font>
      <b/>
      <sz val="10"/>
      <color indexed="8"/>
      <name val="Arial MT"/>
    </font>
    <font>
      <sz val="12"/>
      <name val="Arial CE"/>
      <family val="2"/>
      <charset val="238"/>
    </font>
    <font>
      <sz val="9"/>
      <name val="Times New Roman"/>
      <family val="1"/>
    </font>
    <font>
      <sz val="11"/>
      <name val="Tms Rmn"/>
    </font>
    <font>
      <i/>
      <sz val="12"/>
      <name val="Gentle Sans"/>
    </font>
    <font>
      <sz val="9"/>
      <name val="Gentle Sans"/>
    </font>
    <font>
      <sz val="9"/>
      <name val="Gentle Sans Light"/>
    </font>
    <font>
      <sz val="8"/>
      <name val="Helvetica"/>
      <family val="2"/>
    </font>
    <font>
      <sz val="10"/>
      <name val="Gentle Sans"/>
    </font>
    <font>
      <i/>
      <sz val="8"/>
      <name val="Tms Rmn"/>
    </font>
    <font>
      <b/>
      <sz val="14"/>
      <color indexed="8"/>
      <name val="CG Times (WN)"/>
    </font>
    <font>
      <b/>
      <sz val="8"/>
      <name val="Tms Rmn"/>
    </font>
    <font>
      <b/>
      <sz val="10"/>
      <color indexed="9"/>
      <name val="Arial MT"/>
    </font>
    <font>
      <sz val="10"/>
      <name val="New Baskerville"/>
    </font>
    <font>
      <sz val="10"/>
      <name val="Arial"/>
      <family val="2"/>
    </font>
    <font>
      <b/>
      <sz val="10"/>
      <color indexed="9"/>
      <name val="Arial"/>
      <family val="2"/>
    </font>
    <font>
      <b/>
      <sz val="10"/>
      <name val="Arial"/>
      <family val="2"/>
    </font>
    <font>
      <sz val="10"/>
      <color indexed="12"/>
      <name val="Arial"/>
      <family val="2"/>
    </font>
    <font>
      <b/>
      <sz val="10"/>
      <name val="Arial"/>
      <family val="2"/>
    </font>
    <font>
      <i/>
      <sz val="10"/>
      <name val="Arial"/>
      <family val="2"/>
    </font>
    <font>
      <sz val="10"/>
      <color indexed="8"/>
      <name val="Arial"/>
      <family val="2"/>
    </font>
    <font>
      <sz val="10"/>
      <name val="Arial MT"/>
    </font>
    <font>
      <sz val="9"/>
      <color indexed="8"/>
      <name val="Arial"/>
      <family val="2"/>
    </font>
    <font>
      <b/>
      <sz val="9"/>
      <color indexed="9"/>
      <name val="Arial"/>
      <family val="2"/>
    </font>
    <font>
      <b/>
      <sz val="9"/>
      <color indexed="8"/>
      <name val="Arial"/>
      <family val="2"/>
    </font>
    <font>
      <b/>
      <sz val="10"/>
      <color indexed="8"/>
      <name val="Arial"/>
      <family val="2"/>
    </font>
    <font>
      <b/>
      <sz val="10"/>
      <color indexed="8"/>
      <name val="Arial"/>
      <family val="2"/>
    </font>
    <font>
      <b/>
      <sz val="12"/>
      <color indexed="8"/>
      <name val="Arial"/>
      <family val="2"/>
    </font>
    <font>
      <sz val="8"/>
      <color indexed="8"/>
      <name val="Arial"/>
      <family val="2"/>
    </font>
    <font>
      <i/>
      <sz val="10"/>
      <color indexed="8"/>
      <name val="Arial"/>
      <family val="2"/>
    </font>
    <font>
      <sz val="12"/>
      <color indexed="8"/>
      <name val="Arial"/>
      <family val="2"/>
    </font>
    <font>
      <sz val="10"/>
      <color indexed="55"/>
      <name val="Arial"/>
      <family val="2"/>
    </font>
    <font>
      <sz val="10"/>
      <color indexed="11"/>
      <name val="Arial"/>
      <family val="2"/>
    </font>
    <font>
      <sz val="8"/>
      <color indexed="10"/>
      <name val="Arial"/>
      <family val="2"/>
    </font>
    <font>
      <b/>
      <sz val="8"/>
      <color indexed="8"/>
      <name val="Arial"/>
      <family val="2"/>
    </font>
    <font>
      <sz val="10"/>
      <color indexed="10"/>
      <name val="Arial"/>
      <family val="2"/>
    </font>
    <font>
      <b/>
      <i/>
      <sz val="10"/>
      <color indexed="8"/>
      <name val="Arial"/>
      <family val="2"/>
    </font>
    <font>
      <sz val="12"/>
      <name val="Arial"/>
      <family val="2"/>
    </font>
    <font>
      <i/>
      <sz val="8"/>
      <color indexed="8"/>
      <name val="Arial"/>
      <family val="2"/>
    </font>
    <font>
      <u/>
      <sz val="10"/>
      <color indexed="8"/>
      <name val="Arial"/>
      <family val="2"/>
    </font>
    <font>
      <sz val="7"/>
      <name val="Arial"/>
      <family val="2"/>
    </font>
    <font>
      <b/>
      <sz val="10"/>
      <color indexed="10"/>
      <name val="Arial"/>
      <family val="2"/>
    </font>
    <font>
      <sz val="8"/>
      <color indexed="81"/>
      <name val="Tahoma"/>
      <family val="2"/>
    </font>
    <font>
      <b/>
      <sz val="8"/>
      <color indexed="81"/>
      <name val="Tahoma"/>
      <family val="2"/>
    </font>
    <font>
      <b/>
      <i/>
      <sz val="8"/>
      <name val="Arial"/>
      <family val="2"/>
    </font>
    <font>
      <i/>
      <sz val="8"/>
      <name val="Arial"/>
      <family val="2"/>
    </font>
    <font>
      <sz val="8"/>
      <name val="Arial"/>
      <family val="2"/>
    </font>
    <font>
      <sz val="8"/>
      <color indexed="9"/>
      <name val="Arial"/>
      <family val="2"/>
    </font>
    <font>
      <b/>
      <sz val="10"/>
      <color indexed="62"/>
      <name val="Arial"/>
      <family val="2"/>
    </font>
    <font>
      <b/>
      <sz val="10"/>
      <color indexed="9"/>
      <name val="Arial"/>
      <family val="2"/>
    </font>
    <font>
      <b/>
      <sz val="8"/>
      <name val="Arial"/>
      <family val="2"/>
    </font>
    <font>
      <sz val="7"/>
      <color indexed="9"/>
      <name val="Arial"/>
      <family val="2"/>
    </font>
    <font>
      <b/>
      <i/>
      <sz val="12"/>
      <color indexed="9"/>
      <name val="Arial"/>
      <family val="2"/>
    </font>
    <font>
      <b/>
      <i/>
      <sz val="10"/>
      <name val="Arial"/>
      <family val="2"/>
    </font>
    <font>
      <b/>
      <sz val="8"/>
      <color indexed="10"/>
      <name val="Arial"/>
      <family val="2"/>
    </font>
    <font>
      <b/>
      <i/>
      <sz val="11"/>
      <color indexed="9"/>
      <name val="Arial"/>
      <family val="2"/>
    </font>
    <font>
      <sz val="10"/>
      <name val="Arial CE"/>
      <charset val="238"/>
    </font>
    <font>
      <sz val="10"/>
      <name val="Times New Roman CE"/>
      <charset val="238"/>
    </font>
    <font>
      <b/>
      <sz val="18"/>
      <name val="Arial CE"/>
      <charset val="238"/>
    </font>
    <font>
      <b/>
      <sz val="12"/>
      <name val="Arial CE"/>
      <charset val="238"/>
    </font>
    <font>
      <b/>
      <sz val="14"/>
      <name val="Arial"/>
      <family val="2"/>
    </font>
    <font>
      <i/>
      <sz val="12"/>
      <name val="Arial"/>
      <family val="2"/>
    </font>
    <font>
      <sz val="24"/>
      <name val="Arial"/>
      <family val="2"/>
    </font>
    <font>
      <b/>
      <sz val="12"/>
      <name val="Arial"/>
      <family val="2"/>
    </font>
    <font>
      <b/>
      <sz val="6"/>
      <name val="Arial"/>
      <family val="2"/>
    </font>
    <font>
      <b/>
      <sz val="8"/>
      <color indexed="9"/>
      <name val="Arial"/>
      <family val="2"/>
    </font>
    <font>
      <sz val="10"/>
      <color indexed="9"/>
      <name val="Arial"/>
      <family val="2"/>
    </font>
    <font>
      <sz val="10"/>
      <name val="Arial"/>
      <family val="2"/>
    </font>
    <font>
      <b/>
      <sz val="10"/>
      <color indexed="9"/>
      <name val="Symbol"/>
      <family val="1"/>
      <charset val="2"/>
    </font>
    <font>
      <b/>
      <u/>
      <sz val="10"/>
      <name val="Arial"/>
      <family val="2"/>
    </font>
    <font>
      <b/>
      <sz val="14"/>
      <color indexed="9"/>
      <name val="Arial"/>
      <family val="2"/>
    </font>
    <font>
      <i/>
      <sz val="8"/>
      <color indexed="17"/>
      <name val="Arial"/>
      <family val="2"/>
    </font>
    <font>
      <b/>
      <i/>
      <sz val="8"/>
      <color indexed="17"/>
      <name val="Arial"/>
      <family val="2"/>
    </font>
    <font>
      <sz val="12"/>
      <color indexed="12"/>
      <name val="Arial"/>
      <family val="2"/>
    </font>
    <font>
      <b/>
      <sz val="12"/>
      <color indexed="10"/>
      <name val="Arial"/>
      <family val="2"/>
    </font>
    <font>
      <sz val="12"/>
      <color indexed="13"/>
      <name val="Arial"/>
      <family val="2"/>
    </font>
    <font>
      <u/>
      <sz val="8"/>
      <color indexed="81"/>
      <name val="Tahoma"/>
      <family val="2"/>
    </font>
    <font>
      <b/>
      <sz val="8"/>
      <color indexed="10"/>
      <name val="Tahoma"/>
      <family val="2"/>
    </font>
    <font>
      <sz val="10"/>
      <color indexed="8"/>
      <name val="Arial"/>
      <family val="2"/>
    </font>
    <font>
      <sz val="10"/>
      <name val="Arial"/>
      <family val="2"/>
    </font>
    <font>
      <sz val="9"/>
      <name val="Arial"/>
      <family val="2"/>
    </font>
    <font>
      <sz val="11"/>
      <name val="Arial"/>
      <family val="2"/>
    </font>
    <font>
      <b/>
      <sz val="11"/>
      <name val="Arial"/>
      <family val="2"/>
    </font>
    <font>
      <b/>
      <sz val="11"/>
      <color indexed="10"/>
      <name val="Arial"/>
      <family val="2"/>
    </font>
    <font>
      <b/>
      <i/>
      <sz val="11"/>
      <name val="Arial"/>
      <family val="2"/>
    </font>
    <font>
      <b/>
      <sz val="11"/>
      <color indexed="10"/>
      <name val="Arial"/>
      <family val="2"/>
    </font>
    <font>
      <u/>
      <sz val="11"/>
      <name val="Arial"/>
      <family val="2"/>
    </font>
    <font>
      <b/>
      <sz val="11"/>
      <name val="Arial"/>
      <family val="2"/>
    </font>
    <font>
      <sz val="11"/>
      <name val="Arial"/>
      <family val="2"/>
    </font>
    <font>
      <sz val="10"/>
      <name val="Arial"/>
      <family val="2"/>
    </font>
    <font>
      <sz val="11"/>
      <color indexed="9"/>
      <name val="Arial"/>
      <family val="2"/>
    </font>
    <font>
      <b/>
      <i/>
      <sz val="14"/>
      <color indexed="9"/>
      <name val="Arial"/>
      <family val="2"/>
    </font>
    <font>
      <b/>
      <i/>
      <sz val="10"/>
      <color indexed="9"/>
      <name val="Arial"/>
      <family val="2"/>
    </font>
    <font>
      <b/>
      <sz val="10"/>
      <color indexed="12"/>
      <name val="Arial"/>
      <family val="2"/>
    </font>
    <font>
      <b/>
      <i/>
      <sz val="12"/>
      <color indexed="13"/>
      <name val="Arial"/>
      <family val="2"/>
    </font>
    <font>
      <b/>
      <sz val="12"/>
      <color indexed="9"/>
      <name val="Arial"/>
      <family val="2"/>
    </font>
    <font>
      <sz val="12"/>
      <color indexed="9"/>
      <name val="Arial"/>
      <family val="2"/>
    </font>
    <font>
      <b/>
      <u/>
      <sz val="12"/>
      <color indexed="9"/>
      <name val="Arial"/>
      <family val="2"/>
    </font>
    <font>
      <b/>
      <sz val="9"/>
      <name val="Arial"/>
      <family val="2"/>
    </font>
    <font>
      <sz val="8"/>
      <color indexed="9"/>
      <name val="Arial"/>
      <family val="2"/>
    </font>
    <font>
      <i/>
      <sz val="10"/>
      <color indexed="12"/>
      <name val="Arial"/>
      <family val="2"/>
    </font>
    <font>
      <sz val="8"/>
      <color indexed="12"/>
      <name val="Arial"/>
      <family val="2"/>
    </font>
    <font>
      <i/>
      <sz val="8"/>
      <color indexed="12"/>
      <name val="Arial"/>
      <family val="2"/>
    </font>
    <font>
      <b/>
      <sz val="8"/>
      <color indexed="12"/>
      <name val="Arial"/>
      <family val="2"/>
    </font>
    <font>
      <b/>
      <i/>
      <sz val="8"/>
      <color indexed="8"/>
      <name val="Arial"/>
      <family val="2"/>
    </font>
    <font>
      <sz val="10"/>
      <color indexed="48"/>
      <name val="Arial"/>
      <family val="2"/>
    </font>
    <font>
      <b/>
      <u/>
      <sz val="10"/>
      <color indexed="10"/>
      <name val="Arial"/>
      <family val="2"/>
    </font>
    <font>
      <b/>
      <sz val="9"/>
      <color indexed="81"/>
      <name val="Tahoma"/>
      <family val="2"/>
    </font>
    <font>
      <sz val="9"/>
      <color indexed="81"/>
      <name val="Tahoma"/>
      <family val="2"/>
    </font>
    <font>
      <b/>
      <sz val="8"/>
      <color indexed="55"/>
      <name val="Arial"/>
      <family val="2"/>
    </font>
    <font>
      <sz val="10"/>
      <color indexed="55"/>
      <name val="Arial"/>
      <family val="2"/>
    </font>
    <font>
      <sz val="8"/>
      <color indexed="55"/>
      <name val="Arial"/>
      <family val="2"/>
    </font>
    <font>
      <b/>
      <sz val="7.2"/>
      <name val="Arial"/>
      <family val="2"/>
    </font>
    <font>
      <sz val="10"/>
      <name val="Arial"/>
      <family val="2"/>
    </font>
    <font>
      <sz val="10"/>
      <name val="Arial"/>
      <family val="2"/>
    </font>
    <font>
      <sz val="11"/>
      <color indexed="8"/>
      <name val="Calibri"/>
      <family val="2"/>
    </font>
    <font>
      <b/>
      <sz val="10"/>
      <color indexed="60"/>
      <name val="Arial"/>
      <family val="2"/>
    </font>
    <font>
      <b/>
      <i/>
      <sz val="8"/>
      <color indexed="10"/>
      <name val="Arial"/>
      <family val="2"/>
    </font>
    <font>
      <b/>
      <sz val="10"/>
      <color indexed="62"/>
      <name val="Arial"/>
      <family val="2"/>
    </font>
    <font>
      <b/>
      <i/>
      <sz val="10"/>
      <color indexed="62"/>
      <name val="Arial"/>
      <family val="2"/>
    </font>
    <font>
      <i/>
      <sz val="10"/>
      <color indexed="62"/>
      <name val="Arial"/>
      <family val="2"/>
    </font>
    <font>
      <b/>
      <i/>
      <sz val="8"/>
      <color indexed="62"/>
      <name val="Arial"/>
      <family val="2"/>
    </font>
    <font>
      <sz val="8"/>
      <color indexed="10"/>
      <name val="Arial"/>
      <family val="2"/>
    </font>
    <font>
      <i/>
      <sz val="7"/>
      <name val="Arial"/>
      <family val="2"/>
    </font>
    <font>
      <sz val="8"/>
      <color indexed="8"/>
      <name val="Tahoma"/>
      <family val="2"/>
    </font>
    <font>
      <b/>
      <sz val="11.5"/>
      <name val="Arial"/>
      <family val="2"/>
    </font>
    <font>
      <sz val="11"/>
      <color theme="1"/>
      <name val="Calibri"/>
      <family val="2"/>
      <scheme val="minor"/>
    </font>
    <font>
      <sz val="10"/>
      <color theme="1"/>
      <name val="Arial"/>
      <family val="2"/>
    </font>
    <font>
      <b/>
      <sz val="11"/>
      <color rgb="FF000000"/>
      <name val="Calibri"/>
      <family val="2"/>
    </font>
    <font>
      <sz val="11"/>
      <color rgb="FF000000"/>
      <name val="Calibri"/>
      <family val="2"/>
    </font>
    <font>
      <b/>
      <sz val="10"/>
      <color theme="0"/>
      <name val="Arial"/>
      <family val="2"/>
    </font>
    <font>
      <b/>
      <sz val="12"/>
      <color rgb="FF000000"/>
      <name val="Arial"/>
      <family val="2"/>
    </font>
    <font>
      <sz val="10"/>
      <color rgb="FF000000"/>
      <name val="Arial"/>
      <family val="2"/>
    </font>
    <font>
      <b/>
      <sz val="12"/>
      <color rgb="FFFF0000"/>
      <name val="Calibri"/>
      <family val="2"/>
      <scheme val="minor"/>
    </font>
    <font>
      <b/>
      <i/>
      <u/>
      <sz val="8"/>
      <name val="Arial"/>
      <family val="2"/>
    </font>
    <font>
      <b/>
      <i/>
      <sz val="8"/>
      <color rgb="FFFF0000"/>
      <name val="Arial"/>
      <family val="2"/>
    </font>
    <font>
      <b/>
      <sz val="10"/>
      <color rgb="FFFF0000"/>
      <name val="Arial"/>
      <family val="2"/>
    </font>
    <font>
      <b/>
      <sz val="10"/>
      <color rgb="FFFFFFFF"/>
      <name val="Arial"/>
      <family val="2"/>
    </font>
    <font>
      <b/>
      <sz val="10"/>
      <color rgb="FF000000"/>
      <name val="Arial"/>
      <family val="2"/>
    </font>
    <font>
      <b/>
      <i/>
      <sz val="8"/>
      <color rgb="FF000000"/>
      <name val="Arial"/>
      <family val="2"/>
    </font>
    <font>
      <b/>
      <sz val="9"/>
      <color rgb="FF000000"/>
      <name val="Tahoma"/>
      <family val="2"/>
    </font>
    <font>
      <sz val="9"/>
      <color rgb="FF000000"/>
      <name val="Tahoma"/>
      <family val="2"/>
    </font>
    <font>
      <sz val="10"/>
      <name val="Calibri"/>
      <family val="2"/>
    </font>
    <font>
      <sz val="10"/>
      <color rgb="FFFF0000"/>
      <name val="Arial"/>
      <family val="2"/>
    </font>
    <font>
      <sz val="8"/>
      <color rgb="FFFF0000"/>
      <name val="Arial"/>
      <family val="2"/>
    </font>
    <font>
      <b/>
      <sz val="8"/>
      <color rgb="FFFF0000"/>
      <name val="Arial"/>
      <family val="2"/>
    </font>
  </fonts>
  <fills count="59">
    <fill>
      <patternFill patternType="none"/>
    </fill>
    <fill>
      <patternFill patternType="gray125"/>
    </fill>
    <fill>
      <patternFill patternType="solid">
        <fgColor indexed="52"/>
      </patternFill>
    </fill>
    <fill>
      <patternFill patternType="solid">
        <fgColor indexed="22"/>
      </patternFill>
    </fill>
    <fill>
      <patternFill patternType="solid">
        <fgColor indexed="55"/>
      </patternFill>
    </fill>
    <fill>
      <patternFill patternType="solid">
        <fgColor indexed="43"/>
      </patternFill>
    </fill>
    <fill>
      <patternFill patternType="solid">
        <fgColor indexed="19"/>
      </patternFill>
    </fill>
    <fill>
      <patternFill patternType="solid">
        <fgColor indexed="13"/>
      </patternFill>
    </fill>
    <fill>
      <patternFill patternType="solid">
        <fgColor indexed="9"/>
      </patternFill>
    </fill>
    <fill>
      <patternFill patternType="solid">
        <fgColor indexed="48"/>
        <bgColor indexed="64"/>
      </patternFill>
    </fill>
    <fill>
      <patternFill patternType="solid">
        <fgColor indexed="43"/>
        <bgColor indexed="64"/>
      </patternFill>
    </fill>
    <fill>
      <patternFill patternType="solid">
        <fgColor indexed="9"/>
        <bgColor indexed="64"/>
      </patternFill>
    </fill>
    <fill>
      <patternFill patternType="solid">
        <fgColor indexed="22"/>
        <bgColor indexed="64"/>
      </patternFill>
    </fill>
    <fill>
      <patternFill patternType="solid">
        <fgColor indexed="55"/>
        <bgColor indexed="64"/>
      </patternFill>
    </fill>
    <fill>
      <patternFill patternType="solid">
        <fgColor indexed="44"/>
        <bgColor indexed="64"/>
      </patternFill>
    </fill>
    <fill>
      <patternFill patternType="solid">
        <fgColor indexed="30"/>
        <bgColor indexed="64"/>
      </patternFill>
    </fill>
    <fill>
      <patternFill patternType="solid">
        <fgColor indexed="65"/>
        <bgColor indexed="44"/>
      </patternFill>
    </fill>
    <fill>
      <patternFill patternType="lightUp">
        <fgColor indexed="41"/>
        <bgColor indexed="30"/>
      </patternFill>
    </fill>
    <fill>
      <patternFill patternType="solid">
        <fgColor indexed="41"/>
        <bgColor indexed="64"/>
      </patternFill>
    </fill>
    <fill>
      <patternFill patternType="solid">
        <fgColor indexed="31"/>
        <bgColor indexed="64"/>
      </patternFill>
    </fill>
    <fill>
      <patternFill patternType="solid">
        <fgColor indexed="42"/>
        <bgColor indexed="64"/>
      </patternFill>
    </fill>
    <fill>
      <patternFill patternType="solid">
        <fgColor indexed="31"/>
        <bgColor indexed="12"/>
      </patternFill>
    </fill>
    <fill>
      <patternFill patternType="solid">
        <fgColor indexed="45"/>
        <bgColor indexed="64"/>
      </patternFill>
    </fill>
    <fill>
      <patternFill patternType="solid">
        <fgColor indexed="43"/>
        <bgColor indexed="44"/>
      </patternFill>
    </fill>
    <fill>
      <patternFill patternType="solid">
        <fgColor indexed="51"/>
        <bgColor indexed="44"/>
      </patternFill>
    </fill>
    <fill>
      <patternFill patternType="solid">
        <fgColor indexed="62"/>
        <bgColor indexed="64"/>
      </patternFill>
    </fill>
    <fill>
      <patternFill patternType="gray125">
        <bgColor indexed="41"/>
      </patternFill>
    </fill>
    <fill>
      <patternFill patternType="gray125">
        <bgColor indexed="42"/>
      </patternFill>
    </fill>
    <fill>
      <patternFill patternType="solid">
        <fgColor indexed="65"/>
        <bgColor indexed="64"/>
      </patternFill>
    </fill>
    <fill>
      <patternFill patternType="gray125">
        <bgColor indexed="31"/>
      </patternFill>
    </fill>
    <fill>
      <patternFill patternType="solid">
        <fgColor indexed="47"/>
        <bgColor indexed="64"/>
      </patternFill>
    </fill>
    <fill>
      <patternFill patternType="gray125">
        <bgColor indexed="44"/>
      </patternFill>
    </fill>
    <fill>
      <patternFill patternType="gray125">
        <bgColor indexed="22"/>
      </patternFill>
    </fill>
    <fill>
      <patternFill patternType="solid">
        <fgColor indexed="51"/>
        <bgColor indexed="64"/>
      </patternFill>
    </fill>
    <fill>
      <patternFill patternType="solid">
        <fgColor indexed="31"/>
        <bgColor indexed="44"/>
      </patternFill>
    </fill>
    <fill>
      <patternFill patternType="solid">
        <fgColor indexed="22"/>
        <bgColor indexed="42"/>
      </patternFill>
    </fill>
    <fill>
      <patternFill patternType="gray125">
        <bgColor indexed="43"/>
      </patternFill>
    </fill>
    <fill>
      <patternFill patternType="solid">
        <fgColor indexed="31"/>
        <bgColor indexed="8"/>
      </patternFill>
    </fill>
    <fill>
      <patternFill patternType="solid">
        <fgColor indexed="13"/>
        <bgColor indexed="64"/>
      </patternFill>
    </fill>
    <fill>
      <patternFill patternType="solid">
        <fgColor indexed="26"/>
        <bgColor indexed="64"/>
      </patternFill>
    </fill>
    <fill>
      <patternFill patternType="solid">
        <fgColor indexed="29"/>
        <bgColor indexed="64"/>
      </patternFill>
    </fill>
    <fill>
      <patternFill patternType="solid">
        <fgColor rgb="FFFFFFCC"/>
      </patternFill>
    </fill>
    <fill>
      <patternFill patternType="solid">
        <fgColor rgb="FFFFFF99"/>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92D050"/>
        <bgColor indexed="64"/>
      </patternFill>
    </fill>
    <fill>
      <patternFill patternType="solid">
        <fgColor theme="0"/>
        <bgColor indexed="64"/>
      </patternFill>
    </fill>
    <fill>
      <patternFill patternType="solid">
        <fgColor rgb="FFFFC000"/>
        <bgColor indexed="64"/>
      </patternFill>
    </fill>
    <fill>
      <patternFill patternType="solid">
        <fgColor theme="9" tint="0.59999389629810485"/>
        <bgColor indexed="64"/>
      </patternFill>
    </fill>
    <fill>
      <patternFill patternType="solid">
        <fgColor rgb="FFFF0000"/>
        <bgColor indexed="64"/>
      </patternFill>
    </fill>
    <fill>
      <patternFill patternType="solid">
        <fgColor rgb="FF0066CC"/>
        <bgColor rgb="FF000000"/>
      </patternFill>
    </fill>
    <fill>
      <patternFill patternType="solid">
        <fgColor rgb="FF99CCFF"/>
        <bgColor rgb="FF000000"/>
      </patternFill>
    </fill>
    <fill>
      <patternFill patternType="solid">
        <fgColor rgb="FFCCFFFF"/>
        <bgColor rgb="FF000000"/>
      </patternFill>
    </fill>
    <fill>
      <patternFill patternType="solid">
        <fgColor rgb="FFCCFFCC"/>
        <bgColor rgb="FF000000"/>
      </patternFill>
    </fill>
    <fill>
      <patternFill patternType="solid">
        <fgColor rgb="FFC0C0C0"/>
        <bgColor rgb="FF000000"/>
      </patternFill>
    </fill>
    <fill>
      <patternFill patternType="solid">
        <fgColor rgb="FFFFCC00"/>
        <bgColor rgb="FF000000"/>
      </patternFill>
    </fill>
    <fill>
      <patternFill patternType="solid">
        <fgColor rgb="FFFCD5B4"/>
        <bgColor rgb="FF000000"/>
      </patternFill>
    </fill>
    <fill>
      <patternFill patternType="solid">
        <fgColor rgb="FFFFC000"/>
        <bgColor rgb="FF000000"/>
      </patternFill>
    </fill>
    <fill>
      <patternFill patternType="solid">
        <fgColor rgb="FFFFFF99"/>
        <bgColor rgb="FF000000"/>
      </patternFill>
    </fill>
  </fills>
  <borders count="185">
    <border>
      <left/>
      <right/>
      <top/>
      <bottom/>
      <diagonal/>
    </border>
    <border>
      <left/>
      <right/>
      <top style="double">
        <color indexed="8"/>
      </top>
      <bottom/>
      <diagonal/>
    </border>
    <border>
      <left style="thin">
        <color indexed="64"/>
      </left>
      <right/>
      <top/>
      <bottom/>
      <diagonal/>
    </border>
    <border>
      <left/>
      <right/>
      <top/>
      <bottom style="medium">
        <color indexed="64"/>
      </bottom>
      <diagonal/>
    </border>
    <border>
      <left/>
      <right/>
      <top/>
      <bottom style="thin">
        <color indexed="8"/>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style="medium">
        <color indexed="64"/>
      </top>
      <bottom style="thin">
        <color indexed="64"/>
      </bottom>
      <diagonal/>
    </border>
    <border>
      <left style="medium">
        <color indexed="64"/>
      </left>
      <right/>
      <top style="thin">
        <color indexed="64"/>
      </top>
      <bottom style="hair">
        <color indexed="64"/>
      </bottom>
      <diagonal/>
    </border>
    <border>
      <left/>
      <right style="medium">
        <color indexed="64"/>
      </right>
      <top style="thin">
        <color indexed="64"/>
      </top>
      <bottom style="hair">
        <color indexed="64"/>
      </bottom>
      <diagonal/>
    </border>
    <border>
      <left style="medium">
        <color indexed="64"/>
      </left>
      <right style="medium">
        <color indexed="64"/>
      </right>
      <top style="thin">
        <color indexed="64"/>
      </top>
      <bottom style="hair">
        <color indexed="64"/>
      </bottom>
      <diagonal/>
    </border>
    <border>
      <left style="medium">
        <color indexed="64"/>
      </left>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style="hair">
        <color indexed="64"/>
      </top>
      <bottom style="hair">
        <color indexed="64"/>
      </bottom>
      <diagonal/>
    </border>
    <border>
      <left/>
      <right/>
      <top style="thin">
        <color indexed="64"/>
      </top>
      <bottom/>
      <diagonal/>
    </border>
    <border>
      <left style="medium">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bottom style="medium">
        <color indexed="64"/>
      </bottom>
      <diagonal/>
    </border>
    <border>
      <left style="thin">
        <color indexed="64"/>
      </left>
      <right/>
      <top/>
      <bottom style="medium">
        <color indexed="64"/>
      </bottom>
      <diagonal/>
    </border>
    <border>
      <left style="thin">
        <color indexed="64"/>
      </left>
      <right style="medium">
        <color indexed="64"/>
      </right>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medium">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style="thin">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thin">
        <color indexed="64"/>
      </top>
      <bottom/>
      <diagonal/>
    </border>
    <border>
      <left/>
      <right style="medium">
        <color indexed="64"/>
      </right>
      <top/>
      <bottom/>
      <diagonal/>
    </border>
    <border>
      <left/>
      <right style="medium">
        <color indexed="64"/>
      </right>
      <top/>
      <bottom style="thin">
        <color indexed="64"/>
      </bottom>
      <diagonal/>
    </border>
    <border>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diagonal/>
    </border>
    <border>
      <left/>
      <right style="thin">
        <color indexed="64"/>
      </right>
      <top/>
      <bottom style="medium">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medium">
        <color indexed="64"/>
      </top>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right/>
      <top style="thin">
        <color indexed="64"/>
      </top>
      <bottom style="hair">
        <color indexed="64"/>
      </bottom>
      <diagonal/>
    </border>
    <border>
      <left/>
      <right/>
      <top style="hair">
        <color indexed="64"/>
      </top>
      <bottom style="hair">
        <color indexed="64"/>
      </bottom>
      <diagonal/>
    </border>
    <border>
      <left style="thin">
        <color indexed="44"/>
      </left>
      <right style="thin">
        <color indexed="44"/>
      </right>
      <top style="thin">
        <color indexed="44"/>
      </top>
      <bottom/>
      <diagonal/>
    </border>
    <border>
      <left style="thin">
        <color indexed="12"/>
      </left>
      <right/>
      <top style="thin">
        <color indexed="12"/>
      </top>
      <bottom/>
      <diagonal/>
    </border>
    <border>
      <left style="thin">
        <color indexed="12"/>
      </left>
      <right style="thin">
        <color indexed="12"/>
      </right>
      <top style="thin">
        <color indexed="12"/>
      </top>
      <bottom/>
      <diagonal/>
    </border>
    <border>
      <left style="thin">
        <color indexed="12"/>
      </left>
      <right style="thin">
        <color indexed="12"/>
      </right>
      <top/>
      <bottom/>
      <diagonal/>
    </border>
    <border>
      <left style="thin">
        <color indexed="12"/>
      </left>
      <right/>
      <top/>
      <bottom/>
      <diagonal/>
    </border>
    <border>
      <left/>
      <right style="thin">
        <color indexed="12"/>
      </right>
      <top/>
      <bottom/>
      <diagonal/>
    </border>
    <border>
      <left style="medium">
        <color indexed="12"/>
      </left>
      <right style="medium">
        <color indexed="12"/>
      </right>
      <top/>
      <bottom/>
      <diagonal/>
    </border>
    <border>
      <left style="medium">
        <color indexed="12"/>
      </left>
      <right style="medium">
        <color indexed="12"/>
      </right>
      <top/>
      <bottom style="medium">
        <color indexed="12"/>
      </bottom>
      <diagonal/>
    </border>
    <border>
      <left/>
      <right/>
      <top/>
      <bottom style="thin">
        <color indexed="12"/>
      </bottom>
      <diagonal/>
    </border>
    <border>
      <left/>
      <right/>
      <top style="thin">
        <color indexed="12"/>
      </top>
      <bottom style="thin">
        <color indexed="12"/>
      </bottom>
      <diagonal/>
    </border>
    <border>
      <left style="medium">
        <color indexed="12"/>
      </left>
      <right style="medium">
        <color indexed="12"/>
      </right>
      <top style="medium">
        <color indexed="12"/>
      </top>
      <bottom/>
      <diagonal/>
    </border>
    <border>
      <left style="thin">
        <color indexed="12"/>
      </left>
      <right style="thin">
        <color indexed="12"/>
      </right>
      <top/>
      <bottom style="thin">
        <color indexed="12"/>
      </bottom>
      <diagonal/>
    </border>
    <border>
      <left style="thin">
        <color indexed="12"/>
      </left>
      <right style="thin">
        <color indexed="12"/>
      </right>
      <top style="thin">
        <color indexed="12"/>
      </top>
      <bottom style="thin">
        <color indexed="12"/>
      </bottom>
      <diagonal/>
    </border>
    <border>
      <left/>
      <right/>
      <top style="thin">
        <color indexed="12"/>
      </top>
      <bottom/>
      <diagonal/>
    </border>
    <border>
      <left style="thin">
        <color indexed="12"/>
      </left>
      <right/>
      <top/>
      <bottom style="thin">
        <color indexed="12"/>
      </bottom>
      <diagonal/>
    </border>
    <border>
      <left style="thin">
        <color indexed="12"/>
      </left>
      <right/>
      <top style="thin">
        <color indexed="12"/>
      </top>
      <bottom style="thin">
        <color indexed="12"/>
      </bottom>
      <diagonal/>
    </border>
    <border>
      <left style="thin">
        <color indexed="17"/>
      </left>
      <right/>
      <top style="thin">
        <color indexed="17"/>
      </top>
      <bottom/>
      <diagonal/>
    </border>
    <border>
      <left/>
      <right/>
      <top style="thin">
        <color indexed="17"/>
      </top>
      <bottom/>
      <diagonal/>
    </border>
    <border>
      <left style="thin">
        <color indexed="17"/>
      </left>
      <right/>
      <top/>
      <bottom style="thin">
        <color indexed="17"/>
      </bottom>
      <diagonal/>
    </border>
    <border>
      <left/>
      <right/>
      <top/>
      <bottom style="thin">
        <color indexed="17"/>
      </bottom>
      <diagonal/>
    </border>
    <border>
      <left style="thin">
        <color indexed="57"/>
      </left>
      <right/>
      <top/>
      <bottom/>
      <diagonal/>
    </border>
    <border>
      <left style="thin">
        <color indexed="57"/>
      </left>
      <right/>
      <top style="thin">
        <color indexed="57"/>
      </top>
      <bottom style="thin">
        <color indexed="57"/>
      </bottom>
      <diagonal/>
    </border>
    <border>
      <left/>
      <right/>
      <top style="thin">
        <color indexed="57"/>
      </top>
      <bottom style="thin">
        <color indexed="57"/>
      </bottom>
      <diagonal/>
    </border>
    <border>
      <left style="thin">
        <color indexed="57"/>
      </left>
      <right/>
      <top style="thin">
        <color indexed="57"/>
      </top>
      <bottom/>
      <diagonal/>
    </border>
    <border>
      <left/>
      <right/>
      <top style="thin">
        <color indexed="57"/>
      </top>
      <bottom/>
      <diagonal/>
    </border>
    <border>
      <left style="thin">
        <color indexed="17"/>
      </left>
      <right/>
      <top style="thin">
        <color indexed="17"/>
      </top>
      <bottom style="thin">
        <color indexed="17"/>
      </bottom>
      <diagonal/>
    </border>
    <border>
      <left/>
      <right/>
      <top style="thin">
        <color indexed="17"/>
      </top>
      <bottom style="thin">
        <color indexed="17"/>
      </bottom>
      <diagonal/>
    </border>
    <border>
      <left style="thin">
        <color indexed="17"/>
      </left>
      <right/>
      <top/>
      <bottom/>
      <diagonal/>
    </border>
    <border>
      <left style="thin">
        <color indexed="8"/>
      </left>
      <right/>
      <top style="thin">
        <color indexed="8"/>
      </top>
      <bottom/>
      <diagonal/>
    </border>
    <border>
      <left/>
      <right/>
      <top style="thin">
        <color indexed="8"/>
      </top>
      <bottom/>
      <diagonal/>
    </border>
    <border>
      <left style="thin">
        <color indexed="8"/>
      </left>
      <right/>
      <top/>
      <bottom style="thin">
        <color indexed="8"/>
      </bottom>
      <diagonal/>
    </border>
    <border>
      <left style="thin">
        <color indexed="57"/>
      </left>
      <right/>
      <top/>
      <bottom style="thin">
        <color indexed="17"/>
      </bottom>
      <diagonal/>
    </border>
    <border>
      <left style="thin">
        <color indexed="8"/>
      </left>
      <right/>
      <top/>
      <bottom/>
      <diagonal/>
    </border>
    <border>
      <left style="thin">
        <color indexed="8"/>
      </left>
      <right/>
      <top style="thin">
        <color indexed="8"/>
      </top>
      <bottom style="thin">
        <color indexed="64"/>
      </bottom>
      <diagonal/>
    </border>
    <border>
      <left/>
      <right/>
      <top style="thin">
        <color indexed="8"/>
      </top>
      <bottom style="thin">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top/>
      <bottom style="thin">
        <color indexed="9"/>
      </bottom>
      <diagonal/>
    </border>
    <border>
      <left/>
      <right/>
      <top style="thin">
        <color indexed="9"/>
      </top>
      <bottom style="thin">
        <color indexed="9"/>
      </bottom>
      <diagonal/>
    </border>
    <border>
      <left/>
      <right/>
      <top style="thin">
        <color indexed="9"/>
      </top>
      <bottom/>
      <diagonal/>
    </border>
    <border>
      <left/>
      <right style="thin">
        <color indexed="12"/>
      </right>
      <top/>
      <bottom style="thin">
        <color indexed="12"/>
      </bottom>
      <diagonal/>
    </border>
    <border>
      <left/>
      <right style="thin">
        <color indexed="12"/>
      </right>
      <top style="thin">
        <color indexed="12"/>
      </top>
      <bottom/>
      <diagonal/>
    </border>
    <border>
      <left style="thin">
        <color indexed="41"/>
      </left>
      <right style="thin">
        <color indexed="41"/>
      </right>
      <top style="thin">
        <color indexed="41"/>
      </top>
      <bottom style="thin">
        <color indexed="12"/>
      </bottom>
      <diagonal/>
    </border>
    <border>
      <left style="thin">
        <color indexed="41"/>
      </left>
      <right style="thin">
        <color indexed="41"/>
      </right>
      <top style="thin">
        <color indexed="41"/>
      </top>
      <bottom/>
      <diagonal/>
    </border>
    <border>
      <left style="thin">
        <color indexed="12"/>
      </left>
      <right style="thin">
        <color indexed="41"/>
      </right>
      <top style="thin">
        <color indexed="41"/>
      </top>
      <bottom style="thin">
        <color indexed="12"/>
      </bottom>
      <diagonal/>
    </border>
    <border>
      <left style="thin">
        <color indexed="12"/>
      </left>
      <right style="thin">
        <color indexed="41"/>
      </right>
      <top style="thin">
        <color indexed="41"/>
      </top>
      <bottom/>
      <diagonal/>
    </border>
    <border>
      <left/>
      <right style="thin">
        <color indexed="12"/>
      </right>
      <top style="thin">
        <color indexed="12"/>
      </top>
      <bottom style="thin">
        <color indexed="12"/>
      </bottom>
      <diagonal/>
    </border>
    <border>
      <left style="thin">
        <color indexed="48"/>
      </left>
      <right/>
      <top style="thin">
        <color indexed="48"/>
      </top>
      <bottom/>
      <diagonal/>
    </border>
    <border>
      <left/>
      <right/>
      <top style="thin">
        <color indexed="48"/>
      </top>
      <bottom/>
      <diagonal/>
    </border>
    <border>
      <left style="thin">
        <color indexed="48"/>
      </left>
      <right/>
      <top/>
      <bottom style="thin">
        <color indexed="48"/>
      </bottom>
      <diagonal/>
    </border>
    <border>
      <left/>
      <right/>
      <top/>
      <bottom style="thin">
        <color indexed="48"/>
      </bottom>
      <diagonal/>
    </border>
    <border>
      <left style="medium">
        <color indexed="64"/>
      </left>
      <right/>
      <top/>
      <bottom style="hair">
        <color indexed="64"/>
      </bottom>
      <diagonal/>
    </border>
    <border>
      <left/>
      <right style="medium">
        <color indexed="64"/>
      </right>
      <top/>
      <bottom style="hair">
        <color indexed="64"/>
      </bottom>
      <diagonal/>
    </border>
    <border>
      <left style="medium">
        <color indexed="64"/>
      </left>
      <right style="medium">
        <color indexed="64"/>
      </right>
      <top/>
      <bottom style="hair">
        <color indexed="64"/>
      </bottom>
      <diagonal/>
    </border>
    <border>
      <left/>
      <right/>
      <top/>
      <bottom style="hair">
        <color indexed="64"/>
      </bottom>
      <diagonal/>
    </border>
    <border>
      <left/>
      <right style="thin">
        <color indexed="17"/>
      </right>
      <top/>
      <bottom style="thin">
        <color indexed="57"/>
      </bottom>
      <diagonal/>
    </border>
    <border>
      <left style="thin">
        <color indexed="17"/>
      </left>
      <right/>
      <top/>
      <bottom style="thin">
        <color indexed="57"/>
      </bottom>
      <diagonal/>
    </border>
    <border>
      <left style="thin">
        <color indexed="8"/>
      </left>
      <right/>
      <top/>
      <bottom style="thin">
        <color indexed="64"/>
      </bottom>
      <diagonal/>
    </border>
    <border>
      <left/>
      <right style="thin">
        <color indexed="57"/>
      </right>
      <top/>
      <bottom/>
      <diagonal/>
    </border>
    <border>
      <left style="thin">
        <color indexed="57"/>
      </left>
      <right/>
      <top/>
      <bottom style="thin">
        <color indexed="57"/>
      </bottom>
      <diagonal/>
    </border>
    <border>
      <left/>
      <right style="thin">
        <color indexed="17"/>
      </right>
      <top style="thin">
        <color indexed="17"/>
      </top>
      <bottom style="thin">
        <color indexed="17"/>
      </bottom>
      <diagonal/>
    </border>
    <border>
      <left/>
      <right/>
      <top/>
      <bottom style="thin">
        <color indexed="57"/>
      </bottom>
      <diagonal/>
    </border>
    <border>
      <left style="thin">
        <color indexed="17"/>
      </left>
      <right style="thin">
        <color indexed="17"/>
      </right>
      <top style="thin">
        <color indexed="17"/>
      </top>
      <bottom style="thin">
        <color indexed="17"/>
      </bottom>
      <diagonal/>
    </border>
    <border>
      <left style="thin">
        <color indexed="17"/>
      </left>
      <right style="thin">
        <color indexed="17"/>
      </right>
      <top/>
      <bottom style="thin">
        <color indexed="17"/>
      </bottom>
      <diagonal/>
    </border>
    <border>
      <left/>
      <right style="thin">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style="thin">
        <color indexed="64"/>
      </right>
      <top/>
      <bottom/>
      <diagonal/>
    </border>
    <border>
      <left/>
      <right style="thin">
        <color indexed="9"/>
      </right>
      <top/>
      <bottom/>
      <diagonal/>
    </border>
    <border>
      <left style="medium">
        <color indexed="10"/>
      </left>
      <right style="medium">
        <color indexed="10"/>
      </right>
      <top style="medium">
        <color indexed="10"/>
      </top>
      <bottom style="medium">
        <color indexed="10"/>
      </bottom>
      <diagonal/>
    </border>
    <border>
      <left/>
      <right style="medium">
        <color indexed="64"/>
      </right>
      <top style="medium">
        <color indexed="64"/>
      </top>
      <bottom style="thin">
        <color indexed="64"/>
      </bottom>
      <diagonal/>
    </border>
    <border>
      <left style="thin">
        <color indexed="41"/>
      </left>
      <right style="thin">
        <color indexed="41"/>
      </right>
      <top style="thin">
        <color indexed="12"/>
      </top>
      <bottom style="thin">
        <color indexed="41"/>
      </bottom>
      <diagonal/>
    </border>
    <border>
      <left style="thin">
        <color indexed="41"/>
      </left>
      <right/>
      <top style="thin">
        <color indexed="41"/>
      </top>
      <bottom/>
      <diagonal/>
    </border>
    <border>
      <left/>
      <right/>
      <top style="thin">
        <color indexed="41"/>
      </top>
      <bottom/>
      <diagonal/>
    </border>
    <border>
      <left/>
      <right style="thin">
        <color indexed="41"/>
      </right>
      <top style="thin">
        <color indexed="41"/>
      </top>
      <bottom/>
      <diagonal/>
    </border>
    <border>
      <left/>
      <right/>
      <top/>
      <bottom style="thin">
        <color indexed="41"/>
      </bottom>
      <diagonal/>
    </border>
    <border>
      <left/>
      <right style="thin">
        <color indexed="41"/>
      </right>
      <top/>
      <bottom style="thin">
        <color indexed="41"/>
      </bottom>
      <diagonal/>
    </border>
    <border>
      <left style="thin">
        <color indexed="41"/>
      </left>
      <right/>
      <top/>
      <bottom style="thin">
        <color indexed="41"/>
      </bottom>
      <diagonal/>
    </border>
    <border>
      <left style="thin">
        <color indexed="41"/>
      </left>
      <right/>
      <top style="thin">
        <color indexed="12"/>
      </top>
      <bottom style="thin">
        <color indexed="41"/>
      </bottom>
      <diagonal/>
    </border>
    <border>
      <left/>
      <right/>
      <top style="thin">
        <color indexed="12"/>
      </top>
      <bottom style="thin">
        <color indexed="41"/>
      </bottom>
      <diagonal/>
    </border>
    <border>
      <left/>
      <right style="thin">
        <color indexed="41"/>
      </right>
      <top style="thin">
        <color indexed="12"/>
      </top>
      <bottom style="thin">
        <color indexed="41"/>
      </bottom>
      <diagonal/>
    </border>
    <border>
      <left style="thin">
        <color indexed="12"/>
      </left>
      <right style="thin">
        <color indexed="41"/>
      </right>
      <top style="thin">
        <color indexed="12"/>
      </top>
      <bottom style="thin">
        <color indexed="41"/>
      </bottom>
      <diagonal/>
    </border>
    <border>
      <left/>
      <right style="thin">
        <color indexed="41"/>
      </right>
      <top/>
      <bottom/>
      <diagonal/>
    </border>
    <border>
      <left/>
      <right style="thin">
        <color indexed="41"/>
      </right>
      <top/>
      <bottom style="thin">
        <color indexed="12"/>
      </bottom>
      <diagonal/>
    </border>
    <border>
      <left style="thin">
        <color indexed="41"/>
      </left>
      <right/>
      <top style="thin">
        <color indexed="41"/>
      </top>
      <bottom style="thin">
        <color indexed="41"/>
      </bottom>
      <diagonal/>
    </border>
    <border>
      <left/>
      <right/>
      <top style="thin">
        <color indexed="41"/>
      </top>
      <bottom style="thin">
        <color indexed="41"/>
      </bottom>
      <diagonal/>
    </border>
    <border>
      <left/>
      <right style="thin">
        <color indexed="41"/>
      </right>
      <top style="thin">
        <color indexed="41"/>
      </top>
      <bottom style="thin">
        <color indexed="41"/>
      </bottom>
      <diagonal/>
    </border>
    <border>
      <left style="thin">
        <color indexed="44"/>
      </left>
      <right/>
      <top style="thin">
        <color indexed="44"/>
      </top>
      <bottom style="thin">
        <color indexed="12"/>
      </bottom>
      <diagonal/>
    </border>
    <border>
      <left/>
      <right/>
      <top style="thin">
        <color indexed="44"/>
      </top>
      <bottom style="thin">
        <color indexed="12"/>
      </bottom>
      <diagonal/>
    </border>
    <border>
      <left/>
      <right style="thin">
        <color indexed="44"/>
      </right>
      <top style="thin">
        <color indexed="44"/>
      </top>
      <bottom style="thin">
        <color indexed="12"/>
      </bottom>
      <diagonal/>
    </border>
    <border>
      <left style="thin">
        <color indexed="44"/>
      </left>
      <right/>
      <top style="thin">
        <color indexed="44"/>
      </top>
      <bottom/>
      <diagonal/>
    </border>
    <border>
      <left/>
      <right/>
      <top style="thin">
        <color indexed="44"/>
      </top>
      <bottom/>
      <diagonal/>
    </border>
    <border>
      <left/>
      <right style="thin">
        <color indexed="44"/>
      </right>
      <top style="thin">
        <color indexed="44"/>
      </top>
      <bottom/>
      <diagonal/>
    </border>
    <border>
      <left style="thin">
        <color indexed="44"/>
      </left>
      <right/>
      <top/>
      <bottom style="thin">
        <color indexed="44"/>
      </bottom>
      <diagonal/>
    </border>
    <border>
      <left/>
      <right/>
      <top/>
      <bottom style="thin">
        <color indexed="44"/>
      </bottom>
      <diagonal/>
    </border>
    <border>
      <left/>
      <right style="thin">
        <color indexed="44"/>
      </right>
      <top/>
      <bottom style="thin">
        <color indexed="44"/>
      </bottom>
      <diagonal/>
    </border>
    <border>
      <left style="thin">
        <color indexed="44"/>
      </left>
      <right/>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medium">
        <color indexed="64"/>
      </bottom>
      <diagonal/>
    </border>
    <border>
      <left style="thin">
        <color rgb="FFB2B2B2"/>
      </left>
      <right style="thin">
        <color rgb="FFB2B2B2"/>
      </right>
      <top style="thin">
        <color rgb="FFB2B2B2"/>
      </top>
      <bottom style="thin">
        <color rgb="FFB2B2B2"/>
      </bottom>
      <diagonal/>
    </border>
    <border>
      <left/>
      <right/>
      <top style="thin">
        <color rgb="FF0000FF"/>
      </top>
      <bottom style="thin">
        <color rgb="FF0000FF"/>
      </bottom>
      <diagonal/>
    </border>
    <border>
      <left/>
      <right/>
      <top style="thin">
        <color rgb="FF0000FF"/>
      </top>
      <bottom/>
      <diagonal/>
    </border>
    <border>
      <left/>
      <right/>
      <top style="thin">
        <color rgb="FF008000"/>
      </top>
      <bottom style="thin">
        <color rgb="FF008000"/>
      </bottom>
      <diagonal/>
    </border>
    <border>
      <left/>
      <right/>
      <top style="thin">
        <color rgb="FF008000"/>
      </top>
      <bottom/>
      <diagonal/>
    </border>
    <border>
      <left style="medium">
        <color rgb="FFFF0000"/>
      </left>
      <right style="medium">
        <color rgb="FFFF0000"/>
      </right>
      <top style="medium">
        <color rgb="FFFF0000"/>
      </top>
      <bottom style="medium">
        <color rgb="FFFF0000"/>
      </bottom>
      <diagonal/>
    </border>
    <border>
      <left/>
      <right/>
      <top/>
      <bottom style="thin">
        <color rgb="FF008000"/>
      </bottom>
      <diagonal/>
    </border>
    <border>
      <left/>
      <right/>
      <top/>
      <bottom style="thin">
        <color rgb="FF0000FF"/>
      </bottom>
      <diagonal/>
    </border>
    <border>
      <left/>
      <right/>
      <top style="thin">
        <color rgb="FF3366FF"/>
      </top>
      <bottom/>
      <diagonal/>
    </border>
    <border>
      <left/>
      <right/>
      <top/>
      <bottom style="thin">
        <color rgb="FF3366FF"/>
      </bottom>
      <diagonal/>
    </border>
    <border>
      <left/>
      <right/>
      <top style="thin">
        <color rgb="FF000000"/>
      </top>
      <bottom/>
      <diagonal/>
    </border>
    <border>
      <left/>
      <right/>
      <top/>
      <bottom style="thin">
        <color rgb="FF000000"/>
      </bottom>
      <diagonal/>
    </border>
    <border>
      <left/>
      <right/>
      <top style="thin">
        <color rgb="FF000000"/>
      </top>
      <bottom style="thin">
        <color rgb="FF000000"/>
      </bottom>
      <diagonal/>
    </border>
    <border>
      <left/>
      <right/>
      <top/>
      <bottom style="double">
        <color indexed="64"/>
      </bottom>
      <diagonal/>
    </border>
    <border>
      <left style="medium">
        <color indexed="64"/>
      </left>
      <right style="medium">
        <color indexed="10"/>
      </right>
      <top style="medium">
        <color indexed="64"/>
      </top>
      <bottom style="medium">
        <color indexed="10"/>
      </bottom>
      <diagonal/>
    </border>
    <border>
      <left style="medium">
        <color indexed="10"/>
      </left>
      <right style="medium">
        <color indexed="10"/>
      </right>
      <top style="medium">
        <color indexed="64"/>
      </top>
      <bottom style="medium">
        <color indexed="10"/>
      </bottom>
      <diagonal/>
    </border>
    <border>
      <left style="medium">
        <color indexed="10"/>
      </left>
      <right style="medium">
        <color indexed="64"/>
      </right>
      <top style="medium">
        <color indexed="64"/>
      </top>
      <bottom style="medium">
        <color indexed="10"/>
      </bottom>
      <diagonal/>
    </border>
  </borders>
  <cellStyleXfs count="95">
    <xf numFmtId="0" fontId="0" fillId="0" borderId="0"/>
    <xf numFmtId="0" fontId="8" fillId="0" borderId="0" applyFont="0" applyFill="0" applyBorder="0" applyAlignment="0" applyProtection="0"/>
    <xf numFmtId="0" fontId="35" fillId="0" borderId="0" applyFont="0" applyFill="0" applyBorder="0" applyAlignment="0" applyProtection="0"/>
    <xf numFmtId="0" fontId="8" fillId="0" borderId="0" applyFont="0" applyFill="0" applyBorder="0" applyAlignment="0" applyProtection="0"/>
    <xf numFmtId="0" fontId="35" fillId="0" borderId="0" applyFont="0" applyFill="0" applyBorder="0" applyAlignment="0" applyProtection="0"/>
    <xf numFmtId="0" fontId="8" fillId="0" borderId="0" applyFont="0" applyFill="0" applyBorder="0" applyAlignment="0" applyProtection="0"/>
    <xf numFmtId="0" fontId="35" fillId="0" borderId="0" applyFont="0" applyFill="0" applyBorder="0" applyAlignment="0" applyProtection="0"/>
    <xf numFmtId="0" fontId="8" fillId="0" borderId="0" applyFont="0" applyFill="0" applyBorder="0" applyAlignment="0" applyProtection="0"/>
    <xf numFmtId="0" fontId="35" fillId="0" borderId="0" applyFont="0" applyFill="0" applyBorder="0" applyAlignment="0" applyProtection="0"/>
    <xf numFmtId="0" fontId="8" fillId="0" borderId="0" applyFont="0" applyFill="0" applyBorder="0" applyAlignment="0" applyProtection="0"/>
    <xf numFmtId="0" fontId="35" fillId="0" borderId="0" applyFont="0" applyFill="0" applyBorder="0" applyAlignment="0" applyProtection="0"/>
    <xf numFmtId="0" fontId="12" fillId="0" borderId="0">
      <alignment horizontal="left" vertical="center"/>
    </xf>
    <xf numFmtId="0" fontId="13" fillId="0" borderId="0">
      <alignment horizontal="right"/>
    </xf>
    <xf numFmtId="0" fontId="77" fillId="0" borderId="1" applyNumberFormat="0" applyFont="0" applyFill="0" applyAlignment="0" applyProtection="0"/>
    <xf numFmtId="43" fontId="8" fillId="0" borderId="0" applyFont="0" applyFill="0" applyBorder="0" applyAlignment="0" applyProtection="0"/>
    <xf numFmtId="43" fontId="35" fillId="0" borderId="0" applyFont="0" applyFill="0" applyBorder="0" applyAlignment="0" applyProtection="0"/>
    <xf numFmtId="170" fontId="14" fillId="3" borderId="0"/>
    <xf numFmtId="170" fontId="15" fillId="5" borderId="0"/>
    <xf numFmtId="0" fontId="77" fillId="0" borderId="0" applyFont="0" applyFill="0" applyBorder="0" applyAlignment="0" applyProtection="0"/>
    <xf numFmtId="178" fontId="8" fillId="0" borderId="0" applyBorder="0" applyProtection="0"/>
    <xf numFmtId="178" fontId="35" fillId="0" borderId="0" applyBorder="0" applyProtection="0"/>
    <xf numFmtId="0" fontId="12" fillId="0" borderId="0"/>
    <xf numFmtId="0" fontId="12" fillId="0" borderId="2"/>
    <xf numFmtId="169" fontId="15" fillId="6" borderId="0">
      <protection locked="0"/>
    </xf>
    <xf numFmtId="170" fontId="15" fillId="6" borderId="0">
      <protection locked="0"/>
    </xf>
    <xf numFmtId="0" fontId="16" fillId="0" borderId="0"/>
    <xf numFmtId="3" fontId="77" fillId="0" borderId="0" applyFont="0" applyFill="0" applyBorder="0" applyAlignment="0" applyProtection="0"/>
    <xf numFmtId="0" fontId="17" fillId="0" borderId="0" applyNumberFormat="0" applyFill="0" applyBorder="0" applyAlignment="0" applyProtection="0">
      <alignment vertical="top"/>
      <protection locked="0"/>
    </xf>
    <xf numFmtId="0" fontId="18" fillId="7" borderId="0" applyNumberFormat="0" applyFont="0" applyBorder="0" applyAlignment="0" applyProtection="0"/>
    <xf numFmtId="164" fontId="56" fillId="0" borderId="0"/>
    <xf numFmtId="0" fontId="19" fillId="0" borderId="0" applyNumberFormat="0" applyFill="0" applyBorder="0" applyAlignment="0" applyProtection="0">
      <alignment vertical="top"/>
      <protection locked="0"/>
    </xf>
    <xf numFmtId="0" fontId="20" fillId="0" borderId="0" applyNumberFormat="0" applyFill="0" applyBorder="0" applyAlignment="0" applyProtection="0">
      <alignment vertical="top"/>
      <protection locked="0"/>
    </xf>
    <xf numFmtId="0" fontId="126" fillId="0" borderId="0"/>
    <xf numFmtId="174" fontId="77" fillId="0" borderId="0" applyFont="0" applyFill="0" applyBorder="0" applyAlignment="0" applyProtection="0"/>
    <xf numFmtId="0" fontId="35" fillId="0" borderId="0"/>
    <xf numFmtId="168" fontId="21" fillId="0" borderId="0">
      <alignment horizontal="center" vertical="center"/>
    </xf>
    <xf numFmtId="0" fontId="35" fillId="0" borderId="0"/>
    <xf numFmtId="0" fontId="148" fillId="0" borderId="0"/>
    <xf numFmtId="0" fontId="147" fillId="0" borderId="0"/>
    <xf numFmtId="0" fontId="35" fillId="0" borderId="0"/>
    <xf numFmtId="0" fontId="42" fillId="0" borderId="0"/>
    <xf numFmtId="0" fontId="22" fillId="0" borderId="0"/>
    <xf numFmtId="164" fontId="8" fillId="0" borderId="0"/>
    <xf numFmtId="164" fontId="35" fillId="0" borderId="0"/>
    <xf numFmtId="0" fontId="78" fillId="0" borderId="0"/>
    <xf numFmtId="0" fontId="12" fillId="0" borderId="2"/>
    <xf numFmtId="0" fontId="136" fillId="41" borderId="168" applyNumberFormat="0" applyFont="0" applyAlignment="0" applyProtection="0"/>
    <xf numFmtId="0" fontId="23" fillId="0" borderId="0"/>
    <xf numFmtId="0" fontId="24" fillId="0" borderId="0"/>
    <xf numFmtId="9" fontId="8" fillId="0" borderId="0" applyFont="0" applyFill="0" applyBorder="0" applyAlignment="0" applyProtection="0"/>
    <xf numFmtId="9" fontId="35" fillId="0" borderId="0" applyFont="0" applyFill="0" applyBorder="0" applyAlignment="0" applyProtection="0"/>
    <xf numFmtId="2" fontId="77" fillId="0" borderId="0" applyFont="0" applyFill="0" applyBorder="0" applyAlignment="0" applyProtection="0"/>
    <xf numFmtId="9" fontId="8" fillId="0" borderId="0" applyFont="0" applyFill="0" applyProtection="0"/>
    <xf numFmtId="0" fontId="25" fillId="0" borderId="0"/>
    <xf numFmtId="0" fontId="26" fillId="0" borderId="0"/>
    <xf numFmtId="0" fontId="27" fillId="0" borderId="0"/>
    <xf numFmtId="0" fontId="12" fillId="0" borderId="3">
      <alignment horizontal="right" vertical="center"/>
    </xf>
    <xf numFmtId="170" fontId="15" fillId="8" borderId="0"/>
    <xf numFmtId="0" fontId="28" fillId="0" borderId="0"/>
    <xf numFmtId="0" fontId="8" fillId="0" borderId="0" applyFont="0" applyFill="0" applyBorder="0" applyAlignment="0" applyProtection="0"/>
    <xf numFmtId="0" fontId="35" fillId="0" borderId="0" applyFont="0" applyFill="0" applyBorder="0" applyAlignment="0" applyProtection="0"/>
    <xf numFmtId="0" fontId="16" fillId="0" borderId="0"/>
    <xf numFmtId="0" fontId="29" fillId="0" borderId="0"/>
    <xf numFmtId="0" fontId="26" fillId="0" borderId="0"/>
    <xf numFmtId="0" fontId="27" fillId="0" borderId="0"/>
    <xf numFmtId="0" fontId="30" fillId="0" borderId="0"/>
    <xf numFmtId="168" fontId="31" fillId="4" borderId="4">
      <alignment vertical="center"/>
    </xf>
    <xf numFmtId="0" fontId="32" fillId="0" borderId="0"/>
    <xf numFmtId="168" fontId="33" fillId="2" borderId="0">
      <alignment horizontal="center" vertical="center"/>
    </xf>
    <xf numFmtId="0" fontId="34" fillId="0" borderId="0" applyFont="0" applyFill="0" applyBorder="0" applyAlignment="0" applyProtection="0"/>
    <xf numFmtId="0" fontId="34" fillId="0" borderId="0" applyFont="0" applyFill="0" applyBorder="0" applyAlignment="0" applyProtection="0"/>
    <xf numFmtId="0" fontId="34" fillId="0" borderId="0" applyFont="0" applyFill="0" applyBorder="0" applyAlignment="0" applyProtection="0"/>
    <xf numFmtId="0" fontId="79" fillId="0" borderId="0" applyNumberFormat="0" applyFill="0" applyBorder="0" applyAlignment="0" applyProtection="0"/>
    <xf numFmtId="0" fontId="80" fillId="0" borderId="0" applyNumberFormat="0" applyFill="0" applyBorder="0" applyAlignment="0" applyProtection="0"/>
    <xf numFmtId="0" fontId="7" fillId="0" borderId="0"/>
    <xf numFmtId="9" fontId="8" fillId="0" borderId="0" applyFont="0" applyFill="0" applyBorder="0" applyAlignment="0" applyProtection="0"/>
    <xf numFmtId="0" fontId="4" fillId="0" borderId="0"/>
    <xf numFmtId="0" fontId="8" fillId="0" borderId="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8" fontId="8" fillId="0" borderId="0" applyBorder="0" applyProtection="0"/>
    <xf numFmtId="0" fontId="8" fillId="0" borderId="0"/>
    <xf numFmtId="0" fontId="8" fillId="0" borderId="0"/>
    <xf numFmtId="0" fontId="4" fillId="0" borderId="0"/>
    <xf numFmtId="0" fontId="8" fillId="0" borderId="0"/>
    <xf numFmtId="164" fontId="8" fillId="0" borderId="0"/>
    <xf numFmtId="9" fontId="8" fillId="0" borderId="0" applyFont="0" applyFill="0" applyBorder="0" applyAlignment="0" applyProtection="0"/>
    <xf numFmtId="9" fontId="8" fillId="0" borderId="0" applyFont="0" applyFill="0" applyBorder="0" applyAlignment="0" applyProtection="0"/>
    <xf numFmtId="0" fontId="8" fillId="0" borderId="0" applyFont="0" applyFill="0" applyBorder="0" applyAlignment="0" applyProtection="0"/>
    <xf numFmtId="0" fontId="4" fillId="0" borderId="0"/>
  </cellStyleXfs>
  <cellXfs count="4041">
    <xf numFmtId="0" fontId="0" fillId="0" borderId="0" xfId="0"/>
    <xf numFmtId="0" fontId="0" fillId="0" borderId="0" xfId="0" applyBorder="1"/>
    <xf numFmtId="0" fontId="0" fillId="0" borderId="0" xfId="0" applyBorder="1" applyAlignment="1">
      <alignment horizontal="left"/>
    </xf>
    <xf numFmtId="0" fontId="0" fillId="0" borderId="0" xfId="0" applyBorder="1" applyAlignment="1">
      <alignment horizontal="center"/>
    </xf>
    <xf numFmtId="0" fontId="9" fillId="9" borderId="5" xfId="0" applyFont="1" applyFill="1" applyBorder="1" applyAlignment="1">
      <alignment horizontal="center"/>
    </xf>
    <xf numFmtId="0" fontId="9" fillId="9" borderId="6" xfId="0" applyFont="1" applyFill="1" applyBorder="1" applyAlignment="1">
      <alignment horizontal="center"/>
    </xf>
    <xf numFmtId="0" fontId="9" fillId="9" borderId="7" xfId="0" applyFont="1" applyFill="1" applyBorder="1" applyAlignment="1">
      <alignment horizontal="center"/>
    </xf>
    <xf numFmtId="0" fontId="9" fillId="9" borderId="8" xfId="0" applyFont="1" applyFill="1" applyBorder="1"/>
    <xf numFmtId="0" fontId="9" fillId="9" borderId="9" xfId="0" applyFont="1" applyFill="1" applyBorder="1" applyAlignment="1">
      <alignment horizontal="left"/>
    </xf>
    <xf numFmtId="0" fontId="0" fillId="10" borderId="10" xfId="0" applyFill="1" applyBorder="1" applyAlignment="1">
      <alignment horizontal="center"/>
    </xf>
    <xf numFmtId="0" fontId="0" fillId="10" borderId="11" xfId="0" applyFill="1" applyBorder="1" applyAlignment="1">
      <alignment horizontal="center"/>
    </xf>
    <xf numFmtId="0" fontId="11" fillId="0" borderId="12" xfId="0" applyFont="1" applyFill="1" applyBorder="1"/>
    <xf numFmtId="0" fontId="0" fillId="10" borderId="13" xfId="0" applyFill="1" applyBorder="1" applyAlignment="1">
      <alignment horizontal="center"/>
    </xf>
    <xf numFmtId="0" fontId="0" fillId="10" borderId="14" xfId="0" applyFill="1" applyBorder="1" applyAlignment="1">
      <alignment horizontal="center"/>
    </xf>
    <xf numFmtId="0" fontId="11" fillId="0" borderId="15" xfId="0" applyFont="1" applyFill="1" applyBorder="1"/>
    <xf numFmtId="0" fontId="35" fillId="0" borderId="0" xfId="0" applyFont="1" applyProtection="1"/>
    <xf numFmtId="0" fontId="0" fillId="0" borderId="0" xfId="0" applyProtection="1"/>
    <xf numFmtId="0" fontId="38" fillId="0" borderId="0" xfId="0" applyFont="1" applyProtection="1"/>
    <xf numFmtId="0" fontId="0" fillId="0" borderId="0" xfId="0" applyAlignment="1" applyProtection="1">
      <alignment horizontal="center"/>
    </xf>
    <xf numFmtId="1" fontId="0" fillId="0" borderId="0" xfId="0" applyNumberFormat="1" applyBorder="1" applyAlignment="1" applyProtection="1">
      <alignment horizontal="center"/>
    </xf>
    <xf numFmtId="1" fontId="0" fillId="0" borderId="0" xfId="0" applyNumberFormat="1" applyBorder="1" applyProtection="1"/>
    <xf numFmtId="0" fontId="0" fillId="0" borderId="0" xfId="0" applyBorder="1" applyProtection="1"/>
    <xf numFmtId="0" fontId="39" fillId="11" borderId="0" xfId="0" applyFont="1" applyFill="1" applyAlignment="1">
      <alignment horizontal="center"/>
    </xf>
    <xf numFmtId="0" fontId="0" fillId="0" borderId="16" xfId="0" applyBorder="1"/>
    <xf numFmtId="166" fontId="0" fillId="0" borderId="0" xfId="0" applyNumberFormat="1" applyBorder="1" applyProtection="1"/>
    <xf numFmtId="0" fontId="0" fillId="12" borderId="0" xfId="0" applyNumberFormat="1" applyFill="1" applyBorder="1" applyProtection="1"/>
    <xf numFmtId="0" fontId="40" fillId="0" borderId="0" xfId="0" applyFont="1"/>
    <xf numFmtId="0" fontId="35" fillId="0" borderId="0" xfId="0" applyFont="1" applyBorder="1" applyAlignment="1">
      <alignment horizontal="left"/>
    </xf>
    <xf numFmtId="0" fontId="0" fillId="0" borderId="0" xfId="0" applyFill="1"/>
    <xf numFmtId="0" fontId="0" fillId="0" borderId="0" xfId="0" applyFill="1" applyBorder="1"/>
    <xf numFmtId="0" fontId="0" fillId="12" borderId="0" xfId="0" applyFill="1" applyBorder="1" applyAlignment="1">
      <alignment horizontal="center"/>
    </xf>
    <xf numFmtId="0" fontId="35" fillId="0" borderId="0" xfId="0" applyFont="1" applyAlignment="1" applyProtection="1">
      <alignment horizontal="left"/>
    </xf>
    <xf numFmtId="0" fontId="40" fillId="0" borderId="0" xfId="0" applyFont="1" applyFill="1" applyProtection="1"/>
    <xf numFmtId="0" fontId="0" fillId="0" borderId="0" xfId="0" applyFill="1" applyBorder="1" applyAlignment="1">
      <alignment horizontal="left"/>
    </xf>
    <xf numFmtId="0" fontId="0" fillId="0" borderId="0" xfId="0" applyNumberFormat="1" applyFill="1" applyBorder="1" applyProtection="1"/>
    <xf numFmtId="166" fontId="0" fillId="0" borderId="0" xfId="0" applyNumberFormat="1" applyFill="1" applyBorder="1" applyProtection="1"/>
    <xf numFmtId="0" fontId="35" fillId="12" borderId="0" xfId="0" applyFont="1" applyFill="1" applyBorder="1" applyAlignment="1">
      <alignment horizontal="left"/>
    </xf>
    <xf numFmtId="0" fontId="0" fillId="12" borderId="0" xfId="0" applyFill="1" applyBorder="1" applyAlignment="1">
      <alignment horizontal="left"/>
    </xf>
    <xf numFmtId="0" fontId="0" fillId="0" borderId="0" xfId="0" applyNumberFormat="1" applyBorder="1" applyProtection="1"/>
    <xf numFmtId="0" fontId="0" fillId="0" borderId="17" xfId="0" applyBorder="1"/>
    <xf numFmtId="0" fontId="41" fillId="0" borderId="17" xfId="0" applyFont="1" applyBorder="1" applyProtection="1"/>
    <xf numFmtId="0" fontId="0" fillId="13" borderId="0" xfId="0" applyFill="1"/>
    <xf numFmtId="0" fontId="45" fillId="13" borderId="0" xfId="0" applyFont="1" applyFill="1" applyProtection="1"/>
    <xf numFmtId="0" fontId="35" fillId="13" borderId="0" xfId="0" applyFont="1" applyFill="1"/>
    <xf numFmtId="0" fontId="43" fillId="0" borderId="0" xfId="0" applyFont="1" applyFill="1" applyBorder="1" applyProtection="1"/>
    <xf numFmtId="0" fontId="0" fillId="12" borderId="0" xfId="0" applyFill="1"/>
    <xf numFmtId="0" fontId="0" fillId="13" borderId="0" xfId="0" applyFill="1" applyBorder="1"/>
    <xf numFmtId="0" fontId="45" fillId="13" borderId="0" xfId="0" applyFont="1" applyFill="1" applyBorder="1" applyProtection="1"/>
    <xf numFmtId="0" fontId="46" fillId="0" borderId="0" xfId="0" applyFont="1" applyFill="1" applyBorder="1" applyProtection="1"/>
    <xf numFmtId="0" fontId="41" fillId="0" borderId="0" xfId="0" applyFont="1" applyFill="1" applyBorder="1" applyProtection="1"/>
    <xf numFmtId="0" fontId="0" fillId="12" borderId="0" xfId="0" applyFill="1" applyBorder="1"/>
    <xf numFmtId="14" fontId="44" fillId="12" borderId="0" xfId="0" applyNumberFormat="1" applyFont="1" applyFill="1" applyBorder="1" applyAlignment="1" applyProtection="1">
      <alignment horizontal="left"/>
    </xf>
    <xf numFmtId="0" fontId="45" fillId="12" borderId="0" xfId="0" applyFont="1" applyFill="1" applyBorder="1" applyProtection="1"/>
    <xf numFmtId="0" fontId="45" fillId="12" borderId="0" xfId="0" applyFont="1" applyFill="1" applyProtection="1"/>
    <xf numFmtId="0" fontId="35" fillId="12" borderId="0" xfId="0" applyFont="1" applyFill="1"/>
    <xf numFmtId="0" fontId="0" fillId="0" borderId="18" xfId="0" applyBorder="1"/>
    <xf numFmtId="0" fontId="47" fillId="0" borderId="16" xfId="0" applyFont="1" applyFill="1" applyBorder="1" applyProtection="1"/>
    <xf numFmtId="0" fontId="41" fillId="0" borderId="16" xfId="0" applyFont="1" applyBorder="1" applyProtection="1"/>
    <xf numFmtId="15" fontId="47" fillId="0" borderId="16" xfId="0" applyNumberFormat="1" applyFont="1" applyFill="1" applyBorder="1" applyAlignment="1" applyProtection="1">
      <alignment horizontal="left"/>
    </xf>
    <xf numFmtId="0" fontId="47" fillId="0" borderId="19" xfId="0" applyFont="1" applyFill="1" applyBorder="1" applyProtection="1"/>
    <xf numFmtId="0" fontId="0" fillId="0" borderId="2" xfId="0" applyBorder="1"/>
    <xf numFmtId="0" fontId="48" fillId="0" borderId="20" xfId="0" applyFont="1" applyBorder="1" applyAlignment="1" applyProtection="1">
      <alignment horizontal="center"/>
    </xf>
    <xf numFmtId="0" fontId="47" fillId="0" borderId="20" xfId="0" applyFont="1" applyBorder="1" applyAlignment="1" applyProtection="1">
      <alignment horizontal="center"/>
    </xf>
    <xf numFmtId="0" fontId="41" fillId="0" borderId="0" xfId="0" quotePrefix="1" applyFont="1" applyBorder="1" applyAlignment="1" applyProtection="1">
      <alignment horizontal="left"/>
    </xf>
    <xf numFmtId="0" fontId="47" fillId="0" borderId="0" xfId="0" applyFont="1" applyBorder="1" applyAlignment="1" applyProtection="1">
      <alignment horizontal="left"/>
    </xf>
    <xf numFmtId="0" fontId="41" fillId="0" borderId="0" xfId="0" applyFont="1" applyBorder="1" applyProtection="1"/>
    <xf numFmtId="3" fontId="41" fillId="0" borderId="20" xfId="0" applyNumberFormat="1" applyFont="1" applyBorder="1" applyProtection="1"/>
    <xf numFmtId="0" fontId="47" fillId="0" borderId="0" xfId="0" applyFont="1" applyBorder="1" applyProtection="1"/>
    <xf numFmtId="3" fontId="41" fillId="0" borderId="0" xfId="0" applyNumberFormat="1" applyFont="1" applyBorder="1" applyProtection="1"/>
    <xf numFmtId="0" fontId="41" fillId="0" borderId="0" xfId="0" applyFont="1" applyBorder="1" applyAlignment="1" applyProtection="1">
      <alignment horizontal="left"/>
    </xf>
    <xf numFmtId="0" fontId="41" fillId="0" borderId="0" xfId="0" applyFont="1" applyBorder="1" applyAlignment="1" applyProtection="1">
      <alignment horizontal="right"/>
    </xf>
    <xf numFmtId="15" fontId="49" fillId="0" borderId="20" xfId="0" applyNumberFormat="1" applyFont="1" applyBorder="1" applyAlignment="1" applyProtection="1">
      <alignment horizontal="left"/>
    </xf>
    <xf numFmtId="0" fontId="41" fillId="0" borderId="6" xfId="0" applyFont="1" applyFill="1" applyBorder="1" applyProtection="1"/>
    <xf numFmtId="0" fontId="41" fillId="0" borderId="5" xfId="0" applyFont="1" applyBorder="1" applyProtection="1"/>
    <xf numFmtId="1" fontId="47" fillId="0" borderId="21" xfId="0" applyNumberFormat="1" applyFont="1" applyBorder="1" applyAlignment="1" applyProtection="1">
      <alignment horizontal="center"/>
    </xf>
    <xf numFmtId="1" fontId="47" fillId="0" borderId="22" xfId="0" applyNumberFormat="1" applyFont="1" applyBorder="1" applyAlignment="1" applyProtection="1">
      <alignment horizontal="center"/>
    </xf>
    <xf numFmtId="1" fontId="47" fillId="0" borderId="20" xfId="0" applyNumberFormat="1" applyFont="1" applyFill="1" applyBorder="1" applyProtection="1"/>
    <xf numFmtId="0" fontId="47" fillId="0" borderId="20" xfId="0" applyFont="1" applyFill="1" applyBorder="1" applyAlignment="1" applyProtection="1">
      <alignment horizontal="centerContinuous"/>
    </xf>
    <xf numFmtId="0" fontId="50" fillId="0" borderId="23" xfId="0" applyFont="1" applyBorder="1" applyProtection="1"/>
    <xf numFmtId="164" fontId="41" fillId="0" borderId="24" xfId="0" applyNumberFormat="1" applyFont="1" applyFill="1" applyBorder="1" applyAlignment="1" applyProtection="1">
      <alignment horizontal="right"/>
    </xf>
    <xf numFmtId="164" fontId="41" fillId="0" borderId="16" xfId="0" applyNumberFormat="1" applyFont="1" applyFill="1" applyBorder="1" applyAlignment="1" applyProtection="1">
      <alignment horizontal="right"/>
    </xf>
    <xf numFmtId="164" fontId="41" fillId="0" borderId="25" xfId="0" applyNumberFormat="1" applyFont="1" applyFill="1" applyBorder="1" applyAlignment="1" applyProtection="1">
      <alignment horizontal="right"/>
    </xf>
    <xf numFmtId="0" fontId="41" fillId="0" borderId="20" xfId="0" applyFont="1" applyFill="1" applyBorder="1" applyAlignment="1" applyProtection="1">
      <alignment horizontal="right"/>
    </xf>
    <xf numFmtId="0" fontId="0" fillId="0" borderId="26" xfId="0" applyBorder="1"/>
    <xf numFmtId="0" fontId="0" fillId="0" borderId="27" xfId="0" applyFill="1" applyBorder="1"/>
    <xf numFmtId="0" fontId="47" fillId="0" borderId="20" xfId="0" applyFont="1" applyFill="1" applyBorder="1" applyAlignment="1" applyProtection="1">
      <alignment horizontal="right"/>
    </xf>
    <xf numFmtId="0" fontId="50" fillId="0" borderId="17" xfId="0" applyFont="1" applyBorder="1" applyProtection="1"/>
    <xf numFmtId="164" fontId="35" fillId="0" borderId="26" xfId="0" applyNumberFormat="1" applyFont="1" applyBorder="1"/>
    <xf numFmtId="164" fontId="35" fillId="0" borderId="26" xfId="0" applyNumberFormat="1" applyFont="1" applyFill="1" applyBorder="1"/>
    <xf numFmtId="164" fontId="35" fillId="0" borderId="27" xfId="0" applyNumberFormat="1" applyFont="1" applyBorder="1"/>
    <xf numFmtId="0" fontId="0" fillId="0" borderId="20" xfId="0" applyBorder="1"/>
    <xf numFmtId="164" fontId="41" fillId="0" borderId="26" xfId="0" applyNumberFormat="1" applyFont="1" applyFill="1" applyBorder="1" applyAlignment="1" applyProtection="1">
      <alignment horizontal="right"/>
    </xf>
    <xf numFmtId="164" fontId="41" fillId="0" borderId="0" xfId="0" applyNumberFormat="1" applyFont="1" applyFill="1" applyBorder="1" applyAlignment="1" applyProtection="1">
      <alignment horizontal="right"/>
    </xf>
    <xf numFmtId="164" fontId="41" fillId="0" borderId="27" xfId="0" applyNumberFormat="1" applyFont="1" applyFill="1" applyBorder="1" applyAlignment="1" applyProtection="1">
      <alignment horizontal="right"/>
    </xf>
    <xf numFmtId="0" fontId="41" fillId="0" borderId="28" xfId="0" applyFont="1" applyBorder="1" applyProtection="1"/>
    <xf numFmtId="0" fontId="41" fillId="0" borderId="29" xfId="0" applyFont="1" applyFill="1" applyBorder="1" applyProtection="1"/>
    <xf numFmtId="164" fontId="41" fillId="0" borderId="30" xfId="0" applyNumberFormat="1" applyFont="1" applyFill="1" applyBorder="1" applyAlignment="1" applyProtection="1">
      <alignment horizontal="right"/>
    </xf>
    <xf numFmtId="164" fontId="41" fillId="0" borderId="29" xfId="0" applyNumberFormat="1" applyFont="1" applyFill="1" applyBorder="1" applyAlignment="1" applyProtection="1">
      <alignment horizontal="right"/>
    </xf>
    <xf numFmtId="164" fontId="41" fillId="0" borderId="31" xfId="0" applyNumberFormat="1" applyFont="1" applyFill="1" applyBorder="1" applyAlignment="1" applyProtection="1">
      <alignment horizontal="right"/>
    </xf>
    <xf numFmtId="0" fontId="41" fillId="0" borderId="23" xfId="0" applyFont="1" applyFill="1" applyBorder="1" applyProtection="1"/>
    <xf numFmtId="0" fontId="41" fillId="0" borderId="16" xfId="0" applyFont="1" applyFill="1" applyBorder="1" applyProtection="1"/>
    <xf numFmtId="0" fontId="41" fillId="0" borderId="17" xfId="0" applyFont="1" applyFill="1" applyBorder="1" applyProtection="1"/>
    <xf numFmtId="0" fontId="50" fillId="0" borderId="0" xfId="0" applyFont="1" applyFill="1" applyBorder="1" applyProtection="1"/>
    <xf numFmtId="0" fontId="50" fillId="0" borderId="20" xfId="0" applyFont="1" applyFill="1" applyBorder="1" applyAlignment="1" applyProtection="1">
      <alignment horizontal="right"/>
    </xf>
    <xf numFmtId="0" fontId="47" fillId="0" borderId="0" xfId="0" applyFont="1" applyFill="1" applyBorder="1" applyProtection="1"/>
    <xf numFmtId="0" fontId="50" fillId="0" borderId="0" xfId="0" applyFont="1" applyBorder="1" applyProtection="1"/>
    <xf numFmtId="0" fontId="47" fillId="0" borderId="20" xfId="0" applyFont="1" applyFill="1" applyBorder="1" applyAlignment="1" applyProtection="1">
      <alignment horizontal="center"/>
    </xf>
    <xf numFmtId="164" fontId="41" fillId="0" borderId="2" xfId="0" applyNumberFormat="1" applyFont="1" applyFill="1" applyBorder="1" applyAlignment="1" applyProtection="1">
      <alignment horizontal="right"/>
    </xf>
    <xf numFmtId="0" fontId="43" fillId="12" borderId="0" xfId="0" applyFont="1" applyFill="1" applyBorder="1" applyProtection="1"/>
    <xf numFmtId="0" fontId="41" fillId="0" borderId="32" xfId="0" applyFont="1" applyFill="1" applyBorder="1" applyProtection="1"/>
    <xf numFmtId="0" fontId="43" fillId="0" borderId="3" xfId="0" applyFont="1" applyFill="1" applyBorder="1" applyProtection="1"/>
    <xf numFmtId="164" fontId="41" fillId="0" borderId="33" xfId="0" applyNumberFormat="1" applyFont="1" applyFill="1" applyBorder="1" applyAlignment="1" applyProtection="1">
      <alignment horizontal="right"/>
    </xf>
    <xf numFmtId="164" fontId="41" fillId="0" borderId="34" xfId="0" applyNumberFormat="1" applyFont="1" applyFill="1" applyBorder="1" applyAlignment="1" applyProtection="1">
      <alignment horizontal="right"/>
    </xf>
    <xf numFmtId="0" fontId="0" fillId="0" borderId="29" xfId="0" applyBorder="1"/>
    <xf numFmtId="0" fontId="0" fillId="0" borderId="35" xfId="0" applyBorder="1"/>
    <xf numFmtId="0" fontId="41" fillId="0" borderId="29" xfId="0" applyFont="1" applyBorder="1" applyProtection="1"/>
    <xf numFmtId="0" fontId="35" fillId="0" borderId="29" xfId="0" applyFont="1" applyBorder="1"/>
    <xf numFmtId="0" fontId="35" fillId="0" borderId="29" xfId="0" applyFont="1" applyFill="1" applyBorder="1"/>
    <xf numFmtId="0" fontId="47" fillId="0" borderId="29" xfId="0" applyFont="1" applyBorder="1" applyAlignment="1" applyProtection="1">
      <alignment horizontal="right"/>
    </xf>
    <xf numFmtId="0" fontId="35" fillId="0" borderId="36" xfId="0" applyFont="1" applyBorder="1"/>
    <xf numFmtId="166" fontId="43" fillId="12" borderId="0" xfId="0" applyNumberFormat="1" applyFont="1" applyFill="1" applyBorder="1" applyProtection="1"/>
    <xf numFmtId="0" fontId="51" fillId="12" borderId="0" xfId="0" quotePrefix="1" applyFont="1" applyFill="1" applyBorder="1" applyProtection="1"/>
    <xf numFmtId="172" fontId="43" fillId="12" borderId="0" xfId="0" applyNumberFormat="1" applyFont="1" applyFill="1" applyBorder="1" applyProtection="1"/>
    <xf numFmtId="0" fontId="47" fillId="12" borderId="0" xfId="0" applyFont="1" applyFill="1" applyProtection="1"/>
    <xf numFmtId="0" fontId="47" fillId="0" borderId="0" xfId="0" quotePrefix="1" applyFont="1" applyFill="1" applyBorder="1" applyAlignment="1" applyProtection="1">
      <alignment horizontal="left"/>
    </xf>
    <xf numFmtId="0" fontId="46" fillId="0" borderId="0" xfId="0" quotePrefix="1" applyFont="1" applyFill="1" applyBorder="1" applyAlignment="1" applyProtection="1">
      <alignment horizontal="left"/>
    </xf>
    <xf numFmtId="0" fontId="47" fillId="0" borderId="0" xfId="0" applyFont="1" applyBorder="1" applyAlignment="1" applyProtection="1">
      <alignment horizontal="center"/>
    </xf>
    <xf numFmtId="0" fontId="41" fillId="0" borderId="20" xfId="0" applyNumberFormat="1" applyFont="1" applyBorder="1" applyAlignment="1" applyProtection="1">
      <alignment horizontal="centerContinuous"/>
    </xf>
    <xf numFmtId="0" fontId="41" fillId="12" borderId="2" xfId="0" applyNumberFormat="1" applyFont="1" applyFill="1" applyBorder="1" applyAlignment="1" applyProtection="1">
      <alignment horizontal="centerContinuous"/>
    </xf>
    <xf numFmtId="0" fontId="41" fillId="12" borderId="0" xfId="0" applyNumberFormat="1" applyFont="1" applyFill="1" applyAlignment="1" applyProtection="1">
      <alignment horizontal="centerContinuous"/>
    </xf>
    <xf numFmtId="0" fontId="41" fillId="0" borderId="0" xfId="0" quotePrefix="1" applyFont="1" applyFill="1" applyBorder="1" applyAlignment="1" applyProtection="1">
      <alignment horizontal="left"/>
    </xf>
    <xf numFmtId="0" fontId="41" fillId="0" borderId="20" xfId="0" applyNumberFormat="1" applyFont="1" applyBorder="1" applyProtection="1"/>
    <xf numFmtId="0" fontId="41" fillId="12" borderId="0" xfId="0" applyNumberFormat="1" applyFont="1" applyFill="1" applyProtection="1"/>
    <xf numFmtId="3" fontId="41" fillId="12" borderId="0" xfId="0" applyNumberFormat="1" applyFont="1" applyFill="1" applyProtection="1"/>
    <xf numFmtId="0" fontId="41" fillId="0" borderId="0" xfId="0" applyFont="1" applyFill="1" applyBorder="1" applyAlignment="1" applyProtection="1">
      <alignment horizontal="left"/>
    </xf>
    <xf numFmtId="3" fontId="53" fillId="12" borderId="0" xfId="0" applyNumberFormat="1" applyFont="1" applyFill="1" applyProtection="1"/>
    <xf numFmtId="0" fontId="41" fillId="0" borderId="0" xfId="0" applyFont="1" applyFill="1" applyBorder="1" applyAlignment="1" applyProtection="1">
      <alignment horizontal="right"/>
    </xf>
    <xf numFmtId="0" fontId="45" fillId="0" borderId="0" xfId="0" applyFont="1" applyFill="1" applyBorder="1" applyAlignment="1" applyProtection="1">
      <alignment horizontal="center"/>
    </xf>
    <xf numFmtId="0" fontId="49" fillId="0" borderId="20" xfId="0" applyFont="1" applyBorder="1" applyProtection="1"/>
    <xf numFmtId="0" fontId="49" fillId="12" borderId="0" xfId="0" applyFont="1" applyFill="1" applyProtection="1"/>
    <xf numFmtId="0" fontId="41" fillId="0" borderId="0" xfId="0" applyFont="1" applyFill="1" applyBorder="1" applyAlignment="1" applyProtection="1">
      <alignment horizontal="center"/>
    </xf>
    <xf numFmtId="164" fontId="41" fillId="0" borderId="0" xfId="0" applyNumberFormat="1" applyFont="1" applyFill="1" applyBorder="1" applyProtection="1"/>
    <xf numFmtId="0" fontId="47" fillId="0" borderId="37" xfId="0" applyFont="1" applyBorder="1" applyAlignment="1" applyProtection="1">
      <alignment horizontal="center"/>
    </xf>
    <xf numFmtId="1" fontId="47" fillId="12" borderId="0" xfId="0" applyNumberFormat="1" applyFont="1" applyFill="1" applyBorder="1" applyProtection="1"/>
    <xf numFmtId="0" fontId="35" fillId="0" borderId="0" xfId="0" applyFont="1" applyFill="1" applyBorder="1" applyProtection="1"/>
    <xf numFmtId="164" fontId="35" fillId="0" borderId="0" xfId="0" applyNumberFormat="1" applyFont="1" applyFill="1" applyBorder="1" applyProtection="1"/>
    <xf numFmtId="0" fontId="47" fillId="0" borderId="26" xfId="0" applyFont="1" applyBorder="1" applyAlignment="1" applyProtection="1">
      <alignment horizontal="center"/>
    </xf>
    <xf numFmtId="0" fontId="47" fillId="12" borderId="0" xfId="0" applyFont="1" applyFill="1" applyBorder="1" applyAlignment="1" applyProtection="1">
      <alignment horizontal="centerContinuous"/>
    </xf>
    <xf numFmtId="0" fontId="41" fillId="0" borderId="23" xfId="0" applyFont="1" applyBorder="1" applyProtection="1"/>
    <xf numFmtId="0" fontId="49" fillId="0" borderId="24" xfId="0" applyFont="1" applyBorder="1" applyAlignment="1" applyProtection="1">
      <alignment horizontal="center"/>
    </xf>
    <xf numFmtId="0" fontId="41" fillId="12" borderId="0" xfId="0" applyFont="1" applyFill="1" applyBorder="1" applyAlignment="1" applyProtection="1">
      <alignment horizontal="right"/>
    </xf>
    <xf numFmtId="0" fontId="50" fillId="0" borderId="0" xfId="0" applyFont="1" applyFill="1" applyBorder="1" applyAlignment="1" applyProtection="1">
      <alignment horizontal="center"/>
    </xf>
    <xf numFmtId="0" fontId="49" fillId="0" borderId="26" xfId="0" applyFont="1" applyBorder="1" applyAlignment="1" applyProtection="1">
      <alignment horizontal="center"/>
    </xf>
    <xf numFmtId="0" fontId="49" fillId="0" borderId="0" xfId="0" applyFont="1" applyBorder="1" applyProtection="1"/>
    <xf numFmtId="0" fontId="47" fillId="0" borderId="28" xfId="0" applyFont="1" applyBorder="1" applyAlignment="1" applyProtection="1"/>
    <xf numFmtId="0" fontId="49" fillId="0" borderId="30" xfId="0" applyFont="1" applyBorder="1" applyAlignment="1" applyProtection="1">
      <alignment horizontal="center"/>
    </xf>
    <xf numFmtId="164" fontId="47" fillId="0" borderId="30" xfId="0" applyNumberFormat="1" applyFont="1" applyFill="1" applyBorder="1" applyAlignment="1" applyProtection="1">
      <alignment horizontal="right"/>
    </xf>
    <xf numFmtId="0" fontId="47" fillId="12" borderId="0" xfId="0" applyFont="1" applyFill="1" applyBorder="1" applyAlignment="1" applyProtection="1">
      <alignment horizontal="right"/>
    </xf>
    <xf numFmtId="0" fontId="41" fillId="0" borderId="17" xfId="0" applyFont="1" applyBorder="1" applyAlignment="1" applyProtection="1"/>
    <xf numFmtId="0" fontId="47" fillId="0" borderId="28" xfId="0" applyFont="1" applyFill="1" applyBorder="1" applyProtection="1"/>
    <xf numFmtId="0" fontId="49" fillId="0" borderId="30" xfId="0" applyFont="1" applyFill="1" applyBorder="1" applyAlignment="1" applyProtection="1">
      <alignment horizontal="center"/>
    </xf>
    <xf numFmtId="0" fontId="49" fillId="0" borderId="24" xfId="0" applyFont="1" applyFill="1" applyBorder="1" applyAlignment="1" applyProtection="1">
      <alignment horizontal="center"/>
    </xf>
    <xf numFmtId="0" fontId="50" fillId="0" borderId="17" xfId="0" applyFont="1" applyFill="1" applyBorder="1" applyProtection="1"/>
    <xf numFmtId="0" fontId="59" fillId="0" borderId="26" xfId="0" applyFont="1" applyFill="1" applyBorder="1" applyAlignment="1" applyProtection="1">
      <alignment horizontal="center"/>
    </xf>
    <xf numFmtId="0" fontId="47" fillId="0" borderId="17" xfId="0" quotePrefix="1" applyFont="1" applyFill="1" applyBorder="1" applyAlignment="1" applyProtection="1">
      <alignment horizontal="left"/>
    </xf>
    <xf numFmtId="0" fontId="55" fillId="0" borderId="26" xfId="0" applyFont="1" applyFill="1" applyBorder="1" applyAlignment="1" applyProtection="1">
      <alignment horizontal="center"/>
    </xf>
    <xf numFmtId="0" fontId="41" fillId="0" borderId="23" xfId="0" quotePrefix="1" applyFont="1" applyBorder="1" applyAlignment="1" applyProtection="1">
      <alignment horizontal="left"/>
    </xf>
    <xf numFmtId="0" fontId="35" fillId="0" borderId="0" xfId="0" applyFont="1" applyFill="1" applyBorder="1"/>
    <xf numFmtId="0" fontId="50" fillId="0" borderId="17" xfId="0" quotePrefix="1" applyFont="1" applyBorder="1" applyAlignment="1" applyProtection="1">
      <alignment horizontal="left"/>
    </xf>
    <xf numFmtId="0" fontId="59" fillId="0" borderId="26" xfId="0" applyFont="1" applyBorder="1" applyAlignment="1" applyProtection="1">
      <alignment horizontal="center"/>
    </xf>
    <xf numFmtId="0" fontId="50" fillId="0" borderId="28" xfId="0" quotePrefix="1" applyFont="1" applyBorder="1" applyAlignment="1" applyProtection="1">
      <alignment horizontal="left"/>
    </xf>
    <xf numFmtId="0" fontId="50" fillId="0" borderId="29" xfId="0" applyFont="1" applyBorder="1" applyProtection="1"/>
    <xf numFmtId="0" fontId="59" fillId="0" borderId="30" xfId="0" applyFont="1" applyBorder="1" applyAlignment="1" applyProtection="1">
      <alignment horizontal="center"/>
    </xf>
    <xf numFmtId="0" fontId="47" fillId="0" borderId="38" xfId="0" applyFont="1" applyBorder="1" applyAlignment="1" applyProtection="1">
      <alignment horizontal="left"/>
    </xf>
    <xf numFmtId="0" fontId="47" fillId="0" borderId="39" xfId="0" applyFont="1" applyBorder="1" applyProtection="1"/>
    <xf numFmtId="0" fontId="55" fillId="0" borderId="40" xfId="0" applyFont="1" applyBorder="1" applyAlignment="1" applyProtection="1">
      <alignment horizontal="center"/>
    </xf>
    <xf numFmtId="0" fontId="0" fillId="0" borderId="0" xfId="0" applyFill="1" applyBorder="1" applyAlignment="1">
      <alignment horizontal="center"/>
    </xf>
    <xf numFmtId="164" fontId="35" fillId="0" borderId="0" xfId="0" applyNumberFormat="1" applyFont="1" applyFill="1" applyBorder="1" applyAlignment="1" applyProtection="1">
      <alignment horizontal="right"/>
    </xf>
    <xf numFmtId="0" fontId="47" fillId="12" borderId="0" xfId="0" applyFont="1" applyFill="1" applyBorder="1" applyAlignment="1" applyProtection="1">
      <alignment horizontal="center"/>
    </xf>
    <xf numFmtId="0" fontId="41" fillId="0" borderId="17" xfId="0" quotePrefix="1" applyFont="1" applyBorder="1" applyAlignment="1" applyProtection="1">
      <alignment horizontal="left"/>
    </xf>
    <xf numFmtId="0" fontId="41" fillId="0" borderId="17" xfId="0" quotePrefix="1" applyFont="1" applyFill="1" applyBorder="1" applyAlignment="1" applyProtection="1">
      <alignment horizontal="left"/>
    </xf>
    <xf numFmtId="0" fontId="49" fillId="0" borderId="26" xfId="0" applyFont="1" applyFill="1" applyBorder="1" applyAlignment="1" applyProtection="1">
      <alignment horizontal="center"/>
    </xf>
    <xf numFmtId="0" fontId="41" fillId="0" borderId="32" xfId="0" quotePrefix="1" applyFont="1" applyFill="1" applyBorder="1" applyAlignment="1" applyProtection="1">
      <alignment horizontal="left"/>
    </xf>
    <xf numFmtId="0" fontId="41" fillId="0" borderId="3" xfId="0" applyFont="1" applyFill="1" applyBorder="1" applyProtection="1"/>
    <xf numFmtId="0" fontId="49" fillId="0" borderId="41" xfId="0" applyFont="1" applyFill="1" applyBorder="1" applyAlignment="1" applyProtection="1">
      <alignment horizontal="center"/>
    </xf>
    <xf numFmtId="0" fontId="35" fillId="12" borderId="16" xfId="0" applyFont="1" applyFill="1" applyBorder="1"/>
    <xf numFmtId="0" fontId="0" fillId="12" borderId="16" xfId="0" applyFill="1" applyBorder="1"/>
    <xf numFmtId="0" fontId="35" fillId="12" borderId="0" xfId="0" applyFont="1" applyFill="1" applyBorder="1" applyAlignment="1">
      <alignment horizontal="center"/>
    </xf>
    <xf numFmtId="0" fontId="0" fillId="0" borderId="18" xfId="0" applyFill="1" applyBorder="1"/>
    <xf numFmtId="0" fontId="0" fillId="0" borderId="19" xfId="0" applyBorder="1"/>
    <xf numFmtId="0" fontId="0" fillId="0" borderId="2" xfId="0" applyFill="1" applyBorder="1"/>
    <xf numFmtId="0" fontId="41" fillId="0" borderId="6" xfId="0" applyFont="1" applyBorder="1" applyProtection="1"/>
    <xf numFmtId="1" fontId="47" fillId="0" borderId="20" xfId="0" applyNumberFormat="1" applyFont="1" applyBorder="1" applyAlignment="1" applyProtection="1">
      <alignment horizontal="center"/>
    </xf>
    <xf numFmtId="1" fontId="47" fillId="0" borderId="40" xfId="0" applyNumberFormat="1" applyFont="1" applyBorder="1" applyAlignment="1" applyProtection="1">
      <alignment horizontal="center"/>
    </xf>
    <xf numFmtId="1" fontId="47" fillId="0" borderId="42" xfId="0" applyNumberFormat="1" applyFont="1" applyBorder="1" applyAlignment="1" applyProtection="1">
      <alignment horizontal="center"/>
    </xf>
    <xf numFmtId="164" fontId="41" fillId="0" borderId="24" xfId="0" applyNumberFormat="1" applyFont="1" applyBorder="1" applyProtection="1"/>
    <xf numFmtId="0" fontId="41" fillId="0" borderId="20" xfId="0" applyFont="1" applyBorder="1" applyProtection="1"/>
    <xf numFmtId="164" fontId="41" fillId="0" borderId="26" xfId="0" applyNumberFormat="1" applyFont="1" applyBorder="1" applyProtection="1"/>
    <xf numFmtId="0" fontId="35" fillId="0" borderId="0" xfId="0" applyFont="1" applyBorder="1" applyProtection="1"/>
    <xf numFmtId="0" fontId="41" fillId="0" borderId="20" xfId="0" applyFont="1" applyFill="1" applyBorder="1" applyProtection="1"/>
    <xf numFmtId="0" fontId="39" fillId="0" borderId="28" xfId="0" applyFont="1" applyBorder="1" applyAlignment="1" applyProtection="1">
      <alignment horizontal="left"/>
    </xf>
    <xf numFmtId="0" fontId="39" fillId="0" borderId="29" xfId="0" applyFont="1" applyBorder="1" applyAlignment="1" applyProtection="1">
      <alignment horizontal="left"/>
    </xf>
    <xf numFmtId="164" fontId="47" fillId="0" borderId="30" xfId="0" applyNumberFormat="1" applyFont="1" applyBorder="1" applyProtection="1"/>
    <xf numFmtId="0" fontId="47" fillId="0" borderId="20" xfId="0" applyFont="1" applyBorder="1" applyProtection="1"/>
    <xf numFmtId="0" fontId="35" fillId="0" borderId="17" xfId="0" applyFont="1" applyBorder="1" applyAlignment="1" applyProtection="1">
      <alignment horizontal="left"/>
    </xf>
    <xf numFmtId="0" fontId="35" fillId="0" borderId="0" xfId="0" applyFont="1" applyBorder="1" applyAlignment="1" applyProtection="1">
      <alignment horizontal="left"/>
    </xf>
    <xf numFmtId="0" fontId="47" fillId="0" borderId="28" xfId="0" applyFont="1" applyBorder="1" applyProtection="1"/>
    <xf numFmtId="0" fontId="47" fillId="0" borderId="29" xfId="0" applyFont="1" applyBorder="1" applyProtection="1"/>
    <xf numFmtId="0" fontId="39" fillId="0" borderId="20" xfId="0" applyFont="1" applyBorder="1" applyProtection="1"/>
    <xf numFmtId="0" fontId="47" fillId="0" borderId="28" xfId="0" applyFont="1" applyBorder="1" applyAlignment="1" applyProtection="1">
      <alignment horizontal="left"/>
    </xf>
    <xf numFmtId="0" fontId="47" fillId="0" borderId="29" xfId="0" quotePrefix="1" applyFont="1" applyBorder="1" applyAlignment="1" applyProtection="1">
      <alignment horizontal="left"/>
    </xf>
    <xf numFmtId="0" fontId="41" fillId="0" borderId="5" xfId="0" applyFont="1" applyFill="1" applyBorder="1" applyProtection="1"/>
    <xf numFmtId="0" fontId="41" fillId="0" borderId="22" xfId="0" quotePrefix="1" applyFont="1" applyBorder="1" applyAlignment="1" applyProtection="1">
      <alignment horizontal="left"/>
    </xf>
    <xf numFmtId="0" fontId="41" fillId="0" borderId="32" xfId="0" applyFont="1" applyBorder="1" applyAlignment="1" applyProtection="1">
      <alignment horizontal="left"/>
    </xf>
    <xf numFmtId="0" fontId="41" fillId="0" borderId="3" xfId="0" quotePrefix="1" applyFont="1" applyBorder="1" applyAlignment="1" applyProtection="1">
      <alignment horizontal="left"/>
    </xf>
    <xf numFmtId="0" fontId="0" fillId="0" borderId="35" xfId="0" applyFill="1" applyBorder="1"/>
    <xf numFmtId="0" fontId="47" fillId="0" borderId="36" xfId="0" applyFont="1" applyBorder="1" applyAlignment="1" applyProtection="1">
      <alignment horizontal="right"/>
    </xf>
    <xf numFmtId="0" fontId="35" fillId="0" borderId="0" xfId="0" applyFont="1"/>
    <xf numFmtId="0" fontId="35" fillId="0" borderId="16" xfId="0" applyFont="1" applyBorder="1"/>
    <xf numFmtId="0" fontId="35" fillId="0" borderId="19" xfId="0" applyFont="1" applyBorder="1"/>
    <xf numFmtId="0" fontId="35" fillId="0" borderId="0" xfId="0" applyFont="1" applyBorder="1"/>
    <xf numFmtId="0" fontId="35" fillId="0" borderId="20" xfId="0" applyFont="1" applyBorder="1"/>
    <xf numFmtId="0" fontId="47" fillId="0" borderId="0" xfId="0" quotePrefix="1" applyFont="1" applyBorder="1" applyAlignment="1" applyProtection="1">
      <alignment horizontal="left"/>
    </xf>
    <xf numFmtId="3" fontId="41" fillId="0" borderId="6" xfId="0" applyNumberFormat="1" applyFont="1" applyFill="1" applyBorder="1" applyProtection="1"/>
    <xf numFmtId="3" fontId="41" fillId="0" borderId="22" xfId="0" applyNumberFormat="1" applyFont="1" applyFill="1" applyBorder="1" applyProtection="1"/>
    <xf numFmtId="3" fontId="47" fillId="0" borderId="37" xfId="0" applyNumberFormat="1" applyFont="1" applyFill="1" applyBorder="1" applyAlignment="1" applyProtection="1">
      <alignment horizontal="center"/>
    </xf>
    <xf numFmtId="1" fontId="47" fillId="0" borderId="43" xfId="0" applyNumberFormat="1" applyFont="1" applyFill="1" applyBorder="1" applyAlignment="1" applyProtection="1">
      <alignment horizontal="center"/>
    </xf>
    <xf numFmtId="1" fontId="47" fillId="0" borderId="20" xfId="0" applyNumberFormat="1" applyFont="1" applyFill="1" applyBorder="1" applyAlignment="1" applyProtection="1">
      <alignment horizontal="center"/>
    </xf>
    <xf numFmtId="1" fontId="47" fillId="12" borderId="0" xfId="0" applyNumberFormat="1" applyFont="1" applyFill="1" applyBorder="1" applyAlignment="1" applyProtection="1">
      <alignment horizontal="center"/>
    </xf>
    <xf numFmtId="3" fontId="41" fillId="0" borderId="17" xfId="0" applyNumberFormat="1" applyFont="1" applyFill="1" applyBorder="1" applyProtection="1"/>
    <xf numFmtId="3" fontId="41" fillId="0" borderId="20" xfId="0" applyNumberFormat="1" applyFont="1" applyFill="1" applyBorder="1" applyProtection="1"/>
    <xf numFmtId="3" fontId="47" fillId="0" borderId="26" xfId="0" applyNumberFormat="1" applyFont="1" applyFill="1" applyBorder="1" applyAlignment="1" applyProtection="1">
      <alignment horizontal="center"/>
    </xf>
    <xf numFmtId="3" fontId="60" fillId="0" borderId="23" xfId="0" applyNumberFormat="1" applyFont="1" applyFill="1" applyBorder="1" applyProtection="1"/>
    <xf numFmtId="3" fontId="60" fillId="0" borderId="19" xfId="0" applyNumberFormat="1" applyFont="1" applyFill="1" applyBorder="1" applyProtection="1"/>
    <xf numFmtId="3" fontId="60" fillId="0" borderId="24" xfId="0" applyNumberFormat="1" applyFont="1" applyFill="1" applyBorder="1" applyAlignment="1" applyProtection="1">
      <alignment horizontal="center"/>
    </xf>
    <xf numFmtId="171" fontId="41" fillId="0" borderId="19" xfId="0" applyNumberFormat="1" applyFont="1" applyFill="1" applyBorder="1" applyProtection="1"/>
    <xf numFmtId="3" fontId="41" fillId="0" borderId="16" xfId="0" applyNumberFormat="1" applyFont="1" applyFill="1" applyBorder="1" applyProtection="1"/>
    <xf numFmtId="3" fontId="41" fillId="0" borderId="24" xfId="0" applyNumberFormat="1" applyFont="1" applyFill="1" applyBorder="1" applyProtection="1"/>
    <xf numFmtId="0" fontId="41" fillId="0" borderId="19" xfId="0" applyFont="1" applyFill="1" applyBorder="1" applyProtection="1"/>
    <xf numFmtId="0" fontId="41" fillId="0" borderId="44" xfId="0" applyFont="1" applyFill="1" applyBorder="1" applyProtection="1"/>
    <xf numFmtId="0" fontId="41" fillId="12" borderId="0" xfId="0" applyFont="1" applyFill="1" applyBorder="1" applyProtection="1"/>
    <xf numFmtId="3" fontId="41" fillId="0" borderId="26" xfId="0" applyNumberFormat="1" applyFont="1" applyFill="1" applyBorder="1" applyAlignment="1" applyProtection="1">
      <alignment horizontal="center"/>
    </xf>
    <xf numFmtId="164" fontId="41" fillId="0" borderId="20" xfId="0" applyNumberFormat="1" applyFont="1" applyFill="1" applyBorder="1" applyAlignment="1" applyProtection="1">
      <alignment horizontal="right"/>
    </xf>
    <xf numFmtId="164" fontId="41" fillId="0" borderId="45" xfId="0" applyNumberFormat="1" applyFont="1" applyFill="1" applyBorder="1" applyAlignment="1" applyProtection="1">
      <alignment horizontal="right"/>
    </xf>
    <xf numFmtId="3" fontId="50" fillId="0" borderId="17" xfId="0" applyNumberFormat="1" applyFont="1" applyFill="1" applyBorder="1" applyProtection="1"/>
    <xf numFmtId="164" fontId="41" fillId="0" borderId="26" xfId="0" applyNumberFormat="1" applyFont="1" applyFill="1" applyBorder="1" applyProtection="1"/>
    <xf numFmtId="3" fontId="60" fillId="0" borderId="17" xfId="0" applyNumberFormat="1" applyFont="1" applyFill="1" applyBorder="1" applyProtection="1"/>
    <xf numFmtId="3" fontId="60" fillId="0" borderId="20" xfId="0" applyNumberFormat="1" applyFont="1" applyFill="1" applyBorder="1" applyProtection="1"/>
    <xf numFmtId="164" fontId="41" fillId="0" borderId="20" xfId="0" applyNumberFormat="1" applyFont="1" applyFill="1" applyBorder="1" applyProtection="1"/>
    <xf numFmtId="164" fontId="41" fillId="0" borderId="45" xfId="0" applyNumberFormat="1" applyFont="1" applyFill="1" applyBorder="1" applyProtection="1"/>
    <xf numFmtId="3" fontId="50" fillId="0" borderId="26" xfId="0" applyNumberFormat="1" applyFont="1" applyFill="1" applyBorder="1" applyAlignment="1" applyProtection="1">
      <alignment horizontal="center"/>
    </xf>
    <xf numFmtId="3" fontId="41" fillId="0" borderId="23" xfId="0" applyNumberFormat="1" applyFont="1" applyFill="1" applyBorder="1" applyProtection="1"/>
    <xf numFmtId="3" fontId="41" fillId="0" borderId="19" xfId="0" applyNumberFormat="1" applyFont="1" applyFill="1" applyBorder="1" applyProtection="1"/>
    <xf numFmtId="3" fontId="41" fillId="0" borderId="24" xfId="0" applyNumberFormat="1" applyFont="1" applyFill="1" applyBorder="1" applyAlignment="1" applyProtection="1">
      <alignment horizontal="center"/>
    </xf>
    <xf numFmtId="0" fontId="41" fillId="0" borderId="26" xfId="0" applyFont="1" applyFill="1" applyBorder="1" applyAlignment="1" applyProtection="1">
      <alignment horizontal="center"/>
    </xf>
    <xf numFmtId="0" fontId="0" fillId="0" borderId="29" xfId="0" applyFill="1" applyBorder="1"/>
    <xf numFmtId="0" fontId="47" fillId="12" borderId="0" xfId="0" applyFont="1" applyFill="1" applyAlignment="1" applyProtection="1">
      <alignment horizontal="right"/>
    </xf>
    <xf numFmtId="0" fontId="35" fillId="0" borderId="18" xfId="0" applyFont="1" applyFill="1" applyBorder="1"/>
    <xf numFmtId="0" fontId="41" fillId="12" borderId="0" xfId="0" applyFont="1" applyFill="1" applyProtection="1"/>
    <xf numFmtId="0" fontId="35" fillId="0" borderId="2" xfId="0" applyFont="1" applyFill="1" applyBorder="1"/>
    <xf numFmtId="0" fontId="41" fillId="0" borderId="20" xfId="0" applyFont="1" applyBorder="1" applyAlignment="1" applyProtection="1">
      <alignment horizontal="centerContinuous"/>
    </xf>
    <xf numFmtId="0" fontId="41" fillId="12" borderId="0" xfId="0" applyFont="1" applyFill="1" applyAlignment="1" applyProtection="1">
      <alignment horizontal="centerContinuous"/>
    </xf>
    <xf numFmtId="0" fontId="41" fillId="0" borderId="37" xfId="0" applyFont="1" applyBorder="1" applyProtection="1"/>
    <xf numFmtId="0" fontId="0" fillId="0" borderId="5" xfId="0" applyBorder="1"/>
    <xf numFmtId="0" fontId="47" fillId="0" borderId="5" xfId="0" applyFont="1" applyBorder="1" applyAlignment="1" applyProtection="1">
      <alignment horizontal="left"/>
    </xf>
    <xf numFmtId="0" fontId="47" fillId="0" borderId="5" xfId="0" applyFont="1" applyBorder="1" applyAlignment="1" applyProtection="1">
      <alignment horizontal="centerContinuous"/>
    </xf>
    <xf numFmtId="0" fontId="47" fillId="0" borderId="7" xfId="0" applyFont="1" applyBorder="1" applyAlignment="1" applyProtection="1">
      <alignment horizontal="centerContinuous"/>
    </xf>
    <xf numFmtId="0" fontId="47" fillId="0" borderId="20" xfId="0" applyFont="1" applyBorder="1" applyAlignment="1" applyProtection="1">
      <alignment horizontal="centerContinuous"/>
    </xf>
    <xf numFmtId="1" fontId="47" fillId="0" borderId="2" xfId="0" applyNumberFormat="1" applyFont="1" applyFill="1" applyBorder="1" applyAlignment="1" applyProtection="1">
      <alignment horizontal="center"/>
    </xf>
    <xf numFmtId="0" fontId="47" fillId="0" borderId="30" xfId="0" applyFont="1" applyBorder="1" applyAlignment="1" applyProtection="1">
      <alignment horizontal="center"/>
    </xf>
    <xf numFmtId="0" fontId="55" fillId="0" borderId="40" xfId="0" applyFont="1" applyBorder="1" applyAlignment="1" applyProtection="1">
      <alignment horizontal="left"/>
    </xf>
    <xf numFmtId="0" fontId="55" fillId="0" borderId="30" xfId="0" applyFont="1" applyBorder="1" applyAlignment="1" applyProtection="1">
      <alignment horizontal="center"/>
    </xf>
    <xf numFmtId="0" fontId="55" fillId="0" borderId="42" xfId="0" applyFont="1" applyBorder="1" applyAlignment="1" applyProtection="1">
      <alignment horizontal="center"/>
    </xf>
    <xf numFmtId="0" fontId="55" fillId="0" borderId="20" xfId="0" applyFont="1" applyBorder="1" applyAlignment="1" applyProtection="1">
      <alignment horizontal="center"/>
    </xf>
    <xf numFmtId="0" fontId="47" fillId="0" borderId="2" xfId="0" applyFont="1" applyFill="1" applyBorder="1" applyAlignment="1" applyProtection="1">
      <alignment horizontal="centerContinuous"/>
    </xf>
    <xf numFmtId="0" fontId="41" fillId="0" borderId="2" xfId="0" applyFont="1" applyFill="1" applyBorder="1" applyProtection="1"/>
    <xf numFmtId="0" fontId="41" fillId="0" borderId="2" xfId="0" applyFont="1" applyFill="1" applyBorder="1" applyAlignment="1" applyProtection="1">
      <alignment horizontal="right"/>
    </xf>
    <xf numFmtId="0" fontId="41" fillId="0" borderId="29" xfId="0" quotePrefix="1" applyFont="1" applyBorder="1" applyAlignment="1" applyProtection="1">
      <alignment horizontal="left"/>
    </xf>
    <xf numFmtId="164" fontId="41" fillId="0" borderId="24" xfId="0" quotePrefix="1" applyNumberFormat="1" applyFont="1" applyFill="1" applyBorder="1" applyAlignment="1" applyProtection="1">
      <alignment horizontal="center"/>
    </xf>
    <xf numFmtId="164" fontId="41" fillId="0" borderId="16" xfId="0" quotePrefix="1" applyNumberFormat="1" applyFont="1" applyFill="1" applyBorder="1" applyAlignment="1" applyProtection="1">
      <alignment horizontal="right"/>
    </xf>
    <xf numFmtId="164" fontId="41" fillId="0" borderId="25" xfId="0" applyNumberFormat="1" applyFont="1" applyFill="1" applyBorder="1" applyAlignment="1" applyProtection="1">
      <alignment horizontal="center"/>
    </xf>
    <xf numFmtId="0" fontId="41" fillId="0" borderId="20" xfId="0" applyFont="1" applyFill="1" applyBorder="1" applyAlignment="1" applyProtection="1">
      <alignment horizontal="center"/>
    </xf>
    <xf numFmtId="164" fontId="47" fillId="0" borderId="36" xfId="0" applyNumberFormat="1" applyFont="1" applyFill="1" applyBorder="1" applyAlignment="1" applyProtection="1">
      <alignment horizontal="right"/>
    </xf>
    <xf numFmtId="164" fontId="47" fillId="0" borderId="31" xfId="0" applyNumberFormat="1" applyFont="1" applyFill="1" applyBorder="1" applyAlignment="1" applyProtection="1">
      <alignment horizontal="right"/>
    </xf>
    <xf numFmtId="0" fontId="55" fillId="0" borderId="30" xfId="0" applyFont="1" applyFill="1" applyBorder="1" applyAlignment="1" applyProtection="1">
      <alignment horizontal="center"/>
    </xf>
    <xf numFmtId="0" fontId="41" fillId="0" borderId="23" xfId="0" quotePrefix="1" applyFont="1" applyFill="1" applyBorder="1" applyAlignment="1" applyProtection="1">
      <alignment horizontal="left"/>
    </xf>
    <xf numFmtId="0" fontId="41" fillId="0" borderId="16" xfId="0" quotePrefix="1" applyFont="1" applyFill="1" applyBorder="1" applyAlignment="1" applyProtection="1">
      <alignment horizontal="left"/>
    </xf>
    <xf numFmtId="0" fontId="50" fillId="0" borderId="17" xfId="0" applyFont="1" applyFill="1" applyBorder="1" applyAlignment="1" applyProtection="1">
      <alignment horizontal="left"/>
    </xf>
    <xf numFmtId="0" fontId="47" fillId="0" borderId="28" xfId="0" quotePrefix="1" applyFont="1" applyBorder="1" applyAlignment="1" applyProtection="1">
      <alignment horizontal="left"/>
    </xf>
    <xf numFmtId="0" fontId="55" fillId="0" borderId="26" xfId="0" applyFont="1" applyBorder="1" applyAlignment="1" applyProtection="1">
      <alignment horizontal="center"/>
    </xf>
    <xf numFmtId="164" fontId="47" fillId="0" borderId="26" xfId="0" applyNumberFormat="1" applyFont="1" applyFill="1" applyBorder="1" applyAlignment="1" applyProtection="1">
      <alignment horizontal="right"/>
    </xf>
    <xf numFmtId="0" fontId="47" fillId="0" borderId="2" xfId="0" applyFont="1" applyFill="1" applyBorder="1" applyAlignment="1" applyProtection="1">
      <alignment horizontal="right"/>
    </xf>
    <xf numFmtId="164" fontId="41" fillId="0" borderId="44" xfId="0" applyNumberFormat="1" applyFont="1" applyFill="1" applyBorder="1" applyAlignment="1" applyProtection="1">
      <alignment horizontal="center"/>
    </xf>
    <xf numFmtId="0" fontId="0" fillId="0" borderId="26" xfId="0" applyFill="1" applyBorder="1"/>
    <xf numFmtId="164" fontId="0" fillId="0" borderId="26" xfId="0" applyNumberFormat="1" applyFill="1" applyBorder="1"/>
    <xf numFmtId="164" fontId="0" fillId="0" borderId="26" xfId="0" quotePrefix="1" applyNumberFormat="1" applyFill="1" applyBorder="1" applyAlignment="1">
      <alignment horizontal="center"/>
    </xf>
    <xf numFmtId="164" fontId="0" fillId="0" borderId="45" xfId="0" applyNumberFormat="1" applyFill="1" applyBorder="1" applyAlignment="1">
      <alignment horizontal="center"/>
    </xf>
    <xf numFmtId="0" fontId="0" fillId="0" borderId="20" xfId="0" applyFill="1" applyBorder="1" applyAlignment="1">
      <alignment horizontal="center"/>
    </xf>
    <xf numFmtId="0" fontId="50" fillId="0" borderId="28" xfId="0" applyFont="1" applyFill="1" applyBorder="1" applyAlignment="1" applyProtection="1">
      <alignment horizontal="left"/>
    </xf>
    <xf numFmtId="0" fontId="0" fillId="0" borderId="30" xfId="0" applyFill="1" applyBorder="1"/>
    <xf numFmtId="164" fontId="0" fillId="0" borderId="30" xfId="0" applyNumberFormat="1" applyFill="1" applyBorder="1"/>
    <xf numFmtId="164" fontId="0" fillId="0" borderId="30" xfId="0" quotePrefix="1" applyNumberFormat="1" applyFill="1" applyBorder="1" applyAlignment="1">
      <alignment horizontal="center"/>
    </xf>
    <xf numFmtId="164" fontId="0" fillId="0" borderId="46" xfId="0" applyNumberFormat="1" applyFill="1" applyBorder="1" applyAlignment="1">
      <alignment horizontal="center"/>
    </xf>
    <xf numFmtId="0" fontId="10" fillId="0" borderId="35" xfId="0" applyFont="1" applyBorder="1" applyAlignment="1">
      <alignment horizontal="center"/>
    </xf>
    <xf numFmtId="0" fontId="47" fillId="0" borderId="47" xfId="0" quotePrefix="1" applyFont="1" applyBorder="1" applyAlignment="1" applyProtection="1">
      <alignment horizontal="left"/>
    </xf>
    <xf numFmtId="0" fontId="55" fillId="0" borderId="48" xfId="0" applyFont="1" applyBorder="1" applyAlignment="1" applyProtection="1">
      <alignment horizontal="center"/>
    </xf>
    <xf numFmtId="164" fontId="47" fillId="0" borderId="48" xfId="0" applyNumberFormat="1" applyFont="1" applyFill="1" applyBorder="1" applyAlignment="1" applyProtection="1">
      <alignment horizontal="right"/>
    </xf>
    <xf numFmtId="164" fontId="47" fillId="0" borderId="49" xfId="0" applyNumberFormat="1" applyFont="1" applyFill="1" applyBorder="1" applyAlignment="1" applyProtection="1">
      <alignment horizontal="right"/>
    </xf>
    <xf numFmtId="0" fontId="49" fillId="0" borderId="0" xfId="0" applyFont="1" applyBorder="1" applyAlignment="1" applyProtection="1">
      <alignment horizontal="center"/>
    </xf>
    <xf numFmtId="0" fontId="41" fillId="0" borderId="6" xfId="0" applyFont="1" applyFill="1" applyBorder="1" applyAlignment="1" applyProtection="1">
      <alignment horizontal="left"/>
    </xf>
    <xf numFmtId="0" fontId="41" fillId="0" borderId="5" xfId="0" quotePrefix="1" applyFont="1" applyFill="1" applyBorder="1" applyAlignment="1" applyProtection="1">
      <alignment horizontal="left"/>
    </xf>
    <xf numFmtId="0" fontId="49" fillId="0" borderId="37" xfId="0" applyFont="1" applyFill="1" applyBorder="1" applyAlignment="1" applyProtection="1">
      <alignment horizontal="center"/>
    </xf>
    <xf numFmtId="164" fontId="41" fillId="0" borderId="37" xfId="0" applyNumberFormat="1" applyFont="1" applyFill="1" applyBorder="1" applyAlignment="1" applyProtection="1">
      <alignment horizontal="right"/>
    </xf>
    <xf numFmtId="164" fontId="41" fillId="0" borderId="5" xfId="0" applyNumberFormat="1" applyFont="1" applyFill="1" applyBorder="1" applyAlignment="1" applyProtection="1">
      <alignment horizontal="right"/>
    </xf>
    <xf numFmtId="164" fontId="41" fillId="0" borderId="50" xfId="0" applyNumberFormat="1" applyFont="1" applyFill="1" applyBorder="1" applyAlignment="1" applyProtection="1">
      <alignment horizontal="right"/>
    </xf>
    <xf numFmtId="0" fontId="41" fillId="0" borderId="17" xfId="0" applyFont="1" applyFill="1" applyBorder="1" applyAlignment="1" applyProtection="1">
      <alignment horizontal="left"/>
    </xf>
    <xf numFmtId="0" fontId="47" fillId="0" borderId="17" xfId="0" applyFont="1" applyBorder="1" applyAlignment="1" applyProtection="1">
      <alignment horizontal="left"/>
    </xf>
    <xf numFmtId="164" fontId="47" fillId="0" borderId="27" xfId="0" applyNumberFormat="1" applyFont="1" applyFill="1" applyBorder="1" applyAlignment="1" applyProtection="1">
      <alignment horizontal="right"/>
    </xf>
    <xf numFmtId="0" fontId="50" fillId="0" borderId="17" xfId="0" applyFont="1" applyBorder="1" applyAlignment="1" applyProtection="1">
      <alignment horizontal="left"/>
    </xf>
    <xf numFmtId="0" fontId="50" fillId="0" borderId="0" xfId="0" quotePrefix="1" applyFont="1" applyBorder="1" applyAlignment="1" applyProtection="1">
      <alignment horizontal="left"/>
    </xf>
    <xf numFmtId="164" fontId="41" fillId="0" borderId="27" xfId="0" applyNumberFormat="1" applyFont="1" applyFill="1" applyBorder="1" applyProtection="1"/>
    <xf numFmtId="0" fontId="47" fillId="0" borderId="32" xfId="0" applyFont="1" applyFill="1" applyBorder="1" applyAlignment="1" applyProtection="1">
      <alignment horizontal="left"/>
    </xf>
    <xf numFmtId="0" fontId="47" fillId="0" borderId="3" xfId="0" quotePrefix="1" applyFont="1" applyFill="1" applyBorder="1" applyAlignment="1" applyProtection="1">
      <alignment horizontal="left"/>
    </xf>
    <xf numFmtId="0" fontId="55" fillId="0" borderId="41" xfId="0" applyFont="1" applyFill="1" applyBorder="1" applyAlignment="1" applyProtection="1">
      <alignment horizontal="center"/>
    </xf>
    <xf numFmtId="164" fontId="47" fillId="0" borderId="41" xfId="0" applyNumberFormat="1" applyFont="1" applyFill="1" applyBorder="1" applyAlignment="1" applyProtection="1">
      <alignment horizontal="right"/>
    </xf>
    <xf numFmtId="164" fontId="47" fillId="0" borderId="3" xfId="0" applyNumberFormat="1" applyFont="1" applyFill="1" applyBorder="1" applyAlignment="1" applyProtection="1">
      <alignment horizontal="right"/>
    </xf>
    <xf numFmtId="164" fontId="47" fillId="0" borderId="34" xfId="0" applyNumberFormat="1" applyFont="1" applyFill="1" applyBorder="1" applyAlignment="1" applyProtection="1">
      <alignment horizontal="right"/>
    </xf>
    <xf numFmtId="0" fontId="35" fillId="0" borderId="35" xfId="0" applyFont="1" applyFill="1" applyBorder="1"/>
    <xf numFmtId="0" fontId="41" fillId="0" borderId="29" xfId="0" applyFont="1" applyBorder="1" applyAlignment="1" applyProtection="1">
      <alignment horizontal="left"/>
    </xf>
    <xf numFmtId="0" fontId="47" fillId="0" borderId="29" xfId="0" quotePrefix="1" applyFont="1" applyBorder="1" applyAlignment="1" applyProtection="1">
      <alignment horizontal="right"/>
    </xf>
    <xf numFmtId="0" fontId="47" fillId="0" borderId="36" xfId="0" quotePrefix="1" applyFont="1" applyBorder="1" applyAlignment="1" applyProtection="1">
      <alignment horizontal="right"/>
    </xf>
    <xf numFmtId="0" fontId="47" fillId="12" borderId="0" xfId="0" quotePrefix="1" applyFont="1" applyFill="1" applyAlignment="1" applyProtection="1">
      <alignment horizontal="left"/>
    </xf>
    <xf numFmtId="0" fontId="41" fillId="12" borderId="0" xfId="0" applyFont="1" applyFill="1" applyBorder="1" applyAlignment="1" applyProtection="1">
      <alignment horizontal="left"/>
    </xf>
    <xf numFmtId="0" fontId="41" fillId="12" borderId="0" xfId="0" quotePrefix="1" applyFont="1" applyFill="1" applyBorder="1" applyAlignment="1" applyProtection="1">
      <alignment horizontal="left"/>
    </xf>
    <xf numFmtId="0" fontId="35" fillId="12" borderId="0" xfId="0" applyFont="1" applyFill="1" applyBorder="1"/>
    <xf numFmtId="0" fontId="41" fillId="0" borderId="18" xfId="0" applyFont="1" applyFill="1" applyBorder="1" applyProtection="1"/>
    <xf numFmtId="0" fontId="46" fillId="0" borderId="16" xfId="0" applyFont="1" applyFill="1" applyBorder="1" applyProtection="1"/>
    <xf numFmtId="14" fontId="43" fillId="0" borderId="20" xfId="0" applyNumberFormat="1" applyFont="1" applyBorder="1" applyAlignment="1" applyProtection="1">
      <alignment horizontal="center"/>
    </xf>
    <xf numFmtId="1" fontId="46" fillId="0" borderId="21" xfId="0" applyNumberFormat="1" applyFont="1" applyBorder="1" applyAlignment="1" applyProtection="1">
      <alignment horizontal="center"/>
    </xf>
    <xf numFmtId="1" fontId="46" fillId="0" borderId="20" xfId="0" applyNumberFormat="1" applyFont="1" applyBorder="1" applyAlignment="1" applyProtection="1">
      <alignment horizontal="center"/>
    </xf>
    <xf numFmtId="164" fontId="41" fillId="0" borderId="20" xfId="0" applyNumberFormat="1" applyFont="1" applyBorder="1" applyProtection="1"/>
    <xf numFmtId="164" fontId="41" fillId="0" borderId="27" xfId="0" applyNumberFormat="1" applyFont="1" applyBorder="1" applyProtection="1"/>
    <xf numFmtId="0" fontId="50" fillId="0" borderId="0" xfId="0" applyFont="1" applyBorder="1" applyAlignment="1" applyProtection="1">
      <alignment horizontal="left"/>
    </xf>
    <xf numFmtId="0" fontId="50" fillId="0" borderId="20" xfId="0" applyFont="1" applyBorder="1" applyProtection="1"/>
    <xf numFmtId="0" fontId="50" fillId="0" borderId="2" xfId="0" applyFont="1" applyFill="1" applyBorder="1" applyProtection="1"/>
    <xf numFmtId="164" fontId="47" fillId="0" borderId="31" xfId="0" applyNumberFormat="1" applyFont="1" applyBorder="1" applyProtection="1"/>
    <xf numFmtId="0" fontId="50" fillId="0" borderId="2" xfId="0" quotePrefix="1" applyFont="1" applyFill="1" applyBorder="1" applyAlignment="1" applyProtection="1">
      <alignment horizontal="left"/>
    </xf>
    <xf numFmtId="0" fontId="41" fillId="0" borderId="2" xfId="0" applyFont="1" applyFill="1" applyBorder="1" applyAlignment="1" applyProtection="1">
      <alignment horizontal="left"/>
    </xf>
    <xf numFmtId="0" fontId="50" fillId="0" borderId="2" xfId="0" applyFont="1" applyFill="1" applyBorder="1" applyAlignment="1" applyProtection="1">
      <alignment horizontal="left"/>
    </xf>
    <xf numFmtId="0" fontId="41" fillId="0" borderId="17" xfId="0" applyFont="1" applyBorder="1" applyAlignment="1" applyProtection="1">
      <alignment horizontal="left"/>
    </xf>
    <xf numFmtId="0" fontId="50" fillId="0" borderId="32" xfId="0" applyFont="1" applyBorder="1" applyAlignment="1" applyProtection="1">
      <alignment horizontal="left"/>
    </xf>
    <xf numFmtId="0" fontId="50" fillId="0" borderId="3" xfId="0" applyFont="1" applyBorder="1" applyAlignment="1" applyProtection="1">
      <alignment horizontal="left"/>
    </xf>
    <xf numFmtId="0" fontId="39" fillId="0" borderId="0" xfId="0" applyFont="1" applyBorder="1"/>
    <xf numFmtId="164" fontId="47" fillId="0" borderId="24" xfId="0" applyNumberFormat="1" applyFont="1" applyBorder="1" applyProtection="1"/>
    <xf numFmtId="164" fontId="47" fillId="0" borderId="45" xfId="0" applyNumberFormat="1" applyFont="1" applyBorder="1" applyProtection="1"/>
    <xf numFmtId="0" fontId="41" fillId="0" borderId="22" xfId="0" applyFont="1" applyBorder="1" applyProtection="1"/>
    <xf numFmtId="0" fontId="41" fillId="0" borderId="2" xfId="0" applyFont="1" applyFill="1" applyBorder="1" applyAlignment="1" applyProtection="1">
      <alignment horizontal="center"/>
    </xf>
    <xf numFmtId="0" fontId="41" fillId="0" borderId="19" xfId="0" quotePrefix="1" applyFont="1" applyFill="1" applyBorder="1" applyAlignment="1" applyProtection="1">
      <alignment horizontal="left"/>
    </xf>
    <xf numFmtId="164" fontId="41" fillId="0" borderId="25" xfId="0" applyNumberFormat="1" applyFont="1" applyBorder="1" applyProtection="1"/>
    <xf numFmtId="164" fontId="41" fillId="0" borderId="26" xfId="0" applyNumberFormat="1" applyFont="1" applyBorder="1" applyAlignment="1" applyProtection="1">
      <alignment horizontal="right"/>
    </xf>
    <xf numFmtId="164" fontId="41" fillId="0" borderId="27" xfId="0" applyNumberFormat="1" applyFont="1" applyBorder="1" applyAlignment="1" applyProtection="1">
      <alignment horizontal="right"/>
    </xf>
    <xf numFmtId="0" fontId="50" fillId="0" borderId="20" xfId="0" applyFont="1" applyBorder="1" applyAlignment="1" applyProtection="1">
      <alignment horizontal="right"/>
    </xf>
    <xf numFmtId="164" fontId="41" fillId="0" borderId="26" xfId="0" quotePrefix="1" applyNumberFormat="1" applyFont="1" applyBorder="1" applyAlignment="1" applyProtection="1">
      <alignment horizontal="right"/>
    </xf>
    <xf numFmtId="0" fontId="41" fillId="0" borderId="20" xfId="0" quotePrefix="1" applyFont="1" applyFill="1" applyBorder="1" applyAlignment="1" applyProtection="1">
      <alignment horizontal="left"/>
    </xf>
    <xf numFmtId="0" fontId="41" fillId="0" borderId="20" xfId="0" applyFont="1" applyBorder="1" applyAlignment="1" applyProtection="1">
      <alignment horizontal="right"/>
    </xf>
    <xf numFmtId="0" fontId="47" fillId="0" borderId="36" xfId="0" quotePrefix="1" applyFont="1" applyBorder="1" applyAlignment="1" applyProtection="1">
      <alignment horizontal="left"/>
    </xf>
    <xf numFmtId="0" fontId="47" fillId="0" borderId="20" xfId="0" applyFont="1" applyBorder="1" applyAlignment="1" applyProtection="1">
      <alignment horizontal="right"/>
    </xf>
    <xf numFmtId="164" fontId="41" fillId="0" borderId="24" xfId="0" applyNumberFormat="1" applyFont="1" applyBorder="1" applyAlignment="1" applyProtection="1">
      <alignment horizontal="right"/>
    </xf>
    <xf numFmtId="164" fontId="41" fillId="0" borderId="25" xfId="0" applyNumberFormat="1" applyFont="1" applyBorder="1" applyAlignment="1" applyProtection="1">
      <alignment horizontal="right"/>
    </xf>
    <xf numFmtId="0" fontId="47" fillId="0" borderId="32" xfId="0" quotePrefix="1" applyFont="1" applyBorder="1" applyAlignment="1" applyProtection="1">
      <alignment horizontal="left"/>
    </xf>
    <xf numFmtId="0" fontId="47" fillId="0" borderId="51" xfId="0" quotePrefix="1" applyFont="1" applyBorder="1" applyAlignment="1" applyProtection="1">
      <alignment horizontal="left"/>
    </xf>
    <xf numFmtId="164" fontId="47" fillId="0" borderId="41" xfId="0" applyNumberFormat="1" applyFont="1" applyBorder="1" applyProtection="1"/>
    <xf numFmtId="164" fontId="47" fillId="0" borderId="34" xfId="0" applyNumberFormat="1" applyFont="1" applyBorder="1" applyProtection="1"/>
    <xf numFmtId="0" fontId="52" fillId="12" borderId="0" xfId="0" applyFont="1" applyFill="1"/>
    <xf numFmtId="14" fontId="41" fillId="0" borderId="0" xfId="0" applyNumberFormat="1" applyFont="1" applyBorder="1" applyProtection="1"/>
    <xf numFmtId="14" fontId="41" fillId="0" borderId="20" xfId="0" applyNumberFormat="1" applyFont="1" applyBorder="1" applyProtection="1"/>
    <xf numFmtId="14" fontId="41" fillId="12" borderId="0" xfId="0" applyNumberFormat="1" applyFont="1" applyFill="1" applyProtection="1"/>
    <xf numFmtId="0" fontId="35" fillId="0" borderId="26" xfId="0" applyFont="1" applyBorder="1" applyProtection="1"/>
    <xf numFmtId="0" fontId="47" fillId="0" borderId="20" xfId="0" quotePrefix="1" applyFont="1" applyBorder="1" applyAlignment="1" applyProtection="1">
      <alignment horizontal="center"/>
    </xf>
    <xf numFmtId="0" fontId="41" fillId="0" borderId="24" xfId="0" applyFont="1" applyBorder="1" applyAlignment="1" applyProtection="1">
      <alignment horizontal="center"/>
    </xf>
    <xf numFmtId="0" fontId="41" fillId="0" borderId="52" xfId="0" applyFont="1" applyBorder="1" applyAlignment="1" applyProtection="1">
      <alignment horizontal="center"/>
    </xf>
    <xf numFmtId="0" fontId="47" fillId="0" borderId="53" xfId="0" applyFont="1" applyBorder="1" applyAlignment="1" applyProtection="1">
      <alignment horizontal="centerContinuous"/>
    </xf>
    <xf numFmtId="0" fontId="41" fillId="0" borderId="26" xfId="0" applyFont="1" applyBorder="1" applyAlignment="1" applyProtection="1">
      <alignment horizontal="center"/>
    </xf>
    <xf numFmtId="0" fontId="50" fillId="0" borderId="26" xfId="0" applyFont="1" applyFill="1" applyBorder="1" applyAlignment="1" applyProtection="1">
      <alignment horizontal="center"/>
    </xf>
    <xf numFmtId="0" fontId="41" fillId="0" borderId="30" xfId="0" applyFont="1" applyFill="1" applyBorder="1" applyAlignment="1" applyProtection="1">
      <alignment horizontal="center"/>
    </xf>
    <xf numFmtId="0" fontId="41" fillId="0" borderId="3" xfId="0" quotePrefix="1" applyFont="1" applyFill="1" applyBorder="1" applyAlignment="1" applyProtection="1">
      <alignment horizontal="left"/>
    </xf>
    <xf numFmtId="0" fontId="41" fillId="0" borderId="41" xfId="0" applyFont="1" applyFill="1" applyBorder="1" applyAlignment="1" applyProtection="1">
      <alignment horizontal="center"/>
    </xf>
    <xf numFmtId="0" fontId="50" fillId="0" borderId="35" xfId="0" applyFont="1" applyFill="1" applyBorder="1" applyProtection="1"/>
    <xf numFmtId="0" fontId="41" fillId="0" borderId="0" xfId="0" quotePrefix="1" applyFont="1" applyBorder="1" applyProtection="1"/>
    <xf numFmtId="0" fontId="35" fillId="0" borderId="2" xfId="0" applyFont="1" applyFill="1" applyBorder="1" applyAlignment="1" applyProtection="1">
      <alignment horizontal="centerContinuous"/>
    </xf>
    <xf numFmtId="0" fontId="45" fillId="0" borderId="40" xfId="0" applyFont="1" applyFill="1" applyBorder="1" applyAlignment="1" applyProtection="1">
      <alignment horizontal="center"/>
    </xf>
    <xf numFmtId="0" fontId="45" fillId="0" borderId="40" xfId="0" quotePrefix="1" applyFont="1" applyFill="1" applyBorder="1" applyAlignment="1" applyProtection="1">
      <alignment horizontal="center"/>
    </xf>
    <xf numFmtId="0" fontId="45" fillId="0" borderId="42" xfId="0" quotePrefix="1" applyFont="1" applyFill="1" applyBorder="1" applyAlignment="1" applyProtection="1">
      <alignment horizontal="center"/>
    </xf>
    <xf numFmtId="0" fontId="45" fillId="0" borderId="20" xfId="0" quotePrefix="1" applyFont="1" applyFill="1" applyBorder="1" applyAlignment="1" applyProtection="1">
      <alignment horizontal="center"/>
    </xf>
    <xf numFmtId="164" fontId="41" fillId="0" borderId="18" xfId="0" applyNumberFormat="1" applyFont="1" applyBorder="1" applyAlignment="1" applyProtection="1">
      <alignment horizontal="right"/>
    </xf>
    <xf numFmtId="164" fontId="41" fillId="0" borderId="16" xfId="0" applyNumberFormat="1" applyFont="1" applyBorder="1" applyAlignment="1" applyProtection="1">
      <alignment horizontal="right"/>
    </xf>
    <xf numFmtId="164" fontId="41" fillId="0" borderId="2" xfId="0" applyNumberFormat="1" applyFont="1" applyBorder="1" applyAlignment="1" applyProtection="1">
      <alignment horizontal="right"/>
    </xf>
    <xf numFmtId="164" fontId="41" fillId="0" borderId="0" xfId="0" applyNumberFormat="1" applyFont="1" applyBorder="1" applyAlignment="1" applyProtection="1">
      <alignment horizontal="right"/>
    </xf>
    <xf numFmtId="0" fontId="47" fillId="0" borderId="17" xfId="0" applyFont="1" applyBorder="1" applyProtection="1"/>
    <xf numFmtId="164" fontId="47" fillId="0" borderId="2" xfId="0" applyNumberFormat="1" applyFont="1" applyBorder="1" applyAlignment="1" applyProtection="1">
      <alignment horizontal="right"/>
    </xf>
    <xf numFmtId="164" fontId="47" fillId="0" borderId="26" xfId="0" applyNumberFormat="1" applyFont="1" applyBorder="1" applyAlignment="1" applyProtection="1">
      <alignment horizontal="right"/>
    </xf>
    <xf numFmtId="164" fontId="47" fillId="0" borderId="0" xfId="0" applyNumberFormat="1" applyFont="1" applyBorder="1" applyAlignment="1" applyProtection="1">
      <alignment horizontal="right"/>
    </xf>
    <xf numFmtId="164" fontId="47" fillId="0" borderId="27" xfId="0" applyNumberFormat="1" applyFont="1" applyBorder="1" applyAlignment="1" applyProtection="1">
      <alignment horizontal="right"/>
    </xf>
    <xf numFmtId="0" fontId="50" fillId="0" borderId="3" xfId="0" applyFont="1" applyBorder="1" applyProtection="1"/>
    <xf numFmtId="164" fontId="41" fillId="0" borderId="33" xfId="0" applyNumberFormat="1" applyFont="1" applyBorder="1" applyAlignment="1" applyProtection="1">
      <alignment horizontal="right"/>
    </xf>
    <xf numFmtId="164" fontId="41" fillId="0" borderId="41" xfId="0" applyNumberFormat="1" applyFont="1" applyFill="1" applyBorder="1" applyAlignment="1" applyProtection="1">
      <alignment horizontal="right"/>
    </xf>
    <xf numFmtId="164" fontId="41" fillId="0" borderId="3" xfId="0" applyNumberFormat="1" applyFont="1" applyBorder="1" applyAlignment="1" applyProtection="1">
      <alignment horizontal="right"/>
    </xf>
    <xf numFmtId="0" fontId="0" fillId="0" borderId="45" xfId="0" applyBorder="1"/>
    <xf numFmtId="0" fontId="0" fillId="0" borderId="54" xfId="0" applyBorder="1"/>
    <xf numFmtId="0" fontId="0" fillId="0" borderId="50" xfId="0" applyBorder="1"/>
    <xf numFmtId="0" fontId="47" fillId="0" borderId="2" xfId="0" quotePrefix="1" applyFont="1" applyBorder="1" applyAlignment="1" applyProtection="1">
      <alignment horizontal="right"/>
    </xf>
    <xf numFmtId="0" fontId="47" fillId="0" borderId="26" xfId="0" applyFont="1" applyBorder="1" applyAlignment="1" applyProtection="1">
      <alignment horizontal="right"/>
    </xf>
    <xf numFmtId="0" fontId="47" fillId="0" borderId="0" xfId="0" quotePrefix="1" applyFont="1" applyBorder="1" applyAlignment="1" applyProtection="1">
      <alignment horizontal="right"/>
    </xf>
    <xf numFmtId="0" fontId="47" fillId="0" borderId="27" xfId="0" applyFont="1" applyBorder="1" applyAlignment="1" applyProtection="1">
      <alignment horizontal="right"/>
    </xf>
    <xf numFmtId="0" fontId="41" fillId="0" borderId="2" xfId="0" applyFont="1" applyBorder="1" applyAlignment="1" applyProtection="1">
      <alignment horizontal="right"/>
    </xf>
    <xf numFmtId="0" fontId="47" fillId="0" borderId="3" xfId="0" applyFont="1" applyBorder="1" applyProtection="1"/>
    <xf numFmtId="0" fontId="41" fillId="0" borderId="33" xfId="0" applyFont="1" applyBorder="1" applyAlignment="1" applyProtection="1">
      <alignment horizontal="right"/>
    </xf>
    <xf numFmtId="0" fontId="47" fillId="0" borderId="41" xfId="0" applyFont="1" applyBorder="1" applyAlignment="1" applyProtection="1">
      <alignment horizontal="right"/>
    </xf>
    <xf numFmtId="0" fontId="47" fillId="0" borderId="34" xfId="0" applyFont="1" applyBorder="1" applyAlignment="1" applyProtection="1">
      <alignment horizontal="right"/>
    </xf>
    <xf numFmtId="0" fontId="41" fillId="0" borderId="22" xfId="0" applyFont="1" applyFill="1" applyBorder="1" applyProtection="1"/>
    <xf numFmtId="0" fontId="47" fillId="0" borderId="37" xfId="0" applyFont="1" applyFill="1" applyBorder="1" applyAlignment="1" applyProtection="1">
      <alignment horizontal="center"/>
    </xf>
    <xf numFmtId="1" fontId="47" fillId="0" borderId="54" xfId="0" applyNumberFormat="1" applyFont="1" applyBorder="1" applyAlignment="1" applyProtection="1">
      <alignment horizontal="center"/>
    </xf>
    <xf numFmtId="0" fontId="41" fillId="0" borderId="36" xfId="0" applyFont="1" applyFill="1" applyBorder="1" applyProtection="1"/>
    <xf numFmtId="0" fontId="47" fillId="0" borderId="26" xfId="0" applyFont="1" applyFill="1" applyBorder="1" applyAlignment="1" applyProtection="1">
      <alignment horizontal="center"/>
    </xf>
    <xf numFmtId="0" fontId="47" fillId="0" borderId="23" xfId="0" applyFont="1" applyFill="1" applyBorder="1" applyProtection="1"/>
    <xf numFmtId="0" fontId="47" fillId="0" borderId="24" xfId="0" applyFont="1" applyFill="1" applyBorder="1" applyAlignment="1" applyProtection="1">
      <alignment horizontal="center"/>
    </xf>
    <xf numFmtId="164" fontId="47" fillId="0" borderId="24" xfId="0" applyNumberFormat="1" applyFont="1" applyFill="1" applyBorder="1" applyProtection="1"/>
    <xf numFmtId="0" fontId="41" fillId="0" borderId="28" xfId="0" applyFont="1" applyFill="1" applyBorder="1" applyProtection="1"/>
    <xf numFmtId="164" fontId="41" fillId="0" borderId="30" xfId="0" applyNumberFormat="1" applyFont="1" applyFill="1" applyBorder="1" applyProtection="1"/>
    <xf numFmtId="164" fontId="41" fillId="0" borderId="36" xfId="0" applyNumberFormat="1" applyFont="1" applyFill="1" applyBorder="1" applyProtection="1"/>
    <xf numFmtId="164" fontId="41" fillId="0" borderId="29" xfId="0" applyNumberFormat="1" applyFont="1" applyFill="1" applyBorder="1" applyProtection="1"/>
    <xf numFmtId="164" fontId="41" fillId="0" borderId="46" xfId="0" applyNumberFormat="1" applyFont="1" applyFill="1" applyBorder="1" applyProtection="1"/>
    <xf numFmtId="0" fontId="39" fillId="0" borderId="28" xfId="0" applyFont="1" applyFill="1" applyBorder="1" applyProtection="1"/>
    <xf numFmtId="0" fontId="47" fillId="0" borderId="30" xfId="0" applyFont="1" applyFill="1" applyBorder="1" applyAlignment="1" applyProtection="1">
      <alignment horizontal="center"/>
    </xf>
    <xf numFmtId="0" fontId="35" fillId="0" borderId="17" xfId="0" applyFont="1" applyFill="1" applyBorder="1" applyProtection="1"/>
    <xf numFmtId="164" fontId="35" fillId="0" borderId="20" xfId="0" applyNumberFormat="1" applyFont="1" applyFill="1" applyBorder="1" applyAlignment="1" applyProtection="1">
      <alignment horizontal="right"/>
    </xf>
    <xf numFmtId="0" fontId="47" fillId="0" borderId="32" xfId="0" applyFont="1" applyFill="1" applyBorder="1" applyProtection="1"/>
    <xf numFmtId="0" fontId="57" fillId="0" borderId="41" xfId="0" applyFont="1" applyFill="1" applyBorder="1" applyProtection="1"/>
    <xf numFmtId="164" fontId="47" fillId="0" borderId="51" xfId="0" applyNumberFormat="1" applyFont="1" applyFill="1" applyBorder="1" applyAlignment="1" applyProtection="1">
      <alignment horizontal="right"/>
    </xf>
    <xf numFmtId="0" fontId="41" fillId="0" borderId="20" xfId="0" applyFont="1" applyFill="1" applyBorder="1" applyAlignment="1" applyProtection="1">
      <alignment horizontal="centerContinuous"/>
    </xf>
    <xf numFmtId="1" fontId="46" fillId="0" borderId="20" xfId="0" applyNumberFormat="1" applyFont="1" applyFill="1" applyBorder="1" applyAlignment="1" applyProtection="1">
      <alignment horizontal="center"/>
    </xf>
    <xf numFmtId="164" fontId="47" fillId="0" borderId="25" xfId="0" applyNumberFormat="1" applyFont="1" applyFill="1" applyBorder="1" applyProtection="1"/>
    <xf numFmtId="0" fontId="47" fillId="0" borderId="20" xfId="0" applyFont="1" applyFill="1" applyBorder="1" applyProtection="1"/>
    <xf numFmtId="164" fontId="47" fillId="0" borderId="30" xfId="0" applyNumberFormat="1" applyFont="1" applyFill="1" applyBorder="1" applyProtection="1"/>
    <xf numFmtId="164" fontId="47" fillId="0" borderId="31" xfId="0" applyNumberFormat="1" applyFont="1" applyFill="1" applyBorder="1" applyProtection="1"/>
    <xf numFmtId="0" fontId="57" fillId="0" borderId="28" xfId="0" applyFont="1" applyFill="1" applyBorder="1" applyProtection="1"/>
    <xf numFmtId="0" fontId="57" fillId="0" borderId="30" xfId="0" applyFont="1" applyFill="1" applyBorder="1" applyAlignment="1" applyProtection="1">
      <alignment horizontal="center"/>
    </xf>
    <xf numFmtId="164" fontId="57" fillId="0" borderId="36" xfId="0" applyNumberFormat="1" applyFont="1" applyFill="1" applyBorder="1" applyProtection="1"/>
    <xf numFmtId="0" fontId="57" fillId="0" borderId="20" xfId="0" applyFont="1" applyFill="1" applyBorder="1" applyProtection="1"/>
    <xf numFmtId="0" fontId="35" fillId="0" borderId="26" xfId="0" applyFont="1" applyFill="1" applyBorder="1" applyAlignment="1" applyProtection="1">
      <alignment horizontal="center"/>
    </xf>
    <xf numFmtId="164" fontId="35" fillId="0" borderId="26" xfId="0" applyNumberFormat="1" applyFont="1" applyFill="1" applyBorder="1" applyProtection="1"/>
    <xf numFmtId="164" fontId="35" fillId="0" borderId="20" xfId="0" applyNumberFormat="1" applyFont="1" applyFill="1" applyBorder="1" applyProtection="1"/>
    <xf numFmtId="164" fontId="35" fillId="0" borderId="45" xfId="0" applyNumberFormat="1" applyFont="1" applyFill="1" applyBorder="1" applyProtection="1"/>
    <xf numFmtId="0" fontId="35" fillId="0" borderId="20" xfId="0" applyFont="1" applyFill="1" applyBorder="1" applyProtection="1"/>
    <xf numFmtId="0" fontId="57" fillId="0" borderId="32" xfId="0" applyFont="1" applyFill="1" applyBorder="1" applyProtection="1"/>
    <xf numFmtId="164" fontId="57" fillId="0" borderId="41" xfId="0" applyNumberFormat="1" applyFont="1" applyFill="1" applyBorder="1" applyProtection="1"/>
    <xf numFmtId="164" fontId="57" fillId="0" borderId="34" xfId="0" applyNumberFormat="1" applyFont="1" applyFill="1" applyBorder="1" applyProtection="1"/>
    <xf numFmtId="0" fontId="46" fillId="0" borderId="16" xfId="0" applyFont="1" applyBorder="1" applyProtection="1"/>
    <xf numFmtId="0" fontId="0" fillId="0" borderId="16" xfId="0" applyBorder="1" applyProtection="1"/>
    <xf numFmtId="0" fontId="0" fillId="0" borderId="19" xfId="0" applyBorder="1" applyProtection="1"/>
    <xf numFmtId="0" fontId="46" fillId="0" borderId="37" xfId="0" applyFont="1" applyBorder="1" applyAlignment="1" applyProtection="1">
      <alignment horizontal="center"/>
    </xf>
    <xf numFmtId="0" fontId="37" fillId="0" borderId="30" xfId="0" applyFont="1" applyBorder="1" applyAlignment="1" applyProtection="1">
      <alignment horizontal="center"/>
    </xf>
    <xf numFmtId="164" fontId="41" fillId="0" borderId="0" xfId="0" applyNumberFormat="1" applyFont="1" applyBorder="1" applyProtection="1"/>
    <xf numFmtId="164" fontId="41" fillId="0" borderId="45" xfId="0" applyNumberFormat="1" applyFont="1" applyBorder="1" applyProtection="1"/>
    <xf numFmtId="0" fontId="50" fillId="0" borderId="20" xfId="0" applyFont="1" applyFill="1" applyBorder="1" applyProtection="1"/>
    <xf numFmtId="0" fontId="50" fillId="0" borderId="29" xfId="0" applyFont="1" applyFill="1" applyBorder="1" applyProtection="1"/>
    <xf numFmtId="0" fontId="50" fillId="0" borderId="30" xfId="0" applyFont="1" applyFill="1" applyBorder="1" applyAlignment="1" applyProtection="1">
      <alignment horizontal="center"/>
    </xf>
    <xf numFmtId="164" fontId="41" fillId="0" borderId="31" xfId="0" applyNumberFormat="1" applyFont="1" applyFill="1" applyBorder="1" applyProtection="1"/>
    <xf numFmtId="0" fontId="41" fillId="0" borderId="20" xfId="0" quotePrefix="1" applyFont="1" applyFill="1" applyBorder="1" applyAlignment="1" applyProtection="1">
      <alignment horizontal="right"/>
    </xf>
    <xf numFmtId="164" fontId="41" fillId="0" borderId="3" xfId="0" applyNumberFormat="1" applyFont="1" applyFill="1" applyBorder="1" applyProtection="1"/>
    <xf numFmtId="164" fontId="41" fillId="0" borderId="41" xfId="0" applyNumberFormat="1" applyFont="1" applyFill="1" applyBorder="1" applyProtection="1"/>
    <xf numFmtId="164" fontId="41" fillId="0" borderId="34" xfId="0" applyNumberFormat="1" applyFont="1" applyFill="1" applyBorder="1" applyProtection="1"/>
    <xf numFmtId="164" fontId="47" fillId="0" borderId="26" xfId="0" applyNumberFormat="1" applyFont="1" applyFill="1" applyBorder="1" applyProtection="1"/>
    <xf numFmtId="164" fontId="47" fillId="0" borderId="55" xfId="0" applyNumberFormat="1" applyFont="1" applyFill="1" applyBorder="1" applyProtection="1"/>
    <xf numFmtId="164" fontId="41" fillId="0" borderId="37" xfId="0" applyNumberFormat="1" applyFont="1" applyFill="1" applyBorder="1" applyProtection="1"/>
    <xf numFmtId="164" fontId="47" fillId="0" borderId="27" xfId="0" applyNumberFormat="1" applyFont="1" applyFill="1" applyBorder="1" applyProtection="1"/>
    <xf numFmtId="0" fontId="47" fillId="0" borderId="48" xfId="0" applyFont="1" applyFill="1" applyBorder="1" applyAlignment="1" applyProtection="1">
      <alignment horizontal="center"/>
    </xf>
    <xf numFmtId="164" fontId="41" fillId="0" borderId="48" xfId="0" applyNumberFormat="1" applyFont="1" applyFill="1" applyBorder="1" applyProtection="1"/>
    <xf numFmtId="0" fontId="47" fillId="0" borderId="20" xfId="0" quotePrefix="1" applyFont="1" applyFill="1" applyBorder="1" applyAlignment="1" applyProtection="1">
      <alignment horizontal="right"/>
    </xf>
    <xf numFmtId="0" fontId="41" fillId="0" borderId="56" xfId="0" applyFont="1" applyFill="1" applyBorder="1" applyProtection="1"/>
    <xf numFmtId="0" fontId="47" fillId="0" borderId="45" xfId="0" quotePrefix="1" applyFont="1" applyFill="1" applyBorder="1" applyAlignment="1" applyProtection="1">
      <alignment horizontal="right"/>
    </xf>
    <xf numFmtId="164" fontId="41" fillId="0" borderId="56" xfId="0" applyNumberFormat="1" applyFont="1" applyFill="1" applyBorder="1" applyProtection="1"/>
    <xf numFmtId="0" fontId="41" fillId="0" borderId="56" xfId="0" quotePrefix="1" applyFont="1" applyFill="1" applyBorder="1" applyAlignment="1" applyProtection="1">
      <alignment horizontal="left"/>
    </xf>
    <xf numFmtId="0" fontId="41" fillId="0" borderId="57" xfId="0" applyFont="1" applyFill="1" applyBorder="1" applyAlignment="1" applyProtection="1">
      <alignment horizontal="center"/>
    </xf>
    <xf numFmtId="0" fontId="41" fillId="0" borderId="56" xfId="0" quotePrefix="1" applyFont="1" applyFill="1" applyBorder="1" applyAlignment="1" applyProtection="1">
      <alignment horizontal="center"/>
    </xf>
    <xf numFmtId="164" fontId="41" fillId="0" borderId="57" xfId="0" applyNumberFormat="1" applyFont="1" applyFill="1" applyBorder="1" applyAlignment="1" applyProtection="1">
      <alignment horizontal="right"/>
    </xf>
    <xf numFmtId="164" fontId="41" fillId="0" borderId="56" xfId="0" quotePrefix="1" applyNumberFormat="1" applyFont="1" applyFill="1" applyBorder="1" applyAlignment="1" applyProtection="1">
      <alignment horizontal="center"/>
    </xf>
    <xf numFmtId="164" fontId="41" fillId="0" borderId="55" xfId="0" applyNumberFormat="1" applyFont="1" applyFill="1" applyBorder="1" applyAlignment="1" applyProtection="1">
      <alignment horizontal="right"/>
    </xf>
    <xf numFmtId="0" fontId="41" fillId="0" borderId="36" xfId="0" applyFont="1" applyBorder="1" applyProtection="1"/>
    <xf numFmtId="0" fontId="45" fillId="0" borderId="40" xfId="0" applyFont="1" applyBorder="1" applyAlignment="1" applyProtection="1">
      <alignment horizontal="center"/>
    </xf>
    <xf numFmtId="0" fontId="46" fillId="0" borderId="20" xfId="0" applyFont="1" applyBorder="1" applyAlignment="1" applyProtection="1">
      <alignment horizontal="center"/>
    </xf>
    <xf numFmtId="164" fontId="41" fillId="0" borderId="19" xfId="0" applyNumberFormat="1" applyFont="1" applyBorder="1" applyProtection="1"/>
    <xf numFmtId="164" fontId="41" fillId="0" borderId="44" xfId="0" applyNumberFormat="1" applyFont="1" applyBorder="1" applyProtection="1"/>
    <xf numFmtId="164" fontId="47" fillId="0" borderId="20" xfId="0" applyNumberFormat="1" applyFont="1" applyBorder="1" applyAlignment="1" applyProtection="1">
      <alignment horizontal="center"/>
    </xf>
    <xf numFmtId="164" fontId="47" fillId="0" borderId="45" xfId="0" applyNumberFormat="1" applyFont="1" applyBorder="1" applyAlignment="1" applyProtection="1">
      <alignment horizontal="center"/>
    </xf>
    <xf numFmtId="0" fontId="57" fillId="0" borderId="17" xfId="0" applyFont="1" applyBorder="1" applyProtection="1"/>
    <xf numFmtId="0" fontId="57" fillId="0" borderId="20" xfId="0" applyFont="1" applyBorder="1" applyAlignment="1" applyProtection="1">
      <alignment horizontal="center"/>
    </xf>
    <xf numFmtId="164" fontId="41" fillId="0" borderId="20" xfId="0" applyNumberFormat="1" applyFont="1" applyBorder="1" applyAlignment="1" applyProtection="1">
      <alignment horizontal="right"/>
    </xf>
    <xf numFmtId="164" fontId="41" fillId="0" borderId="45" xfId="0" applyNumberFormat="1" applyFont="1" applyBorder="1" applyAlignment="1" applyProtection="1">
      <alignment horizontal="right"/>
    </xf>
    <xf numFmtId="164" fontId="47" fillId="0" borderId="36" xfId="0" applyNumberFormat="1" applyFont="1" applyBorder="1" applyAlignment="1" applyProtection="1">
      <alignment horizontal="center"/>
    </xf>
    <xf numFmtId="164" fontId="47" fillId="0" borderId="36" xfId="0" quotePrefix="1" applyNumberFormat="1" applyFont="1" applyBorder="1" applyAlignment="1" applyProtection="1">
      <alignment horizontal="center"/>
    </xf>
    <xf numFmtId="0" fontId="57" fillId="0" borderId="28" xfId="0" applyFont="1" applyBorder="1" applyProtection="1"/>
    <xf numFmtId="164" fontId="57" fillId="0" borderId="46" xfId="0" quotePrefix="1" applyNumberFormat="1" applyFont="1" applyBorder="1" applyAlignment="1" applyProtection="1">
      <alignment horizontal="center"/>
    </xf>
    <xf numFmtId="0" fontId="57" fillId="0" borderId="20" xfId="0" quotePrefix="1" applyFont="1" applyBorder="1" applyAlignment="1" applyProtection="1">
      <alignment horizontal="center"/>
    </xf>
    <xf numFmtId="164" fontId="47" fillId="0" borderId="19" xfId="0" applyNumberFormat="1" applyFont="1" applyBorder="1" applyAlignment="1" applyProtection="1">
      <alignment horizontal="center"/>
    </xf>
    <xf numFmtId="164" fontId="47" fillId="0" borderId="44" xfId="0" applyNumberFormat="1" applyFont="1" applyBorder="1" applyAlignment="1" applyProtection="1">
      <alignment horizontal="center"/>
    </xf>
    <xf numFmtId="164" fontId="41" fillId="0" borderId="20" xfId="0" applyNumberFormat="1" applyFont="1" applyBorder="1" applyAlignment="1" applyProtection="1">
      <alignment horizontal="center"/>
    </xf>
    <xf numFmtId="164" fontId="41" fillId="0" borderId="45" xfId="0" applyNumberFormat="1" applyFont="1" applyBorder="1" applyAlignment="1" applyProtection="1">
      <alignment horizontal="center"/>
    </xf>
    <xf numFmtId="0" fontId="41" fillId="0" borderId="20" xfId="0" applyFont="1" applyBorder="1" applyAlignment="1" applyProtection="1">
      <alignment horizontal="center"/>
    </xf>
    <xf numFmtId="164" fontId="50" fillId="0" borderId="45" xfId="0" applyNumberFormat="1" applyFont="1" applyBorder="1" applyAlignment="1" applyProtection="1">
      <alignment horizontal="center"/>
    </xf>
    <xf numFmtId="0" fontId="50" fillId="0" borderId="20" xfId="0" applyFont="1" applyBorder="1" applyAlignment="1" applyProtection="1">
      <alignment horizontal="center"/>
    </xf>
    <xf numFmtId="164" fontId="47" fillId="0" borderId="20" xfId="0" applyNumberFormat="1" applyFont="1" applyBorder="1" applyProtection="1"/>
    <xf numFmtId="164" fontId="57" fillId="0" borderId="45" xfId="0" applyNumberFormat="1" applyFont="1" applyBorder="1" applyProtection="1"/>
    <xf numFmtId="0" fontId="57" fillId="0" borderId="20" xfId="0" applyFont="1" applyBorder="1" applyProtection="1"/>
    <xf numFmtId="164" fontId="41" fillId="0" borderId="19" xfId="0" applyNumberFormat="1" applyFont="1" applyBorder="1" applyAlignment="1" applyProtection="1">
      <alignment horizontal="center"/>
    </xf>
    <xf numFmtId="0" fontId="57" fillId="0" borderId="32" xfId="0" applyFont="1" applyBorder="1" applyProtection="1"/>
    <xf numFmtId="164" fontId="47" fillId="0" borderId="51" xfId="0" applyNumberFormat="1" applyFont="1" applyBorder="1" applyProtection="1"/>
    <xf numFmtId="164" fontId="57" fillId="0" borderId="58" xfId="0" applyNumberFormat="1" applyFont="1" applyBorder="1" applyProtection="1"/>
    <xf numFmtId="0" fontId="55" fillId="0" borderId="20" xfId="0" quotePrefix="1" applyFont="1" applyBorder="1" applyAlignment="1" applyProtection="1">
      <alignment horizontal="right"/>
    </xf>
    <xf numFmtId="0" fontId="41" fillId="0" borderId="24" xfId="0" applyFont="1" applyBorder="1" applyProtection="1"/>
    <xf numFmtId="164" fontId="9" fillId="9" borderId="5" xfId="0" applyNumberFormat="1" applyFont="1" applyFill="1" applyBorder="1" applyAlignment="1">
      <alignment horizontal="right"/>
    </xf>
    <xf numFmtId="0" fontId="10" fillId="14" borderId="38" xfId="0" applyFont="1" applyFill="1" applyBorder="1" applyAlignment="1">
      <alignment horizontal="center" vertical="top"/>
    </xf>
    <xf numFmtId="0" fontId="10" fillId="14" borderId="39" xfId="0" applyFont="1" applyFill="1" applyBorder="1" applyAlignment="1">
      <alignment horizontal="center" vertical="top"/>
    </xf>
    <xf numFmtId="0" fontId="10" fillId="14" borderId="38" xfId="0" applyFont="1" applyFill="1" applyBorder="1" applyAlignment="1">
      <alignment horizontal="left" vertical="top"/>
    </xf>
    <xf numFmtId="0" fontId="10" fillId="14" borderId="53" xfId="0" applyFont="1" applyFill="1" applyBorder="1" applyAlignment="1">
      <alignment horizontal="left" vertical="top"/>
    </xf>
    <xf numFmtId="0" fontId="10" fillId="14" borderId="59" xfId="0" applyFont="1" applyFill="1" applyBorder="1" applyAlignment="1">
      <alignment vertical="top"/>
    </xf>
    <xf numFmtId="1" fontId="10" fillId="14" borderId="39" xfId="0" applyNumberFormat="1" applyFont="1" applyFill="1" applyBorder="1" applyAlignment="1">
      <alignment horizontal="right" vertical="top"/>
    </xf>
    <xf numFmtId="0" fontId="0" fillId="0" borderId="0" xfId="0" applyBorder="1" applyAlignment="1">
      <alignment vertical="top"/>
    </xf>
    <xf numFmtId="0" fontId="40" fillId="10" borderId="13" xfId="0" applyFont="1" applyFill="1" applyBorder="1" applyAlignment="1">
      <alignment horizontal="center"/>
    </xf>
    <xf numFmtId="0" fontId="40" fillId="10" borderId="14" xfId="0" applyFont="1" applyFill="1" applyBorder="1" applyAlignment="1">
      <alignment horizontal="center"/>
    </xf>
    <xf numFmtId="0" fontId="11" fillId="10" borderId="10" xfId="0" applyFont="1" applyFill="1" applyBorder="1" applyAlignment="1">
      <alignment horizontal="center"/>
    </xf>
    <xf numFmtId="0" fontId="11" fillId="10" borderId="60" xfId="0" applyFont="1" applyFill="1" applyBorder="1"/>
    <xf numFmtId="0" fontId="0" fillId="10" borderId="60" xfId="0" applyFill="1" applyBorder="1"/>
    <xf numFmtId="0" fontId="11" fillId="10" borderId="13" xfId="0" applyFont="1" applyFill="1" applyBorder="1" applyAlignment="1">
      <alignment horizontal="center"/>
    </xf>
    <xf numFmtId="0" fontId="11" fillId="10" borderId="61" xfId="0" applyFont="1" applyFill="1" applyBorder="1"/>
    <xf numFmtId="0" fontId="0" fillId="10" borderId="61" xfId="0" applyFill="1" applyBorder="1"/>
    <xf numFmtId="0" fontId="65" fillId="10" borderId="13" xfId="0" applyFont="1" applyFill="1" applyBorder="1" applyAlignment="1">
      <alignment horizontal="center"/>
    </xf>
    <xf numFmtId="0" fontId="65" fillId="10" borderId="61" xfId="0" applyFont="1" applyFill="1" applyBorder="1"/>
    <xf numFmtId="0" fontId="40" fillId="10" borderId="61" xfId="0" applyFont="1" applyFill="1" applyBorder="1"/>
    <xf numFmtId="0" fontId="65" fillId="10" borderId="15" xfId="0" applyFont="1" applyFill="1" applyBorder="1"/>
    <xf numFmtId="0" fontId="40" fillId="10" borderId="0" xfId="0" applyFont="1" applyFill="1" applyBorder="1"/>
    <xf numFmtId="164" fontId="0" fillId="0" borderId="0" xfId="0" applyNumberFormat="1" applyBorder="1" applyAlignment="1">
      <alignment horizontal="right"/>
    </xf>
    <xf numFmtId="164" fontId="10" fillId="0" borderId="60" xfId="0" applyNumberFormat="1" applyFont="1" applyFill="1" applyBorder="1" applyAlignment="1">
      <alignment horizontal="right"/>
    </xf>
    <xf numFmtId="164" fontId="10" fillId="0" borderId="61" xfId="0" applyNumberFormat="1" applyFont="1" applyFill="1" applyBorder="1" applyAlignment="1">
      <alignment horizontal="right"/>
    </xf>
    <xf numFmtId="164" fontId="66" fillId="10" borderId="61" xfId="0" applyNumberFormat="1" applyFont="1" applyFill="1" applyBorder="1" applyAlignment="1">
      <alignment horizontal="right"/>
    </xf>
    <xf numFmtId="0" fontId="0" fillId="0" borderId="0" xfId="0" applyAlignment="1">
      <alignment horizontal="center"/>
    </xf>
    <xf numFmtId="0" fontId="8" fillId="0" borderId="0" xfId="0" applyFont="1" applyAlignment="1"/>
    <xf numFmtId="0" fontId="0" fillId="0" borderId="0" xfId="0" applyAlignment="1">
      <alignment horizontal="center" wrapText="1"/>
    </xf>
    <xf numFmtId="173" fontId="0" fillId="0" borderId="0" xfId="0" applyNumberFormat="1" applyAlignment="1">
      <alignment horizontal="center" wrapText="1"/>
    </xf>
    <xf numFmtId="0" fontId="36" fillId="15" borderId="62" xfId="0" applyFont="1" applyFill="1" applyBorder="1" applyAlignment="1" applyProtection="1">
      <alignment horizontal="center"/>
    </xf>
    <xf numFmtId="15" fontId="9" fillId="0" borderId="0" xfId="0" applyNumberFormat="1" applyFont="1" applyFill="1" applyAlignment="1" applyProtection="1">
      <alignment horizontal="center" vertical="center"/>
    </xf>
    <xf numFmtId="15" fontId="35" fillId="0" borderId="63" xfId="0" applyNumberFormat="1" applyFont="1" applyFill="1" applyBorder="1" applyAlignment="1" applyProtection="1">
      <alignment horizontal="center" vertical="center"/>
    </xf>
    <xf numFmtId="164" fontId="35" fillId="16" borderId="64" xfId="0" applyNumberFormat="1" applyFont="1" applyFill="1" applyBorder="1" applyAlignment="1" applyProtection="1">
      <alignment vertical="center"/>
    </xf>
    <xf numFmtId="164" fontId="39" fillId="17" borderId="65" xfId="0" applyNumberFormat="1" applyFont="1" applyFill="1" applyBorder="1" applyAlignment="1" applyProtection="1">
      <alignment horizontal="center"/>
    </xf>
    <xf numFmtId="15" fontId="9" fillId="0" borderId="0" xfId="0" applyNumberFormat="1" applyFont="1" applyFill="1" applyAlignment="1" applyProtection="1">
      <alignment horizontal="center"/>
    </xf>
    <xf numFmtId="15" fontId="35" fillId="0" borderId="66" xfId="0" applyNumberFormat="1" applyFont="1" applyFill="1" applyBorder="1" applyAlignment="1" applyProtection="1">
      <alignment horizontal="center" vertical="center"/>
    </xf>
    <xf numFmtId="164" fontId="35" fillId="18" borderId="66" xfId="0" applyNumberFormat="1" applyFont="1" applyFill="1" applyBorder="1" applyProtection="1"/>
    <xf numFmtId="164" fontId="35" fillId="16" borderId="65" xfId="0" applyNumberFormat="1" applyFont="1" applyFill="1" applyBorder="1" applyProtection="1"/>
    <xf numFmtId="164" fontId="35" fillId="16" borderId="65" xfId="0" applyNumberFormat="1" applyFont="1" applyFill="1" applyBorder="1" applyAlignment="1" applyProtection="1">
      <alignment vertical="center"/>
    </xf>
    <xf numFmtId="15" fontId="36" fillId="0" borderId="0" xfId="0" applyNumberFormat="1" applyFont="1" applyFill="1" applyAlignment="1" applyProtection="1">
      <alignment horizontal="center"/>
    </xf>
    <xf numFmtId="15" fontId="39" fillId="0" borderId="66" xfId="0" applyNumberFormat="1" applyFont="1" applyFill="1" applyBorder="1" applyAlignment="1" applyProtection="1">
      <alignment horizontal="center" vertical="center"/>
    </xf>
    <xf numFmtId="164" fontId="39" fillId="19" borderId="65" xfId="0" applyNumberFormat="1" applyFont="1" applyFill="1" applyBorder="1" applyProtection="1"/>
    <xf numFmtId="164" fontId="39" fillId="19" borderId="65" xfId="0" applyNumberFormat="1" applyFont="1" applyFill="1" applyBorder="1" applyAlignment="1" applyProtection="1">
      <alignment horizontal="right"/>
    </xf>
    <xf numFmtId="164" fontId="36" fillId="15" borderId="67" xfId="0" applyNumberFormat="1" applyFont="1" applyFill="1" applyBorder="1" applyAlignment="1" applyProtection="1">
      <alignment horizontal="center" wrapText="1"/>
    </xf>
    <xf numFmtId="0" fontId="39" fillId="0" borderId="0" xfId="0" applyFont="1"/>
    <xf numFmtId="164" fontId="35" fillId="0" borderId="65" xfId="0" applyNumberFormat="1" applyFont="1" applyFill="1" applyBorder="1" applyProtection="1"/>
    <xf numFmtId="164" fontId="35" fillId="0" borderId="65" xfId="0" applyNumberFormat="1" applyFont="1" applyFill="1" applyBorder="1" applyAlignment="1" applyProtection="1">
      <alignment vertical="center"/>
    </xf>
    <xf numFmtId="164" fontId="39" fillId="17" borderId="65" xfId="0" applyNumberFormat="1" applyFont="1" applyFill="1" applyBorder="1" applyAlignment="1" applyProtection="1">
      <alignment horizontal="center" vertical="center"/>
    </xf>
    <xf numFmtId="164" fontId="35" fillId="18" borderId="65" xfId="0" applyNumberFormat="1" applyFont="1" applyFill="1" applyBorder="1" applyAlignment="1" applyProtection="1">
      <alignment vertical="center"/>
    </xf>
    <xf numFmtId="164" fontId="35" fillId="18" borderId="66" xfId="0" applyNumberFormat="1" applyFont="1" applyFill="1" applyBorder="1" applyAlignment="1" applyProtection="1">
      <alignment vertical="center"/>
    </xf>
    <xf numFmtId="164" fontId="39" fillId="19" borderId="65" xfId="0" applyNumberFormat="1" applyFont="1" applyFill="1" applyBorder="1" applyAlignment="1" applyProtection="1">
      <alignment vertical="center"/>
    </xf>
    <xf numFmtId="164" fontId="39" fillId="19" borderId="65" xfId="0" applyNumberFormat="1" applyFont="1" applyFill="1" applyBorder="1" applyAlignment="1" applyProtection="1">
      <alignment horizontal="right" vertical="center"/>
    </xf>
    <xf numFmtId="164" fontId="35" fillId="0" borderId="67" xfId="0" applyNumberFormat="1" applyFont="1" applyFill="1" applyBorder="1" applyProtection="1"/>
    <xf numFmtId="0" fontId="67" fillId="0" borderId="0" xfId="0" applyFont="1"/>
    <xf numFmtId="15" fontId="67" fillId="0" borderId="66" xfId="0" applyNumberFormat="1" applyFont="1" applyFill="1" applyBorder="1" applyAlignment="1" applyProtection="1">
      <alignment horizontal="center" vertical="center"/>
    </xf>
    <xf numFmtId="14" fontId="67" fillId="0" borderId="0" xfId="0" applyNumberFormat="1" applyFont="1" applyFill="1" applyBorder="1" applyAlignment="1" applyProtection="1">
      <alignment horizontal="left" vertical="center" wrapText="1"/>
    </xf>
    <xf numFmtId="14" fontId="67" fillId="0" borderId="67" xfId="0" applyNumberFormat="1" applyFont="1" applyFill="1" applyBorder="1" applyAlignment="1" applyProtection="1">
      <alignment horizontal="left" vertical="center" wrapText="1"/>
    </xf>
    <xf numFmtId="164" fontId="10" fillId="0" borderId="68" xfId="0" applyNumberFormat="1" applyFont="1" applyFill="1" applyBorder="1" applyAlignment="1" applyProtection="1">
      <alignment vertical="center"/>
    </xf>
    <xf numFmtId="15" fontId="68" fillId="0" borderId="0" xfId="0" applyNumberFormat="1" applyFont="1" applyFill="1" applyAlignment="1" applyProtection="1">
      <alignment horizontal="center"/>
    </xf>
    <xf numFmtId="15" fontId="10" fillId="0" borderId="66" xfId="0" applyNumberFormat="1" applyFont="1" applyFill="1" applyBorder="1" applyAlignment="1" applyProtection="1">
      <alignment horizontal="center" vertical="center"/>
    </xf>
    <xf numFmtId="14" fontId="10" fillId="0" borderId="0" xfId="0" applyNumberFormat="1" applyFont="1" applyFill="1" applyBorder="1" applyAlignment="1" applyProtection="1">
      <alignment horizontal="left" vertical="center" wrapText="1"/>
    </xf>
    <xf numFmtId="14" fontId="10" fillId="0" borderId="67" xfId="0" applyNumberFormat="1" applyFont="1" applyFill="1" applyBorder="1" applyAlignment="1" applyProtection="1">
      <alignment horizontal="left" vertical="center" wrapText="1"/>
    </xf>
    <xf numFmtId="164" fontId="10" fillId="18" borderId="65" xfId="0" applyNumberFormat="1" applyFont="1" applyFill="1" applyBorder="1" applyAlignment="1" applyProtection="1">
      <alignment vertical="center"/>
    </xf>
    <xf numFmtId="0" fontId="10" fillId="0" borderId="0" xfId="0" applyFont="1"/>
    <xf numFmtId="164" fontId="10" fillId="0" borderId="69" xfId="0" applyNumberFormat="1" applyFont="1" applyFill="1" applyBorder="1" applyAlignment="1" applyProtection="1">
      <alignment vertical="center"/>
    </xf>
    <xf numFmtId="164" fontId="36" fillId="15" borderId="65" xfId="0" applyNumberFormat="1" applyFont="1" applyFill="1" applyBorder="1" applyAlignment="1" applyProtection="1">
      <alignment horizontal="center" vertical="center"/>
    </xf>
    <xf numFmtId="0" fontId="10" fillId="0" borderId="0" xfId="0" applyFont="1" applyAlignment="1">
      <alignment wrapText="1"/>
    </xf>
    <xf numFmtId="14" fontId="10" fillId="0" borderId="67" xfId="0" applyNumberFormat="1" applyFont="1" applyFill="1" applyBorder="1" applyAlignment="1" applyProtection="1">
      <alignment vertical="center" wrapText="1"/>
    </xf>
    <xf numFmtId="164" fontId="35" fillId="0" borderId="66" xfId="0" applyNumberFormat="1" applyFont="1" applyFill="1" applyBorder="1" applyProtection="1"/>
    <xf numFmtId="15" fontId="68" fillId="0" borderId="0" xfId="0" applyNumberFormat="1" applyFont="1" applyFill="1" applyAlignment="1" applyProtection="1"/>
    <xf numFmtId="0" fontId="10" fillId="0" borderId="0" xfId="0" applyFont="1" applyAlignment="1"/>
    <xf numFmtId="164" fontId="10" fillId="0" borderId="65" xfId="0" applyNumberFormat="1" applyFont="1" applyFill="1" applyBorder="1" applyAlignment="1" applyProtection="1">
      <alignment vertical="center"/>
    </xf>
    <xf numFmtId="164" fontId="10" fillId="0" borderId="66" xfId="0" applyNumberFormat="1" applyFont="1" applyFill="1" applyBorder="1" applyAlignment="1" applyProtection="1">
      <alignment vertical="center"/>
    </xf>
    <xf numFmtId="164" fontId="10" fillId="0" borderId="68" xfId="0" applyNumberFormat="1" applyFont="1" applyFill="1" applyBorder="1" applyAlignment="1" applyProtection="1">
      <alignment horizontal="right" vertical="center"/>
    </xf>
    <xf numFmtId="164" fontId="10" fillId="0" borderId="67" xfId="0" applyNumberFormat="1" applyFont="1" applyFill="1" applyBorder="1" applyAlignment="1" applyProtection="1">
      <alignment vertical="center"/>
    </xf>
    <xf numFmtId="164" fontId="11" fillId="17" borderId="65" xfId="0" applyNumberFormat="1" applyFont="1" applyFill="1" applyBorder="1" applyAlignment="1" applyProtection="1">
      <alignment horizontal="center" vertical="center"/>
    </xf>
    <xf numFmtId="164" fontId="10" fillId="0" borderId="69" xfId="0" applyNumberFormat="1" applyFont="1" applyFill="1" applyBorder="1" applyAlignment="1" applyProtection="1">
      <alignment horizontal="right" vertical="center"/>
    </xf>
    <xf numFmtId="164" fontId="36" fillId="15" borderId="67" xfId="0" applyNumberFormat="1" applyFont="1" applyFill="1" applyBorder="1" applyAlignment="1" applyProtection="1">
      <alignment horizontal="center" vertical="center" wrapText="1"/>
    </xf>
    <xf numFmtId="14" fontId="10" fillId="0" borderId="0" xfId="0" applyNumberFormat="1" applyFont="1" applyFill="1" applyBorder="1" applyAlignment="1" applyProtection="1">
      <alignment vertical="center" wrapText="1"/>
    </xf>
    <xf numFmtId="15" fontId="10" fillId="0" borderId="0" xfId="0" applyNumberFormat="1" applyFont="1" applyFill="1" applyBorder="1" applyAlignment="1" applyProtection="1">
      <alignment horizontal="left" vertical="center" wrapText="1"/>
    </xf>
    <xf numFmtId="164" fontId="11" fillId="17" borderId="67" xfId="0" applyNumberFormat="1" applyFont="1" applyFill="1" applyBorder="1" applyAlignment="1" applyProtection="1">
      <alignment horizontal="center" vertical="center"/>
    </xf>
    <xf numFmtId="164" fontId="10" fillId="18" borderId="65" xfId="0" applyNumberFormat="1" applyFont="1" applyFill="1" applyBorder="1" applyAlignment="1" applyProtection="1">
      <alignment horizontal="right" vertical="center"/>
    </xf>
    <xf numFmtId="164" fontId="36" fillId="15" borderId="65" xfId="0" applyNumberFormat="1" applyFont="1" applyFill="1" applyBorder="1" applyAlignment="1" applyProtection="1">
      <alignment horizontal="center" vertical="center" wrapText="1"/>
    </xf>
    <xf numFmtId="164" fontId="36" fillId="15" borderId="70" xfId="0" applyNumberFormat="1" applyFont="1" applyFill="1" applyBorder="1" applyAlignment="1" applyProtection="1">
      <alignment horizontal="center"/>
    </xf>
    <xf numFmtId="164" fontId="36" fillId="15" borderId="70" xfId="0" applyNumberFormat="1" applyFont="1" applyFill="1" applyBorder="1" applyProtection="1"/>
    <xf numFmtId="164" fontId="36" fillId="15" borderId="70" xfId="0" applyNumberFormat="1" applyFont="1" applyFill="1" applyBorder="1" applyAlignment="1" applyProtection="1">
      <alignment horizontal="center" wrapText="1"/>
    </xf>
    <xf numFmtId="9" fontId="39" fillId="0" borderId="0" xfId="49" applyFont="1" applyFill="1" applyBorder="1" applyAlignment="1" applyProtection="1">
      <alignment horizontal="center"/>
    </xf>
    <xf numFmtId="9" fontId="39" fillId="0" borderId="0" xfId="49" applyFont="1" applyFill="1" applyAlignment="1" applyProtection="1">
      <alignment horizontal="center" vertical="center"/>
    </xf>
    <xf numFmtId="9" fontId="35" fillId="0" borderId="71" xfId="49" applyFont="1" applyBorder="1" applyProtection="1"/>
    <xf numFmtId="165" fontId="35" fillId="0" borderId="71" xfId="49" applyNumberFormat="1" applyFont="1" applyFill="1" applyBorder="1" applyProtection="1"/>
    <xf numFmtId="9" fontId="69" fillId="0" borderId="71" xfId="49" quotePrefix="1" applyFont="1" applyFill="1" applyBorder="1" applyAlignment="1" applyProtection="1">
      <alignment horizontal="center" wrapText="1"/>
    </xf>
    <xf numFmtId="0" fontId="8" fillId="0" borderId="0" xfId="0" applyFont="1" applyAlignment="1">
      <alignment wrapText="1"/>
    </xf>
    <xf numFmtId="173" fontId="39" fillId="0" borderId="0" xfId="0" applyNumberFormat="1" applyFont="1" applyAlignment="1">
      <alignment horizontal="center" wrapText="1"/>
    </xf>
    <xf numFmtId="164" fontId="35" fillId="20" borderId="64" xfId="0" applyNumberFormat="1" applyFont="1" applyFill="1" applyBorder="1" applyAlignment="1" applyProtection="1">
      <alignment horizontal="right" vertical="center"/>
    </xf>
    <xf numFmtId="164" fontId="35" fillId="16" borderId="64" xfId="0" applyNumberFormat="1" applyFont="1" applyFill="1" applyBorder="1" applyAlignment="1" applyProtection="1">
      <alignment horizontal="right" vertical="center"/>
    </xf>
    <xf numFmtId="164" fontId="35" fillId="20" borderId="66" xfId="0" applyNumberFormat="1" applyFont="1" applyFill="1" applyBorder="1" applyAlignment="1" applyProtection="1">
      <alignment horizontal="right"/>
    </xf>
    <xf numFmtId="164" fontId="35" fillId="16" borderId="65" xfId="0" applyNumberFormat="1" applyFont="1" applyFill="1" applyBorder="1" applyAlignment="1" applyProtection="1">
      <alignment horizontal="right"/>
    </xf>
    <xf numFmtId="164" fontId="35" fillId="16" borderId="65" xfId="0" applyNumberFormat="1" applyFont="1" applyFill="1" applyBorder="1" applyAlignment="1" applyProtection="1">
      <alignment horizontal="right" vertical="center"/>
    </xf>
    <xf numFmtId="164" fontId="39" fillId="21" borderId="65" xfId="0" applyNumberFormat="1" applyFont="1" applyFill="1" applyBorder="1" applyAlignment="1" applyProtection="1">
      <alignment horizontal="right"/>
    </xf>
    <xf numFmtId="164" fontId="35" fillId="20" borderId="66" xfId="0" applyNumberFormat="1" applyFont="1" applyFill="1" applyBorder="1" applyAlignment="1" applyProtection="1">
      <alignment horizontal="right" vertical="center"/>
    </xf>
    <xf numFmtId="164" fontId="35" fillId="0" borderId="65" xfId="0" applyNumberFormat="1" applyFont="1" applyFill="1" applyBorder="1" applyAlignment="1" applyProtection="1">
      <alignment horizontal="right" vertical="center"/>
    </xf>
    <xf numFmtId="164" fontId="35" fillId="0" borderId="67" xfId="0" applyNumberFormat="1" applyFont="1" applyFill="1" applyBorder="1" applyAlignment="1" applyProtection="1">
      <alignment horizontal="right" vertical="center"/>
    </xf>
    <xf numFmtId="164" fontId="35" fillId="0" borderId="65" xfId="0" applyNumberFormat="1" applyFont="1" applyFill="1" applyBorder="1" applyAlignment="1" applyProtection="1">
      <alignment horizontal="right"/>
    </xf>
    <xf numFmtId="164" fontId="35" fillId="20" borderId="65" xfId="0" applyNumberFormat="1" applyFont="1" applyFill="1" applyBorder="1" applyAlignment="1" applyProtection="1">
      <alignment horizontal="right" vertical="center"/>
    </xf>
    <xf numFmtId="164" fontId="35" fillId="20" borderId="72" xfId="0" applyNumberFormat="1" applyFont="1" applyFill="1" applyBorder="1" applyAlignment="1" applyProtection="1">
      <alignment horizontal="right" vertical="center"/>
    </xf>
    <xf numFmtId="164" fontId="35" fillId="0" borderId="67" xfId="0" applyNumberFormat="1" applyFont="1" applyFill="1" applyBorder="1" applyAlignment="1" applyProtection="1">
      <alignment horizontal="right"/>
    </xf>
    <xf numFmtId="1" fontId="10" fillId="20" borderId="66" xfId="0" applyNumberFormat="1" applyFont="1" applyFill="1" applyBorder="1" applyAlignment="1" applyProtection="1">
      <alignment horizontal="right" vertical="center"/>
    </xf>
    <xf numFmtId="1" fontId="10" fillId="0" borderId="67" xfId="0" applyNumberFormat="1" applyFont="1" applyFill="1" applyBorder="1" applyAlignment="1" applyProtection="1">
      <alignment horizontal="right"/>
    </xf>
    <xf numFmtId="1" fontId="10" fillId="0" borderId="65" xfId="0" applyNumberFormat="1" applyFont="1" applyFill="1" applyBorder="1" applyAlignment="1" applyProtection="1">
      <alignment horizontal="right"/>
    </xf>
    <xf numFmtId="164" fontId="54" fillId="0" borderId="69" xfId="0" applyNumberFormat="1" applyFont="1" applyFill="1" applyBorder="1" applyAlignment="1" applyProtection="1">
      <alignment horizontal="right" vertical="center"/>
    </xf>
    <xf numFmtId="164" fontId="35" fillId="0" borderId="66" xfId="0" applyNumberFormat="1" applyFont="1" applyFill="1" applyBorder="1" applyAlignment="1" applyProtection="1">
      <alignment horizontal="right" vertical="center"/>
    </xf>
    <xf numFmtId="164" fontId="10" fillId="20" borderId="65" xfId="0" applyNumberFormat="1" applyFont="1" applyFill="1" applyBorder="1" applyAlignment="1" applyProtection="1">
      <alignment horizontal="right" vertical="center"/>
    </xf>
    <xf numFmtId="164" fontId="35" fillId="0" borderId="66" xfId="0" applyNumberFormat="1" applyFont="1" applyFill="1" applyBorder="1" applyAlignment="1" applyProtection="1">
      <alignment horizontal="right"/>
    </xf>
    <xf numFmtId="0" fontId="8" fillId="0" borderId="0" xfId="0" applyFont="1"/>
    <xf numFmtId="15" fontId="8" fillId="0" borderId="66" xfId="0" applyNumberFormat="1" applyFont="1" applyFill="1" applyBorder="1" applyAlignment="1" applyProtection="1">
      <alignment horizontal="center" vertical="center"/>
    </xf>
    <xf numFmtId="164" fontId="8" fillId="20" borderId="65" xfId="0" applyNumberFormat="1" applyFont="1" applyFill="1" applyBorder="1" applyAlignment="1" applyProtection="1">
      <alignment horizontal="right" vertical="center"/>
    </xf>
    <xf numFmtId="164" fontId="8" fillId="0" borderId="65" xfId="0" applyNumberFormat="1" applyFont="1" applyFill="1" applyBorder="1" applyAlignment="1" applyProtection="1">
      <alignment horizontal="right"/>
    </xf>
    <xf numFmtId="164" fontId="8" fillId="0" borderId="65" xfId="0" applyNumberFormat="1" applyFont="1" applyFill="1" applyBorder="1" applyAlignment="1" applyProtection="1">
      <alignment horizontal="right" vertical="center"/>
    </xf>
    <xf numFmtId="164" fontId="37" fillId="17" borderId="65" xfId="0" applyNumberFormat="1" applyFont="1" applyFill="1" applyBorder="1" applyAlignment="1" applyProtection="1">
      <alignment horizontal="center" vertical="center"/>
    </xf>
    <xf numFmtId="164" fontId="10" fillId="0" borderId="65" xfId="0" applyNumberFormat="1" applyFont="1" applyFill="1" applyBorder="1" applyAlignment="1" applyProtection="1">
      <alignment horizontal="right" vertical="center"/>
    </xf>
    <xf numFmtId="164" fontId="10" fillId="0" borderId="66" xfId="0" applyNumberFormat="1" applyFont="1" applyFill="1" applyBorder="1" applyAlignment="1" applyProtection="1">
      <alignment horizontal="right" vertical="center"/>
    </xf>
    <xf numFmtId="164" fontId="10" fillId="0" borderId="67" xfId="0" applyNumberFormat="1" applyFont="1" applyFill="1" applyBorder="1" applyAlignment="1" applyProtection="1">
      <alignment horizontal="right" vertical="center"/>
    </xf>
    <xf numFmtId="164" fontId="35" fillId="0" borderId="73" xfId="0" applyNumberFormat="1" applyFont="1" applyFill="1" applyBorder="1" applyAlignment="1" applyProtection="1">
      <alignment horizontal="right" vertical="center"/>
    </xf>
    <xf numFmtId="164" fontId="9" fillId="15" borderId="70" xfId="0" applyNumberFormat="1" applyFont="1" applyFill="1" applyBorder="1" applyAlignment="1" applyProtection="1">
      <alignment horizontal="center"/>
    </xf>
    <xf numFmtId="164" fontId="70" fillId="15" borderId="70" xfId="0" applyNumberFormat="1" applyFont="1" applyFill="1" applyBorder="1" applyAlignment="1" applyProtection="1">
      <alignment horizontal="right"/>
    </xf>
    <xf numFmtId="165" fontId="39" fillId="0" borderId="71" xfId="49" applyNumberFormat="1" applyFont="1" applyFill="1" applyBorder="1" applyProtection="1"/>
    <xf numFmtId="1" fontId="39" fillId="22" borderId="64" xfId="0" applyNumberFormat="1" applyFont="1" applyFill="1" applyBorder="1" applyAlignment="1" applyProtection="1">
      <alignment horizontal="center" vertical="center"/>
    </xf>
    <xf numFmtId="1" fontId="39" fillId="16" borderId="64" xfId="0" applyNumberFormat="1" applyFont="1" applyFill="1" applyBorder="1" applyAlignment="1" applyProtection="1">
      <alignment horizontal="center" vertical="center"/>
    </xf>
    <xf numFmtId="1" fontId="36" fillId="15" borderId="67" xfId="0" applyNumberFormat="1" applyFont="1" applyFill="1" applyBorder="1" applyAlignment="1" applyProtection="1">
      <alignment horizontal="center" wrapText="1"/>
    </xf>
    <xf numFmtId="1" fontId="61" fillId="22" borderId="64" xfId="0" applyNumberFormat="1" applyFont="1" applyFill="1" applyBorder="1" applyAlignment="1" applyProtection="1">
      <alignment horizontal="center" vertical="center"/>
    </xf>
    <xf numFmtId="1" fontId="61" fillId="16" borderId="64" xfId="0" applyNumberFormat="1" applyFont="1" applyFill="1" applyBorder="1" applyAlignment="1" applyProtection="1">
      <alignment horizontal="center" vertical="center"/>
    </xf>
    <xf numFmtId="1" fontId="39" fillId="10" borderId="66" xfId="0" applyNumberFormat="1" applyFont="1" applyFill="1" applyBorder="1" applyAlignment="1" applyProtection="1">
      <alignment horizontal="center"/>
    </xf>
    <xf numFmtId="1" fontId="39" fillId="16" borderId="65" xfId="0" applyNumberFormat="1" applyFont="1" applyFill="1" applyBorder="1" applyAlignment="1" applyProtection="1">
      <alignment horizontal="center"/>
    </xf>
    <xf numFmtId="1" fontId="61" fillId="10" borderId="66" xfId="0" applyNumberFormat="1" applyFont="1" applyFill="1" applyBorder="1" applyAlignment="1" applyProtection="1">
      <alignment horizontal="center"/>
    </xf>
    <xf numFmtId="1" fontId="61" fillId="16" borderId="65" xfId="0" applyNumberFormat="1" applyFont="1" applyFill="1" applyBorder="1" applyAlignment="1" applyProtection="1">
      <alignment horizontal="center"/>
    </xf>
    <xf numFmtId="1" fontId="39" fillId="10" borderId="65" xfId="0" applyNumberFormat="1" applyFont="1" applyFill="1" applyBorder="1" applyAlignment="1" applyProtection="1">
      <alignment horizontal="center"/>
    </xf>
    <xf numFmtId="1" fontId="61" fillId="10" borderId="65" xfId="0" applyNumberFormat="1" applyFont="1" applyFill="1" applyBorder="1" applyAlignment="1" applyProtection="1">
      <alignment horizontal="center"/>
    </xf>
    <xf numFmtId="1" fontId="39" fillId="19" borderId="65" xfId="0" applyNumberFormat="1" applyFont="1" applyFill="1" applyBorder="1" applyAlignment="1" applyProtection="1">
      <alignment horizontal="center"/>
    </xf>
    <xf numFmtId="1" fontId="39" fillId="10" borderId="74" xfId="0" applyNumberFormat="1" applyFont="1" applyFill="1" applyBorder="1" applyAlignment="1" applyProtection="1">
      <alignment horizontal="center"/>
    </xf>
    <xf numFmtId="1" fontId="39" fillId="21" borderId="65" xfId="0" applyNumberFormat="1" applyFont="1" applyFill="1" applyBorder="1" applyAlignment="1" applyProtection="1">
      <alignment horizontal="center"/>
    </xf>
    <xf numFmtId="1" fontId="61" fillId="19" borderId="65" xfId="0" applyNumberFormat="1" applyFont="1" applyFill="1" applyBorder="1" applyAlignment="1" applyProtection="1">
      <alignment horizontal="center"/>
    </xf>
    <xf numFmtId="1" fontId="61" fillId="10" borderId="74" xfId="0" applyNumberFormat="1" applyFont="1" applyFill="1" applyBorder="1" applyAlignment="1" applyProtection="1">
      <alignment horizontal="center"/>
    </xf>
    <xf numFmtId="1" fontId="61" fillId="21" borderId="65" xfId="0" applyNumberFormat="1" applyFont="1" applyFill="1" applyBorder="1" applyAlignment="1" applyProtection="1">
      <alignment horizontal="center"/>
    </xf>
    <xf numFmtId="1" fontId="39" fillId="18" borderId="65" xfId="0" applyNumberFormat="1" applyFont="1" applyFill="1" applyBorder="1" applyAlignment="1" applyProtection="1">
      <alignment horizontal="center" vertical="center"/>
    </xf>
    <xf numFmtId="1" fontId="39" fillId="10" borderId="65" xfId="0" applyNumberFormat="1" applyFont="1" applyFill="1" applyBorder="1" applyAlignment="1" applyProtection="1">
      <alignment horizontal="center" vertical="center"/>
    </xf>
    <xf numFmtId="1" fontId="61" fillId="18" borderId="65" xfId="0" applyNumberFormat="1" applyFont="1" applyFill="1" applyBorder="1" applyAlignment="1" applyProtection="1">
      <alignment horizontal="center" vertical="center"/>
    </xf>
    <xf numFmtId="1" fontId="61" fillId="10" borderId="65" xfId="0" applyNumberFormat="1" applyFont="1" applyFill="1" applyBorder="1" applyAlignment="1" applyProtection="1">
      <alignment horizontal="center" vertical="center"/>
    </xf>
    <xf numFmtId="1" fontId="39" fillId="23" borderId="65" xfId="0" applyNumberFormat="1" applyFont="1" applyFill="1" applyBorder="1" applyAlignment="1" applyProtection="1">
      <alignment horizontal="center" vertical="center"/>
    </xf>
    <xf numFmtId="1" fontId="61" fillId="23" borderId="65" xfId="0" applyNumberFormat="1" applyFont="1" applyFill="1" applyBorder="1" applyAlignment="1" applyProtection="1">
      <alignment horizontal="center" vertical="center"/>
    </xf>
    <xf numFmtId="1" fontId="39" fillId="19" borderId="65" xfId="0" applyNumberFormat="1" applyFont="1" applyFill="1" applyBorder="1" applyAlignment="1" applyProtection="1">
      <alignment horizontal="center" vertical="center"/>
    </xf>
    <xf numFmtId="1" fontId="61" fillId="19" borderId="65" xfId="0" applyNumberFormat="1" applyFont="1" applyFill="1" applyBorder="1" applyAlignment="1" applyProtection="1">
      <alignment horizontal="center" vertical="center"/>
    </xf>
    <xf numFmtId="1" fontId="71" fillId="18" borderId="65" xfId="0" applyNumberFormat="1" applyFont="1" applyFill="1" applyBorder="1" applyAlignment="1" applyProtection="1">
      <alignment horizontal="center" vertical="center"/>
    </xf>
    <xf numFmtId="1" fontId="71" fillId="10" borderId="65" xfId="0" applyNumberFormat="1" applyFont="1" applyFill="1" applyBorder="1" applyAlignment="1" applyProtection="1">
      <alignment horizontal="center" vertical="center"/>
    </xf>
    <xf numFmtId="1" fontId="71" fillId="16" borderId="65" xfId="0" applyNumberFormat="1" applyFont="1" applyFill="1" applyBorder="1" applyAlignment="1" applyProtection="1">
      <alignment horizontal="center"/>
    </xf>
    <xf numFmtId="1" fontId="39" fillId="18" borderId="72" xfId="0" applyNumberFormat="1" applyFont="1" applyFill="1" applyBorder="1" applyAlignment="1" applyProtection="1">
      <alignment horizontal="center" vertical="center"/>
    </xf>
    <xf numFmtId="1" fontId="61" fillId="18" borderId="72" xfId="0" applyNumberFormat="1" applyFont="1" applyFill="1" applyBorder="1" applyAlignment="1" applyProtection="1">
      <alignment horizontal="center" vertical="center"/>
    </xf>
    <xf numFmtId="1" fontId="11" fillId="10" borderId="68" xfId="0" applyNumberFormat="1" applyFont="1" applyFill="1" applyBorder="1" applyAlignment="1" applyProtection="1">
      <alignment horizontal="center" vertical="center"/>
    </xf>
    <xf numFmtId="1" fontId="61" fillId="10" borderId="68" xfId="0" applyNumberFormat="1" applyFont="1" applyFill="1" applyBorder="1" applyAlignment="1" applyProtection="1">
      <alignment horizontal="center" vertical="center"/>
    </xf>
    <xf numFmtId="1" fontId="11" fillId="10" borderId="69" xfId="0" applyNumberFormat="1" applyFont="1" applyFill="1" applyBorder="1" applyAlignment="1" applyProtection="1">
      <alignment horizontal="center" vertical="center"/>
    </xf>
    <xf numFmtId="1" fontId="61" fillId="10" borderId="69" xfId="0" applyNumberFormat="1" applyFont="1" applyFill="1" applyBorder="1" applyAlignment="1" applyProtection="1">
      <alignment horizontal="center" vertical="center"/>
    </xf>
    <xf numFmtId="1" fontId="11" fillId="18" borderId="65" xfId="0" applyNumberFormat="1" applyFont="1" applyFill="1" applyBorder="1" applyAlignment="1" applyProtection="1">
      <alignment horizontal="center" vertical="center"/>
    </xf>
    <xf numFmtId="1" fontId="39" fillId="24" borderId="65" xfId="0" applyNumberFormat="1" applyFont="1" applyFill="1" applyBorder="1" applyAlignment="1" applyProtection="1">
      <alignment horizontal="center"/>
    </xf>
    <xf numFmtId="1" fontId="61" fillId="24" borderId="65" xfId="0" applyNumberFormat="1" applyFont="1" applyFill="1" applyBorder="1" applyAlignment="1" applyProtection="1">
      <alignment horizontal="center"/>
    </xf>
    <xf numFmtId="1" fontId="11" fillId="0" borderId="65" xfId="0" applyNumberFormat="1" applyFont="1" applyFill="1" applyBorder="1" applyAlignment="1" applyProtection="1">
      <alignment horizontal="center" vertical="center"/>
    </xf>
    <xf numFmtId="1" fontId="61" fillId="0" borderId="65" xfId="0" applyNumberFormat="1" applyFont="1" applyFill="1" applyBorder="1" applyAlignment="1" applyProtection="1">
      <alignment horizontal="center" vertical="center"/>
    </xf>
    <xf numFmtId="1" fontId="39" fillId="22" borderId="65" xfId="0" applyNumberFormat="1" applyFont="1" applyFill="1" applyBorder="1" applyAlignment="1" applyProtection="1">
      <alignment horizontal="center" vertical="center"/>
    </xf>
    <xf numFmtId="1" fontId="39" fillId="16" borderId="66" xfId="0" applyNumberFormat="1" applyFont="1" applyFill="1" applyBorder="1" applyAlignment="1" applyProtection="1">
      <alignment horizontal="center"/>
    </xf>
    <xf numFmtId="1" fontId="39" fillId="16" borderId="67" xfId="0" applyNumberFormat="1" applyFont="1" applyFill="1" applyBorder="1" applyAlignment="1" applyProtection="1">
      <alignment horizontal="center"/>
    </xf>
    <xf numFmtId="1" fontId="61" fillId="22" borderId="65" xfId="0" applyNumberFormat="1" applyFont="1" applyFill="1" applyBorder="1" applyAlignment="1" applyProtection="1">
      <alignment horizontal="center" vertical="center"/>
    </xf>
    <xf numFmtId="1" fontId="61" fillId="16" borderId="66" xfId="0" applyNumberFormat="1" applyFont="1" applyFill="1" applyBorder="1" applyAlignment="1" applyProtection="1">
      <alignment horizontal="center"/>
    </xf>
    <xf numFmtId="1" fontId="61" fillId="16" borderId="67" xfId="0" applyNumberFormat="1" applyFont="1" applyFill="1" applyBorder="1" applyAlignment="1" applyProtection="1">
      <alignment horizontal="center"/>
    </xf>
    <xf numFmtId="1" fontId="11" fillId="22" borderId="68" xfId="0" applyNumberFormat="1" applyFont="1" applyFill="1" applyBorder="1" applyAlignment="1" applyProtection="1">
      <alignment horizontal="center" vertical="center"/>
    </xf>
    <xf numFmtId="1" fontId="61" fillId="22" borderId="68" xfId="0" applyNumberFormat="1" applyFont="1" applyFill="1" applyBorder="1" applyAlignment="1" applyProtection="1">
      <alignment horizontal="center" vertical="center"/>
    </xf>
    <xf numFmtId="1" fontId="11" fillId="22" borderId="69" xfId="0" applyNumberFormat="1" applyFont="1" applyFill="1" applyBorder="1" applyAlignment="1" applyProtection="1">
      <alignment horizontal="center" vertical="center"/>
    </xf>
    <xf numFmtId="1" fontId="61" fillId="22" borderId="69" xfId="0" applyNumberFormat="1" applyFont="1" applyFill="1" applyBorder="1" applyAlignment="1" applyProtection="1">
      <alignment horizontal="center" vertical="center"/>
    </xf>
    <xf numFmtId="1" fontId="11" fillId="10" borderId="65" xfId="0" applyNumberFormat="1" applyFont="1" applyFill="1" applyBorder="1" applyAlignment="1" applyProtection="1">
      <alignment horizontal="center" vertical="center"/>
    </xf>
    <xf numFmtId="1" fontId="70" fillId="15" borderId="70" xfId="0" applyNumberFormat="1" applyFont="1" applyFill="1" applyBorder="1" applyAlignment="1" applyProtection="1">
      <alignment horizontal="center"/>
    </xf>
    <xf numFmtId="1" fontId="72" fillId="15" borderId="70" xfId="0" applyNumberFormat="1" applyFont="1" applyFill="1" applyBorder="1" applyAlignment="1" applyProtection="1">
      <alignment horizontal="center"/>
    </xf>
    <xf numFmtId="1" fontId="39" fillId="0" borderId="71" xfId="49" applyNumberFormat="1" applyFont="1" applyBorder="1" applyAlignment="1" applyProtection="1">
      <alignment horizontal="center"/>
    </xf>
    <xf numFmtId="1" fontId="39" fillId="0" borderId="71" xfId="49" applyNumberFormat="1" applyFont="1" applyFill="1" applyBorder="1" applyAlignment="1" applyProtection="1">
      <alignment horizontal="center"/>
    </xf>
    <xf numFmtId="1" fontId="11" fillId="0" borderId="0" xfId="0" applyNumberFormat="1" applyFont="1" applyAlignment="1">
      <alignment horizontal="center"/>
    </xf>
    <xf numFmtId="1" fontId="11" fillId="0" borderId="0" xfId="0" applyNumberFormat="1" applyFont="1" applyFill="1" applyBorder="1" applyAlignment="1" applyProtection="1">
      <alignment horizontal="center" vertical="center"/>
    </xf>
    <xf numFmtId="0" fontId="11" fillId="0" borderId="0" xfId="0" applyFont="1" applyAlignment="1">
      <alignment horizontal="center"/>
    </xf>
    <xf numFmtId="14" fontId="10" fillId="0" borderId="0" xfId="0" applyNumberFormat="1" applyFont="1" applyFill="1" applyBorder="1" applyAlignment="1" applyProtection="1">
      <alignment horizontal="center" vertical="center"/>
    </xf>
    <xf numFmtId="14" fontId="10" fillId="0" borderId="63" xfId="0" applyNumberFormat="1" applyFont="1" applyFill="1" applyBorder="1" applyAlignment="1" applyProtection="1">
      <alignment horizontal="center" vertical="center"/>
    </xf>
    <xf numFmtId="0" fontId="10" fillId="0" borderId="75" xfId="0" applyFont="1" applyBorder="1" applyAlignment="1">
      <alignment horizontal="center"/>
    </xf>
    <xf numFmtId="14" fontId="10" fillId="0" borderId="75" xfId="0" applyNumberFormat="1" applyFont="1" applyFill="1" applyBorder="1" applyAlignment="1" applyProtection="1">
      <alignment horizontal="center" vertical="center"/>
    </xf>
    <xf numFmtId="0" fontId="10" fillId="0" borderId="0" xfId="0" applyFont="1" applyAlignment="1">
      <alignment horizontal="center"/>
    </xf>
    <xf numFmtId="0" fontId="10" fillId="0" borderId="66" xfId="0" applyFont="1" applyBorder="1" applyAlignment="1">
      <alignment horizontal="center"/>
    </xf>
    <xf numFmtId="0" fontId="10" fillId="0" borderId="76" xfId="0" applyFont="1" applyBorder="1" applyAlignment="1">
      <alignment horizontal="center"/>
    </xf>
    <xf numFmtId="0" fontId="65" fillId="0" borderId="0" xfId="0" applyFont="1" applyAlignment="1">
      <alignment horizontal="center"/>
    </xf>
    <xf numFmtId="0" fontId="10" fillId="0" borderId="0" xfId="0" applyFont="1" applyBorder="1" applyAlignment="1">
      <alignment horizontal="center"/>
    </xf>
    <xf numFmtId="0" fontId="10" fillId="0" borderId="63" xfId="0" applyFont="1" applyBorder="1" applyAlignment="1">
      <alignment horizontal="center"/>
    </xf>
    <xf numFmtId="0" fontId="10" fillId="0" borderId="70" xfId="0" applyFont="1" applyBorder="1" applyAlignment="1">
      <alignment horizontal="center"/>
    </xf>
    <xf numFmtId="0" fontId="10" fillId="0" borderId="77" xfId="0" applyFont="1" applyBorder="1" applyAlignment="1">
      <alignment horizontal="center"/>
    </xf>
    <xf numFmtId="0" fontId="10" fillId="0" borderId="71" xfId="0" applyFont="1" applyBorder="1" applyAlignment="1">
      <alignment horizontal="center"/>
    </xf>
    <xf numFmtId="0" fontId="66" fillId="18" borderId="0" xfId="0" applyFont="1" applyFill="1" applyBorder="1" applyAlignment="1">
      <alignment horizontal="center"/>
    </xf>
    <xf numFmtId="0" fontId="40" fillId="18" borderId="0" xfId="0" applyFont="1" applyFill="1" applyBorder="1"/>
    <xf numFmtId="164" fontId="40" fillId="18" borderId="0" xfId="0" applyNumberFormat="1" applyFont="1" applyFill="1" applyBorder="1" applyAlignment="1">
      <alignment horizontal="center"/>
    </xf>
    <xf numFmtId="165" fontId="40" fillId="18" borderId="0" xfId="49" applyNumberFormat="1" applyFont="1" applyFill="1" applyBorder="1" applyAlignment="1"/>
    <xf numFmtId="0" fontId="66" fillId="18" borderId="70" xfId="0" applyFont="1" applyFill="1" applyBorder="1" applyAlignment="1">
      <alignment horizontal="center"/>
    </xf>
    <xf numFmtId="0" fontId="40" fillId="18" borderId="70" xfId="0" applyFont="1" applyFill="1" applyBorder="1"/>
    <xf numFmtId="0" fontId="40" fillId="18" borderId="70" xfId="0" applyFont="1" applyFill="1" applyBorder="1" applyAlignment="1">
      <alignment horizontal="center"/>
    </xf>
    <xf numFmtId="165" fontId="40" fillId="18" borderId="70" xfId="49" applyNumberFormat="1" applyFont="1" applyFill="1" applyBorder="1"/>
    <xf numFmtId="0" fontId="66" fillId="0" borderId="76" xfId="0" applyFont="1" applyBorder="1" applyAlignment="1">
      <alignment horizontal="center"/>
    </xf>
    <xf numFmtId="14" fontId="10" fillId="0" borderId="78" xfId="0" applyNumberFormat="1" applyFont="1" applyFill="1" applyBorder="1" applyAlignment="1" applyProtection="1">
      <alignment horizontal="center" vertical="center"/>
    </xf>
    <xf numFmtId="0" fontId="10" fillId="0" borderId="79" xfId="0" applyFont="1" applyBorder="1" applyAlignment="1">
      <alignment horizontal="center"/>
    </xf>
    <xf numFmtId="0" fontId="10" fillId="0" borderId="80" xfId="0" applyFont="1" applyBorder="1" applyAlignment="1">
      <alignment horizontal="center"/>
    </xf>
    <xf numFmtId="0" fontId="10" fillId="0" borderId="81" xfId="0" applyFont="1" applyBorder="1" applyAlignment="1">
      <alignment horizontal="center"/>
    </xf>
    <xf numFmtId="14" fontId="10" fillId="0" borderId="82" xfId="0" applyNumberFormat="1" applyFont="1" applyFill="1" applyBorder="1" applyAlignment="1" applyProtection="1">
      <alignment horizontal="center" vertical="center"/>
    </xf>
    <xf numFmtId="0" fontId="10" fillId="0" borderId="82" xfId="0" applyFont="1" applyBorder="1" applyAlignment="1">
      <alignment horizontal="center"/>
    </xf>
    <xf numFmtId="0" fontId="35" fillId="0" borderId="0" xfId="0" applyFont="1" applyAlignment="1">
      <alignment horizontal="center"/>
    </xf>
    <xf numFmtId="0" fontId="11" fillId="14" borderId="63" xfId="0" applyFont="1" applyFill="1" applyBorder="1" applyAlignment="1">
      <alignment horizontal="center"/>
    </xf>
    <xf numFmtId="0" fontId="39" fillId="14" borderId="75" xfId="0" applyFont="1" applyFill="1" applyBorder="1" applyAlignment="1"/>
    <xf numFmtId="0" fontId="39" fillId="14" borderId="75" xfId="0" applyFont="1" applyFill="1" applyBorder="1" applyAlignment="1">
      <alignment horizontal="center"/>
    </xf>
    <xf numFmtId="1" fontId="39" fillId="14" borderId="75" xfId="0" applyNumberFormat="1" applyFont="1" applyFill="1" applyBorder="1" applyAlignment="1"/>
    <xf numFmtId="0" fontId="35" fillId="0" borderId="0" xfId="0" applyFont="1" applyAlignment="1"/>
    <xf numFmtId="14" fontId="35" fillId="0" borderId="75" xfId="0" applyNumberFormat="1" applyFont="1" applyBorder="1" applyAlignment="1"/>
    <xf numFmtId="164" fontId="35" fillId="0" borderId="75" xfId="0" applyNumberFormat="1" applyFont="1" applyBorder="1" applyAlignment="1">
      <alignment horizontal="center"/>
    </xf>
    <xf numFmtId="1" fontId="35" fillId="0" borderId="75" xfId="0" applyNumberFormat="1" applyFont="1" applyBorder="1" applyAlignment="1"/>
    <xf numFmtId="164" fontId="35" fillId="0" borderId="0" xfId="0" applyNumberFormat="1" applyFont="1" applyAlignment="1"/>
    <xf numFmtId="164" fontId="35" fillId="0" borderId="0" xfId="0" applyNumberFormat="1" applyFont="1" applyBorder="1" applyAlignment="1">
      <alignment horizontal="center"/>
    </xf>
    <xf numFmtId="1" fontId="35" fillId="0" borderId="0" xfId="0" applyNumberFormat="1" applyFont="1" applyBorder="1" applyAlignment="1"/>
    <xf numFmtId="164" fontId="35" fillId="0" borderId="0" xfId="0" applyNumberFormat="1" applyFont="1" applyBorder="1" applyAlignment="1"/>
    <xf numFmtId="1" fontId="39" fillId="19" borderId="75" xfId="0" applyNumberFormat="1" applyFont="1" applyFill="1" applyBorder="1" applyAlignment="1"/>
    <xf numFmtId="0" fontId="35" fillId="0" borderId="75" xfId="0" applyFont="1" applyBorder="1"/>
    <xf numFmtId="1" fontId="35" fillId="0" borderId="75" xfId="0" applyNumberFormat="1" applyFont="1" applyBorder="1" applyAlignment="1">
      <alignment horizontal="center"/>
    </xf>
    <xf numFmtId="0" fontId="35" fillId="0" borderId="0" xfId="0" applyFont="1" applyBorder="1" applyAlignment="1">
      <alignment horizontal="center"/>
    </xf>
    <xf numFmtId="0" fontId="35" fillId="0" borderId="70" xfId="0" applyFont="1" applyBorder="1"/>
    <xf numFmtId="1" fontId="35" fillId="0" borderId="70" xfId="0" applyNumberFormat="1" applyFont="1" applyBorder="1"/>
    <xf numFmtId="0" fontId="11" fillId="20" borderId="83" xfId="0" applyFont="1" applyFill="1" applyBorder="1" applyAlignment="1">
      <alignment horizontal="center"/>
    </xf>
    <xf numFmtId="0" fontId="39" fillId="20" borderId="84" xfId="0" applyFont="1" applyFill="1" applyBorder="1" applyAlignment="1"/>
    <xf numFmtId="0" fontId="39" fillId="20" borderId="84" xfId="0" applyFont="1" applyFill="1" applyBorder="1" applyAlignment="1">
      <alignment horizontal="center"/>
    </xf>
    <xf numFmtId="1" fontId="39" fillId="20" borderId="84" xfId="0" applyNumberFormat="1" applyFont="1" applyFill="1" applyBorder="1" applyAlignment="1"/>
    <xf numFmtId="0" fontId="10" fillId="20" borderId="0" xfId="0" applyFont="1" applyFill="1" applyBorder="1" applyAlignment="1">
      <alignment horizontal="center"/>
    </xf>
    <xf numFmtId="0" fontId="35" fillId="20" borderId="0" xfId="0" applyFont="1" applyFill="1" applyBorder="1"/>
    <xf numFmtId="1" fontId="35" fillId="20" borderId="0" xfId="0" applyNumberFormat="1" applyFont="1" applyFill="1" applyBorder="1" applyAlignment="1">
      <alignment horizontal="center"/>
    </xf>
    <xf numFmtId="1" fontId="35" fillId="20" borderId="0" xfId="0" applyNumberFormat="1" applyFont="1" applyFill="1" applyBorder="1" applyAlignment="1"/>
    <xf numFmtId="164" fontId="35" fillId="20" borderId="0" xfId="0" applyNumberFormat="1" applyFont="1" applyFill="1" applyBorder="1" applyAlignment="1"/>
    <xf numFmtId="14" fontId="35" fillId="20" borderId="0" xfId="0" applyNumberFormat="1" applyFont="1" applyFill="1" applyBorder="1" applyAlignment="1"/>
    <xf numFmtId="164" fontId="35" fillId="20" borderId="0" xfId="0" applyNumberFormat="1" applyFont="1" applyFill="1" applyBorder="1" applyAlignment="1">
      <alignment horizontal="center"/>
    </xf>
    <xf numFmtId="0" fontId="35" fillId="0" borderId="75" xfId="0" applyFont="1" applyBorder="1" applyAlignment="1">
      <alignment horizontal="center"/>
    </xf>
    <xf numFmtId="1" fontId="35" fillId="0" borderId="0" xfId="0" applyNumberFormat="1" applyFont="1" applyBorder="1" applyAlignment="1">
      <alignment horizontal="center"/>
    </xf>
    <xf numFmtId="0" fontId="35" fillId="0" borderId="71" xfId="0" applyFont="1" applyBorder="1"/>
    <xf numFmtId="1" fontId="35" fillId="0" borderId="71" xfId="0" applyNumberFormat="1" applyFont="1" applyBorder="1" applyAlignment="1"/>
    <xf numFmtId="0" fontId="11" fillId="20" borderId="85" xfId="0" applyFont="1" applyFill="1" applyBorder="1" applyAlignment="1">
      <alignment horizontal="center"/>
    </xf>
    <xf numFmtId="0" fontId="39" fillId="20" borderId="86" xfId="0" applyFont="1" applyFill="1" applyBorder="1" applyAlignment="1"/>
    <xf numFmtId="0" fontId="39" fillId="20" borderId="86" xfId="0" applyFont="1" applyFill="1" applyBorder="1" applyAlignment="1">
      <alignment horizontal="center"/>
    </xf>
    <xf numFmtId="1" fontId="39" fillId="20" borderId="86" xfId="0" applyNumberFormat="1" applyFont="1" applyFill="1" applyBorder="1" applyAlignment="1"/>
    <xf numFmtId="0" fontId="35" fillId="0" borderId="79" xfId="0" applyFont="1" applyBorder="1"/>
    <xf numFmtId="164" fontId="35" fillId="0" borderId="79" xfId="0" applyNumberFormat="1" applyFont="1" applyBorder="1" applyAlignment="1">
      <alignment horizontal="center"/>
    </xf>
    <xf numFmtId="1" fontId="35" fillId="0" borderId="79" xfId="0" applyNumberFormat="1" applyFont="1" applyBorder="1" applyAlignment="1"/>
    <xf numFmtId="0" fontId="35" fillId="0" borderId="81" xfId="0" applyFont="1" applyBorder="1"/>
    <xf numFmtId="164" fontId="35" fillId="0" borderId="81" xfId="0" applyNumberFormat="1" applyFont="1" applyBorder="1" applyAlignment="1">
      <alignment horizontal="center"/>
    </xf>
    <xf numFmtId="1" fontId="35" fillId="0" borderId="81" xfId="0" applyNumberFormat="1" applyFont="1" applyBorder="1" applyAlignment="1"/>
    <xf numFmtId="14" fontId="35" fillId="0" borderId="79" xfId="0" applyNumberFormat="1" applyFont="1" applyBorder="1" applyAlignment="1"/>
    <xf numFmtId="164" fontId="35" fillId="0" borderId="79" xfId="0" applyNumberFormat="1" applyFont="1" applyBorder="1" applyAlignment="1"/>
    <xf numFmtId="2" fontId="39" fillId="10" borderId="79" xfId="0" applyNumberFormat="1" applyFont="1" applyFill="1" applyBorder="1" applyAlignment="1"/>
    <xf numFmtId="164" fontId="35" fillId="0" borderId="81" xfId="0" applyNumberFormat="1" applyFont="1" applyBorder="1" applyAlignment="1"/>
    <xf numFmtId="0" fontId="11" fillId="20" borderId="87" xfId="0" applyFont="1" applyFill="1" applyBorder="1" applyAlignment="1">
      <alignment horizontal="center"/>
    </xf>
    <xf numFmtId="0" fontId="39" fillId="20" borderId="88" xfId="0" applyFont="1" applyFill="1" applyBorder="1" applyAlignment="1"/>
    <xf numFmtId="0" fontId="39" fillId="20" borderId="88" xfId="0" applyFont="1" applyFill="1" applyBorder="1" applyAlignment="1">
      <alignment horizontal="center"/>
    </xf>
    <xf numFmtId="1" fontId="39" fillId="20" borderId="88" xfId="0" applyNumberFormat="1" applyFont="1" applyFill="1" applyBorder="1" applyAlignment="1"/>
    <xf numFmtId="0" fontId="10" fillId="14" borderId="0" xfId="0" applyFont="1" applyFill="1" applyBorder="1" applyAlignment="1">
      <alignment horizontal="center"/>
    </xf>
    <xf numFmtId="14" fontId="35" fillId="14" borderId="0" xfId="0" applyNumberFormat="1" applyFont="1" applyFill="1" applyBorder="1" applyAlignment="1"/>
    <xf numFmtId="164" fontId="35" fillId="14" borderId="0" xfId="0" applyNumberFormat="1" applyFont="1" applyFill="1" applyBorder="1" applyAlignment="1">
      <alignment horizontal="center"/>
    </xf>
    <xf numFmtId="1" fontId="35" fillId="14" borderId="0" xfId="0" applyNumberFormat="1" applyFont="1" applyFill="1" applyBorder="1" applyAlignment="1"/>
    <xf numFmtId="0" fontId="35" fillId="14" borderId="0" xfId="0" applyFont="1" applyFill="1" applyBorder="1"/>
    <xf numFmtId="1" fontId="35" fillId="14" borderId="0" xfId="0" applyNumberFormat="1" applyFont="1" applyFill="1" applyBorder="1" applyAlignment="1">
      <alignment horizontal="center"/>
    </xf>
    <xf numFmtId="0" fontId="10" fillId="14" borderId="75" xfId="0" applyFont="1" applyFill="1" applyBorder="1" applyAlignment="1">
      <alignment horizontal="center"/>
    </xf>
    <xf numFmtId="14" fontId="35" fillId="14" borderId="75" xfId="0" applyNumberFormat="1" applyFont="1" applyFill="1" applyBorder="1" applyAlignment="1"/>
    <xf numFmtId="164" fontId="35" fillId="14" borderId="75" xfId="0" applyNumberFormat="1" applyFont="1" applyFill="1" applyBorder="1" applyAlignment="1">
      <alignment horizontal="center"/>
    </xf>
    <xf numFmtId="1" fontId="35" fillId="14" borderId="75" xfId="0" applyNumberFormat="1" applyFont="1" applyFill="1" applyBorder="1" applyAlignment="1"/>
    <xf numFmtId="14" fontId="10" fillId="0" borderId="83" xfId="0" applyNumberFormat="1" applyFont="1" applyFill="1" applyBorder="1" applyAlignment="1" applyProtection="1">
      <alignment horizontal="center" vertical="center"/>
    </xf>
    <xf numFmtId="0" fontId="10" fillId="0" borderId="84" xfId="0" applyFont="1" applyBorder="1" applyAlignment="1">
      <alignment horizontal="center"/>
    </xf>
    <xf numFmtId="0" fontId="35" fillId="0" borderId="84" xfId="0" applyFont="1" applyBorder="1"/>
    <xf numFmtId="164" fontId="35" fillId="0" borderId="84" xfId="0" applyNumberFormat="1" applyFont="1" applyBorder="1" applyAlignment="1">
      <alignment horizontal="center"/>
    </xf>
    <xf numFmtId="1" fontId="35" fillId="0" borderId="84" xfId="0" applyNumberFormat="1" applyFont="1" applyBorder="1" applyAlignment="1"/>
    <xf numFmtId="2" fontId="35" fillId="0" borderId="84" xfId="0" applyNumberFormat="1" applyFont="1" applyBorder="1" applyAlignment="1"/>
    <xf numFmtId="0" fontId="10" fillId="0" borderId="78" xfId="0" applyFont="1" applyBorder="1" applyAlignment="1">
      <alignment horizontal="center"/>
    </xf>
    <xf numFmtId="0" fontId="35" fillId="0" borderId="79" xfId="0" applyFont="1" applyBorder="1" applyAlignment="1">
      <alignment horizontal="center"/>
    </xf>
    <xf numFmtId="1" fontId="35" fillId="0" borderId="81" xfId="0" applyNumberFormat="1" applyFont="1" applyBorder="1" applyAlignment="1">
      <alignment horizontal="center"/>
    </xf>
    <xf numFmtId="2" fontId="35" fillId="0" borderId="81" xfId="0" applyNumberFormat="1" applyFont="1" applyBorder="1" applyAlignment="1"/>
    <xf numFmtId="1" fontId="35" fillId="0" borderId="70" xfId="0" applyNumberFormat="1" applyFont="1" applyBorder="1" applyAlignment="1">
      <alignment horizontal="center"/>
    </xf>
    <xf numFmtId="1" fontId="40" fillId="18" borderId="70" xfId="0" applyNumberFormat="1" applyFont="1" applyFill="1" applyBorder="1" applyAlignment="1">
      <alignment horizontal="center"/>
    </xf>
    <xf numFmtId="0" fontId="10" fillId="0" borderId="76" xfId="0" quotePrefix="1" applyFont="1" applyBorder="1" applyAlignment="1">
      <alignment horizontal="center"/>
    </xf>
    <xf numFmtId="0" fontId="10" fillId="14" borderId="0" xfId="0" applyFont="1" applyFill="1" applyAlignment="1">
      <alignment horizontal="center"/>
    </xf>
    <xf numFmtId="0" fontId="35" fillId="14" borderId="0" xfId="0" applyFont="1" applyFill="1"/>
    <xf numFmtId="0" fontId="35" fillId="14" borderId="0" xfId="0" applyFont="1" applyFill="1" applyAlignment="1">
      <alignment horizontal="center"/>
    </xf>
    <xf numFmtId="164" fontId="35" fillId="14" borderId="0" xfId="0" applyNumberFormat="1" applyFont="1" applyFill="1"/>
    <xf numFmtId="0" fontId="10" fillId="0" borderId="75" xfId="0" applyFont="1" applyFill="1" applyBorder="1" applyAlignment="1">
      <alignment horizontal="center"/>
    </xf>
    <xf numFmtId="14" fontId="35" fillId="0" borderId="0" xfId="0" applyNumberFormat="1" applyFont="1" applyFill="1" applyBorder="1" applyAlignment="1" applyProtection="1">
      <alignment horizontal="center" vertical="center"/>
    </xf>
    <xf numFmtId="0" fontId="11" fillId="14" borderId="77" xfId="0" applyFont="1" applyFill="1" applyBorder="1" applyAlignment="1">
      <alignment horizontal="center"/>
    </xf>
    <xf numFmtId="0" fontId="39" fillId="14" borderId="71" xfId="0" applyFont="1" applyFill="1" applyBorder="1" applyAlignment="1"/>
    <xf numFmtId="0" fontId="39" fillId="14" borderId="71" xfId="0" applyFont="1" applyFill="1" applyBorder="1" applyAlignment="1">
      <alignment horizontal="center"/>
    </xf>
    <xf numFmtId="1" fontId="39" fillId="14" borderId="71" xfId="0" applyNumberFormat="1" applyFont="1" applyFill="1" applyBorder="1" applyAlignment="1"/>
    <xf numFmtId="14" fontId="35" fillId="0" borderId="63" xfId="0" applyNumberFormat="1" applyFont="1" applyFill="1" applyBorder="1" applyAlignment="1" applyProtection="1">
      <alignment horizontal="center" vertical="center"/>
    </xf>
    <xf numFmtId="164" fontId="35" fillId="0" borderId="75" xfId="0" applyNumberFormat="1" applyFont="1" applyBorder="1" applyAlignment="1"/>
    <xf numFmtId="164" fontId="39" fillId="19" borderId="75" xfId="0" applyNumberFormat="1" applyFont="1" applyFill="1" applyBorder="1" applyAlignment="1"/>
    <xf numFmtId="14" fontId="35" fillId="0" borderId="66" xfId="0" applyNumberFormat="1" applyFont="1" applyFill="1" applyBorder="1" applyAlignment="1" applyProtection="1">
      <alignment horizontal="center" vertical="center"/>
    </xf>
    <xf numFmtId="14" fontId="35" fillId="0" borderId="0" xfId="0" applyNumberFormat="1" applyFont="1" applyBorder="1" applyAlignment="1"/>
    <xf numFmtId="14" fontId="35" fillId="0" borderId="75" xfId="0" applyNumberFormat="1" applyFont="1" applyFill="1" applyBorder="1" applyAlignment="1" applyProtection="1">
      <alignment horizontal="center" vertical="center"/>
    </xf>
    <xf numFmtId="164" fontId="35" fillId="14" borderId="75" xfId="0" applyNumberFormat="1" applyFont="1" applyFill="1" applyBorder="1" applyAlignment="1"/>
    <xf numFmtId="14" fontId="35" fillId="0" borderId="0" xfId="0" applyNumberFormat="1" applyFont="1" applyAlignment="1"/>
    <xf numFmtId="14" fontId="35" fillId="0" borderId="0" xfId="0" applyNumberFormat="1" applyFont="1" applyAlignment="1">
      <alignment horizontal="center"/>
    </xf>
    <xf numFmtId="2" fontId="35" fillId="0" borderId="0" xfId="0" applyNumberFormat="1" applyFont="1" applyAlignment="1"/>
    <xf numFmtId="14" fontId="35" fillId="0" borderId="77" xfId="0" applyNumberFormat="1" applyFont="1" applyFill="1" applyBorder="1" applyAlignment="1" applyProtection="1">
      <alignment horizontal="center" vertical="center"/>
    </xf>
    <xf numFmtId="14" fontId="35" fillId="0" borderId="71" xfId="0" applyNumberFormat="1" applyFont="1" applyBorder="1" applyAlignment="1"/>
    <xf numFmtId="164" fontId="35" fillId="0" borderId="71" xfId="0" applyNumberFormat="1" applyFont="1" applyBorder="1" applyAlignment="1">
      <alignment horizontal="center"/>
    </xf>
    <xf numFmtId="164" fontId="39" fillId="0" borderId="0" xfId="0" applyNumberFormat="1" applyFont="1" applyBorder="1" applyAlignment="1"/>
    <xf numFmtId="0" fontId="39" fillId="0" borderId="0" xfId="0" applyFont="1" applyBorder="1" applyAlignment="1"/>
    <xf numFmtId="14" fontId="35" fillId="0" borderId="78" xfId="0" applyNumberFormat="1" applyFont="1" applyFill="1" applyBorder="1" applyAlignment="1" applyProtection="1">
      <alignment horizontal="center" vertical="center"/>
    </xf>
    <xf numFmtId="14" fontId="35" fillId="0" borderId="89" xfId="0" applyNumberFormat="1" applyFont="1" applyFill="1" applyBorder="1" applyAlignment="1" applyProtection="1">
      <alignment horizontal="center" vertical="center"/>
    </xf>
    <xf numFmtId="14" fontId="35" fillId="0" borderId="80" xfId="0" applyNumberFormat="1" applyFont="1" applyFill="1" applyBorder="1" applyAlignment="1" applyProtection="1">
      <alignment horizontal="center" vertical="center"/>
    </xf>
    <xf numFmtId="14" fontId="35" fillId="0" borderId="81" xfId="0" applyNumberFormat="1" applyFont="1" applyBorder="1" applyAlignment="1"/>
    <xf numFmtId="14" fontId="35" fillId="0" borderId="87" xfId="0" applyNumberFormat="1" applyFont="1" applyFill="1" applyBorder="1" applyAlignment="1" applyProtection="1">
      <alignment horizontal="center" vertical="center"/>
    </xf>
    <xf numFmtId="164" fontId="35" fillId="14" borderId="0" xfId="0" applyNumberFormat="1" applyFont="1" applyFill="1" applyBorder="1" applyAlignment="1"/>
    <xf numFmtId="164" fontId="39" fillId="14" borderId="0" xfId="0" applyNumberFormat="1" applyFont="1" applyFill="1" applyBorder="1" applyAlignment="1"/>
    <xf numFmtId="164" fontId="39" fillId="20" borderId="0" xfId="0" applyNumberFormat="1" applyFont="1" applyFill="1" applyBorder="1" applyAlignment="1"/>
    <xf numFmtId="2" fontId="39" fillId="12" borderId="0" xfId="0" applyNumberFormat="1" applyFont="1" applyFill="1" applyBorder="1" applyAlignment="1">
      <alignment horizontal="right"/>
    </xf>
    <xf numFmtId="0" fontId="11" fillId="12" borderId="0" xfId="0" applyFont="1" applyFill="1" applyBorder="1" applyAlignment="1">
      <alignment horizontal="center"/>
    </xf>
    <xf numFmtId="14" fontId="39" fillId="12" borderId="0" xfId="0" applyNumberFormat="1" applyFont="1" applyFill="1" applyBorder="1" applyAlignment="1"/>
    <xf numFmtId="164" fontId="39" fillId="12" borderId="0" xfId="0" applyNumberFormat="1" applyFont="1" applyFill="1" applyBorder="1" applyAlignment="1">
      <alignment horizontal="center"/>
    </xf>
    <xf numFmtId="0" fontId="10" fillId="12" borderId="0" xfId="0" applyFont="1" applyFill="1" applyBorder="1" applyAlignment="1">
      <alignment horizontal="center"/>
    </xf>
    <xf numFmtId="14" fontId="35" fillId="12" borderId="0" xfId="0" applyNumberFormat="1" applyFont="1" applyFill="1" applyBorder="1" applyAlignment="1"/>
    <xf numFmtId="164" fontId="35" fillId="12" borderId="0" xfId="0" applyNumberFormat="1" applyFont="1" applyFill="1" applyBorder="1" applyAlignment="1">
      <alignment horizontal="center"/>
    </xf>
    <xf numFmtId="164" fontId="35" fillId="12" borderId="0" xfId="0" applyNumberFormat="1" applyFont="1" applyFill="1" applyBorder="1" applyAlignment="1"/>
    <xf numFmtId="14" fontId="35" fillId="0" borderId="52" xfId="0" applyNumberFormat="1" applyFont="1" applyFill="1" applyBorder="1" applyAlignment="1" applyProtection="1">
      <alignment horizontal="center" vertical="center"/>
    </xf>
    <xf numFmtId="0" fontId="10" fillId="0" borderId="39" xfId="0" applyFont="1" applyFill="1" applyBorder="1" applyAlignment="1">
      <alignment horizontal="center"/>
    </xf>
    <xf numFmtId="14" fontId="35" fillId="0" borderId="39" xfId="0" applyNumberFormat="1" applyFont="1" applyFill="1" applyBorder="1" applyAlignment="1"/>
    <xf numFmtId="164" fontId="35" fillId="0" borderId="39" xfId="0" applyNumberFormat="1" applyFont="1" applyFill="1" applyBorder="1" applyAlignment="1">
      <alignment horizontal="center"/>
    </xf>
    <xf numFmtId="0" fontId="11" fillId="12" borderId="52" xfId="0" applyFont="1" applyFill="1" applyBorder="1" applyAlignment="1">
      <alignment horizontal="center"/>
    </xf>
    <xf numFmtId="0" fontId="39" fillId="12" borderId="39" xfId="0" applyFont="1" applyFill="1" applyBorder="1" applyAlignment="1"/>
    <xf numFmtId="0" fontId="39" fillId="12" borderId="39" xfId="0" applyFont="1" applyFill="1" applyBorder="1" applyAlignment="1">
      <alignment horizontal="center"/>
    </xf>
    <xf numFmtId="1" fontId="39" fillId="12" borderId="39" xfId="0" applyNumberFormat="1" applyFont="1" applyFill="1" applyBorder="1" applyAlignment="1"/>
    <xf numFmtId="0" fontId="11" fillId="12" borderId="18" xfId="0" applyFont="1" applyFill="1" applyBorder="1" applyAlignment="1">
      <alignment horizontal="center"/>
    </xf>
    <xf numFmtId="0" fontId="39" fillId="12" borderId="16" xfId="0" applyFont="1" applyFill="1" applyBorder="1" applyAlignment="1"/>
    <xf numFmtId="0" fontId="39" fillId="12" borderId="16" xfId="0" applyFont="1" applyFill="1" applyBorder="1" applyAlignment="1">
      <alignment horizontal="center"/>
    </xf>
    <xf numFmtId="1" fontId="39" fillId="12" borderId="16" xfId="0" applyNumberFormat="1" applyFont="1" applyFill="1" applyBorder="1" applyAlignment="1"/>
    <xf numFmtId="14" fontId="35" fillId="0" borderId="18" xfId="0" applyNumberFormat="1" applyFont="1" applyFill="1" applyBorder="1" applyAlignment="1" applyProtection="1">
      <alignment horizontal="center" vertical="center"/>
    </xf>
    <xf numFmtId="0" fontId="10" fillId="0" borderId="16" xfId="0" applyFont="1" applyBorder="1" applyAlignment="1">
      <alignment horizontal="center"/>
    </xf>
    <xf numFmtId="14" fontId="35" fillId="0" borderId="16" xfId="0" applyNumberFormat="1" applyFont="1" applyBorder="1" applyAlignment="1"/>
    <xf numFmtId="164" fontId="35" fillId="0" borderId="16" xfId="0" applyNumberFormat="1" applyFont="1" applyBorder="1" applyAlignment="1">
      <alignment horizontal="center"/>
    </xf>
    <xf numFmtId="14" fontId="35" fillId="0" borderId="2" xfId="0" applyNumberFormat="1" applyFont="1" applyFill="1" applyBorder="1" applyAlignment="1" applyProtection="1">
      <alignment horizontal="center" vertical="center"/>
    </xf>
    <xf numFmtId="14" fontId="35" fillId="0" borderId="35" xfId="0" applyNumberFormat="1" applyFont="1" applyFill="1" applyBorder="1" applyAlignment="1" applyProtection="1">
      <alignment horizontal="center" vertical="center"/>
    </xf>
    <xf numFmtId="0" fontId="10" fillId="0" borderId="29" xfId="0" applyFont="1" applyBorder="1" applyAlignment="1">
      <alignment horizontal="center"/>
    </xf>
    <xf numFmtId="14" fontId="35" fillId="0" borderId="29" xfId="0" applyNumberFormat="1" applyFont="1" applyBorder="1" applyAlignment="1"/>
    <xf numFmtId="164" fontId="35" fillId="0" borderId="29" xfId="0" applyNumberFormat="1" applyFont="1" applyBorder="1" applyAlignment="1">
      <alignment horizontal="center"/>
    </xf>
    <xf numFmtId="0" fontId="75" fillId="0" borderId="0" xfId="0" applyFont="1" applyBorder="1" applyAlignment="1">
      <alignment horizontal="center"/>
    </xf>
    <xf numFmtId="14" fontId="62" fillId="0" borderId="0" xfId="0" applyNumberFormat="1" applyFont="1" applyBorder="1" applyAlignment="1"/>
    <xf numFmtId="0" fontId="10" fillId="0" borderId="88" xfId="0" applyFont="1" applyBorder="1" applyAlignment="1">
      <alignment horizontal="center"/>
    </xf>
    <xf numFmtId="14" fontId="35" fillId="0" borderId="88" xfId="0" applyNumberFormat="1" applyFont="1" applyBorder="1" applyAlignment="1"/>
    <xf numFmtId="164" fontId="35" fillId="0" borderId="88" xfId="0" applyNumberFormat="1" applyFont="1" applyBorder="1" applyAlignment="1">
      <alignment horizontal="center"/>
    </xf>
    <xf numFmtId="164" fontId="35" fillId="0" borderId="88" xfId="0" applyNumberFormat="1" applyFont="1" applyBorder="1" applyAlignment="1"/>
    <xf numFmtId="164" fontId="62" fillId="0" borderId="0" xfId="0" applyNumberFormat="1" applyFont="1" applyBorder="1" applyAlignment="1"/>
    <xf numFmtId="165" fontId="35" fillId="0" borderId="16" xfId="49" applyNumberFormat="1" applyFont="1" applyBorder="1" applyAlignment="1"/>
    <xf numFmtId="165" fontId="35" fillId="0" borderId="0" xfId="49" applyNumberFormat="1" applyFont="1" applyBorder="1" applyAlignment="1"/>
    <xf numFmtId="165" fontId="35" fillId="0" borderId="29" xfId="49" applyNumberFormat="1" applyFont="1" applyBorder="1" applyAlignment="1"/>
    <xf numFmtId="165" fontId="35" fillId="12" borderId="0" xfId="49" applyNumberFormat="1" applyFont="1" applyFill="1" applyBorder="1" applyAlignment="1"/>
    <xf numFmtId="14" fontId="35" fillId="0" borderId="76" xfId="0" applyNumberFormat="1" applyFont="1" applyFill="1" applyBorder="1" applyAlignment="1" applyProtection="1">
      <alignment horizontal="center" vertical="center"/>
    </xf>
    <xf numFmtId="0" fontId="39" fillId="0" borderId="0" xfId="0" applyFont="1" applyAlignment="1"/>
    <xf numFmtId="164" fontId="39" fillId="14" borderId="75" xfId="0" applyNumberFormat="1" applyFont="1" applyFill="1" applyBorder="1" applyAlignment="1"/>
    <xf numFmtId="164" fontId="39" fillId="0" borderId="0" xfId="0" applyNumberFormat="1" applyFont="1" applyAlignment="1"/>
    <xf numFmtId="164" fontId="39" fillId="0" borderId="75" xfId="0" applyNumberFormat="1" applyFont="1" applyBorder="1" applyAlignment="1"/>
    <xf numFmtId="0" fontId="11" fillId="22" borderId="13" xfId="0" applyFont="1" applyFill="1" applyBorder="1" applyAlignment="1">
      <alignment horizontal="center"/>
    </xf>
    <xf numFmtId="2" fontId="39" fillId="0" borderId="0" xfId="0" applyNumberFormat="1" applyFont="1" applyAlignment="1"/>
    <xf numFmtId="167" fontId="35" fillId="0" borderId="0" xfId="0" applyNumberFormat="1" applyFont="1" applyAlignment="1"/>
    <xf numFmtId="0" fontId="81" fillId="0" borderId="0" xfId="0" applyFont="1"/>
    <xf numFmtId="0" fontId="82" fillId="0" borderId="0" xfId="0" applyFont="1"/>
    <xf numFmtId="0" fontId="58" fillId="0" borderId="0" xfId="0" applyFont="1"/>
    <xf numFmtId="0" fontId="83" fillId="0" borderId="0" xfId="0" applyFont="1" applyProtection="1">
      <protection locked="0"/>
    </xf>
    <xf numFmtId="14" fontId="0" fillId="0" borderId="0" xfId="0" applyNumberFormat="1" applyAlignment="1" applyProtection="1">
      <alignment horizontal="center"/>
      <protection locked="0"/>
    </xf>
    <xf numFmtId="0" fontId="0" fillId="0" borderId="0" xfId="0" applyProtection="1">
      <protection locked="0"/>
    </xf>
    <xf numFmtId="0" fontId="20" fillId="0" borderId="0" xfId="31" applyAlignment="1" applyProtection="1">
      <protection locked="0"/>
    </xf>
    <xf numFmtId="1" fontId="35" fillId="12" borderId="0" xfId="0" applyNumberFormat="1" applyFont="1" applyFill="1" applyBorder="1" applyAlignment="1"/>
    <xf numFmtId="0" fontId="11" fillId="12" borderId="90" xfId="0" applyFont="1" applyFill="1" applyBorder="1" applyAlignment="1">
      <alignment horizontal="center"/>
    </xf>
    <xf numFmtId="0" fontId="39" fillId="12" borderId="91" xfId="0" applyFont="1" applyFill="1" applyBorder="1" applyAlignment="1"/>
    <xf numFmtId="0" fontId="39" fillId="12" borderId="91" xfId="0" applyFont="1" applyFill="1" applyBorder="1" applyAlignment="1">
      <alignment horizontal="center"/>
    </xf>
    <xf numFmtId="1" fontId="39" fillId="12" borderId="91" xfId="0" applyNumberFormat="1" applyFont="1" applyFill="1" applyBorder="1" applyAlignment="1"/>
    <xf numFmtId="14" fontId="10" fillId="0" borderId="90" xfId="0" applyNumberFormat="1" applyFont="1" applyFill="1" applyBorder="1" applyAlignment="1" applyProtection="1">
      <alignment horizontal="center" vertical="center"/>
    </xf>
    <xf numFmtId="0" fontId="10" fillId="0" borderId="91" xfId="0" applyFont="1" applyBorder="1" applyAlignment="1">
      <alignment horizontal="center"/>
    </xf>
    <xf numFmtId="14" fontId="35" fillId="0" borderId="91" xfId="0" applyNumberFormat="1" applyFont="1" applyBorder="1" applyAlignment="1"/>
    <xf numFmtId="164" fontId="35" fillId="0" borderId="91" xfId="0" applyNumberFormat="1" applyFont="1" applyBorder="1" applyAlignment="1">
      <alignment horizontal="center"/>
    </xf>
    <xf numFmtId="1" fontId="35" fillId="0" borderId="91" xfId="0" applyNumberFormat="1" applyFont="1" applyBorder="1" applyAlignment="1"/>
    <xf numFmtId="0" fontId="10" fillId="0" borderId="92" xfId="0" applyFont="1" applyBorder="1" applyAlignment="1">
      <alignment horizontal="center"/>
    </xf>
    <xf numFmtId="0" fontId="10" fillId="0" borderId="4" xfId="0" applyFont="1" applyBorder="1" applyAlignment="1">
      <alignment horizontal="center"/>
    </xf>
    <xf numFmtId="0" fontId="35" fillId="0" borderId="4" xfId="0" applyFont="1" applyBorder="1"/>
    <xf numFmtId="164" fontId="35" fillId="0" borderId="4" xfId="0" applyNumberFormat="1" applyFont="1" applyBorder="1" applyAlignment="1">
      <alignment horizontal="center"/>
    </xf>
    <xf numFmtId="1" fontId="39" fillId="0" borderId="0" xfId="0" applyNumberFormat="1" applyFont="1" applyBorder="1" applyAlignment="1"/>
    <xf numFmtId="164" fontId="39" fillId="14" borderId="0" xfId="0" applyNumberFormat="1" applyFont="1" applyFill="1"/>
    <xf numFmtId="1" fontId="35" fillId="12" borderId="0" xfId="0" applyNumberFormat="1" applyFont="1" applyFill="1" applyBorder="1" applyAlignment="1">
      <alignment horizontal="center"/>
    </xf>
    <xf numFmtId="14" fontId="10" fillId="0" borderId="2" xfId="0" applyNumberFormat="1" applyFont="1" applyFill="1" applyBorder="1" applyAlignment="1" applyProtection="1">
      <alignment horizontal="center" vertical="center"/>
    </xf>
    <xf numFmtId="0" fontId="10" fillId="0" borderId="2" xfId="0" applyFont="1" applyBorder="1" applyAlignment="1">
      <alignment horizontal="center"/>
    </xf>
    <xf numFmtId="1" fontId="35" fillId="0" borderId="29" xfId="0" applyNumberFormat="1" applyFont="1" applyBorder="1" applyAlignment="1"/>
    <xf numFmtId="1" fontId="35" fillId="0" borderId="0" xfId="0" applyNumberFormat="1" applyFont="1" applyBorder="1"/>
    <xf numFmtId="14" fontId="10" fillId="0" borderId="66" xfId="0" applyNumberFormat="1" applyFont="1" applyFill="1" applyBorder="1" applyAlignment="1" applyProtection="1">
      <alignment horizontal="center" vertical="center"/>
    </xf>
    <xf numFmtId="0" fontId="66" fillId="0" borderId="66" xfId="0" applyFont="1" applyBorder="1" applyAlignment="1">
      <alignment horizontal="center"/>
    </xf>
    <xf numFmtId="0" fontId="10" fillId="0" borderId="93" xfId="0" applyFont="1" applyBorder="1" applyAlignment="1">
      <alignment horizontal="center"/>
    </xf>
    <xf numFmtId="164" fontId="35" fillId="1" borderId="0" xfId="0" applyNumberFormat="1" applyFont="1" applyFill="1" applyBorder="1" applyAlignment="1"/>
    <xf numFmtId="1" fontId="35" fillId="0" borderId="29" xfId="0" applyNumberFormat="1" applyFont="1" applyBorder="1" applyAlignment="1">
      <alignment horizontal="center"/>
    </xf>
    <xf numFmtId="2" fontId="35" fillId="0" borderId="29" xfId="0" applyNumberFormat="1" applyFont="1" applyBorder="1" applyAlignment="1"/>
    <xf numFmtId="0" fontId="35" fillId="0" borderId="0" xfId="0" applyFont="1" applyFill="1" applyAlignment="1"/>
    <xf numFmtId="0" fontId="35" fillId="0" borderId="0" xfId="0" applyFont="1" applyFill="1" applyBorder="1" applyAlignment="1"/>
    <xf numFmtId="14" fontId="10" fillId="0" borderId="76" xfId="0" applyNumberFormat="1" applyFont="1" applyFill="1" applyBorder="1" applyAlignment="1" applyProtection="1">
      <alignment horizontal="center" vertical="center"/>
    </xf>
    <xf numFmtId="0" fontId="35" fillId="0" borderId="75" xfId="0" applyFont="1" applyFill="1" applyBorder="1" applyAlignment="1"/>
    <xf numFmtId="0" fontId="35" fillId="0" borderId="75" xfId="0" applyFont="1" applyFill="1" applyBorder="1" applyAlignment="1">
      <alignment horizontal="center"/>
    </xf>
    <xf numFmtId="1" fontId="35" fillId="0" borderId="75" xfId="0" applyNumberFormat="1" applyFont="1" applyFill="1" applyBorder="1" applyAlignment="1"/>
    <xf numFmtId="0" fontId="10" fillId="0" borderId="70" xfId="0" applyFont="1" applyFill="1" applyBorder="1" applyAlignment="1">
      <alignment horizontal="center"/>
    </xf>
    <xf numFmtId="0" fontId="35" fillId="0" borderId="70" xfId="0" applyFont="1" applyFill="1" applyBorder="1" applyAlignment="1"/>
    <xf numFmtId="0" fontId="35" fillId="0" borderId="70" xfId="0" applyFont="1" applyFill="1" applyBorder="1" applyAlignment="1">
      <alignment horizontal="center"/>
    </xf>
    <xf numFmtId="1" fontId="35" fillId="0" borderId="70" xfId="0" applyNumberFormat="1" applyFont="1" applyFill="1" applyBorder="1" applyAlignment="1"/>
    <xf numFmtId="0" fontId="35" fillId="14" borderId="0" xfId="0" applyFont="1" applyFill="1" applyBorder="1" applyAlignment="1"/>
    <xf numFmtId="0" fontId="35" fillId="14" borderId="0" xfId="0" applyFont="1" applyFill="1" applyBorder="1" applyAlignment="1">
      <alignment horizontal="center"/>
    </xf>
    <xf numFmtId="1" fontId="39" fillId="20" borderId="79" xfId="0" applyNumberFormat="1" applyFont="1" applyFill="1" applyBorder="1" applyAlignment="1"/>
    <xf numFmtId="0" fontId="11" fillId="0" borderId="0" xfId="0" applyFont="1" applyAlignment="1">
      <alignment horizontal="center" vertical="center"/>
    </xf>
    <xf numFmtId="0" fontId="35" fillId="0" borderId="0" xfId="0" applyFont="1" applyAlignment="1">
      <alignment vertical="center"/>
    </xf>
    <xf numFmtId="0" fontId="35" fillId="0" borderId="70" xfId="0" applyFont="1" applyBorder="1" applyAlignment="1">
      <alignment horizontal="center"/>
    </xf>
    <xf numFmtId="0" fontId="10" fillId="14" borderId="77" xfId="0" applyFont="1" applyFill="1" applyBorder="1" applyAlignment="1">
      <alignment horizontal="center"/>
    </xf>
    <xf numFmtId="0" fontId="39" fillId="14" borderId="71" xfId="0" applyFont="1" applyFill="1" applyBorder="1"/>
    <xf numFmtId="0" fontId="35" fillId="14" borderId="71" xfId="0" applyFont="1" applyFill="1" applyBorder="1" applyAlignment="1">
      <alignment horizontal="center"/>
    </xf>
    <xf numFmtId="0" fontId="11" fillId="0" borderId="0" xfId="0" applyFont="1" applyBorder="1" applyAlignment="1">
      <alignment horizontal="center"/>
    </xf>
    <xf numFmtId="0" fontId="10" fillId="0" borderId="63" xfId="0" applyFont="1" applyBorder="1" applyAlignment="1">
      <alignment horizontal="center" vertical="center"/>
    </xf>
    <xf numFmtId="0" fontId="10" fillId="0" borderId="75" xfId="0" applyFont="1" applyBorder="1" applyAlignment="1">
      <alignment horizontal="center" vertical="center"/>
    </xf>
    <xf numFmtId="0" fontId="35" fillId="0" borderId="75" xfId="0" applyFont="1" applyBorder="1" applyAlignment="1">
      <alignment vertical="center"/>
    </xf>
    <xf numFmtId="0" fontId="10" fillId="0" borderId="66" xfId="0" applyFont="1" applyBorder="1" applyAlignment="1">
      <alignment horizontal="center" vertical="center"/>
    </xf>
    <xf numFmtId="0" fontId="10" fillId="0" borderId="0" xfId="0" applyFont="1" applyBorder="1" applyAlignment="1">
      <alignment horizontal="center" vertical="center"/>
    </xf>
    <xf numFmtId="0" fontId="35" fillId="0" borderId="0" xfId="0" applyFont="1" applyBorder="1" applyAlignment="1">
      <alignment vertical="center"/>
    </xf>
    <xf numFmtId="0" fontId="10" fillId="14" borderId="0" xfId="0" applyFont="1" applyFill="1" applyBorder="1" applyAlignment="1">
      <alignment horizontal="center" vertical="center"/>
    </xf>
    <xf numFmtId="0" fontId="35" fillId="14" borderId="0" xfId="0" applyFont="1" applyFill="1" applyBorder="1" applyAlignment="1">
      <alignment vertical="center"/>
    </xf>
    <xf numFmtId="0" fontId="10" fillId="0" borderId="76" xfId="0" applyFont="1" applyBorder="1" applyAlignment="1">
      <alignment horizontal="center" vertical="center"/>
    </xf>
    <xf numFmtId="0" fontId="10" fillId="0" borderId="70" xfId="0" applyFont="1" applyBorder="1" applyAlignment="1">
      <alignment horizontal="center" vertical="center"/>
    </xf>
    <xf numFmtId="0" fontId="35" fillId="0" borderId="70" xfId="0" applyFont="1" applyBorder="1" applyAlignment="1">
      <alignment vertical="center"/>
    </xf>
    <xf numFmtId="0" fontId="11" fillId="0" borderId="0" xfId="0" applyFont="1" applyBorder="1" applyAlignment="1">
      <alignment horizontal="center" vertical="center"/>
    </xf>
    <xf numFmtId="0" fontId="35" fillId="14" borderId="0" xfId="0" applyFont="1" applyFill="1" applyBorder="1" applyAlignment="1">
      <alignment horizontal="center" vertical="center" wrapText="1"/>
    </xf>
    <xf numFmtId="0" fontId="10" fillId="0" borderId="75" xfId="0" applyFont="1" applyBorder="1" applyAlignment="1">
      <alignment horizontal="center" vertical="center" wrapText="1"/>
    </xf>
    <xf numFmtId="0" fontId="10" fillId="0" borderId="0" xfId="0" applyFont="1" applyBorder="1" applyAlignment="1">
      <alignment horizontal="center" vertical="center" wrapText="1"/>
    </xf>
    <xf numFmtId="0" fontId="10" fillId="0" borderId="70" xfId="0" applyFont="1" applyBorder="1" applyAlignment="1">
      <alignment horizontal="center" vertical="center" wrapText="1"/>
    </xf>
    <xf numFmtId="164" fontId="35" fillId="14" borderId="0" xfId="0" applyNumberFormat="1" applyFont="1" applyFill="1" applyBorder="1" applyAlignment="1">
      <alignment vertical="center"/>
    </xf>
    <xf numFmtId="164" fontId="35" fillId="0" borderId="70" xfId="0" applyNumberFormat="1" applyFont="1" applyBorder="1" applyAlignment="1">
      <alignment vertical="center"/>
    </xf>
    <xf numFmtId="164" fontId="35" fillId="14" borderId="0" xfId="0" applyNumberFormat="1" applyFont="1" applyFill="1" applyBorder="1"/>
    <xf numFmtId="164" fontId="35" fillId="0" borderId="70" xfId="0" applyNumberFormat="1" applyFont="1" applyBorder="1"/>
    <xf numFmtId="0" fontId="35" fillId="20" borderId="0" xfId="0" applyFont="1" applyFill="1" applyBorder="1" applyAlignment="1">
      <alignment horizontal="center"/>
    </xf>
    <xf numFmtId="164" fontId="35" fillId="20" borderId="0" xfId="0" applyNumberFormat="1" applyFont="1" applyFill="1" applyBorder="1"/>
    <xf numFmtId="0" fontId="10" fillId="20" borderId="87" xfId="0" applyFont="1" applyFill="1" applyBorder="1" applyAlignment="1">
      <alignment horizontal="center"/>
    </xf>
    <xf numFmtId="0" fontId="39" fillId="20" borderId="88" xfId="0" applyFont="1" applyFill="1" applyBorder="1"/>
    <xf numFmtId="0" fontId="35" fillId="20" borderId="88" xfId="0" applyFont="1" applyFill="1" applyBorder="1" applyAlignment="1">
      <alignment horizontal="center"/>
    </xf>
    <xf numFmtId="0" fontId="10" fillId="20" borderId="78" xfId="0" applyFont="1" applyFill="1" applyBorder="1" applyAlignment="1">
      <alignment horizontal="center"/>
    </xf>
    <xf numFmtId="0" fontId="39" fillId="20" borderId="79" xfId="0" applyFont="1" applyFill="1" applyBorder="1"/>
    <xf numFmtId="0" fontId="35" fillId="20" borderId="79" xfId="0" applyFont="1" applyFill="1" applyBorder="1" applyAlignment="1">
      <alignment horizontal="center"/>
    </xf>
    <xf numFmtId="0" fontId="10" fillId="0" borderId="89" xfId="0" applyFont="1" applyBorder="1" applyAlignment="1">
      <alignment horizontal="center"/>
    </xf>
    <xf numFmtId="0" fontId="35" fillId="0" borderId="81" xfId="0" applyFont="1" applyBorder="1" applyAlignment="1">
      <alignment horizontal="center"/>
    </xf>
    <xf numFmtId="164" fontId="35" fillId="0" borderId="81" xfId="0" applyNumberFormat="1" applyFont="1" applyBorder="1"/>
    <xf numFmtId="164" fontId="39" fillId="1" borderId="0" xfId="0" applyNumberFormat="1" applyFont="1" applyFill="1" applyBorder="1" applyAlignment="1"/>
    <xf numFmtId="2" fontId="39" fillId="0" borderId="79" xfId="0" applyNumberFormat="1" applyFont="1" applyBorder="1" applyAlignment="1"/>
    <xf numFmtId="164" fontId="39" fillId="14" borderId="0" xfId="0" applyNumberFormat="1" applyFont="1" applyFill="1" applyBorder="1"/>
    <xf numFmtId="164" fontId="39" fillId="0" borderId="70" xfId="0" applyNumberFormat="1" applyFont="1" applyBorder="1"/>
    <xf numFmtId="164" fontId="39" fillId="19" borderId="0" xfId="0" applyNumberFormat="1" applyFont="1" applyFill="1" applyBorder="1"/>
    <xf numFmtId="164" fontId="39" fillId="19" borderId="70" xfId="0" applyNumberFormat="1" applyFont="1" applyFill="1" applyBorder="1"/>
    <xf numFmtId="14" fontId="35" fillId="0" borderId="81" xfId="0" applyNumberFormat="1" applyFont="1" applyBorder="1" applyAlignment="1">
      <alignment horizontal="center"/>
    </xf>
    <xf numFmtId="14" fontId="10" fillId="0" borderId="89" xfId="0" applyNumberFormat="1" applyFont="1" applyFill="1" applyBorder="1" applyAlignment="1" applyProtection="1">
      <alignment horizontal="center" vertical="center"/>
    </xf>
    <xf numFmtId="0" fontId="10" fillId="0" borderId="94" xfId="0" applyFont="1" applyBorder="1" applyAlignment="1">
      <alignment horizontal="center"/>
    </xf>
    <xf numFmtId="14" fontId="10" fillId="0" borderId="94" xfId="0" applyNumberFormat="1" applyFont="1" applyFill="1" applyBorder="1" applyAlignment="1" applyProtection="1">
      <alignment horizontal="center" vertical="center"/>
    </xf>
    <xf numFmtId="0" fontId="10" fillId="20" borderId="0" xfId="0" applyFont="1" applyFill="1" applyBorder="1" applyAlignment="1">
      <alignment horizontal="center" vertical="center"/>
    </xf>
    <xf numFmtId="0" fontId="35" fillId="20" borderId="0" xfId="0" applyFont="1" applyFill="1" applyBorder="1" applyAlignment="1">
      <alignment vertical="center"/>
    </xf>
    <xf numFmtId="0" fontId="35" fillId="20" borderId="0" xfId="0" applyFont="1" applyFill="1" applyBorder="1" applyAlignment="1">
      <alignment horizontal="center" vertical="center" wrapText="1"/>
    </xf>
    <xf numFmtId="164" fontId="35" fillId="20" borderId="0" xfId="0" applyNumberFormat="1" applyFont="1" applyFill="1" applyBorder="1" applyAlignment="1">
      <alignment vertical="center"/>
    </xf>
    <xf numFmtId="0" fontId="10" fillId="0" borderId="78" xfId="0" applyFont="1" applyBorder="1" applyAlignment="1">
      <alignment horizontal="center" vertical="center"/>
    </xf>
    <xf numFmtId="0" fontId="10" fillId="0" borderId="79" xfId="0" applyFont="1" applyBorder="1" applyAlignment="1">
      <alignment horizontal="center" vertical="center"/>
    </xf>
    <xf numFmtId="0" fontId="35" fillId="0" borderId="79" xfId="0" applyFont="1" applyBorder="1" applyAlignment="1">
      <alignment vertical="center"/>
    </xf>
    <xf numFmtId="0" fontId="10" fillId="0" borderId="79" xfId="0" applyFont="1" applyBorder="1" applyAlignment="1">
      <alignment horizontal="center" vertical="center" wrapText="1"/>
    </xf>
    <xf numFmtId="0" fontId="10" fillId="0" borderId="89" xfId="0" applyFont="1" applyBorder="1" applyAlignment="1">
      <alignment horizontal="center" vertical="center"/>
    </xf>
    <xf numFmtId="0" fontId="10" fillId="0" borderId="80" xfId="0" applyFont="1" applyBorder="1" applyAlignment="1">
      <alignment horizontal="center" vertical="center"/>
    </xf>
    <xf numFmtId="0" fontId="10" fillId="0" borderId="81" xfId="0" applyFont="1" applyBorder="1" applyAlignment="1">
      <alignment horizontal="center" vertical="center"/>
    </xf>
    <xf numFmtId="0" fontId="35" fillId="0" borderId="81" xfId="0" applyFont="1" applyBorder="1" applyAlignment="1">
      <alignment vertical="center"/>
    </xf>
    <xf numFmtId="0" fontId="10" fillId="0" borderId="81" xfId="0" applyFont="1" applyBorder="1" applyAlignment="1">
      <alignment horizontal="center" vertical="center" wrapText="1"/>
    </xf>
    <xf numFmtId="164" fontId="35" fillId="0" borderId="81" xfId="0" applyNumberFormat="1" applyFont="1" applyBorder="1" applyAlignment="1">
      <alignment vertical="center"/>
    </xf>
    <xf numFmtId="0" fontId="10" fillId="12" borderId="0" xfId="0" applyFont="1" applyFill="1" applyBorder="1" applyAlignment="1">
      <alignment horizontal="center" vertical="center"/>
    </xf>
    <xf numFmtId="0" fontId="35" fillId="12" borderId="0" xfId="0" applyFont="1" applyFill="1" applyBorder="1" applyAlignment="1">
      <alignment vertical="center"/>
    </xf>
    <xf numFmtId="0" fontId="35" fillId="12" borderId="0" xfId="0" applyFont="1" applyFill="1" applyBorder="1" applyAlignment="1">
      <alignment horizontal="center" vertical="center" wrapText="1"/>
    </xf>
    <xf numFmtId="0" fontId="10" fillId="0" borderId="18" xfId="0" applyFont="1" applyBorder="1" applyAlignment="1">
      <alignment horizontal="center" vertical="center"/>
    </xf>
    <xf numFmtId="0" fontId="10" fillId="0" borderId="16" xfId="0" applyFont="1" applyBorder="1" applyAlignment="1">
      <alignment horizontal="center" vertical="center"/>
    </xf>
    <xf numFmtId="0" fontId="35" fillId="0" borderId="16" xfId="0" applyFont="1" applyBorder="1" applyAlignment="1">
      <alignment vertical="center"/>
    </xf>
    <xf numFmtId="0" fontId="10" fillId="0" borderId="16" xfId="0" applyFont="1" applyBorder="1" applyAlignment="1">
      <alignment horizontal="center" vertical="center" wrapText="1"/>
    </xf>
    <xf numFmtId="0" fontId="10" fillId="0" borderId="2" xfId="0" applyFont="1" applyBorder="1" applyAlignment="1">
      <alignment horizontal="center" vertical="center"/>
    </xf>
    <xf numFmtId="0" fontId="10" fillId="0" borderId="35" xfId="0" applyFont="1" applyBorder="1" applyAlignment="1">
      <alignment horizontal="center" vertical="center"/>
    </xf>
    <xf numFmtId="0" fontId="10" fillId="0" borderId="29" xfId="0" applyFont="1" applyBorder="1" applyAlignment="1">
      <alignment horizontal="center" vertical="center"/>
    </xf>
    <xf numFmtId="0" fontId="35" fillId="0" borderId="29" xfId="0" applyFont="1" applyBorder="1" applyAlignment="1">
      <alignment vertical="center"/>
    </xf>
    <xf numFmtId="0" fontId="10" fillId="0" borderId="29" xfId="0" applyFont="1" applyBorder="1" applyAlignment="1">
      <alignment horizontal="center" vertical="center" wrapText="1"/>
    </xf>
    <xf numFmtId="0" fontId="10" fillId="12" borderId="95" xfId="0" applyFont="1" applyFill="1" applyBorder="1" applyAlignment="1">
      <alignment horizontal="center"/>
    </xf>
    <xf numFmtId="0" fontId="39" fillId="12" borderId="96" xfId="0" applyFont="1" applyFill="1" applyBorder="1"/>
    <xf numFmtId="0" fontId="35" fillId="12" borderId="96" xfId="0" applyFont="1" applyFill="1" applyBorder="1" applyAlignment="1">
      <alignment horizontal="center"/>
    </xf>
    <xf numFmtId="1" fontId="39" fillId="12" borderId="96" xfId="0" applyNumberFormat="1" applyFont="1" applyFill="1" applyBorder="1" applyAlignment="1"/>
    <xf numFmtId="165" fontId="35" fillId="12" borderId="0" xfId="49" applyNumberFormat="1" applyFont="1" applyFill="1" applyBorder="1" applyAlignment="1">
      <alignment vertical="center"/>
    </xf>
    <xf numFmtId="165" fontId="35" fillId="0" borderId="29" xfId="49" applyNumberFormat="1" applyFont="1" applyBorder="1" applyAlignment="1">
      <alignment vertical="center"/>
    </xf>
    <xf numFmtId="164" fontId="35" fillId="0" borderId="75" xfId="0" applyNumberFormat="1" applyFont="1" applyBorder="1"/>
    <xf numFmtId="2" fontId="35" fillId="0" borderId="79" xfId="0" applyNumberFormat="1" applyFont="1" applyBorder="1" applyAlignment="1"/>
    <xf numFmtId="0" fontId="35" fillId="0" borderId="80" xfId="0" applyFont="1" applyBorder="1" applyAlignment="1">
      <alignment horizontal="center"/>
    </xf>
    <xf numFmtId="0" fontId="35" fillId="0" borderId="81" xfId="0" applyFont="1" applyBorder="1" applyAlignment="1"/>
    <xf numFmtId="164" fontId="10" fillId="0" borderId="0" xfId="0" applyNumberFormat="1" applyFont="1" applyBorder="1" applyAlignment="1">
      <alignment horizontal="center"/>
    </xf>
    <xf numFmtId="0" fontId="11" fillId="12" borderId="97" xfId="0" applyFont="1" applyFill="1" applyBorder="1" applyAlignment="1">
      <alignment horizontal="center"/>
    </xf>
    <xf numFmtId="0" fontId="39" fillId="12" borderId="98" xfId="0" applyFont="1" applyFill="1" applyBorder="1" applyAlignment="1"/>
    <xf numFmtId="1" fontId="39" fillId="12" borderId="98" xfId="0" applyNumberFormat="1" applyFont="1" applyFill="1" applyBorder="1" applyAlignment="1"/>
    <xf numFmtId="0" fontId="10" fillId="0" borderId="63" xfId="0" applyFont="1" applyFill="1" applyBorder="1" applyAlignment="1">
      <alignment horizontal="center"/>
    </xf>
    <xf numFmtId="0" fontId="35" fillId="0" borderId="75" xfId="0" applyFont="1" applyFill="1" applyBorder="1"/>
    <xf numFmtId="1" fontId="35" fillId="0" borderId="75" xfId="0" applyNumberFormat="1" applyFont="1" applyFill="1" applyBorder="1" applyAlignment="1">
      <alignment horizontal="center"/>
    </xf>
    <xf numFmtId="164" fontId="35" fillId="1" borderId="79" xfId="0" applyNumberFormat="1" applyFont="1" applyFill="1" applyBorder="1" applyAlignment="1"/>
    <xf numFmtId="164" fontId="39" fillId="1" borderId="79" xfId="0" applyNumberFormat="1" applyFont="1" applyFill="1" applyBorder="1" applyAlignment="1"/>
    <xf numFmtId="0" fontId="10" fillId="0" borderId="79" xfId="0" applyFont="1" applyFill="1" applyBorder="1" applyAlignment="1">
      <alignment horizontal="center"/>
    </xf>
    <xf numFmtId="0" fontId="35" fillId="0" borderId="79" xfId="0" applyFont="1" applyFill="1" applyBorder="1"/>
    <xf numFmtId="1" fontId="35" fillId="0" borderId="79" xfId="0" applyNumberFormat="1" applyFont="1" applyFill="1" applyBorder="1" applyAlignment="1">
      <alignment horizontal="center"/>
    </xf>
    <xf numFmtId="0" fontId="10" fillId="0" borderId="90" xfId="0" applyFont="1" applyBorder="1" applyAlignment="1">
      <alignment horizontal="center"/>
    </xf>
    <xf numFmtId="0" fontId="10" fillId="0" borderId="91" xfId="0" applyFont="1" applyFill="1" applyBorder="1" applyAlignment="1">
      <alignment horizontal="center"/>
    </xf>
    <xf numFmtId="0" fontId="35" fillId="0" borderId="91" xfId="0" applyFont="1" applyFill="1" applyBorder="1"/>
    <xf numFmtId="1" fontId="35" fillId="0" borderId="91" xfId="0" applyNumberFormat="1" applyFont="1" applyFill="1" applyBorder="1" applyAlignment="1">
      <alignment horizontal="center"/>
    </xf>
    <xf numFmtId="164" fontId="35" fillId="0" borderId="75" xfId="0" applyNumberFormat="1" applyFont="1" applyFill="1" applyBorder="1" applyAlignment="1"/>
    <xf numFmtId="164" fontId="39" fillId="19" borderId="0" xfId="0" applyNumberFormat="1" applyFont="1" applyFill="1"/>
    <xf numFmtId="1" fontId="65" fillId="0" borderId="0" xfId="0" applyNumberFormat="1" applyFont="1" applyFill="1" applyBorder="1" applyAlignment="1" applyProtection="1">
      <alignment horizontal="center" vertical="center"/>
    </xf>
    <xf numFmtId="14" fontId="66" fillId="0" borderId="89" xfId="0" applyNumberFormat="1" applyFont="1" applyFill="1" applyBorder="1" applyAlignment="1" applyProtection="1">
      <alignment horizontal="center" vertical="center"/>
    </xf>
    <xf numFmtId="0" fontId="66" fillId="20" borderId="0" xfId="0" applyFont="1" applyFill="1" applyBorder="1" applyAlignment="1">
      <alignment horizontal="center"/>
    </xf>
    <xf numFmtId="164" fontId="66" fillId="20" borderId="0" xfId="0" applyNumberFormat="1" applyFont="1" applyFill="1" applyBorder="1" applyAlignment="1">
      <alignment horizontal="center"/>
    </xf>
    <xf numFmtId="164" fontId="66" fillId="18" borderId="0" xfId="0" applyNumberFormat="1" applyFont="1" applyFill="1" applyBorder="1" applyAlignment="1">
      <alignment horizontal="right"/>
    </xf>
    <xf numFmtId="0" fontId="66" fillId="0" borderId="0" xfId="0" applyFont="1"/>
    <xf numFmtId="14" fontId="66" fillId="20" borderId="0" xfId="0" applyNumberFormat="1" applyFont="1" applyFill="1" applyBorder="1" applyAlignment="1"/>
    <xf numFmtId="164" fontId="66" fillId="20" borderId="0" xfId="0" applyNumberFormat="1" applyFont="1" applyFill="1" applyBorder="1" applyAlignment="1"/>
    <xf numFmtId="0" fontId="66" fillId="0" borderId="0" xfId="0" applyFont="1" applyAlignment="1"/>
    <xf numFmtId="0" fontId="66" fillId="0" borderId="0" xfId="0" applyFont="1" applyAlignment="1">
      <alignment horizontal="center"/>
    </xf>
    <xf numFmtId="0" fontId="66" fillId="18" borderId="0" xfId="0" applyFont="1" applyFill="1" applyAlignment="1">
      <alignment horizontal="center"/>
    </xf>
    <xf numFmtId="0" fontId="66" fillId="18" borderId="0" xfId="0" applyFont="1" applyFill="1"/>
    <xf numFmtId="164" fontId="66" fillId="18" borderId="0" xfId="0" applyNumberFormat="1" applyFont="1" applyFill="1" applyAlignment="1">
      <alignment horizontal="right"/>
    </xf>
    <xf numFmtId="164" fontId="35" fillId="18" borderId="72" xfId="0" applyNumberFormat="1" applyFont="1" applyFill="1" applyBorder="1" applyAlignment="1" applyProtection="1">
      <alignment vertical="center"/>
    </xf>
    <xf numFmtId="164" fontId="35" fillId="18" borderId="72" xfId="0" applyNumberFormat="1" applyFont="1" applyFill="1" applyBorder="1" applyAlignment="1" applyProtection="1">
      <alignment horizontal="right" vertical="center"/>
    </xf>
    <xf numFmtId="0" fontId="66" fillId="18" borderId="0" xfId="0" applyFont="1" applyFill="1" applyAlignment="1"/>
    <xf numFmtId="164" fontId="66" fillId="18" borderId="0" xfId="0" applyNumberFormat="1" applyFont="1" applyFill="1" applyAlignment="1"/>
    <xf numFmtId="0" fontId="66" fillId="20" borderId="0" xfId="0" applyFont="1" applyFill="1" applyAlignment="1">
      <alignment horizontal="center"/>
    </xf>
    <xf numFmtId="0" fontId="66" fillId="20" borderId="0" xfId="0" applyFont="1" applyFill="1" applyAlignment="1"/>
    <xf numFmtId="164" fontId="66" fillId="20" borderId="0" xfId="0" applyNumberFormat="1" applyFont="1" applyFill="1" applyAlignment="1"/>
    <xf numFmtId="14" fontId="35" fillId="0" borderId="75" xfId="0" applyNumberFormat="1" applyFont="1" applyBorder="1" applyAlignment="1">
      <alignment horizontal="center"/>
    </xf>
    <xf numFmtId="14" fontId="35" fillId="0" borderId="0" xfId="0" applyNumberFormat="1" applyFont="1" applyBorder="1" applyAlignment="1">
      <alignment horizontal="center"/>
    </xf>
    <xf numFmtId="164" fontId="35" fillId="0" borderId="75" xfId="0" applyNumberFormat="1" applyFont="1" applyBorder="1" applyAlignment="1">
      <alignment horizontal="right"/>
    </xf>
    <xf numFmtId="164" fontId="35" fillId="0" borderId="0" xfId="0" applyNumberFormat="1" applyFont="1" applyBorder="1" applyAlignment="1">
      <alignment horizontal="right"/>
    </xf>
    <xf numFmtId="164" fontId="35" fillId="14" borderId="0" xfId="0" quotePrefix="1" applyNumberFormat="1" applyFont="1" applyFill="1" applyBorder="1" applyAlignment="1">
      <alignment horizontal="center"/>
    </xf>
    <xf numFmtId="164" fontId="35" fillId="0" borderId="0" xfId="0" quotePrefix="1" applyNumberFormat="1" applyFont="1" applyBorder="1" applyAlignment="1">
      <alignment horizontal="center"/>
    </xf>
    <xf numFmtId="14" fontId="35" fillId="14" borderId="75" xfId="0" applyNumberFormat="1" applyFont="1" applyFill="1" applyBorder="1" applyAlignment="1">
      <alignment horizontal="center"/>
    </xf>
    <xf numFmtId="2" fontId="35" fillId="0" borderId="0" xfId="0" applyNumberFormat="1" applyFont="1" applyAlignment="1">
      <alignment horizontal="center"/>
    </xf>
    <xf numFmtId="14" fontId="35" fillId="0" borderId="66" xfId="0" quotePrefix="1" applyNumberFormat="1" applyFont="1" applyFill="1" applyBorder="1" applyAlignment="1" applyProtection="1">
      <alignment horizontal="center" vertical="center"/>
    </xf>
    <xf numFmtId="164" fontId="35" fillId="0" borderId="0" xfId="0" applyNumberFormat="1" applyFont="1" applyBorder="1" applyAlignment="1">
      <alignment horizontal="left"/>
    </xf>
    <xf numFmtId="164" fontId="35" fillId="14" borderId="75" xfId="0" applyNumberFormat="1" applyFont="1" applyFill="1" applyBorder="1" applyAlignment="1">
      <alignment horizontal="left"/>
    </xf>
    <xf numFmtId="0" fontId="37" fillId="25" borderId="0" xfId="0" applyFont="1" applyFill="1" applyProtection="1"/>
    <xf numFmtId="0" fontId="0" fillId="25" borderId="0" xfId="0" applyFill="1" applyProtection="1"/>
    <xf numFmtId="0" fontId="38" fillId="25" borderId="0" xfId="0" applyFont="1" applyFill="1" applyProtection="1"/>
    <xf numFmtId="0" fontId="35" fillId="25" borderId="0" xfId="0" applyFont="1" applyFill="1" applyProtection="1"/>
    <xf numFmtId="14" fontId="36" fillId="25" borderId="0" xfId="0" applyNumberFormat="1" applyFont="1" applyFill="1" applyAlignment="1" applyProtection="1">
      <alignment horizontal="left"/>
    </xf>
    <xf numFmtId="0" fontId="9" fillId="25" borderId="0" xfId="0" applyFont="1" applyFill="1" applyProtection="1"/>
    <xf numFmtId="0" fontId="36" fillId="25" borderId="0" xfId="0" applyFont="1" applyFill="1" applyBorder="1" applyProtection="1"/>
    <xf numFmtId="0" fontId="35" fillId="25" borderId="0" xfId="0" applyFont="1" applyFill="1" applyBorder="1" applyProtection="1"/>
    <xf numFmtId="0" fontId="62" fillId="0" borderId="0" xfId="0" applyFont="1" applyFill="1" applyBorder="1" applyAlignment="1">
      <alignment horizontal="left"/>
    </xf>
    <xf numFmtId="0" fontId="39" fillId="0" borderId="0" xfId="0" applyFont="1" applyAlignment="1">
      <alignment horizontal="center"/>
    </xf>
    <xf numFmtId="0" fontId="0" fillId="14" borderId="71" xfId="0" applyFill="1" applyBorder="1"/>
    <xf numFmtId="0" fontId="0" fillId="0" borderId="75" xfId="0" applyFill="1" applyBorder="1"/>
    <xf numFmtId="0" fontId="0" fillId="0" borderId="70" xfId="0" applyFill="1" applyBorder="1"/>
    <xf numFmtId="2" fontId="0" fillId="0" borderId="0" xfId="0" applyNumberFormat="1" applyFill="1" applyBorder="1" applyProtection="1"/>
    <xf numFmtId="0" fontId="10" fillId="0" borderId="0" xfId="0" applyFont="1" applyFill="1" applyBorder="1" applyAlignment="1">
      <alignment horizontal="center"/>
    </xf>
    <xf numFmtId="14" fontId="35" fillId="0" borderId="0" xfId="0" applyNumberFormat="1" applyFont="1" applyFill="1" applyBorder="1" applyAlignment="1"/>
    <xf numFmtId="164" fontId="35" fillId="0" borderId="0" xfId="0" applyNumberFormat="1" applyFont="1" applyFill="1" applyBorder="1" applyAlignment="1">
      <alignment horizontal="center"/>
    </xf>
    <xf numFmtId="164" fontId="35" fillId="0" borderId="0" xfId="0" applyNumberFormat="1" applyFont="1" applyFill="1" applyBorder="1" applyAlignment="1"/>
    <xf numFmtId="0" fontId="10" fillId="0" borderId="16" xfId="0" applyFont="1" applyFill="1" applyBorder="1" applyAlignment="1">
      <alignment horizontal="center"/>
    </xf>
    <xf numFmtId="14" fontId="35" fillId="0" borderId="16" xfId="0" applyNumberFormat="1" applyFont="1" applyFill="1" applyBorder="1" applyAlignment="1"/>
    <xf numFmtId="164" fontId="35" fillId="0" borderId="16" xfId="0" applyNumberFormat="1" applyFont="1" applyFill="1" applyBorder="1" applyAlignment="1">
      <alignment horizontal="center"/>
    </xf>
    <xf numFmtId="164" fontId="35" fillId="0" borderId="16" xfId="0" applyNumberFormat="1" applyFont="1" applyFill="1" applyBorder="1" applyAlignment="1"/>
    <xf numFmtId="0" fontId="10" fillId="12" borderId="29" xfId="0" applyFont="1" applyFill="1" applyBorder="1" applyAlignment="1">
      <alignment horizontal="center"/>
    </xf>
    <xf numFmtId="14" fontId="35" fillId="12" borderId="29" xfId="0" applyNumberFormat="1" applyFont="1" applyFill="1" applyBorder="1" applyAlignment="1"/>
    <xf numFmtId="164" fontId="35" fillId="12" borderId="29" xfId="0" applyNumberFormat="1" applyFont="1" applyFill="1" applyBorder="1" applyAlignment="1">
      <alignment horizontal="center"/>
    </xf>
    <xf numFmtId="14" fontId="39" fillId="12" borderId="16" xfId="0" applyNumberFormat="1" applyFont="1" applyFill="1" applyBorder="1" applyAlignment="1"/>
    <xf numFmtId="166" fontId="0" fillId="0" borderId="0" xfId="0" applyNumberFormat="1"/>
    <xf numFmtId="164" fontId="35" fillId="1" borderId="75" xfId="0" applyNumberFormat="1" applyFont="1" applyFill="1" applyBorder="1" applyAlignment="1"/>
    <xf numFmtId="0" fontId="0" fillId="14" borderId="0" xfId="0" applyFill="1" applyAlignment="1">
      <alignment horizontal="center"/>
    </xf>
    <xf numFmtId="0" fontId="0" fillId="14" borderId="0" xfId="0" applyFill="1"/>
    <xf numFmtId="164" fontId="0" fillId="14" borderId="0" xfId="0" applyNumberFormat="1" applyFill="1"/>
    <xf numFmtId="0" fontId="0" fillId="0" borderId="75" xfId="0" applyBorder="1" applyAlignment="1">
      <alignment horizontal="center"/>
    </xf>
    <xf numFmtId="0" fontId="0" fillId="0" borderId="75" xfId="0" applyBorder="1"/>
    <xf numFmtId="0" fontId="0" fillId="14" borderId="0" xfId="0" applyFill="1" applyBorder="1"/>
    <xf numFmtId="164" fontId="0" fillId="14" borderId="0" xfId="0" applyNumberFormat="1" applyFill="1" applyBorder="1"/>
    <xf numFmtId="164" fontId="0" fillId="0" borderId="0" xfId="0" applyNumberFormat="1" applyBorder="1"/>
    <xf numFmtId="0" fontId="0" fillId="14" borderId="70" xfId="0" applyFill="1" applyBorder="1"/>
    <xf numFmtId="164" fontId="0" fillId="14" borderId="70" xfId="0" applyNumberFormat="1" applyFill="1" applyBorder="1"/>
    <xf numFmtId="0" fontId="0" fillId="14" borderId="71" xfId="0" applyFill="1" applyBorder="1" applyAlignment="1">
      <alignment horizontal="center"/>
    </xf>
    <xf numFmtId="164" fontId="0" fillId="14" borderId="71" xfId="0" applyNumberFormat="1" applyFill="1" applyBorder="1"/>
    <xf numFmtId="0" fontId="0" fillId="18" borderId="0" xfId="0" applyFill="1" applyBorder="1"/>
    <xf numFmtId="164" fontId="0" fillId="18" borderId="0" xfId="0" applyNumberFormat="1" applyFill="1" applyBorder="1"/>
    <xf numFmtId="0" fontId="67" fillId="0" borderId="75" xfId="0" applyFont="1" applyBorder="1" applyAlignment="1">
      <alignment horizontal="center"/>
    </xf>
    <xf numFmtId="0" fontId="67" fillId="0" borderId="0" xfId="0" applyFont="1" applyBorder="1" applyAlignment="1">
      <alignment horizontal="center"/>
    </xf>
    <xf numFmtId="0" fontId="0" fillId="18" borderId="0" xfId="0" applyFill="1" applyBorder="1" applyAlignment="1">
      <alignment horizontal="center"/>
    </xf>
    <xf numFmtId="0" fontId="0" fillId="14" borderId="70" xfId="0" applyFill="1" applyBorder="1" applyAlignment="1">
      <alignment horizontal="center"/>
    </xf>
    <xf numFmtId="0" fontId="0" fillId="14" borderId="77" xfId="0" applyFill="1" applyBorder="1" applyAlignment="1">
      <alignment horizontal="center"/>
    </xf>
    <xf numFmtId="0" fontId="0" fillId="14" borderId="63" xfId="0" applyFill="1" applyBorder="1" applyAlignment="1">
      <alignment horizontal="center"/>
    </xf>
    <xf numFmtId="0" fontId="39" fillId="14" borderId="75" xfId="0" applyFont="1" applyFill="1" applyBorder="1"/>
    <xf numFmtId="0" fontId="0" fillId="14" borderId="75" xfId="0" applyFill="1" applyBorder="1" applyAlignment="1">
      <alignment horizontal="center"/>
    </xf>
    <xf numFmtId="0" fontId="0" fillId="0" borderId="70" xfId="0" applyBorder="1" applyAlignment="1">
      <alignment horizontal="center"/>
    </xf>
    <xf numFmtId="0" fontId="0" fillId="0" borderId="70" xfId="0" applyBorder="1"/>
    <xf numFmtId="0" fontId="35" fillId="0" borderId="63" xfId="0" applyFont="1" applyBorder="1" applyAlignment="1">
      <alignment horizontal="center"/>
    </xf>
    <xf numFmtId="0" fontId="35" fillId="0" borderId="66" xfId="0" applyFont="1" applyBorder="1" applyAlignment="1">
      <alignment horizontal="center"/>
    </xf>
    <xf numFmtId="0" fontId="35" fillId="0" borderId="76" xfId="0" applyFont="1" applyBorder="1" applyAlignment="1">
      <alignment horizontal="center"/>
    </xf>
    <xf numFmtId="0" fontId="35" fillId="0" borderId="77" xfId="0" applyFont="1" applyBorder="1" applyAlignment="1">
      <alignment horizontal="center"/>
    </xf>
    <xf numFmtId="0" fontId="35" fillId="0" borderId="0" xfId="0" quotePrefix="1" applyFont="1" applyAlignment="1">
      <alignment horizontal="center"/>
    </xf>
    <xf numFmtId="164" fontId="0" fillId="0" borderId="75" xfId="0" applyNumberFormat="1" applyBorder="1"/>
    <xf numFmtId="164" fontId="0" fillId="0" borderId="70" xfId="0" applyNumberFormat="1" applyBorder="1"/>
    <xf numFmtId="0" fontId="0" fillId="0" borderId="71" xfId="0" applyBorder="1" applyAlignment="1">
      <alignment horizontal="center"/>
    </xf>
    <xf numFmtId="0" fontId="0" fillId="0" borderId="71" xfId="0" applyBorder="1"/>
    <xf numFmtId="164" fontId="0" fillId="0" borderId="71" xfId="0" applyNumberFormat="1" applyBorder="1"/>
    <xf numFmtId="0" fontId="67" fillId="0" borderId="71" xfId="0" applyFont="1" applyBorder="1" applyAlignment="1">
      <alignment horizontal="center"/>
    </xf>
    <xf numFmtId="0" fontId="35" fillId="0" borderId="63" xfId="0" applyFont="1" applyFill="1" applyBorder="1" applyAlignment="1">
      <alignment horizontal="center"/>
    </xf>
    <xf numFmtId="0" fontId="0" fillId="0" borderId="75" xfId="0" applyFill="1" applyBorder="1" applyAlignment="1">
      <alignment horizontal="center"/>
    </xf>
    <xf numFmtId="0" fontId="11" fillId="20" borderId="78" xfId="0" applyFont="1" applyFill="1" applyBorder="1" applyAlignment="1">
      <alignment horizontal="center"/>
    </xf>
    <xf numFmtId="0" fontId="39" fillId="20" borderId="79" xfId="0" applyFont="1" applyFill="1" applyBorder="1" applyAlignment="1"/>
    <xf numFmtId="0" fontId="39" fillId="20" borderId="79" xfId="0" applyFont="1" applyFill="1" applyBorder="1" applyAlignment="1">
      <alignment horizontal="center"/>
    </xf>
    <xf numFmtId="164" fontId="35" fillId="0" borderId="79" xfId="0" applyNumberFormat="1" applyFont="1" applyFill="1" applyBorder="1" applyAlignment="1"/>
    <xf numFmtId="164" fontId="35" fillId="0" borderId="81" xfId="0" applyNumberFormat="1" applyFont="1" applyFill="1" applyBorder="1" applyAlignment="1"/>
    <xf numFmtId="0" fontId="0" fillId="20" borderId="0" xfId="0" applyFill="1" applyAlignment="1">
      <alignment horizontal="center"/>
    </xf>
    <xf numFmtId="0" fontId="0" fillId="20" borderId="0" xfId="0" applyFill="1"/>
    <xf numFmtId="164" fontId="0" fillId="20" borderId="0" xfId="0" applyNumberFormat="1" applyFill="1"/>
    <xf numFmtId="0" fontId="35" fillId="0" borderId="89" xfId="0" applyFont="1" applyBorder="1" applyAlignment="1">
      <alignment horizontal="center"/>
    </xf>
    <xf numFmtId="0" fontId="0" fillId="20" borderId="81" xfId="0" applyFill="1" applyBorder="1" applyAlignment="1">
      <alignment horizontal="center"/>
    </xf>
    <xf numFmtId="0" fontId="0" fillId="20" borderId="81" xfId="0" applyFill="1" applyBorder="1"/>
    <xf numFmtId="164" fontId="0" fillId="20" borderId="81" xfId="0" applyNumberFormat="1" applyFill="1" applyBorder="1"/>
    <xf numFmtId="0" fontId="35" fillId="0" borderId="78" xfId="0" applyFont="1" applyBorder="1" applyAlignment="1">
      <alignment horizontal="center"/>
    </xf>
    <xf numFmtId="0" fontId="0" fillId="0" borderId="79" xfId="0" applyBorder="1" applyAlignment="1">
      <alignment horizontal="center"/>
    </xf>
    <xf numFmtId="0" fontId="0" fillId="0" borderId="79" xfId="0" applyFill="1" applyBorder="1"/>
    <xf numFmtId="0" fontId="35" fillId="0" borderId="87" xfId="0" applyFont="1" applyBorder="1" applyAlignment="1">
      <alignment horizontal="center"/>
    </xf>
    <xf numFmtId="0" fontId="0" fillId="20" borderId="88" xfId="0" applyFill="1" applyBorder="1" applyAlignment="1">
      <alignment horizontal="center"/>
    </xf>
    <xf numFmtId="0" fontId="0" fillId="20" borderId="88" xfId="0" applyFill="1" applyBorder="1"/>
    <xf numFmtId="164" fontId="0" fillId="20" borderId="88" xfId="0" applyNumberFormat="1" applyFill="1" applyBorder="1"/>
    <xf numFmtId="0" fontId="0" fillId="20" borderId="0" xfId="0" applyFill="1" applyBorder="1" applyAlignment="1">
      <alignment horizontal="center"/>
    </xf>
    <xf numFmtId="0" fontId="0" fillId="20" borderId="0" xfId="0" applyFill="1" applyBorder="1"/>
    <xf numFmtId="164" fontId="0" fillId="20" borderId="0" xfId="0" applyNumberFormat="1" applyFill="1" applyBorder="1"/>
    <xf numFmtId="164" fontId="10" fillId="0" borderId="88" xfId="0" applyNumberFormat="1" applyFont="1" applyBorder="1" applyAlignment="1">
      <alignment horizontal="center"/>
    </xf>
    <xf numFmtId="164" fontId="35" fillId="0" borderId="88" xfId="0" applyNumberFormat="1" applyFont="1" applyFill="1" applyBorder="1" applyAlignment="1"/>
    <xf numFmtId="0" fontId="0" fillId="20" borderId="87" xfId="0" applyFill="1" applyBorder="1" applyAlignment="1">
      <alignment horizontal="center"/>
    </xf>
    <xf numFmtId="0" fontId="0" fillId="20" borderId="78" xfId="0" applyFill="1" applyBorder="1" applyAlignment="1">
      <alignment horizontal="center"/>
    </xf>
    <xf numFmtId="0" fontId="0" fillId="20" borderId="79" xfId="0" applyFill="1" applyBorder="1" applyAlignment="1">
      <alignment horizontal="center"/>
    </xf>
    <xf numFmtId="0" fontId="35" fillId="0" borderId="78" xfId="0" applyFont="1" applyFill="1" applyBorder="1" applyAlignment="1">
      <alignment horizontal="center"/>
    </xf>
    <xf numFmtId="0" fontId="0" fillId="0" borderId="79" xfId="0" applyFill="1" applyBorder="1" applyAlignment="1">
      <alignment horizontal="center"/>
    </xf>
    <xf numFmtId="0" fontId="0" fillId="0" borderId="81" xfId="0" applyBorder="1" applyAlignment="1">
      <alignment horizontal="center"/>
    </xf>
    <xf numFmtId="0" fontId="0" fillId="0" borderId="81" xfId="0" applyBorder="1"/>
    <xf numFmtId="164" fontId="0" fillId="0" borderId="81" xfId="0" applyNumberFormat="1" applyBorder="1"/>
    <xf numFmtId="164" fontId="0" fillId="0" borderId="81" xfId="0" applyNumberFormat="1" applyFill="1" applyBorder="1"/>
    <xf numFmtId="1" fontId="39" fillId="19" borderId="71" xfId="0" applyNumberFormat="1" applyFont="1" applyFill="1" applyBorder="1" applyAlignment="1"/>
    <xf numFmtId="0" fontId="11" fillId="19" borderId="63" xfId="0" applyFont="1" applyFill="1" applyBorder="1" applyAlignment="1">
      <alignment horizontal="center"/>
    </xf>
    <xf numFmtId="0" fontId="39" fillId="19" borderId="75" xfId="0" applyFont="1" applyFill="1" applyBorder="1" applyAlignment="1"/>
    <xf numFmtId="0" fontId="39" fillId="19" borderId="75" xfId="0" applyFont="1" applyFill="1" applyBorder="1" applyAlignment="1">
      <alignment horizontal="center"/>
    </xf>
    <xf numFmtId="0" fontId="39" fillId="19" borderId="75" xfId="0" applyFont="1" applyFill="1" applyBorder="1"/>
    <xf numFmtId="0" fontId="11" fillId="0" borderId="0" xfId="0" applyFont="1" applyFill="1" applyAlignment="1">
      <alignment horizontal="center"/>
    </xf>
    <xf numFmtId="1" fontId="11" fillId="0" borderId="0" xfId="0" applyNumberFormat="1" applyFont="1" applyFill="1" applyAlignment="1">
      <alignment horizontal="center"/>
    </xf>
    <xf numFmtId="1" fontId="11" fillId="0" borderId="0" xfId="0" quotePrefix="1" applyNumberFormat="1" applyFont="1" applyFill="1" applyBorder="1" applyAlignment="1" applyProtection="1">
      <alignment horizontal="center" vertical="center"/>
    </xf>
    <xf numFmtId="164" fontId="35" fillId="0" borderId="70" xfId="0" applyNumberFormat="1" applyFont="1" applyBorder="1" applyAlignment="1"/>
    <xf numFmtId="0" fontId="86" fillId="15" borderId="77" xfId="0" applyFont="1" applyFill="1" applyBorder="1" applyAlignment="1">
      <alignment horizontal="center"/>
    </xf>
    <xf numFmtId="0" fontId="36" fillId="15" borderId="71" xfId="0" applyFont="1" applyFill="1" applyBorder="1" applyAlignment="1"/>
    <xf numFmtId="0" fontId="36" fillId="15" borderId="71" xfId="0" applyFont="1" applyFill="1" applyBorder="1" applyAlignment="1">
      <alignment horizontal="center"/>
    </xf>
    <xf numFmtId="1" fontId="36" fillId="15" borderId="71" xfId="0" applyNumberFormat="1" applyFont="1" applyFill="1" applyBorder="1" applyAlignment="1"/>
    <xf numFmtId="0" fontId="86" fillId="15" borderId="63" xfId="0" applyFont="1" applyFill="1" applyBorder="1" applyAlignment="1">
      <alignment horizontal="center"/>
    </xf>
    <xf numFmtId="0" fontId="36" fillId="15" borderId="75" xfId="0" applyFont="1" applyFill="1" applyBorder="1" applyAlignment="1"/>
    <xf numFmtId="0" fontId="36" fillId="15" borderId="75" xfId="0" applyFont="1" applyFill="1" applyBorder="1" applyAlignment="1">
      <alignment horizontal="center"/>
    </xf>
    <xf numFmtId="1" fontId="36" fillId="15" borderId="75" xfId="0" applyNumberFormat="1" applyFont="1" applyFill="1" applyBorder="1" applyAlignment="1"/>
    <xf numFmtId="0" fontId="9" fillId="15" borderId="70" xfId="0" applyFont="1" applyFill="1" applyBorder="1" applyAlignment="1">
      <alignment horizontal="center"/>
    </xf>
    <xf numFmtId="0" fontId="9" fillId="15" borderId="70" xfId="0" applyFont="1" applyFill="1" applyBorder="1"/>
    <xf numFmtId="164" fontId="9" fillId="15" borderId="70" xfId="0" applyNumberFormat="1" applyFont="1" applyFill="1" applyBorder="1"/>
    <xf numFmtId="0" fontId="9" fillId="15" borderId="71" xfId="0" applyFont="1" applyFill="1" applyBorder="1" applyAlignment="1">
      <alignment horizontal="center"/>
    </xf>
    <xf numFmtId="0" fontId="9" fillId="15" borderId="0" xfId="0" applyFont="1" applyFill="1" applyAlignment="1">
      <alignment horizontal="center"/>
    </xf>
    <xf numFmtId="0" fontId="9" fillId="15" borderId="0" xfId="0" applyFont="1" applyFill="1"/>
    <xf numFmtId="164" fontId="9" fillId="15" borderId="0" xfId="0" applyNumberFormat="1" applyFont="1" applyFill="1"/>
    <xf numFmtId="0" fontId="9" fillId="15" borderId="63" xfId="0" applyFont="1" applyFill="1" applyBorder="1" applyAlignment="1">
      <alignment horizontal="center"/>
    </xf>
    <xf numFmtId="0" fontId="36" fillId="15" borderId="75" xfId="0" applyFont="1" applyFill="1" applyBorder="1"/>
    <xf numFmtId="0" fontId="9" fillId="15" borderId="75" xfId="0" applyFont="1" applyFill="1" applyBorder="1" applyAlignment="1">
      <alignment horizontal="center"/>
    </xf>
    <xf numFmtId="0" fontId="87" fillId="15" borderId="63" xfId="0" applyFont="1" applyFill="1" applyBorder="1" applyAlignment="1">
      <alignment horizontal="center"/>
    </xf>
    <xf numFmtId="0" fontId="70" fillId="15" borderId="75" xfId="0" applyFont="1" applyFill="1" applyBorder="1"/>
    <xf numFmtId="1" fontId="70" fillId="15" borderId="71" xfId="0" applyNumberFormat="1" applyFont="1" applyFill="1" applyBorder="1" applyAlignment="1"/>
    <xf numFmtId="0" fontId="87" fillId="15" borderId="75" xfId="0" applyFont="1" applyFill="1" applyBorder="1" applyAlignment="1">
      <alignment horizontal="center"/>
    </xf>
    <xf numFmtId="0" fontId="9" fillId="15" borderId="99" xfId="0" applyFont="1" applyFill="1" applyBorder="1" applyAlignment="1">
      <alignment horizontal="center"/>
    </xf>
    <xf numFmtId="0" fontId="9" fillId="15" borderId="99" xfId="0" applyFont="1" applyFill="1" applyBorder="1"/>
    <xf numFmtId="164" fontId="9" fillId="15" borderId="99" xfId="0" applyNumberFormat="1" applyFont="1" applyFill="1" applyBorder="1"/>
    <xf numFmtId="0" fontId="9" fillId="15" borderId="100" xfId="0" applyFont="1" applyFill="1" applyBorder="1" applyAlignment="1">
      <alignment horizontal="center"/>
    </xf>
    <xf numFmtId="0" fontId="9" fillId="15" borderId="100" xfId="0" applyFont="1" applyFill="1" applyBorder="1"/>
    <xf numFmtId="164" fontId="9" fillId="15" borderId="100" xfId="0" applyNumberFormat="1" applyFont="1" applyFill="1" applyBorder="1"/>
    <xf numFmtId="0" fontId="9" fillId="15" borderId="101" xfId="0" applyFont="1" applyFill="1" applyBorder="1" applyAlignment="1">
      <alignment horizontal="center"/>
    </xf>
    <xf numFmtId="0" fontId="9" fillId="15" borderId="101" xfId="0" applyFont="1" applyFill="1" applyBorder="1"/>
    <xf numFmtId="164" fontId="9" fillId="15" borderId="101" xfId="0" applyNumberFormat="1" applyFont="1" applyFill="1" applyBorder="1"/>
    <xf numFmtId="0" fontId="8" fillId="19" borderId="63" xfId="0" applyFont="1" applyFill="1" applyBorder="1" applyAlignment="1">
      <alignment horizontal="center"/>
    </xf>
    <xf numFmtId="0" fontId="37" fillId="19" borderId="75" xfId="0" applyFont="1" applyFill="1" applyBorder="1"/>
    <xf numFmtId="0" fontId="88" fillId="19" borderId="75" xfId="0" applyFont="1" applyFill="1" applyBorder="1" applyAlignment="1">
      <alignment horizontal="center"/>
    </xf>
    <xf numFmtId="1" fontId="37" fillId="19" borderId="71" xfId="0" applyNumberFormat="1" applyFont="1" applyFill="1" applyBorder="1" applyAlignment="1"/>
    <xf numFmtId="0" fontId="88" fillId="19" borderId="63" xfId="0" applyFont="1" applyFill="1" applyBorder="1" applyAlignment="1">
      <alignment horizontal="center"/>
    </xf>
    <xf numFmtId="0" fontId="88" fillId="19" borderId="71" xfId="0" applyFont="1" applyFill="1" applyBorder="1" applyAlignment="1">
      <alignment horizontal="center"/>
    </xf>
    <xf numFmtId="0" fontId="88" fillId="19" borderId="0" xfId="0" applyFont="1" applyFill="1" applyAlignment="1">
      <alignment horizontal="center"/>
    </xf>
    <xf numFmtId="164" fontId="88" fillId="19" borderId="0" xfId="0" applyNumberFormat="1" applyFont="1" applyFill="1"/>
    <xf numFmtId="0" fontId="88" fillId="19" borderId="77" xfId="0" applyFont="1" applyFill="1" applyBorder="1" applyAlignment="1">
      <alignment horizontal="center"/>
    </xf>
    <xf numFmtId="0" fontId="37" fillId="19" borderId="71" xfId="0" applyFont="1" applyFill="1" applyBorder="1"/>
    <xf numFmtId="0" fontId="35" fillId="19" borderId="63" xfId="0" applyFont="1" applyFill="1" applyBorder="1" applyAlignment="1">
      <alignment horizontal="center"/>
    </xf>
    <xf numFmtId="0" fontId="35" fillId="19" borderId="75" xfId="0" applyFont="1" applyFill="1" applyBorder="1" applyAlignment="1">
      <alignment horizontal="center"/>
    </xf>
    <xf numFmtId="0" fontId="35" fillId="19" borderId="0" xfId="0" applyFont="1" applyFill="1" applyAlignment="1">
      <alignment horizontal="center"/>
    </xf>
    <xf numFmtId="0" fontId="35" fillId="19" borderId="70" xfId="0" applyFont="1" applyFill="1" applyBorder="1" applyAlignment="1">
      <alignment horizontal="center"/>
    </xf>
    <xf numFmtId="0" fontId="35" fillId="19" borderId="70" xfId="0" applyFont="1" applyFill="1" applyBorder="1"/>
    <xf numFmtId="164" fontId="35" fillId="19" borderId="70" xfId="0" applyNumberFormat="1" applyFont="1" applyFill="1" applyBorder="1"/>
    <xf numFmtId="0" fontId="35" fillId="19" borderId="71" xfId="0" applyFont="1" applyFill="1" applyBorder="1" applyAlignment="1">
      <alignment horizontal="center"/>
    </xf>
    <xf numFmtId="0" fontId="35" fillId="19" borderId="71" xfId="0" applyFont="1" applyFill="1" applyBorder="1"/>
    <xf numFmtId="164" fontId="35" fillId="19" borderId="71" xfId="0" applyNumberFormat="1" applyFont="1" applyFill="1" applyBorder="1"/>
    <xf numFmtId="164" fontId="35" fillId="19" borderId="75" xfId="0" applyNumberFormat="1" applyFont="1" applyFill="1" applyBorder="1"/>
    <xf numFmtId="0" fontId="9" fillId="15" borderId="77" xfId="0" applyFont="1" applyFill="1" applyBorder="1" applyAlignment="1">
      <alignment horizontal="center"/>
    </xf>
    <xf numFmtId="0" fontId="36" fillId="15" borderId="71" xfId="0" applyFont="1" applyFill="1" applyBorder="1"/>
    <xf numFmtId="0" fontId="62" fillId="0" borderId="0" xfId="0" applyFont="1"/>
    <xf numFmtId="164" fontId="35" fillId="14" borderId="66" xfId="0" applyNumberFormat="1" applyFont="1" applyFill="1" applyBorder="1" applyProtection="1"/>
    <xf numFmtId="164" fontId="35" fillId="14" borderId="65" xfId="0" applyNumberFormat="1" applyFont="1" applyFill="1" applyBorder="1" applyProtection="1"/>
    <xf numFmtId="164" fontId="35" fillId="14" borderId="65" xfId="0" applyNumberFormat="1" applyFont="1" applyFill="1" applyBorder="1" applyAlignment="1" applyProtection="1">
      <alignment vertical="center"/>
    </xf>
    <xf numFmtId="164" fontId="35" fillId="14" borderId="72" xfId="0" applyNumberFormat="1" applyFont="1" applyFill="1" applyBorder="1" applyAlignment="1" applyProtection="1">
      <alignment vertical="center"/>
    </xf>
    <xf numFmtId="164" fontId="10" fillId="14" borderId="68" xfId="0" applyNumberFormat="1" applyFont="1" applyFill="1" applyBorder="1" applyAlignment="1" applyProtection="1">
      <alignment vertical="center"/>
    </xf>
    <xf numFmtId="164" fontId="54" fillId="14" borderId="69" xfId="0" applyNumberFormat="1" applyFont="1" applyFill="1" applyBorder="1" applyAlignment="1" applyProtection="1">
      <alignment vertical="center"/>
    </xf>
    <xf numFmtId="164" fontId="10" fillId="14" borderId="68" xfId="0" applyNumberFormat="1" applyFont="1" applyFill="1" applyBorder="1" applyAlignment="1" applyProtection="1">
      <alignment horizontal="right" vertical="center"/>
    </xf>
    <xf numFmtId="164" fontId="10" fillId="14" borderId="69" xfId="0" applyNumberFormat="1" applyFont="1" applyFill="1" applyBorder="1" applyAlignment="1" applyProtection="1">
      <alignment horizontal="right" vertical="center"/>
    </xf>
    <xf numFmtId="167" fontId="0" fillId="0" borderId="0" xfId="0" applyNumberFormat="1"/>
    <xf numFmtId="164" fontId="10" fillId="18" borderId="66" xfId="0" applyNumberFormat="1" applyFont="1" applyFill="1" applyBorder="1" applyAlignment="1" applyProtection="1">
      <alignment horizontal="center" vertical="center"/>
    </xf>
    <xf numFmtId="164" fontId="10" fillId="0" borderId="67" xfId="0" applyNumberFormat="1" applyFont="1" applyFill="1" applyBorder="1" applyAlignment="1" applyProtection="1">
      <alignment horizontal="center"/>
    </xf>
    <xf numFmtId="164" fontId="10" fillId="0" borderId="65" xfId="0" applyNumberFormat="1" applyFont="1" applyFill="1" applyBorder="1" applyAlignment="1" applyProtection="1">
      <alignment horizontal="center"/>
    </xf>
    <xf numFmtId="0" fontId="85" fillId="0" borderId="0" xfId="0" applyFont="1" applyFill="1" applyAlignment="1">
      <alignment horizontal="center"/>
    </xf>
    <xf numFmtId="0" fontId="0" fillId="1" borderId="75" xfId="0" applyFill="1" applyBorder="1"/>
    <xf numFmtId="0" fontId="0" fillId="1" borderId="0" xfId="0" applyFill="1" applyBorder="1"/>
    <xf numFmtId="0" fontId="86" fillId="15" borderId="0" xfId="0" applyFont="1" applyFill="1" applyBorder="1" applyAlignment="1">
      <alignment horizontal="center"/>
    </xf>
    <xf numFmtId="0" fontId="36" fillId="15" borderId="0" xfId="0" applyFont="1" applyFill="1" applyBorder="1" applyAlignment="1">
      <alignment horizontal="center"/>
    </xf>
    <xf numFmtId="0" fontId="35" fillId="0" borderId="0" xfId="0" quotePrefix="1" applyFont="1" applyBorder="1" applyAlignment="1">
      <alignment horizontal="center"/>
    </xf>
    <xf numFmtId="0" fontId="67" fillId="0" borderId="0" xfId="0" applyFont="1" applyFill="1" applyBorder="1" applyAlignment="1">
      <alignment horizontal="center"/>
    </xf>
    <xf numFmtId="0" fontId="0" fillId="19" borderId="0" xfId="0" applyFill="1" applyBorder="1"/>
    <xf numFmtId="0" fontId="67" fillId="1" borderId="66" xfId="0" applyFont="1" applyFill="1" applyBorder="1" applyAlignment="1">
      <alignment horizontal="center"/>
    </xf>
    <xf numFmtId="164" fontId="35" fillId="1" borderId="66" xfId="0" applyNumberFormat="1" applyFont="1" applyFill="1" applyBorder="1" applyAlignment="1"/>
    <xf numFmtId="0" fontId="0" fillId="20" borderId="67" xfId="0" applyFill="1" applyBorder="1" applyAlignment="1">
      <alignment horizontal="right"/>
    </xf>
    <xf numFmtId="164" fontId="0" fillId="14" borderId="0" xfId="0" applyNumberFormat="1" applyFill="1" applyBorder="1" applyAlignment="1">
      <alignment horizontal="right"/>
    </xf>
    <xf numFmtId="164" fontId="0" fillId="14" borderId="70" xfId="0" applyNumberFormat="1" applyFill="1" applyBorder="1" applyAlignment="1">
      <alignment horizontal="right"/>
    </xf>
    <xf numFmtId="164" fontId="39" fillId="0" borderId="0" xfId="0" applyNumberFormat="1" applyFont="1" applyFill="1" applyBorder="1" applyAlignment="1">
      <alignment horizontal="right"/>
    </xf>
    <xf numFmtId="164" fontId="35" fillId="14" borderId="0" xfId="0" applyNumberFormat="1" applyFont="1" applyFill="1" applyBorder="1" applyAlignment="1">
      <alignment horizontal="right"/>
    </xf>
    <xf numFmtId="164" fontId="35" fillId="14" borderId="70" xfId="0" applyNumberFormat="1" applyFont="1" applyFill="1" applyBorder="1" applyAlignment="1">
      <alignment horizontal="right"/>
    </xf>
    <xf numFmtId="164" fontId="35" fillId="19" borderId="0" xfId="0" applyNumberFormat="1" applyFont="1" applyFill="1" applyBorder="1" applyAlignment="1">
      <alignment horizontal="right"/>
    </xf>
    <xf numFmtId="164" fontId="39" fillId="0" borderId="70" xfId="0" applyNumberFormat="1" applyFont="1" applyFill="1" applyBorder="1" applyAlignment="1">
      <alignment horizontal="right"/>
    </xf>
    <xf numFmtId="164" fontId="35" fillId="19" borderId="70" xfId="0" applyNumberFormat="1" applyFont="1" applyFill="1" applyBorder="1" applyAlignment="1">
      <alignment horizontal="right"/>
    </xf>
    <xf numFmtId="0" fontId="67" fillId="0" borderId="70" xfId="0" applyFont="1" applyBorder="1" applyAlignment="1">
      <alignment horizontal="center"/>
    </xf>
    <xf numFmtId="164" fontId="0" fillId="19" borderId="0" xfId="0" applyNumberFormat="1" applyFill="1" applyBorder="1" applyAlignment="1">
      <alignment horizontal="right"/>
    </xf>
    <xf numFmtId="164" fontId="0" fillId="20" borderId="67" xfId="0" applyNumberFormat="1" applyFill="1" applyBorder="1" applyAlignment="1">
      <alignment horizontal="right"/>
    </xf>
    <xf numFmtId="164" fontId="0" fillId="20" borderId="102" xfId="0" applyNumberFormat="1" applyFill="1" applyBorder="1" applyAlignment="1">
      <alignment horizontal="right"/>
    </xf>
    <xf numFmtId="14" fontId="35" fillId="0" borderId="75" xfId="0" applyNumberFormat="1" applyFont="1" applyFill="1" applyBorder="1" applyAlignment="1"/>
    <xf numFmtId="164" fontId="35" fillId="0" borderId="75" xfId="0" applyNumberFormat="1" applyFont="1" applyFill="1" applyBorder="1" applyAlignment="1">
      <alignment horizontal="center"/>
    </xf>
    <xf numFmtId="164" fontId="35" fillId="20" borderId="103" xfId="0" applyNumberFormat="1" applyFont="1" applyFill="1" applyBorder="1" applyAlignment="1">
      <alignment horizontal="right"/>
    </xf>
    <xf numFmtId="164" fontId="39" fillId="0" borderId="75" xfId="0" applyNumberFormat="1" applyFont="1" applyFill="1" applyBorder="1" applyAlignment="1">
      <alignment horizontal="right"/>
    </xf>
    <xf numFmtId="164" fontId="35" fillId="14" borderId="75" xfId="0" applyNumberFormat="1" applyFont="1" applyFill="1" applyBorder="1" applyAlignment="1">
      <alignment horizontal="right"/>
    </xf>
    <xf numFmtId="0" fontId="0" fillId="0" borderId="66" xfId="0" applyBorder="1" applyAlignment="1">
      <alignment horizontal="center"/>
    </xf>
    <xf numFmtId="164" fontId="35" fillId="1" borderId="70" xfId="0" applyNumberFormat="1" applyFont="1" applyFill="1" applyBorder="1" applyAlignment="1"/>
    <xf numFmtId="164" fontId="35" fillId="0" borderId="70" xfId="0" applyNumberFormat="1" applyFont="1" applyBorder="1" applyAlignment="1">
      <alignment horizontal="center"/>
    </xf>
    <xf numFmtId="0" fontId="0" fillId="19" borderId="0" xfId="0" applyFill="1" applyBorder="1" applyAlignment="1">
      <alignment horizontal="center"/>
    </xf>
    <xf numFmtId="164" fontId="35" fillId="18" borderId="75" xfId="0" applyNumberFormat="1" applyFont="1" applyFill="1" applyBorder="1" applyAlignment="1">
      <alignment horizontal="right"/>
    </xf>
    <xf numFmtId="0" fontId="0" fillId="18" borderId="70" xfId="0" applyFill="1" applyBorder="1" applyAlignment="1">
      <alignment horizontal="right"/>
    </xf>
    <xf numFmtId="164" fontId="0" fillId="19" borderId="67" xfId="0" applyNumberFormat="1" applyFill="1" applyBorder="1" applyAlignment="1">
      <alignment horizontal="right"/>
    </xf>
    <xf numFmtId="164" fontId="35" fillId="18" borderId="70" xfId="0" applyNumberFormat="1" applyFont="1" applyFill="1" applyBorder="1" applyAlignment="1">
      <alignment horizontal="right"/>
    </xf>
    <xf numFmtId="164" fontId="35" fillId="18" borderId="0" xfId="0" applyNumberFormat="1" applyFont="1" applyFill="1" applyBorder="1" applyAlignment="1">
      <alignment horizontal="right"/>
    </xf>
    <xf numFmtId="0" fontId="36" fillId="15" borderId="75" xfId="0" applyFont="1" applyFill="1" applyBorder="1" applyAlignment="1">
      <alignment horizontal="right"/>
    </xf>
    <xf numFmtId="164" fontId="36" fillId="15" borderId="75" xfId="0" applyNumberFormat="1" applyFont="1" applyFill="1" applyBorder="1" applyAlignment="1">
      <alignment horizontal="right"/>
    </xf>
    <xf numFmtId="164" fontId="0" fillId="18" borderId="0" xfId="0" applyNumberFormat="1" applyFill="1" applyBorder="1" applyAlignment="1">
      <alignment horizontal="right"/>
    </xf>
    <xf numFmtId="164" fontId="0" fillId="18" borderId="70" xfId="0" applyNumberFormat="1" applyFill="1" applyBorder="1" applyAlignment="1">
      <alignment horizontal="right"/>
    </xf>
    <xf numFmtId="164" fontId="35" fillId="1" borderId="63" xfId="0" applyNumberFormat="1" applyFont="1" applyFill="1" applyBorder="1" applyAlignment="1">
      <alignment horizontal="right"/>
    </xf>
    <xf numFmtId="164" fontId="35" fillId="26" borderId="75" xfId="0" applyNumberFormat="1" applyFont="1" applyFill="1" applyBorder="1" applyAlignment="1">
      <alignment horizontal="right"/>
    </xf>
    <xf numFmtId="164" fontId="35" fillId="1" borderId="75" xfId="0" applyNumberFormat="1" applyFont="1" applyFill="1" applyBorder="1" applyAlignment="1">
      <alignment horizontal="right"/>
    </xf>
    <xf numFmtId="164" fontId="35" fillId="27" borderId="103" xfId="0" applyNumberFormat="1" applyFont="1" applyFill="1" applyBorder="1" applyAlignment="1">
      <alignment horizontal="right"/>
    </xf>
    <xf numFmtId="0" fontId="0" fillId="1" borderId="66" xfId="0" applyFill="1" applyBorder="1" applyAlignment="1">
      <alignment horizontal="right"/>
    </xf>
    <xf numFmtId="0" fontId="0" fillId="26" borderId="0" xfId="0" applyFill="1" applyBorder="1" applyAlignment="1">
      <alignment horizontal="right"/>
    </xf>
    <xf numFmtId="0" fontId="0" fillId="1" borderId="0" xfId="0" applyFill="1" applyBorder="1" applyAlignment="1">
      <alignment horizontal="right"/>
    </xf>
    <xf numFmtId="164" fontId="35" fillId="26" borderId="0" xfId="0" applyNumberFormat="1" applyFont="1" applyFill="1" applyBorder="1" applyAlignment="1">
      <alignment horizontal="right"/>
    </xf>
    <xf numFmtId="0" fontId="0" fillId="27" borderId="67" xfId="0" applyFill="1" applyBorder="1" applyAlignment="1">
      <alignment horizontal="right"/>
    </xf>
    <xf numFmtId="0" fontId="0" fillId="1" borderId="76" xfId="0" applyFill="1" applyBorder="1" applyAlignment="1">
      <alignment horizontal="right"/>
    </xf>
    <xf numFmtId="0" fontId="0" fillId="26" borderId="70" xfId="0" applyFill="1" applyBorder="1" applyAlignment="1">
      <alignment horizontal="right"/>
    </xf>
    <xf numFmtId="0" fontId="0" fillId="1" borderId="70" xfId="0" applyFill="1" applyBorder="1" applyAlignment="1">
      <alignment horizontal="right"/>
    </xf>
    <xf numFmtId="0" fontId="0" fillId="27" borderId="102" xfId="0" applyFill="1" applyBorder="1" applyAlignment="1">
      <alignment horizontal="right"/>
    </xf>
    <xf numFmtId="2" fontId="36" fillId="15" borderId="104" xfId="0" applyNumberFormat="1" applyFont="1" applyFill="1" applyBorder="1" applyAlignment="1" applyProtection="1">
      <alignment horizontal="center"/>
    </xf>
    <xf numFmtId="0" fontId="36" fillId="15" borderId="104" xfId="0" applyFont="1" applyFill="1" applyBorder="1" applyAlignment="1" applyProtection="1">
      <alignment horizontal="center"/>
    </xf>
    <xf numFmtId="2" fontId="36" fillId="15" borderId="105" xfId="0" applyNumberFormat="1" applyFont="1" applyFill="1" applyBorder="1" applyAlignment="1" applyProtection="1">
      <alignment horizontal="center"/>
    </xf>
    <xf numFmtId="0" fontId="36" fillId="15" borderId="105" xfId="0" applyFont="1" applyFill="1" applyBorder="1" applyAlignment="1" applyProtection="1">
      <alignment horizontal="center"/>
    </xf>
    <xf numFmtId="0" fontId="0" fillId="15" borderId="0" xfId="0" applyFill="1"/>
    <xf numFmtId="2" fontId="36" fillId="15" borderId="106" xfId="0" applyNumberFormat="1" applyFont="1" applyFill="1" applyBorder="1" applyAlignment="1" applyProtection="1">
      <alignment horizontal="center"/>
    </xf>
    <xf numFmtId="2" fontId="36" fillId="15" borderId="107" xfId="0" applyNumberFormat="1" applyFont="1" applyFill="1" applyBorder="1" applyAlignment="1" applyProtection="1">
      <alignment horizontal="center"/>
    </xf>
    <xf numFmtId="0" fontId="36" fillId="15" borderId="0" xfId="0" applyFont="1" applyFill="1" applyBorder="1"/>
    <xf numFmtId="0" fontId="36" fillId="15" borderId="0" xfId="0" applyFont="1" applyFill="1" applyBorder="1" applyAlignment="1">
      <alignment horizontal="right"/>
    </xf>
    <xf numFmtId="164" fontId="36" fillId="15" borderId="0" xfId="0" applyNumberFormat="1" applyFont="1" applyFill="1" applyBorder="1" applyAlignment="1">
      <alignment horizontal="right"/>
    </xf>
    <xf numFmtId="0" fontId="0" fillId="18" borderId="75" xfId="0" applyFill="1" applyBorder="1" applyAlignment="1">
      <alignment horizontal="right"/>
    </xf>
    <xf numFmtId="164" fontId="0" fillId="20" borderId="103" xfId="0" applyNumberFormat="1" applyFill="1" applyBorder="1" applyAlignment="1">
      <alignment horizontal="right"/>
    </xf>
    <xf numFmtId="14" fontId="35" fillId="0" borderId="70" xfId="0" applyNumberFormat="1" applyFont="1" applyBorder="1" applyAlignment="1"/>
    <xf numFmtId="0" fontId="0" fillId="1" borderId="63" xfId="0" applyFill="1" applyBorder="1" applyAlignment="1">
      <alignment horizontal="center"/>
    </xf>
    <xf numFmtId="0" fontId="0" fillId="19" borderId="70" xfId="0" applyFill="1" applyBorder="1"/>
    <xf numFmtId="0" fontId="0" fillId="19" borderId="70" xfId="0" applyFill="1" applyBorder="1" applyAlignment="1">
      <alignment horizontal="center"/>
    </xf>
    <xf numFmtId="164" fontId="39" fillId="19" borderId="70" xfId="0" applyNumberFormat="1" applyFont="1" applyFill="1" applyBorder="1" applyAlignment="1">
      <alignment horizontal="right"/>
    </xf>
    <xf numFmtId="164" fontId="0" fillId="19" borderId="70" xfId="0" applyNumberFormat="1" applyFill="1" applyBorder="1" applyAlignment="1">
      <alignment horizontal="right"/>
    </xf>
    <xf numFmtId="164" fontId="0" fillId="19" borderId="102" xfId="0" applyNumberFormat="1" applyFill="1" applyBorder="1" applyAlignment="1">
      <alignment horizontal="right"/>
    </xf>
    <xf numFmtId="0" fontId="0" fillId="19" borderId="71" xfId="0" applyFill="1" applyBorder="1"/>
    <xf numFmtId="0" fontId="0" fillId="19" borderId="71" xfId="0" applyFill="1" applyBorder="1" applyAlignment="1">
      <alignment horizontal="center"/>
    </xf>
    <xf numFmtId="164" fontId="35" fillId="19" borderId="71" xfId="0" applyNumberFormat="1" applyFont="1" applyFill="1" applyBorder="1" applyAlignment="1">
      <alignment horizontal="right"/>
    </xf>
    <xf numFmtId="164" fontId="39" fillId="19" borderId="71" xfId="0" applyNumberFormat="1" applyFont="1" applyFill="1" applyBorder="1" applyAlignment="1">
      <alignment horizontal="right"/>
    </xf>
    <xf numFmtId="164" fontId="0" fillId="19" borderId="71" xfId="0" applyNumberFormat="1" applyFill="1" applyBorder="1" applyAlignment="1">
      <alignment horizontal="right"/>
    </xf>
    <xf numFmtId="164" fontId="0" fillId="19" borderId="108" xfId="0" applyNumberFormat="1" applyFill="1" applyBorder="1" applyAlignment="1">
      <alignment horizontal="right"/>
    </xf>
    <xf numFmtId="0" fontId="0" fillId="26" borderId="75" xfId="0" applyFill="1" applyBorder="1"/>
    <xf numFmtId="0" fontId="0" fillId="26" borderId="0" xfId="0" applyFill="1" applyBorder="1"/>
    <xf numFmtId="0" fontId="0" fillId="27" borderId="103" xfId="0" applyFill="1" applyBorder="1"/>
    <xf numFmtId="0" fontId="0" fillId="27" borderId="67" xfId="0" applyFill="1" applyBorder="1"/>
    <xf numFmtId="164" fontId="39" fillId="1" borderId="63" xfId="0" applyNumberFormat="1" applyFont="1" applyFill="1" applyBorder="1" applyAlignment="1">
      <alignment horizontal="right"/>
    </xf>
    <xf numFmtId="164" fontId="11" fillId="1" borderId="66" xfId="0" applyNumberFormat="1" applyFont="1" applyFill="1" applyBorder="1" applyAlignment="1">
      <alignment horizontal="right"/>
    </xf>
    <xf numFmtId="164" fontId="39" fillId="19" borderId="66" xfId="0" applyNumberFormat="1" applyFont="1" applyFill="1" applyBorder="1" applyAlignment="1">
      <alignment horizontal="right"/>
    </xf>
    <xf numFmtId="164" fontId="39" fillId="0" borderId="66" xfId="0" applyNumberFormat="1" applyFont="1" applyBorder="1" applyAlignment="1">
      <alignment horizontal="right"/>
    </xf>
    <xf numFmtId="164" fontId="0" fillId="20" borderId="67" xfId="0" applyNumberFormat="1" applyFill="1" applyBorder="1"/>
    <xf numFmtId="164" fontId="0" fillId="27" borderId="103" xfId="0" applyNumberFormat="1" applyFill="1" applyBorder="1"/>
    <xf numFmtId="164" fontId="0" fillId="27" borderId="67" xfId="0" applyNumberFormat="1" applyFill="1" applyBorder="1"/>
    <xf numFmtId="164" fontId="37" fillId="0" borderId="0" xfId="0" applyNumberFormat="1" applyFont="1" applyBorder="1" applyAlignment="1">
      <alignment horizontal="right"/>
    </xf>
    <xf numFmtId="164" fontId="37" fillId="0" borderId="70" xfId="0" applyNumberFormat="1" applyFont="1" applyBorder="1" applyAlignment="1">
      <alignment horizontal="right"/>
    </xf>
    <xf numFmtId="164" fontId="37" fillId="19" borderId="0" xfId="0" applyNumberFormat="1" applyFont="1" applyFill="1" applyBorder="1" applyAlignment="1">
      <alignment horizontal="right"/>
    </xf>
    <xf numFmtId="0" fontId="37" fillId="0" borderId="0" xfId="0" applyFont="1"/>
    <xf numFmtId="0" fontId="37" fillId="1" borderId="75" xfId="0" applyFont="1" applyFill="1" applyBorder="1"/>
    <xf numFmtId="0" fontId="37" fillId="1" borderId="0" xfId="0" applyFont="1" applyFill="1" applyBorder="1"/>
    <xf numFmtId="164" fontId="37" fillId="0" borderId="0" xfId="0" applyNumberFormat="1" applyFont="1" applyBorder="1"/>
    <xf numFmtId="164" fontId="37" fillId="19" borderId="70" xfId="0" applyNumberFormat="1" applyFont="1" applyFill="1" applyBorder="1" applyAlignment="1">
      <alignment horizontal="right"/>
    </xf>
    <xf numFmtId="164" fontId="37" fillId="1" borderId="75" xfId="0" applyNumberFormat="1" applyFont="1" applyFill="1" applyBorder="1"/>
    <xf numFmtId="164" fontId="37" fillId="1" borderId="0" xfId="0" applyNumberFormat="1" applyFont="1" applyFill="1" applyBorder="1"/>
    <xf numFmtId="164" fontId="37" fillId="19" borderId="71" xfId="0" applyNumberFormat="1" applyFont="1" applyFill="1" applyBorder="1" applyAlignment="1">
      <alignment horizontal="right"/>
    </xf>
    <xf numFmtId="0" fontId="0" fillId="28" borderId="0" xfId="0" applyFill="1"/>
    <xf numFmtId="14" fontId="35" fillId="28" borderId="63" xfId="0" applyNumberFormat="1" applyFont="1" applyFill="1" applyBorder="1" applyAlignment="1" applyProtection="1">
      <alignment horizontal="center" vertical="center"/>
    </xf>
    <xf numFmtId="164" fontId="35" fillId="28" borderId="0" xfId="0" applyNumberFormat="1" applyFont="1" applyFill="1" applyBorder="1" applyAlignment="1"/>
    <xf numFmtId="164" fontId="35" fillId="28" borderId="0" xfId="0" applyNumberFormat="1" applyFont="1" applyFill="1" applyBorder="1" applyAlignment="1">
      <alignment horizontal="center"/>
    </xf>
    <xf numFmtId="164" fontId="39" fillId="28" borderId="75" xfId="0" applyNumberFormat="1" applyFont="1" applyFill="1" applyBorder="1" applyAlignment="1">
      <alignment horizontal="right"/>
    </xf>
    <xf numFmtId="14" fontId="35" fillId="28" borderId="66" xfId="0" applyNumberFormat="1" applyFont="1" applyFill="1" applyBorder="1" applyAlignment="1" applyProtection="1">
      <alignment horizontal="center" vertical="center"/>
    </xf>
    <xf numFmtId="14" fontId="35" fillId="28" borderId="76" xfId="0" applyNumberFormat="1" applyFont="1" applyFill="1" applyBorder="1" applyAlignment="1" applyProtection="1">
      <alignment horizontal="center" vertical="center"/>
    </xf>
    <xf numFmtId="164" fontId="35" fillId="28" borderId="70" xfId="0" applyNumberFormat="1" applyFont="1" applyFill="1" applyBorder="1" applyAlignment="1"/>
    <xf numFmtId="164" fontId="35" fillId="28" borderId="70" xfId="0" applyNumberFormat="1" applyFont="1" applyFill="1" applyBorder="1" applyAlignment="1">
      <alignment horizontal="center"/>
    </xf>
    <xf numFmtId="0" fontId="0" fillId="28" borderId="76" xfId="0" applyFill="1" applyBorder="1" applyAlignment="1">
      <alignment horizontal="right"/>
    </xf>
    <xf numFmtId="0" fontId="0" fillId="28" borderId="70" xfId="0" applyFill="1" applyBorder="1" applyAlignment="1">
      <alignment horizontal="right"/>
    </xf>
    <xf numFmtId="164" fontId="35" fillId="26" borderId="0" xfId="0" applyNumberFormat="1" applyFont="1" applyFill="1" applyBorder="1" applyAlignment="1"/>
    <xf numFmtId="164" fontId="35" fillId="20" borderId="67" xfId="0" applyNumberFormat="1" applyFont="1" applyFill="1" applyBorder="1" applyAlignment="1"/>
    <xf numFmtId="164" fontId="35" fillId="1" borderId="63" xfId="0" applyNumberFormat="1" applyFont="1" applyFill="1" applyBorder="1" applyAlignment="1"/>
    <xf numFmtId="164" fontId="35" fillId="26" borderId="75" xfId="0" applyNumberFormat="1" applyFont="1" applyFill="1" applyBorder="1" applyAlignment="1"/>
    <xf numFmtId="164" fontId="35" fillId="20" borderId="103" xfId="0" applyNumberFormat="1" applyFont="1" applyFill="1" applyBorder="1" applyAlignment="1"/>
    <xf numFmtId="164" fontId="35" fillId="0" borderId="71" xfId="0" applyNumberFormat="1" applyFont="1" applyFill="1" applyBorder="1" applyAlignment="1"/>
    <xf numFmtId="0" fontId="35" fillId="14" borderId="0" xfId="0" applyFont="1" applyFill="1" applyAlignment="1"/>
    <xf numFmtId="164" fontId="35" fillId="14" borderId="0" xfId="0" applyNumberFormat="1" applyFont="1" applyFill="1" applyAlignment="1"/>
    <xf numFmtId="2" fontId="35" fillId="14" borderId="0" xfId="0" applyNumberFormat="1" applyFont="1" applyFill="1" applyAlignment="1">
      <alignment horizontal="center"/>
    </xf>
    <xf numFmtId="0" fontId="35" fillId="0" borderId="109" xfId="0" applyFont="1" applyBorder="1" applyAlignment="1">
      <alignment horizontal="center"/>
    </xf>
    <xf numFmtId="0" fontId="10" fillId="0" borderId="110" xfId="0" applyFont="1" applyBorder="1" applyAlignment="1">
      <alignment horizontal="center"/>
    </xf>
    <xf numFmtId="0" fontId="35" fillId="0" borderId="110" xfId="0" applyFont="1" applyBorder="1" applyAlignment="1"/>
    <xf numFmtId="0" fontId="35" fillId="0" borderId="110" xfId="0" applyFont="1" applyBorder="1" applyAlignment="1">
      <alignment horizontal="center"/>
    </xf>
    <xf numFmtId="164" fontId="35" fillId="0" borderId="110" xfId="0" applyNumberFormat="1" applyFont="1" applyBorder="1" applyAlignment="1"/>
    <xf numFmtId="0" fontId="35" fillId="0" borderId="111" xfId="0" applyFont="1" applyBorder="1" applyAlignment="1">
      <alignment horizontal="center"/>
    </xf>
    <xf numFmtId="0" fontId="10" fillId="0" borderId="112" xfId="0" applyFont="1" applyBorder="1" applyAlignment="1">
      <alignment horizontal="center"/>
    </xf>
    <xf numFmtId="164" fontId="35" fillId="0" borderId="112" xfId="0" applyNumberFormat="1" applyFont="1" applyBorder="1" applyAlignment="1"/>
    <xf numFmtId="164" fontId="35" fillId="0" borderId="112" xfId="0" applyNumberFormat="1" applyFont="1" applyBorder="1" applyAlignment="1">
      <alignment horizontal="center"/>
    </xf>
    <xf numFmtId="0" fontId="35" fillId="0" borderId="75" xfId="0" applyFont="1" applyBorder="1" applyAlignment="1"/>
    <xf numFmtId="2" fontId="35" fillId="0" borderId="75" xfId="0" applyNumberFormat="1" applyFont="1" applyBorder="1" applyAlignment="1">
      <alignment horizontal="center"/>
    </xf>
    <xf numFmtId="0" fontId="35" fillId="0" borderId="0" xfId="0" applyFont="1" applyBorder="1" applyAlignment="1"/>
    <xf numFmtId="2" fontId="35" fillId="0" borderId="0" xfId="0" applyNumberFormat="1" applyFont="1" applyBorder="1" applyAlignment="1">
      <alignment horizontal="center"/>
    </xf>
    <xf numFmtId="0" fontId="35" fillId="0" borderId="70" xfId="0" applyFont="1" applyBorder="1" applyAlignment="1"/>
    <xf numFmtId="2" fontId="35" fillId="0" borderId="70" xfId="0" applyNumberFormat="1" applyFont="1" applyBorder="1" applyAlignment="1">
      <alignment horizontal="center"/>
    </xf>
    <xf numFmtId="0" fontId="10" fillId="12" borderId="75" xfId="0" applyFont="1" applyFill="1" applyBorder="1" applyAlignment="1">
      <alignment horizontal="center"/>
    </xf>
    <xf numFmtId="165" fontId="35" fillId="12" borderId="75" xfId="49" applyNumberFormat="1" applyFont="1" applyFill="1" applyBorder="1" applyAlignment="1"/>
    <xf numFmtId="0" fontId="10" fillId="20" borderId="0" xfId="0" applyFont="1" applyFill="1" applyAlignment="1">
      <alignment horizontal="center"/>
    </xf>
    <xf numFmtId="0" fontId="35" fillId="20" borderId="0" xfId="0" applyFont="1" applyFill="1" applyAlignment="1"/>
    <xf numFmtId="2" fontId="35" fillId="20" borderId="0" xfId="0" applyNumberFormat="1" applyFont="1" applyFill="1" applyAlignment="1">
      <alignment horizontal="center"/>
    </xf>
    <xf numFmtId="0" fontId="10" fillId="12" borderId="0" xfId="0" applyFont="1" applyFill="1" applyAlignment="1">
      <alignment horizontal="center"/>
    </xf>
    <xf numFmtId="0" fontId="35" fillId="12" borderId="0" xfId="0" applyFont="1" applyFill="1" applyAlignment="1"/>
    <xf numFmtId="2" fontId="35" fillId="12" borderId="0" xfId="0" applyNumberFormat="1" applyFont="1" applyFill="1" applyAlignment="1">
      <alignment horizontal="center"/>
    </xf>
    <xf numFmtId="164" fontId="39" fillId="1" borderId="75" xfId="0" applyNumberFormat="1" applyFont="1" applyFill="1" applyBorder="1" applyAlignment="1"/>
    <xf numFmtId="164" fontId="39" fillId="19" borderId="71" xfId="0" applyNumberFormat="1" applyFont="1" applyFill="1" applyBorder="1"/>
    <xf numFmtId="164" fontId="39" fillId="19" borderId="75" xfId="0" applyNumberFormat="1" applyFont="1" applyFill="1" applyBorder="1"/>
    <xf numFmtId="164" fontId="39" fillId="14" borderId="70" xfId="0" applyNumberFormat="1" applyFont="1" applyFill="1" applyBorder="1"/>
    <xf numFmtId="164" fontId="39" fillId="14" borderId="71" xfId="0" applyNumberFormat="1" applyFont="1" applyFill="1" applyBorder="1"/>
    <xf numFmtId="166" fontId="8" fillId="0" borderId="0" xfId="0" applyNumberFormat="1" applyFont="1" applyBorder="1" applyProtection="1"/>
    <xf numFmtId="164" fontId="35" fillId="20" borderId="0" xfId="0" applyNumberFormat="1" applyFont="1" applyFill="1" applyAlignment="1"/>
    <xf numFmtId="0" fontId="35" fillId="10" borderId="61" xfId="0" applyFont="1" applyFill="1" applyBorder="1"/>
    <xf numFmtId="0" fontId="35" fillId="10" borderId="13" xfId="0" applyFont="1" applyFill="1" applyBorder="1" applyAlignment="1">
      <alignment horizontal="center"/>
    </xf>
    <xf numFmtId="0" fontId="35" fillId="10" borderId="14" xfId="0" applyFont="1" applyFill="1" applyBorder="1" applyAlignment="1">
      <alignment horizontal="center"/>
    </xf>
    <xf numFmtId="164" fontId="0" fillId="18" borderId="71" xfId="0" applyNumberFormat="1" applyFill="1" applyBorder="1"/>
    <xf numFmtId="164" fontId="0" fillId="19" borderId="0" xfId="0" applyNumberFormat="1" applyFill="1" applyBorder="1"/>
    <xf numFmtId="164" fontId="0" fillId="18" borderId="70" xfId="0" applyNumberFormat="1" applyFill="1" applyBorder="1"/>
    <xf numFmtId="164" fontId="35" fillId="18" borderId="75" xfId="0" applyNumberFormat="1" applyFont="1" applyFill="1" applyBorder="1" applyAlignment="1"/>
    <xf numFmtId="164" fontId="35" fillId="18" borderId="0" xfId="0" applyNumberFormat="1" applyFont="1" applyFill="1" applyBorder="1" applyAlignment="1"/>
    <xf numFmtId="14" fontId="36" fillId="15" borderId="0" xfId="0" applyNumberFormat="1" applyFont="1" applyFill="1" applyBorder="1"/>
    <xf numFmtId="164" fontId="37" fillId="0" borderId="77" xfId="0" applyNumberFormat="1" applyFont="1" applyBorder="1"/>
    <xf numFmtId="164" fontId="37" fillId="0" borderId="71" xfId="0" applyNumberFormat="1" applyFont="1" applyBorder="1"/>
    <xf numFmtId="164" fontId="0" fillId="20" borderId="108" xfId="0" applyNumberFormat="1" applyFill="1" applyBorder="1"/>
    <xf numFmtId="164" fontId="0" fillId="20" borderId="102" xfId="0" applyNumberFormat="1" applyFill="1" applyBorder="1"/>
    <xf numFmtId="164" fontId="37" fillId="0" borderId="76" xfId="0" applyNumberFormat="1" applyFont="1" applyBorder="1"/>
    <xf numFmtId="164" fontId="37" fillId="0" borderId="70" xfId="0" applyNumberFormat="1" applyFont="1" applyBorder="1"/>
    <xf numFmtId="164" fontId="39" fillId="28" borderId="63" xfId="0" applyNumberFormat="1" applyFont="1" applyFill="1" applyBorder="1" applyAlignment="1"/>
    <xf numFmtId="164" fontId="39" fillId="28" borderId="75" xfId="0" applyNumberFormat="1" applyFont="1" applyFill="1" applyBorder="1" applyAlignment="1"/>
    <xf numFmtId="164" fontId="35" fillId="1" borderId="66" xfId="0" applyNumberFormat="1" applyFont="1" applyFill="1" applyBorder="1" applyAlignment="1">
      <alignment horizontal="right"/>
    </xf>
    <xf numFmtId="164" fontId="35" fillId="1" borderId="0" xfId="0" applyNumberFormat="1" applyFont="1" applyFill="1" applyBorder="1" applyAlignment="1">
      <alignment horizontal="right"/>
    </xf>
    <xf numFmtId="0" fontId="0" fillId="29" borderId="66" xfId="0" applyFill="1" applyBorder="1" applyAlignment="1">
      <alignment horizontal="right"/>
    </xf>
    <xf numFmtId="0" fontId="0" fillId="29" borderId="0" xfId="0" applyFill="1" applyBorder="1" applyAlignment="1">
      <alignment horizontal="right"/>
    </xf>
    <xf numFmtId="164" fontId="35" fillId="27" borderId="67" xfId="0" applyNumberFormat="1" applyFont="1" applyFill="1" applyBorder="1" applyAlignment="1">
      <alignment horizontal="right"/>
    </xf>
    <xf numFmtId="0" fontId="0" fillId="29" borderId="67" xfId="0" applyFill="1" applyBorder="1" applyAlignment="1">
      <alignment horizontal="right"/>
    </xf>
    <xf numFmtId="0" fontId="0" fillId="1" borderId="66" xfId="0" applyFill="1" applyBorder="1"/>
    <xf numFmtId="0" fontId="0" fillId="29" borderId="76" xfId="0" applyFill="1" applyBorder="1" applyAlignment="1">
      <alignment horizontal="right"/>
    </xf>
    <xf numFmtId="0" fontId="0" fillId="29" borderId="70" xfId="0" applyFill="1" applyBorder="1" applyAlignment="1">
      <alignment horizontal="right"/>
    </xf>
    <xf numFmtId="0" fontId="0" fillId="29" borderId="77" xfId="0" applyFill="1" applyBorder="1" applyAlignment="1">
      <alignment horizontal="right"/>
    </xf>
    <xf numFmtId="0" fontId="0" fillId="29" borderId="71" xfId="0" applyFill="1" applyBorder="1" applyAlignment="1">
      <alignment horizontal="right"/>
    </xf>
    <xf numFmtId="0" fontId="0" fillId="29" borderId="102" xfId="0" applyFill="1" applyBorder="1" applyAlignment="1">
      <alignment horizontal="right"/>
    </xf>
    <xf numFmtId="0" fontId="0" fillId="29" borderId="108" xfId="0" applyFill="1" applyBorder="1" applyAlignment="1">
      <alignment horizontal="right"/>
    </xf>
    <xf numFmtId="0" fontId="0" fillId="1" borderId="77" xfId="0" applyFill="1" applyBorder="1"/>
    <xf numFmtId="0" fontId="0" fillId="26" borderId="71" xfId="0" applyFill="1" applyBorder="1"/>
    <xf numFmtId="0" fontId="0" fillId="1" borderId="71" xfId="0" applyFill="1" applyBorder="1"/>
    <xf numFmtId="0" fontId="0" fillId="27" borderId="108" xfId="0" applyFill="1" applyBorder="1"/>
    <xf numFmtId="164" fontId="35" fillId="27" borderId="103" xfId="0" applyNumberFormat="1" applyFont="1" applyFill="1" applyBorder="1" applyAlignment="1"/>
    <xf numFmtId="164" fontId="35" fillId="27" borderId="67" xfId="0" applyNumberFormat="1" applyFont="1" applyFill="1" applyBorder="1" applyAlignment="1"/>
    <xf numFmtId="164" fontId="0" fillId="27" borderId="102" xfId="0" applyNumberFormat="1" applyFill="1" applyBorder="1"/>
    <xf numFmtId="0" fontId="37" fillId="1" borderId="76" xfId="0" applyFont="1" applyFill="1" applyBorder="1"/>
    <xf numFmtId="0" fontId="0" fillId="26" borderId="70" xfId="0" applyFill="1" applyBorder="1"/>
    <xf numFmtId="0" fontId="37" fillId="1" borderId="70" xfId="0" applyFont="1" applyFill="1" applyBorder="1"/>
    <xf numFmtId="164" fontId="0" fillId="26" borderId="70" xfId="0" applyNumberFormat="1" applyFill="1" applyBorder="1"/>
    <xf numFmtId="0" fontId="0" fillId="27" borderId="102" xfId="0" applyFill="1" applyBorder="1"/>
    <xf numFmtId="164" fontId="39" fillId="0" borderId="71" xfId="0" applyNumberFormat="1" applyFont="1" applyFill="1" applyBorder="1" applyAlignment="1"/>
    <xf numFmtId="0" fontId="35" fillId="0" borderId="77" xfId="0" applyFont="1" applyFill="1" applyBorder="1" applyAlignment="1">
      <alignment horizontal="center"/>
    </xf>
    <xf numFmtId="0" fontId="0" fillId="0" borderId="71" xfId="0" applyFill="1" applyBorder="1" applyAlignment="1">
      <alignment horizontal="center"/>
    </xf>
    <xf numFmtId="164" fontId="35" fillId="1" borderId="77" xfId="0" applyNumberFormat="1" applyFont="1" applyFill="1" applyBorder="1" applyAlignment="1"/>
    <xf numFmtId="164" fontId="35" fillId="1" borderId="71" xfId="0" applyNumberFormat="1" applyFont="1" applyFill="1" applyBorder="1" applyAlignment="1"/>
    <xf numFmtId="164" fontId="35" fillId="18" borderId="71" xfId="0" applyNumberFormat="1" applyFont="1" applyFill="1" applyBorder="1" applyAlignment="1"/>
    <xf numFmtId="165" fontId="0" fillId="0" borderId="0" xfId="49" applyNumberFormat="1" applyFont="1"/>
    <xf numFmtId="2" fontId="35" fillId="20" borderId="103" xfId="0" applyNumberFormat="1" applyFont="1" applyFill="1" applyBorder="1" applyAlignment="1">
      <alignment horizontal="right"/>
    </xf>
    <xf numFmtId="2" fontId="0" fillId="20" borderId="67" xfId="0" applyNumberFormat="1" applyFill="1" applyBorder="1" applyAlignment="1">
      <alignment horizontal="right"/>
    </xf>
    <xf numFmtId="2" fontId="0" fillId="20" borderId="102" xfId="0" applyNumberFormat="1" applyFill="1" applyBorder="1" applyAlignment="1">
      <alignment horizontal="right"/>
    </xf>
    <xf numFmtId="164" fontId="39" fillId="14" borderId="71" xfId="0" applyNumberFormat="1" applyFont="1" applyFill="1" applyBorder="1" applyAlignment="1">
      <alignment horizontal="right"/>
    </xf>
    <xf numFmtId="2" fontId="39" fillId="14" borderId="108" xfId="0" applyNumberFormat="1" applyFont="1" applyFill="1" applyBorder="1" applyAlignment="1">
      <alignment horizontal="right"/>
    </xf>
    <xf numFmtId="0" fontId="0" fillId="28" borderId="63" xfId="0" applyFill="1" applyBorder="1" applyAlignment="1">
      <alignment horizontal="right"/>
    </xf>
    <xf numFmtId="0" fontId="0" fillId="28" borderId="75" xfId="0" applyFill="1" applyBorder="1" applyAlignment="1">
      <alignment horizontal="right"/>
    </xf>
    <xf numFmtId="164" fontId="0" fillId="14" borderId="71" xfId="0" applyNumberFormat="1" applyFill="1" applyBorder="1" applyAlignment="1">
      <alignment horizontal="right"/>
    </xf>
    <xf numFmtId="164" fontId="35" fillId="14" borderId="71" xfId="0" applyNumberFormat="1" applyFont="1" applyFill="1" applyBorder="1" applyAlignment="1">
      <alignment horizontal="right"/>
    </xf>
    <xf numFmtId="164" fontId="0" fillId="20" borderId="108" xfId="0" applyNumberFormat="1" applyFill="1" applyBorder="1" applyAlignment="1">
      <alignment horizontal="right"/>
    </xf>
    <xf numFmtId="164" fontId="0" fillId="14" borderId="102" xfId="0" applyNumberFormat="1" applyFill="1" applyBorder="1" applyAlignment="1">
      <alignment horizontal="right"/>
    </xf>
    <xf numFmtId="164" fontId="39" fillId="14" borderId="77" xfId="0" applyNumberFormat="1" applyFont="1" applyFill="1" applyBorder="1" applyAlignment="1">
      <alignment horizontal="right"/>
    </xf>
    <xf numFmtId="164" fontId="39" fillId="14" borderId="108" xfId="0" applyNumberFormat="1" applyFont="1" applyFill="1" applyBorder="1" applyAlignment="1">
      <alignment horizontal="right"/>
    </xf>
    <xf numFmtId="164" fontId="39" fillId="30" borderId="63" xfId="0" applyNumberFormat="1" applyFont="1" applyFill="1" applyBorder="1" applyAlignment="1"/>
    <xf numFmtId="164" fontId="39" fillId="30" borderId="75" xfId="0" applyNumberFormat="1" applyFont="1" applyFill="1" applyBorder="1" applyAlignment="1"/>
    <xf numFmtId="164" fontId="35" fillId="31" borderId="0" xfId="0" applyNumberFormat="1" applyFont="1" applyFill="1" applyBorder="1" applyAlignment="1"/>
    <xf numFmtId="164" fontId="39" fillId="30" borderId="71" xfId="0" applyNumberFormat="1" applyFont="1" applyFill="1" applyBorder="1" applyAlignment="1">
      <alignment horizontal="right"/>
    </xf>
    <xf numFmtId="2" fontId="39" fillId="30" borderId="0" xfId="0" applyNumberFormat="1" applyFont="1" applyFill="1" applyBorder="1" applyAlignment="1"/>
    <xf numFmtId="164" fontId="39" fillId="30" borderId="79" xfId="0" applyNumberFormat="1" applyFont="1" applyFill="1" applyBorder="1" applyAlignment="1"/>
    <xf numFmtId="164" fontId="39" fillId="30" borderId="81" xfId="0" applyNumberFormat="1" applyFont="1" applyFill="1" applyBorder="1" applyAlignment="1"/>
    <xf numFmtId="164" fontId="39" fillId="30" borderId="0" xfId="0" applyNumberFormat="1" applyFont="1" applyFill="1" applyBorder="1" applyAlignment="1"/>
    <xf numFmtId="0" fontId="0" fillId="31" borderId="75" xfId="0" applyFill="1" applyBorder="1"/>
    <xf numFmtId="0" fontId="0" fillId="31" borderId="0" xfId="0" applyFill="1" applyBorder="1"/>
    <xf numFmtId="164" fontId="39" fillId="14" borderId="75" xfId="0" applyNumberFormat="1" applyFont="1" applyFill="1" applyBorder="1"/>
    <xf numFmtId="0" fontId="35" fillId="14" borderId="63" xfId="0" applyFont="1" applyFill="1" applyBorder="1" applyAlignment="1">
      <alignment horizontal="center"/>
    </xf>
    <xf numFmtId="0" fontId="35" fillId="14" borderId="75" xfId="0" applyFont="1" applyFill="1" applyBorder="1" applyAlignment="1">
      <alignment horizontal="center"/>
    </xf>
    <xf numFmtId="164" fontId="35" fillId="14" borderId="75" xfId="0" applyNumberFormat="1" applyFont="1" applyFill="1" applyBorder="1"/>
    <xf numFmtId="164" fontId="39" fillId="30" borderId="77" xfId="0" applyNumberFormat="1" applyFont="1" applyFill="1" applyBorder="1" applyAlignment="1">
      <alignment horizontal="right"/>
    </xf>
    <xf numFmtId="2" fontId="39" fillId="30" borderId="79" xfId="0" applyNumberFormat="1" applyFont="1" applyFill="1" applyBorder="1" applyAlignment="1"/>
    <xf numFmtId="2" fontId="39" fillId="30" borderId="81" xfId="0" applyNumberFormat="1" applyFont="1" applyFill="1" applyBorder="1" applyAlignment="1"/>
    <xf numFmtId="2" fontId="39" fillId="30" borderId="0" xfId="0" applyNumberFormat="1" applyFont="1" applyFill="1" applyBorder="1"/>
    <xf numFmtId="2" fontId="39" fillId="30" borderId="81" xfId="0" applyNumberFormat="1" applyFont="1" applyFill="1" applyBorder="1"/>
    <xf numFmtId="2" fontId="39" fillId="30" borderId="88" xfId="0" applyNumberFormat="1" applyFont="1" applyFill="1" applyBorder="1"/>
    <xf numFmtId="2" fontId="39" fillId="30" borderId="0" xfId="0" applyNumberFormat="1" applyFont="1" applyFill="1"/>
    <xf numFmtId="2" fontId="39" fillId="30" borderId="88" xfId="0" applyNumberFormat="1" applyFont="1" applyFill="1" applyBorder="1" applyAlignment="1"/>
    <xf numFmtId="164" fontId="39" fillId="19" borderId="70" xfId="0" applyNumberFormat="1" applyFont="1" applyFill="1" applyBorder="1" applyAlignment="1"/>
    <xf numFmtId="164" fontId="35" fillId="31" borderId="75" xfId="0" applyNumberFormat="1" applyFont="1" applyFill="1" applyBorder="1" applyAlignment="1"/>
    <xf numFmtId="2" fontId="62" fillId="30" borderId="67" xfId="0" applyNumberFormat="1" applyFont="1" applyFill="1" applyBorder="1" applyAlignment="1">
      <alignment horizontal="right"/>
    </xf>
    <xf numFmtId="2" fontId="39" fillId="19" borderId="0" xfId="0" applyNumberFormat="1" applyFont="1" applyFill="1" applyBorder="1" applyAlignment="1">
      <alignment horizontal="right"/>
    </xf>
    <xf numFmtId="2" fontId="36" fillId="15" borderId="75" xfId="0" applyNumberFormat="1" applyFont="1" applyFill="1" applyBorder="1" applyAlignment="1">
      <alignment horizontal="right"/>
    </xf>
    <xf numFmtId="2" fontId="0" fillId="19" borderId="67" xfId="0" applyNumberFormat="1" applyFill="1" applyBorder="1" applyAlignment="1">
      <alignment horizontal="right"/>
    </xf>
    <xf numFmtId="0" fontId="75" fillId="0" borderId="0" xfId="0" applyFont="1" applyAlignment="1">
      <alignment horizontal="left"/>
    </xf>
    <xf numFmtId="165" fontId="35" fillId="12" borderId="0" xfId="49" applyNumberFormat="1" applyFont="1" applyFill="1" applyAlignment="1"/>
    <xf numFmtId="1" fontId="62" fillId="0" borderId="0" xfId="0" applyNumberFormat="1" applyFont="1" applyAlignment="1">
      <alignment horizontal="left"/>
    </xf>
    <xf numFmtId="164" fontId="35" fillId="1" borderId="108" xfId="0" applyNumberFormat="1" applyFont="1" applyFill="1" applyBorder="1" applyAlignment="1"/>
    <xf numFmtId="164" fontId="35" fillId="14" borderId="71" xfId="0" applyNumberFormat="1" applyFont="1" applyFill="1" applyBorder="1" applyAlignment="1"/>
    <xf numFmtId="164" fontId="35" fillId="0" borderId="70" xfId="0" applyNumberFormat="1" applyFont="1" applyFill="1" applyBorder="1" applyAlignment="1"/>
    <xf numFmtId="164" fontId="35" fillId="0" borderId="70" xfId="0" applyNumberFormat="1" applyFont="1" applyFill="1" applyBorder="1" applyAlignment="1">
      <alignment horizontal="center"/>
    </xf>
    <xf numFmtId="164" fontId="35" fillId="0" borderId="81" xfId="0" applyNumberFormat="1" applyFont="1" applyFill="1" applyBorder="1" applyAlignment="1">
      <alignment horizontal="center"/>
    </xf>
    <xf numFmtId="164" fontId="39" fillId="18" borderId="75" xfId="0" applyNumberFormat="1" applyFont="1" applyFill="1" applyBorder="1" applyAlignment="1"/>
    <xf numFmtId="164" fontId="39" fillId="18" borderId="0" xfId="0" applyNumberFormat="1" applyFont="1" applyFill="1" applyBorder="1" applyAlignment="1"/>
    <xf numFmtId="164" fontId="39" fillId="18" borderId="70" xfId="0" applyNumberFormat="1" applyFont="1" applyFill="1" applyBorder="1" applyAlignment="1"/>
    <xf numFmtId="164" fontId="0" fillId="0" borderId="0" xfId="0" applyNumberFormat="1"/>
    <xf numFmtId="0" fontId="67" fillId="12" borderId="0" xfId="0" applyFont="1" applyFill="1" applyBorder="1" applyAlignment="1">
      <alignment horizontal="center"/>
    </xf>
    <xf numFmtId="0" fontId="8" fillId="12" borderId="0" xfId="0" applyFont="1" applyFill="1" applyBorder="1" applyAlignment="1">
      <alignment horizontal="center"/>
    </xf>
    <xf numFmtId="165" fontId="35" fillId="32" borderId="0" xfId="49" applyNumberFormat="1" applyFont="1" applyFill="1" applyAlignment="1"/>
    <xf numFmtId="1" fontId="11" fillId="28" borderId="0" xfId="0" applyNumberFormat="1" applyFont="1" applyFill="1" applyBorder="1" applyAlignment="1" applyProtection="1">
      <alignment horizontal="center" vertical="center"/>
    </xf>
    <xf numFmtId="0" fontId="0" fillId="28" borderId="0" xfId="0" applyFill="1" applyBorder="1" applyAlignment="1">
      <alignment horizontal="center"/>
    </xf>
    <xf numFmtId="0" fontId="35" fillId="28" borderId="78" xfId="0" applyFont="1" applyFill="1" applyBorder="1" applyAlignment="1">
      <alignment horizontal="center"/>
    </xf>
    <xf numFmtId="164" fontId="35" fillId="28" borderId="79" xfId="0" applyNumberFormat="1" applyFont="1" applyFill="1" applyBorder="1" applyAlignment="1"/>
    <xf numFmtId="0" fontId="0" fillId="28" borderId="79" xfId="0" applyFill="1" applyBorder="1" applyAlignment="1">
      <alignment horizontal="center"/>
    </xf>
    <xf numFmtId="0" fontId="39" fillId="22" borderId="0" xfId="0" applyFont="1" applyFill="1" applyAlignment="1">
      <alignment horizontal="center"/>
    </xf>
    <xf numFmtId="164" fontId="35" fillId="0" borderId="75" xfId="0" applyNumberFormat="1" applyFont="1" applyFill="1" applyBorder="1"/>
    <xf numFmtId="166" fontId="35" fillId="0" borderId="0" xfId="0" applyNumberFormat="1" applyFont="1" applyBorder="1" applyAlignment="1"/>
    <xf numFmtId="0" fontId="62" fillId="0" borderId="0" xfId="0" applyFont="1" applyAlignment="1">
      <alignment horizontal="center"/>
    </xf>
    <xf numFmtId="0" fontId="62" fillId="0" borderId="0" xfId="0" applyFont="1" applyFill="1" applyAlignment="1">
      <alignment horizontal="center"/>
    </xf>
    <xf numFmtId="0" fontId="62" fillId="28" borderId="0" xfId="0" applyFont="1" applyFill="1" applyAlignment="1">
      <alignment horizontal="center"/>
    </xf>
    <xf numFmtId="0" fontId="62" fillId="19" borderId="75" xfId="0" applyFont="1" applyFill="1" applyBorder="1" applyAlignment="1">
      <alignment horizontal="center"/>
    </xf>
    <xf numFmtId="0" fontId="62" fillId="19" borderId="0" xfId="0" applyFont="1" applyFill="1" applyAlignment="1">
      <alignment horizontal="center"/>
    </xf>
    <xf numFmtId="0" fontId="62" fillId="19" borderId="0" xfId="0" applyFont="1" applyFill="1"/>
    <xf numFmtId="0" fontId="62" fillId="19" borderId="75" xfId="0" applyFont="1" applyFill="1" applyBorder="1"/>
    <xf numFmtId="2" fontId="62" fillId="30" borderId="0" xfId="0" applyNumberFormat="1" applyFont="1" applyFill="1" applyBorder="1" applyAlignment="1"/>
    <xf numFmtId="164" fontId="62" fillId="14" borderId="75" xfId="0" applyNumberFormat="1" applyFont="1" applyFill="1" applyBorder="1"/>
    <xf numFmtId="2" fontId="62" fillId="30" borderId="81" xfId="0" applyNumberFormat="1" applyFont="1" applyFill="1" applyBorder="1"/>
    <xf numFmtId="2" fontId="62" fillId="30" borderId="0" xfId="0" applyNumberFormat="1" applyFont="1" applyFill="1"/>
    <xf numFmtId="164" fontId="62" fillId="14" borderId="0" xfId="0" applyNumberFormat="1" applyFont="1" applyFill="1"/>
    <xf numFmtId="14" fontId="62" fillId="20" borderId="0" xfId="0" applyNumberFormat="1" applyFont="1" applyFill="1" applyBorder="1" applyAlignment="1"/>
    <xf numFmtId="0" fontId="62" fillId="20" borderId="81" xfId="0" applyFont="1" applyFill="1" applyBorder="1"/>
    <xf numFmtId="0" fontId="62" fillId="20" borderId="0" xfId="0" applyFont="1" applyFill="1"/>
    <xf numFmtId="164" fontId="56" fillId="19" borderId="0" xfId="0" applyNumberFormat="1" applyFont="1" applyFill="1" applyBorder="1" applyAlignment="1">
      <alignment horizontal="right"/>
    </xf>
    <xf numFmtId="164" fontId="62" fillId="15" borderId="75" xfId="0" applyNumberFormat="1" applyFont="1" applyFill="1" applyBorder="1" applyAlignment="1">
      <alignment horizontal="right"/>
    </xf>
    <xf numFmtId="164" fontId="62" fillId="15" borderId="0" xfId="0" applyNumberFormat="1" applyFont="1" applyFill="1" applyBorder="1" applyAlignment="1">
      <alignment horizontal="right"/>
    </xf>
    <xf numFmtId="164" fontId="62" fillId="19" borderId="76" xfId="0" applyNumberFormat="1" applyFont="1" applyFill="1" applyBorder="1" applyAlignment="1">
      <alignment horizontal="right"/>
    </xf>
    <xf numFmtId="164" fontId="56" fillId="19" borderId="70" xfId="0" applyNumberFormat="1" applyFont="1" applyFill="1" applyBorder="1" applyAlignment="1">
      <alignment horizontal="right"/>
    </xf>
    <xf numFmtId="0" fontId="62" fillId="20" borderId="0" xfId="0" applyFont="1" applyFill="1" applyAlignment="1">
      <alignment horizontal="center"/>
    </xf>
    <xf numFmtId="0" fontId="0" fillId="12" borderId="0" xfId="0" applyFill="1" applyAlignment="1">
      <alignment horizontal="center"/>
    </xf>
    <xf numFmtId="0" fontId="35" fillId="12" borderId="18" xfId="0" applyFont="1" applyFill="1" applyBorder="1"/>
    <xf numFmtId="0" fontId="39" fillId="12" borderId="16" xfId="0" applyFont="1" applyFill="1" applyBorder="1" applyAlignment="1">
      <alignment vertical="center"/>
    </xf>
    <xf numFmtId="0" fontId="0" fillId="0" borderId="18" xfId="0" applyBorder="1" applyAlignment="1">
      <alignment horizontal="center"/>
    </xf>
    <xf numFmtId="0" fontId="0" fillId="0" borderId="2" xfId="0" applyBorder="1" applyAlignment="1">
      <alignment horizontal="center"/>
    </xf>
    <xf numFmtId="0" fontId="0" fillId="0" borderId="20" xfId="0" applyBorder="1" applyAlignment="1">
      <alignment horizontal="center"/>
    </xf>
    <xf numFmtId="0" fontId="0" fillId="0" borderId="36" xfId="0" applyBorder="1" applyAlignment="1">
      <alignment horizontal="center"/>
    </xf>
    <xf numFmtId="0" fontId="0" fillId="12" borderId="20" xfId="0" applyFill="1" applyBorder="1" applyAlignment="1">
      <alignment horizontal="center"/>
    </xf>
    <xf numFmtId="0" fontId="0" fillId="0" borderId="35" xfId="0" applyBorder="1" applyAlignment="1">
      <alignment horizontal="center"/>
    </xf>
    <xf numFmtId="0" fontId="0" fillId="12" borderId="29" xfId="0" applyFill="1" applyBorder="1"/>
    <xf numFmtId="0" fontId="0" fillId="1" borderId="16" xfId="0" applyFill="1" applyBorder="1"/>
    <xf numFmtId="0" fontId="0" fillId="1" borderId="19" xfId="0" applyFill="1" applyBorder="1"/>
    <xf numFmtId="0" fontId="0" fillId="1" borderId="20" xfId="0" applyFill="1" applyBorder="1"/>
    <xf numFmtId="0" fontId="0" fillId="1" borderId="29" xfId="0" applyFill="1" applyBorder="1"/>
    <xf numFmtId="0" fontId="0" fillId="1" borderId="36" xfId="0" applyFill="1" applyBorder="1"/>
    <xf numFmtId="0" fontId="0" fillId="32" borderId="0" xfId="0" applyFill="1" applyBorder="1"/>
    <xf numFmtId="0" fontId="0" fillId="32" borderId="20" xfId="0" applyFill="1" applyBorder="1"/>
    <xf numFmtId="0" fontId="39" fillId="12" borderId="19" xfId="0" applyFont="1" applyFill="1" applyBorder="1" applyAlignment="1">
      <alignment horizontal="center" vertical="center"/>
    </xf>
    <xf numFmtId="0" fontId="0" fillId="0" borderId="19" xfId="0" applyBorder="1" applyAlignment="1">
      <alignment horizontal="center"/>
    </xf>
    <xf numFmtId="2" fontId="62" fillId="19" borderId="0" xfId="0" applyNumberFormat="1" applyFont="1" applyFill="1" applyBorder="1" applyAlignment="1">
      <alignment horizontal="right"/>
    </xf>
    <xf numFmtId="164" fontId="62" fillId="14" borderId="71" xfId="0" applyNumberFormat="1" applyFont="1" applyFill="1" applyBorder="1" applyAlignment="1">
      <alignment horizontal="right"/>
    </xf>
    <xf numFmtId="164" fontId="56" fillId="14" borderId="70" xfId="0" applyNumberFormat="1" applyFont="1" applyFill="1" applyBorder="1" applyAlignment="1">
      <alignment horizontal="right"/>
    </xf>
    <xf numFmtId="2" fontId="62" fillId="14" borderId="76" xfId="0" applyNumberFormat="1" applyFont="1" applyFill="1" applyBorder="1" applyAlignment="1">
      <alignment horizontal="right"/>
    </xf>
    <xf numFmtId="2" fontId="37" fillId="14" borderId="70" xfId="0" applyNumberFormat="1" applyFont="1" applyFill="1" applyBorder="1" applyAlignment="1">
      <alignment horizontal="right"/>
    </xf>
    <xf numFmtId="2" fontId="62" fillId="14" borderId="77" xfId="0" applyNumberFormat="1" applyFont="1" applyFill="1" applyBorder="1" applyAlignment="1">
      <alignment horizontal="right"/>
    </xf>
    <xf numFmtId="165" fontId="35" fillId="12" borderId="29" xfId="0" applyNumberFormat="1" applyFont="1" applyFill="1" applyBorder="1" applyAlignment="1"/>
    <xf numFmtId="165" fontId="35" fillId="12" borderId="29" xfId="49" applyNumberFormat="1" applyFont="1" applyFill="1" applyBorder="1" applyAlignment="1"/>
    <xf numFmtId="165" fontId="35" fillId="0" borderId="0" xfId="49" applyNumberFormat="1" applyFont="1" applyFill="1" applyBorder="1" applyAlignment="1"/>
    <xf numFmtId="0" fontId="87" fillId="15" borderId="0" xfId="0" applyFont="1" applyFill="1"/>
    <xf numFmtId="14" fontId="91" fillId="15" borderId="0" xfId="0" applyNumberFormat="1" applyFont="1" applyFill="1" applyBorder="1" applyAlignment="1"/>
    <xf numFmtId="2" fontId="39" fillId="10" borderId="40" xfId="0" applyNumberFormat="1" applyFont="1" applyFill="1" applyBorder="1" applyAlignment="1">
      <alignment horizontal="center"/>
    </xf>
    <xf numFmtId="0" fontId="10" fillId="0" borderId="29" xfId="0" applyFont="1" applyFill="1" applyBorder="1" applyAlignment="1">
      <alignment horizontal="center"/>
    </xf>
    <xf numFmtId="14" fontId="35" fillId="0" borderId="29" xfId="0" applyNumberFormat="1" applyFont="1" applyFill="1" applyBorder="1" applyAlignment="1"/>
    <xf numFmtId="164" fontId="35" fillId="0" borderId="29" xfId="0" applyNumberFormat="1" applyFont="1" applyFill="1" applyBorder="1" applyAlignment="1">
      <alignment horizontal="center"/>
    </xf>
    <xf numFmtId="164" fontId="35" fillId="0" borderId="29" xfId="0" applyNumberFormat="1" applyFont="1" applyFill="1" applyBorder="1" applyAlignment="1"/>
    <xf numFmtId="2" fontId="0" fillId="12" borderId="16" xfId="0" applyNumberFormat="1" applyFill="1" applyBorder="1"/>
    <xf numFmtId="0" fontId="39" fillId="12" borderId="39" xfId="0" applyFont="1" applyFill="1" applyBorder="1" applyAlignment="1">
      <alignment vertical="center"/>
    </xf>
    <xf numFmtId="0" fontId="39" fillId="12" borderId="39" xfId="0" applyFont="1" applyFill="1" applyBorder="1" applyAlignment="1">
      <alignment horizontal="center" vertical="center"/>
    </xf>
    <xf numFmtId="0" fontId="0" fillId="0" borderId="29" xfId="0" applyBorder="1" applyAlignment="1">
      <alignment horizontal="center"/>
    </xf>
    <xf numFmtId="164" fontId="0" fillId="0" borderId="29" xfId="0" applyNumberFormat="1" applyBorder="1"/>
    <xf numFmtId="2" fontId="0" fillId="12" borderId="0" xfId="0" applyNumberFormat="1" applyFill="1" applyBorder="1"/>
    <xf numFmtId="2" fontId="0" fillId="12" borderId="29" xfId="0" applyNumberFormat="1" applyFill="1" applyBorder="1"/>
    <xf numFmtId="2" fontId="0" fillId="12" borderId="0" xfId="0" applyNumberFormat="1" applyFill="1"/>
    <xf numFmtId="2" fontId="39" fillId="0" borderId="0" xfId="0" applyNumberFormat="1" applyFont="1" applyBorder="1"/>
    <xf numFmtId="2" fontId="39" fillId="0" borderId="0" xfId="0" applyNumberFormat="1" applyFont="1" applyBorder="1" applyAlignment="1">
      <alignment horizontal="right"/>
    </xf>
    <xf numFmtId="0" fontId="0" fillId="32" borderId="16" xfId="0" applyFill="1" applyBorder="1"/>
    <xf numFmtId="0" fontId="0" fillId="32" borderId="29" xfId="0" applyFill="1" applyBorder="1"/>
    <xf numFmtId="0" fontId="0" fillId="12" borderId="29" xfId="0" applyFill="1" applyBorder="1" applyAlignment="1">
      <alignment horizontal="center"/>
    </xf>
    <xf numFmtId="164" fontId="0" fillId="0" borderId="29" xfId="0" applyNumberFormat="1" applyBorder="1" applyAlignment="1">
      <alignment horizontal="right"/>
    </xf>
    <xf numFmtId="164" fontId="0" fillId="12" borderId="0" xfId="0" applyNumberFormat="1" applyFill="1" applyBorder="1" applyAlignment="1">
      <alignment horizontal="right"/>
    </xf>
    <xf numFmtId="164" fontId="0" fillId="12" borderId="29" xfId="0" applyNumberFormat="1" applyFill="1" applyBorder="1" applyAlignment="1">
      <alignment horizontal="right"/>
    </xf>
    <xf numFmtId="165" fontId="35" fillId="12" borderId="0" xfId="49" applyNumberFormat="1" applyFont="1" applyFill="1" applyBorder="1" applyAlignment="1">
      <alignment horizontal="right"/>
    </xf>
    <xf numFmtId="165" fontId="35" fillId="0" borderId="39" xfId="49" applyNumberFormat="1" applyFont="1" applyFill="1" applyBorder="1" applyAlignment="1"/>
    <xf numFmtId="165" fontId="35" fillId="12" borderId="75" xfId="49" applyNumberFormat="1" applyFont="1" applyFill="1" applyBorder="1" applyAlignment="1">
      <alignment horizontal="center"/>
    </xf>
    <xf numFmtId="164" fontId="35" fillId="0" borderId="70" xfId="0" applyNumberFormat="1" applyFont="1" applyBorder="1" applyAlignment="1">
      <alignment horizontal="right"/>
    </xf>
    <xf numFmtId="1" fontId="11" fillId="0" borderId="0" xfId="0" applyNumberFormat="1" applyFont="1" applyAlignment="1">
      <alignment horizontal="center" vertical="center"/>
    </xf>
    <xf numFmtId="0" fontId="35" fillId="0" borderId="0" xfId="0" applyFont="1" applyAlignment="1">
      <alignment horizontal="center" vertical="center"/>
    </xf>
    <xf numFmtId="165" fontId="35" fillId="12" borderId="0" xfId="49" applyNumberFormat="1" applyFont="1" applyFill="1" applyAlignment="1">
      <alignment vertical="center"/>
    </xf>
    <xf numFmtId="2" fontId="35" fillId="0" borderId="0" xfId="0" quotePrefix="1" applyNumberFormat="1" applyFont="1" applyBorder="1" applyAlignment="1">
      <alignment horizontal="center"/>
    </xf>
    <xf numFmtId="0" fontId="35" fillId="0" borderId="18" xfId="0" applyFont="1" applyBorder="1" applyAlignment="1">
      <alignment horizontal="center"/>
    </xf>
    <xf numFmtId="0" fontId="35" fillId="0" borderId="16" xfId="0" applyFont="1" applyBorder="1" applyAlignment="1"/>
    <xf numFmtId="2" fontId="35" fillId="0" borderId="16" xfId="0" quotePrefix="1" applyNumberFormat="1" applyFont="1" applyBorder="1" applyAlignment="1">
      <alignment horizontal="center"/>
    </xf>
    <xf numFmtId="0" fontId="35" fillId="0" borderId="2" xfId="0" applyFont="1" applyBorder="1" applyAlignment="1">
      <alignment horizontal="center"/>
    </xf>
    <xf numFmtId="0" fontId="35" fillId="0" borderId="35" xfId="0" applyFont="1" applyBorder="1" applyAlignment="1">
      <alignment horizontal="center"/>
    </xf>
    <xf numFmtId="0" fontId="35" fillId="0" borderId="29" xfId="0" applyFont="1" applyBorder="1" applyAlignment="1"/>
    <xf numFmtId="2" fontId="35" fillId="0" borderId="29" xfId="0" applyNumberFormat="1" applyFont="1" applyBorder="1" applyAlignment="1">
      <alignment horizontal="center"/>
    </xf>
    <xf numFmtId="0" fontId="10" fillId="12" borderId="0" xfId="0" applyFont="1" applyFill="1" applyAlignment="1">
      <alignment horizontal="center" vertical="center"/>
    </xf>
    <xf numFmtId="0" fontId="35" fillId="12" borderId="0" xfId="0" applyFont="1" applyFill="1" applyAlignment="1">
      <alignment vertical="center"/>
    </xf>
    <xf numFmtId="2" fontId="35" fillId="12" borderId="0" xfId="0" applyNumberFormat="1" applyFont="1" applyFill="1" applyAlignment="1">
      <alignment horizontal="center" vertical="center" wrapText="1"/>
    </xf>
    <xf numFmtId="164" fontId="35" fillId="12" borderId="0" xfId="0" applyNumberFormat="1" applyFont="1" applyFill="1" applyAlignment="1">
      <alignment vertical="center"/>
    </xf>
    <xf numFmtId="165" fontId="35" fillId="0" borderId="29" xfId="49" applyNumberFormat="1" applyFont="1" applyFill="1" applyBorder="1" applyAlignment="1"/>
    <xf numFmtId="0" fontId="11" fillId="10" borderId="113" xfId="0" applyFont="1" applyFill="1" applyBorder="1" applyAlignment="1">
      <alignment horizontal="center"/>
    </xf>
    <xf numFmtId="0" fontId="0" fillId="10" borderId="113" xfId="0" applyFill="1" applyBorder="1" applyAlignment="1">
      <alignment horizontal="center"/>
    </xf>
    <xf numFmtId="0" fontId="0" fillId="10" borderId="114" xfId="0" applyFill="1" applyBorder="1" applyAlignment="1">
      <alignment horizontal="center"/>
    </xf>
    <xf numFmtId="0" fontId="11" fillId="0" borderId="115" xfId="0" applyFont="1" applyFill="1" applyBorder="1"/>
    <xf numFmtId="164" fontId="10" fillId="0" borderId="116" xfId="0" applyNumberFormat="1" applyFont="1" applyFill="1" applyBorder="1" applyAlignment="1">
      <alignment horizontal="right"/>
    </xf>
    <xf numFmtId="0" fontId="11" fillId="10" borderId="116" xfId="0" applyFont="1" applyFill="1" applyBorder="1"/>
    <xf numFmtId="0" fontId="0" fillId="10" borderId="116" xfId="0" applyFill="1" applyBorder="1"/>
    <xf numFmtId="14" fontId="10" fillId="0" borderId="117" xfId="0" applyNumberFormat="1" applyFont="1" applyFill="1" applyBorder="1" applyAlignment="1" applyProtection="1">
      <alignment horizontal="center" vertical="center"/>
    </xf>
    <xf numFmtId="1" fontId="39" fillId="20" borderId="88" xfId="0" applyNumberFormat="1" applyFont="1" applyFill="1" applyBorder="1" applyAlignment="1">
      <alignment horizontal="right"/>
    </xf>
    <xf numFmtId="0" fontId="10" fillId="0" borderId="118" xfId="0" applyFont="1" applyBorder="1" applyAlignment="1">
      <alignment horizontal="center"/>
    </xf>
    <xf numFmtId="1" fontId="39" fillId="12" borderId="91" xfId="0" applyNumberFormat="1" applyFont="1" applyFill="1" applyBorder="1" applyAlignment="1">
      <alignment horizontal="right"/>
    </xf>
    <xf numFmtId="0" fontId="10" fillId="0" borderId="119" xfId="0" applyFont="1" applyBorder="1" applyAlignment="1">
      <alignment horizontal="center"/>
    </xf>
    <xf numFmtId="0" fontId="35" fillId="0" borderId="0" xfId="0" applyFont="1" applyFill="1" applyBorder="1" applyAlignment="1">
      <alignment horizontal="left"/>
    </xf>
    <xf numFmtId="1" fontId="35" fillId="0" borderId="0" xfId="0" applyNumberFormat="1" applyFont="1" applyFill="1" applyBorder="1" applyAlignment="1"/>
    <xf numFmtId="1" fontId="39" fillId="0" borderId="0" xfId="0" applyNumberFormat="1" applyFont="1" applyFill="1" applyBorder="1" applyAlignment="1"/>
    <xf numFmtId="14" fontId="10" fillId="0" borderId="63" xfId="0" quotePrefix="1" applyNumberFormat="1" applyFont="1" applyFill="1" applyBorder="1" applyAlignment="1" applyProtection="1">
      <alignment horizontal="center" vertical="center"/>
    </xf>
    <xf numFmtId="14" fontId="10" fillId="0" borderId="66" xfId="0" quotePrefix="1" applyNumberFormat="1" applyFont="1" applyFill="1" applyBorder="1" applyAlignment="1" applyProtection="1">
      <alignment horizontal="center" vertical="center"/>
    </xf>
    <xf numFmtId="0" fontId="35" fillId="14" borderId="0" xfId="0" applyFont="1" applyFill="1" applyBorder="1" applyAlignment="1">
      <alignment horizontal="left"/>
    </xf>
    <xf numFmtId="0" fontId="35" fillId="0" borderId="29" xfId="0" applyFont="1" applyBorder="1" applyAlignment="1">
      <alignment horizontal="left"/>
    </xf>
    <xf numFmtId="1" fontId="11" fillId="0" borderId="120" xfId="0" applyNumberFormat="1" applyFont="1" applyFill="1" applyBorder="1" applyAlignment="1" applyProtection="1">
      <alignment horizontal="center" vertical="center"/>
    </xf>
    <xf numFmtId="2" fontId="35" fillId="0" borderId="0" xfId="0" applyNumberFormat="1" applyFont="1" applyBorder="1" applyAlignment="1"/>
    <xf numFmtId="164" fontId="35" fillId="0" borderId="63" xfId="0" applyNumberFormat="1" applyFont="1" applyBorder="1" applyAlignment="1"/>
    <xf numFmtId="1" fontId="39" fillId="14" borderId="63" xfId="0" applyNumberFormat="1" applyFont="1" applyFill="1" applyBorder="1" applyAlignment="1">
      <alignment horizontal="center"/>
    </xf>
    <xf numFmtId="1" fontId="39" fillId="14" borderId="75" xfId="0" applyNumberFormat="1" applyFont="1" applyFill="1" applyBorder="1" applyAlignment="1">
      <alignment horizontal="center"/>
    </xf>
    <xf numFmtId="1" fontId="39" fillId="14" borderId="103" xfId="0" applyNumberFormat="1" applyFont="1" applyFill="1" applyBorder="1" applyAlignment="1">
      <alignment horizontal="center"/>
    </xf>
    <xf numFmtId="2" fontId="35" fillId="0" borderId="78" xfId="0" applyNumberFormat="1" applyFont="1" applyBorder="1" applyAlignment="1"/>
    <xf numFmtId="164" fontId="40" fillId="18" borderId="76" xfId="49" applyNumberFormat="1" applyFont="1" applyFill="1" applyBorder="1"/>
    <xf numFmtId="164" fontId="40" fillId="18" borderId="70" xfId="49" applyNumberFormat="1" applyFont="1" applyFill="1" applyBorder="1"/>
    <xf numFmtId="0" fontId="40" fillId="18" borderId="0" xfId="0" applyFont="1" applyFill="1" applyBorder="1" applyAlignment="1">
      <alignment horizontal="left"/>
    </xf>
    <xf numFmtId="164" fontId="40" fillId="18" borderId="75" xfId="0" applyNumberFormat="1" applyFont="1" applyFill="1" applyBorder="1" applyAlignment="1"/>
    <xf numFmtId="164" fontId="40" fillId="18" borderId="74" xfId="0" applyNumberFormat="1" applyFont="1" applyFill="1" applyBorder="1" applyAlignment="1">
      <alignment horizontal="right"/>
    </xf>
    <xf numFmtId="164" fontId="40" fillId="18" borderId="74" xfId="49" applyNumberFormat="1" applyFont="1" applyFill="1" applyBorder="1"/>
    <xf numFmtId="14" fontId="10" fillId="0" borderId="85" xfId="0" applyNumberFormat="1" applyFont="1" applyFill="1" applyBorder="1" applyAlignment="1" applyProtection="1">
      <alignment horizontal="center" vertical="center"/>
    </xf>
    <xf numFmtId="0" fontId="10" fillId="0" borderId="121" xfId="0" applyFont="1" applyBorder="1" applyAlignment="1">
      <alignment horizontal="center"/>
    </xf>
    <xf numFmtId="1" fontId="39" fillId="20" borderId="87" xfId="0" applyNumberFormat="1" applyFont="1" applyFill="1" applyBorder="1" applyAlignment="1">
      <alignment horizontal="center"/>
    </xf>
    <xf numFmtId="1" fontId="39" fillId="20" borderId="88" xfId="0" applyNumberFormat="1" applyFont="1" applyFill="1" applyBorder="1" applyAlignment="1">
      <alignment horizontal="center"/>
    </xf>
    <xf numFmtId="1" fontId="39" fillId="20" borderId="122" xfId="0" applyNumberFormat="1" applyFont="1" applyFill="1" applyBorder="1" applyAlignment="1">
      <alignment horizontal="center"/>
    </xf>
    <xf numFmtId="0" fontId="10" fillId="20" borderId="123" xfId="0" applyFont="1" applyFill="1" applyBorder="1" applyAlignment="1">
      <alignment horizontal="center"/>
    </xf>
    <xf numFmtId="0" fontId="40" fillId="20" borderId="123" xfId="0" applyFont="1" applyFill="1" applyBorder="1"/>
    <xf numFmtId="2" fontId="35" fillId="20" borderId="81" xfId="0" applyNumberFormat="1" applyFont="1" applyFill="1" applyBorder="1" applyAlignment="1"/>
    <xf numFmtId="2" fontId="35" fillId="20" borderId="0" xfId="0" applyNumberFormat="1" applyFont="1" applyFill="1" applyBorder="1" applyAlignment="1"/>
    <xf numFmtId="2" fontId="35" fillId="20" borderId="0" xfId="0" applyNumberFormat="1" applyFont="1" applyFill="1" applyBorder="1" applyAlignment="1">
      <alignment horizontal="right"/>
    </xf>
    <xf numFmtId="2" fontId="35" fillId="20" borderId="124" xfId="0" applyNumberFormat="1" applyFont="1" applyFill="1" applyBorder="1" applyAlignment="1"/>
    <xf numFmtId="2" fontId="35" fillId="20" borderId="125" xfId="0" applyNumberFormat="1" applyFont="1" applyFill="1" applyBorder="1" applyAlignment="1">
      <alignment horizontal="right"/>
    </xf>
    <xf numFmtId="1" fontId="39" fillId="12" borderId="39" xfId="0" applyNumberFormat="1" applyFont="1" applyFill="1" applyBorder="1" applyAlignment="1">
      <alignment horizontal="center"/>
    </xf>
    <xf numFmtId="164" fontId="35" fillId="0" borderId="71" xfId="0" applyNumberFormat="1" applyFont="1" applyBorder="1" applyAlignment="1"/>
    <xf numFmtId="2" fontId="35" fillId="0" borderId="88" xfId="0" applyNumberFormat="1" applyFont="1" applyBorder="1" applyAlignment="1"/>
    <xf numFmtId="2" fontId="39" fillId="19" borderId="75" xfId="0" applyNumberFormat="1" applyFont="1" applyFill="1" applyBorder="1" applyAlignment="1"/>
    <xf numFmtId="2" fontId="74" fillId="18" borderId="74" xfId="49" applyNumberFormat="1" applyFont="1" applyFill="1" applyBorder="1"/>
    <xf numFmtId="1" fontId="39" fillId="12" borderId="52" xfId="0" applyNumberFormat="1" applyFont="1" applyFill="1" applyBorder="1" applyAlignment="1">
      <alignment horizontal="center"/>
    </xf>
    <xf numFmtId="1" fontId="39" fillId="12" borderId="126" xfId="0" applyNumberFormat="1" applyFont="1" applyFill="1" applyBorder="1" applyAlignment="1">
      <alignment horizontal="center"/>
    </xf>
    <xf numFmtId="14" fontId="66" fillId="0" borderId="0" xfId="0" applyNumberFormat="1" applyFont="1" applyFill="1" applyBorder="1" applyAlignment="1" applyProtection="1">
      <alignment horizontal="center" vertical="center"/>
    </xf>
    <xf numFmtId="0" fontId="40" fillId="20" borderId="0" xfId="0" applyFont="1" applyFill="1" applyBorder="1" applyAlignment="1">
      <alignment horizontal="left"/>
    </xf>
    <xf numFmtId="2" fontId="40" fillId="20" borderId="0" xfId="0" applyNumberFormat="1" applyFont="1" applyFill="1" applyBorder="1" applyAlignment="1"/>
    <xf numFmtId="2" fontId="40" fillId="20" borderId="0" xfId="0" applyNumberFormat="1" applyFont="1" applyFill="1" applyBorder="1" applyAlignment="1">
      <alignment horizontal="right"/>
    </xf>
    <xf numFmtId="2" fontId="40" fillId="20" borderId="125" xfId="0" applyNumberFormat="1" applyFont="1" applyFill="1" applyBorder="1" applyAlignment="1">
      <alignment horizontal="right"/>
    </xf>
    <xf numFmtId="0" fontId="40" fillId="0" borderId="0" xfId="0" applyFont="1" applyAlignment="1"/>
    <xf numFmtId="0" fontId="40" fillId="0" borderId="0" xfId="0" applyFont="1" applyAlignment="1">
      <alignment horizontal="center"/>
    </xf>
    <xf numFmtId="0" fontId="74" fillId="0" borderId="0" xfId="0" applyFont="1"/>
    <xf numFmtId="0" fontId="66" fillId="0" borderId="121" xfId="0" applyFont="1" applyBorder="1" applyAlignment="1">
      <alignment horizontal="center"/>
    </xf>
    <xf numFmtId="0" fontId="66" fillId="20" borderId="123" xfId="0" applyFont="1" applyFill="1" applyBorder="1" applyAlignment="1">
      <alignment horizontal="center"/>
    </xf>
    <xf numFmtId="2" fontId="40" fillId="20" borderId="80" xfId="0" applyNumberFormat="1" applyFont="1" applyFill="1" applyBorder="1" applyAlignment="1"/>
    <xf numFmtId="2" fontId="40" fillId="20" borderId="81" xfId="0" applyNumberFormat="1" applyFont="1" applyFill="1" applyBorder="1" applyAlignment="1"/>
    <xf numFmtId="2" fontId="92" fillId="20" borderId="81" xfId="0" applyNumberFormat="1" applyFont="1" applyFill="1" applyBorder="1" applyAlignment="1"/>
    <xf numFmtId="2" fontId="40" fillId="20" borderId="124" xfId="0" applyNumberFormat="1" applyFont="1" applyFill="1" applyBorder="1" applyAlignment="1"/>
    <xf numFmtId="2" fontId="93" fillId="20" borderId="81" xfId="0" applyNumberFormat="1" applyFont="1" applyFill="1" applyBorder="1" applyAlignment="1"/>
    <xf numFmtId="2" fontId="74" fillId="20" borderId="124" xfId="0" applyNumberFormat="1" applyFont="1" applyFill="1" applyBorder="1" applyAlignment="1"/>
    <xf numFmtId="2" fontId="74" fillId="20" borderId="0" xfId="0" applyNumberFormat="1" applyFont="1" applyFill="1" applyBorder="1" applyAlignment="1"/>
    <xf numFmtId="2" fontId="74" fillId="20" borderId="125" xfId="0" applyNumberFormat="1" applyFont="1" applyFill="1" applyBorder="1" applyAlignment="1">
      <alignment horizontal="right"/>
    </xf>
    <xf numFmtId="0" fontId="66" fillId="0" borderId="76" xfId="0" quotePrefix="1" applyFont="1" applyBorder="1" applyAlignment="1">
      <alignment horizontal="center"/>
    </xf>
    <xf numFmtId="14" fontId="66" fillId="0" borderId="75" xfId="0" applyNumberFormat="1" applyFont="1" applyFill="1" applyBorder="1" applyAlignment="1" applyProtection="1">
      <alignment horizontal="center" vertical="center"/>
    </xf>
    <xf numFmtId="164" fontId="40" fillId="18" borderId="73" xfId="0" applyNumberFormat="1" applyFont="1" applyFill="1" applyBorder="1" applyAlignment="1">
      <alignment horizontal="right"/>
    </xf>
    <xf numFmtId="1" fontId="35" fillId="14" borderId="0" xfId="0" applyNumberFormat="1" applyFont="1" applyFill="1" applyBorder="1" applyAlignment="1">
      <alignment horizontal="left"/>
    </xf>
    <xf numFmtId="2" fontId="40" fillId="18" borderId="74" xfId="49" applyNumberFormat="1" applyFont="1" applyFill="1" applyBorder="1"/>
    <xf numFmtId="2" fontId="40" fillId="18" borderId="74" xfId="0" applyNumberFormat="1" applyFont="1" applyFill="1" applyBorder="1" applyAlignment="1">
      <alignment horizontal="right"/>
    </xf>
    <xf numFmtId="2" fontId="74" fillId="18" borderId="70" xfId="49" applyNumberFormat="1" applyFont="1" applyFill="1" applyBorder="1"/>
    <xf numFmtId="2" fontId="74" fillId="18" borderId="73" xfId="0" applyNumberFormat="1" applyFont="1" applyFill="1" applyBorder="1" applyAlignment="1">
      <alignment horizontal="right"/>
    </xf>
    <xf numFmtId="2" fontId="35" fillId="1" borderId="29" xfId="0" applyNumberFormat="1" applyFont="1" applyFill="1" applyBorder="1" applyAlignment="1"/>
    <xf numFmtId="2" fontId="35" fillId="1" borderId="0" xfId="0" applyNumberFormat="1" applyFont="1" applyFill="1" applyBorder="1" applyAlignment="1"/>
    <xf numFmtId="1" fontId="39" fillId="12" borderId="16" xfId="0" applyNumberFormat="1" applyFont="1" applyFill="1" applyBorder="1" applyAlignment="1">
      <alignment horizontal="center"/>
    </xf>
    <xf numFmtId="1" fontId="39" fillId="12" borderId="18" xfId="0" applyNumberFormat="1" applyFont="1" applyFill="1" applyBorder="1" applyAlignment="1">
      <alignment horizontal="center"/>
    </xf>
    <xf numFmtId="1" fontId="39" fillId="12" borderId="19" xfId="0" applyNumberFormat="1" applyFont="1" applyFill="1" applyBorder="1" applyAlignment="1">
      <alignment horizontal="center"/>
    </xf>
    <xf numFmtId="14" fontId="10" fillId="0" borderId="97" xfId="0" applyNumberFormat="1" applyFont="1" applyFill="1" applyBorder="1" applyAlignment="1" applyProtection="1">
      <alignment horizontal="center" vertical="center"/>
    </xf>
    <xf numFmtId="0" fontId="10" fillId="0" borderId="98" xfId="0" applyFont="1" applyBorder="1" applyAlignment="1">
      <alignment horizontal="center"/>
    </xf>
    <xf numFmtId="14" fontId="35" fillId="0" borderId="98" xfId="0" applyNumberFormat="1" applyFont="1" applyBorder="1" applyAlignment="1"/>
    <xf numFmtId="164" fontId="35" fillId="0" borderId="98" xfId="0" applyNumberFormat="1" applyFont="1" applyBorder="1" applyAlignment="1">
      <alignment horizontal="center"/>
    </xf>
    <xf numFmtId="2" fontId="35" fillId="0" borderId="98" xfId="0" applyNumberFormat="1" applyFont="1" applyBorder="1" applyAlignment="1"/>
    <xf numFmtId="2" fontId="39" fillId="0" borderId="98" xfId="0" applyNumberFormat="1" applyFont="1" applyBorder="1" applyAlignment="1"/>
    <xf numFmtId="0" fontId="58" fillId="25" borderId="0" xfId="0" applyFont="1" applyFill="1" applyProtection="1"/>
    <xf numFmtId="0" fontId="94" fillId="25" borderId="0" xfId="0" applyFont="1" applyFill="1" applyProtection="1"/>
    <xf numFmtId="0" fontId="48" fillId="14" borderId="52" xfId="0" applyFont="1" applyFill="1" applyBorder="1" applyAlignment="1" applyProtection="1">
      <alignment horizontal="left"/>
    </xf>
    <xf numFmtId="0" fontId="58" fillId="14" borderId="39" xfId="0" applyFont="1" applyFill="1" applyBorder="1" applyProtection="1"/>
    <xf numFmtId="0" fontId="58" fillId="14" borderId="39" xfId="0" applyFont="1" applyFill="1" applyBorder="1"/>
    <xf numFmtId="0" fontId="58" fillId="14" borderId="126" xfId="0" applyFont="1" applyFill="1" applyBorder="1" applyProtection="1"/>
    <xf numFmtId="0" fontId="51" fillId="11" borderId="35" xfId="0" applyFont="1" applyFill="1" applyBorder="1" applyAlignment="1" applyProtection="1">
      <alignment horizontal="left"/>
    </xf>
    <xf numFmtId="0" fontId="58" fillId="11" borderId="29" xfId="0" applyFont="1" applyFill="1" applyBorder="1" applyProtection="1"/>
    <xf numFmtId="0" fontId="84" fillId="10" borderId="36" xfId="0" applyFont="1" applyFill="1" applyBorder="1" applyAlignment="1" applyProtection="1">
      <alignment horizontal="center"/>
    </xf>
    <xf numFmtId="0" fontId="51" fillId="11" borderId="18" xfId="0" applyFont="1" applyFill="1" applyBorder="1" applyAlignment="1" applyProtection="1">
      <alignment horizontal="left"/>
    </xf>
    <xf numFmtId="0" fontId="58" fillId="11" borderId="16" xfId="0" applyFont="1" applyFill="1" applyBorder="1" applyProtection="1"/>
    <xf numFmtId="14" fontId="84" fillId="10" borderId="19" xfId="0" applyNumberFormat="1" applyFont="1" applyFill="1" applyBorder="1" applyAlignment="1" applyProtection="1">
      <alignment horizontal="center"/>
    </xf>
    <xf numFmtId="0" fontId="84" fillId="10" borderId="108" xfId="0" applyFont="1" applyFill="1" applyBorder="1" applyAlignment="1">
      <alignment horizontal="center"/>
    </xf>
    <xf numFmtId="1" fontId="68" fillId="9" borderId="5" xfId="0" applyNumberFormat="1" applyFont="1" applyFill="1" applyBorder="1" applyAlignment="1">
      <alignment horizontal="right"/>
    </xf>
    <xf numFmtId="0" fontId="68" fillId="9" borderId="9" xfId="0" applyFont="1" applyFill="1" applyBorder="1" applyAlignment="1">
      <alignment horizontal="left"/>
    </xf>
    <xf numFmtId="0" fontId="68" fillId="9" borderId="5" xfId="0" applyFont="1" applyFill="1" applyBorder="1" applyAlignment="1">
      <alignment horizontal="center"/>
    </xf>
    <xf numFmtId="0" fontId="68" fillId="9" borderId="6" xfId="0" applyFont="1" applyFill="1" applyBorder="1" applyAlignment="1">
      <alignment horizontal="center"/>
    </xf>
    <xf numFmtId="0" fontId="68" fillId="9" borderId="7" xfId="0" applyFont="1" applyFill="1" applyBorder="1" applyAlignment="1">
      <alignment horizontal="center"/>
    </xf>
    <xf numFmtId="0" fontId="68" fillId="9" borderId="8" xfId="0" applyFont="1" applyFill="1" applyBorder="1"/>
    <xf numFmtId="0" fontId="10" fillId="0" borderId="0" xfId="0" applyFont="1" applyBorder="1"/>
    <xf numFmtId="0" fontId="40" fillId="20" borderId="123" xfId="0" applyFont="1" applyFill="1" applyBorder="1" applyAlignment="1">
      <alignment horizontal="center"/>
    </xf>
    <xf numFmtId="0" fontId="95" fillId="18" borderId="77" xfId="0" applyFont="1" applyFill="1" applyBorder="1" applyAlignment="1" applyProtection="1">
      <alignment horizontal="left"/>
    </xf>
    <xf numFmtId="0" fontId="96" fillId="18" borderId="71" xfId="0" applyFont="1" applyFill="1" applyBorder="1"/>
    <xf numFmtId="164" fontId="35" fillId="0" borderId="75" xfId="0" applyNumberFormat="1" applyFont="1" applyFill="1" applyBorder="1" applyAlignment="1">
      <alignment horizontal="right"/>
    </xf>
    <xf numFmtId="164" fontId="35" fillId="0" borderId="0" xfId="0" applyNumberFormat="1" applyFont="1" applyFill="1" applyBorder="1" applyAlignment="1">
      <alignment horizontal="right"/>
    </xf>
    <xf numFmtId="164" fontId="35" fillId="0" borderId="70" xfId="0" applyNumberFormat="1" applyFont="1" applyFill="1" applyBorder="1" applyAlignment="1">
      <alignment horizontal="right"/>
    </xf>
    <xf numFmtId="0" fontId="10" fillId="0" borderId="39" xfId="0" applyFont="1" applyBorder="1" applyAlignment="1">
      <alignment horizontal="center"/>
    </xf>
    <xf numFmtId="14" fontId="35" fillId="0" borderId="39" xfId="0" applyNumberFormat="1" applyFont="1" applyBorder="1" applyAlignment="1"/>
    <xf numFmtId="164" fontId="35" fillId="0" borderId="39" xfId="0" applyNumberFormat="1" applyFont="1" applyBorder="1" applyAlignment="1">
      <alignment horizontal="center"/>
    </xf>
    <xf numFmtId="165" fontId="35" fillId="0" borderId="39" xfId="49" applyNumberFormat="1" applyFont="1" applyBorder="1" applyAlignment="1"/>
    <xf numFmtId="164" fontId="35" fillId="12" borderId="0" xfId="49" applyNumberFormat="1" applyFont="1" applyFill="1" applyBorder="1" applyAlignment="1"/>
    <xf numFmtId="164" fontId="35" fillId="0" borderId="29" xfId="49" applyNumberFormat="1" applyFont="1" applyBorder="1" applyAlignment="1"/>
    <xf numFmtId="14" fontId="35" fillId="0" borderId="16" xfId="0" applyNumberFormat="1" applyFont="1" applyBorder="1" applyAlignment="1">
      <alignment horizontal="center"/>
    </xf>
    <xf numFmtId="14" fontId="35" fillId="12" borderId="0" xfId="0" applyNumberFormat="1" applyFont="1" applyFill="1" applyBorder="1" applyAlignment="1">
      <alignment horizontal="center"/>
    </xf>
    <xf numFmtId="14" fontId="35" fillId="0" borderId="29" xfId="0" applyNumberFormat="1" applyFont="1" applyBorder="1" applyAlignment="1">
      <alignment horizontal="center"/>
    </xf>
    <xf numFmtId="0" fontId="0" fillId="11" borderId="20" xfId="0" applyFill="1" applyBorder="1"/>
    <xf numFmtId="0" fontId="0" fillId="11" borderId="2" xfId="0" applyFill="1" applyBorder="1"/>
    <xf numFmtId="0" fontId="41" fillId="11" borderId="17" xfId="0" applyFont="1" applyFill="1" applyBorder="1" applyProtection="1"/>
    <xf numFmtId="0" fontId="43" fillId="11" borderId="0" xfId="0" applyFont="1" applyFill="1" applyBorder="1" applyProtection="1"/>
    <xf numFmtId="164" fontId="35" fillId="11" borderId="26" xfId="0" applyNumberFormat="1" applyFont="1" applyFill="1" applyBorder="1" applyAlignment="1" applyProtection="1">
      <alignment horizontal="right"/>
    </xf>
    <xf numFmtId="164" fontId="35" fillId="11" borderId="27" xfId="0" applyNumberFormat="1" applyFont="1" applyFill="1" applyBorder="1" applyAlignment="1" applyProtection="1">
      <alignment horizontal="right"/>
    </xf>
    <xf numFmtId="0" fontId="41" fillId="0" borderId="18" xfId="0" applyFont="1" applyBorder="1" applyProtection="1"/>
    <xf numFmtId="0" fontId="41" fillId="0" borderId="2" xfId="0" applyFont="1" applyBorder="1" applyProtection="1"/>
    <xf numFmtId="0" fontId="35" fillId="0" borderId="2" xfId="0" applyFont="1" applyBorder="1"/>
    <xf numFmtId="0" fontId="41" fillId="11" borderId="2" xfId="0" applyFont="1" applyFill="1" applyBorder="1" applyProtection="1"/>
    <xf numFmtId="0" fontId="41" fillId="0" borderId="35" xfId="0" applyFont="1" applyBorder="1" applyProtection="1"/>
    <xf numFmtId="1" fontId="47" fillId="0" borderId="7" xfId="0" applyNumberFormat="1" applyFont="1" applyBorder="1" applyAlignment="1" applyProtection="1">
      <alignment horizontal="center"/>
    </xf>
    <xf numFmtId="0" fontId="41" fillId="0" borderId="19" xfId="0" applyFont="1" applyBorder="1" applyProtection="1"/>
    <xf numFmtId="0" fontId="41" fillId="0" borderId="26" xfId="0" applyFont="1" applyBorder="1" applyProtection="1"/>
    <xf numFmtId="0" fontId="41" fillId="0" borderId="30" xfId="0" applyFont="1" applyBorder="1" applyProtection="1"/>
    <xf numFmtId="0" fontId="47" fillId="0" borderId="17" xfId="0" applyFont="1" applyFill="1" applyBorder="1" applyAlignment="1" applyProtection="1">
      <alignment horizontal="left"/>
    </xf>
    <xf numFmtId="0" fontId="47" fillId="0" borderId="127" xfId="0" applyFont="1" applyBorder="1" applyAlignment="1" applyProtection="1">
      <alignment horizontal="left"/>
    </xf>
    <xf numFmtId="0" fontId="50" fillId="0" borderId="128" xfId="0" applyFont="1" applyFill="1" applyBorder="1" applyAlignment="1" applyProtection="1">
      <alignment horizontal="left"/>
    </xf>
    <xf numFmtId="0" fontId="0" fillId="0" borderId="56" xfId="0" applyBorder="1"/>
    <xf numFmtId="0" fontId="0" fillId="0" borderId="56" xfId="0" applyFill="1" applyBorder="1"/>
    <xf numFmtId="0" fontId="0" fillId="0" borderId="129" xfId="0" applyBorder="1"/>
    <xf numFmtId="166" fontId="35" fillId="0" borderId="29" xfId="0" applyNumberFormat="1" applyFont="1" applyBorder="1"/>
    <xf numFmtId="1" fontId="35" fillId="0" borderId="79" xfId="0" applyNumberFormat="1" applyFont="1" applyFill="1" applyBorder="1" applyAlignment="1"/>
    <xf numFmtId="1" fontId="35" fillId="0" borderId="91" xfId="0" applyNumberFormat="1" applyFont="1" applyFill="1" applyBorder="1" applyAlignment="1"/>
    <xf numFmtId="1" fontId="35" fillId="0" borderId="79" xfId="0" applyNumberFormat="1" applyFont="1" applyFill="1" applyBorder="1"/>
    <xf numFmtId="164" fontId="35" fillId="0" borderId="79" xfId="0" applyNumberFormat="1" applyFont="1" applyFill="1" applyBorder="1"/>
    <xf numFmtId="164" fontId="35" fillId="0" borderId="0" xfId="0" applyNumberFormat="1" applyFont="1" applyFill="1" applyBorder="1"/>
    <xf numFmtId="165" fontId="35" fillId="0" borderId="16" xfId="49" applyNumberFormat="1" applyFont="1" applyFill="1" applyBorder="1"/>
    <xf numFmtId="164" fontId="35" fillId="0" borderId="0" xfId="0" applyNumberFormat="1" applyFont="1"/>
    <xf numFmtId="2" fontId="39" fillId="0" borderId="0" xfId="0" applyNumberFormat="1" applyFont="1"/>
    <xf numFmtId="0" fontId="0" fillId="0" borderId="128" xfId="0" applyBorder="1"/>
    <xf numFmtId="0" fontId="0" fillId="0" borderId="129" xfId="0" applyFill="1" applyBorder="1"/>
    <xf numFmtId="0" fontId="8" fillId="11" borderId="18" xfId="0" applyFont="1" applyFill="1" applyBorder="1"/>
    <xf numFmtId="0" fontId="35" fillId="11" borderId="19" xfId="0" applyFont="1" applyFill="1" applyBorder="1"/>
    <xf numFmtId="0" fontId="100" fillId="11" borderId="2" xfId="0" applyFont="1" applyFill="1" applyBorder="1"/>
    <xf numFmtId="0" fontId="35" fillId="11" borderId="20" xfId="0" applyFont="1" applyFill="1" applyBorder="1"/>
    <xf numFmtId="0" fontId="99" fillId="11" borderId="2" xfId="0" applyFont="1" applyFill="1" applyBorder="1" applyProtection="1"/>
    <xf numFmtId="0" fontId="0" fillId="11" borderId="35" xfId="0" applyFill="1" applyBorder="1"/>
    <xf numFmtId="0" fontId="35" fillId="11" borderId="36" xfId="0" applyFont="1" applyFill="1" applyBorder="1"/>
    <xf numFmtId="0" fontId="39" fillId="0" borderId="29" xfId="0" applyFont="1" applyFill="1" applyBorder="1" applyProtection="1"/>
    <xf numFmtId="0" fontId="47" fillId="0" borderId="29" xfId="0" applyFont="1" applyFill="1" applyBorder="1" applyProtection="1"/>
    <xf numFmtId="0" fontId="47" fillId="0" borderId="3" xfId="0" applyFont="1" applyFill="1" applyBorder="1" applyProtection="1"/>
    <xf numFmtId="0" fontId="8" fillId="0" borderId="24" xfId="0" applyFont="1" applyBorder="1"/>
    <xf numFmtId="0" fontId="100" fillId="0" borderId="26" xfId="0" applyFont="1" applyBorder="1"/>
    <xf numFmtId="0" fontId="100" fillId="0" borderId="30" xfId="0" applyFont="1" applyBorder="1"/>
    <xf numFmtId="164" fontId="41" fillId="0" borderId="48" xfId="0" applyNumberFormat="1" applyFont="1" applyBorder="1" applyProtection="1"/>
    <xf numFmtId="164" fontId="41" fillId="0" borderId="49" xfId="0" applyNumberFormat="1" applyFont="1" applyBorder="1" applyProtection="1"/>
    <xf numFmtId="0" fontId="47" fillId="0" borderId="36" xfId="0" applyFont="1" applyFill="1" applyBorder="1" applyProtection="1"/>
    <xf numFmtId="0" fontId="57" fillId="0" borderId="36" xfId="0" applyFont="1" applyFill="1" applyBorder="1" applyProtection="1"/>
    <xf numFmtId="0" fontId="57" fillId="0" borderId="51" xfId="0" applyFont="1" applyFill="1" applyBorder="1" applyProtection="1"/>
    <xf numFmtId="0" fontId="47" fillId="0" borderId="5" xfId="0" applyFont="1" applyFill="1" applyBorder="1" applyProtection="1"/>
    <xf numFmtId="164" fontId="47" fillId="0" borderId="7" xfId="0" applyNumberFormat="1" applyFont="1" applyFill="1" applyBorder="1" applyProtection="1"/>
    <xf numFmtId="164" fontId="47" fillId="0" borderId="45" xfId="0" applyNumberFormat="1" applyFont="1" applyFill="1" applyBorder="1" applyProtection="1"/>
    <xf numFmtId="164" fontId="47" fillId="0" borderId="37" xfId="0" applyNumberFormat="1" applyFont="1" applyFill="1" applyBorder="1" applyProtection="1"/>
    <xf numFmtId="0" fontId="47" fillId="0" borderId="41" xfId="0" applyFont="1" applyFill="1" applyBorder="1" applyAlignment="1" applyProtection="1">
      <alignment horizontal="center"/>
    </xf>
    <xf numFmtId="164" fontId="47" fillId="0" borderId="41" xfId="0" applyNumberFormat="1" applyFont="1" applyFill="1" applyBorder="1" applyProtection="1"/>
    <xf numFmtId="166" fontId="0" fillId="12" borderId="0" xfId="0" applyNumberFormat="1" applyFill="1"/>
    <xf numFmtId="164" fontId="0" fillId="12" borderId="0" xfId="0" applyNumberFormat="1" applyFill="1"/>
    <xf numFmtId="0" fontId="37" fillId="0" borderId="0" xfId="0" applyFont="1" applyBorder="1" applyAlignment="1" applyProtection="1">
      <alignment horizontal="center"/>
    </xf>
    <xf numFmtId="0" fontId="41" fillId="0" borderId="0" xfId="0" applyFont="1" applyBorder="1" applyAlignment="1" applyProtection="1">
      <alignment horizontal="center"/>
    </xf>
    <xf numFmtId="3" fontId="47" fillId="0" borderId="19" xfId="0" applyNumberFormat="1" applyFont="1" applyFill="1" applyBorder="1" applyAlignment="1" applyProtection="1">
      <alignment horizontal="center"/>
    </xf>
    <xf numFmtId="0" fontId="41" fillId="0" borderId="3" xfId="0" applyFont="1" applyFill="1" applyBorder="1" applyAlignment="1" applyProtection="1">
      <alignment horizontal="center"/>
    </xf>
    <xf numFmtId="0" fontId="47" fillId="0" borderId="128" xfId="0" applyFont="1" applyFill="1" applyBorder="1" applyProtection="1"/>
    <xf numFmtId="0" fontId="41" fillId="0" borderId="56" xfId="0" applyFont="1" applyFill="1" applyBorder="1" applyAlignment="1" applyProtection="1">
      <alignment horizontal="center"/>
    </xf>
    <xf numFmtId="164" fontId="41" fillId="0" borderId="56" xfId="0" applyNumberFormat="1" applyFont="1" applyFill="1" applyBorder="1" applyAlignment="1" applyProtection="1">
      <alignment horizontal="right"/>
    </xf>
    <xf numFmtId="0" fontId="47" fillId="0" borderId="128" xfId="0" applyFont="1" applyBorder="1" applyProtection="1"/>
    <xf numFmtId="0" fontId="41" fillId="0" borderId="56" xfId="0" applyFont="1" applyBorder="1" applyProtection="1"/>
    <xf numFmtId="0" fontId="46" fillId="0" borderId="56" xfId="0" applyFont="1" applyBorder="1" applyAlignment="1" applyProtection="1">
      <alignment horizontal="center"/>
    </xf>
    <xf numFmtId="1" fontId="47" fillId="0" borderId="56" xfId="0" applyNumberFormat="1" applyFont="1" applyBorder="1" applyAlignment="1" applyProtection="1">
      <alignment horizontal="center"/>
    </xf>
    <xf numFmtId="0" fontId="35" fillId="12" borderId="0" xfId="0" applyFont="1" applyFill="1" applyBorder="1" applyAlignment="1"/>
    <xf numFmtId="0" fontId="8" fillId="11" borderId="2" xfId="0" applyFont="1" applyFill="1" applyBorder="1"/>
    <xf numFmtId="0" fontId="100" fillId="11" borderId="20" xfId="0" applyFont="1" applyFill="1" applyBorder="1"/>
    <xf numFmtId="0" fontId="100" fillId="11" borderId="35" xfId="0" applyFont="1" applyFill="1" applyBorder="1"/>
    <xf numFmtId="0" fontId="41" fillId="0" borderId="20" xfId="0" quotePrefix="1" applyFont="1" applyBorder="1" applyAlignment="1" applyProtection="1">
      <alignment horizontal="left"/>
    </xf>
    <xf numFmtId="0" fontId="41" fillId="0" borderId="19" xfId="0" quotePrefix="1" applyFont="1" applyBorder="1" applyAlignment="1" applyProtection="1">
      <alignment horizontal="left"/>
    </xf>
    <xf numFmtId="0" fontId="57" fillId="0" borderId="36" xfId="0" applyFont="1" applyBorder="1" applyProtection="1"/>
    <xf numFmtId="0" fontId="41" fillId="0" borderId="20" xfId="0" applyFont="1" applyBorder="1" applyAlignment="1" applyProtection="1">
      <alignment horizontal="left"/>
    </xf>
    <xf numFmtId="0" fontId="50" fillId="0" borderId="20" xfId="0" applyFont="1" applyBorder="1" applyAlignment="1" applyProtection="1">
      <alignment horizontal="left"/>
    </xf>
    <xf numFmtId="0" fontId="57" fillId="0" borderId="51" xfId="0" applyFont="1" applyBorder="1" applyProtection="1"/>
    <xf numFmtId="0" fontId="45" fillId="0" borderId="40" xfId="0" applyFont="1" applyBorder="1" applyAlignment="1" applyProtection="1">
      <alignment horizontal="center" wrapText="1"/>
    </xf>
    <xf numFmtId="164" fontId="47" fillId="0" borderId="20" xfId="0" quotePrefix="1" applyNumberFormat="1" applyFont="1" applyBorder="1" applyAlignment="1" applyProtection="1">
      <alignment horizontal="center"/>
    </xf>
    <xf numFmtId="164" fontId="47" fillId="0" borderId="45" xfId="0" quotePrefix="1" applyNumberFormat="1" applyFont="1" applyBorder="1" applyAlignment="1" applyProtection="1">
      <alignment horizontal="center"/>
    </xf>
    <xf numFmtId="0" fontId="45" fillId="0" borderId="126" xfId="0" applyFont="1" applyBorder="1" applyAlignment="1" applyProtection="1">
      <alignment horizontal="center" wrapText="1"/>
    </xf>
    <xf numFmtId="0" fontId="45" fillId="0" borderId="42" xfId="0" applyFont="1" applyBorder="1" applyAlignment="1" applyProtection="1">
      <alignment horizontal="center" wrapText="1"/>
    </xf>
    <xf numFmtId="0" fontId="45" fillId="0" borderId="40" xfId="0" quotePrefix="1" applyFont="1" applyBorder="1" applyAlignment="1" applyProtection="1">
      <alignment horizontal="center"/>
    </xf>
    <xf numFmtId="0" fontId="45" fillId="0" borderId="42" xfId="0" quotePrefix="1" applyFont="1" applyBorder="1" applyAlignment="1" applyProtection="1">
      <alignment horizontal="center"/>
    </xf>
    <xf numFmtId="0" fontId="45" fillId="0" borderId="0" xfId="0" quotePrefix="1" applyFont="1" applyBorder="1" applyAlignment="1" applyProtection="1">
      <alignment horizontal="center"/>
    </xf>
    <xf numFmtId="0" fontId="45" fillId="0" borderId="0" xfId="0" applyFont="1" applyBorder="1" applyAlignment="1" applyProtection="1">
      <alignment horizontal="center"/>
    </xf>
    <xf numFmtId="0" fontId="45" fillId="0" borderId="2" xfId="0" applyFont="1" applyBorder="1" applyAlignment="1" applyProtection="1">
      <alignment horizontal="center"/>
    </xf>
    <xf numFmtId="0" fontId="45" fillId="0" borderId="20" xfId="0" quotePrefix="1" applyFont="1" applyBorder="1" applyAlignment="1" applyProtection="1">
      <alignment horizontal="center"/>
    </xf>
    <xf numFmtId="0" fontId="47" fillId="0" borderId="0" xfId="0" applyFont="1" applyBorder="1" applyAlignment="1" applyProtection="1">
      <alignment horizontal="right"/>
    </xf>
    <xf numFmtId="164" fontId="47" fillId="0" borderId="20" xfId="0" applyNumberFormat="1" applyFont="1" applyBorder="1" applyAlignment="1" applyProtection="1">
      <alignment horizontal="right"/>
    </xf>
    <xf numFmtId="0" fontId="41" fillId="0" borderId="16" xfId="0" applyFont="1" applyBorder="1" applyAlignment="1" applyProtection="1">
      <alignment horizontal="right"/>
    </xf>
    <xf numFmtId="0" fontId="41" fillId="0" borderId="18" xfId="0" applyFont="1" applyBorder="1" applyAlignment="1" applyProtection="1">
      <alignment horizontal="right"/>
    </xf>
    <xf numFmtId="0" fontId="50" fillId="0" borderId="19" xfId="0" applyFont="1" applyBorder="1" applyAlignment="1" applyProtection="1">
      <alignment horizontal="right"/>
    </xf>
    <xf numFmtId="0" fontId="41" fillId="0" borderId="19" xfId="0" applyFont="1" applyBorder="1" applyAlignment="1" applyProtection="1">
      <alignment horizontal="right"/>
    </xf>
    <xf numFmtId="0" fontId="41" fillId="0" borderId="29" xfId="0" applyFont="1" applyBorder="1" applyAlignment="1" applyProtection="1">
      <alignment horizontal="right"/>
    </xf>
    <xf numFmtId="164" fontId="41" fillId="0" borderId="35" xfId="0" applyNumberFormat="1" applyFont="1" applyBorder="1" applyAlignment="1" applyProtection="1">
      <alignment horizontal="right"/>
    </xf>
    <xf numFmtId="164" fontId="41" fillId="0" borderId="36" xfId="0" applyNumberFormat="1" applyFont="1" applyBorder="1" applyAlignment="1" applyProtection="1">
      <alignment horizontal="right"/>
    </xf>
    <xf numFmtId="164" fontId="41" fillId="0" borderId="29" xfId="0" applyNumberFormat="1" applyFont="1" applyBorder="1" applyAlignment="1" applyProtection="1">
      <alignment horizontal="right"/>
    </xf>
    <xf numFmtId="164" fontId="41" fillId="0" borderId="19" xfId="0" applyNumberFormat="1" applyFont="1" applyBorder="1" applyAlignment="1" applyProtection="1">
      <alignment horizontal="right"/>
    </xf>
    <xf numFmtId="0" fontId="45" fillId="0" borderId="26" xfId="0" quotePrefix="1" applyFont="1" applyBorder="1" applyAlignment="1" applyProtection="1">
      <alignment horizontal="center"/>
    </xf>
    <xf numFmtId="0" fontId="45" fillId="0" borderId="45" xfId="0" quotePrefix="1" applyFont="1" applyBorder="1" applyAlignment="1" applyProtection="1">
      <alignment horizontal="center"/>
    </xf>
    <xf numFmtId="0" fontId="50" fillId="0" borderId="44" xfId="0" applyFont="1" applyBorder="1" applyAlignment="1" applyProtection="1">
      <alignment horizontal="right"/>
    </xf>
    <xf numFmtId="0" fontId="41" fillId="0" borderId="28" xfId="0" applyFont="1" applyBorder="1" applyAlignment="1" applyProtection="1">
      <alignment horizontal="left"/>
    </xf>
    <xf numFmtId="164" fontId="41" fillId="0" borderId="46" xfId="0" applyNumberFormat="1" applyFont="1" applyBorder="1" applyAlignment="1" applyProtection="1">
      <alignment horizontal="right"/>
    </xf>
    <xf numFmtId="164" fontId="47" fillId="0" borderId="45" xfId="0" applyNumberFormat="1" applyFont="1" applyBorder="1" applyAlignment="1" applyProtection="1">
      <alignment horizontal="right"/>
    </xf>
    <xf numFmtId="164" fontId="41" fillId="0" borderId="44" xfId="0" applyNumberFormat="1" applyFont="1" applyBorder="1" applyAlignment="1" applyProtection="1">
      <alignment horizontal="right"/>
    </xf>
    <xf numFmtId="0" fontId="47" fillId="0" borderId="47" xfId="0" applyFont="1" applyBorder="1" applyAlignment="1" applyProtection="1">
      <alignment horizontal="right"/>
    </xf>
    <xf numFmtId="164" fontId="47" fillId="0" borderId="47" xfId="0" applyNumberFormat="1" applyFont="1" applyBorder="1" applyAlignment="1" applyProtection="1">
      <alignment horizontal="right"/>
    </xf>
    <xf numFmtId="164" fontId="47" fillId="0" borderId="130" xfId="0" applyNumberFormat="1" applyFont="1" applyBorder="1" applyAlignment="1" applyProtection="1">
      <alignment horizontal="right"/>
    </xf>
    <xf numFmtId="164" fontId="47" fillId="0" borderId="131" xfId="0" applyNumberFormat="1" applyFont="1" applyBorder="1" applyAlignment="1" applyProtection="1">
      <alignment horizontal="right"/>
    </xf>
    <xf numFmtId="164" fontId="47" fillId="0" borderId="132" xfId="0" applyNumberFormat="1" applyFont="1" applyBorder="1" applyAlignment="1" applyProtection="1">
      <alignment horizontal="right"/>
    </xf>
    <xf numFmtId="165" fontId="0" fillId="0" borderId="26" xfId="49" applyNumberFormat="1" applyFont="1" applyBorder="1" applyAlignment="1">
      <alignment horizontal="center"/>
    </xf>
    <xf numFmtId="165" fontId="0" fillId="0" borderId="30" xfId="49" applyNumberFormat="1" applyFont="1" applyBorder="1" applyAlignment="1">
      <alignment horizontal="center"/>
    </xf>
    <xf numFmtId="0" fontId="0" fillId="0" borderId="24" xfId="0" applyBorder="1" applyAlignment="1">
      <alignment horizontal="center"/>
    </xf>
    <xf numFmtId="0" fontId="0" fillId="0" borderId="48" xfId="0" applyBorder="1" applyAlignment="1">
      <alignment horizontal="center"/>
    </xf>
    <xf numFmtId="0" fontId="47" fillId="0" borderId="23" xfId="0" applyFont="1" applyBorder="1" applyAlignment="1" applyProtection="1">
      <alignment horizontal="left"/>
    </xf>
    <xf numFmtId="0" fontId="35" fillId="18" borderId="0" xfId="0" applyFont="1" applyFill="1" applyBorder="1"/>
    <xf numFmtId="0" fontId="41" fillId="0" borderId="45" xfId="0" applyFont="1" applyBorder="1" applyProtection="1"/>
    <xf numFmtId="0" fontId="47" fillId="0" borderId="3" xfId="0" quotePrefix="1" applyFont="1" applyBorder="1" applyAlignment="1" applyProtection="1">
      <alignment horizontal="left"/>
    </xf>
    <xf numFmtId="164" fontId="39" fillId="20" borderId="79" xfId="0" applyNumberFormat="1" applyFont="1" applyFill="1" applyBorder="1" applyAlignment="1"/>
    <xf numFmtId="0" fontId="102" fillId="0" borderId="0" xfId="0" applyFont="1"/>
    <xf numFmtId="0" fontId="102" fillId="0" borderId="0" xfId="0" applyFont="1" applyAlignment="1"/>
    <xf numFmtId="0" fontId="103" fillId="0" borderId="0" xfId="0" applyFont="1" applyAlignment="1">
      <alignment horizontal="center"/>
    </xf>
    <xf numFmtId="0" fontId="102" fillId="10" borderId="0" xfId="0" applyFont="1" applyFill="1"/>
    <xf numFmtId="0" fontId="102" fillId="30" borderId="0" xfId="0" applyFont="1" applyFill="1"/>
    <xf numFmtId="0" fontId="102" fillId="14" borderId="77" xfId="0" applyFont="1" applyFill="1" applyBorder="1"/>
    <xf numFmtId="0" fontId="102" fillId="19" borderId="77" xfId="0" applyFont="1" applyFill="1" applyBorder="1" applyAlignment="1">
      <alignment horizontal="center"/>
    </xf>
    <xf numFmtId="0" fontId="102" fillId="20" borderId="87" xfId="0" applyFont="1" applyFill="1" applyBorder="1"/>
    <xf numFmtId="0" fontId="102" fillId="12" borderId="52" xfId="0" applyFont="1" applyFill="1" applyBorder="1"/>
    <xf numFmtId="0" fontId="103" fillId="0" borderId="0" xfId="0" applyFont="1"/>
    <xf numFmtId="0" fontId="103" fillId="0" borderId="0" xfId="0" applyFont="1" applyAlignment="1"/>
    <xf numFmtId="0" fontId="102" fillId="0" borderId="0" xfId="0" quotePrefix="1" applyFont="1" applyAlignment="1"/>
    <xf numFmtId="0" fontId="102" fillId="0" borderId="0" xfId="0" applyFont="1" applyAlignment="1">
      <alignment wrapText="1"/>
    </xf>
    <xf numFmtId="0" fontId="102" fillId="12" borderId="6" xfId="0" applyFont="1" applyFill="1" applyBorder="1"/>
    <xf numFmtId="0" fontId="102" fillId="12" borderId="5" xfId="0" applyFont="1" applyFill="1" applyBorder="1"/>
    <xf numFmtId="0" fontId="102" fillId="12" borderId="5" xfId="0" applyFont="1" applyFill="1" applyBorder="1" applyAlignment="1"/>
    <xf numFmtId="0" fontId="102" fillId="12" borderId="7" xfId="0" applyFont="1" applyFill="1" applyBorder="1"/>
    <xf numFmtId="0" fontId="102" fillId="12" borderId="17" xfId="0" applyFont="1" applyFill="1" applyBorder="1"/>
    <xf numFmtId="0" fontId="102" fillId="10" borderId="0" xfId="0" applyFont="1" applyFill="1" applyBorder="1" applyAlignment="1"/>
    <xf numFmtId="0" fontId="102" fillId="10" borderId="0" xfId="0" applyFont="1" applyFill="1" applyAlignment="1"/>
    <xf numFmtId="0" fontId="102" fillId="10" borderId="0" xfId="0" applyFont="1" applyFill="1" applyBorder="1"/>
    <xf numFmtId="0" fontId="102" fillId="12" borderId="45" xfId="0" applyFont="1" applyFill="1" applyBorder="1"/>
    <xf numFmtId="0" fontId="102" fillId="12" borderId="0" xfId="0" applyFont="1" applyFill="1" applyBorder="1"/>
    <xf numFmtId="0" fontId="102" fillId="12" borderId="0" xfId="0" applyFont="1" applyFill="1" applyBorder="1" applyAlignment="1"/>
    <xf numFmtId="0" fontId="102" fillId="12" borderId="0" xfId="0" applyFont="1" applyFill="1"/>
    <xf numFmtId="0" fontId="102" fillId="12" borderId="0" xfId="0" applyFont="1" applyFill="1" applyAlignment="1"/>
    <xf numFmtId="0" fontId="102" fillId="12" borderId="32" xfId="0" applyFont="1" applyFill="1" applyBorder="1"/>
    <xf numFmtId="0" fontId="108" fillId="12" borderId="3" xfId="0" applyFont="1" applyFill="1" applyBorder="1"/>
    <xf numFmtId="0" fontId="102" fillId="12" borderId="3" xfId="0" applyFont="1" applyFill="1" applyBorder="1" applyAlignment="1"/>
    <xf numFmtId="0" fontId="102" fillId="12" borderId="3" xfId="0" applyFont="1" applyFill="1" applyBorder="1"/>
    <xf numFmtId="0" fontId="102" fillId="12" borderId="58" xfId="0" applyFont="1" applyFill="1" applyBorder="1"/>
    <xf numFmtId="0" fontId="102" fillId="14" borderId="71" xfId="0" applyFont="1" applyFill="1" applyBorder="1"/>
    <xf numFmtId="0" fontId="102" fillId="0" borderId="0" xfId="0" applyFont="1" applyBorder="1" applyAlignment="1"/>
    <xf numFmtId="0" fontId="102" fillId="20" borderId="88" xfId="0" applyFont="1" applyFill="1" applyBorder="1"/>
    <xf numFmtId="0" fontId="102" fillId="12" borderId="39" xfId="0" applyFont="1" applyFill="1" applyBorder="1"/>
    <xf numFmtId="0" fontId="108" fillId="0" borderId="0" xfId="0" applyFont="1" applyAlignment="1"/>
    <xf numFmtId="0" fontId="106" fillId="0" borderId="0" xfId="0" applyFont="1" applyAlignment="1"/>
    <xf numFmtId="0" fontId="104" fillId="0" borderId="0" xfId="0" applyFont="1"/>
    <xf numFmtId="0" fontId="108" fillId="0" borderId="0" xfId="0" applyFont="1"/>
    <xf numFmtId="0" fontId="102" fillId="0" borderId="0" xfId="0" quotePrefix="1" applyFont="1"/>
    <xf numFmtId="0" fontId="102" fillId="0" borderId="0" xfId="0" applyFont="1" applyAlignment="1">
      <alignment horizontal="center"/>
    </xf>
    <xf numFmtId="0" fontId="110" fillId="0" borderId="0" xfId="0" applyFont="1"/>
    <xf numFmtId="0" fontId="111" fillId="15" borderId="0" xfId="0" applyFont="1" applyFill="1"/>
    <xf numFmtId="0" fontId="111" fillId="15" borderId="0" xfId="0" applyFont="1" applyFill="1" applyAlignment="1"/>
    <xf numFmtId="0" fontId="112" fillId="15" borderId="0" xfId="0" applyFont="1" applyFill="1"/>
    <xf numFmtId="0" fontId="113" fillId="15" borderId="0" xfId="0" applyFont="1" applyFill="1"/>
    <xf numFmtId="0" fontId="87" fillId="15" borderId="0" xfId="0" applyFont="1" applyFill="1" applyAlignment="1"/>
    <xf numFmtId="0" fontId="111" fillId="15" borderId="0" xfId="0" applyFont="1" applyFill="1" applyAlignment="1">
      <alignment vertical="center"/>
    </xf>
    <xf numFmtId="0" fontId="102" fillId="0" borderId="0" xfId="0" applyFont="1" applyAlignment="1">
      <alignment vertical="center"/>
    </xf>
    <xf numFmtId="0" fontId="10" fillId="0" borderId="16" xfId="0" applyFont="1" applyBorder="1" applyAlignment="1">
      <alignment horizontal="right" vertical="center"/>
    </xf>
    <xf numFmtId="14" fontId="35" fillId="0" borderId="16" xfId="0" applyNumberFormat="1" applyFont="1" applyFill="1" applyBorder="1" applyAlignment="1">
      <alignment vertical="center"/>
    </xf>
    <xf numFmtId="0" fontId="35" fillId="0" borderId="16" xfId="0" applyFont="1" applyBorder="1" applyAlignment="1">
      <alignment horizontal="center" vertical="center" wrapText="1"/>
    </xf>
    <xf numFmtId="164" fontId="35" fillId="0" borderId="16" xfId="0" applyNumberFormat="1" applyFont="1" applyBorder="1" applyAlignment="1">
      <alignment vertical="center"/>
    </xf>
    <xf numFmtId="0" fontId="73" fillId="15" borderId="0" xfId="0" applyFont="1" applyFill="1" applyAlignment="1">
      <alignment vertical="center"/>
    </xf>
    <xf numFmtId="0" fontId="105" fillId="18" borderId="52" xfId="0" applyFont="1" applyFill="1" applyBorder="1"/>
    <xf numFmtId="0" fontId="102" fillId="18" borderId="39" xfId="0" applyFont="1" applyFill="1" applyBorder="1" applyAlignment="1"/>
    <xf numFmtId="0" fontId="102" fillId="18" borderId="39" xfId="0" applyFont="1" applyFill="1" applyBorder="1"/>
    <xf numFmtId="0" fontId="102" fillId="18" borderId="126" xfId="0" applyFont="1" applyFill="1" applyBorder="1"/>
    <xf numFmtId="0" fontId="103" fillId="14" borderId="52" xfId="0" applyFont="1" applyFill="1" applyBorder="1"/>
    <xf numFmtId="0" fontId="102" fillId="14" borderId="39" xfId="0" applyFont="1" applyFill="1" applyBorder="1"/>
    <xf numFmtId="0" fontId="102" fillId="14" borderId="39" xfId="0" applyFont="1" applyFill="1" applyBorder="1" applyAlignment="1"/>
    <xf numFmtId="0" fontId="102" fillId="14" borderId="126" xfId="0" applyFont="1" applyFill="1" applyBorder="1"/>
    <xf numFmtId="2" fontId="39" fillId="30" borderId="71" xfId="0" applyNumberFormat="1" applyFont="1" applyFill="1" applyBorder="1" applyAlignment="1" applyProtection="1">
      <protection locked="0"/>
    </xf>
    <xf numFmtId="1" fontId="11" fillId="10" borderId="39" xfId="0" applyNumberFormat="1" applyFont="1" applyFill="1" applyBorder="1" applyAlignment="1">
      <alignment horizontal="right" vertical="top"/>
    </xf>
    <xf numFmtId="2" fontId="39" fillId="0" borderId="75" xfId="0" applyNumberFormat="1" applyFont="1" applyFill="1" applyBorder="1" applyAlignment="1">
      <alignment horizontal="right"/>
    </xf>
    <xf numFmtId="2" fontId="39" fillId="0" borderId="0" xfId="0" applyNumberFormat="1" applyFont="1" applyFill="1" applyBorder="1" applyAlignment="1">
      <alignment horizontal="right"/>
    </xf>
    <xf numFmtId="2" fontId="39" fillId="0" borderId="70" xfId="0" applyNumberFormat="1" applyFont="1" applyFill="1" applyBorder="1" applyAlignment="1">
      <alignment horizontal="right"/>
    </xf>
    <xf numFmtId="2" fontId="39" fillId="0" borderId="76" xfId="0" applyNumberFormat="1" applyFont="1" applyFill="1" applyBorder="1" applyAlignment="1">
      <alignment horizontal="right"/>
    </xf>
    <xf numFmtId="0" fontId="66" fillId="0" borderId="0" xfId="0" applyFont="1" applyBorder="1" applyAlignment="1">
      <alignment horizontal="center"/>
    </xf>
    <xf numFmtId="1" fontId="40" fillId="18" borderId="0" xfId="0" applyNumberFormat="1" applyFont="1" applyFill="1" applyBorder="1" applyAlignment="1">
      <alignment horizontal="center"/>
    </xf>
    <xf numFmtId="0" fontId="65" fillId="0" borderId="67" xfId="0" applyFont="1" applyBorder="1" applyAlignment="1">
      <alignment horizontal="center"/>
    </xf>
    <xf numFmtId="14" fontId="10" fillId="0" borderId="121" xfId="0" applyNumberFormat="1" applyFont="1" applyFill="1" applyBorder="1" applyAlignment="1" applyProtection="1">
      <alignment horizontal="center" vertical="center"/>
    </xf>
    <xf numFmtId="0" fontId="10" fillId="0" borderId="123" xfId="0" applyFont="1" applyBorder="1" applyAlignment="1">
      <alignment horizontal="center"/>
    </xf>
    <xf numFmtId="0" fontId="35" fillId="0" borderId="123" xfId="0" applyFont="1" applyBorder="1"/>
    <xf numFmtId="164" fontId="35" fillId="0" borderId="123" xfId="0" applyNumberFormat="1" applyFont="1" applyBorder="1" applyAlignment="1">
      <alignment horizontal="center"/>
    </xf>
    <xf numFmtId="0" fontId="10" fillId="0" borderId="86" xfId="0" applyFont="1" applyBorder="1" applyAlignment="1">
      <alignment horizontal="center"/>
    </xf>
    <xf numFmtId="0" fontId="35" fillId="0" borderId="86" xfId="0" applyFont="1" applyBorder="1"/>
    <xf numFmtId="164" fontId="35" fillId="0" borderId="86" xfId="0" applyNumberFormat="1" applyFont="1" applyBorder="1" applyAlignment="1">
      <alignment horizontal="center"/>
    </xf>
    <xf numFmtId="166" fontId="0" fillId="11" borderId="0" xfId="0" applyNumberFormat="1" applyFill="1" applyBorder="1" applyProtection="1"/>
    <xf numFmtId="1" fontId="35" fillId="1" borderId="75" xfId="0" applyNumberFormat="1" applyFont="1" applyFill="1" applyBorder="1" applyAlignment="1"/>
    <xf numFmtId="164" fontId="40" fillId="26" borderId="0" xfId="0" applyNumberFormat="1" applyFont="1" applyFill="1" applyBorder="1" applyAlignment="1"/>
    <xf numFmtId="1" fontId="35" fillId="1" borderId="0" xfId="0" applyNumberFormat="1" applyFont="1" applyFill="1" applyBorder="1" applyAlignment="1"/>
    <xf numFmtId="164" fontId="40" fillId="26" borderId="70" xfId="0" applyNumberFormat="1" applyFont="1" applyFill="1" applyBorder="1" applyAlignment="1"/>
    <xf numFmtId="1" fontId="35" fillId="1" borderId="86" xfId="0" applyNumberFormat="1" applyFont="1" applyFill="1" applyBorder="1" applyAlignment="1"/>
    <xf numFmtId="2" fontId="35" fillId="1" borderId="86" xfId="0" applyNumberFormat="1" applyFont="1" applyFill="1" applyBorder="1" applyAlignment="1"/>
    <xf numFmtId="1" fontId="35" fillId="1" borderId="123" xfId="0" applyNumberFormat="1" applyFont="1" applyFill="1" applyBorder="1" applyAlignment="1"/>
    <xf numFmtId="2" fontId="35" fillId="1" borderId="123" xfId="0" applyNumberFormat="1" applyFont="1" applyFill="1" applyBorder="1" applyAlignment="1"/>
    <xf numFmtId="9" fontId="39" fillId="0" borderId="0" xfId="49" applyFont="1" applyAlignment="1"/>
    <xf numFmtId="2" fontId="62" fillId="0" borderId="0" xfId="0" applyNumberFormat="1" applyFont="1" applyAlignment="1"/>
    <xf numFmtId="2" fontId="62" fillId="0" borderId="0" xfId="0" applyNumberFormat="1" applyFont="1" applyBorder="1"/>
    <xf numFmtId="2" fontId="39" fillId="28" borderId="63" xfId="0" applyNumberFormat="1" applyFont="1" applyFill="1" applyBorder="1" applyAlignment="1"/>
    <xf numFmtId="166" fontId="39" fillId="17" borderId="65" xfId="0" applyNumberFormat="1" applyFont="1" applyFill="1" applyBorder="1" applyAlignment="1" applyProtection="1">
      <alignment horizontal="center" vertical="center"/>
    </xf>
    <xf numFmtId="1" fontId="39" fillId="0" borderId="0" xfId="49" applyNumberFormat="1" applyFont="1" applyAlignment="1"/>
    <xf numFmtId="14" fontId="35" fillId="0" borderId="90" xfId="0" applyNumberFormat="1" applyFont="1" applyFill="1" applyBorder="1" applyAlignment="1" applyProtection="1">
      <alignment horizontal="center" vertical="center"/>
    </xf>
    <xf numFmtId="14" fontId="35" fillId="0" borderId="94" xfId="0" applyNumberFormat="1" applyFont="1" applyFill="1" applyBorder="1" applyAlignment="1" applyProtection="1">
      <alignment horizontal="center" vertical="center"/>
    </xf>
    <xf numFmtId="14" fontId="35" fillId="0" borderId="92" xfId="0" applyNumberFormat="1" applyFont="1" applyFill="1" applyBorder="1" applyAlignment="1" applyProtection="1">
      <alignment horizontal="center" vertical="center"/>
    </xf>
    <xf numFmtId="0" fontId="39" fillId="12" borderId="98" xfId="0" applyFont="1" applyFill="1" applyBorder="1" applyAlignment="1">
      <alignment horizontal="center"/>
    </xf>
    <xf numFmtId="165" fontId="35" fillId="0" borderId="91" xfId="49" applyNumberFormat="1" applyFont="1" applyFill="1" applyBorder="1" applyAlignment="1"/>
    <xf numFmtId="165" fontId="35" fillId="0" borderId="4" xfId="49" applyNumberFormat="1" applyFont="1" applyFill="1" applyBorder="1" applyAlignment="1"/>
    <xf numFmtId="165" fontId="35" fillId="12" borderId="0" xfId="49" applyNumberFormat="1" applyFont="1" applyFill="1" applyBorder="1"/>
    <xf numFmtId="0" fontId="35" fillId="0" borderId="91" xfId="0" applyFont="1" applyBorder="1"/>
    <xf numFmtId="0" fontId="35" fillId="0" borderId="91" xfId="0" applyFont="1" applyBorder="1" applyAlignment="1">
      <alignment horizontal="center"/>
    </xf>
    <xf numFmtId="165" fontId="35" fillId="0" borderId="91" xfId="49" applyNumberFormat="1" applyFont="1" applyFill="1" applyBorder="1"/>
    <xf numFmtId="0" fontId="35" fillId="0" borderId="4" xfId="0" applyFont="1" applyBorder="1" applyAlignment="1">
      <alignment horizontal="center"/>
    </xf>
    <xf numFmtId="165" fontId="35" fillId="0" borderId="4" xfId="49" applyNumberFormat="1" applyFont="1" applyBorder="1"/>
    <xf numFmtId="0" fontId="10" fillId="12" borderId="97" xfId="0" applyFont="1" applyFill="1" applyBorder="1" applyAlignment="1">
      <alignment horizontal="center"/>
    </xf>
    <xf numFmtId="0" fontId="39" fillId="12" borderId="98" xfId="0" applyFont="1" applyFill="1" applyBorder="1"/>
    <xf numFmtId="0" fontId="35" fillId="12" borderId="98" xfId="0" applyFont="1" applyFill="1" applyBorder="1" applyAlignment="1">
      <alignment horizontal="center"/>
    </xf>
    <xf numFmtId="164" fontId="35" fillId="0" borderId="91" xfId="0" applyNumberFormat="1" applyFont="1" applyBorder="1" applyAlignment="1"/>
    <xf numFmtId="0" fontId="10" fillId="0" borderId="4" xfId="0" applyFont="1" applyFill="1" applyBorder="1" applyAlignment="1">
      <alignment horizontal="center"/>
    </xf>
    <xf numFmtId="164" fontId="35" fillId="0" borderId="4" xfId="0" applyNumberFormat="1" applyFont="1" applyFill="1" applyBorder="1" applyAlignment="1"/>
    <xf numFmtId="164" fontId="35" fillId="0" borderId="4" xfId="0" applyNumberFormat="1" applyFont="1" applyFill="1" applyBorder="1" applyAlignment="1">
      <alignment horizontal="center"/>
    </xf>
    <xf numFmtId="165" fontId="35" fillId="0" borderId="91" xfId="49" applyNumberFormat="1" applyFont="1" applyBorder="1" applyAlignment="1"/>
    <xf numFmtId="165" fontId="35" fillId="0" borderId="0" xfId="0" applyNumberFormat="1" applyFont="1" applyBorder="1" applyAlignment="1"/>
    <xf numFmtId="165" fontId="35" fillId="12" borderId="0" xfId="0" applyNumberFormat="1" applyFont="1" applyFill="1" applyBorder="1" applyAlignment="1"/>
    <xf numFmtId="165" fontId="35" fillId="0" borderId="4" xfId="0" applyNumberFormat="1" applyFont="1" applyFill="1" applyBorder="1" applyAlignment="1"/>
    <xf numFmtId="165" fontId="39" fillId="0" borderId="0" xfId="0" applyNumberFormat="1" applyFont="1" applyAlignment="1"/>
    <xf numFmtId="164" fontId="47" fillId="0" borderId="65" xfId="0" applyNumberFormat="1" applyFont="1" applyFill="1" applyBorder="1" applyProtection="1"/>
    <xf numFmtId="164" fontId="47" fillId="0" borderId="58" xfId="0" applyNumberFormat="1" applyFont="1" applyFill="1" applyBorder="1" applyProtection="1"/>
    <xf numFmtId="164" fontId="62" fillId="18" borderId="0" xfId="0" applyNumberFormat="1" applyFont="1" applyFill="1" applyBorder="1" applyAlignment="1">
      <alignment horizontal="right"/>
    </xf>
    <xf numFmtId="164" fontId="62" fillId="28" borderId="70" xfId="0" applyNumberFormat="1" applyFont="1" applyFill="1" applyBorder="1" applyAlignment="1"/>
    <xf numFmtId="164" fontId="62" fillId="28" borderId="70" xfId="0" applyNumberFormat="1" applyFont="1" applyFill="1" applyBorder="1" applyAlignment="1">
      <alignment horizontal="center"/>
    </xf>
    <xf numFmtId="0" fontId="11" fillId="0" borderId="0" xfId="0" applyFont="1" applyFill="1" applyAlignment="1">
      <alignment horizontal="center" vertical="center"/>
    </xf>
    <xf numFmtId="0" fontId="65" fillId="0" borderId="0" xfId="0" applyFont="1" applyFill="1" applyAlignment="1">
      <alignment horizontal="center"/>
    </xf>
    <xf numFmtId="166" fontId="41" fillId="0" borderId="0" xfId="0" applyNumberFormat="1" applyFont="1" applyBorder="1" applyProtection="1"/>
    <xf numFmtId="164" fontId="0" fillId="0" borderId="16" xfId="0" applyNumberFormat="1" applyBorder="1"/>
    <xf numFmtId="0" fontId="39" fillId="0" borderId="0" xfId="0" applyFont="1" applyFill="1" applyAlignment="1">
      <alignment horizontal="center"/>
    </xf>
    <xf numFmtId="166" fontId="39" fillId="0" borderId="0" xfId="0" applyNumberFormat="1" applyFont="1" applyAlignment="1"/>
    <xf numFmtId="0" fontId="40" fillId="18" borderId="0" xfId="0" applyFont="1" applyFill="1" applyBorder="1" applyAlignment="1">
      <alignment horizontal="center"/>
    </xf>
    <xf numFmtId="165" fontId="40" fillId="18" borderId="0" xfId="49" applyNumberFormat="1" applyFont="1" applyFill="1" applyBorder="1"/>
    <xf numFmtId="0" fontId="66" fillId="14" borderId="70" xfId="0" applyFont="1" applyFill="1" applyBorder="1" applyAlignment="1">
      <alignment horizontal="center"/>
    </xf>
    <xf numFmtId="0" fontId="66" fillId="14" borderId="0" xfId="0" applyFont="1" applyFill="1" applyBorder="1" applyAlignment="1">
      <alignment horizontal="center"/>
    </xf>
    <xf numFmtId="0" fontId="66" fillId="14" borderId="0" xfId="0" applyFont="1" applyFill="1" applyBorder="1"/>
    <xf numFmtId="1" fontId="66" fillId="14" borderId="0" xfId="0" applyNumberFormat="1" applyFont="1" applyFill="1" applyBorder="1" applyAlignment="1">
      <alignment horizontal="center"/>
    </xf>
    <xf numFmtId="1" fontId="66" fillId="14" borderId="0" xfId="0" applyNumberFormat="1" applyFont="1" applyFill="1" applyBorder="1" applyAlignment="1"/>
    <xf numFmtId="0" fontId="66" fillId="14" borderId="70" xfId="0" applyFont="1" applyFill="1" applyBorder="1"/>
    <xf numFmtId="165" fontId="66" fillId="14" borderId="70" xfId="49" applyNumberFormat="1" applyFont="1" applyFill="1" applyBorder="1" applyAlignment="1"/>
    <xf numFmtId="2" fontId="62" fillId="0" borderId="0" xfId="0" applyNumberFormat="1" applyFont="1"/>
    <xf numFmtId="0" fontId="62" fillId="0" borderId="0" xfId="0" applyFont="1" applyFill="1"/>
    <xf numFmtId="2" fontId="35" fillId="0" borderId="91" xfId="49" applyNumberFormat="1" applyFont="1" applyFill="1" applyBorder="1" applyAlignment="1"/>
    <xf numFmtId="2" fontId="35" fillId="12" borderId="0" xfId="49" applyNumberFormat="1" applyFont="1" applyFill="1" applyBorder="1" applyAlignment="1"/>
    <xf numFmtId="2" fontId="35" fillId="12" borderId="4" xfId="49" applyNumberFormat="1" applyFont="1" applyFill="1" applyBorder="1" applyAlignment="1"/>
    <xf numFmtId="2" fontId="35" fillId="0" borderId="0" xfId="49" applyNumberFormat="1" applyFont="1" applyFill="1" applyBorder="1" applyAlignment="1"/>
    <xf numFmtId="0" fontId="10" fillId="12" borderId="4" xfId="0" applyFont="1" applyFill="1" applyBorder="1" applyAlignment="1">
      <alignment horizontal="center"/>
    </xf>
    <xf numFmtId="0" fontId="35" fillId="12" borderId="4" xfId="0" applyFont="1" applyFill="1" applyBorder="1"/>
    <xf numFmtId="1" fontId="35" fillId="12" borderId="4" xfId="0" applyNumberFormat="1" applyFont="1" applyFill="1" applyBorder="1" applyAlignment="1">
      <alignment horizontal="center"/>
    </xf>
    <xf numFmtId="1" fontId="35" fillId="12" borderId="4" xfId="0" applyNumberFormat="1" applyFont="1" applyFill="1" applyBorder="1" applyAlignment="1"/>
    <xf numFmtId="164" fontId="35" fillId="0" borderId="0" xfId="0" applyNumberFormat="1" applyFont="1" applyBorder="1"/>
    <xf numFmtId="0" fontId="10" fillId="0" borderId="18" xfId="0" applyFont="1" applyBorder="1" applyAlignment="1">
      <alignment horizontal="center"/>
    </xf>
    <xf numFmtId="0" fontId="35" fillId="0" borderId="16" xfId="0" applyFont="1" applyBorder="1" applyAlignment="1">
      <alignment horizontal="center"/>
    </xf>
    <xf numFmtId="164" fontId="35" fillId="0" borderId="16" xfId="0" applyNumberFormat="1" applyFont="1" applyBorder="1"/>
    <xf numFmtId="0" fontId="65" fillId="0" borderId="0" xfId="0" applyFont="1" applyBorder="1" applyAlignment="1">
      <alignment horizontal="center"/>
    </xf>
    <xf numFmtId="0" fontId="66" fillId="0" borderId="2" xfId="0" applyFont="1" applyBorder="1" applyAlignment="1">
      <alignment horizontal="center"/>
    </xf>
    <xf numFmtId="0" fontId="40" fillId="0" borderId="0" xfId="0" applyFont="1" applyBorder="1"/>
    <xf numFmtId="0" fontId="66" fillId="0" borderId="35" xfId="0" applyFont="1" applyBorder="1" applyAlignment="1">
      <alignment horizontal="center"/>
    </xf>
    <xf numFmtId="0" fontId="35" fillId="0" borderId="0" xfId="0" applyFont="1" applyAlignment="1">
      <alignment horizontal="right" vertical="top"/>
    </xf>
    <xf numFmtId="0" fontId="11" fillId="33" borderId="18" xfId="0" applyFont="1" applyFill="1" applyBorder="1" applyAlignment="1">
      <alignment horizontal="center"/>
    </xf>
    <xf numFmtId="0" fontId="39" fillId="33" borderId="16" xfId="0" applyFont="1" applyFill="1" applyBorder="1"/>
    <xf numFmtId="0" fontId="39" fillId="33" borderId="16" xfId="0" applyFont="1" applyFill="1" applyBorder="1" applyAlignment="1">
      <alignment horizontal="center"/>
    </xf>
    <xf numFmtId="1" fontId="39" fillId="33" borderId="16" xfId="0" applyNumberFormat="1" applyFont="1" applyFill="1" applyBorder="1" applyAlignment="1"/>
    <xf numFmtId="0" fontId="11" fillId="33" borderId="16" xfId="0" applyFont="1" applyFill="1" applyBorder="1" applyAlignment="1">
      <alignment horizontal="right"/>
    </xf>
    <xf numFmtId="0" fontId="66" fillId="33" borderId="0" xfId="0" applyFont="1" applyFill="1" applyBorder="1" applyAlignment="1">
      <alignment horizontal="center"/>
    </xf>
    <xf numFmtId="0" fontId="40" fillId="33" borderId="0" xfId="0" applyFont="1" applyFill="1" applyBorder="1"/>
    <xf numFmtId="0" fontId="40" fillId="33" borderId="0" xfId="0" applyFont="1" applyFill="1" applyBorder="1" applyAlignment="1">
      <alignment horizontal="center"/>
    </xf>
    <xf numFmtId="165" fontId="40" fillId="33" borderId="0" xfId="49" applyNumberFormat="1" applyFont="1" applyFill="1" applyBorder="1"/>
    <xf numFmtId="0" fontId="66" fillId="33" borderId="29" xfId="0" applyFont="1" applyFill="1" applyBorder="1" applyAlignment="1">
      <alignment horizontal="center"/>
    </xf>
    <xf numFmtId="0" fontId="40" fillId="33" borderId="29" xfId="0" applyFont="1" applyFill="1" applyBorder="1"/>
    <xf numFmtId="0" fontId="40" fillId="33" borderId="29" xfId="0" applyFont="1" applyFill="1" applyBorder="1" applyAlignment="1">
      <alignment horizontal="center"/>
    </xf>
    <xf numFmtId="165" fontId="40" fillId="33" borderId="29" xfId="49" applyNumberFormat="1" applyFont="1" applyFill="1" applyBorder="1"/>
    <xf numFmtId="0" fontId="10" fillId="33" borderId="0" xfId="0" applyFont="1" applyFill="1" applyBorder="1" applyAlignment="1">
      <alignment horizontal="center"/>
    </xf>
    <xf numFmtId="0" fontId="35" fillId="33" borderId="0" xfId="0" applyFont="1" applyFill="1" applyBorder="1"/>
    <xf numFmtId="0" fontId="35" fillId="33" borderId="0" xfId="0" applyFont="1" applyFill="1" applyBorder="1" applyAlignment="1">
      <alignment horizontal="center"/>
    </xf>
    <xf numFmtId="165" fontId="35" fillId="33" borderId="0" xfId="0" applyNumberFormat="1" applyFont="1" applyFill="1" applyBorder="1"/>
    <xf numFmtId="1" fontId="75" fillId="0" borderId="0" xfId="0" applyNumberFormat="1" applyFont="1" applyFill="1" applyBorder="1" applyAlignment="1" applyProtection="1">
      <alignment horizontal="center" vertical="center"/>
    </xf>
    <xf numFmtId="0" fontId="11" fillId="18" borderId="13" xfId="0" applyFont="1" applyFill="1" applyBorder="1" applyAlignment="1">
      <alignment horizontal="center"/>
    </xf>
    <xf numFmtId="165" fontId="39" fillId="0" borderId="0" xfId="49" applyNumberFormat="1" applyFont="1"/>
    <xf numFmtId="166" fontId="0" fillId="0" borderId="0" xfId="0" applyNumberFormat="1" applyBorder="1"/>
    <xf numFmtId="2" fontId="11" fillId="0" borderId="0" xfId="0" applyNumberFormat="1" applyFont="1" applyFill="1" applyBorder="1" applyAlignment="1" applyProtection="1">
      <alignment horizontal="center" vertical="center"/>
    </xf>
    <xf numFmtId="2" fontId="10" fillId="0" borderId="0" xfId="0" applyNumberFormat="1" applyFont="1" applyBorder="1" applyAlignment="1">
      <alignment horizontal="center"/>
    </xf>
    <xf numFmtId="2" fontId="66" fillId="0" borderId="0" xfId="0" applyNumberFormat="1" applyFont="1" applyBorder="1" applyAlignment="1"/>
    <xf numFmtId="2" fontId="10" fillId="0" borderId="0" xfId="0" applyNumberFormat="1" applyFont="1" applyAlignment="1"/>
    <xf numFmtId="2" fontId="10" fillId="0" borderId="66" xfId="0" applyNumberFormat="1" applyFont="1" applyFill="1" applyBorder="1" applyAlignment="1" applyProtection="1">
      <alignment horizontal="center" vertical="center"/>
    </xf>
    <xf numFmtId="0" fontId="67" fillId="0" borderId="16" xfId="0" applyFont="1" applyBorder="1" applyAlignment="1">
      <alignment horizontal="center"/>
    </xf>
    <xf numFmtId="0" fontId="67" fillId="0" borderId="29" xfId="0" applyFont="1" applyBorder="1" applyAlignment="1">
      <alignment horizontal="center"/>
    </xf>
    <xf numFmtId="0" fontId="67" fillId="12" borderId="29" xfId="0" applyFont="1" applyFill="1" applyBorder="1" applyAlignment="1">
      <alignment horizontal="center"/>
    </xf>
    <xf numFmtId="0" fontId="67" fillId="12" borderId="0" xfId="0" applyFont="1" applyFill="1" applyAlignment="1">
      <alignment horizontal="center"/>
    </xf>
    <xf numFmtId="165" fontId="0" fillId="0" borderId="16" xfId="49" applyNumberFormat="1" applyFont="1" applyBorder="1"/>
    <xf numFmtId="165" fontId="0" fillId="0" borderId="0" xfId="49" applyNumberFormat="1" applyFont="1" applyBorder="1" applyAlignment="1">
      <alignment horizontal="right"/>
    </xf>
    <xf numFmtId="165" fontId="0" fillId="0" borderId="29" xfId="49" applyNumberFormat="1" applyFont="1" applyBorder="1" applyAlignment="1">
      <alignment horizontal="right"/>
    </xf>
    <xf numFmtId="165" fontId="0" fillId="12" borderId="0" xfId="49" applyNumberFormat="1" applyFont="1" applyFill="1" applyBorder="1" applyAlignment="1">
      <alignment horizontal="right"/>
    </xf>
    <xf numFmtId="165" fontId="39" fillId="12" borderId="0" xfId="49" applyNumberFormat="1" applyFont="1" applyFill="1" applyBorder="1" applyAlignment="1">
      <alignment horizontal="right"/>
    </xf>
    <xf numFmtId="0" fontId="66" fillId="0" borderId="0" xfId="0" applyFont="1" applyFill="1" applyAlignment="1"/>
    <xf numFmtId="0" fontId="66" fillId="18" borderId="0" xfId="0" applyFont="1" applyFill="1" applyBorder="1" applyAlignment="1">
      <alignment horizontal="left"/>
    </xf>
    <xf numFmtId="164" fontId="66" fillId="18" borderId="0" xfId="0" applyNumberFormat="1" applyFont="1" applyFill="1" applyBorder="1" applyAlignment="1">
      <alignment horizontal="center"/>
    </xf>
    <xf numFmtId="0" fontId="66" fillId="18" borderId="0" xfId="0" applyFont="1" applyFill="1" applyBorder="1" applyAlignment="1"/>
    <xf numFmtId="0" fontId="66" fillId="0" borderId="0" xfId="0" applyFont="1" applyFill="1" applyBorder="1" applyAlignment="1"/>
    <xf numFmtId="0" fontId="36" fillId="15" borderId="0" xfId="0" applyFont="1" applyFill="1" applyAlignment="1">
      <alignment horizontal="center" vertical="center"/>
    </xf>
    <xf numFmtId="164" fontId="35" fillId="19" borderId="0" xfId="0" applyNumberFormat="1" applyFont="1" applyFill="1" applyBorder="1"/>
    <xf numFmtId="0" fontId="116" fillId="25" borderId="0" xfId="0" applyFont="1" applyFill="1" applyProtection="1"/>
    <xf numFmtId="0" fontId="68" fillId="25" borderId="0" xfId="0" applyFont="1" applyFill="1" applyProtection="1"/>
    <xf numFmtId="0" fontId="39" fillId="0" borderId="0" xfId="0" applyNumberFormat="1" applyFont="1" applyFill="1" applyBorder="1" applyProtection="1"/>
    <xf numFmtId="164" fontId="35" fillId="0" borderId="26" xfId="0" applyNumberFormat="1" applyFont="1" applyFill="1" applyBorder="1" applyAlignment="1" applyProtection="1">
      <alignment horizontal="right"/>
    </xf>
    <xf numFmtId="164" fontId="35" fillId="0" borderId="27" xfId="0" applyNumberFormat="1" applyFont="1" applyFill="1" applyBorder="1" applyAlignment="1" applyProtection="1">
      <alignment horizontal="right"/>
    </xf>
    <xf numFmtId="164" fontId="10" fillId="0" borderId="0" xfId="0" applyNumberFormat="1" applyFont="1" applyFill="1" applyBorder="1" applyAlignment="1" applyProtection="1">
      <alignment horizontal="center"/>
    </xf>
    <xf numFmtId="164" fontId="35" fillId="0" borderId="45" xfId="0" applyNumberFormat="1" applyFont="1" applyFill="1" applyBorder="1" applyAlignment="1" applyProtection="1">
      <alignment horizontal="right"/>
    </xf>
    <xf numFmtId="0" fontId="35" fillId="0" borderId="26" xfId="0" applyFont="1" applyBorder="1"/>
    <xf numFmtId="0" fontId="41" fillId="11" borderId="24" xfId="0" applyFont="1" applyFill="1" applyBorder="1" applyProtection="1"/>
    <xf numFmtId="0" fontId="41" fillId="11" borderId="26" xfId="0" applyFont="1" applyFill="1" applyBorder="1" applyProtection="1"/>
    <xf numFmtId="0" fontId="35" fillId="11" borderId="26" xfId="0" applyFont="1" applyFill="1" applyBorder="1"/>
    <xf numFmtId="0" fontId="35" fillId="11" borderId="30" xfId="0" applyFont="1" applyFill="1" applyBorder="1"/>
    <xf numFmtId="0" fontId="41" fillId="11" borderId="18" xfId="0" applyFont="1" applyFill="1" applyBorder="1" applyProtection="1"/>
    <xf numFmtId="0" fontId="35" fillId="11" borderId="2" xfId="0" applyFont="1" applyFill="1" applyBorder="1"/>
    <xf numFmtId="0" fontId="47" fillId="11" borderId="2" xfId="0" applyFont="1" applyFill="1" applyBorder="1" applyProtection="1"/>
    <xf numFmtId="0" fontId="41" fillId="11" borderId="35" xfId="0" applyFont="1" applyFill="1" applyBorder="1" applyProtection="1"/>
    <xf numFmtId="0" fontId="62" fillId="0" borderId="26" xfId="0" applyFont="1" applyBorder="1"/>
    <xf numFmtId="0" fontId="62" fillId="11" borderId="2" xfId="0" applyFont="1" applyFill="1" applyBorder="1" applyProtection="1"/>
    <xf numFmtId="0" fontId="100" fillId="11" borderId="19" xfId="0" applyFont="1" applyFill="1" applyBorder="1"/>
    <xf numFmtId="0" fontId="0" fillId="11" borderId="36" xfId="0" applyFill="1" applyBorder="1"/>
    <xf numFmtId="0" fontId="8" fillId="11" borderId="24" xfId="0" applyFont="1" applyFill="1" applyBorder="1"/>
    <xf numFmtId="0" fontId="100" fillId="11" borderId="26" xfId="0" applyFont="1" applyFill="1" applyBorder="1"/>
    <xf numFmtId="0" fontId="100" fillId="11" borderId="30" xfId="0" applyFont="1" applyFill="1" applyBorder="1"/>
    <xf numFmtId="0" fontId="99" fillId="11" borderId="35" xfId="0" applyFont="1" applyFill="1" applyBorder="1" applyProtection="1"/>
    <xf numFmtId="0" fontId="41" fillId="11" borderId="30" xfId="0" applyFont="1" applyFill="1" applyBorder="1" applyProtection="1"/>
    <xf numFmtId="0" fontId="35" fillId="12" borderId="2" xfId="0" applyFont="1" applyFill="1" applyBorder="1"/>
    <xf numFmtId="0" fontId="118" fillId="25" borderId="0" xfId="0" applyFont="1" applyFill="1" applyProtection="1"/>
    <xf numFmtId="0" fontId="95" fillId="0" borderId="0" xfId="0" applyFont="1" applyBorder="1" applyProtection="1"/>
    <xf numFmtId="167" fontId="41" fillId="0" borderId="26" xfId="0" applyNumberFormat="1" applyFont="1" applyFill="1" applyBorder="1" applyAlignment="1" applyProtection="1">
      <alignment horizontal="right"/>
    </xf>
    <xf numFmtId="164" fontId="41" fillId="0" borderId="18" xfId="0" applyNumberFormat="1" applyFont="1" applyFill="1" applyBorder="1" applyAlignment="1" applyProtection="1">
      <alignment horizontal="right"/>
    </xf>
    <xf numFmtId="164" fontId="47" fillId="0" borderId="29" xfId="0" applyNumberFormat="1" applyFont="1" applyFill="1" applyBorder="1" applyAlignment="1" applyProtection="1">
      <alignment horizontal="right"/>
    </xf>
    <xf numFmtId="164" fontId="49" fillId="0" borderId="24" xfId="0" applyNumberFormat="1" applyFont="1" applyFill="1" applyBorder="1" applyAlignment="1" applyProtection="1">
      <alignment horizontal="center"/>
    </xf>
    <xf numFmtId="1" fontId="47" fillId="0" borderId="133" xfId="0" applyNumberFormat="1" applyFont="1" applyFill="1" applyBorder="1" applyAlignment="1" applyProtection="1">
      <alignment horizontal="center"/>
    </xf>
    <xf numFmtId="164" fontId="41" fillId="0" borderId="36" xfId="0" applyNumberFormat="1" applyFont="1" applyFill="1" applyBorder="1" applyAlignment="1" applyProtection="1">
      <alignment horizontal="right"/>
    </xf>
    <xf numFmtId="164" fontId="41" fillId="0" borderId="3" xfId="0" applyNumberFormat="1" applyFont="1" applyFill="1" applyBorder="1" applyAlignment="1" applyProtection="1">
      <alignment horizontal="right"/>
    </xf>
    <xf numFmtId="0" fontId="41" fillId="0" borderId="58" xfId="0" applyFont="1" applyFill="1" applyBorder="1" applyAlignment="1" applyProtection="1">
      <alignment horizontal="right"/>
    </xf>
    <xf numFmtId="164" fontId="47" fillId="0" borderId="25" xfId="0" applyNumberFormat="1" applyFont="1" applyFill="1" applyBorder="1" applyAlignment="1" applyProtection="1">
      <alignment horizontal="right"/>
    </xf>
    <xf numFmtId="164" fontId="41" fillId="0" borderId="34" xfId="0" applyNumberFormat="1" applyFont="1" applyBorder="1" applyAlignment="1" applyProtection="1">
      <alignment horizontal="right"/>
    </xf>
    <xf numFmtId="0" fontId="0" fillId="0" borderId="58" xfId="0" applyBorder="1"/>
    <xf numFmtId="164" fontId="57" fillId="0" borderId="31" xfId="0" applyNumberFormat="1" applyFont="1" applyFill="1" applyBorder="1" applyProtection="1"/>
    <xf numFmtId="164" fontId="41" fillId="0" borderId="19" xfId="0" applyNumberFormat="1" applyFont="1" applyFill="1" applyBorder="1" applyProtection="1"/>
    <xf numFmtId="164" fontId="41" fillId="0" borderId="24" xfId="0" applyNumberFormat="1" applyFont="1" applyFill="1" applyBorder="1" applyProtection="1"/>
    <xf numFmtId="164" fontId="41" fillId="0" borderId="134" xfId="0" applyNumberFormat="1" applyFont="1" applyFill="1" applyBorder="1" applyProtection="1"/>
    <xf numFmtId="164" fontId="41" fillId="0" borderId="57" xfId="0" applyNumberFormat="1" applyFont="1" applyFill="1" applyBorder="1" applyProtection="1"/>
    <xf numFmtId="164" fontId="41" fillId="0" borderId="51" xfId="0" applyNumberFormat="1" applyFont="1" applyFill="1" applyBorder="1" applyProtection="1"/>
    <xf numFmtId="164" fontId="41" fillId="0" borderId="58" xfId="0" applyNumberFormat="1" applyFont="1" applyFill="1" applyBorder="1" applyProtection="1"/>
    <xf numFmtId="164" fontId="41" fillId="0" borderId="129" xfId="0" applyNumberFormat="1" applyFont="1" applyFill="1" applyBorder="1" applyProtection="1"/>
    <xf numFmtId="164" fontId="47" fillId="0" borderId="26" xfId="0" applyNumberFormat="1" applyFont="1" applyBorder="1" applyProtection="1"/>
    <xf numFmtId="164" fontId="47" fillId="0" borderId="27" xfId="0" applyNumberFormat="1" applyFont="1" applyBorder="1" applyAlignment="1" applyProtection="1">
      <alignment horizontal="center"/>
    </xf>
    <xf numFmtId="164" fontId="57" fillId="0" borderId="27" xfId="0" applyNumberFormat="1" applyFont="1" applyBorder="1" applyAlignment="1" applyProtection="1">
      <alignment horizontal="center"/>
    </xf>
    <xf numFmtId="0" fontId="45" fillId="0" borderId="53" xfId="0" quotePrefix="1" applyFont="1" applyBorder="1" applyAlignment="1" applyProtection="1">
      <alignment horizontal="center"/>
    </xf>
    <xf numFmtId="0" fontId="55" fillId="0" borderId="135" xfId="0" quotePrefix="1" applyFont="1" applyBorder="1" applyAlignment="1" applyProtection="1">
      <alignment horizontal="right"/>
    </xf>
    <xf numFmtId="165" fontId="39" fillId="0" borderId="26" xfId="49" applyNumberFormat="1" applyFont="1" applyBorder="1" applyAlignment="1">
      <alignment horizontal="center"/>
    </xf>
    <xf numFmtId="165" fontId="0" fillId="0" borderId="24" xfId="49" applyNumberFormat="1" applyFont="1" applyBorder="1" applyAlignment="1">
      <alignment horizontal="center"/>
    </xf>
    <xf numFmtId="164" fontId="47" fillId="0" borderId="52" xfId="0" applyNumberFormat="1" applyFont="1" applyBorder="1" applyAlignment="1" applyProtection="1">
      <alignment horizontal="right"/>
    </xf>
    <xf numFmtId="164" fontId="47" fillId="0" borderId="126" xfId="0" applyNumberFormat="1" applyFont="1" applyBorder="1" applyAlignment="1" applyProtection="1">
      <alignment horizontal="right"/>
    </xf>
    <xf numFmtId="164" fontId="47" fillId="0" borderId="39" xfId="0" applyNumberFormat="1" applyFont="1" applyBorder="1" applyAlignment="1" applyProtection="1">
      <alignment horizontal="right"/>
    </xf>
    <xf numFmtId="164" fontId="47" fillId="0" borderId="53" xfId="0" applyNumberFormat="1" applyFont="1" applyBorder="1" applyAlignment="1" applyProtection="1">
      <alignment horizontal="right"/>
    </xf>
    <xf numFmtId="0" fontId="39" fillId="0" borderId="48" xfId="0" applyFont="1" applyBorder="1" applyAlignment="1">
      <alignment horizontal="center"/>
    </xf>
    <xf numFmtId="164" fontId="47" fillId="0" borderId="58" xfId="0" applyNumberFormat="1" applyFont="1" applyBorder="1" applyAlignment="1" applyProtection="1">
      <alignment horizontal="right"/>
    </xf>
    <xf numFmtId="0" fontId="36" fillId="13" borderId="0" xfId="0" applyFont="1" applyFill="1"/>
    <xf numFmtId="164" fontId="47" fillId="0" borderId="26" xfId="0" quotePrefix="1" applyNumberFormat="1" applyFont="1" applyBorder="1" applyAlignment="1" applyProtection="1">
      <alignment horizontal="right"/>
    </xf>
    <xf numFmtId="164" fontId="57" fillId="0" borderId="45" xfId="0" applyNumberFormat="1" applyFont="1" applyBorder="1" applyAlignment="1" applyProtection="1">
      <alignment horizontal="right"/>
    </xf>
    <xf numFmtId="164" fontId="47" fillId="0" borderId="20" xfId="0" quotePrefix="1" applyNumberFormat="1" applyFont="1" applyBorder="1" applyAlignment="1" applyProtection="1">
      <alignment horizontal="right"/>
    </xf>
    <xf numFmtId="164" fontId="47" fillId="0" borderId="45" xfId="0" quotePrefix="1" applyNumberFormat="1" applyFont="1" applyBorder="1" applyAlignment="1" applyProtection="1">
      <alignment horizontal="right"/>
    </xf>
    <xf numFmtId="164" fontId="47" fillId="0" borderId="30" xfId="0" quotePrefix="1" applyNumberFormat="1" applyFont="1" applyBorder="1" applyAlignment="1" applyProtection="1">
      <alignment horizontal="right"/>
    </xf>
    <xf numFmtId="164" fontId="47" fillId="0" borderId="36" xfId="0" applyNumberFormat="1" applyFont="1" applyBorder="1" applyAlignment="1" applyProtection="1">
      <alignment horizontal="right"/>
    </xf>
    <xf numFmtId="164" fontId="47" fillId="0" borderId="36" xfId="0" quotePrefix="1" applyNumberFormat="1" applyFont="1" applyBorder="1" applyAlignment="1" applyProtection="1">
      <alignment horizontal="right"/>
    </xf>
    <xf numFmtId="164" fontId="57" fillId="0" borderId="46" xfId="0" quotePrefix="1" applyNumberFormat="1" applyFont="1" applyBorder="1" applyAlignment="1" applyProtection="1">
      <alignment horizontal="right"/>
    </xf>
    <xf numFmtId="164" fontId="47" fillId="0" borderId="24" xfId="0" quotePrefix="1" applyNumberFormat="1" applyFont="1" applyBorder="1" applyAlignment="1" applyProtection="1">
      <alignment horizontal="right"/>
    </xf>
    <xf numFmtId="164" fontId="47" fillId="0" borderId="19" xfId="0" applyNumberFormat="1" applyFont="1" applyBorder="1" applyAlignment="1" applyProtection="1">
      <alignment horizontal="right"/>
    </xf>
    <xf numFmtId="164" fontId="47" fillId="0" borderId="44" xfId="0" applyNumberFormat="1" applyFont="1" applyBorder="1" applyAlignment="1" applyProtection="1">
      <alignment horizontal="right"/>
    </xf>
    <xf numFmtId="164" fontId="50" fillId="0" borderId="45" xfId="0" applyNumberFormat="1" applyFont="1" applyBorder="1" applyAlignment="1" applyProtection="1">
      <alignment horizontal="right"/>
    </xf>
    <xf numFmtId="164" fontId="41" fillId="0" borderId="24" xfId="0" quotePrefix="1" applyNumberFormat="1" applyFont="1" applyBorder="1" applyAlignment="1" applyProtection="1">
      <alignment horizontal="right"/>
    </xf>
    <xf numFmtId="164" fontId="47" fillId="0" borderId="41" xfId="0" quotePrefix="1" applyNumberFormat="1" applyFont="1" applyBorder="1" applyAlignment="1" applyProtection="1">
      <alignment horizontal="right"/>
    </xf>
    <xf numFmtId="164" fontId="47" fillId="0" borderId="51" xfId="0" applyNumberFormat="1" applyFont="1" applyBorder="1" applyAlignment="1" applyProtection="1">
      <alignment horizontal="right"/>
    </xf>
    <xf numFmtId="164" fontId="57" fillId="0" borderId="58" xfId="0" applyNumberFormat="1" applyFont="1" applyBorder="1" applyAlignment="1" applyProtection="1">
      <alignment horizontal="right"/>
    </xf>
    <xf numFmtId="164" fontId="41" fillId="0" borderId="46" xfId="0" applyNumberFormat="1" applyFont="1" applyFill="1" applyBorder="1" applyAlignment="1" applyProtection="1">
      <alignment horizontal="right"/>
    </xf>
    <xf numFmtId="164" fontId="47" fillId="0" borderId="24" xfId="0" applyNumberFormat="1" applyFont="1" applyFill="1" applyBorder="1" applyAlignment="1" applyProtection="1">
      <alignment horizontal="right"/>
    </xf>
    <xf numFmtId="164" fontId="47" fillId="0" borderId="19" xfId="0" applyNumberFormat="1" applyFont="1" applyFill="1" applyBorder="1" applyAlignment="1" applyProtection="1">
      <alignment horizontal="right"/>
    </xf>
    <xf numFmtId="164" fontId="57" fillId="0" borderId="36" xfId="0" applyNumberFormat="1" applyFont="1" applyFill="1" applyBorder="1" applyAlignment="1" applyProtection="1">
      <alignment horizontal="right"/>
    </xf>
    <xf numFmtId="164" fontId="57" fillId="0" borderId="46" xfId="0" applyNumberFormat="1" applyFont="1" applyFill="1" applyBorder="1" applyAlignment="1" applyProtection="1">
      <alignment horizontal="right"/>
    </xf>
    <xf numFmtId="164" fontId="57" fillId="0" borderId="41" xfId="0" applyNumberFormat="1" applyFont="1" applyFill="1" applyBorder="1" applyAlignment="1" applyProtection="1">
      <alignment horizontal="right"/>
    </xf>
    <xf numFmtId="164" fontId="57" fillId="0" borderId="34" xfId="0" applyNumberFormat="1" applyFont="1" applyFill="1" applyBorder="1" applyAlignment="1" applyProtection="1">
      <alignment horizontal="right"/>
    </xf>
    <xf numFmtId="164" fontId="47" fillId="0" borderId="16" xfId="0" applyNumberFormat="1" applyFont="1" applyFill="1" applyBorder="1" applyAlignment="1" applyProtection="1">
      <alignment horizontal="right"/>
    </xf>
    <xf numFmtId="164" fontId="47" fillId="0" borderId="44" xfId="0" applyNumberFormat="1" applyFont="1" applyFill="1" applyBorder="1" applyAlignment="1" applyProtection="1">
      <alignment horizontal="right"/>
    </xf>
    <xf numFmtId="164" fontId="41" fillId="0" borderId="41" xfId="0" applyNumberFormat="1" applyFont="1" applyBorder="1" applyAlignment="1" applyProtection="1">
      <alignment horizontal="right"/>
    </xf>
    <xf numFmtId="0" fontId="117" fillId="25" borderId="136" xfId="0" quotePrefix="1" applyFont="1" applyFill="1" applyBorder="1" applyAlignment="1" applyProtection="1">
      <alignment horizontal="right"/>
    </xf>
    <xf numFmtId="0" fontId="116" fillId="25" borderId="136" xfId="0" applyFont="1" applyFill="1" applyBorder="1" applyAlignment="1" applyProtection="1">
      <alignment horizontal="right"/>
    </xf>
    <xf numFmtId="1" fontId="0" fillId="0" borderId="0" xfId="0" applyNumberFormat="1" applyFill="1" applyBorder="1" applyProtection="1"/>
    <xf numFmtId="0" fontId="35" fillId="0" borderId="0" xfId="0" applyNumberFormat="1" applyFont="1" applyFill="1" applyBorder="1" applyProtection="1"/>
    <xf numFmtId="1" fontId="35" fillId="0" borderId="0" xfId="0" applyNumberFormat="1" applyFont="1" applyFill="1" applyBorder="1" applyProtection="1"/>
    <xf numFmtId="0" fontId="120" fillId="25" borderId="0" xfId="0" applyFont="1" applyFill="1" applyProtection="1"/>
    <xf numFmtId="0" fontId="109" fillId="0" borderId="0" xfId="0" applyFont="1" applyAlignment="1"/>
    <xf numFmtId="0" fontId="35" fillId="13" borderId="0" xfId="0" applyFont="1" applyFill="1" applyBorder="1"/>
    <xf numFmtId="0" fontId="0" fillId="13" borderId="29" xfId="0" applyFill="1" applyBorder="1"/>
    <xf numFmtId="0" fontId="45" fillId="13" borderId="29" xfId="0" applyFont="1" applyFill="1" applyBorder="1" applyProtection="1"/>
    <xf numFmtId="0" fontId="35" fillId="13" borderId="29" xfId="0" applyFont="1" applyFill="1" applyBorder="1"/>
    <xf numFmtId="0" fontId="36" fillId="13" borderId="0" xfId="0" applyFont="1" applyFill="1" applyBorder="1"/>
    <xf numFmtId="0" fontId="39" fillId="10" borderId="40" xfId="0" applyFont="1" applyFill="1" applyBorder="1" applyAlignment="1" applyProtection="1">
      <alignment horizontal="center"/>
    </xf>
    <xf numFmtId="0" fontId="35" fillId="13" borderId="0" xfId="0" applyFont="1" applyFill="1" applyAlignment="1">
      <alignment horizontal="left"/>
    </xf>
    <xf numFmtId="49" fontId="9" fillId="25" borderId="0" xfId="0" applyNumberFormat="1" applyFont="1" applyFill="1" applyProtection="1"/>
    <xf numFmtId="164" fontId="41" fillId="0" borderId="26" xfId="0" applyNumberFormat="1" applyFont="1" applyFill="1" applyBorder="1" applyAlignment="1" applyProtection="1"/>
    <xf numFmtId="164" fontId="41" fillId="0" borderId="25" xfId="0" applyNumberFormat="1" applyFont="1" applyFill="1" applyBorder="1" applyAlignment="1" applyProtection="1"/>
    <xf numFmtId="164" fontId="41" fillId="0" borderId="27" xfId="0" applyNumberFormat="1" applyFont="1" applyFill="1" applyBorder="1" applyAlignment="1" applyProtection="1"/>
    <xf numFmtId="164" fontId="41" fillId="0" borderId="30" xfId="0" applyNumberFormat="1" applyFont="1" applyFill="1" applyBorder="1" applyAlignment="1" applyProtection="1"/>
    <xf numFmtId="164" fontId="41" fillId="0" borderId="31" xfId="0" applyNumberFormat="1" applyFont="1" applyFill="1" applyBorder="1" applyAlignment="1" applyProtection="1"/>
    <xf numFmtId="164" fontId="41" fillId="0" borderId="26" xfId="0" quotePrefix="1" applyNumberFormat="1" applyFont="1" applyFill="1" applyBorder="1" applyAlignment="1" applyProtection="1"/>
    <xf numFmtId="164" fontId="41" fillId="0" borderId="45" xfId="0" applyNumberFormat="1" applyFont="1" applyFill="1" applyBorder="1" applyAlignment="1" applyProtection="1"/>
    <xf numFmtId="164" fontId="0" fillId="0" borderId="26" xfId="0" quotePrefix="1" applyNumberFormat="1" applyFill="1" applyBorder="1" applyAlignment="1"/>
    <xf numFmtId="164" fontId="0" fillId="0" borderId="45" xfId="0" applyNumberFormat="1" applyFill="1" applyBorder="1" applyAlignment="1"/>
    <xf numFmtId="164" fontId="0" fillId="0" borderId="30" xfId="0" quotePrefix="1" applyNumberFormat="1" applyFill="1" applyBorder="1" applyAlignment="1"/>
    <xf numFmtId="164" fontId="0" fillId="0" borderId="46" xfId="0" applyNumberFormat="1" applyFill="1" applyBorder="1" applyAlignment="1"/>
    <xf numFmtId="164" fontId="41" fillId="0" borderId="40" xfId="0" applyNumberFormat="1" applyFont="1" applyFill="1" applyBorder="1" applyAlignment="1" applyProtection="1"/>
    <xf numFmtId="164" fontId="41" fillId="0" borderId="41" xfId="0" applyNumberFormat="1" applyFont="1" applyFill="1" applyBorder="1" applyAlignment="1" applyProtection="1"/>
    <xf numFmtId="164" fontId="41" fillId="0" borderId="34" xfId="0" applyNumberFormat="1" applyFont="1" applyFill="1" applyBorder="1" applyAlignment="1" applyProtection="1"/>
    <xf numFmtId="0" fontId="50" fillId="0" borderId="51" xfId="0" applyFont="1" applyBorder="1" applyProtection="1"/>
    <xf numFmtId="2" fontId="36" fillId="13" borderId="0" xfId="0" applyNumberFormat="1" applyFont="1" applyFill="1"/>
    <xf numFmtId="14" fontId="39" fillId="12" borderId="39" xfId="0" applyNumberFormat="1" applyFont="1" applyFill="1" applyBorder="1" applyAlignment="1"/>
    <xf numFmtId="166" fontId="35" fillId="14" borderId="75" xfId="0" applyNumberFormat="1" applyFont="1" applyFill="1" applyBorder="1" applyAlignment="1"/>
    <xf numFmtId="1" fontId="39" fillId="0" borderId="0" xfId="0" applyNumberFormat="1" applyFont="1"/>
    <xf numFmtId="164" fontId="35" fillId="12" borderId="25" xfId="0" applyNumberFormat="1" applyFont="1" applyFill="1" applyBorder="1" applyAlignment="1" applyProtection="1">
      <alignment horizontal="right"/>
    </xf>
    <xf numFmtId="164" fontId="35" fillId="12" borderId="27" xfId="0" applyNumberFormat="1" applyFont="1" applyFill="1" applyBorder="1" applyAlignment="1" applyProtection="1">
      <alignment horizontal="right"/>
    </xf>
    <xf numFmtId="164" fontId="35" fillId="12" borderId="2" xfId="0" applyNumberFormat="1" applyFont="1" applyFill="1" applyBorder="1" applyAlignment="1" applyProtection="1">
      <alignment horizontal="right"/>
    </xf>
    <xf numFmtId="164" fontId="35" fillId="12" borderId="33" xfId="0" applyNumberFormat="1" applyFont="1" applyFill="1" applyBorder="1" applyAlignment="1" applyProtection="1">
      <alignment horizontal="right"/>
    </xf>
    <xf numFmtId="164" fontId="35" fillId="12" borderId="18" xfId="0" applyNumberFormat="1" applyFont="1" applyFill="1" applyBorder="1" applyAlignment="1" applyProtection="1">
      <alignment horizontal="right"/>
    </xf>
    <xf numFmtId="164" fontId="35" fillId="12" borderId="34" xfId="0" applyNumberFormat="1" applyFont="1" applyFill="1" applyBorder="1" applyAlignment="1" applyProtection="1">
      <alignment horizontal="right"/>
    </xf>
    <xf numFmtId="0" fontId="39" fillId="11" borderId="0" xfId="0" applyFont="1" applyFill="1" applyAlignment="1" applyProtection="1">
      <alignment horizontal="center"/>
    </xf>
    <xf numFmtId="0" fontId="39" fillId="12" borderId="0" xfId="0" applyFont="1" applyFill="1" applyBorder="1" applyAlignment="1" applyProtection="1">
      <alignment horizontal="left"/>
    </xf>
    <xf numFmtId="0" fontId="0" fillId="12" borderId="0" xfId="0" applyFill="1" applyProtection="1"/>
    <xf numFmtId="0" fontId="0" fillId="19" borderId="0" xfId="0" applyFill="1" applyProtection="1"/>
    <xf numFmtId="166" fontId="0" fillId="19" borderId="0" xfId="0" applyNumberFormat="1" applyFill="1" applyProtection="1"/>
    <xf numFmtId="0" fontId="38" fillId="0" borderId="17" xfId="0" applyFont="1" applyFill="1" applyBorder="1" applyProtection="1"/>
    <xf numFmtId="0" fontId="121" fillId="0" borderId="0" xfId="0" applyFont="1" applyFill="1" applyBorder="1" applyProtection="1"/>
    <xf numFmtId="164" fontId="38" fillId="0" borderId="26" xfId="0" applyNumberFormat="1" applyFont="1" applyFill="1" applyBorder="1" applyAlignment="1" applyProtection="1">
      <alignment horizontal="right"/>
    </xf>
    <xf numFmtId="164" fontId="38" fillId="0" borderId="0" xfId="0" applyNumberFormat="1" applyFont="1" applyFill="1" applyBorder="1" applyAlignment="1" applyProtection="1">
      <alignment horizontal="right"/>
    </xf>
    <xf numFmtId="164" fontId="38" fillId="0" borderId="27" xfId="0" applyNumberFormat="1" applyFont="1" applyFill="1" applyBorder="1" applyAlignment="1" applyProtection="1">
      <alignment horizontal="right"/>
    </xf>
    <xf numFmtId="0" fontId="38" fillId="0" borderId="23" xfId="0" applyFont="1" applyBorder="1" applyProtection="1"/>
    <xf numFmtId="0" fontId="38" fillId="0" borderId="16" xfId="0" applyFont="1" applyBorder="1" applyProtection="1"/>
    <xf numFmtId="0" fontId="122" fillId="0" borderId="24" xfId="0" applyFont="1" applyBorder="1" applyAlignment="1" applyProtection="1">
      <alignment horizontal="center"/>
    </xf>
    <xf numFmtId="164" fontId="38" fillId="0" borderId="18" xfId="0" applyNumberFormat="1" applyFont="1" applyFill="1" applyBorder="1" applyAlignment="1" applyProtection="1">
      <alignment horizontal="right"/>
    </xf>
    <xf numFmtId="164" fontId="38" fillId="0" borderId="24" xfId="0" applyNumberFormat="1" applyFont="1" applyFill="1" applyBorder="1" applyAlignment="1" applyProtection="1">
      <alignment horizontal="right"/>
    </xf>
    <xf numFmtId="164" fontId="38" fillId="0" borderId="25" xfId="0" applyNumberFormat="1" applyFont="1" applyFill="1" applyBorder="1" applyAlignment="1" applyProtection="1">
      <alignment horizontal="right"/>
    </xf>
    <xf numFmtId="0" fontId="38" fillId="0" borderId="17" xfId="0" applyFont="1" applyBorder="1" applyProtection="1"/>
    <xf numFmtId="0" fontId="38" fillId="0" borderId="0" xfId="0" applyFont="1" applyBorder="1" applyProtection="1"/>
    <xf numFmtId="0" fontId="122" fillId="0" borderId="26" xfId="0" applyFont="1" applyBorder="1" applyAlignment="1" applyProtection="1">
      <alignment horizontal="center"/>
    </xf>
    <xf numFmtId="0" fontId="121" fillId="0" borderId="17" xfId="0" applyFont="1" applyFill="1" applyBorder="1" applyProtection="1"/>
    <xf numFmtId="0" fontId="123" fillId="0" borderId="26" xfId="0" applyFont="1" applyFill="1" applyBorder="1" applyAlignment="1" applyProtection="1">
      <alignment horizontal="center"/>
    </xf>
    <xf numFmtId="164" fontId="38" fillId="0" borderId="29" xfId="0" applyNumberFormat="1" applyFont="1" applyFill="1" applyBorder="1" applyAlignment="1" applyProtection="1">
      <alignment horizontal="right"/>
    </xf>
    <xf numFmtId="0" fontId="114" fillId="0" borderId="38" xfId="0" applyFont="1" applyBorder="1" applyAlignment="1" applyProtection="1">
      <alignment horizontal="left"/>
    </xf>
    <xf numFmtId="0" fontId="114" fillId="0" borderId="39" xfId="0" applyFont="1" applyBorder="1" applyProtection="1"/>
    <xf numFmtId="0" fontId="124" fillId="0" borderId="40" xfId="0" applyFont="1" applyBorder="1" applyAlignment="1" applyProtection="1">
      <alignment horizontal="center"/>
    </xf>
    <xf numFmtId="164" fontId="114" fillId="0" borderId="39" xfId="0" applyNumberFormat="1" applyFont="1" applyFill="1" applyBorder="1" applyAlignment="1" applyProtection="1">
      <alignment horizontal="right"/>
    </xf>
    <xf numFmtId="164" fontId="114" fillId="0" borderId="40" xfId="0" applyNumberFormat="1" applyFont="1" applyFill="1" applyBorder="1" applyAlignment="1" applyProtection="1">
      <alignment horizontal="right"/>
    </xf>
    <xf numFmtId="164" fontId="114" fillId="0" borderId="42" xfId="0" applyNumberFormat="1" applyFont="1" applyFill="1" applyBorder="1" applyAlignment="1" applyProtection="1">
      <alignment horizontal="right"/>
    </xf>
    <xf numFmtId="0" fontId="35" fillId="12" borderId="17" xfId="0" quotePrefix="1" applyFont="1" applyFill="1" applyBorder="1" applyAlignment="1" applyProtection="1">
      <alignment horizontal="left"/>
    </xf>
    <xf numFmtId="0" fontId="35" fillId="12" borderId="0" xfId="0" applyFont="1" applyFill="1" applyBorder="1" applyProtection="1"/>
    <xf numFmtId="0" fontId="10" fillId="12" borderId="26" xfId="0" applyFont="1" applyFill="1" applyBorder="1" applyAlignment="1" applyProtection="1">
      <alignment horizontal="center"/>
    </xf>
    <xf numFmtId="0" fontId="35" fillId="12" borderId="32" xfId="0" quotePrefix="1" applyFont="1" applyFill="1" applyBorder="1" applyAlignment="1" applyProtection="1">
      <alignment horizontal="left"/>
    </xf>
    <xf numFmtId="0" fontId="35" fillId="12" borderId="3" xfId="0" applyFont="1" applyFill="1" applyBorder="1" applyProtection="1"/>
    <xf numFmtId="0" fontId="10" fillId="12" borderId="41" xfId="0" applyFont="1" applyFill="1" applyBorder="1" applyAlignment="1" applyProtection="1">
      <alignment horizontal="center"/>
    </xf>
    <xf numFmtId="164" fontId="38" fillId="0" borderId="2" xfId="0" applyNumberFormat="1" applyFont="1" applyFill="1" applyBorder="1" applyAlignment="1" applyProtection="1">
      <alignment horizontal="right"/>
    </xf>
    <xf numFmtId="3" fontId="121" fillId="0" borderId="17" xfId="0" applyNumberFormat="1" applyFont="1" applyFill="1" applyBorder="1" applyProtection="1"/>
    <xf numFmtId="3" fontId="121" fillId="0" borderId="20" xfId="0" applyNumberFormat="1" applyFont="1" applyFill="1" applyBorder="1" applyProtection="1"/>
    <xf numFmtId="3" fontId="123" fillId="0" borderId="26" xfId="0" applyNumberFormat="1" applyFont="1" applyFill="1" applyBorder="1" applyAlignment="1" applyProtection="1">
      <alignment horizontal="center"/>
    </xf>
    <xf numFmtId="164" fontId="38" fillId="0" borderId="20" xfId="0" applyNumberFormat="1" applyFont="1" applyFill="1" applyBorder="1" applyAlignment="1" applyProtection="1">
      <alignment horizontal="right"/>
    </xf>
    <xf numFmtId="164" fontId="38" fillId="0" borderId="26" xfId="0" applyNumberFormat="1" applyFont="1" applyFill="1" applyBorder="1" applyProtection="1"/>
    <xf numFmtId="164" fontId="38" fillId="0" borderId="45" xfId="0" applyNumberFormat="1" applyFont="1" applyFill="1" applyBorder="1" applyAlignment="1" applyProtection="1">
      <alignment horizontal="right"/>
    </xf>
    <xf numFmtId="164" fontId="38" fillId="0" borderId="36" xfId="0" applyNumberFormat="1" applyFont="1" applyFill="1" applyBorder="1" applyAlignment="1" applyProtection="1">
      <alignment horizontal="right"/>
    </xf>
    <xf numFmtId="164" fontId="38" fillId="0" borderId="46" xfId="0" applyNumberFormat="1" applyFont="1" applyFill="1" applyBorder="1" applyAlignment="1" applyProtection="1">
      <alignment horizontal="right"/>
    </xf>
    <xf numFmtId="1" fontId="46" fillId="0" borderId="133" xfId="0" applyNumberFormat="1" applyFont="1" applyBorder="1" applyAlignment="1" applyProtection="1">
      <alignment horizontal="center"/>
    </xf>
    <xf numFmtId="0" fontId="121" fillId="0" borderId="17" xfId="0" applyFont="1" applyBorder="1" applyAlignment="1" applyProtection="1">
      <alignment horizontal="left"/>
    </xf>
    <xf numFmtId="0" fontId="121" fillId="0" borderId="0" xfId="0" applyFont="1" applyBorder="1" applyAlignment="1" applyProtection="1">
      <alignment horizontal="left"/>
    </xf>
    <xf numFmtId="0" fontId="121" fillId="0" borderId="32" xfId="0" applyFont="1" applyBorder="1" applyAlignment="1" applyProtection="1">
      <alignment horizontal="left"/>
    </xf>
    <xf numFmtId="0" fontId="121" fillId="0" borderId="3" xfId="0" applyFont="1" applyBorder="1" applyAlignment="1" applyProtection="1">
      <alignment horizontal="left"/>
    </xf>
    <xf numFmtId="0" fontId="41" fillId="0" borderId="6" xfId="0" applyFont="1" applyBorder="1" applyAlignment="1" applyProtection="1">
      <alignment horizontal="left"/>
    </xf>
    <xf numFmtId="0" fontId="41" fillId="0" borderId="5" xfId="0" applyFont="1" applyBorder="1" applyAlignment="1" applyProtection="1">
      <alignment horizontal="left"/>
    </xf>
    <xf numFmtId="0" fontId="114" fillId="0" borderId="28" xfId="0" applyFont="1" applyBorder="1"/>
    <xf numFmtId="0" fontId="114" fillId="0" borderId="29" xfId="0" applyFont="1" applyBorder="1"/>
    <xf numFmtId="0" fontId="0" fillId="18" borderId="0" xfId="0" applyFill="1" applyProtection="1"/>
    <xf numFmtId="166" fontId="0" fillId="18" borderId="0" xfId="0" applyNumberFormat="1" applyFill="1" applyProtection="1"/>
    <xf numFmtId="1" fontId="0" fillId="18" borderId="0" xfId="0" applyNumberFormat="1" applyFill="1" applyProtection="1"/>
    <xf numFmtId="0" fontId="114" fillId="0" borderId="28" xfId="0" applyFont="1" applyFill="1" applyBorder="1" applyAlignment="1" applyProtection="1"/>
    <xf numFmtId="0" fontId="38" fillId="0" borderId="29" xfId="0" applyFont="1" applyFill="1" applyBorder="1" applyProtection="1"/>
    <xf numFmtId="0" fontId="122" fillId="0" borderId="30" xfId="0" applyFont="1" applyFill="1" applyBorder="1" applyAlignment="1" applyProtection="1">
      <alignment horizontal="center"/>
    </xf>
    <xf numFmtId="164" fontId="114" fillId="0" borderId="29" xfId="0" applyNumberFormat="1" applyFont="1" applyFill="1" applyBorder="1" applyAlignment="1" applyProtection="1">
      <alignment horizontal="right"/>
    </xf>
    <xf numFmtId="164" fontId="114" fillId="0" borderId="30" xfId="0" applyNumberFormat="1" applyFont="1" applyFill="1" applyBorder="1" applyAlignment="1" applyProtection="1">
      <alignment horizontal="right"/>
    </xf>
    <xf numFmtId="164" fontId="114" fillId="0" borderId="31" xfId="0" applyNumberFormat="1" applyFont="1" applyFill="1" applyBorder="1" applyAlignment="1" applyProtection="1">
      <alignment horizontal="right"/>
    </xf>
    <xf numFmtId="3" fontId="38" fillId="0" borderId="17" xfId="0" applyNumberFormat="1" applyFont="1" applyFill="1" applyBorder="1" applyProtection="1"/>
    <xf numFmtId="3" fontId="38" fillId="0" borderId="20" xfId="0" applyNumberFormat="1" applyFont="1" applyFill="1" applyBorder="1" applyProtection="1"/>
    <xf numFmtId="3" fontId="38" fillId="0" borderId="26" xfId="0" applyNumberFormat="1" applyFont="1" applyFill="1" applyBorder="1" applyAlignment="1" applyProtection="1">
      <alignment horizontal="center"/>
    </xf>
    <xf numFmtId="164" fontId="38" fillId="0" borderId="0" xfId="0" applyNumberFormat="1" applyFont="1" applyFill="1" applyBorder="1" applyProtection="1"/>
    <xf numFmtId="3" fontId="38" fillId="0" borderId="28" xfId="0" applyNumberFormat="1" applyFont="1" applyFill="1" applyBorder="1" applyProtection="1"/>
    <xf numFmtId="3" fontId="38" fillId="0" borderId="36" xfId="0" applyNumberFormat="1" applyFont="1" applyFill="1" applyBorder="1" applyProtection="1"/>
    <xf numFmtId="3" fontId="38" fillId="0" borderId="30" xfId="0" applyNumberFormat="1" applyFont="1" applyFill="1" applyBorder="1" applyAlignment="1" applyProtection="1">
      <alignment horizontal="center"/>
    </xf>
    <xf numFmtId="164" fontId="38" fillId="0" borderId="30" xfId="0" applyNumberFormat="1" applyFont="1" applyFill="1" applyBorder="1" applyProtection="1"/>
    <xf numFmtId="3" fontId="38" fillId="0" borderId="32" xfId="0" applyNumberFormat="1" applyFont="1" applyFill="1" applyBorder="1" applyProtection="1"/>
    <xf numFmtId="3" fontId="38" fillId="0" borderId="51" xfId="0" applyNumberFormat="1" applyFont="1" applyFill="1" applyBorder="1" applyProtection="1"/>
    <xf numFmtId="3" fontId="38" fillId="0" borderId="41" xfId="0" applyNumberFormat="1" applyFont="1" applyFill="1" applyBorder="1" applyAlignment="1" applyProtection="1">
      <alignment horizontal="center"/>
    </xf>
    <xf numFmtId="164" fontId="38" fillId="0" borderId="51" xfId="0" applyNumberFormat="1" applyFont="1" applyFill="1" applyBorder="1" applyAlignment="1" applyProtection="1">
      <alignment horizontal="right"/>
    </xf>
    <xf numFmtId="164" fontId="38" fillId="0" borderId="3" xfId="0" applyNumberFormat="1" applyFont="1" applyFill="1" applyBorder="1" applyAlignment="1" applyProtection="1">
      <alignment horizontal="right"/>
    </xf>
    <xf numFmtId="164" fontId="38" fillId="0" borderId="41" xfId="0" applyNumberFormat="1" applyFont="1" applyFill="1" applyBorder="1" applyProtection="1"/>
    <xf numFmtId="164" fontId="38" fillId="0" borderId="58" xfId="0" applyNumberFormat="1" applyFont="1" applyFill="1" applyBorder="1" applyAlignment="1" applyProtection="1">
      <alignment horizontal="right"/>
    </xf>
    <xf numFmtId="0" fontId="114" fillId="0" borderId="28" xfId="0" applyFont="1" applyFill="1" applyBorder="1"/>
    <xf numFmtId="0" fontId="114" fillId="0" borderId="29" xfId="0" applyFont="1" applyFill="1" applyBorder="1"/>
    <xf numFmtId="164" fontId="114" fillId="0" borderId="35" xfId="0" applyNumberFormat="1" applyFont="1" applyFill="1" applyBorder="1" applyProtection="1"/>
    <xf numFmtId="164" fontId="114" fillId="0" borderId="30" xfId="0" applyNumberFormat="1" applyFont="1" applyFill="1" applyBorder="1" applyProtection="1"/>
    <xf numFmtId="164" fontId="114" fillId="0" borderId="46" xfId="0" applyNumberFormat="1" applyFont="1" applyFill="1" applyBorder="1" applyProtection="1"/>
    <xf numFmtId="0" fontId="38" fillId="0" borderId="17" xfId="0" quotePrefix="1" applyFont="1" applyBorder="1" applyAlignment="1" applyProtection="1">
      <alignment horizontal="left"/>
    </xf>
    <xf numFmtId="0" fontId="38" fillId="0" borderId="0" xfId="0" quotePrefix="1" applyFont="1" applyBorder="1" applyAlignment="1" applyProtection="1">
      <alignment horizontal="left"/>
    </xf>
    <xf numFmtId="0" fontId="38" fillId="0" borderId="26" xfId="0" applyFont="1" applyBorder="1" applyAlignment="1" applyProtection="1">
      <alignment horizontal="center"/>
    </xf>
    <xf numFmtId="0" fontId="38" fillId="0" borderId="32" xfId="0" quotePrefix="1" applyFont="1" applyBorder="1" applyAlignment="1" applyProtection="1">
      <alignment horizontal="left"/>
    </xf>
    <xf numFmtId="0" fontId="38" fillId="0" borderId="3" xfId="0" quotePrefix="1" applyFont="1" applyBorder="1" applyAlignment="1" applyProtection="1">
      <alignment horizontal="left"/>
    </xf>
    <xf numFmtId="0" fontId="38" fillId="0" borderId="41" xfId="0" applyFont="1" applyBorder="1" applyAlignment="1" applyProtection="1">
      <alignment horizontal="center"/>
    </xf>
    <xf numFmtId="164" fontId="38" fillId="0" borderId="33" xfId="0" applyNumberFormat="1" applyFont="1" applyFill="1" applyBorder="1" applyAlignment="1" applyProtection="1">
      <alignment horizontal="right"/>
    </xf>
    <xf numFmtId="164" fontId="38" fillId="0" borderId="41" xfId="0" applyNumberFormat="1" applyFont="1" applyFill="1" applyBorder="1" applyAlignment="1" applyProtection="1">
      <alignment horizontal="right"/>
    </xf>
    <xf numFmtId="164" fontId="38" fillId="0" borderId="34" xfId="0" applyNumberFormat="1" applyFont="1" applyFill="1" applyBorder="1" applyAlignment="1" applyProtection="1">
      <alignment horizontal="right"/>
    </xf>
    <xf numFmtId="166" fontId="0" fillId="0" borderId="0" xfId="0" applyNumberFormat="1" applyProtection="1"/>
    <xf numFmtId="1" fontId="0" fillId="0" borderId="0" xfId="0" applyNumberFormat="1" applyProtection="1"/>
    <xf numFmtId="164" fontId="38" fillId="0" borderId="20" xfId="0" applyNumberFormat="1" applyFont="1" applyFill="1" applyBorder="1" applyProtection="1"/>
    <xf numFmtId="164" fontId="38" fillId="0" borderId="27" xfId="0" applyNumberFormat="1" applyFont="1" applyFill="1" applyBorder="1" applyProtection="1"/>
    <xf numFmtId="164" fontId="38" fillId="0" borderId="34" xfId="0" applyNumberFormat="1" applyFont="1" applyFill="1" applyBorder="1" applyProtection="1"/>
    <xf numFmtId="0" fontId="50" fillId="0" borderId="45" xfId="0" applyFont="1" applyFill="1" applyBorder="1" applyProtection="1"/>
    <xf numFmtId="0" fontId="41" fillId="0" borderId="7" xfId="0" applyFont="1" applyFill="1" applyBorder="1" applyProtection="1"/>
    <xf numFmtId="164" fontId="62" fillId="0" borderId="0" xfId="0" applyNumberFormat="1" applyFont="1" applyAlignment="1"/>
    <xf numFmtId="14" fontId="66" fillId="0" borderId="66" xfId="0" applyNumberFormat="1" applyFont="1" applyFill="1" applyBorder="1" applyAlignment="1" applyProtection="1">
      <alignment horizontal="center" vertical="center"/>
    </xf>
    <xf numFmtId="165" fontId="66" fillId="18" borderId="0" xfId="49" applyNumberFormat="1" applyFont="1" applyFill="1" applyBorder="1" applyAlignment="1"/>
    <xf numFmtId="0" fontId="11" fillId="0" borderId="0" xfId="0" applyFont="1" applyFill="1" applyBorder="1" applyAlignment="1">
      <alignment horizontal="center"/>
    </xf>
    <xf numFmtId="0" fontId="67" fillId="14" borderId="0" xfId="0" applyFont="1" applyFill="1" applyBorder="1" applyAlignment="1">
      <alignment horizontal="center"/>
    </xf>
    <xf numFmtId="0" fontId="8" fillId="14" borderId="0" xfId="0" applyFont="1" applyFill="1" applyBorder="1" applyAlignment="1">
      <alignment horizontal="center"/>
    </xf>
    <xf numFmtId="2" fontId="66" fillId="18" borderId="0" xfId="0" applyNumberFormat="1" applyFont="1" applyFill="1" applyBorder="1" applyAlignment="1">
      <alignment horizontal="right"/>
    </xf>
    <xf numFmtId="0" fontId="47" fillId="0" borderId="0" xfId="0" applyFont="1"/>
    <xf numFmtId="1" fontId="47" fillId="14" borderId="75" xfId="0" applyNumberFormat="1" applyFont="1" applyFill="1" applyBorder="1" applyAlignment="1"/>
    <xf numFmtId="1" fontId="47" fillId="20" borderId="88" xfId="0" applyNumberFormat="1" applyFont="1" applyFill="1" applyBorder="1" applyAlignment="1"/>
    <xf numFmtId="164" fontId="41" fillId="0" borderId="79" xfId="0" applyNumberFormat="1" applyFont="1" applyBorder="1" applyAlignment="1"/>
    <xf numFmtId="2" fontId="47" fillId="10" borderId="79" xfId="0" applyNumberFormat="1" applyFont="1" applyFill="1" applyBorder="1" applyAlignment="1"/>
    <xf numFmtId="2" fontId="47" fillId="10" borderId="81" xfId="0" applyNumberFormat="1" applyFont="1" applyFill="1" applyBorder="1" applyAlignment="1"/>
    <xf numFmtId="2" fontId="47" fillId="10" borderId="0" xfId="0" applyNumberFormat="1" applyFont="1" applyFill="1" applyBorder="1" applyAlignment="1"/>
    <xf numFmtId="1" fontId="47" fillId="12" borderId="91" xfId="0" applyNumberFormat="1" applyFont="1" applyFill="1" applyBorder="1" applyAlignment="1"/>
    <xf numFmtId="1" fontId="47" fillId="0" borderId="0" xfId="0" applyNumberFormat="1" applyFont="1"/>
    <xf numFmtId="164" fontId="47" fillId="19" borderId="0" xfId="0" applyNumberFormat="1" applyFont="1" applyFill="1" applyBorder="1" applyAlignment="1"/>
    <xf numFmtId="165" fontId="47" fillId="0" borderId="0" xfId="49" applyNumberFormat="1" applyFont="1" applyBorder="1" applyAlignment="1"/>
    <xf numFmtId="164" fontId="41" fillId="0" borderId="0" xfId="0" applyNumberFormat="1" applyFont="1" applyBorder="1" applyAlignment="1"/>
    <xf numFmtId="2" fontId="47" fillId="20" borderId="0" xfId="0" applyNumberFormat="1" applyFont="1" applyFill="1" applyBorder="1" applyAlignment="1"/>
    <xf numFmtId="1" fontId="47" fillId="0" borderId="0" xfId="0" applyNumberFormat="1" applyFont="1" applyBorder="1" applyAlignment="1"/>
    <xf numFmtId="0" fontId="47" fillId="0" borderId="0" xfId="0" applyFont="1" applyAlignment="1"/>
    <xf numFmtId="1" fontId="47" fillId="14" borderId="71" xfId="0" applyNumberFormat="1" applyFont="1" applyFill="1" applyBorder="1" applyAlignment="1"/>
    <xf numFmtId="164" fontId="47" fillId="19" borderId="0" xfId="0" applyNumberFormat="1" applyFont="1" applyFill="1" applyBorder="1"/>
    <xf numFmtId="0" fontId="47" fillId="0" borderId="0" xfId="0" applyFont="1" applyBorder="1"/>
    <xf numFmtId="164" fontId="41" fillId="0" borderId="16" xfId="0" applyNumberFormat="1" applyFont="1" applyBorder="1"/>
    <xf numFmtId="165" fontId="50" fillId="33" borderId="0" xfId="49" applyNumberFormat="1" applyFont="1" applyFill="1" applyBorder="1"/>
    <xf numFmtId="165" fontId="50" fillId="33" borderId="29" xfId="49" applyNumberFormat="1" applyFont="1" applyFill="1" applyBorder="1"/>
    <xf numFmtId="165" fontId="41" fillId="33" borderId="0" xfId="0" applyNumberFormat="1" applyFont="1" applyFill="1" applyBorder="1"/>
    <xf numFmtId="1" fontId="47" fillId="12" borderId="98" xfId="0" applyNumberFormat="1" applyFont="1" applyFill="1" applyBorder="1" applyAlignment="1"/>
    <xf numFmtId="165" fontId="47" fillId="0" borderId="0" xfId="49" applyNumberFormat="1" applyFont="1" applyFill="1" applyBorder="1" applyAlignment="1"/>
    <xf numFmtId="1" fontId="47" fillId="12" borderId="39" xfId="0" applyNumberFormat="1" applyFont="1" applyFill="1" applyBorder="1" applyAlignment="1"/>
    <xf numFmtId="0" fontId="41" fillId="0" borderId="0" xfId="0" applyFont="1" applyAlignment="1">
      <alignment horizontal="right" vertical="top"/>
    </xf>
    <xf numFmtId="164" fontId="47" fillId="19" borderId="75" xfId="0" applyNumberFormat="1" applyFont="1" applyFill="1" applyBorder="1" applyAlignment="1"/>
    <xf numFmtId="164" fontId="59" fillId="18" borderId="0" xfId="0" applyNumberFormat="1" applyFont="1" applyFill="1" applyBorder="1" applyAlignment="1">
      <alignment horizontal="right"/>
    </xf>
    <xf numFmtId="164" fontId="47" fillId="0" borderId="81" xfId="0" applyNumberFormat="1" applyFont="1" applyBorder="1" applyAlignment="1"/>
    <xf numFmtId="165" fontId="47" fillId="0" borderId="16" xfId="49" applyNumberFormat="1" applyFont="1" applyBorder="1" applyAlignment="1"/>
    <xf numFmtId="165" fontId="47" fillId="12" borderId="0" xfId="49" applyNumberFormat="1" applyFont="1" applyFill="1" applyBorder="1" applyAlignment="1"/>
    <xf numFmtId="165" fontId="47" fillId="0" borderId="29" xfId="49" applyNumberFormat="1" applyFont="1" applyBorder="1" applyAlignment="1"/>
    <xf numFmtId="165" fontId="47" fillId="0" borderId="39" xfId="49" applyNumberFormat="1" applyFont="1" applyBorder="1" applyAlignment="1"/>
    <xf numFmtId="2" fontId="47" fillId="33" borderId="81" xfId="0" applyNumberFormat="1" applyFont="1" applyFill="1" applyBorder="1" applyAlignment="1"/>
    <xf numFmtId="2" fontId="47" fillId="10" borderId="77" xfId="0" applyNumberFormat="1" applyFont="1" applyFill="1" applyBorder="1" applyAlignment="1" applyProtection="1">
      <alignment horizontal="right"/>
      <protection locked="0"/>
    </xf>
    <xf numFmtId="2" fontId="47" fillId="10" borderId="71" xfId="0" applyNumberFormat="1" applyFont="1" applyFill="1" applyBorder="1" applyAlignment="1" applyProtection="1">
      <alignment horizontal="right"/>
      <protection locked="0"/>
    </xf>
    <xf numFmtId="2" fontId="46" fillId="10" borderId="75" xfId="0" applyNumberFormat="1" applyFont="1" applyFill="1" applyBorder="1" applyAlignment="1" applyProtection="1">
      <alignment horizontal="right"/>
      <protection locked="0"/>
    </xf>
    <xf numFmtId="164" fontId="99" fillId="14" borderId="0" xfId="0" applyNumberFormat="1" applyFont="1" applyFill="1" applyBorder="1" applyAlignment="1">
      <alignment horizontal="right"/>
    </xf>
    <xf numFmtId="164" fontId="99" fillId="14" borderId="70" xfId="0" applyNumberFormat="1" applyFont="1" applyFill="1" applyBorder="1" applyAlignment="1">
      <alignment horizontal="right"/>
    </xf>
    <xf numFmtId="2" fontId="47" fillId="10" borderId="66" xfId="0" applyNumberFormat="1" applyFont="1" applyFill="1" applyBorder="1" applyAlignment="1" applyProtection="1">
      <alignment horizontal="right"/>
      <protection locked="0"/>
    </xf>
    <xf numFmtId="164" fontId="41" fillId="14" borderId="0" xfId="0" applyNumberFormat="1" applyFont="1" applyFill="1" applyBorder="1" applyAlignment="1">
      <alignment horizontal="right"/>
    </xf>
    <xf numFmtId="2" fontId="47" fillId="10" borderId="0" xfId="0" applyNumberFormat="1" applyFont="1" applyFill="1" applyBorder="1" applyAlignment="1" applyProtection="1">
      <alignment horizontal="right"/>
      <protection locked="0"/>
    </xf>
    <xf numFmtId="164" fontId="41" fillId="20" borderId="67" xfId="0" applyNumberFormat="1" applyFont="1" applyFill="1" applyBorder="1" applyAlignment="1">
      <alignment horizontal="right"/>
    </xf>
    <xf numFmtId="164" fontId="41" fillId="14" borderId="0" xfId="0" applyNumberFormat="1" applyFont="1" applyFill="1" applyBorder="1"/>
    <xf numFmtId="164" fontId="41" fillId="20" borderId="67" xfId="0" applyNumberFormat="1" applyFont="1" applyFill="1" applyBorder="1"/>
    <xf numFmtId="164" fontId="99" fillId="20" borderId="67" xfId="0" applyNumberFormat="1" applyFont="1" applyFill="1" applyBorder="1" applyAlignment="1">
      <alignment horizontal="right"/>
    </xf>
    <xf numFmtId="2" fontId="46" fillId="10" borderId="0" xfId="0" applyNumberFormat="1" applyFont="1" applyFill="1" applyBorder="1" applyAlignment="1" applyProtection="1">
      <alignment horizontal="right"/>
      <protection locked="0"/>
    </xf>
    <xf numFmtId="164" fontId="41" fillId="14" borderId="71" xfId="0" applyNumberFormat="1" applyFont="1" applyFill="1" applyBorder="1"/>
    <xf numFmtId="164" fontId="41" fillId="20" borderId="108" xfId="0" applyNumberFormat="1" applyFont="1" applyFill="1" applyBorder="1"/>
    <xf numFmtId="2" fontId="46" fillId="10" borderId="102" xfId="0" applyNumberFormat="1" applyFont="1" applyFill="1" applyBorder="1" applyAlignment="1" applyProtection="1">
      <alignment horizontal="right"/>
      <protection locked="0"/>
    </xf>
    <xf numFmtId="164" fontId="41" fillId="14" borderId="75" xfId="0" applyNumberFormat="1" applyFont="1" applyFill="1" applyBorder="1" applyAlignment="1"/>
    <xf numFmtId="2" fontId="47" fillId="12" borderId="0" xfId="0" applyNumberFormat="1" applyFont="1" applyFill="1" applyBorder="1" applyAlignment="1"/>
    <xf numFmtId="164" fontId="47" fillId="0" borderId="0" xfId="0" applyNumberFormat="1" applyFont="1" applyAlignment="1"/>
    <xf numFmtId="1" fontId="47" fillId="12" borderId="16" xfId="0" applyNumberFormat="1" applyFont="1" applyFill="1" applyBorder="1" applyAlignment="1"/>
    <xf numFmtId="164" fontId="47" fillId="0" borderId="16" xfId="0" applyNumberFormat="1" applyFont="1" applyBorder="1" applyAlignment="1">
      <alignment vertical="center"/>
    </xf>
    <xf numFmtId="2" fontId="47" fillId="33" borderId="137" xfId="49" applyNumberFormat="1" applyFont="1" applyFill="1" applyBorder="1" applyAlignment="1"/>
    <xf numFmtId="165" fontId="47" fillId="12" borderId="29" xfId="49" applyNumberFormat="1" applyFont="1" applyFill="1" applyBorder="1" applyAlignment="1"/>
    <xf numFmtId="2" fontId="47" fillId="33" borderId="0" xfId="0" applyNumberFormat="1" applyFont="1" applyFill="1" applyBorder="1" applyAlignment="1"/>
    <xf numFmtId="164" fontId="47" fillId="20" borderId="0" xfId="0" applyNumberFormat="1" applyFont="1" applyFill="1" applyBorder="1" applyAlignment="1"/>
    <xf numFmtId="10" fontId="47" fillId="0" borderId="16" xfId="49" applyNumberFormat="1" applyFont="1" applyBorder="1" applyAlignment="1"/>
    <xf numFmtId="10" fontId="47" fillId="0" borderId="0" xfId="49" applyNumberFormat="1" applyFont="1" applyBorder="1" applyAlignment="1"/>
    <xf numFmtId="10" fontId="47" fillId="0" borderId="29" xfId="49" applyNumberFormat="1" applyFont="1" applyBorder="1" applyAlignment="1"/>
    <xf numFmtId="10" fontId="47" fillId="12" borderId="0" xfId="49" applyNumberFormat="1" applyFont="1" applyFill="1" applyBorder="1" applyAlignment="1"/>
    <xf numFmtId="164" fontId="47" fillId="0" borderId="0" xfId="0" applyNumberFormat="1" applyFont="1" applyBorder="1" applyAlignment="1"/>
    <xf numFmtId="164" fontId="41" fillId="0" borderId="81" xfId="0" applyNumberFormat="1" applyFont="1" applyBorder="1" applyAlignment="1"/>
    <xf numFmtId="164" fontId="47" fillId="0" borderId="75" xfId="0" applyNumberFormat="1" applyFont="1" applyBorder="1" applyAlignment="1"/>
    <xf numFmtId="164" fontId="47" fillId="0" borderId="79" xfId="0" applyNumberFormat="1" applyFont="1" applyBorder="1" applyAlignment="1"/>
    <xf numFmtId="164" fontId="41" fillId="0" borderId="0" xfId="0" applyNumberFormat="1" applyFont="1" applyFill="1" applyBorder="1" applyAlignment="1"/>
    <xf numFmtId="166" fontId="47" fillId="0" borderId="0" xfId="0" applyNumberFormat="1" applyFont="1" applyAlignment="1"/>
    <xf numFmtId="165" fontId="47" fillId="0" borderId="0" xfId="49" applyNumberFormat="1" applyFont="1" applyAlignment="1"/>
    <xf numFmtId="164" fontId="41" fillId="20" borderId="0" xfId="0" applyNumberFormat="1" applyFont="1" applyFill="1" applyBorder="1" applyAlignment="1"/>
    <xf numFmtId="164" fontId="47" fillId="14" borderId="75" xfId="0" applyNumberFormat="1" applyFont="1" applyFill="1" applyBorder="1" applyAlignment="1"/>
    <xf numFmtId="2" fontId="47" fillId="0" borderId="0" xfId="0" applyNumberFormat="1" applyFont="1" applyAlignment="1"/>
    <xf numFmtId="2" fontId="47" fillId="19" borderId="0" xfId="0" applyNumberFormat="1" applyFont="1" applyFill="1" applyBorder="1" applyAlignment="1"/>
    <xf numFmtId="0" fontId="41" fillId="0" borderId="0" xfId="0" quotePrefix="1" applyFont="1" applyAlignment="1"/>
    <xf numFmtId="164" fontId="41" fillId="0" borderId="16" xfId="0" applyNumberFormat="1" applyFont="1" applyFill="1" applyBorder="1" applyAlignment="1"/>
    <xf numFmtId="164" fontId="41" fillId="0" borderId="29" xfId="0" applyNumberFormat="1" applyFont="1" applyFill="1" applyBorder="1" applyAlignment="1"/>
    <xf numFmtId="165" fontId="41" fillId="0" borderId="16" xfId="49" applyNumberFormat="1" applyFont="1" applyBorder="1" applyAlignment="1"/>
    <xf numFmtId="165" fontId="41" fillId="0" borderId="0" xfId="49" applyNumberFormat="1" applyFont="1" applyBorder="1" applyAlignment="1"/>
    <xf numFmtId="165" fontId="41" fillId="0" borderId="29" xfId="49" applyNumberFormat="1" applyFont="1" applyBorder="1" applyAlignment="1"/>
    <xf numFmtId="165" fontId="41" fillId="12" borderId="0" xfId="49" applyNumberFormat="1" applyFont="1" applyFill="1" applyBorder="1" applyAlignment="1"/>
    <xf numFmtId="164" fontId="41" fillId="12" borderId="0" xfId="0" applyNumberFormat="1" applyFont="1" applyFill="1" applyBorder="1" applyAlignment="1"/>
    <xf numFmtId="165" fontId="41" fillId="0" borderId="0" xfId="49" applyNumberFormat="1" applyFont="1" applyFill="1" applyBorder="1" applyAlignment="1"/>
    <xf numFmtId="165" fontId="41" fillId="12" borderId="29" xfId="49" applyNumberFormat="1" applyFont="1" applyFill="1" applyBorder="1" applyAlignment="1"/>
    <xf numFmtId="0" fontId="41" fillId="0" borderId="0" xfId="0" applyFont="1" applyAlignment="1"/>
    <xf numFmtId="164" fontId="125" fillId="18" borderId="0" xfId="0" applyNumberFormat="1" applyFont="1" applyFill="1" applyAlignment="1"/>
    <xf numFmtId="2" fontId="125" fillId="20" borderId="0" xfId="0" applyNumberFormat="1" applyFont="1" applyFill="1" applyAlignment="1"/>
    <xf numFmtId="2" fontId="47" fillId="33" borderId="79" xfId="0" applyNumberFormat="1" applyFont="1" applyFill="1" applyBorder="1" applyAlignment="1"/>
    <xf numFmtId="164" fontId="41" fillId="0" borderId="0" xfId="0" applyNumberFormat="1" applyFont="1" applyAlignment="1"/>
    <xf numFmtId="165" fontId="59" fillId="18" borderId="0" xfId="49" applyNumberFormat="1" applyFont="1" applyFill="1" applyBorder="1" applyAlignment="1"/>
    <xf numFmtId="164" fontId="59" fillId="20" borderId="0" xfId="0" applyNumberFormat="1" applyFont="1" applyFill="1" applyBorder="1" applyAlignment="1"/>
    <xf numFmtId="10" fontId="41" fillId="12" borderId="0" xfId="49" applyNumberFormat="1" applyFont="1" applyFill="1" applyBorder="1" applyAlignment="1"/>
    <xf numFmtId="164" fontId="47" fillId="10" borderId="79" xfId="0" applyNumberFormat="1" applyFont="1" applyFill="1" applyBorder="1" applyAlignment="1"/>
    <xf numFmtId="164" fontId="47" fillId="10" borderId="0" xfId="0" applyNumberFormat="1" applyFont="1" applyFill="1" applyBorder="1" applyAlignment="1"/>
    <xf numFmtId="164" fontId="47" fillId="0" borderId="70" xfId="0" applyNumberFormat="1" applyFont="1" applyBorder="1" applyAlignment="1"/>
    <xf numFmtId="166" fontId="47" fillId="19" borderId="0" xfId="0" applyNumberFormat="1" applyFont="1" applyFill="1" applyAlignment="1"/>
    <xf numFmtId="164" fontId="47" fillId="20" borderId="0" xfId="0" applyNumberFormat="1" applyFont="1" applyFill="1" applyAlignment="1"/>
    <xf numFmtId="165" fontId="47" fillId="33" borderId="137" xfId="49" applyNumberFormat="1" applyFont="1" applyFill="1" applyBorder="1" applyAlignment="1"/>
    <xf numFmtId="10" fontId="41" fillId="0" borderId="29" xfId="49" applyNumberFormat="1" applyFont="1" applyBorder="1" applyAlignment="1"/>
    <xf numFmtId="165" fontId="41" fillId="12" borderId="0" xfId="49" applyNumberFormat="1" applyFont="1" applyFill="1" applyAlignment="1">
      <alignment vertical="center"/>
    </xf>
    <xf numFmtId="10" fontId="47" fillId="12" borderId="0" xfId="49" applyNumberFormat="1" applyFont="1" applyFill="1" applyAlignment="1"/>
    <xf numFmtId="164" fontId="47" fillId="14" borderId="0" xfId="0" applyNumberFormat="1" applyFont="1" applyFill="1" applyBorder="1" applyAlignment="1"/>
    <xf numFmtId="164" fontId="47" fillId="0" borderId="70" xfId="0" applyNumberFormat="1" applyFont="1" applyFill="1" applyBorder="1" applyAlignment="1"/>
    <xf numFmtId="165" fontId="47" fillId="0" borderId="0" xfId="0" applyNumberFormat="1" applyFont="1" applyAlignment="1"/>
    <xf numFmtId="165" fontId="47" fillId="12" borderId="75" xfId="49" applyNumberFormat="1" applyFont="1" applyFill="1" applyBorder="1" applyAlignment="1"/>
    <xf numFmtId="2" fontId="47" fillId="10" borderId="40" xfId="0" applyNumberFormat="1" applyFont="1" applyFill="1" applyBorder="1" applyAlignment="1">
      <alignment horizontal="center" vertical="center"/>
    </xf>
    <xf numFmtId="166" fontId="35" fillId="0" borderId="0" xfId="0" applyNumberFormat="1" applyFont="1" applyAlignment="1"/>
    <xf numFmtId="164" fontId="41" fillId="0" borderId="18" xfId="0" applyNumberFormat="1" applyFont="1" applyFill="1" applyBorder="1" applyProtection="1"/>
    <xf numFmtId="164" fontId="41" fillId="0" borderId="16" xfId="0" applyNumberFormat="1" applyFont="1" applyFill="1" applyBorder="1" applyProtection="1"/>
    <xf numFmtId="164" fontId="41" fillId="0" borderId="25" xfId="0" applyNumberFormat="1" applyFont="1" applyFill="1" applyBorder="1" applyProtection="1"/>
    <xf numFmtId="164" fontId="41" fillId="0" borderId="2" xfId="0" applyNumberFormat="1" applyFont="1" applyFill="1" applyBorder="1" applyProtection="1"/>
    <xf numFmtId="0" fontId="50" fillId="0" borderId="32" xfId="0" applyFont="1" applyFill="1" applyBorder="1" applyProtection="1"/>
    <xf numFmtId="0" fontId="50" fillId="0" borderId="3" xfId="0" applyFont="1" applyFill="1" applyBorder="1" applyProtection="1"/>
    <xf numFmtId="0" fontId="41" fillId="0" borderId="36" xfId="0" applyFont="1" applyFill="1" applyBorder="1" applyAlignment="1" applyProtection="1">
      <alignment horizontal="right"/>
    </xf>
    <xf numFmtId="0" fontId="35" fillId="0" borderId="16" xfId="0" applyFont="1" applyFill="1" applyBorder="1" applyProtection="1"/>
    <xf numFmtId="0" fontId="35" fillId="0" borderId="19" xfId="0" applyFont="1" applyFill="1" applyBorder="1" applyProtection="1"/>
    <xf numFmtId="166" fontId="41" fillId="0" borderId="0" xfId="0" applyNumberFormat="1" applyFont="1" applyFill="1" applyBorder="1" applyProtection="1"/>
    <xf numFmtId="0" fontId="35" fillId="0" borderId="20" xfId="0" applyFont="1" applyFill="1" applyBorder="1"/>
    <xf numFmtId="14" fontId="43" fillId="0" borderId="20" xfId="0" applyNumberFormat="1" applyFont="1" applyFill="1" applyBorder="1" applyAlignment="1" applyProtection="1">
      <alignment horizontal="center"/>
    </xf>
    <xf numFmtId="0" fontId="39" fillId="0" borderId="30" xfId="0" applyFont="1" applyFill="1" applyBorder="1" applyAlignment="1" applyProtection="1">
      <alignment horizontal="center"/>
    </xf>
    <xf numFmtId="0" fontId="41" fillId="0" borderId="24" xfId="0" applyFont="1" applyFill="1" applyBorder="1" applyAlignment="1" applyProtection="1">
      <alignment horizontal="center"/>
    </xf>
    <xf numFmtId="164" fontId="35" fillId="0" borderId="29" xfId="0" applyNumberFormat="1" applyFont="1" applyFill="1" applyBorder="1"/>
    <xf numFmtId="0" fontId="47" fillId="0" borderId="29" xfId="0" applyFont="1" applyFill="1" applyBorder="1" applyAlignment="1" applyProtection="1">
      <alignment horizontal="right"/>
    </xf>
    <xf numFmtId="164" fontId="41" fillId="0" borderId="24" xfId="0" quotePrefix="1" applyNumberFormat="1" applyFont="1" applyFill="1" applyBorder="1" applyAlignment="1" applyProtection="1">
      <alignment horizontal="right"/>
    </xf>
    <xf numFmtId="164" fontId="41" fillId="0" borderId="25" xfId="0" quotePrefix="1" applyNumberFormat="1" applyFont="1" applyFill="1" applyBorder="1" applyAlignment="1" applyProtection="1">
      <alignment horizontal="right"/>
    </xf>
    <xf numFmtId="0" fontId="47" fillId="0" borderId="5" xfId="0" applyFont="1" applyFill="1" applyBorder="1" applyAlignment="1" applyProtection="1">
      <alignment horizontal="center"/>
    </xf>
    <xf numFmtId="0" fontId="47" fillId="0" borderId="5" xfId="0" quotePrefix="1" applyFont="1" applyFill="1" applyBorder="1" applyAlignment="1" applyProtection="1">
      <alignment horizontal="right"/>
    </xf>
    <xf numFmtId="0" fontId="47" fillId="0" borderId="56" xfId="0" quotePrefix="1" applyFont="1" applyFill="1" applyBorder="1" applyAlignment="1" applyProtection="1">
      <alignment horizontal="left"/>
    </xf>
    <xf numFmtId="0" fontId="47" fillId="0" borderId="57" xfId="0" applyFont="1" applyFill="1" applyBorder="1" applyAlignment="1" applyProtection="1">
      <alignment horizontal="center"/>
    </xf>
    <xf numFmtId="164" fontId="47" fillId="0" borderId="57" xfId="0" applyNumberFormat="1" applyFont="1" applyFill="1" applyBorder="1" applyProtection="1"/>
    <xf numFmtId="166" fontId="41" fillId="0" borderId="56" xfId="0" applyNumberFormat="1" applyFont="1" applyFill="1" applyBorder="1" applyProtection="1"/>
    <xf numFmtId="164" fontId="47" fillId="0" borderId="57" xfId="0" quotePrefix="1" applyNumberFormat="1" applyFont="1" applyFill="1" applyBorder="1" applyAlignment="1" applyProtection="1">
      <alignment horizontal="right"/>
    </xf>
    <xf numFmtId="164" fontId="47" fillId="0" borderId="129" xfId="0" quotePrefix="1" applyNumberFormat="1" applyFont="1" applyFill="1" applyBorder="1" applyAlignment="1" applyProtection="1">
      <alignment horizontal="right"/>
    </xf>
    <xf numFmtId="164" fontId="0" fillId="0" borderId="24" xfId="0" applyNumberFormat="1" applyFill="1" applyBorder="1"/>
    <xf numFmtId="164" fontId="0" fillId="0" borderId="25" xfId="0" applyNumberFormat="1" applyFill="1" applyBorder="1"/>
    <xf numFmtId="164" fontId="47" fillId="0" borderId="30" xfId="0" quotePrefix="1" applyNumberFormat="1" applyFont="1" applyFill="1" applyBorder="1" applyAlignment="1" applyProtection="1">
      <alignment horizontal="right"/>
    </xf>
    <xf numFmtId="164" fontId="47" fillId="0" borderId="31" xfId="0" quotePrefix="1" applyNumberFormat="1" applyFont="1" applyFill="1" applyBorder="1" applyAlignment="1" applyProtection="1">
      <alignment horizontal="right"/>
    </xf>
    <xf numFmtId="164" fontId="41" fillId="0" borderId="44" xfId="0" applyNumberFormat="1" applyFont="1" applyFill="1" applyBorder="1" applyProtection="1"/>
    <xf numFmtId="164" fontId="41" fillId="0" borderId="130" xfId="0" applyNumberFormat="1" applyFont="1" applyFill="1" applyBorder="1" applyProtection="1"/>
    <xf numFmtId="164" fontId="41" fillId="0" borderId="132" xfId="0" applyNumberFormat="1" applyFont="1" applyFill="1" applyBorder="1" applyProtection="1"/>
    <xf numFmtId="0" fontId="0" fillId="11" borderId="18" xfId="0" applyFill="1" applyBorder="1"/>
    <xf numFmtId="0" fontId="47" fillId="11" borderId="16" xfId="0" applyFont="1" applyFill="1" applyBorder="1" applyProtection="1"/>
    <xf numFmtId="0" fontId="41" fillId="11" borderId="16" xfId="0" applyFont="1" applyFill="1" applyBorder="1" applyProtection="1"/>
    <xf numFmtId="15" fontId="47" fillId="11" borderId="16" xfId="0" applyNumberFormat="1" applyFont="1" applyFill="1" applyBorder="1" applyAlignment="1" applyProtection="1">
      <alignment horizontal="left"/>
    </xf>
    <xf numFmtId="0" fontId="47" fillId="11" borderId="19" xfId="0" applyFont="1" applyFill="1" applyBorder="1" applyProtection="1"/>
    <xf numFmtId="0" fontId="48" fillId="11" borderId="20" xfId="0" applyFont="1" applyFill="1" applyBorder="1" applyAlignment="1" applyProtection="1">
      <alignment horizontal="center"/>
    </xf>
    <xf numFmtId="0" fontId="47" fillId="11" borderId="0" xfId="0" applyFont="1" applyFill="1" applyBorder="1" applyAlignment="1" applyProtection="1">
      <alignment horizontal="center"/>
    </xf>
    <xf numFmtId="0" fontId="47" fillId="11" borderId="20" xfId="0" applyFont="1" applyFill="1" applyBorder="1" applyAlignment="1" applyProtection="1">
      <alignment horizontal="center"/>
    </xf>
    <xf numFmtId="0" fontId="41" fillId="11" borderId="0" xfId="0" quotePrefix="1" applyFont="1" applyFill="1" applyBorder="1" applyAlignment="1" applyProtection="1">
      <alignment horizontal="left"/>
    </xf>
    <xf numFmtId="0" fontId="47" fillId="11" borderId="0" xfId="0" applyFont="1" applyFill="1" applyBorder="1" applyAlignment="1" applyProtection="1">
      <alignment horizontal="left"/>
    </xf>
    <xf numFmtId="0" fontId="41" fillId="11" borderId="0" xfId="0" applyFont="1" applyFill="1" applyBorder="1" applyProtection="1"/>
    <xf numFmtId="3" fontId="41" fillId="11" borderId="20" xfId="0" applyNumberFormat="1" applyFont="1" applyFill="1" applyBorder="1" applyProtection="1"/>
    <xf numFmtId="0" fontId="47" fillId="11" borderId="0" xfId="0" applyFont="1" applyFill="1" applyBorder="1" applyProtection="1"/>
    <xf numFmtId="3" fontId="41" fillId="11" borderId="0" xfId="0" applyNumberFormat="1" applyFont="1" applyFill="1" applyBorder="1" applyProtection="1"/>
    <xf numFmtId="0" fontId="41" fillId="11" borderId="0" xfId="0" applyFont="1" applyFill="1" applyBorder="1" applyAlignment="1" applyProtection="1">
      <alignment horizontal="left"/>
    </xf>
    <xf numFmtId="15" fontId="49" fillId="11" borderId="20" xfId="0" applyNumberFormat="1" applyFont="1" applyFill="1" applyBorder="1" applyAlignment="1" applyProtection="1">
      <alignment horizontal="left"/>
    </xf>
    <xf numFmtId="0" fontId="41" fillId="11" borderId="6" xfId="0" applyFont="1" applyFill="1" applyBorder="1" applyProtection="1"/>
    <xf numFmtId="0" fontId="41" fillId="11" borderId="5" xfId="0" applyFont="1" applyFill="1" applyBorder="1" applyProtection="1"/>
    <xf numFmtId="1" fontId="47" fillId="11" borderId="21" xfId="0" applyNumberFormat="1" applyFont="1" applyFill="1" applyBorder="1" applyAlignment="1" applyProtection="1">
      <alignment horizontal="center"/>
    </xf>
    <xf numFmtId="1" fontId="47" fillId="11" borderId="22" xfId="0" applyNumberFormat="1" applyFont="1" applyFill="1" applyBorder="1" applyAlignment="1" applyProtection="1">
      <alignment horizontal="center"/>
    </xf>
    <xf numFmtId="1" fontId="47" fillId="11" borderId="7" xfId="0" applyNumberFormat="1" applyFont="1" applyFill="1" applyBorder="1" applyAlignment="1" applyProtection="1">
      <alignment horizontal="center"/>
    </xf>
    <xf numFmtId="1" fontId="47" fillId="11" borderId="20" xfId="0" applyNumberFormat="1" applyFont="1" applyFill="1" applyBorder="1" applyProtection="1"/>
    <xf numFmtId="0" fontId="47" fillId="11" borderId="20" xfId="0" applyFont="1" applyFill="1" applyBorder="1" applyAlignment="1" applyProtection="1">
      <alignment horizontal="centerContinuous"/>
    </xf>
    <xf numFmtId="0" fontId="50" fillId="11" borderId="23" xfId="0" applyFont="1" applyFill="1" applyBorder="1" applyProtection="1"/>
    <xf numFmtId="164" fontId="41" fillId="11" borderId="24" xfId="0" applyNumberFormat="1" applyFont="1" applyFill="1" applyBorder="1" applyAlignment="1" applyProtection="1">
      <alignment horizontal="right"/>
    </xf>
    <xf numFmtId="164" fontId="41" fillId="11" borderId="16" xfId="0" applyNumberFormat="1" applyFont="1" applyFill="1" applyBorder="1" applyAlignment="1" applyProtection="1">
      <alignment horizontal="right"/>
    </xf>
    <xf numFmtId="164" fontId="41" fillId="11" borderId="25" xfId="0" applyNumberFormat="1" applyFont="1" applyFill="1" applyBorder="1" applyAlignment="1" applyProtection="1">
      <alignment horizontal="right"/>
    </xf>
    <xf numFmtId="0" fontId="41" fillId="11" borderId="20" xfId="0" applyFont="1" applyFill="1" applyBorder="1" applyAlignment="1" applyProtection="1">
      <alignment horizontal="right"/>
    </xf>
    <xf numFmtId="0" fontId="0" fillId="11" borderId="26" xfId="0" applyFill="1" applyBorder="1"/>
    <xf numFmtId="0" fontId="0" fillId="11" borderId="27" xfId="0" applyFill="1" applyBorder="1"/>
    <xf numFmtId="0" fontId="41" fillId="11" borderId="17" xfId="0" applyFont="1" applyFill="1" applyBorder="1" applyAlignment="1" applyProtection="1"/>
    <xf numFmtId="0" fontId="47" fillId="11" borderId="20" xfId="0" applyFont="1" applyFill="1" applyBorder="1" applyAlignment="1" applyProtection="1">
      <alignment horizontal="right"/>
    </xf>
    <xf numFmtId="0" fontId="50" fillId="11" borderId="17" xfId="0" applyFont="1" applyFill="1" applyBorder="1" applyProtection="1"/>
    <xf numFmtId="164" fontId="35" fillId="11" borderId="26" xfId="0" applyNumberFormat="1" applyFont="1" applyFill="1" applyBorder="1"/>
    <xf numFmtId="164" fontId="35" fillId="11" borderId="27" xfId="0" applyNumberFormat="1" applyFont="1" applyFill="1" applyBorder="1"/>
    <xf numFmtId="164" fontId="41" fillId="11" borderId="26" xfId="0" applyNumberFormat="1" applyFont="1" applyFill="1" applyBorder="1" applyAlignment="1" applyProtection="1">
      <alignment horizontal="right"/>
    </xf>
    <xf numFmtId="164" fontId="41" fillId="11" borderId="0" xfId="0" applyNumberFormat="1" applyFont="1" applyFill="1" applyBorder="1" applyAlignment="1" applyProtection="1">
      <alignment horizontal="right"/>
    </xf>
    <xf numFmtId="164" fontId="41" fillId="11" borderId="27" xfId="0" applyNumberFormat="1" applyFont="1" applyFill="1" applyBorder="1" applyAlignment="1" applyProtection="1">
      <alignment horizontal="right"/>
    </xf>
    <xf numFmtId="0" fontId="41" fillId="11" borderId="28" xfId="0" applyFont="1" applyFill="1" applyBorder="1" applyProtection="1"/>
    <xf numFmtId="0" fontId="41" fillId="11" borderId="29" xfId="0" applyFont="1" applyFill="1" applyBorder="1" applyProtection="1"/>
    <xf numFmtId="164" fontId="41" fillId="11" borderId="30" xfId="0" applyNumberFormat="1" applyFont="1" applyFill="1" applyBorder="1" applyAlignment="1" applyProtection="1">
      <alignment horizontal="right"/>
    </xf>
    <xf numFmtId="164" fontId="41" fillId="11" borderId="29" xfId="0" applyNumberFormat="1" applyFont="1" applyFill="1" applyBorder="1" applyAlignment="1" applyProtection="1">
      <alignment horizontal="right"/>
    </xf>
    <xf numFmtId="164" fontId="41" fillId="11" borderId="31" xfId="0" applyNumberFormat="1" applyFont="1" applyFill="1" applyBorder="1" applyAlignment="1" applyProtection="1">
      <alignment horizontal="right"/>
    </xf>
    <xf numFmtId="0" fontId="41" fillId="11" borderId="23" xfId="0" applyFont="1" applyFill="1" applyBorder="1" applyProtection="1"/>
    <xf numFmtId="0" fontId="38" fillId="11" borderId="17" xfId="0" applyFont="1" applyFill="1" applyBorder="1" applyProtection="1"/>
    <xf numFmtId="0" fontId="121" fillId="11" borderId="0" xfId="0" applyFont="1" applyFill="1" applyBorder="1" applyProtection="1"/>
    <xf numFmtId="164" fontId="38" fillId="11" borderId="26" xfId="0" applyNumberFormat="1" applyFont="1" applyFill="1" applyBorder="1" applyAlignment="1" applyProtection="1">
      <alignment horizontal="right"/>
    </xf>
    <xf numFmtId="164" fontId="38" fillId="11" borderId="0" xfId="0" applyNumberFormat="1" applyFont="1" applyFill="1" applyBorder="1" applyAlignment="1" applyProtection="1">
      <alignment horizontal="right"/>
    </xf>
    <xf numFmtId="164" fontId="38" fillId="11" borderId="27" xfId="0" applyNumberFormat="1" applyFont="1" applyFill="1" applyBorder="1" applyAlignment="1" applyProtection="1">
      <alignment horizontal="right"/>
    </xf>
    <xf numFmtId="0" fontId="50" fillId="11" borderId="20" xfId="0" applyFont="1" applyFill="1" applyBorder="1" applyAlignment="1" applyProtection="1">
      <alignment horizontal="right"/>
    </xf>
    <xf numFmtId="164" fontId="35" fillId="11" borderId="0" xfId="0" applyNumberFormat="1" applyFont="1" applyFill="1" applyBorder="1" applyAlignment="1" applyProtection="1">
      <alignment horizontal="right"/>
    </xf>
    <xf numFmtId="0" fontId="50" fillId="11" borderId="0" xfId="0" applyFont="1" applyFill="1" applyBorder="1" applyProtection="1"/>
    <xf numFmtId="164" fontId="41" fillId="11" borderId="2" xfId="0" applyNumberFormat="1" applyFont="1" applyFill="1" applyBorder="1" applyAlignment="1" applyProtection="1">
      <alignment horizontal="right"/>
    </xf>
    <xf numFmtId="164" fontId="41" fillId="11" borderId="20" xfId="0" applyNumberFormat="1" applyFont="1" applyFill="1" applyBorder="1" applyAlignment="1" applyProtection="1">
      <alignment horizontal="right"/>
    </xf>
    <xf numFmtId="0" fontId="41" fillId="11" borderId="32" xfId="0" applyFont="1" applyFill="1" applyBorder="1" applyProtection="1"/>
    <xf numFmtId="0" fontId="43" fillId="11" borderId="3" xfId="0" applyFont="1" applyFill="1" applyBorder="1" applyProtection="1"/>
    <xf numFmtId="164" fontId="41" fillId="11" borderId="33" xfId="0" applyNumberFormat="1" applyFont="1" applyFill="1" applyBorder="1" applyAlignment="1" applyProtection="1">
      <alignment horizontal="right"/>
    </xf>
    <xf numFmtId="164" fontId="41" fillId="11" borderId="34" xfId="0" applyNumberFormat="1" applyFont="1" applyFill="1" applyBorder="1" applyAlignment="1" applyProtection="1">
      <alignment horizontal="right"/>
    </xf>
    <xf numFmtId="0" fontId="35" fillId="11" borderId="29" xfId="0" applyFont="1" applyFill="1" applyBorder="1"/>
    <xf numFmtId="0" fontId="47" fillId="11" borderId="29" xfId="0" applyFont="1" applyFill="1" applyBorder="1" applyAlignment="1" applyProtection="1">
      <alignment horizontal="right"/>
    </xf>
    <xf numFmtId="0" fontId="41" fillId="11" borderId="20" xfId="0" applyNumberFormat="1" applyFont="1" applyFill="1" applyBorder="1" applyAlignment="1" applyProtection="1">
      <alignment horizontal="centerContinuous"/>
    </xf>
    <xf numFmtId="0" fontId="41" fillId="11" borderId="20" xfId="0" applyNumberFormat="1" applyFont="1" applyFill="1" applyBorder="1" applyProtection="1"/>
    <xf numFmtId="0" fontId="49" fillId="11" borderId="20" xfId="0" applyFont="1" applyFill="1" applyBorder="1" applyProtection="1"/>
    <xf numFmtId="0" fontId="47" fillId="11" borderId="37" xfId="0" applyFont="1" applyFill="1" applyBorder="1" applyAlignment="1" applyProtection="1">
      <alignment horizontal="center"/>
    </xf>
    <xf numFmtId="1" fontId="47" fillId="11" borderId="43" xfId="0" applyNumberFormat="1" applyFont="1" applyFill="1" applyBorder="1" applyAlignment="1" applyProtection="1">
      <alignment horizontal="center"/>
    </xf>
    <xf numFmtId="0" fontId="47" fillId="11" borderId="26" xfId="0" applyFont="1" applyFill="1" applyBorder="1" applyAlignment="1" applyProtection="1">
      <alignment horizontal="center"/>
    </xf>
    <xf numFmtId="0" fontId="38" fillId="11" borderId="23" xfId="0" applyFont="1" applyFill="1" applyBorder="1" applyProtection="1"/>
    <xf numFmtId="0" fontId="38" fillId="11" borderId="16" xfId="0" applyFont="1" applyFill="1" applyBorder="1" applyProtection="1"/>
    <xf numFmtId="0" fontId="122" fillId="11" borderId="24" xfId="0" applyFont="1" applyFill="1" applyBorder="1" applyAlignment="1" applyProtection="1">
      <alignment horizontal="center"/>
    </xf>
    <xf numFmtId="164" fontId="38" fillId="11" borderId="18" xfId="0" applyNumberFormat="1" applyFont="1" applyFill="1" applyBorder="1" applyAlignment="1" applyProtection="1">
      <alignment horizontal="right"/>
    </xf>
    <xf numFmtId="164" fontId="38" fillId="11" borderId="24" xfId="0" applyNumberFormat="1" applyFont="1" applyFill="1" applyBorder="1" applyAlignment="1" applyProtection="1">
      <alignment horizontal="right"/>
    </xf>
    <xf numFmtId="164" fontId="38" fillId="11" borderId="25" xfId="0" applyNumberFormat="1" applyFont="1" applyFill="1" applyBorder="1" applyAlignment="1" applyProtection="1">
      <alignment horizontal="right"/>
    </xf>
    <xf numFmtId="0" fontId="38" fillId="11" borderId="0" xfId="0" applyFont="1" applyFill="1" applyBorder="1" applyProtection="1"/>
    <xf numFmtId="0" fontId="122" fillId="11" borderId="26" xfId="0" applyFont="1" applyFill="1" applyBorder="1" applyAlignment="1" applyProtection="1">
      <alignment horizontal="center"/>
    </xf>
    <xf numFmtId="164" fontId="38" fillId="11" borderId="2" xfId="0" applyNumberFormat="1" applyFont="1" applyFill="1" applyBorder="1" applyAlignment="1" applyProtection="1">
      <alignment horizontal="right"/>
    </xf>
    <xf numFmtId="0" fontId="114" fillId="11" borderId="28" xfId="0" applyFont="1" applyFill="1" applyBorder="1" applyAlignment="1" applyProtection="1"/>
    <xf numFmtId="0" fontId="38" fillId="11" borderId="29" xfId="0" applyFont="1" applyFill="1" applyBorder="1" applyProtection="1"/>
    <xf numFmtId="0" fontId="122" fillId="11" borderId="30" xfId="0" applyFont="1" applyFill="1" applyBorder="1" applyAlignment="1" applyProtection="1">
      <alignment horizontal="center"/>
    </xf>
    <xf numFmtId="164" fontId="114" fillId="11" borderId="29" xfId="0" applyNumberFormat="1" applyFont="1" applyFill="1" applyBorder="1" applyAlignment="1" applyProtection="1">
      <alignment horizontal="right"/>
    </xf>
    <xf numFmtId="164" fontId="114" fillId="11" borderId="30" xfId="0" applyNumberFormat="1" applyFont="1" applyFill="1" applyBorder="1" applyAlignment="1" applyProtection="1">
      <alignment horizontal="right"/>
    </xf>
    <xf numFmtId="164" fontId="114" fillId="11" borderId="31" xfId="0" applyNumberFormat="1" applyFont="1" applyFill="1" applyBorder="1" applyAlignment="1" applyProtection="1">
      <alignment horizontal="right"/>
    </xf>
    <xf numFmtId="0" fontId="49" fillId="11" borderId="26" xfId="0" applyFont="1" applyFill="1" applyBorder="1" applyAlignment="1" applyProtection="1">
      <alignment horizontal="center"/>
    </xf>
    <xf numFmtId="0" fontId="121" fillId="11" borderId="17" xfId="0" applyFont="1" applyFill="1" applyBorder="1" applyProtection="1"/>
    <xf numFmtId="0" fontId="123" fillId="11" borderId="26" xfId="0" applyFont="1" applyFill="1" applyBorder="1" applyAlignment="1" applyProtection="1">
      <alignment horizontal="center"/>
    </xf>
    <xf numFmtId="0" fontId="114" fillId="11" borderId="38" xfId="0" applyFont="1" applyFill="1" applyBorder="1" applyAlignment="1" applyProtection="1">
      <alignment horizontal="left"/>
    </xf>
    <xf numFmtId="0" fontId="114" fillId="11" borderId="39" xfId="0" applyFont="1" applyFill="1" applyBorder="1" applyProtection="1"/>
    <xf numFmtId="0" fontId="124" fillId="11" borderId="40" xfId="0" applyFont="1" applyFill="1" applyBorder="1" applyAlignment="1" applyProtection="1">
      <alignment horizontal="center"/>
    </xf>
    <xf numFmtId="164" fontId="114" fillId="11" borderId="39" xfId="0" applyNumberFormat="1" applyFont="1" applyFill="1" applyBorder="1" applyAlignment="1" applyProtection="1">
      <alignment horizontal="right"/>
    </xf>
    <xf numFmtId="164" fontId="114" fillId="11" borderId="40" xfId="0" applyNumberFormat="1" applyFont="1" applyFill="1" applyBorder="1" applyAlignment="1" applyProtection="1">
      <alignment horizontal="right"/>
    </xf>
    <xf numFmtId="164" fontId="10" fillId="11" borderId="0" xfId="0" applyNumberFormat="1" applyFont="1" applyFill="1" applyBorder="1" applyAlignment="1" applyProtection="1">
      <alignment horizontal="center"/>
    </xf>
    <xf numFmtId="0" fontId="35" fillId="11" borderId="17" xfId="0" quotePrefix="1" applyFont="1" applyFill="1" applyBorder="1" applyAlignment="1" applyProtection="1">
      <alignment horizontal="left"/>
    </xf>
    <xf numFmtId="0" fontId="35" fillId="11" borderId="0" xfId="0" applyFont="1" applyFill="1" applyBorder="1" applyProtection="1"/>
    <xf numFmtId="0" fontId="10" fillId="11" borderId="26" xfId="0" applyFont="1" applyFill="1" applyBorder="1" applyAlignment="1" applyProtection="1">
      <alignment horizontal="center"/>
    </xf>
    <xf numFmtId="164" fontId="35" fillId="11" borderId="2" xfId="0" applyNumberFormat="1" applyFont="1" applyFill="1" applyBorder="1" applyAlignment="1" applyProtection="1">
      <alignment horizontal="right"/>
    </xf>
    <xf numFmtId="164" fontId="35" fillId="11" borderId="18" xfId="0" applyNumberFormat="1" applyFont="1" applyFill="1" applyBorder="1" applyAlignment="1" applyProtection="1">
      <alignment horizontal="right"/>
    </xf>
    <xf numFmtId="164" fontId="35" fillId="11" borderId="25" xfId="0" applyNumberFormat="1" applyFont="1" applyFill="1" applyBorder="1" applyAlignment="1" applyProtection="1">
      <alignment horizontal="right"/>
    </xf>
    <xf numFmtId="0" fontId="35" fillId="11" borderId="32" xfId="0" quotePrefix="1" applyFont="1" applyFill="1" applyBorder="1" applyAlignment="1" applyProtection="1">
      <alignment horizontal="left"/>
    </xf>
    <xf numFmtId="0" fontId="35" fillId="11" borderId="3" xfId="0" applyFont="1" applyFill="1" applyBorder="1" applyProtection="1"/>
    <xf numFmtId="0" fontId="10" fillId="11" borderId="41" xfId="0" applyFont="1" applyFill="1" applyBorder="1" applyAlignment="1" applyProtection="1">
      <alignment horizontal="center"/>
    </xf>
    <xf numFmtId="164" fontId="35" fillId="11" borderId="33" xfId="0" applyNumberFormat="1" applyFont="1" applyFill="1" applyBorder="1" applyAlignment="1" applyProtection="1">
      <alignment horizontal="right"/>
    </xf>
    <xf numFmtId="164" fontId="35" fillId="11" borderId="34" xfId="0" applyNumberFormat="1" applyFont="1" applyFill="1" applyBorder="1" applyAlignment="1" applyProtection="1">
      <alignment horizontal="right"/>
    </xf>
    <xf numFmtId="0" fontId="0" fillId="11" borderId="16" xfId="0" applyFill="1" applyBorder="1"/>
    <xf numFmtId="0" fontId="0" fillId="11" borderId="19" xfId="0" applyFill="1" applyBorder="1"/>
    <xf numFmtId="0" fontId="0" fillId="11" borderId="0" xfId="0" applyFill="1" applyBorder="1"/>
    <xf numFmtId="1" fontId="47" fillId="11" borderId="138" xfId="0" applyNumberFormat="1" applyFont="1" applyFill="1" applyBorder="1" applyAlignment="1" applyProtection="1">
      <alignment horizontal="center"/>
    </xf>
    <xf numFmtId="1" fontId="47" fillId="11" borderId="20" xfId="0" applyNumberFormat="1" applyFont="1" applyFill="1" applyBorder="1" applyAlignment="1" applyProtection="1">
      <alignment horizontal="center"/>
    </xf>
    <xf numFmtId="1" fontId="47" fillId="11" borderId="40" xfId="0" applyNumberFormat="1" applyFont="1" applyFill="1" applyBorder="1" applyAlignment="1" applyProtection="1">
      <alignment horizontal="center"/>
    </xf>
    <xf numFmtId="1" fontId="47" fillId="11" borderId="42" xfId="0" applyNumberFormat="1" applyFont="1" applyFill="1" applyBorder="1" applyAlignment="1" applyProtection="1">
      <alignment horizontal="center"/>
    </xf>
    <xf numFmtId="164" fontId="41" fillId="11" borderId="24" xfId="0" applyNumberFormat="1" applyFont="1" applyFill="1" applyBorder="1" applyProtection="1"/>
    <xf numFmtId="164" fontId="41" fillId="11" borderId="25" xfId="0" applyNumberFormat="1" applyFont="1" applyFill="1" applyBorder="1" applyProtection="1"/>
    <xf numFmtId="0" fontId="41" fillId="11" borderId="20" xfId="0" applyFont="1" applyFill="1" applyBorder="1" applyProtection="1"/>
    <xf numFmtId="164" fontId="41" fillId="11" borderId="26" xfId="0" applyNumberFormat="1" applyFont="1" applyFill="1" applyBorder="1" applyProtection="1"/>
    <xf numFmtId="164" fontId="41" fillId="11" borderId="27" xfId="0" applyNumberFormat="1" applyFont="1" applyFill="1" applyBorder="1" applyProtection="1"/>
    <xf numFmtId="0" fontId="35" fillId="11" borderId="17" xfId="0" applyFont="1" applyFill="1" applyBorder="1" applyProtection="1"/>
    <xf numFmtId="0" fontId="39" fillId="11" borderId="28" xfId="0" applyFont="1" applyFill="1" applyBorder="1" applyAlignment="1" applyProtection="1">
      <alignment horizontal="left"/>
    </xf>
    <xf numFmtId="0" fontId="39" fillId="11" borderId="29" xfId="0" applyFont="1" applyFill="1" applyBorder="1" applyAlignment="1" applyProtection="1">
      <alignment horizontal="left"/>
    </xf>
    <xf numFmtId="164" fontId="47" fillId="11" borderId="30" xfId="0" applyNumberFormat="1" applyFont="1" applyFill="1" applyBorder="1" applyProtection="1"/>
    <xf numFmtId="164" fontId="47" fillId="11" borderId="31" xfId="0" applyNumberFormat="1" applyFont="1" applyFill="1" applyBorder="1" applyProtection="1"/>
    <xf numFmtId="0" fontId="47" fillId="11" borderId="20" xfId="0" applyFont="1" applyFill="1" applyBorder="1" applyProtection="1"/>
    <xf numFmtId="0" fontId="35" fillId="11" borderId="17" xfId="0" applyFont="1" applyFill="1" applyBorder="1" applyAlignment="1" applyProtection="1">
      <alignment horizontal="left"/>
    </xf>
    <xf numFmtId="0" fontId="35" fillId="11" borderId="0" xfId="0" applyFont="1" applyFill="1" applyBorder="1" applyAlignment="1" applyProtection="1">
      <alignment horizontal="left"/>
    </xf>
    <xf numFmtId="0" fontId="47" fillId="11" borderId="28" xfId="0" applyFont="1" applyFill="1" applyBorder="1" applyProtection="1"/>
    <xf numFmtId="0" fontId="47" fillId="11" borderId="29" xfId="0" applyFont="1" applyFill="1" applyBorder="1" applyProtection="1"/>
    <xf numFmtId="0" fontId="39" fillId="11" borderId="20" xfId="0" applyFont="1" applyFill="1" applyBorder="1" applyProtection="1"/>
    <xf numFmtId="0" fontId="47" fillId="11" borderId="28" xfId="0" applyFont="1" applyFill="1" applyBorder="1" applyAlignment="1" applyProtection="1">
      <alignment horizontal="left"/>
    </xf>
    <xf numFmtId="0" fontId="47" fillId="11" borderId="29" xfId="0" quotePrefix="1" applyFont="1" applyFill="1" applyBorder="1" applyAlignment="1" applyProtection="1">
      <alignment horizontal="left"/>
    </xf>
    <xf numFmtId="0" fontId="41" fillId="11" borderId="17" xfId="0" quotePrefix="1" applyFont="1" applyFill="1" applyBorder="1" applyAlignment="1" applyProtection="1">
      <alignment horizontal="left"/>
    </xf>
    <xf numFmtId="0" fontId="47" fillId="11" borderId="32" xfId="0" applyFont="1" applyFill="1" applyBorder="1" applyAlignment="1" applyProtection="1">
      <alignment horizontal="left"/>
    </xf>
    <xf numFmtId="0" fontId="47" fillId="11" borderId="3" xfId="0" quotePrefix="1" applyFont="1" applyFill="1" applyBorder="1" applyAlignment="1" applyProtection="1">
      <alignment horizontal="left"/>
    </xf>
    <xf numFmtId="164" fontId="47" fillId="11" borderId="41" xfId="0" applyNumberFormat="1" applyFont="1" applyFill="1" applyBorder="1" applyProtection="1"/>
    <xf numFmtId="164" fontId="47" fillId="11" borderId="34" xfId="0" applyNumberFormat="1" applyFont="1" applyFill="1" applyBorder="1" applyProtection="1"/>
    <xf numFmtId="0" fontId="41" fillId="11" borderId="45" xfId="0" applyFont="1" applyFill="1" applyBorder="1" applyProtection="1"/>
    <xf numFmtId="0" fontId="41" fillId="11" borderId="6" xfId="0" quotePrefix="1" applyFont="1" applyFill="1" applyBorder="1" applyAlignment="1" applyProtection="1">
      <alignment horizontal="left"/>
    </xf>
    <xf numFmtId="0" fontId="41" fillId="11" borderId="22" xfId="0" quotePrefix="1" applyFont="1" applyFill="1" applyBorder="1" applyAlignment="1" applyProtection="1">
      <alignment horizontal="left"/>
    </xf>
    <xf numFmtId="0" fontId="47" fillId="11" borderId="5" xfId="0" applyFont="1" applyFill="1" applyBorder="1" applyAlignment="1" applyProtection="1">
      <alignment horizontal="center"/>
    </xf>
    <xf numFmtId="0" fontId="0" fillId="11" borderId="29" xfId="0" applyFill="1" applyBorder="1"/>
    <xf numFmtId="0" fontId="47" fillId="11" borderId="36" xfId="0" applyFont="1" applyFill="1" applyBorder="1" applyAlignment="1" applyProtection="1">
      <alignment horizontal="right"/>
    </xf>
    <xf numFmtId="0" fontId="35" fillId="11" borderId="16" xfId="0" applyFont="1" applyFill="1" applyBorder="1"/>
    <xf numFmtId="0" fontId="47" fillId="11" borderId="0" xfId="0" quotePrefix="1" applyFont="1" applyFill="1" applyBorder="1" applyAlignment="1" applyProtection="1">
      <alignment horizontal="left"/>
    </xf>
    <xf numFmtId="0" fontId="35" fillId="11" borderId="0" xfId="0" applyFont="1" applyFill="1" applyBorder="1"/>
    <xf numFmtId="0" fontId="49" fillId="11" borderId="0" xfId="0" applyFont="1" applyFill="1" applyBorder="1" applyProtection="1"/>
    <xf numFmtId="3" fontId="41" fillId="11" borderId="6" xfId="0" applyNumberFormat="1" applyFont="1" applyFill="1" applyBorder="1" applyProtection="1"/>
    <xf numFmtId="3" fontId="41" fillId="11" borderId="22" xfId="0" applyNumberFormat="1" applyFont="1" applyFill="1" applyBorder="1" applyProtection="1"/>
    <xf numFmtId="3" fontId="47" fillId="11" borderId="37" xfId="0" applyNumberFormat="1" applyFont="1" applyFill="1" applyBorder="1" applyAlignment="1" applyProtection="1">
      <alignment horizontal="center"/>
    </xf>
    <xf numFmtId="3" fontId="41" fillId="11" borderId="17" xfId="0" applyNumberFormat="1" applyFont="1" applyFill="1" applyBorder="1" applyProtection="1"/>
    <xf numFmtId="3" fontId="47" fillId="11" borderId="26" xfId="0" applyNumberFormat="1" applyFont="1" applyFill="1" applyBorder="1" applyAlignment="1" applyProtection="1">
      <alignment horizontal="center"/>
    </xf>
    <xf numFmtId="3" fontId="47" fillId="11" borderId="19" xfId="0" applyNumberFormat="1" applyFont="1" applyFill="1" applyBorder="1" applyAlignment="1" applyProtection="1">
      <alignment horizontal="center"/>
    </xf>
    <xf numFmtId="3" fontId="60" fillId="11" borderId="23" xfId="0" applyNumberFormat="1" applyFont="1" applyFill="1" applyBorder="1" applyProtection="1"/>
    <xf numFmtId="3" fontId="60" fillId="11" borderId="19" xfId="0" applyNumberFormat="1" applyFont="1" applyFill="1" applyBorder="1" applyProtection="1"/>
    <xf numFmtId="3" fontId="60" fillId="11" borderId="24" xfId="0" applyNumberFormat="1" applyFont="1" applyFill="1" applyBorder="1" applyAlignment="1" applyProtection="1">
      <alignment horizontal="center"/>
    </xf>
    <xf numFmtId="171" fontId="41" fillId="11" borderId="19" xfId="0" applyNumberFormat="1" applyFont="1" applyFill="1" applyBorder="1" applyProtection="1"/>
    <xf numFmtId="3" fontId="41" fillId="11" borderId="16" xfId="0" applyNumberFormat="1" applyFont="1" applyFill="1" applyBorder="1" applyProtection="1"/>
    <xf numFmtId="3" fontId="41" fillId="11" borderId="24" xfId="0" applyNumberFormat="1" applyFont="1" applyFill="1" applyBorder="1" applyProtection="1"/>
    <xf numFmtId="0" fontId="41" fillId="11" borderId="19" xfId="0" applyFont="1" applyFill="1" applyBorder="1" applyProtection="1"/>
    <xf numFmtId="0" fontId="41" fillId="11" borderId="44" xfId="0" applyFont="1" applyFill="1" applyBorder="1" applyProtection="1"/>
    <xf numFmtId="3" fontId="38" fillId="11" borderId="17" xfId="0" applyNumberFormat="1" applyFont="1" applyFill="1" applyBorder="1" applyProtection="1"/>
    <xf numFmtId="3" fontId="38" fillId="11" borderId="20" xfId="0" applyNumberFormat="1" applyFont="1" applyFill="1" applyBorder="1" applyProtection="1"/>
    <xf numFmtId="3" fontId="38" fillId="11" borderId="26" xfId="0" applyNumberFormat="1" applyFont="1" applyFill="1" applyBorder="1" applyAlignment="1" applyProtection="1">
      <alignment horizontal="center"/>
    </xf>
    <xf numFmtId="164" fontId="38" fillId="11" borderId="20" xfId="0" applyNumberFormat="1" applyFont="1" applyFill="1" applyBorder="1" applyAlignment="1" applyProtection="1">
      <alignment horizontal="right"/>
    </xf>
    <xf numFmtId="164" fontId="38" fillId="11" borderId="0" xfId="0" applyNumberFormat="1" applyFont="1" applyFill="1" applyBorder="1" applyProtection="1"/>
    <xf numFmtId="164" fontId="38" fillId="11" borderId="26" xfId="0" applyNumberFormat="1" applyFont="1" applyFill="1" applyBorder="1" applyProtection="1"/>
    <xf numFmtId="164" fontId="38" fillId="11" borderId="45" xfId="0" applyNumberFormat="1" applyFont="1" applyFill="1" applyBorder="1" applyAlignment="1" applyProtection="1">
      <alignment horizontal="right"/>
    </xf>
    <xf numFmtId="3" fontId="121" fillId="11" borderId="17" xfId="0" applyNumberFormat="1" applyFont="1" applyFill="1" applyBorder="1" applyProtection="1"/>
    <xf numFmtId="3" fontId="121" fillId="11" borderId="20" xfId="0" applyNumberFormat="1" applyFont="1" applyFill="1" applyBorder="1" applyProtection="1"/>
    <xf numFmtId="3" fontId="123" fillId="11" borderId="26" xfId="0" applyNumberFormat="1" applyFont="1" applyFill="1" applyBorder="1" applyAlignment="1" applyProtection="1">
      <alignment horizontal="center"/>
    </xf>
    <xf numFmtId="3" fontId="60" fillId="11" borderId="17" xfId="0" applyNumberFormat="1" applyFont="1" applyFill="1" applyBorder="1" applyProtection="1"/>
    <xf numFmtId="3" fontId="60" fillId="11" borderId="20" xfId="0" applyNumberFormat="1" applyFont="1" applyFill="1" applyBorder="1" applyProtection="1"/>
    <xf numFmtId="3" fontId="41" fillId="11" borderId="26" xfId="0" applyNumberFormat="1" applyFont="1" applyFill="1" applyBorder="1" applyAlignment="1" applyProtection="1">
      <alignment horizontal="center"/>
    </xf>
    <xf numFmtId="164" fontId="35" fillId="11" borderId="20" xfId="0" applyNumberFormat="1" applyFont="1" applyFill="1" applyBorder="1" applyProtection="1"/>
    <xf numFmtId="164" fontId="35" fillId="11" borderId="0" xfId="0" applyNumberFormat="1" applyFont="1" applyFill="1" applyBorder="1" applyProtection="1"/>
    <xf numFmtId="164" fontId="35" fillId="11" borderId="26" xfId="0" applyNumberFormat="1" applyFont="1" applyFill="1" applyBorder="1" applyProtection="1"/>
    <xf numFmtId="164" fontId="35" fillId="11" borderId="45" xfId="0" applyNumberFormat="1" applyFont="1" applyFill="1" applyBorder="1" applyProtection="1"/>
    <xf numFmtId="3" fontId="38" fillId="11" borderId="28" xfId="0" applyNumberFormat="1" applyFont="1" applyFill="1" applyBorder="1" applyProtection="1"/>
    <xf numFmtId="3" fontId="38" fillId="11" borderId="36" xfId="0" applyNumberFormat="1" applyFont="1" applyFill="1" applyBorder="1" applyProtection="1"/>
    <xf numFmtId="3" fontId="38" fillId="11" borderId="30" xfId="0" applyNumberFormat="1" applyFont="1" applyFill="1" applyBorder="1" applyAlignment="1" applyProtection="1">
      <alignment horizontal="center"/>
    </xf>
    <xf numFmtId="164" fontId="38" fillId="11" borderId="36" xfId="0" applyNumberFormat="1" applyFont="1" applyFill="1" applyBorder="1" applyAlignment="1" applyProtection="1">
      <alignment horizontal="right"/>
    </xf>
    <xf numFmtId="164" fontId="38" fillId="11" borderId="29" xfId="0" applyNumberFormat="1" applyFont="1" applyFill="1" applyBorder="1" applyAlignment="1" applyProtection="1">
      <alignment horizontal="right"/>
    </xf>
    <xf numFmtId="164" fontId="38" fillId="11" borderId="30" xfId="0" applyNumberFormat="1" applyFont="1" applyFill="1" applyBorder="1" applyProtection="1"/>
    <xf numFmtId="164" fontId="38" fillId="11" borderId="46" xfId="0" applyNumberFormat="1" applyFont="1" applyFill="1" applyBorder="1" applyAlignment="1" applyProtection="1">
      <alignment horizontal="right"/>
    </xf>
    <xf numFmtId="0" fontId="41" fillId="11" borderId="26" xfId="0" applyFont="1" applyFill="1" applyBorder="1" applyAlignment="1" applyProtection="1">
      <alignment horizontal="center"/>
    </xf>
    <xf numFmtId="3" fontId="38" fillId="11" borderId="32" xfId="0" applyNumberFormat="1" applyFont="1" applyFill="1" applyBorder="1" applyProtection="1"/>
    <xf numFmtId="3" fontId="38" fillId="11" borderId="51" xfId="0" applyNumberFormat="1" applyFont="1" applyFill="1" applyBorder="1" applyProtection="1"/>
    <xf numFmtId="3" fontId="38" fillId="11" borderId="41" xfId="0" applyNumberFormat="1" applyFont="1" applyFill="1" applyBorder="1" applyAlignment="1" applyProtection="1">
      <alignment horizontal="center"/>
    </xf>
    <xf numFmtId="164" fontId="38" fillId="11" borderId="51" xfId="0" applyNumberFormat="1" applyFont="1" applyFill="1" applyBorder="1" applyAlignment="1" applyProtection="1">
      <alignment horizontal="right"/>
    </xf>
    <xf numFmtId="164" fontId="38" fillId="11" borderId="3" xfId="0" applyNumberFormat="1" applyFont="1" applyFill="1" applyBorder="1" applyAlignment="1" applyProtection="1">
      <alignment horizontal="right"/>
    </xf>
    <xf numFmtId="164" fontId="38" fillId="11" borderId="41" xfId="0" applyNumberFormat="1" applyFont="1" applyFill="1" applyBorder="1" applyProtection="1"/>
    <xf numFmtId="164" fontId="38" fillId="11" borderId="58" xfId="0" applyNumberFormat="1" applyFont="1" applyFill="1" applyBorder="1" applyAlignment="1" applyProtection="1">
      <alignment horizontal="right"/>
    </xf>
    <xf numFmtId="0" fontId="35" fillId="11" borderId="18" xfId="0" applyFont="1" applyFill="1" applyBorder="1"/>
    <xf numFmtId="0" fontId="41" fillId="11" borderId="20" xfId="0" applyFont="1" applyFill="1" applyBorder="1" applyAlignment="1" applyProtection="1">
      <alignment horizontal="centerContinuous"/>
    </xf>
    <xf numFmtId="0" fontId="41" fillId="11" borderId="37" xfId="0" applyFont="1" applyFill="1" applyBorder="1" applyProtection="1"/>
    <xf numFmtId="0" fontId="0" fillId="11" borderId="5" xfId="0" applyFill="1" applyBorder="1"/>
    <xf numFmtId="0" fontId="47" fillId="11" borderId="5" xfId="0" applyFont="1" applyFill="1" applyBorder="1" applyAlignment="1" applyProtection="1">
      <alignment horizontal="left"/>
    </xf>
    <xf numFmtId="0" fontId="47" fillId="11" borderId="5" xfId="0" applyFont="1" applyFill="1" applyBorder="1" applyAlignment="1" applyProtection="1">
      <alignment horizontal="centerContinuous"/>
    </xf>
    <xf numFmtId="0" fontId="47" fillId="11" borderId="7" xfId="0" applyFont="1" applyFill="1" applyBorder="1" applyAlignment="1" applyProtection="1">
      <alignment horizontal="centerContinuous"/>
    </xf>
    <xf numFmtId="1" fontId="47" fillId="11" borderId="2" xfId="0" applyNumberFormat="1" applyFont="1" applyFill="1" applyBorder="1" applyAlignment="1" applyProtection="1">
      <alignment horizontal="center"/>
    </xf>
    <xf numFmtId="0" fontId="47" fillId="11" borderId="30" xfId="0" applyFont="1" applyFill="1" applyBorder="1" applyAlignment="1" applyProtection="1">
      <alignment horizontal="center"/>
    </xf>
    <xf numFmtId="0" fontId="55" fillId="11" borderId="40" xfId="0" applyFont="1" applyFill="1" applyBorder="1" applyAlignment="1" applyProtection="1">
      <alignment horizontal="left"/>
    </xf>
    <xf numFmtId="0" fontId="55" fillId="11" borderId="30" xfId="0" applyFont="1" applyFill="1" applyBorder="1" applyAlignment="1" applyProtection="1">
      <alignment horizontal="center"/>
    </xf>
    <xf numFmtId="0" fontId="55" fillId="11" borderId="42" xfId="0" applyFont="1" applyFill="1" applyBorder="1" applyAlignment="1" applyProtection="1">
      <alignment horizontal="center"/>
    </xf>
    <xf numFmtId="0" fontId="55" fillId="11" borderId="20" xfId="0" applyFont="1" applyFill="1" applyBorder="1" applyAlignment="1" applyProtection="1">
      <alignment horizontal="center"/>
    </xf>
    <xf numFmtId="0" fontId="47" fillId="11" borderId="2" xfId="0" applyFont="1" applyFill="1" applyBorder="1" applyAlignment="1" applyProtection="1">
      <alignment horizontal="centerContinuous"/>
    </xf>
    <xf numFmtId="0" fontId="41" fillId="11" borderId="2" xfId="0" applyFont="1" applyFill="1" applyBorder="1" applyAlignment="1" applyProtection="1">
      <alignment horizontal="right"/>
    </xf>
    <xf numFmtId="0" fontId="47" fillId="11" borderId="28" xfId="0" applyFont="1" applyFill="1" applyBorder="1" applyAlignment="1" applyProtection="1"/>
    <xf numFmtId="0" fontId="41" fillId="11" borderId="29" xfId="0" quotePrefix="1" applyFont="1" applyFill="1" applyBorder="1" applyAlignment="1" applyProtection="1">
      <alignment horizontal="left"/>
    </xf>
    <xf numFmtId="0" fontId="49" fillId="11" borderId="30" xfId="0" applyFont="1" applyFill="1" applyBorder="1" applyAlignment="1" applyProtection="1">
      <alignment horizontal="center"/>
    </xf>
    <xf numFmtId="0" fontId="49" fillId="11" borderId="24" xfId="0" applyFont="1" applyFill="1" applyBorder="1" applyAlignment="1" applyProtection="1">
      <alignment horizontal="center"/>
    </xf>
    <xf numFmtId="164" fontId="41" fillId="11" borderId="24" xfId="0" quotePrefix="1" applyNumberFormat="1" applyFont="1" applyFill="1" applyBorder="1" applyAlignment="1" applyProtection="1">
      <alignment horizontal="center"/>
    </xf>
    <xf numFmtId="164" fontId="41" fillId="11" borderId="16" xfId="0" quotePrefix="1" applyNumberFormat="1" applyFont="1" applyFill="1" applyBorder="1" applyAlignment="1" applyProtection="1">
      <alignment horizontal="right"/>
    </xf>
    <xf numFmtId="164" fontId="41" fillId="11" borderId="25" xfId="0" applyNumberFormat="1" applyFont="1" applyFill="1" applyBorder="1" applyAlignment="1" applyProtection="1">
      <alignment horizontal="center"/>
    </xf>
    <xf numFmtId="0" fontId="41" fillId="11" borderId="20" xfId="0" applyFont="1" applyFill="1" applyBorder="1" applyAlignment="1" applyProtection="1">
      <alignment horizontal="center"/>
    </xf>
    <xf numFmtId="164" fontId="47" fillId="11" borderId="30" xfId="0" applyNumberFormat="1" applyFont="1" applyFill="1" applyBorder="1" applyAlignment="1" applyProtection="1">
      <alignment horizontal="right"/>
    </xf>
    <xf numFmtId="164" fontId="47" fillId="11" borderId="36" xfId="0" applyNumberFormat="1" applyFont="1" applyFill="1" applyBorder="1" applyAlignment="1" applyProtection="1">
      <alignment horizontal="right"/>
    </xf>
    <xf numFmtId="164" fontId="47" fillId="11" borderId="31" xfId="0" applyNumberFormat="1" applyFont="1" applyFill="1" applyBorder="1" applyAlignment="1" applyProtection="1">
      <alignment horizontal="right"/>
    </xf>
    <xf numFmtId="0" fontId="47" fillId="11" borderId="17" xfId="0" applyFont="1" applyFill="1" applyBorder="1" applyAlignment="1" applyProtection="1">
      <alignment horizontal="left"/>
    </xf>
    <xf numFmtId="0" fontId="41" fillId="11" borderId="23" xfId="0" quotePrefix="1" applyFont="1" applyFill="1" applyBorder="1" applyAlignment="1" applyProtection="1">
      <alignment horizontal="left"/>
    </xf>
    <xf numFmtId="0" fontId="41" fillId="11" borderId="16" xfId="0" quotePrefix="1" applyFont="1" applyFill="1" applyBorder="1" applyAlignment="1" applyProtection="1">
      <alignment horizontal="left"/>
    </xf>
    <xf numFmtId="0" fontId="50" fillId="11" borderId="17" xfId="0" applyFont="1" applyFill="1" applyBorder="1" applyAlignment="1" applyProtection="1">
      <alignment horizontal="left"/>
    </xf>
    <xf numFmtId="0" fontId="55" fillId="11" borderId="26" xfId="0" applyFont="1" applyFill="1" applyBorder="1" applyAlignment="1" applyProtection="1">
      <alignment horizontal="center"/>
    </xf>
    <xf numFmtId="164" fontId="47" fillId="11" borderId="26" xfId="0" applyNumberFormat="1" applyFont="1" applyFill="1" applyBorder="1" applyAlignment="1" applyProtection="1">
      <alignment horizontal="right"/>
    </xf>
    <xf numFmtId="0" fontId="47" fillId="11" borderId="2" xfId="0" applyFont="1" applyFill="1" applyBorder="1" applyAlignment="1" applyProtection="1">
      <alignment horizontal="right"/>
    </xf>
    <xf numFmtId="164" fontId="41" fillId="11" borderId="44" xfId="0" applyNumberFormat="1" applyFont="1" applyFill="1" applyBorder="1" applyAlignment="1" applyProtection="1">
      <alignment horizontal="center"/>
    </xf>
    <xf numFmtId="164" fontId="0" fillId="11" borderId="26" xfId="0" applyNumberFormat="1" applyFill="1" applyBorder="1"/>
    <xf numFmtId="164" fontId="0" fillId="11" borderId="26" xfId="0" quotePrefix="1" applyNumberFormat="1" applyFill="1" applyBorder="1" applyAlignment="1">
      <alignment horizontal="center"/>
    </xf>
    <xf numFmtId="164" fontId="0" fillId="11" borderId="45" xfId="0" applyNumberFormat="1" applyFill="1" applyBorder="1" applyAlignment="1">
      <alignment horizontal="center"/>
    </xf>
    <xf numFmtId="0" fontId="0" fillId="11" borderId="20" xfId="0" applyFill="1" applyBorder="1" applyAlignment="1">
      <alignment horizontal="center"/>
    </xf>
    <xf numFmtId="0" fontId="50" fillId="11" borderId="28" xfId="0" applyFont="1" applyFill="1" applyBorder="1" applyAlignment="1" applyProtection="1">
      <alignment horizontal="left"/>
    </xf>
    <xf numFmtId="0" fontId="0" fillId="11" borderId="30" xfId="0" applyFill="1" applyBorder="1"/>
    <xf numFmtId="164" fontId="0" fillId="11" borderId="30" xfId="0" applyNumberFormat="1" applyFill="1" applyBorder="1"/>
    <xf numFmtId="164" fontId="0" fillId="11" borderId="30" xfId="0" quotePrefix="1" applyNumberFormat="1" applyFill="1" applyBorder="1" applyAlignment="1">
      <alignment horizontal="center"/>
    </xf>
    <xf numFmtId="164" fontId="0" fillId="11" borderId="46" xfId="0" applyNumberFormat="1" applyFill="1" applyBorder="1" applyAlignment="1">
      <alignment horizontal="center"/>
    </xf>
    <xf numFmtId="0" fontId="10" fillId="11" borderId="35" xfId="0" applyFont="1" applyFill="1" applyBorder="1" applyAlignment="1">
      <alignment horizontal="center"/>
    </xf>
    <xf numFmtId="0" fontId="47" fillId="11" borderId="127" xfId="0" applyFont="1" applyFill="1" applyBorder="1" applyAlignment="1" applyProtection="1">
      <alignment horizontal="left"/>
    </xf>
    <xf numFmtId="0" fontId="47" fillId="11" borderId="47" xfId="0" quotePrefix="1" applyFont="1" applyFill="1" applyBorder="1" applyAlignment="1" applyProtection="1">
      <alignment horizontal="left"/>
    </xf>
    <xf numFmtId="0" fontId="55" fillId="11" borderId="48" xfId="0" applyFont="1" applyFill="1" applyBorder="1" applyAlignment="1" applyProtection="1">
      <alignment horizontal="center"/>
    </xf>
    <xf numFmtId="164" fontId="47" fillId="11" borderId="48" xfId="0" applyNumberFormat="1" applyFont="1" applyFill="1" applyBorder="1" applyAlignment="1" applyProtection="1">
      <alignment horizontal="right"/>
    </xf>
    <xf numFmtId="164" fontId="47" fillId="11" borderId="49" xfId="0" applyNumberFormat="1" applyFont="1" applyFill="1" applyBorder="1" applyAlignment="1" applyProtection="1">
      <alignment horizontal="right"/>
    </xf>
    <xf numFmtId="0" fontId="49" fillId="11" borderId="0" xfId="0" applyFont="1" applyFill="1" applyBorder="1" applyAlignment="1" applyProtection="1">
      <alignment horizontal="center"/>
    </xf>
    <xf numFmtId="0" fontId="41" fillId="11" borderId="0" xfId="0" applyFont="1" applyFill="1" applyBorder="1" applyAlignment="1" applyProtection="1">
      <alignment horizontal="right"/>
    </xf>
    <xf numFmtId="0" fontId="41" fillId="11" borderId="6" xfId="0" applyFont="1" applyFill="1" applyBorder="1" applyAlignment="1" applyProtection="1">
      <alignment horizontal="left"/>
    </xf>
    <xf numFmtId="0" fontId="41" fillId="11" borderId="5" xfId="0" quotePrefix="1" applyFont="1" applyFill="1" applyBorder="1" applyAlignment="1" applyProtection="1">
      <alignment horizontal="left"/>
    </xf>
    <xf numFmtId="0" fontId="49" fillId="11" borderId="37" xfId="0" applyFont="1" applyFill="1" applyBorder="1" applyAlignment="1" applyProtection="1">
      <alignment horizontal="center"/>
    </xf>
    <xf numFmtId="164" fontId="41" fillId="11" borderId="37" xfId="0" applyNumberFormat="1" applyFont="1" applyFill="1" applyBorder="1" applyAlignment="1" applyProtection="1">
      <alignment horizontal="right"/>
    </xf>
    <xf numFmtId="164" fontId="41" fillId="11" borderId="5" xfId="0" applyNumberFormat="1" applyFont="1" applyFill="1" applyBorder="1" applyAlignment="1" applyProtection="1">
      <alignment horizontal="right"/>
    </xf>
    <xf numFmtId="164" fontId="41" fillId="11" borderId="50" xfId="0" applyNumberFormat="1" applyFont="1" applyFill="1" applyBorder="1" applyAlignment="1" applyProtection="1">
      <alignment horizontal="right"/>
    </xf>
    <xf numFmtId="0" fontId="41" fillId="11" borderId="17" xfId="0" applyFont="1" applyFill="1" applyBorder="1" applyAlignment="1" applyProtection="1">
      <alignment horizontal="left"/>
    </xf>
    <xf numFmtId="164" fontId="47" fillId="11" borderId="27" xfId="0" applyNumberFormat="1" applyFont="1" applyFill="1" applyBorder="1" applyAlignment="1" applyProtection="1">
      <alignment horizontal="right"/>
    </xf>
    <xf numFmtId="0" fontId="50" fillId="11" borderId="0" xfId="0" quotePrefix="1" applyFont="1" applyFill="1" applyBorder="1" applyAlignment="1" applyProtection="1">
      <alignment horizontal="left"/>
    </xf>
    <xf numFmtId="0" fontId="59" fillId="11" borderId="26" xfId="0" applyFont="1" applyFill="1" applyBorder="1" applyAlignment="1" applyProtection="1">
      <alignment horizontal="center"/>
    </xf>
    <xf numFmtId="0" fontId="55" fillId="11" borderId="41" xfId="0" applyFont="1" applyFill="1" applyBorder="1" applyAlignment="1" applyProtection="1">
      <alignment horizontal="center"/>
    </xf>
    <xf numFmtId="164" fontId="47" fillId="11" borderId="41" xfId="0" applyNumberFormat="1" applyFont="1" applyFill="1" applyBorder="1" applyAlignment="1" applyProtection="1">
      <alignment horizontal="right"/>
    </xf>
    <xf numFmtId="164" fontId="47" fillId="11" borderId="3" xfId="0" applyNumberFormat="1" applyFont="1" applyFill="1" applyBorder="1" applyAlignment="1" applyProtection="1">
      <alignment horizontal="right"/>
    </xf>
    <xf numFmtId="164" fontId="47" fillId="11" borderId="34" xfId="0" applyNumberFormat="1" applyFont="1" applyFill="1" applyBorder="1" applyAlignment="1" applyProtection="1">
      <alignment horizontal="right"/>
    </xf>
    <xf numFmtId="0" fontId="50" fillId="11" borderId="128" xfId="0" applyFont="1" applyFill="1" applyBorder="1" applyAlignment="1" applyProtection="1">
      <alignment horizontal="left"/>
    </xf>
    <xf numFmtId="0" fontId="0" fillId="11" borderId="56" xfId="0" applyFill="1" applyBorder="1"/>
    <xf numFmtId="0" fontId="0" fillId="11" borderId="129" xfId="0" applyFill="1" applyBorder="1"/>
    <xf numFmtId="0" fontId="35" fillId="11" borderId="35" xfId="0" applyFont="1" applyFill="1" applyBorder="1"/>
    <xf numFmtId="0" fontId="41" fillId="11" borderId="29" xfId="0" applyFont="1" applyFill="1" applyBorder="1" applyAlignment="1" applyProtection="1">
      <alignment horizontal="left"/>
    </xf>
    <xf numFmtId="0" fontId="47" fillId="11" borderId="29" xfId="0" quotePrefix="1" applyFont="1" applyFill="1" applyBorder="1" applyAlignment="1" applyProtection="1">
      <alignment horizontal="right"/>
    </xf>
    <xf numFmtId="0" fontId="47" fillId="11" borderId="36" xfId="0" quotePrefix="1" applyFont="1" applyFill="1" applyBorder="1" applyAlignment="1" applyProtection="1">
      <alignment horizontal="right"/>
    </xf>
    <xf numFmtId="0" fontId="46" fillId="11" borderId="16" xfId="0" applyFont="1" applyFill="1" applyBorder="1" applyProtection="1"/>
    <xf numFmtId="14" fontId="43" fillId="11" borderId="20" xfId="0" applyNumberFormat="1" applyFont="1" applyFill="1" applyBorder="1" applyAlignment="1" applyProtection="1">
      <alignment horizontal="center"/>
    </xf>
    <xf numFmtId="1" fontId="46" fillId="11" borderId="21" xfId="0" applyNumberFormat="1" applyFont="1" applyFill="1" applyBorder="1" applyAlignment="1" applyProtection="1">
      <alignment horizontal="center"/>
    </xf>
    <xf numFmtId="1" fontId="46" fillId="11" borderId="133" xfId="0" applyNumberFormat="1" applyFont="1" applyFill="1" applyBorder="1" applyAlignment="1" applyProtection="1">
      <alignment horizontal="center"/>
    </xf>
    <xf numFmtId="1" fontId="46" fillId="11" borderId="20" xfId="0" applyNumberFormat="1" applyFont="1" applyFill="1" applyBorder="1" applyAlignment="1" applyProtection="1">
      <alignment horizontal="center"/>
    </xf>
    <xf numFmtId="164" fontId="38" fillId="11" borderId="20" xfId="0" applyNumberFormat="1" applyFont="1" applyFill="1" applyBorder="1" applyProtection="1"/>
    <xf numFmtId="164" fontId="38" fillId="11" borderId="27" xfId="0" applyNumberFormat="1" applyFont="1" applyFill="1" applyBorder="1" applyProtection="1"/>
    <xf numFmtId="0" fontId="121" fillId="11" borderId="17" xfId="0" applyFont="1" applyFill="1" applyBorder="1" applyAlignment="1" applyProtection="1">
      <alignment horizontal="left"/>
    </xf>
    <xf numFmtId="0" fontId="121" fillId="11" borderId="0" xfId="0" applyFont="1" applyFill="1" applyBorder="1" applyAlignment="1" applyProtection="1">
      <alignment horizontal="left"/>
    </xf>
    <xf numFmtId="0" fontId="50" fillId="11" borderId="20" xfId="0" applyFont="1" applyFill="1" applyBorder="1" applyProtection="1"/>
    <xf numFmtId="0" fontId="50" fillId="11" borderId="2" xfId="0" applyFont="1" applyFill="1" applyBorder="1" applyProtection="1"/>
    <xf numFmtId="0" fontId="114" fillId="11" borderId="28" xfId="0" applyFont="1" applyFill="1" applyBorder="1"/>
    <xf numFmtId="0" fontId="114" fillId="11" borderId="29" xfId="0" applyFont="1" applyFill="1" applyBorder="1"/>
    <xf numFmtId="164" fontId="114" fillId="11" borderId="35" xfId="0" applyNumberFormat="1" applyFont="1" applyFill="1" applyBorder="1" applyProtection="1"/>
    <xf numFmtId="164" fontId="114" fillId="11" borderId="30" xfId="0" applyNumberFormat="1" applyFont="1" applyFill="1" applyBorder="1" applyProtection="1"/>
    <xf numFmtId="164" fontId="114" fillId="11" borderId="46" xfId="0" applyNumberFormat="1" applyFont="1" applyFill="1" applyBorder="1" applyProtection="1"/>
    <xf numFmtId="0" fontId="50" fillId="11" borderId="2" xfId="0" quotePrefix="1" applyFont="1" applyFill="1" applyBorder="1" applyAlignment="1" applyProtection="1">
      <alignment horizontal="left"/>
    </xf>
    <xf numFmtId="0" fontId="41" fillId="11" borderId="2" xfId="0" applyFont="1" applyFill="1" applyBorder="1" applyAlignment="1" applyProtection="1">
      <alignment horizontal="left"/>
    </xf>
    <xf numFmtId="0" fontId="50" fillId="11" borderId="2" xfId="0" applyFont="1" applyFill="1" applyBorder="1" applyAlignment="1" applyProtection="1">
      <alignment horizontal="left"/>
    </xf>
    <xf numFmtId="0" fontId="121" fillId="11" borderId="32" xfId="0" applyFont="1" applyFill="1" applyBorder="1" applyAlignment="1" applyProtection="1">
      <alignment horizontal="left"/>
    </xf>
    <xf numFmtId="0" fontId="121" fillId="11" borderId="3" xfId="0" applyFont="1" applyFill="1" applyBorder="1" applyAlignment="1" applyProtection="1">
      <alignment horizontal="left"/>
    </xf>
    <xf numFmtId="164" fontId="38" fillId="11" borderId="34" xfId="0" applyNumberFormat="1" applyFont="1" applyFill="1" applyBorder="1" applyProtection="1"/>
    <xf numFmtId="0" fontId="50" fillId="11" borderId="0" xfId="0" applyFont="1" applyFill="1" applyBorder="1" applyAlignment="1" applyProtection="1">
      <alignment horizontal="left"/>
    </xf>
    <xf numFmtId="0" fontId="50" fillId="11" borderId="45" xfId="0" applyFont="1" applyFill="1" applyBorder="1" applyProtection="1"/>
    <xf numFmtId="0" fontId="41" fillId="11" borderId="9" xfId="0" applyFont="1" applyFill="1" applyBorder="1" applyProtection="1"/>
    <xf numFmtId="0" fontId="41" fillId="11" borderId="43" xfId="0" applyFont="1" applyFill="1" applyBorder="1" applyProtection="1"/>
    <xf numFmtId="164" fontId="47" fillId="11" borderId="18" xfId="0" applyNumberFormat="1" applyFont="1" applyFill="1" applyBorder="1" applyProtection="1"/>
    <xf numFmtId="164" fontId="47" fillId="11" borderId="24" xfId="0" applyNumberFormat="1" applyFont="1" applyFill="1" applyBorder="1" applyProtection="1"/>
    <xf numFmtId="164" fontId="47" fillId="11" borderId="45" xfId="0" applyNumberFormat="1" applyFont="1" applyFill="1" applyBorder="1" applyProtection="1"/>
    <xf numFmtId="164" fontId="41" fillId="11" borderId="41" xfId="0" applyNumberFormat="1" applyFont="1" applyFill="1" applyBorder="1" applyProtection="1"/>
    <xf numFmtId="0" fontId="41" fillId="11" borderId="5" xfId="0" applyFont="1" applyFill="1" applyBorder="1" applyAlignment="1" applyProtection="1">
      <alignment horizontal="left"/>
    </xf>
    <xf numFmtId="0" fontId="41" fillId="11" borderId="7" xfId="0" applyFont="1" applyFill="1" applyBorder="1" applyProtection="1"/>
    <xf numFmtId="0" fontId="41" fillId="11" borderId="22" xfId="0" applyFont="1" applyFill="1" applyBorder="1" applyProtection="1"/>
    <xf numFmtId="0" fontId="41" fillId="11" borderId="2" xfId="0" applyFont="1" applyFill="1" applyBorder="1" applyAlignment="1" applyProtection="1">
      <alignment horizontal="center"/>
    </xf>
    <xf numFmtId="0" fontId="0" fillId="11" borderId="17" xfId="0" applyFill="1" applyBorder="1"/>
    <xf numFmtId="0" fontId="0" fillId="11" borderId="128" xfId="0" applyFill="1" applyBorder="1"/>
    <xf numFmtId="166" fontId="35" fillId="11" borderId="29" xfId="0" applyNumberFormat="1" applyFont="1" applyFill="1" applyBorder="1"/>
    <xf numFmtId="14" fontId="41" fillId="11" borderId="0" xfId="0" applyNumberFormat="1" applyFont="1" applyFill="1" applyBorder="1" applyProtection="1"/>
    <xf numFmtId="14" fontId="41" fillId="11" borderId="20" xfId="0" applyNumberFormat="1" applyFont="1" applyFill="1" applyBorder="1" applyProtection="1"/>
    <xf numFmtId="0" fontId="35" fillId="11" borderId="26" xfId="0" applyFont="1" applyFill="1" applyBorder="1" applyProtection="1"/>
    <xf numFmtId="0" fontId="45" fillId="11" borderId="40" xfId="0" applyFont="1" applyFill="1" applyBorder="1" applyAlignment="1" applyProtection="1">
      <alignment horizontal="center"/>
    </xf>
    <xf numFmtId="0" fontId="45" fillId="11" borderId="40" xfId="0" quotePrefix="1" applyFont="1" applyFill="1" applyBorder="1" applyAlignment="1" applyProtection="1">
      <alignment horizontal="center"/>
    </xf>
    <xf numFmtId="0" fontId="45" fillId="11" borderId="42" xfId="0" quotePrefix="1" applyFont="1" applyFill="1" applyBorder="1" applyAlignment="1" applyProtection="1">
      <alignment horizontal="center"/>
    </xf>
    <xf numFmtId="0" fontId="47" fillId="11" borderId="20" xfId="0" quotePrefix="1" applyFont="1" applyFill="1" applyBorder="1" applyAlignment="1" applyProtection="1">
      <alignment horizontal="center"/>
    </xf>
    <xf numFmtId="0" fontId="41" fillId="11" borderId="24" xfId="0" applyFont="1" applyFill="1" applyBorder="1" applyAlignment="1" applyProtection="1">
      <alignment horizontal="center"/>
    </xf>
    <xf numFmtId="0" fontId="41" fillId="11" borderId="52" xfId="0" applyFont="1" applyFill="1" applyBorder="1" applyAlignment="1" applyProtection="1">
      <alignment horizontal="center"/>
    </xf>
    <xf numFmtId="0" fontId="47" fillId="11" borderId="53" xfId="0" applyFont="1" applyFill="1" applyBorder="1" applyAlignment="1" applyProtection="1">
      <alignment horizontal="centerContinuous"/>
    </xf>
    <xf numFmtId="0" fontId="38" fillId="11" borderId="17" xfId="0" quotePrefix="1" applyFont="1" applyFill="1" applyBorder="1" applyAlignment="1" applyProtection="1">
      <alignment horizontal="left"/>
    </xf>
    <xf numFmtId="0" fontId="38" fillId="11" borderId="0" xfId="0" quotePrefix="1" applyFont="1" applyFill="1" applyBorder="1" applyAlignment="1" applyProtection="1">
      <alignment horizontal="left"/>
    </xf>
    <xf numFmtId="0" fontId="38" fillId="11" borderId="26" xfId="0" applyFont="1" applyFill="1" applyBorder="1" applyAlignment="1" applyProtection="1">
      <alignment horizontal="center"/>
    </xf>
    <xf numFmtId="0" fontId="50" fillId="11" borderId="26" xfId="0" applyFont="1" applyFill="1" applyBorder="1" applyAlignment="1" applyProtection="1">
      <alignment horizontal="center"/>
    </xf>
    <xf numFmtId="0" fontId="38" fillId="11" borderId="32" xfId="0" quotePrefix="1" applyFont="1" applyFill="1" applyBorder="1" applyAlignment="1" applyProtection="1">
      <alignment horizontal="left"/>
    </xf>
    <xf numFmtId="0" fontId="38" fillId="11" borderId="3" xfId="0" quotePrefix="1" applyFont="1" applyFill="1" applyBorder="1" applyAlignment="1" applyProtection="1">
      <alignment horizontal="left"/>
    </xf>
    <xf numFmtId="0" fontId="38" fillId="11" borderId="41" xfId="0" applyFont="1" applyFill="1" applyBorder="1" applyAlignment="1" applyProtection="1">
      <alignment horizontal="center"/>
    </xf>
    <xf numFmtId="164" fontId="38" fillId="11" borderId="33" xfId="0" applyNumberFormat="1" applyFont="1" applyFill="1" applyBorder="1" applyAlignment="1" applyProtection="1">
      <alignment horizontal="right"/>
    </xf>
    <xf numFmtId="164" fontId="38" fillId="11" borderId="41" xfId="0" applyNumberFormat="1" applyFont="1" applyFill="1" applyBorder="1" applyAlignment="1" applyProtection="1">
      <alignment horizontal="right"/>
    </xf>
    <xf numFmtId="164" fontId="38" fillId="11" borderId="34" xfId="0" applyNumberFormat="1" applyFont="1" applyFill="1" applyBorder="1" applyAlignment="1" applyProtection="1">
      <alignment horizontal="right"/>
    </xf>
    <xf numFmtId="0" fontId="50" fillId="11" borderId="35" xfId="0" applyFont="1" applyFill="1" applyBorder="1" applyProtection="1"/>
    <xf numFmtId="0" fontId="41" fillId="11" borderId="0" xfId="0" quotePrefix="1" applyFont="1" applyFill="1" applyBorder="1" applyProtection="1"/>
    <xf numFmtId="0" fontId="35" fillId="11" borderId="2" xfId="0" applyFont="1" applyFill="1" applyBorder="1" applyAlignment="1" applyProtection="1">
      <alignment horizontal="centerContinuous"/>
    </xf>
    <xf numFmtId="0" fontId="45" fillId="11" borderId="20" xfId="0" quotePrefix="1" applyFont="1" applyFill="1" applyBorder="1" applyAlignment="1" applyProtection="1">
      <alignment horizontal="center"/>
    </xf>
    <xf numFmtId="164" fontId="41" fillId="11" borderId="18" xfId="0" applyNumberFormat="1" applyFont="1" applyFill="1" applyBorder="1" applyAlignment="1" applyProtection="1">
      <alignment horizontal="right"/>
    </xf>
    <xf numFmtId="0" fontId="47" fillId="11" borderId="17" xfId="0" applyFont="1" applyFill="1" applyBorder="1" applyProtection="1"/>
    <xf numFmtId="164" fontId="47" fillId="11" borderId="2" xfId="0" applyNumberFormat="1" applyFont="1" applyFill="1" applyBorder="1" applyAlignment="1" applyProtection="1">
      <alignment horizontal="right"/>
    </xf>
    <xf numFmtId="164" fontId="47" fillId="11" borderId="0" xfId="0" applyNumberFormat="1" applyFont="1" applyFill="1" applyBorder="1" applyAlignment="1" applyProtection="1">
      <alignment horizontal="right"/>
    </xf>
    <xf numFmtId="0" fontId="50" fillId="11" borderId="32" xfId="0" applyFont="1" applyFill="1" applyBorder="1" applyProtection="1"/>
    <xf numFmtId="0" fontId="50" fillId="11" borderId="3" xfId="0" applyFont="1" applyFill="1" applyBorder="1" applyProtection="1"/>
    <xf numFmtId="164" fontId="41" fillId="11" borderId="41" xfId="0" applyNumberFormat="1" applyFont="1" applyFill="1" applyBorder="1" applyAlignment="1" applyProtection="1">
      <alignment horizontal="right"/>
    </xf>
    <xf numFmtId="0" fontId="0" fillId="11" borderId="45" xfId="0" applyFill="1" applyBorder="1"/>
    <xf numFmtId="0" fontId="39" fillId="11" borderId="6" xfId="0" applyFont="1" applyFill="1" applyBorder="1"/>
    <xf numFmtId="0" fontId="0" fillId="11" borderId="54" xfId="0" applyFill="1" applyBorder="1"/>
    <xf numFmtId="0" fontId="0" fillId="11" borderId="50" xfId="0" applyFill="1" applyBorder="1"/>
    <xf numFmtId="0" fontId="47" fillId="11" borderId="2" xfId="0" quotePrefix="1" applyFont="1" applyFill="1" applyBorder="1" applyAlignment="1" applyProtection="1">
      <alignment horizontal="right"/>
    </xf>
    <xf numFmtId="0" fontId="47" fillId="11" borderId="26" xfId="0" applyFont="1" applyFill="1" applyBorder="1" applyAlignment="1" applyProtection="1">
      <alignment horizontal="right"/>
    </xf>
    <xf numFmtId="0" fontId="47" fillId="11" borderId="0" xfId="0" quotePrefix="1" applyFont="1" applyFill="1" applyBorder="1" applyAlignment="1" applyProtection="1">
      <alignment horizontal="right"/>
    </xf>
    <xf numFmtId="0" fontId="47" fillId="11" borderId="27" xfId="0" applyFont="1" applyFill="1" applyBorder="1" applyAlignment="1" applyProtection="1">
      <alignment horizontal="right"/>
    </xf>
    <xf numFmtId="0" fontId="47" fillId="11" borderId="32" xfId="0" applyFont="1" applyFill="1" applyBorder="1" applyProtection="1"/>
    <xf numFmtId="0" fontId="47" fillId="11" borderId="3" xfId="0" applyFont="1" applyFill="1" applyBorder="1" applyProtection="1"/>
    <xf numFmtId="0" fontId="41" fillId="11" borderId="33" xfId="0" applyFont="1" applyFill="1" applyBorder="1" applyAlignment="1" applyProtection="1">
      <alignment horizontal="right"/>
    </xf>
    <xf numFmtId="0" fontId="47" fillId="11" borderId="41" xfId="0" applyFont="1" applyFill="1" applyBorder="1" applyAlignment="1" applyProtection="1">
      <alignment horizontal="right"/>
    </xf>
    <xf numFmtId="0" fontId="47" fillId="11" borderId="34" xfId="0" applyFont="1" applyFill="1" applyBorder="1" applyAlignment="1" applyProtection="1">
      <alignment horizontal="right"/>
    </xf>
    <xf numFmtId="0" fontId="46" fillId="11" borderId="0" xfId="0" quotePrefix="1" applyFont="1" applyFill="1" applyBorder="1" applyAlignment="1" applyProtection="1">
      <alignment horizontal="left"/>
    </xf>
    <xf numFmtId="0" fontId="46" fillId="11" borderId="0" xfId="0" applyFont="1" applyFill="1" applyBorder="1" applyProtection="1"/>
    <xf numFmtId="0" fontId="41" fillId="11" borderId="36" xfId="0" applyFont="1" applyFill="1" applyBorder="1" applyProtection="1"/>
    <xf numFmtId="0" fontId="47" fillId="11" borderId="23" xfId="0" applyFont="1" applyFill="1" applyBorder="1" applyProtection="1"/>
    <xf numFmtId="0" fontId="47" fillId="11" borderId="24" xfId="0" applyFont="1" applyFill="1" applyBorder="1" applyAlignment="1" applyProtection="1">
      <alignment horizontal="center"/>
    </xf>
    <xf numFmtId="164" fontId="47" fillId="11" borderId="19" xfId="0" applyNumberFormat="1" applyFont="1" applyFill="1" applyBorder="1" applyProtection="1"/>
    <xf numFmtId="164" fontId="47" fillId="11" borderId="16" xfId="0" applyNumberFormat="1" applyFont="1" applyFill="1" applyBorder="1" applyProtection="1"/>
    <xf numFmtId="164" fontId="47" fillId="11" borderId="44" xfId="0" applyNumberFormat="1" applyFont="1" applyFill="1" applyBorder="1" applyProtection="1"/>
    <xf numFmtId="164" fontId="41" fillId="11" borderId="20" xfId="0" applyNumberFormat="1" applyFont="1" applyFill="1" applyBorder="1" applyProtection="1"/>
    <xf numFmtId="164" fontId="41" fillId="11" borderId="0" xfId="0" applyNumberFormat="1" applyFont="1" applyFill="1" applyBorder="1" applyProtection="1"/>
    <xf numFmtId="164" fontId="41" fillId="11" borderId="45" xfId="0" applyNumberFormat="1" applyFont="1" applyFill="1" applyBorder="1" applyProtection="1"/>
    <xf numFmtId="0" fontId="41" fillId="11" borderId="30" xfId="0" applyFont="1" applyFill="1" applyBorder="1" applyAlignment="1" applyProtection="1">
      <alignment horizontal="center"/>
    </xf>
    <xf numFmtId="164" fontId="41" fillId="11" borderId="30" xfId="0" applyNumberFormat="1" applyFont="1" applyFill="1" applyBorder="1" applyProtection="1"/>
    <xf numFmtId="164" fontId="41" fillId="11" borderId="36" xfId="0" applyNumberFormat="1" applyFont="1" applyFill="1" applyBorder="1" applyProtection="1"/>
    <xf numFmtId="164" fontId="41" fillId="11" borderId="29" xfId="0" applyNumberFormat="1" applyFont="1" applyFill="1" applyBorder="1" applyProtection="1"/>
    <xf numFmtId="164" fontId="41" fillId="11" borderId="46" xfId="0" applyNumberFormat="1" applyFont="1" applyFill="1" applyBorder="1" applyProtection="1"/>
    <xf numFmtId="164" fontId="47" fillId="11" borderId="36" xfId="0" applyNumberFormat="1" applyFont="1" applyFill="1" applyBorder="1" applyProtection="1"/>
    <xf numFmtId="164" fontId="35" fillId="11" borderId="20" xfId="0" applyNumberFormat="1" applyFont="1" applyFill="1" applyBorder="1" applyAlignment="1" applyProtection="1">
      <alignment horizontal="right"/>
    </xf>
    <xf numFmtId="0" fontId="57" fillId="11" borderId="41" xfId="0" applyFont="1" applyFill="1" applyBorder="1" applyProtection="1"/>
    <xf numFmtId="164" fontId="47" fillId="11" borderId="51" xfId="0" applyNumberFormat="1" applyFont="1" applyFill="1" applyBorder="1" applyAlignment="1" applyProtection="1">
      <alignment horizontal="right"/>
    </xf>
    <xf numFmtId="0" fontId="0" fillId="11" borderId="0" xfId="0" applyFill="1"/>
    <xf numFmtId="164" fontId="47" fillId="11" borderId="25" xfId="0" applyNumberFormat="1" applyFont="1" applyFill="1" applyBorder="1" applyProtection="1"/>
    <xf numFmtId="0" fontId="47" fillId="11" borderId="36" xfId="0" applyFont="1" applyFill="1" applyBorder="1" applyProtection="1"/>
    <xf numFmtId="164" fontId="47" fillId="11" borderId="29" xfId="0" applyNumberFormat="1" applyFont="1" applyFill="1" applyBorder="1" applyProtection="1"/>
    <xf numFmtId="0" fontId="57" fillId="11" borderId="28" xfId="0" applyFont="1" applyFill="1" applyBorder="1" applyProtection="1"/>
    <xf numFmtId="0" fontId="57" fillId="11" borderId="36" xfId="0" applyFont="1" applyFill="1" applyBorder="1" applyProtection="1"/>
    <xf numFmtId="0" fontId="57" fillId="11" borderId="30" xfId="0" applyFont="1" applyFill="1" applyBorder="1" applyAlignment="1" applyProtection="1">
      <alignment horizontal="center"/>
    </xf>
    <xf numFmtId="164" fontId="57" fillId="11" borderId="36" xfId="0" applyNumberFormat="1" applyFont="1" applyFill="1" applyBorder="1" applyProtection="1"/>
    <xf numFmtId="164" fontId="57" fillId="11" borderId="46" xfId="0" applyNumberFormat="1" applyFont="1" applyFill="1" applyBorder="1" applyProtection="1"/>
    <xf numFmtId="0" fontId="57" fillId="11" borderId="20" xfId="0" applyFont="1" applyFill="1" applyBorder="1" applyProtection="1"/>
    <xf numFmtId="0" fontId="35" fillId="11" borderId="20" xfId="0" applyFont="1" applyFill="1" applyBorder="1" applyProtection="1"/>
    <xf numFmtId="0" fontId="35" fillId="11" borderId="26" xfId="0" applyFont="1" applyFill="1" applyBorder="1" applyAlignment="1" applyProtection="1">
      <alignment horizontal="center"/>
    </xf>
    <xf numFmtId="0" fontId="57" fillId="11" borderId="32" xfId="0" applyFont="1" applyFill="1" applyBorder="1" applyProtection="1"/>
    <xf numFmtId="0" fontId="57" fillId="11" borderId="51" xfId="0" applyFont="1" applyFill="1" applyBorder="1" applyProtection="1"/>
    <xf numFmtId="164" fontId="47" fillId="11" borderId="51" xfId="0" applyNumberFormat="1" applyFont="1" applyFill="1" applyBorder="1" applyProtection="1"/>
    <xf numFmtId="164" fontId="57" fillId="11" borderId="41" xfId="0" applyNumberFormat="1" applyFont="1" applyFill="1" applyBorder="1" applyProtection="1"/>
    <xf numFmtId="164" fontId="57" fillId="11" borderId="34" xfId="0" applyNumberFormat="1" applyFont="1" applyFill="1" applyBorder="1" applyProtection="1"/>
    <xf numFmtId="0" fontId="0" fillId="11" borderId="16" xfId="0" applyFill="1" applyBorder="1" applyProtection="1"/>
    <xf numFmtId="0" fontId="0" fillId="11" borderId="19" xfId="0" applyFill="1" applyBorder="1" applyProtection="1"/>
    <xf numFmtId="166" fontId="41" fillId="11" borderId="0" xfId="0" applyNumberFormat="1" applyFont="1" applyFill="1" applyBorder="1" applyProtection="1"/>
    <xf numFmtId="0" fontId="46" fillId="11" borderId="37" xfId="0" applyFont="1" applyFill="1" applyBorder="1" applyAlignment="1" applyProtection="1">
      <alignment horizontal="center"/>
    </xf>
    <xf numFmtId="0" fontId="37" fillId="11" borderId="30" xfId="0" applyFont="1" applyFill="1" applyBorder="1" applyAlignment="1" applyProtection="1">
      <alignment horizontal="center"/>
    </xf>
    <xf numFmtId="164" fontId="41" fillId="11" borderId="18" xfId="0" applyNumberFormat="1" applyFont="1" applyFill="1" applyBorder="1" applyProtection="1"/>
    <xf numFmtId="164" fontId="41" fillId="11" borderId="16" xfId="0" applyNumberFormat="1" applyFont="1" applyFill="1" applyBorder="1" applyProtection="1"/>
    <xf numFmtId="164" fontId="41" fillId="11" borderId="2" xfId="0" applyNumberFormat="1" applyFont="1" applyFill="1" applyBorder="1" applyProtection="1"/>
    <xf numFmtId="164" fontId="41" fillId="11" borderId="45" xfId="0" applyNumberFormat="1" applyFont="1" applyFill="1" applyBorder="1" applyAlignment="1" applyProtection="1">
      <alignment horizontal="right"/>
    </xf>
    <xf numFmtId="164" fontId="0" fillId="11" borderId="24" xfId="0" applyNumberFormat="1" applyFill="1" applyBorder="1"/>
    <xf numFmtId="164" fontId="0" fillId="11" borderId="25" xfId="0" applyNumberFormat="1" applyFill="1" applyBorder="1"/>
    <xf numFmtId="0" fontId="41" fillId="11" borderId="20" xfId="0" quotePrefix="1" applyFont="1" applyFill="1" applyBorder="1" applyAlignment="1" applyProtection="1">
      <alignment horizontal="right"/>
    </xf>
    <xf numFmtId="164" fontId="47" fillId="11" borderId="30" xfId="0" quotePrefix="1" applyNumberFormat="1" applyFont="1" applyFill="1" applyBorder="1" applyAlignment="1" applyProtection="1">
      <alignment horizontal="right"/>
    </xf>
    <xf numFmtId="164" fontId="47" fillId="11" borderId="31" xfId="0" quotePrefix="1" applyNumberFormat="1" applyFont="1" applyFill="1" applyBorder="1" applyAlignment="1" applyProtection="1">
      <alignment horizontal="right"/>
    </xf>
    <xf numFmtId="164" fontId="41" fillId="11" borderId="24" xfId="0" quotePrefix="1" applyNumberFormat="1" applyFont="1" applyFill="1" applyBorder="1" applyAlignment="1" applyProtection="1">
      <alignment horizontal="right"/>
    </xf>
    <xf numFmtId="164" fontId="41" fillId="11" borderId="25" xfId="0" quotePrefix="1" applyNumberFormat="1" applyFont="1" applyFill="1" applyBorder="1" applyAlignment="1" applyProtection="1">
      <alignment horizontal="right"/>
    </xf>
    <xf numFmtId="0" fontId="41" fillId="11" borderId="3" xfId="0" applyFont="1" applyFill="1" applyBorder="1" applyProtection="1"/>
    <xf numFmtId="0" fontId="41" fillId="11" borderId="41" xfId="0" applyFont="1" applyFill="1" applyBorder="1" applyAlignment="1" applyProtection="1">
      <alignment horizontal="center"/>
    </xf>
    <xf numFmtId="164" fontId="41" fillId="11" borderId="3" xfId="0" applyNumberFormat="1" applyFont="1" applyFill="1" applyBorder="1" applyProtection="1"/>
    <xf numFmtId="164" fontId="41" fillId="11" borderId="34" xfId="0" applyNumberFormat="1" applyFont="1" applyFill="1" applyBorder="1" applyProtection="1"/>
    <xf numFmtId="164" fontId="47" fillId="11" borderId="26" xfId="0" applyNumberFormat="1" applyFont="1" applyFill="1" applyBorder="1" applyProtection="1"/>
    <xf numFmtId="164" fontId="47" fillId="11" borderId="55" xfId="0" applyNumberFormat="1" applyFont="1" applyFill="1" applyBorder="1" applyProtection="1"/>
    <xf numFmtId="0" fontId="47" fillId="11" borderId="6" xfId="0" applyFont="1" applyFill="1" applyBorder="1" applyProtection="1"/>
    <xf numFmtId="0" fontId="47" fillId="11" borderId="5" xfId="0" applyFont="1" applyFill="1" applyBorder="1" applyProtection="1"/>
    <xf numFmtId="164" fontId="41" fillId="11" borderId="37" xfId="0" applyNumberFormat="1" applyFont="1" applyFill="1" applyBorder="1" applyProtection="1"/>
    <xf numFmtId="164" fontId="47" fillId="11" borderId="37" xfId="0" applyNumberFormat="1" applyFont="1" applyFill="1" applyBorder="1" applyProtection="1"/>
    <xf numFmtId="164" fontId="47" fillId="11" borderId="7" xfId="0" applyNumberFormat="1" applyFont="1" applyFill="1" applyBorder="1" applyProtection="1"/>
    <xf numFmtId="164" fontId="47" fillId="11" borderId="27" xfId="0" applyNumberFormat="1" applyFont="1" applyFill="1" applyBorder="1" applyProtection="1"/>
    <xf numFmtId="0" fontId="50" fillId="11" borderId="28" xfId="0" applyFont="1" applyFill="1" applyBorder="1" applyProtection="1"/>
    <xf numFmtId="0" fontId="50" fillId="11" borderId="29" xfId="0" applyFont="1" applyFill="1" applyBorder="1" applyProtection="1"/>
    <xf numFmtId="0" fontId="50" fillId="11" borderId="30" xfId="0" applyFont="1" applyFill="1" applyBorder="1" applyAlignment="1" applyProtection="1">
      <alignment horizontal="center"/>
    </xf>
    <xf numFmtId="164" fontId="41" fillId="11" borderId="31" xfId="0" applyNumberFormat="1" applyFont="1" applyFill="1" applyBorder="1" applyProtection="1"/>
    <xf numFmtId="0" fontId="47" fillId="11" borderId="41" xfId="0" applyFont="1" applyFill="1" applyBorder="1" applyAlignment="1" applyProtection="1">
      <alignment horizontal="center"/>
    </xf>
    <xf numFmtId="0" fontId="47" fillId="11" borderId="17" xfId="0" quotePrefix="1" applyFont="1" applyFill="1" applyBorder="1" applyAlignment="1" applyProtection="1">
      <alignment horizontal="left"/>
    </xf>
    <xf numFmtId="0" fontId="47" fillId="11" borderId="5" xfId="0" quotePrefix="1" applyFont="1" applyFill="1" applyBorder="1" applyAlignment="1" applyProtection="1">
      <alignment horizontal="right"/>
    </xf>
    <xf numFmtId="0" fontId="47" fillId="11" borderId="20" xfId="0" quotePrefix="1" applyFont="1" applyFill="1" applyBorder="1" applyAlignment="1" applyProtection="1">
      <alignment horizontal="right"/>
    </xf>
    <xf numFmtId="0" fontId="47" fillId="11" borderId="128" xfId="0" applyFont="1" applyFill="1" applyBorder="1" applyAlignment="1" applyProtection="1">
      <alignment horizontal="left"/>
    </xf>
    <xf numFmtId="0" fontId="47" fillId="11" borderId="56" xfId="0" quotePrefix="1" applyFont="1" applyFill="1" applyBorder="1" applyAlignment="1" applyProtection="1">
      <alignment horizontal="left"/>
    </xf>
    <xf numFmtId="0" fontId="47" fillId="11" borderId="57" xfId="0" applyFont="1" applyFill="1" applyBorder="1" applyAlignment="1" applyProtection="1">
      <alignment horizontal="center"/>
    </xf>
    <xf numFmtId="164" fontId="41" fillId="11" borderId="56" xfId="0" applyNumberFormat="1" applyFont="1" applyFill="1" applyBorder="1" applyProtection="1"/>
    <xf numFmtId="164" fontId="47" fillId="11" borderId="57" xfId="0" applyNumberFormat="1" applyFont="1" applyFill="1" applyBorder="1" applyProtection="1"/>
    <xf numFmtId="164" fontId="47" fillId="11" borderId="57" xfId="0" quotePrefix="1" applyNumberFormat="1" applyFont="1" applyFill="1" applyBorder="1" applyAlignment="1" applyProtection="1">
      <alignment horizontal="right"/>
    </xf>
    <xf numFmtId="164" fontId="41" fillId="11" borderId="57" xfId="0" applyNumberFormat="1" applyFont="1" applyFill="1" applyBorder="1" applyProtection="1"/>
    <xf numFmtId="164" fontId="47" fillId="11" borderId="129" xfId="0" quotePrefix="1" applyNumberFormat="1" applyFont="1" applyFill="1" applyBorder="1" applyAlignment="1" applyProtection="1">
      <alignment horizontal="right"/>
    </xf>
    <xf numFmtId="0" fontId="41" fillId="11" borderId="128" xfId="0" applyFont="1" applyFill="1" applyBorder="1" applyAlignment="1" applyProtection="1">
      <alignment horizontal="left"/>
    </xf>
    <xf numFmtId="0" fontId="41" fillId="11" borderId="56" xfId="0" quotePrefix="1" applyFont="1" applyFill="1" applyBorder="1" applyAlignment="1" applyProtection="1">
      <alignment horizontal="left"/>
    </xf>
    <xf numFmtId="0" fontId="41" fillId="11" borderId="57" xfId="0" applyFont="1" applyFill="1" applyBorder="1" applyAlignment="1" applyProtection="1">
      <alignment horizontal="center"/>
    </xf>
    <xf numFmtId="0" fontId="41" fillId="11" borderId="56" xfId="0" quotePrefix="1" applyFont="1" applyFill="1" applyBorder="1" applyAlignment="1" applyProtection="1">
      <alignment horizontal="center"/>
    </xf>
    <xf numFmtId="164" fontId="41" fillId="11" borderId="57" xfId="0" applyNumberFormat="1" applyFont="1" applyFill="1" applyBorder="1" applyAlignment="1" applyProtection="1">
      <alignment horizontal="right"/>
    </xf>
    <xf numFmtId="164" fontId="41" fillId="11" borderId="56" xfId="0" quotePrefix="1" applyNumberFormat="1" applyFont="1" applyFill="1" applyBorder="1" applyAlignment="1" applyProtection="1">
      <alignment horizontal="center"/>
    </xf>
    <xf numFmtId="164" fontId="41" fillId="11" borderId="55" xfId="0" applyNumberFormat="1" applyFont="1" applyFill="1" applyBorder="1" applyAlignment="1" applyProtection="1">
      <alignment horizontal="right"/>
    </xf>
    <xf numFmtId="164" fontId="0" fillId="11" borderId="29" xfId="0" applyNumberFormat="1" applyFill="1" applyBorder="1"/>
    <xf numFmtId="0" fontId="47" fillId="11" borderId="128" xfId="0" applyFont="1" applyFill="1" applyBorder="1" applyProtection="1"/>
    <xf numFmtId="0" fontId="41" fillId="11" borderId="56" xfId="0" applyFont="1" applyFill="1" applyBorder="1" applyProtection="1"/>
    <xf numFmtId="0" fontId="46" fillId="11" borderId="56" xfId="0" applyFont="1" applyFill="1" applyBorder="1" applyAlignment="1" applyProtection="1">
      <alignment horizontal="center"/>
    </xf>
    <xf numFmtId="1" fontId="47" fillId="11" borderId="56" xfId="0" applyNumberFormat="1" applyFont="1" applyFill="1" applyBorder="1" applyAlignment="1" applyProtection="1">
      <alignment horizontal="center"/>
    </xf>
    <xf numFmtId="0" fontId="37" fillId="11" borderId="0" xfId="0" applyFont="1" applyFill="1" applyBorder="1" applyAlignment="1" applyProtection="1">
      <alignment horizontal="center"/>
    </xf>
    <xf numFmtId="0" fontId="45" fillId="11" borderId="0" xfId="0" applyFont="1" applyFill="1" applyBorder="1" applyAlignment="1" applyProtection="1">
      <alignment horizontal="center"/>
    </xf>
    <xf numFmtId="0" fontId="41" fillId="11" borderId="0" xfId="0" applyFont="1" applyFill="1" applyBorder="1" applyAlignment="1" applyProtection="1">
      <alignment horizontal="center"/>
    </xf>
    <xf numFmtId="0" fontId="50" fillId="11" borderId="0" xfId="0" applyFont="1" applyFill="1" applyBorder="1" applyAlignment="1" applyProtection="1">
      <alignment horizontal="center"/>
    </xf>
    <xf numFmtId="0" fontId="41" fillId="11" borderId="56" xfId="0" applyFont="1" applyFill="1" applyBorder="1" applyAlignment="1" applyProtection="1">
      <alignment horizontal="center"/>
    </xf>
    <xf numFmtId="164" fontId="41" fillId="11" borderId="56" xfId="0" applyNumberFormat="1" applyFont="1" applyFill="1" applyBorder="1" applyAlignment="1" applyProtection="1">
      <alignment horizontal="right"/>
    </xf>
    <xf numFmtId="0" fontId="41" fillId="11" borderId="3" xfId="0" applyFont="1" applyFill="1" applyBorder="1" applyAlignment="1" applyProtection="1">
      <alignment horizontal="center"/>
    </xf>
    <xf numFmtId="0" fontId="35" fillId="11" borderId="16" xfId="0" applyFont="1" applyFill="1" applyBorder="1" applyProtection="1"/>
    <xf numFmtId="0" fontId="35" fillId="11" borderId="19" xfId="0" applyFont="1" applyFill="1" applyBorder="1" applyProtection="1"/>
    <xf numFmtId="0" fontId="39" fillId="11" borderId="30" xfId="0" applyFont="1" applyFill="1" applyBorder="1" applyAlignment="1" applyProtection="1">
      <alignment horizontal="center"/>
    </xf>
    <xf numFmtId="164" fontId="35" fillId="11" borderId="29" xfId="0" applyNumberFormat="1" applyFont="1" applyFill="1" applyBorder="1"/>
    <xf numFmtId="0" fontId="41" fillId="11" borderId="36" xfId="0" applyFont="1" applyFill="1" applyBorder="1" applyAlignment="1" applyProtection="1">
      <alignment horizontal="right"/>
    </xf>
    <xf numFmtId="0" fontId="45" fillId="11" borderId="40" xfId="0" applyFont="1" applyFill="1" applyBorder="1" applyAlignment="1" applyProtection="1">
      <alignment horizontal="center" wrapText="1"/>
    </xf>
    <xf numFmtId="0" fontId="45" fillId="11" borderId="126" xfId="0" applyFont="1" applyFill="1" applyBorder="1" applyAlignment="1" applyProtection="1">
      <alignment horizontal="center" wrapText="1"/>
    </xf>
    <xf numFmtId="0" fontId="45" fillId="11" borderId="42" xfId="0" applyFont="1" applyFill="1" applyBorder="1" applyAlignment="1" applyProtection="1">
      <alignment horizontal="center" wrapText="1"/>
    </xf>
    <xf numFmtId="0" fontId="46" fillId="11" borderId="20" xfId="0" applyFont="1" applyFill="1" applyBorder="1" applyAlignment="1" applyProtection="1">
      <alignment horizontal="center"/>
    </xf>
    <xf numFmtId="164" fontId="41" fillId="11" borderId="19" xfId="0" applyNumberFormat="1" applyFont="1" applyFill="1" applyBorder="1" applyProtection="1"/>
    <xf numFmtId="164" fontId="41" fillId="11" borderId="44" xfId="0" applyNumberFormat="1" applyFont="1" applyFill="1" applyBorder="1" applyProtection="1"/>
    <xf numFmtId="0" fontId="41" fillId="11" borderId="20" xfId="0" quotePrefix="1" applyFont="1" applyFill="1" applyBorder="1" applyAlignment="1" applyProtection="1">
      <alignment horizontal="left"/>
    </xf>
    <xf numFmtId="164" fontId="47" fillId="11" borderId="26" xfId="0" quotePrefix="1" applyNumberFormat="1" applyFont="1" applyFill="1" applyBorder="1" applyAlignment="1" applyProtection="1"/>
    <xf numFmtId="164" fontId="47" fillId="11" borderId="20" xfId="0" applyNumberFormat="1" applyFont="1" applyFill="1" applyBorder="1" applyAlignment="1" applyProtection="1">
      <alignment horizontal="center"/>
    </xf>
    <xf numFmtId="164" fontId="47" fillId="11" borderId="45" xfId="0" applyNumberFormat="1" applyFont="1" applyFill="1" applyBorder="1" applyAlignment="1" applyProtection="1">
      <alignment horizontal="center"/>
    </xf>
    <xf numFmtId="0" fontId="57" fillId="11" borderId="17" xfId="0" applyFont="1" applyFill="1" applyBorder="1" applyProtection="1"/>
    <xf numFmtId="164" fontId="57" fillId="11" borderId="45" xfId="0" applyNumberFormat="1" applyFont="1" applyFill="1" applyBorder="1" applyAlignment="1" applyProtection="1">
      <alignment horizontal="center"/>
    </xf>
    <xf numFmtId="0" fontId="57" fillId="11" borderId="20" xfId="0" applyFont="1" applyFill="1" applyBorder="1" applyAlignment="1" applyProtection="1">
      <alignment horizontal="center"/>
    </xf>
    <xf numFmtId="0" fontId="41" fillId="11" borderId="19" xfId="0" quotePrefix="1" applyFont="1" applyFill="1" applyBorder="1" applyAlignment="1" applyProtection="1">
      <alignment horizontal="left"/>
    </xf>
    <xf numFmtId="164" fontId="47" fillId="11" borderId="20" xfId="0" quotePrefix="1" applyNumberFormat="1" applyFont="1" applyFill="1" applyBorder="1" applyAlignment="1" applyProtection="1">
      <alignment horizontal="center"/>
    </xf>
    <xf numFmtId="164" fontId="47" fillId="11" borderId="45" xfId="0" quotePrefix="1" applyNumberFormat="1" applyFont="1" applyFill="1" applyBorder="1" applyAlignment="1" applyProtection="1">
      <alignment horizontal="center"/>
    </xf>
    <xf numFmtId="164" fontId="47" fillId="11" borderId="30" xfId="0" quotePrefix="1" applyNumberFormat="1" applyFont="1" applyFill="1" applyBorder="1" applyAlignment="1" applyProtection="1"/>
    <xf numFmtId="164" fontId="47" fillId="11" borderId="36" xfId="0" applyNumberFormat="1" applyFont="1" applyFill="1" applyBorder="1" applyAlignment="1" applyProtection="1">
      <alignment horizontal="center"/>
    </xf>
    <xf numFmtId="164" fontId="47" fillId="11" borderId="36" xfId="0" quotePrefix="1" applyNumberFormat="1" applyFont="1" applyFill="1" applyBorder="1" applyAlignment="1" applyProtection="1">
      <alignment horizontal="center"/>
    </xf>
    <xf numFmtId="164" fontId="57" fillId="11" borderId="46" xfId="0" quotePrefix="1" applyNumberFormat="1" applyFont="1" applyFill="1" applyBorder="1" applyAlignment="1" applyProtection="1">
      <alignment horizontal="center"/>
    </xf>
    <xf numFmtId="0" fontId="57" fillId="11" borderId="20" xfId="0" quotePrefix="1" applyFont="1" applyFill="1" applyBorder="1" applyAlignment="1" applyProtection="1">
      <alignment horizontal="center"/>
    </xf>
    <xf numFmtId="164" fontId="47" fillId="11" borderId="24" xfId="0" quotePrefix="1" applyNumberFormat="1" applyFont="1" applyFill="1" applyBorder="1" applyAlignment="1" applyProtection="1"/>
    <xf numFmtId="164" fontId="47" fillId="11" borderId="19" xfId="0" applyNumberFormat="1" applyFont="1" applyFill="1" applyBorder="1" applyAlignment="1" applyProtection="1">
      <alignment horizontal="center"/>
    </xf>
    <xf numFmtId="164" fontId="47" fillId="11" borderId="44" xfId="0" applyNumberFormat="1" applyFont="1" applyFill="1" applyBorder="1" applyAlignment="1" applyProtection="1">
      <alignment horizontal="center"/>
    </xf>
    <xf numFmtId="0" fontId="41" fillId="11" borderId="20" xfId="0" applyFont="1" applyFill="1" applyBorder="1" applyAlignment="1" applyProtection="1">
      <alignment horizontal="left"/>
    </xf>
    <xf numFmtId="164" fontId="41" fillId="11" borderId="26" xfId="0" quotePrefix="1" applyNumberFormat="1" applyFont="1" applyFill="1" applyBorder="1" applyAlignment="1" applyProtection="1"/>
    <xf numFmtId="164" fontId="41" fillId="11" borderId="20" xfId="0" applyNumberFormat="1" applyFont="1" applyFill="1" applyBorder="1" applyAlignment="1" applyProtection="1">
      <alignment horizontal="center"/>
    </xf>
    <xf numFmtId="164" fontId="41" fillId="11" borderId="45" xfId="0" applyNumberFormat="1" applyFont="1" applyFill="1" applyBorder="1" applyAlignment="1" applyProtection="1">
      <alignment horizontal="center"/>
    </xf>
    <xf numFmtId="164" fontId="50" fillId="11" borderId="45" xfId="0" applyNumberFormat="1" applyFont="1" applyFill="1" applyBorder="1" applyAlignment="1" applyProtection="1">
      <alignment horizontal="center"/>
    </xf>
    <xf numFmtId="0" fontId="50" fillId="11" borderId="20" xfId="0" applyFont="1" applyFill="1" applyBorder="1" applyAlignment="1" applyProtection="1">
      <alignment horizontal="center"/>
    </xf>
    <xf numFmtId="0" fontId="50" fillId="11" borderId="20" xfId="0" applyFont="1" applyFill="1" applyBorder="1" applyAlignment="1" applyProtection="1">
      <alignment horizontal="left"/>
    </xf>
    <xf numFmtId="164" fontId="47" fillId="11" borderId="20" xfId="0" applyNumberFormat="1" applyFont="1" applyFill="1" applyBorder="1" applyProtection="1"/>
    <xf numFmtId="164" fontId="57" fillId="11" borderId="45" xfId="0" applyNumberFormat="1" applyFont="1" applyFill="1" applyBorder="1" applyProtection="1"/>
    <xf numFmtId="164" fontId="41" fillId="11" borderId="24" xfId="0" quotePrefix="1" applyNumberFormat="1" applyFont="1" applyFill="1" applyBorder="1" applyAlignment="1" applyProtection="1"/>
    <xf numFmtId="164" fontId="41" fillId="11" borderId="19" xfId="0" applyNumberFormat="1" applyFont="1" applyFill="1" applyBorder="1" applyAlignment="1" applyProtection="1">
      <alignment horizontal="center"/>
    </xf>
    <xf numFmtId="164" fontId="47" fillId="11" borderId="41" xfId="0" quotePrefix="1" applyNumberFormat="1" applyFont="1" applyFill="1" applyBorder="1" applyAlignment="1" applyProtection="1"/>
    <xf numFmtId="164" fontId="57" fillId="11" borderId="58" xfId="0" applyNumberFormat="1" applyFont="1" applyFill="1" applyBorder="1" applyProtection="1"/>
    <xf numFmtId="0" fontId="45" fillId="11" borderId="26" xfId="0" quotePrefix="1" applyFont="1" applyFill="1" applyBorder="1" applyAlignment="1" applyProtection="1">
      <alignment horizontal="center"/>
    </xf>
    <xf numFmtId="0" fontId="45" fillId="11" borderId="0" xfId="0" quotePrefix="1" applyFont="1" applyFill="1" applyBorder="1" applyAlignment="1" applyProtection="1">
      <alignment horizontal="center"/>
    </xf>
    <xf numFmtId="0" fontId="45" fillId="11" borderId="2" xfId="0" applyFont="1" applyFill="1" applyBorder="1" applyAlignment="1" applyProtection="1">
      <alignment horizontal="center"/>
    </xf>
    <xf numFmtId="0" fontId="45" fillId="11" borderId="45" xfId="0" quotePrefix="1" applyFont="1" applyFill="1" applyBorder="1" applyAlignment="1" applyProtection="1">
      <alignment horizontal="center"/>
    </xf>
    <xf numFmtId="0" fontId="55" fillId="11" borderId="20" xfId="0" quotePrefix="1" applyFont="1" applyFill="1" applyBorder="1" applyAlignment="1" applyProtection="1">
      <alignment horizontal="right"/>
    </xf>
    <xf numFmtId="0" fontId="47" fillId="11" borderId="23" xfId="0" applyFont="1" applyFill="1" applyBorder="1" applyAlignment="1" applyProtection="1">
      <alignment horizontal="left"/>
    </xf>
    <xf numFmtId="0" fontId="41" fillId="11" borderId="16" xfId="0" applyFont="1" applyFill="1" applyBorder="1" applyAlignment="1" applyProtection="1">
      <alignment horizontal="right"/>
    </xf>
    <xf numFmtId="0" fontId="50" fillId="11" borderId="19" xfId="0" applyFont="1" applyFill="1" applyBorder="1" applyAlignment="1" applyProtection="1">
      <alignment horizontal="right"/>
    </xf>
    <xf numFmtId="0" fontId="41" fillId="11" borderId="18" xfId="0" applyFont="1" applyFill="1" applyBorder="1" applyAlignment="1" applyProtection="1">
      <alignment horizontal="right"/>
    </xf>
    <xf numFmtId="0" fontId="41" fillId="11" borderId="19" xfId="0" applyFont="1" applyFill="1" applyBorder="1" applyAlignment="1" applyProtection="1">
      <alignment horizontal="right"/>
    </xf>
    <xf numFmtId="0" fontId="50" fillId="11" borderId="44" xfId="0" applyFont="1" applyFill="1" applyBorder="1" applyAlignment="1" applyProtection="1">
      <alignment horizontal="right"/>
    </xf>
    <xf numFmtId="165" fontId="0" fillId="11" borderId="26" xfId="49" applyNumberFormat="1" applyFont="1" applyFill="1" applyBorder="1" applyAlignment="1">
      <alignment horizontal="center"/>
    </xf>
    <xf numFmtId="0" fontId="41" fillId="11" borderId="28" xfId="0" applyFont="1" applyFill="1" applyBorder="1" applyAlignment="1" applyProtection="1">
      <alignment horizontal="left"/>
    </xf>
    <xf numFmtId="0" fontId="41" fillId="11" borderId="29" xfId="0" applyFont="1" applyFill="1" applyBorder="1" applyAlignment="1" applyProtection="1">
      <alignment horizontal="right"/>
    </xf>
    <xf numFmtId="165" fontId="0" fillId="11" borderId="30" xfId="49" applyNumberFormat="1" applyFont="1" applyFill="1" applyBorder="1" applyAlignment="1">
      <alignment horizontal="center"/>
    </xf>
    <xf numFmtId="164" fontId="41" fillId="11" borderId="36" xfId="0" applyNumberFormat="1" applyFont="1" applyFill="1" applyBorder="1" applyAlignment="1" applyProtection="1">
      <alignment horizontal="right"/>
    </xf>
    <xf numFmtId="164" fontId="41" fillId="11" borderId="35" xfId="0" applyNumberFormat="1" applyFont="1" applyFill="1" applyBorder="1" applyAlignment="1" applyProtection="1">
      <alignment horizontal="right"/>
    </xf>
    <xf numFmtId="164" fontId="41" fillId="11" borderId="46" xfId="0" applyNumberFormat="1" applyFont="1" applyFill="1" applyBorder="1" applyAlignment="1" applyProtection="1">
      <alignment horizontal="right"/>
    </xf>
    <xf numFmtId="0" fontId="47" fillId="11" borderId="0" xfId="0" applyFont="1" applyFill="1" applyBorder="1" applyAlignment="1" applyProtection="1">
      <alignment horizontal="right"/>
    </xf>
    <xf numFmtId="164" fontId="47" fillId="11" borderId="20" xfId="0" applyNumberFormat="1" applyFont="1" applyFill="1" applyBorder="1" applyAlignment="1" applyProtection="1">
      <alignment horizontal="right"/>
    </xf>
    <xf numFmtId="164" fontId="47" fillId="11" borderId="45" xfId="0" applyNumberFormat="1" applyFont="1" applyFill="1" applyBorder="1" applyAlignment="1" applyProtection="1">
      <alignment horizontal="right"/>
    </xf>
    <xf numFmtId="0" fontId="0" fillId="11" borderId="24" xfId="0" applyFill="1" applyBorder="1" applyAlignment="1">
      <alignment horizontal="center"/>
    </xf>
    <xf numFmtId="164" fontId="41" fillId="11" borderId="19" xfId="0" applyNumberFormat="1" applyFont="1" applyFill="1" applyBorder="1" applyAlignment="1" applyProtection="1">
      <alignment horizontal="right"/>
    </xf>
    <xf numFmtId="164" fontId="41" fillId="11" borderId="44" xfId="0" applyNumberFormat="1" applyFont="1" applyFill="1" applyBorder="1" applyAlignment="1" applyProtection="1">
      <alignment horizontal="right"/>
    </xf>
    <xf numFmtId="164" fontId="40" fillId="18" borderId="75" xfId="0" applyNumberFormat="1" applyFont="1" applyFill="1" applyBorder="1" applyAlignment="1">
      <alignment horizontal="right"/>
    </xf>
    <xf numFmtId="164" fontId="40" fillId="18" borderId="103" xfId="0" applyNumberFormat="1" applyFont="1" applyFill="1" applyBorder="1" applyAlignment="1">
      <alignment horizontal="right"/>
    </xf>
    <xf numFmtId="0" fontId="35" fillId="0" borderId="0" xfId="0" applyFont="1" applyFill="1" applyAlignment="1">
      <alignment horizontal="center"/>
    </xf>
    <xf numFmtId="0" fontId="35" fillId="0" borderId="0" xfId="0" applyFont="1" applyFill="1"/>
    <xf numFmtId="0" fontId="35" fillId="0" borderId="0" xfId="0" applyFont="1" applyFill="1" applyBorder="1" applyAlignment="1">
      <alignment horizontal="center"/>
    </xf>
    <xf numFmtId="0" fontId="35" fillId="18" borderId="0" xfId="0" applyFont="1" applyFill="1" applyBorder="1" applyAlignment="1">
      <alignment horizontal="center"/>
    </xf>
    <xf numFmtId="0" fontId="35" fillId="18" borderId="0" xfId="0" applyFont="1" applyFill="1" applyBorder="1" applyAlignment="1">
      <alignment horizontal="right"/>
    </xf>
    <xf numFmtId="2" fontId="35" fillId="18" borderId="0" xfId="0" applyNumberFormat="1" applyFont="1" applyFill="1" applyBorder="1" applyAlignment="1">
      <alignment horizontal="right"/>
    </xf>
    <xf numFmtId="164" fontId="35" fillId="18" borderId="74" xfId="0" applyNumberFormat="1" applyFont="1" applyFill="1" applyBorder="1" applyAlignment="1">
      <alignment horizontal="right"/>
    </xf>
    <xf numFmtId="14" fontId="35" fillId="0" borderId="4" xfId="0" applyNumberFormat="1" applyFont="1" applyBorder="1" applyAlignment="1"/>
    <xf numFmtId="0" fontId="11" fillId="0" borderId="0" xfId="0" applyFont="1" applyAlignment="1">
      <alignment horizontal="left"/>
    </xf>
    <xf numFmtId="166" fontId="0" fillId="11" borderId="29" xfId="0" applyNumberFormat="1" applyFill="1" applyBorder="1"/>
    <xf numFmtId="164" fontId="41" fillId="11" borderId="5" xfId="0" applyNumberFormat="1" applyFont="1" applyFill="1" applyBorder="1" applyProtection="1"/>
    <xf numFmtId="2" fontId="35" fillId="0" borderId="79" xfId="0" applyNumberFormat="1" applyFont="1" applyBorder="1"/>
    <xf numFmtId="2" fontId="35" fillId="0" borderId="0" xfId="0" applyNumberFormat="1" applyFont="1" applyBorder="1"/>
    <xf numFmtId="2" fontId="35" fillId="20" borderId="0" xfId="0" applyNumberFormat="1" applyFont="1" applyFill="1" applyBorder="1"/>
    <xf numFmtId="2" fontId="35" fillId="0" borderId="81" xfId="0" applyNumberFormat="1" applyFont="1" applyBorder="1"/>
    <xf numFmtId="2" fontId="35" fillId="12" borderId="0" xfId="0" applyNumberFormat="1" applyFont="1" applyFill="1" applyBorder="1"/>
    <xf numFmtId="164" fontId="39" fillId="10" borderId="70" xfId="0" applyNumberFormat="1" applyFont="1" applyFill="1" applyBorder="1" applyAlignment="1"/>
    <xf numFmtId="0" fontId="75" fillId="0" borderId="0" xfId="0" applyFont="1" applyAlignment="1">
      <alignment horizontal="center"/>
    </xf>
    <xf numFmtId="164" fontId="62" fillId="0" borderId="70" xfId="0" applyNumberFormat="1" applyFont="1" applyFill="1" applyBorder="1" applyAlignment="1">
      <alignment horizontal="right"/>
    </xf>
    <xf numFmtId="166" fontId="56" fillId="18" borderId="70" xfId="0" applyNumberFormat="1" applyFont="1" applyFill="1" applyBorder="1" applyAlignment="1">
      <alignment horizontal="right"/>
    </xf>
    <xf numFmtId="2" fontId="35" fillId="0" borderId="0" xfId="0" applyNumberFormat="1" applyFont="1"/>
    <xf numFmtId="0" fontId="35" fillId="0" borderId="0" xfId="0" applyNumberFormat="1" applyFont="1" applyAlignment="1"/>
    <xf numFmtId="0" fontId="66" fillId="0" borderId="0" xfId="0" applyNumberFormat="1" applyFont="1" applyFill="1" applyAlignment="1"/>
    <xf numFmtId="0" fontId="35" fillId="0" borderId="0" xfId="0" applyNumberFormat="1" applyFont="1" applyAlignment="1">
      <alignment vertical="center"/>
    </xf>
    <xf numFmtId="0" fontId="35" fillId="0" borderId="0" xfId="0" applyNumberFormat="1" applyFont="1" applyFill="1" applyAlignment="1"/>
    <xf numFmtId="0" fontId="39" fillId="0" borderId="0" xfId="0" applyNumberFormat="1" applyFont="1" applyBorder="1" applyAlignment="1"/>
    <xf numFmtId="0" fontId="35" fillId="0" borderId="0" xfId="0" applyNumberFormat="1" applyFont="1" applyFill="1" applyBorder="1" applyAlignment="1"/>
    <xf numFmtId="0" fontId="66" fillId="0" borderId="0" xfId="0" applyNumberFormat="1" applyFont="1" applyAlignment="1"/>
    <xf numFmtId="0" fontId="10" fillId="0" borderId="0" xfId="0" applyNumberFormat="1" applyFont="1" applyAlignment="1"/>
    <xf numFmtId="0" fontId="66" fillId="0" borderId="0" xfId="0" applyNumberFormat="1" applyFont="1" applyFill="1" applyBorder="1" applyAlignment="1"/>
    <xf numFmtId="0" fontId="0" fillId="0" borderId="0" xfId="0" applyNumberFormat="1"/>
    <xf numFmtId="0" fontId="35" fillId="0" borderId="0" xfId="0" applyNumberFormat="1" applyFont="1" applyBorder="1" applyAlignment="1"/>
    <xf numFmtId="0" fontId="0" fillId="0" borderId="0" xfId="0" applyNumberFormat="1" applyBorder="1"/>
    <xf numFmtId="0" fontId="35" fillId="0" borderId="0" xfId="0" applyNumberFormat="1" applyFont="1"/>
    <xf numFmtId="0" fontId="40" fillId="0" borderId="0" xfId="0" applyNumberFormat="1" applyFont="1"/>
    <xf numFmtId="0" fontId="66" fillId="0" borderId="0" xfId="0" applyNumberFormat="1" applyFont="1"/>
    <xf numFmtId="0" fontId="35" fillId="0" borderId="0" xfId="0" applyNumberFormat="1" applyFont="1" applyBorder="1"/>
    <xf numFmtId="0" fontId="39" fillId="0" borderId="0" xfId="0" applyNumberFormat="1" applyFont="1" applyBorder="1"/>
    <xf numFmtId="0" fontId="40" fillId="0" borderId="0" xfId="0" applyNumberFormat="1" applyFont="1" applyBorder="1"/>
    <xf numFmtId="0" fontId="35" fillId="0" borderId="0" xfId="0" applyNumberFormat="1" applyFont="1" applyBorder="1" applyAlignment="1">
      <alignment vertical="center"/>
    </xf>
    <xf numFmtId="10" fontId="47" fillId="0" borderId="91" xfId="49" applyNumberFormat="1" applyFont="1" applyBorder="1" applyAlignment="1"/>
    <xf numFmtId="10" fontId="47" fillId="0" borderId="4" xfId="49" applyNumberFormat="1" applyFont="1" applyFill="1" applyBorder="1" applyAlignment="1"/>
    <xf numFmtId="10" fontId="47" fillId="0" borderId="0" xfId="0" applyNumberFormat="1" applyFont="1" applyBorder="1" applyAlignment="1"/>
    <xf numFmtId="2" fontId="35" fillId="18" borderId="74" xfId="0" applyNumberFormat="1" applyFont="1" applyFill="1" applyBorder="1" applyAlignment="1">
      <alignment horizontal="right"/>
    </xf>
    <xf numFmtId="2" fontId="39" fillId="20" borderId="0" xfId="0" applyNumberFormat="1" applyFont="1" applyFill="1" applyBorder="1"/>
    <xf numFmtId="167" fontId="47" fillId="0" borderId="0" xfId="0" applyNumberFormat="1" applyFont="1" applyAlignment="1"/>
    <xf numFmtId="164" fontId="47" fillId="33" borderId="81" xfId="0" applyNumberFormat="1" applyFont="1" applyFill="1" applyBorder="1" applyAlignment="1"/>
    <xf numFmtId="2" fontId="35" fillId="0" borderId="75" xfId="0" applyNumberFormat="1" applyFont="1" applyBorder="1" applyAlignment="1"/>
    <xf numFmtId="2" fontId="47" fillId="19" borderId="75" xfId="0" applyNumberFormat="1" applyFont="1" applyFill="1" applyBorder="1" applyAlignment="1"/>
    <xf numFmtId="2" fontId="35" fillId="14" borderId="75" xfId="0" applyNumberFormat="1" applyFont="1" applyFill="1" applyBorder="1" applyAlignment="1"/>
    <xf numFmtId="2" fontId="47" fillId="14" borderId="75" xfId="0" applyNumberFormat="1" applyFont="1" applyFill="1" applyBorder="1" applyAlignment="1"/>
    <xf numFmtId="2" fontId="47" fillId="14" borderId="0" xfId="0" applyNumberFormat="1" applyFont="1" applyFill="1" applyBorder="1" applyAlignment="1"/>
    <xf numFmtId="2" fontId="39" fillId="0" borderId="0" xfId="49" applyNumberFormat="1" applyFont="1" applyAlignment="1"/>
    <xf numFmtId="2" fontId="35" fillId="14" borderId="0" xfId="0" applyNumberFormat="1" applyFont="1" applyFill="1" applyBorder="1" applyAlignment="1"/>
    <xf numFmtId="2" fontId="35" fillId="0" borderId="79" xfId="0" applyNumberFormat="1" applyFont="1" applyBorder="1" applyAlignment="1">
      <alignment horizontal="right"/>
    </xf>
    <xf numFmtId="2" fontId="39" fillId="10" borderId="0" xfId="0" applyNumberFormat="1" applyFont="1" applyFill="1" applyBorder="1" applyAlignment="1">
      <alignment horizontal="right"/>
    </xf>
    <xf numFmtId="2" fontId="35" fillId="0" borderId="0" xfId="0" applyNumberFormat="1" applyFont="1" applyBorder="1" applyAlignment="1">
      <alignment horizontal="right"/>
    </xf>
    <xf numFmtId="2" fontId="35" fillId="0" borderId="81" xfId="0" applyNumberFormat="1" applyFont="1" applyBorder="1" applyAlignment="1">
      <alignment horizontal="right"/>
    </xf>
    <xf numFmtId="1" fontId="35" fillId="0" borderId="0" xfId="0" applyNumberFormat="1" applyFont="1" applyBorder="1" applyAlignment="1">
      <alignment horizontal="right"/>
    </xf>
    <xf numFmtId="0" fontId="0" fillId="12" borderId="0" xfId="0" applyFill="1" applyBorder="1" applyAlignment="1">
      <alignment horizontal="right"/>
    </xf>
    <xf numFmtId="166" fontId="66" fillId="18" borderId="0" xfId="0" applyNumberFormat="1" applyFont="1" applyFill="1" applyAlignment="1">
      <alignment horizontal="right"/>
    </xf>
    <xf numFmtId="2" fontId="0" fillId="12" borderId="0" xfId="0" applyNumberFormat="1" applyFill="1" applyBorder="1" applyAlignment="1">
      <alignment horizontal="right"/>
    </xf>
    <xf numFmtId="1" fontId="35" fillId="0" borderId="91" xfId="0" applyNumberFormat="1" applyFont="1" applyBorder="1" applyAlignment="1">
      <alignment horizontal="right"/>
    </xf>
    <xf numFmtId="2" fontId="35" fillId="0" borderId="91" xfId="0" applyNumberFormat="1" applyFont="1" applyBorder="1" applyAlignment="1">
      <alignment horizontal="right"/>
    </xf>
    <xf numFmtId="0" fontId="35" fillId="0" borderId="4" xfId="0" applyFont="1" applyBorder="1" applyAlignment="1">
      <alignment horizontal="left"/>
    </xf>
    <xf numFmtId="1" fontId="35" fillId="0" borderId="4" xfId="0" applyNumberFormat="1" applyFont="1" applyBorder="1" applyAlignment="1">
      <alignment horizontal="right"/>
    </xf>
    <xf numFmtId="2" fontId="35" fillId="0" borderId="4" xfId="0" applyNumberFormat="1" applyFont="1" applyBorder="1" applyAlignment="1">
      <alignment horizontal="right"/>
    </xf>
    <xf numFmtId="166" fontId="65" fillId="18" borderId="0" xfId="0" applyNumberFormat="1" applyFont="1" applyFill="1" applyAlignment="1">
      <alignment horizontal="right"/>
    </xf>
    <xf numFmtId="2" fontId="39" fillId="0" borderId="79" xfId="0" applyNumberFormat="1" applyFont="1" applyBorder="1" applyAlignment="1">
      <alignment horizontal="right"/>
    </xf>
    <xf numFmtId="2" fontId="39" fillId="0" borderId="81" xfId="0" applyNumberFormat="1" applyFont="1" applyBorder="1" applyAlignment="1">
      <alignment horizontal="right"/>
    </xf>
    <xf numFmtId="2" fontId="39" fillId="0" borderId="91" xfId="0" applyNumberFormat="1" applyFont="1" applyBorder="1" applyAlignment="1">
      <alignment horizontal="right"/>
    </xf>
    <xf numFmtId="2" fontId="39" fillId="0" borderId="4" xfId="0" applyNumberFormat="1" applyFont="1" applyBorder="1" applyAlignment="1">
      <alignment horizontal="right"/>
    </xf>
    <xf numFmtId="0" fontId="20" fillId="18" borderId="0" xfId="31" applyFill="1" applyBorder="1" applyAlignment="1" applyProtection="1"/>
    <xf numFmtId="165" fontId="66" fillId="18" borderId="0" xfId="49" applyNumberFormat="1" applyFont="1" applyFill="1" applyBorder="1" applyAlignment="1">
      <alignment horizontal="right"/>
    </xf>
    <xf numFmtId="165" fontId="35" fillId="0" borderId="0" xfId="0" applyNumberFormat="1" applyFont="1" applyAlignment="1"/>
    <xf numFmtId="0" fontId="66" fillId="20" borderId="0" xfId="0" applyFont="1" applyFill="1" applyBorder="1" applyAlignment="1">
      <alignment horizontal="left"/>
    </xf>
    <xf numFmtId="165" fontId="66" fillId="20" borderId="0" xfId="49" applyNumberFormat="1" applyFont="1" applyFill="1" applyBorder="1" applyAlignment="1">
      <alignment horizontal="right"/>
    </xf>
    <xf numFmtId="0" fontId="66" fillId="20" borderId="81" xfId="0" applyFont="1" applyFill="1" applyBorder="1" applyAlignment="1">
      <alignment horizontal="left"/>
    </xf>
    <xf numFmtId="164" fontId="66" fillId="20" borderId="81" xfId="0" applyNumberFormat="1" applyFont="1" applyFill="1" applyBorder="1" applyAlignment="1"/>
    <xf numFmtId="164" fontId="65" fillId="18" borderId="0" xfId="0" applyNumberFormat="1" applyFont="1" applyFill="1" applyBorder="1" applyAlignment="1">
      <alignment horizontal="right"/>
    </xf>
    <xf numFmtId="165" fontId="65" fillId="18" borderId="0" xfId="49" applyNumberFormat="1" applyFont="1" applyFill="1" applyBorder="1" applyAlignment="1">
      <alignment horizontal="right"/>
    </xf>
    <xf numFmtId="164" fontId="125" fillId="18" borderId="0" xfId="0" applyNumberFormat="1" applyFont="1" applyFill="1" applyBorder="1" applyAlignment="1">
      <alignment horizontal="right"/>
    </xf>
    <xf numFmtId="164" fontId="39" fillId="0" borderId="79" xfId="0" applyNumberFormat="1" applyFont="1" applyBorder="1" applyAlignment="1"/>
    <xf numFmtId="164" fontId="39" fillId="0" borderId="81" xfId="0" applyNumberFormat="1" applyFont="1" applyBorder="1" applyAlignment="1"/>
    <xf numFmtId="165" fontId="39" fillId="0" borderId="16" xfId="49" applyNumberFormat="1" applyFont="1" applyBorder="1" applyAlignment="1"/>
    <xf numFmtId="165" fontId="39" fillId="0" borderId="0" xfId="49" applyNumberFormat="1" applyFont="1" applyBorder="1" applyAlignment="1"/>
    <xf numFmtId="165" fontId="39" fillId="0" borderId="29" xfId="49" applyNumberFormat="1" applyFont="1" applyBorder="1" applyAlignment="1"/>
    <xf numFmtId="165" fontId="39" fillId="12" borderId="0" xfId="49" applyNumberFormat="1" applyFont="1" applyFill="1" applyBorder="1" applyAlignment="1"/>
    <xf numFmtId="164" fontId="65" fillId="18" borderId="0" xfId="0" applyNumberFormat="1" applyFont="1" applyFill="1" applyAlignment="1"/>
    <xf numFmtId="165" fontId="65" fillId="20" borderId="0" xfId="49" applyNumberFormat="1" applyFont="1" applyFill="1" applyBorder="1" applyAlignment="1">
      <alignment horizontal="right"/>
    </xf>
    <xf numFmtId="164" fontId="65" fillId="20" borderId="81" xfId="0" applyNumberFormat="1" applyFont="1" applyFill="1" applyBorder="1" applyAlignment="1"/>
    <xf numFmtId="165" fontId="125" fillId="18" borderId="0" xfId="49" applyNumberFormat="1" applyFont="1" applyFill="1" applyBorder="1" applyAlignment="1"/>
    <xf numFmtId="0" fontId="39" fillId="18" borderId="0" xfId="0" applyFont="1" applyFill="1" applyBorder="1"/>
    <xf numFmtId="164" fontId="125" fillId="20" borderId="0" xfId="0" applyNumberFormat="1" applyFont="1" applyFill="1" applyBorder="1" applyAlignment="1"/>
    <xf numFmtId="165" fontId="39" fillId="0" borderId="29" xfId="49" applyNumberFormat="1" applyFont="1" applyFill="1" applyBorder="1" applyAlignment="1"/>
    <xf numFmtId="165" fontId="47" fillId="12" borderId="0" xfId="49" applyNumberFormat="1" applyFont="1" applyFill="1" applyAlignment="1">
      <alignment vertical="center"/>
    </xf>
    <xf numFmtId="2" fontId="125" fillId="18" borderId="0" xfId="0" applyNumberFormat="1" applyFont="1" applyFill="1" applyBorder="1" applyAlignment="1">
      <alignment horizontal="right"/>
    </xf>
    <xf numFmtId="0" fontId="20" fillId="18" borderId="0" xfId="31" applyFill="1" applyBorder="1" applyAlignment="1" applyProtection="1">
      <alignment horizontal="left"/>
    </xf>
    <xf numFmtId="0" fontId="114" fillId="0" borderId="28" xfId="0" applyFont="1" applyFill="1" applyBorder="1" applyProtection="1"/>
    <xf numFmtId="0" fontId="114" fillId="0" borderId="29" xfId="0" applyFont="1" applyFill="1" applyBorder="1" applyProtection="1"/>
    <xf numFmtId="0" fontId="114" fillId="0" borderId="30" xfId="0" applyFont="1" applyFill="1" applyBorder="1" applyAlignment="1" applyProtection="1">
      <alignment horizontal="center"/>
    </xf>
    <xf numFmtId="164" fontId="114" fillId="0" borderId="29" xfId="0" quotePrefix="1" applyNumberFormat="1" applyFont="1" applyFill="1" applyBorder="1" applyAlignment="1" applyProtection="1">
      <alignment horizontal="right"/>
    </xf>
    <xf numFmtId="164" fontId="114" fillId="0" borderId="30" xfId="40" applyNumberFormat="1" applyFont="1" applyBorder="1" applyAlignment="1" applyProtection="1">
      <alignment horizontal="right"/>
    </xf>
    <xf numFmtId="164" fontId="114" fillId="0" borderId="36" xfId="0" applyNumberFormat="1" applyFont="1" applyFill="1" applyBorder="1" applyAlignment="1" applyProtection="1">
      <alignment horizontal="right"/>
    </xf>
    <xf numFmtId="164" fontId="114" fillId="0" borderId="46" xfId="0" applyNumberFormat="1" applyFont="1" applyFill="1" applyBorder="1" applyAlignment="1" applyProtection="1">
      <alignment horizontal="right"/>
    </xf>
    <xf numFmtId="0" fontId="41" fillId="0" borderId="0" xfId="0" applyFont="1"/>
    <xf numFmtId="1" fontId="41" fillId="14" borderId="75" xfId="0" applyNumberFormat="1" applyFont="1" applyFill="1" applyBorder="1" applyAlignment="1"/>
    <xf numFmtId="1" fontId="41" fillId="19" borderId="75" xfId="0" applyNumberFormat="1" applyFont="1" applyFill="1" applyBorder="1" applyAlignment="1"/>
    <xf numFmtId="165" fontId="50" fillId="18" borderId="0" xfId="49" applyNumberFormat="1" applyFont="1" applyFill="1" applyBorder="1" applyAlignment="1"/>
    <xf numFmtId="1" fontId="41" fillId="19" borderId="0" xfId="0" applyNumberFormat="1" applyFont="1" applyFill="1" applyBorder="1" applyAlignment="1"/>
    <xf numFmtId="1" fontId="41" fillId="20" borderId="88" xfId="0" applyNumberFormat="1" applyFont="1" applyFill="1" applyBorder="1" applyAlignment="1"/>
    <xf numFmtId="2" fontId="41" fillId="10" borderId="79" xfId="0" applyNumberFormat="1" applyFont="1" applyFill="1" applyBorder="1" applyAlignment="1"/>
    <xf numFmtId="2" fontId="41" fillId="10" borderId="0" xfId="0" applyNumberFormat="1" applyFont="1" applyFill="1" applyBorder="1" applyAlignment="1"/>
    <xf numFmtId="1" fontId="41" fillId="12" borderId="91" xfId="0" applyNumberFormat="1" applyFont="1" applyFill="1" applyBorder="1" applyAlignment="1"/>
    <xf numFmtId="1" fontId="41" fillId="0" borderId="0" xfId="0" applyNumberFormat="1" applyFont="1"/>
    <xf numFmtId="164" fontId="41" fillId="19" borderId="0" xfId="0" applyNumberFormat="1" applyFont="1" applyFill="1" applyBorder="1" applyAlignment="1"/>
    <xf numFmtId="1" fontId="41" fillId="34" borderId="0" xfId="0" applyNumberFormat="1" applyFont="1" applyFill="1" applyBorder="1" applyAlignment="1"/>
    <xf numFmtId="1" fontId="59" fillId="14" borderId="0" xfId="0" applyNumberFormat="1" applyFont="1" applyFill="1" applyBorder="1" applyAlignment="1"/>
    <xf numFmtId="165" fontId="59" fillId="14" borderId="70" xfId="49" applyNumberFormat="1" applyFont="1" applyFill="1" applyBorder="1" applyAlignment="1"/>
    <xf numFmtId="2" fontId="41" fillId="20" borderId="0" xfId="0" applyNumberFormat="1" applyFont="1" applyFill="1" applyBorder="1" applyAlignment="1"/>
    <xf numFmtId="2" fontId="41" fillId="20" borderId="81" xfId="0" applyNumberFormat="1" applyFont="1" applyFill="1" applyBorder="1" applyAlignment="1"/>
    <xf numFmtId="1" fontId="41" fillId="0" borderId="0" xfId="0" applyNumberFormat="1" applyFont="1" applyBorder="1" applyAlignment="1"/>
    <xf numFmtId="1" fontId="41" fillId="12" borderId="0" xfId="0" applyNumberFormat="1" applyFont="1" applyFill="1" applyBorder="1" applyAlignment="1"/>
    <xf numFmtId="1" fontId="41" fillId="35" borderId="0" xfId="0" applyNumberFormat="1" applyFont="1" applyFill="1" applyBorder="1" applyAlignment="1"/>
    <xf numFmtId="1" fontId="41" fillId="12" borderId="29" xfId="0" applyNumberFormat="1" applyFont="1" applyFill="1" applyBorder="1" applyAlignment="1"/>
    <xf numFmtId="2" fontId="41" fillId="12" borderId="91" xfId="49" applyNumberFormat="1" applyFont="1" applyFill="1" applyBorder="1" applyAlignment="1"/>
    <xf numFmtId="2" fontId="41" fillId="12" borderId="0" xfId="49" applyNumberFormat="1" applyFont="1" applyFill="1" applyBorder="1" applyAlignment="1"/>
    <xf numFmtId="2" fontId="41" fillId="12" borderId="4" xfId="49" applyNumberFormat="1" applyFont="1" applyFill="1" applyBorder="1" applyAlignment="1"/>
    <xf numFmtId="1" fontId="41" fillId="0" borderId="75" xfId="0" applyNumberFormat="1" applyFont="1" applyFill="1" applyBorder="1" applyAlignment="1"/>
    <xf numFmtId="1" fontId="41" fillId="0" borderId="70" xfId="0" applyNumberFormat="1" applyFont="1" applyFill="1" applyBorder="1" applyAlignment="1"/>
    <xf numFmtId="1" fontId="41" fillId="14" borderId="0" xfId="0" applyNumberFormat="1" applyFont="1" applyFill="1" applyBorder="1" applyAlignment="1"/>
    <xf numFmtId="2" fontId="41" fillId="0" borderId="79" xfId="0" applyNumberFormat="1" applyFont="1" applyBorder="1" applyAlignment="1"/>
    <xf numFmtId="2" fontId="41" fillId="0" borderId="81" xfId="0" applyNumberFormat="1" applyFont="1" applyBorder="1" applyAlignment="1"/>
    <xf numFmtId="1" fontId="41" fillId="19" borderId="71" xfId="0" applyNumberFormat="1" applyFont="1" applyFill="1" applyBorder="1"/>
    <xf numFmtId="2" fontId="41" fillId="10" borderId="84" xfId="0" applyNumberFormat="1" applyFont="1" applyFill="1" applyBorder="1" applyAlignment="1"/>
    <xf numFmtId="1" fontId="41" fillId="29" borderId="75" xfId="0" applyNumberFormat="1" applyFont="1" applyFill="1" applyBorder="1"/>
    <xf numFmtId="164" fontId="50" fillId="26" borderId="0" xfId="0" applyNumberFormat="1" applyFont="1" applyFill="1" applyBorder="1" applyAlignment="1"/>
    <xf numFmtId="1" fontId="41" fillId="29" borderId="0" xfId="0" applyNumberFormat="1" applyFont="1" applyFill="1" applyBorder="1"/>
    <xf numFmtId="164" fontId="50" fillId="26" borderId="70" xfId="0" applyNumberFormat="1" applyFont="1" applyFill="1" applyBorder="1" applyAlignment="1"/>
    <xf numFmtId="2" fontId="41" fillId="36" borderId="86" xfId="0" applyNumberFormat="1" applyFont="1" applyFill="1" applyBorder="1" applyAlignment="1"/>
    <xf numFmtId="2" fontId="41" fillId="36" borderId="123" xfId="0" applyNumberFormat="1" applyFont="1" applyFill="1" applyBorder="1" applyAlignment="1"/>
    <xf numFmtId="164" fontId="41" fillId="37" borderId="75" xfId="0" applyNumberFormat="1" applyFont="1" applyFill="1" applyBorder="1"/>
    <xf numFmtId="164" fontId="41" fillId="37" borderId="0" xfId="0" applyNumberFormat="1" applyFont="1" applyFill="1" applyBorder="1" applyAlignment="1"/>
    <xf numFmtId="164" fontId="41" fillId="19" borderId="0" xfId="0" applyNumberFormat="1" applyFont="1" applyFill="1" applyBorder="1"/>
    <xf numFmtId="164" fontId="41" fillId="19" borderId="70" xfId="0" applyNumberFormat="1" applyFont="1" applyFill="1" applyBorder="1"/>
    <xf numFmtId="0" fontId="41" fillId="0" borderId="0" xfId="0" applyFont="1" applyBorder="1"/>
    <xf numFmtId="2" fontId="41" fillId="10" borderId="0" xfId="0" applyNumberFormat="1" applyFont="1" applyFill="1" applyBorder="1"/>
    <xf numFmtId="2" fontId="41" fillId="20" borderId="0" xfId="0" applyNumberFormat="1" applyFont="1" applyFill="1" applyBorder="1"/>
    <xf numFmtId="2" fontId="41" fillId="10" borderId="81" xfId="0" applyNumberFormat="1" applyFont="1" applyFill="1" applyBorder="1"/>
    <xf numFmtId="165" fontId="41" fillId="0" borderId="0" xfId="0" applyNumberFormat="1" applyFont="1" applyBorder="1"/>
    <xf numFmtId="164" fontId="41" fillId="19" borderId="75" xfId="0" applyNumberFormat="1" applyFont="1" applyFill="1" applyBorder="1"/>
    <xf numFmtId="164" fontId="41" fillId="19" borderId="0" xfId="0" applyNumberFormat="1" applyFont="1" applyFill="1" applyBorder="1" applyAlignment="1">
      <alignment vertical="center"/>
    </xf>
    <xf numFmtId="164" fontId="41" fillId="19" borderId="70" xfId="0" applyNumberFormat="1" applyFont="1" applyFill="1" applyBorder="1" applyAlignment="1">
      <alignment vertical="center"/>
    </xf>
    <xf numFmtId="2" fontId="41" fillId="0" borderId="0" xfId="0" applyNumberFormat="1" applyFont="1" applyBorder="1"/>
    <xf numFmtId="165" fontId="41" fillId="0" borderId="91" xfId="49" applyNumberFormat="1" applyFont="1" applyFill="1" applyBorder="1"/>
    <xf numFmtId="165" fontId="41" fillId="12" borderId="0" xfId="49" applyNumberFormat="1" applyFont="1" applyFill="1" applyBorder="1"/>
    <xf numFmtId="165" fontId="41" fillId="0" borderId="4" xfId="49" applyNumberFormat="1" applyFont="1" applyBorder="1"/>
    <xf numFmtId="164" fontId="41" fillId="0" borderId="79" xfId="0" applyNumberFormat="1" applyFont="1" applyFill="1" applyBorder="1"/>
    <xf numFmtId="164" fontId="41" fillId="20" borderId="0" xfId="0" applyNumberFormat="1" applyFont="1" applyFill="1" applyBorder="1" applyAlignment="1">
      <alignment vertical="center"/>
    </xf>
    <xf numFmtId="164" fontId="41" fillId="0" borderId="81" xfId="0" applyNumberFormat="1" applyFont="1" applyBorder="1" applyAlignment="1">
      <alignment vertical="center"/>
    </xf>
    <xf numFmtId="165" fontId="41" fillId="0" borderId="16" xfId="49" applyNumberFormat="1" applyFont="1" applyFill="1" applyBorder="1"/>
    <xf numFmtId="165" fontId="41" fillId="12" borderId="0" xfId="49" applyNumberFormat="1" applyFont="1" applyFill="1" applyBorder="1" applyAlignment="1">
      <alignment vertical="center"/>
    </xf>
    <xf numFmtId="165" fontId="41" fillId="0" borderId="29" xfId="49" applyNumberFormat="1" applyFont="1" applyBorder="1" applyAlignment="1">
      <alignment vertical="center"/>
    </xf>
    <xf numFmtId="164" fontId="41" fillId="19" borderId="0" xfId="0" applyNumberFormat="1" applyFont="1" applyFill="1"/>
    <xf numFmtId="2" fontId="41" fillId="19" borderId="0" xfId="0" applyNumberFormat="1" applyFont="1" applyFill="1"/>
    <xf numFmtId="2" fontId="41" fillId="0" borderId="0" xfId="0" applyNumberFormat="1" applyFont="1"/>
    <xf numFmtId="2" fontId="41" fillId="0" borderId="81" xfId="0" applyNumberFormat="1" applyFont="1" applyBorder="1"/>
    <xf numFmtId="1" fontId="41" fillId="12" borderId="39" xfId="0" applyNumberFormat="1" applyFont="1" applyFill="1" applyBorder="1" applyAlignment="1"/>
    <xf numFmtId="164" fontId="41" fillId="12" borderId="0" xfId="49" applyNumberFormat="1" applyFont="1" applyFill="1" applyBorder="1" applyAlignment="1"/>
    <xf numFmtId="164" fontId="41" fillId="0" borderId="29" xfId="49" applyNumberFormat="1" applyFont="1" applyBorder="1" applyAlignment="1"/>
    <xf numFmtId="164" fontId="41" fillId="19" borderId="75" xfId="0" applyNumberFormat="1" applyFont="1" applyFill="1" applyBorder="1" applyAlignment="1"/>
    <xf numFmtId="164" fontId="56" fillId="19" borderId="0" xfId="0" applyNumberFormat="1" applyFont="1" applyFill="1" applyBorder="1" applyAlignment="1"/>
    <xf numFmtId="2" fontId="41" fillId="0" borderId="0" xfId="0" applyNumberFormat="1" applyFont="1" applyBorder="1" applyAlignment="1"/>
    <xf numFmtId="175" fontId="39" fillId="0" borderId="0" xfId="0" applyNumberFormat="1" applyFont="1"/>
    <xf numFmtId="0" fontId="75" fillId="0" borderId="75" xfId="0" applyFont="1" applyBorder="1" applyAlignment="1">
      <alignment horizontal="center"/>
    </xf>
    <xf numFmtId="14" fontId="62" fillId="0" borderId="75" xfId="0" applyNumberFormat="1" applyFont="1" applyBorder="1" applyAlignment="1"/>
    <xf numFmtId="164" fontId="62" fillId="0" borderId="75" xfId="0" applyNumberFormat="1" applyFont="1" applyBorder="1" applyAlignment="1">
      <alignment horizontal="center"/>
    </xf>
    <xf numFmtId="0" fontId="8" fillId="0" borderId="75" xfId="0" applyFont="1" applyBorder="1" applyAlignment="1">
      <alignment horizontal="center"/>
    </xf>
    <xf numFmtId="164" fontId="0" fillId="1" borderId="75" xfId="0" applyNumberFormat="1" applyFill="1" applyBorder="1"/>
    <xf numFmtId="166" fontId="47" fillId="10" borderId="75" xfId="0" applyNumberFormat="1" applyFont="1" applyFill="1" applyBorder="1"/>
    <xf numFmtId="165" fontId="39" fillId="0" borderId="39" xfId="49" applyNumberFormat="1" applyFont="1" applyFill="1" applyBorder="1" applyAlignment="1"/>
    <xf numFmtId="164" fontId="47" fillId="0" borderId="16" xfId="0" applyNumberFormat="1" applyFont="1" applyFill="1" applyBorder="1" applyAlignment="1"/>
    <xf numFmtId="164" fontId="47" fillId="0" borderId="0" xfId="0" applyNumberFormat="1" applyFont="1" applyFill="1" applyBorder="1" applyAlignment="1"/>
    <xf numFmtId="164" fontId="39" fillId="0" borderId="29" xfId="0" applyNumberFormat="1" applyFont="1" applyFill="1" applyBorder="1" applyAlignment="1"/>
    <xf numFmtId="164" fontId="47" fillId="0" borderId="29" xfId="0" applyNumberFormat="1" applyFont="1" applyFill="1" applyBorder="1" applyAlignment="1"/>
    <xf numFmtId="164" fontId="39" fillId="12" borderId="0" xfId="0" applyNumberFormat="1" applyFont="1" applyFill="1" applyBorder="1" applyAlignment="1"/>
    <xf numFmtId="164" fontId="47" fillId="12" borderId="0" xfId="0" applyNumberFormat="1" applyFont="1" applyFill="1" applyBorder="1" applyAlignment="1"/>
    <xf numFmtId="165" fontId="39" fillId="0" borderId="0" xfId="49" applyNumberFormat="1" applyFont="1" applyFill="1" applyBorder="1" applyAlignment="1"/>
    <xf numFmtId="165" fontId="39" fillId="12" borderId="29" xfId="49" applyNumberFormat="1" applyFont="1" applyFill="1" applyBorder="1" applyAlignment="1"/>
    <xf numFmtId="164" fontId="39" fillId="0" borderId="75" xfId="0" applyNumberFormat="1" applyFont="1" applyBorder="1" applyAlignment="1">
      <alignment horizontal="right"/>
    </xf>
    <xf numFmtId="164" fontId="39" fillId="0" borderId="0" xfId="0" applyNumberFormat="1" applyFont="1" applyBorder="1" applyAlignment="1">
      <alignment horizontal="right"/>
    </xf>
    <xf numFmtId="164" fontId="39" fillId="0" borderId="70" xfId="0" applyNumberFormat="1" applyFont="1" applyBorder="1" applyAlignment="1">
      <alignment horizontal="right"/>
    </xf>
    <xf numFmtId="0" fontId="39" fillId="11" borderId="23" xfId="0" applyFont="1" applyFill="1" applyBorder="1"/>
    <xf numFmtId="0" fontId="39" fillId="11" borderId="16" xfId="0" applyFont="1" applyFill="1" applyBorder="1"/>
    <xf numFmtId="164" fontId="38" fillId="11" borderId="26" xfId="0" quotePrefix="1" applyNumberFormat="1" applyFont="1" applyFill="1" applyBorder="1" applyAlignment="1" applyProtection="1">
      <alignment horizontal="right"/>
    </xf>
    <xf numFmtId="0" fontId="39" fillId="11" borderId="38" xfId="0" applyFont="1" applyFill="1" applyBorder="1"/>
    <xf numFmtId="0" fontId="39" fillId="11" borderId="39" xfId="0" applyFont="1" applyFill="1" applyBorder="1"/>
    <xf numFmtId="164" fontId="47" fillId="11" borderId="52" xfId="0" applyNumberFormat="1" applyFont="1" applyFill="1" applyBorder="1" applyProtection="1"/>
    <xf numFmtId="164" fontId="47" fillId="11" borderId="40" xfId="0" applyNumberFormat="1" applyFont="1" applyFill="1" applyBorder="1" applyProtection="1"/>
    <xf numFmtId="164" fontId="47" fillId="11" borderId="53" xfId="0" applyNumberFormat="1" applyFont="1" applyFill="1" applyBorder="1" applyProtection="1"/>
    <xf numFmtId="0" fontId="47" fillId="11" borderId="3" xfId="0" applyFont="1" applyFill="1" applyBorder="1" applyAlignment="1" applyProtection="1">
      <alignment horizontal="left"/>
    </xf>
    <xf numFmtId="164" fontId="47" fillId="11" borderId="33" xfId="0" applyNumberFormat="1" applyFont="1" applyFill="1" applyBorder="1" applyAlignment="1" applyProtection="1">
      <alignment horizontal="right"/>
    </xf>
    <xf numFmtId="164" fontId="47" fillId="11" borderId="58" xfId="0" applyNumberFormat="1" applyFont="1" applyFill="1" applyBorder="1" applyAlignment="1" applyProtection="1">
      <alignment horizontal="right"/>
    </xf>
    <xf numFmtId="0" fontId="39" fillId="11" borderId="17" xfId="0" applyFont="1" applyFill="1" applyBorder="1" applyAlignment="1" applyProtection="1">
      <alignment horizontal="left"/>
    </xf>
    <xf numFmtId="0" fontId="39" fillId="11" borderId="0" xfId="0" applyFont="1" applyFill="1" applyBorder="1" applyAlignment="1" applyProtection="1">
      <alignment horizontal="left"/>
    </xf>
    <xf numFmtId="0" fontId="41" fillId="11" borderId="28" xfId="0" quotePrefix="1" applyFont="1" applyFill="1" applyBorder="1" applyAlignment="1" applyProtection="1">
      <alignment horizontal="left"/>
    </xf>
    <xf numFmtId="164" fontId="41" fillId="0" borderId="19" xfId="0" applyNumberFormat="1" applyFont="1" applyFill="1" applyBorder="1" applyAlignment="1" applyProtection="1">
      <alignment horizontal="right"/>
    </xf>
    <xf numFmtId="0" fontId="41" fillId="0" borderId="51" xfId="0" applyFont="1" applyFill="1" applyBorder="1" applyProtection="1"/>
    <xf numFmtId="164" fontId="41" fillId="0" borderId="51" xfId="0" applyNumberFormat="1" applyFont="1" applyFill="1" applyBorder="1" applyAlignment="1" applyProtection="1">
      <alignment horizontal="right"/>
    </xf>
    <xf numFmtId="0" fontId="38" fillId="0" borderId="17" xfId="0" applyFont="1" applyFill="1" applyBorder="1"/>
    <xf numFmtId="0" fontId="38" fillId="0" borderId="0" xfId="0" applyFont="1" applyFill="1" applyBorder="1"/>
    <xf numFmtId="164" fontId="47" fillId="0" borderId="40" xfId="0" applyNumberFormat="1" applyFont="1" applyFill="1" applyBorder="1" applyAlignment="1" applyProtection="1">
      <alignment horizontal="right"/>
    </xf>
    <xf numFmtId="164" fontId="47" fillId="0" borderId="42" xfId="0" applyNumberFormat="1" applyFont="1" applyFill="1" applyBorder="1" applyAlignment="1" applyProtection="1">
      <alignment horizontal="right"/>
    </xf>
    <xf numFmtId="0" fontId="35" fillId="11" borderId="17" xfId="0" applyFont="1" applyFill="1" applyBorder="1"/>
    <xf numFmtId="164" fontId="38" fillId="11" borderId="20" xfId="0" quotePrefix="1" applyNumberFormat="1" applyFont="1" applyFill="1" applyBorder="1" applyAlignment="1" applyProtection="1">
      <alignment horizontal="right"/>
    </xf>
    <xf numFmtId="164" fontId="38" fillId="11" borderId="36" xfId="0" quotePrefix="1" applyNumberFormat="1" applyFont="1" applyFill="1" applyBorder="1" applyAlignment="1" applyProtection="1">
      <alignment horizontal="right"/>
    </xf>
    <xf numFmtId="0" fontId="41" fillId="11" borderId="47" xfId="0" quotePrefix="1" applyFont="1" applyFill="1" applyBorder="1" applyAlignment="1" applyProtection="1">
      <alignment horizontal="left"/>
    </xf>
    <xf numFmtId="0" fontId="41" fillId="11" borderId="48" xfId="0" applyFont="1" applyFill="1" applyBorder="1" applyAlignment="1" applyProtection="1">
      <alignment horizontal="center"/>
    </xf>
    <xf numFmtId="164" fontId="41" fillId="11" borderId="48" xfId="0" applyNumberFormat="1" applyFont="1" applyFill="1" applyBorder="1" applyAlignment="1" applyProtection="1">
      <alignment horizontal="right"/>
    </xf>
    <xf numFmtId="164" fontId="41" fillId="11" borderId="49" xfId="0" applyNumberFormat="1" applyFont="1" applyFill="1" applyBorder="1" applyAlignment="1" applyProtection="1">
      <alignment horizontal="right"/>
    </xf>
    <xf numFmtId="0" fontId="41" fillId="11" borderId="37" xfId="0" applyFont="1" applyFill="1" applyBorder="1" applyAlignment="1" applyProtection="1">
      <alignment horizontal="center"/>
    </xf>
    <xf numFmtId="164" fontId="41" fillId="11" borderId="47" xfId="0" quotePrefix="1" applyNumberFormat="1" applyFont="1" applyFill="1" applyBorder="1" applyAlignment="1" applyProtection="1">
      <alignment horizontal="right"/>
    </xf>
    <xf numFmtId="0" fontId="47" fillId="11" borderId="6" xfId="0" quotePrefix="1" applyFont="1" applyFill="1" applyBorder="1" applyAlignment="1" applyProtection="1">
      <alignment horizontal="left"/>
    </xf>
    <xf numFmtId="0" fontId="47" fillId="11" borderId="5" xfId="0" quotePrefix="1" applyFont="1" applyFill="1" applyBorder="1" applyAlignment="1" applyProtection="1">
      <alignment horizontal="left"/>
    </xf>
    <xf numFmtId="0" fontId="47" fillId="11" borderId="7" xfId="0" quotePrefix="1" applyFont="1" applyFill="1" applyBorder="1" applyAlignment="1" applyProtection="1">
      <alignment horizontal="right"/>
    </xf>
    <xf numFmtId="164" fontId="41" fillId="11" borderId="50" xfId="0" applyNumberFormat="1" applyFont="1" applyFill="1" applyBorder="1" applyProtection="1"/>
    <xf numFmtId="164" fontId="41" fillId="0" borderId="22" xfId="0" applyNumberFormat="1" applyFont="1" applyFill="1" applyBorder="1" applyProtection="1"/>
    <xf numFmtId="164" fontId="41" fillId="0" borderId="7" xfId="0" applyNumberFormat="1" applyFont="1" applyFill="1" applyBorder="1" applyProtection="1"/>
    <xf numFmtId="1" fontId="47" fillId="20" borderId="86" xfId="0" applyNumberFormat="1" applyFont="1" applyFill="1" applyBorder="1" applyAlignment="1"/>
    <xf numFmtId="1" fontId="47" fillId="12" borderId="96" xfId="0" applyNumberFormat="1" applyFont="1" applyFill="1" applyBorder="1" applyAlignment="1"/>
    <xf numFmtId="0" fontId="55" fillId="33" borderId="16" xfId="0" applyFont="1" applyFill="1" applyBorder="1" applyAlignment="1">
      <alignment horizontal="right"/>
    </xf>
    <xf numFmtId="1" fontId="47" fillId="20" borderId="84" xfId="0" applyNumberFormat="1" applyFont="1" applyFill="1" applyBorder="1" applyAlignment="1"/>
    <xf numFmtId="0" fontId="35" fillId="19" borderId="0" xfId="0" applyFont="1" applyFill="1" applyBorder="1" applyAlignment="1">
      <alignment horizontal="center"/>
    </xf>
    <xf numFmtId="0" fontId="62" fillId="19" borderId="0" xfId="0" applyFont="1" applyFill="1" applyBorder="1"/>
    <xf numFmtId="0" fontId="62" fillId="19" borderId="0" xfId="0" applyFont="1" applyFill="1" applyBorder="1" applyAlignment="1">
      <alignment horizontal="center"/>
    </xf>
    <xf numFmtId="164" fontId="62" fillId="14" borderId="0" xfId="0" applyNumberFormat="1" applyFont="1" applyFill="1" applyBorder="1"/>
    <xf numFmtId="164" fontId="39" fillId="19" borderId="0" xfId="0" applyNumberFormat="1" applyFont="1" applyFill="1" applyBorder="1" applyAlignment="1">
      <alignment horizontal="right"/>
    </xf>
    <xf numFmtId="164" fontId="39" fillId="0" borderId="0" xfId="0" applyNumberFormat="1" applyFont="1"/>
    <xf numFmtId="2" fontId="47" fillId="10" borderId="70" xfId="0" applyNumberFormat="1" applyFont="1" applyFill="1" applyBorder="1" applyAlignment="1"/>
    <xf numFmtId="0" fontId="8" fillId="0" borderId="0" xfId="0" applyFont="1" applyBorder="1" applyAlignment="1">
      <alignment horizontal="center"/>
    </xf>
    <xf numFmtId="164" fontId="0" fillId="1" borderId="0" xfId="0" applyNumberFormat="1" applyFill="1" applyBorder="1"/>
    <xf numFmtId="166" fontId="47" fillId="10" borderId="0" xfId="0" applyNumberFormat="1" applyFont="1" applyFill="1" applyBorder="1"/>
    <xf numFmtId="0" fontId="62" fillId="0" borderId="70" xfId="0" applyFont="1" applyBorder="1" applyAlignment="1"/>
    <xf numFmtId="164" fontId="0" fillId="0" borderId="71" xfId="0" applyNumberFormat="1" applyBorder="1" applyAlignment="1">
      <alignment horizontal="right"/>
    </xf>
    <xf numFmtId="164" fontId="35" fillId="0" borderId="88" xfId="0" applyNumberFormat="1" applyFont="1" applyFill="1" applyBorder="1" applyAlignment="1">
      <alignment horizontal="right"/>
    </xf>
    <xf numFmtId="14" fontId="10" fillId="0" borderId="77" xfId="0" applyNumberFormat="1" applyFont="1" applyFill="1" applyBorder="1" applyAlignment="1" applyProtection="1">
      <alignment horizontal="center" vertical="center"/>
    </xf>
    <xf numFmtId="2" fontId="66" fillId="0" borderId="71" xfId="0" applyNumberFormat="1" applyFont="1" applyBorder="1" applyAlignment="1"/>
    <xf numFmtId="164" fontId="40" fillId="18" borderId="0" xfId="49" applyNumberFormat="1" applyFont="1" applyFill="1" applyBorder="1"/>
    <xf numFmtId="2" fontId="39" fillId="19" borderId="0" xfId="0" applyNumberFormat="1" applyFont="1" applyFill="1" applyBorder="1" applyAlignment="1"/>
    <xf numFmtId="164" fontId="40" fillId="18" borderId="67" xfId="49" applyNumberFormat="1" applyFont="1" applyFill="1" applyBorder="1"/>
    <xf numFmtId="164" fontId="40" fillId="18" borderId="0" xfId="49" applyNumberFormat="1" applyFont="1" applyFill="1" applyBorder="1" applyAlignment="1">
      <alignment horizontal="right"/>
    </xf>
    <xf numFmtId="0" fontId="40" fillId="20" borderId="0" xfId="0" applyFont="1" applyFill="1" applyBorder="1"/>
    <xf numFmtId="2" fontId="39" fillId="10" borderId="79" xfId="0" applyNumberFormat="1" applyFont="1" applyFill="1" applyBorder="1" applyAlignment="1">
      <alignment horizontal="center"/>
    </xf>
    <xf numFmtId="14" fontId="10" fillId="14" borderId="63" xfId="0" applyNumberFormat="1" applyFont="1" applyFill="1" applyBorder="1" applyAlignment="1" applyProtection="1">
      <alignment horizontal="center" vertical="center"/>
    </xf>
    <xf numFmtId="14" fontId="10" fillId="14" borderId="66" xfId="0" applyNumberFormat="1" applyFont="1" applyFill="1" applyBorder="1" applyAlignment="1" applyProtection="1">
      <alignment horizontal="center" vertical="center"/>
    </xf>
    <xf numFmtId="14" fontId="10" fillId="14" borderId="66" xfId="0" quotePrefix="1" applyNumberFormat="1" applyFont="1" applyFill="1" applyBorder="1" applyAlignment="1" applyProtection="1">
      <alignment horizontal="center" vertical="center"/>
    </xf>
    <xf numFmtId="0" fontId="10" fillId="20" borderId="89" xfId="0" applyFont="1" applyFill="1" applyBorder="1" applyAlignment="1">
      <alignment horizontal="center"/>
    </xf>
    <xf numFmtId="166" fontId="39" fillId="0" borderId="0" xfId="0" applyNumberFormat="1" applyFont="1"/>
    <xf numFmtId="166" fontId="35" fillId="0" borderId="0" xfId="0" applyNumberFormat="1" applyFont="1"/>
    <xf numFmtId="2" fontId="35" fillId="0" borderId="79" xfId="0" applyNumberFormat="1" applyFont="1" applyFill="1" applyBorder="1" applyAlignment="1"/>
    <xf numFmtId="2" fontId="66" fillId="38" borderId="71" xfId="0" applyNumberFormat="1" applyFont="1" applyFill="1" applyBorder="1" applyAlignment="1"/>
    <xf numFmtId="164" fontId="49" fillId="18" borderId="0" xfId="0" applyNumberFormat="1" applyFont="1" applyFill="1" applyBorder="1" applyAlignment="1">
      <alignment horizontal="right"/>
    </xf>
    <xf numFmtId="2" fontId="10" fillId="0" borderId="116" xfId="0" applyNumberFormat="1" applyFont="1" applyFill="1" applyBorder="1" applyAlignment="1">
      <alignment horizontal="right"/>
    </xf>
    <xf numFmtId="0" fontId="39" fillId="30" borderId="0" xfId="0" applyFont="1" applyFill="1" applyAlignment="1">
      <alignment horizontal="center"/>
    </xf>
    <xf numFmtId="0" fontId="39" fillId="38" borderId="0" xfId="0" applyFont="1" applyFill="1" applyAlignment="1">
      <alignment horizontal="center"/>
    </xf>
    <xf numFmtId="165" fontId="10" fillId="0" borderId="61" xfId="0" applyNumberFormat="1" applyFont="1" applyFill="1" applyBorder="1" applyAlignment="1">
      <alignment horizontal="right"/>
    </xf>
    <xf numFmtId="0" fontId="130" fillId="0" borderId="15" xfId="34" applyFont="1" applyFill="1" applyBorder="1"/>
    <xf numFmtId="0" fontId="130" fillId="10" borderId="13" xfId="0" applyFont="1" applyFill="1" applyBorder="1" applyAlignment="1">
      <alignment horizontal="center"/>
    </xf>
    <xf numFmtId="0" fontId="130" fillId="10" borderId="61" xfId="0" applyFont="1" applyFill="1" applyBorder="1"/>
    <xf numFmtId="0" fontId="131" fillId="10" borderId="61" xfId="0" applyFont="1" applyFill="1" applyBorder="1"/>
    <xf numFmtId="0" fontId="131" fillId="10" borderId="13" xfId="0" applyFont="1" applyFill="1" applyBorder="1" applyAlignment="1">
      <alignment horizontal="center"/>
    </xf>
    <xf numFmtId="0" fontId="131" fillId="10" borderId="14" xfId="0" applyFont="1" applyFill="1" applyBorder="1" applyAlignment="1">
      <alignment horizontal="center"/>
    </xf>
    <xf numFmtId="164" fontId="132" fillId="0" borderId="61" xfId="0" applyNumberFormat="1" applyFont="1" applyFill="1" applyBorder="1" applyAlignment="1">
      <alignment horizontal="right"/>
    </xf>
    <xf numFmtId="0" fontId="131" fillId="0" borderId="0" xfId="0" applyFont="1" applyBorder="1"/>
    <xf numFmtId="164" fontId="35" fillId="20" borderId="16" xfId="0" applyNumberFormat="1" applyFont="1" applyFill="1" applyBorder="1" applyAlignment="1"/>
    <xf numFmtId="2" fontId="47" fillId="20" borderId="16" xfId="0" applyNumberFormat="1" applyFont="1" applyFill="1" applyBorder="1" applyAlignment="1"/>
    <xf numFmtId="164" fontId="35" fillId="0" borderId="123" xfId="0" applyNumberFormat="1" applyFont="1" applyBorder="1" applyAlignment="1"/>
    <xf numFmtId="0" fontId="10" fillId="18" borderId="0" xfId="0" applyFont="1" applyFill="1" applyBorder="1" applyAlignment="1">
      <alignment horizontal="center"/>
    </xf>
    <xf numFmtId="10" fontId="39" fillId="0" borderId="16" xfId="49" applyNumberFormat="1" applyFont="1" applyBorder="1" applyAlignment="1"/>
    <xf numFmtId="10" fontId="39" fillId="0" borderId="0" xfId="49" applyNumberFormat="1" applyFont="1" applyBorder="1" applyAlignment="1"/>
    <xf numFmtId="10" fontId="39" fillId="0" borderId="29" xfId="49" applyNumberFormat="1" applyFont="1" applyBorder="1" applyAlignment="1"/>
    <xf numFmtId="10" fontId="35" fillId="0" borderId="16" xfId="49" applyNumberFormat="1" applyFont="1" applyBorder="1" applyAlignment="1"/>
    <xf numFmtId="10" fontId="35" fillId="0" borderId="0" xfId="49" applyNumberFormat="1" applyFont="1" applyBorder="1" applyAlignment="1"/>
    <xf numFmtId="10" fontId="35" fillId="0" borderId="29" xfId="49" applyNumberFormat="1" applyFont="1" applyBorder="1" applyAlignment="1"/>
    <xf numFmtId="0" fontId="35" fillId="25" borderId="0" xfId="36" applyFill="1" applyProtection="1"/>
    <xf numFmtId="0" fontId="35" fillId="25" borderId="0" xfId="36" applyFill="1" applyAlignment="1" applyProtection="1">
      <alignment horizontal="center"/>
    </xf>
    <xf numFmtId="0" fontId="35" fillId="25" borderId="0" xfId="36" applyFont="1" applyFill="1" applyProtection="1"/>
    <xf numFmtId="0" fontId="38" fillId="25" borderId="0" xfId="36" applyFont="1" applyFill="1" applyProtection="1"/>
    <xf numFmtId="0" fontId="118" fillId="25" borderId="0" xfId="36" applyFont="1" applyFill="1" applyProtection="1"/>
    <xf numFmtId="0" fontId="58" fillId="25" borderId="0" xfId="36" applyFont="1" applyFill="1" applyProtection="1"/>
    <xf numFmtId="0" fontId="58" fillId="25" borderId="0" xfId="36" applyFont="1" applyFill="1" applyAlignment="1" applyProtection="1">
      <alignment horizontal="center"/>
    </xf>
    <xf numFmtId="0" fontId="68" fillId="25" borderId="0" xfId="36" applyFont="1" applyFill="1" applyProtection="1"/>
    <xf numFmtId="0" fontId="48" fillId="14" borderId="52" xfId="36" applyFont="1" applyFill="1" applyBorder="1" applyAlignment="1" applyProtection="1">
      <alignment horizontal="left"/>
    </xf>
    <xf numFmtId="0" fontId="58" fillId="14" borderId="39" xfId="36" applyFont="1" applyFill="1" applyBorder="1" applyProtection="1"/>
    <xf numFmtId="0" fontId="58" fillId="14" borderId="39" xfId="36" applyFont="1" applyFill="1" applyBorder="1"/>
    <xf numFmtId="0" fontId="58" fillId="14" borderId="126" xfId="36" applyFont="1" applyFill="1" applyBorder="1" applyProtection="1"/>
    <xf numFmtId="0" fontId="94" fillId="25" borderId="0" xfId="36" applyFont="1" applyFill="1" applyProtection="1"/>
    <xf numFmtId="0" fontId="51" fillId="11" borderId="18" xfId="36" applyFont="1" applyFill="1" applyBorder="1" applyAlignment="1" applyProtection="1">
      <alignment horizontal="left"/>
    </xf>
    <xf numFmtId="0" fontId="58" fillId="11" borderId="16" xfId="36" applyFont="1" applyFill="1" applyBorder="1" applyProtection="1"/>
    <xf numFmtId="14" fontId="84" fillId="10" borderId="19" xfId="36" applyNumberFormat="1" applyFont="1" applyFill="1" applyBorder="1" applyAlignment="1" applyProtection="1">
      <alignment horizontal="center"/>
    </xf>
    <xf numFmtId="0" fontId="51" fillId="11" borderId="35" xfId="36" applyFont="1" applyFill="1" applyBorder="1" applyAlignment="1" applyProtection="1">
      <alignment horizontal="left"/>
    </xf>
    <xf numFmtId="0" fontId="58" fillId="11" borderId="29" xfId="36" applyFont="1" applyFill="1" applyBorder="1" applyProtection="1"/>
    <xf numFmtId="0" fontId="84" fillId="10" borderId="36" xfId="36" applyFont="1" applyFill="1" applyBorder="1" applyAlignment="1" applyProtection="1">
      <alignment horizontal="center"/>
    </xf>
    <xf numFmtId="0" fontId="35" fillId="25" borderId="0" xfId="36" applyFont="1" applyFill="1" applyBorder="1" applyProtection="1"/>
    <xf numFmtId="0" fontId="37" fillId="25" borderId="0" xfId="36" applyFont="1" applyFill="1" applyProtection="1"/>
    <xf numFmtId="0" fontId="9" fillId="25" borderId="0" xfId="36" applyFont="1" applyFill="1" applyProtection="1"/>
    <xf numFmtId="0" fontId="9" fillId="25" borderId="0" xfId="36" applyFont="1" applyFill="1" applyAlignment="1" applyProtection="1">
      <alignment horizontal="center"/>
    </xf>
    <xf numFmtId="14" fontId="36" fillId="25" borderId="0" xfId="36" applyNumberFormat="1" applyFont="1" applyFill="1" applyAlignment="1" applyProtection="1">
      <alignment horizontal="left"/>
    </xf>
    <xf numFmtId="0" fontId="36" fillId="25" borderId="0" xfId="36" applyFont="1" applyFill="1" applyBorder="1" applyProtection="1"/>
    <xf numFmtId="0" fontId="35" fillId="0" borderId="0" xfId="36" applyProtection="1"/>
    <xf numFmtId="0" fontId="35" fillId="0" borderId="0" xfId="36" applyAlignment="1" applyProtection="1">
      <alignment horizontal="center"/>
    </xf>
    <xf numFmtId="0" fontId="35" fillId="0" borderId="0" xfId="36" applyFont="1" applyAlignment="1" applyProtection="1">
      <alignment horizontal="center"/>
    </xf>
    <xf numFmtId="0" fontId="35" fillId="0" borderId="0" xfId="36" applyFont="1" applyProtection="1"/>
    <xf numFmtId="0" fontId="38" fillId="0" borderId="0" xfId="36" applyFont="1" applyProtection="1"/>
    <xf numFmtId="0" fontId="35" fillId="0" borderId="0" xfId="36" applyAlignment="1" applyProtection="1">
      <alignment horizontal="right"/>
    </xf>
    <xf numFmtId="1" fontId="37" fillId="0" borderId="0" xfId="0" applyNumberFormat="1" applyFont="1" applyBorder="1" applyAlignment="1" applyProtection="1">
      <alignment horizontal="center"/>
    </xf>
    <xf numFmtId="0" fontId="137" fillId="0" borderId="0" xfId="0" applyFont="1" applyAlignment="1" applyProtection="1">
      <alignment horizontal="center"/>
    </xf>
    <xf numFmtId="164" fontId="138" fillId="18" borderId="0" xfId="0" applyNumberFormat="1" applyFont="1" applyFill="1" applyBorder="1" applyAlignment="1">
      <alignment horizontal="right"/>
    </xf>
    <xf numFmtId="1" fontId="139" fillId="0" borderId="0" xfId="0" applyNumberFormat="1" applyFont="1"/>
    <xf numFmtId="1" fontId="39" fillId="14" borderId="71" xfId="0" applyNumberFormat="1" applyFont="1" applyFill="1" applyBorder="1" applyAlignment="1">
      <alignment horizontal="center"/>
    </xf>
    <xf numFmtId="176" fontId="47" fillId="0" borderId="0" xfId="0" applyNumberFormat="1" applyFont="1" applyAlignment="1"/>
    <xf numFmtId="164" fontId="35" fillId="0" borderId="16" xfId="0" applyNumberFormat="1" applyFont="1" applyBorder="1" applyAlignment="1"/>
    <xf numFmtId="164" fontId="37" fillId="14" borderId="75" xfId="0" applyNumberFormat="1" applyFont="1" applyFill="1" applyBorder="1"/>
    <xf numFmtId="164" fontId="37" fillId="14" borderId="0" xfId="0" applyNumberFormat="1" applyFont="1" applyFill="1" applyBorder="1"/>
    <xf numFmtId="164" fontId="37" fillId="14" borderId="70" xfId="0" applyNumberFormat="1" applyFont="1" applyFill="1" applyBorder="1"/>
    <xf numFmtId="2" fontId="37" fillId="10" borderId="75" xfId="0" applyNumberFormat="1" applyFont="1" applyFill="1" applyBorder="1" applyAlignment="1">
      <alignment horizontal="right"/>
    </xf>
    <xf numFmtId="0" fontId="0" fillId="0" borderId="0" xfId="0" applyFill="1" applyProtection="1"/>
    <xf numFmtId="2" fontId="40" fillId="20" borderId="79" xfId="0" applyNumberFormat="1" applyFont="1" applyFill="1" applyBorder="1" applyAlignment="1"/>
    <xf numFmtId="166" fontId="35" fillId="14" borderId="0" xfId="0" applyNumberFormat="1" applyFont="1" applyFill="1" applyBorder="1" applyAlignment="1">
      <alignment horizontal="right"/>
    </xf>
    <xf numFmtId="166" fontId="39" fillId="14" borderId="71" xfId="0" applyNumberFormat="1" applyFont="1" applyFill="1" applyBorder="1" applyAlignment="1">
      <alignment horizontal="right"/>
    </xf>
    <xf numFmtId="2" fontId="37" fillId="10" borderId="79" xfId="0" applyNumberFormat="1" applyFont="1" applyFill="1" applyBorder="1" applyAlignment="1"/>
    <xf numFmtId="165" fontId="50" fillId="18" borderId="0" xfId="49" applyNumberFormat="1" applyFont="1" applyFill="1" applyBorder="1"/>
    <xf numFmtId="166" fontId="47" fillId="11" borderId="20" xfId="0" quotePrefix="1" applyNumberFormat="1" applyFont="1" applyFill="1" applyBorder="1" applyAlignment="1" applyProtection="1">
      <alignment horizontal="center"/>
    </xf>
    <xf numFmtId="10" fontId="35" fillId="0" borderId="0" xfId="49" applyNumberFormat="1" applyFont="1" applyProtection="1"/>
    <xf numFmtId="10" fontId="39" fillId="0" borderId="0" xfId="49" applyNumberFormat="1" applyFont="1" applyFill="1" applyBorder="1" applyAlignment="1"/>
    <xf numFmtId="166" fontId="35" fillId="18" borderId="0" xfId="0" applyNumberFormat="1" applyFont="1" applyFill="1" applyBorder="1" applyAlignment="1">
      <alignment horizontal="right"/>
    </xf>
    <xf numFmtId="166" fontId="35" fillId="18" borderId="0" xfId="0" applyNumberFormat="1" applyFont="1" applyFill="1" applyBorder="1"/>
    <xf numFmtId="0" fontId="37" fillId="0" borderId="0" xfId="0" applyFont="1" applyAlignment="1">
      <alignment horizontal="center" vertical="center" wrapText="1"/>
    </xf>
    <xf numFmtId="0" fontId="35" fillId="0" borderId="0" xfId="0" applyFont="1" applyAlignment="1">
      <alignment vertical="center" wrapText="1"/>
    </xf>
    <xf numFmtId="10" fontId="41" fillId="0" borderId="16" xfId="49" applyNumberFormat="1" applyFont="1" applyBorder="1" applyAlignment="1"/>
    <xf numFmtId="166" fontId="47" fillId="11" borderId="20" xfId="0" applyNumberFormat="1" applyFont="1" applyFill="1" applyBorder="1" applyProtection="1"/>
    <xf numFmtId="2" fontId="41" fillId="11" borderId="20" xfId="0" applyNumberFormat="1" applyFont="1" applyFill="1" applyBorder="1" applyAlignment="1" applyProtection="1">
      <alignment horizontal="center"/>
    </xf>
    <xf numFmtId="2" fontId="47" fillId="10" borderId="75" xfId="0" applyNumberFormat="1" applyFont="1" applyFill="1" applyBorder="1" applyAlignment="1">
      <alignment horizontal="right"/>
    </xf>
    <xf numFmtId="2" fontId="47" fillId="10" borderId="70" xfId="0" applyNumberFormat="1" applyFont="1" applyFill="1" applyBorder="1" applyAlignment="1">
      <alignment horizontal="right"/>
    </xf>
    <xf numFmtId="2" fontId="41" fillId="0" borderId="75" xfId="0" applyNumberFormat="1" applyFont="1" applyFill="1" applyBorder="1" applyAlignment="1">
      <alignment horizontal="right"/>
    </xf>
    <xf numFmtId="2" fontId="41" fillId="0" borderId="70" xfId="0" applyNumberFormat="1" applyFont="1" applyFill="1" applyBorder="1" applyAlignment="1"/>
    <xf numFmtId="2" fontId="35" fillId="0" borderId="75" xfId="0" applyNumberFormat="1" applyFont="1" applyBorder="1" applyAlignment="1">
      <alignment horizontal="right"/>
    </xf>
    <xf numFmtId="2" fontId="35" fillId="0" borderId="75" xfId="0" applyNumberFormat="1" applyFont="1" applyFill="1" applyBorder="1" applyAlignment="1">
      <alignment horizontal="right"/>
    </xf>
    <xf numFmtId="2" fontId="35" fillId="0" borderId="70" xfId="0" applyNumberFormat="1" applyFont="1" applyFill="1" applyBorder="1" applyAlignment="1">
      <alignment horizontal="right"/>
    </xf>
    <xf numFmtId="2" fontId="35" fillId="0" borderId="70" xfId="0" applyNumberFormat="1" applyFont="1" applyFill="1" applyBorder="1" applyAlignment="1"/>
    <xf numFmtId="2" fontId="41" fillId="0" borderId="70" xfId="0" applyNumberFormat="1" applyFont="1" applyFill="1" applyBorder="1" applyAlignment="1">
      <alignment horizontal="right"/>
    </xf>
    <xf numFmtId="0" fontId="35" fillId="0" borderId="0" xfId="36" applyBorder="1" applyProtection="1"/>
    <xf numFmtId="0" fontId="35" fillId="0" borderId="0" xfId="36" applyBorder="1"/>
    <xf numFmtId="166" fontId="41" fillId="11" borderId="26" xfId="0" quotePrefix="1" applyNumberFormat="1" applyFont="1" applyFill="1" applyBorder="1" applyAlignment="1" applyProtection="1"/>
    <xf numFmtId="9" fontId="140" fillId="11" borderId="20" xfId="49" applyFont="1" applyFill="1" applyBorder="1" applyAlignment="1" applyProtection="1">
      <alignment horizontal="right"/>
    </xf>
    <xf numFmtId="9" fontId="141" fillId="11" borderId="20" xfId="49" applyFont="1" applyFill="1" applyBorder="1" applyAlignment="1" applyProtection="1">
      <alignment horizontal="right"/>
    </xf>
    <xf numFmtId="2" fontId="39" fillId="0" borderId="79" xfId="0" applyNumberFormat="1" applyFont="1" applyFill="1" applyBorder="1" applyAlignment="1"/>
    <xf numFmtId="164" fontId="39" fillId="0" borderId="79" xfId="0" applyNumberFormat="1" applyFont="1" applyFill="1" applyBorder="1" applyAlignment="1"/>
    <xf numFmtId="164" fontId="35" fillId="12" borderId="70" xfId="0" applyNumberFormat="1" applyFont="1" applyFill="1" applyBorder="1" applyAlignment="1">
      <alignment vertical="center"/>
    </xf>
    <xf numFmtId="164" fontId="35" fillId="12" borderId="81" xfId="0" applyNumberFormat="1" applyFont="1" applyFill="1" applyBorder="1"/>
    <xf numFmtId="164" fontId="35" fillId="12" borderId="70" xfId="0" applyNumberFormat="1" applyFont="1" applyFill="1" applyBorder="1"/>
    <xf numFmtId="0" fontId="142" fillId="11" borderId="20" xfId="0" applyFont="1" applyFill="1" applyBorder="1" applyAlignment="1" applyProtection="1">
      <alignment horizontal="left"/>
    </xf>
    <xf numFmtId="9" fontId="59" fillId="12" borderId="0" xfId="49" applyFont="1" applyFill="1" applyBorder="1" applyAlignment="1" applyProtection="1">
      <alignment horizontal="right"/>
    </xf>
    <xf numFmtId="9" fontId="125" fillId="12" borderId="0" xfId="49" applyFont="1" applyFill="1" applyBorder="1" applyAlignment="1" applyProtection="1">
      <alignment horizontal="right"/>
    </xf>
    <xf numFmtId="0" fontId="125" fillId="12" borderId="0" xfId="0" applyFont="1" applyFill="1" applyBorder="1" applyAlignment="1" applyProtection="1">
      <alignment horizontal="left"/>
    </xf>
    <xf numFmtId="9" fontId="134" fillId="12" borderId="0" xfId="49" applyFont="1" applyFill="1"/>
    <xf numFmtId="2" fontId="10" fillId="0" borderId="61" xfId="0" applyNumberFormat="1" applyFont="1" applyFill="1" applyBorder="1" applyAlignment="1">
      <alignment horizontal="right"/>
    </xf>
    <xf numFmtId="2" fontId="35" fillId="11" borderId="26" xfId="0" applyNumberFormat="1" applyFont="1" applyFill="1" applyBorder="1" applyAlignment="1" applyProtection="1">
      <alignment horizontal="right"/>
    </xf>
    <xf numFmtId="0" fontId="40" fillId="12" borderId="0" xfId="0" applyFont="1" applyFill="1" applyAlignment="1">
      <alignment horizontal="center"/>
    </xf>
    <xf numFmtId="0" fontId="66" fillId="12" borderId="0" xfId="0" applyFont="1" applyFill="1" applyAlignment="1">
      <alignment horizontal="center"/>
    </xf>
    <xf numFmtId="0" fontId="40" fillId="12" borderId="0" xfId="0" applyFont="1" applyFill="1" applyAlignment="1"/>
    <xf numFmtId="164" fontId="40" fillId="12" borderId="0" xfId="0" applyNumberFormat="1" applyFont="1" applyFill="1" applyAlignment="1"/>
    <xf numFmtId="2" fontId="40" fillId="12" borderId="0" xfId="0" applyNumberFormat="1" applyFont="1" applyFill="1" applyAlignment="1"/>
    <xf numFmtId="164" fontId="11" fillId="0" borderId="0" xfId="0" applyNumberFormat="1" applyFont="1" applyAlignment="1">
      <alignment horizontal="center"/>
    </xf>
    <xf numFmtId="164" fontId="35" fillId="0" borderId="0" xfId="0" applyNumberFormat="1" applyFont="1" applyAlignment="1">
      <alignment horizontal="center"/>
    </xf>
    <xf numFmtId="164" fontId="10" fillId="14" borderId="0" xfId="0" applyNumberFormat="1" applyFont="1" applyFill="1" applyAlignment="1">
      <alignment horizontal="center"/>
    </xf>
    <xf numFmtId="164" fontId="35" fillId="14" borderId="0" xfId="0" applyNumberFormat="1" applyFont="1" applyFill="1" applyAlignment="1">
      <alignment horizontal="center"/>
    </xf>
    <xf numFmtId="1" fontId="0" fillId="0" borderId="0" xfId="0" applyNumberFormat="1"/>
    <xf numFmtId="0" fontId="37" fillId="19" borderId="0" xfId="0" applyFont="1" applyFill="1"/>
    <xf numFmtId="1" fontId="37" fillId="19" borderId="0" xfId="0" applyNumberFormat="1" applyFont="1" applyFill="1"/>
    <xf numFmtId="1" fontId="37" fillId="0" borderId="0" xfId="0" applyNumberFormat="1" applyFont="1"/>
    <xf numFmtId="0" fontId="37" fillId="19" borderId="0" xfId="0" applyFont="1" applyFill="1" applyAlignment="1">
      <alignment horizontal="center"/>
    </xf>
    <xf numFmtId="1" fontId="65" fillId="19" borderId="0" xfId="0" applyNumberFormat="1" applyFont="1" applyFill="1"/>
    <xf numFmtId="165" fontId="135" fillId="12" borderId="0" xfId="49" applyNumberFormat="1" applyFont="1" applyFill="1" applyAlignment="1">
      <alignment horizontal="center"/>
    </xf>
    <xf numFmtId="1" fontId="40" fillId="0" borderId="0" xfId="0" applyNumberFormat="1" applyFont="1"/>
    <xf numFmtId="0" fontId="10" fillId="39" borderId="0" xfId="0" applyFont="1" applyFill="1"/>
    <xf numFmtId="165" fontId="10" fillId="0" borderId="0" xfId="0" applyNumberFormat="1" applyFont="1"/>
    <xf numFmtId="165" fontId="35" fillId="12" borderId="0" xfId="49" applyNumberFormat="1" applyFont="1" applyFill="1" applyAlignment="1">
      <alignment horizontal="center"/>
    </xf>
    <xf numFmtId="165" fontId="40" fillId="0" borderId="0" xfId="49" applyNumberFormat="1" applyFont="1"/>
    <xf numFmtId="164" fontId="40" fillId="0" borderId="0" xfId="0" applyNumberFormat="1" applyFont="1"/>
    <xf numFmtId="9" fontId="0" fillId="0" borderId="0" xfId="49" applyFont="1"/>
    <xf numFmtId="9" fontId="40" fillId="0" borderId="0" xfId="49" applyFont="1"/>
    <xf numFmtId="2" fontId="0" fillId="0" borderId="0" xfId="0" applyNumberFormat="1"/>
    <xf numFmtId="2" fontId="40" fillId="0" borderId="0" xfId="0" applyNumberFormat="1" applyFont="1"/>
    <xf numFmtId="164" fontId="0" fillId="0" borderId="0" xfId="49" applyNumberFormat="1" applyFont="1"/>
    <xf numFmtId="164" fontId="40" fillId="0" borderId="0" xfId="49" applyNumberFormat="1" applyFont="1"/>
    <xf numFmtId="14" fontId="0" fillId="0" borderId="0" xfId="0" applyNumberFormat="1"/>
    <xf numFmtId="43" fontId="35" fillId="12" borderId="0" xfId="14" applyFont="1" applyFill="1" applyAlignment="1">
      <alignment horizontal="center"/>
    </xf>
    <xf numFmtId="0" fontId="143" fillId="39" borderId="0" xfId="0" applyFont="1" applyFill="1"/>
    <xf numFmtId="0" fontId="0" fillId="39" borderId="0" xfId="0" applyFill="1"/>
    <xf numFmtId="165" fontId="10" fillId="39" borderId="0" xfId="0" applyNumberFormat="1" applyFont="1" applyFill="1"/>
    <xf numFmtId="165" fontId="11" fillId="0" borderId="0" xfId="0" applyNumberFormat="1" applyFont="1"/>
    <xf numFmtId="165" fontId="10" fillId="39" borderId="0" xfId="0" applyNumberFormat="1" applyFont="1" applyFill="1" applyAlignment="1">
      <alignment horizontal="center"/>
    </xf>
    <xf numFmtId="165" fontId="74" fillId="12" borderId="0" xfId="49" applyNumberFormat="1" applyFont="1" applyFill="1"/>
    <xf numFmtId="165" fontId="40" fillId="12" borderId="0" xfId="49" applyNumberFormat="1" applyFont="1" applyFill="1"/>
    <xf numFmtId="165" fontId="0" fillId="0" borderId="0" xfId="0" applyNumberFormat="1"/>
    <xf numFmtId="165" fontId="40" fillId="0" borderId="0" xfId="0" applyNumberFormat="1" applyFont="1"/>
    <xf numFmtId="164" fontId="47" fillId="11" borderId="65" xfId="0" applyNumberFormat="1" applyFont="1" applyFill="1" applyBorder="1" applyProtection="1"/>
    <xf numFmtId="1" fontId="74" fillId="20" borderId="79" xfId="0" applyNumberFormat="1" applyFont="1" applyFill="1" applyBorder="1" applyAlignment="1"/>
    <xf numFmtId="164" fontId="40" fillId="0" borderId="79" xfId="0" applyNumberFormat="1" applyFont="1" applyFill="1" applyBorder="1" applyAlignment="1"/>
    <xf numFmtId="0" fontId="35" fillId="38" borderId="17" xfId="0" applyFont="1" applyFill="1" applyBorder="1" applyAlignment="1"/>
    <xf numFmtId="165" fontId="10" fillId="0" borderId="2" xfId="0" applyNumberFormat="1" applyFont="1" applyBorder="1"/>
    <xf numFmtId="165" fontId="10" fillId="0" borderId="20" xfId="0" applyNumberFormat="1" applyFont="1" applyBorder="1"/>
    <xf numFmtId="0" fontId="35" fillId="38" borderId="2" xfId="0" applyFont="1" applyFill="1" applyBorder="1" applyAlignment="1"/>
    <xf numFmtId="0" fontId="35" fillId="0" borderId="2" xfId="0" applyFont="1" applyBorder="1" applyAlignment="1"/>
    <xf numFmtId="0" fontId="35" fillId="0" borderId="20" xfId="0" applyFont="1" applyBorder="1" applyAlignment="1"/>
    <xf numFmtId="165" fontId="10" fillId="0" borderId="35" xfId="0" applyNumberFormat="1" applyFont="1" applyBorder="1"/>
    <xf numFmtId="0" fontId="35" fillId="30" borderId="18" xfId="0" applyFont="1" applyFill="1" applyBorder="1" applyAlignment="1"/>
    <xf numFmtId="0" fontId="35" fillId="30" borderId="19" xfId="0" applyFont="1" applyFill="1" applyBorder="1" applyAlignment="1"/>
    <xf numFmtId="0" fontId="0" fillId="38" borderId="0" xfId="0" applyFill="1"/>
    <xf numFmtId="165" fontId="10" fillId="0" borderId="36" xfId="0" applyNumberFormat="1" applyFont="1" applyBorder="1"/>
    <xf numFmtId="0" fontId="35" fillId="38" borderId="26" xfId="0" applyFont="1" applyFill="1" applyBorder="1" applyAlignment="1"/>
    <xf numFmtId="165" fontId="11" fillId="30" borderId="29" xfId="0" applyNumberFormat="1" applyFont="1" applyFill="1" applyBorder="1"/>
    <xf numFmtId="165" fontId="10" fillId="0" borderId="0" xfId="0" applyNumberFormat="1" applyFont="1" applyBorder="1"/>
    <xf numFmtId="0" fontId="35" fillId="30" borderId="16" xfId="0" applyFont="1" applyFill="1" applyBorder="1" applyAlignment="1"/>
    <xf numFmtId="2" fontId="39" fillId="42" borderId="30" xfId="0" applyNumberFormat="1" applyFont="1" applyFill="1" applyBorder="1" applyAlignment="1">
      <alignment horizontal="center"/>
    </xf>
    <xf numFmtId="2" fontId="39" fillId="42" borderId="40" xfId="0" applyNumberFormat="1" applyFont="1" applyFill="1" applyBorder="1" applyAlignment="1">
      <alignment horizontal="center"/>
    </xf>
    <xf numFmtId="164" fontId="144" fillId="0" borderId="61" xfId="0" applyNumberFormat="1" applyFont="1" applyFill="1" applyBorder="1" applyAlignment="1">
      <alignment horizontal="right"/>
    </xf>
    <xf numFmtId="165" fontId="144" fillId="12" borderId="61" xfId="49" applyNumberFormat="1" applyFont="1" applyFill="1" applyBorder="1" applyAlignment="1">
      <alignment horizontal="right"/>
    </xf>
    <xf numFmtId="0" fontId="149" fillId="0" borderId="0" xfId="0" applyFont="1" applyFill="1" applyBorder="1" applyProtection="1"/>
    <xf numFmtId="0" fontId="150" fillId="0" borderId="0" xfId="0" applyFont="1" applyFill="1" applyBorder="1" applyProtection="1"/>
    <xf numFmtId="164" fontId="150" fillId="0" borderId="0" xfId="0" applyNumberFormat="1" applyFont="1" applyFill="1" applyBorder="1" applyProtection="1"/>
    <xf numFmtId="0" fontId="20" fillId="0" borderId="0" xfId="31" applyFill="1" applyBorder="1" applyAlignment="1" applyProtection="1"/>
    <xf numFmtId="0" fontId="150" fillId="0" borderId="0" xfId="0" applyFont="1" applyFill="1" applyBorder="1"/>
    <xf numFmtId="164" fontId="150" fillId="0" borderId="0" xfId="0" applyNumberFormat="1" applyFont="1" applyFill="1" applyBorder="1"/>
    <xf numFmtId="0" fontId="20" fillId="0" borderId="0" xfId="31" applyFont="1" applyFill="1" applyBorder="1" applyAlignment="1" applyProtection="1"/>
    <xf numFmtId="164" fontId="47" fillId="0" borderId="110" xfId="0" applyNumberFormat="1" applyFont="1" applyBorder="1" applyAlignment="1"/>
    <xf numFmtId="164" fontId="47" fillId="0" borderId="112" xfId="0" applyNumberFormat="1" applyFont="1" applyBorder="1" applyAlignment="1"/>
    <xf numFmtId="164" fontId="57" fillId="40" borderId="0" xfId="0" applyNumberFormat="1" applyFont="1" applyFill="1" applyAlignment="1"/>
    <xf numFmtId="164" fontId="10" fillId="43" borderId="61" xfId="0" applyNumberFormat="1" applyFont="1" applyFill="1" applyBorder="1" applyAlignment="1">
      <alignment horizontal="right"/>
    </xf>
    <xf numFmtId="0" fontId="11" fillId="43" borderId="15" xfId="0" applyFont="1" applyFill="1" applyBorder="1"/>
    <xf numFmtId="0" fontId="35" fillId="44" borderId="0" xfId="0" applyFont="1" applyFill="1" applyBorder="1" applyAlignment="1">
      <alignment horizontal="left"/>
    </xf>
    <xf numFmtId="0" fontId="0" fillId="44" borderId="0" xfId="0" applyFill="1" applyBorder="1"/>
    <xf numFmtId="0" fontId="0" fillId="45" borderId="0" xfId="0" applyFill="1" applyBorder="1"/>
    <xf numFmtId="0" fontId="35" fillId="45" borderId="0" xfId="0" applyFont="1" applyFill="1" applyAlignment="1" applyProtection="1">
      <alignment horizontal="left"/>
    </xf>
    <xf numFmtId="10" fontId="35" fillId="0" borderId="0" xfId="49" applyNumberFormat="1" applyFont="1"/>
    <xf numFmtId="2" fontId="0" fillId="14" borderId="0" xfId="0" applyNumberFormat="1" applyFill="1"/>
    <xf numFmtId="164" fontId="41" fillId="20" borderId="0" xfId="0" applyNumberFormat="1" applyFont="1" applyFill="1" applyBorder="1"/>
    <xf numFmtId="2" fontId="0" fillId="0" borderId="29" xfId="0" applyNumberFormat="1" applyBorder="1" applyAlignment="1">
      <alignment horizontal="right"/>
    </xf>
    <xf numFmtId="2" fontId="74" fillId="43" borderId="0" xfId="0" applyNumberFormat="1" applyFont="1" applyFill="1"/>
    <xf numFmtId="2" fontId="151" fillId="15" borderId="75" xfId="0" applyNumberFormat="1" applyFont="1" applyFill="1" applyBorder="1" applyAlignment="1">
      <alignment horizontal="right"/>
    </xf>
    <xf numFmtId="164" fontId="151" fillId="15" borderId="75" xfId="0" applyNumberFormat="1" applyFont="1" applyFill="1" applyBorder="1" applyAlignment="1">
      <alignment horizontal="right"/>
    </xf>
    <xf numFmtId="9" fontId="59" fillId="0" borderId="0" xfId="49" applyFont="1"/>
    <xf numFmtId="164" fontId="74" fillId="43" borderId="0" xfId="0" applyNumberFormat="1" applyFont="1" applyFill="1"/>
    <xf numFmtId="164" fontId="0" fillId="46" borderId="0" xfId="0" applyNumberFormat="1" applyFill="1" applyBorder="1"/>
    <xf numFmtId="164" fontId="114" fillId="11" borderId="42" xfId="0" applyNumberFormat="1" applyFont="1" applyFill="1" applyBorder="1" applyAlignment="1" applyProtection="1">
      <alignment horizontal="right"/>
    </xf>
    <xf numFmtId="164" fontId="47" fillId="10" borderId="81" xfId="0" applyNumberFormat="1" applyFont="1" applyFill="1" applyBorder="1" applyAlignment="1"/>
    <xf numFmtId="166" fontId="0" fillId="46" borderId="0" xfId="0" applyNumberFormat="1" applyFill="1" applyBorder="1" applyProtection="1"/>
    <xf numFmtId="2" fontId="35" fillId="47" borderId="0" xfId="0" applyNumberFormat="1" applyFont="1" applyFill="1" applyBorder="1" applyAlignment="1"/>
    <xf numFmtId="165" fontId="47" fillId="0" borderId="0" xfId="49" applyNumberFormat="1" applyFont="1"/>
    <xf numFmtId="0" fontId="7" fillId="0" borderId="0" xfId="74"/>
    <xf numFmtId="164" fontId="8" fillId="0" borderId="0" xfId="74" applyNumberFormat="1" applyFont="1" applyFill="1" applyProtection="1"/>
    <xf numFmtId="2" fontId="0" fillId="0" borderId="0" xfId="0" applyNumberFormat="1" applyBorder="1" applyProtection="1"/>
    <xf numFmtId="0" fontId="37" fillId="14" borderId="71" xfId="0" applyFont="1" applyFill="1" applyBorder="1" applyAlignment="1"/>
    <xf numFmtId="0" fontId="154" fillId="0" borderId="0" xfId="74" applyFont="1"/>
    <xf numFmtId="0" fontId="8" fillId="0" borderId="0" xfId="0" applyFont="1" applyFill="1"/>
    <xf numFmtId="166" fontId="8" fillId="0" borderId="0" xfId="0" applyNumberFormat="1" applyFont="1" applyFill="1"/>
    <xf numFmtId="1" fontId="35" fillId="0" borderId="0" xfId="0" applyNumberFormat="1" applyFont="1" applyAlignment="1"/>
    <xf numFmtId="164" fontId="41" fillId="0" borderId="0" xfId="0" applyNumberFormat="1" applyFont="1"/>
    <xf numFmtId="164" fontId="47" fillId="11" borderId="41" xfId="0" applyNumberFormat="1" applyFont="1" applyFill="1" applyBorder="1" applyAlignment="1" applyProtection="1">
      <alignment horizontal="left" indent="2"/>
    </xf>
    <xf numFmtId="165" fontId="125" fillId="0" borderId="0" xfId="49" applyNumberFormat="1" applyFont="1" applyAlignment="1"/>
    <xf numFmtId="14" fontId="8" fillId="0" borderId="0" xfId="0" applyNumberFormat="1" applyFont="1" applyFill="1" applyBorder="1" applyAlignment="1"/>
    <xf numFmtId="164" fontId="41" fillId="0" borderId="75" xfId="0" applyNumberFormat="1" applyFont="1" applyBorder="1" applyAlignment="1"/>
    <xf numFmtId="165" fontId="8" fillId="0" borderId="16" xfId="49" applyNumberFormat="1" applyFont="1" applyBorder="1" applyAlignment="1"/>
    <xf numFmtId="165" fontId="8" fillId="0" borderId="0" xfId="49" applyNumberFormat="1" applyFont="1" applyBorder="1" applyAlignment="1"/>
    <xf numFmtId="165" fontId="8" fillId="0" borderId="29" xfId="49" applyNumberFormat="1" applyFont="1" applyBorder="1" applyAlignment="1"/>
    <xf numFmtId="165" fontId="8" fillId="12" borderId="0" xfId="49" applyNumberFormat="1" applyFont="1" applyFill="1" applyBorder="1" applyAlignment="1"/>
    <xf numFmtId="164" fontId="8" fillId="0" borderId="75" xfId="0" applyNumberFormat="1" applyFont="1" applyBorder="1" applyAlignment="1"/>
    <xf numFmtId="164" fontId="8" fillId="0" borderId="0" xfId="0" applyNumberFormat="1" applyFont="1" applyBorder="1" applyAlignment="1"/>
    <xf numFmtId="164" fontId="8" fillId="14" borderId="75" xfId="0" applyNumberFormat="1" applyFont="1" applyFill="1" applyBorder="1" applyAlignment="1"/>
    <xf numFmtId="164" fontId="8" fillId="0" borderId="79" xfId="0" applyNumberFormat="1" applyFont="1" applyBorder="1" applyAlignment="1"/>
    <xf numFmtId="164" fontId="8" fillId="0" borderId="81" xfId="0" applyNumberFormat="1" applyFont="1" applyBorder="1" applyAlignment="1"/>
    <xf numFmtId="164" fontId="8" fillId="20" borderId="0" xfId="0" applyNumberFormat="1" applyFont="1" applyFill="1" applyBorder="1" applyAlignment="1"/>
    <xf numFmtId="164" fontId="41" fillId="14" borderId="0" xfId="0" applyNumberFormat="1" applyFont="1" applyFill="1" applyBorder="1" applyAlignment="1"/>
    <xf numFmtId="164" fontId="41" fillId="0" borderId="70" xfId="0" applyNumberFormat="1" applyFont="1" applyFill="1" applyBorder="1" applyAlignment="1"/>
    <xf numFmtId="10" fontId="41" fillId="0" borderId="0" xfId="49" applyNumberFormat="1" applyFont="1" applyBorder="1" applyAlignment="1"/>
    <xf numFmtId="2" fontId="47" fillId="11" borderId="26" xfId="0" applyNumberFormat="1" applyFont="1" applyFill="1" applyBorder="1" applyProtection="1"/>
    <xf numFmtId="164" fontId="157" fillId="48" borderId="75" xfId="0" applyNumberFormat="1" applyFont="1" applyFill="1" applyBorder="1" applyAlignment="1"/>
    <xf numFmtId="165" fontId="0" fillId="0" borderId="0" xfId="49" applyNumberFormat="1" applyFont="1" applyProtection="1"/>
    <xf numFmtId="165" fontId="10" fillId="0" borderId="116" xfId="49" applyNumberFormat="1" applyFont="1" applyFill="1" applyBorder="1" applyAlignment="1">
      <alignment horizontal="right"/>
    </xf>
    <xf numFmtId="166" fontId="36" fillId="15" borderId="75" xfId="0" applyNumberFormat="1" applyFont="1" applyFill="1" applyBorder="1" applyAlignment="1">
      <alignment horizontal="right"/>
    </xf>
    <xf numFmtId="43" fontId="39" fillId="0" borderId="0" xfId="14" applyFont="1"/>
    <xf numFmtId="2" fontId="39" fillId="0" borderId="0" xfId="0" applyNumberFormat="1" applyFont="1" applyFill="1" applyBorder="1" applyAlignment="1"/>
    <xf numFmtId="0" fontId="8" fillId="0" borderId="0" xfId="0" applyNumberFormat="1" applyFont="1" applyAlignment="1"/>
    <xf numFmtId="14" fontId="8" fillId="0" borderId="0" xfId="0" applyNumberFormat="1" applyFont="1" applyBorder="1" applyAlignment="1"/>
    <xf numFmtId="164" fontId="8" fillId="0" borderId="0" xfId="0" applyNumberFormat="1" applyFont="1" applyAlignment="1"/>
    <xf numFmtId="2" fontId="41" fillId="0" borderId="0" xfId="0" applyNumberFormat="1" applyFont="1" applyFill="1" applyBorder="1" applyAlignment="1"/>
    <xf numFmtId="164" fontId="39" fillId="49" borderId="75" xfId="0" applyNumberFormat="1" applyFont="1" applyFill="1" applyBorder="1" applyAlignment="1"/>
    <xf numFmtId="164" fontId="39" fillId="49" borderId="0" xfId="0" applyNumberFormat="1" applyFont="1" applyFill="1" applyBorder="1" applyAlignment="1"/>
    <xf numFmtId="164" fontId="39" fillId="49" borderId="0" xfId="0" applyNumberFormat="1" applyFont="1" applyFill="1" applyBorder="1" applyAlignment="1">
      <alignment horizontal="right"/>
    </xf>
    <xf numFmtId="164" fontId="35" fillId="12" borderId="0" xfId="0" applyNumberFormat="1" applyFont="1" applyFill="1"/>
    <xf numFmtId="9" fontId="35" fillId="18" borderId="0" xfId="49" applyFont="1" applyFill="1" applyBorder="1" applyAlignment="1">
      <alignment horizontal="right"/>
    </xf>
    <xf numFmtId="9" fontId="35" fillId="18" borderId="0" xfId="49" applyFont="1" applyFill="1" applyBorder="1"/>
    <xf numFmtId="164" fontId="37" fillId="14" borderId="0" xfId="0" applyNumberFormat="1" applyFont="1" applyFill="1"/>
    <xf numFmtId="2" fontId="37" fillId="0" borderId="71" xfId="0" applyNumberFormat="1" applyFont="1" applyBorder="1"/>
    <xf numFmtId="0" fontId="8" fillId="0" borderId="0" xfId="0" applyFont="1" applyProtection="1"/>
    <xf numFmtId="0" fontId="8" fillId="0" borderId="0" xfId="0" applyFont="1" applyFill="1" applyBorder="1" applyAlignment="1">
      <alignment horizontal="left"/>
    </xf>
    <xf numFmtId="179" fontId="0" fillId="0" borderId="0" xfId="0" applyNumberFormat="1" applyFill="1" applyBorder="1" applyProtection="1"/>
    <xf numFmtId="10" fontId="10" fillId="0" borderId="61" xfId="49" applyNumberFormat="1" applyFont="1" applyFill="1" applyBorder="1" applyAlignment="1">
      <alignment horizontal="right"/>
    </xf>
    <xf numFmtId="2" fontId="41" fillId="11" borderId="3" xfId="0" applyNumberFormat="1" applyFont="1" applyFill="1" applyBorder="1" applyAlignment="1" applyProtection="1">
      <alignment horizontal="right"/>
    </xf>
    <xf numFmtId="2" fontId="41" fillId="11" borderId="41" xfId="0" applyNumberFormat="1" applyFont="1" applyFill="1" applyBorder="1" applyAlignment="1" applyProtection="1">
      <alignment horizontal="right"/>
    </xf>
    <xf numFmtId="2" fontId="41" fillId="11" borderId="33" xfId="0" applyNumberFormat="1" applyFont="1" applyFill="1" applyBorder="1" applyAlignment="1" applyProtection="1">
      <alignment horizontal="right"/>
    </xf>
    <xf numFmtId="2" fontId="37" fillId="42" borderId="0" xfId="0" applyNumberFormat="1" applyFont="1" applyFill="1" applyBorder="1" applyAlignment="1"/>
    <xf numFmtId="0" fontId="35" fillId="0" borderId="0" xfId="36" applyAlignment="1" applyProtection="1">
      <alignment horizontal="left"/>
    </xf>
    <xf numFmtId="2" fontId="37" fillId="0" borderId="77" xfId="0" applyNumberFormat="1" applyFont="1" applyBorder="1"/>
    <xf numFmtId="180" fontId="50" fillId="18" borderId="0" xfId="49" applyNumberFormat="1" applyFont="1" applyFill="1" applyBorder="1"/>
    <xf numFmtId="165" fontId="50" fillId="0" borderId="0" xfId="75" applyNumberFormat="1" applyFont="1" applyFill="1" applyBorder="1" applyAlignment="1"/>
    <xf numFmtId="1" fontId="8" fillId="0" borderId="0" xfId="37" applyNumberFormat="1" applyFont="1" applyFill="1" applyBorder="1" applyAlignment="1"/>
    <xf numFmtId="1" fontId="37" fillId="0" borderId="0" xfId="37" applyNumberFormat="1" applyFont="1" applyFill="1" applyBorder="1" applyAlignment="1"/>
    <xf numFmtId="165" fontId="40" fillId="0" borderId="0" xfId="75" applyNumberFormat="1" applyFont="1" applyFill="1" applyBorder="1" applyAlignment="1"/>
    <xf numFmtId="164" fontId="8" fillId="0" borderId="0" xfId="37" applyNumberFormat="1" applyFont="1" applyFill="1" applyBorder="1" applyAlignment="1"/>
    <xf numFmtId="164" fontId="41" fillId="0" borderId="0" xfId="37" applyNumberFormat="1" applyFont="1" applyFill="1" applyBorder="1" applyAlignment="1"/>
    <xf numFmtId="1" fontId="41" fillId="0" borderId="0" xfId="37" applyNumberFormat="1" applyFont="1" applyFill="1" applyBorder="1" applyAlignment="1"/>
    <xf numFmtId="0" fontId="35" fillId="0" borderId="0" xfId="0" applyNumberFormat="1" applyFont="1" applyFill="1" applyBorder="1"/>
    <xf numFmtId="0" fontId="37" fillId="0" borderId="0" xfId="37" applyNumberFormat="1" applyFont="1" applyFill="1" applyBorder="1"/>
    <xf numFmtId="0" fontId="8" fillId="0" borderId="0" xfId="37" applyNumberFormat="1" applyFont="1" applyFill="1" applyBorder="1"/>
    <xf numFmtId="0" fontId="155" fillId="0" borderId="0" xfId="37" applyNumberFormat="1" applyFont="1" applyFill="1" applyBorder="1"/>
    <xf numFmtId="0" fontId="6" fillId="0" borderId="0" xfId="37" applyNumberFormat="1" applyFont="1" applyFill="1" applyBorder="1"/>
    <xf numFmtId="1" fontId="46" fillId="0" borderId="0" xfId="37" applyNumberFormat="1" applyFont="1" applyFill="1" applyBorder="1" applyAlignment="1"/>
    <xf numFmtId="165" fontId="40" fillId="0" borderId="0" xfId="75" applyNumberFormat="1" applyFont="1" applyFill="1" applyBorder="1"/>
    <xf numFmtId="0" fontId="41" fillId="0" borderId="0" xfId="37" applyFont="1" applyFill="1" applyBorder="1"/>
    <xf numFmtId="2" fontId="37" fillId="0" borderId="0" xfId="0" applyNumberFormat="1" applyFont="1" applyFill="1" applyBorder="1" applyAlignment="1"/>
    <xf numFmtId="2" fontId="35" fillId="0" borderId="0" xfId="0" applyNumberFormat="1" applyFont="1" applyFill="1"/>
    <xf numFmtId="165" fontId="41" fillId="0" borderId="0" xfId="49" applyNumberFormat="1" applyFont="1" applyAlignment="1"/>
    <xf numFmtId="0" fontId="49" fillId="0" borderId="0" xfId="0" applyFont="1" applyAlignment="1">
      <alignment wrapText="1"/>
    </xf>
    <xf numFmtId="2" fontId="37" fillId="47" borderId="0" xfId="0" applyNumberFormat="1" applyFont="1" applyFill="1" applyBorder="1" applyAlignment="1"/>
    <xf numFmtId="166" fontId="0" fillId="14" borderId="0" xfId="0" applyNumberFormat="1" applyFill="1"/>
    <xf numFmtId="1" fontId="39" fillId="0" borderId="88" xfId="0" applyNumberFormat="1" applyFont="1" applyFill="1" applyBorder="1" applyAlignment="1">
      <alignment horizontal="center"/>
    </xf>
    <xf numFmtId="2" fontId="157" fillId="0" borderId="0" xfId="0" applyNumberFormat="1" applyFont="1" applyFill="1" applyBorder="1" applyAlignment="1"/>
    <xf numFmtId="164" fontId="10" fillId="49" borderId="61" xfId="0" applyNumberFormat="1" applyFont="1" applyFill="1" applyBorder="1" applyAlignment="1">
      <alignment horizontal="right"/>
    </xf>
    <xf numFmtId="0" fontId="8" fillId="0" borderId="0" xfId="0" applyNumberFormat="1" applyFont="1" applyFill="1" applyBorder="1" applyAlignment="1"/>
    <xf numFmtId="1" fontId="47" fillId="0" borderId="0" xfId="0" applyNumberFormat="1" applyFont="1" applyFill="1" applyBorder="1" applyAlignment="1"/>
    <xf numFmtId="2" fontId="35" fillId="0" borderId="0" xfId="0" applyNumberFormat="1" applyFont="1" applyFill="1" applyBorder="1" applyAlignment="1"/>
    <xf numFmtId="165" fontId="8" fillId="0" borderId="39" xfId="49" applyNumberFormat="1" applyFont="1" applyFill="1" applyBorder="1" applyAlignment="1"/>
    <xf numFmtId="165" fontId="37" fillId="0" borderId="0" xfId="49" applyNumberFormat="1" applyFont="1" applyFill="1" applyBorder="1" applyAlignment="1"/>
    <xf numFmtId="164" fontId="37" fillId="0" borderId="29" xfId="0" applyNumberFormat="1" applyFont="1" applyFill="1" applyBorder="1" applyAlignment="1"/>
    <xf numFmtId="164" fontId="8" fillId="0" borderId="16" xfId="0" applyNumberFormat="1" applyFont="1" applyFill="1" applyBorder="1" applyAlignment="1"/>
    <xf numFmtId="165" fontId="37" fillId="0" borderId="29" xfId="49" applyNumberFormat="1" applyFont="1" applyFill="1" applyBorder="1" applyAlignment="1"/>
    <xf numFmtId="164" fontId="8" fillId="0" borderId="0" xfId="0" applyNumberFormat="1" applyFont="1" applyFill="1" applyBorder="1"/>
    <xf numFmtId="0" fontId="37" fillId="0" borderId="0" xfId="0" applyFont="1" applyFill="1" applyBorder="1" applyAlignment="1"/>
    <xf numFmtId="0" fontId="158" fillId="50" borderId="0" xfId="0" applyFont="1" applyFill="1" applyBorder="1" applyAlignment="1">
      <alignment horizontal="center" vertical="center"/>
    </xf>
    <xf numFmtId="0" fontId="159" fillId="0" borderId="0" xfId="0" applyFont="1" applyFill="1" applyBorder="1" applyAlignment="1"/>
    <xf numFmtId="1" fontId="159" fillId="51" borderId="169" xfId="0" applyNumberFormat="1" applyFont="1" applyFill="1" applyBorder="1" applyAlignment="1"/>
    <xf numFmtId="164" fontId="8" fillId="0" borderId="170" xfId="0" applyNumberFormat="1" applyFont="1" applyFill="1" applyBorder="1" applyAlignment="1"/>
    <xf numFmtId="164" fontId="8" fillId="0" borderId="0" xfId="0" applyNumberFormat="1" applyFont="1" applyFill="1" applyBorder="1" applyAlignment="1"/>
    <xf numFmtId="164" fontId="8" fillId="51" borderId="170" xfId="0" applyNumberFormat="1" applyFont="1" applyFill="1" applyBorder="1" applyAlignment="1"/>
    <xf numFmtId="164" fontId="65" fillId="52" borderId="0" xfId="0" applyNumberFormat="1" applyFont="1" applyFill="1" applyBorder="1" applyAlignment="1">
      <alignment horizontal="right"/>
    </xf>
    <xf numFmtId="164" fontId="159" fillId="0" borderId="0" xfId="0" applyNumberFormat="1" applyFont="1" applyFill="1" applyBorder="1" applyAlignment="1"/>
    <xf numFmtId="1" fontId="159" fillId="53" borderId="171" xfId="0" applyNumberFormat="1" applyFont="1" applyFill="1" applyBorder="1" applyAlignment="1"/>
    <xf numFmtId="164" fontId="8" fillId="0" borderId="172" xfId="0" applyNumberFormat="1" applyFont="1" applyFill="1" applyBorder="1" applyAlignment="1"/>
    <xf numFmtId="164" fontId="8" fillId="53" borderId="16" xfId="0" applyNumberFormat="1" applyFont="1" applyFill="1" applyBorder="1" applyAlignment="1"/>
    <xf numFmtId="164" fontId="8" fillId="54" borderId="0" xfId="0" applyNumberFormat="1" applyFont="1" applyFill="1" applyBorder="1" applyAlignment="1"/>
    <xf numFmtId="1" fontId="37" fillId="54" borderId="16" xfId="0" applyNumberFormat="1" applyFont="1" applyFill="1" applyBorder="1" applyAlignment="1"/>
    <xf numFmtId="10" fontId="37" fillId="0" borderId="16" xfId="49" applyNumberFormat="1" applyFont="1" applyFill="1" applyBorder="1" applyAlignment="1"/>
    <xf numFmtId="10" fontId="37" fillId="0" borderId="0" xfId="49" applyNumberFormat="1" applyFont="1" applyFill="1" applyBorder="1" applyAlignment="1"/>
    <xf numFmtId="10" fontId="8" fillId="0" borderId="0" xfId="49" applyNumberFormat="1" applyFont="1" applyFill="1" applyBorder="1" applyAlignment="1"/>
    <xf numFmtId="10" fontId="37" fillId="0" borderId="29" xfId="49" applyNumberFormat="1" applyFont="1" applyFill="1" applyBorder="1" applyAlignment="1"/>
    <xf numFmtId="165" fontId="8" fillId="54" borderId="0" xfId="49" applyNumberFormat="1" applyFont="1" applyFill="1" applyBorder="1" applyAlignment="1"/>
    <xf numFmtId="1" fontId="159" fillId="54" borderId="16" xfId="0" applyNumberFormat="1" applyFont="1" applyFill="1" applyBorder="1" applyAlignment="1"/>
    <xf numFmtId="164" fontId="159" fillId="0" borderId="16" xfId="0" applyNumberFormat="1" applyFont="1" applyFill="1" applyBorder="1" applyAlignment="1">
      <alignment vertical="center"/>
    </xf>
    <xf numFmtId="2" fontId="159" fillId="54" borderId="0" xfId="0" applyNumberFormat="1" applyFont="1" applyFill="1" applyBorder="1" applyAlignment="1"/>
    <xf numFmtId="2" fontId="159" fillId="55" borderId="173" xfId="49" applyNumberFormat="1" applyFont="1" applyFill="1" applyBorder="1" applyAlignment="1"/>
    <xf numFmtId="165" fontId="159" fillId="0" borderId="0" xfId="49" applyNumberFormat="1" applyFont="1" applyFill="1" applyBorder="1" applyAlignment="1"/>
    <xf numFmtId="165" fontId="159" fillId="54" borderId="29" xfId="49" applyNumberFormat="1" applyFont="1" applyFill="1" applyBorder="1" applyAlignment="1"/>
    <xf numFmtId="164" fontId="8" fillId="0" borderId="174" xfId="0" applyNumberFormat="1" applyFont="1" applyFill="1" applyBorder="1" applyAlignment="1"/>
    <xf numFmtId="164" fontId="159" fillId="53" borderId="0" xfId="0" applyNumberFormat="1" applyFont="1" applyFill="1" applyBorder="1" applyAlignment="1"/>
    <xf numFmtId="165" fontId="65" fillId="52" borderId="0" xfId="49" applyNumberFormat="1" applyFont="1" applyFill="1" applyBorder="1" applyAlignment="1">
      <alignment horizontal="right"/>
    </xf>
    <xf numFmtId="165" fontId="66" fillId="52" borderId="0" xfId="49" applyNumberFormat="1" applyFont="1" applyFill="1" applyBorder="1" applyAlignment="1">
      <alignment horizontal="right"/>
    </xf>
    <xf numFmtId="164" fontId="160" fillId="52" borderId="0" xfId="0" applyNumberFormat="1" applyFont="1" applyFill="1" applyBorder="1" applyAlignment="1">
      <alignment horizontal="right"/>
    </xf>
    <xf numFmtId="1" fontId="37" fillId="53" borderId="171" xfId="0" applyNumberFormat="1" applyFont="1" applyFill="1" applyBorder="1" applyAlignment="1"/>
    <xf numFmtId="164" fontId="8" fillId="53" borderId="0" xfId="0" applyNumberFormat="1" applyFont="1" applyFill="1" applyBorder="1" applyAlignment="1"/>
    <xf numFmtId="165" fontId="8" fillId="0" borderId="16" xfId="49" applyNumberFormat="1" applyFont="1" applyFill="1" applyBorder="1" applyAlignment="1"/>
    <xf numFmtId="165" fontId="8" fillId="0" borderId="0" xfId="49" applyNumberFormat="1" applyFont="1" applyFill="1" applyBorder="1" applyAlignment="1"/>
    <xf numFmtId="165" fontId="8" fillId="0" borderId="29" xfId="49" applyNumberFormat="1" applyFont="1" applyFill="1" applyBorder="1" applyAlignment="1"/>
    <xf numFmtId="164" fontId="66" fillId="52" borderId="0" xfId="0" applyNumberFormat="1" applyFont="1" applyFill="1" applyBorder="1" applyAlignment="1"/>
    <xf numFmtId="165" fontId="65" fillId="53" borderId="0" xfId="49" applyNumberFormat="1" applyFont="1" applyFill="1" applyBorder="1" applyAlignment="1">
      <alignment horizontal="right"/>
    </xf>
    <xf numFmtId="164" fontId="66" fillId="53" borderId="0" xfId="0" applyNumberFormat="1" applyFont="1" applyFill="1" applyBorder="1" applyAlignment="1"/>
    <xf numFmtId="164" fontId="65" fillId="53" borderId="174" xfId="0" applyNumberFormat="1" applyFont="1" applyFill="1" applyBorder="1" applyAlignment="1"/>
    <xf numFmtId="10" fontId="8" fillId="0" borderId="29" xfId="49" applyNumberFormat="1" applyFont="1" applyFill="1" applyBorder="1" applyAlignment="1"/>
    <xf numFmtId="165" fontId="37" fillId="54" borderId="0" xfId="49" applyNumberFormat="1" applyFont="1" applyFill="1" applyBorder="1" applyAlignment="1"/>
    <xf numFmtId="164" fontId="156" fillId="56" borderId="0" xfId="0" applyNumberFormat="1" applyFont="1" applyFill="1" applyBorder="1" applyAlignment="1">
      <alignment horizontal="right"/>
    </xf>
    <xf numFmtId="165" fontId="160" fillId="0" borderId="0" xfId="49" applyNumberFormat="1" applyFont="1" applyFill="1" applyBorder="1" applyAlignment="1"/>
    <xf numFmtId="164" fontId="159" fillId="0" borderId="170" xfId="0" applyNumberFormat="1" applyFont="1" applyFill="1" applyBorder="1" applyAlignment="1"/>
    <xf numFmtId="166" fontId="159" fillId="0" borderId="0" xfId="0" applyNumberFormat="1" applyFont="1" applyFill="1" applyBorder="1" applyAlignment="1"/>
    <xf numFmtId="1" fontId="37" fillId="54" borderId="39" xfId="0" applyNumberFormat="1" applyFont="1" applyFill="1" applyBorder="1" applyAlignment="1"/>
    <xf numFmtId="165" fontId="8" fillId="54" borderId="0" xfId="49" applyNumberFormat="1" applyFont="1" applyFill="1" applyBorder="1" applyAlignment="1">
      <alignment horizontal="right"/>
    </xf>
    <xf numFmtId="1" fontId="37" fillId="51" borderId="169" xfId="0" applyNumberFormat="1" applyFont="1" applyFill="1" applyBorder="1" applyAlignment="1"/>
    <xf numFmtId="164" fontId="37" fillId="0" borderId="0" xfId="0" applyNumberFormat="1" applyFont="1" applyFill="1" applyBorder="1" applyAlignment="1"/>
    <xf numFmtId="2" fontId="8" fillId="0" borderId="170" xfId="0" applyNumberFormat="1" applyFont="1" applyFill="1" applyBorder="1" applyAlignment="1"/>
    <xf numFmtId="2" fontId="8" fillId="0" borderId="0" xfId="0" applyNumberFormat="1" applyFont="1" applyFill="1" applyBorder="1" applyAlignment="1"/>
    <xf numFmtId="2" fontId="8" fillId="51" borderId="170" xfId="0" applyNumberFormat="1" applyFont="1" applyFill="1" applyBorder="1" applyAlignment="1"/>
    <xf numFmtId="167" fontId="160" fillId="52" borderId="0" xfId="0" applyNumberFormat="1" applyFont="1" applyFill="1" applyBorder="1" applyAlignment="1">
      <alignment horizontal="right"/>
    </xf>
    <xf numFmtId="164" fontId="153" fillId="0" borderId="172" xfId="0" applyNumberFormat="1" applyFont="1" applyFill="1" applyBorder="1" applyAlignment="1"/>
    <xf numFmtId="164" fontId="153" fillId="0" borderId="0" xfId="0" applyNumberFormat="1" applyFont="1" applyFill="1" applyBorder="1" applyAlignment="1"/>
    <xf numFmtId="164" fontId="153" fillId="0" borderId="174" xfId="0" applyNumberFormat="1" applyFont="1" applyFill="1" applyBorder="1" applyAlignment="1"/>
    <xf numFmtId="164" fontId="153" fillId="53" borderId="0" xfId="0" applyNumberFormat="1" applyFont="1" applyFill="1" applyBorder="1" applyAlignment="1"/>
    <xf numFmtId="1" fontId="159" fillId="54" borderId="39" xfId="0" applyNumberFormat="1" applyFont="1" applyFill="1" applyBorder="1" applyAlignment="1"/>
    <xf numFmtId="164" fontId="153" fillId="0" borderId="16" xfId="0" applyNumberFormat="1" applyFont="1" applyFill="1" applyBorder="1" applyAlignment="1"/>
    <xf numFmtId="164" fontId="153" fillId="0" borderId="29" xfId="0" applyNumberFormat="1" applyFont="1" applyFill="1" applyBorder="1" applyAlignment="1"/>
    <xf numFmtId="165" fontId="153" fillId="0" borderId="16" xfId="49" applyNumberFormat="1" applyFont="1" applyFill="1" applyBorder="1" applyAlignment="1"/>
    <xf numFmtId="165" fontId="153" fillId="0" borderId="0" xfId="49" applyNumberFormat="1" applyFont="1" applyFill="1" applyBorder="1" applyAlignment="1"/>
    <xf numFmtId="165" fontId="153" fillId="0" borderId="29" xfId="49" applyNumberFormat="1" applyFont="1" applyFill="1" applyBorder="1" applyAlignment="1"/>
    <xf numFmtId="165" fontId="153" fillId="54" borderId="0" xfId="49" applyNumberFormat="1" applyFont="1" applyFill="1" applyBorder="1" applyAlignment="1"/>
    <xf numFmtId="164" fontId="159" fillId="0" borderId="16" xfId="0" applyNumberFormat="1" applyFont="1" applyFill="1" applyBorder="1" applyAlignment="1"/>
    <xf numFmtId="164" fontId="159" fillId="54" borderId="0" xfId="0" applyNumberFormat="1" applyFont="1" applyFill="1" applyBorder="1" applyAlignment="1"/>
    <xf numFmtId="164" fontId="37" fillId="54" borderId="0" xfId="0" applyNumberFormat="1" applyFont="1" applyFill="1" applyBorder="1" applyAlignment="1"/>
    <xf numFmtId="165" fontId="37" fillId="54" borderId="29" xfId="49" applyNumberFormat="1" applyFont="1" applyFill="1" applyBorder="1" applyAlignment="1"/>
    <xf numFmtId="2" fontId="159" fillId="51" borderId="0" xfId="0" applyNumberFormat="1" applyFont="1" applyFill="1" applyBorder="1" applyAlignment="1"/>
    <xf numFmtId="164" fontId="160" fillId="52" borderId="0" xfId="0" applyNumberFormat="1" applyFont="1" applyFill="1" applyBorder="1" applyAlignment="1"/>
    <xf numFmtId="2" fontId="159" fillId="53" borderId="0" xfId="0" applyNumberFormat="1" applyFont="1" applyFill="1" applyBorder="1" applyAlignment="1"/>
    <xf numFmtId="2" fontId="160" fillId="53" borderId="0" xfId="0" applyNumberFormat="1" applyFont="1" applyFill="1" applyBorder="1" applyAlignment="1"/>
    <xf numFmtId="165" fontId="37" fillId="0" borderId="16" xfId="49" applyNumberFormat="1" applyFont="1" applyFill="1" applyBorder="1" applyAlignment="1"/>
    <xf numFmtId="10" fontId="37" fillId="54" borderId="0" xfId="49" applyNumberFormat="1" applyFont="1" applyFill="1" applyBorder="1" applyAlignment="1"/>
    <xf numFmtId="2" fontId="8" fillId="57" borderId="0" xfId="0" applyNumberFormat="1" applyFont="1" applyFill="1" applyBorder="1" applyAlignment="1"/>
    <xf numFmtId="176" fontId="159" fillId="0" borderId="0" xfId="0" applyNumberFormat="1" applyFont="1" applyFill="1" applyBorder="1" applyAlignment="1"/>
    <xf numFmtId="2" fontId="159" fillId="0" borderId="0" xfId="0" applyNumberFormat="1" applyFont="1" applyFill="1" applyBorder="1" applyAlignment="1"/>
    <xf numFmtId="2" fontId="37" fillId="0" borderId="0" xfId="49" applyNumberFormat="1" applyFont="1" applyFill="1" applyBorder="1" applyAlignment="1"/>
    <xf numFmtId="164" fontId="159" fillId="51" borderId="170" xfId="0" applyNumberFormat="1" applyFont="1" applyFill="1" applyBorder="1" applyAlignment="1"/>
    <xf numFmtId="164" fontId="159" fillId="0" borderId="172" xfId="0" applyNumberFormat="1" applyFont="1" applyFill="1" applyBorder="1" applyAlignment="1"/>
    <xf numFmtId="164" fontId="159" fillId="0" borderId="174" xfId="0" applyNumberFormat="1" applyFont="1" applyFill="1" applyBorder="1" applyAlignment="1"/>
    <xf numFmtId="164" fontId="37" fillId="0" borderId="170" xfId="0" applyNumberFormat="1" applyFont="1" applyFill="1" applyBorder="1" applyAlignment="1"/>
    <xf numFmtId="164" fontId="37" fillId="51" borderId="170" xfId="0" applyNumberFormat="1" applyFont="1" applyFill="1" applyBorder="1" applyAlignment="1"/>
    <xf numFmtId="164" fontId="37" fillId="0" borderId="172" xfId="0" applyNumberFormat="1" applyFont="1" applyFill="1" applyBorder="1" applyAlignment="1"/>
    <xf numFmtId="164" fontId="37" fillId="0" borderId="174" xfId="0" applyNumberFormat="1" applyFont="1" applyFill="1" applyBorder="1" applyAlignment="1"/>
    <xf numFmtId="164" fontId="37" fillId="53" borderId="0" xfId="0" applyNumberFormat="1" applyFont="1" applyFill="1" applyBorder="1" applyAlignment="1"/>
    <xf numFmtId="10" fontId="159" fillId="0" borderId="16" xfId="49" applyNumberFormat="1" applyFont="1" applyFill="1" applyBorder="1" applyAlignment="1"/>
    <xf numFmtId="10" fontId="159" fillId="0" borderId="0" xfId="49" applyNumberFormat="1" applyFont="1" applyFill="1" applyBorder="1" applyAlignment="1"/>
    <xf numFmtId="10" fontId="159" fillId="0" borderId="29" xfId="49" applyNumberFormat="1" applyFont="1" applyFill="1" applyBorder="1" applyAlignment="1"/>
    <xf numFmtId="10" fontId="159" fillId="54" borderId="0" xfId="49" applyNumberFormat="1" applyFont="1" applyFill="1" applyBorder="1" applyAlignment="1"/>
    <xf numFmtId="165" fontId="160" fillId="52" borderId="0" xfId="49" applyNumberFormat="1" applyFont="1" applyFill="1" applyBorder="1" applyAlignment="1"/>
    <xf numFmtId="164" fontId="153" fillId="51" borderId="170" xfId="0" applyNumberFormat="1" applyFont="1" applyFill="1" applyBorder="1" applyAlignment="1"/>
    <xf numFmtId="0" fontId="37" fillId="52" borderId="0" xfId="0" applyFont="1" applyFill="1" applyBorder="1"/>
    <xf numFmtId="164" fontId="160" fillId="53" borderId="0" xfId="0" applyNumberFormat="1" applyFont="1" applyFill="1" applyBorder="1" applyAlignment="1"/>
    <xf numFmtId="164" fontId="8" fillId="51" borderId="0" xfId="0" applyNumberFormat="1" applyFont="1" applyFill="1" applyBorder="1" applyAlignment="1"/>
    <xf numFmtId="2" fontId="159" fillId="51" borderId="170" xfId="0" applyNumberFormat="1" applyFont="1" applyFill="1" applyBorder="1" applyAlignment="1"/>
    <xf numFmtId="166" fontId="159" fillId="0" borderId="175" xfId="0" applyNumberFormat="1" applyFont="1" applyFill="1" applyBorder="1" applyAlignment="1"/>
    <xf numFmtId="1" fontId="159" fillId="51" borderId="170" xfId="0" applyNumberFormat="1" applyFont="1" applyFill="1" applyBorder="1" applyAlignment="1"/>
    <xf numFmtId="2" fontId="159" fillId="0" borderId="176" xfId="0" applyNumberFormat="1" applyFont="1" applyFill="1" applyBorder="1" applyAlignment="1"/>
    <xf numFmtId="164" fontId="159" fillId="0" borderId="177" xfId="0" applyNumberFormat="1" applyFont="1" applyFill="1" applyBorder="1" applyAlignment="1"/>
    <xf numFmtId="164" fontId="40" fillId="54" borderId="0" xfId="0" applyNumberFormat="1" applyFont="1" applyFill="1" applyBorder="1" applyAlignment="1"/>
    <xf numFmtId="2" fontId="40" fillId="54" borderId="0" xfId="0" applyNumberFormat="1" applyFont="1" applyFill="1" applyBorder="1" applyAlignment="1"/>
    <xf numFmtId="10" fontId="8" fillId="54" borderId="0" xfId="49" applyNumberFormat="1" applyFont="1" applyFill="1" applyBorder="1" applyAlignment="1"/>
    <xf numFmtId="164" fontId="8" fillId="0" borderId="175" xfId="0" applyNumberFormat="1" applyFont="1" applyFill="1" applyBorder="1" applyAlignment="1"/>
    <xf numFmtId="165" fontId="159" fillId="0" borderId="16" xfId="49" applyNumberFormat="1" applyFont="1" applyFill="1" applyBorder="1" applyAlignment="1"/>
    <xf numFmtId="165" fontId="159" fillId="0" borderId="29" xfId="49" applyNumberFormat="1" applyFont="1" applyFill="1" applyBorder="1" applyAlignment="1"/>
    <xf numFmtId="165" fontId="159" fillId="54" borderId="0" xfId="49" applyNumberFormat="1" applyFont="1" applyFill="1" applyBorder="1" applyAlignment="1">
      <alignment vertical="center"/>
    </xf>
    <xf numFmtId="166" fontId="159" fillId="58" borderId="170" xfId="0" applyNumberFormat="1" applyFont="1" applyFill="1" applyBorder="1"/>
    <xf numFmtId="166" fontId="159" fillId="58" borderId="0" xfId="0" applyNumberFormat="1" applyFont="1" applyFill="1" applyBorder="1"/>
    <xf numFmtId="164" fontId="8" fillId="51" borderId="0" xfId="0" applyNumberFormat="1" applyFont="1" applyFill="1" applyBorder="1"/>
    <xf numFmtId="164" fontId="153" fillId="0" borderId="170" xfId="0" applyNumberFormat="1" applyFont="1" applyFill="1" applyBorder="1" applyAlignment="1"/>
    <xf numFmtId="164" fontId="153" fillId="51" borderId="0" xfId="0" applyNumberFormat="1" applyFont="1" applyFill="1" applyBorder="1" applyAlignment="1"/>
    <xf numFmtId="164" fontId="153" fillId="0" borderId="175" xfId="0" applyNumberFormat="1" applyFont="1" applyFill="1" applyBorder="1" applyAlignment="1"/>
    <xf numFmtId="2" fontId="160" fillId="52" borderId="0" xfId="0" applyNumberFormat="1" applyFont="1" applyFill="1" applyBorder="1" applyAlignment="1">
      <alignment horizontal="right"/>
    </xf>
    <xf numFmtId="1" fontId="159" fillId="54" borderId="178" xfId="0" applyNumberFormat="1" applyFont="1" applyFill="1" applyBorder="1" applyAlignment="1"/>
    <xf numFmtId="10" fontId="159" fillId="0" borderId="178" xfId="49" applyNumberFormat="1" applyFont="1" applyFill="1" applyBorder="1" applyAlignment="1"/>
    <xf numFmtId="10" fontId="159" fillId="0" borderId="179" xfId="49" applyNumberFormat="1" applyFont="1" applyFill="1" applyBorder="1" applyAlignment="1"/>
    <xf numFmtId="2" fontId="153" fillId="0" borderId="170" xfId="0" applyNumberFormat="1" applyFont="1" applyFill="1" applyBorder="1" applyAlignment="1">
      <alignment horizontal="right"/>
    </xf>
    <xf numFmtId="2" fontId="153" fillId="0" borderId="175" xfId="0" applyNumberFormat="1" applyFont="1" applyFill="1" applyBorder="1" applyAlignment="1"/>
    <xf numFmtId="164" fontId="8" fillId="0" borderId="29" xfId="49" applyNumberFormat="1" applyFont="1" applyFill="1" applyBorder="1" applyAlignment="1"/>
    <xf numFmtId="1" fontId="159" fillId="54" borderId="180" xfId="0" applyNumberFormat="1" applyFont="1" applyFill="1" applyBorder="1" applyAlignment="1"/>
    <xf numFmtId="10" fontId="159" fillId="0" borderId="0" xfId="0" applyNumberFormat="1" applyFont="1" applyFill="1" applyBorder="1" applyAlignment="1"/>
    <xf numFmtId="2" fontId="153" fillId="0" borderId="175" xfId="0" applyNumberFormat="1" applyFont="1" applyFill="1" applyBorder="1" applyAlignment="1">
      <alignment horizontal="right"/>
    </xf>
    <xf numFmtId="165" fontId="159" fillId="0" borderId="0" xfId="0" applyNumberFormat="1" applyFont="1" applyFill="1" applyBorder="1" applyAlignment="1"/>
    <xf numFmtId="165" fontId="8" fillId="54" borderId="170" xfId="49" applyNumberFormat="1" applyFont="1" applyFill="1" applyBorder="1" applyAlignment="1"/>
    <xf numFmtId="164" fontId="8" fillId="0" borderId="170" xfId="0" applyNumberFormat="1" applyFont="1" applyFill="1" applyBorder="1" applyAlignment="1">
      <alignment horizontal="right"/>
    </xf>
    <xf numFmtId="164" fontId="8" fillId="0" borderId="0" xfId="0" applyNumberFormat="1" applyFont="1" applyFill="1" applyBorder="1" applyAlignment="1">
      <alignment horizontal="right"/>
    </xf>
    <xf numFmtId="0" fontId="8" fillId="0" borderId="0" xfId="0" applyFont="1" applyFill="1" applyBorder="1" applyAlignment="1"/>
    <xf numFmtId="164" fontId="8" fillId="0" borderId="175" xfId="0" applyNumberFormat="1" applyFont="1" applyFill="1" applyBorder="1" applyAlignment="1">
      <alignment horizontal="right"/>
    </xf>
    <xf numFmtId="164" fontId="66" fillId="52" borderId="0" xfId="0" applyNumberFormat="1" applyFont="1" applyFill="1" applyBorder="1" applyAlignment="1">
      <alignment horizontal="right"/>
    </xf>
    <xf numFmtId="2" fontId="46" fillId="42" borderId="75" xfId="0" applyNumberFormat="1" applyFont="1" applyFill="1" applyBorder="1" applyAlignment="1">
      <alignment horizontal="right"/>
    </xf>
    <xf numFmtId="0" fontId="66" fillId="0" borderId="0" xfId="0" applyFont="1" applyFill="1"/>
    <xf numFmtId="164" fontId="47" fillId="11" borderId="5" xfId="0" quotePrefix="1" applyNumberFormat="1" applyFont="1" applyFill="1" applyBorder="1" applyAlignment="1" applyProtection="1">
      <alignment horizontal="right"/>
    </xf>
    <xf numFmtId="164" fontId="47" fillId="11" borderId="45" xfId="0" quotePrefix="1" applyNumberFormat="1" applyFont="1" applyFill="1" applyBorder="1" applyAlignment="1" applyProtection="1">
      <alignment horizontal="right"/>
    </xf>
    <xf numFmtId="43" fontId="0" fillId="0" borderId="0" xfId="14" applyFont="1"/>
    <xf numFmtId="10" fontId="41" fillId="33" borderId="0" xfId="0" applyNumberFormat="1" applyFont="1" applyFill="1" applyBorder="1"/>
    <xf numFmtId="10" fontId="50" fillId="33" borderId="29" xfId="49" applyNumberFormat="1" applyFont="1" applyFill="1" applyBorder="1"/>
    <xf numFmtId="1" fontId="62" fillId="0" borderId="3" xfId="0" applyNumberFormat="1" applyFont="1" applyBorder="1" applyAlignment="1">
      <alignment horizontal="right"/>
    </xf>
    <xf numFmtId="9" fontId="39" fillId="0" borderId="0" xfId="49" applyFont="1"/>
    <xf numFmtId="164" fontId="39" fillId="20" borderId="0" xfId="0" applyNumberFormat="1" applyFont="1" applyFill="1" applyBorder="1"/>
    <xf numFmtId="2" fontId="157" fillId="0" borderId="84" xfId="0" applyNumberFormat="1" applyFont="1" applyBorder="1" applyAlignment="1"/>
    <xf numFmtId="2" fontId="35" fillId="0" borderId="88" xfId="0" applyNumberFormat="1" applyFont="1" applyFill="1" applyBorder="1" applyAlignment="1"/>
    <xf numFmtId="164" fontId="39" fillId="20" borderId="88" xfId="0" applyNumberFormat="1" applyFont="1" applyFill="1" applyBorder="1" applyAlignment="1">
      <alignment horizontal="center"/>
    </xf>
    <xf numFmtId="164" fontId="157" fillId="0" borderId="0" xfId="0" applyNumberFormat="1" applyFont="1" applyFill="1" applyBorder="1"/>
    <xf numFmtId="1" fontId="8" fillId="0" borderId="0" xfId="0" applyNumberFormat="1" applyFont="1" applyFill="1"/>
    <xf numFmtId="0" fontId="8" fillId="44" borderId="0" xfId="0" applyFont="1" applyFill="1"/>
    <xf numFmtId="3" fontId="8" fillId="0" borderId="0" xfId="0" applyNumberFormat="1" applyFont="1" applyFill="1"/>
    <xf numFmtId="164" fontId="6" fillId="47" borderId="60" xfId="0" applyNumberFormat="1" applyFont="1" applyFill="1" applyBorder="1" applyAlignment="1">
      <alignment horizontal="right"/>
    </xf>
    <xf numFmtId="9" fontId="35" fillId="0" borderId="0" xfId="49" applyFont="1" applyAlignment="1"/>
    <xf numFmtId="165" fontId="35" fillId="0" borderId="0" xfId="49" applyNumberFormat="1" applyFont="1" applyAlignment="1"/>
    <xf numFmtId="0" fontId="37" fillId="0" borderId="0" xfId="0" applyNumberFormat="1" applyFont="1" applyAlignment="1"/>
    <xf numFmtId="0" fontId="37" fillId="0" borderId="29" xfId="0" applyNumberFormat="1" applyFont="1" applyBorder="1" applyAlignment="1"/>
    <xf numFmtId="0" fontId="3" fillId="0" borderId="0" xfId="0" applyNumberFormat="1" applyFont="1" applyAlignment="1"/>
    <xf numFmtId="164" fontId="47" fillId="0" borderId="0" xfId="0" applyNumberFormat="1" applyFont="1" applyAlignment="1">
      <alignment horizontal="right"/>
    </xf>
    <xf numFmtId="0" fontId="3" fillId="0" borderId="0" xfId="0" applyNumberFormat="1" applyFont="1" applyAlignment="1">
      <alignment horizontal="right"/>
    </xf>
    <xf numFmtId="181" fontId="47" fillId="0" borderId="0" xfId="14" applyNumberFormat="1" applyFont="1" applyAlignment="1">
      <alignment horizontal="right"/>
    </xf>
    <xf numFmtId="0" fontId="35" fillId="0" borderId="0" xfId="0" applyNumberFormat="1" applyFont="1" applyAlignment="1">
      <alignment horizontal="right"/>
    </xf>
    <xf numFmtId="0" fontId="37" fillId="42" borderId="29" xfId="0" applyNumberFormat="1" applyFont="1" applyFill="1" applyBorder="1" applyAlignment="1"/>
    <xf numFmtId="164" fontId="35" fillId="42" borderId="0" xfId="0" applyNumberFormat="1" applyFont="1" applyFill="1" applyAlignment="1"/>
    <xf numFmtId="0" fontId="35" fillId="42" borderId="0" xfId="0" applyNumberFormat="1" applyFont="1" applyFill="1" applyAlignment="1"/>
    <xf numFmtId="0" fontId="37" fillId="0" borderId="0" xfId="0" applyFont="1" applyBorder="1"/>
    <xf numFmtId="2" fontId="0" fillId="0" borderId="0" xfId="0" applyNumberFormat="1" applyBorder="1"/>
    <xf numFmtId="0" fontId="37" fillId="0" borderId="0" xfId="0" applyNumberFormat="1" applyFont="1" applyBorder="1" applyAlignment="1"/>
    <xf numFmtId="2" fontId="35" fillId="42" borderId="0" xfId="0" applyNumberFormat="1" applyFont="1" applyFill="1" applyAlignment="1"/>
    <xf numFmtId="0" fontId="163" fillId="0" borderId="0" xfId="0" applyNumberFormat="1" applyFont="1" applyAlignment="1"/>
    <xf numFmtId="181" fontId="35" fillId="0" borderId="0" xfId="14" applyNumberFormat="1" applyFont="1" applyAlignment="1"/>
    <xf numFmtId="181" fontId="35" fillId="42" borderId="0" xfId="14" applyNumberFormat="1" applyFont="1" applyFill="1" applyAlignment="1"/>
    <xf numFmtId="0" fontId="2" fillId="0" borderId="0" xfId="0" applyNumberFormat="1" applyFont="1" applyAlignment="1"/>
    <xf numFmtId="0" fontId="2" fillId="0" borderId="0" xfId="0" applyNumberFormat="1" applyFont="1" applyBorder="1" applyAlignment="1"/>
    <xf numFmtId="0" fontId="35" fillId="0" borderId="29" xfId="0" applyNumberFormat="1" applyFont="1" applyBorder="1" applyAlignment="1"/>
    <xf numFmtId="2" fontId="46" fillId="42" borderId="29" xfId="0" applyNumberFormat="1" applyFont="1" applyFill="1" applyBorder="1" applyAlignment="1"/>
    <xf numFmtId="2" fontId="40" fillId="0" borderId="0" xfId="0" applyNumberFormat="1" applyFont="1" applyAlignment="1"/>
    <xf numFmtId="0" fontId="40" fillId="0" borderId="0" xfId="0" applyNumberFormat="1" applyFont="1" applyFill="1" applyBorder="1" applyAlignment="1"/>
    <xf numFmtId="164" fontId="40" fillId="0" borderId="0" xfId="0" applyNumberFormat="1" applyFont="1" applyAlignment="1"/>
    <xf numFmtId="0" fontId="40" fillId="0" borderId="0" xfId="0" applyNumberFormat="1" applyFont="1" applyAlignment="1"/>
    <xf numFmtId="164" fontId="2" fillId="0" borderId="0" xfId="0" applyNumberFormat="1" applyFont="1" applyAlignment="1"/>
    <xf numFmtId="0" fontId="37" fillId="44" borderId="29" xfId="0" applyNumberFormat="1" applyFont="1" applyFill="1" applyBorder="1" applyAlignment="1"/>
    <xf numFmtId="2" fontId="164" fillId="0" borderId="0" xfId="0" applyNumberFormat="1" applyFont="1" applyFill="1" applyBorder="1" applyAlignment="1"/>
    <xf numFmtId="0" fontId="164" fillId="0" borderId="0" xfId="0" applyNumberFormat="1" applyFont="1" applyAlignment="1"/>
    <xf numFmtId="164" fontId="66" fillId="0" borderId="0" xfId="0" applyNumberFormat="1" applyFont="1" applyAlignment="1"/>
    <xf numFmtId="164" fontId="66" fillId="0" borderId="0" xfId="0" applyNumberFormat="1" applyFont="1" applyFill="1" applyAlignment="1"/>
    <xf numFmtId="0" fontId="6" fillId="0" borderId="0" xfId="0" applyNumberFormat="1" applyFont="1" applyFill="1" applyAlignment="1"/>
    <xf numFmtId="0" fontId="6" fillId="0" borderId="0" xfId="0" applyNumberFormat="1" applyFont="1" applyAlignment="1"/>
    <xf numFmtId="164" fontId="2" fillId="0" borderId="0" xfId="0" applyNumberFormat="1" applyFont="1" applyAlignment="1">
      <alignment horizontal="right"/>
    </xf>
    <xf numFmtId="2" fontId="62" fillId="15" borderId="75" xfId="0" applyNumberFormat="1" applyFont="1" applyFill="1" applyBorder="1" applyAlignment="1">
      <alignment horizontal="right"/>
    </xf>
    <xf numFmtId="0" fontId="2" fillId="0" borderId="0" xfId="0" applyFont="1" applyAlignment="1">
      <alignment vertical="center" wrapText="1"/>
    </xf>
    <xf numFmtId="165" fontId="0" fillId="11" borderId="0" xfId="49" applyNumberFormat="1" applyFont="1" applyFill="1" applyBorder="1"/>
    <xf numFmtId="0" fontId="2" fillId="0" borderId="0" xfId="0" applyNumberFormat="1" applyFont="1" applyFill="1" applyBorder="1" applyAlignment="1"/>
    <xf numFmtId="0" fontId="37" fillId="0" borderId="0" xfId="0" applyNumberFormat="1" applyFont="1" applyFill="1" applyBorder="1" applyAlignment="1"/>
    <xf numFmtId="164" fontId="37" fillId="44" borderId="0" xfId="0" applyNumberFormat="1" applyFont="1" applyFill="1" applyAlignment="1"/>
    <xf numFmtId="0" fontId="35" fillId="0" borderId="181" xfId="0" applyNumberFormat="1" applyFont="1" applyBorder="1" applyAlignment="1"/>
    <xf numFmtId="164" fontId="40" fillId="0" borderId="181" xfId="0" applyNumberFormat="1" applyFont="1" applyBorder="1" applyAlignment="1"/>
    <xf numFmtId="2" fontId="37" fillId="44" borderId="0" xfId="0" applyNumberFormat="1" applyFont="1" applyFill="1" applyAlignment="1"/>
    <xf numFmtId="0" fontId="165" fillId="0" borderId="0" xfId="0" applyFont="1" applyBorder="1" applyAlignment="1">
      <alignment horizontal="center"/>
    </xf>
    <xf numFmtId="14" fontId="164" fillId="0" borderId="0" xfId="0" applyNumberFormat="1" applyFont="1" applyBorder="1" applyAlignment="1"/>
    <xf numFmtId="2" fontId="157" fillId="10" borderId="0" xfId="0" applyNumberFormat="1" applyFont="1" applyFill="1" applyBorder="1" applyAlignment="1"/>
    <xf numFmtId="165" fontId="55" fillId="0" borderId="0" xfId="49" applyNumberFormat="1" applyFont="1" applyAlignment="1"/>
    <xf numFmtId="0" fontId="164" fillId="0" borderId="71" xfId="0" applyFont="1" applyBorder="1"/>
    <xf numFmtId="0" fontId="164" fillId="0" borderId="75" xfId="0" applyFont="1" applyFill="1" applyBorder="1"/>
    <xf numFmtId="0" fontId="164" fillId="0" borderId="0" xfId="0" applyFont="1" applyFill="1" applyBorder="1"/>
    <xf numFmtId="14" fontId="164" fillId="20" borderId="0" xfId="0" applyNumberFormat="1" applyFont="1" applyFill="1" applyBorder="1" applyAlignment="1"/>
    <xf numFmtId="164" fontId="157" fillId="10" borderId="0" xfId="0" applyNumberFormat="1" applyFont="1" applyFill="1" applyBorder="1" applyAlignment="1"/>
    <xf numFmtId="164" fontId="157" fillId="10" borderId="81" xfId="0" applyNumberFormat="1" applyFont="1" applyFill="1" applyBorder="1" applyAlignment="1"/>
    <xf numFmtId="2" fontId="157" fillId="10" borderId="81" xfId="0" applyNumberFormat="1" applyFont="1" applyFill="1" applyBorder="1" applyAlignment="1"/>
    <xf numFmtId="14" fontId="157" fillId="0" borderId="81" xfId="0" applyNumberFormat="1" applyFont="1" applyBorder="1" applyAlignment="1"/>
    <xf numFmtId="14" fontId="157" fillId="0" borderId="0" xfId="0" applyNumberFormat="1" applyFont="1" applyBorder="1" applyAlignment="1"/>
    <xf numFmtId="164" fontId="157" fillId="14" borderId="75" xfId="0" applyNumberFormat="1" applyFont="1" applyFill="1" applyBorder="1" applyAlignment="1"/>
    <xf numFmtId="182" fontId="47" fillId="0" borderId="0" xfId="14" applyNumberFormat="1" applyFont="1" applyAlignment="1">
      <alignment horizontal="right"/>
    </xf>
    <xf numFmtId="166" fontId="40" fillId="0" borderId="0" xfId="0" applyNumberFormat="1" applyFont="1" applyAlignment="1"/>
    <xf numFmtId="2" fontId="157" fillId="33" borderId="0" xfId="0" applyNumberFormat="1" applyFont="1" applyFill="1" applyBorder="1" applyAlignment="1"/>
    <xf numFmtId="10" fontId="50" fillId="18" borderId="0" xfId="49" applyNumberFormat="1" applyFont="1" applyFill="1" applyBorder="1"/>
    <xf numFmtId="2" fontId="41" fillId="11" borderId="41" xfId="0" applyNumberFormat="1" applyFont="1" applyFill="1" applyBorder="1" applyProtection="1"/>
    <xf numFmtId="164" fontId="39" fillId="10" borderId="79" xfId="0" applyNumberFormat="1" applyFont="1" applyFill="1" applyBorder="1" applyAlignment="1"/>
    <xf numFmtId="164" fontId="165" fillId="44" borderId="116" xfId="0" applyNumberFormat="1" applyFont="1" applyFill="1" applyBorder="1" applyAlignment="1">
      <alignment horizontal="right"/>
    </xf>
    <xf numFmtId="164" fontId="47" fillId="11" borderId="58" xfId="0" applyNumberFormat="1" applyFont="1" applyFill="1" applyBorder="1" applyProtection="1"/>
    <xf numFmtId="2" fontId="37" fillId="0" borderId="0" xfId="0" applyNumberFormat="1" applyFont="1" applyAlignment="1"/>
    <xf numFmtId="2" fontId="46" fillId="42" borderId="0" xfId="0" applyNumberFormat="1" applyFont="1" applyFill="1" applyBorder="1" applyAlignment="1"/>
    <xf numFmtId="0" fontId="1" fillId="0" borderId="0" xfId="0" applyNumberFormat="1" applyFont="1" applyBorder="1" applyAlignment="1"/>
    <xf numFmtId="1" fontId="166" fillId="0" borderId="0" xfId="0" applyNumberFormat="1" applyFont="1" applyFill="1" applyBorder="1" applyAlignment="1" applyProtection="1">
      <alignment horizontal="center" vertical="center"/>
    </xf>
    <xf numFmtId="14" fontId="164" fillId="0" borderId="66" xfId="0" applyNumberFormat="1" applyFont="1" applyFill="1" applyBorder="1" applyAlignment="1" applyProtection="1">
      <alignment horizontal="center" vertical="center"/>
    </xf>
    <xf numFmtId="164" fontId="164" fillId="0" borderId="0" xfId="0" applyNumberFormat="1" applyFont="1" applyBorder="1" applyAlignment="1">
      <alignment horizontal="center"/>
    </xf>
    <xf numFmtId="164" fontId="164" fillId="0" borderId="0" xfId="0" applyNumberFormat="1" applyFont="1" applyBorder="1" applyAlignment="1"/>
    <xf numFmtId="164" fontId="157" fillId="0" borderId="0" xfId="0" applyNumberFormat="1" applyFont="1" applyBorder="1" applyAlignment="1"/>
    <xf numFmtId="0" fontId="164" fillId="0" borderId="0" xfId="0" applyFont="1" applyAlignment="1"/>
    <xf numFmtId="164" fontId="157" fillId="0" borderId="0" xfId="0" applyNumberFormat="1" applyFont="1" applyFill="1" applyBorder="1" applyAlignment="1"/>
    <xf numFmtId="0" fontId="164" fillId="49" borderId="0" xfId="0" applyNumberFormat="1" applyFont="1" applyFill="1" applyAlignment="1"/>
    <xf numFmtId="0" fontId="35" fillId="49" borderId="0" xfId="0" applyNumberFormat="1" applyFont="1" applyFill="1" applyAlignment="1"/>
    <xf numFmtId="1" fontId="47" fillId="10" borderId="81" xfId="0" applyNumberFormat="1" applyFont="1" applyFill="1" applyBorder="1" applyAlignment="1"/>
    <xf numFmtId="0" fontId="20" fillId="0" borderId="0" xfId="31" applyBorder="1" applyAlignment="1" applyProtection="1"/>
    <xf numFmtId="0" fontId="0" fillId="0" borderId="0" xfId="0" applyFill="1" applyBorder="1" applyAlignment="1">
      <alignment vertical="top"/>
    </xf>
    <xf numFmtId="164" fontId="6" fillId="0" borderId="60" xfId="0" applyNumberFormat="1" applyFont="1" applyFill="1" applyBorder="1" applyAlignment="1">
      <alignment horizontal="right"/>
    </xf>
    <xf numFmtId="164" fontId="39" fillId="0" borderId="0" xfId="0" applyNumberFormat="1" applyFont="1" applyAlignment="1">
      <alignment horizontal="left" indent="2"/>
    </xf>
    <xf numFmtId="164" fontId="47" fillId="33" borderId="137" xfId="49" applyNumberFormat="1" applyFont="1" applyFill="1" applyBorder="1" applyAlignment="1"/>
    <xf numFmtId="165" fontId="157" fillId="12" borderId="0" xfId="49" applyNumberFormat="1" applyFont="1" applyFill="1" applyBorder="1" applyAlignment="1"/>
    <xf numFmtId="0" fontId="50" fillId="11" borderId="3" xfId="0" applyFont="1" applyFill="1" applyBorder="1" applyAlignment="1" applyProtection="1">
      <alignment horizontal="center"/>
    </xf>
    <xf numFmtId="164" fontId="41" fillId="11" borderId="51" xfId="0" applyNumberFormat="1" applyFont="1" applyFill="1" applyBorder="1" applyProtection="1"/>
    <xf numFmtId="0" fontId="58" fillId="0" borderId="0" xfId="0" applyNumberFormat="1" applyFont="1" applyAlignment="1"/>
    <xf numFmtId="165" fontId="58" fillId="0" borderId="0" xfId="0" applyNumberFormat="1" applyFont="1" applyAlignment="1"/>
    <xf numFmtId="1" fontId="164" fillId="14" borderId="75" xfId="0" applyNumberFormat="1" applyFont="1" applyFill="1" applyBorder="1" applyAlignment="1"/>
    <xf numFmtId="1" fontId="157" fillId="19" borderId="75" xfId="0" applyNumberFormat="1" applyFont="1" applyFill="1" applyBorder="1" applyAlignment="1"/>
    <xf numFmtId="164" fontId="37" fillId="0" borderId="0" xfId="0" applyNumberFormat="1" applyFont="1" applyAlignment="1"/>
    <xf numFmtId="164" fontId="157" fillId="33" borderId="182" xfId="49" applyNumberFormat="1" applyFont="1" applyFill="1" applyBorder="1" applyAlignment="1"/>
    <xf numFmtId="164" fontId="157" fillId="33" borderId="183" xfId="49" applyNumberFormat="1" applyFont="1" applyFill="1" applyBorder="1" applyAlignment="1"/>
    <xf numFmtId="164" fontId="157" fillId="33" borderId="184" xfId="49" applyNumberFormat="1" applyFont="1" applyFill="1" applyBorder="1" applyAlignment="1"/>
    <xf numFmtId="164" fontId="39" fillId="12" borderId="32" xfId="0" applyNumberFormat="1" applyFont="1" applyFill="1" applyBorder="1" applyAlignment="1"/>
    <xf numFmtId="164" fontId="39" fillId="12" borderId="3" xfId="0" applyNumberFormat="1" applyFont="1" applyFill="1" applyBorder="1" applyAlignment="1"/>
    <xf numFmtId="164" fontId="39" fillId="12" borderId="58" xfId="0" applyNumberFormat="1" applyFont="1" applyFill="1" applyBorder="1" applyAlignment="1"/>
    <xf numFmtId="0" fontId="10" fillId="44" borderId="0" xfId="0" applyFont="1" applyFill="1" applyBorder="1" applyAlignment="1">
      <alignment horizontal="center"/>
    </xf>
    <xf numFmtId="14" fontId="35" fillId="44" borderId="0" xfId="0" applyNumberFormat="1" applyFont="1" applyFill="1" applyBorder="1" applyAlignment="1"/>
    <xf numFmtId="164" fontId="35" fillId="44" borderId="0" xfId="0" applyNumberFormat="1" applyFont="1" applyFill="1" applyBorder="1" applyAlignment="1">
      <alignment horizontal="center"/>
    </xf>
    <xf numFmtId="164" fontId="35" fillId="44" borderId="0" xfId="0" applyNumberFormat="1" applyFont="1" applyFill="1" applyBorder="1" applyAlignment="1"/>
    <xf numFmtId="2" fontId="35" fillId="44" borderId="0" xfId="0" applyNumberFormat="1" applyFont="1" applyFill="1" applyBorder="1" applyAlignment="1"/>
    <xf numFmtId="2" fontId="47" fillId="44" borderId="0" xfId="0" applyNumberFormat="1" applyFont="1" applyFill="1" applyBorder="1" applyAlignment="1"/>
    <xf numFmtId="0" fontId="165" fillId="44" borderId="0" xfId="0" applyFont="1" applyFill="1" applyBorder="1" applyAlignment="1">
      <alignment horizontal="center"/>
    </xf>
    <xf numFmtId="0" fontId="166" fillId="44" borderId="0" xfId="0" applyFont="1" applyFill="1" applyBorder="1" applyAlignment="1">
      <alignment horizontal="center"/>
    </xf>
    <xf numFmtId="164" fontId="47" fillId="44" borderId="0" xfId="0" applyNumberFormat="1" applyFont="1" applyFill="1" applyBorder="1" applyAlignment="1"/>
    <xf numFmtId="164" fontId="157" fillId="44" borderId="0" xfId="0" applyNumberFormat="1" applyFont="1" applyFill="1" applyBorder="1" applyAlignment="1"/>
    <xf numFmtId="165" fontId="41" fillId="0" borderId="0" xfId="0" applyNumberFormat="1" applyFont="1" applyAlignment="1"/>
    <xf numFmtId="1" fontId="47" fillId="44" borderId="0" xfId="0" applyNumberFormat="1" applyFont="1" applyFill="1" applyBorder="1" applyAlignment="1"/>
    <xf numFmtId="164" fontId="46" fillId="10" borderId="79" xfId="0" applyNumberFormat="1" applyFont="1" applyFill="1" applyBorder="1" applyAlignment="1"/>
    <xf numFmtId="165" fontId="166" fillId="44" borderId="0" xfId="49" applyNumberFormat="1" applyFont="1" applyFill="1" applyBorder="1" applyAlignment="1">
      <alignment horizontal="center"/>
    </xf>
    <xf numFmtId="165" fontId="35" fillId="44" borderId="0" xfId="49" applyNumberFormat="1" applyFont="1" applyFill="1" applyBorder="1" applyAlignment="1"/>
    <xf numFmtId="165" fontId="35" fillId="44" borderId="0" xfId="49" applyNumberFormat="1" applyFont="1" applyFill="1" applyBorder="1" applyAlignment="1">
      <alignment horizontal="center"/>
    </xf>
    <xf numFmtId="165" fontId="157" fillId="44" borderId="0" xfId="49" applyNumberFormat="1" applyFont="1" applyFill="1" applyBorder="1" applyAlignment="1"/>
    <xf numFmtId="14" fontId="35" fillId="44" borderId="35" xfId="0" applyNumberFormat="1" applyFont="1" applyFill="1" applyBorder="1" applyAlignment="1" applyProtection="1">
      <alignment horizontal="center" vertical="center"/>
    </xf>
    <xf numFmtId="0" fontId="10" fillId="44" borderId="29" xfId="0" applyFont="1" applyFill="1" applyBorder="1" applyAlignment="1">
      <alignment horizontal="center"/>
    </xf>
    <xf numFmtId="14" fontId="35" fillId="44" borderId="29" xfId="0" applyNumberFormat="1" applyFont="1" applyFill="1" applyBorder="1" applyAlignment="1"/>
    <xf numFmtId="164" fontId="35" fillId="44" borderId="29" xfId="0" applyNumberFormat="1" applyFont="1" applyFill="1" applyBorder="1" applyAlignment="1">
      <alignment horizontal="center"/>
    </xf>
    <xf numFmtId="165" fontId="35" fillId="44" borderId="29" xfId="49" applyNumberFormat="1" applyFont="1" applyFill="1" applyBorder="1" applyAlignment="1"/>
    <xf numFmtId="165" fontId="8" fillId="44" borderId="29" xfId="49" applyNumberFormat="1" applyFont="1" applyFill="1" applyBorder="1" applyAlignment="1"/>
    <xf numFmtId="165" fontId="39" fillId="44" borderId="29" xfId="49" applyNumberFormat="1" applyFont="1" applyFill="1" applyBorder="1" applyAlignment="1"/>
    <xf numFmtId="164" fontId="41" fillId="44" borderId="0" xfId="0" applyNumberFormat="1" applyFont="1" applyFill="1" applyBorder="1" applyAlignment="1"/>
    <xf numFmtId="2" fontId="164" fillId="10" borderId="0" xfId="0" applyNumberFormat="1" applyFont="1" applyFill="1" applyBorder="1" applyAlignment="1"/>
    <xf numFmtId="14" fontId="35" fillId="44" borderId="18" xfId="0" applyNumberFormat="1" applyFont="1" applyFill="1" applyBorder="1" applyAlignment="1" applyProtection="1">
      <alignment horizontal="center" vertical="center"/>
    </xf>
    <xf numFmtId="0" fontId="10" fillId="44" borderId="16" xfId="0" applyFont="1" applyFill="1" applyBorder="1" applyAlignment="1">
      <alignment horizontal="center"/>
    </xf>
    <xf numFmtId="14" fontId="35" fillId="44" borderId="16" xfId="0" applyNumberFormat="1" applyFont="1" applyFill="1" applyBorder="1" applyAlignment="1"/>
    <xf numFmtId="164" fontId="35" fillId="44" borderId="16" xfId="0" applyNumberFormat="1" applyFont="1" applyFill="1" applyBorder="1" applyAlignment="1">
      <alignment horizontal="center"/>
    </xf>
    <xf numFmtId="165" fontId="35" fillId="44" borderId="16" xfId="49" applyNumberFormat="1" applyFont="1" applyFill="1" applyBorder="1" applyAlignment="1"/>
    <xf numFmtId="165" fontId="41" fillId="44" borderId="16" xfId="49" applyNumberFormat="1" applyFont="1" applyFill="1" applyBorder="1" applyAlignment="1"/>
    <xf numFmtId="165" fontId="47" fillId="44" borderId="16" xfId="49" applyNumberFormat="1" applyFont="1" applyFill="1" applyBorder="1" applyAlignment="1"/>
    <xf numFmtId="0" fontId="165" fillId="14" borderId="0" xfId="0" applyFont="1" applyFill="1" applyBorder="1" applyAlignment="1">
      <alignment horizontal="center"/>
    </xf>
    <xf numFmtId="1" fontId="11" fillId="44" borderId="0" xfId="0" applyNumberFormat="1" applyFont="1" applyFill="1" applyBorder="1" applyAlignment="1" applyProtection="1">
      <alignment horizontal="center" vertical="center"/>
    </xf>
    <xf numFmtId="14" fontId="35" fillId="44" borderId="66" xfId="0" applyNumberFormat="1" applyFont="1" applyFill="1" applyBorder="1" applyAlignment="1" applyProtection="1">
      <alignment horizontal="center" vertical="center"/>
    </xf>
    <xf numFmtId="0" fontId="35" fillId="44" borderId="0" xfId="0" applyNumberFormat="1" applyFont="1" applyFill="1" applyAlignment="1"/>
    <xf numFmtId="2" fontId="35" fillId="44" borderId="0" xfId="0" applyNumberFormat="1" applyFont="1" applyFill="1" applyAlignment="1"/>
    <xf numFmtId="0" fontId="35" fillId="44" borderId="0" xfId="0" applyFont="1" applyFill="1" applyAlignment="1"/>
    <xf numFmtId="2" fontId="8" fillId="44" borderId="0" xfId="0" applyNumberFormat="1" applyFont="1" applyFill="1" applyBorder="1" applyAlignment="1"/>
    <xf numFmtId="1" fontId="39" fillId="49" borderId="75" xfId="0" applyNumberFormat="1" applyFont="1" applyFill="1" applyBorder="1" applyAlignment="1"/>
    <xf numFmtId="2" fontId="164" fillId="10" borderId="0" xfId="0" applyNumberFormat="1" applyFont="1" applyFill="1" applyBorder="1"/>
    <xf numFmtId="0" fontId="166" fillId="0" borderId="0" xfId="0" applyFont="1" applyFill="1" applyBorder="1" applyAlignment="1">
      <alignment horizontal="center"/>
    </xf>
    <xf numFmtId="0" fontId="164" fillId="0" borderId="0" xfId="0" applyFont="1" applyBorder="1" applyAlignment="1">
      <alignment horizontal="center"/>
    </xf>
    <xf numFmtId="0" fontId="164" fillId="14" borderId="0" xfId="0" applyFont="1" applyFill="1" applyBorder="1"/>
    <xf numFmtId="0" fontId="164" fillId="14" borderId="0" xfId="0" applyFont="1" applyFill="1" applyBorder="1" applyAlignment="1">
      <alignment horizontal="center"/>
    </xf>
    <xf numFmtId="164" fontId="164" fillId="14" borderId="0" xfId="0" applyNumberFormat="1" applyFont="1" applyFill="1" applyBorder="1"/>
    <xf numFmtId="164" fontId="157" fillId="19" borderId="0" xfId="0" applyNumberFormat="1" applyFont="1" applyFill="1" applyBorder="1"/>
    <xf numFmtId="0" fontId="164" fillId="0" borderId="0" xfId="0" applyNumberFormat="1" applyFont="1" applyBorder="1"/>
    <xf numFmtId="0" fontId="164" fillId="0" borderId="0" xfId="0" applyFont="1" applyBorder="1"/>
    <xf numFmtId="164" fontId="164" fillId="51" borderId="0" xfId="0" applyNumberFormat="1" applyFont="1" applyFill="1" applyBorder="1"/>
    <xf numFmtId="1" fontId="35" fillId="0" borderId="0" xfId="0" applyNumberFormat="1" applyFont="1"/>
    <xf numFmtId="1" fontId="1" fillId="0" borderId="0" xfId="0" applyNumberFormat="1" applyFont="1"/>
    <xf numFmtId="164" fontId="62" fillId="14" borderId="76" xfId="0" applyNumberFormat="1" applyFont="1" applyFill="1" applyBorder="1" applyAlignment="1">
      <alignment horizontal="right"/>
    </xf>
    <xf numFmtId="166" fontId="35" fillId="18" borderId="74" xfId="0" applyNumberFormat="1" applyFont="1" applyFill="1" applyBorder="1" applyAlignment="1">
      <alignment horizontal="right"/>
    </xf>
    <xf numFmtId="0" fontId="102" fillId="10" borderId="52" xfId="0" applyFont="1" applyFill="1" applyBorder="1" applyAlignment="1">
      <alignment horizontal="center"/>
    </xf>
    <xf numFmtId="0" fontId="102" fillId="10" borderId="39" xfId="0" applyFont="1" applyFill="1" applyBorder="1" applyAlignment="1">
      <alignment horizontal="center"/>
    </xf>
    <xf numFmtId="0" fontId="102" fillId="10" borderId="126" xfId="0" applyFont="1" applyFill="1" applyBorder="1" applyAlignment="1">
      <alignment horizontal="center"/>
    </xf>
    <xf numFmtId="0" fontId="102" fillId="30" borderId="52" xfId="0" applyFont="1" applyFill="1" applyBorder="1" applyAlignment="1">
      <alignment horizontal="center"/>
    </xf>
    <xf numFmtId="0" fontId="102" fillId="30" borderId="39" xfId="0" applyFont="1" applyFill="1" applyBorder="1" applyAlignment="1">
      <alignment horizontal="center"/>
    </xf>
    <xf numFmtId="0" fontId="102" fillId="30" borderId="126" xfId="0" applyFont="1" applyFill="1" applyBorder="1" applyAlignment="1">
      <alignment horizontal="center"/>
    </xf>
    <xf numFmtId="0" fontId="102" fillId="30" borderId="18" xfId="0" applyFont="1" applyFill="1" applyBorder="1" applyAlignment="1">
      <alignment horizontal="center" vertical="center" wrapText="1"/>
    </xf>
    <xf numFmtId="0" fontId="102" fillId="30" borderId="16" xfId="0" applyFont="1" applyFill="1" applyBorder="1" applyAlignment="1">
      <alignment horizontal="center" vertical="center" wrapText="1"/>
    </xf>
    <xf numFmtId="0" fontId="102" fillId="30" borderId="19" xfId="0" applyFont="1" applyFill="1" applyBorder="1" applyAlignment="1">
      <alignment horizontal="center" vertical="center" wrapText="1"/>
    </xf>
    <xf numFmtId="0" fontId="102" fillId="30" borderId="2" xfId="0" applyFont="1" applyFill="1" applyBorder="1" applyAlignment="1">
      <alignment horizontal="center" vertical="center" wrapText="1"/>
    </xf>
    <xf numFmtId="0" fontId="102" fillId="30" borderId="0" xfId="0" applyFont="1" applyFill="1" applyBorder="1" applyAlignment="1">
      <alignment horizontal="center" vertical="center" wrapText="1"/>
    </xf>
    <xf numFmtId="0" fontId="102" fillId="30" borderId="20" xfId="0" applyFont="1" applyFill="1" applyBorder="1" applyAlignment="1">
      <alignment horizontal="center" vertical="center" wrapText="1"/>
    </xf>
    <xf numFmtId="0" fontId="102" fillId="30" borderId="35" xfId="0" applyFont="1" applyFill="1" applyBorder="1" applyAlignment="1">
      <alignment horizontal="center" vertical="center" wrapText="1"/>
    </xf>
    <xf numFmtId="0" fontId="102" fillId="30" borderId="29" xfId="0" applyFont="1" applyFill="1" applyBorder="1" applyAlignment="1">
      <alignment horizontal="center" vertical="center" wrapText="1"/>
    </xf>
    <xf numFmtId="0" fontId="102" fillId="30" borderId="36" xfId="0" applyFont="1" applyFill="1" applyBorder="1" applyAlignment="1">
      <alignment horizontal="center" vertical="center" wrapText="1"/>
    </xf>
    <xf numFmtId="0" fontId="102" fillId="0" borderId="0" xfId="0" applyFont="1" applyBorder="1" applyAlignment="1">
      <alignment horizontal="center" vertical="center"/>
    </xf>
    <xf numFmtId="0" fontId="62" fillId="0" borderId="3" xfId="0" applyFont="1" applyBorder="1" applyAlignment="1">
      <alignment wrapText="1"/>
    </xf>
    <xf numFmtId="0" fontId="0" fillId="0" borderId="3" xfId="0" applyBorder="1" applyAlignment="1"/>
    <xf numFmtId="0" fontId="37" fillId="0" borderId="0" xfId="0" applyFont="1" applyAlignment="1">
      <alignment horizontal="left" vertical="center" wrapText="1"/>
    </xf>
    <xf numFmtId="1" fontId="36" fillId="15" borderId="140" xfId="0" applyNumberFormat="1" applyFont="1" applyFill="1" applyBorder="1" applyAlignment="1" applyProtection="1">
      <alignment horizontal="center" vertical="center"/>
    </xf>
    <xf numFmtId="1" fontId="36" fillId="15" borderId="141" xfId="0" applyNumberFormat="1" applyFont="1" applyFill="1" applyBorder="1" applyAlignment="1" applyProtection="1">
      <alignment horizontal="center" vertical="center"/>
    </xf>
    <xf numFmtId="1" fontId="36" fillId="15" borderId="142" xfId="0" applyNumberFormat="1" applyFont="1" applyFill="1" applyBorder="1" applyAlignment="1" applyProtection="1">
      <alignment horizontal="center" vertical="center"/>
    </xf>
    <xf numFmtId="1" fontId="36" fillId="15" borderId="139" xfId="0" applyNumberFormat="1" applyFont="1" applyFill="1" applyBorder="1" applyAlignment="1" applyProtection="1">
      <alignment horizontal="center" vertical="center"/>
    </xf>
    <xf numFmtId="0" fontId="36" fillId="15" borderId="143" xfId="0" applyFont="1" applyFill="1" applyBorder="1" applyAlignment="1">
      <alignment horizontal="center" vertical="center"/>
    </xf>
    <xf numFmtId="0" fontId="36" fillId="15" borderId="144" xfId="0" applyFont="1" applyFill="1" applyBorder="1" applyAlignment="1">
      <alignment horizontal="center" vertical="center"/>
    </xf>
    <xf numFmtId="1" fontId="39" fillId="12" borderId="40" xfId="0" applyNumberFormat="1" applyFont="1" applyFill="1" applyBorder="1" applyAlignment="1" applyProtection="1">
      <alignment horizontal="center" vertical="center"/>
    </xf>
    <xf numFmtId="0" fontId="36" fillId="15" borderId="145" xfId="0" applyFont="1" applyFill="1" applyBorder="1" applyAlignment="1">
      <alignment horizontal="center" vertical="center"/>
    </xf>
    <xf numFmtId="1" fontId="36" fillId="15" borderId="152" xfId="0" applyNumberFormat="1" applyFont="1" applyFill="1" applyBorder="1" applyAlignment="1" applyProtection="1">
      <alignment horizontal="center" vertical="center"/>
    </xf>
    <xf numFmtId="1" fontId="36" fillId="15" borderId="153" xfId="0" applyNumberFormat="1" applyFont="1" applyFill="1" applyBorder="1" applyAlignment="1" applyProtection="1">
      <alignment horizontal="center" vertical="center"/>
    </xf>
    <xf numFmtId="1" fontId="36" fillId="15" borderId="154" xfId="0" applyNumberFormat="1" applyFont="1" applyFill="1" applyBorder="1" applyAlignment="1" applyProtection="1">
      <alignment horizontal="center" vertical="center"/>
    </xf>
    <xf numFmtId="1" fontId="39" fillId="12" borderId="52" xfId="0" applyNumberFormat="1" applyFont="1" applyFill="1" applyBorder="1" applyAlignment="1" applyProtection="1">
      <alignment horizontal="center" vertical="center"/>
    </xf>
    <xf numFmtId="1" fontId="39" fillId="12" borderId="39" xfId="0" applyNumberFormat="1" applyFont="1" applyFill="1" applyBorder="1" applyAlignment="1" applyProtection="1">
      <alignment horizontal="center" vertical="center"/>
    </xf>
    <xf numFmtId="1" fontId="39" fillId="12" borderId="126" xfId="0" applyNumberFormat="1" applyFont="1" applyFill="1" applyBorder="1" applyAlignment="1" applyProtection="1">
      <alignment horizontal="center" vertical="center"/>
    </xf>
    <xf numFmtId="1" fontId="36" fillId="15" borderId="146" xfId="0" applyNumberFormat="1" applyFont="1" applyFill="1" applyBorder="1" applyAlignment="1" applyProtection="1">
      <alignment horizontal="center" vertical="center"/>
    </xf>
    <xf numFmtId="1" fontId="36" fillId="15" borderId="147" xfId="0" applyNumberFormat="1" applyFont="1" applyFill="1" applyBorder="1" applyAlignment="1" applyProtection="1">
      <alignment horizontal="center" vertical="center"/>
    </xf>
    <xf numFmtId="1" fontId="36" fillId="15" borderId="148" xfId="0" applyNumberFormat="1" applyFont="1" applyFill="1" applyBorder="1" applyAlignment="1" applyProtection="1">
      <alignment horizontal="center" vertical="center"/>
    </xf>
    <xf numFmtId="0" fontId="36" fillId="15" borderId="0" xfId="0" applyFont="1" applyFill="1" applyBorder="1" applyAlignment="1">
      <alignment horizontal="left" vertical="center"/>
    </xf>
    <xf numFmtId="0" fontId="36" fillId="15" borderId="67" xfId="0" applyFont="1" applyFill="1" applyBorder="1" applyAlignment="1">
      <alignment horizontal="left" vertical="center"/>
    </xf>
    <xf numFmtId="0" fontId="36" fillId="15" borderId="70" xfId="0" applyFont="1" applyFill="1" applyBorder="1" applyAlignment="1">
      <alignment horizontal="left" vertical="center"/>
    </xf>
    <xf numFmtId="0" fontId="36" fillId="15" borderId="102" xfId="0" applyFont="1" applyFill="1" applyBorder="1" applyAlignment="1">
      <alignment horizontal="left" vertical="center"/>
    </xf>
    <xf numFmtId="1" fontId="36" fillId="15" borderId="149" xfId="0" applyNumberFormat="1" applyFont="1" applyFill="1" applyBorder="1" applyAlignment="1" applyProtection="1">
      <alignment horizontal="center" vertical="center"/>
    </xf>
    <xf numFmtId="0" fontId="36" fillId="15" borderId="150" xfId="0" applyFont="1" applyFill="1" applyBorder="1" applyAlignment="1">
      <alignment horizontal="left" vertical="center"/>
    </xf>
    <xf numFmtId="0" fontId="36" fillId="15" borderId="151" xfId="0" applyFont="1" applyFill="1" applyBorder="1" applyAlignment="1">
      <alignment horizontal="left" vertical="center"/>
    </xf>
    <xf numFmtId="0" fontId="0" fillId="15" borderId="0" xfId="0" applyFill="1" applyBorder="1" applyAlignment="1">
      <alignment horizontal="center"/>
    </xf>
    <xf numFmtId="0" fontId="0" fillId="15" borderId="70" xfId="0" applyFill="1" applyBorder="1" applyAlignment="1">
      <alignment horizontal="center"/>
    </xf>
    <xf numFmtId="0" fontId="86" fillId="15" borderId="63" xfId="0" applyFont="1" applyFill="1" applyBorder="1" applyAlignment="1">
      <alignment horizontal="center"/>
    </xf>
    <xf numFmtId="0" fontId="86" fillId="15" borderId="66" xfId="0" applyFont="1" applyFill="1" applyBorder="1" applyAlignment="1">
      <alignment horizontal="center"/>
    </xf>
    <xf numFmtId="1" fontId="73" fillId="15" borderId="0" xfId="0" applyNumberFormat="1" applyFont="1" applyFill="1" applyBorder="1" applyAlignment="1" applyProtection="1">
      <alignment horizontal="center" vertical="center"/>
    </xf>
    <xf numFmtId="1" fontId="36" fillId="15" borderId="155" xfId="0" applyNumberFormat="1" applyFont="1" applyFill="1" applyBorder="1" applyAlignment="1" applyProtection="1">
      <alignment horizontal="center" vertical="center"/>
    </xf>
    <xf numFmtId="0" fontId="36" fillId="15" borderId="156" xfId="0" applyFont="1" applyFill="1" applyBorder="1" applyAlignment="1" applyProtection="1">
      <alignment horizontal="center" vertical="center"/>
    </xf>
    <xf numFmtId="0" fontId="36" fillId="15" borderId="157" xfId="0" applyFont="1" applyFill="1" applyBorder="1" applyAlignment="1" applyProtection="1">
      <alignment horizontal="center" vertical="center"/>
    </xf>
    <xf numFmtId="1" fontId="36" fillId="15" borderId="158" xfId="0" applyNumberFormat="1" applyFont="1" applyFill="1" applyBorder="1" applyAlignment="1" applyProtection="1">
      <alignment horizontal="center" vertical="center"/>
    </xf>
    <xf numFmtId="0" fontId="36" fillId="15" borderId="159" xfId="0" applyFont="1" applyFill="1" applyBorder="1" applyAlignment="1" applyProtection="1">
      <alignment horizontal="center" vertical="center"/>
    </xf>
    <xf numFmtId="1" fontId="36" fillId="15" borderId="156" xfId="0" applyNumberFormat="1" applyFont="1" applyFill="1" applyBorder="1" applyAlignment="1" applyProtection="1">
      <alignment horizontal="center" vertical="center"/>
    </xf>
    <xf numFmtId="1" fontId="36" fillId="15" borderId="157" xfId="0" applyNumberFormat="1" applyFont="1" applyFill="1" applyBorder="1" applyAlignment="1" applyProtection="1">
      <alignment horizontal="center" vertical="center"/>
    </xf>
    <xf numFmtId="1" fontId="115" fillId="15" borderId="0" xfId="0" applyNumberFormat="1" applyFont="1" applyFill="1" applyBorder="1" applyAlignment="1" applyProtection="1">
      <alignment horizontal="center" vertical="center"/>
    </xf>
    <xf numFmtId="1" fontId="73" fillId="15" borderId="0" xfId="0" applyNumberFormat="1" applyFont="1" applyFill="1" applyBorder="1" applyAlignment="1" applyProtection="1">
      <alignment horizontal="left" vertical="center"/>
    </xf>
    <xf numFmtId="164" fontId="43" fillId="11" borderId="18" xfId="0" applyNumberFormat="1" applyFont="1" applyFill="1" applyBorder="1" applyAlignment="1" applyProtection="1">
      <alignment horizontal="center"/>
    </xf>
    <xf numFmtId="164" fontId="43" fillId="11" borderId="19" xfId="0" applyNumberFormat="1" applyFont="1" applyFill="1" applyBorder="1" applyAlignment="1" applyProtection="1">
      <alignment horizontal="center"/>
    </xf>
    <xf numFmtId="164" fontId="43" fillId="11" borderId="44" xfId="0" applyNumberFormat="1" applyFont="1" applyFill="1" applyBorder="1" applyAlignment="1" applyProtection="1">
      <alignment horizontal="center"/>
    </xf>
    <xf numFmtId="1" fontId="45" fillId="11" borderId="167" xfId="0" applyNumberFormat="1" applyFont="1" applyFill="1" applyBorder="1" applyAlignment="1" applyProtection="1">
      <alignment horizontal="center"/>
    </xf>
    <xf numFmtId="1" fontId="45" fillId="11" borderId="134" xfId="0" applyNumberFormat="1" applyFont="1" applyFill="1" applyBorder="1" applyAlignment="1" applyProtection="1">
      <alignment horizontal="center"/>
    </xf>
    <xf numFmtId="1" fontId="45" fillId="11" borderId="129" xfId="0" applyNumberFormat="1" applyFont="1" applyFill="1" applyBorder="1" applyAlignment="1" applyProtection="1">
      <alignment horizontal="center"/>
    </xf>
    <xf numFmtId="164" fontId="101" fillId="11" borderId="33" xfId="0" applyNumberFormat="1" applyFont="1" applyFill="1" applyBorder="1" applyAlignment="1" applyProtection="1">
      <alignment horizontal="center"/>
    </xf>
    <xf numFmtId="164" fontId="101" fillId="11" borderId="51" xfId="0" applyNumberFormat="1" applyFont="1" applyFill="1" applyBorder="1" applyAlignment="1" applyProtection="1">
      <alignment horizontal="center"/>
    </xf>
    <xf numFmtId="164" fontId="43" fillId="11" borderId="33" xfId="0" applyNumberFormat="1" applyFont="1" applyFill="1" applyBorder="1" applyAlignment="1" applyProtection="1">
      <alignment horizontal="center"/>
    </xf>
    <xf numFmtId="164" fontId="43" fillId="11" borderId="51" xfId="0" applyNumberFormat="1" applyFont="1" applyFill="1" applyBorder="1" applyAlignment="1" applyProtection="1">
      <alignment horizontal="center"/>
    </xf>
    <xf numFmtId="164" fontId="43" fillId="11" borderId="58" xfId="0" applyNumberFormat="1" applyFont="1" applyFill="1" applyBorder="1" applyAlignment="1" applyProtection="1">
      <alignment horizontal="center"/>
    </xf>
    <xf numFmtId="164" fontId="45" fillId="11" borderId="52" xfId="0" applyNumberFormat="1" applyFont="1" applyFill="1" applyBorder="1" applyAlignment="1" applyProtection="1">
      <alignment horizontal="center"/>
    </xf>
    <xf numFmtId="164" fontId="45" fillId="11" borderId="39" xfId="0" applyNumberFormat="1" applyFont="1" applyFill="1" applyBorder="1" applyAlignment="1" applyProtection="1">
      <alignment horizontal="center"/>
    </xf>
    <xf numFmtId="164" fontId="45" fillId="11" borderId="53" xfId="0" applyNumberFormat="1" applyFont="1" applyFill="1" applyBorder="1" applyAlignment="1" applyProtection="1">
      <alignment horizontal="center"/>
    </xf>
    <xf numFmtId="164" fontId="45" fillId="11" borderId="165" xfId="0" applyNumberFormat="1" applyFont="1" applyFill="1" applyBorder="1" applyAlignment="1" applyProtection="1">
      <alignment horizontal="center"/>
    </xf>
    <xf numFmtId="164" fontId="45" fillId="11" borderId="166" xfId="0" applyNumberFormat="1" applyFont="1" applyFill="1" applyBorder="1" applyAlignment="1" applyProtection="1">
      <alignment horizontal="center"/>
    </xf>
    <xf numFmtId="164" fontId="45" fillId="11" borderId="138" xfId="0" applyNumberFormat="1" applyFont="1" applyFill="1" applyBorder="1" applyAlignment="1" applyProtection="1">
      <alignment horizontal="center"/>
    </xf>
    <xf numFmtId="164" fontId="43" fillId="11" borderId="52" xfId="0" applyNumberFormat="1" applyFont="1" applyFill="1" applyBorder="1" applyAlignment="1" applyProtection="1">
      <alignment horizontal="center"/>
    </xf>
    <xf numFmtId="164" fontId="43" fillId="11" borderId="126" xfId="0" applyNumberFormat="1" applyFont="1" applyFill="1" applyBorder="1" applyAlignment="1" applyProtection="1">
      <alignment horizontal="center"/>
    </xf>
    <xf numFmtId="164" fontId="43" fillId="11" borderId="53" xfId="0" applyNumberFormat="1" applyFont="1" applyFill="1" applyBorder="1" applyAlignment="1" applyProtection="1">
      <alignment horizontal="center"/>
    </xf>
    <xf numFmtId="1" fontId="76" fillId="15" borderId="0" xfId="0" applyNumberFormat="1" applyFont="1" applyFill="1" applyBorder="1" applyAlignment="1" applyProtection="1">
      <alignment horizontal="center" vertical="center"/>
    </xf>
    <xf numFmtId="1" fontId="76" fillId="15" borderId="0" xfId="0" applyNumberFormat="1" applyFont="1" applyFill="1" applyBorder="1" applyAlignment="1" applyProtection="1">
      <alignment horizontal="left" vertical="center"/>
    </xf>
    <xf numFmtId="0" fontId="36" fillId="15" borderId="160" xfId="0" applyFont="1" applyFill="1" applyBorder="1" applyAlignment="1" applyProtection="1">
      <alignment horizontal="center" vertical="center"/>
    </xf>
    <xf numFmtId="0" fontId="36" fillId="15" borderId="161" xfId="0" applyFont="1" applyFill="1" applyBorder="1" applyAlignment="1" applyProtection="1">
      <alignment horizontal="center" vertical="center"/>
    </xf>
    <xf numFmtId="0" fontId="36" fillId="15" borderId="162" xfId="0" applyFont="1" applyFill="1" applyBorder="1" applyAlignment="1" applyProtection="1">
      <alignment horizontal="center" vertical="center"/>
    </xf>
    <xf numFmtId="0" fontId="36" fillId="15" borderId="163" xfId="0" applyFont="1" applyFill="1" applyBorder="1" applyAlignment="1" applyProtection="1">
      <alignment horizontal="center" vertical="center"/>
    </xf>
    <xf numFmtId="0" fontId="36" fillId="15" borderId="158" xfId="0" applyFont="1" applyFill="1" applyBorder="1" applyAlignment="1" applyProtection="1">
      <alignment horizontal="center" vertical="center"/>
    </xf>
    <xf numFmtId="14" fontId="37" fillId="19" borderId="0" xfId="0" applyNumberFormat="1" applyFont="1" applyFill="1" applyBorder="1" applyAlignment="1" applyProtection="1">
      <alignment horizontal="left" vertical="center" wrapText="1"/>
    </xf>
    <xf numFmtId="14" fontId="37" fillId="19" borderId="67" xfId="0" applyNumberFormat="1" applyFont="1" applyFill="1" applyBorder="1" applyAlignment="1" applyProtection="1">
      <alignment horizontal="left" vertical="center" wrapText="1"/>
    </xf>
    <xf numFmtId="14" fontId="8" fillId="0" borderId="0" xfId="0" applyNumberFormat="1" applyFont="1" applyFill="1" applyBorder="1" applyAlignment="1" applyProtection="1">
      <alignment horizontal="left" vertical="center" wrapText="1"/>
    </xf>
    <xf numFmtId="14" fontId="8" fillId="0" borderId="67" xfId="0" applyNumberFormat="1" applyFont="1" applyFill="1" applyBorder="1" applyAlignment="1" applyProtection="1">
      <alignment horizontal="left" vertical="center" wrapText="1"/>
    </xf>
    <xf numFmtId="14" fontId="70" fillId="15" borderId="75" xfId="0" applyNumberFormat="1" applyFont="1" applyFill="1" applyBorder="1" applyAlignment="1" applyProtection="1">
      <alignment horizontal="left" vertical="center" wrapText="1"/>
    </xf>
    <xf numFmtId="9" fontId="37" fillId="0" borderId="76" xfId="49" applyFont="1" applyFill="1" applyBorder="1" applyAlignment="1" applyProtection="1">
      <alignment horizontal="left" vertical="center" wrapText="1"/>
    </xf>
    <xf numFmtId="9" fontId="37" fillId="0" borderId="70" xfId="49" applyFont="1" applyFill="1" applyBorder="1" applyAlignment="1" applyProtection="1">
      <alignment horizontal="left" vertical="center" wrapText="1"/>
    </xf>
    <xf numFmtId="14" fontId="8" fillId="0" borderId="70" xfId="0" applyNumberFormat="1" applyFont="1" applyFill="1" applyBorder="1" applyAlignment="1" applyProtection="1">
      <alignment horizontal="left" vertical="center" wrapText="1"/>
    </xf>
    <xf numFmtId="14" fontId="8" fillId="0" borderId="102" xfId="0" applyNumberFormat="1" applyFont="1" applyFill="1" applyBorder="1" applyAlignment="1" applyProtection="1">
      <alignment horizontal="left" vertical="center" wrapText="1"/>
    </xf>
    <xf numFmtId="0" fontId="36" fillId="15" borderId="164" xfId="0" applyFont="1" applyFill="1" applyBorder="1" applyAlignment="1" applyProtection="1">
      <alignment horizontal="center" vertical="center"/>
    </xf>
    <xf numFmtId="0" fontId="36" fillId="15" borderId="0" xfId="0" applyFont="1" applyFill="1" applyBorder="1" applyAlignment="1" applyProtection="1">
      <alignment horizontal="center" vertical="center"/>
    </xf>
    <xf numFmtId="14" fontId="8" fillId="0" borderId="75" xfId="0" applyNumberFormat="1" applyFont="1" applyFill="1" applyBorder="1" applyAlignment="1" applyProtection="1">
      <alignment horizontal="left" vertical="center" wrapText="1"/>
    </xf>
    <xf numFmtId="14" fontId="8" fillId="0" borderId="103" xfId="0" applyNumberFormat="1" applyFont="1" applyFill="1" applyBorder="1" applyAlignment="1" applyProtection="1">
      <alignment horizontal="left" vertical="center" wrapText="1"/>
    </xf>
    <xf numFmtId="173" fontId="39" fillId="0" borderId="0" xfId="0" applyNumberFormat="1" applyFont="1" applyAlignment="1">
      <alignment horizontal="center" vertical="center" wrapText="1"/>
    </xf>
    <xf numFmtId="173" fontId="39" fillId="0" borderId="70" xfId="0" applyNumberFormat="1" applyFont="1" applyBorder="1" applyAlignment="1">
      <alignment horizontal="center" vertical="center" wrapText="1"/>
    </xf>
    <xf numFmtId="14" fontId="39" fillId="19" borderId="0" xfId="0" applyNumberFormat="1" applyFont="1" applyFill="1" applyBorder="1" applyAlignment="1" applyProtection="1">
      <alignment horizontal="left" vertical="center" wrapText="1"/>
    </xf>
    <xf numFmtId="14" fontId="39" fillId="19" borderId="67" xfId="0" applyNumberFormat="1" applyFont="1" applyFill="1" applyBorder="1" applyAlignment="1" applyProtection="1">
      <alignment horizontal="left" vertical="center" wrapText="1"/>
    </xf>
    <xf numFmtId="14" fontId="36" fillId="15" borderId="75" xfId="0" applyNumberFormat="1" applyFont="1" applyFill="1" applyBorder="1" applyAlignment="1" applyProtection="1">
      <alignment horizontal="left" vertical="center" wrapText="1"/>
    </xf>
    <xf numFmtId="14" fontId="35" fillId="0" borderId="0" xfId="0" applyNumberFormat="1" applyFont="1" applyFill="1" applyBorder="1" applyAlignment="1" applyProtection="1">
      <alignment horizontal="left" vertical="center" wrapText="1"/>
    </xf>
    <xf numFmtId="14" fontId="35" fillId="0" borderId="67" xfId="0" applyNumberFormat="1" applyFont="1" applyFill="1" applyBorder="1" applyAlignment="1" applyProtection="1">
      <alignment horizontal="left" vertical="center" wrapText="1"/>
    </xf>
    <xf numFmtId="1" fontId="36" fillId="15" borderId="159" xfId="0" applyNumberFormat="1" applyFont="1" applyFill="1" applyBorder="1" applyAlignment="1" applyProtection="1">
      <alignment horizontal="center" vertical="center"/>
    </xf>
    <xf numFmtId="1" fontId="36" fillId="15" borderId="160" xfId="0" applyNumberFormat="1" applyFont="1" applyFill="1" applyBorder="1" applyAlignment="1" applyProtection="1">
      <alignment horizontal="center" vertical="center"/>
    </xf>
    <xf numFmtId="1" fontId="36" fillId="15" borderId="161" xfId="0" applyNumberFormat="1" applyFont="1" applyFill="1" applyBorder="1" applyAlignment="1" applyProtection="1">
      <alignment horizontal="center" vertical="center"/>
    </xf>
    <xf numFmtId="1" fontId="36" fillId="15" borderId="162" xfId="0" applyNumberFormat="1" applyFont="1" applyFill="1" applyBorder="1" applyAlignment="1" applyProtection="1">
      <alignment horizontal="center" vertical="center"/>
    </xf>
    <xf numFmtId="1" fontId="36" fillId="15" borderId="163" xfId="0" applyNumberFormat="1" applyFont="1" applyFill="1" applyBorder="1" applyAlignment="1" applyProtection="1">
      <alignment horizontal="center" vertical="center"/>
    </xf>
    <xf numFmtId="177" fontId="49" fillId="11" borderId="3" xfId="0" applyNumberFormat="1" applyFont="1" applyFill="1" applyBorder="1" applyAlignment="1" applyProtection="1">
      <alignment horizontal="center"/>
    </xf>
    <xf numFmtId="177" fontId="49" fillId="0" borderId="3" xfId="0" applyNumberFormat="1" applyFont="1" applyBorder="1" applyAlignment="1" applyProtection="1">
      <alignment horizontal="center"/>
    </xf>
    <xf numFmtId="0" fontId="47" fillId="11" borderId="52" xfId="0" applyFont="1" applyFill="1" applyBorder="1" applyAlignment="1" applyProtection="1">
      <alignment horizontal="center"/>
    </xf>
    <xf numFmtId="0" fontId="47" fillId="11" borderId="39" xfId="0" applyFont="1" applyFill="1" applyBorder="1" applyAlignment="1" applyProtection="1">
      <alignment horizontal="center"/>
    </xf>
    <xf numFmtId="0" fontId="47" fillId="11" borderId="53" xfId="0" applyFont="1" applyFill="1" applyBorder="1" applyAlignment="1" applyProtection="1">
      <alignment horizontal="center"/>
    </xf>
    <xf numFmtId="0" fontId="47" fillId="0" borderId="52" xfId="0" applyFont="1" applyBorder="1" applyAlignment="1" applyProtection="1">
      <alignment horizontal="center"/>
    </xf>
    <xf numFmtId="0" fontId="47" fillId="0" borderId="39" xfId="0" applyFont="1" applyBorder="1" applyAlignment="1" applyProtection="1">
      <alignment horizontal="center"/>
    </xf>
    <xf numFmtId="0" fontId="47" fillId="0" borderId="53" xfId="0" applyFont="1" applyBorder="1" applyAlignment="1" applyProtection="1">
      <alignment horizontal="center"/>
    </xf>
    <xf numFmtId="0" fontId="48" fillId="11" borderId="0" xfId="0" applyFont="1" applyFill="1" applyBorder="1" applyAlignment="1" applyProtection="1">
      <alignment horizontal="center"/>
    </xf>
    <xf numFmtId="0" fontId="48" fillId="0" borderId="0" xfId="0" applyFont="1" applyBorder="1" applyAlignment="1" applyProtection="1">
      <alignment horizontal="center"/>
    </xf>
    <xf numFmtId="0" fontId="47" fillId="11" borderId="0" xfId="0" applyFont="1" applyFill="1" applyBorder="1" applyAlignment="1" applyProtection="1">
      <alignment horizontal="center"/>
    </xf>
    <xf numFmtId="0" fontId="47" fillId="0" borderId="0" xfId="0" applyFont="1" applyBorder="1" applyAlignment="1" applyProtection="1">
      <alignment horizontal="center"/>
    </xf>
    <xf numFmtId="164" fontId="47" fillId="11" borderId="52" xfId="0" applyNumberFormat="1" applyFont="1" applyFill="1" applyBorder="1" applyAlignment="1" applyProtection="1">
      <alignment horizontal="center"/>
    </xf>
    <xf numFmtId="0" fontId="0" fillId="11" borderId="39" xfId="0" applyFill="1" applyBorder="1" applyAlignment="1">
      <alignment horizontal="center"/>
    </xf>
    <xf numFmtId="0" fontId="0" fillId="11" borderId="53" xfId="0" applyFill="1" applyBorder="1" applyAlignment="1">
      <alignment horizontal="center"/>
    </xf>
    <xf numFmtId="164" fontId="47" fillId="0" borderId="52" xfId="0" applyNumberFormat="1" applyFont="1" applyFill="1" applyBorder="1" applyAlignment="1" applyProtection="1">
      <alignment horizontal="center"/>
    </xf>
    <xf numFmtId="0" fontId="0" fillId="0" borderId="39" xfId="0" applyBorder="1" applyAlignment="1">
      <alignment horizontal="center"/>
    </xf>
    <xf numFmtId="0" fontId="0" fillId="0" borderId="53" xfId="0" applyBorder="1" applyAlignment="1">
      <alignment horizontal="center"/>
    </xf>
    <xf numFmtId="22" fontId="49" fillId="0" borderId="0" xfId="0" applyNumberFormat="1" applyFont="1" applyFill="1" applyBorder="1" applyAlignment="1" applyProtection="1">
      <alignment horizontal="center" wrapText="1"/>
    </xf>
    <xf numFmtId="1" fontId="47" fillId="11" borderId="165" xfId="0" applyNumberFormat="1" applyFont="1" applyFill="1" applyBorder="1" applyAlignment="1" applyProtection="1">
      <alignment horizontal="center"/>
    </xf>
    <xf numFmtId="1" fontId="47" fillId="11" borderId="43" xfId="0" applyNumberFormat="1" applyFont="1" applyFill="1" applyBorder="1" applyAlignment="1" applyProtection="1">
      <alignment horizontal="center"/>
    </xf>
    <xf numFmtId="1" fontId="47" fillId="0" borderId="165" xfId="0" applyNumberFormat="1" applyFont="1" applyBorder="1" applyAlignment="1" applyProtection="1">
      <alignment horizontal="center"/>
    </xf>
    <xf numFmtId="1" fontId="47" fillId="0" borderId="43" xfId="0" applyNumberFormat="1" applyFont="1" applyBorder="1" applyAlignment="1" applyProtection="1">
      <alignment horizontal="center"/>
    </xf>
    <xf numFmtId="1" fontId="47" fillId="11" borderId="166" xfId="0" applyNumberFormat="1" applyFont="1" applyFill="1" applyBorder="1" applyAlignment="1" applyProtection="1">
      <alignment horizontal="center"/>
    </xf>
    <xf numFmtId="1" fontId="47" fillId="11" borderId="138" xfId="0" applyNumberFormat="1" applyFont="1" applyFill="1" applyBorder="1" applyAlignment="1" applyProtection="1">
      <alignment horizontal="center"/>
    </xf>
    <xf numFmtId="1" fontId="47" fillId="0" borderId="166" xfId="0" applyNumberFormat="1" applyFont="1" applyBorder="1" applyAlignment="1" applyProtection="1">
      <alignment horizontal="center"/>
    </xf>
    <xf numFmtId="164" fontId="39" fillId="11" borderId="52" xfId="0" applyNumberFormat="1" applyFont="1" applyFill="1" applyBorder="1" applyAlignment="1" applyProtection="1">
      <alignment horizontal="center"/>
    </xf>
    <xf numFmtId="164" fontId="39" fillId="11" borderId="39" xfId="0" applyNumberFormat="1" applyFont="1" applyFill="1" applyBorder="1" applyAlignment="1" applyProtection="1">
      <alignment horizontal="center"/>
    </xf>
    <xf numFmtId="164" fontId="39" fillId="11" borderId="53" xfId="0" applyNumberFormat="1" applyFont="1" applyFill="1" applyBorder="1" applyAlignment="1" applyProtection="1">
      <alignment horizontal="center"/>
    </xf>
    <xf numFmtId="164" fontId="47" fillId="0" borderId="39" xfId="0" applyNumberFormat="1" applyFont="1" applyFill="1" applyBorder="1" applyAlignment="1" applyProtection="1">
      <alignment horizontal="center"/>
    </xf>
    <xf numFmtId="164" fontId="47" fillId="0" borderId="53" xfId="0" applyNumberFormat="1" applyFont="1" applyFill="1" applyBorder="1" applyAlignment="1" applyProtection="1">
      <alignment horizontal="center"/>
    </xf>
    <xf numFmtId="164" fontId="39" fillId="0" borderId="52" xfId="0" applyNumberFormat="1" applyFont="1" applyFill="1" applyBorder="1" applyAlignment="1" applyProtection="1">
      <alignment horizontal="center"/>
    </xf>
    <xf numFmtId="164" fontId="39" fillId="0" borderId="39" xfId="0" applyNumberFormat="1" applyFont="1" applyFill="1" applyBorder="1" applyAlignment="1" applyProtection="1">
      <alignment horizontal="center"/>
    </xf>
    <xf numFmtId="164" fontId="39" fillId="0" borderId="53" xfId="0" applyNumberFormat="1" applyFont="1" applyFill="1" applyBorder="1" applyAlignment="1" applyProtection="1">
      <alignment horizontal="center"/>
    </xf>
    <xf numFmtId="0" fontId="39" fillId="11" borderId="0" xfId="0" applyFont="1" applyFill="1" applyBorder="1" applyAlignment="1">
      <alignment horizontal="center"/>
    </xf>
    <xf numFmtId="0" fontId="39" fillId="0" borderId="0" xfId="0" applyFont="1" applyBorder="1" applyAlignment="1">
      <alignment horizontal="center"/>
    </xf>
    <xf numFmtId="1" fontId="47" fillId="0" borderId="138" xfId="0" applyNumberFormat="1" applyFont="1" applyBorder="1" applyAlignment="1" applyProtection="1">
      <alignment horizontal="center"/>
    </xf>
    <xf numFmtId="1" fontId="47" fillId="11" borderId="52" xfId="0" applyNumberFormat="1" applyFont="1" applyFill="1" applyBorder="1" applyAlignment="1" applyProtection="1">
      <alignment horizontal="center"/>
    </xf>
    <xf numFmtId="1" fontId="47" fillId="11" borderId="39" xfId="0" applyNumberFormat="1" applyFont="1" applyFill="1" applyBorder="1" applyAlignment="1" applyProtection="1">
      <alignment horizontal="center"/>
    </xf>
    <xf numFmtId="1" fontId="47" fillId="11" borderId="53" xfId="0" applyNumberFormat="1" applyFont="1" applyFill="1" applyBorder="1" applyAlignment="1" applyProtection="1">
      <alignment horizontal="center"/>
    </xf>
    <xf numFmtId="1" fontId="47" fillId="0" borderId="52" xfId="0" applyNumberFormat="1" applyFont="1" applyBorder="1" applyAlignment="1" applyProtection="1">
      <alignment horizontal="center"/>
    </xf>
    <xf numFmtId="1" fontId="47" fillId="0" borderId="39" xfId="0" applyNumberFormat="1" applyFont="1" applyBorder="1" applyAlignment="1" applyProtection="1">
      <alignment horizontal="center"/>
    </xf>
    <xf numFmtId="1" fontId="47" fillId="0" borderId="53" xfId="0" applyNumberFormat="1" applyFont="1" applyBorder="1" applyAlignment="1" applyProtection="1">
      <alignment horizontal="center"/>
    </xf>
    <xf numFmtId="0" fontId="47" fillId="11" borderId="5" xfId="0" applyFont="1" applyFill="1" applyBorder="1" applyAlignment="1" applyProtection="1">
      <alignment horizontal="center"/>
    </xf>
    <xf numFmtId="0" fontId="47" fillId="11" borderId="7" xfId="0" applyFont="1" applyFill="1" applyBorder="1" applyAlignment="1" applyProtection="1">
      <alignment horizontal="center"/>
    </xf>
    <xf numFmtId="0" fontId="47" fillId="0" borderId="5" xfId="0" applyFont="1" applyBorder="1" applyAlignment="1" applyProtection="1">
      <alignment horizontal="center"/>
    </xf>
    <xf numFmtId="0" fontId="47" fillId="0" borderId="7" xfId="0" applyFont="1" applyBorder="1" applyAlignment="1" applyProtection="1">
      <alignment horizontal="center"/>
    </xf>
    <xf numFmtId="3" fontId="47" fillId="11" borderId="52" xfId="0" applyNumberFormat="1" applyFont="1" applyFill="1" applyBorder="1" applyAlignment="1" applyProtection="1">
      <alignment horizontal="center"/>
    </xf>
    <xf numFmtId="3" fontId="47" fillId="0" borderId="52" xfId="0" applyNumberFormat="1" applyFont="1" applyFill="1" applyBorder="1" applyAlignment="1" applyProtection="1">
      <alignment horizontal="center"/>
    </xf>
    <xf numFmtId="1" fontId="47" fillId="0" borderId="165" xfId="0" applyNumberFormat="1" applyFont="1" applyFill="1" applyBorder="1" applyAlignment="1" applyProtection="1">
      <alignment horizontal="center"/>
    </xf>
    <xf numFmtId="1" fontId="47" fillId="0" borderId="43" xfId="0" applyNumberFormat="1" applyFont="1" applyFill="1" applyBorder="1" applyAlignment="1" applyProtection="1">
      <alignment horizontal="center"/>
    </xf>
    <xf numFmtId="1" fontId="47" fillId="11" borderId="126" xfId="0" applyNumberFormat="1" applyFont="1" applyFill="1" applyBorder="1" applyAlignment="1" applyProtection="1">
      <alignment horizontal="center"/>
    </xf>
    <xf numFmtId="1" fontId="47" fillId="0" borderId="126" xfId="0" applyNumberFormat="1" applyFont="1" applyBorder="1" applyAlignment="1" applyProtection="1">
      <alignment horizontal="center"/>
    </xf>
    <xf numFmtId="0" fontId="55" fillId="11" borderId="30" xfId="0" applyFont="1" applyFill="1" applyBorder="1" applyAlignment="1" applyProtection="1">
      <alignment horizontal="center"/>
    </xf>
    <xf numFmtId="0" fontId="55" fillId="11" borderId="31" xfId="0" applyFont="1" applyFill="1" applyBorder="1" applyAlignment="1" applyProtection="1">
      <alignment horizontal="center"/>
    </xf>
    <xf numFmtId="0" fontId="55" fillId="0" borderId="30" xfId="0" applyFont="1" applyBorder="1" applyAlignment="1" applyProtection="1">
      <alignment horizontal="center"/>
    </xf>
    <xf numFmtId="0" fontId="55" fillId="0" borderId="31" xfId="0" applyFont="1" applyBorder="1" applyAlignment="1" applyProtection="1">
      <alignment horizontal="center"/>
    </xf>
    <xf numFmtId="0" fontId="46" fillId="11" borderId="0" xfId="0" applyFont="1" applyFill="1" applyBorder="1" applyAlignment="1" applyProtection="1">
      <alignment horizontal="center"/>
    </xf>
    <xf numFmtId="0" fontId="46" fillId="0" borderId="0" xfId="0" applyFont="1" applyBorder="1" applyAlignment="1" applyProtection="1">
      <alignment horizontal="center"/>
    </xf>
    <xf numFmtId="22" fontId="49" fillId="0" borderId="16" xfId="0" applyNumberFormat="1" applyFont="1" applyFill="1" applyBorder="1" applyAlignment="1" applyProtection="1">
      <alignment horizontal="center"/>
    </xf>
    <xf numFmtId="0" fontId="49" fillId="0" borderId="19" xfId="0" applyFont="1" applyFill="1" applyBorder="1" applyAlignment="1" applyProtection="1">
      <alignment horizontal="center"/>
    </xf>
    <xf numFmtId="0" fontId="55" fillId="11" borderId="165" xfId="0" applyFont="1" applyFill="1" applyBorder="1" applyAlignment="1" applyProtection="1">
      <alignment horizontal="center"/>
    </xf>
    <xf numFmtId="0" fontId="55" fillId="11" borderId="166" xfId="0" applyFont="1" applyFill="1" applyBorder="1" applyAlignment="1" applyProtection="1">
      <alignment horizontal="center"/>
    </xf>
    <xf numFmtId="0" fontId="55" fillId="11" borderId="138" xfId="0" applyFont="1" applyFill="1" applyBorder="1" applyAlignment="1" applyProtection="1">
      <alignment horizontal="center"/>
    </xf>
    <xf numFmtId="0" fontId="55" fillId="11" borderId="54" xfId="0" applyFont="1" applyFill="1" applyBorder="1" applyAlignment="1" applyProtection="1">
      <alignment horizontal="center"/>
    </xf>
    <xf numFmtId="0" fontId="55" fillId="11" borderId="5" xfId="0" applyFont="1" applyFill="1" applyBorder="1" applyAlignment="1" applyProtection="1">
      <alignment horizontal="center"/>
    </xf>
    <xf numFmtId="0" fontId="55" fillId="11" borderId="7" xfId="0" applyFont="1" applyFill="1" applyBorder="1" applyAlignment="1" applyProtection="1">
      <alignment horizontal="center"/>
    </xf>
    <xf numFmtId="0" fontId="55" fillId="0" borderId="5" xfId="0" applyFont="1" applyBorder="1" applyAlignment="1" applyProtection="1">
      <alignment horizontal="center"/>
    </xf>
    <xf numFmtId="0" fontId="55" fillId="0" borderId="7" xfId="0" applyFont="1" applyBorder="1" applyAlignment="1" applyProtection="1">
      <alignment horizontal="center"/>
    </xf>
    <xf numFmtId="0" fontId="55" fillId="0" borderId="18" xfId="0" applyFont="1" applyFill="1" applyBorder="1" applyAlignment="1" applyProtection="1">
      <alignment horizontal="center"/>
    </xf>
    <xf numFmtId="0" fontId="55" fillId="0" borderId="16" xfId="0" applyFont="1" applyFill="1" applyBorder="1" applyAlignment="1" applyProtection="1">
      <alignment horizontal="center"/>
    </xf>
    <xf numFmtId="0" fontId="55" fillId="0" borderId="44" xfId="0" applyFont="1" applyFill="1" applyBorder="1" applyAlignment="1" applyProtection="1">
      <alignment horizontal="center"/>
    </xf>
    <xf numFmtId="0" fontId="55" fillId="0" borderId="35" xfId="0" applyFont="1" applyFill="1" applyBorder="1" applyAlignment="1" applyProtection="1">
      <alignment horizontal="center"/>
    </xf>
    <xf numFmtId="0" fontId="55" fillId="0" borderId="29" xfId="0" applyFont="1" applyFill="1" applyBorder="1" applyAlignment="1" applyProtection="1">
      <alignment horizontal="center"/>
    </xf>
    <xf numFmtId="0" fontId="55" fillId="0" borderId="46" xfId="0" applyFont="1" applyFill="1" applyBorder="1" applyAlignment="1" applyProtection="1">
      <alignment horizontal="center"/>
    </xf>
    <xf numFmtId="0" fontId="55" fillId="11" borderId="35" xfId="0" applyFont="1" applyFill="1" applyBorder="1" applyAlignment="1" applyProtection="1">
      <alignment horizontal="center"/>
    </xf>
    <xf numFmtId="0" fontId="55" fillId="11" borderId="29" xfId="0" applyFont="1" applyFill="1" applyBorder="1" applyAlignment="1" applyProtection="1">
      <alignment horizontal="center"/>
    </xf>
    <xf numFmtId="0" fontId="55" fillId="11" borderId="46" xfId="0" applyFont="1" applyFill="1" applyBorder="1" applyAlignment="1" applyProtection="1">
      <alignment horizontal="center"/>
    </xf>
    <xf numFmtId="0" fontId="55" fillId="0" borderId="35" xfId="0" applyFont="1" applyBorder="1" applyAlignment="1" applyProtection="1">
      <alignment horizontal="center"/>
    </xf>
    <xf numFmtId="0" fontId="55" fillId="0" borderId="29" xfId="0" applyFont="1" applyBorder="1" applyAlignment="1" applyProtection="1">
      <alignment horizontal="center"/>
    </xf>
    <xf numFmtId="0" fontId="55" fillId="0" borderId="46" xfId="0" applyFont="1" applyBorder="1" applyAlignment="1" applyProtection="1">
      <alignment horizontal="center"/>
    </xf>
    <xf numFmtId="177" fontId="49" fillId="11" borderId="0" xfId="0" applyNumberFormat="1" applyFont="1" applyFill="1" applyBorder="1" applyAlignment="1" applyProtection="1">
      <alignment horizontal="center"/>
    </xf>
    <xf numFmtId="177" fontId="49" fillId="0" borderId="0" xfId="0" applyNumberFormat="1" applyFont="1" applyBorder="1" applyAlignment="1" applyProtection="1">
      <alignment horizontal="center"/>
    </xf>
    <xf numFmtId="1" fontId="46" fillId="0" borderId="165" xfId="0" applyNumberFormat="1" applyFont="1" applyBorder="1" applyAlignment="1" applyProtection="1">
      <alignment horizontal="center"/>
    </xf>
    <xf numFmtId="1" fontId="46" fillId="0" borderId="43" xfId="0" applyNumberFormat="1" applyFont="1" applyBorder="1" applyAlignment="1" applyProtection="1">
      <alignment horizontal="center"/>
    </xf>
    <xf numFmtId="1" fontId="46" fillId="0" borderId="138" xfId="0" applyNumberFormat="1" applyFont="1" applyBorder="1" applyAlignment="1" applyProtection="1">
      <alignment horizontal="center"/>
    </xf>
    <xf numFmtId="0" fontId="46" fillId="0" borderId="0" xfId="0" applyFont="1" applyFill="1" applyBorder="1" applyAlignment="1" applyProtection="1">
      <alignment horizontal="center"/>
    </xf>
    <xf numFmtId="1" fontId="46" fillId="0" borderId="54" xfId="0" applyNumberFormat="1" applyFont="1" applyBorder="1" applyAlignment="1" applyProtection="1">
      <alignment horizontal="center"/>
    </xf>
    <xf numFmtId="1" fontId="46" fillId="0" borderId="22" xfId="0" applyNumberFormat="1" applyFont="1" applyBorder="1" applyAlignment="1" applyProtection="1">
      <alignment horizontal="center"/>
    </xf>
    <xf numFmtId="1" fontId="46" fillId="11" borderId="54" xfId="0" applyNumberFormat="1" applyFont="1" applyFill="1" applyBorder="1" applyAlignment="1" applyProtection="1">
      <alignment horizontal="center"/>
    </xf>
    <xf numFmtId="1" fontId="46" fillId="11" borderId="22" xfId="0" applyNumberFormat="1" applyFont="1" applyFill="1" applyBorder="1" applyAlignment="1" applyProtection="1">
      <alignment horizontal="center"/>
    </xf>
    <xf numFmtId="1" fontId="46" fillId="11" borderId="165" xfId="0" applyNumberFormat="1" applyFont="1" applyFill="1" applyBorder="1" applyAlignment="1" applyProtection="1">
      <alignment horizontal="center"/>
    </xf>
    <xf numFmtId="1" fontId="46" fillId="11" borderId="43" xfId="0" applyNumberFormat="1" applyFont="1" applyFill="1" applyBorder="1" applyAlignment="1" applyProtection="1">
      <alignment horizontal="center"/>
    </xf>
    <xf numFmtId="1" fontId="46" fillId="11" borderId="138" xfId="0" applyNumberFormat="1" applyFont="1" applyFill="1" applyBorder="1" applyAlignment="1" applyProtection="1">
      <alignment horizontal="center"/>
    </xf>
    <xf numFmtId="1" fontId="46" fillId="0" borderId="165" xfId="0" applyNumberFormat="1" applyFont="1" applyFill="1" applyBorder="1" applyAlignment="1" applyProtection="1">
      <alignment horizontal="center"/>
    </xf>
    <xf numFmtId="1" fontId="46" fillId="0" borderId="138" xfId="0" applyNumberFormat="1" applyFont="1" applyFill="1" applyBorder="1" applyAlignment="1" applyProtection="1">
      <alignment horizontal="center"/>
    </xf>
    <xf numFmtId="1" fontId="46" fillId="0" borderId="43" xfId="0" applyNumberFormat="1" applyFont="1" applyFill="1" applyBorder="1" applyAlignment="1" applyProtection="1">
      <alignment horizontal="center"/>
    </xf>
    <xf numFmtId="1" fontId="46" fillId="0" borderId="166" xfId="0" applyNumberFormat="1" applyFont="1" applyFill="1" applyBorder="1" applyAlignment="1" applyProtection="1">
      <alignment horizontal="center"/>
    </xf>
    <xf numFmtId="1" fontId="46" fillId="11" borderId="166" xfId="0" applyNumberFormat="1" applyFont="1" applyFill="1" applyBorder="1" applyAlignment="1" applyProtection="1">
      <alignment horizontal="center"/>
    </xf>
    <xf numFmtId="1" fontId="46" fillId="11" borderId="57" xfId="0" applyNumberFormat="1" applyFont="1" applyFill="1" applyBorder="1" applyAlignment="1" applyProtection="1">
      <alignment horizontal="center"/>
    </xf>
    <xf numFmtId="1" fontId="46" fillId="11" borderId="55" xfId="0" applyNumberFormat="1" applyFont="1" applyFill="1" applyBorder="1" applyAlignment="1" applyProtection="1">
      <alignment horizontal="center"/>
    </xf>
    <xf numFmtId="1" fontId="46" fillId="0" borderId="57" xfId="0" applyNumberFormat="1" applyFont="1" applyFill="1" applyBorder="1" applyAlignment="1" applyProtection="1">
      <alignment horizontal="center"/>
    </xf>
    <xf numFmtId="1" fontId="46" fillId="0" borderId="55" xfId="0" applyNumberFormat="1" applyFont="1" applyFill="1" applyBorder="1" applyAlignment="1" applyProtection="1">
      <alignment horizontal="center"/>
    </xf>
    <xf numFmtId="164" fontId="45" fillId="11" borderId="35" xfId="0" applyNumberFormat="1" applyFont="1" applyFill="1" applyBorder="1" applyAlignment="1" applyProtection="1">
      <alignment horizontal="center"/>
    </xf>
    <xf numFmtId="164" fontId="45" fillId="11" borderId="29" xfId="0" applyNumberFormat="1" applyFont="1" applyFill="1" applyBorder="1" applyAlignment="1" applyProtection="1">
      <alignment horizontal="center"/>
    </xf>
    <xf numFmtId="164" fontId="45" fillId="11" borderId="46" xfId="0" applyNumberFormat="1" applyFont="1" applyFill="1" applyBorder="1" applyAlignment="1" applyProtection="1">
      <alignment horizontal="center"/>
    </xf>
    <xf numFmtId="164" fontId="119" fillId="0" borderId="165" xfId="0" applyNumberFormat="1" applyFont="1" applyFill="1" applyBorder="1" applyAlignment="1" applyProtection="1">
      <alignment horizontal="center"/>
    </xf>
    <xf numFmtId="164" fontId="119" fillId="0" borderId="166" xfId="0" applyNumberFormat="1" applyFont="1" applyFill="1" applyBorder="1" applyAlignment="1" applyProtection="1">
      <alignment horizontal="center"/>
    </xf>
    <xf numFmtId="164" fontId="119" fillId="0" borderId="138" xfId="0" applyNumberFormat="1" applyFont="1" applyFill="1" applyBorder="1" applyAlignment="1" applyProtection="1">
      <alignment horizontal="center"/>
    </xf>
    <xf numFmtId="164" fontId="43" fillId="11" borderId="2" xfId="0" applyNumberFormat="1" applyFont="1" applyFill="1" applyBorder="1" applyAlignment="1" applyProtection="1">
      <alignment horizontal="center"/>
    </xf>
    <xf numFmtId="164" fontId="43" fillId="11" borderId="20" xfId="0" applyNumberFormat="1" applyFont="1" applyFill="1" applyBorder="1" applyAlignment="1" applyProtection="1">
      <alignment horizontal="center"/>
    </xf>
    <xf numFmtId="164" fontId="43" fillId="11" borderId="45" xfId="0" applyNumberFormat="1" applyFont="1" applyFill="1" applyBorder="1" applyAlignment="1" applyProtection="1">
      <alignment horizontal="center"/>
    </xf>
    <xf numFmtId="164" fontId="101" fillId="0" borderId="52" xfId="0" applyNumberFormat="1" applyFont="1" applyFill="1" applyBorder="1" applyAlignment="1" applyProtection="1">
      <alignment horizontal="center"/>
    </xf>
    <xf numFmtId="164" fontId="101" fillId="0" borderId="126" xfId="0" applyNumberFormat="1" applyFont="1" applyFill="1" applyBorder="1" applyAlignment="1" applyProtection="1">
      <alignment horizontal="center"/>
    </xf>
    <xf numFmtId="164" fontId="119" fillId="0" borderId="35" xfId="0" applyNumberFormat="1" applyFont="1" applyFill="1" applyBorder="1" applyAlignment="1" applyProtection="1">
      <alignment horizontal="center"/>
    </xf>
    <xf numFmtId="164" fontId="119" fillId="0" borderId="29" xfId="0" applyNumberFormat="1" applyFont="1" applyFill="1" applyBorder="1" applyAlignment="1" applyProtection="1">
      <alignment horizontal="center"/>
    </xf>
    <xf numFmtId="164" fontId="119" fillId="0" borderId="46" xfId="0" applyNumberFormat="1" applyFont="1" applyFill="1" applyBorder="1" applyAlignment="1" applyProtection="1">
      <alignment horizontal="center"/>
    </xf>
    <xf numFmtId="164" fontId="101" fillId="0" borderId="18" xfId="0" applyNumberFormat="1" applyFont="1" applyFill="1" applyBorder="1" applyAlignment="1" applyProtection="1">
      <alignment horizontal="center"/>
    </xf>
    <xf numFmtId="164" fontId="101" fillId="0" borderId="19" xfId="0" applyNumberFormat="1" applyFont="1" applyFill="1" applyBorder="1" applyAlignment="1" applyProtection="1">
      <alignment horizontal="center"/>
    </xf>
    <xf numFmtId="164" fontId="101" fillId="0" borderId="44" xfId="0" applyNumberFormat="1" applyFont="1" applyFill="1" applyBorder="1" applyAlignment="1" applyProtection="1">
      <alignment horizontal="center"/>
    </xf>
    <xf numFmtId="164" fontId="45" fillId="0" borderId="52" xfId="0" applyNumberFormat="1" applyFont="1" applyFill="1" applyBorder="1" applyAlignment="1" applyProtection="1">
      <alignment horizontal="center"/>
    </xf>
    <xf numFmtId="164" fontId="45" fillId="0" borderId="39" xfId="0" applyNumberFormat="1" applyFont="1" applyFill="1" applyBorder="1" applyAlignment="1" applyProtection="1">
      <alignment horizontal="center"/>
    </xf>
    <xf numFmtId="164" fontId="45" fillId="0" borderId="53" xfId="0" applyNumberFormat="1" applyFont="1" applyFill="1" applyBorder="1" applyAlignment="1" applyProtection="1">
      <alignment horizontal="center"/>
    </xf>
    <xf numFmtId="164" fontId="101" fillId="0" borderId="53" xfId="0" applyNumberFormat="1" applyFont="1" applyFill="1" applyBorder="1" applyAlignment="1" applyProtection="1">
      <alignment horizontal="center"/>
    </xf>
    <xf numFmtId="164" fontId="43" fillId="0" borderId="2" xfId="0" applyNumberFormat="1" applyFont="1" applyFill="1" applyBorder="1" applyAlignment="1" applyProtection="1">
      <alignment horizontal="center"/>
    </xf>
    <xf numFmtId="164" fontId="43" fillId="0" borderId="20" xfId="0" applyNumberFormat="1" applyFont="1" applyFill="1" applyBorder="1" applyAlignment="1" applyProtection="1">
      <alignment horizontal="center"/>
    </xf>
    <xf numFmtId="164" fontId="43" fillId="0" borderId="45" xfId="0" applyNumberFormat="1" applyFont="1" applyFill="1" applyBorder="1" applyAlignment="1" applyProtection="1">
      <alignment horizontal="center"/>
    </xf>
    <xf numFmtId="0" fontId="45" fillId="11" borderId="134" xfId="0" applyFont="1" applyFill="1" applyBorder="1" applyAlignment="1" applyProtection="1">
      <alignment horizontal="center"/>
    </xf>
    <xf numFmtId="0" fontId="45" fillId="11" borderId="129" xfId="0" applyFont="1" applyFill="1" applyBorder="1" applyAlignment="1" applyProtection="1">
      <alignment horizontal="center"/>
    </xf>
    <xf numFmtId="1" fontId="119" fillId="0" borderId="167" xfId="0" applyNumberFormat="1" applyFont="1" applyFill="1" applyBorder="1" applyAlignment="1" applyProtection="1">
      <alignment horizontal="center"/>
    </xf>
    <xf numFmtId="0" fontId="119" fillId="0" borderId="134" xfId="0" applyFont="1" applyFill="1" applyBorder="1" applyAlignment="1" applyProtection="1">
      <alignment horizontal="center"/>
    </xf>
    <xf numFmtId="1" fontId="45" fillId="0" borderId="167" xfId="0" applyNumberFormat="1" applyFont="1" applyFill="1" applyBorder="1" applyAlignment="1" applyProtection="1">
      <alignment horizontal="center"/>
    </xf>
    <xf numFmtId="0" fontId="45" fillId="0" borderId="129" xfId="0" applyFont="1" applyFill="1" applyBorder="1" applyAlignment="1" applyProtection="1">
      <alignment horizontal="center"/>
    </xf>
    <xf numFmtId="0" fontId="119" fillId="0" borderId="129" xfId="0" applyFont="1" applyFill="1" applyBorder="1" applyAlignment="1" applyProtection="1">
      <alignment horizontal="center"/>
    </xf>
    <xf numFmtId="0" fontId="45" fillId="0" borderId="134" xfId="0" applyFont="1" applyFill="1" applyBorder="1" applyAlignment="1" applyProtection="1">
      <alignment horizontal="center"/>
    </xf>
    <xf numFmtId="164" fontId="101" fillId="11" borderId="2" xfId="0" applyNumberFormat="1" applyFont="1" applyFill="1" applyBorder="1" applyAlignment="1" applyProtection="1">
      <alignment horizontal="center"/>
    </xf>
    <xf numFmtId="164" fontId="101" fillId="11" borderId="20" xfId="0" applyNumberFormat="1" applyFont="1" applyFill="1" applyBorder="1" applyAlignment="1" applyProtection="1">
      <alignment horizontal="center"/>
    </xf>
    <xf numFmtId="164" fontId="101" fillId="0" borderId="2" xfId="0" applyNumberFormat="1" applyFont="1" applyFill="1" applyBorder="1" applyAlignment="1" applyProtection="1">
      <alignment horizontal="center"/>
    </xf>
    <xf numFmtId="164" fontId="101" fillId="0" borderId="20" xfId="0" applyNumberFormat="1" applyFont="1" applyFill="1" applyBorder="1" applyAlignment="1" applyProtection="1">
      <alignment horizontal="center"/>
    </xf>
    <xf numFmtId="164" fontId="43" fillId="0" borderId="52" xfId="0" applyNumberFormat="1" applyFont="1" applyFill="1" applyBorder="1" applyAlignment="1" applyProtection="1">
      <alignment horizontal="center"/>
    </xf>
    <xf numFmtId="164" fontId="43" fillId="0" borderId="126" xfId="0" applyNumberFormat="1" applyFont="1" applyFill="1" applyBorder="1" applyAlignment="1" applyProtection="1">
      <alignment horizontal="center"/>
    </xf>
    <xf numFmtId="164" fontId="45" fillId="0" borderId="35" xfId="0" applyNumberFormat="1" applyFont="1" applyFill="1" applyBorder="1" applyAlignment="1" applyProtection="1">
      <alignment horizontal="center"/>
    </xf>
    <xf numFmtId="164" fontId="45" fillId="0" borderId="29" xfId="0" applyNumberFormat="1" applyFont="1" applyFill="1" applyBorder="1" applyAlignment="1" applyProtection="1">
      <alignment horizontal="center"/>
    </xf>
    <xf numFmtId="164" fontId="45" fillId="0" borderId="46" xfId="0" applyNumberFormat="1" applyFont="1" applyFill="1" applyBorder="1" applyAlignment="1" applyProtection="1">
      <alignment horizontal="center"/>
    </xf>
    <xf numFmtId="164" fontId="43" fillId="0" borderId="18" xfId="0" applyNumberFormat="1" applyFont="1" applyFill="1" applyBorder="1" applyAlignment="1" applyProtection="1">
      <alignment horizontal="center"/>
    </xf>
    <xf numFmtId="164" fontId="43" fillId="0" borderId="44" xfId="0" applyNumberFormat="1" applyFont="1" applyFill="1" applyBorder="1" applyAlignment="1" applyProtection="1">
      <alignment horizontal="center"/>
    </xf>
    <xf numFmtId="164" fontId="43" fillId="0" borderId="53" xfId="0" applyNumberFormat="1" applyFont="1" applyFill="1" applyBorder="1" applyAlignment="1" applyProtection="1">
      <alignment horizontal="center"/>
    </xf>
    <xf numFmtId="164" fontId="43" fillId="0" borderId="19" xfId="0" applyNumberFormat="1" applyFont="1" applyFill="1" applyBorder="1" applyAlignment="1" applyProtection="1">
      <alignment horizontal="center"/>
    </xf>
    <xf numFmtId="164" fontId="43" fillId="0" borderId="131" xfId="0" applyNumberFormat="1" applyFont="1" applyFill="1" applyBorder="1" applyAlignment="1" applyProtection="1">
      <alignment horizontal="center"/>
    </xf>
    <xf numFmtId="164" fontId="43" fillId="0" borderId="130" xfId="0" applyNumberFormat="1" applyFont="1" applyFill="1" applyBorder="1" applyAlignment="1" applyProtection="1">
      <alignment horizontal="center"/>
    </xf>
    <xf numFmtId="164" fontId="43" fillId="0" borderId="132" xfId="0" applyNumberFormat="1" applyFont="1" applyFill="1" applyBorder="1" applyAlignment="1" applyProtection="1">
      <alignment horizontal="center"/>
    </xf>
    <xf numFmtId="164" fontId="43" fillId="0" borderId="33" xfId="0" applyNumberFormat="1" applyFont="1" applyFill="1" applyBorder="1" applyAlignment="1" applyProtection="1">
      <alignment horizontal="center"/>
    </xf>
    <xf numFmtId="164" fontId="43" fillId="0" borderId="51" xfId="0" applyNumberFormat="1" applyFont="1" applyFill="1" applyBorder="1" applyAlignment="1" applyProtection="1">
      <alignment horizontal="center"/>
    </xf>
    <xf numFmtId="164" fontId="43" fillId="0" borderId="58" xfId="0" applyNumberFormat="1" applyFont="1" applyFill="1" applyBorder="1" applyAlignment="1" applyProtection="1">
      <alignment horizontal="center"/>
    </xf>
    <xf numFmtId="0" fontId="47" fillId="0" borderId="0" xfId="0" applyFont="1" applyFill="1" applyBorder="1" applyAlignment="1" applyProtection="1">
      <alignment horizontal="center"/>
    </xf>
    <xf numFmtId="164" fontId="101" fillId="0" borderId="33" xfId="0" applyNumberFormat="1" applyFont="1" applyFill="1" applyBorder="1" applyAlignment="1" applyProtection="1">
      <alignment horizontal="center"/>
    </xf>
    <xf numFmtId="164" fontId="101" fillId="0" borderId="51" xfId="0" applyNumberFormat="1" applyFont="1" applyFill="1" applyBorder="1" applyAlignment="1" applyProtection="1">
      <alignment horizontal="center"/>
    </xf>
    <xf numFmtId="177" fontId="49" fillId="0" borderId="3" xfId="0" applyNumberFormat="1" applyFont="1" applyFill="1" applyBorder="1" applyAlignment="1" applyProtection="1">
      <alignment horizontal="center"/>
    </xf>
    <xf numFmtId="1" fontId="47" fillId="0" borderId="166" xfId="0" applyNumberFormat="1" applyFont="1" applyFill="1" applyBorder="1" applyAlignment="1" applyProtection="1">
      <alignment horizontal="center"/>
    </xf>
    <xf numFmtId="1" fontId="47" fillId="0" borderId="138" xfId="0" applyNumberFormat="1" applyFont="1" applyFill="1" applyBorder="1" applyAlignment="1" applyProtection="1">
      <alignment horizontal="center"/>
    </xf>
    <xf numFmtId="1" fontId="46" fillId="0" borderId="7" xfId="0" applyNumberFormat="1" applyFont="1" applyBorder="1" applyAlignment="1" applyProtection="1">
      <alignment horizontal="center"/>
    </xf>
    <xf numFmtId="1" fontId="46" fillId="11" borderId="7" xfId="0" applyNumberFormat="1" applyFont="1" applyFill="1" applyBorder="1" applyAlignment="1" applyProtection="1">
      <alignment horizontal="center"/>
    </xf>
    <xf numFmtId="1" fontId="46" fillId="0" borderId="166" xfId="0" applyNumberFormat="1" applyFont="1" applyBorder="1" applyAlignment="1" applyProtection="1">
      <alignment horizontal="center"/>
    </xf>
  </cellXfs>
  <cellStyles count="95">
    <cellStyle name="_D 52-54" xfId="1" xr:uid="{00000000-0005-0000-0000-000000000000}"/>
    <cellStyle name="_D 52-54 2" xfId="2" xr:uid="{00000000-0005-0000-0000-000001000000}"/>
    <cellStyle name="_D 52-54 2 2" xfId="78" xr:uid="{00000000-0005-0000-0000-000002000000}"/>
    <cellStyle name="_D 52-54_Transfermatrix" xfId="3" xr:uid="{00000000-0005-0000-0000-000003000000}"/>
    <cellStyle name="_D 52-54_Transfermatrix 2" xfId="4" xr:uid="{00000000-0005-0000-0000-000004000000}"/>
    <cellStyle name="_D 52-54_Transfermatrix 2 2" xfId="79" xr:uid="{00000000-0005-0000-0000-000005000000}"/>
    <cellStyle name="_D 52-54_Transfermatrix_1" xfId="5" xr:uid="{00000000-0005-0000-0000-000006000000}"/>
    <cellStyle name="_D 52-54_Transfermatrix_1 2" xfId="6" xr:uid="{00000000-0005-0000-0000-000007000000}"/>
    <cellStyle name="_D 52-54_Transfermatrix_1 2 2" xfId="80" xr:uid="{00000000-0005-0000-0000-000008000000}"/>
    <cellStyle name="_Transfermatrix" xfId="7" xr:uid="{00000000-0005-0000-0000-000009000000}"/>
    <cellStyle name="_Transfermatrix 2" xfId="8" xr:uid="{00000000-0005-0000-0000-00000A000000}"/>
    <cellStyle name="_Transfermatrix 2 2" xfId="81" xr:uid="{00000000-0005-0000-0000-00000B000000}"/>
    <cellStyle name="_Transfermatrix_1" xfId="9" xr:uid="{00000000-0005-0000-0000-00000C000000}"/>
    <cellStyle name="_Transfermatrix_1 2" xfId="10" xr:uid="{00000000-0005-0000-0000-00000D000000}"/>
    <cellStyle name="_Transfermatrix_1 2 2" xfId="82" xr:uid="{00000000-0005-0000-0000-00000E000000}"/>
    <cellStyle name="annee semestre" xfId="11" xr:uid="{00000000-0005-0000-0000-00000F000000}"/>
    <cellStyle name="Årtal" xfId="12" xr:uid="{00000000-0005-0000-0000-000010000000}"/>
    <cellStyle name="Celkem" xfId="13" xr:uid="{00000000-0005-0000-0000-000011000000}"/>
    <cellStyle name="Comma" xfId="14" builtinId="3"/>
    <cellStyle name="Comma 2" xfId="15" xr:uid="{00000000-0005-0000-0000-000013000000}"/>
    <cellStyle name="Comma 2 2" xfId="84" xr:uid="{00000000-0005-0000-0000-000014000000}"/>
    <cellStyle name="Comma 3" xfId="83" xr:uid="{00000000-0005-0000-0000-000015000000}"/>
    <cellStyle name="controle variabele" xfId="16" xr:uid="{00000000-0005-0000-0000-000016000000}"/>
    <cellStyle name="database" xfId="17" xr:uid="{00000000-0005-0000-0000-000017000000}"/>
    <cellStyle name="Datum" xfId="18" xr:uid="{00000000-0005-0000-0000-000018000000}"/>
    <cellStyle name="Dezimal [2]" xfId="19" xr:uid="{00000000-0005-0000-0000-000019000000}"/>
    <cellStyle name="Dezimal [2] 2" xfId="20" xr:uid="{00000000-0005-0000-0000-00001A000000}"/>
    <cellStyle name="Dezimal [2] 2 2" xfId="85" xr:uid="{00000000-0005-0000-0000-00001B000000}"/>
    <cellStyle name="données" xfId="21" xr:uid="{00000000-0005-0000-0000-00001C000000}"/>
    <cellStyle name="données­border" xfId="22" xr:uid="{00000000-0005-0000-0000-00001D000000}"/>
    <cellStyle name="exogeen percentage" xfId="23" xr:uid="{00000000-0005-0000-0000-00001E000000}"/>
    <cellStyle name="exogene waarde" xfId="24" xr:uid="{00000000-0005-0000-0000-00001F000000}"/>
    <cellStyle name="Fetrubrik" xfId="25" xr:uid="{00000000-0005-0000-0000-000020000000}"/>
    <cellStyle name="Finanční0" xfId="26" xr:uid="{00000000-0005-0000-0000-000021000000}"/>
    <cellStyle name="Följde hyperlänken_FinPolDia" xfId="27" xr:uid="{00000000-0005-0000-0000-000022000000}"/>
    <cellStyle name="Gul" xfId="28" xr:uid="{00000000-0005-0000-0000-000023000000}"/>
    <cellStyle name="High" xfId="29" xr:uid="{00000000-0005-0000-0000-000024000000}"/>
    <cellStyle name="Hyperlänk_Alla textsiffror OH U" xfId="30" xr:uid="{00000000-0005-0000-0000-000025000000}"/>
    <cellStyle name="Hyperlink" xfId="31" builtinId="8"/>
    <cellStyle name="Low" xfId="32" xr:uid="{00000000-0005-0000-0000-000027000000}"/>
    <cellStyle name="Měna0" xfId="33" xr:uid="{00000000-0005-0000-0000-000028000000}"/>
    <cellStyle name="Motif" xfId="34" xr:uid="{00000000-0005-0000-0000-000029000000}"/>
    <cellStyle name="Motif 2" xfId="86" xr:uid="{00000000-0005-0000-0000-00002A000000}"/>
    <cellStyle name="naam van variabele" xfId="35" xr:uid="{00000000-0005-0000-0000-00002B000000}"/>
    <cellStyle name="Normal" xfId="0" builtinId="0"/>
    <cellStyle name="Normal 2" xfId="36" xr:uid="{00000000-0005-0000-0000-00002D000000}"/>
    <cellStyle name="Normal 2 2" xfId="87" xr:uid="{00000000-0005-0000-0000-00002E000000}"/>
    <cellStyle name="Normal 3" xfId="37" xr:uid="{00000000-0005-0000-0000-00002F000000}"/>
    <cellStyle name="Normal 4" xfId="38" xr:uid="{00000000-0005-0000-0000-000030000000}"/>
    <cellStyle name="Normal 4 2" xfId="88" xr:uid="{00000000-0005-0000-0000-000031000000}"/>
    <cellStyle name="Normal 5" xfId="39" xr:uid="{00000000-0005-0000-0000-000032000000}"/>
    <cellStyle name="Normal 5 2" xfId="89" xr:uid="{00000000-0005-0000-0000-000033000000}"/>
    <cellStyle name="Normal 6" xfId="74" xr:uid="{00000000-0005-0000-0000-000034000000}"/>
    <cellStyle name="Normal 6 2" xfId="94" xr:uid="{00000000-0005-0000-0000-000035000000}"/>
    <cellStyle name="Normal 7" xfId="77" xr:uid="{00000000-0005-0000-0000-000036000000}"/>
    <cellStyle name="Normal 8" xfId="76" xr:uid="{00000000-0005-0000-0000-000037000000}"/>
    <cellStyle name="Normal_Output tables_CDTforecastDG2" xfId="40" xr:uid="{00000000-0005-0000-0000-000038000000}"/>
    <cellStyle name="Normál_uzlidnk" xfId="41" xr:uid="{00000000-0005-0000-0000-000039000000}"/>
    <cellStyle name="Normale" xfId="42" xr:uid="{00000000-0005-0000-0000-00003A000000}"/>
    <cellStyle name="Normale 2" xfId="43" xr:uid="{00000000-0005-0000-0000-00003B000000}"/>
    <cellStyle name="Normale 2 2" xfId="90" xr:uid="{00000000-0005-0000-0000-00003C000000}"/>
    <cellStyle name="normální_GFSod93podleVR new1" xfId="44" xr:uid="{00000000-0005-0000-0000-00003D000000}"/>
    <cellStyle name="normleftborder" xfId="45" xr:uid="{00000000-0005-0000-0000-00003E000000}"/>
    <cellStyle name="Note 2" xfId="46" xr:uid="{00000000-0005-0000-0000-00003F000000}"/>
    <cellStyle name="Notes" xfId="47" xr:uid="{00000000-0005-0000-0000-000040000000}"/>
    <cellStyle name="pays" xfId="48" xr:uid="{00000000-0005-0000-0000-000041000000}"/>
    <cellStyle name="Percent" xfId="49" builtinId="5"/>
    <cellStyle name="Percent 2" xfId="50" xr:uid="{00000000-0005-0000-0000-000043000000}"/>
    <cellStyle name="Percent 2 2" xfId="92" xr:uid="{00000000-0005-0000-0000-000044000000}"/>
    <cellStyle name="Percent 3" xfId="75" xr:uid="{00000000-0005-0000-0000-000045000000}"/>
    <cellStyle name="Percent 4" xfId="91" xr:uid="{00000000-0005-0000-0000-000046000000}"/>
    <cellStyle name="Pevný" xfId="51" xr:uid="{00000000-0005-0000-0000-000047000000}"/>
    <cellStyle name="Procent_WDI" xfId="52" xr:uid="{00000000-0005-0000-0000-000048000000}"/>
    <cellStyle name="Rubrik 1" xfId="53" xr:uid="{00000000-0005-0000-0000-000049000000}"/>
    <cellStyle name="Rubrik2" xfId="54" xr:uid="{00000000-0005-0000-0000-00004A000000}"/>
    <cellStyle name="Rubrik3" xfId="55" xr:uid="{00000000-0005-0000-0000-00004B000000}"/>
    <cellStyle name="semestre" xfId="56" xr:uid="{00000000-0005-0000-0000-00004C000000}"/>
    <cellStyle name="standaard" xfId="57" xr:uid="{00000000-0005-0000-0000-00004D000000}"/>
    <cellStyle name="Standard_9.01" xfId="58" xr:uid="{00000000-0005-0000-0000-00004E000000}"/>
    <cellStyle name="Style 1" xfId="59" xr:uid="{00000000-0005-0000-0000-00004F000000}"/>
    <cellStyle name="Style 1 2" xfId="60" xr:uid="{00000000-0005-0000-0000-000050000000}"/>
    <cellStyle name="Style 1 2 2" xfId="93" xr:uid="{00000000-0005-0000-0000-000051000000}"/>
    <cellStyle name="Tabellrubrik" xfId="61" xr:uid="{00000000-0005-0000-0000-000052000000}"/>
    <cellStyle name="Tal1" xfId="62" xr:uid="{00000000-0005-0000-0000-000053000000}"/>
    <cellStyle name="Tal2" xfId="63" xr:uid="{00000000-0005-0000-0000-000054000000}"/>
    <cellStyle name="Tal3" xfId="64" xr:uid="{00000000-0005-0000-0000-000055000000}"/>
    <cellStyle name="tête chapitre" xfId="65" xr:uid="{00000000-0005-0000-0000-000056000000}"/>
    <cellStyle name="titel van tabel" xfId="66" xr:uid="{00000000-0005-0000-0000-000057000000}"/>
    <cellStyle name="titre" xfId="67" xr:uid="{00000000-0005-0000-0000-000058000000}"/>
    <cellStyle name="transfer variabele" xfId="68" xr:uid="{00000000-0005-0000-0000-000059000000}"/>
    <cellStyle name="Tusental (0)_ADMIN" xfId="69" xr:uid="{00000000-0005-0000-0000-00005A000000}"/>
    <cellStyle name="Tusental_ADMIN" xfId="70" xr:uid="{00000000-0005-0000-0000-00005B000000}"/>
    <cellStyle name="Valuta (0)_ADMIN" xfId="71" xr:uid="{00000000-0005-0000-0000-00005C000000}"/>
    <cellStyle name="Záhlaví 1" xfId="72" xr:uid="{00000000-0005-0000-0000-00005D000000}"/>
    <cellStyle name="Záhlaví 2" xfId="73" xr:uid="{00000000-0005-0000-0000-00005E000000}"/>
  </cellStyles>
  <dxfs count="122">
    <dxf>
      <fill>
        <patternFill>
          <bgColor indexed="52"/>
        </patternFill>
      </fill>
    </dxf>
    <dxf>
      <fill>
        <patternFill>
          <bgColor indexed="52"/>
        </patternFill>
      </fill>
    </dxf>
    <dxf>
      <fill>
        <patternFill>
          <bgColor indexed="52"/>
        </patternFill>
      </fill>
    </dxf>
    <dxf>
      <font>
        <b/>
        <i val="0"/>
        <strike val="0"/>
        <condense val="0"/>
        <extend val="0"/>
        <color indexed="10"/>
      </font>
      <fill>
        <patternFill patternType="none">
          <bgColor indexed="65"/>
        </patternFill>
      </fill>
    </dxf>
    <dxf>
      <font>
        <b/>
        <i val="0"/>
        <condense val="0"/>
        <extend val="0"/>
        <color indexed="10"/>
      </font>
      <fill>
        <patternFill patternType="none">
          <bgColor indexed="65"/>
        </patternFill>
      </fill>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0"/>
      </font>
    </dxf>
    <dxf>
      <font>
        <b/>
        <i val="0"/>
        <condense val="0"/>
        <extend val="0"/>
        <color rgb="FFFF0000"/>
      </font>
    </dxf>
    <dxf>
      <font>
        <b/>
        <i val="0"/>
        <condense val="0"/>
        <extend val="0"/>
        <color rgb="FFFFFF00"/>
      </font>
      <fill>
        <patternFill>
          <bgColor rgb="FFFF0000"/>
        </patternFill>
      </fill>
      <border>
        <left style="thin">
          <color rgb="FFFFFF00"/>
        </left>
        <right style="thin">
          <color rgb="FFFFFF00"/>
        </right>
        <top style="thin">
          <color rgb="FFFFFF00"/>
        </top>
        <bottom style="thin">
          <color rgb="FFFFFF00"/>
        </bottom>
      </border>
    </dxf>
    <dxf>
      <font>
        <b/>
        <i val="0"/>
        <condense val="0"/>
        <extend val="0"/>
        <color rgb="FFFF0000"/>
      </font>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0"/>
      </font>
    </dxf>
    <dxf>
      <font>
        <b/>
        <i val="0"/>
        <condense val="0"/>
        <extend val="0"/>
        <color indexed="10"/>
      </font>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0"/>
      </font>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0"/>
      </font>
    </dxf>
    <dxf>
      <font>
        <b/>
        <i val="0"/>
        <condense val="0"/>
        <extend val="0"/>
        <color indexed="10"/>
      </font>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0"/>
      </font>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0"/>
      </font>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0"/>
      </font>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0"/>
      </font>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0"/>
      </font>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0"/>
      </font>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3"/>
      </font>
      <fill>
        <patternFill>
          <bgColor indexed="10"/>
        </patternFill>
      </fill>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strike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3"/>
      </font>
      <fill>
        <patternFill>
          <bgColor indexed="10"/>
        </patternFill>
      </fill>
    </dxf>
    <dxf>
      <font>
        <color rgb="FF9C0006"/>
      </font>
      <fill>
        <patternFill>
          <bgColor rgb="FFFFC7CE"/>
        </patternFill>
      </fill>
    </dxf>
  </dxfs>
  <tableStyles count="0" defaultTableStyle="TableStyleMedium2" defaultPivotStyle="PivotStyleLight16"/>
  <colors>
    <mruColors>
      <color rgb="FFFFFF99"/>
      <color rgb="FF99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_rels/chart81.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GB"/>
              <a:t>HH consump vs Disposable icome</a:t>
            </a:r>
          </a:p>
        </c:rich>
      </c:tx>
      <c:overlay val="0"/>
    </c:title>
    <c:autoTitleDeleted val="0"/>
    <c:plotArea>
      <c:layout/>
      <c:scatterChart>
        <c:scatterStyle val="lineMarker"/>
        <c:varyColors val="0"/>
        <c:ser>
          <c:idx val="0"/>
          <c:order val="0"/>
          <c:spPr>
            <a:ln w="28575">
              <a:noFill/>
            </a:ln>
          </c:spPr>
          <c:trendline>
            <c:trendlineType val="linear"/>
            <c:dispRSqr val="1"/>
            <c:dispEq val="1"/>
            <c:trendlineLbl>
              <c:layout>
                <c:manualLayout>
                  <c:x val="0.16292672790901139"/>
                  <c:y val="0.36570610965296002"/>
                </c:manualLayout>
              </c:layout>
              <c:tx>
                <c:rich>
                  <a:bodyPr/>
                  <a:lstStyle/>
                  <a:p>
                    <a:pPr>
                      <a:defRPr sz="1000" b="1" i="0" u="none" strike="noStrike" baseline="0">
                        <a:solidFill>
                          <a:srgbClr val="000000"/>
                        </a:solidFill>
                        <a:latin typeface="Calibri"/>
                        <a:ea typeface="Calibri"/>
                        <a:cs typeface="Calibri"/>
                      </a:defRPr>
                    </a:pPr>
                    <a:r>
                      <a:rPr lang="en-GB"/>
                      <a:t>y = -0,1261x + 0,0435
R² = 0,0072</a:t>
                    </a:r>
                  </a:p>
                </c:rich>
              </c:tx>
              <c:numFmt formatCode="General" sourceLinked="0"/>
            </c:trendlineLbl>
          </c:trendline>
          <c:xVal>
            <c:numLit>
              <c:formatCode>General</c:formatCode>
              <c:ptCount val="20"/>
              <c:pt idx="0">
                <c:v>1.8004168657512309E-2</c:v>
              </c:pt>
              <c:pt idx="1">
                <c:v>2.7937656754547957E-2</c:v>
              </c:pt>
              <c:pt idx="2">
                <c:v>3.2990271566144536E-2</c:v>
              </c:pt>
              <c:pt idx="3">
                <c:v>3.991580681324236E-2</c:v>
              </c:pt>
              <c:pt idx="4">
                <c:v>5.2806285431674427E-2</c:v>
              </c:pt>
              <c:pt idx="5">
                <c:v>7.1367194160896208E-3</c:v>
              </c:pt>
              <c:pt idx="6">
                <c:v>2.6010759524137672E-2</c:v>
              </c:pt>
              <c:pt idx="7">
                <c:v>2.2753121193050507E-2</c:v>
              </c:pt>
              <c:pt idx="8">
                <c:v>2.8234181249871426E-2</c:v>
              </c:pt>
              <c:pt idx="9">
                <c:v>2.7691200044305919E-2</c:v>
              </c:pt>
              <c:pt idx="10">
                <c:v>2.7079784319772093E-2</c:v>
              </c:pt>
              <c:pt idx="11">
                <c:v>3.6966781127389714E-2</c:v>
              </c:pt>
              <c:pt idx="12">
                <c:v>2.4596632791196171E-5</c:v>
              </c:pt>
              <c:pt idx="13">
                <c:v>-2.5980432805760012E-3</c:v>
              </c:pt>
              <c:pt idx="14">
                <c:v>3.9935968299799063E-2</c:v>
              </c:pt>
              <c:pt idx="15">
                <c:v>1.6547672119774148E-2</c:v>
              </c:pt>
              <c:pt idx="16">
                <c:v>1.6036368919796207E-2</c:v>
              </c:pt>
              <c:pt idx="17">
                <c:v>1.9736786002677587E-2</c:v>
              </c:pt>
              <c:pt idx="18">
                <c:v>2.9399999999999999E-2</c:v>
              </c:pt>
              <c:pt idx="19">
                <c:v>2.8399999999999998E-2</c:v>
              </c:pt>
            </c:numLit>
          </c:xVal>
          <c:yVal>
            <c:numLit>
              <c:formatCode>General</c:formatCode>
              <c:ptCount val="20"/>
              <c:pt idx="0">
                <c:v>2.0887586237239297E-3</c:v>
              </c:pt>
              <c:pt idx="1">
                <c:v>9.1665725862088987E-3</c:v>
              </c:pt>
              <c:pt idx="2">
                <c:v>2.1979558668610011E-2</c:v>
              </c:pt>
              <c:pt idx="3">
                <c:v>4.4781353637078247E-2</c:v>
              </c:pt>
              <c:pt idx="4">
                <c:v>6.1948121746453033E-2</c:v>
              </c:pt>
              <c:pt idx="5">
                <c:v>8.7697117079917467E-2</c:v>
              </c:pt>
              <c:pt idx="6">
                <c:v>4.7385802064751292E-2</c:v>
              </c:pt>
              <c:pt idx="7">
                <c:v>2.6048215339611325E-2</c:v>
              </c:pt>
              <c:pt idx="8">
                <c:v>2.206468493758762E-2</c:v>
              </c:pt>
              <c:pt idx="9">
                <c:v>3.0774842119026813E-2</c:v>
              </c:pt>
              <c:pt idx="10">
                <c:v>4.9315448548851615E-2</c:v>
              </c:pt>
              <c:pt idx="11">
                <c:v>6.9787170867753545E-2</c:v>
              </c:pt>
              <c:pt idx="12">
                <c:v>5.4236302478803289E-2</c:v>
              </c:pt>
              <c:pt idx="13">
                <c:v>4.1484308300246742E-2</c:v>
              </c:pt>
              <c:pt idx="14">
                <c:v>3.1181198472207461E-2</c:v>
              </c:pt>
              <c:pt idx="15">
                <c:v>4.8812547095089753E-2</c:v>
              </c:pt>
              <c:pt idx="16">
                <c:v>4.5894667483620477E-2</c:v>
              </c:pt>
              <c:pt idx="17">
                <c:v>3.3837610966974463E-2</c:v>
              </c:pt>
              <c:pt idx="18">
                <c:v>4.0431287173872121E-2</c:v>
              </c:pt>
              <c:pt idx="19">
                <c:v>3.8629573174921994E-2</c:v>
              </c:pt>
            </c:numLit>
          </c:yVal>
          <c:smooth val="0"/>
          <c:extLst>
            <c:ext xmlns:c16="http://schemas.microsoft.com/office/drawing/2014/chart" uri="{C3380CC4-5D6E-409C-BE32-E72D297353CC}">
              <c16:uniqueId val="{00000000-8CBB-49C6-93E3-1AC9B5E6C44F}"/>
            </c:ext>
          </c:extLst>
        </c:ser>
        <c:dLbls>
          <c:showLegendKey val="0"/>
          <c:showVal val="0"/>
          <c:showCatName val="0"/>
          <c:showSerName val="0"/>
          <c:showPercent val="0"/>
          <c:showBubbleSize val="0"/>
        </c:dLbls>
        <c:axId val="211983744"/>
        <c:axId val="208274944"/>
      </c:scatterChart>
      <c:valAx>
        <c:axId val="211983744"/>
        <c:scaling>
          <c:orientation val="minMax"/>
        </c:scaling>
        <c:delete val="0"/>
        <c:axPos val="b"/>
        <c:title>
          <c:overlay val="0"/>
          <c:txPr>
            <a:bodyPr/>
            <a:lstStyle/>
            <a:p>
              <a:pPr>
                <a:defRPr sz="1000" b="1" i="0" u="none" strike="noStrike" baseline="0">
                  <a:solidFill>
                    <a:srgbClr val="000000"/>
                  </a:solidFill>
                  <a:latin typeface="Calibri"/>
                  <a:ea typeface="Calibri"/>
                  <a:cs typeface="Calibri"/>
                </a:defRPr>
              </a:pPr>
              <a:endParaRPr lang="fr-FR"/>
            </a:p>
          </c:txPr>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fr-FR"/>
          </a:p>
        </c:txPr>
        <c:crossAx val="208274944"/>
        <c:crosses val="autoZero"/>
        <c:crossBetween val="midCat"/>
      </c:valAx>
      <c:valAx>
        <c:axId val="208274944"/>
        <c:scaling>
          <c:orientation val="minMax"/>
        </c:scaling>
        <c:delete val="0"/>
        <c:axPos val="l"/>
        <c:majorGridlines/>
        <c:minorGridlines/>
        <c:title>
          <c:overlay val="0"/>
          <c:txPr>
            <a:bodyPr/>
            <a:lstStyle/>
            <a:p>
              <a:pPr>
                <a:defRPr sz="1000" b="1" i="0" u="none" strike="noStrike" baseline="0">
                  <a:solidFill>
                    <a:srgbClr val="000000"/>
                  </a:solidFill>
                  <a:latin typeface="Calibri"/>
                  <a:ea typeface="Calibri"/>
                  <a:cs typeface="Calibri"/>
                </a:defRPr>
              </a:pPr>
              <a:endParaRPr lang="fr-FR"/>
            </a:p>
          </c:txPr>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fr-FR"/>
          </a:p>
        </c:txPr>
        <c:crossAx val="211983744"/>
        <c:crosses val="autoZero"/>
        <c:crossBetween val="midCat"/>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t>HH consumption vs Compensation of employees</a:t>
            </a:r>
          </a:p>
        </c:rich>
      </c:tx>
      <c:overlay val="0"/>
    </c:title>
    <c:autoTitleDeleted val="0"/>
    <c:plotArea>
      <c:layout/>
      <c:scatterChart>
        <c:scatterStyle val="lineMarker"/>
        <c:varyColors val="0"/>
        <c:ser>
          <c:idx val="0"/>
          <c:order val="0"/>
          <c:spPr>
            <a:ln w="28575">
              <a:noFill/>
            </a:ln>
          </c:spPr>
          <c:trendline>
            <c:trendlineType val="linear"/>
            <c:dispRSqr val="1"/>
            <c:dispEq val="1"/>
            <c:trendlineLbl>
              <c:layout>
                <c:manualLayout>
                  <c:x val="0.16402405949256343"/>
                  <c:y val="0.48277559055118108"/>
                </c:manualLayout>
              </c:layout>
              <c:tx>
                <c:rich>
                  <a:bodyPr/>
                  <a:lstStyle/>
                  <a:p>
                    <a:pPr>
                      <a:defRPr sz="1000" b="1" i="0" u="none" strike="noStrike" baseline="0">
                        <a:solidFill>
                          <a:srgbClr val="000000"/>
                        </a:solidFill>
                        <a:latin typeface="Calibri"/>
                        <a:ea typeface="Calibri"/>
                        <a:cs typeface="Calibri"/>
                      </a:defRPr>
                    </a:pPr>
                    <a:r>
                      <a:t>y = 0,9376x + 0,018
R² = 0,3057</a:t>
                    </a:r>
                  </a:p>
                </c:rich>
              </c:tx>
              <c:numFmt formatCode="General" sourceLinked="0"/>
            </c:trendlineLbl>
          </c:trendline>
          <c:xVal>
            <c:numLit>
              <c:formatCode>General</c:formatCode>
              <c:ptCount val="20"/>
              <c:pt idx="0">
                <c:v>1.8004168657512309E-2</c:v>
              </c:pt>
              <c:pt idx="1">
                <c:v>2.7937656754547957E-2</c:v>
              </c:pt>
              <c:pt idx="2">
                <c:v>3.2990271566144536E-2</c:v>
              </c:pt>
              <c:pt idx="3">
                <c:v>3.991580681324236E-2</c:v>
              </c:pt>
              <c:pt idx="4">
                <c:v>5.2806285431674427E-2</c:v>
              </c:pt>
              <c:pt idx="5">
                <c:v>7.1367194160896208E-3</c:v>
              </c:pt>
              <c:pt idx="6">
                <c:v>2.6010759524137672E-2</c:v>
              </c:pt>
              <c:pt idx="7">
                <c:v>2.2753121193050507E-2</c:v>
              </c:pt>
              <c:pt idx="8">
                <c:v>2.8234181249871426E-2</c:v>
              </c:pt>
              <c:pt idx="9">
                <c:v>2.7691200044305919E-2</c:v>
              </c:pt>
              <c:pt idx="10">
                <c:v>2.7079784319772093E-2</c:v>
              </c:pt>
              <c:pt idx="11">
                <c:v>3.6966781127389714E-2</c:v>
              </c:pt>
              <c:pt idx="12">
                <c:v>2.4596632791196171E-5</c:v>
              </c:pt>
              <c:pt idx="13">
                <c:v>-2.5980432805760012E-3</c:v>
              </c:pt>
              <c:pt idx="14">
                <c:v>3.9935968299799063E-2</c:v>
              </c:pt>
              <c:pt idx="15">
                <c:v>1.6547672119774148E-2</c:v>
              </c:pt>
              <c:pt idx="16">
                <c:v>1.6036368919796207E-2</c:v>
              </c:pt>
              <c:pt idx="17">
                <c:v>1.9736786002677587E-2</c:v>
              </c:pt>
              <c:pt idx="18">
                <c:v>2.9399999999999999E-2</c:v>
              </c:pt>
              <c:pt idx="19">
                <c:v>2.8399999999999998E-2</c:v>
              </c:pt>
            </c:numLit>
          </c:xVal>
          <c:yVal>
            <c:numLit>
              <c:formatCode>General</c:formatCode>
              <c:ptCount val="20"/>
              <c:pt idx="0">
                <c:v>6.4007496611417469E-2</c:v>
              </c:pt>
              <c:pt idx="1">
                <c:v>3.4327626128433986E-2</c:v>
              </c:pt>
              <c:pt idx="2">
                <c:v>4.2788808135767686E-2</c:v>
              </c:pt>
              <c:pt idx="3">
                <c:v>3.5006144739688327E-2</c:v>
              </c:pt>
              <c:pt idx="4">
                <c:v>0.10157499364061205</c:v>
              </c:pt>
              <c:pt idx="5">
                <c:v>6.8817343210674009E-2</c:v>
              </c:pt>
              <c:pt idx="6">
                <c:v>3.1983966845878786E-2</c:v>
              </c:pt>
              <c:pt idx="7">
                <c:v>3.0296553097293177E-2</c:v>
              </c:pt>
              <c:pt idx="8">
                <c:v>3.0950973510178503E-2</c:v>
              </c:pt>
              <c:pt idx="9">
                <c:v>3.4321424461095873E-2</c:v>
              </c:pt>
              <c:pt idx="10">
                <c:v>3.7581395596758993E-2</c:v>
              </c:pt>
              <c:pt idx="11">
                <c:v>7.6167456412028267E-2</c:v>
              </c:pt>
              <c:pt idx="12">
                <c:v>2.779042464637671E-2</c:v>
              </c:pt>
              <c:pt idx="13">
                <c:v>-1.0341736538557633E-2</c:v>
              </c:pt>
              <c:pt idx="14">
                <c:v>4.0578426340104112E-2</c:v>
              </c:pt>
              <c:pt idx="15">
                <c:v>3.4226596519554731E-2</c:v>
              </c:pt>
              <c:pt idx="16">
                <c:v>4.0287663116030492E-2</c:v>
              </c:pt>
              <c:pt idx="17">
                <c:v>2.2461571513533451E-2</c:v>
              </c:pt>
              <c:pt idx="18">
                <c:v>3.9658248204981206E-2</c:v>
              </c:pt>
              <c:pt idx="19">
                <c:v>4.2289913660741085E-2</c:v>
              </c:pt>
            </c:numLit>
          </c:yVal>
          <c:smooth val="0"/>
          <c:extLst>
            <c:ext xmlns:c16="http://schemas.microsoft.com/office/drawing/2014/chart" uri="{C3380CC4-5D6E-409C-BE32-E72D297353CC}">
              <c16:uniqueId val="{00000000-41FA-42C6-AF64-991BF9F22D9C}"/>
            </c:ext>
          </c:extLst>
        </c:ser>
        <c:dLbls>
          <c:showLegendKey val="0"/>
          <c:showVal val="0"/>
          <c:showCatName val="0"/>
          <c:showSerName val="0"/>
          <c:showPercent val="0"/>
          <c:showBubbleSize val="0"/>
        </c:dLbls>
        <c:axId val="208308480"/>
        <c:axId val="208310656"/>
      </c:scatterChart>
      <c:valAx>
        <c:axId val="208308480"/>
        <c:scaling>
          <c:orientation val="minMax"/>
        </c:scaling>
        <c:delete val="0"/>
        <c:axPos val="b"/>
        <c:title>
          <c:overlay val="0"/>
          <c:txPr>
            <a:bodyPr/>
            <a:lstStyle/>
            <a:p>
              <a:pPr>
                <a:defRPr sz="1000" b="1" i="0" u="none" strike="noStrike" baseline="0">
                  <a:solidFill>
                    <a:srgbClr val="000000"/>
                  </a:solidFill>
                  <a:latin typeface="Calibri"/>
                  <a:ea typeface="Calibri"/>
                  <a:cs typeface="Calibri"/>
                </a:defRPr>
              </a:pPr>
              <a:endParaRPr lang="fr-FR"/>
            </a:p>
          </c:txPr>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fr-FR"/>
          </a:p>
        </c:txPr>
        <c:crossAx val="208310656"/>
        <c:crosses val="autoZero"/>
        <c:crossBetween val="midCat"/>
      </c:valAx>
      <c:valAx>
        <c:axId val="208310656"/>
        <c:scaling>
          <c:orientation val="minMax"/>
        </c:scaling>
        <c:delete val="0"/>
        <c:axPos val="l"/>
        <c:majorGridlines/>
        <c:minorGridlines/>
        <c:title>
          <c:overlay val="0"/>
          <c:txPr>
            <a:bodyPr/>
            <a:lstStyle/>
            <a:p>
              <a:pPr>
                <a:defRPr sz="1000" b="1" i="0" u="none" strike="noStrike" baseline="0">
                  <a:solidFill>
                    <a:srgbClr val="000000"/>
                  </a:solidFill>
                  <a:latin typeface="Calibri"/>
                  <a:ea typeface="Calibri"/>
                  <a:cs typeface="Calibri"/>
                </a:defRPr>
              </a:pPr>
              <a:endParaRPr lang="fr-FR"/>
            </a:p>
          </c:txPr>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fr-FR"/>
          </a:p>
        </c:txPr>
        <c:crossAx val="208308480"/>
        <c:crosses val="autoZero"/>
        <c:crossBetween val="midCat"/>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GB"/>
              <a:t>(HH sav - HH lend) vs House prices</a:t>
            </a:r>
          </a:p>
        </c:rich>
      </c:tx>
      <c:overlay val="0"/>
    </c:title>
    <c:autoTitleDeleted val="0"/>
    <c:plotArea>
      <c:layout/>
      <c:scatterChart>
        <c:scatterStyle val="lineMarker"/>
        <c:varyColors val="0"/>
        <c:ser>
          <c:idx val="0"/>
          <c:order val="0"/>
          <c:spPr>
            <a:ln w="28575">
              <a:noFill/>
            </a:ln>
          </c:spPr>
          <c:trendline>
            <c:trendlineType val="linear"/>
            <c:dispRSqr val="1"/>
            <c:dispEq val="1"/>
            <c:trendlineLbl>
              <c:layout>
                <c:manualLayout>
                  <c:x val="0.15183344126861884"/>
                  <c:y val="0.68331528612349546"/>
                </c:manualLayout>
              </c:layout>
              <c:tx>
                <c:rich>
                  <a:bodyPr/>
                  <a:lstStyle/>
                  <a:p>
                    <a:pPr>
                      <a:defRPr sz="1000" b="1" i="0" u="none" strike="noStrike" baseline="0">
                        <a:solidFill>
                          <a:srgbClr val="000000"/>
                        </a:solidFill>
                        <a:latin typeface="Calibri"/>
                        <a:ea typeface="Calibri"/>
                        <a:cs typeface="Calibri"/>
                      </a:defRPr>
                    </a:pPr>
                    <a:r>
                      <a:rPr lang="en-GB"/>
                      <a:t>y = 0,8051x + 6,8356
R² = 0,9567</a:t>
                    </a:r>
                  </a:p>
                </c:rich>
              </c:tx>
              <c:numFmt formatCode="General" sourceLinked="0"/>
            </c:trendlineLbl>
          </c:trendline>
          <c:xVal>
            <c:numRef>
              <c:f>'BACKGROUND CALC'!$E$38:$Y$38</c:f>
              <c:numCache>
                <c:formatCode>0.0</c:formatCode>
                <c:ptCount val="21"/>
                <c:pt idx="0">
                  <c:v>33.489999999999981</c:v>
                </c:pt>
                <c:pt idx="1">
                  <c:v>35.583999999999996</c:v>
                </c:pt>
                <c:pt idx="2">
                  <c:v>38.055</c:v>
                </c:pt>
                <c:pt idx="3">
                  <c:v>43.983999999999995</c:v>
                </c:pt>
                <c:pt idx="4">
                  <c:v>49.537000000000006</c:v>
                </c:pt>
                <c:pt idx="5">
                  <c:v>56.381000000000007</c:v>
                </c:pt>
                <c:pt idx="6">
                  <c:v>59.078000000000003</c:v>
                </c:pt>
                <c:pt idx="7">
                  <c:v>65.979000000000028</c:v>
                </c:pt>
                <c:pt idx="8">
                  <c:v>74.690999999999974</c:v>
                </c:pt>
                <c:pt idx="9">
                  <c:v>86.596999999999994</c:v>
                </c:pt>
                <c:pt idx="10">
                  <c:v>88.707000000000008</c:v>
                </c:pt>
                <c:pt idx="11">
                  <c:v>102.73000000000003</c:v>
                </c:pt>
                <c:pt idx="12">
                  <c:v>114.89600000000003</c:v>
                </c:pt>
                <c:pt idx="13">
                  <c:v>112.94199999999995</c:v>
                </c:pt>
                <c:pt idx="14">
                  <c:v>98.725000000000023</c:v>
                </c:pt>
                <c:pt idx="15">
                  <c:v>114.15599999999998</c:v>
                </c:pt>
                <c:pt idx="16">
                  <c:v>113.04800000000003</c:v>
                </c:pt>
                <c:pt idx="17">
                  <c:v>97.533000000000015</c:v>
                </c:pt>
                <c:pt idx="18">
                  <c:v>100.28199999999993</c:v>
                </c:pt>
                <c:pt idx="19">
                  <c:v>105.55100000000004</c:v>
                </c:pt>
                <c:pt idx="20">
                  <c:v>136.10799999999995</c:v>
                </c:pt>
              </c:numCache>
            </c:numRef>
          </c:xVal>
          <c:yVal>
            <c:numRef>
              <c:f>'BACKGROUND CALC'!$E$39:$Y$39</c:f>
              <c:numCache>
                <c:formatCode>0.00</c:formatCode>
                <c:ptCount val="21"/>
                <c:pt idx="0">
                  <c:v>34.171322160148975</c:v>
                </c:pt>
                <c:pt idx="1">
                  <c:v>34.450651769087514</c:v>
                </c:pt>
                <c:pt idx="2">
                  <c:v>36.731843575418992</c:v>
                </c:pt>
                <c:pt idx="3">
                  <c:v>40.223463687150826</c:v>
                </c:pt>
                <c:pt idx="4">
                  <c:v>43.994413407821227</c:v>
                </c:pt>
                <c:pt idx="5">
                  <c:v>48.929236499068892</c:v>
                </c:pt>
                <c:pt idx="6">
                  <c:v>52.793296089385464</c:v>
                </c:pt>
                <c:pt idx="7">
                  <c:v>56.145251396648035</c:v>
                </c:pt>
                <c:pt idx="8">
                  <c:v>59.869646182495345</c:v>
                </c:pt>
                <c:pt idx="9">
                  <c:v>65.456238361266273</c:v>
                </c:pt>
                <c:pt idx="10">
                  <c:v>71.36871508379889</c:v>
                </c:pt>
                <c:pt idx="11">
                  <c:v>80.074487895716913</c:v>
                </c:pt>
                <c:pt idx="12">
                  <c:v>88.407821229050228</c:v>
                </c:pt>
                <c:pt idx="13">
                  <c:v>91.294227188081905</c:v>
                </c:pt>
                <c:pt idx="14">
                  <c:v>92.737430167597751</c:v>
                </c:pt>
                <c:pt idx="15">
                  <c:v>100</c:v>
                </c:pt>
                <c:pt idx="16">
                  <c:v>100.74487895716945</c:v>
                </c:pt>
                <c:pt idx="17">
                  <c:v>99.348230912476708</c:v>
                </c:pt>
                <c:pt idx="18">
                  <c:v>102.4674115456238</c:v>
                </c:pt>
              </c:numCache>
            </c:numRef>
          </c:yVal>
          <c:smooth val="0"/>
          <c:extLst>
            <c:ext xmlns:c16="http://schemas.microsoft.com/office/drawing/2014/chart" uri="{C3380CC4-5D6E-409C-BE32-E72D297353CC}">
              <c16:uniqueId val="{00000000-26D1-4031-90FE-6ED45F36393B}"/>
            </c:ext>
          </c:extLst>
        </c:ser>
        <c:dLbls>
          <c:showLegendKey val="0"/>
          <c:showVal val="0"/>
          <c:showCatName val="0"/>
          <c:showSerName val="0"/>
          <c:showPercent val="0"/>
          <c:showBubbleSize val="0"/>
        </c:dLbls>
        <c:axId val="125114240"/>
        <c:axId val="125120512"/>
      </c:scatterChart>
      <c:valAx>
        <c:axId val="125114240"/>
        <c:scaling>
          <c:orientation val="minMax"/>
        </c:scaling>
        <c:delete val="0"/>
        <c:axPos val="b"/>
        <c:title>
          <c:overlay val="0"/>
          <c:txPr>
            <a:bodyPr/>
            <a:lstStyle/>
            <a:p>
              <a:pPr>
                <a:defRPr sz="1000" b="1" i="0" u="none" strike="noStrike" baseline="0">
                  <a:solidFill>
                    <a:srgbClr val="000000"/>
                  </a:solidFill>
                  <a:latin typeface="Calibri"/>
                  <a:ea typeface="Calibri"/>
                  <a:cs typeface="Calibri"/>
                </a:defRPr>
              </a:pPr>
              <a:endParaRPr lang="fr-FR"/>
            </a:p>
          </c:txPr>
        </c:title>
        <c:numFmt formatCode="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fr-FR"/>
          </a:p>
        </c:txPr>
        <c:crossAx val="125120512"/>
        <c:crosses val="autoZero"/>
        <c:crossBetween val="midCat"/>
      </c:valAx>
      <c:valAx>
        <c:axId val="125120512"/>
        <c:scaling>
          <c:orientation val="minMax"/>
        </c:scaling>
        <c:delete val="0"/>
        <c:axPos val="l"/>
        <c:majorGridlines/>
        <c:minorGridlines/>
        <c:title>
          <c:overlay val="0"/>
          <c:txPr>
            <a:bodyPr/>
            <a:lstStyle/>
            <a:p>
              <a:pPr>
                <a:defRPr sz="1000" b="1" i="0" u="none" strike="noStrike" baseline="0">
                  <a:solidFill>
                    <a:srgbClr val="000000"/>
                  </a:solidFill>
                  <a:latin typeface="Calibri"/>
                  <a:ea typeface="Calibri"/>
                  <a:cs typeface="Calibri"/>
                </a:defRPr>
              </a:pPr>
              <a:endParaRPr lang="fr-FR"/>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fr-FR"/>
          </a:p>
        </c:txPr>
        <c:crossAx val="125114240"/>
        <c:crosses val="autoZero"/>
        <c:crossBetween val="midCat"/>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val>
            <c:numRef>
              <c:f>'BACKGROUND CALC'!$F$101:$Y$101</c:f>
              <c:numCache>
                <c:formatCode>0.0%</c:formatCode>
                <c:ptCount val="20"/>
                <c:pt idx="0">
                  <c:v>1.8004168657512309E-2</c:v>
                </c:pt>
                <c:pt idx="1">
                  <c:v>2.7937656754547957E-2</c:v>
                </c:pt>
                <c:pt idx="2">
                  <c:v>3.2990271566144536E-2</c:v>
                </c:pt>
                <c:pt idx="3">
                  <c:v>3.991580681324236E-2</c:v>
                </c:pt>
                <c:pt idx="4">
                  <c:v>5.2806285431674427E-2</c:v>
                </c:pt>
                <c:pt idx="5">
                  <c:v>7.1367194160896208E-3</c:v>
                </c:pt>
                <c:pt idx="6">
                  <c:v>2.6010759524137672E-2</c:v>
                </c:pt>
                <c:pt idx="7">
                  <c:v>2.2753121193050507E-2</c:v>
                </c:pt>
                <c:pt idx="8">
                  <c:v>2.8234181249871426E-2</c:v>
                </c:pt>
                <c:pt idx="9">
                  <c:v>2.7691200044305919E-2</c:v>
                </c:pt>
                <c:pt idx="10">
                  <c:v>2.7079784319772093E-2</c:v>
                </c:pt>
                <c:pt idx="11">
                  <c:v>3.6966781127389714E-2</c:v>
                </c:pt>
                <c:pt idx="12">
                  <c:v>2.4596632791196171E-5</c:v>
                </c:pt>
                <c:pt idx="13">
                  <c:v>-2.5980432805760012E-3</c:v>
                </c:pt>
                <c:pt idx="14">
                  <c:v>3.9935968299799063E-2</c:v>
                </c:pt>
                <c:pt idx="15">
                  <c:v>1.6547672119774148E-2</c:v>
                </c:pt>
                <c:pt idx="16">
                  <c:v>1.6036368919796207E-2</c:v>
                </c:pt>
                <c:pt idx="17">
                  <c:v>1.9736786002677587E-2</c:v>
                </c:pt>
                <c:pt idx="18">
                  <c:v>2.9399999999999999E-2</c:v>
                </c:pt>
                <c:pt idx="19">
                  <c:v>2.8399999999999998E-2</c:v>
                </c:pt>
              </c:numCache>
            </c:numRef>
          </c:val>
          <c:smooth val="0"/>
          <c:extLst>
            <c:ext xmlns:c16="http://schemas.microsoft.com/office/drawing/2014/chart" uri="{C3380CC4-5D6E-409C-BE32-E72D297353CC}">
              <c16:uniqueId val="{00000000-61FE-4EEC-AA9D-5A8BA03E234E}"/>
            </c:ext>
          </c:extLst>
        </c:ser>
        <c:ser>
          <c:idx val="1"/>
          <c:order val="1"/>
          <c:marker>
            <c:symbol val="none"/>
          </c:marker>
          <c:val>
            <c:numRef>
              <c:f>'BACKGROUND CALC'!$F$102:$Y$102</c:f>
              <c:numCache>
                <c:formatCode>0.0%</c:formatCode>
                <c:ptCount val="20"/>
                <c:pt idx="0">
                  <c:v>9.1665725862088987E-3</c:v>
                </c:pt>
                <c:pt idx="1">
                  <c:v>2.1979558668610011E-2</c:v>
                </c:pt>
                <c:pt idx="2">
                  <c:v>4.4781353637078247E-2</c:v>
                </c:pt>
                <c:pt idx="3">
                  <c:v>6.1948121746453033E-2</c:v>
                </c:pt>
                <c:pt idx="4">
                  <c:v>8.7697117079917467E-2</c:v>
                </c:pt>
                <c:pt idx="5">
                  <c:v>4.7385802064751292E-2</c:v>
                </c:pt>
                <c:pt idx="6">
                  <c:v>2.6048215339611325E-2</c:v>
                </c:pt>
                <c:pt idx="7">
                  <c:v>2.206468493758762E-2</c:v>
                </c:pt>
                <c:pt idx="8">
                  <c:v>3.0774842119026813E-2</c:v>
                </c:pt>
                <c:pt idx="9">
                  <c:v>4.9315448548851615E-2</c:v>
                </c:pt>
                <c:pt idx="10">
                  <c:v>6.9787170867753545E-2</c:v>
                </c:pt>
                <c:pt idx="11">
                  <c:v>5.4236302478803289E-2</c:v>
                </c:pt>
                <c:pt idx="12">
                  <c:v>4.1484308300246742E-2</c:v>
                </c:pt>
                <c:pt idx="13">
                  <c:v>3.1181198472207461E-2</c:v>
                </c:pt>
                <c:pt idx="14">
                  <c:v>4.8812547095089753E-2</c:v>
                </c:pt>
                <c:pt idx="15">
                  <c:v>4.5894667483620477E-2</c:v>
                </c:pt>
                <c:pt idx="16">
                  <c:v>3.3837610966974463E-2</c:v>
                </c:pt>
                <c:pt idx="17">
                  <c:v>4.0431287173872121E-2</c:v>
                </c:pt>
                <c:pt idx="18">
                  <c:v>3.8629573174921994E-2</c:v>
                </c:pt>
              </c:numCache>
            </c:numRef>
          </c:val>
          <c:smooth val="0"/>
          <c:extLst>
            <c:ext xmlns:c16="http://schemas.microsoft.com/office/drawing/2014/chart" uri="{C3380CC4-5D6E-409C-BE32-E72D297353CC}">
              <c16:uniqueId val="{00000001-61FE-4EEC-AA9D-5A8BA03E234E}"/>
            </c:ext>
          </c:extLst>
        </c:ser>
        <c:dLbls>
          <c:showLegendKey val="0"/>
          <c:showVal val="0"/>
          <c:showCatName val="0"/>
          <c:showSerName val="0"/>
          <c:showPercent val="0"/>
          <c:showBubbleSize val="0"/>
        </c:dLbls>
        <c:smooth val="0"/>
        <c:axId val="125153280"/>
        <c:axId val="125154816"/>
      </c:lineChart>
      <c:catAx>
        <c:axId val="125153280"/>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fr-FR"/>
          </a:p>
        </c:txPr>
        <c:crossAx val="125154816"/>
        <c:crosses val="autoZero"/>
        <c:auto val="1"/>
        <c:lblAlgn val="ctr"/>
        <c:lblOffset val="100"/>
        <c:noMultiLvlLbl val="0"/>
      </c:catAx>
      <c:valAx>
        <c:axId val="125154816"/>
        <c:scaling>
          <c:orientation val="minMax"/>
        </c:scaling>
        <c:delete val="0"/>
        <c:axPos val="l"/>
        <c:majorGridlines/>
        <c:numFmt formatCode="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fr-FR"/>
          </a:p>
        </c:txPr>
        <c:crossAx val="125153280"/>
        <c:crosses val="autoZero"/>
        <c:crossBetween val="between"/>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Values</a:t>
            </a:r>
          </a:p>
        </c:rich>
      </c:tx>
      <c:overlay val="0"/>
    </c:title>
    <c:autoTitleDeleted val="0"/>
    <c:plotArea>
      <c:layout/>
      <c:lineChart>
        <c:grouping val="standard"/>
        <c:varyColors val="0"/>
        <c:ser>
          <c:idx val="0"/>
          <c:order val="0"/>
          <c:tx>
            <c:strRef>
              <c:f>'VVP2'!$E$223</c:f>
              <c:strCache>
                <c:ptCount val="1"/>
                <c:pt idx="0">
                  <c:v>Equipment</c:v>
                </c:pt>
              </c:strCache>
            </c:strRef>
          </c:tx>
          <c:marker>
            <c:symbol val="none"/>
          </c:marker>
          <c:cat>
            <c:numRef>
              <c:f>'VVP2'!$H$276:$AF$276</c:f>
              <c:numCache>
                <c:formatCode>0</c:formatCode>
                <c:ptCount val="25"/>
                <c:pt idx="0">
                  <c:v>1996</c:v>
                </c:pt>
                <c:pt idx="1">
                  <c:v>1997</c:v>
                </c:pt>
                <c:pt idx="2">
                  <c:v>1998</c:v>
                </c:pt>
                <c:pt idx="3">
                  <c:v>1999</c:v>
                </c:pt>
                <c:pt idx="4">
                  <c:v>2000</c:v>
                </c:pt>
                <c:pt idx="5">
                  <c:v>2001</c:v>
                </c:pt>
                <c:pt idx="6">
                  <c:v>2002</c:v>
                </c:pt>
                <c:pt idx="7">
                  <c:v>2003</c:v>
                </c:pt>
                <c:pt idx="8">
                  <c:v>2004</c:v>
                </c:pt>
                <c:pt idx="9">
                  <c:v>2005</c:v>
                </c:pt>
                <c:pt idx="10">
                  <c:v>2006</c:v>
                </c:pt>
                <c:pt idx="11">
                  <c:v>2007</c:v>
                </c:pt>
                <c:pt idx="12">
                  <c:v>2008</c:v>
                </c:pt>
                <c:pt idx="13">
                  <c:v>2009</c:v>
                </c:pt>
                <c:pt idx="14">
                  <c:v>2010</c:v>
                </c:pt>
                <c:pt idx="15">
                  <c:v>2011</c:v>
                </c:pt>
                <c:pt idx="16">
                  <c:v>2012</c:v>
                </c:pt>
                <c:pt idx="17">
                  <c:v>2013</c:v>
                </c:pt>
                <c:pt idx="18">
                  <c:v>2014</c:v>
                </c:pt>
                <c:pt idx="19">
                  <c:v>2015</c:v>
                </c:pt>
                <c:pt idx="20">
                  <c:v>2016</c:v>
                </c:pt>
                <c:pt idx="21">
                  <c:v>2017</c:v>
                </c:pt>
                <c:pt idx="22">
                  <c:v>2018</c:v>
                </c:pt>
                <c:pt idx="23">
                  <c:v>2019</c:v>
                </c:pt>
                <c:pt idx="24">
                  <c:v>2020</c:v>
                </c:pt>
              </c:numCache>
            </c:numRef>
          </c:cat>
          <c:val>
            <c:numRef>
              <c:f>'VVP2'!$H$223:$AF$223</c:f>
              <c:numCache>
                <c:formatCode>0.0</c:formatCode>
                <c:ptCount val="25"/>
                <c:pt idx="0">
                  <c:v>7.878442672384911</c:v>
                </c:pt>
                <c:pt idx="1">
                  <c:v>2.3063974109710728</c:v>
                </c:pt>
                <c:pt idx="2">
                  <c:v>8.3448694596235597</c:v>
                </c:pt>
                <c:pt idx="3">
                  <c:v>13.09486449530386</c:v>
                </c:pt>
                <c:pt idx="4">
                  <c:v>3.1693019706557024</c:v>
                </c:pt>
                <c:pt idx="5">
                  <c:v>-0.99276201088340787</c:v>
                </c:pt>
                <c:pt idx="6">
                  <c:v>-3.9934025419617769</c:v>
                </c:pt>
                <c:pt idx="7">
                  <c:v>1.6527881641975162</c:v>
                </c:pt>
                <c:pt idx="8">
                  <c:v>0.56119177448938906</c:v>
                </c:pt>
                <c:pt idx="9">
                  <c:v>11.063329181248394</c:v>
                </c:pt>
                <c:pt idx="10">
                  <c:v>8.4894743869331037</c:v>
                </c:pt>
                <c:pt idx="11">
                  <c:v>9.716735380386865</c:v>
                </c:pt>
                <c:pt idx="12">
                  <c:v>5.1093471327458007</c:v>
                </c:pt>
                <c:pt idx="13">
                  <c:v>-16.968795799598745</c:v>
                </c:pt>
                <c:pt idx="14">
                  <c:v>8.2947038309613141</c:v>
                </c:pt>
                <c:pt idx="15">
                  <c:v>8.0087033923449624</c:v>
                </c:pt>
                <c:pt idx="16">
                  <c:v>1.7438346781725622</c:v>
                </c:pt>
                <c:pt idx="17">
                  <c:v>-1.387788897688802</c:v>
                </c:pt>
                <c:pt idx="18">
                  <c:v>1.4558729579264407</c:v>
                </c:pt>
                <c:pt idx="19">
                  <c:v>8.9222166649275181</c:v>
                </c:pt>
                <c:pt idx="20">
                  <c:v>5.6935869102008985</c:v>
                </c:pt>
                <c:pt idx="21">
                  <c:v>7.390043257570067</c:v>
                </c:pt>
                <c:pt idx="22" formatCode="0.00">
                  <c:v>8.7832999999999615</c:v>
                </c:pt>
                <c:pt idx="23" formatCode="0.00">
                  <c:v>7.0126250000000168</c:v>
                </c:pt>
                <c:pt idx="24" formatCode="0.00">
                  <c:v>4.9272150000000181</c:v>
                </c:pt>
              </c:numCache>
            </c:numRef>
          </c:val>
          <c:smooth val="0"/>
          <c:extLst>
            <c:ext xmlns:c16="http://schemas.microsoft.com/office/drawing/2014/chart" uri="{C3380CC4-5D6E-409C-BE32-E72D297353CC}">
              <c16:uniqueId val="{00000000-B96B-4C90-AFCB-127C0F923E59}"/>
            </c:ext>
          </c:extLst>
        </c:ser>
        <c:ser>
          <c:idx val="1"/>
          <c:order val="1"/>
          <c:tx>
            <c:strRef>
              <c:f>'VVP2'!$E$284</c:f>
              <c:strCache>
                <c:ptCount val="1"/>
                <c:pt idx="0">
                  <c:v>Exports of goods (P.61)</c:v>
                </c:pt>
              </c:strCache>
            </c:strRef>
          </c:tx>
          <c:marker>
            <c:symbol val="none"/>
          </c:marker>
          <c:cat>
            <c:numRef>
              <c:f>'VVP2'!$H$276:$AF$276</c:f>
              <c:numCache>
                <c:formatCode>0</c:formatCode>
                <c:ptCount val="25"/>
                <c:pt idx="0">
                  <c:v>1996</c:v>
                </c:pt>
                <c:pt idx="1">
                  <c:v>1997</c:v>
                </c:pt>
                <c:pt idx="2">
                  <c:v>1998</c:v>
                </c:pt>
                <c:pt idx="3">
                  <c:v>1999</c:v>
                </c:pt>
                <c:pt idx="4">
                  <c:v>2000</c:v>
                </c:pt>
                <c:pt idx="5">
                  <c:v>2001</c:v>
                </c:pt>
                <c:pt idx="6">
                  <c:v>2002</c:v>
                </c:pt>
                <c:pt idx="7">
                  <c:v>2003</c:v>
                </c:pt>
                <c:pt idx="8">
                  <c:v>2004</c:v>
                </c:pt>
                <c:pt idx="9">
                  <c:v>2005</c:v>
                </c:pt>
                <c:pt idx="10">
                  <c:v>2006</c:v>
                </c:pt>
                <c:pt idx="11">
                  <c:v>2007</c:v>
                </c:pt>
                <c:pt idx="12">
                  <c:v>2008</c:v>
                </c:pt>
                <c:pt idx="13">
                  <c:v>2009</c:v>
                </c:pt>
                <c:pt idx="14">
                  <c:v>2010</c:v>
                </c:pt>
                <c:pt idx="15">
                  <c:v>2011</c:v>
                </c:pt>
                <c:pt idx="16">
                  <c:v>2012</c:v>
                </c:pt>
                <c:pt idx="17">
                  <c:v>2013</c:v>
                </c:pt>
                <c:pt idx="18">
                  <c:v>2014</c:v>
                </c:pt>
                <c:pt idx="19">
                  <c:v>2015</c:v>
                </c:pt>
                <c:pt idx="20">
                  <c:v>2016</c:v>
                </c:pt>
                <c:pt idx="21">
                  <c:v>2017</c:v>
                </c:pt>
                <c:pt idx="22">
                  <c:v>2018</c:v>
                </c:pt>
                <c:pt idx="23">
                  <c:v>2019</c:v>
                </c:pt>
                <c:pt idx="24">
                  <c:v>2020</c:v>
                </c:pt>
              </c:numCache>
            </c:numRef>
          </c:cat>
          <c:val>
            <c:numRef>
              <c:f>'VVP2'!$H$284:$AF$284</c:f>
              <c:numCache>
                <c:formatCode>0.0</c:formatCode>
                <c:ptCount val="25"/>
                <c:pt idx="0">
                  <c:v>-0.82379663379074097</c:v>
                </c:pt>
                <c:pt idx="1">
                  <c:v>13.054955968341808</c:v>
                </c:pt>
                <c:pt idx="2">
                  <c:v>6.8639270716152057</c:v>
                </c:pt>
                <c:pt idx="3">
                  <c:v>4.0899521049497345</c:v>
                </c:pt>
                <c:pt idx="4">
                  <c:v>13.708986394831912</c:v>
                </c:pt>
                <c:pt idx="5">
                  <c:v>9.6498760398411321E-2</c:v>
                </c:pt>
                <c:pt idx="6">
                  <c:v>-6.7731810350935007E-2</c:v>
                </c:pt>
                <c:pt idx="7">
                  <c:v>2.0894193551434403</c:v>
                </c:pt>
                <c:pt idx="8">
                  <c:v>10.154514151941797</c:v>
                </c:pt>
                <c:pt idx="9">
                  <c:v>8.6286389289933041</c:v>
                </c:pt>
                <c:pt idx="10">
                  <c:v>12.162172611913192</c:v>
                </c:pt>
                <c:pt idx="11">
                  <c:v>4.7000282666997517</c:v>
                </c:pt>
                <c:pt idx="12">
                  <c:v>4.8340870217974397</c:v>
                </c:pt>
                <c:pt idx="13">
                  <c:v>-17.612456856075941</c:v>
                </c:pt>
                <c:pt idx="14">
                  <c:v>14.662392168672401</c:v>
                </c:pt>
                <c:pt idx="15">
                  <c:v>5.1790255822071307</c:v>
                </c:pt>
                <c:pt idx="16">
                  <c:v>-1.4032475880941253</c:v>
                </c:pt>
                <c:pt idx="17">
                  <c:v>-5.9511033993596367</c:v>
                </c:pt>
                <c:pt idx="18">
                  <c:v>5.3056674969598872</c:v>
                </c:pt>
                <c:pt idx="19">
                  <c:v>5.1738955218807892</c:v>
                </c:pt>
                <c:pt idx="20">
                  <c:v>0.7211786303991996</c:v>
                </c:pt>
                <c:pt idx="21">
                  <c:v>9.2514348180475778</c:v>
                </c:pt>
                <c:pt idx="22" formatCode="0.00">
                  <c:v>9.2452500000000057</c:v>
                </c:pt>
                <c:pt idx="23" formatCode="0.00">
                  <c:v>5.8407350000000191</c:v>
                </c:pt>
                <c:pt idx="24" formatCode="0.00">
                  <c:v>4.2150319999999963</c:v>
                </c:pt>
              </c:numCache>
            </c:numRef>
          </c:val>
          <c:smooth val="0"/>
          <c:extLst>
            <c:ext xmlns:c16="http://schemas.microsoft.com/office/drawing/2014/chart" uri="{C3380CC4-5D6E-409C-BE32-E72D297353CC}">
              <c16:uniqueId val="{00000001-B96B-4C90-AFCB-127C0F923E59}"/>
            </c:ext>
          </c:extLst>
        </c:ser>
        <c:dLbls>
          <c:showLegendKey val="0"/>
          <c:showVal val="0"/>
          <c:showCatName val="0"/>
          <c:showSerName val="0"/>
          <c:showPercent val="0"/>
          <c:showBubbleSize val="0"/>
        </c:dLbls>
        <c:smooth val="0"/>
        <c:axId val="225525760"/>
        <c:axId val="225527296"/>
      </c:lineChart>
      <c:catAx>
        <c:axId val="225525760"/>
        <c:scaling>
          <c:orientation val="minMax"/>
        </c:scaling>
        <c:delete val="0"/>
        <c:axPos val="b"/>
        <c:numFmt formatCode="0" sourceLinked="1"/>
        <c:majorTickMark val="none"/>
        <c:minorTickMark val="none"/>
        <c:tickLblPos val="nextTo"/>
        <c:crossAx val="225527296"/>
        <c:crosses val="autoZero"/>
        <c:auto val="1"/>
        <c:lblAlgn val="ctr"/>
        <c:lblOffset val="100"/>
        <c:noMultiLvlLbl val="0"/>
      </c:catAx>
      <c:valAx>
        <c:axId val="225527296"/>
        <c:scaling>
          <c:orientation val="minMax"/>
        </c:scaling>
        <c:delete val="0"/>
        <c:axPos val="l"/>
        <c:majorGridlines/>
        <c:numFmt formatCode="0.0" sourceLinked="1"/>
        <c:majorTickMark val="none"/>
        <c:minorTickMark val="none"/>
        <c:tickLblPos val="nextTo"/>
        <c:spPr>
          <a:ln w="9525">
            <a:noFill/>
          </a:ln>
        </c:spPr>
        <c:crossAx val="225525760"/>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volumes: correlation investment/export </a:t>
            </a:r>
          </a:p>
        </c:rich>
      </c:tx>
      <c:overlay val="0"/>
    </c:title>
    <c:autoTitleDeleted val="0"/>
    <c:plotArea>
      <c:layout/>
      <c:lineChart>
        <c:grouping val="standard"/>
        <c:varyColors val="0"/>
        <c:ser>
          <c:idx val="0"/>
          <c:order val="0"/>
          <c:tx>
            <c:strRef>
              <c:f>'VVP2'!$E$40</c:f>
              <c:strCache>
                <c:ptCount val="1"/>
                <c:pt idx="0">
                  <c:v>Equipment</c:v>
                </c:pt>
              </c:strCache>
            </c:strRef>
          </c:tx>
          <c:marker>
            <c:symbol val="none"/>
          </c:marker>
          <c:cat>
            <c:numRef>
              <c:f>'VVP2'!$H$47:$AF$47</c:f>
              <c:numCache>
                <c:formatCode>0</c:formatCode>
                <c:ptCount val="25"/>
                <c:pt idx="0">
                  <c:v>1996</c:v>
                </c:pt>
                <c:pt idx="1">
                  <c:v>1997</c:v>
                </c:pt>
                <c:pt idx="2">
                  <c:v>1998</c:v>
                </c:pt>
                <c:pt idx="3">
                  <c:v>1999</c:v>
                </c:pt>
                <c:pt idx="4">
                  <c:v>2000</c:v>
                </c:pt>
                <c:pt idx="5">
                  <c:v>2001</c:v>
                </c:pt>
                <c:pt idx="6">
                  <c:v>2002</c:v>
                </c:pt>
                <c:pt idx="7">
                  <c:v>2003</c:v>
                </c:pt>
                <c:pt idx="8">
                  <c:v>2004</c:v>
                </c:pt>
                <c:pt idx="9">
                  <c:v>2005</c:v>
                </c:pt>
                <c:pt idx="10">
                  <c:v>2006</c:v>
                </c:pt>
                <c:pt idx="11">
                  <c:v>2007</c:v>
                </c:pt>
                <c:pt idx="12">
                  <c:v>2008</c:v>
                </c:pt>
                <c:pt idx="13">
                  <c:v>2009</c:v>
                </c:pt>
                <c:pt idx="14">
                  <c:v>2010</c:v>
                </c:pt>
                <c:pt idx="15">
                  <c:v>2011</c:v>
                </c:pt>
                <c:pt idx="16">
                  <c:v>2012</c:v>
                </c:pt>
                <c:pt idx="17">
                  <c:v>2013</c:v>
                </c:pt>
                <c:pt idx="18">
                  <c:v>2014</c:v>
                </c:pt>
                <c:pt idx="19">
                  <c:v>2015</c:v>
                </c:pt>
                <c:pt idx="20">
                  <c:v>2016</c:v>
                </c:pt>
                <c:pt idx="21">
                  <c:v>2017</c:v>
                </c:pt>
                <c:pt idx="22">
                  <c:v>2018</c:v>
                </c:pt>
                <c:pt idx="23">
                  <c:v>2019</c:v>
                </c:pt>
                <c:pt idx="24">
                  <c:v>2020</c:v>
                </c:pt>
              </c:numCache>
            </c:numRef>
          </c:cat>
          <c:val>
            <c:numRef>
              <c:f>'VVP2'!$H$40:$AF$40</c:f>
              <c:numCache>
                <c:formatCode>0.0</c:formatCode>
                <c:ptCount val="25"/>
                <c:pt idx="0">
                  <c:v>12.540643397318107</c:v>
                </c:pt>
                <c:pt idx="1">
                  <c:v>3.7769246382375332</c:v>
                </c:pt>
                <c:pt idx="2">
                  <c:v>9.9728597414905362</c:v>
                </c:pt>
                <c:pt idx="3">
                  <c:v>11.913105873038244</c:v>
                </c:pt>
                <c:pt idx="4">
                  <c:v>2.2239089667472456</c:v>
                </c:pt>
                <c:pt idx="5">
                  <c:v>-0.87857569222666854</c:v>
                </c:pt>
                <c:pt idx="6">
                  <c:v>-3.9965262848736249</c:v>
                </c:pt>
                <c:pt idx="7">
                  <c:v>5.2710246344558565</c:v>
                </c:pt>
                <c:pt idx="8">
                  <c:v>3.6122920822580618</c:v>
                </c:pt>
                <c:pt idx="9">
                  <c:v>11.131667390450151</c:v>
                </c:pt>
                <c:pt idx="10">
                  <c:v>8.7664249181694345</c:v>
                </c:pt>
                <c:pt idx="11">
                  <c:v>11.869830162672645</c:v>
                </c:pt>
                <c:pt idx="12">
                  <c:v>4.1807315782653065</c:v>
                </c:pt>
                <c:pt idx="13">
                  <c:v>-21.619524388648149</c:v>
                </c:pt>
                <c:pt idx="14">
                  <c:v>10.818488631783275</c:v>
                </c:pt>
                <c:pt idx="15">
                  <c:v>12.423004648402735</c:v>
                </c:pt>
                <c:pt idx="16">
                  <c:v>2.8001572961945387</c:v>
                </c:pt>
                <c:pt idx="17">
                  <c:v>6.3871229795209317E-2</c:v>
                </c:pt>
                <c:pt idx="18">
                  <c:v>-1.1404028957867629</c:v>
                </c:pt>
                <c:pt idx="19">
                  <c:v>5.0835743442426695</c:v>
                </c:pt>
                <c:pt idx="20">
                  <c:v>5.2819707262130366</c:v>
                </c:pt>
                <c:pt idx="21">
                  <c:v>5.7518402425732251</c:v>
                </c:pt>
                <c:pt idx="22" formatCode="0.00">
                  <c:v>4.7</c:v>
                </c:pt>
                <c:pt idx="23" formatCode="0.00">
                  <c:v>4.25</c:v>
                </c:pt>
                <c:pt idx="24" formatCode="0.00">
                  <c:v>3.55</c:v>
                </c:pt>
              </c:numCache>
            </c:numRef>
          </c:val>
          <c:smooth val="0"/>
          <c:extLst>
            <c:ext xmlns:c16="http://schemas.microsoft.com/office/drawing/2014/chart" uri="{C3380CC4-5D6E-409C-BE32-E72D297353CC}">
              <c16:uniqueId val="{00000000-9522-48D4-8820-5AC46ADAACB9}"/>
            </c:ext>
          </c:extLst>
        </c:ser>
        <c:ser>
          <c:idx val="1"/>
          <c:order val="1"/>
          <c:tx>
            <c:strRef>
              <c:f>'VVP2'!$E$88</c:f>
              <c:strCache>
                <c:ptCount val="1"/>
                <c:pt idx="0">
                  <c:v>Exports of goods (P.61)</c:v>
                </c:pt>
              </c:strCache>
            </c:strRef>
          </c:tx>
          <c:marker>
            <c:symbol val="none"/>
          </c:marker>
          <c:cat>
            <c:numRef>
              <c:f>'VVP2'!$H$47:$AF$47</c:f>
              <c:numCache>
                <c:formatCode>0</c:formatCode>
                <c:ptCount val="25"/>
                <c:pt idx="0">
                  <c:v>1996</c:v>
                </c:pt>
                <c:pt idx="1">
                  <c:v>1997</c:v>
                </c:pt>
                <c:pt idx="2">
                  <c:v>1998</c:v>
                </c:pt>
                <c:pt idx="3">
                  <c:v>1999</c:v>
                </c:pt>
                <c:pt idx="4">
                  <c:v>2000</c:v>
                </c:pt>
                <c:pt idx="5">
                  <c:v>2001</c:v>
                </c:pt>
                <c:pt idx="6">
                  <c:v>2002</c:v>
                </c:pt>
                <c:pt idx="7">
                  <c:v>2003</c:v>
                </c:pt>
                <c:pt idx="8">
                  <c:v>2004</c:v>
                </c:pt>
                <c:pt idx="9">
                  <c:v>2005</c:v>
                </c:pt>
                <c:pt idx="10">
                  <c:v>2006</c:v>
                </c:pt>
                <c:pt idx="11">
                  <c:v>2007</c:v>
                </c:pt>
                <c:pt idx="12">
                  <c:v>2008</c:v>
                </c:pt>
                <c:pt idx="13">
                  <c:v>2009</c:v>
                </c:pt>
                <c:pt idx="14">
                  <c:v>2010</c:v>
                </c:pt>
                <c:pt idx="15">
                  <c:v>2011</c:v>
                </c:pt>
                <c:pt idx="16">
                  <c:v>2012</c:v>
                </c:pt>
                <c:pt idx="17">
                  <c:v>2013</c:v>
                </c:pt>
                <c:pt idx="18">
                  <c:v>2014</c:v>
                </c:pt>
                <c:pt idx="19">
                  <c:v>2015</c:v>
                </c:pt>
                <c:pt idx="20">
                  <c:v>2016</c:v>
                </c:pt>
                <c:pt idx="21">
                  <c:v>2017</c:v>
                </c:pt>
                <c:pt idx="22">
                  <c:v>2018</c:v>
                </c:pt>
                <c:pt idx="23">
                  <c:v>2019</c:v>
                </c:pt>
                <c:pt idx="24">
                  <c:v>2020</c:v>
                </c:pt>
              </c:numCache>
            </c:numRef>
          </c:cat>
          <c:val>
            <c:numRef>
              <c:f>'VVP2'!$H$88:$AF$88</c:f>
              <c:numCache>
                <c:formatCode>0.0</c:formatCode>
                <c:ptCount val="25"/>
                <c:pt idx="0">
                  <c:v>4.8045048294636183</c:v>
                </c:pt>
                <c:pt idx="1">
                  <c:v>13.534050047945545</c:v>
                </c:pt>
                <c:pt idx="2">
                  <c:v>8.5920176188416075</c:v>
                </c:pt>
                <c:pt idx="3">
                  <c:v>6.3418248930507293</c:v>
                </c:pt>
                <c:pt idx="4">
                  <c:v>11.747955234444385</c:v>
                </c:pt>
                <c:pt idx="5">
                  <c:v>-2.2511076593602075</c:v>
                </c:pt>
                <c:pt idx="6">
                  <c:v>2.288567107184214</c:v>
                </c:pt>
                <c:pt idx="7">
                  <c:v>4.8713156445337802</c:v>
                </c:pt>
                <c:pt idx="8">
                  <c:v>11.207407545979242</c:v>
                </c:pt>
                <c:pt idx="9">
                  <c:v>5.7885898929463941</c:v>
                </c:pt>
                <c:pt idx="10">
                  <c:v>8.501451542137195</c:v>
                </c:pt>
                <c:pt idx="11">
                  <c:v>2.855411247593076</c:v>
                </c:pt>
                <c:pt idx="12">
                  <c:v>0.78071377951367538</c:v>
                </c:pt>
                <c:pt idx="13">
                  <c:v>-18.739947502309008</c:v>
                </c:pt>
                <c:pt idx="14">
                  <c:v>15.784702388624616</c:v>
                </c:pt>
                <c:pt idx="15">
                  <c:v>6.8443516348343669</c:v>
                </c:pt>
                <c:pt idx="16">
                  <c:v>0.26255010317264293</c:v>
                </c:pt>
                <c:pt idx="17">
                  <c:v>-2.8802447919689111</c:v>
                </c:pt>
                <c:pt idx="18">
                  <c:v>3.1434433908073434</c:v>
                </c:pt>
                <c:pt idx="19">
                  <c:v>3.5191695773266085</c:v>
                </c:pt>
                <c:pt idx="20">
                  <c:v>2.3123418411364671</c:v>
                </c:pt>
                <c:pt idx="21">
                  <c:v>4.9543854790373931</c:v>
                </c:pt>
                <c:pt idx="22" formatCode="0.00">
                  <c:v>3.55</c:v>
                </c:pt>
                <c:pt idx="23" formatCode="0.00">
                  <c:v>3.35</c:v>
                </c:pt>
                <c:pt idx="24" formatCode="0.00">
                  <c:v>3.02</c:v>
                </c:pt>
              </c:numCache>
            </c:numRef>
          </c:val>
          <c:smooth val="0"/>
          <c:extLst>
            <c:ext xmlns:c16="http://schemas.microsoft.com/office/drawing/2014/chart" uri="{C3380CC4-5D6E-409C-BE32-E72D297353CC}">
              <c16:uniqueId val="{00000001-9522-48D4-8820-5AC46ADAACB9}"/>
            </c:ext>
          </c:extLst>
        </c:ser>
        <c:dLbls>
          <c:showLegendKey val="0"/>
          <c:showVal val="0"/>
          <c:showCatName val="0"/>
          <c:showSerName val="0"/>
          <c:showPercent val="0"/>
          <c:showBubbleSize val="0"/>
        </c:dLbls>
        <c:smooth val="0"/>
        <c:axId val="225573120"/>
        <c:axId val="225579008"/>
      </c:lineChart>
      <c:catAx>
        <c:axId val="225573120"/>
        <c:scaling>
          <c:orientation val="minMax"/>
        </c:scaling>
        <c:delete val="0"/>
        <c:axPos val="b"/>
        <c:numFmt formatCode="0" sourceLinked="1"/>
        <c:majorTickMark val="none"/>
        <c:minorTickMark val="none"/>
        <c:tickLblPos val="nextTo"/>
        <c:crossAx val="225579008"/>
        <c:crosses val="autoZero"/>
        <c:auto val="1"/>
        <c:lblAlgn val="ctr"/>
        <c:lblOffset val="100"/>
        <c:noMultiLvlLbl val="0"/>
      </c:catAx>
      <c:valAx>
        <c:axId val="225579008"/>
        <c:scaling>
          <c:orientation val="minMax"/>
        </c:scaling>
        <c:delete val="0"/>
        <c:axPos val="l"/>
        <c:majorGridlines/>
        <c:numFmt formatCode="0.0" sourceLinked="1"/>
        <c:majorTickMark val="none"/>
        <c:minorTickMark val="none"/>
        <c:tickLblPos val="nextTo"/>
        <c:spPr>
          <a:ln w="9525">
            <a:noFill/>
          </a:ln>
        </c:spPr>
        <c:crossAx val="225573120"/>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4859788814943267E-2"/>
          <c:y val="3.5157473325580516E-2"/>
          <c:w val="0.82650992871096218"/>
          <c:h val="0.929685053348839"/>
        </c:manualLayout>
      </c:layout>
      <c:lineChart>
        <c:grouping val="standard"/>
        <c:varyColors val="0"/>
        <c:ser>
          <c:idx val="1"/>
          <c:order val="0"/>
          <c:tx>
            <c:strRef>
              <c:f>'VVP2'!$E$110</c:f>
              <c:strCache>
                <c:ptCount val="1"/>
                <c:pt idx="0">
                  <c:v>Imports of goods (P.71)</c:v>
                </c:pt>
              </c:strCache>
            </c:strRef>
          </c:tx>
          <c:marker>
            <c:symbol val="none"/>
          </c:marker>
          <c:cat>
            <c:numRef>
              <c:f>'VVP2'!$H$108:$AF$108</c:f>
              <c:numCache>
                <c:formatCode>0</c:formatCode>
                <c:ptCount val="25"/>
                <c:pt idx="0">
                  <c:v>1996</c:v>
                </c:pt>
                <c:pt idx="1">
                  <c:v>1997</c:v>
                </c:pt>
                <c:pt idx="2">
                  <c:v>1998</c:v>
                </c:pt>
                <c:pt idx="3">
                  <c:v>1999</c:v>
                </c:pt>
                <c:pt idx="4">
                  <c:v>2000</c:v>
                </c:pt>
                <c:pt idx="5">
                  <c:v>2001</c:v>
                </c:pt>
                <c:pt idx="6">
                  <c:v>2002</c:v>
                </c:pt>
                <c:pt idx="7">
                  <c:v>2003</c:v>
                </c:pt>
                <c:pt idx="8">
                  <c:v>2004</c:v>
                </c:pt>
                <c:pt idx="9">
                  <c:v>2005</c:v>
                </c:pt>
                <c:pt idx="10">
                  <c:v>2006</c:v>
                </c:pt>
                <c:pt idx="11">
                  <c:v>2007</c:v>
                </c:pt>
                <c:pt idx="12">
                  <c:v>2008</c:v>
                </c:pt>
                <c:pt idx="13">
                  <c:v>2009</c:v>
                </c:pt>
                <c:pt idx="14">
                  <c:v>2010</c:v>
                </c:pt>
                <c:pt idx="15">
                  <c:v>2011</c:v>
                </c:pt>
                <c:pt idx="16">
                  <c:v>2012</c:v>
                </c:pt>
                <c:pt idx="17">
                  <c:v>2013</c:v>
                </c:pt>
                <c:pt idx="18">
                  <c:v>2014</c:v>
                </c:pt>
                <c:pt idx="19">
                  <c:v>2015</c:v>
                </c:pt>
                <c:pt idx="20">
                  <c:v>2016</c:v>
                </c:pt>
                <c:pt idx="21">
                  <c:v>2017</c:v>
                </c:pt>
                <c:pt idx="22">
                  <c:v>2018</c:v>
                </c:pt>
                <c:pt idx="23">
                  <c:v>2019</c:v>
                </c:pt>
                <c:pt idx="24">
                  <c:v>2020</c:v>
                </c:pt>
              </c:numCache>
            </c:numRef>
          </c:cat>
          <c:val>
            <c:numRef>
              <c:f>'VVP2'!$H$110:$AF$110</c:f>
              <c:numCache>
                <c:formatCode>0.0</c:formatCode>
                <c:ptCount val="25"/>
                <c:pt idx="0">
                  <c:v>2.6202141916089827</c:v>
                </c:pt>
                <c:pt idx="1">
                  <c:v>11.419627606500837</c:v>
                </c:pt>
                <c:pt idx="2">
                  <c:v>10.106965513186861</c:v>
                </c:pt>
                <c:pt idx="3">
                  <c:v>4.1957887291303786</c:v>
                </c:pt>
                <c:pt idx="4">
                  <c:v>12.158062825256422</c:v>
                </c:pt>
                <c:pt idx="5">
                  <c:v>-4.3437727175751455</c:v>
                </c:pt>
                <c:pt idx="6">
                  <c:v>-0.40217126252505286</c:v>
                </c:pt>
                <c:pt idx="7">
                  <c:v>5.9808701432483291</c:v>
                </c:pt>
                <c:pt idx="8">
                  <c:v>7.8453751344399913</c:v>
                </c:pt>
                <c:pt idx="9">
                  <c:v>7.4670793672974911</c:v>
                </c:pt>
                <c:pt idx="10">
                  <c:v>9.6045088461140118</c:v>
                </c:pt>
                <c:pt idx="11">
                  <c:v>6.9381813413658788</c:v>
                </c:pt>
                <c:pt idx="12">
                  <c:v>2.9212371565577433</c:v>
                </c:pt>
                <c:pt idx="13">
                  <c:v>-16.578019730312409</c:v>
                </c:pt>
                <c:pt idx="14">
                  <c:v>17.194558024366557</c:v>
                </c:pt>
                <c:pt idx="15">
                  <c:v>8.6687935651744485</c:v>
                </c:pt>
                <c:pt idx="16">
                  <c:v>-0.84808310531920839</c:v>
                </c:pt>
                <c:pt idx="17">
                  <c:v>-1.6849708057331436</c:v>
                </c:pt>
                <c:pt idx="18">
                  <c:v>4.6097291357892978</c:v>
                </c:pt>
                <c:pt idx="19">
                  <c:v>5.4030409567209059</c:v>
                </c:pt>
                <c:pt idx="20">
                  <c:v>5.86845056686498</c:v>
                </c:pt>
                <c:pt idx="21">
                  <c:v>4.0222811279401194</c:v>
                </c:pt>
                <c:pt idx="22" formatCode="0.00">
                  <c:v>4.01</c:v>
                </c:pt>
                <c:pt idx="23" formatCode="0.00">
                  <c:v>3.36</c:v>
                </c:pt>
                <c:pt idx="24" formatCode="0.00">
                  <c:v>3.12</c:v>
                </c:pt>
              </c:numCache>
            </c:numRef>
          </c:val>
          <c:smooth val="0"/>
          <c:extLst>
            <c:ext xmlns:c16="http://schemas.microsoft.com/office/drawing/2014/chart" uri="{C3380CC4-5D6E-409C-BE32-E72D297353CC}">
              <c16:uniqueId val="{00000000-0C7A-42BC-94AC-7EFA01EAB5F0}"/>
            </c:ext>
          </c:extLst>
        </c:ser>
        <c:ser>
          <c:idx val="2"/>
          <c:order val="1"/>
          <c:tx>
            <c:strRef>
              <c:f>'VVP2'!$E$40</c:f>
              <c:strCache>
                <c:ptCount val="1"/>
                <c:pt idx="0">
                  <c:v>Equipment</c:v>
                </c:pt>
              </c:strCache>
            </c:strRef>
          </c:tx>
          <c:marker>
            <c:symbol val="none"/>
          </c:marker>
          <c:cat>
            <c:numRef>
              <c:f>'VVP2'!$H$108:$AF$108</c:f>
              <c:numCache>
                <c:formatCode>0</c:formatCode>
                <c:ptCount val="25"/>
                <c:pt idx="0">
                  <c:v>1996</c:v>
                </c:pt>
                <c:pt idx="1">
                  <c:v>1997</c:v>
                </c:pt>
                <c:pt idx="2">
                  <c:v>1998</c:v>
                </c:pt>
                <c:pt idx="3">
                  <c:v>1999</c:v>
                </c:pt>
                <c:pt idx="4">
                  <c:v>2000</c:v>
                </c:pt>
                <c:pt idx="5">
                  <c:v>2001</c:v>
                </c:pt>
                <c:pt idx="6">
                  <c:v>2002</c:v>
                </c:pt>
                <c:pt idx="7">
                  <c:v>2003</c:v>
                </c:pt>
                <c:pt idx="8">
                  <c:v>2004</c:v>
                </c:pt>
                <c:pt idx="9">
                  <c:v>2005</c:v>
                </c:pt>
                <c:pt idx="10">
                  <c:v>2006</c:v>
                </c:pt>
                <c:pt idx="11">
                  <c:v>2007</c:v>
                </c:pt>
                <c:pt idx="12">
                  <c:v>2008</c:v>
                </c:pt>
                <c:pt idx="13">
                  <c:v>2009</c:v>
                </c:pt>
                <c:pt idx="14">
                  <c:v>2010</c:v>
                </c:pt>
                <c:pt idx="15">
                  <c:v>2011</c:v>
                </c:pt>
                <c:pt idx="16">
                  <c:v>2012</c:v>
                </c:pt>
                <c:pt idx="17">
                  <c:v>2013</c:v>
                </c:pt>
                <c:pt idx="18">
                  <c:v>2014</c:v>
                </c:pt>
                <c:pt idx="19">
                  <c:v>2015</c:v>
                </c:pt>
                <c:pt idx="20">
                  <c:v>2016</c:v>
                </c:pt>
                <c:pt idx="21">
                  <c:v>2017</c:v>
                </c:pt>
                <c:pt idx="22">
                  <c:v>2018</c:v>
                </c:pt>
                <c:pt idx="23">
                  <c:v>2019</c:v>
                </c:pt>
                <c:pt idx="24">
                  <c:v>2020</c:v>
                </c:pt>
              </c:numCache>
            </c:numRef>
          </c:cat>
          <c:val>
            <c:numRef>
              <c:f>'VVP2'!$H$40:$AF$40</c:f>
              <c:numCache>
                <c:formatCode>0.0</c:formatCode>
                <c:ptCount val="25"/>
                <c:pt idx="0">
                  <c:v>12.540643397318107</c:v>
                </c:pt>
                <c:pt idx="1">
                  <c:v>3.7769246382375332</c:v>
                </c:pt>
                <c:pt idx="2">
                  <c:v>9.9728597414905362</c:v>
                </c:pt>
                <c:pt idx="3">
                  <c:v>11.913105873038244</c:v>
                </c:pt>
                <c:pt idx="4">
                  <c:v>2.2239089667472456</c:v>
                </c:pt>
                <c:pt idx="5">
                  <c:v>-0.87857569222666854</c:v>
                </c:pt>
                <c:pt idx="6">
                  <c:v>-3.9965262848736249</c:v>
                </c:pt>
                <c:pt idx="7">
                  <c:v>5.2710246344558565</c:v>
                </c:pt>
                <c:pt idx="8">
                  <c:v>3.6122920822580618</c:v>
                </c:pt>
                <c:pt idx="9">
                  <c:v>11.131667390450151</c:v>
                </c:pt>
                <c:pt idx="10">
                  <c:v>8.7664249181694345</c:v>
                </c:pt>
                <c:pt idx="11">
                  <c:v>11.869830162672645</c:v>
                </c:pt>
                <c:pt idx="12">
                  <c:v>4.1807315782653065</c:v>
                </c:pt>
                <c:pt idx="13">
                  <c:v>-21.619524388648149</c:v>
                </c:pt>
                <c:pt idx="14">
                  <c:v>10.818488631783275</c:v>
                </c:pt>
                <c:pt idx="15">
                  <c:v>12.423004648402735</c:v>
                </c:pt>
                <c:pt idx="16">
                  <c:v>2.8001572961945387</c:v>
                </c:pt>
                <c:pt idx="17">
                  <c:v>6.3871229795209317E-2</c:v>
                </c:pt>
                <c:pt idx="18">
                  <c:v>-1.1404028957867629</c:v>
                </c:pt>
                <c:pt idx="19">
                  <c:v>5.0835743442426695</c:v>
                </c:pt>
                <c:pt idx="20">
                  <c:v>5.2819707262130366</c:v>
                </c:pt>
                <c:pt idx="21">
                  <c:v>5.7518402425732251</c:v>
                </c:pt>
                <c:pt idx="22" formatCode="0.00">
                  <c:v>4.7</c:v>
                </c:pt>
                <c:pt idx="23" formatCode="0.00">
                  <c:v>4.25</c:v>
                </c:pt>
                <c:pt idx="24" formatCode="0.00">
                  <c:v>3.55</c:v>
                </c:pt>
              </c:numCache>
            </c:numRef>
          </c:val>
          <c:smooth val="0"/>
          <c:extLst>
            <c:ext xmlns:c16="http://schemas.microsoft.com/office/drawing/2014/chart" uri="{C3380CC4-5D6E-409C-BE32-E72D297353CC}">
              <c16:uniqueId val="{00000001-0C7A-42BC-94AC-7EFA01EAB5F0}"/>
            </c:ext>
          </c:extLst>
        </c:ser>
        <c:dLbls>
          <c:showLegendKey val="0"/>
          <c:showVal val="0"/>
          <c:showCatName val="0"/>
          <c:showSerName val="0"/>
          <c:showPercent val="0"/>
          <c:showBubbleSize val="0"/>
        </c:dLbls>
        <c:smooth val="0"/>
        <c:axId val="225600256"/>
        <c:axId val="225601792"/>
      </c:lineChart>
      <c:catAx>
        <c:axId val="225600256"/>
        <c:scaling>
          <c:orientation val="minMax"/>
        </c:scaling>
        <c:delete val="0"/>
        <c:axPos val="b"/>
        <c:numFmt formatCode="0" sourceLinked="1"/>
        <c:majorTickMark val="out"/>
        <c:minorTickMark val="none"/>
        <c:tickLblPos val="nextTo"/>
        <c:crossAx val="225601792"/>
        <c:crosses val="autoZero"/>
        <c:auto val="1"/>
        <c:lblAlgn val="ctr"/>
        <c:lblOffset val="100"/>
        <c:noMultiLvlLbl val="0"/>
      </c:catAx>
      <c:valAx>
        <c:axId val="225601792"/>
        <c:scaling>
          <c:orientation val="minMax"/>
        </c:scaling>
        <c:delete val="0"/>
        <c:axPos val="l"/>
        <c:majorGridlines/>
        <c:numFmt formatCode="0.0" sourceLinked="1"/>
        <c:majorTickMark val="out"/>
        <c:minorTickMark val="none"/>
        <c:tickLblPos val="nextTo"/>
        <c:crossAx val="225600256"/>
        <c:crosses val="autoZero"/>
        <c:crossBetween val="between"/>
      </c:valAx>
    </c:plotArea>
    <c:legend>
      <c:legendPos val="r"/>
      <c:layout>
        <c:manualLayout>
          <c:xMode val="edge"/>
          <c:yMode val="edge"/>
          <c:x val="0.7546952413550494"/>
          <c:y val="0.8448991468574153"/>
          <c:w val="0.22222984708363727"/>
          <c:h val="0.11452347089600916"/>
        </c:manualLayout>
      </c:layout>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Dwellings Contribution to growth</a:t>
            </a:r>
          </a:p>
        </c:rich>
      </c:tx>
      <c:overlay val="0"/>
    </c:title>
    <c:autoTitleDeleted val="0"/>
    <c:plotArea>
      <c:layout>
        <c:manualLayout>
          <c:layoutTarget val="inner"/>
          <c:xMode val="edge"/>
          <c:yMode val="edge"/>
          <c:x val="8.7419072615923007E-2"/>
          <c:y val="0.19480351414406533"/>
          <c:w val="0.85140026246719158"/>
          <c:h val="0.75379593175853021"/>
        </c:manualLayout>
      </c:layout>
      <c:barChart>
        <c:barDir val="col"/>
        <c:grouping val="clustered"/>
        <c:varyColors val="0"/>
        <c:ser>
          <c:idx val="0"/>
          <c:order val="0"/>
          <c:tx>
            <c:strRef>
              <c:f>'VVP2'!$W$145</c:f>
              <c:strCache>
                <c:ptCount val="1"/>
                <c:pt idx="0">
                  <c:v>Contribution to growth</c:v>
                </c:pt>
              </c:strCache>
            </c:strRef>
          </c:tx>
          <c:invertIfNegative val="0"/>
          <c:cat>
            <c:numRef>
              <c:f>'VVP2'!$X$133:$AF$133</c:f>
              <c:numCache>
                <c:formatCode>0</c:formatCode>
                <c:ptCount val="9"/>
                <c:pt idx="0">
                  <c:v>2012</c:v>
                </c:pt>
                <c:pt idx="1">
                  <c:v>2013</c:v>
                </c:pt>
                <c:pt idx="2">
                  <c:v>2014</c:v>
                </c:pt>
                <c:pt idx="3">
                  <c:v>2015</c:v>
                </c:pt>
                <c:pt idx="4">
                  <c:v>2016</c:v>
                </c:pt>
                <c:pt idx="5">
                  <c:v>2017</c:v>
                </c:pt>
                <c:pt idx="6">
                  <c:v>2018</c:v>
                </c:pt>
                <c:pt idx="7">
                  <c:v>2019</c:v>
                </c:pt>
                <c:pt idx="8">
                  <c:v>2020</c:v>
                </c:pt>
              </c:numCache>
            </c:numRef>
          </c:cat>
          <c:val>
            <c:numRef>
              <c:f>'VVP2'!$X$145:$AF$145</c:f>
              <c:numCache>
                <c:formatCode>0.0</c:formatCode>
                <c:ptCount val="9"/>
                <c:pt idx="0">
                  <c:v>-0.458031020971359</c:v>
                </c:pt>
                <c:pt idx="1">
                  <c:v>2.9664599676907343E-2</c:v>
                </c:pt>
                <c:pt idx="2">
                  <c:v>0.54680219151342768</c:v>
                </c:pt>
                <c:pt idx="3">
                  <c:v>0.71591515215829316</c:v>
                </c:pt>
                <c:pt idx="4">
                  <c:v>0.49610363322099438</c:v>
                </c:pt>
                <c:pt idx="5">
                  <c:v>0.59278474691330818</c:v>
                </c:pt>
                <c:pt idx="6">
                  <c:v>9.7274967191894435E-2</c:v>
                </c:pt>
                <c:pt idx="7">
                  <c:v>-0.27944871989722048</c:v>
                </c:pt>
                <c:pt idx="8">
                  <c:v>-8.2262878438711967E-2</c:v>
                </c:pt>
              </c:numCache>
            </c:numRef>
          </c:val>
          <c:extLst>
            <c:ext xmlns:c16="http://schemas.microsoft.com/office/drawing/2014/chart" uri="{C3380CC4-5D6E-409C-BE32-E72D297353CC}">
              <c16:uniqueId val="{00000000-59B4-43FB-A838-F440241CF015}"/>
            </c:ext>
          </c:extLst>
        </c:ser>
        <c:dLbls>
          <c:showLegendKey val="0"/>
          <c:showVal val="0"/>
          <c:showCatName val="0"/>
          <c:showSerName val="0"/>
          <c:showPercent val="0"/>
          <c:showBubbleSize val="0"/>
        </c:dLbls>
        <c:gapWidth val="150"/>
        <c:axId val="225634176"/>
        <c:axId val="225635712"/>
      </c:barChart>
      <c:catAx>
        <c:axId val="225634176"/>
        <c:scaling>
          <c:orientation val="minMax"/>
        </c:scaling>
        <c:delete val="0"/>
        <c:axPos val="b"/>
        <c:numFmt formatCode="0" sourceLinked="1"/>
        <c:majorTickMark val="out"/>
        <c:minorTickMark val="none"/>
        <c:tickLblPos val="nextTo"/>
        <c:crossAx val="225635712"/>
        <c:crosses val="autoZero"/>
        <c:auto val="1"/>
        <c:lblAlgn val="ctr"/>
        <c:lblOffset val="100"/>
        <c:noMultiLvlLbl val="0"/>
      </c:catAx>
      <c:valAx>
        <c:axId val="225635712"/>
        <c:scaling>
          <c:orientation val="minMax"/>
        </c:scaling>
        <c:delete val="0"/>
        <c:axPos val="l"/>
        <c:majorGridlines/>
        <c:numFmt formatCode="0.0" sourceLinked="1"/>
        <c:majorTickMark val="out"/>
        <c:minorTickMark val="none"/>
        <c:tickLblPos val="nextTo"/>
        <c:crossAx val="225634176"/>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housing Investment (%GDP)</a:t>
            </a:r>
          </a:p>
        </c:rich>
      </c:tx>
      <c:overlay val="0"/>
    </c:title>
    <c:autoTitleDeleted val="0"/>
    <c:plotArea>
      <c:layout/>
      <c:lineChart>
        <c:grouping val="standard"/>
        <c:varyColors val="0"/>
        <c:ser>
          <c:idx val="0"/>
          <c:order val="0"/>
          <c:marker>
            <c:symbol val="none"/>
          </c:marker>
          <c:cat>
            <c:numRef>
              <c:f>'VVP2'!$V$18:$AF$18</c:f>
              <c:numCache>
                <c:formatCode>0</c:formatCode>
                <c:ptCount val="11"/>
                <c:pt idx="0">
                  <c:v>2010</c:v>
                </c:pt>
                <c:pt idx="1">
                  <c:v>2011</c:v>
                </c:pt>
                <c:pt idx="2">
                  <c:v>2012</c:v>
                </c:pt>
                <c:pt idx="3">
                  <c:v>2013</c:v>
                </c:pt>
                <c:pt idx="4">
                  <c:v>2014</c:v>
                </c:pt>
                <c:pt idx="5">
                  <c:v>2015</c:v>
                </c:pt>
                <c:pt idx="6">
                  <c:v>2016</c:v>
                </c:pt>
                <c:pt idx="7">
                  <c:v>2017</c:v>
                </c:pt>
                <c:pt idx="8">
                  <c:v>2018</c:v>
                </c:pt>
                <c:pt idx="9">
                  <c:v>2019</c:v>
                </c:pt>
                <c:pt idx="10">
                  <c:v>2020</c:v>
                </c:pt>
              </c:numCache>
            </c:numRef>
          </c:cat>
          <c:val>
            <c:numRef>
              <c:f>'VVP2'!$V$31:$AF$31</c:f>
              <c:numCache>
                <c:formatCode>0.0%</c:formatCode>
                <c:ptCount val="11"/>
                <c:pt idx="0">
                  <c:v>3.6253797011428494E-2</c:v>
                </c:pt>
                <c:pt idx="1">
                  <c:v>3.8148326274680511E-2</c:v>
                </c:pt>
                <c:pt idx="2">
                  <c:v>3.3730478924301435E-2</c:v>
                </c:pt>
                <c:pt idx="3">
                  <c:v>3.3604792700709013E-2</c:v>
                </c:pt>
                <c:pt idx="4">
                  <c:v>3.7877268736874699E-2</c:v>
                </c:pt>
                <c:pt idx="5">
                  <c:v>4.2773482739299769E-2</c:v>
                </c:pt>
                <c:pt idx="6">
                  <c:v>4.6195207647652184E-2</c:v>
                </c:pt>
                <c:pt idx="7">
                  <c:v>5.0469203755817094E-2</c:v>
                </c:pt>
                <c:pt idx="8">
                  <c:v>5.0141145306874663E-2</c:v>
                </c:pt>
                <c:pt idx="9">
                  <c:v>4.6869010997588556E-2</c:v>
                </c:pt>
                <c:pt idx="10">
                  <c:v>4.5344068318502011E-2</c:v>
                </c:pt>
              </c:numCache>
            </c:numRef>
          </c:val>
          <c:smooth val="0"/>
          <c:extLst>
            <c:ext xmlns:c16="http://schemas.microsoft.com/office/drawing/2014/chart" uri="{C3380CC4-5D6E-409C-BE32-E72D297353CC}">
              <c16:uniqueId val="{00000000-B80F-4B29-8DB1-9B7CF69AD363}"/>
            </c:ext>
          </c:extLst>
        </c:ser>
        <c:dLbls>
          <c:showLegendKey val="0"/>
          <c:showVal val="0"/>
          <c:showCatName val="0"/>
          <c:showSerName val="0"/>
          <c:showPercent val="0"/>
          <c:showBubbleSize val="0"/>
        </c:dLbls>
        <c:smooth val="0"/>
        <c:axId val="225643520"/>
        <c:axId val="225665792"/>
      </c:lineChart>
      <c:catAx>
        <c:axId val="225643520"/>
        <c:scaling>
          <c:orientation val="minMax"/>
        </c:scaling>
        <c:delete val="0"/>
        <c:axPos val="b"/>
        <c:numFmt formatCode="0" sourceLinked="1"/>
        <c:majorTickMark val="none"/>
        <c:minorTickMark val="none"/>
        <c:tickLblPos val="nextTo"/>
        <c:crossAx val="225665792"/>
        <c:crosses val="autoZero"/>
        <c:auto val="1"/>
        <c:lblAlgn val="ctr"/>
        <c:lblOffset val="100"/>
        <c:noMultiLvlLbl val="0"/>
      </c:catAx>
      <c:valAx>
        <c:axId val="225665792"/>
        <c:scaling>
          <c:orientation val="minMax"/>
        </c:scaling>
        <c:delete val="0"/>
        <c:axPos val="l"/>
        <c:majorGridlines/>
        <c:numFmt formatCode="0.0%" sourceLinked="1"/>
        <c:majorTickMark val="none"/>
        <c:minorTickMark val="none"/>
        <c:tickLblPos val="nextTo"/>
        <c:spPr>
          <a:ln w="9525">
            <a:noFill/>
          </a:ln>
        </c:spPr>
        <c:crossAx val="225643520"/>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Household consumption and disposable income (VAL)</a:t>
            </a:r>
          </a:p>
        </c:rich>
      </c:tx>
      <c:layout>
        <c:manualLayout>
          <c:xMode val="edge"/>
          <c:yMode val="edge"/>
          <c:x val="0.11607166291713535"/>
          <c:y val="3.3613445378151259E-2"/>
        </c:manualLayout>
      </c:layout>
      <c:overlay val="0"/>
      <c:spPr>
        <a:noFill/>
        <a:ln w="25400">
          <a:noFill/>
        </a:ln>
      </c:spPr>
    </c:title>
    <c:autoTitleDeleted val="0"/>
    <c:plotArea>
      <c:layout>
        <c:manualLayout>
          <c:layoutTarget val="inner"/>
          <c:xMode val="edge"/>
          <c:yMode val="edge"/>
          <c:x val="9.1517956889514251E-2"/>
          <c:y val="0.17647107096647127"/>
          <c:w val="0.84151877432553357"/>
          <c:h val="0.56022562211578175"/>
        </c:manualLayout>
      </c:layout>
      <c:lineChart>
        <c:grouping val="standard"/>
        <c:varyColors val="0"/>
        <c:ser>
          <c:idx val="0"/>
          <c:order val="0"/>
          <c:tx>
            <c:strRef>
              <c:f>'VVP2'!$D$188:$E$188</c:f>
              <c:strCache>
                <c:ptCount val="2"/>
                <c:pt idx="0">
                  <c:v>HH</c:v>
                </c:pt>
                <c:pt idx="1">
                  <c:v>Final consumption expenditure (P.3)</c:v>
                </c:pt>
              </c:strCache>
            </c:strRef>
          </c:tx>
          <c:spPr>
            <a:ln w="25400">
              <a:solidFill>
                <a:srgbClr val="FF0000"/>
              </a:solidFill>
              <a:prstDash val="solid"/>
            </a:ln>
          </c:spPr>
          <c:marker>
            <c:symbol val="diamond"/>
            <c:size val="5"/>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'VVP2'!$G$188:$AG$188</c:f>
              <c:numCache>
                <c:formatCode>0.0</c:formatCode>
                <c:ptCount val="27"/>
                <c:pt idx="1">
                  <c:v>2.7445359364352662</c:v>
                </c:pt>
                <c:pt idx="2">
                  <c:v>4.2886811706422501</c:v>
                </c:pt>
                <c:pt idx="3">
                  <c:v>3.7721997763183746</c:v>
                </c:pt>
                <c:pt idx="4">
                  <c:v>5.5648694721122549</c:v>
                </c:pt>
                <c:pt idx="5">
                  <c:v>6.2846390107470285</c:v>
                </c:pt>
                <c:pt idx="6">
                  <c:v>2.8988431892746025</c:v>
                </c:pt>
                <c:pt idx="7">
                  <c:v>4.0871345605225651</c:v>
                </c:pt>
                <c:pt idx="8">
                  <c:v>3.9733740644160687</c:v>
                </c:pt>
                <c:pt idx="9">
                  <c:v>3.5894148223736266</c:v>
                </c:pt>
                <c:pt idx="10">
                  <c:v>3.9075875259487303</c:v>
                </c:pt>
                <c:pt idx="11">
                  <c:v>3.9078932304936309</c:v>
                </c:pt>
                <c:pt idx="12">
                  <c:v>5.2954756905138511</c:v>
                </c:pt>
                <c:pt idx="13">
                  <c:v>3.3572400190670093</c:v>
                </c:pt>
                <c:pt idx="14">
                  <c:v>2.5861127781788174</c:v>
                </c:pt>
                <c:pt idx="15">
                  <c:v>5.4343205922134485</c:v>
                </c:pt>
                <c:pt idx="16">
                  <c:v>3.5637816277590106</c:v>
                </c:pt>
                <c:pt idx="17">
                  <c:v>1.3074053618210346</c:v>
                </c:pt>
                <c:pt idx="18">
                  <c:v>2.5818237369885422</c:v>
                </c:pt>
                <c:pt idx="19">
                  <c:v>3.2326364869803781</c:v>
                </c:pt>
                <c:pt idx="20">
                  <c:v>4.0151328696125255</c:v>
                </c:pt>
                <c:pt idx="21">
                  <c:v>3.8912159805113644</c:v>
                </c:pt>
                <c:pt idx="22">
                  <c:v>3.9840824208579484</c:v>
                </c:pt>
                <c:pt idx="23" formatCode="0.00">
                  <c:v>4.1407999999999889</c:v>
                </c:pt>
                <c:pt idx="24" formatCode="0.00">
                  <c:v>4.0696099999999902</c:v>
                </c:pt>
                <c:pt idx="25" formatCode="0.00">
                  <c:v>3.9377999999999913</c:v>
                </c:pt>
              </c:numCache>
            </c:numRef>
          </c:val>
          <c:smooth val="0"/>
          <c:extLst>
            <c:ext xmlns:c16="http://schemas.microsoft.com/office/drawing/2014/chart" uri="{C3380CC4-5D6E-409C-BE32-E72D297353CC}">
              <c16:uniqueId val="{00000000-4BAD-4222-8E5F-A35C25F9B301}"/>
            </c:ext>
          </c:extLst>
        </c:ser>
        <c:ser>
          <c:idx val="1"/>
          <c:order val="1"/>
          <c:tx>
            <c:strRef>
              <c:f>Sector1!$D$379:$E$379</c:f>
              <c:strCache>
                <c:ptCount val="2"/>
                <c:pt idx="0">
                  <c:v>HH</c:v>
                </c:pt>
                <c:pt idx="1">
                  <c:v>Disposable income (B.6g)</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val>
            <c:numRef>
              <c:f>Sector1!$G$379:$AJ$379</c:f>
              <c:numCache>
                <c:formatCode>0.0</c:formatCode>
                <c:ptCount val="30"/>
                <c:pt idx="1">
                  <c:v>0.27135630377890241</c:v>
                </c:pt>
                <c:pt idx="2">
                  <c:v>0.98603374727763704</c:v>
                </c:pt>
                <c:pt idx="3">
                  <c:v>2.527773001581024</c:v>
                </c:pt>
                <c:pt idx="4">
                  <c:v>-1.7835924222375343</c:v>
                </c:pt>
                <c:pt idx="5">
                  <c:v>14.857174389258642</c:v>
                </c:pt>
                <c:pt idx="6">
                  <c:v>7.8496443434426855</c:v>
                </c:pt>
                <c:pt idx="7">
                  <c:v>4.4185159098511839</c:v>
                </c:pt>
                <c:pt idx="8">
                  <c:v>2.5517251371609539</c:v>
                </c:pt>
                <c:pt idx="9">
                  <c:v>2.2880811153836333</c:v>
                </c:pt>
                <c:pt idx="10">
                  <c:v>3.8199400240026771</c:v>
                </c:pt>
                <c:pt idx="11">
                  <c:v>5.7135824989338113</c:v>
                </c:pt>
                <c:pt idx="12">
                  <c:v>6.9795115894039972</c:v>
                </c:pt>
                <c:pt idx="13">
                  <c:v>6.494812750555834</c:v>
                </c:pt>
                <c:pt idx="14">
                  <c:v>4.0749934794949372</c:v>
                </c:pt>
                <c:pt idx="15">
                  <c:v>4.1666961499543742</c:v>
                </c:pt>
                <c:pt idx="16">
                  <c:v>4.9170184847424414</c:v>
                </c:pt>
                <c:pt idx="17">
                  <c:v>4.0444610146007642</c:v>
                </c:pt>
                <c:pt idx="18">
                  <c:v>3.0014639390279152</c:v>
                </c:pt>
                <c:pt idx="19">
                  <c:v>3.9001368416070825</c:v>
                </c:pt>
                <c:pt idx="20">
                  <c:v>3.4750138585766477</c:v>
                </c:pt>
                <c:pt idx="21">
                  <c:v>4.6635366003283441</c:v>
                </c:pt>
                <c:pt idx="22">
                  <c:v>3.6839755096635285</c:v>
                </c:pt>
                <c:pt idx="23">
                  <c:v>4.6873382230532279</c:v>
                </c:pt>
                <c:pt idx="24">
                  <c:v>3.2026416525350099</c:v>
                </c:pt>
                <c:pt idx="25">
                  <c:v>3.2256240231082867</c:v>
                </c:pt>
              </c:numCache>
            </c:numRef>
          </c:val>
          <c:smooth val="0"/>
          <c:extLst>
            <c:ext xmlns:c16="http://schemas.microsoft.com/office/drawing/2014/chart" uri="{C3380CC4-5D6E-409C-BE32-E72D297353CC}">
              <c16:uniqueId val="{00000001-4BAD-4222-8E5F-A35C25F9B301}"/>
            </c:ext>
          </c:extLst>
        </c:ser>
        <c:dLbls>
          <c:showLegendKey val="0"/>
          <c:showVal val="0"/>
          <c:showCatName val="0"/>
          <c:showSerName val="0"/>
          <c:showPercent val="0"/>
          <c:showBubbleSize val="0"/>
        </c:dLbls>
        <c:marker val="1"/>
        <c:smooth val="0"/>
        <c:axId val="225773056"/>
        <c:axId val="225774976"/>
      </c:lineChart>
      <c:catAx>
        <c:axId val="225773056"/>
        <c:scaling>
          <c:orientation val="minMax"/>
        </c:scaling>
        <c:delete val="0"/>
        <c:axPos val="b"/>
        <c:majorGridlines>
          <c:spPr>
            <a:ln w="3175">
              <a:solidFill>
                <a:srgbClr val="000000"/>
              </a:solidFill>
              <a:prstDash val="solid"/>
            </a:ln>
          </c:spPr>
        </c:majorGridlines>
        <c:numFmt formatCode="0" sourceLinked="1"/>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25774976"/>
        <c:crosses val="autoZero"/>
        <c:auto val="1"/>
        <c:lblAlgn val="ctr"/>
        <c:lblOffset val="100"/>
        <c:tickLblSkip val="2"/>
        <c:tickMarkSkip val="1"/>
        <c:noMultiLvlLbl val="0"/>
      </c:catAx>
      <c:valAx>
        <c:axId val="225774976"/>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25773056"/>
        <c:crosses val="autoZero"/>
        <c:crossBetween val="midCat"/>
      </c:valAx>
      <c:spPr>
        <a:noFill/>
        <a:ln w="12700">
          <a:solidFill>
            <a:srgbClr val="808080"/>
          </a:solidFill>
          <a:prstDash val="solid"/>
        </a:ln>
      </c:spPr>
    </c:plotArea>
    <c:legend>
      <c:legendPos val="r"/>
      <c:layout>
        <c:manualLayout>
          <c:xMode val="edge"/>
          <c:yMode val="edge"/>
          <c:x val="0.21071483690055695"/>
          <c:y val="0.8549808399254577"/>
          <c:w val="0.60178728843633622"/>
          <c:h val="0.12121247350841932"/>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Household consumption related to household disposable income</a:t>
            </a:r>
          </a:p>
        </c:rich>
      </c:tx>
      <c:layout>
        <c:manualLayout>
          <c:xMode val="edge"/>
          <c:yMode val="edge"/>
          <c:x val="0.17633952005999248"/>
          <c:y val="3.3613445378151259E-2"/>
        </c:manualLayout>
      </c:layout>
      <c:overlay val="0"/>
      <c:spPr>
        <a:noFill/>
        <a:ln w="25400">
          <a:noFill/>
        </a:ln>
      </c:spPr>
    </c:title>
    <c:autoTitleDeleted val="0"/>
    <c:plotArea>
      <c:layout>
        <c:manualLayout>
          <c:layoutTarget val="inner"/>
          <c:xMode val="edge"/>
          <c:yMode val="edge"/>
          <c:x val="7.5892939859597192E-2"/>
          <c:y val="0.17086881474531346"/>
          <c:w val="0.87276880838536763"/>
          <c:h val="0.55742449400520289"/>
        </c:manualLayout>
      </c:layout>
      <c:scatterChart>
        <c:scatterStyle val="lineMarker"/>
        <c:varyColors val="0"/>
        <c:ser>
          <c:idx val="0"/>
          <c:order val="0"/>
          <c:tx>
            <c:strRef>
              <c:f>'VVP2'!$E$185</c:f>
              <c:strCache>
                <c:ptCount val="1"/>
                <c:pt idx="0">
                  <c:v>Final consumption expenditure (P.3)</c:v>
                </c:pt>
              </c:strCache>
            </c:strRef>
          </c:tx>
          <c:spPr>
            <a:ln w="28575">
              <a:noFill/>
            </a:ln>
          </c:spPr>
          <c:marker>
            <c:symbol val="circle"/>
            <c:size val="7"/>
            <c:spPr>
              <a:solidFill>
                <a:srgbClr val="FFFFFF"/>
              </a:solidFill>
              <a:ln>
                <a:solidFill>
                  <a:srgbClr val="339966"/>
                </a:solidFill>
                <a:prstDash val="solid"/>
              </a:ln>
            </c:spPr>
          </c:marker>
          <c:dLbls>
            <c:dLbl>
              <c:idx val="1"/>
              <c:tx>
                <c:rich>
                  <a:bodyPr/>
                  <a:lstStyle/>
                  <a:p>
                    <a:r>
                      <a:rPr lang="en-GB"/>
                      <a:t>1996</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7C6-4203-95D3-E568544010BB}"/>
                </c:ext>
              </c:extLst>
            </c:dLbl>
            <c:dLbl>
              <c:idx val="2"/>
              <c:tx>
                <c:rich>
                  <a:bodyPr/>
                  <a:lstStyle/>
                  <a:p>
                    <a:r>
                      <a:rPr lang="en-GB"/>
                      <a:t>1997</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7C6-4203-95D3-E568544010BB}"/>
                </c:ext>
              </c:extLst>
            </c:dLbl>
            <c:dLbl>
              <c:idx val="3"/>
              <c:tx>
                <c:rich>
                  <a:bodyPr/>
                  <a:lstStyle/>
                  <a:p>
                    <a:r>
                      <a:rPr lang="en-GB"/>
                      <a:t>1998</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37C6-4203-95D3-E568544010BB}"/>
                </c:ext>
              </c:extLst>
            </c:dLbl>
            <c:dLbl>
              <c:idx val="4"/>
              <c:tx>
                <c:rich>
                  <a:bodyPr/>
                  <a:lstStyle/>
                  <a:p>
                    <a:r>
                      <a:rPr lang="en-GB"/>
                      <a:t>1999</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7C6-4203-95D3-E568544010BB}"/>
                </c:ext>
              </c:extLst>
            </c:dLbl>
            <c:dLbl>
              <c:idx val="5"/>
              <c:tx>
                <c:rich>
                  <a:bodyPr/>
                  <a:lstStyle/>
                  <a:p>
                    <a:r>
                      <a:rPr lang="en-GB"/>
                      <a:t>2000</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7C6-4203-95D3-E568544010BB}"/>
                </c:ext>
              </c:extLst>
            </c:dLbl>
            <c:dLbl>
              <c:idx val="6"/>
              <c:tx>
                <c:rich>
                  <a:bodyPr/>
                  <a:lstStyle/>
                  <a:p>
                    <a:r>
                      <a:rPr lang="en-GB"/>
                      <a:t>2001</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37C6-4203-95D3-E568544010BB}"/>
                </c:ext>
              </c:extLst>
            </c:dLbl>
            <c:dLbl>
              <c:idx val="7"/>
              <c:tx>
                <c:rich>
                  <a:bodyPr/>
                  <a:lstStyle/>
                  <a:p>
                    <a:r>
                      <a:rPr lang="en-GB"/>
                      <a:t>2002</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37C6-4203-95D3-E568544010BB}"/>
                </c:ext>
              </c:extLst>
            </c:dLbl>
            <c:dLbl>
              <c:idx val="8"/>
              <c:tx>
                <c:rich>
                  <a:bodyPr/>
                  <a:lstStyle/>
                  <a:p>
                    <a:r>
                      <a:rPr lang="en-GB"/>
                      <a:t>2003</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37C6-4203-95D3-E568544010BB}"/>
                </c:ext>
              </c:extLst>
            </c:dLbl>
            <c:dLbl>
              <c:idx val="9"/>
              <c:tx>
                <c:rich>
                  <a:bodyPr/>
                  <a:lstStyle/>
                  <a:p>
                    <a:r>
                      <a:rPr lang="en-GB"/>
                      <a:t>2004</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37C6-4203-95D3-E568544010BB}"/>
                </c:ext>
              </c:extLst>
            </c:dLbl>
            <c:dLbl>
              <c:idx val="10"/>
              <c:tx>
                <c:rich>
                  <a:bodyPr/>
                  <a:lstStyle/>
                  <a:p>
                    <a:r>
                      <a:rPr lang="en-GB"/>
                      <a:t>2005</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37C6-4203-95D3-E568544010BB}"/>
                </c:ext>
              </c:extLst>
            </c:dLbl>
            <c:dLbl>
              <c:idx val="11"/>
              <c:tx>
                <c:rich>
                  <a:bodyPr/>
                  <a:lstStyle/>
                  <a:p>
                    <a:r>
                      <a:rPr lang="en-GB"/>
                      <a:t>2006</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37C6-4203-95D3-E568544010BB}"/>
                </c:ext>
              </c:extLst>
            </c:dLbl>
            <c:dLbl>
              <c:idx val="12"/>
              <c:tx>
                <c:rich>
                  <a:bodyPr/>
                  <a:lstStyle/>
                  <a:p>
                    <a:r>
                      <a:rPr lang="en-GB"/>
                      <a:t>2007</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37C6-4203-95D3-E568544010BB}"/>
                </c:ext>
              </c:extLst>
            </c:dLbl>
            <c:dLbl>
              <c:idx val="13"/>
              <c:tx>
                <c:rich>
                  <a:bodyPr/>
                  <a:lstStyle/>
                  <a:p>
                    <a:r>
                      <a:rPr lang="en-GB"/>
                      <a:t>2008</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37C6-4203-95D3-E568544010BB}"/>
                </c:ext>
              </c:extLst>
            </c:dLbl>
            <c:dLbl>
              <c:idx val="14"/>
              <c:tx>
                <c:rich>
                  <a:bodyPr/>
                  <a:lstStyle/>
                  <a:p>
                    <a:r>
                      <a:rPr lang="en-GB"/>
                      <a:t>2009</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37C6-4203-95D3-E568544010BB}"/>
                </c:ext>
              </c:extLst>
            </c:dLbl>
            <c:spPr>
              <a:noFill/>
              <a:ln w="25400">
                <a:noFill/>
              </a:ln>
            </c:spPr>
            <c:txPr>
              <a:bodyPr/>
              <a:lstStyle/>
              <a:p>
                <a:pPr>
                  <a:defRPr sz="800"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25400">
                <a:solidFill>
                  <a:srgbClr val="008000"/>
                </a:solidFill>
                <a:prstDash val="solid"/>
              </a:ln>
            </c:spPr>
            <c:trendlineType val="linear"/>
            <c:dispRSqr val="0"/>
            <c:dispEq val="0"/>
          </c:trendline>
          <c:xVal>
            <c:numRef>
              <c:f>Sector1!$G$379:$AJ$379</c:f>
              <c:numCache>
                <c:formatCode>0.0</c:formatCode>
                <c:ptCount val="30"/>
                <c:pt idx="1">
                  <c:v>0.27135630377890241</c:v>
                </c:pt>
                <c:pt idx="2">
                  <c:v>0.98603374727763704</c:v>
                </c:pt>
                <c:pt idx="3">
                  <c:v>2.527773001581024</c:v>
                </c:pt>
                <c:pt idx="4">
                  <c:v>-1.7835924222375343</c:v>
                </c:pt>
                <c:pt idx="5">
                  <c:v>14.857174389258642</c:v>
                </c:pt>
                <c:pt idx="6">
                  <c:v>7.8496443434426855</c:v>
                </c:pt>
                <c:pt idx="7">
                  <c:v>4.4185159098511839</c:v>
                </c:pt>
                <c:pt idx="8">
                  <c:v>2.5517251371609539</c:v>
                </c:pt>
                <c:pt idx="9">
                  <c:v>2.2880811153836333</c:v>
                </c:pt>
                <c:pt idx="10">
                  <c:v>3.8199400240026771</c:v>
                </c:pt>
                <c:pt idx="11">
                  <c:v>5.7135824989338113</c:v>
                </c:pt>
                <c:pt idx="12">
                  <c:v>6.9795115894039972</c:v>
                </c:pt>
                <c:pt idx="13">
                  <c:v>6.494812750555834</c:v>
                </c:pt>
                <c:pt idx="14">
                  <c:v>4.0749934794949372</c:v>
                </c:pt>
                <c:pt idx="15">
                  <c:v>4.1666961499543742</c:v>
                </c:pt>
                <c:pt idx="16">
                  <c:v>4.9170184847424414</c:v>
                </c:pt>
                <c:pt idx="17">
                  <c:v>4.0444610146007642</c:v>
                </c:pt>
                <c:pt idx="18">
                  <c:v>3.0014639390279152</c:v>
                </c:pt>
                <c:pt idx="19">
                  <c:v>3.9001368416070825</c:v>
                </c:pt>
                <c:pt idx="20">
                  <c:v>3.4750138585766477</c:v>
                </c:pt>
                <c:pt idx="21">
                  <c:v>4.6635366003283441</c:v>
                </c:pt>
                <c:pt idx="22">
                  <c:v>3.6839755096635285</c:v>
                </c:pt>
                <c:pt idx="23">
                  <c:v>4.6873382230532279</c:v>
                </c:pt>
                <c:pt idx="24">
                  <c:v>3.2026416525350099</c:v>
                </c:pt>
                <c:pt idx="25">
                  <c:v>3.2256240231082867</c:v>
                </c:pt>
              </c:numCache>
            </c:numRef>
          </c:xVal>
          <c:yVal>
            <c:numRef>
              <c:f>'VVP2'!$G$188:$AG$188</c:f>
              <c:numCache>
                <c:formatCode>0.0</c:formatCode>
                <c:ptCount val="27"/>
                <c:pt idx="1">
                  <c:v>2.7445359364352662</c:v>
                </c:pt>
                <c:pt idx="2">
                  <c:v>4.2886811706422501</c:v>
                </c:pt>
                <c:pt idx="3">
                  <c:v>3.7721997763183746</c:v>
                </c:pt>
                <c:pt idx="4">
                  <c:v>5.5648694721122549</c:v>
                </c:pt>
                <c:pt idx="5">
                  <c:v>6.2846390107470285</c:v>
                </c:pt>
                <c:pt idx="6">
                  <c:v>2.8988431892746025</c:v>
                </c:pt>
                <c:pt idx="7">
                  <c:v>4.0871345605225651</c:v>
                </c:pt>
                <c:pt idx="8">
                  <c:v>3.9733740644160687</c:v>
                </c:pt>
                <c:pt idx="9">
                  <c:v>3.5894148223736266</c:v>
                </c:pt>
                <c:pt idx="10">
                  <c:v>3.9075875259487303</c:v>
                </c:pt>
                <c:pt idx="11">
                  <c:v>3.9078932304936309</c:v>
                </c:pt>
                <c:pt idx="12">
                  <c:v>5.2954756905138511</c:v>
                </c:pt>
                <c:pt idx="13">
                  <c:v>3.3572400190670093</c:v>
                </c:pt>
                <c:pt idx="14">
                  <c:v>2.5861127781788174</c:v>
                </c:pt>
                <c:pt idx="15">
                  <c:v>5.4343205922134485</c:v>
                </c:pt>
                <c:pt idx="16">
                  <c:v>3.5637816277590106</c:v>
                </c:pt>
                <c:pt idx="17">
                  <c:v>1.3074053618210346</c:v>
                </c:pt>
                <c:pt idx="18">
                  <c:v>2.5818237369885422</c:v>
                </c:pt>
                <c:pt idx="19">
                  <c:v>3.2326364869803781</c:v>
                </c:pt>
                <c:pt idx="20">
                  <c:v>4.0151328696125255</c:v>
                </c:pt>
                <c:pt idx="21">
                  <c:v>3.8912159805113644</c:v>
                </c:pt>
                <c:pt idx="22">
                  <c:v>3.9840824208579484</c:v>
                </c:pt>
                <c:pt idx="23" formatCode="0.00">
                  <c:v>4.1407999999999889</c:v>
                </c:pt>
                <c:pt idx="24" formatCode="0.00">
                  <c:v>4.0696099999999902</c:v>
                </c:pt>
                <c:pt idx="25" formatCode="0.00">
                  <c:v>3.9377999999999913</c:v>
                </c:pt>
              </c:numCache>
            </c:numRef>
          </c:yVal>
          <c:smooth val="0"/>
          <c:extLst>
            <c:ext xmlns:c16="http://schemas.microsoft.com/office/drawing/2014/chart" uri="{C3380CC4-5D6E-409C-BE32-E72D297353CC}">
              <c16:uniqueId val="{0000000E-37C6-4203-95D3-E568544010BB}"/>
            </c:ext>
          </c:extLst>
        </c:ser>
        <c:dLbls>
          <c:showLegendKey val="0"/>
          <c:showVal val="0"/>
          <c:showCatName val="0"/>
          <c:showSerName val="0"/>
          <c:showPercent val="0"/>
          <c:showBubbleSize val="0"/>
        </c:dLbls>
        <c:axId val="225829632"/>
        <c:axId val="225831168"/>
      </c:scatterChart>
      <c:valAx>
        <c:axId val="225829632"/>
        <c:scaling>
          <c:orientation val="minMax"/>
        </c:scaling>
        <c:delete val="0"/>
        <c:axPos val="b"/>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25831168"/>
        <c:crosses val="autoZero"/>
        <c:crossBetween val="midCat"/>
      </c:valAx>
      <c:valAx>
        <c:axId val="225831168"/>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25829632"/>
        <c:crosses val="autoZero"/>
        <c:crossBetween val="midCat"/>
      </c:valAx>
      <c:spPr>
        <a:noFill/>
        <a:ln w="12700">
          <a:solidFill>
            <a:srgbClr val="808080"/>
          </a:solidFill>
          <a:prstDash val="solid"/>
        </a:ln>
      </c:spPr>
    </c:plotArea>
    <c:legend>
      <c:legendPos val="r"/>
      <c:layout>
        <c:manualLayout>
          <c:xMode val="edge"/>
          <c:yMode val="edge"/>
          <c:x val="0.18750049046235998"/>
          <c:y val="0.85930985683647265"/>
          <c:w val="0.64821598131273017"/>
          <c:h val="0.12121247350841932"/>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paperSize="9" orientation="landscape"/>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Consumer prices</a:t>
            </a:r>
          </a:p>
        </c:rich>
      </c:tx>
      <c:layout>
        <c:manualLayout>
          <c:xMode val="edge"/>
          <c:yMode val="edge"/>
          <c:x val="0.37723261154855642"/>
          <c:y val="3.3613445378151259E-2"/>
        </c:manualLayout>
      </c:layout>
      <c:overlay val="0"/>
      <c:spPr>
        <a:noFill/>
        <a:ln w="25400">
          <a:noFill/>
        </a:ln>
      </c:spPr>
    </c:title>
    <c:autoTitleDeleted val="0"/>
    <c:plotArea>
      <c:layout>
        <c:manualLayout>
          <c:layoutTarget val="inner"/>
          <c:xMode val="edge"/>
          <c:yMode val="edge"/>
          <c:x val="0.10937511920941947"/>
          <c:y val="0.17647107096647127"/>
          <c:w val="0.82366161200562837"/>
          <c:h val="0.64459572553430822"/>
        </c:manualLayout>
      </c:layout>
      <c:lineChart>
        <c:grouping val="standard"/>
        <c:varyColors val="0"/>
        <c:ser>
          <c:idx val="0"/>
          <c:order val="0"/>
          <c:tx>
            <c:strRef>
              <c:f>'VVP2'!$F$367</c:f>
              <c:strCache>
                <c:ptCount val="1"/>
                <c:pt idx="0">
                  <c:v>CPI</c:v>
                </c:pt>
              </c:strCache>
            </c:strRef>
          </c:tx>
          <c:spPr>
            <a:ln w="25400">
              <a:solidFill>
                <a:srgbClr val="FF0000"/>
              </a:solidFill>
              <a:prstDash val="solid"/>
            </a:ln>
          </c:spPr>
          <c:marker>
            <c:symbol val="diamond"/>
            <c:size val="5"/>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'VVP2'!$G$367:$AG$367</c:f>
              <c:numCache>
                <c:formatCode>0.0</c:formatCode>
                <c:ptCount val="27"/>
                <c:pt idx="1">
                  <c:v>0.47095763181885797</c:v>
                </c:pt>
                <c:pt idx="2">
                  <c:v>0.50781251431548657</c:v>
                </c:pt>
                <c:pt idx="3">
                  <c:v>-0.11659546316442615</c:v>
                </c:pt>
                <c:pt idx="4">
                  <c:v>0.4280155856252188</c:v>
                </c:pt>
                <c:pt idx="5">
                  <c:v>1.0073614898306271</c:v>
                </c:pt>
                <c:pt idx="6">
                  <c:v>2.4549290372072985</c:v>
                </c:pt>
                <c:pt idx="7">
                  <c:v>2.1340321976787369</c:v>
                </c:pt>
                <c:pt idx="8">
                  <c:v>1.9428152492668493</c:v>
                </c:pt>
                <c:pt idx="9">
                  <c:v>0.3955411722400326</c:v>
                </c:pt>
                <c:pt idx="10">
                  <c:v>0.42979942693406326</c:v>
                </c:pt>
                <c:pt idx="11">
                  <c:v>1.3602146862769837</c:v>
                </c:pt>
                <c:pt idx="12">
                  <c:v>2.2121688343675894</c:v>
                </c:pt>
                <c:pt idx="13">
                  <c:v>3.4370491060286223</c:v>
                </c:pt>
                <c:pt idx="14">
                  <c:v>-0.49446054437829456</c:v>
                </c:pt>
                <c:pt idx="15">
                  <c:v>1.157988027156498</c:v>
                </c:pt>
                <c:pt idx="16">
                  <c:v>2.9611507382208746</c:v>
                </c:pt>
                <c:pt idx="17">
                  <c:v>0.88837750692480899</c:v>
                </c:pt>
                <c:pt idx="18">
                  <c:v>-4.4292970149484301E-2</c:v>
                </c:pt>
                <c:pt idx="19">
                  <c:v>-0.17963849411409827</c:v>
                </c:pt>
                <c:pt idx="20">
                  <c:v>-4.6784744983219273E-2</c:v>
                </c:pt>
                <c:pt idx="21">
                  <c:v>0.98426924457755138</c:v>
                </c:pt>
                <c:pt idx="22">
                  <c:v>1.7944990466558952</c:v>
                </c:pt>
                <c:pt idx="23">
                  <c:v>2.0884262323802574</c:v>
                </c:pt>
                <c:pt idx="24">
                  <c:v>1.903595138430191</c:v>
                </c:pt>
                <c:pt idx="25">
                  <c:v>1.5974596010288593</c:v>
                </c:pt>
              </c:numCache>
            </c:numRef>
          </c:val>
          <c:smooth val="0"/>
          <c:extLst>
            <c:ext xmlns:c16="http://schemas.microsoft.com/office/drawing/2014/chart" uri="{C3380CC4-5D6E-409C-BE32-E72D297353CC}">
              <c16:uniqueId val="{00000000-3C3D-44FF-8156-6DCD53FC77E5}"/>
            </c:ext>
          </c:extLst>
        </c:ser>
        <c:ser>
          <c:idx val="1"/>
          <c:order val="1"/>
          <c:tx>
            <c:strRef>
              <c:f>'VVP2'!$F$368</c:f>
              <c:strCache>
                <c:ptCount val="1"/>
                <c:pt idx="0">
                  <c:v>HICP</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'VVP2'!$G$368:$AG$368</c:f>
              <c:numCache>
                <c:formatCode>0.0</c:formatCode>
                <c:ptCount val="27"/>
                <c:pt idx="1">
                  <c:v>0.95926088797166909</c:v>
                </c:pt>
                <c:pt idx="2">
                  <c:v>1.8131086552140019</c:v>
                </c:pt>
                <c:pt idx="3">
                  <c:v>1.0037937816371745</c:v>
                </c:pt>
                <c:pt idx="4">
                  <c:v>0.56394377586963529</c:v>
                </c:pt>
                <c:pt idx="5">
                  <c:v>1.2940292664346487</c:v>
                </c:pt>
                <c:pt idx="6">
                  <c:v>2.6803434516472269</c:v>
                </c:pt>
                <c:pt idx="7">
                  <c:v>1.9389623601220318</c:v>
                </c:pt>
                <c:pt idx="8">
                  <c:v>2.3192224018522278</c:v>
                </c:pt>
                <c:pt idx="9">
                  <c:v>1.0221398615039012</c:v>
                </c:pt>
                <c:pt idx="10">
                  <c:v>0.83318851493552337</c:v>
                </c:pt>
                <c:pt idx="11">
                  <c:v>1.4965387156386178</c:v>
                </c:pt>
                <c:pt idx="12">
                  <c:v>1.6763518357797436</c:v>
                </c:pt>
                <c:pt idx="13">
                  <c:v>3.3484565925348653</c:v>
                </c:pt>
                <c:pt idx="14">
                  <c:v>1.9409282700422192</c:v>
                </c:pt>
                <c:pt idx="15">
                  <c:v>1.9066154713258454</c:v>
                </c:pt>
                <c:pt idx="16">
                  <c:v>1.3645358936025698</c:v>
                </c:pt>
                <c:pt idx="17">
                  <c:v>0.93779839039687118</c:v>
                </c:pt>
                <c:pt idx="18">
                  <c:v>0.4408932734214055</c:v>
                </c:pt>
                <c:pt idx="19">
                  <c:v>0.20602431927885245</c:v>
                </c:pt>
                <c:pt idx="20">
                  <c:v>0.70239923466177689</c:v>
                </c:pt>
                <c:pt idx="21">
                  <c:v>1.1358333333330028</c:v>
                </c:pt>
                <c:pt idx="22">
                  <c:v>1.8663019206842435</c:v>
                </c:pt>
                <c:pt idx="23">
                  <c:v>2.0884262323802574</c:v>
                </c:pt>
                <c:pt idx="24">
                  <c:v>1.903595138430191</c:v>
                </c:pt>
                <c:pt idx="25">
                  <c:v>1.5974596010288593</c:v>
                </c:pt>
              </c:numCache>
            </c:numRef>
          </c:val>
          <c:smooth val="0"/>
          <c:extLst>
            <c:ext xmlns:c16="http://schemas.microsoft.com/office/drawing/2014/chart" uri="{C3380CC4-5D6E-409C-BE32-E72D297353CC}">
              <c16:uniqueId val="{00000001-3C3D-44FF-8156-6DCD53FC77E5}"/>
            </c:ext>
          </c:extLst>
        </c:ser>
        <c:ser>
          <c:idx val="2"/>
          <c:order val="2"/>
          <c:tx>
            <c:v>HH Private Consumption Deflator</c:v>
          </c:tx>
          <c:spPr>
            <a:ln w="25400">
              <a:solidFill>
                <a:srgbClr val="008000"/>
              </a:solidFill>
              <a:prstDash val="solid"/>
            </a:ln>
          </c:spPr>
          <c:marker>
            <c:symbol val="square"/>
            <c:size val="5"/>
            <c:spPr>
              <a:solidFill>
                <a:srgbClr val="FFFFFF"/>
              </a:solidFill>
              <a:ln>
                <a:solidFill>
                  <a:srgbClr val="008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'VVP2'!$G$366:$AG$366</c:f>
              <c:numCache>
                <c:formatCode>0.0</c:formatCode>
                <c:ptCount val="27"/>
                <c:pt idx="1">
                  <c:v>0.91528780835274937</c:v>
                </c:pt>
                <c:pt idx="2">
                  <c:v>1.4363764232131482</c:v>
                </c:pt>
                <c:pt idx="3">
                  <c:v>0.45592781487155953</c:v>
                </c:pt>
                <c:pt idx="4">
                  <c:v>1.4759448107250384</c:v>
                </c:pt>
                <c:pt idx="5">
                  <c:v>0.98470122638067981</c:v>
                </c:pt>
                <c:pt idx="6">
                  <c:v>2.1520246931197695</c:v>
                </c:pt>
                <c:pt idx="7">
                  <c:v>1.4423834447990558</c:v>
                </c:pt>
                <c:pt idx="8">
                  <c:v>1.6213007540419433</c:v>
                </c:pt>
                <c:pt idx="9">
                  <c:v>0.77842269732415481</c:v>
                </c:pt>
                <c:pt idx="10">
                  <c:v>1.1094528730183351</c:v>
                </c:pt>
                <c:pt idx="11">
                  <c:v>1.2042396026952229</c:v>
                </c:pt>
                <c:pt idx="12">
                  <c:v>1.4458408598480021</c:v>
                </c:pt>
                <c:pt idx="13">
                  <c:v>3.12234907087936</c:v>
                </c:pt>
                <c:pt idx="14">
                  <c:v>2.2274693015023495</c:v>
                </c:pt>
                <c:pt idx="15">
                  <c:v>1.4861173371551795</c:v>
                </c:pt>
                <c:pt idx="16">
                  <c:v>1.6660733876156852</c:v>
                </c:pt>
                <c:pt idx="17">
                  <c:v>0.51388612231861863</c:v>
                </c:pt>
                <c:pt idx="18">
                  <c:v>0.70980615125779689</c:v>
                </c:pt>
                <c:pt idx="19">
                  <c:v>1.0818933037173073</c:v>
                </c:pt>
                <c:pt idx="20">
                  <c:v>0.86902190769297949</c:v>
                </c:pt>
                <c:pt idx="21">
                  <c:v>0.99886784935272477</c:v>
                </c:pt>
                <c:pt idx="22">
                  <c:v>1.7327889478410796</c:v>
                </c:pt>
                <c:pt idx="23">
                  <c:v>1.7</c:v>
                </c:pt>
                <c:pt idx="24">
                  <c:v>1.7</c:v>
                </c:pt>
                <c:pt idx="25">
                  <c:v>1.8</c:v>
                </c:pt>
              </c:numCache>
            </c:numRef>
          </c:val>
          <c:smooth val="0"/>
          <c:extLst>
            <c:ext xmlns:c16="http://schemas.microsoft.com/office/drawing/2014/chart" uri="{C3380CC4-5D6E-409C-BE32-E72D297353CC}">
              <c16:uniqueId val="{00000002-3C3D-44FF-8156-6DCD53FC77E5}"/>
            </c:ext>
          </c:extLst>
        </c:ser>
        <c:ser>
          <c:idx val="3"/>
          <c:order val="3"/>
          <c:tx>
            <c:strRef>
              <c:f>'VVP2'!$E$459</c:f>
              <c:strCache>
                <c:ptCount val="1"/>
                <c:pt idx="0">
                  <c:v>GDP</c:v>
                </c:pt>
              </c:strCache>
            </c:strRef>
          </c:tx>
          <c:spPr>
            <a:ln w="25400">
              <a:solidFill>
                <a:srgbClr val="CC99FF"/>
              </a:solidFill>
              <a:prstDash val="solid"/>
            </a:ln>
          </c:spPr>
          <c:marker>
            <c:symbol val="circle"/>
            <c:size val="5"/>
            <c:spPr>
              <a:solidFill>
                <a:srgbClr val="FFFFFF"/>
              </a:solidFill>
              <a:ln>
                <a:solidFill>
                  <a:srgbClr val="CC99FF"/>
                </a:solidFill>
                <a:prstDash val="solid"/>
              </a:ln>
            </c:spPr>
          </c:marker>
          <c:val>
            <c:numRef>
              <c:f>'VVP2'!$G$459:$AG$459</c:f>
              <c:numCache>
                <c:formatCode>0.0</c:formatCode>
                <c:ptCount val="27"/>
                <c:pt idx="1">
                  <c:v>1.0492839423518197</c:v>
                </c:pt>
                <c:pt idx="2">
                  <c:v>1.5705418106621849</c:v>
                </c:pt>
                <c:pt idx="3">
                  <c:v>0.79122126673694115</c:v>
                </c:pt>
                <c:pt idx="4">
                  <c:v>0.93936220071326737</c:v>
                </c:pt>
                <c:pt idx="5">
                  <c:v>1.5647860401160729</c:v>
                </c:pt>
                <c:pt idx="6">
                  <c:v>2.5106006752197985</c:v>
                </c:pt>
                <c:pt idx="7">
                  <c:v>1.6000397013689938</c:v>
                </c:pt>
                <c:pt idx="8">
                  <c:v>1.7521672555619983</c:v>
                </c:pt>
                <c:pt idx="9">
                  <c:v>0.42818202455117138</c:v>
                </c:pt>
                <c:pt idx="10">
                  <c:v>0.80264223024519854</c:v>
                </c:pt>
                <c:pt idx="11">
                  <c:v>1.8166451122455518</c:v>
                </c:pt>
                <c:pt idx="12">
                  <c:v>2.8798197103490075</c:v>
                </c:pt>
                <c:pt idx="13">
                  <c:v>3.3231757557447006</c:v>
                </c:pt>
                <c:pt idx="14">
                  <c:v>2.3808865983330207</c:v>
                </c:pt>
                <c:pt idx="15">
                  <c:v>0.99043410877672766</c:v>
                </c:pt>
                <c:pt idx="16">
                  <c:v>1.1831104582010532</c:v>
                </c:pt>
                <c:pt idx="17">
                  <c:v>1.0617932151732123</c:v>
                </c:pt>
                <c:pt idx="18">
                  <c:v>1.0546616902747052</c:v>
                </c:pt>
                <c:pt idx="19">
                  <c:v>1.7765858401932455</c:v>
                </c:pt>
                <c:pt idx="20">
                  <c:v>2.064540866676623</c:v>
                </c:pt>
                <c:pt idx="21">
                  <c:v>1.6499970156676369</c:v>
                </c:pt>
                <c:pt idx="22">
                  <c:v>2.2483060560397394</c:v>
                </c:pt>
                <c:pt idx="23">
                  <c:v>2.4640461157058757</c:v>
                </c:pt>
                <c:pt idx="24">
                  <c:v>1.9855634353397988</c:v>
                </c:pt>
                <c:pt idx="25">
                  <c:v>1.7533682107625292</c:v>
                </c:pt>
              </c:numCache>
            </c:numRef>
          </c:val>
          <c:smooth val="0"/>
          <c:extLst>
            <c:ext xmlns:c16="http://schemas.microsoft.com/office/drawing/2014/chart" uri="{C3380CC4-5D6E-409C-BE32-E72D297353CC}">
              <c16:uniqueId val="{00000003-3C3D-44FF-8156-6DCD53FC77E5}"/>
            </c:ext>
          </c:extLst>
        </c:ser>
        <c:dLbls>
          <c:showLegendKey val="0"/>
          <c:showVal val="0"/>
          <c:showCatName val="0"/>
          <c:showSerName val="0"/>
          <c:showPercent val="0"/>
          <c:showBubbleSize val="0"/>
        </c:dLbls>
        <c:marker val="1"/>
        <c:smooth val="0"/>
        <c:axId val="225919360"/>
        <c:axId val="225921280"/>
      </c:lineChart>
      <c:catAx>
        <c:axId val="225919360"/>
        <c:scaling>
          <c:orientation val="minMax"/>
        </c:scaling>
        <c:delete val="0"/>
        <c:axPos val="b"/>
        <c:majorGridlines>
          <c:spPr>
            <a:ln w="3175">
              <a:solidFill>
                <a:srgbClr val="000000"/>
              </a:solidFill>
              <a:prstDash val="solid"/>
            </a:ln>
          </c:spPr>
        </c:majorGridlines>
        <c:numFmt formatCode="0" sourceLinked="1"/>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25921280"/>
        <c:crosses val="autoZero"/>
        <c:auto val="1"/>
        <c:lblAlgn val="ctr"/>
        <c:lblOffset val="100"/>
        <c:tickLblSkip val="2"/>
        <c:tickMarkSkip val="1"/>
        <c:noMultiLvlLbl val="0"/>
      </c:catAx>
      <c:valAx>
        <c:axId val="225921280"/>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25919360"/>
        <c:crosses val="autoZero"/>
        <c:crossBetween val="midCat"/>
      </c:valAx>
      <c:spPr>
        <a:noFill/>
        <a:ln w="12700">
          <a:solidFill>
            <a:srgbClr val="808080"/>
          </a:solidFill>
          <a:prstDash val="solid"/>
        </a:ln>
      </c:spPr>
    </c:plotArea>
    <c:legend>
      <c:legendPos val="r"/>
      <c:layout>
        <c:manualLayout>
          <c:xMode val="edge"/>
          <c:yMode val="edge"/>
          <c:x val="2.3214346438196951E-2"/>
          <c:y val="0.86147436529198007"/>
          <c:w val="0.93214529544144664"/>
          <c:h val="9.3073863586821987E-2"/>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Government consumption expenditure (VOL &amp; VAL)</a:t>
            </a:r>
          </a:p>
        </c:rich>
      </c:tx>
      <c:layout>
        <c:manualLayout>
          <c:xMode val="edge"/>
          <c:yMode val="edge"/>
          <c:x val="0.13169666291713536"/>
          <c:y val="3.3613445378151259E-2"/>
        </c:manualLayout>
      </c:layout>
      <c:overlay val="0"/>
      <c:spPr>
        <a:noFill/>
        <a:ln w="25400">
          <a:noFill/>
        </a:ln>
      </c:spPr>
    </c:title>
    <c:autoTitleDeleted val="0"/>
    <c:plotArea>
      <c:layout>
        <c:manualLayout>
          <c:layoutTarget val="inner"/>
          <c:xMode val="edge"/>
          <c:yMode val="edge"/>
          <c:x val="9.1517956889514251E-2"/>
          <c:y val="0.17366994285589235"/>
          <c:w val="0.84151877432553357"/>
          <c:h val="0.61344705621678108"/>
        </c:manualLayout>
      </c:layout>
      <c:lineChart>
        <c:grouping val="standard"/>
        <c:varyColors val="0"/>
        <c:ser>
          <c:idx val="0"/>
          <c:order val="0"/>
          <c:tx>
            <c:v>VAL GVT Individual consumption expenditure (P.31)</c:v>
          </c:tx>
          <c:spPr>
            <a:ln w="25400">
              <a:solidFill>
                <a:srgbClr val="FF0000"/>
              </a:solidFill>
              <a:prstDash val="solid"/>
            </a:ln>
          </c:spPr>
          <c:marker>
            <c:symbol val="diamond"/>
            <c:size val="5"/>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'VVP2'!$G$197:$AG$197</c:f>
              <c:numCache>
                <c:formatCode>0.0</c:formatCode>
                <c:ptCount val="27"/>
                <c:pt idx="1">
                  <c:v>5.145467516351232</c:v>
                </c:pt>
                <c:pt idx="2">
                  <c:v>1.9168709732596101</c:v>
                </c:pt>
                <c:pt idx="3">
                  <c:v>6.4830043859648967</c:v>
                </c:pt>
                <c:pt idx="4">
                  <c:v>4.4002721438684889</c:v>
                </c:pt>
                <c:pt idx="5">
                  <c:v>1.9090058173473645</c:v>
                </c:pt>
                <c:pt idx="6">
                  <c:v>8.6670008073695293</c:v>
                </c:pt>
                <c:pt idx="7">
                  <c:v>7.5256406178286994</c:v>
                </c:pt>
                <c:pt idx="8">
                  <c:v>5.6332462746490064</c:v>
                </c:pt>
                <c:pt idx="9">
                  <c:v>1.6835266041612007</c:v>
                </c:pt>
                <c:pt idx="10">
                  <c:v>3.527312573403707</c:v>
                </c:pt>
                <c:pt idx="11">
                  <c:v>5.4772550636675632</c:v>
                </c:pt>
                <c:pt idx="12">
                  <c:v>4.6516404148643664</c:v>
                </c:pt>
                <c:pt idx="13">
                  <c:v>4.4207797305183538</c:v>
                </c:pt>
                <c:pt idx="14">
                  <c:v>2.5205539976226987</c:v>
                </c:pt>
                <c:pt idx="15">
                  <c:v>2.9170459040751773</c:v>
                </c:pt>
                <c:pt idx="16">
                  <c:v>3.6737385195671379</c:v>
                </c:pt>
                <c:pt idx="17">
                  <c:v>3.0358063281257008</c:v>
                </c:pt>
                <c:pt idx="18">
                  <c:v>3.7853777552193435</c:v>
                </c:pt>
                <c:pt idx="19">
                  <c:v>4.3295900419429101</c:v>
                </c:pt>
                <c:pt idx="20">
                  <c:v>6.2886352829291559</c:v>
                </c:pt>
                <c:pt idx="21">
                  <c:v>7.7292045835832823</c:v>
                </c:pt>
                <c:pt idx="22">
                  <c:v>4.0040253792374525</c:v>
                </c:pt>
                <c:pt idx="23" formatCode="0.00">
                  <c:v>4.7796580497095391</c:v>
                </c:pt>
                <c:pt idx="24" formatCode="0.00">
                  <c:v>3.9103933860214539</c:v>
                </c:pt>
                <c:pt idx="25" formatCode="0.00">
                  <c:v>3.8533175013108831</c:v>
                </c:pt>
              </c:numCache>
            </c:numRef>
          </c:val>
          <c:smooth val="0"/>
          <c:extLst>
            <c:ext xmlns:c16="http://schemas.microsoft.com/office/drawing/2014/chart" uri="{C3380CC4-5D6E-409C-BE32-E72D297353CC}">
              <c16:uniqueId val="{00000000-BF31-41EE-9173-81389222D888}"/>
            </c:ext>
          </c:extLst>
        </c:ser>
        <c:ser>
          <c:idx val="1"/>
          <c:order val="1"/>
          <c:tx>
            <c:v>VAL GVT Collective consumption expenditure (P.32)</c:v>
          </c:tx>
          <c:spPr>
            <a:ln w="25400">
              <a:solidFill>
                <a:srgbClr val="0000FF"/>
              </a:solidFill>
              <a:prstDash val="solid"/>
            </a:ln>
          </c:spPr>
          <c:marker>
            <c:symbol val="circle"/>
            <c:size val="5"/>
            <c:spPr>
              <a:solidFill>
                <a:srgbClr val="FFFFFF"/>
              </a:solidFill>
              <a:ln>
                <a:solidFill>
                  <a:srgbClr val="0000FF"/>
                </a:solidFill>
                <a:prstDash val="solid"/>
              </a:ln>
            </c:spPr>
          </c:marker>
          <c:val>
            <c:numRef>
              <c:f>'VVP2'!$G$198:$AG$198</c:f>
              <c:numCache>
                <c:formatCode>0.0</c:formatCode>
                <c:ptCount val="27"/>
                <c:pt idx="1">
                  <c:v>1.5923631839104724</c:v>
                </c:pt>
                <c:pt idx="2">
                  <c:v>4.1320046312717684</c:v>
                </c:pt>
                <c:pt idx="3">
                  <c:v>2.9712133579274269</c:v>
                </c:pt>
                <c:pt idx="4">
                  <c:v>7.130373995106587</c:v>
                </c:pt>
                <c:pt idx="5">
                  <c:v>4.3200885574458336</c:v>
                </c:pt>
                <c:pt idx="6">
                  <c:v>-3.6513920303817282</c:v>
                </c:pt>
                <c:pt idx="7">
                  <c:v>5.1571729162922963</c:v>
                </c:pt>
                <c:pt idx="8">
                  <c:v>3.9175587330636086</c:v>
                </c:pt>
                <c:pt idx="9">
                  <c:v>2.2172596156396329</c:v>
                </c:pt>
                <c:pt idx="10">
                  <c:v>1.9159215572311483</c:v>
                </c:pt>
                <c:pt idx="11">
                  <c:v>5.137148472705233</c:v>
                </c:pt>
                <c:pt idx="12">
                  <c:v>2.946503811470258</c:v>
                </c:pt>
                <c:pt idx="13">
                  <c:v>6.6925096205413759</c:v>
                </c:pt>
                <c:pt idx="14">
                  <c:v>5.2532717203428669</c:v>
                </c:pt>
                <c:pt idx="15">
                  <c:v>3.2106440558678839</c:v>
                </c:pt>
                <c:pt idx="16">
                  <c:v>4.4380403458213147</c:v>
                </c:pt>
                <c:pt idx="17">
                  <c:v>5.421602462456887</c:v>
                </c:pt>
                <c:pt idx="18">
                  <c:v>4.3652812493087723</c:v>
                </c:pt>
                <c:pt idx="19">
                  <c:v>2.8817181511506584</c:v>
                </c:pt>
                <c:pt idx="20">
                  <c:v>2.9421156176932195</c:v>
                </c:pt>
                <c:pt idx="21">
                  <c:v>2.029203994369988</c:v>
                </c:pt>
                <c:pt idx="22">
                  <c:v>2.6746778422129802</c:v>
                </c:pt>
                <c:pt idx="23" formatCode="0.00">
                  <c:v>3.7</c:v>
                </c:pt>
                <c:pt idx="24" formatCode="0.00">
                  <c:v>3.2</c:v>
                </c:pt>
                <c:pt idx="25" formatCode="0.00">
                  <c:v>2.7</c:v>
                </c:pt>
              </c:numCache>
            </c:numRef>
          </c:val>
          <c:smooth val="0"/>
          <c:extLst>
            <c:ext xmlns:c16="http://schemas.microsoft.com/office/drawing/2014/chart" uri="{C3380CC4-5D6E-409C-BE32-E72D297353CC}">
              <c16:uniqueId val="{00000001-BF31-41EE-9173-81389222D888}"/>
            </c:ext>
          </c:extLst>
        </c:ser>
        <c:dLbls>
          <c:showLegendKey val="0"/>
          <c:showVal val="0"/>
          <c:showCatName val="0"/>
          <c:showSerName val="0"/>
          <c:showPercent val="0"/>
          <c:showBubbleSize val="0"/>
        </c:dLbls>
        <c:marker val="1"/>
        <c:smooth val="0"/>
        <c:axId val="225938432"/>
        <c:axId val="225965184"/>
      </c:lineChart>
      <c:catAx>
        <c:axId val="225938432"/>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25965184"/>
        <c:crosses val="autoZero"/>
        <c:auto val="1"/>
        <c:lblAlgn val="ctr"/>
        <c:lblOffset val="100"/>
        <c:tickLblSkip val="2"/>
        <c:tickMarkSkip val="1"/>
        <c:noMultiLvlLbl val="0"/>
      </c:catAx>
      <c:valAx>
        <c:axId val="225965184"/>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25938432"/>
        <c:crosses val="autoZero"/>
        <c:crossBetween val="midCat"/>
      </c:valAx>
      <c:spPr>
        <a:noFill/>
        <a:ln w="12700">
          <a:solidFill>
            <a:srgbClr val="808080"/>
          </a:solidFill>
          <a:prstDash val="solid"/>
        </a:ln>
      </c:spPr>
    </c:plotArea>
    <c:legend>
      <c:legendPos val="r"/>
      <c:layout>
        <c:manualLayout>
          <c:xMode val="edge"/>
          <c:yMode val="edge"/>
          <c:x val="0.11071457532063161"/>
          <c:y val="0.88961297521357752"/>
          <c:w val="0.78214490307155882"/>
          <c:h val="9.3073863586821987E-2"/>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Investment - total and government (VOL)</a:t>
            </a:r>
          </a:p>
        </c:rich>
      </c:tx>
      <c:layout>
        <c:manualLayout>
          <c:xMode val="edge"/>
          <c:yMode val="edge"/>
          <c:x val="0.20982166291713536"/>
          <c:y val="3.3519553072625698E-2"/>
        </c:manualLayout>
      </c:layout>
      <c:overlay val="0"/>
      <c:spPr>
        <a:noFill/>
        <a:ln w="25400">
          <a:noFill/>
        </a:ln>
      </c:spPr>
    </c:title>
    <c:autoTitleDeleted val="0"/>
    <c:plotArea>
      <c:layout>
        <c:manualLayout>
          <c:layoutTarget val="inner"/>
          <c:xMode val="edge"/>
          <c:yMode val="edge"/>
          <c:x val="0.10044653804946686"/>
          <c:y val="0.17597789365001643"/>
          <c:w val="0.83259019316558092"/>
          <c:h val="0.56145327974052861"/>
        </c:manualLayout>
      </c:layout>
      <c:lineChart>
        <c:grouping val="standard"/>
        <c:varyColors val="0"/>
        <c:ser>
          <c:idx val="1"/>
          <c:order val="0"/>
          <c:tx>
            <c:strRef>
              <c:f>'VVP2'!$D$48:$E$48</c:f>
              <c:strCache>
                <c:ptCount val="2"/>
                <c:pt idx="0">
                  <c:v>GVT</c:v>
                </c:pt>
                <c:pt idx="1">
                  <c:v>Gross fixed capital formation (P.51)</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'VVP2'!$G$48:$AG$48</c:f>
              <c:numCache>
                <c:formatCode>0.0</c:formatCode>
                <c:ptCount val="27"/>
                <c:pt idx="1">
                  <c:v>-0.34518295326937398</c:v>
                </c:pt>
                <c:pt idx="2">
                  <c:v>-8.3770684998772502</c:v>
                </c:pt>
                <c:pt idx="3">
                  <c:v>3.7225860202629413</c:v>
                </c:pt>
                <c:pt idx="4">
                  <c:v>3.8215006581834077</c:v>
                </c:pt>
                <c:pt idx="5">
                  <c:v>-7.6988157894737004</c:v>
                </c:pt>
                <c:pt idx="6">
                  <c:v>6.2212014414577688</c:v>
                </c:pt>
                <c:pt idx="7">
                  <c:v>6.3467519022723851</c:v>
                </c:pt>
                <c:pt idx="8">
                  <c:v>-0.6186362519607691</c:v>
                </c:pt>
                <c:pt idx="9">
                  <c:v>0.41772985755306191</c:v>
                </c:pt>
                <c:pt idx="10">
                  <c:v>0.97613460689045528</c:v>
                </c:pt>
                <c:pt idx="11">
                  <c:v>5.2520262536661644</c:v>
                </c:pt>
                <c:pt idx="12">
                  <c:v>2.7596514745308331</c:v>
                </c:pt>
                <c:pt idx="13">
                  <c:v>1.1168210758784713</c:v>
                </c:pt>
                <c:pt idx="14">
                  <c:v>-0.10503894499158672</c:v>
                </c:pt>
                <c:pt idx="15">
                  <c:v>7.4084215087935057</c:v>
                </c:pt>
                <c:pt idx="16">
                  <c:v>-0.17357544940391767</c:v>
                </c:pt>
                <c:pt idx="17">
                  <c:v>1.7547140204513978</c:v>
                </c:pt>
                <c:pt idx="18">
                  <c:v>-0.25857142857141913</c:v>
                </c:pt>
                <c:pt idx="19">
                  <c:v>1.6592517790665173</c:v>
                </c:pt>
                <c:pt idx="20">
                  <c:v>0.33704694601790486</c:v>
                </c:pt>
                <c:pt idx="21">
                  <c:v>8.0099480443807778</c:v>
                </c:pt>
                <c:pt idx="22">
                  <c:v>5.4327911883441882</c:v>
                </c:pt>
                <c:pt idx="23" formatCode="0.00">
                  <c:v>4.0999999999999996</c:v>
                </c:pt>
                <c:pt idx="24" formatCode="0.00">
                  <c:v>3.2</c:v>
                </c:pt>
                <c:pt idx="25" formatCode="0.00">
                  <c:v>2.5</c:v>
                </c:pt>
              </c:numCache>
            </c:numRef>
          </c:val>
          <c:smooth val="0"/>
          <c:extLst>
            <c:ext xmlns:c16="http://schemas.microsoft.com/office/drawing/2014/chart" uri="{C3380CC4-5D6E-409C-BE32-E72D297353CC}">
              <c16:uniqueId val="{00000000-2128-434B-995D-50D39E2D8870}"/>
            </c:ext>
          </c:extLst>
        </c:ser>
        <c:ser>
          <c:idx val="0"/>
          <c:order val="1"/>
          <c:tx>
            <c:strRef>
              <c:f>'VVP2'!$E$42</c:f>
              <c:strCache>
                <c:ptCount val="1"/>
                <c:pt idx="0">
                  <c:v>Gross fixed capital formation (P.51)</c:v>
                </c:pt>
              </c:strCache>
            </c:strRef>
          </c:tx>
          <c:spPr>
            <a:ln w="25400">
              <a:solidFill>
                <a:srgbClr val="FF0000"/>
              </a:solidFill>
              <a:prstDash val="solid"/>
            </a:ln>
          </c:spPr>
          <c:marker>
            <c:symbol val="diamond"/>
            <c:size val="5"/>
            <c:spPr>
              <a:solidFill>
                <a:srgbClr val="FFFFFF"/>
              </a:solidFill>
              <a:ln>
                <a:solidFill>
                  <a:srgbClr val="FF0000"/>
                </a:solidFill>
                <a:prstDash val="solid"/>
              </a:ln>
            </c:spPr>
          </c:marker>
          <c:val>
            <c:numRef>
              <c:f>'VVP2'!$G$42:$AG$42</c:f>
              <c:numCache>
                <c:formatCode>0.0</c:formatCode>
                <c:ptCount val="27"/>
                <c:pt idx="1">
                  <c:v>5.2145700905189551</c:v>
                </c:pt>
                <c:pt idx="2">
                  <c:v>1.4309449204905622</c:v>
                </c:pt>
                <c:pt idx="3">
                  <c:v>7.8839351635803023</c:v>
                </c:pt>
                <c:pt idx="4">
                  <c:v>6.8000910017954608</c:v>
                </c:pt>
                <c:pt idx="5">
                  <c:v>6.535996935921462</c:v>
                </c:pt>
                <c:pt idx="6">
                  <c:v>2.5100784083548433</c:v>
                </c:pt>
                <c:pt idx="7">
                  <c:v>-2.2231604070815481</c:v>
                </c:pt>
                <c:pt idx="8">
                  <c:v>2.3398653945408965</c:v>
                </c:pt>
                <c:pt idx="9">
                  <c:v>5.7570718089645423</c:v>
                </c:pt>
                <c:pt idx="10">
                  <c:v>5.0461475655452226</c:v>
                </c:pt>
                <c:pt idx="11">
                  <c:v>9.3698695618881889</c:v>
                </c:pt>
                <c:pt idx="12">
                  <c:v>8.0946626795717513</c:v>
                </c:pt>
                <c:pt idx="13">
                  <c:v>0.5539798924269812</c:v>
                </c:pt>
                <c:pt idx="14">
                  <c:v>-13.375837621300779</c:v>
                </c:pt>
                <c:pt idx="15">
                  <c:v>6.0335529121229747</c:v>
                </c:pt>
                <c:pt idx="16">
                  <c:v>5.7033418239333278</c:v>
                </c:pt>
                <c:pt idx="17">
                  <c:v>-0.28349406927131726</c:v>
                </c:pt>
                <c:pt idx="18">
                  <c:v>0.62269927052218677</c:v>
                </c:pt>
                <c:pt idx="19">
                  <c:v>5.4381477690142122</c:v>
                </c:pt>
                <c:pt idx="20">
                  <c:v>6.6509106990126021</c:v>
                </c:pt>
                <c:pt idx="21">
                  <c:v>4.1596180158439244</c:v>
                </c:pt>
                <c:pt idx="22">
                  <c:v>6.0546057350353344</c:v>
                </c:pt>
                <c:pt idx="23" formatCode="0.00">
                  <c:v>3.5391684236044885</c:v>
                </c:pt>
                <c:pt idx="24" formatCode="0.00">
                  <c:v>1.9828306477457813</c:v>
                </c:pt>
                <c:pt idx="25" formatCode="0.00">
                  <c:v>2.1431885541373763</c:v>
                </c:pt>
              </c:numCache>
            </c:numRef>
          </c:val>
          <c:smooth val="0"/>
          <c:extLst>
            <c:ext xmlns:c16="http://schemas.microsoft.com/office/drawing/2014/chart" uri="{C3380CC4-5D6E-409C-BE32-E72D297353CC}">
              <c16:uniqueId val="{00000001-2128-434B-995D-50D39E2D8870}"/>
            </c:ext>
          </c:extLst>
        </c:ser>
        <c:dLbls>
          <c:showLegendKey val="0"/>
          <c:showVal val="0"/>
          <c:showCatName val="0"/>
          <c:showSerName val="0"/>
          <c:showPercent val="0"/>
          <c:showBubbleSize val="0"/>
        </c:dLbls>
        <c:marker val="1"/>
        <c:smooth val="0"/>
        <c:axId val="225998336"/>
        <c:axId val="226000256"/>
      </c:lineChart>
      <c:catAx>
        <c:axId val="225998336"/>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26000256"/>
        <c:crosses val="autoZero"/>
        <c:auto val="1"/>
        <c:lblAlgn val="ctr"/>
        <c:lblOffset val="100"/>
        <c:tickLblSkip val="2"/>
        <c:tickMarkSkip val="1"/>
        <c:noMultiLvlLbl val="0"/>
      </c:catAx>
      <c:valAx>
        <c:axId val="226000256"/>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25998336"/>
        <c:crosses val="autoZero"/>
        <c:crossBetween val="midCat"/>
      </c:valAx>
      <c:spPr>
        <a:noFill/>
        <a:ln w="12700">
          <a:solidFill>
            <a:srgbClr val="808080"/>
          </a:solidFill>
          <a:prstDash val="solid"/>
        </a:ln>
      </c:spPr>
    </c:plotArea>
    <c:legend>
      <c:legendPos val="r"/>
      <c:layout>
        <c:manualLayout>
          <c:xMode val="edge"/>
          <c:yMode val="edge"/>
          <c:x val="0.1928576473327131"/>
          <c:y val="0.85529450816173347"/>
          <c:w val="0.60714444530668943"/>
          <c:h val="0.12095073852792192"/>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Investment by product (VOL)</a:t>
            </a:r>
          </a:p>
        </c:rich>
      </c:tx>
      <c:layout>
        <c:manualLayout>
          <c:xMode val="edge"/>
          <c:yMode val="edge"/>
          <c:x val="0.29687523434570678"/>
          <c:y val="3.3707865168539325E-2"/>
        </c:manualLayout>
      </c:layout>
      <c:overlay val="0"/>
      <c:spPr>
        <a:noFill/>
        <a:ln w="25400">
          <a:noFill/>
        </a:ln>
      </c:spPr>
    </c:title>
    <c:autoTitleDeleted val="0"/>
    <c:plotArea>
      <c:layout>
        <c:manualLayout>
          <c:layoutTarget val="inner"/>
          <c:xMode val="edge"/>
          <c:yMode val="edge"/>
          <c:x val="0.10044653804946686"/>
          <c:y val="0.17696629213483145"/>
          <c:w val="0.83259019316558092"/>
          <c:h val="0.4410112359550562"/>
        </c:manualLayout>
      </c:layout>
      <c:lineChart>
        <c:grouping val="standard"/>
        <c:varyColors val="0"/>
        <c:ser>
          <c:idx val="0"/>
          <c:order val="0"/>
          <c:tx>
            <c:strRef>
              <c:f>'VVP2'!$D$35:$E$35</c:f>
              <c:strCache>
                <c:ptCount val="2"/>
                <c:pt idx="0">
                  <c:v>HH+E</c:v>
                </c:pt>
                <c:pt idx="1">
                  <c:v>Non-residential construction and civil engineering</c:v>
                </c:pt>
              </c:strCache>
            </c:strRef>
          </c:tx>
          <c:spPr>
            <a:ln w="25400">
              <a:solidFill>
                <a:srgbClr val="FF0000"/>
              </a:solidFill>
              <a:prstDash val="solid"/>
            </a:ln>
          </c:spPr>
          <c:marker>
            <c:symbol val="diamond"/>
            <c:size val="5"/>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'VVP2'!$G$35:$AG$35</c:f>
              <c:numCache>
                <c:formatCode>0.0</c:formatCode>
                <c:ptCount val="27"/>
                <c:pt idx="1">
                  <c:v>-1.1592919903394727</c:v>
                </c:pt>
                <c:pt idx="2">
                  <c:v>-5.3100840763827151</c:v>
                </c:pt>
                <c:pt idx="3">
                  <c:v>2.4328035843504736</c:v>
                </c:pt>
                <c:pt idx="4">
                  <c:v>-1.5115558909926552</c:v>
                </c:pt>
                <c:pt idx="5">
                  <c:v>3.92580230480295</c:v>
                </c:pt>
                <c:pt idx="6">
                  <c:v>6.976979735356581</c:v>
                </c:pt>
                <c:pt idx="7">
                  <c:v>1.31943954910414</c:v>
                </c:pt>
                <c:pt idx="8">
                  <c:v>-1.0326830335346759</c:v>
                </c:pt>
                <c:pt idx="9">
                  <c:v>5.2308826250583751</c:v>
                </c:pt>
                <c:pt idx="10">
                  <c:v>-2.8315892183169655</c:v>
                </c:pt>
                <c:pt idx="11">
                  <c:v>14.324923395448529</c:v>
                </c:pt>
                <c:pt idx="12">
                  <c:v>7.7110893644429135</c:v>
                </c:pt>
                <c:pt idx="13">
                  <c:v>5.4715851907461088</c:v>
                </c:pt>
                <c:pt idx="14">
                  <c:v>-8.651411613969529</c:v>
                </c:pt>
                <c:pt idx="15">
                  <c:v>-1.9798768704908376</c:v>
                </c:pt>
                <c:pt idx="16">
                  <c:v>-3.7068162218160228</c:v>
                </c:pt>
                <c:pt idx="17">
                  <c:v>8.6041168947290192</c:v>
                </c:pt>
                <c:pt idx="18">
                  <c:v>-2.654124722109974</c:v>
                </c:pt>
                <c:pt idx="19">
                  <c:v>5.3695120523093554</c:v>
                </c:pt>
                <c:pt idx="20">
                  <c:v>1.6851978785143551</c:v>
                </c:pt>
                <c:pt idx="21">
                  <c:v>4.8246608328927909</c:v>
                </c:pt>
                <c:pt idx="22">
                  <c:v>4.7155909616337865</c:v>
                </c:pt>
                <c:pt idx="23" formatCode="0.00">
                  <c:v>3.55</c:v>
                </c:pt>
                <c:pt idx="24" formatCode="0.00">
                  <c:v>3.61</c:v>
                </c:pt>
                <c:pt idx="25" formatCode="0.00">
                  <c:v>2.88</c:v>
                </c:pt>
              </c:numCache>
            </c:numRef>
          </c:val>
          <c:smooth val="0"/>
          <c:extLst>
            <c:ext xmlns:c16="http://schemas.microsoft.com/office/drawing/2014/chart" uri="{C3380CC4-5D6E-409C-BE32-E72D297353CC}">
              <c16:uniqueId val="{00000000-A776-4179-A263-BD78DB1A4C45}"/>
            </c:ext>
          </c:extLst>
        </c:ser>
        <c:ser>
          <c:idx val="1"/>
          <c:order val="1"/>
          <c:tx>
            <c:strRef>
              <c:f>'VVP2'!$D$36:$E$36</c:f>
              <c:strCache>
                <c:ptCount val="2"/>
                <c:pt idx="0">
                  <c:v>HH+E</c:v>
                </c:pt>
                <c:pt idx="1">
                  <c:v>Dwellings</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'VVP2'!$G$36:$AG$36</c:f>
              <c:numCache>
                <c:formatCode>0.0</c:formatCode>
                <c:ptCount val="27"/>
                <c:pt idx="1">
                  <c:v>5.1609030120967958</c:v>
                </c:pt>
                <c:pt idx="2">
                  <c:v>-6.3099929795869647</c:v>
                </c:pt>
                <c:pt idx="3">
                  <c:v>7.9057249155626286</c:v>
                </c:pt>
                <c:pt idx="4">
                  <c:v>11.233975753923531</c:v>
                </c:pt>
                <c:pt idx="5">
                  <c:v>13.948320913940314</c:v>
                </c:pt>
                <c:pt idx="6">
                  <c:v>7.0196122396152916</c:v>
                </c:pt>
                <c:pt idx="7">
                  <c:v>10.809079146027955</c:v>
                </c:pt>
                <c:pt idx="8">
                  <c:v>5.16806033483872</c:v>
                </c:pt>
                <c:pt idx="9">
                  <c:v>12.988919997168624</c:v>
                </c:pt>
                <c:pt idx="10">
                  <c:v>9.8972537235049387</c:v>
                </c:pt>
                <c:pt idx="11">
                  <c:v>14.548667977836182</c:v>
                </c:pt>
                <c:pt idx="12">
                  <c:v>6.7811399023255614</c:v>
                </c:pt>
                <c:pt idx="13">
                  <c:v>-13.231017433193081</c:v>
                </c:pt>
                <c:pt idx="14">
                  <c:v>-19.045534131849951</c:v>
                </c:pt>
                <c:pt idx="15">
                  <c:v>12.713057429028506</c:v>
                </c:pt>
                <c:pt idx="16">
                  <c:v>8.0449777694282751</c:v>
                </c:pt>
                <c:pt idx="17">
                  <c:v>-11.84465334324617</c:v>
                </c:pt>
                <c:pt idx="18">
                  <c:v>0.86111586171291332</c:v>
                </c:pt>
                <c:pt idx="19">
                  <c:v>15.6465949581311</c:v>
                </c:pt>
                <c:pt idx="20">
                  <c:v>17.959171738963462</c:v>
                </c:pt>
                <c:pt idx="21">
                  <c:v>10.898314575702251</c:v>
                </c:pt>
                <c:pt idx="22">
                  <c:v>11.561836125889812</c:v>
                </c:pt>
                <c:pt idx="23" formatCode="0.00">
                  <c:v>1.71</c:v>
                </c:pt>
                <c:pt idx="24" formatCode="0.00">
                  <c:v>-4.88</c:v>
                </c:pt>
                <c:pt idx="25" formatCode="0.00">
                  <c:v>-1.55</c:v>
                </c:pt>
              </c:numCache>
            </c:numRef>
          </c:val>
          <c:smooth val="0"/>
          <c:extLst>
            <c:ext xmlns:c16="http://schemas.microsoft.com/office/drawing/2014/chart" uri="{C3380CC4-5D6E-409C-BE32-E72D297353CC}">
              <c16:uniqueId val="{00000001-A776-4179-A263-BD78DB1A4C45}"/>
            </c:ext>
          </c:extLst>
        </c:ser>
        <c:ser>
          <c:idx val="2"/>
          <c:order val="2"/>
          <c:tx>
            <c:strRef>
              <c:f>'VVP2'!$D$40:$E$40</c:f>
              <c:strCache>
                <c:ptCount val="2"/>
                <c:pt idx="0">
                  <c:v>HH+E</c:v>
                </c:pt>
                <c:pt idx="1">
                  <c:v>Equipment</c:v>
                </c:pt>
              </c:strCache>
            </c:strRef>
          </c:tx>
          <c:spPr>
            <a:ln w="25400">
              <a:solidFill>
                <a:srgbClr val="008000"/>
              </a:solidFill>
              <a:prstDash val="solid"/>
            </a:ln>
          </c:spPr>
          <c:marker>
            <c:symbol val="triangle"/>
            <c:size val="5"/>
            <c:spPr>
              <a:solidFill>
                <a:srgbClr val="FFFFFF"/>
              </a:solidFill>
              <a:ln>
                <a:solidFill>
                  <a:srgbClr val="008000"/>
                </a:solidFill>
                <a:prstDash val="solid"/>
              </a:ln>
            </c:spPr>
          </c:marker>
          <c:val>
            <c:numRef>
              <c:f>'VVP2'!$G$40:$AG$40</c:f>
              <c:numCache>
                <c:formatCode>0.0</c:formatCode>
                <c:ptCount val="27"/>
                <c:pt idx="1">
                  <c:v>12.540643397318107</c:v>
                </c:pt>
                <c:pt idx="2">
                  <c:v>3.7769246382375332</c:v>
                </c:pt>
                <c:pt idx="3">
                  <c:v>9.9728597414905362</c:v>
                </c:pt>
                <c:pt idx="4">
                  <c:v>11.913105873038244</c:v>
                </c:pt>
                <c:pt idx="5">
                  <c:v>2.2239089667472456</c:v>
                </c:pt>
                <c:pt idx="6">
                  <c:v>-0.87857569222666854</c:v>
                </c:pt>
                <c:pt idx="7">
                  <c:v>-3.9965262848736249</c:v>
                </c:pt>
                <c:pt idx="8">
                  <c:v>5.2710246344558565</c:v>
                </c:pt>
                <c:pt idx="9">
                  <c:v>3.6122920822580618</c:v>
                </c:pt>
                <c:pt idx="10">
                  <c:v>11.131667390450151</c:v>
                </c:pt>
                <c:pt idx="11">
                  <c:v>8.7664249181694345</c:v>
                </c:pt>
                <c:pt idx="12">
                  <c:v>11.869830162672645</c:v>
                </c:pt>
                <c:pt idx="13">
                  <c:v>4.1807315782653065</c:v>
                </c:pt>
                <c:pt idx="14">
                  <c:v>-21.619524388648149</c:v>
                </c:pt>
                <c:pt idx="15">
                  <c:v>10.818488631783275</c:v>
                </c:pt>
                <c:pt idx="16">
                  <c:v>12.423004648402735</c:v>
                </c:pt>
                <c:pt idx="17">
                  <c:v>2.8001572961945387</c:v>
                </c:pt>
                <c:pt idx="18">
                  <c:v>6.3871229795209317E-2</c:v>
                </c:pt>
                <c:pt idx="19">
                  <c:v>-1.1404028957867629</c:v>
                </c:pt>
                <c:pt idx="20">
                  <c:v>5.0835743442426695</c:v>
                </c:pt>
                <c:pt idx="21">
                  <c:v>5.2819707262130366</c:v>
                </c:pt>
                <c:pt idx="22">
                  <c:v>5.7518402425732251</c:v>
                </c:pt>
                <c:pt idx="23" formatCode="0.00">
                  <c:v>4.7</c:v>
                </c:pt>
                <c:pt idx="24" formatCode="0.00">
                  <c:v>4.25</c:v>
                </c:pt>
                <c:pt idx="25" formatCode="0.00">
                  <c:v>3.55</c:v>
                </c:pt>
              </c:numCache>
            </c:numRef>
          </c:val>
          <c:smooth val="0"/>
          <c:extLst>
            <c:ext xmlns:c16="http://schemas.microsoft.com/office/drawing/2014/chart" uri="{C3380CC4-5D6E-409C-BE32-E72D297353CC}">
              <c16:uniqueId val="{00000002-A776-4179-A263-BD78DB1A4C45}"/>
            </c:ext>
          </c:extLst>
        </c:ser>
        <c:ser>
          <c:idx val="3"/>
          <c:order val="3"/>
          <c:tx>
            <c:strRef>
              <c:f>'VVP2'!$D$41:$E$41</c:f>
              <c:strCache>
                <c:ptCount val="2"/>
                <c:pt idx="0">
                  <c:v>HH+E</c:v>
                </c:pt>
                <c:pt idx="1">
                  <c:v>Others</c:v>
                </c:pt>
              </c:strCache>
            </c:strRef>
          </c:tx>
          <c:spPr>
            <a:ln w="25400">
              <a:solidFill>
                <a:srgbClr val="993300"/>
              </a:solidFill>
              <a:prstDash val="solid"/>
            </a:ln>
          </c:spPr>
          <c:marker>
            <c:symbol val="square"/>
            <c:size val="5"/>
            <c:spPr>
              <a:solidFill>
                <a:srgbClr val="FFFFFF"/>
              </a:solidFill>
              <a:ln>
                <a:solidFill>
                  <a:srgbClr val="993300"/>
                </a:solidFill>
                <a:prstDash val="solid"/>
              </a:ln>
            </c:spPr>
          </c:marker>
          <c:val>
            <c:numRef>
              <c:f>'VVP2'!$G$41:$AG$41</c:f>
              <c:numCache>
                <c:formatCode>0.0</c:formatCode>
                <c:ptCount val="27"/>
                <c:pt idx="1">
                  <c:v>-9.0296472557704899E-2</c:v>
                </c:pt>
                <c:pt idx="2">
                  <c:v>6.6604787760176087</c:v>
                </c:pt>
                <c:pt idx="3">
                  <c:v>9.136318488050188</c:v>
                </c:pt>
                <c:pt idx="4">
                  <c:v>4.4012000462756218</c:v>
                </c:pt>
                <c:pt idx="5">
                  <c:v>12.139866560897827</c:v>
                </c:pt>
                <c:pt idx="6">
                  <c:v>2.5144387028165793</c:v>
                </c:pt>
                <c:pt idx="7">
                  <c:v>-7.2134438026678405</c:v>
                </c:pt>
                <c:pt idx="8">
                  <c:v>3.4786350905791075E-2</c:v>
                </c:pt>
                <c:pt idx="9">
                  <c:v>5.2584346883915112</c:v>
                </c:pt>
                <c:pt idx="10">
                  <c:v>1.5655288305086446</c:v>
                </c:pt>
                <c:pt idx="11">
                  <c:v>3.4848077037087588</c:v>
                </c:pt>
                <c:pt idx="12">
                  <c:v>4.4301887631266856</c:v>
                </c:pt>
                <c:pt idx="13">
                  <c:v>1.2054314472156324</c:v>
                </c:pt>
                <c:pt idx="14">
                  <c:v>-3.5195346012621642</c:v>
                </c:pt>
                <c:pt idx="15">
                  <c:v>4.2364912034413837</c:v>
                </c:pt>
                <c:pt idx="16">
                  <c:v>4.5208347394139148</c:v>
                </c:pt>
                <c:pt idx="17">
                  <c:v>-3.8712738172433259</c:v>
                </c:pt>
                <c:pt idx="18">
                  <c:v>4.1110179568950134</c:v>
                </c:pt>
                <c:pt idx="19">
                  <c:v>7.3994762822763072</c:v>
                </c:pt>
                <c:pt idx="20">
                  <c:v>5.6002397853222474</c:v>
                </c:pt>
                <c:pt idx="21">
                  <c:v>-2.2254043696375736</c:v>
                </c:pt>
                <c:pt idx="22">
                  <c:v>3.0147876600891133</c:v>
                </c:pt>
                <c:pt idx="23" formatCode="0.00">
                  <c:v>3.8</c:v>
                </c:pt>
                <c:pt idx="24" formatCode="0.00">
                  <c:v>3.91</c:v>
                </c:pt>
                <c:pt idx="25" formatCode="0.00">
                  <c:v>2.75</c:v>
                </c:pt>
              </c:numCache>
            </c:numRef>
          </c:val>
          <c:smooth val="0"/>
          <c:extLst>
            <c:ext xmlns:c16="http://schemas.microsoft.com/office/drawing/2014/chart" uri="{C3380CC4-5D6E-409C-BE32-E72D297353CC}">
              <c16:uniqueId val="{00000003-A776-4179-A263-BD78DB1A4C45}"/>
            </c:ext>
          </c:extLst>
        </c:ser>
        <c:dLbls>
          <c:showLegendKey val="0"/>
          <c:showVal val="0"/>
          <c:showCatName val="0"/>
          <c:showSerName val="0"/>
          <c:showPercent val="0"/>
          <c:showBubbleSize val="0"/>
        </c:dLbls>
        <c:marker val="1"/>
        <c:smooth val="0"/>
        <c:axId val="226104832"/>
        <c:axId val="226106752"/>
      </c:lineChart>
      <c:catAx>
        <c:axId val="226104832"/>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26106752"/>
        <c:crosses val="autoZero"/>
        <c:auto val="1"/>
        <c:lblAlgn val="ctr"/>
        <c:lblOffset val="100"/>
        <c:tickLblSkip val="2"/>
        <c:tickMarkSkip val="1"/>
        <c:noMultiLvlLbl val="0"/>
      </c:catAx>
      <c:valAx>
        <c:axId val="226106752"/>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26104832"/>
        <c:crosses val="autoZero"/>
        <c:crossBetween val="midCat"/>
      </c:valAx>
      <c:spPr>
        <a:noFill/>
        <a:ln w="12700">
          <a:solidFill>
            <a:srgbClr val="808080"/>
          </a:solidFill>
          <a:prstDash val="solid"/>
        </a:ln>
      </c:spPr>
    </c:plotArea>
    <c:legend>
      <c:legendPos val="r"/>
      <c:layout>
        <c:manualLayout>
          <c:xMode val="edge"/>
          <c:yMode val="edge"/>
          <c:x val="0.10714313740706284"/>
          <c:y val="0.74403648030995873"/>
          <c:w val="0.80000209263940258"/>
          <c:h val="0.23644307974864581"/>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Investment deflator - total and government</a:t>
            </a:r>
          </a:p>
        </c:rich>
      </c:tx>
      <c:layout>
        <c:manualLayout>
          <c:xMode val="edge"/>
          <c:yMode val="edge"/>
          <c:x val="0.19419666291713536"/>
          <c:y val="3.3519553072625698E-2"/>
        </c:manualLayout>
      </c:layout>
      <c:overlay val="0"/>
      <c:spPr>
        <a:noFill/>
        <a:ln w="25400">
          <a:noFill/>
        </a:ln>
      </c:spPr>
    </c:title>
    <c:autoTitleDeleted val="0"/>
    <c:plotArea>
      <c:layout>
        <c:manualLayout>
          <c:layoutTarget val="inner"/>
          <c:xMode val="edge"/>
          <c:yMode val="edge"/>
          <c:x val="8.4821521019549803E-2"/>
          <c:y val="0.17597789365001643"/>
          <c:w val="0.84821521019549795"/>
          <c:h val="0.56145327974052861"/>
        </c:manualLayout>
      </c:layout>
      <c:lineChart>
        <c:grouping val="standard"/>
        <c:varyColors val="0"/>
        <c:ser>
          <c:idx val="1"/>
          <c:order val="0"/>
          <c:tx>
            <c:strRef>
              <c:f>'VVP2'!$D$427:$E$427</c:f>
              <c:strCache>
                <c:ptCount val="2"/>
                <c:pt idx="0">
                  <c:v>GVT</c:v>
                </c:pt>
                <c:pt idx="1">
                  <c:v>Gross fixed capital formation (P.51)</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'VVP2'!$G$427:$AG$427</c:f>
              <c:numCache>
                <c:formatCode>0.0</c:formatCode>
                <c:ptCount val="27"/>
                <c:pt idx="1">
                  <c:v>-0.79193655438986044</c:v>
                </c:pt>
                <c:pt idx="2">
                  <c:v>0.58153754974363814</c:v>
                </c:pt>
                <c:pt idx="3">
                  <c:v>0.89463845276729348</c:v>
                </c:pt>
                <c:pt idx="4">
                  <c:v>1.7935428654968666</c:v>
                </c:pt>
                <c:pt idx="5">
                  <c:v>4.3322623261431437</c:v>
                </c:pt>
                <c:pt idx="6">
                  <c:v>3.4781811270125695</c:v>
                </c:pt>
                <c:pt idx="7">
                  <c:v>2.0399539385981269</c:v>
                </c:pt>
                <c:pt idx="8">
                  <c:v>1.2808450990357212</c:v>
                </c:pt>
                <c:pt idx="9">
                  <c:v>2.0094951456608445</c:v>
                </c:pt>
                <c:pt idx="10">
                  <c:v>2.6440475098389982</c:v>
                </c:pt>
                <c:pt idx="11">
                  <c:v>1.8193859115099631</c:v>
                </c:pt>
                <c:pt idx="12">
                  <c:v>2.7364525792440864</c:v>
                </c:pt>
                <c:pt idx="13">
                  <c:v>5.7745144339906407</c:v>
                </c:pt>
                <c:pt idx="14">
                  <c:v>2.4138238377114041</c:v>
                </c:pt>
                <c:pt idx="15">
                  <c:v>8.2947103359543028E-2</c:v>
                </c:pt>
                <c:pt idx="16">
                  <c:v>2.2625799239571309</c:v>
                </c:pt>
                <c:pt idx="17">
                  <c:v>1.7072280987731059</c:v>
                </c:pt>
                <c:pt idx="18">
                  <c:v>0.452750905678867</c:v>
                </c:pt>
                <c:pt idx="19">
                  <c:v>1.2716320903399136</c:v>
                </c:pt>
                <c:pt idx="20">
                  <c:v>1.1674757550903525</c:v>
                </c:pt>
                <c:pt idx="21">
                  <c:v>1.5586123293007903</c:v>
                </c:pt>
                <c:pt idx="22">
                  <c:v>3.1754924638108806</c:v>
                </c:pt>
                <c:pt idx="23">
                  <c:v>3.0999999999999917</c:v>
                </c:pt>
                <c:pt idx="24">
                  <c:v>2.0999999999999908</c:v>
                </c:pt>
                <c:pt idx="25">
                  <c:v>1.0999999999999677</c:v>
                </c:pt>
              </c:numCache>
            </c:numRef>
          </c:val>
          <c:smooth val="0"/>
          <c:extLst>
            <c:ext xmlns:c16="http://schemas.microsoft.com/office/drawing/2014/chart" uri="{C3380CC4-5D6E-409C-BE32-E72D297353CC}">
              <c16:uniqueId val="{00000000-50A3-413B-B779-D0F26571F108}"/>
            </c:ext>
          </c:extLst>
        </c:ser>
        <c:ser>
          <c:idx val="0"/>
          <c:order val="1"/>
          <c:tx>
            <c:strRef>
              <c:f>'VVP2'!$E$409</c:f>
              <c:strCache>
                <c:ptCount val="1"/>
                <c:pt idx="0">
                  <c:v>Gross fixed capital formation (P.51)</c:v>
                </c:pt>
              </c:strCache>
            </c:strRef>
          </c:tx>
          <c:spPr>
            <a:ln w="25400">
              <a:solidFill>
                <a:srgbClr val="FF0000"/>
              </a:solidFill>
              <a:prstDash val="solid"/>
            </a:ln>
          </c:spPr>
          <c:marker>
            <c:symbol val="diamond"/>
            <c:size val="5"/>
            <c:spPr>
              <a:solidFill>
                <a:srgbClr val="FFFFFF"/>
              </a:solidFill>
              <a:ln>
                <a:solidFill>
                  <a:srgbClr val="FF0000"/>
                </a:solidFill>
                <a:prstDash val="solid"/>
              </a:ln>
            </c:spPr>
          </c:marker>
          <c:val>
            <c:numRef>
              <c:f>'VVP2'!$G$421:$AG$421</c:f>
              <c:numCache>
                <c:formatCode>0.0</c:formatCode>
                <c:ptCount val="27"/>
                <c:pt idx="1">
                  <c:v>0.11165636036312154</c:v>
                </c:pt>
                <c:pt idx="2">
                  <c:v>1.6453737548847602</c:v>
                </c:pt>
                <c:pt idx="3">
                  <c:v>1.7059923211761419</c:v>
                </c:pt>
                <c:pt idx="4">
                  <c:v>2.2952184991336555</c:v>
                </c:pt>
                <c:pt idx="5">
                  <c:v>3.2637588769721226</c:v>
                </c:pt>
                <c:pt idx="6">
                  <c:v>3.3171971529324829</c:v>
                </c:pt>
                <c:pt idx="7">
                  <c:v>2.277722750298361</c:v>
                </c:pt>
                <c:pt idx="8">
                  <c:v>-0.12602850269936017</c:v>
                </c:pt>
                <c:pt idx="9">
                  <c:v>0.47738956176179848</c:v>
                </c:pt>
                <c:pt idx="10">
                  <c:v>1.1588637986628791</c:v>
                </c:pt>
                <c:pt idx="11">
                  <c:v>1.2682804863949793</c:v>
                </c:pt>
                <c:pt idx="12">
                  <c:v>2.19686212010477</c:v>
                </c:pt>
                <c:pt idx="13">
                  <c:v>4.0210187019855903</c:v>
                </c:pt>
                <c:pt idx="14">
                  <c:v>2.8167423714393847</c:v>
                </c:pt>
                <c:pt idx="15">
                  <c:v>0.67149713250420628</c:v>
                </c:pt>
                <c:pt idx="16">
                  <c:v>0.25989540364699248</c:v>
                </c:pt>
                <c:pt idx="17">
                  <c:v>0.77117480723689624</c:v>
                </c:pt>
                <c:pt idx="18">
                  <c:v>0.32096157838077399</c:v>
                </c:pt>
                <c:pt idx="19">
                  <c:v>2.1669705339764311</c:v>
                </c:pt>
                <c:pt idx="20">
                  <c:v>1.9811787282096427</c:v>
                </c:pt>
                <c:pt idx="21">
                  <c:v>1.6606762340282133</c:v>
                </c:pt>
                <c:pt idx="22">
                  <c:v>2.6272389629171888</c:v>
                </c:pt>
                <c:pt idx="23">
                  <c:v>4.0344166021794692</c:v>
                </c:pt>
                <c:pt idx="24">
                  <c:v>2.3848729783300326</c:v>
                </c:pt>
                <c:pt idx="25">
                  <c:v>1.3785668859828792</c:v>
                </c:pt>
              </c:numCache>
            </c:numRef>
          </c:val>
          <c:smooth val="0"/>
          <c:extLst>
            <c:ext xmlns:c16="http://schemas.microsoft.com/office/drawing/2014/chart" uri="{C3380CC4-5D6E-409C-BE32-E72D297353CC}">
              <c16:uniqueId val="{00000001-50A3-413B-B779-D0F26571F108}"/>
            </c:ext>
          </c:extLst>
        </c:ser>
        <c:dLbls>
          <c:showLegendKey val="0"/>
          <c:showVal val="0"/>
          <c:showCatName val="0"/>
          <c:showSerName val="0"/>
          <c:showPercent val="0"/>
          <c:showBubbleSize val="0"/>
        </c:dLbls>
        <c:marker val="1"/>
        <c:smooth val="0"/>
        <c:axId val="226140160"/>
        <c:axId val="226142080"/>
      </c:lineChart>
      <c:catAx>
        <c:axId val="226140160"/>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26142080"/>
        <c:crosses val="autoZero"/>
        <c:auto val="1"/>
        <c:lblAlgn val="ctr"/>
        <c:lblOffset val="100"/>
        <c:tickLblSkip val="2"/>
        <c:tickMarkSkip val="1"/>
        <c:noMultiLvlLbl val="0"/>
      </c:catAx>
      <c:valAx>
        <c:axId val="226142080"/>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26140160"/>
        <c:crosses val="autoZero"/>
        <c:crossBetween val="midCat"/>
      </c:valAx>
      <c:spPr>
        <a:noFill/>
        <a:ln w="12700">
          <a:solidFill>
            <a:srgbClr val="808080"/>
          </a:solidFill>
          <a:prstDash val="solid"/>
        </a:ln>
      </c:spPr>
    </c:plotArea>
    <c:legend>
      <c:legendPos val="r"/>
      <c:layout>
        <c:manualLayout>
          <c:xMode val="edge"/>
          <c:yMode val="edge"/>
          <c:x val="0.20178624211663501"/>
          <c:y val="0.85529450816173347"/>
          <c:w val="0.60714444530668943"/>
          <c:h val="0.12095073852792192"/>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GB"/>
              <a:t>Contributions to GDP growth</a:t>
            </a:r>
          </a:p>
        </c:rich>
      </c:tx>
      <c:layout>
        <c:manualLayout>
          <c:xMode val="edge"/>
          <c:yMode val="edge"/>
          <c:x val="0.37388392857142855"/>
          <c:y val="3.0588235294117649E-2"/>
        </c:manualLayout>
      </c:layout>
      <c:overlay val="0"/>
      <c:spPr>
        <a:noFill/>
        <a:ln w="25400">
          <a:noFill/>
        </a:ln>
      </c:spPr>
    </c:title>
    <c:autoTitleDeleted val="0"/>
    <c:plotArea>
      <c:layout>
        <c:manualLayout>
          <c:layoutTarget val="inner"/>
          <c:xMode val="edge"/>
          <c:yMode val="edge"/>
          <c:x val="5.0223214285714288E-2"/>
          <c:y val="0.17411764705882352"/>
          <c:w val="0.9006696428571429"/>
          <c:h val="0.59294117647058819"/>
        </c:manualLayout>
      </c:layout>
      <c:barChart>
        <c:barDir val="col"/>
        <c:grouping val="stacked"/>
        <c:varyColors val="0"/>
        <c:ser>
          <c:idx val="6"/>
          <c:order val="4"/>
          <c:tx>
            <c:strRef>
              <c:f>'VVP2'!$E$144</c:f>
              <c:strCache>
                <c:ptCount val="1"/>
                <c:pt idx="0">
                  <c:v>Gross domestic product (B.1g)</c:v>
                </c:pt>
              </c:strCache>
            </c:strRef>
          </c:tx>
          <c:spPr>
            <a:solidFill>
              <a:srgbClr val="0066CC"/>
            </a:solidFill>
            <a:ln w="12700">
              <a:solidFill>
                <a:srgbClr val="000000"/>
              </a:solidFill>
              <a:prstDash val="solid"/>
            </a:ln>
          </c:spPr>
          <c:invertIfNegative val="0"/>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'VVP2'!$G$144:$AG$144</c:f>
              <c:numCache>
                <c:formatCode>0.0</c:formatCode>
                <c:ptCount val="27"/>
                <c:pt idx="1">
                  <c:v>1.519034578965889</c:v>
                </c:pt>
                <c:pt idx="2">
                  <c:v>2.9123066792213508</c:v>
                </c:pt>
                <c:pt idx="3">
                  <c:v>4.2409560508338533</c:v>
                </c:pt>
                <c:pt idx="4">
                  <c:v>4.4867022926030025</c:v>
                </c:pt>
                <c:pt idx="5">
                  <c:v>4.7456166368949884</c:v>
                </c:pt>
                <c:pt idx="6">
                  <c:v>1.5734459634978788</c:v>
                </c:pt>
                <c:pt idx="7">
                  <c:v>2.0753008012419145</c:v>
                </c:pt>
                <c:pt idx="8">
                  <c:v>2.3597762270645997</c:v>
                </c:pt>
                <c:pt idx="9">
                  <c:v>4.3107832390854295</c:v>
                </c:pt>
                <c:pt idx="10">
                  <c:v>2.8166773859818992</c:v>
                </c:pt>
                <c:pt idx="11">
                  <c:v>4.6995582969571199</c:v>
                </c:pt>
                <c:pt idx="12">
                  <c:v>3.4080983285069859</c:v>
                </c:pt>
                <c:pt idx="13">
                  <c:v>-0.55705795199625985</c:v>
                </c:pt>
                <c:pt idx="14">
                  <c:v>-5.195897928463646</c:v>
                </c:pt>
                <c:pt idx="15">
                  <c:v>5.9919680665020794</c:v>
                </c:pt>
                <c:pt idx="16">
                  <c:v>2.6792280204686674</c:v>
                </c:pt>
                <c:pt idx="17">
                  <c:v>-0.29851237313676698</c:v>
                </c:pt>
                <c:pt idx="18">
                  <c:v>1.2383493376899561</c:v>
                </c:pt>
                <c:pt idx="19">
                  <c:v>2.6019029277959</c:v>
                </c:pt>
                <c:pt idx="20">
                  <c:v>4.4565689253719656</c:v>
                </c:pt>
                <c:pt idx="21">
                  <c:v>2.6839662785306051</c:v>
                </c:pt>
                <c:pt idx="22">
                  <c:v>2.1141964181437434</c:v>
                </c:pt>
                <c:pt idx="23">
                  <c:v>2.3754579714468549</c:v>
                </c:pt>
                <c:pt idx="24">
                  <c:v>1.7607506553809729</c:v>
                </c:pt>
                <c:pt idx="25">
                  <c:v>1.7609205310281157</c:v>
                </c:pt>
              </c:numCache>
            </c:numRef>
          </c:val>
          <c:extLst>
            <c:ext xmlns:c16="http://schemas.microsoft.com/office/drawing/2014/chart" uri="{C3380CC4-5D6E-409C-BE32-E72D297353CC}">
              <c16:uniqueId val="{00000000-42F9-4586-8519-2D0EC1F76F6B}"/>
            </c:ext>
          </c:extLst>
        </c:ser>
        <c:dLbls>
          <c:showLegendKey val="0"/>
          <c:showVal val="0"/>
          <c:showCatName val="0"/>
          <c:showSerName val="0"/>
          <c:showPercent val="0"/>
          <c:showBubbleSize val="0"/>
        </c:dLbls>
        <c:gapWidth val="30"/>
        <c:overlap val="100"/>
        <c:axId val="226204672"/>
        <c:axId val="226222848"/>
      </c:barChart>
      <c:barChart>
        <c:barDir val="col"/>
        <c:grouping val="stacked"/>
        <c:varyColors val="0"/>
        <c:ser>
          <c:idx val="0"/>
          <c:order val="0"/>
          <c:tx>
            <c:strRef>
              <c:f>'VVP2'!$E$134</c:f>
              <c:strCache>
                <c:ptCount val="1"/>
                <c:pt idx="0">
                  <c:v>Final consumption expenditure (P.3)</c:v>
                </c:pt>
              </c:strCache>
            </c:strRef>
          </c:tx>
          <c:spPr>
            <a:solidFill>
              <a:srgbClr val="FFCC99"/>
            </a:solidFill>
            <a:ln w="12700">
              <a:solidFill>
                <a:srgbClr val="000000"/>
              </a:solidFill>
              <a:prstDash val="solid"/>
            </a:ln>
          </c:spPr>
          <c:invertIfNegative val="0"/>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'VVP2'!$G$134:$AG$134</c:f>
              <c:numCache>
                <c:formatCode>0.0</c:formatCode>
                <c:ptCount val="27"/>
                <c:pt idx="1">
                  <c:v>0.85910895725818848</c:v>
                </c:pt>
                <c:pt idx="2">
                  <c:v>1.334789570441546</c:v>
                </c:pt>
                <c:pt idx="3">
                  <c:v>1.5634617835334752</c:v>
                </c:pt>
                <c:pt idx="4">
                  <c:v>1.8848579903567149</c:v>
                </c:pt>
                <c:pt idx="5">
                  <c:v>2.4572291155165313</c:v>
                </c:pt>
                <c:pt idx="6">
                  <c:v>0.34197159861295667</c:v>
                </c:pt>
                <c:pt idx="7">
                  <c:v>1.205171475333537</c:v>
                </c:pt>
                <c:pt idx="8">
                  <c:v>1.0738214892219955</c:v>
                </c:pt>
                <c:pt idx="9">
                  <c:v>1.2918354562401961</c:v>
                </c:pt>
                <c:pt idx="10">
                  <c:v>1.2674258190431487</c:v>
                </c:pt>
                <c:pt idx="11">
                  <c:v>1.2266193941616388</c:v>
                </c:pt>
                <c:pt idx="12">
                  <c:v>1.6983518825018897</c:v>
                </c:pt>
                <c:pt idx="13">
                  <c:v>0.10089760013259172</c:v>
                </c:pt>
                <c:pt idx="14">
                  <c:v>0.1563262363513033</c:v>
                </c:pt>
                <c:pt idx="15">
                  <c:v>1.8321961616004194</c:v>
                </c:pt>
                <c:pt idx="16">
                  <c:v>0.86588717257161529</c:v>
                </c:pt>
                <c:pt idx="17">
                  <c:v>0.36505356103034553</c:v>
                </c:pt>
                <c:pt idx="18">
                  <c:v>0.8642032810037259</c:v>
                </c:pt>
                <c:pt idx="19">
                  <c:v>0.99188641412770506</c:v>
                </c:pt>
                <c:pt idx="20">
                  <c:v>1.4373969075267974</c:v>
                </c:pt>
                <c:pt idx="21">
                  <c:v>1.2875983883030195</c:v>
                </c:pt>
                <c:pt idx="22">
                  <c:v>0.99034462934487633</c:v>
                </c:pt>
                <c:pt idx="23">
                  <c:v>1.0696730371209293</c:v>
                </c:pt>
                <c:pt idx="24">
                  <c:v>1.0309777169978209</c:v>
                </c:pt>
                <c:pt idx="25">
                  <c:v>0.93178899746257005</c:v>
                </c:pt>
              </c:numCache>
            </c:numRef>
          </c:val>
          <c:extLst>
            <c:ext xmlns:c16="http://schemas.microsoft.com/office/drawing/2014/chart" uri="{C3380CC4-5D6E-409C-BE32-E72D297353CC}">
              <c16:uniqueId val="{00000001-42F9-4586-8519-2D0EC1F76F6B}"/>
            </c:ext>
          </c:extLst>
        </c:ser>
        <c:ser>
          <c:idx val="1"/>
          <c:order val="1"/>
          <c:tx>
            <c:strRef>
              <c:f>'VVP2'!$E$135</c:f>
              <c:strCache>
                <c:ptCount val="1"/>
                <c:pt idx="0">
                  <c:v>Final consumption expenditure (P.3)</c:v>
                </c:pt>
              </c:strCache>
            </c:strRef>
          </c:tx>
          <c:spPr>
            <a:solidFill>
              <a:srgbClr val="FFFF99"/>
            </a:solidFill>
            <a:ln w="12700">
              <a:solidFill>
                <a:srgbClr val="000000"/>
              </a:solidFill>
              <a:prstDash val="solid"/>
            </a:ln>
          </c:spPr>
          <c:invertIfNegative val="0"/>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'VVP2'!$G$135:$AG$135</c:f>
              <c:numCache>
                <c:formatCode>0.0</c:formatCode>
                <c:ptCount val="27"/>
                <c:pt idx="1">
                  <c:v>-3.2147004615352241E-2</c:v>
                </c:pt>
                <c:pt idx="2">
                  <c:v>-0.11909963272584088</c:v>
                </c:pt>
                <c:pt idx="3">
                  <c:v>0.96292527620092816</c:v>
                </c:pt>
                <c:pt idx="4">
                  <c:v>0.44530280759931107</c:v>
                </c:pt>
                <c:pt idx="5">
                  <c:v>-0.23039267367396973</c:v>
                </c:pt>
                <c:pt idx="6">
                  <c:v>4.2116545973500036E-2</c:v>
                </c:pt>
                <c:pt idx="7">
                  <c:v>0.51817836990416677</c:v>
                </c:pt>
                <c:pt idx="8">
                  <c:v>0.17059308044992924</c:v>
                </c:pt>
                <c:pt idx="9">
                  <c:v>-5.9045893420643959E-2</c:v>
                </c:pt>
                <c:pt idx="10">
                  <c:v>9.2819444367576359E-2</c:v>
                </c:pt>
                <c:pt idx="11">
                  <c:v>0.40012179904518103</c:v>
                </c:pt>
                <c:pt idx="12">
                  <c:v>0.12307510579440885</c:v>
                </c:pt>
                <c:pt idx="13">
                  <c:v>0.32110729829721302</c:v>
                </c:pt>
                <c:pt idx="14">
                  <c:v>0.55410164560133723</c:v>
                </c:pt>
                <c:pt idx="15">
                  <c:v>0.34349998917577768</c:v>
                </c:pt>
                <c:pt idx="16">
                  <c:v>0.20780947062055433</c:v>
                </c:pt>
                <c:pt idx="17">
                  <c:v>0.27869007410561975</c:v>
                </c:pt>
                <c:pt idx="18">
                  <c:v>0.3340553220537526</c:v>
                </c:pt>
                <c:pt idx="19">
                  <c:v>0.39757971385180568</c:v>
                </c:pt>
                <c:pt idx="20">
                  <c:v>0.63066094609143852</c:v>
                </c:pt>
                <c:pt idx="21">
                  <c:v>0.93146732581883307</c:v>
                </c:pt>
                <c:pt idx="22">
                  <c:v>-7.2419166354893943E-4</c:v>
                </c:pt>
                <c:pt idx="23">
                  <c:v>0.27678879573452114</c:v>
                </c:pt>
                <c:pt idx="24">
                  <c:v>0.23410873810280297</c:v>
                </c:pt>
                <c:pt idx="25">
                  <c:v>0.24178165305323468</c:v>
                </c:pt>
              </c:numCache>
            </c:numRef>
          </c:val>
          <c:extLst>
            <c:ext xmlns:c16="http://schemas.microsoft.com/office/drawing/2014/chart" uri="{C3380CC4-5D6E-409C-BE32-E72D297353CC}">
              <c16:uniqueId val="{00000002-42F9-4586-8519-2D0EC1F76F6B}"/>
            </c:ext>
          </c:extLst>
        </c:ser>
        <c:ser>
          <c:idx val="2"/>
          <c:order val="2"/>
          <c:tx>
            <c:strRef>
              <c:f>'VVP2'!$E$136</c:f>
              <c:strCache>
                <c:ptCount val="1"/>
                <c:pt idx="0">
                  <c:v>Gross fixed capital formation (P.51)</c:v>
                </c:pt>
              </c:strCache>
            </c:strRef>
          </c:tx>
          <c:spPr>
            <a:solidFill>
              <a:srgbClr val="CCFFCC"/>
            </a:solidFill>
            <a:ln w="12700">
              <a:solidFill>
                <a:srgbClr val="000000"/>
              </a:solidFill>
              <a:prstDash val="solid"/>
            </a:ln>
          </c:spPr>
          <c:invertIfNegative val="0"/>
          <c:val>
            <c:numRef>
              <c:f>'VVP2'!$G$136:$AG$136</c:f>
              <c:numCache>
                <c:formatCode>0.0</c:formatCode>
                <c:ptCount val="27"/>
                <c:pt idx="1">
                  <c:v>1.0219229764411402</c:v>
                </c:pt>
                <c:pt idx="2">
                  <c:v>0.28794025453479416</c:v>
                </c:pt>
                <c:pt idx="3">
                  <c:v>1.5647520084596609</c:v>
                </c:pt>
                <c:pt idx="4">
                  <c:v>1.4094816486041759</c:v>
                </c:pt>
                <c:pt idx="5">
                  <c:v>1.403336816948463</c:v>
                </c:pt>
                <c:pt idx="6">
                  <c:v>0.55731746797363579</c:v>
                </c:pt>
                <c:pt idx="7">
                  <c:v>-0.5020840019155236</c:v>
                </c:pt>
                <c:pt idx="8">
                  <c:v>0.50956425790680171</c:v>
                </c:pt>
                <c:pt idx="9">
                  <c:v>1.2303647933567374</c:v>
                </c:pt>
                <c:pt idx="10">
                  <c:v>1.0939189582014559</c:v>
                </c:pt>
                <c:pt idx="11">
                  <c:v>2.0826070731353705</c:v>
                </c:pt>
                <c:pt idx="12">
                  <c:v>1.8693044815667426</c:v>
                </c:pt>
                <c:pt idx="13">
                  <c:v>0.13284106816967156</c:v>
                </c:pt>
                <c:pt idx="14">
                  <c:v>-3.2651865712623009</c:v>
                </c:pt>
                <c:pt idx="15">
                  <c:v>1.3515029934785161</c:v>
                </c:pt>
                <c:pt idx="16">
                  <c:v>1.2740014824803949</c:v>
                </c:pt>
                <c:pt idx="17">
                  <c:v>-6.4596628906079881E-2</c:v>
                </c:pt>
                <c:pt idx="18">
                  <c:v>0.14150082402298531</c:v>
                </c:pt>
                <c:pt idx="19">
                  <c:v>1.2193204508310556</c:v>
                </c:pt>
                <c:pt idx="20">
                  <c:v>1.5383422236275897</c:v>
                </c:pt>
                <c:pt idx="21">
                  <c:v>0.98152021196543027</c:v>
                </c:pt>
                <c:pt idx="22">
                  <c:v>1.4493525261209479</c:v>
                </c:pt>
                <c:pt idx="23">
                  <c:v>0.88315987096461457</c:v>
                </c:pt>
                <c:pt idx="24">
                  <c:v>0.50808698416815756</c:v>
                </c:pt>
                <c:pt idx="25">
                  <c:v>0.55253104443438428</c:v>
                </c:pt>
              </c:numCache>
            </c:numRef>
          </c:val>
          <c:extLst>
            <c:ext xmlns:c16="http://schemas.microsoft.com/office/drawing/2014/chart" uri="{C3380CC4-5D6E-409C-BE32-E72D297353CC}">
              <c16:uniqueId val="{00000003-42F9-4586-8519-2D0EC1F76F6B}"/>
            </c:ext>
          </c:extLst>
        </c:ser>
        <c:ser>
          <c:idx val="3"/>
          <c:order val="3"/>
          <c:tx>
            <c:strRef>
              <c:f>'VVP2'!$E$138</c:f>
              <c:strCache>
                <c:ptCount val="1"/>
                <c:pt idx="0">
                  <c:v>Changes in inventories / valuables (P.52+P.53)</c:v>
                </c:pt>
              </c:strCache>
            </c:strRef>
          </c:tx>
          <c:spPr>
            <a:solidFill>
              <a:srgbClr val="CCFFFF"/>
            </a:solidFill>
            <a:ln w="12700">
              <a:solidFill>
                <a:srgbClr val="000000"/>
              </a:solidFill>
              <a:prstDash val="solid"/>
            </a:ln>
          </c:spPr>
          <c:invertIfNegative val="0"/>
          <c:val>
            <c:numRef>
              <c:f>'VVP2'!$G$138:$AG$138</c:f>
              <c:numCache>
                <c:formatCode>0.0</c:formatCode>
                <c:ptCount val="27"/>
                <c:pt idx="1">
                  <c:v>-0.80929959025938769</c:v>
                </c:pt>
                <c:pt idx="2">
                  <c:v>0.11403454352134981</c:v>
                </c:pt>
                <c:pt idx="3">
                  <c:v>0.31442871348371887</c:v>
                </c:pt>
                <c:pt idx="4">
                  <c:v>-0.43522966471514835</c:v>
                </c:pt>
                <c:pt idx="5">
                  <c:v>0.42435229902229854</c:v>
                </c:pt>
                <c:pt idx="6">
                  <c:v>-0.3304801097305281</c:v>
                </c:pt>
                <c:pt idx="7">
                  <c:v>-0.191773566239645</c:v>
                </c:pt>
                <c:pt idx="8">
                  <c:v>0.22161792400190519</c:v>
                </c:pt>
                <c:pt idx="9">
                  <c:v>-0.27156252990640856</c:v>
                </c:pt>
                <c:pt idx="10">
                  <c:v>-1.0374939051756715E-2</c:v>
                </c:pt>
                <c:pt idx="11">
                  <c:v>0.20071621600241807</c:v>
                </c:pt>
                <c:pt idx="12">
                  <c:v>0.65749560423257569</c:v>
                </c:pt>
                <c:pt idx="13">
                  <c:v>-0.50585296299918114</c:v>
                </c:pt>
                <c:pt idx="14">
                  <c:v>-1.5571230389942272</c:v>
                </c:pt>
                <c:pt idx="15">
                  <c:v>2.1003356247694964</c:v>
                </c:pt>
                <c:pt idx="16">
                  <c:v>0.50345647228690515</c:v>
                </c:pt>
                <c:pt idx="17">
                  <c:v>-1.1331193335575804</c:v>
                </c:pt>
                <c:pt idx="18">
                  <c:v>0.20722614809082282</c:v>
                </c:pt>
                <c:pt idx="19">
                  <c:v>0.15816561083965672</c:v>
                </c:pt>
                <c:pt idx="20">
                  <c:v>0.42564083224590887</c:v>
                </c:pt>
                <c:pt idx="21" formatCode="0.00">
                  <c:v>-0.1166950596518746</c:v>
                </c:pt>
                <c:pt idx="22" formatCode="0.00">
                  <c:v>0.13857636961230191</c:v>
                </c:pt>
                <c:pt idx="23" formatCode="0.00">
                  <c:v>0.1343423386276919</c:v>
                </c:pt>
                <c:pt idx="24" formatCode="0.00">
                  <c:v>-0.13729301205835828</c:v>
                </c:pt>
                <c:pt idx="25" formatCode="0.00">
                  <c:v>0</c:v>
                </c:pt>
              </c:numCache>
            </c:numRef>
          </c:val>
          <c:extLst>
            <c:ext xmlns:c16="http://schemas.microsoft.com/office/drawing/2014/chart" uri="{C3380CC4-5D6E-409C-BE32-E72D297353CC}">
              <c16:uniqueId val="{00000004-42F9-4586-8519-2D0EC1F76F6B}"/>
            </c:ext>
          </c:extLst>
        </c:ser>
        <c:ser>
          <c:idx val="4"/>
          <c:order val="5"/>
          <c:tx>
            <c:strRef>
              <c:f>'VVP2'!$E$143</c:f>
              <c:strCache>
                <c:ptCount val="1"/>
                <c:pt idx="0">
                  <c:v>Net exports</c:v>
                </c:pt>
              </c:strCache>
            </c:strRef>
          </c:tx>
          <c:spPr>
            <a:solidFill>
              <a:srgbClr val="FF99CC"/>
            </a:solidFill>
            <a:ln w="12700">
              <a:solidFill>
                <a:srgbClr val="000000"/>
              </a:solidFill>
              <a:prstDash val="solid"/>
            </a:ln>
          </c:spPr>
          <c:invertIfNegative val="0"/>
          <c:val>
            <c:numRef>
              <c:f>'VVP2'!$G$143:$AG$143</c:f>
              <c:numCache>
                <c:formatCode>0.0</c:formatCode>
                <c:ptCount val="27"/>
                <c:pt idx="1">
                  <c:v>0.47944252224881589</c:v>
                </c:pt>
                <c:pt idx="2">
                  <c:v>1.2946077211353577</c:v>
                </c:pt>
                <c:pt idx="3">
                  <c:v>-0.16463215942706455</c:v>
                </c:pt>
                <c:pt idx="4">
                  <c:v>1.1823083458826302</c:v>
                </c:pt>
                <c:pt idx="5">
                  <c:v>0.69105766146585434</c:v>
                </c:pt>
                <c:pt idx="6">
                  <c:v>0.9625168565065283</c:v>
                </c:pt>
                <c:pt idx="7">
                  <c:v>1.045814425785315</c:v>
                </c:pt>
                <c:pt idx="8">
                  <c:v>0.3841791197073634</c:v>
                </c:pt>
                <c:pt idx="9">
                  <c:v>2.1192382243546506</c:v>
                </c:pt>
                <c:pt idx="10">
                  <c:v>0.37290832877121627</c:v>
                </c:pt>
                <c:pt idx="11">
                  <c:v>0.78950562759362253</c:v>
                </c:pt>
                <c:pt idx="12">
                  <c:v>-0.94010163562102145</c:v>
                </c:pt>
                <c:pt idx="13">
                  <c:v>-0.60608116503159626</c:v>
                </c:pt>
                <c:pt idx="14">
                  <c:v>-1.0840069664132557</c:v>
                </c:pt>
                <c:pt idx="15">
                  <c:v>0.36442718510707106</c:v>
                </c:pt>
                <c:pt idx="16">
                  <c:v>-0.17191096944680684</c:v>
                </c:pt>
                <c:pt idx="17">
                  <c:v>0.25542549425127259</c:v>
                </c:pt>
                <c:pt idx="18">
                  <c:v>-0.30864223173378025</c:v>
                </c:pt>
                <c:pt idx="19">
                  <c:v>-0.16501062986528536</c:v>
                </c:pt>
                <c:pt idx="20">
                  <c:v>0.42449581838575501</c:v>
                </c:pt>
                <c:pt idx="21">
                  <c:v>-0.3999243575693554</c:v>
                </c:pt>
                <c:pt idx="22">
                  <c:v>-0.4633703795483477</c:v>
                </c:pt>
                <c:pt idx="23">
                  <c:v>1.1493928999088743E-2</c:v>
                </c:pt>
                <c:pt idx="24">
                  <c:v>0.12487022817055227</c:v>
                </c:pt>
                <c:pt idx="25">
                  <c:v>3.4818836077912918E-2</c:v>
                </c:pt>
              </c:numCache>
            </c:numRef>
          </c:val>
          <c:extLst>
            <c:ext xmlns:c16="http://schemas.microsoft.com/office/drawing/2014/chart" uri="{C3380CC4-5D6E-409C-BE32-E72D297353CC}">
              <c16:uniqueId val="{00000005-42F9-4586-8519-2D0EC1F76F6B}"/>
            </c:ext>
          </c:extLst>
        </c:ser>
        <c:dLbls>
          <c:showLegendKey val="0"/>
          <c:showVal val="0"/>
          <c:showCatName val="0"/>
          <c:showSerName val="0"/>
          <c:showPercent val="0"/>
          <c:showBubbleSize val="0"/>
        </c:dLbls>
        <c:gapWidth val="150"/>
        <c:overlap val="100"/>
        <c:axId val="226224384"/>
        <c:axId val="226234368"/>
      </c:barChart>
      <c:catAx>
        <c:axId val="226204672"/>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fr-FR"/>
          </a:p>
        </c:txPr>
        <c:crossAx val="226222848"/>
        <c:crosses val="autoZero"/>
        <c:auto val="1"/>
        <c:lblAlgn val="ctr"/>
        <c:lblOffset val="100"/>
        <c:tickLblSkip val="2"/>
        <c:tickMarkSkip val="1"/>
        <c:noMultiLvlLbl val="0"/>
      </c:catAx>
      <c:valAx>
        <c:axId val="226222848"/>
        <c:scaling>
          <c:orientation val="minMax"/>
          <c:max val="5"/>
          <c:min val="-2"/>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fr-FR"/>
          </a:p>
        </c:txPr>
        <c:crossAx val="226204672"/>
        <c:crosses val="autoZero"/>
        <c:crossBetween val="between"/>
      </c:valAx>
      <c:catAx>
        <c:axId val="226224384"/>
        <c:scaling>
          <c:orientation val="minMax"/>
        </c:scaling>
        <c:delete val="1"/>
        <c:axPos val="b"/>
        <c:numFmt formatCode="0" sourceLinked="1"/>
        <c:majorTickMark val="out"/>
        <c:minorTickMark val="none"/>
        <c:tickLblPos val="nextTo"/>
        <c:crossAx val="226234368"/>
        <c:crosses val="autoZero"/>
        <c:auto val="1"/>
        <c:lblAlgn val="ctr"/>
        <c:lblOffset val="100"/>
        <c:noMultiLvlLbl val="0"/>
      </c:catAx>
      <c:valAx>
        <c:axId val="226234368"/>
        <c:scaling>
          <c:orientation val="minMax"/>
          <c:max val="5"/>
          <c:min val="-2"/>
        </c:scaling>
        <c:delete val="0"/>
        <c:axPos val="r"/>
        <c:numFmt formatCode="0" sourceLinked="0"/>
        <c:majorTickMark val="out"/>
        <c:minorTickMark val="none"/>
        <c:tickLblPos val="nextTo"/>
        <c:spPr>
          <a:ln w="25400">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fr-FR"/>
          </a:p>
        </c:txPr>
        <c:crossAx val="226224384"/>
        <c:crosses val="max"/>
        <c:crossBetween val="between"/>
      </c:valAx>
      <c:spPr>
        <a:noFill/>
        <a:ln w="12700">
          <a:solidFill>
            <a:srgbClr val="808080"/>
          </a:solidFill>
          <a:prstDash val="solid"/>
        </a:ln>
      </c:spPr>
    </c:plotArea>
    <c:legend>
      <c:legendPos val="r"/>
      <c:layout>
        <c:manualLayout>
          <c:xMode val="edge"/>
          <c:yMode val="edge"/>
          <c:x val="1.9642872129179263E-2"/>
          <c:y val="0.87818318254667038"/>
          <c:w val="0.95982216085762306"/>
          <c:h val="0.10181834000541107"/>
        </c:manualLayout>
      </c:layout>
      <c:overlay val="0"/>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2000"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paperSize="9" orientation="landscape"/>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GB"/>
              <a:t>Domestic demand (Excl. and incl. inventories - VOL)</a:t>
            </a:r>
          </a:p>
        </c:rich>
      </c:tx>
      <c:layout>
        <c:manualLayout>
          <c:xMode val="edge"/>
          <c:yMode val="edge"/>
          <c:x val="0.12946452005999248"/>
          <c:y val="3.3519553072625698E-2"/>
        </c:manualLayout>
      </c:layout>
      <c:overlay val="0"/>
      <c:spPr>
        <a:noFill/>
        <a:ln w="25400">
          <a:noFill/>
        </a:ln>
      </c:spPr>
    </c:title>
    <c:autoTitleDeleted val="0"/>
    <c:plotArea>
      <c:layout>
        <c:manualLayout>
          <c:layoutTarget val="inner"/>
          <c:xMode val="edge"/>
          <c:yMode val="edge"/>
          <c:x val="0.10937511920941947"/>
          <c:y val="0.17597789365001643"/>
          <c:w val="0.82366161200562837"/>
          <c:h val="0.56145327974052861"/>
        </c:manualLayout>
      </c:layout>
      <c:lineChart>
        <c:grouping val="standard"/>
        <c:varyColors val="0"/>
        <c:ser>
          <c:idx val="2"/>
          <c:order val="0"/>
          <c:tx>
            <c:strRef>
              <c:f>'VVP2'!$D$61:$E$61</c:f>
              <c:strCache>
                <c:ptCount val="2"/>
                <c:pt idx="0">
                  <c:v> </c:v>
                </c:pt>
                <c:pt idx="1">
                  <c:v>Domestic demand excluding inventories</c:v>
                </c:pt>
              </c:strCache>
            </c:strRef>
          </c:tx>
          <c:spPr>
            <a:ln w="25400">
              <a:solidFill>
                <a:srgbClr val="0000FF"/>
              </a:solidFill>
              <a:prstDash val="solid"/>
            </a:ln>
          </c:spPr>
          <c:marker>
            <c:symbol val="square"/>
            <c:size val="5"/>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'VVP2'!$G$61:$AG$61</c:f>
              <c:numCache>
                <c:formatCode>0.0</c:formatCode>
                <c:ptCount val="27"/>
                <c:pt idx="1">
                  <c:v>1.9991701840362142</c:v>
                </c:pt>
                <c:pt idx="2">
                  <c:v>1.6090239606066481</c:v>
                </c:pt>
                <c:pt idx="3">
                  <c:v>4.4188807581747369</c:v>
                </c:pt>
                <c:pt idx="4">
                  <c:v>4.0226163928392955</c:v>
                </c:pt>
                <c:pt idx="5">
                  <c:v>3.8747106114908059</c:v>
                </c:pt>
                <c:pt idx="6">
                  <c:v>1.0070219731325603</c:v>
                </c:pt>
                <c:pt idx="7">
                  <c:v>1.3062353885809674</c:v>
                </c:pt>
                <c:pt idx="8">
                  <c:v>1.8738081747881941</c:v>
                </c:pt>
                <c:pt idx="9">
                  <c:v>2.6382007504593519</c:v>
                </c:pt>
                <c:pt idx="10">
                  <c:v>2.6549374675351789</c:v>
                </c:pt>
                <c:pt idx="11">
                  <c:v>3.9898607297323974</c:v>
                </c:pt>
                <c:pt idx="12">
                  <c:v>3.9946358106767832</c:v>
                </c:pt>
                <c:pt idx="13">
                  <c:v>0.60108195634320793</c:v>
                </c:pt>
                <c:pt idx="14">
                  <c:v>-2.7311780797321328</c:v>
                </c:pt>
                <c:pt idx="15">
                  <c:v>3.6881337565671135</c:v>
                </c:pt>
                <c:pt idx="16">
                  <c:v>2.5007337922595685</c:v>
                </c:pt>
                <c:pt idx="17">
                  <c:v>0.61495185770368277</c:v>
                </c:pt>
                <c:pt idx="18">
                  <c:v>1.408758160543444</c:v>
                </c:pt>
                <c:pt idx="19">
                  <c:v>2.7362511671032097</c:v>
                </c:pt>
                <c:pt idx="20">
                  <c:v>3.7807335045992874</c:v>
                </c:pt>
                <c:pt idx="21">
                  <c:v>3.3896928172209462</c:v>
                </c:pt>
                <c:pt idx="22">
                  <c:v>2.5675195173866294</c:v>
                </c:pt>
                <c:pt idx="23" formatCode="0.00">
                  <c:v>2.3313686646278642</c:v>
                </c:pt>
                <c:pt idx="24" formatCode="0.00">
                  <c:v>1.8492829260040144</c:v>
                </c:pt>
                <c:pt idx="25" formatCode="0.00">
                  <c:v>1.7952226741940303</c:v>
                </c:pt>
              </c:numCache>
            </c:numRef>
          </c:val>
          <c:smooth val="0"/>
          <c:extLst>
            <c:ext xmlns:c16="http://schemas.microsoft.com/office/drawing/2014/chart" uri="{C3380CC4-5D6E-409C-BE32-E72D297353CC}">
              <c16:uniqueId val="{00000000-9D7C-488B-AB39-D0F157126179}"/>
            </c:ext>
          </c:extLst>
        </c:ser>
        <c:ser>
          <c:idx val="0"/>
          <c:order val="1"/>
          <c:tx>
            <c:strRef>
              <c:f>'VVP2'!$D$78:$E$78</c:f>
              <c:strCache>
                <c:ptCount val="2"/>
                <c:pt idx="0">
                  <c:v> </c:v>
                </c:pt>
                <c:pt idx="1">
                  <c:v>Domestic demand including inventories</c:v>
                </c:pt>
              </c:strCache>
            </c:strRef>
          </c:tx>
          <c:spPr>
            <a:ln w="25400">
              <a:solidFill>
                <a:srgbClr val="FF0000"/>
              </a:solidFill>
              <a:prstDash val="solid"/>
            </a:ln>
          </c:spPr>
          <c:marker>
            <c:symbol val="circle"/>
            <c:size val="5"/>
            <c:spPr>
              <a:solidFill>
                <a:srgbClr val="FFFFFF"/>
              </a:solidFill>
              <a:ln>
                <a:solidFill>
                  <a:srgbClr val="FF0000"/>
                </a:solidFill>
                <a:prstDash val="solid"/>
              </a:ln>
            </c:spPr>
          </c:marker>
          <c:val>
            <c:numRef>
              <c:f>'VVP2'!$G$78:$AG$78</c:f>
              <c:numCache>
                <c:formatCode>0.0</c:formatCode>
                <c:ptCount val="27"/>
                <c:pt idx="1">
                  <c:v>1.1103724055727016</c:v>
                </c:pt>
                <c:pt idx="2">
                  <c:v>1.7240463081740431</c:v>
                </c:pt>
                <c:pt idx="3">
                  <c:v>4.7341213492308798</c:v>
                </c:pt>
                <c:pt idx="4">
                  <c:v>3.5266190215407445</c:v>
                </c:pt>
                <c:pt idx="5">
                  <c:v>4.3160480863308592</c:v>
                </c:pt>
                <c:pt idx="6">
                  <c:v>0.6489416668439052</c:v>
                </c:pt>
                <c:pt idx="7">
                  <c:v>1.0977854163647605</c:v>
                </c:pt>
                <c:pt idx="8">
                  <c:v>2.1085903218171387</c:v>
                </c:pt>
                <c:pt idx="9">
                  <c:v>2.3397524306380646</c:v>
                </c:pt>
                <c:pt idx="10">
                  <c:v>2.6445388990128604</c:v>
                </c:pt>
                <c:pt idx="11">
                  <c:v>4.2118045273197513</c:v>
                </c:pt>
                <c:pt idx="12">
                  <c:v>4.7049139449243826</c:v>
                </c:pt>
                <c:pt idx="13">
                  <c:v>5.2694031201183655E-2</c:v>
                </c:pt>
                <c:pt idx="14">
                  <c:v>-4.3864675538014879</c:v>
                </c:pt>
                <c:pt idx="15">
                  <c:v>5.9711853603296117</c:v>
                </c:pt>
                <c:pt idx="16">
                  <c:v>3.0158526514791006</c:v>
                </c:pt>
                <c:pt idx="17">
                  <c:v>-0.58127864975090482</c:v>
                </c:pt>
                <c:pt idx="18">
                  <c:v>1.627132868428971</c:v>
                </c:pt>
                <c:pt idx="19">
                  <c:v>2.8974050442186927</c:v>
                </c:pt>
                <c:pt idx="20">
                  <c:v>4.2137117836780202</c:v>
                </c:pt>
                <c:pt idx="21">
                  <c:v>3.2414143861614342</c:v>
                </c:pt>
                <c:pt idx="22">
                  <c:v>2.6969332595821127</c:v>
                </c:pt>
                <c:pt idx="23" formatCode="0.00">
                  <c:v>2.4546013522998011</c:v>
                </c:pt>
                <c:pt idx="24" formatCode="0.00">
                  <c:v>1.6918469896015864</c:v>
                </c:pt>
                <c:pt idx="25" formatCode="0.00">
                  <c:v>1.782874860308592</c:v>
                </c:pt>
              </c:numCache>
            </c:numRef>
          </c:val>
          <c:smooth val="0"/>
          <c:extLst>
            <c:ext xmlns:c16="http://schemas.microsoft.com/office/drawing/2014/chart" uri="{C3380CC4-5D6E-409C-BE32-E72D297353CC}">
              <c16:uniqueId val="{00000001-9D7C-488B-AB39-D0F157126179}"/>
            </c:ext>
          </c:extLst>
        </c:ser>
        <c:dLbls>
          <c:showLegendKey val="0"/>
          <c:showVal val="0"/>
          <c:showCatName val="0"/>
          <c:showSerName val="0"/>
          <c:showPercent val="0"/>
          <c:showBubbleSize val="0"/>
        </c:dLbls>
        <c:marker val="1"/>
        <c:smooth val="0"/>
        <c:axId val="226259328"/>
        <c:axId val="226261248"/>
      </c:lineChart>
      <c:catAx>
        <c:axId val="226259328"/>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26261248"/>
        <c:crosses val="autoZero"/>
        <c:auto val="1"/>
        <c:lblAlgn val="ctr"/>
        <c:lblOffset val="100"/>
        <c:tickLblSkip val="2"/>
        <c:tickMarkSkip val="1"/>
        <c:noMultiLvlLbl val="0"/>
      </c:catAx>
      <c:valAx>
        <c:axId val="226261248"/>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26259328"/>
        <c:crosses val="autoZero"/>
        <c:crossBetween val="midCat"/>
      </c:valAx>
      <c:spPr>
        <a:noFill/>
        <a:ln w="12700">
          <a:solidFill>
            <a:srgbClr val="808080"/>
          </a:solidFill>
          <a:prstDash val="solid"/>
        </a:ln>
      </c:spPr>
    </c:plotArea>
    <c:legend>
      <c:legendPos val="r"/>
      <c:layout>
        <c:manualLayout>
          <c:xMode val="edge"/>
          <c:yMode val="edge"/>
          <c:x val="0.20535768003020377"/>
          <c:y val="0.85745434277830346"/>
          <c:w val="0.61250160217704264"/>
          <c:h val="0.12095073852792192"/>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GB"/>
              <a:t>Domestic demand and its main components (VOL)</a:t>
            </a:r>
          </a:p>
        </c:rich>
      </c:tx>
      <c:layout>
        <c:manualLayout>
          <c:xMode val="edge"/>
          <c:yMode val="edge"/>
          <c:x val="0.14285737720284963"/>
          <c:y val="3.3519553072625698E-2"/>
        </c:manualLayout>
      </c:layout>
      <c:overlay val="0"/>
      <c:spPr>
        <a:noFill/>
        <a:ln w="25400">
          <a:noFill/>
        </a:ln>
      </c:spPr>
    </c:title>
    <c:autoTitleDeleted val="0"/>
    <c:plotArea>
      <c:layout>
        <c:manualLayout>
          <c:layoutTarget val="inner"/>
          <c:xMode val="edge"/>
          <c:yMode val="edge"/>
          <c:x val="0.10044653804946686"/>
          <c:y val="0.17597789365001643"/>
          <c:w val="0.83259019316558092"/>
          <c:h val="0.44413468397385103"/>
        </c:manualLayout>
      </c:layout>
      <c:lineChart>
        <c:grouping val="standard"/>
        <c:varyColors val="0"/>
        <c:ser>
          <c:idx val="0"/>
          <c:order val="0"/>
          <c:tx>
            <c:strRef>
              <c:f>'VVP2'!$D$61:$E$61</c:f>
              <c:strCache>
                <c:ptCount val="2"/>
                <c:pt idx="0">
                  <c:v> </c:v>
                </c:pt>
                <c:pt idx="1">
                  <c:v>Domestic demand excluding inventories</c:v>
                </c:pt>
              </c:strCache>
            </c:strRef>
          </c:tx>
          <c:spPr>
            <a:ln w="25400">
              <a:solidFill>
                <a:srgbClr val="FF0000"/>
              </a:solidFill>
              <a:prstDash val="solid"/>
            </a:ln>
          </c:spPr>
          <c:marker>
            <c:symbol val="diamond"/>
            <c:size val="5"/>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'VVP2'!$G$61:$AG$61</c:f>
              <c:numCache>
                <c:formatCode>0.0</c:formatCode>
                <c:ptCount val="27"/>
                <c:pt idx="1">
                  <c:v>1.9991701840362142</c:v>
                </c:pt>
                <c:pt idx="2">
                  <c:v>1.6090239606066481</c:v>
                </c:pt>
                <c:pt idx="3">
                  <c:v>4.4188807581747369</c:v>
                </c:pt>
                <c:pt idx="4">
                  <c:v>4.0226163928392955</c:v>
                </c:pt>
                <c:pt idx="5">
                  <c:v>3.8747106114908059</c:v>
                </c:pt>
                <c:pt idx="6">
                  <c:v>1.0070219731325603</c:v>
                </c:pt>
                <c:pt idx="7">
                  <c:v>1.3062353885809674</c:v>
                </c:pt>
                <c:pt idx="8">
                  <c:v>1.8738081747881941</c:v>
                </c:pt>
                <c:pt idx="9">
                  <c:v>2.6382007504593519</c:v>
                </c:pt>
                <c:pt idx="10">
                  <c:v>2.6549374675351789</c:v>
                </c:pt>
                <c:pt idx="11">
                  <c:v>3.9898607297323974</c:v>
                </c:pt>
                <c:pt idx="12">
                  <c:v>3.9946358106767832</c:v>
                </c:pt>
                <c:pt idx="13">
                  <c:v>0.60108195634320793</c:v>
                </c:pt>
                <c:pt idx="14">
                  <c:v>-2.7311780797321328</c:v>
                </c:pt>
                <c:pt idx="15">
                  <c:v>3.6881337565671135</c:v>
                </c:pt>
                <c:pt idx="16">
                  <c:v>2.5007337922595685</c:v>
                </c:pt>
                <c:pt idx="17">
                  <c:v>0.61495185770368277</c:v>
                </c:pt>
                <c:pt idx="18">
                  <c:v>1.408758160543444</c:v>
                </c:pt>
                <c:pt idx="19">
                  <c:v>2.7362511671032097</c:v>
                </c:pt>
                <c:pt idx="20">
                  <c:v>3.7807335045992874</c:v>
                </c:pt>
                <c:pt idx="21">
                  <c:v>3.3896928172209462</c:v>
                </c:pt>
                <c:pt idx="22">
                  <c:v>2.5675195173866294</c:v>
                </c:pt>
                <c:pt idx="23" formatCode="0.00">
                  <c:v>2.3313686646278642</c:v>
                </c:pt>
                <c:pt idx="24" formatCode="0.00">
                  <c:v>1.8492829260040144</c:v>
                </c:pt>
                <c:pt idx="25" formatCode="0.00">
                  <c:v>1.7952226741940303</c:v>
                </c:pt>
              </c:numCache>
            </c:numRef>
          </c:val>
          <c:smooth val="0"/>
          <c:extLst>
            <c:ext xmlns:c16="http://schemas.microsoft.com/office/drawing/2014/chart" uri="{C3380CC4-5D6E-409C-BE32-E72D297353CC}">
              <c16:uniqueId val="{00000000-95CB-4CEA-9713-0D41C72FAA4E}"/>
            </c:ext>
          </c:extLst>
        </c:ser>
        <c:ser>
          <c:idx val="1"/>
          <c:order val="1"/>
          <c:tx>
            <c:strRef>
              <c:f>'VVP2'!$D$58:$E$58</c:f>
              <c:strCache>
                <c:ptCount val="2"/>
                <c:pt idx="0">
                  <c:v>HH</c:v>
                </c:pt>
                <c:pt idx="1">
                  <c:v>Final consumption expenditure (P.3)</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'VVP2'!$G$58:$AG$58</c:f>
              <c:numCache>
                <c:formatCode>0.0</c:formatCode>
                <c:ptCount val="27"/>
                <c:pt idx="1">
                  <c:v>1.8126570986513268</c:v>
                </c:pt>
                <c:pt idx="2">
                  <c:v>2.811915062431547</c:v>
                </c:pt>
                <c:pt idx="3">
                  <c:v>3.3012207776909941</c:v>
                </c:pt>
                <c:pt idx="4">
                  <c:v>4.0294521711662812</c:v>
                </c:pt>
                <c:pt idx="5">
                  <c:v>5.2482581222726976</c:v>
                </c:pt>
                <c:pt idx="6">
                  <c:v>0.73108535870765046</c:v>
                </c:pt>
                <c:pt idx="7">
                  <c:v>2.6071460723935624</c:v>
                </c:pt>
                <c:pt idx="8">
                  <c:v>2.3145475337566834</c:v>
                </c:pt>
                <c:pt idx="9">
                  <c:v>2.7892797384733159</c:v>
                </c:pt>
                <c:pt idx="10">
                  <c:v>2.7674313067884482</c:v>
                </c:pt>
                <c:pt idx="11">
                  <c:v>2.6714825766315009</c:v>
                </c:pt>
                <c:pt idx="12">
                  <c:v>3.7947685169116951</c:v>
                </c:pt>
                <c:pt idx="13">
                  <c:v>0.22777889594640666</c:v>
                </c:pt>
                <c:pt idx="14">
                  <c:v>0.35082887126818285</c:v>
                </c:pt>
                <c:pt idx="15">
                  <c:v>3.8903875314705516</c:v>
                </c:pt>
                <c:pt idx="16">
                  <c:v>1.8666091616502678</c:v>
                </c:pt>
                <c:pt idx="17">
                  <c:v>0.78946230229000047</c:v>
                </c:pt>
                <c:pt idx="18">
                  <c:v>1.8588235418893984</c:v>
                </c:pt>
                <c:pt idx="19">
                  <c:v>2.1277234853534388</c:v>
                </c:pt>
                <c:pt idx="20">
                  <c:v>3.1190061154737769</c:v>
                </c:pt>
                <c:pt idx="21">
                  <c:v>2.8637431218266451</c:v>
                </c:pt>
                <c:pt idx="22">
                  <c:v>2.2129477588303637</c:v>
                </c:pt>
                <c:pt idx="23">
                  <c:v>2.4000000000000021</c:v>
                </c:pt>
                <c:pt idx="24">
                  <c:v>2.3300000000000098</c:v>
                </c:pt>
                <c:pt idx="25">
                  <c:v>2.0999999999999908</c:v>
                </c:pt>
              </c:numCache>
            </c:numRef>
          </c:val>
          <c:smooth val="0"/>
          <c:extLst>
            <c:ext xmlns:c16="http://schemas.microsoft.com/office/drawing/2014/chart" uri="{C3380CC4-5D6E-409C-BE32-E72D297353CC}">
              <c16:uniqueId val="{00000001-95CB-4CEA-9713-0D41C72FAA4E}"/>
            </c:ext>
          </c:extLst>
        </c:ser>
        <c:ser>
          <c:idx val="2"/>
          <c:order val="2"/>
          <c:tx>
            <c:strRef>
              <c:f>'VVP2'!$D$59:$E$59</c:f>
              <c:strCache>
                <c:ptCount val="2"/>
                <c:pt idx="0">
                  <c:v>GVT</c:v>
                </c:pt>
                <c:pt idx="1">
                  <c:v>Final consumption expenditure (P.3)</c:v>
                </c:pt>
              </c:strCache>
            </c:strRef>
          </c:tx>
          <c:spPr>
            <a:ln w="25400">
              <a:solidFill>
                <a:srgbClr val="008000"/>
              </a:solidFill>
              <a:prstDash val="solid"/>
            </a:ln>
          </c:spPr>
          <c:marker>
            <c:symbol val="square"/>
            <c:size val="5"/>
            <c:spPr>
              <a:solidFill>
                <a:srgbClr val="FFFFFF"/>
              </a:solidFill>
              <a:ln>
                <a:solidFill>
                  <a:srgbClr val="008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'VVP2'!$G$59:$AG$59</c:f>
              <c:numCache>
                <c:formatCode>0.0</c:formatCode>
                <c:ptCount val="27"/>
                <c:pt idx="1">
                  <c:v>-0.12610582465436559</c:v>
                </c:pt>
                <c:pt idx="2">
                  <c:v>-0.46058410623160961</c:v>
                </c:pt>
                <c:pt idx="3">
                  <c:v>3.7946308867956802</c:v>
                </c:pt>
                <c:pt idx="4">
                  <c:v>1.7489539714230729</c:v>
                </c:pt>
                <c:pt idx="5">
                  <c:v>-0.90711123378360847</c:v>
                </c:pt>
                <c:pt idx="6">
                  <c:v>0.17187906671523034</c:v>
                </c:pt>
                <c:pt idx="7">
                  <c:v>2.0992381926698611</c:v>
                </c:pt>
                <c:pt idx="8">
                  <c:v>0.67073127459196247</c:v>
                </c:pt>
                <c:pt idx="9">
                  <c:v>-0.22993671192949039</c:v>
                </c:pt>
                <c:pt idx="10">
                  <c:v>0.37185016978151797</c:v>
                </c:pt>
                <c:pt idx="11">
                  <c:v>1.6116247303785691</c:v>
                </c:pt>
                <c:pt idx="12">
                  <c:v>0.50144982675248695</c:v>
                </c:pt>
                <c:pt idx="13">
                  <c:v>1.3358846932923107</c:v>
                </c:pt>
                <c:pt idx="14">
                  <c:v>2.2551175336794627</c:v>
                </c:pt>
                <c:pt idx="15">
                  <c:v>1.3140217343272864</c:v>
                </c:pt>
                <c:pt idx="16">
                  <c:v>0.82615876855316461</c:v>
                </c:pt>
                <c:pt idx="17">
                  <c:v>1.1080325807856228</c:v>
                </c:pt>
                <c:pt idx="18">
                  <c:v>1.2904731330142249</c:v>
                </c:pt>
                <c:pt idx="19">
                  <c:v>1.5115804238575725</c:v>
                </c:pt>
                <c:pt idx="20">
                  <c:v>2.4094675751499928</c:v>
                </c:pt>
                <c:pt idx="21">
                  <c:v>3.6015939395404484</c:v>
                </c:pt>
                <c:pt idx="22">
                  <c:v>-2.7532408124697483E-3</c:v>
                </c:pt>
                <c:pt idx="23">
                  <c:v>1.0599999999999943</c:v>
                </c:pt>
                <c:pt idx="24">
                  <c:v>0.8999999999999897</c:v>
                </c:pt>
                <c:pt idx="25">
                  <c:v>0.9300000000000086</c:v>
                </c:pt>
              </c:numCache>
            </c:numRef>
          </c:val>
          <c:smooth val="0"/>
          <c:extLst>
            <c:ext xmlns:c16="http://schemas.microsoft.com/office/drawing/2014/chart" uri="{C3380CC4-5D6E-409C-BE32-E72D297353CC}">
              <c16:uniqueId val="{00000002-95CB-4CEA-9713-0D41C72FAA4E}"/>
            </c:ext>
          </c:extLst>
        </c:ser>
        <c:ser>
          <c:idx val="3"/>
          <c:order val="3"/>
          <c:tx>
            <c:strRef>
              <c:f>'VVP2'!$D$60:$E$60</c:f>
              <c:strCache>
                <c:ptCount val="2"/>
                <c:pt idx="0">
                  <c:v> </c:v>
                </c:pt>
                <c:pt idx="1">
                  <c:v>Gross fixed capital formation (P.51)</c:v>
                </c:pt>
              </c:strCache>
            </c:strRef>
          </c:tx>
          <c:spPr>
            <a:ln w="25400">
              <a:solidFill>
                <a:srgbClr val="993366"/>
              </a:solidFill>
              <a:prstDash val="solid"/>
            </a:ln>
          </c:spPr>
          <c:marker>
            <c:symbol val="circle"/>
            <c:size val="5"/>
            <c:spPr>
              <a:solidFill>
                <a:srgbClr val="FFFFFF"/>
              </a:solidFill>
              <a:ln>
                <a:solidFill>
                  <a:srgbClr val="993366"/>
                </a:solidFill>
                <a:prstDash val="solid"/>
              </a:ln>
            </c:spPr>
          </c:marker>
          <c:val>
            <c:numRef>
              <c:f>'VVP2'!$G$60:$AG$60</c:f>
              <c:numCache>
                <c:formatCode>0.0</c:formatCode>
                <c:ptCount val="27"/>
                <c:pt idx="1">
                  <c:v>5.2145700905189551</c:v>
                </c:pt>
                <c:pt idx="2">
                  <c:v>1.4309449204905622</c:v>
                </c:pt>
                <c:pt idx="3">
                  <c:v>7.8839351635803023</c:v>
                </c:pt>
                <c:pt idx="4">
                  <c:v>6.8000910017954608</c:v>
                </c:pt>
                <c:pt idx="5">
                  <c:v>6.535996935921462</c:v>
                </c:pt>
                <c:pt idx="6">
                  <c:v>2.5100784083548433</c:v>
                </c:pt>
                <c:pt idx="7">
                  <c:v>-2.2231604070815481</c:v>
                </c:pt>
                <c:pt idx="8">
                  <c:v>2.3398653945408965</c:v>
                </c:pt>
                <c:pt idx="9">
                  <c:v>5.7570718089645423</c:v>
                </c:pt>
                <c:pt idx="10">
                  <c:v>5.0461475655452226</c:v>
                </c:pt>
                <c:pt idx="11">
                  <c:v>9.3698695618881889</c:v>
                </c:pt>
                <c:pt idx="12">
                  <c:v>8.0946626795717513</c:v>
                </c:pt>
                <c:pt idx="13">
                  <c:v>0.5539798924269812</c:v>
                </c:pt>
                <c:pt idx="14">
                  <c:v>-13.375837621300779</c:v>
                </c:pt>
                <c:pt idx="15">
                  <c:v>6.0335529121229747</c:v>
                </c:pt>
                <c:pt idx="16">
                  <c:v>5.7033418239333278</c:v>
                </c:pt>
                <c:pt idx="17">
                  <c:v>-0.28349406927131726</c:v>
                </c:pt>
                <c:pt idx="18">
                  <c:v>0.62269927052218677</c:v>
                </c:pt>
                <c:pt idx="19">
                  <c:v>5.4381477690142122</c:v>
                </c:pt>
                <c:pt idx="20">
                  <c:v>6.6509106990126021</c:v>
                </c:pt>
                <c:pt idx="21">
                  <c:v>4.1596180158439244</c:v>
                </c:pt>
                <c:pt idx="22">
                  <c:v>6.0546057350353344</c:v>
                </c:pt>
                <c:pt idx="23">
                  <c:v>3.5391684236044885</c:v>
                </c:pt>
                <c:pt idx="24">
                  <c:v>1.9828306477457813</c:v>
                </c:pt>
                <c:pt idx="25">
                  <c:v>2.1431885541373763</c:v>
                </c:pt>
              </c:numCache>
            </c:numRef>
          </c:val>
          <c:smooth val="0"/>
          <c:extLst>
            <c:ext xmlns:c16="http://schemas.microsoft.com/office/drawing/2014/chart" uri="{C3380CC4-5D6E-409C-BE32-E72D297353CC}">
              <c16:uniqueId val="{00000003-95CB-4CEA-9713-0D41C72FAA4E}"/>
            </c:ext>
          </c:extLst>
        </c:ser>
        <c:dLbls>
          <c:showLegendKey val="0"/>
          <c:showVal val="0"/>
          <c:showCatName val="0"/>
          <c:showSerName val="0"/>
          <c:showPercent val="0"/>
          <c:showBubbleSize val="0"/>
        </c:dLbls>
        <c:marker val="1"/>
        <c:smooth val="0"/>
        <c:axId val="224269056"/>
        <c:axId val="224270976"/>
      </c:lineChart>
      <c:catAx>
        <c:axId val="224269056"/>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24270976"/>
        <c:crosses val="autoZero"/>
        <c:auto val="1"/>
        <c:lblAlgn val="ctr"/>
        <c:lblOffset val="100"/>
        <c:tickLblSkip val="2"/>
        <c:tickMarkSkip val="1"/>
        <c:noMultiLvlLbl val="0"/>
      </c:catAx>
      <c:valAx>
        <c:axId val="224270976"/>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24269056"/>
        <c:crosses val="autoZero"/>
        <c:crossBetween val="midCat"/>
      </c:valAx>
      <c:spPr>
        <a:noFill/>
        <a:ln w="12700">
          <a:solidFill>
            <a:srgbClr val="808080"/>
          </a:solidFill>
          <a:prstDash val="solid"/>
        </a:ln>
      </c:spPr>
    </c:plotArea>
    <c:legend>
      <c:legendPos val="r"/>
      <c:layout>
        <c:manualLayout>
          <c:xMode val="edge"/>
          <c:yMode val="edge"/>
          <c:x val="0.1928576473327131"/>
          <c:y val="0.74514294271666182"/>
          <c:w val="0.6196444780041801"/>
          <c:h val="0.23542197320613373"/>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GB"/>
              <a:t>Exports and GDP (VOL)</a:t>
            </a:r>
          </a:p>
        </c:rich>
      </c:tx>
      <c:layout>
        <c:manualLayout>
          <c:xMode val="edge"/>
          <c:yMode val="edge"/>
          <c:x val="0.33258975440569927"/>
          <c:y val="3.3613445378151259E-2"/>
        </c:manualLayout>
      </c:layout>
      <c:overlay val="0"/>
      <c:spPr>
        <a:noFill/>
        <a:ln w="25400">
          <a:noFill/>
        </a:ln>
      </c:spPr>
    </c:title>
    <c:autoTitleDeleted val="0"/>
    <c:plotArea>
      <c:layout>
        <c:manualLayout>
          <c:layoutTarget val="inner"/>
          <c:xMode val="edge"/>
          <c:yMode val="edge"/>
          <c:x val="0.10044653804946686"/>
          <c:y val="0.17647107096647127"/>
          <c:w val="0.83259019316558092"/>
          <c:h val="0.56022562211578175"/>
        </c:manualLayout>
      </c:layout>
      <c:lineChart>
        <c:grouping val="standard"/>
        <c:varyColors val="0"/>
        <c:ser>
          <c:idx val="2"/>
          <c:order val="0"/>
          <c:tx>
            <c:strRef>
              <c:f>'VVP2'!$D$89:$E$89</c:f>
              <c:strCache>
                <c:ptCount val="2"/>
                <c:pt idx="0">
                  <c:v> </c:v>
                </c:pt>
                <c:pt idx="1">
                  <c:v>Exports (P.6)</c:v>
                </c:pt>
              </c:strCache>
            </c:strRef>
          </c:tx>
          <c:spPr>
            <a:ln w="25400">
              <a:solidFill>
                <a:srgbClr val="FF0000"/>
              </a:solidFill>
              <a:prstDash val="solid"/>
            </a:ln>
          </c:spPr>
          <c:marker>
            <c:symbol val="square"/>
            <c:size val="5"/>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'VVP2'!$G$89:$AG$89</c:f>
              <c:numCache>
                <c:formatCode>0.0</c:formatCode>
                <c:ptCount val="27"/>
                <c:pt idx="1">
                  <c:v>4.1269050300589916</c:v>
                </c:pt>
                <c:pt idx="2">
                  <c:v>13.878783938864592</c:v>
                </c:pt>
                <c:pt idx="3">
                  <c:v>8.935827998907552</c:v>
                </c:pt>
                <c:pt idx="4">
                  <c:v>7.2172776488465651</c:v>
                </c:pt>
                <c:pt idx="5">
                  <c:v>11.698217559453994</c:v>
                </c:pt>
                <c:pt idx="6">
                  <c:v>0.69665013831305966</c:v>
                </c:pt>
                <c:pt idx="7">
                  <c:v>1.3174075218694625</c:v>
                </c:pt>
                <c:pt idx="8">
                  <c:v>4.1609718978245391</c:v>
                </c:pt>
                <c:pt idx="9">
                  <c:v>10.734866587775315</c:v>
                </c:pt>
                <c:pt idx="10">
                  <c:v>6.6288945304860514</c:v>
                </c:pt>
                <c:pt idx="11">
                  <c:v>8.6622715434560469</c:v>
                </c:pt>
                <c:pt idx="12">
                  <c:v>4.4787470485628367</c:v>
                </c:pt>
                <c:pt idx="13">
                  <c:v>1.9858556821547024</c:v>
                </c:pt>
                <c:pt idx="14">
                  <c:v>-14.485194249141642</c:v>
                </c:pt>
                <c:pt idx="15">
                  <c:v>11.94244079217588</c:v>
                </c:pt>
                <c:pt idx="16">
                  <c:v>6.1013633377539733</c:v>
                </c:pt>
                <c:pt idx="17">
                  <c:v>0.98140314638672788</c:v>
                </c:pt>
                <c:pt idx="18">
                  <c:v>-0.77263397483547935</c:v>
                </c:pt>
                <c:pt idx="19">
                  <c:v>5.25726700200706</c:v>
                </c:pt>
                <c:pt idx="20">
                  <c:v>5.684667594510695</c:v>
                </c:pt>
                <c:pt idx="21">
                  <c:v>2.9675058425944201</c:v>
                </c:pt>
                <c:pt idx="22">
                  <c:v>3.233987457803722</c:v>
                </c:pt>
                <c:pt idx="23" formatCode="0.00">
                  <c:v>3.4379257614164382</c:v>
                </c:pt>
                <c:pt idx="24" formatCode="0.00">
                  <c:v>3.2390742576303477</c:v>
                </c:pt>
                <c:pt idx="25" formatCode="0.00">
                  <c:v>3.0107866005557815</c:v>
                </c:pt>
              </c:numCache>
            </c:numRef>
          </c:val>
          <c:smooth val="0"/>
          <c:extLst>
            <c:ext xmlns:c16="http://schemas.microsoft.com/office/drawing/2014/chart" uri="{C3380CC4-5D6E-409C-BE32-E72D297353CC}">
              <c16:uniqueId val="{00000000-1C93-4288-AF66-F67EBEF016F1}"/>
            </c:ext>
          </c:extLst>
        </c:ser>
        <c:ser>
          <c:idx val="0"/>
          <c:order val="1"/>
          <c:tx>
            <c:strRef>
              <c:f>'VVP2'!$D$131:$E$131</c:f>
              <c:strCache>
                <c:ptCount val="2"/>
                <c:pt idx="0">
                  <c:v> </c:v>
                </c:pt>
                <c:pt idx="1">
                  <c:v>Gross domestic product (B.1g - constant prices)</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val>
            <c:numRef>
              <c:f>'VVP2'!$G$131:$AG$131</c:f>
              <c:numCache>
                <c:formatCode>0.0</c:formatCode>
                <c:ptCount val="27"/>
                <c:pt idx="1">
                  <c:v>1.5190345789658943</c:v>
                </c:pt>
                <c:pt idx="2">
                  <c:v>2.9123066792213548</c:v>
                </c:pt>
                <c:pt idx="3">
                  <c:v>4.2409560508338551</c:v>
                </c:pt>
                <c:pt idx="4">
                  <c:v>4.4867022926029954</c:v>
                </c:pt>
                <c:pt idx="5">
                  <c:v>4.7456166368949892</c:v>
                </c:pt>
                <c:pt idx="6">
                  <c:v>1.5734459634978881</c:v>
                </c:pt>
                <c:pt idx="7">
                  <c:v>2.0753008012419194</c:v>
                </c:pt>
                <c:pt idx="8">
                  <c:v>2.3597762270646028</c:v>
                </c:pt>
                <c:pt idx="9">
                  <c:v>4.310783239085425</c:v>
                </c:pt>
                <c:pt idx="10">
                  <c:v>2.8166773859819028</c:v>
                </c:pt>
                <c:pt idx="11">
                  <c:v>4.6995582969571181</c:v>
                </c:pt>
                <c:pt idx="12">
                  <c:v>3.4080983285069921</c:v>
                </c:pt>
                <c:pt idx="13">
                  <c:v>-0.55705795199625374</c:v>
                </c:pt>
                <c:pt idx="14">
                  <c:v>-5.1958979284636442</c:v>
                </c:pt>
                <c:pt idx="15">
                  <c:v>5.9919680665020847</c:v>
                </c:pt>
                <c:pt idx="16">
                  <c:v>2.6792280204686714</c:v>
                </c:pt>
                <c:pt idx="17">
                  <c:v>-0.29851237313677226</c:v>
                </c:pt>
                <c:pt idx="18">
                  <c:v>1.238349337689959</c:v>
                </c:pt>
                <c:pt idx="19">
                  <c:v>2.601902927795896</c:v>
                </c:pt>
                <c:pt idx="20">
                  <c:v>4.456568925371962</c:v>
                </c:pt>
                <c:pt idx="21">
                  <c:v>2.6839662785306029</c:v>
                </c:pt>
                <c:pt idx="22">
                  <c:v>2.1141964181437434</c:v>
                </c:pt>
                <c:pt idx="23" formatCode="0.00">
                  <c:v>2.3754579714468482</c:v>
                </c:pt>
                <c:pt idx="24" formatCode="0.00">
                  <c:v>1.7607506553809715</c:v>
                </c:pt>
                <c:pt idx="25" formatCode="0.00">
                  <c:v>1.7609205310281206</c:v>
                </c:pt>
              </c:numCache>
            </c:numRef>
          </c:val>
          <c:smooth val="0"/>
          <c:extLst>
            <c:ext xmlns:c16="http://schemas.microsoft.com/office/drawing/2014/chart" uri="{C3380CC4-5D6E-409C-BE32-E72D297353CC}">
              <c16:uniqueId val="{00000001-1C93-4288-AF66-F67EBEF016F1}"/>
            </c:ext>
          </c:extLst>
        </c:ser>
        <c:dLbls>
          <c:showLegendKey val="0"/>
          <c:showVal val="0"/>
          <c:showCatName val="0"/>
          <c:showSerName val="0"/>
          <c:showPercent val="0"/>
          <c:showBubbleSize val="0"/>
        </c:dLbls>
        <c:marker val="1"/>
        <c:smooth val="0"/>
        <c:axId val="224295936"/>
        <c:axId val="224330880"/>
      </c:lineChart>
      <c:catAx>
        <c:axId val="224295936"/>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24330880"/>
        <c:crosses val="autoZero"/>
        <c:auto val="1"/>
        <c:lblAlgn val="ctr"/>
        <c:lblOffset val="100"/>
        <c:tickLblSkip val="2"/>
        <c:tickMarkSkip val="1"/>
        <c:noMultiLvlLbl val="0"/>
      </c:catAx>
      <c:valAx>
        <c:axId val="224330880"/>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24295936"/>
        <c:crosses val="autoZero"/>
        <c:crossBetween val="midCat"/>
      </c:valAx>
      <c:spPr>
        <a:noFill/>
        <a:ln w="12700">
          <a:solidFill>
            <a:srgbClr val="808080"/>
          </a:solidFill>
          <a:prstDash val="solid"/>
        </a:ln>
      </c:spPr>
    </c:plotArea>
    <c:legend>
      <c:legendPos val="r"/>
      <c:layout>
        <c:manualLayout>
          <c:xMode val="edge"/>
          <c:yMode val="edge"/>
          <c:x val="0.13571464071561293"/>
          <c:y val="0.85714534838096512"/>
          <c:w val="0.72678761541124293"/>
          <c:h val="0.12121247350841932"/>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GB"/>
              <a:t>Exports of goods and services (VOL)</a:t>
            </a:r>
          </a:p>
        </c:rich>
      </c:tx>
      <c:layout>
        <c:manualLayout>
          <c:xMode val="edge"/>
          <c:yMode val="edge"/>
          <c:x val="0.24330380577427821"/>
          <c:y val="3.3707865168539325E-2"/>
        </c:manualLayout>
      </c:layout>
      <c:overlay val="0"/>
      <c:spPr>
        <a:noFill/>
        <a:ln w="25400">
          <a:noFill/>
        </a:ln>
      </c:spPr>
    </c:title>
    <c:autoTitleDeleted val="0"/>
    <c:plotArea>
      <c:layout>
        <c:manualLayout>
          <c:layoutTarget val="inner"/>
          <c:xMode val="edge"/>
          <c:yMode val="edge"/>
          <c:x val="0.10044653804946686"/>
          <c:y val="0.17696629213483145"/>
          <c:w val="0.83259019316558092"/>
          <c:h val="0.6179775280898876"/>
        </c:manualLayout>
      </c:layout>
      <c:lineChart>
        <c:grouping val="standard"/>
        <c:varyColors val="0"/>
        <c:ser>
          <c:idx val="1"/>
          <c:order val="0"/>
          <c:tx>
            <c:strRef>
              <c:f>'VVP2'!$D$87:$E$87</c:f>
              <c:strCache>
                <c:ptCount val="2"/>
                <c:pt idx="0">
                  <c:v> </c:v>
                </c:pt>
                <c:pt idx="1">
                  <c:v>Exports of services (P.62)</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'VVP2'!$G$87:$AG$87</c:f>
              <c:numCache>
                <c:formatCode>0.0</c:formatCode>
                <c:ptCount val="27"/>
                <c:pt idx="1">
                  <c:v>0.72311812520173824</c:v>
                </c:pt>
                <c:pt idx="2">
                  <c:v>15.58630979487523</c:v>
                </c:pt>
                <c:pt idx="3">
                  <c:v>10.587069316342479</c:v>
                </c:pt>
                <c:pt idx="4">
                  <c:v>11.260400206163368</c:v>
                </c:pt>
                <c:pt idx="5">
                  <c:v>11.485426230113237</c:v>
                </c:pt>
                <c:pt idx="6">
                  <c:v>12.988124877386277</c:v>
                </c:pt>
                <c:pt idx="7">
                  <c:v>-2.1581970881732748</c:v>
                </c:pt>
                <c:pt idx="8">
                  <c:v>1.5989186266399003</c:v>
                </c:pt>
                <c:pt idx="9">
                  <c:v>9.0304525135710421</c:v>
                </c:pt>
                <c:pt idx="10">
                  <c:v>9.6335521613301278</c:v>
                </c:pt>
                <c:pt idx="11">
                  <c:v>9.2183346801920187</c:v>
                </c:pt>
                <c:pt idx="12">
                  <c:v>10.134076214473552</c:v>
                </c:pt>
                <c:pt idx="13">
                  <c:v>5.8780654182940983</c:v>
                </c:pt>
                <c:pt idx="14">
                  <c:v>-1.3902461879388817</c:v>
                </c:pt>
                <c:pt idx="15">
                  <c:v>2.1683425441429982</c:v>
                </c:pt>
                <c:pt idx="16">
                  <c:v>3.9856035935399436</c:v>
                </c:pt>
                <c:pt idx="17">
                  <c:v>3.0419666627224506</c:v>
                </c:pt>
                <c:pt idx="18">
                  <c:v>4.9544299262516356</c:v>
                </c:pt>
                <c:pt idx="19">
                  <c:v>10.448979540298065</c:v>
                </c:pt>
                <c:pt idx="20">
                  <c:v>10.666697229302692</c:v>
                </c:pt>
                <c:pt idx="21">
                  <c:v>4.35564963337709</c:v>
                </c:pt>
                <c:pt idx="22">
                  <c:v>-0.29525342266467636</c:v>
                </c:pt>
                <c:pt idx="23" formatCode="0.00">
                  <c:v>3.19</c:v>
                </c:pt>
                <c:pt idx="24" formatCode="0.00">
                  <c:v>2.99</c:v>
                </c:pt>
                <c:pt idx="25" formatCode="0.00">
                  <c:v>2.99</c:v>
                </c:pt>
              </c:numCache>
            </c:numRef>
          </c:val>
          <c:smooth val="0"/>
          <c:extLst>
            <c:ext xmlns:c16="http://schemas.microsoft.com/office/drawing/2014/chart" uri="{C3380CC4-5D6E-409C-BE32-E72D297353CC}">
              <c16:uniqueId val="{00000000-94CD-46F0-B4FD-DC9979772C85}"/>
            </c:ext>
          </c:extLst>
        </c:ser>
        <c:ser>
          <c:idx val="2"/>
          <c:order val="1"/>
          <c:tx>
            <c:strRef>
              <c:f>'VVP2'!$D$88:$E$88</c:f>
              <c:strCache>
                <c:ptCount val="2"/>
                <c:pt idx="0">
                  <c:v> </c:v>
                </c:pt>
                <c:pt idx="1">
                  <c:v>Exports of goods (P.61)</c:v>
                </c:pt>
              </c:strCache>
            </c:strRef>
          </c:tx>
          <c:spPr>
            <a:ln w="25400">
              <a:solidFill>
                <a:srgbClr val="008000"/>
              </a:solidFill>
              <a:prstDash val="solid"/>
            </a:ln>
          </c:spPr>
          <c:marker>
            <c:symbol val="square"/>
            <c:size val="5"/>
            <c:spPr>
              <a:solidFill>
                <a:srgbClr val="FFFFFF"/>
              </a:solidFill>
              <a:ln>
                <a:solidFill>
                  <a:srgbClr val="008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'VVP2'!$G$88:$AG$88</c:f>
              <c:numCache>
                <c:formatCode>0.0</c:formatCode>
                <c:ptCount val="27"/>
                <c:pt idx="1">
                  <c:v>4.8045048294636183</c:v>
                </c:pt>
                <c:pt idx="2">
                  <c:v>13.534050047945545</c:v>
                </c:pt>
                <c:pt idx="3">
                  <c:v>8.5920176188416075</c:v>
                </c:pt>
                <c:pt idx="4">
                  <c:v>6.3418248930507293</c:v>
                </c:pt>
                <c:pt idx="5">
                  <c:v>11.747955234444385</c:v>
                </c:pt>
                <c:pt idx="6">
                  <c:v>-2.2511076593602075</c:v>
                </c:pt>
                <c:pt idx="7">
                  <c:v>2.288567107184214</c:v>
                </c:pt>
                <c:pt idx="8">
                  <c:v>4.8713156445337802</c:v>
                </c:pt>
                <c:pt idx="9">
                  <c:v>11.207407545979242</c:v>
                </c:pt>
                <c:pt idx="10">
                  <c:v>5.7885898929463941</c:v>
                </c:pt>
                <c:pt idx="11">
                  <c:v>8.501451542137195</c:v>
                </c:pt>
                <c:pt idx="12">
                  <c:v>2.855411247593076</c:v>
                </c:pt>
                <c:pt idx="13">
                  <c:v>0.78071377951367538</c:v>
                </c:pt>
                <c:pt idx="14">
                  <c:v>-18.739947502309008</c:v>
                </c:pt>
                <c:pt idx="15">
                  <c:v>15.784702388624616</c:v>
                </c:pt>
                <c:pt idx="16">
                  <c:v>6.8443516348343669</c:v>
                </c:pt>
                <c:pt idx="17">
                  <c:v>0.26255010317264293</c:v>
                </c:pt>
                <c:pt idx="18">
                  <c:v>-2.8802447919689111</c:v>
                </c:pt>
                <c:pt idx="19">
                  <c:v>3.1434433908073434</c:v>
                </c:pt>
                <c:pt idx="20">
                  <c:v>3.5191695773266085</c:v>
                </c:pt>
                <c:pt idx="21">
                  <c:v>2.3123418411364671</c:v>
                </c:pt>
                <c:pt idx="22">
                  <c:v>4.9543854790373931</c:v>
                </c:pt>
                <c:pt idx="23" formatCode="0.00">
                  <c:v>3.55</c:v>
                </c:pt>
                <c:pt idx="24" formatCode="0.00">
                  <c:v>3.35</c:v>
                </c:pt>
                <c:pt idx="25" formatCode="0.00">
                  <c:v>3.02</c:v>
                </c:pt>
              </c:numCache>
            </c:numRef>
          </c:val>
          <c:smooth val="0"/>
          <c:extLst>
            <c:ext xmlns:c16="http://schemas.microsoft.com/office/drawing/2014/chart" uri="{C3380CC4-5D6E-409C-BE32-E72D297353CC}">
              <c16:uniqueId val="{00000001-94CD-46F0-B4FD-DC9979772C85}"/>
            </c:ext>
          </c:extLst>
        </c:ser>
        <c:dLbls>
          <c:showLegendKey val="0"/>
          <c:showVal val="0"/>
          <c:showCatName val="0"/>
          <c:showSerName val="0"/>
          <c:showPercent val="0"/>
          <c:showBubbleSize val="0"/>
        </c:dLbls>
        <c:marker val="1"/>
        <c:smooth val="0"/>
        <c:axId val="224355840"/>
        <c:axId val="224357760"/>
      </c:lineChart>
      <c:catAx>
        <c:axId val="224355840"/>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24357760"/>
        <c:crosses val="autoZero"/>
        <c:auto val="1"/>
        <c:lblAlgn val="ctr"/>
        <c:lblOffset val="100"/>
        <c:tickLblSkip val="2"/>
        <c:tickMarkSkip val="1"/>
        <c:noMultiLvlLbl val="0"/>
      </c:catAx>
      <c:valAx>
        <c:axId val="224357760"/>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24355840"/>
        <c:crosses val="autoZero"/>
        <c:crossBetween val="midCat"/>
      </c:valAx>
      <c:spPr>
        <a:noFill/>
        <a:ln w="12700">
          <a:solidFill>
            <a:srgbClr val="808080"/>
          </a:solidFill>
          <a:prstDash val="solid"/>
        </a:ln>
      </c:spPr>
    </c:plotArea>
    <c:legend>
      <c:legendPos val="r"/>
      <c:layout>
        <c:manualLayout>
          <c:xMode val="edge"/>
          <c:yMode val="edge"/>
          <c:x val="6.0714444530668939E-2"/>
          <c:y val="0.91540348306356445"/>
          <c:w val="0.84464506655901206"/>
          <c:h val="6.2906874428538789E-2"/>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GB"/>
              <a:t>Imports and final demand (VOL)</a:t>
            </a:r>
          </a:p>
        </c:rich>
      </c:tx>
      <c:layout>
        <c:manualLayout>
          <c:xMode val="edge"/>
          <c:yMode val="edge"/>
          <c:x val="0.27008952005999248"/>
          <c:y val="3.3613445378151259E-2"/>
        </c:manualLayout>
      </c:layout>
      <c:overlay val="0"/>
      <c:spPr>
        <a:noFill/>
        <a:ln w="25400">
          <a:noFill/>
        </a:ln>
      </c:spPr>
    </c:title>
    <c:autoTitleDeleted val="0"/>
    <c:plotArea>
      <c:layout>
        <c:manualLayout>
          <c:layoutTarget val="inner"/>
          <c:xMode val="edge"/>
          <c:yMode val="edge"/>
          <c:x val="0.10044653804946686"/>
          <c:y val="0.17647107096647127"/>
          <c:w val="0.83259019316558092"/>
          <c:h val="0.61904931243793893"/>
        </c:manualLayout>
      </c:layout>
      <c:lineChart>
        <c:grouping val="standard"/>
        <c:varyColors val="0"/>
        <c:ser>
          <c:idx val="2"/>
          <c:order val="0"/>
          <c:tx>
            <c:strRef>
              <c:f>'VVP2'!$D$111:$E$111</c:f>
              <c:strCache>
                <c:ptCount val="2"/>
                <c:pt idx="0">
                  <c:v> </c:v>
                </c:pt>
                <c:pt idx="1">
                  <c:v>Imports of goods and services (P.7)</c:v>
                </c:pt>
              </c:strCache>
            </c:strRef>
          </c:tx>
          <c:spPr>
            <a:ln w="25400">
              <a:solidFill>
                <a:srgbClr val="0000FF"/>
              </a:solidFill>
              <a:prstDash val="solid"/>
            </a:ln>
          </c:spPr>
          <c:marker>
            <c:symbol val="square"/>
            <c:size val="5"/>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'VVP2'!$G$111:$AG$111</c:f>
              <c:numCache>
                <c:formatCode>0.0</c:formatCode>
                <c:ptCount val="27"/>
                <c:pt idx="1">
                  <c:v>3.4415688806118672</c:v>
                </c:pt>
                <c:pt idx="2">
                  <c:v>12.447529538926227</c:v>
                </c:pt>
                <c:pt idx="3">
                  <c:v>11.309723519161397</c:v>
                </c:pt>
                <c:pt idx="4">
                  <c:v>5.1182125579971371</c:v>
                </c:pt>
                <c:pt idx="5">
                  <c:v>11.748978839705426</c:v>
                </c:pt>
                <c:pt idx="6">
                  <c:v>-1.7176018162364359</c:v>
                </c:pt>
                <c:pt idx="7">
                  <c:v>-1.2552400156743193</c:v>
                </c:pt>
                <c:pt idx="8">
                  <c:v>3.8200480588271191</c:v>
                </c:pt>
                <c:pt idx="9">
                  <c:v>6.6055180832125249</c:v>
                </c:pt>
                <c:pt idx="10">
                  <c:v>6.992806437949084</c:v>
                </c:pt>
                <c:pt idx="11">
                  <c:v>8.2253151642083022</c:v>
                </c:pt>
                <c:pt idx="12">
                  <c:v>7.6344513455179897</c:v>
                </c:pt>
                <c:pt idx="13">
                  <c:v>3.7913617738353</c:v>
                </c:pt>
                <c:pt idx="14">
                  <c:v>-14.077541113949332</c:v>
                </c:pt>
                <c:pt idx="15">
                  <c:v>12.777842492885117</c:v>
                </c:pt>
                <c:pt idx="16">
                  <c:v>7.3433119903659971</c:v>
                </c:pt>
                <c:pt idx="17">
                  <c:v>0.48217373864523072</c:v>
                </c:pt>
                <c:pt idx="18">
                  <c:v>-0.11819970990073481</c:v>
                </c:pt>
                <c:pt idx="19">
                  <c:v>6.2807792828370346</c:v>
                </c:pt>
                <c:pt idx="20">
                  <c:v>5.2435642523264603</c:v>
                </c:pt>
                <c:pt idx="21">
                  <c:v>4.305329554581605</c:v>
                </c:pt>
                <c:pt idx="22">
                  <c:v>4.7513044883088495</c:v>
                </c:pt>
                <c:pt idx="23" formatCode="0.00">
                  <c:v>3.7150562755494221</c:v>
                </c:pt>
                <c:pt idx="24" formatCode="0.00">
                  <c:v>3.1985284206106801</c:v>
                </c:pt>
                <c:pt idx="25" formatCode="0.00">
                  <c:v>3.147397647390715</c:v>
                </c:pt>
              </c:numCache>
            </c:numRef>
          </c:val>
          <c:smooth val="0"/>
          <c:extLst>
            <c:ext xmlns:c16="http://schemas.microsoft.com/office/drawing/2014/chart" uri="{C3380CC4-5D6E-409C-BE32-E72D297353CC}">
              <c16:uniqueId val="{00000000-72E5-4995-9480-CE3D7CB7C7F3}"/>
            </c:ext>
          </c:extLst>
        </c:ser>
        <c:ser>
          <c:idx val="0"/>
          <c:order val="1"/>
          <c:tx>
            <c:strRef>
              <c:f>'VVP2'!$D$100:$E$100</c:f>
              <c:strCache>
                <c:ptCount val="2"/>
                <c:pt idx="0">
                  <c:v> </c:v>
                </c:pt>
                <c:pt idx="1">
                  <c:v>Final demand</c:v>
                </c:pt>
              </c:strCache>
            </c:strRef>
          </c:tx>
          <c:spPr>
            <a:ln w="25400">
              <a:solidFill>
                <a:srgbClr val="FF0000"/>
              </a:solidFill>
              <a:prstDash val="solid"/>
            </a:ln>
          </c:spPr>
          <c:marker>
            <c:symbol val="circle"/>
            <c:size val="5"/>
            <c:spPr>
              <a:solidFill>
                <a:srgbClr val="FFFFFF"/>
              </a:solidFill>
              <a:ln>
                <a:solidFill>
                  <a:srgbClr val="FF0000"/>
                </a:solidFill>
                <a:prstDash val="solid"/>
              </a:ln>
            </c:spPr>
          </c:marker>
          <c:val>
            <c:numRef>
              <c:f>'VVP2'!$G$100:$AG$100</c:f>
              <c:numCache>
                <c:formatCode>0.0</c:formatCode>
                <c:ptCount val="27"/>
                <c:pt idx="1">
                  <c:v>1.9805813619360402</c:v>
                </c:pt>
                <c:pt idx="2">
                  <c:v>5.1474261933431853</c:v>
                </c:pt>
                <c:pt idx="3">
                  <c:v>5.9971750721439454</c:v>
                </c:pt>
                <c:pt idx="4">
                  <c:v>4.649267991579964</c:v>
                </c:pt>
                <c:pt idx="5">
                  <c:v>6.5585641192303479</c:v>
                </c:pt>
                <c:pt idx="6">
                  <c:v>0.66414651652937362</c:v>
                </c:pt>
                <c:pt idx="7">
                  <c:v>1.1675826581507787</c:v>
                </c:pt>
                <c:pt idx="8">
                  <c:v>2.7440888399857144</c:v>
                </c:pt>
                <c:pt idx="9">
                  <c:v>4.9039748065089261</c:v>
                </c:pt>
                <c:pt idx="10">
                  <c:v>3.9177274950002339</c:v>
                </c:pt>
                <c:pt idx="11">
                  <c:v>5.6825172589232142</c:v>
                </c:pt>
                <c:pt idx="12">
                  <c:v>4.6274627211569719</c:v>
                </c:pt>
                <c:pt idx="13">
                  <c:v>0.7124538635312927</c:v>
                </c:pt>
                <c:pt idx="14">
                  <c:v>-7.8879710202097053</c:v>
                </c:pt>
                <c:pt idx="15">
                  <c:v>7.8835842944986689</c:v>
                </c:pt>
                <c:pt idx="16">
                  <c:v>4.0277711710697606</c:v>
                </c:pt>
                <c:pt idx="17">
                  <c:v>-6.7906968742914575E-2</c:v>
                </c:pt>
                <c:pt idx="18">
                  <c:v>0.84152950077704958</c:v>
                </c:pt>
                <c:pt idx="19">
                  <c:v>3.6388946708489689</c:v>
                </c:pt>
                <c:pt idx="20">
                  <c:v>4.6841078563585103</c:v>
                </c:pt>
                <c:pt idx="21">
                  <c:v>3.1527559378496051</c:v>
                </c:pt>
                <c:pt idx="22">
                  <c:v>2.8672878622598486</c:v>
                </c:pt>
                <c:pt idx="23" formatCode="0.00">
                  <c:v>2.769414236726675</c:v>
                </c:pt>
                <c:pt idx="24" formatCode="0.00">
                  <c:v>2.198032091890223</c:v>
                </c:pt>
                <c:pt idx="25" formatCode="0.00">
                  <c:v>2.1891772277512045</c:v>
                </c:pt>
              </c:numCache>
            </c:numRef>
          </c:val>
          <c:smooth val="0"/>
          <c:extLst>
            <c:ext xmlns:c16="http://schemas.microsoft.com/office/drawing/2014/chart" uri="{C3380CC4-5D6E-409C-BE32-E72D297353CC}">
              <c16:uniqueId val="{00000001-72E5-4995-9480-CE3D7CB7C7F3}"/>
            </c:ext>
          </c:extLst>
        </c:ser>
        <c:dLbls>
          <c:showLegendKey val="0"/>
          <c:showVal val="0"/>
          <c:showCatName val="0"/>
          <c:showSerName val="0"/>
          <c:showPercent val="0"/>
          <c:showBubbleSize val="0"/>
        </c:dLbls>
        <c:marker val="1"/>
        <c:smooth val="0"/>
        <c:axId val="224395264"/>
        <c:axId val="224397184"/>
      </c:lineChart>
      <c:catAx>
        <c:axId val="224395264"/>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24397184"/>
        <c:crosses val="autoZero"/>
        <c:auto val="1"/>
        <c:lblAlgn val="ctr"/>
        <c:lblOffset val="100"/>
        <c:tickLblSkip val="2"/>
        <c:tickMarkSkip val="1"/>
        <c:noMultiLvlLbl val="0"/>
      </c:catAx>
      <c:valAx>
        <c:axId val="224397184"/>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24395264"/>
        <c:crosses val="autoZero"/>
        <c:crossBetween val="midCat"/>
      </c:valAx>
      <c:spPr>
        <a:noFill/>
        <a:ln w="12700">
          <a:solidFill>
            <a:srgbClr val="808080"/>
          </a:solidFill>
          <a:prstDash val="solid"/>
        </a:ln>
      </c:spPr>
    </c:plotArea>
    <c:legend>
      <c:legendPos val="r"/>
      <c:layout>
        <c:manualLayout>
          <c:xMode val="edge"/>
          <c:yMode val="edge"/>
          <c:x val="6.6071601401022084E-2"/>
          <c:y val="0.91558707667966743"/>
          <c:w val="0.83571647177509023"/>
          <c:h val="6.2770745209717135E-2"/>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GB"/>
              <a:t>Imports of goods and services (VOL)</a:t>
            </a:r>
          </a:p>
        </c:rich>
      </c:tx>
      <c:layout>
        <c:manualLayout>
          <c:xMode val="edge"/>
          <c:yMode val="edge"/>
          <c:x val="0.24330380577427821"/>
          <c:y val="3.3519553072625698E-2"/>
        </c:manualLayout>
      </c:layout>
      <c:overlay val="0"/>
      <c:spPr>
        <a:noFill/>
        <a:ln w="25400">
          <a:noFill/>
        </a:ln>
      </c:spPr>
    </c:title>
    <c:autoTitleDeleted val="0"/>
    <c:plotArea>
      <c:layout>
        <c:manualLayout>
          <c:layoutTarget val="inner"/>
          <c:xMode val="edge"/>
          <c:yMode val="edge"/>
          <c:x val="0.10044653804946686"/>
          <c:y val="0.17597789365001643"/>
          <c:w val="0.83259019316558092"/>
          <c:h val="0.6201125776238674"/>
        </c:manualLayout>
      </c:layout>
      <c:lineChart>
        <c:grouping val="standard"/>
        <c:varyColors val="0"/>
        <c:ser>
          <c:idx val="1"/>
          <c:order val="0"/>
          <c:tx>
            <c:strRef>
              <c:f>'VVP2'!$D$109:$E$109</c:f>
              <c:strCache>
                <c:ptCount val="2"/>
                <c:pt idx="0">
                  <c:v> </c:v>
                </c:pt>
                <c:pt idx="1">
                  <c:v>Imports of services (P.72)</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'VVP2'!$G$109:$AG$109</c:f>
              <c:numCache>
                <c:formatCode>0.0</c:formatCode>
                <c:ptCount val="27"/>
                <c:pt idx="1">
                  <c:v>6.1169903809668025</c:v>
                </c:pt>
                <c:pt idx="2">
                  <c:v>15.577437706675145</c:v>
                </c:pt>
                <c:pt idx="3">
                  <c:v>14.827275596785384</c:v>
                </c:pt>
                <c:pt idx="4">
                  <c:v>7.6959839919246376</c:v>
                </c:pt>
                <c:pt idx="5">
                  <c:v>10.653321849983467</c:v>
                </c:pt>
                <c:pt idx="6">
                  <c:v>5.5398202695345899</c:v>
                </c:pt>
                <c:pt idx="7">
                  <c:v>-3.333597317465431</c:v>
                </c:pt>
                <c:pt idx="8">
                  <c:v>-1.4927718019906555</c:v>
                </c:pt>
                <c:pt idx="9">
                  <c:v>3.3979680188742423</c:v>
                </c:pt>
                <c:pt idx="10">
                  <c:v>5.7246002215651126</c:v>
                </c:pt>
                <c:pt idx="11">
                  <c:v>4.4095035092178492</c:v>
                </c:pt>
                <c:pt idx="12">
                  <c:v>9.7051147322587905</c:v>
                </c:pt>
                <c:pt idx="13">
                  <c:v>6.2772465352963547</c:v>
                </c:pt>
                <c:pt idx="14">
                  <c:v>-7.1400562973864883</c:v>
                </c:pt>
                <c:pt idx="15">
                  <c:v>2.2824453337304318</c:v>
                </c:pt>
                <c:pt idx="16">
                  <c:v>3.6726295829728306</c:v>
                </c:pt>
                <c:pt idx="17">
                  <c:v>4.333271597072752</c:v>
                </c:pt>
                <c:pt idx="18">
                  <c:v>4.0729012477920268</c:v>
                </c:pt>
                <c:pt idx="19">
                  <c:v>10.364960314757866</c:v>
                </c:pt>
                <c:pt idx="20">
                  <c:v>4.8813066967150487</c:v>
                </c:pt>
                <c:pt idx="21">
                  <c:v>0.88899408358547038</c:v>
                </c:pt>
                <c:pt idx="22">
                  <c:v>6.3907696063153718</c:v>
                </c:pt>
                <c:pt idx="23" formatCode="0.00">
                  <c:v>3.05</c:v>
                </c:pt>
                <c:pt idx="24" formatCode="0.00">
                  <c:v>2.83</c:v>
                </c:pt>
                <c:pt idx="25" formatCode="0.00">
                  <c:v>3.21</c:v>
                </c:pt>
              </c:numCache>
            </c:numRef>
          </c:val>
          <c:smooth val="0"/>
          <c:extLst>
            <c:ext xmlns:c16="http://schemas.microsoft.com/office/drawing/2014/chart" uri="{C3380CC4-5D6E-409C-BE32-E72D297353CC}">
              <c16:uniqueId val="{00000000-8550-4684-809B-A1714A7CB99B}"/>
            </c:ext>
          </c:extLst>
        </c:ser>
        <c:ser>
          <c:idx val="2"/>
          <c:order val="1"/>
          <c:tx>
            <c:strRef>
              <c:f>'VVP2'!$D$110:$E$110</c:f>
              <c:strCache>
                <c:ptCount val="2"/>
                <c:pt idx="0">
                  <c:v> </c:v>
                </c:pt>
                <c:pt idx="1">
                  <c:v>Imports of goods (P.71)</c:v>
                </c:pt>
              </c:strCache>
            </c:strRef>
          </c:tx>
          <c:spPr>
            <a:ln w="25400">
              <a:solidFill>
                <a:srgbClr val="008000"/>
              </a:solidFill>
              <a:prstDash val="solid"/>
            </a:ln>
          </c:spPr>
          <c:marker>
            <c:symbol val="square"/>
            <c:size val="5"/>
            <c:spPr>
              <a:solidFill>
                <a:srgbClr val="FFFFFF"/>
              </a:solidFill>
              <a:ln>
                <a:solidFill>
                  <a:srgbClr val="008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'VVP2'!$G$110:$AG$110</c:f>
              <c:numCache>
                <c:formatCode>0.0</c:formatCode>
                <c:ptCount val="27"/>
                <c:pt idx="1">
                  <c:v>2.6202141916089827</c:v>
                </c:pt>
                <c:pt idx="2">
                  <c:v>11.419627606500837</c:v>
                </c:pt>
                <c:pt idx="3">
                  <c:v>10.106965513186861</c:v>
                </c:pt>
                <c:pt idx="4">
                  <c:v>4.1957887291303786</c:v>
                </c:pt>
                <c:pt idx="5">
                  <c:v>12.158062825256422</c:v>
                </c:pt>
                <c:pt idx="6">
                  <c:v>-4.3437727175751455</c:v>
                </c:pt>
                <c:pt idx="7">
                  <c:v>-0.40217126252505286</c:v>
                </c:pt>
                <c:pt idx="8">
                  <c:v>5.9808701432483291</c:v>
                </c:pt>
                <c:pt idx="9">
                  <c:v>7.8453751344399913</c:v>
                </c:pt>
                <c:pt idx="10">
                  <c:v>7.4670793672974911</c:v>
                </c:pt>
                <c:pt idx="11">
                  <c:v>9.6045088461140118</c:v>
                </c:pt>
                <c:pt idx="12">
                  <c:v>6.9381813413658788</c:v>
                </c:pt>
                <c:pt idx="13">
                  <c:v>2.9212371565577433</c:v>
                </c:pt>
                <c:pt idx="14">
                  <c:v>-16.578019730312409</c:v>
                </c:pt>
                <c:pt idx="15">
                  <c:v>17.194558024366557</c:v>
                </c:pt>
                <c:pt idx="16">
                  <c:v>8.6687935651744485</c:v>
                </c:pt>
                <c:pt idx="17">
                  <c:v>-0.84808310531920839</c:v>
                </c:pt>
                <c:pt idx="18">
                  <c:v>-1.6849708057331436</c:v>
                </c:pt>
                <c:pt idx="19">
                  <c:v>4.6097291357892978</c:v>
                </c:pt>
                <c:pt idx="20">
                  <c:v>5.4030409567209059</c:v>
                </c:pt>
                <c:pt idx="21">
                  <c:v>5.86845056686498</c:v>
                </c:pt>
                <c:pt idx="22">
                  <c:v>4.0222811279401194</c:v>
                </c:pt>
                <c:pt idx="23" formatCode="0.00">
                  <c:v>4.01</c:v>
                </c:pt>
                <c:pt idx="24" formatCode="0.00">
                  <c:v>3.36</c:v>
                </c:pt>
                <c:pt idx="25" formatCode="0.00">
                  <c:v>3.12</c:v>
                </c:pt>
              </c:numCache>
            </c:numRef>
          </c:val>
          <c:smooth val="0"/>
          <c:extLst>
            <c:ext xmlns:c16="http://schemas.microsoft.com/office/drawing/2014/chart" uri="{C3380CC4-5D6E-409C-BE32-E72D297353CC}">
              <c16:uniqueId val="{00000001-8550-4684-809B-A1714A7CB99B}"/>
            </c:ext>
          </c:extLst>
        </c:ser>
        <c:dLbls>
          <c:showLegendKey val="0"/>
          <c:showVal val="0"/>
          <c:showCatName val="0"/>
          <c:showSerName val="0"/>
          <c:showPercent val="0"/>
          <c:showBubbleSize val="0"/>
        </c:dLbls>
        <c:marker val="1"/>
        <c:smooth val="0"/>
        <c:axId val="224422144"/>
        <c:axId val="224457088"/>
      </c:lineChart>
      <c:catAx>
        <c:axId val="224422144"/>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24457088"/>
        <c:crosses val="autoZero"/>
        <c:auto val="1"/>
        <c:lblAlgn val="ctr"/>
        <c:lblOffset val="100"/>
        <c:tickLblSkip val="2"/>
        <c:tickMarkSkip val="1"/>
        <c:noMultiLvlLbl val="0"/>
      </c:catAx>
      <c:valAx>
        <c:axId val="224457088"/>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24422144"/>
        <c:crosses val="autoZero"/>
        <c:crossBetween val="midCat"/>
      </c:valAx>
      <c:spPr>
        <a:noFill/>
        <a:ln w="12700">
          <a:solidFill>
            <a:srgbClr val="808080"/>
          </a:solidFill>
          <a:prstDash val="solid"/>
        </a:ln>
      </c:spPr>
    </c:plotArea>
    <c:legend>
      <c:legendPos val="r"/>
      <c:layout>
        <c:manualLayout>
          <c:xMode val="edge"/>
          <c:yMode val="edge"/>
          <c:x val="6.6071601401022084E-2"/>
          <c:y val="0.91594827586206906"/>
          <c:w val="0.83571647177509023"/>
          <c:h val="6.25E-2"/>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GB"/>
              <a:t>Imports related to final demand (VOL)</a:t>
            </a:r>
          </a:p>
        </c:rich>
      </c:tx>
      <c:layout>
        <c:manualLayout>
          <c:xMode val="edge"/>
          <c:yMode val="edge"/>
          <c:x val="0.22991094863142106"/>
          <c:y val="3.3613445378151259E-2"/>
        </c:manualLayout>
      </c:layout>
      <c:overlay val="0"/>
      <c:spPr>
        <a:noFill/>
        <a:ln w="25400">
          <a:noFill/>
        </a:ln>
      </c:spPr>
    </c:title>
    <c:autoTitleDeleted val="0"/>
    <c:plotArea>
      <c:layout>
        <c:manualLayout>
          <c:layoutTarget val="inner"/>
          <c:xMode val="edge"/>
          <c:yMode val="edge"/>
          <c:x val="5.8035777539691968E-2"/>
          <c:y val="0.17647107096647127"/>
          <c:w val="0.88616168012529661"/>
          <c:h val="0.61624818432735995"/>
        </c:manualLayout>
      </c:layout>
      <c:scatterChart>
        <c:scatterStyle val="lineMarker"/>
        <c:varyColors val="0"/>
        <c:ser>
          <c:idx val="2"/>
          <c:order val="0"/>
          <c:tx>
            <c:strRef>
              <c:f>'VVP2'!$D$111:$E$111</c:f>
              <c:strCache>
                <c:ptCount val="2"/>
                <c:pt idx="1">
                  <c:v>Imports of goods and services (P.7)</c:v>
                </c:pt>
              </c:strCache>
            </c:strRef>
          </c:tx>
          <c:spPr>
            <a:ln w="28575">
              <a:noFill/>
            </a:ln>
          </c:spPr>
          <c:marker>
            <c:symbol val="circle"/>
            <c:size val="7"/>
            <c:spPr>
              <a:solidFill>
                <a:srgbClr val="FFFFFF"/>
              </a:solidFill>
              <a:ln>
                <a:solidFill>
                  <a:srgbClr val="0000FF"/>
                </a:solidFill>
                <a:prstDash val="solid"/>
              </a:ln>
            </c:spPr>
          </c:marker>
          <c:dLbls>
            <c:dLbl>
              <c:idx val="1"/>
              <c:tx>
                <c:rich>
                  <a:bodyPr/>
                  <a:lstStyle/>
                  <a:p>
                    <a:r>
                      <a:rPr lang="en-GB"/>
                      <a:t>1996</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C56-4A35-828A-A373B69E8939}"/>
                </c:ext>
              </c:extLst>
            </c:dLbl>
            <c:dLbl>
              <c:idx val="2"/>
              <c:tx>
                <c:rich>
                  <a:bodyPr/>
                  <a:lstStyle/>
                  <a:p>
                    <a:r>
                      <a:rPr lang="en-GB"/>
                      <a:t>1997</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C56-4A35-828A-A373B69E8939}"/>
                </c:ext>
              </c:extLst>
            </c:dLbl>
            <c:dLbl>
              <c:idx val="3"/>
              <c:tx>
                <c:rich>
                  <a:bodyPr/>
                  <a:lstStyle/>
                  <a:p>
                    <a:r>
                      <a:rPr lang="en-GB"/>
                      <a:t>1998</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C56-4A35-828A-A373B69E8939}"/>
                </c:ext>
              </c:extLst>
            </c:dLbl>
            <c:dLbl>
              <c:idx val="4"/>
              <c:tx>
                <c:rich>
                  <a:bodyPr/>
                  <a:lstStyle/>
                  <a:p>
                    <a:r>
                      <a:rPr lang="en-GB"/>
                      <a:t>1999</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C56-4A35-828A-A373B69E8939}"/>
                </c:ext>
              </c:extLst>
            </c:dLbl>
            <c:dLbl>
              <c:idx val="5"/>
              <c:tx>
                <c:rich>
                  <a:bodyPr/>
                  <a:lstStyle/>
                  <a:p>
                    <a:r>
                      <a:rPr lang="en-GB"/>
                      <a:t>2000</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8C56-4A35-828A-A373B69E8939}"/>
                </c:ext>
              </c:extLst>
            </c:dLbl>
            <c:dLbl>
              <c:idx val="6"/>
              <c:tx>
                <c:rich>
                  <a:bodyPr/>
                  <a:lstStyle/>
                  <a:p>
                    <a:r>
                      <a:rPr lang="en-GB"/>
                      <a:t>2001</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8C56-4A35-828A-A373B69E8939}"/>
                </c:ext>
              </c:extLst>
            </c:dLbl>
            <c:dLbl>
              <c:idx val="7"/>
              <c:tx>
                <c:rich>
                  <a:bodyPr/>
                  <a:lstStyle/>
                  <a:p>
                    <a:r>
                      <a:rPr lang="en-GB"/>
                      <a:t>2002</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8C56-4A35-828A-A373B69E8939}"/>
                </c:ext>
              </c:extLst>
            </c:dLbl>
            <c:dLbl>
              <c:idx val="8"/>
              <c:tx>
                <c:rich>
                  <a:bodyPr/>
                  <a:lstStyle/>
                  <a:p>
                    <a:r>
                      <a:rPr lang="en-GB"/>
                      <a:t>2003</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8C56-4A35-828A-A373B69E8939}"/>
                </c:ext>
              </c:extLst>
            </c:dLbl>
            <c:dLbl>
              <c:idx val="9"/>
              <c:tx>
                <c:rich>
                  <a:bodyPr/>
                  <a:lstStyle/>
                  <a:p>
                    <a:r>
                      <a:rPr lang="en-GB"/>
                      <a:t>2004</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8C56-4A35-828A-A373B69E8939}"/>
                </c:ext>
              </c:extLst>
            </c:dLbl>
            <c:dLbl>
              <c:idx val="10"/>
              <c:tx>
                <c:rich>
                  <a:bodyPr/>
                  <a:lstStyle/>
                  <a:p>
                    <a:r>
                      <a:rPr lang="en-GB"/>
                      <a:t>2005</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8C56-4A35-828A-A373B69E8939}"/>
                </c:ext>
              </c:extLst>
            </c:dLbl>
            <c:dLbl>
              <c:idx val="11"/>
              <c:tx>
                <c:rich>
                  <a:bodyPr/>
                  <a:lstStyle/>
                  <a:p>
                    <a:r>
                      <a:rPr lang="en-GB"/>
                      <a:t>2006</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8C56-4A35-828A-A373B69E8939}"/>
                </c:ext>
              </c:extLst>
            </c:dLbl>
            <c:dLbl>
              <c:idx val="12"/>
              <c:tx>
                <c:rich>
                  <a:bodyPr/>
                  <a:lstStyle/>
                  <a:p>
                    <a:r>
                      <a:rPr lang="en-GB"/>
                      <a:t>2007</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8C56-4A35-828A-A373B69E8939}"/>
                </c:ext>
              </c:extLst>
            </c:dLbl>
            <c:dLbl>
              <c:idx val="13"/>
              <c:tx>
                <c:rich>
                  <a:bodyPr/>
                  <a:lstStyle/>
                  <a:p>
                    <a:r>
                      <a:rPr lang="en-GB"/>
                      <a:t>2008</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8C56-4A35-828A-A373B69E8939}"/>
                </c:ext>
              </c:extLst>
            </c:dLbl>
            <c:dLbl>
              <c:idx val="14"/>
              <c:tx>
                <c:rich>
                  <a:bodyPr/>
                  <a:lstStyle/>
                  <a:p>
                    <a:r>
                      <a:rPr lang="en-GB"/>
                      <a:t>2009</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8C56-4A35-828A-A373B69E8939}"/>
                </c:ext>
              </c:extLst>
            </c:dLbl>
            <c:spPr>
              <a:noFill/>
              <a:ln w="25400">
                <a:noFill/>
              </a:ln>
            </c:spPr>
            <c:txPr>
              <a:bodyPr/>
              <a:lstStyle/>
              <a:p>
                <a:pPr>
                  <a:defRPr sz="800"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25400">
                <a:solidFill>
                  <a:srgbClr val="0000FF"/>
                </a:solidFill>
                <a:prstDash val="solid"/>
              </a:ln>
            </c:spPr>
            <c:trendlineType val="linear"/>
            <c:dispRSqr val="0"/>
            <c:dispEq val="0"/>
          </c:trendline>
          <c:xVal>
            <c:numRef>
              <c:f>'VVP2'!$G$100:$AG$100</c:f>
              <c:numCache>
                <c:formatCode>0.0</c:formatCode>
                <c:ptCount val="27"/>
                <c:pt idx="1">
                  <c:v>1.9805813619360402</c:v>
                </c:pt>
                <c:pt idx="2">
                  <c:v>5.1474261933431853</c:v>
                </c:pt>
                <c:pt idx="3">
                  <c:v>5.9971750721439454</c:v>
                </c:pt>
                <c:pt idx="4">
                  <c:v>4.649267991579964</c:v>
                </c:pt>
                <c:pt idx="5">
                  <c:v>6.5585641192303479</c:v>
                </c:pt>
                <c:pt idx="6">
                  <c:v>0.66414651652937362</c:v>
                </c:pt>
                <c:pt idx="7">
                  <c:v>1.1675826581507787</c:v>
                </c:pt>
                <c:pt idx="8">
                  <c:v>2.7440888399857144</c:v>
                </c:pt>
                <c:pt idx="9">
                  <c:v>4.9039748065089261</c:v>
                </c:pt>
                <c:pt idx="10">
                  <c:v>3.9177274950002339</c:v>
                </c:pt>
                <c:pt idx="11">
                  <c:v>5.6825172589232142</c:v>
                </c:pt>
                <c:pt idx="12">
                  <c:v>4.6274627211569719</c:v>
                </c:pt>
                <c:pt idx="13">
                  <c:v>0.7124538635312927</c:v>
                </c:pt>
                <c:pt idx="14">
                  <c:v>-7.8879710202097053</c:v>
                </c:pt>
                <c:pt idx="15">
                  <c:v>7.8835842944986689</c:v>
                </c:pt>
                <c:pt idx="16">
                  <c:v>4.0277711710697606</c:v>
                </c:pt>
                <c:pt idx="17">
                  <c:v>-6.7906968742914575E-2</c:v>
                </c:pt>
                <c:pt idx="18">
                  <c:v>0.84152950077704958</c:v>
                </c:pt>
                <c:pt idx="19">
                  <c:v>3.6388946708489689</c:v>
                </c:pt>
                <c:pt idx="20">
                  <c:v>4.6841078563585103</c:v>
                </c:pt>
                <c:pt idx="21">
                  <c:v>3.1527559378496051</c:v>
                </c:pt>
                <c:pt idx="22">
                  <c:v>2.8672878622598486</c:v>
                </c:pt>
                <c:pt idx="23" formatCode="0.00">
                  <c:v>2.769414236726675</c:v>
                </c:pt>
                <c:pt idx="24" formatCode="0.00">
                  <c:v>2.198032091890223</c:v>
                </c:pt>
                <c:pt idx="25" formatCode="0.00">
                  <c:v>2.1891772277512045</c:v>
                </c:pt>
              </c:numCache>
            </c:numRef>
          </c:xVal>
          <c:yVal>
            <c:numRef>
              <c:f>'VVP2'!$G$111:$AG$111</c:f>
              <c:numCache>
                <c:formatCode>0.0</c:formatCode>
                <c:ptCount val="27"/>
                <c:pt idx="1">
                  <c:v>3.4415688806118672</c:v>
                </c:pt>
                <c:pt idx="2">
                  <c:v>12.447529538926227</c:v>
                </c:pt>
                <c:pt idx="3">
                  <c:v>11.309723519161397</c:v>
                </c:pt>
                <c:pt idx="4">
                  <c:v>5.1182125579971371</c:v>
                </c:pt>
                <c:pt idx="5">
                  <c:v>11.748978839705426</c:v>
                </c:pt>
                <c:pt idx="6">
                  <c:v>-1.7176018162364359</c:v>
                </c:pt>
                <c:pt idx="7">
                  <c:v>-1.2552400156743193</c:v>
                </c:pt>
                <c:pt idx="8">
                  <c:v>3.8200480588271191</c:v>
                </c:pt>
                <c:pt idx="9">
                  <c:v>6.6055180832125249</c:v>
                </c:pt>
                <c:pt idx="10">
                  <c:v>6.992806437949084</c:v>
                </c:pt>
                <c:pt idx="11">
                  <c:v>8.2253151642083022</c:v>
                </c:pt>
                <c:pt idx="12">
                  <c:v>7.6344513455179897</c:v>
                </c:pt>
                <c:pt idx="13">
                  <c:v>3.7913617738353</c:v>
                </c:pt>
                <c:pt idx="14">
                  <c:v>-14.077541113949332</c:v>
                </c:pt>
                <c:pt idx="15">
                  <c:v>12.777842492885117</c:v>
                </c:pt>
                <c:pt idx="16">
                  <c:v>7.3433119903659971</c:v>
                </c:pt>
                <c:pt idx="17">
                  <c:v>0.48217373864523072</c:v>
                </c:pt>
                <c:pt idx="18">
                  <c:v>-0.11819970990073481</c:v>
                </c:pt>
                <c:pt idx="19">
                  <c:v>6.2807792828370346</c:v>
                </c:pt>
                <c:pt idx="20">
                  <c:v>5.2435642523264603</c:v>
                </c:pt>
                <c:pt idx="21">
                  <c:v>4.305329554581605</c:v>
                </c:pt>
                <c:pt idx="22">
                  <c:v>4.7513044883088495</c:v>
                </c:pt>
                <c:pt idx="23" formatCode="0.00">
                  <c:v>3.7150562755494221</c:v>
                </c:pt>
                <c:pt idx="24" formatCode="0.00">
                  <c:v>3.1985284206106801</c:v>
                </c:pt>
                <c:pt idx="25" formatCode="0.00">
                  <c:v>3.147397647390715</c:v>
                </c:pt>
              </c:numCache>
            </c:numRef>
          </c:yVal>
          <c:smooth val="0"/>
          <c:extLst>
            <c:ext xmlns:c16="http://schemas.microsoft.com/office/drawing/2014/chart" uri="{C3380CC4-5D6E-409C-BE32-E72D297353CC}">
              <c16:uniqueId val="{0000000E-8C56-4A35-828A-A373B69E8939}"/>
            </c:ext>
          </c:extLst>
        </c:ser>
        <c:dLbls>
          <c:showLegendKey val="0"/>
          <c:showVal val="0"/>
          <c:showCatName val="0"/>
          <c:showSerName val="0"/>
          <c:showPercent val="0"/>
          <c:showBubbleSize val="0"/>
        </c:dLbls>
        <c:axId val="226407552"/>
        <c:axId val="226409088"/>
      </c:scatterChart>
      <c:valAx>
        <c:axId val="226407552"/>
        <c:scaling>
          <c:orientation val="minMax"/>
        </c:scaling>
        <c:delete val="0"/>
        <c:axPos val="b"/>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26409088"/>
        <c:crosses val="autoZero"/>
        <c:crossBetween val="midCat"/>
      </c:valAx>
      <c:valAx>
        <c:axId val="226409088"/>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26407552"/>
        <c:crosses val="autoZero"/>
        <c:crossBetween val="midCat"/>
      </c:valAx>
      <c:spPr>
        <a:noFill/>
        <a:ln w="12700">
          <a:solidFill>
            <a:srgbClr val="808080"/>
          </a:solidFill>
          <a:prstDash val="solid"/>
        </a:ln>
      </c:spPr>
    </c:plotArea>
    <c:legend>
      <c:legendPos val="r"/>
      <c:layout>
        <c:manualLayout>
          <c:xMode val="edge"/>
          <c:yMode val="edge"/>
          <c:x val="0.18214333359200682"/>
          <c:y val="0.8376647722813978"/>
          <c:w val="0.65714457609665211"/>
          <c:h val="0.12121247350841932"/>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GB"/>
              <a:t>Exports of goods and services (DEFLATOR)</a:t>
            </a:r>
          </a:p>
        </c:rich>
      </c:tx>
      <c:layout>
        <c:manualLayout>
          <c:xMode val="edge"/>
          <c:yMode val="edge"/>
          <c:x val="0.19642880577427821"/>
          <c:y val="3.3707865168539325E-2"/>
        </c:manualLayout>
      </c:layout>
      <c:overlay val="0"/>
      <c:spPr>
        <a:noFill/>
        <a:ln w="25400">
          <a:noFill/>
        </a:ln>
      </c:spPr>
    </c:title>
    <c:autoTitleDeleted val="0"/>
    <c:plotArea>
      <c:layout>
        <c:manualLayout>
          <c:layoutTarget val="inner"/>
          <c:xMode val="edge"/>
          <c:yMode val="edge"/>
          <c:x val="8.4821521019549803E-2"/>
          <c:y val="0.17696629213483145"/>
          <c:w val="0.84821521019549795"/>
          <c:h val="0.6179775280898876"/>
        </c:manualLayout>
      </c:layout>
      <c:lineChart>
        <c:grouping val="standard"/>
        <c:varyColors val="0"/>
        <c:ser>
          <c:idx val="0"/>
          <c:order val="0"/>
          <c:tx>
            <c:strRef>
              <c:f>'VVP2'!$D$441:$E$441</c:f>
              <c:strCache>
                <c:ptCount val="2"/>
                <c:pt idx="0">
                  <c:v>GVT</c:v>
                </c:pt>
                <c:pt idx="1">
                  <c:v>Exports of services (P.62)</c:v>
                </c:pt>
              </c:strCache>
            </c:strRef>
          </c:tx>
          <c:spPr>
            <a:ln w="25400">
              <a:solidFill>
                <a:srgbClr val="3366FF"/>
              </a:solidFill>
              <a:prstDash val="solid"/>
            </a:ln>
          </c:spPr>
          <c:marker>
            <c:symbol val="circle"/>
            <c:size val="5"/>
            <c:spPr>
              <a:solidFill>
                <a:srgbClr val="FFFFFF"/>
              </a:solidFill>
              <a:ln>
                <a:solidFill>
                  <a:srgbClr val="3366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'VVP2'!$G$441:$AG$441</c:f>
              <c:numCache>
                <c:formatCode>0.0</c:formatCode>
                <c:ptCount val="27"/>
                <c:pt idx="1">
                  <c:v>-9.9586256405215234E-2</c:v>
                </c:pt>
                <c:pt idx="2">
                  <c:v>0.86086423693756409</c:v>
                </c:pt>
                <c:pt idx="3">
                  <c:v>0.48901069774884842</c:v>
                </c:pt>
                <c:pt idx="4">
                  <c:v>0.8505516311105632</c:v>
                </c:pt>
                <c:pt idx="5">
                  <c:v>4.7934320840786526</c:v>
                </c:pt>
                <c:pt idx="6">
                  <c:v>3.2264845039091883</c:v>
                </c:pt>
                <c:pt idx="7">
                  <c:v>1.3236615343840796</c:v>
                </c:pt>
                <c:pt idx="8">
                  <c:v>0.49600612679363554</c:v>
                </c:pt>
                <c:pt idx="9">
                  <c:v>1.9133869526802849</c:v>
                </c:pt>
                <c:pt idx="10">
                  <c:v>2.4395415043406032</c:v>
                </c:pt>
                <c:pt idx="11">
                  <c:v>1.9434958515610612</c:v>
                </c:pt>
                <c:pt idx="12">
                  <c:v>2.5503549250088575</c:v>
                </c:pt>
                <c:pt idx="13">
                  <c:v>3.8996237325205962</c:v>
                </c:pt>
                <c:pt idx="14">
                  <c:v>1.0839227127862339</c:v>
                </c:pt>
                <c:pt idx="15">
                  <c:v>0.26046924318898768</c:v>
                </c:pt>
                <c:pt idx="16">
                  <c:v>0.48395612137843713</c:v>
                </c:pt>
                <c:pt idx="17">
                  <c:v>0.93346106640685989</c:v>
                </c:pt>
                <c:pt idx="18">
                  <c:v>-0.86418224312202474</c:v>
                </c:pt>
                <c:pt idx="19">
                  <c:v>1.7916758713872216</c:v>
                </c:pt>
                <c:pt idx="20">
                  <c:v>3.1918977516218305</c:v>
                </c:pt>
                <c:pt idx="21">
                  <c:v>-0.31665392647192148</c:v>
                </c:pt>
                <c:pt idx="22">
                  <c:v>1.6161176588590287</c:v>
                </c:pt>
                <c:pt idx="23">
                  <c:v>4.2999999999999927</c:v>
                </c:pt>
                <c:pt idx="24">
                  <c:v>2.2799999999999931</c:v>
                </c:pt>
                <c:pt idx="25">
                  <c:v>1.130000000000031</c:v>
                </c:pt>
              </c:numCache>
            </c:numRef>
          </c:val>
          <c:smooth val="0"/>
          <c:extLst>
            <c:ext xmlns:c16="http://schemas.microsoft.com/office/drawing/2014/chart" uri="{C3380CC4-5D6E-409C-BE32-E72D297353CC}">
              <c16:uniqueId val="{00000000-64EF-4FD4-89EF-870DA1BC8347}"/>
            </c:ext>
          </c:extLst>
        </c:ser>
        <c:ser>
          <c:idx val="2"/>
          <c:order val="1"/>
          <c:tx>
            <c:strRef>
              <c:f>'VVP2'!$D$442:$E$442</c:f>
              <c:strCache>
                <c:ptCount val="2"/>
                <c:pt idx="0">
                  <c:v>GVT</c:v>
                </c:pt>
                <c:pt idx="1">
                  <c:v>Exports of goods (P.61)</c:v>
                </c:pt>
              </c:strCache>
            </c:strRef>
          </c:tx>
          <c:spPr>
            <a:ln w="25400">
              <a:solidFill>
                <a:srgbClr val="99CC00"/>
              </a:solidFill>
              <a:prstDash val="solid"/>
            </a:ln>
          </c:spPr>
          <c:marker>
            <c:symbol val="square"/>
            <c:size val="5"/>
            <c:spPr>
              <a:solidFill>
                <a:srgbClr val="FFFFFF"/>
              </a:solidFill>
              <a:ln>
                <a:solidFill>
                  <a:srgbClr val="99CC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'VVP2'!$G$442:$AG$442</c:f>
              <c:numCache>
                <c:formatCode>0.0</c:formatCode>
                <c:ptCount val="27"/>
                <c:pt idx="1">
                  <c:v>-5.370285821599607</c:v>
                </c:pt>
                <c:pt idx="2">
                  <c:v>-0.42198272624063282</c:v>
                </c:pt>
                <c:pt idx="3">
                  <c:v>-1.5913605669359621</c:v>
                </c:pt>
                <c:pt idx="4">
                  <c:v>-2.1175795980234002</c:v>
                </c:pt>
                <c:pt idx="5">
                  <c:v>1.7548698374599603</c:v>
                </c:pt>
                <c:pt idx="6">
                  <c:v>2.4016706108316743</c:v>
                </c:pt>
                <c:pt idx="7">
                  <c:v>-2.3035799446345595</c:v>
                </c:pt>
                <c:pt idx="8">
                  <c:v>-2.6526760652261672</c:v>
                </c:pt>
                <c:pt idx="9">
                  <c:v>-0.94678350774621833</c:v>
                </c:pt>
                <c:pt idx="10">
                  <c:v>2.684645895101645</c:v>
                </c:pt>
                <c:pt idx="11">
                  <c:v>3.3738913330153109</c:v>
                </c:pt>
                <c:pt idx="12">
                  <c:v>1.7934078496524952</c:v>
                </c:pt>
                <c:pt idx="13">
                  <c:v>4.021973143742219</c:v>
                </c:pt>
                <c:pt idx="14">
                  <c:v>1.3875091285045604</c:v>
                </c:pt>
                <c:pt idx="15">
                  <c:v>-0.96930785915503304</c:v>
                </c:pt>
                <c:pt idx="16">
                  <c:v>-1.5586467858580422</c:v>
                </c:pt>
                <c:pt idx="17">
                  <c:v>-1.6614355904099987</c:v>
                </c:pt>
                <c:pt idx="18">
                  <c:v>-3.1619299295111758</c:v>
                </c:pt>
                <c:pt idx="19">
                  <c:v>2.0963272458918603</c:v>
                </c:pt>
                <c:pt idx="20">
                  <c:v>1.5984729700890377</c:v>
                </c:pt>
                <c:pt idx="21">
                  <c:v>-1.5552016326709661</c:v>
                </c:pt>
                <c:pt idx="22">
                  <c:v>4.094206563544156</c:v>
                </c:pt>
                <c:pt idx="23">
                  <c:v>5.4999999999999938</c:v>
                </c:pt>
                <c:pt idx="24">
                  <c:v>2.4100000000000232</c:v>
                </c:pt>
                <c:pt idx="25">
                  <c:v>1.1600000000000055</c:v>
                </c:pt>
              </c:numCache>
            </c:numRef>
          </c:val>
          <c:smooth val="0"/>
          <c:extLst>
            <c:ext xmlns:c16="http://schemas.microsoft.com/office/drawing/2014/chart" uri="{C3380CC4-5D6E-409C-BE32-E72D297353CC}">
              <c16:uniqueId val="{00000001-64EF-4FD4-89EF-870DA1BC8347}"/>
            </c:ext>
          </c:extLst>
        </c:ser>
        <c:dLbls>
          <c:showLegendKey val="0"/>
          <c:showVal val="0"/>
          <c:showCatName val="0"/>
          <c:showSerName val="0"/>
          <c:showPercent val="0"/>
          <c:showBubbleSize val="0"/>
        </c:dLbls>
        <c:marker val="1"/>
        <c:smooth val="0"/>
        <c:axId val="226450816"/>
        <c:axId val="226461184"/>
      </c:lineChart>
      <c:catAx>
        <c:axId val="226450816"/>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26461184"/>
        <c:crosses val="autoZero"/>
        <c:auto val="1"/>
        <c:lblAlgn val="ctr"/>
        <c:lblOffset val="100"/>
        <c:tickLblSkip val="2"/>
        <c:tickMarkSkip val="1"/>
        <c:noMultiLvlLbl val="0"/>
      </c:catAx>
      <c:valAx>
        <c:axId val="226461184"/>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26450816"/>
        <c:crosses val="autoZero"/>
        <c:crossBetween val="midCat"/>
      </c:valAx>
      <c:spPr>
        <a:noFill/>
        <a:ln w="12700">
          <a:solidFill>
            <a:srgbClr val="808080"/>
          </a:solidFill>
          <a:prstDash val="solid"/>
        </a:ln>
      </c:spPr>
    </c:plotArea>
    <c:legend>
      <c:legendPos val="r"/>
      <c:layout>
        <c:manualLayout>
          <c:xMode val="edge"/>
          <c:yMode val="edge"/>
          <c:x val="2.1428627481412568E-2"/>
          <c:y val="0.91540348306356445"/>
          <c:w val="0.94285960918215306"/>
          <c:h val="6.2906874428538789E-2"/>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paperSize="9" orientation="landscape"/>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GB"/>
              <a:t>Imports of goods and services (DEFLATOR)</a:t>
            </a:r>
          </a:p>
        </c:rich>
      </c:tx>
      <c:layout>
        <c:manualLayout>
          <c:xMode val="edge"/>
          <c:yMode val="edge"/>
          <c:x val="0.19642880577427821"/>
          <c:y val="3.3519553072625698E-2"/>
        </c:manualLayout>
      </c:layout>
      <c:overlay val="0"/>
      <c:spPr>
        <a:noFill/>
        <a:ln w="25400">
          <a:noFill/>
        </a:ln>
      </c:spPr>
    </c:title>
    <c:autoTitleDeleted val="0"/>
    <c:plotArea>
      <c:layout>
        <c:manualLayout>
          <c:layoutTarget val="inner"/>
          <c:xMode val="edge"/>
          <c:yMode val="edge"/>
          <c:x val="8.4821521019549803E-2"/>
          <c:y val="0.17597789365001643"/>
          <c:w val="0.84821521019549795"/>
          <c:h val="0.6201125776238674"/>
        </c:manualLayout>
      </c:layout>
      <c:lineChart>
        <c:grouping val="standard"/>
        <c:varyColors val="0"/>
        <c:ser>
          <c:idx val="0"/>
          <c:order val="0"/>
          <c:tx>
            <c:strRef>
              <c:f>'VVP2'!$E$451</c:f>
              <c:strCache>
                <c:ptCount val="1"/>
                <c:pt idx="0">
                  <c:v>Imports of services (P.72)</c:v>
                </c:pt>
              </c:strCache>
            </c:strRef>
          </c:tx>
          <c:spPr>
            <a:ln w="25400">
              <a:solidFill>
                <a:srgbClr val="3366FF"/>
              </a:solidFill>
              <a:prstDash val="solid"/>
            </a:ln>
          </c:spPr>
          <c:marker>
            <c:symbol val="circle"/>
            <c:size val="5"/>
            <c:spPr>
              <a:solidFill>
                <a:srgbClr val="FFFFFF"/>
              </a:solidFill>
              <a:ln>
                <a:solidFill>
                  <a:srgbClr val="3366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'VVP2'!$G$451:$AG$451</c:f>
              <c:numCache>
                <c:formatCode>0.0</c:formatCode>
                <c:ptCount val="27"/>
                <c:pt idx="1">
                  <c:v>-1.3929371504593724</c:v>
                </c:pt>
                <c:pt idx="2">
                  <c:v>0.64814280254197332</c:v>
                </c:pt>
                <c:pt idx="3">
                  <c:v>-0.77476318563323154</c:v>
                </c:pt>
                <c:pt idx="4">
                  <c:v>1.7866380353785738</c:v>
                </c:pt>
                <c:pt idx="5">
                  <c:v>2.7197312262181805</c:v>
                </c:pt>
                <c:pt idx="6">
                  <c:v>6.0428981917715063</c:v>
                </c:pt>
                <c:pt idx="7">
                  <c:v>1.6086624588043108</c:v>
                </c:pt>
                <c:pt idx="8">
                  <c:v>-0.49658991807457475</c:v>
                </c:pt>
                <c:pt idx="9">
                  <c:v>1.6122872216912221</c:v>
                </c:pt>
                <c:pt idx="10">
                  <c:v>3.2229880601924776</c:v>
                </c:pt>
                <c:pt idx="11">
                  <c:v>1.5231843310970161</c:v>
                </c:pt>
                <c:pt idx="12">
                  <c:v>1.583015064771276</c:v>
                </c:pt>
                <c:pt idx="13">
                  <c:v>4.2146299638523121</c:v>
                </c:pt>
                <c:pt idx="14">
                  <c:v>3.8359560892768041</c:v>
                </c:pt>
                <c:pt idx="15">
                  <c:v>-1.3522834018840357</c:v>
                </c:pt>
                <c:pt idx="16">
                  <c:v>-3.1397467355531727E-2</c:v>
                </c:pt>
                <c:pt idx="17">
                  <c:v>0.93819330551960789</c:v>
                </c:pt>
                <c:pt idx="18">
                  <c:v>-0.41746676414518014</c:v>
                </c:pt>
                <c:pt idx="19">
                  <c:v>3.2199306733246669</c:v>
                </c:pt>
                <c:pt idx="20">
                  <c:v>4.3883413853073483</c:v>
                </c:pt>
                <c:pt idx="21">
                  <c:v>-0.30024867462635774</c:v>
                </c:pt>
                <c:pt idx="22">
                  <c:v>2.0892409066318951</c:v>
                </c:pt>
                <c:pt idx="23">
                  <c:v>5.9000000000000163</c:v>
                </c:pt>
                <c:pt idx="24">
                  <c:v>3.1200000000000339</c:v>
                </c:pt>
                <c:pt idx="25">
                  <c:v>1.5500000000000069</c:v>
                </c:pt>
              </c:numCache>
            </c:numRef>
          </c:val>
          <c:smooth val="0"/>
          <c:extLst>
            <c:ext xmlns:c16="http://schemas.microsoft.com/office/drawing/2014/chart" uri="{C3380CC4-5D6E-409C-BE32-E72D297353CC}">
              <c16:uniqueId val="{00000000-C174-4765-B20B-1BE30142CA34}"/>
            </c:ext>
          </c:extLst>
        </c:ser>
        <c:ser>
          <c:idx val="2"/>
          <c:order val="1"/>
          <c:tx>
            <c:strRef>
              <c:f>'VVP2'!$E$452</c:f>
              <c:strCache>
                <c:ptCount val="1"/>
                <c:pt idx="0">
                  <c:v>Imports of goods (P.71)</c:v>
                </c:pt>
              </c:strCache>
            </c:strRef>
          </c:tx>
          <c:spPr>
            <a:ln w="25400">
              <a:solidFill>
                <a:srgbClr val="99CC00"/>
              </a:solidFill>
              <a:prstDash val="solid"/>
            </a:ln>
          </c:spPr>
          <c:marker>
            <c:symbol val="square"/>
            <c:size val="5"/>
            <c:spPr>
              <a:solidFill>
                <a:srgbClr val="FFFFFF"/>
              </a:solidFill>
              <a:ln>
                <a:solidFill>
                  <a:srgbClr val="99CC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'VVP2'!$G$452:$AG$452</c:f>
              <c:numCache>
                <c:formatCode>0.0</c:formatCode>
                <c:ptCount val="27"/>
                <c:pt idx="1">
                  <c:v>-4.6665260279134309</c:v>
                </c:pt>
                <c:pt idx="2">
                  <c:v>0.26921331292357742</c:v>
                </c:pt>
                <c:pt idx="3">
                  <c:v>-1.1228427286018694</c:v>
                </c:pt>
                <c:pt idx="4">
                  <c:v>0.85634283527762367</c:v>
                </c:pt>
                <c:pt idx="5">
                  <c:v>4.5425511223016857</c:v>
                </c:pt>
                <c:pt idx="6">
                  <c:v>3.1385956790826564</c:v>
                </c:pt>
                <c:pt idx="7">
                  <c:v>-0.46463537159562307</c:v>
                </c:pt>
                <c:pt idx="8">
                  <c:v>-2.6887839053197027</c:v>
                </c:pt>
                <c:pt idx="9">
                  <c:v>0.67991777995368707</c:v>
                </c:pt>
                <c:pt idx="10">
                  <c:v>5.0830475966625599</c:v>
                </c:pt>
                <c:pt idx="11">
                  <c:v>3.9463023519404006</c:v>
                </c:pt>
                <c:pt idx="12">
                  <c:v>0.13026054367342166</c:v>
                </c:pt>
                <c:pt idx="13">
                  <c:v>4.4982194776927553</c:v>
                </c:pt>
                <c:pt idx="14">
                  <c:v>-1.0019555083235487</c:v>
                </c:pt>
                <c:pt idx="15">
                  <c:v>0.33678687045439748</c:v>
                </c:pt>
                <c:pt idx="16">
                  <c:v>-0.29739733614349007</c:v>
                </c:pt>
                <c:pt idx="17">
                  <c:v>-1.8591533462290033</c:v>
                </c:pt>
                <c:pt idx="18">
                  <c:v>-3.6914351446852844</c:v>
                </c:pt>
                <c:pt idx="19">
                  <c:v>1.2139927971800191</c:v>
                </c:pt>
                <c:pt idx="20">
                  <c:v>-5.822054632145246E-2</c:v>
                </c:pt>
                <c:pt idx="21">
                  <c:v>-2.2416720384187405</c:v>
                </c:pt>
                <c:pt idx="22">
                  <c:v>4.6950670253263604</c:v>
                </c:pt>
                <c:pt idx="23">
                  <c:v>6.2000000000000277</c:v>
                </c:pt>
                <c:pt idx="24">
                  <c:v>2.709999999999968</c:v>
                </c:pt>
                <c:pt idx="25">
                  <c:v>1.330000000000009</c:v>
                </c:pt>
              </c:numCache>
            </c:numRef>
          </c:val>
          <c:smooth val="0"/>
          <c:extLst>
            <c:ext xmlns:c16="http://schemas.microsoft.com/office/drawing/2014/chart" uri="{C3380CC4-5D6E-409C-BE32-E72D297353CC}">
              <c16:uniqueId val="{00000001-C174-4765-B20B-1BE30142CA34}"/>
            </c:ext>
          </c:extLst>
        </c:ser>
        <c:dLbls>
          <c:showLegendKey val="0"/>
          <c:showVal val="0"/>
          <c:showCatName val="0"/>
          <c:showSerName val="0"/>
          <c:showPercent val="0"/>
          <c:showBubbleSize val="0"/>
        </c:dLbls>
        <c:marker val="1"/>
        <c:smooth val="0"/>
        <c:axId val="226498048"/>
        <c:axId val="226499968"/>
      </c:lineChart>
      <c:catAx>
        <c:axId val="226498048"/>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26499968"/>
        <c:crosses val="autoZero"/>
        <c:auto val="1"/>
        <c:lblAlgn val="ctr"/>
        <c:lblOffset val="100"/>
        <c:tickLblSkip val="2"/>
        <c:tickMarkSkip val="1"/>
        <c:noMultiLvlLbl val="0"/>
      </c:catAx>
      <c:valAx>
        <c:axId val="226499968"/>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26498048"/>
        <c:crosses val="autoZero"/>
        <c:crossBetween val="midCat"/>
      </c:valAx>
      <c:spPr>
        <a:noFill/>
        <a:ln w="12700">
          <a:solidFill>
            <a:srgbClr val="808080"/>
          </a:solidFill>
          <a:prstDash val="solid"/>
        </a:ln>
      </c:spPr>
    </c:plotArea>
    <c:legend>
      <c:legendPos val="r"/>
      <c:layout>
        <c:manualLayout>
          <c:xMode val="edge"/>
          <c:yMode val="edge"/>
          <c:x val="0.10535741845027848"/>
          <c:y val="0.91594827586206906"/>
          <c:w val="0.80000209263940258"/>
          <c:h val="6.25E-2"/>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GB"/>
              <a:t>Balance of goods and services 
(mrd. Euro - current prices)</a:t>
            </a:r>
          </a:p>
        </c:rich>
      </c:tx>
      <c:layout>
        <c:manualLayout>
          <c:xMode val="edge"/>
          <c:yMode val="edge"/>
          <c:x val="0.28125023434570678"/>
          <c:y val="3.3707865168539325E-2"/>
        </c:manualLayout>
      </c:layout>
      <c:overlay val="0"/>
      <c:spPr>
        <a:noFill/>
        <a:ln w="25400">
          <a:noFill/>
        </a:ln>
      </c:spPr>
    </c:title>
    <c:autoTitleDeleted val="0"/>
    <c:plotArea>
      <c:layout>
        <c:manualLayout>
          <c:layoutTarget val="inner"/>
          <c:xMode val="edge"/>
          <c:yMode val="edge"/>
          <c:x val="0.10714297391943133"/>
          <c:y val="0.2247191011235955"/>
          <c:w val="0.82589375729561643"/>
          <c:h val="0.5702247191011236"/>
        </c:manualLayout>
      </c:layout>
      <c:lineChart>
        <c:grouping val="standard"/>
        <c:varyColors val="0"/>
        <c:ser>
          <c:idx val="1"/>
          <c:order val="0"/>
          <c:tx>
            <c:strRef>
              <c:f>'VVP2'!$E$330</c:f>
              <c:strCache>
                <c:ptCount val="1"/>
                <c:pt idx="0">
                  <c:v>Balance of goods</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'VVP2'!$G$330:$AG$330</c:f>
              <c:numCache>
                <c:formatCode>0.0</c:formatCode>
                <c:ptCount val="27"/>
                <c:pt idx="0">
                  <c:v>141.25699999999995</c:v>
                </c:pt>
                <c:pt idx="1">
                  <c:v>146.22199999999998</c:v>
                </c:pt>
                <c:pt idx="2">
                  <c:v>171.26500000000004</c:v>
                </c:pt>
                <c:pt idx="3">
                  <c:v>173.02499999999998</c:v>
                </c:pt>
                <c:pt idx="4">
                  <c:v>174.68900000000008</c:v>
                </c:pt>
                <c:pt idx="5">
                  <c:v>178.44100000000003</c:v>
                </c:pt>
                <c:pt idx="6">
                  <c:v>188.22199999999998</c:v>
                </c:pt>
                <c:pt idx="7">
                  <c:v>193.35000000000002</c:v>
                </c:pt>
                <c:pt idx="8">
                  <c:v>190.58100000000002</c:v>
                </c:pt>
                <c:pt idx="9">
                  <c:v>220.55499999999995</c:v>
                </c:pt>
                <c:pt idx="10">
                  <c:v>208.1099999999999</c:v>
                </c:pt>
                <c:pt idx="11">
                  <c:v>218.81200000000001</c:v>
                </c:pt>
                <c:pt idx="12">
                  <c:v>206.71100000000001</c:v>
                </c:pt>
                <c:pt idx="13">
                  <c:v>189.3130000000001</c:v>
                </c:pt>
                <c:pt idx="14">
                  <c:v>153.81700000000012</c:v>
                </c:pt>
                <c:pt idx="15">
                  <c:v>150.16000000000008</c:v>
                </c:pt>
                <c:pt idx="16">
                  <c:v>124.59199999999987</c:v>
                </c:pt>
                <c:pt idx="17">
                  <c:v>137.54099999999994</c:v>
                </c:pt>
                <c:pt idx="18">
                  <c:v>122.28500000000008</c:v>
                </c:pt>
                <c:pt idx="19">
                  <c:v>122.73900000000003</c:v>
                </c:pt>
                <c:pt idx="20">
                  <c:v>127.22200000000021</c:v>
                </c:pt>
                <c:pt idx="21">
                  <c:v>95.615000000000009</c:v>
                </c:pt>
                <c:pt idx="22">
                  <c:v>108.64999999999986</c:v>
                </c:pt>
                <c:pt idx="23">
                  <c:v>102.6601946390997</c:v>
                </c:pt>
                <c:pt idx="24">
                  <c:v>103.98051999711424</c:v>
                </c:pt>
                <c:pt idx="25">
                  <c:v>104.07910100293498</c:v>
                </c:pt>
              </c:numCache>
            </c:numRef>
          </c:val>
          <c:smooth val="0"/>
          <c:extLst>
            <c:ext xmlns:c16="http://schemas.microsoft.com/office/drawing/2014/chart" uri="{C3380CC4-5D6E-409C-BE32-E72D297353CC}">
              <c16:uniqueId val="{00000000-6AB0-4F18-BD87-019E1EF71095}"/>
            </c:ext>
          </c:extLst>
        </c:ser>
        <c:ser>
          <c:idx val="2"/>
          <c:order val="1"/>
          <c:tx>
            <c:strRef>
              <c:f>'VVP2'!$E$331</c:f>
              <c:strCache>
                <c:ptCount val="1"/>
                <c:pt idx="0">
                  <c:v>Balance of goods and services</c:v>
                </c:pt>
              </c:strCache>
            </c:strRef>
          </c:tx>
          <c:spPr>
            <a:ln w="25400">
              <a:solidFill>
                <a:srgbClr val="008000"/>
              </a:solidFill>
              <a:prstDash val="solid"/>
            </a:ln>
          </c:spPr>
          <c:marker>
            <c:symbol val="square"/>
            <c:size val="5"/>
            <c:spPr>
              <a:solidFill>
                <a:srgbClr val="FFFFFF"/>
              </a:solidFill>
              <a:ln>
                <a:solidFill>
                  <a:srgbClr val="008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'VVP2'!$G$331:$AG$331</c:f>
              <c:numCache>
                <c:formatCode>0.0</c:formatCode>
                <c:ptCount val="27"/>
                <c:pt idx="0">
                  <c:v>120.14599999999996</c:v>
                </c:pt>
                <c:pt idx="1">
                  <c:v>119.36000000000001</c:v>
                </c:pt>
                <c:pt idx="2">
                  <c:v>140.322</c:v>
                </c:pt>
                <c:pt idx="3">
                  <c:v>133.85299999999995</c:v>
                </c:pt>
                <c:pt idx="4">
                  <c:v>135.755</c:v>
                </c:pt>
                <c:pt idx="5">
                  <c:v>139.69100000000003</c:v>
                </c:pt>
                <c:pt idx="6">
                  <c:v>154.42999999999995</c:v>
                </c:pt>
                <c:pt idx="7">
                  <c:v>162.327</c:v>
                </c:pt>
                <c:pt idx="8">
                  <c:v>169.76300000000015</c:v>
                </c:pt>
                <c:pt idx="9">
                  <c:v>213.18900000000008</c:v>
                </c:pt>
                <c:pt idx="10">
                  <c:v>208.53099999999995</c:v>
                </c:pt>
                <c:pt idx="11">
                  <c:v>235.23599999999988</c:v>
                </c:pt>
                <c:pt idx="12">
                  <c:v>230.01400000000012</c:v>
                </c:pt>
                <c:pt idx="13">
                  <c:v>212.30300000000011</c:v>
                </c:pt>
                <c:pt idx="14">
                  <c:v>189.46100000000001</c:v>
                </c:pt>
                <c:pt idx="15">
                  <c:v>192.45699999999988</c:v>
                </c:pt>
                <c:pt idx="16">
                  <c:v>172.0150000000001</c:v>
                </c:pt>
                <c:pt idx="17">
                  <c:v>181.70699999999988</c:v>
                </c:pt>
                <c:pt idx="18">
                  <c:v>169.93600000000015</c:v>
                </c:pt>
                <c:pt idx="19">
                  <c:v>169.90000000000009</c:v>
                </c:pt>
                <c:pt idx="20">
                  <c:v>204.18299999999999</c:v>
                </c:pt>
                <c:pt idx="21">
                  <c:v>194.12300000000005</c:v>
                </c:pt>
                <c:pt idx="22">
                  <c:v>169.07799999999997</c:v>
                </c:pt>
                <c:pt idx="23">
                  <c:v>158.88978315289933</c:v>
                </c:pt>
                <c:pt idx="24">
                  <c:v>158.73389465787432</c:v>
                </c:pt>
                <c:pt idx="25">
                  <c:v>156.6580480246439</c:v>
                </c:pt>
              </c:numCache>
            </c:numRef>
          </c:val>
          <c:smooth val="0"/>
          <c:extLst>
            <c:ext xmlns:c16="http://schemas.microsoft.com/office/drawing/2014/chart" uri="{C3380CC4-5D6E-409C-BE32-E72D297353CC}">
              <c16:uniqueId val="{00000001-6AB0-4F18-BD87-019E1EF71095}"/>
            </c:ext>
          </c:extLst>
        </c:ser>
        <c:dLbls>
          <c:showLegendKey val="0"/>
          <c:showVal val="0"/>
          <c:showCatName val="0"/>
          <c:showSerName val="0"/>
          <c:showPercent val="0"/>
          <c:showBubbleSize val="0"/>
        </c:dLbls>
        <c:marker val="1"/>
        <c:smooth val="0"/>
        <c:axId val="226542336"/>
        <c:axId val="226544256"/>
      </c:lineChart>
      <c:catAx>
        <c:axId val="226542336"/>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26544256"/>
        <c:crosses val="autoZero"/>
        <c:auto val="1"/>
        <c:lblAlgn val="ctr"/>
        <c:lblOffset val="100"/>
        <c:tickLblSkip val="2"/>
        <c:tickMarkSkip val="1"/>
        <c:noMultiLvlLbl val="0"/>
      </c:catAx>
      <c:valAx>
        <c:axId val="226544256"/>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26542336"/>
        <c:crosses val="autoZero"/>
        <c:crossBetween val="midCat"/>
      </c:valAx>
      <c:spPr>
        <a:noFill/>
        <a:ln w="12700">
          <a:solidFill>
            <a:srgbClr val="808080"/>
          </a:solidFill>
          <a:prstDash val="solid"/>
        </a:ln>
      </c:spPr>
    </c:plotArea>
    <c:legend>
      <c:legendPos val="r"/>
      <c:layout>
        <c:manualLayout>
          <c:xMode val="edge"/>
          <c:yMode val="edge"/>
          <c:x val="0.10714313740706284"/>
          <c:y val="0.91540348306356445"/>
          <c:w val="0.78928777889869617"/>
          <c:h val="6.2906874428538789E-2"/>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paperSize="9" orientation="landscape"/>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GB"/>
              <a:t>Balance of goods and services 
(mrd. Euro - constant prices)</a:t>
            </a:r>
          </a:p>
        </c:rich>
      </c:tx>
      <c:layout>
        <c:manualLayout>
          <c:xMode val="edge"/>
          <c:yMode val="edge"/>
          <c:x val="0.28125023434570678"/>
          <c:y val="3.3707865168539325E-2"/>
        </c:manualLayout>
      </c:layout>
      <c:overlay val="0"/>
      <c:spPr>
        <a:noFill/>
        <a:ln w="25400">
          <a:noFill/>
        </a:ln>
      </c:spPr>
    </c:title>
    <c:autoTitleDeleted val="0"/>
    <c:plotArea>
      <c:layout>
        <c:manualLayout>
          <c:layoutTarget val="inner"/>
          <c:xMode val="edge"/>
          <c:yMode val="edge"/>
          <c:x val="0.10714297391943133"/>
          <c:y val="0.2247191011235955"/>
          <c:w val="0.82589375729561643"/>
          <c:h val="0.5702247191011236"/>
        </c:manualLayout>
      </c:layout>
      <c:lineChart>
        <c:grouping val="standard"/>
        <c:varyColors val="0"/>
        <c:ser>
          <c:idx val="1"/>
          <c:order val="0"/>
          <c:tx>
            <c:strRef>
              <c:f>'VVP2'!$E$114</c:f>
              <c:strCache>
                <c:ptCount val="1"/>
                <c:pt idx="0">
                  <c:v>Balance of goods</c:v>
                </c:pt>
              </c:strCache>
            </c:strRef>
          </c:tx>
          <c:spPr>
            <a:ln w="25400">
              <a:solidFill>
                <a:srgbClr val="993366"/>
              </a:solidFill>
              <a:prstDash val="solid"/>
            </a:ln>
          </c:spPr>
          <c:marker>
            <c:symbol val="circle"/>
            <c:size val="5"/>
            <c:spPr>
              <a:solidFill>
                <a:srgbClr val="FFFFFF"/>
              </a:solidFill>
              <a:ln>
                <a:solidFill>
                  <a:srgbClr val="993366"/>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'VVP2'!$G$114:$AG$114</c:f>
              <c:numCache>
                <c:formatCode>0.0</c:formatCode>
                <c:ptCount val="27"/>
                <c:pt idx="0">
                  <c:v>81.678750000000036</c:v>
                </c:pt>
                <c:pt idx="1">
                  <c:v>96.930540000000065</c:v>
                </c:pt>
                <c:pt idx="2">
                  <c:v>121.30168000000003</c:v>
                </c:pt>
                <c:pt idx="3">
                  <c:v>122.74102999999991</c:v>
                </c:pt>
                <c:pt idx="4">
                  <c:v>144.53611999999998</c:v>
                </c:pt>
                <c:pt idx="5">
                  <c:v>158.72629999999992</c:v>
                </c:pt>
                <c:pt idx="6">
                  <c:v>171.11987999999997</c:v>
                </c:pt>
                <c:pt idx="7">
                  <c:v>194.67418000000009</c:v>
                </c:pt>
                <c:pt idx="8">
                  <c:v>196.09195999999997</c:v>
                </c:pt>
                <c:pt idx="9">
                  <c:v>243.9692399999999</c:v>
                </c:pt>
                <c:pt idx="10">
                  <c:v>244.14639000000011</c:v>
                </c:pt>
                <c:pt idx="11">
                  <c:v>255.05363999999997</c:v>
                </c:pt>
                <c:pt idx="12">
                  <c:v>222.38195999999994</c:v>
                </c:pt>
                <c:pt idx="13">
                  <c:v>201.7173200000002</c:v>
                </c:pt>
                <c:pt idx="14">
                  <c:v>140.6298700000001</c:v>
                </c:pt>
                <c:pt idx="15">
                  <c:v>150.16000000000008</c:v>
                </c:pt>
                <c:pt idx="16">
                  <c:v>141.22574000000009</c:v>
                </c:pt>
                <c:pt idx="17">
                  <c:v>154.30555000000004</c:v>
                </c:pt>
                <c:pt idx="18">
                  <c:v>136.29959999999983</c:v>
                </c:pt>
                <c:pt idx="19">
                  <c:v>124.22794999999996</c:v>
                </c:pt>
                <c:pt idx="20">
                  <c:v>106.61680000000001</c:v>
                </c:pt>
                <c:pt idx="21">
                  <c:v>65.343759999999975</c:v>
                </c:pt>
                <c:pt idx="22">
                  <c:v>80.718349999999873</c:v>
                </c:pt>
                <c:pt idx="23">
                  <c:v>77.353128011000081</c:v>
                </c:pt>
                <c:pt idx="24">
                  <c:v>79.803575724957682</c:v>
                </c:pt>
                <c:pt idx="25">
                  <c:v>80.757486590740427</c:v>
                </c:pt>
              </c:numCache>
            </c:numRef>
          </c:val>
          <c:smooth val="0"/>
          <c:extLst>
            <c:ext xmlns:c16="http://schemas.microsoft.com/office/drawing/2014/chart" uri="{C3380CC4-5D6E-409C-BE32-E72D297353CC}">
              <c16:uniqueId val="{00000000-D498-4F8D-8F01-9282E4A51C8C}"/>
            </c:ext>
          </c:extLst>
        </c:ser>
        <c:ser>
          <c:idx val="2"/>
          <c:order val="1"/>
          <c:tx>
            <c:strRef>
              <c:f>'VVP2'!$E$115</c:f>
              <c:strCache>
                <c:ptCount val="1"/>
                <c:pt idx="0">
                  <c:v>Balance of goods and services</c:v>
                </c:pt>
              </c:strCache>
            </c:strRef>
          </c:tx>
          <c:spPr>
            <a:ln w="25400">
              <a:solidFill>
                <a:srgbClr val="FF9900"/>
              </a:solidFill>
              <a:prstDash val="solid"/>
            </a:ln>
          </c:spPr>
          <c:marker>
            <c:symbol val="square"/>
            <c:size val="5"/>
            <c:spPr>
              <a:solidFill>
                <a:srgbClr val="FFFFFF"/>
              </a:solidFill>
              <a:ln>
                <a:solidFill>
                  <a:srgbClr val="FF99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'VVP2'!$G$115:$AG$115</c:f>
              <c:numCache>
                <c:formatCode>0.0</c:formatCode>
                <c:ptCount val="27"/>
                <c:pt idx="0">
                  <c:v>55.713929999999891</c:v>
                </c:pt>
                <c:pt idx="1">
                  <c:v>62.809990000000084</c:v>
                </c:pt>
                <c:pt idx="2">
                  <c:v>81.889640000000099</c:v>
                </c:pt>
                <c:pt idx="3">
                  <c:v>69.880599999999959</c:v>
                </c:pt>
                <c:pt idx="4">
                  <c:v>93.945890000000077</c:v>
                </c:pt>
                <c:pt idx="5">
                  <c:v>104.45233999999982</c:v>
                </c:pt>
                <c:pt idx="6">
                  <c:v>130.87982999999986</c:v>
                </c:pt>
                <c:pt idx="7">
                  <c:v>159.5196199999998</c:v>
                </c:pt>
                <c:pt idx="8">
                  <c:v>169.67922999999996</c:v>
                </c:pt>
                <c:pt idx="9">
                  <c:v>232.18350000000009</c:v>
                </c:pt>
                <c:pt idx="10">
                  <c:v>243.41372999999999</c:v>
                </c:pt>
                <c:pt idx="11">
                  <c:v>269.8444199999999</c:v>
                </c:pt>
                <c:pt idx="12">
                  <c:v>240.14915000000019</c:v>
                </c:pt>
                <c:pt idx="13">
                  <c:v>219.1886300000001</c:v>
                </c:pt>
                <c:pt idx="14">
                  <c:v>181.40917999999988</c:v>
                </c:pt>
                <c:pt idx="15">
                  <c:v>192.45699999999988</c:v>
                </c:pt>
                <c:pt idx="16">
                  <c:v>186.39916000000017</c:v>
                </c:pt>
                <c:pt idx="17">
                  <c:v>195.9091699999999</c:v>
                </c:pt>
                <c:pt idx="18">
                  <c:v>184.27844000000027</c:v>
                </c:pt>
                <c:pt idx="19">
                  <c:v>178.16240999999991</c:v>
                </c:pt>
                <c:pt idx="20">
                  <c:v>195.52920999999992</c:v>
                </c:pt>
                <c:pt idx="21">
                  <c:v>178.22558000000004</c:v>
                </c:pt>
                <c:pt idx="22">
                  <c:v>156.65506000000005</c:v>
                </c:pt>
                <c:pt idx="23">
                  <c:v>156.81105862957247</c:v>
                </c:pt>
                <c:pt idx="24">
                  <c:v>162.68384449190535</c:v>
                </c:pt>
                <c:pt idx="25">
                  <c:v>164.82264931201689</c:v>
                </c:pt>
              </c:numCache>
            </c:numRef>
          </c:val>
          <c:smooth val="0"/>
          <c:extLst>
            <c:ext xmlns:c16="http://schemas.microsoft.com/office/drawing/2014/chart" uri="{C3380CC4-5D6E-409C-BE32-E72D297353CC}">
              <c16:uniqueId val="{00000001-D498-4F8D-8F01-9282E4A51C8C}"/>
            </c:ext>
          </c:extLst>
        </c:ser>
        <c:dLbls>
          <c:showLegendKey val="0"/>
          <c:showVal val="0"/>
          <c:showCatName val="0"/>
          <c:showSerName val="0"/>
          <c:showPercent val="0"/>
          <c:showBubbleSize val="0"/>
        </c:dLbls>
        <c:marker val="1"/>
        <c:smooth val="0"/>
        <c:axId val="226579200"/>
        <c:axId val="226581120"/>
      </c:lineChart>
      <c:catAx>
        <c:axId val="226579200"/>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26581120"/>
        <c:crosses val="autoZero"/>
        <c:auto val="1"/>
        <c:lblAlgn val="ctr"/>
        <c:lblOffset val="100"/>
        <c:tickLblSkip val="2"/>
        <c:tickMarkSkip val="1"/>
        <c:noMultiLvlLbl val="0"/>
      </c:catAx>
      <c:valAx>
        <c:axId val="226581120"/>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26579200"/>
        <c:crosses val="autoZero"/>
        <c:crossBetween val="midCat"/>
      </c:valAx>
      <c:spPr>
        <a:noFill/>
        <a:ln w="12700">
          <a:solidFill>
            <a:srgbClr val="808080"/>
          </a:solidFill>
          <a:prstDash val="solid"/>
        </a:ln>
      </c:spPr>
    </c:plotArea>
    <c:legend>
      <c:legendPos val="r"/>
      <c:layout>
        <c:manualLayout>
          <c:xMode val="edge"/>
          <c:yMode val="edge"/>
          <c:x val="0.10714313740706284"/>
          <c:y val="0.91540348306356445"/>
          <c:w val="0.78928777889869617"/>
          <c:h val="6.2906874428538789E-2"/>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GB"/>
              <a:t>GDP and GVA (VAL)</a:t>
            </a:r>
          </a:p>
        </c:rich>
      </c:tx>
      <c:layout>
        <c:manualLayout>
          <c:xMode val="edge"/>
          <c:yMode val="edge"/>
          <c:x val="0.35491118297712781"/>
          <c:y val="3.3707865168539325E-2"/>
        </c:manualLayout>
      </c:layout>
      <c:overlay val="0"/>
      <c:spPr>
        <a:noFill/>
        <a:ln w="25400">
          <a:noFill/>
        </a:ln>
      </c:spPr>
    </c:title>
    <c:autoTitleDeleted val="0"/>
    <c:plotArea>
      <c:layout>
        <c:manualLayout>
          <c:layoutTarget val="inner"/>
          <c:xMode val="edge"/>
          <c:yMode val="edge"/>
          <c:x val="0.10044653804946686"/>
          <c:y val="0.17696629213483145"/>
          <c:w val="0.83259019316558092"/>
          <c:h val="0.6179775280898876"/>
        </c:manualLayout>
      </c:layout>
      <c:lineChart>
        <c:grouping val="standard"/>
        <c:varyColors val="0"/>
        <c:ser>
          <c:idx val="1"/>
          <c:order val="0"/>
          <c:tx>
            <c:strRef>
              <c:f>'VVP2'!$E$348</c:f>
              <c:strCache>
                <c:ptCount val="1"/>
                <c:pt idx="0">
                  <c:v>GDP</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'VVP2'!$G$348:$AG$348</c:f>
              <c:numCache>
                <c:formatCode>0.0</c:formatCode>
                <c:ptCount val="27"/>
                <c:pt idx="1">
                  <c:v>2.5842575072335894</c:v>
                </c:pt>
                <c:pt idx="2">
                  <c:v>4.528587483935409</c:v>
                </c:pt>
                <c:pt idx="3">
                  <c:v>5.0657326637579603</c:v>
                </c:pt>
                <c:pt idx="4">
                  <c:v>5.4682108787114991</c:v>
                </c:pt>
                <c:pt idx="5">
                  <c:v>6.3846614236626298</c:v>
                </c:pt>
                <c:pt idx="6">
                  <c:v>4.1235495837014691</c:v>
                </c:pt>
                <c:pt idx="7">
                  <c:v>3.7085461393536079</c:v>
                </c:pt>
                <c:pt idx="8">
                  <c:v>4.1532907089817606</c:v>
                </c:pt>
                <c:pt idx="9">
                  <c:v>4.7574232625837265</c:v>
                </c:pt>
                <c:pt idx="10">
                  <c:v>3.6419274584167605</c:v>
                </c:pt>
                <c:pt idx="11">
                  <c:v>6.6015777053014757</c:v>
                </c:pt>
                <c:pt idx="12">
                  <c:v>6.3860651262684476</c:v>
                </c:pt>
                <c:pt idx="13">
                  <c:v>2.7476057889422645</c:v>
                </c:pt>
                <c:pt idx="14">
                  <c:v>-2.9387197675724841</c:v>
                </c:pt>
                <c:pt idx="15">
                  <c:v>7.0417486707964771</c:v>
                </c:pt>
                <c:pt idx="16">
                  <c:v>3.8940367055789515</c:v>
                </c:pt>
                <c:pt idx="17">
                  <c:v>0.76011125791202172</c:v>
                </c:pt>
                <c:pt idx="18">
                  <c:v>2.3060714240210611</c:v>
                </c:pt>
                <c:pt idx="19">
                  <c:v>4.4247138069799297</c:v>
                </c:pt>
                <c:pt idx="20">
                  <c:v>6.6131174787644964</c:v>
                </c:pt>
                <c:pt idx="21" formatCode="0.00">
                  <c:v>4.3782486576955382</c:v>
                </c:pt>
                <c:pt idx="22">
                  <c:v>4.4100360802891814</c:v>
                </c:pt>
                <c:pt idx="23">
                  <c:v>4.8980364670283993</c:v>
                </c:pt>
                <c:pt idx="24">
                  <c:v>3.7812749119215061</c:v>
                </c:pt>
                <c:pt idx="25">
                  <c:v>3.5451641625984909</c:v>
                </c:pt>
              </c:numCache>
            </c:numRef>
          </c:val>
          <c:smooth val="0"/>
          <c:extLst>
            <c:ext xmlns:c16="http://schemas.microsoft.com/office/drawing/2014/chart" uri="{C3380CC4-5D6E-409C-BE32-E72D297353CC}">
              <c16:uniqueId val="{00000000-2805-4E4C-A390-93CDF380300D}"/>
            </c:ext>
          </c:extLst>
        </c:ser>
        <c:ser>
          <c:idx val="2"/>
          <c:order val="1"/>
          <c:tx>
            <c:strRef>
              <c:f>'VVP2'!$E$355</c:f>
              <c:strCache>
                <c:ptCount val="1"/>
                <c:pt idx="0">
                  <c:v>GVA</c:v>
                </c:pt>
              </c:strCache>
            </c:strRef>
          </c:tx>
          <c:spPr>
            <a:ln w="25400">
              <a:solidFill>
                <a:srgbClr val="008000"/>
              </a:solidFill>
              <a:prstDash val="solid"/>
            </a:ln>
          </c:spPr>
          <c:marker>
            <c:symbol val="square"/>
            <c:size val="5"/>
            <c:spPr>
              <a:solidFill>
                <a:srgbClr val="FFFFFF"/>
              </a:solidFill>
              <a:ln>
                <a:solidFill>
                  <a:srgbClr val="008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'VVP2'!$G$355:$AG$355</c:f>
              <c:numCache>
                <c:formatCode>0.0</c:formatCode>
                <c:ptCount val="27"/>
                <c:pt idx="1">
                  <c:v>3.0507780011299612</c:v>
                </c:pt>
                <c:pt idx="2">
                  <c:v>4.8521769617480226</c:v>
                </c:pt>
                <c:pt idx="3">
                  <c:v>4.9034964783872814</c:v>
                </c:pt>
                <c:pt idx="4">
                  <c:v>5.4636187489403909</c:v>
                </c:pt>
                <c:pt idx="5">
                  <c:v>6.8490448447070751</c:v>
                </c:pt>
                <c:pt idx="6">
                  <c:v>3.9881919940010668</c:v>
                </c:pt>
                <c:pt idx="7">
                  <c:v>3.550535398557253</c:v>
                </c:pt>
                <c:pt idx="8">
                  <c:v>4.1836189156466697</c:v>
                </c:pt>
                <c:pt idx="9">
                  <c:v>4.9261906917438703</c:v>
                </c:pt>
                <c:pt idx="10">
                  <c:v>3.2869816174973421</c:v>
                </c:pt>
                <c:pt idx="11">
                  <c:v>6.7544863617413409</c:v>
                </c:pt>
                <c:pt idx="12">
                  <c:v>6.4701305178664015</c:v>
                </c:pt>
                <c:pt idx="13">
                  <c:v>2.8968215944882525</c:v>
                </c:pt>
                <c:pt idx="14">
                  <c:v>-3.4980913463576346</c:v>
                </c:pt>
                <c:pt idx="15">
                  <c:v>7.1709291889246574</c:v>
                </c:pt>
                <c:pt idx="16">
                  <c:v>4.1560476819174408</c:v>
                </c:pt>
                <c:pt idx="17">
                  <c:v>0.94965075570188073</c:v>
                </c:pt>
                <c:pt idx="18">
                  <c:v>2.4376574179738375</c:v>
                </c:pt>
                <c:pt idx="19">
                  <c:v>4.5992977905992216</c:v>
                </c:pt>
                <c:pt idx="20">
                  <c:v>6.6020121651141794</c:v>
                </c:pt>
                <c:pt idx="21">
                  <c:v>4.1633346231566337</c:v>
                </c:pt>
                <c:pt idx="22">
                  <c:v>4.4557081150022437</c:v>
                </c:pt>
                <c:pt idx="23">
                  <c:v>4.8930254054674105</c:v>
                </c:pt>
                <c:pt idx="24">
                  <c:v>3.7052385513229424</c:v>
                </c:pt>
                <c:pt idx="25">
                  <c:v>-100</c:v>
                </c:pt>
              </c:numCache>
            </c:numRef>
          </c:val>
          <c:smooth val="0"/>
          <c:extLst>
            <c:ext xmlns:c16="http://schemas.microsoft.com/office/drawing/2014/chart" uri="{C3380CC4-5D6E-409C-BE32-E72D297353CC}">
              <c16:uniqueId val="{00000001-2805-4E4C-A390-93CDF380300D}"/>
            </c:ext>
          </c:extLst>
        </c:ser>
        <c:dLbls>
          <c:showLegendKey val="0"/>
          <c:showVal val="0"/>
          <c:showCatName val="0"/>
          <c:showSerName val="0"/>
          <c:showPercent val="0"/>
          <c:showBubbleSize val="0"/>
        </c:dLbls>
        <c:marker val="1"/>
        <c:smooth val="0"/>
        <c:axId val="227019392"/>
        <c:axId val="227025664"/>
      </c:lineChart>
      <c:catAx>
        <c:axId val="227019392"/>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27025664"/>
        <c:crosses val="autoZero"/>
        <c:auto val="1"/>
        <c:lblAlgn val="ctr"/>
        <c:lblOffset val="100"/>
        <c:tickLblSkip val="2"/>
        <c:tickMarkSkip val="1"/>
        <c:noMultiLvlLbl val="0"/>
      </c:catAx>
      <c:valAx>
        <c:axId val="227025664"/>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27019392"/>
        <c:crosses val="autoZero"/>
        <c:crossBetween val="midCat"/>
      </c:valAx>
      <c:spPr>
        <a:noFill/>
        <a:ln w="12700">
          <a:solidFill>
            <a:srgbClr val="808080"/>
          </a:solidFill>
          <a:prstDash val="solid"/>
        </a:ln>
      </c:spPr>
    </c:plotArea>
    <c:legend>
      <c:legendPos val="r"/>
      <c:layout>
        <c:manualLayout>
          <c:xMode val="edge"/>
          <c:yMode val="edge"/>
          <c:x val="0.36428666718401365"/>
          <c:y val="0.91540348306356445"/>
          <c:w val="0.29821506578299156"/>
          <c:h val="6.2906874428538789E-2"/>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paperSize="9" orientation="landscape"/>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GB"/>
              <a:t>GDP and GVA (VOL)</a:t>
            </a:r>
          </a:p>
        </c:rich>
      </c:tx>
      <c:layout>
        <c:manualLayout>
          <c:xMode val="edge"/>
          <c:yMode val="edge"/>
          <c:x val="0.35491118297712781"/>
          <c:y val="3.3707865168539325E-2"/>
        </c:manualLayout>
      </c:layout>
      <c:overlay val="0"/>
      <c:spPr>
        <a:noFill/>
        <a:ln w="25400">
          <a:noFill/>
        </a:ln>
      </c:spPr>
    </c:title>
    <c:autoTitleDeleted val="0"/>
    <c:plotArea>
      <c:layout>
        <c:manualLayout>
          <c:layoutTarget val="inner"/>
          <c:xMode val="edge"/>
          <c:yMode val="edge"/>
          <c:x val="0.10044653804946686"/>
          <c:y val="0.17696629213483145"/>
          <c:w val="0.83259019316558092"/>
          <c:h val="0.6179775280898876"/>
        </c:manualLayout>
      </c:layout>
      <c:lineChart>
        <c:grouping val="standard"/>
        <c:varyColors val="0"/>
        <c:ser>
          <c:idx val="1"/>
          <c:order val="0"/>
          <c:tx>
            <c:strRef>
              <c:f>'VVP2'!$E$131</c:f>
              <c:strCache>
                <c:ptCount val="1"/>
                <c:pt idx="0">
                  <c:v>Gross domestic product (B.1g - constant prices)</c:v>
                </c:pt>
              </c:strCache>
            </c:strRef>
          </c:tx>
          <c:spPr>
            <a:ln w="25400">
              <a:solidFill>
                <a:srgbClr val="FF0000"/>
              </a:solidFill>
              <a:prstDash val="solid"/>
            </a:ln>
          </c:spPr>
          <c:marker>
            <c:symbol val="circle"/>
            <c:size val="5"/>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'VVP2'!$G$131:$AG$131</c:f>
              <c:numCache>
                <c:formatCode>0.0</c:formatCode>
                <c:ptCount val="27"/>
                <c:pt idx="1">
                  <c:v>1.5190345789658943</c:v>
                </c:pt>
                <c:pt idx="2">
                  <c:v>2.9123066792213548</c:v>
                </c:pt>
                <c:pt idx="3">
                  <c:v>4.2409560508338551</c:v>
                </c:pt>
                <c:pt idx="4">
                  <c:v>4.4867022926029954</c:v>
                </c:pt>
                <c:pt idx="5">
                  <c:v>4.7456166368949892</c:v>
                </c:pt>
                <c:pt idx="6">
                  <c:v>1.5734459634978881</c:v>
                </c:pt>
                <c:pt idx="7">
                  <c:v>2.0753008012419194</c:v>
                </c:pt>
                <c:pt idx="8">
                  <c:v>2.3597762270646028</c:v>
                </c:pt>
                <c:pt idx="9">
                  <c:v>4.310783239085425</c:v>
                </c:pt>
                <c:pt idx="10">
                  <c:v>2.8166773859819028</c:v>
                </c:pt>
                <c:pt idx="11">
                  <c:v>4.6995582969571181</c:v>
                </c:pt>
                <c:pt idx="12">
                  <c:v>3.4080983285069921</c:v>
                </c:pt>
                <c:pt idx="13">
                  <c:v>-0.55705795199625374</c:v>
                </c:pt>
                <c:pt idx="14">
                  <c:v>-5.1958979284636442</c:v>
                </c:pt>
                <c:pt idx="15">
                  <c:v>5.9919680665020847</c:v>
                </c:pt>
                <c:pt idx="16">
                  <c:v>2.6792280204686714</c:v>
                </c:pt>
                <c:pt idx="17">
                  <c:v>-0.29851237313677226</c:v>
                </c:pt>
                <c:pt idx="18">
                  <c:v>1.238349337689959</c:v>
                </c:pt>
                <c:pt idx="19">
                  <c:v>2.601902927795896</c:v>
                </c:pt>
                <c:pt idx="20">
                  <c:v>4.456568925371962</c:v>
                </c:pt>
                <c:pt idx="21">
                  <c:v>2.6839662785306029</c:v>
                </c:pt>
                <c:pt idx="22">
                  <c:v>2.1141964181437434</c:v>
                </c:pt>
                <c:pt idx="23" formatCode="0.00">
                  <c:v>2.3754579714468482</c:v>
                </c:pt>
                <c:pt idx="24" formatCode="0.00">
                  <c:v>1.7607506553809715</c:v>
                </c:pt>
                <c:pt idx="25" formatCode="0.00">
                  <c:v>1.7609205310281206</c:v>
                </c:pt>
              </c:numCache>
            </c:numRef>
          </c:val>
          <c:smooth val="0"/>
          <c:extLst>
            <c:ext xmlns:c16="http://schemas.microsoft.com/office/drawing/2014/chart" uri="{C3380CC4-5D6E-409C-BE32-E72D297353CC}">
              <c16:uniqueId val="{00000000-D7E9-422F-B6EC-F5BEC8D0D08A}"/>
            </c:ext>
          </c:extLst>
        </c:ser>
        <c:ser>
          <c:idx val="2"/>
          <c:order val="1"/>
          <c:tx>
            <c:strRef>
              <c:f>'VVP2'!$E$162</c:f>
              <c:strCache>
                <c:ptCount val="1"/>
                <c:pt idx="0">
                  <c:v>GVA</c:v>
                </c:pt>
              </c:strCache>
            </c:strRef>
          </c:tx>
          <c:spPr>
            <a:ln w="25400">
              <a:solidFill>
                <a:srgbClr val="FF9900"/>
              </a:solidFill>
              <a:prstDash val="solid"/>
            </a:ln>
          </c:spPr>
          <c:marker>
            <c:symbol val="square"/>
            <c:size val="5"/>
            <c:spPr>
              <a:solidFill>
                <a:srgbClr val="FFFFFF"/>
              </a:solidFill>
              <a:ln>
                <a:solidFill>
                  <a:srgbClr val="FF99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'VVP2'!$G$162:$AG$162</c:f>
              <c:numCache>
                <c:formatCode>0.0</c:formatCode>
                <c:ptCount val="27"/>
                <c:pt idx="1">
                  <c:v>1.6582743330535665</c:v>
                </c:pt>
                <c:pt idx="2">
                  <c:v>3.2760595463221964</c:v>
                </c:pt>
                <c:pt idx="3">
                  <c:v>4.2038355738023059</c:v>
                </c:pt>
                <c:pt idx="4">
                  <c:v>4.4336129408457436</c:v>
                </c:pt>
                <c:pt idx="5">
                  <c:v>5.328511926135171</c:v>
                </c:pt>
                <c:pt idx="6">
                  <c:v>1.4126985247837176</c:v>
                </c:pt>
                <c:pt idx="7">
                  <c:v>1.9294193686970829</c:v>
                </c:pt>
                <c:pt idx="8">
                  <c:v>2.4028158289665313</c:v>
                </c:pt>
                <c:pt idx="9">
                  <c:v>4.5869301107634541</c:v>
                </c:pt>
                <c:pt idx="10">
                  <c:v>2.6545296933220941</c:v>
                </c:pt>
                <c:pt idx="11">
                  <c:v>4.7963345581450545</c:v>
                </c:pt>
                <c:pt idx="12">
                  <c:v>3.4096518809348497</c:v>
                </c:pt>
                <c:pt idx="13">
                  <c:v>-0.29683205503123755</c:v>
                </c:pt>
                <c:pt idx="14">
                  <c:v>-5.7704306743876828</c:v>
                </c:pt>
                <c:pt idx="15">
                  <c:v>6.2366750605956423</c:v>
                </c:pt>
                <c:pt idx="16">
                  <c:v>2.9620007893844225</c:v>
                </c:pt>
                <c:pt idx="17">
                  <c:v>-0.1368804117189204</c:v>
                </c:pt>
                <c:pt idx="18">
                  <c:v>1.3386081176993692</c:v>
                </c:pt>
                <c:pt idx="19">
                  <c:v>2.6583672984574536</c:v>
                </c:pt>
                <c:pt idx="20">
                  <c:v>4.3008575814499128</c:v>
                </c:pt>
                <c:pt idx="21">
                  <c:v>2.5579616448880627</c:v>
                </c:pt>
                <c:pt idx="22">
                  <c:v>2.1558791586946846</c:v>
                </c:pt>
                <c:pt idx="23" formatCode="0.00">
                  <c:v>2.3705674154411716</c:v>
                </c:pt>
                <c:pt idx="24" formatCode="0.00">
                  <c:v>1.6861946515336568</c:v>
                </c:pt>
                <c:pt idx="25" formatCode="0.00">
                  <c:v>1.7707733736364695</c:v>
                </c:pt>
              </c:numCache>
            </c:numRef>
          </c:val>
          <c:smooth val="0"/>
          <c:extLst>
            <c:ext xmlns:c16="http://schemas.microsoft.com/office/drawing/2014/chart" uri="{C3380CC4-5D6E-409C-BE32-E72D297353CC}">
              <c16:uniqueId val="{00000001-D7E9-422F-B6EC-F5BEC8D0D08A}"/>
            </c:ext>
          </c:extLst>
        </c:ser>
        <c:dLbls>
          <c:showLegendKey val="0"/>
          <c:showVal val="0"/>
          <c:showCatName val="0"/>
          <c:showSerName val="0"/>
          <c:showPercent val="0"/>
          <c:showBubbleSize val="0"/>
        </c:dLbls>
        <c:marker val="1"/>
        <c:smooth val="0"/>
        <c:axId val="227075200"/>
        <c:axId val="227077120"/>
      </c:lineChart>
      <c:catAx>
        <c:axId val="227075200"/>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27077120"/>
        <c:crosses val="autoZero"/>
        <c:auto val="1"/>
        <c:lblAlgn val="ctr"/>
        <c:lblOffset val="100"/>
        <c:tickLblSkip val="2"/>
        <c:tickMarkSkip val="1"/>
        <c:noMultiLvlLbl val="0"/>
      </c:catAx>
      <c:valAx>
        <c:axId val="227077120"/>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27075200"/>
        <c:crosses val="autoZero"/>
        <c:crossBetween val="midCat"/>
      </c:valAx>
      <c:spPr>
        <a:noFill/>
        <a:ln w="12700">
          <a:solidFill>
            <a:srgbClr val="808080"/>
          </a:solidFill>
          <a:prstDash val="solid"/>
        </a:ln>
      </c:spPr>
    </c:plotArea>
    <c:legend>
      <c:legendPos val="r"/>
      <c:layout>
        <c:manualLayout>
          <c:xMode val="edge"/>
          <c:yMode val="edge"/>
          <c:x val="6.7857320357806464E-2"/>
          <c:y val="0.91540348306356445"/>
          <c:w val="0.85714509925650273"/>
          <c:h val="6.2906874428538789E-2"/>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Public investment as % of GDP</a:t>
            </a:r>
          </a:p>
        </c:rich>
      </c:tx>
      <c:layout>
        <c:manualLayout>
          <c:xMode val="edge"/>
          <c:yMode val="edge"/>
          <c:x val="0.28125023434570678"/>
          <c:y val="3.3707865168539325E-2"/>
        </c:manualLayout>
      </c:layout>
      <c:overlay val="0"/>
      <c:spPr>
        <a:noFill/>
        <a:ln w="25400">
          <a:noFill/>
        </a:ln>
      </c:spPr>
    </c:title>
    <c:autoTitleDeleted val="0"/>
    <c:plotArea>
      <c:layout>
        <c:manualLayout>
          <c:layoutTarget val="inner"/>
          <c:xMode val="edge"/>
          <c:yMode val="edge"/>
          <c:x val="0.14285729855924176"/>
          <c:y val="0.17696629213483145"/>
          <c:w val="0.79017943265580604"/>
          <c:h val="0.6179775280898876"/>
        </c:manualLayout>
      </c:layout>
      <c:lineChart>
        <c:grouping val="standard"/>
        <c:varyColors val="0"/>
        <c:ser>
          <c:idx val="0"/>
          <c:order val="0"/>
          <c:tx>
            <c:strRef>
              <c:f>'VVP2'!$D$242:$E$242</c:f>
              <c:strCache>
                <c:ptCount val="2"/>
                <c:pt idx="0">
                  <c:v>GVT</c:v>
                </c:pt>
                <c:pt idx="1">
                  <c:v>Gross fixed capital formation (P.51)</c:v>
                </c:pt>
              </c:strCache>
            </c:strRef>
          </c:tx>
          <c:spPr>
            <a:ln w="25400">
              <a:solidFill>
                <a:srgbClr val="FF0000"/>
              </a:solidFill>
              <a:prstDash val="solid"/>
            </a:ln>
          </c:spPr>
          <c:marker>
            <c:symbol val="diamond"/>
            <c:size val="5"/>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'VVP2'!$G$242:$AG$242</c:f>
              <c:numCache>
                <c:formatCode>0.0%</c:formatCode>
                <c:ptCount val="27"/>
                <c:pt idx="0">
                  <c:v>5.1190890346448546E-2</c:v>
                </c:pt>
                <c:pt idx="1">
                  <c:v>4.9335238510777112E-2</c:v>
                </c:pt>
                <c:pt idx="2">
                  <c:v>4.349552764669052E-2</c:v>
                </c:pt>
                <c:pt idx="3">
                  <c:v>4.3323639643269699E-2</c:v>
                </c:pt>
                <c:pt idx="4">
                  <c:v>4.3412109313108745E-2</c:v>
                </c:pt>
                <c:pt idx="5">
                  <c:v>3.9296852778078435E-2</c:v>
                </c:pt>
                <c:pt idx="6">
                  <c:v>4.1482870491990863E-2</c:v>
                </c:pt>
                <c:pt idx="7">
                  <c:v>4.3405897296732388E-2</c:v>
                </c:pt>
                <c:pt idx="8">
                  <c:v>4.1947686248793768E-2</c:v>
                </c:pt>
                <c:pt idx="9">
                  <c:v>4.1017973560062426E-2</c:v>
                </c:pt>
                <c:pt idx="10">
                  <c:v>4.1019582001887531E-2</c:v>
                </c:pt>
                <c:pt idx="11">
                  <c:v>4.1237139982351623E-2</c:v>
                </c:pt>
                <c:pt idx="12">
                  <c:v>4.0921446732685378E-2</c:v>
                </c:pt>
                <c:pt idx="13">
                  <c:v>4.2597461258886082E-2</c:v>
                </c:pt>
                <c:pt idx="14">
                  <c:v>4.4899330469631155E-2</c:v>
                </c:pt>
                <c:pt idx="15">
                  <c:v>4.50905039525243E-2</c:v>
                </c:pt>
                <c:pt idx="16">
                  <c:v>4.4305406956432911E-2</c:v>
                </c:pt>
                <c:pt idx="17">
                  <c:v>4.5506606221795233E-2</c:v>
                </c:pt>
                <c:pt idx="18">
                  <c:v>4.4566698083885303E-2</c:v>
                </c:pt>
                <c:pt idx="19">
                  <c:v>4.3938161725990729E-2</c:v>
                </c:pt>
                <c:pt idx="20">
                  <c:v>4.1834392745712712E-2</c:v>
                </c:pt>
                <c:pt idx="21">
                  <c:v>4.3964686328596271E-2</c:v>
                </c:pt>
                <c:pt idx="22">
                  <c:v>4.580511603335212E-2</c:v>
                </c:pt>
                <c:pt idx="23">
                  <c:v>4.6865798775637006E-2</c:v>
                </c:pt>
                <c:pt idx="24">
                  <c:v>4.7581974657212957E-2</c:v>
                </c:pt>
                <c:pt idx="25">
                  <c:v>4.7619810337520205E-2</c:v>
                </c:pt>
              </c:numCache>
            </c:numRef>
          </c:val>
          <c:smooth val="0"/>
          <c:extLst>
            <c:ext xmlns:c16="http://schemas.microsoft.com/office/drawing/2014/chart" uri="{C3380CC4-5D6E-409C-BE32-E72D297353CC}">
              <c16:uniqueId val="{00000000-F4D7-4119-80DA-940097300B53}"/>
            </c:ext>
          </c:extLst>
        </c:ser>
        <c:dLbls>
          <c:showLegendKey val="0"/>
          <c:showVal val="0"/>
          <c:showCatName val="0"/>
          <c:showSerName val="0"/>
          <c:showPercent val="0"/>
          <c:showBubbleSize val="0"/>
        </c:dLbls>
        <c:marker val="1"/>
        <c:smooth val="0"/>
        <c:axId val="227101696"/>
        <c:axId val="227116160"/>
      </c:lineChart>
      <c:catAx>
        <c:axId val="227101696"/>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27116160"/>
        <c:crosses val="autoZero"/>
        <c:auto val="1"/>
        <c:lblAlgn val="ctr"/>
        <c:lblOffset val="100"/>
        <c:tickLblSkip val="2"/>
        <c:tickMarkSkip val="1"/>
        <c:noMultiLvlLbl val="0"/>
      </c:catAx>
      <c:valAx>
        <c:axId val="227116160"/>
        <c:scaling>
          <c:orientation val="minMax"/>
          <c:min val="1.4999999999999999E-2"/>
        </c:scaling>
        <c:delete val="0"/>
        <c:axPos val="l"/>
        <c:majorGridlines>
          <c:spPr>
            <a:ln w="3175">
              <a:solidFill>
                <a:srgbClr val="000000"/>
              </a:solidFill>
              <a:prstDash val="solid"/>
            </a:ln>
          </c:spPr>
        </c:majorGridlines>
        <c:numFmt formatCode="0.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27101696"/>
        <c:crosses val="autoZero"/>
        <c:crossBetween val="midCat"/>
      </c:valAx>
      <c:spPr>
        <a:noFill/>
        <a:ln w="12700">
          <a:solidFill>
            <a:srgbClr val="808080"/>
          </a:solidFill>
          <a:prstDash val="solid"/>
        </a:ln>
      </c:spPr>
    </c:plotArea>
    <c:legend>
      <c:legendPos val="r"/>
      <c:layout>
        <c:manualLayout>
          <c:xMode val="edge"/>
          <c:yMode val="edge"/>
          <c:x val="0.24642921603624451"/>
          <c:y val="0.89371145739855107"/>
          <c:w val="0.61250160217704264"/>
          <c:h val="6.2906874428538789E-2"/>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Corporate investment as % of GDP</a:t>
            </a:r>
          </a:p>
        </c:rich>
      </c:tx>
      <c:layout>
        <c:manualLayout>
          <c:xMode val="edge"/>
          <c:yMode val="edge"/>
          <c:x val="0.25446452005999248"/>
          <c:y val="3.3707865168539325E-2"/>
        </c:manualLayout>
      </c:layout>
      <c:overlay val="0"/>
      <c:spPr>
        <a:noFill/>
        <a:ln w="25400">
          <a:noFill/>
        </a:ln>
      </c:spPr>
    </c:title>
    <c:autoTitleDeleted val="0"/>
    <c:plotArea>
      <c:layout>
        <c:manualLayout>
          <c:layoutTarget val="inner"/>
          <c:xMode val="edge"/>
          <c:yMode val="edge"/>
          <c:x val="0.14285729855924176"/>
          <c:y val="0.17696629213483145"/>
          <c:w val="0.79017943265580604"/>
          <c:h val="0.6179775280898876"/>
        </c:manualLayout>
      </c:layout>
      <c:lineChart>
        <c:grouping val="standard"/>
        <c:varyColors val="0"/>
        <c:ser>
          <c:idx val="2"/>
          <c:order val="0"/>
          <c:tx>
            <c:strRef>
              <c:f>'VVP2'!$D$243:$E$243</c:f>
              <c:strCache>
                <c:ptCount val="2"/>
                <c:pt idx="0">
                  <c:v>E</c:v>
                </c:pt>
                <c:pt idx="1">
                  <c:v>Gross fixed capital formation (P.51)</c:v>
                </c:pt>
              </c:strCache>
            </c:strRef>
          </c:tx>
          <c:spPr>
            <a:ln w="25400">
              <a:solidFill>
                <a:srgbClr val="339966"/>
              </a:solidFill>
              <a:prstDash val="solid"/>
            </a:ln>
          </c:spPr>
          <c:marker>
            <c:symbol val="diamond"/>
            <c:size val="7"/>
            <c:spPr>
              <a:solidFill>
                <a:srgbClr val="FFFFFF"/>
              </a:solidFill>
              <a:ln>
                <a:solidFill>
                  <a:srgbClr val="008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'VVP2'!$G$243:$AG$243</c:f>
              <c:numCache>
                <c:formatCode>0.0%</c:formatCode>
                <c:ptCount val="27"/>
                <c:pt idx="0">
                  <c:v>0.1292250727601334</c:v>
                </c:pt>
                <c:pt idx="1">
                  <c:v>0.13588657439238866</c:v>
                </c:pt>
                <c:pt idx="2">
                  <c:v>0.13861575150669295</c:v>
                </c:pt>
                <c:pt idx="3">
                  <c:v>0.14583417670633578</c:v>
                </c:pt>
                <c:pt idx="4">
                  <c:v>0.1517321685122511</c:v>
                </c:pt>
                <c:pt idx="5">
                  <c:v>0.16197759212225407</c:v>
                </c:pt>
                <c:pt idx="6">
                  <c:v>0.16318803698432985</c:v>
                </c:pt>
                <c:pt idx="7">
                  <c:v>0.15127941043349954</c:v>
                </c:pt>
                <c:pt idx="8">
                  <c:v>0.14688740155688673</c:v>
                </c:pt>
                <c:pt idx="9">
                  <c:v>0.14813721534979132</c:v>
                </c:pt>
                <c:pt idx="10">
                  <c:v>0.15269646333867343</c:v>
                </c:pt>
                <c:pt idx="11">
                  <c:v>0.15893889263814953</c:v>
                </c:pt>
                <c:pt idx="12">
                  <c:v>0.16632197136428753</c:v>
                </c:pt>
                <c:pt idx="13">
                  <c:v>0.170965370858875</c:v>
                </c:pt>
                <c:pt idx="14">
                  <c:v>0.151207970573592</c:v>
                </c:pt>
                <c:pt idx="15">
                  <c:v>0.14825059367323679</c:v>
                </c:pt>
                <c:pt idx="16">
                  <c:v>0.15528115894841987</c:v>
                </c:pt>
                <c:pt idx="17">
                  <c:v>0.15740886574781279</c:v>
                </c:pt>
                <c:pt idx="18">
                  <c:v>0.15524972714185364</c:v>
                </c:pt>
                <c:pt idx="19">
                  <c:v>0.16292596281329888</c:v>
                </c:pt>
                <c:pt idx="20">
                  <c:v>0.16442126142705193</c:v>
                </c:pt>
                <c:pt idx="21">
                  <c:v>0.16319039780439937</c:v>
                </c:pt>
                <c:pt idx="22">
                  <c:v>0.16998889907814083</c:v>
                </c:pt>
                <c:pt idx="23">
                  <c:v>0.17527817328781581</c:v>
                </c:pt>
                <c:pt idx="24">
                  <c:v>0.17635053412431698</c:v>
                </c:pt>
                <c:pt idx="25">
                  <c:v>0.1767680560959479</c:v>
                </c:pt>
              </c:numCache>
            </c:numRef>
          </c:val>
          <c:smooth val="0"/>
          <c:extLst>
            <c:ext xmlns:c16="http://schemas.microsoft.com/office/drawing/2014/chart" uri="{C3380CC4-5D6E-409C-BE32-E72D297353CC}">
              <c16:uniqueId val="{00000000-35F8-40E4-BB24-34D28588EC8C}"/>
            </c:ext>
          </c:extLst>
        </c:ser>
        <c:dLbls>
          <c:showLegendKey val="0"/>
          <c:showVal val="0"/>
          <c:showCatName val="0"/>
          <c:showSerName val="0"/>
          <c:showPercent val="0"/>
          <c:showBubbleSize val="0"/>
        </c:dLbls>
        <c:marker val="1"/>
        <c:smooth val="0"/>
        <c:axId val="227148544"/>
        <c:axId val="227150464"/>
      </c:lineChart>
      <c:catAx>
        <c:axId val="227148544"/>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27150464"/>
        <c:crosses val="autoZero"/>
        <c:auto val="1"/>
        <c:lblAlgn val="ctr"/>
        <c:lblOffset val="100"/>
        <c:tickLblSkip val="2"/>
        <c:tickMarkSkip val="1"/>
        <c:noMultiLvlLbl val="0"/>
      </c:catAx>
      <c:valAx>
        <c:axId val="227150464"/>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27148544"/>
        <c:crosses val="autoZero"/>
        <c:crossBetween val="midCat"/>
      </c:valAx>
      <c:spPr>
        <a:noFill/>
        <a:ln w="12700">
          <a:solidFill>
            <a:srgbClr val="808080"/>
          </a:solidFill>
          <a:prstDash val="solid"/>
        </a:ln>
      </c:spPr>
    </c:plotArea>
    <c:legend>
      <c:legendPos val="r"/>
      <c:layout>
        <c:manualLayout>
          <c:xMode val="edge"/>
          <c:yMode val="edge"/>
          <c:x val="0.25714352977695076"/>
          <c:y val="0.89588065996505228"/>
          <c:w val="0.57678722304135499"/>
          <c:h val="6.2906874428538789E-2"/>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GB"/>
              <a:t>Public investment (VAL)</a:t>
            </a:r>
          </a:p>
        </c:rich>
      </c:tx>
      <c:layout>
        <c:manualLayout>
          <c:xMode val="edge"/>
          <c:yMode val="edge"/>
          <c:x val="0.32812546869141357"/>
          <c:y val="3.3707865168539325E-2"/>
        </c:manualLayout>
      </c:layout>
      <c:overlay val="0"/>
      <c:spPr>
        <a:noFill/>
        <a:ln w="25400">
          <a:noFill/>
        </a:ln>
      </c:spPr>
    </c:title>
    <c:autoTitleDeleted val="0"/>
    <c:plotArea>
      <c:layout>
        <c:manualLayout>
          <c:layoutTarget val="inner"/>
          <c:xMode val="edge"/>
          <c:yMode val="edge"/>
          <c:x val="0.10044653804946686"/>
          <c:y val="0.17696629213483145"/>
          <c:w val="0.83259019316558092"/>
          <c:h val="0.5589887640449438"/>
        </c:manualLayout>
      </c:layout>
      <c:lineChart>
        <c:grouping val="standard"/>
        <c:varyColors val="0"/>
        <c:ser>
          <c:idx val="0"/>
          <c:order val="0"/>
          <c:tx>
            <c:strRef>
              <c:f>'VVP2'!$D$229:$E$229</c:f>
              <c:strCache>
                <c:ptCount val="2"/>
                <c:pt idx="0">
                  <c:v>GVT</c:v>
                </c:pt>
                <c:pt idx="1">
                  <c:v>Gross fixed capital formation (P.51)</c:v>
                </c:pt>
              </c:strCache>
            </c:strRef>
          </c:tx>
          <c:spPr>
            <a:ln w="25400">
              <a:solidFill>
                <a:srgbClr val="0000FF"/>
              </a:solidFill>
              <a:prstDash val="solid"/>
            </a:ln>
          </c:spPr>
          <c:marker>
            <c:symbol val="diamond"/>
            <c:size val="5"/>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'VVP2'!$G$236:$AG$236</c:f>
              <c:numCache>
                <c:formatCode>0.0</c:formatCode>
                <c:ptCount val="27"/>
                <c:pt idx="1">
                  <c:v>-1.1343858776727944</c:v>
                </c:pt>
                <c:pt idx="2">
                  <c:v>-7.844246749028116</c:v>
                </c:pt>
                <c:pt idx="3">
                  <c:v>4.650528159004863</c:v>
                </c:pt>
                <c:pt idx="4">
                  <c:v>5.6835837760900398</c:v>
                </c:pt>
                <c:pt idx="5">
                  <c:v>-3.7000863593370958</c:v>
                </c:pt>
                <c:pt idx="6">
                  <c:v>9.915767222880568</c:v>
                </c:pt>
                <c:pt idx="7">
                  <c:v>8.5161766562739771</c:v>
                </c:pt>
                <c:pt idx="8">
                  <c:v>0.65428507496085864</c:v>
                </c:pt>
                <c:pt idx="9">
                  <c:v>2.4356192644234165</c:v>
                </c:pt>
                <c:pt idx="10">
                  <c:v>3.6459915794956332</c:v>
                </c:pt>
                <c:pt idx="11">
                  <c:v>7.166966790904139</c:v>
                </c:pt>
                <c:pt idx="12">
                  <c:v>5.5716206077278896</c:v>
                </c:pt>
                <c:pt idx="13">
                  <c:v>6.955826504097562</c:v>
                </c:pt>
                <c:pt idx="14">
                  <c:v>2.3062494376267395</c:v>
                </c:pt>
                <c:pt idx="15">
                  <c:v>7.4975136831992639</c:v>
                </c:pt>
                <c:pt idx="16">
                  <c:v>2.0850771912820809</c:v>
                </c:pt>
                <c:pt idx="17">
                  <c:v>3.4918990900347557</c:v>
                </c:pt>
                <c:pt idx="18">
                  <c:v>0.19300879262278414</c:v>
                </c:pt>
                <c:pt idx="19">
                  <c:v>2.9519834474885931</c:v>
                </c:pt>
                <c:pt idx="20">
                  <c:v>1.508457642486305</c:v>
                </c:pt>
                <c:pt idx="21">
                  <c:v>9.693404411471862</c:v>
                </c:pt>
                <c:pt idx="22">
                  <c:v>8.780801526915516</c:v>
                </c:pt>
                <c:pt idx="23" formatCode="0.00">
                  <c:v>7.3270999999999864</c:v>
                </c:pt>
                <c:pt idx="24" formatCode="0.00">
                  <c:v>5.3671999999999942</c:v>
                </c:pt>
                <c:pt idx="25" formatCode="0.00">
                  <c:v>3.6274999999999835</c:v>
                </c:pt>
              </c:numCache>
            </c:numRef>
          </c:val>
          <c:smooth val="0"/>
          <c:extLst>
            <c:ext xmlns:c16="http://schemas.microsoft.com/office/drawing/2014/chart" uri="{C3380CC4-5D6E-409C-BE32-E72D297353CC}">
              <c16:uniqueId val="{00000000-2ACD-4BC5-AD75-C236665DC6C1}"/>
            </c:ext>
          </c:extLst>
        </c:ser>
        <c:ser>
          <c:idx val="1"/>
          <c:order val="1"/>
          <c:tx>
            <c:v>GVT Gross Fixed capital formation (P.51), excl. real estate</c:v>
          </c:tx>
          <c:spPr>
            <a:ln w="25400">
              <a:solidFill>
                <a:srgbClr val="FF9900"/>
              </a:solidFill>
              <a:prstDash val="solid"/>
            </a:ln>
          </c:spPr>
          <c:marker>
            <c:symbol val="circle"/>
            <c:size val="5"/>
            <c:spPr>
              <a:solidFill>
                <a:srgbClr val="FFFFFF"/>
              </a:solidFill>
              <a:ln>
                <a:solidFill>
                  <a:srgbClr val="FF9900"/>
                </a:solidFill>
                <a:prstDash val="solid"/>
              </a:ln>
            </c:spPr>
          </c:marker>
          <c:val>
            <c:numRef>
              <c:f>'VVP2'!#REF!</c:f>
              <c:numCache>
                <c:formatCode>General</c:formatCode>
                <c:ptCount val="1"/>
                <c:pt idx="0">
                  <c:v>1</c:v>
                </c:pt>
              </c:numCache>
            </c:numRef>
          </c:val>
          <c:smooth val="0"/>
          <c:extLst>
            <c:ext xmlns:c16="http://schemas.microsoft.com/office/drawing/2014/chart" uri="{C3380CC4-5D6E-409C-BE32-E72D297353CC}">
              <c16:uniqueId val="{00000001-2ACD-4BC5-AD75-C236665DC6C1}"/>
            </c:ext>
          </c:extLst>
        </c:ser>
        <c:dLbls>
          <c:showLegendKey val="0"/>
          <c:showVal val="0"/>
          <c:showCatName val="0"/>
          <c:showSerName val="0"/>
          <c:showPercent val="0"/>
          <c:showBubbleSize val="0"/>
        </c:dLbls>
        <c:marker val="1"/>
        <c:smooth val="0"/>
        <c:axId val="227175424"/>
        <c:axId val="227193984"/>
      </c:lineChart>
      <c:catAx>
        <c:axId val="227175424"/>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27193984"/>
        <c:crosses val="autoZero"/>
        <c:auto val="1"/>
        <c:lblAlgn val="ctr"/>
        <c:lblOffset val="100"/>
        <c:tickLblSkip val="2"/>
        <c:tickMarkSkip val="1"/>
        <c:noMultiLvlLbl val="0"/>
      </c:catAx>
      <c:valAx>
        <c:axId val="227193984"/>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27175424"/>
        <c:crosses val="autoZero"/>
        <c:crossBetween val="midCat"/>
      </c:valAx>
      <c:spPr>
        <a:noFill/>
        <a:ln w="12700">
          <a:solidFill>
            <a:srgbClr val="808080"/>
          </a:solidFill>
          <a:prstDash val="solid"/>
        </a:ln>
      </c:spPr>
    </c:plotArea>
    <c:legend>
      <c:legendPos val="r"/>
      <c:layout>
        <c:manualLayout>
          <c:xMode val="edge"/>
          <c:yMode val="edge"/>
          <c:x val="6.6071601401022084E-2"/>
          <c:y val="0.86117341890103094"/>
          <c:w val="0.84464506655901206"/>
          <c:h val="0.12147534372407491"/>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paperSize="9" orientation="landscape"/>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cat>
            <c:strRef>
              <c:f>'Q1'!$G$160:$DF$160</c:f>
              <c:strCache>
                <c:ptCount val="104"/>
                <c:pt idx="0">
                  <c:v>1995Q1</c:v>
                </c:pt>
                <c:pt idx="1">
                  <c:v>1995Q2</c:v>
                </c:pt>
                <c:pt idx="2">
                  <c:v>1995Q3</c:v>
                </c:pt>
                <c:pt idx="3">
                  <c:v>1995Q4</c:v>
                </c:pt>
                <c:pt idx="4">
                  <c:v>1996Q1</c:v>
                </c:pt>
                <c:pt idx="5">
                  <c:v>1996Q2</c:v>
                </c:pt>
                <c:pt idx="6">
                  <c:v>1996Q3</c:v>
                </c:pt>
                <c:pt idx="7">
                  <c:v>1996Q4</c:v>
                </c:pt>
                <c:pt idx="8">
                  <c:v>1997Q1</c:v>
                </c:pt>
                <c:pt idx="9">
                  <c:v>1997Q2</c:v>
                </c:pt>
                <c:pt idx="10">
                  <c:v>1997Q3</c:v>
                </c:pt>
                <c:pt idx="11">
                  <c:v>1997Q4</c:v>
                </c:pt>
                <c:pt idx="12">
                  <c:v>1998Q1</c:v>
                </c:pt>
                <c:pt idx="13">
                  <c:v>1998Q2</c:v>
                </c:pt>
                <c:pt idx="14">
                  <c:v>1998Q3</c:v>
                </c:pt>
                <c:pt idx="15">
                  <c:v>1998Q4</c:v>
                </c:pt>
                <c:pt idx="16">
                  <c:v>1999Q1</c:v>
                </c:pt>
                <c:pt idx="17">
                  <c:v>1999Q2</c:v>
                </c:pt>
                <c:pt idx="18">
                  <c:v>1999Q3</c:v>
                </c:pt>
                <c:pt idx="19">
                  <c:v>1999Q4</c:v>
                </c:pt>
                <c:pt idx="20">
                  <c:v>2000Q1</c:v>
                </c:pt>
                <c:pt idx="21">
                  <c:v>2000Q2</c:v>
                </c:pt>
                <c:pt idx="22">
                  <c:v>2000Q3</c:v>
                </c:pt>
                <c:pt idx="23">
                  <c:v>2000Q4</c:v>
                </c:pt>
                <c:pt idx="24">
                  <c:v>2001Q1</c:v>
                </c:pt>
                <c:pt idx="25">
                  <c:v>2001Q2</c:v>
                </c:pt>
                <c:pt idx="26">
                  <c:v>2001Q3</c:v>
                </c:pt>
                <c:pt idx="27">
                  <c:v>2001Q4</c:v>
                </c:pt>
                <c:pt idx="28">
                  <c:v>2002Q1</c:v>
                </c:pt>
                <c:pt idx="29">
                  <c:v>2002Q2</c:v>
                </c:pt>
                <c:pt idx="30">
                  <c:v>2002Q3</c:v>
                </c:pt>
                <c:pt idx="31">
                  <c:v>2002Q4</c:v>
                </c:pt>
                <c:pt idx="32">
                  <c:v>2003Q1</c:v>
                </c:pt>
                <c:pt idx="33">
                  <c:v>2003Q2</c:v>
                </c:pt>
                <c:pt idx="34">
                  <c:v>2003Q3</c:v>
                </c:pt>
                <c:pt idx="35">
                  <c:v>2003Q4</c:v>
                </c:pt>
                <c:pt idx="36">
                  <c:v>2004Q1</c:v>
                </c:pt>
                <c:pt idx="37">
                  <c:v>2004Q2</c:v>
                </c:pt>
                <c:pt idx="38">
                  <c:v>2004Q3</c:v>
                </c:pt>
                <c:pt idx="39">
                  <c:v>2004Q4</c:v>
                </c:pt>
                <c:pt idx="40">
                  <c:v>2005Q1</c:v>
                </c:pt>
                <c:pt idx="41">
                  <c:v>2005Q2</c:v>
                </c:pt>
                <c:pt idx="42">
                  <c:v>2005Q3</c:v>
                </c:pt>
                <c:pt idx="43">
                  <c:v>2005Q4</c:v>
                </c:pt>
                <c:pt idx="44">
                  <c:v>2006Q1</c:v>
                </c:pt>
                <c:pt idx="45">
                  <c:v>2006Q2</c:v>
                </c:pt>
                <c:pt idx="46">
                  <c:v>2006Q3</c:v>
                </c:pt>
                <c:pt idx="47">
                  <c:v>2006Q4</c:v>
                </c:pt>
                <c:pt idx="48">
                  <c:v>2007Q1</c:v>
                </c:pt>
                <c:pt idx="49">
                  <c:v>2007Q2</c:v>
                </c:pt>
                <c:pt idx="50">
                  <c:v>2007Q3</c:v>
                </c:pt>
                <c:pt idx="51">
                  <c:v>2007Q4</c:v>
                </c:pt>
                <c:pt idx="52">
                  <c:v>2008Q1</c:v>
                </c:pt>
                <c:pt idx="53">
                  <c:v>2008Q2</c:v>
                </c:pt>
                <c:pt idx="54">
                  <c:v>2008Q3</c:v>
                </c:pt>
                <c:pt idx="55">
                  <c:v>2008Q4</c:v>
                </c:pt>
                <c:pt idx="56">
                  <c:v>2009Q1</c:v>
                </c:pt>
                <c:pt idx="57">
                  <c:v>2009Q2</c:v>
                </c:pt>
                <c:pt idx="58">
                  <c:v>2009Q3</c:v>
                </c:pt>
                <c:pt idx="59">
                  <c:v>2009Q4</c:v>
                </c:pt>
                <c:pt idx="60">
                  <c:v>2010Q1</c:v>
                </c:pt>
                <c:pt idx="61">
                  <c:v>2010Q2</c:v>
                </c:pt>
                <c:pt idx="62">
                  <c:v>2010Q3</c:v>
                </c:pt>
                <c:pt idx="63">
                  <c:v>2010Q4</c:v>
                </c:pt>
                <c:pt idx="64">
                  <c:v>2011Q1</c:v>
                </c:pt>
                <c:pt idx="65">
                  <c:v>2011Q2</c:v>
                </c:pt>
                <c:pt idx="66">
                  <c:v>2011Q3</c:v>
                </c:pt>
                <c:pt idx="67">
                  <c:v>2011Q4</c:v>
                </c:pt>
                <c:pt idx="68">
                  <c:v>2012Q1</c:v>
                </c:pt>
                <c:pt idx="69">
                  <c:v>2012Q2</c:v>
                </c:pt>
                <c:pt idx="70">
                  <c:v>2012Q3</c:v>
                </c:pt>
                <c:pt idx="71">
                  <c:v>2012Q4</c:v>
                </c:pt>
                <c:pt idx="72">
                  <c:v>2013Q1</c:v>
                </c:pt>
                <c:pt idx="73">
                  <c:v>2013Q2</c:v>
                </c:pt>
                <c:pt idx="74">
                  <c:v>2013Q3</c:v>
                </c:pt>
                <c:pt idx="75">
                  <c:v>2013Q4</c:v>
                </c:pt>
                <c:pt idx="76">
                  <c:v>2014Q1</c:v>
                </c:pt>
                <c:pt idx="77">
                  <c:v>2014Q2</c:v>
                </c:pt>
                <c:pt idx="78">
                  <c:v>2014Q3</c:v>
                </c:pt>
                <c:pt idx="79">
                  <c:v>2014Q4</c:v>
                </c:pt>
                <c:pt idx="80">
                  <c:v>2015Q1</c:v>
                </c:pt>
                <c:pt idx="81">
                  <c:v>2015Q2</c:v>
                </c:pt>
                <c:pt idx="82">
                  <c:v>2015Q3</c:v>
                </c:pt>
                <c:pt idx="83">
                  <c:v>2015Q4</c:v>
                </c:pt>
                <c:pt idx="84">
                  <c:v>2016Q1</c:v>
                </c:pt>
                <c:pt idx="85">
                  <c:v>2016Q2</c:v>
                </c:pt>
                <c:pt idx="86">
                  <c:v>2016Q3</c:v>
                </c:pt>
                <c:pt idx="87">
                  <c:v>2016Q4</c:v>
                </c:pt>
                <c:pt idx="88">
                  <c:v>2017Q1</c:v>
                </c:pt>
                <c:pt idx="89">
                  <c:v>2017Q2</c:v>
                </c:pt>
                <c:pt idx="90">
                  <c:v>2017Q3</c:v>
                </c:pt>
                <c:pt idx="91">
                  <c:v>2017Q4</c:v>
                </c:pt>
                <c:pt idx="92">
                  <c:v>2018Q1</c:v>
                </c:pt>
                <c:pt idx="93">
                  <c:v>1Q1</c:v>
                </c:pt>
                <c:pt idx="94">
                  <c:v>2018Q3</c:v>
                </c:pt>
                <c:pt idx="95">
                  <c:v>2018Q4</c:v>
                </c:pt>
                <c:pt idx="96">
                  <c:v>2019Q1</c:v>
                </c:pt>
                <c:pt idx="97">
                  <c:v>2019Q2</c:v>
                </c:pt>
                <c:pt idx="98">
                  <c:v>2019Q3</c:v>
                </c:pt>
                <c:pt idx="99">
                  <c:v>2019Q4</c:v>
                </c:pt>
                <c:pt idx="100">
                  <c:v>2020Q1</c:v>
                </c:pt>
                <c:pt idx="101">
                  <c:v>2020Q2</c:v>
                </c:pt>
                <c:pt idx="102">
                  <c:v>2020Q3</c:v>
                </c:pt>
                <c:pt idx="103">
                  <c:v>2020Q4</c:v>
                </c:pt>
              </c:strCache>
            </c:strRef>
          </c:cat>
          <c:val>
            <c:numRef>
              <c:f>'Q1'!$G$171:$DF$171</c:f>
              <c:numCache>
                <c:formatCode>0.0</c:formatCode>
                <c:ptCount val="104"/>
                <c:pt idx="0">
                  <c:v>187.71689999999998</c:v>
                </c:pt>
                <c:pt idx="1">
                  <c:v>191.60239999999999</c:v>
                </c:pt>
                <c:pt idx="2">
                  <c:v>186.30520000000001</c:v>
                </c:pt>
                <c:pt idx="3">
                  <c:v>190.17699999999999</c:v>
                </c:pt>
                <c:pt idx="4">
                  <c:v>190.90549999999999</c:v>
                </c:pt>
                <c:pt idx="5">
                  <c:v>198.75729999999999</c:v>
                </c:pt>
                <c:pt idx="6">
                  <c:v>193.81049999999999</c:v>
                </c:pt>
                <c:pt idx="7">
                  <c:v>203.54750000000001</c:v>
                </c:pt>
                <c:pt idx="8">
                  <c:v>212.4408</c:v>
                </c:pt>
                <c:pt idx="9">
                  <c:v>225.53570000000002</c:v>
                </c:pt>
                <c:pt idx="10">
                  <c:v>225.94229999999999</c:v>
                </c:pt>
                <c:pt idx="11">
                  <c:v>235.28450000000001</c:v>
                </c:pt>
                <c:pt idx="12">
                  <c:v>236.95020000000002</c:v>
                </c:pt>
                <c:pt idx="13">
                  <c:v>240.9932</c:v>
                </c:pt>
                <c:pt idx="14">
                  <c:v>245.9282</c:v>
                </c:pt>
                <c:pt idx="15">
                  <c:v>254.2525</c:v>
                </c:pt>
                <c:pt idx="16">
                  <c:v>251.52860000000001</c:v>
                </c:pt>
                <c:pt idx="17">
                  <c:v>258.8931</c:v>
                </c:pt>
                <c:pt idx="18">
                  <c:v>265.5016</c:v>
                </c:pt>
                <c:pt idx="19">
                  <c:v>268.78959999999995</c:v>
                </c:pt>
                <c:pt idx="20">
                  <c:v>275.73079999999999</c:v>
                </c:pt>
                <c:pt idx="21">
                  <c:v>289.49109999999996</c:v>
                </c:pt>
                <c:pt idx="22">
                  <c:v>299.33540000000005</c:v>
                </c:pt>
                <c:pt idx="23">
                  <c:v>305.00479999999999</c:v>
                </c:pt>
                <c:pt idx="24">
                  <c:v>295.61720000000003</c:v>
                </c:pt>
                <c:pt idx="25">
                  <c:v>291.70609999999999</c:v>
                </c:pt>
                <c:pt idx="26">
                  <c:v>294.43690000000004</c:v>
                </c:pt>
                <c:pt idx="27">
                  <c:v>298.62470000000002</c:v>
                </c:pt>
                <c:pt idx="28">
                  <c:v>300.76279999999997</c:v>
                </c:pt>
                <c:pt idx="29">
                  <c:v>303.1019</c:v>
                </c:pt>
                <c:pt idx="30">
                  <c:v>293.4357</c:v>
                </c:pt>
                <c:pt idx="31">
                  <c:v>298.31259999999997</c:v>
                </c:pt>
                <c:pt idx="32">
                  <c:v>306.52570000000003</c:v>
                </c:pt>
                <c:pt idx="33">
                  <c:v>308.95820000000003</c:v>
                </c:pt>
                <c:pt idx="34">
                  <c:v>312.85659999999996</c:v>
                </c:pt>
                <c:pt idx="35">
                  <c:v>319.61659999999995</c:v>
                </c:pt>
                <c:pt idx="36">
                  <c:v>330.56549999999999</c:v>
                </c:pt>
                <c:pt idx="37">
                  <c:v>347.11670000000004</c:v>
                </c:pt>
                <c:pt idx="38">
                  <c:v>343.9468</c:v>
                </c:pt>
                <c:pt idx="39">
                  <c:v>348.81870000000004</c:v>
                </c:pt>
                <c:pt idx="40">
                  <c:v>350.13200000000001</c:v>
                </c:pt>
                <c:pt idx="41">
                  <c:v>361.06900000000002</c:v>
                </c:pt>
                <c:pt idx="42">
                  <c:v>373.17450000000002</c:v>
                </c:pt>
                <c:pt idx="43">
                  <c:v>376.79720000000003</c:v>
                </c:pt>
                <c:pt idx="44">
                  <c:v>390.65009999999995</c:v>
                </c:pt>
                <c:pt idx="45">
                  <c:v>390.01420000000002</c:v>
                </c:pt>
                <c:pt idx="46">
                  <c:v>399.0394</c:v>
                </c:pt>
                <c:pt idx="47">
                  <c:v>414.745</c:v>
                </c:pt>
                <c:pt idx="48">
                  <c:v>407.67579999999998</c:v>
                </c:pt>
                <c:pt idx="49">
                  <c:v>414.0077</c:v>
                </c:pt>
                <c:pt idx="50">
                  <c:v>417.6884</c:v>
                </c:pt>
                <c:pt idx="51">
                  <c:v>430.3433</c:v>
                </c:pt>
                <c:pt idx="52">
                  <c:v>438.96690000000001</c:v>
                </c:pt>
                <c:pt idx="53">
                  <c:v>430.36590000000001</c:v>
                </c:pt>
                <c:pt idx="54">
                  <c:v>426.50400000000002</c:v>
                </c:pt>
                <c:pt idx="55">
                  <c:v>400.53479999999996</c:v>
                </c:pt>
                <c:pt idx="56">
                  <c:v>365.6456</c:v>
                </c:pt>
                <c:pt idx="57">
                  <c:v>355.56009999999998</c:v>
                </c:pt>
                <c:pt idx="58">
                  <c:v>364.00459999999998</c:v>
                </c:pt>
                <c:pt idx="59">
                  <c:v>367.97970000000004</c:v>
                </c:pt>
                <c:pt idx="60">
                  <c:v>381.03620000000001</c:v>
                </c:pt>
                <c:pt idx="61">
                  <c:v>400.21679999999998</c:v>
                </c:pt>
                <c:pt idx="62">
                  <c:v>410.92540000000002</c:v>
                </c:pt>
                <c:pt idx="63">
                  <c:v>426.84359999999998</c:v>
                </c:pt>
                <c:pt idx="64">
                  <c:v>426.25690000000003</c:v>
                </c:pt>
                <c:pt idx="65">
                  <c:v>427.25509999999997</c:v>
                </c:pt>
                <c:pt idx="66">
                  <c:v>440.56659999999999</c:v>
                </c:pt>
                <c:pt idx="67">
                  <c:v>425.62880000000001</c:v>
                </c:pt>
                <c:pt idx="68">
                  <c:v>437.75599999999997</c:v>
                </c:pt>
                <c:pt idx="69">
                  <c:v>443.82499999999999</c:v>
                </c:pt>
                <c:pt idx="70">
                  <c:v>435.23590000000002</c:v>
                </c:pt>
                <c:pt idx="71">
                  <c:v>429.46709999999996</c:v>
                </c:pt>
                <c:pt idx="72">
                  <c:v>428.98480000000001</c:v>
                </c:pt>
                <c:pt idx="73">
                  <c:v>435.18859999999995</c:v>
                </c:pt>
                <c:pt idx="74">
                  <c:v>436.05690000000004</c:v>
                </c:pt>
                <c:pt idx="75">
                  <c:v>432.25700000000001</c:v>
                </c:pt>
                <c:pt idx="76">
                  <c:v>450.10270000000003</c:v>
                </c:pt>
                <c:pt idx="77">
                  <c:v>455.36059999999998</c:v>
                </c:pt>
                <c:pt idx="78">
                  <c:v>457.94569999999999</c:v>
                </c:pt>
                <c:pt idx="79">
                  <c:v>463.3827</c:v>
                </c:pt>
                <c:pt idx="80">
                  <c:v>468.05090000000001</c:v>
                </c:pt>
                <c:pt idx="81">
                  <c:v>473.56170000000003</c:v>
                </c:pt>
                <c:pt idx="82">
                  <c:v>487.47459999999995</c:v>
                </c:pt>
                <c:pt idx="83">
                  <c:v>493.39600000000002</c:v>
                </c:pt>
                <c:pt idx="84">
                  <c:v>488.84890000000001</c:v>
                </c:pt>
                <c:pt idx="85">
                  <c:v>484.7645</c:v>
                </c:pt>
                <c:pt idx="86">
                  <c:v>495.90729999999996</c:v>
                </c:pt>
                <c:pt idx="87">
                  <c:v>502.27850000000001</c:v>
                </c:pt>
                <c:pt idx="88">
                  <c:v>498.82409999999999</c:v>
                </c:pt>
                <c:pt idx="89">
                  <c:v>511.56759999999997</c:v>
                </c:pt>
                <c:pt idx="90">
                  <c:v>511.17770000000002</c:v>
                </c:pt>
                <c:pt idx="91">
                  <c:v>522.84519999999998</c:v>
                </c:pt>
                <c:pt idx="92">
                  <c:v>522.93280000000004</c:v>
                </c:pt>
                <c:pt idx="93">
                  <c:v>525.0385</c:v>
                </c:pt>
                <c:pt idx="94" formatCode="0.00">
                  <c:v>530.7089158</c:v>
                </c:pt>
                <c:pt idx="95" formatCode="0.00">
                  <c:v>535.75065050010005</c:v>
                </c:pt>
                <c:pt idx="96" formatCode="0.00">
                  <c:v>539.55448011865087</c:v>
                </c:pt>
                <c:pt idx="97" formatCode="0.00">
                  <c:v>544.302559543695</c:v>
                </c:pt>
                <c:pt idx="98" formatCode="0.00">
                  <c:v>547.84052618072894</c:v>
                </c:pt>
                <c:pt idx="99" formatCode="0.00">
                  <c:v>551.07278528519521</c:v>
                </c:pt>
                <c:pt idx="100" formatCode="0.00">
                  <c:v>555.92222579570489</c:v>
                </c:pt>
                <c:pt idx="101" formatCode="0.00">
                  <c:v>560.25841915691137</c:v>
                </c:pt>
                <c:pt idx="102" formatCode="0.00">
                  <c:v>564.51638314250397</c:v>
                </c:pt>
                <c:pt idx="103" formatCode="0.00">
                  <c:v>568.07283635630176</c:v>
                </c:pt>
              </c:numCache>
            </c:numRef>
          </c:val>
          <c:smooth val="0"/>
          <c:extLst>
            <c:ext xmlns:c16="http://schemas.microsoft.com/office/drawing/2014/chart" uri="{C3380CC4-5D6E-409C-BE32-E72D297353CC}">
              <c16:uniqueId val="{00000000-58A4-4326-81AD-392FD39B7CE4}"/>
            </c:ext>
          </c:extLst>
        </c:ser>
        <c:dLbls>
          <c:showLegendKey val="0"/>
          <c:showVal val="0"/>
          <c:showCatName val="0"/>
          <c:showSerName val="0"/>
          <c:showPercent val="0"/>
          <c:showBubbleSize val="0"/>
        </c:dLbls>
        <c:smooth val="0"/>
        <c:axId val="284932352"/>
        <c:axId val="220082176"/>
      </c:lineChart>
      <c:catAx>
        <c:axId val="284932352"/>
        <c:scaling>
          <c:orientation val="minMax"/>
        </c:scaling>
        <c:delete val="0"/>
        <c:axPos val="b"/>
        <c:numFmt formatCode="General" sourceLinked="0"/>
        <c:majorTickMark val="out"/>
        <c:minorTickMark val="none"/>
        <c:tickLblPos val="nextTo"/>
        <c:crossAx val="220082176"/>
        <c:crosses val="autoZero"/>
        <c:auto val="1"/>
        <c:lblAlgn val="ctr"/>
        <c:lblOffset val="100"/>
        <c:noMultiLvlLbl val="0"/>
      </c:catAx>
      <c:valAx>
        <c:axId val="220082176"/>
        <c:scaling>
          <c:orientation val="minMax"/>
        </c:scaling>
        <c:delete val="0"/>
        <c:axPos val="l"/>
        <c:majorGridlines/>
        <c:numFmt formatCode="0.0" sourceLinked="1"/>
        <c:majorTickMark val="out"/>
        <c:minorTickMark val="none"/>
        <c:tickLblPos val="nextTo"/>
        <c:crossAx val="2849323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inflation</a:t>
            </a:r>
            <a:r>
              <a:rPr lang="en-GB" baseline="0"/>
              <a:t> components</a:t>
            </a:r>
            <a:endParaRPr lang="en-GB"/>
          </a:p>
        </c:rich>
      </c:tx>
      <c:overlay val="0"/>
    </c:title>
    <c:autoTitleDeleted val="0"/>
    <c:plotArea>
      <c:layout/>
      <c:lineChart>
        <c:grouping val="standard"/>
        <c:varyColors val="0"/>
        <c:ser>
          <c:idx val="0"/>
          <c:order val="0"/>
          <c:tx>
            <c:strRef>
              <c:f>'Q1'!$E$311</c:f>
              <c:strCache>
                <c:ptCount val="1"/>
                <c:pt idx="0">
                  <c:v>Non-energy industrial goods</c:v>
                </c:pt>
              </c:strCache>
            </c:strRef>
          </c:tx>
          <c:marker>
            <c:symbol val="none"/>
          </c:marker>
          <c:cat>
            <c:strRef>
              <c:f>'Q1'!$CQ$310:$DF$310</c:f>
              <c:strCache>
                <c:ptCount val="16"/>
                <c:pt idx="0">
                  <c:v>Q1</c:v>
                </c:pt>
                <c:pt idx="1">
                  <c:v>Q2</c:v>
                </c:pt>
                <c:pt idx="2">
                  <c:v>Q3</c:v>
                </c:pt>
                <c:pt idx="3">
                  <c:v>Q4</c:v>
                </c:pt>
                <c:pt idx="4">
                  <c:v>Q1</c:v>
                </c:pt>
                <c:pt idx="5">
                  <c:v>Q2</c:v>
                </c:pt>
                <c:pt idx="6">
                  <c:v>Q3</c:v>
                </c:pt>
                <c:pt idx="7">
                  <c:v>Q4</c:v>
                </c:pt>
                <c:pt idx="8">
                  <c:v>Q1</c:v>
                </c:pt>
                <c:pt idx="9">
                  <c:v>Q2</c:v>
                </c:pt>
                <c:pt idx="10">
                  <c:v>Q3</c:v>
                </c:pt>
                <c:pt idx="11">
                  <c:v>Q4</c:v>
                </c:pt>
                <c:pt idx="12">
                  <c:v>Q1</c:v>
                </c:pt>
                <c:pt idx="13">
                  <c:v>Q2</c:v>
                </c:pt>
                <c:pt idx="14">
                  <c:v>Q3</c:v>
                </c:pt>
                <c:pt idx="15">
                  <c:v>Q4</c:v>
                </c:pt>
              </c:strCache>
            </c:strRef>
          </c:cat>
          <c:val>
            <c:numRef>
              <c:f>'Q1'!$CQ$311:$DF$311</c:f>
              <c:numCache>
                <c:formatCode>0.00</c:formatCode>
                <c:ptCount val="16"/>
                <c:pt idx="0">
                  <c:v>0.37960773867007447</c:v>
                </c:pt>
                <c:pt idx="1">
                  <c:v>0.2568746912563995</c:v>
                </c:pt>
                <c:pt idx="2">
                  <c:v>-2.9783572705028405E-2</c:v>
                </c:pt>
                <c:pt idx="3">
                  <c:v>-0.20200045613006523</c:v>
                </c:pt>
                <c:pt idx="4">
                  <c:v>0.14596118759328647</c:v>
                </c:pt>
                <c:pt idx="5">
                  <c:v>9.5259994087300015E-2</c:v>
                </c:pt>
                <c:pt idx="6">
                  <c:v>6.2895163692928691E-2</c:v>
                </c:pt>
                <c:pt idx="7">
                  <c:v>0.3</c:v>
                </c:pt>
                <c:pt idx="8">
                  <c:v>0.26</c:v>
                </c:pt>
                <c:pt idx="9">
                  <c:v>0.21</c:v>
                </c:pt>
                <c:pt idx="10">
                  <c:v>0.15</c:v>
                </c:pt>
                <c:pt idx="11">
                  <c:v>0.1</c:v>
                </c:pt>
                <c:pt idx="12">
                  <c:v>-0.08</c:v>
                </c:pt>
                <c:pt idx="13">
                  <c:v>0.11</c:v>
                </c:pt>
                <c:pt idx="14">
                  <c:v>0.21</c:v>
                </c:pt>
                <c:pt idx="15">
                  <c:v>0.15</c:v>
                </c:pt>
              </c:numCache>
            </c:numRef>
          </c:val>
          <c:smooth val="0"/>
          <c:extLst>
            <c:ext xmlns:c16="http://schemas.microsoft.com/office/drawing/2014/chart" uri="{C3380CC4-5D6E-409C-BE32-E72D297353CC}">
              <c16:uniqueId val="{00000000-9747-428B-8709-6D38CDC2E9A7}"/>
            </c:ext>
          </c:extLst>
        </c:ser>
        <c:ser>
          <c:idx val="2"/>
          <c:order val="1"/>
          <c:tx>
            <c:strRef>
              <c:f>'Q1'!$E$313</c:f>
              <c:strCache>
                <c:ptCount val="1"/>
                <c:pt idx="0">
                  <c:v>Unprocessed food</c:v>
                </c:pt>
              </c:strCache>
            </c:strRef>
          </c:tx>
          <c:marker>
            <c:symbol val="none"/>
          </c:marker>
          <c:cat>
            <c:strRef>
              <c:f>'Q1'!$CQ$310:$DF$310</c:f>
              <c:strCache>
                <c:ptCount val="16"/>
                <c:pt idx="0">
                  <c:v>Q1</c:v>
                </c:pt>
                <c:pt idx="1">
                  <c:v>Q2</c:v>
                </c:pt>
                <c:pt idx="2">
                  <c:v>Q3</c:v>
                </c:pt>
                <c:pt idx="3">
                  <c:v>Q4</c:v>
                </c:pt>
                <c:pt idx="4">
                  <c:v>Q1</c:v>
                </c:pt>
                <c:pt idx="5">
                  <c:v>Q2</c:v>
                </c:pt>
                <c:pt idx="6">
                  <c:v>Q3</c:v>
                </c:pt>
                <c:pt idx="7">
                  <c:v>Q4</c:v>
                </c:pt>
                <c:pt idx="8">
                  <c:v>Q1</c:v>
                </c:pt>
                <c:pt idx="9">
                  <c:v>Q2</c:v>
                </c:pt>
                <c:pt idx="10">
                  <c:v>Q3</c:v>
                </c:pt>
                <c:pt idx="11">
                  <c:v>Q4</c:v>
                </c:pt>
                <c:pt idx="12">
                  <c:v>Q1</c:v>
                </c:pt>
                <c:pt idx="13">
                  <c:v>Q2</c:v>
                </c:pt>
                <c:pt idx="14">
                  <c:v>Q3</c:v>
                </c:pt>
                <c:pt idx="15">
                  <c:v>Q4</c:v>
                </c:pt>
              </c:strCache>
            </c:strRef>
          </c:cat>
          <c:val>
            <c:numRef>
              <c:f>'Q1'!$CQ$313:$DF$313</c:f>
              <c:numCache>
                <c:formatCode>0.00</c:formatCode>
                <c:ptCount val="16"/>
                <c:pt idx="0">
                  <c:v>3.1690486313241877</c:v>
                </c:pt>
                <c:pt idx="1">
                  <c:v>1.7550131625987433</c:v>
                </c:pt>
                <c:pt idx="2">
                  <c:v>2.2621208192896063</c:v>
                </c:pt>
                <c:pt idx="3">
                  <c:v>1.8181818181818272</c:v>
                </c:pt>
                <c:pt idx="4">
                  <c:v>1.0904710581373251</c:v>
                </c:pt>
                <c:pt idx="5">
                  <c:v>3.9764923823820482</c:v>
                </c:pt>
                <c:pt idx="6">
                  <c:v>4.6586803574824103</c:v>
                </c:pt>
                <c:pt idx="7">
                  <c:v>4</c:v>
                </c:pt>
                <c:pt idx="8">
                  <c:v>3.5</c:v>
                </c:pt>
                <c:pt idx="9">
                  <c:v>3.1</c:v>
                </c:pt>
                <c:pt idx="10">
                  <c:v>2.4500000000000002</c:v>
                </c:pt>
                <c:pt idx="11">
                  <c:v>2.4500000000000002</c:v>
                </c:pt>
                <c:pt idx="12">
                  <c:v>2.1</c:v>
                </c:pt>
                <c:pt idx="13">
                  <c:v>1.99</c:v>
                </c:pt>
                <c:pt idx="14">
                  <c:v>1.78</c:v>
                </c:pt>
                <c:pt idx="15">
                  <c:v>1.55</c:v>
                </c:pt>
              </c:numCache>
            </c:numRef>
          </c:val>
          <c:smooth val="0"/>
          <c:extLst>
            <c:ext xmlns:c16="http://schemas.microsoft.com/office/drawing/2014/chart" uri="{C3380CC4-5D6E-409C-BE32-E72D297353CC}">
              <c16:uniqueId val="{00000001-9747-428B-8709-6D38CDC2E9A7}"/>
            </c:ext>
          </c:extLst>
        </c:ser>
        <c:ser>
          <c:idx val="3"/>
          <c:order val="2"/>
          <c:tx>
            <c:strRef>
              <c:f>'Q1'!$E$314</c:f>
              <c:strCache>
                <c:ptCount val="1"/>
                <c:pt idx="0">
                  <c:v>Processed food (incl. Alcohol and tobacco)</c:v>
                </c:pt>
              </c:strCache>
            </c:strRef>
          </c:tx>
          <c:marker>
            <c:symbol val="none"/>
          </c:marker>
          <c:cat>
            <c:strRef>
              <c:f>'Q1'!$CQ$310:$DF$310</c:f>
              <c:strCache>
                <c:ptCount val="16"/>
                <c:pt idx="0">
                  <c:v>Q1</c:v>
                </c:pt>
                <c:pt idx="1">
                  <c:v>Q2</c:v>
                </c:pt>
                <c:pt idx="2">
                  <c:v>Q3</c:v>
                </c:pt>
                <c:pt idx="3">
                  <c:v>Q4</c:v>
                </c:pt>
                <c:pt idx="4">
                  <c:v>Q1</c:v>
                </c:pt>
                <c:pt idx="5">
                  <c:v>Q2</c:v>
                </c:pt>
                <c:pt idx="6">
                  <c:v>Q3</c:v>
                </c:pt>
                <c:pt idx="7">
                  <c:v>Q4</c:v>
                </c:pt>
                <c:pt idx="8">
                  <c:v>Q1</c:v>
                </c:pt>
                <c:pt idx="9">
                  <c:v>Q2</c:v>
                </c:pt>
                <c:pt idx="10">
                  <c:v>Q3</c:v>
                </c:pt>
                <c:pt idx="11">
                  <c:v>Q4</c:v>
                </c:pt>
                <c:pt idx="12">
                  <c:v>Q1</c:v>
                </c:pt>
                <c:pt idx="13">
                  <c:v>Q2</c:v>
                </c:pt>
                <c:pt idx="14">
                  <c:v>Q3</c:v>
                </c:pt>
                <c:pt idx="15">
                  <c:v>Q4</c:v>
                </c:pt>
              </c:strCache>
            </c:strRef>
          </c:cat>
          <c:val>
            <c:numRef>
              <c:f>'Q1'!$CQ$314:$DF$314</c:f>
              <c:numCache>
                <c:formatCode>0.00</c:formatCode>
                <c:ptCount val="16"/>
                <c:pt idx="0">
                  <c:v>1.2459713592716923</c:v>
                </c:pt>
                <c:pt idx="1">
                  <c:v>1.852589641434264</c:v>
                </c:pt>
                <c:pt idx="2">
                  <c:v>2.3921542641309372</c:v>
                </c:pt>
                <c:pt idx="3">
                  <c:v>2.8069246301016335</c:v>
                </c:pt>
                <c:pt idx="4">
                  <c:v>2.3431346810186255</c:v>
                </c:pt>
                <c:pt idx="5">
                  <c:v>1.8188930177977625</c:v>
                </c:pt>
                <c:pt idx="6">
                  <c:v>1.4820088014496662</c:v>
                </c:pt>
                <c:pt idx="7">
                  <c:v>1.95</c:v>
                </c:pt>
                <c:pt idx="8">
                  <c:v>1.85</c:v>
                </c:pt>
                <c:pt idx="9">
                  <c:v>2.11</c:v>
                </c:pt>
                <c:pt idx="10">
                  <c:v>2.1800000000000002</c:v>
                </c:pt>
                <c:pt idx="11">
                  <c:v>2.23</c:v>
                </c:pt>
                <c:pt idx="12">
                  <c:v>2.15</c:v>
                </c:pt>
                <c:pt idx="13">
                  <c:v>2.15</c:v>
                </c:pt>
                <c:pt idx="14">
                  <c:v>2.02</c:v>
                </c:pt>
                <c:pt idx="15">
                  <c:v>1.99</c:v>
                </c:pt>
              </c:numCache>
            </c:numRef>
          </c:val>
          <c:smooth val="0"/>
          <c:extLst>
            <c:ext xmlns:c16="http://schemas.microsoft.com/office/drawing/2014/chart" uri="{C3380CC4-5D6E-409C-BE32-E72D297353CC}">
              <c16:uniqueId val="{00000002-9747-428B-8709-6D38CDC2E9A7}"/>
            </c:ext>
          </c:extLst>
        </c:ser>
        <c:ser>
          <c:idx val="4"/>
          <c:order val="3"/>
          <c:tx>
            <c:strRef>
              <c:f>'Q1'!$E$315</c:f>
              <c:strCache>
                <c:ptCount val="1"/>
                <c:pt idx="0">
                  <c:v>Services</c:v>
                </c:pt>
              </c:strCache>
            </c:strRef>
          </c:tx>
          <c:marker>
            <c:symbol val="none"/>
          </c:marker>
          <c:cat>
            <c:strRef>
              <c:f>'Q1'!$CQ$310:$DF$310</c:f>
              <c:strCache>
                <c:ptCount val="16"/>
                <c:pt idx="0">
                  <c:v>Q1</c:v>
                </c:pt>
                <c:pt idx="1">
                  <c:v>Q2</c:v>
                </c:pt>
                <c:pt idx="2">
                  <c:v>Q3</c:v>
                </c:pt>
                <c:pt idx="3">
                  <c:v>Q4</c:v>
                </c:pt>
                <c:pt idx="4">
                  <c:v>Q1</c:v>
                </c:pt>
                <c:pt idx="5">
                  <c:v>Q2</c:v>
                </c:pt>
                <c:pt idx="6">
                  <c:v>Q3</c:v>
                </c:pt>
                <c:pt idx="7">
                  <c:v>Q4</c:v>
                </c:pt>
                <c:pt idx="8">
                  <c:v>Q1</c:v>
                </c:pt>
                <c:pt idx="9">
                  <c:v>Q2</c:v>
                </c:pt>
                <c:pt idx="10">
                  <c:v>Q3</c:v>
                </c:pt>
                <c:pt idx="11">
                  <c:v>Q4</c:v>
                </c:pt>
                <c:pt idx="12">
                  <c:v>Q1</c:v>
                </c:pt>
                <c:pt idx="13">
                  <c:v>Q2</c:v>
                </c:pt>
                <c:pt idx="14">
                  <c:v>Q3</c:v>
                </c:pt>
                <c:pt idx="15">
                  <c:v>Q4</c:v>
                </c:pt>
              </c:strCache>
            </c:strRef>
          </c:cat>
          <c:val>
            <c:numRef>
              <c:f>'Q1'!$CQ$315:$DF$315</c:f>
              <c:numCache>
                <c:formatCode>0.00</c:formatCode>
                <c:ptCount val="16"/>
                <c:pt idx="0">
                  <c:v>1.0788628917496794</c:v>
                </c:pt>
                <c:pt idx="1">
                  <c:v>2.3978919631093589</c:v>
                </c:pt>
                <c:pt idx="2">
                  <c:v>3.0441051182908581</c:v>
                </c:pt>
                <c:pt idx="3">
                  <c:v>2.4140766321328613</c:v>
                </c:pt>
                <c:pt idx="4">
                  <c:v>1.9742657892151954</c:v>
                </c:pt>
                <c:pt idx="5">
                  <c:v>1.5086206896551886</c:v>
                </c:pt>
                <c:pt idx="6">
                  <c:v>1.380099850542166</c:v>
                </c:pt>
                <c:pt idx="7">
                  <c:v>1.88</c:v>
                </c:pt>
                <c:pt idx="8">
                  <c:v>1.88</c:v>
                </c:pt>
                <c:pt idx="9">
                  <c:v>1.99</c:v>
                </c:pt>
                <c:pt idx="10">
                  <c:v>2.0099999999999998</c:v>
                </c:pt>
                <c:pt idx="11">
                  <c:v>2.33</c:v>
                </c:pt>
                <c:pt idx="12">
                  <c:v>2.4500000000000002</c:v>
                </c:pt>
                <c:pt idx="13">
                  <c:v>2.5099999999999998</c:v>
                </c:pt>
                <c:pt idx="14">
                  <c:v>2.65</c:v>
                </c:pt>
                <c:pt idx="15">
                  <c:v>2.63</c:v>
                </c:pt>
              </c:numCache>
            </c:numRef>
          </c:val>
          <c:smooth val="0"/>
          <c:extLst>
            <c:ext xmlns:c16="http://schemas.microsoft.com/office/drawing/2014/chart" uri="{C3380CC4-5D6E-409C-BE32-E72D297353CC}">
              <c16:uniqueId val="{00000003-9747-428B-8709-6D38CDC2E9A7}"/>
            </c:ext>
          </c:extLst>
        </c:ser>
        <c:dLbls>
          <c:showLegendKey val="0"/>
          <c:showVal val="0"/>
          <c:showCatName val="0"/>
          <c:showSerName val="0"/>
          <c:showPercent val="0"/>
          <c:showBubbleSize val="0"/>
        </c:dLbls>
        <c:smooth val="0"/>
        <c:axId val="284956544"/>
        <c:axId val="284958080"/>
      </c:lineChart>
      <c:catAx>
        <c:axId val="284956544"/>
        <c:scaling>
          <c:orientation val="minMax"/>
        </c:scaling>
        <c:delete val="0"/>
        <c:axPos val="b"/>
        <c:numFmt formatCode="General" sourceLinked="0"/>
        <c:majorTickMark val="none"/>
        <c:minorTickMark val="none"/>
        <c:tickLblPos val="nextTo"/>
        <c:crossAx val="284958080"/>
        <c:crosses val="autoZero"/>
        <c:auto val="1"/>
        <c:lblAlgn val="ctr"/>
        <c:lblOffset val="100"/>
        <c:noMultiLvlLbl val="0"/>
      </c:catAx>
      <c:valAx>
        <c:axId val="284958080"/>
        <c:scaling>
          <c:orientation val="minMax"/>
        </c:scaling>
        <c:delete val="0"/>
        <c:axPos val="l"/>
        <c:majorGridlines/>
        <c:numFmt formatCode="0.00" sourceLinked="1"/>
        <c:majorTickMark val="none"/>
        <c:minorTickMark val="none"/>
        <c:tickLblPos val="nextTo"/>
        <c:spPr>
          <a:ln w="9525">
            <a:noFill/>
          </a:ln>
        </c:spPr>
        <c:crossAx val="284956544"/>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GB"/>
              <a:t>Private consumption (QoQ)</a:t>
            </a:r>
          </a:p>
        </c:rich>
      </c:tx>
      <c:layout>
        <c:manualLayout>
          <c:xMode val="edge"/>
          <c:yMode val="edge"/>
          <c:x val="0.41517857142857145"/>
          <c:y val="3.5947712418300651E-2"/>
        </c:manualLayout>
      </c:layout>
      <c:overlay val="0"/>
      <c:spPr>
        <a:noFill/>
        <a:ln w="25400">
          <a:noFill/>
        </a:ln>
      </c:spPr>
    </c:title>
    <c:autoTitleDeleted val="0"/>
    <c:plotArea>
      <c:layout>
        <c:manualLayout>
          <c:layoutTarget val="inner"/>
          <c:xMode val="edge"/>
          <c:yMode val="edge"/>
          <c:x val="5.3571428571428568E-2"/>
          <c:y val="0.19281107284988017"/>
          <c:w val="0.9308035714285714"/>
          <c:h val="0.69608065283092335"/>
        </c:manualLayout>
      </c:layout>
      <c:barChart>
        <c:barDir val="col"/>
        <c:grouping val="stacked"/>
        <c:varyColors val="0"/>
        <c:ser>
          <c:idx val="0"/>
          <c:order val="0"/>
          <c:tx>
            <c:strRef>
              <c:f>'Q1'!$F$27</c:f>
              <c:strCache>
                <c:ptCount val="1"/>
                <c:pt idx="0">
                  <c:v>QPrvC</c:v>
                </c:pt>
              </c:strCache>
            </c:strRef>
          </c:tx>
          <c:spPr>
            <a:solidFill>
              <a:srgbClr val="9999FF"/>
            </a:solidFill>
            <a:ln w="12700">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3">
                  <c:v>1</c:v>
                </c:pt>
                <c:pt idx="96">
                  <c:v>2019</c:v>
                </c:pt>
                <c:pt idx="100">
                  <c:v>2020</c:v>
                </c:pt>
              </c:numCache>
            </c:numRef>
          </c:cat>
          <c:val>
            <c:numRef>
              <c:f>'Q1'!$G$27:$DJ$27</c:f>
              <c:numCache>
                <c:formatCode>0.00</c:formatCode>
                <c:ptCount val="108"/>
                <c:pt idx="1">
                  <c:v>0.79157451320683858</c:v>
                </c:pt>
                <c:pt idx="2">
                  <c:v>-0.2070988897198256</c:v>
                </c:pt>
                <c:pt idx="3">
                  <c:v>0.18248832651177604</c:v>
                </c:pt>
                <c:pt idx="4">
                  <c:v>0.67946133637346584</c:v>
                </c:pt>
                <c:pt idx="5">
                  <c:v>7.7550171853491001E-2</c:v>
                </c:pt>
                <c:pt idx="6">
                  <c:v>1.6483506677674287</c:v>
                </c:pt>
                <c:pt idx="7">
                  <c:v>5.6042671086387053E-2</c:v>
                </c:pt>
                <c:pt idx="8">
                  <c:v>0.78903610762308674</c:v>
                </c:pt>
                <c:pt idx="9">
                  <c:v>1.6170776998853276</c:v>
                </c:pt>
                <c:pt idx="10">
                  <c:v>-0.46718179793376891</c:v>
                </c:pt>
                <c:pt idx="11">
                  <c:v>0.78582553337402938</c:v>
                </c:pt>
                <c:pt idx="12">
                  <c:v>0.7569148452865937</c:v>
                </c:pt>
                <c:pt idx="13">
                  <c:v>1.227276934170618</c:v>
                </c:pt>
                <c:pt idx="14">
                  <c:v>0.89369979322830861</c:v>
                </c:pt>
                <c:pt idx="15">
                  <c:v>1.309771302870244</c:v>
                </c:pt>
                <c:pt idx="16">
                  <c:v>0.40356547822852917</c:v>
                </c:pt>
                <c:pt idx="17">
                  <c:v>0.45826831164204052</c:v>
                </c:pt>
                <c:pt idx="18">
                  <c:v>1.3582683240184412</c:v>
                </c:pt>
                <c:pt idx="19">
                  <c:v>2.929827338987212</c:v>
                </c:pt>
                <c:pt idx="20">
                  <c:v>0.83870053726529115</c:v>
                </c:pt>
                <c:pt idx="21">
                  <c:v>1.6840143384227124</c:v>
                </c:pt>
                <c:pt idx="22">
                  <c:v>0.41602024105489299</c:v>
                </c:pt>
                <c:pt idx="23">
                  <c:v>-0.17164583742212969</c:v>
                </c:pt>
                <c:pt idx="24">
                  <c:v>8.1184247953669519E-2</c:v>
                </c:pt>
                <c:pt idx="25">
                  <c:v>0.38407137449969486</c:v>
                </c:pt>
                <c:pt idx="26">
                  <c:v>5.4515269401322897E-2</c:v>
                </c:pt>
                <c:pt idx="27">
                  <c:v>-0.39719013594270436</c:v>
                </c:pt>
                <c:pt idx="28">
                  <c:v>1.6442318456460159</c:v>
                </c:pt>
                <c:pt idx="29">
                  <c:v>0.74297345358231848</c:v>
                </c:pt>
                <c:pt idx="30">
                  <c:v>0.3047481499122151</c:v>
                </c:pt>
                <c:pt idx="31">
                  <c:v>1.4721269443269236</c:v>
                </c:pt>
                <c:pt idx="32">
                  <c:v>2.8275132717503482E-2</c:v>
                </c:pt>
                <c:pt idx="33">
                  <c:v>0.21940408573359882</c:v>
                </c:pt>
                <c:pt idx="34">
                  <c:v>1.2435796119431686</c:v>
                </c:pt>
                <c:pt idx="35">
                  <c:v>0.4348148175691291</c:v>
                </c:pt>
                <c:pt idx="36">
                  <c:v>1.2232717235817203</c:v>
                </c:pt>
                <c:pt idx="37">
                  <c:v>-0.41883806269319424</c:v>
                </c:pt>
                <c:pt idx="38">
                  <c:v>1.0961810666568761</c:v>
                </c:pt>
                <c:pt idx="39">
                  <c:v>0.56817975395364595</c:v>
                </c:pt>
                <c:pt idx="40">
                  <c:v>0.58044795198133325</c:v>
                </c:pt>
                <c:pt idx="41">
                  <c:v>0.6481027150801344</c:v>
                </c:pt>
                <c:pt idx="42">
                  <c:v>1.3165718075425659</c:v>
                </c:pt>
                <c:pt idx="43">
                  <c:v>0.53601986286302417</c:v>
                </c:pt>
                <c:pt idx="44">
                  <c:v>0.16797405982496016</c:v>
                </c:pt>
                <c:pt idx="45">
                  <c:v>1.253697612946203</c:v>
                </c:pt>
                <c:pt idx="46">
                  <c:v>0.19619909425314663</c:v>
                </c:pt>
                <c:pt idx="47">
                  <c:v>1.2955235184735292</c:v>
                </c:pt>
                <c:pt idx="48">
                  <c:v>0.74206213425394019</c:v>
                </c:pt>
                <c:pt idx="49">
                  <c:v>0.721419836147974</c:v>
                </c:pt>
                <c:pt idx="50">
                  <c:v>1.7198990574237794</c:v>
                </c:pt>
                <c:pt idx="51">
                  <c:v>1.1154010827570726</c:v>
                </c:pt>
                <c:pt idx="52">
                  <c:v>-1.0314303037022743</c:v>
                </c:pt>
                <c:pt idx="53">
                  <c:v>-9.3780454887282261E-4</c:v>
                </c:pt>
                <c:pt idx="54">
                  <c:v>-0.69986221747738719</c:v>
                </c:pt>
                <c:pt idx="55">
                  <c:v>-1.1016056212057257</c:v>
                </c:pt>
                <c:pt idx="56">
                  <c:v>0.33848847539010851</c:v>
                </c:pt>
                <c:pt idx="57">
                  <c:v>1.3183911383949365</c:v>
                </c:pt>
                <c:pt idx="58">
                  <c:v>0.32049166427179365</c:v>
                </c:pt>
                <c:pt idx="59">
                  <c:v>0.24949564375900124</c:v>
                </c:pt>
                <c:pt idx="60">
                  <c:v>2.2381558583249417</c:v>
                </c:pt>
                <c:pt idx="61">
                  <c:v>7.0541572615345771E-2</c:v>
                </c:pt>
                <c:pt idx="62">
                  <c:v>1.2543452906289998</c:v>
                </c:pt>
                <c:pt idx="63">
                  <c:v>0.61499263241848734</c:v>
                </c:pt>
                <c:pt idx="64">
                  <c:v>0.26798081000680707</c:v>
                </c:pt>
                <c:pt idx="65">
                  <c:v>0.95372276751337637</c:v>
                </c:pt>
                <c:pt idx="66">
                  <c:v>-0.40434713847836701</c:v>
                </c:pt>
                <c:pt idx="67">
                  <c:v>-0.11963455247668842</c:v>
                </c:pt>
                <c:pt idx="68">
                  <c:v>0.50751654100815724</c:v>
                </c:pt>
                <c:pt idx="69">
                  <c:v>0.22551939576882507</c:v>
                </c:pt>
                <c:pt idx="70">
                  <c:v>0.40172178074611153</c:v>
                </c:pt>
                <c:pt idx="71">
                  <c:v>0.36660707954037086</c:v>
                </c:pt>
                <c:pt idx="72">
                  <c:v>0.43118491975879802</c:v>
                </c:pt>
                <c:pt idx="73">
                  <c:v>0.38358811898382417</c:v>
                </c:pt>
                <c:pt idx="74">
                  <c:v>0.9613341731454339</c:v>
                </c:pt>
                <c:pt idx="75">
                  <c:v>0.44715519071543142</c:v>
                </c:pt>
                <c:pt idx="76">
                  <c:v>5.5689029492933528E-2</c:v>
                </c:pt>
                <c:pt idx="77">
                  <c:v>1.4309882068894497</c:v>
                </c:pt>
                <c:pt idx="78">
                  <c:v>-0.18320622540369813</c:v>
                </c:pt>
                <c:pt idx="79">
                  <c:v>0.84473467781693845</c:v>
                </c:pt>
                <c:pt idx="80">
                  <c:v>0.90646352640126882</c:v>
                </c:pt>
                <c:pt idx="81">
                  <c:v>0.67896741019379814</c:v>
                </c:pt>
                <c:pt idx="82">
                  <c:v>0.85642274632733439</c:v>
                </c:pt>
                <c:pt idx="83">
                  <c:v>1.0185687034055535</c:v>
                </c:pt>
                <c:pt idx="84">
                  <c:v>1.0152243099768699</c:v>
                </c:pt>
                <c:pt idx="85">
                  <c:v>-0.10746463734319089</c:v>
                </c:pt>
                <c:pt idx="86">
                  <c:v>0.71880895003371137</c:v>
                </c:pt>
                <c:pt idx="87">
                  <c:v>0.3974467657472891</c:v>
                </c:pt>
                <c:pt idx="88" formatCode="0.0">
                  <c:v>0.83079710168274534</c:v>
                </c:pt>
                <c:pt idx="89" formatCode="0.0">
                  <c:v>0.50425982492889876</c:v>
                </c:pt>
                <c:pt idx="90" formatCode="0.0">
                  <c:v>0.4679010351687829</c:v>
                </c:pt>
                <c:pt idx="91" formatCode="0.0">
                  <c:v>0.75456444399344402</c:v>
                </c:pt>
                <c:pt idx="92" formatCode="0.0">
                  <c:v>0.49077426875407948</c:v>
                </c:pt>
                <c:pt idx="93" formatCode="0.0">
                  <c:v>0.85425419505966715</c:v>
                </c:pt>
                <c:pt idx="94">
                  <c:v>0.32</c:v>
                </c:pt>
                <c:pt idx="95">
                  <c:v>0.66</c:v>
                </c:pt>
                <c:pt idx="96" formatCode="0.0">
                  <c:v>0.74</c:v>
                </c:pt>
                <c:pt idx="97" formatCode="0.0">
                  <c:v>0.52</c:v>
                </c:pt>
                <c:pt idx="98" formatCode="0.0">
                  <c:v>0.43</c:v>
                </c:pt>
                <c:pt idx="99" formatCode="0.0">
                  <c:v>0.35</c:v>
                </c:pt>
                <c:pt idx="100" formatCode="0.0">
                  <c:v>0.71</c:v>
                </c:pt>
                <c:pt idx="101" formatCode="0.0">
                  <c:v>0.53</c:v>
                </c:pt>
                <c:pt idx="102" formatCode="0.0">
                  <c:v>0.55000000000000004</c:v>
                </c:pt>
                <c:pt idx="103" formatCode="0.0">
                  <c:v>0.39</c:v>
                </c:pt>
              </c:numCache>
            </c:numRef>
          </c:val>
          <c:extLst>
            <c:ext xmlns:c16="http://schemas.microsoft.com/office/drawing/2014/chart" uri="{C3380CC4-5D6E-409C-BE32-E72D297353CC}">
              <c16:uniqueId val="{00000000-BEC6-4B39-8BC3-FAD1130E9277}"/>
            </c:ext>
          </c:extLst>
        </c:ser>
        <c:dLbls>
          <c:showLegendKey val="0"/>
          <c:showVal val="0"/>
          <c:showCatName val="0"/>
          <c:showSerName val="0"/>
          <c:showPercent val="0"/>
          <c:showBubbleSize val="0"/>
        </c:dLbls>
        <c:gapWidth val="10"/>
        <c:overlap val="100"/>
        <c:axId val="285421952"/>
        <c:axId val="285423488"/>
      </c:barChart>
      <c:catAx>
        <c:axId val="285421952"/>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fr-FR"/>
          </a:p>
        </c:txPr>
        <c:crossAx val="285423488"/>
        <c:crosses val="autoZero"/>
        <c:auto val="1"/>
        <c:lblAlgn val="ctr"/>
        <c:lblOffset val="100"/>
        <c:tickLblSkip val="4"/>
        <c:tickMarkSkip val="4"/>
        <c:noMultiLvlLbl val="0"/>
      </c:catAx>
      <c:valAx>
        <c:axId val="285423488"/>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fr-FR"/>
          </a:p>
        </c:txPr>
        <c:crossAx val="285421952"/>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425"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paperSize="9" orientation="landscape"/>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GB"/>
              <a:t>Private consumption (YoY)</a:t>
            </a:r>
          </a:p>
        </c:rich>
      </c:tx>
      <c:layout>
        <c:manualLayout>
          <c:xMode val="edge"/>
          <c:yMode val="edge"/>
          <c:x val="0.41629464285714285"/>
          <c:y val="3.5947712418300651E-2"/>
        </c:manualLayout>
      </c:layout>
      <c:overlay val="0"/>
      <c:spPr>
        <a:noFill/>
        <a:ln w="25400">
          <a:noFill/>
        </a:ln>
      </c:spPr>
    </c:title>
    <c:autoTitleDeleted val="0"/>
    <c:plotArea>
      <c:layout>
        <c:manualLayout>
          <c:layoutTarget val="inner"/>
          <c:xMode val="edge"/>
          <c:yMode val="edge"/>
          <c:x val="5.3571428571428568E-2"/>
          <c:y val="0.19281107284988017"/>
          <c:w val="0.9308035714285714"/>
          <c:h val="0.69608065283092335"/>
        </c:manualLayout>
      </c:layout>
      <c:barChart>
        <c:barDir val="col"/>
        <c:grouping val="stacked"/>
        <c:varyColors val="0"/>
        <c:ser>
          <c:idx val="0"/>
          <c:order val="0"/>
          <c:tx>
            <c:strRef>
              <c:f>'Q1'!$F$27</c:f>
              <c:strCache>
                <c:ptCount val="1"/>
                <c:pt idx="0">
                  <c:v>QPrvC</c:v>
                </c:pt>
              </c:strCache>
            </c:strRef>
          </c:tx>
          <c:spPr>
            <a:solidFill>
              <a:srgbClr val="FFCC99"/>
            </a:solidFill>
            <a:ln w="12700">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3">
                  <c:v>1</c:v>
                </c:pt>
                <c:pt idx="96">
                  <c:v>2019</c:v>
                </c:pt>
                <c:pt idx="100">
                  <c:v>2020</c:v>
                </c:pt>
              </c:numCache>
            </c:numRef>
          </c:cat>
          <c:val>
            <c:numRef>
              <c:f>'Q1'!$G$32:$DJ$32</c:f>
              <c:numCache>
                <c:formatCode>0</c:formatCode>
                <c:ptCount val="108"/>
                <c:pt idx="4" formatCode="0.00">
                  <c:v>1.4510568641356691</c:v>
                </c:pt>
                <c:pt idx="5" formatCode="0.00">
                  <c:v>0.73236063970547605</c:v>
                </c:pt>
                <c:pt idx="6" formatCode="0.00">
                  <c:v>2.6052775696085773</c:v>
                </c:pt>
                <c:pt idx="7" formatCode="0.00">
                  <c:v>2.4757739828129566</c:v>
                </c:pt>
                <c:pt idx="8" formatCode="0.00">
                  <c:v>2.587303775918226</c:v>
                </c:pt>
                <c:pt idx="9" formatCode="0.00">
                  <c:v>4.1654397106846375</c:v>
                </c:pt>
                <c:pt idx="10" formatCode="0.00">
                  <c:v>1.9975209194368793</c:v>
                </c:pt>
                <c:pt idx="11" formatCode="0.00">
                  <c:v>2.7414644212553796</c:v>
                </c:pt>
                <c:pt idx="12" formatCode="0.00">
                  <c:v>2.7087209239568644</c:v>
                </c:pt>
                <c:pt idx="13" formatCode="0.00">
                  <c:v>2.3147326400192014</c:v>
                </c:pt>
                <c:pt idx="14" formatCode="0.00">
                  <c:v>3.7136504911323698</c:v>
                </c:pt>
                <c:pt idx="15" formatCode="0.00">
                  <c:v>4.2528168682123058</c:v>
                </c:pt>
                <c:pt idx="16" formatCode="0.00">
                  <c:v>3.8872075508670223</c:v>
                </c:pt>
                <c:pt idx="17" formatCode="0.00">
                  <c:v>3.0979918296045739</c:v>
                </c:pt>
                <c:pt idx="18" formatCode="0.00">
                  <c:v>3.5727100993265815</c:v>
                </c:pt>
                <c:pt idx="19" formatCode="0.00">
                  <c:v>5.2289530462362066</c:v>
                </c:pt>
                <c:pt idx="20" formatCode="0.00">
                  <c:v>5.685000662454387</c:v>
                </c:pt>
                <c:pt idx="21" formatCode="0.00">
                  <c:v>6.9745208963732708</c:v>
                </c:pt>
                <c:pt idx="22" formatCode="0.00">
                  <c:v>5.9800629315003073</c:v>
                </c:pt>
                <c:pt idx="23" formatCode="0.00">
                  <c:v>2.7866803045800692</c:v>
                </c:pt>
                <c:pt idx="24" formatCode="0.00">
                  <c:v>2.0145304827345223</c:v>
                </c:pt>
                <c:pt idx="25" formatCode="0.00">
                  <c:v>0.71036215321145235</c:v>
                </c:pt>
                <c:pt idx="26" formatCode="0.00">
                  <c:v>0.34779752927973639</c:v>
                </c:pt>
                <c:pt idx="27" formatCode="0.00">
                  <c:v>0.1210796414443216</c:v>
                </c:pt>
                <c:pt idx="28" formatCode="0.00">
                  <c:v>1.6847503172848999</c:v>
                </c:pt>
                <c:pt idx="29" formatCode="0.00">
                  <c:v>2.0483026996516163</c:v>
                </c:pt>
                <c:pt idx="30" formatCode="0.00">
                  <c:v>2.3035219735347168</c:v>
                </c:pt>
                <c:pt idx="31" formatCode="0.00">
                  <c:v>4.2235252471158446</c:v>
                </c:pt>
                <c:pt idx="32" formatCode="0.00">
                  <c:v>2.566562503534775</c:v>
                </c:pt>
                <c:pt idx="33" formatCode="0.00">
                  <c:v>2.0335157961419714</c:v>
                </c:pt>
                <c:pt idx="34" formatCode="0.00">
                  <c:v>2.988528161736892</c:v>
                </c:pt>
                <c:pt idx="35" formatCode="0.00">
                  <c:v>1.9357144246431535</c:v>
                </c:pt>
                <c:pt idx="36" formatCode="0.00">
                  <c:v>3.1534984068535277</c:v>
                </c:pt>
                <c:pt idx="37" formatCode="0.00">
                  <c:v>2.4965706288295531</c:v>
                </c:pt>
                <c:pt idx="38" formatCode="0.00">
                  <c:v>2.3473478784543644</c:v>
                </c:pt>
                <c:pt idx="39" formatCode="0.00">
                  <c:v>2.4832524207560436</c:v>
                </c:pt>
                <c:pt idx="40" formatCode="0.00">
                  <c:v>1.8324270747142268</c:v>
                </c:pt>
                <c:pt idx="41" formatCode="0.00">
                  <c:v>2.9234885448951475</c:v>
                </c:pt>
                <c:pt idx="42" formatCode="0.00">
                  <c:v>3.147862835354176</c:v>
                </c:pt>
                <c:pt idx="43" formatCode="0.00">
                  <c:v>3.1148780081142746</c:v>
                </c:pt>
                <c:pt idx="44" formatCode="0.00">
                  <c:v>2.6920105827122454</c:v>
                </c:pt>
                <c:pt idx="45" formatCode="0.00">
                  <c:v>3.3099035780382202</c:v>
                </c:pt>
                <c:pt idx="46" formatCode="0.00">
                  <c:v>2.1674883253660182</c:v>
                </c:pt>
                <c:pt idx="47" formatCode="0.00">
                  <c:v>2.939316979151041</c:v>
                </c:pt>
                <c:pt idx="48" formatCode="0.00">
                  <c:v>3.5292883230089389</c:v>
                </c:pt>
                <c:pt idx="49" formatCode="0.00">
                  <c:v>2.9850480560240866</c:v>
                </c:pt>
                <c:pt idx="50" formatCode="0.00">
                  <c:v>4.5511585008173094</c:v>
                </c:pt>
                <c:pt idx="51" formatCode="0.00">
                  <c:v>4.3652469356067147</c:v>
                </c:pt>
                <c:pt idx="52" formatCode="0.00">
                  <c:v>2.5279709030884279</c:v>
                </c:pt>
                <c:pt idx="53" formatCode="0.00">
                  <c:v>1.7926569719755481</c:v>
                </c:pt>
                <c:pt idx="54" formatCode="0.00">
                  <c:v>-0.62883510275639765</c:v>
                </c:pt>
                <c:pt idx="55" formatCode="0.00">
                  <c:v>-2.807598539371492</c:v>
                </c:pt>
                <c:pt idx="56" formatCode="0.00">
                  <c:v>-1.4622654062911522</c:v>
                </c:pt>
                <c:pt idx="57" formatCode="0.00">
                  <c:v>-0.16221636215613122</c:v>
                </c:pt>
                <c:pt idx="58" formatCode="0.00">
                  <c:v>0.86366207421837426</c:v>
                </c:pt>
                <c:pt idx="59" formatCode="0.00">
                  <c:v>2.2416118606981339</c:v>
                </c:pt>
                <c:pt idx="60" formatCode="0.00">
                  <c:v>4.1773102968778675</c:v>
                </c:pt>
                <c:pt idx="61" formatCode="0.00">
                  <c:v>2.8942499367851537</c:v>
                </c:pt>
                <c:pt idx="62" formatCode="0.00">
                  <c:v>3.8520619135878231</c:v>
                </c:pt>
                <c:pt idx="63" formatCode="0.00">
                  <c:v>4.2306934034696209</c:v>
                </c:pt>
                <c:pt idx="64" formatCode="0.00">
                  <c:v>2.2221212643459554</c:v>
                </c:pt>
                <c:pt idx="65" formatCode="0.00">
                  <c:v>3.12429141136914</c:v>
                </c:pt>
                <c:pt idx="66" formatCode="0.00">
                  <c:v>1.4349665638267339</c:v>
                </c:pt>
                <c:pt idx="67" formatCode="0.00">
                  <c:v>0.69435244671443019</c:v>
                </c:pt>
                <c:pt idx="68" formatCode="0.00">
                  <c:v>0.93490676052607746</c:v>
                </c:pt>
                <c:pt idx="69" formatCode="0.00">
                  <c:v>0.20683911314471892</c:v>
                </c:pt>
                <c:pt idx="70" formatCode="0.00">
                  <c:v>1.0178546161520696</c:v>
                </c:pt>
                <c:pt idx="71" formatCode="0.00">
                  <c:v>1.5096338189146463</c:v>
                </c:pt>
                <c:pt idx="72" formatCode="0.00">
                  <c:v>1.4325411278554245</c:v>
                </c:pt>
                <c:pt idx="73" formatCode="0.00">
                  <c:v>1.592513481854585</c:v>
                </c:pt>
                <c:pt idx="74" formatCode="0.00">
                  <c:v>2.1587630292836169</c:v>
                </c:pt>
                <c:pt idx="75" formatCode="0.00">
                  <c:v>2.2407494154077501</c:v>
                </c:pt>
                <c:pt idx="76" formatCode="0.00">
                  <c:v>1.858487857368174</c:v>
                </c:pt>
                <c:pt idx="77" formatCode="0.00">
                  <c:v>2.9212770157840628</c:v>
                </c:pt>
                <c:pt idx="78" formatCode="0.00">
                  <c:v>1.7545178759651225</c:v>
                </c:pt>
                <c:pt idx="79" formatCode="0.00">
                  <c:v>2.1572720301328063</c:v>
                </c:pt>
                <c:pt idx="80" formatCode="0.00">
                  <c:v>3.0259163077344997</c:v>
                </c:pt>
                <c:pt idx="81" formatCode="0.00">
                  <c:v>2.2620705340542724</c:v>
                </c:pt>
                <c:pt idx="82" formatCode="0.00">
                  <c:v>3.3271679712298274</c:v>
                </c:pt>
                <c:pt idx="83" formatCode="0.00">
                  <c:v>3.5052811629447511</c:v>
                </c:pt>
                <c:pt idx="84" formatCode="0.00">
                  <c:v>3.6168430499645021</c:v>
                </c:pt>
                <c:pt idx="85" formatCode="0.00">
                  <c:v>2.8074624202734988</c:v>
                </c:pt>
                <c:pt idx="86" formatCode="0.00">
                  <c:v>2.6671865230552205</c:v>
                </c:pt>
                <c:pt idx="87" formatCode="0.00">
                  <c:v>2.0359279074798176</c:v>
                </c:pt>
                <c:pt idx="88" formatCode="0.00">
                  <c:v>1.849637163107154</c:v>
                </c:pt>
                <c:pt idx="89" formatCode="0.00">
                  <c:v>2.4733465754272599</c:v>
                </c:pt>
                <c:pt idx="90" formatCode="0.00">
                  <c:v>2.218067804892665</c:v>
                </c:pt>
                <c:pt idx="91" formatCode="0.00">
                  <c:v>2.5816615039880642</c:v>
                </c:pt>
                <c:pt idx="92" formatCode="0.00">
                  <c:v>2.2357343849557454</c:v>
                </c:pt>
                <c:pt idx="93" formatCode="0.00">
                  <c:v>2.591758413422296</c:v>
                </c:pt>
                <c:pt idx="94" formatCode="0.00">
                  <c:v>2.4407308004952943</c:v>
                </c:pt>
                <c:pt idx="95" formatCode="0.00">
                  <c:v>2.3445837841899797</c:v>
                </c:pt>
                <c:pt idx="96" formatCode="0.00">
                  <c:v>2.598407121887214</c:v>
                </c:pt>
                <c:pt idx="97" formatCode="0.00">
                  <c:v>2.2583724028697905</c:v>
                </c:pt>
                <c:pt idx="98" formatCode="0.00">
                  <c:v>2.3704978112062403</c:v>
                </c:pt>
                <c:pt idx="99" formatCode="0.00">
                  <c:v>2.0552300353124275</c:v>
                </c:pt>
                <c:pt idx="100" formatCode="0.00">
                  <c:v>2.0248383646646051</c:v>
                </c:pt>
                <c:pt idx="101" formatCode="0.00">
                  <c:v>2.0349880700331724</c:v>
                </c:pt>
                <c:pt idx="102" formatCode="0.00">
                  <c:v>2.1569058094377702</c:v>
                </c:pt>
                <c:pt idx="103" formatCode="0.00">
                  <c:v>2.1976260509163792</c:v>
                </c:pt>
              </c:numCache>
            </c:numRef>
          </c:val>
          <c:extLst>
            <c:ext xmlns:c16="http://schemas.microsoft.com/office/drawing/2014/chart" uri="{C3380CC4-5D6E-409C-BE32-E72D297353CC}">
              <c16:uniqueId val="{00000000-CBB7-489D-9956-6A741888AFDD}"/>
            </c:ext>
          </c:extLst>
        </c:ser>
        <c:dLbls>
          <c:showLegendKey val="0"/>
          <c:showVal val="0"/>
          <c:showCatName val="0"/>
          <c:showSerName val="0"/>
          <c:showPercent val="0"/>
          <c:showBubbleSize val="0"/>
        </c:dLbls>
        <c:gapWidth val="10"/>
        <c:overlap val="100"/>
        <c:axId val="285464064"/>
        <c:axId val="285465600"/>
      </c:barChart>
      <c:catAx>
        <c:axId val="285464064"/>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fr-FR"/>
          </a:p>
        </c:txPr>
        <c:crossAx val="285465600"/>
        <c:crosses val="autoZero"/>
        <c:auto val="1"/>
        <c:lblAlgn val="ctr"/>
        <c:lblOffset val="100"/>
        <c:tickLblSkip val="4"/>
        <c:tickMarkSkip val="4"/>
        <c:noMultiLvlLbl val="0"/>
      </c:catAx>
      <c:valAx>
        <c:axId val="285465600"/>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fr-FR"/>
          </a:p>
        </c:txPr>
        <c:crossAx val="285464064"/>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425"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GB"/>
              <a:t>Government consumption (QoQ)</a:t>
            </a:r>
          </a:p>
        </c:rich>
      </c:tx>
      <c:layout>
        <c:manualLayout>
          <c:xMode val="edge"/>
          <c:yMode val="edge"/>
          <c:x val="0.3984375"/>
          <c:y val="3.5947712418300651E-2"/>
        </c:manualLayout>
      </c:layout>
      <c:overlay val="0"/>
      <c:spPr>
        <a:noFill/>
        <a:ln w="25400">
          <a:noFill/>
        </a:ln>
      </c:spPr>
    </c:title>
    <c:autoTitleDeleted val="0"/>
    <c:plotArea>
      <c:layout>
        <c:manualLayout>
          <c:layoutTarget val="inner"/>
          <c:xMode val="edge"/>
          <c:yMode val="edge"/>
          <c:x val="5.3571428571428568E-2"/>
          <c:y val="0.19281107284988017"/>
          <c:w val="0.9308035714285714"/>
          <c:h val="0.69608065283092335"/>
        </c:manualLayout>
      </c:layout>
      <c:barChart>
        <c:barDir val="col"/>
        <c:grouping val="stacked"/>
        <c:varyColors val="0"/>
        <c:ser>
          <c:idx val="0"/>
          <c:order val="0"/>
          <c:tx>
            <c:strRef>
              <c:f>'Q1'!$F$46</c:f>
              <c:strCache>
                <c:ptCount val="1"/>
                <c:pt idx="0">
                  <c:v>QAC</c:v>
                </c:pt>
              </c:strCache>
            </c:strRef>
          </c:tx>
          <c:spPr>
            <a:solidFill>
              <a:srgbClr val="9999FF"/>
            </a:solidFill>
            <a:ln w="12700">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3">
                  <c:v>1</c:v>
                </c:pt>
                <c:pt idx="96">
                  <c:v>2019</c:v>
                </c:pt>
                <c:pt idx="100">
                  <c:v>2020</c:v>
                </c:pt>
              </c:numCache>
            </c:numRef>
          </c:cat>
          <c:val>
            <c:numRef>
              <c:f>'Q1'!$G$46:$DJ$46</c:f>
              <c:numCache>
                <c:formatCode>0.00</c:formatCode>
                <c:ptCount val="108"/>
                <c:pt idx="1">
                  <c:v>-4.0278434397478247E-2</c:v>
                </c:pt>
                <c:pt idx="2">
                  <c:v>0.12135072693753024</c:v>
                </c:pt>
                <c:pt idx="3">
                  <c:v>0.12156622044041665</c:v>
                </c:pt>
                <c:pt idx="4">
                  <c:v>-0.52944103980275825</c:v>
                </c:pt>
                <c:pt idx="5">
                  <c:v>5.0344610942265611E-2</c:v>
                </c:pt>
                <c:pt idx="6">
                  <c:v>-0.14269258040167099</c:v>
                </c:pt>
                <c:pt idx="7">
                  <c:v>1.582324772211563</c:v>
                </c:pt>
                <c:pt idx="8">
                  <c:v>-2.9675094433799565</c:v>
                </c:pt>
                <c:pt idx="9">
                  <c:v>1.3080286882215519</c:v>
                </c:pt>
                <c:pt idx="10">
                  <c:v>1.937935395550161</c:v>
                </c:pt>
                <c:pt idx="11">
                  <c:v>-0.28198819577159862</c:v>
                </c:pt>
                <c:pt idx="12">
                  <c:v>1.2002233975609844</c:v>
                </c:pt>
                <c:pt idx="13">
                  <c:v>0.47083804205159119</c:v>
                </c:pt>
                <c:pt idx="14">
                  <c:v>1.7858538944941049</c:v>
                </c:pt>
                <c:pt idx="15">
                  <c:v>0.24866364352196246</c:v>
                </c:pt>
                <c:pt idx="16">
                  <c:v>0.34606933744603108</c:v>
                </c:pt>
                <c:pt idx="17">
                  <c:v>0.12827548292959623</c:v>
                </c:pt>
                <c:pt idx="18">
                  <c:v>-0.52621998317434748</c:v>
                </c:pt>
                <c:pt idx="19">
                  <c:v>8.7887021901034146E-2</c:v>
                </c:pt>
                <c:pt idx="20">
                  <c:v>-0.64298353849476797</c:v>
                </c:pt>
                <c:pt idx="21">
                  <c:v>-3.4117827858148875E-2</c:v>
                </c:pt>
                <c:pt idx="22">
                  <c:v>0.50094701822345211</c:v>
                </c:pt>
                <c:pt idx="23">
                  <c:v>-0.54547830710147682</c:v>
                </c:pt>
                <c:pt idx="24">
                  <c:v>0.12219748407575892</c:v>
                </c:pt>
                <c:pt idx="25">
                  <c:v>7.9542708966151565E-4</c:v>
                </c:pt>
                <c:pt idx="26">
                  <c:v>0.19602150420032771</c:v>
                </c:pt>
                <c:pt idx="27">
                  <c:v>1.0278562132558511</c:v>
                </c:pt>
                <c:pt idx="28">
                  <c:v>0.67474620280301156</c:v>
                </c:pt>
                <c:pt idx="29">
                  <c:v>0.50450946186957335</c:v>
                </c:pt>
                <c:pt idx="30">
                  <c:v>3.2471724360205734E-2</c:v>
                </c:pt>
                <c:pt idx="31">
                  <c:v>0.5583420632405911</c:v>
                </c:pt>
                <c:pt idx="32">
                  <c:v>0.12005230574736458</c:v>
                </c:pt>
                <c:pt idx="33">
                  <c:v>1.6337995043658182E-2</c:v>
                </c:pt>
                <c:pt idx="34">
                  <c:v>0.52340505296450957</c:v>
                </c:pt>
                <c:pt idx="35">
                  <c:v>-0.35899198463750226</c:v>
                </c:pt>
                <c:pt idx="36">
                  <c:v>-0.52255572179753518</c:v>
                </c:pt>
                <c:pt idx="37">
                  <c:v>-9.8753825380792915E-2</c:v>
                </c:pt>
                <c:pt idx="38">
                  <c:v>-0.51623497017513342</c:v>
                </c:pt>
                <c:pt idx="39">
                  <c:v>-0.14437520619816624</c:v>
                </c:pt>
                <c:pt idx="40">
                  <c:v>0.63846946656953563</c:v>
                </c:pt>
                <c:pt idx="41">
                  <c:v>0.2485477172395667</c:v>
                </c:pt>
                <c:pt idx="42">
                  <c:v>-0.52223558563126993</c:v>
                </c:pt>
                <c:pt idx="43">
                  <c:v>0.34716860935422034</c:v>
                </c:pt>
                <c:pt idx="44">
                  <c:v>1.205612125411526</c:v>
                </c:pt>
                <c:pt idx="45">
                  <c:v>7.3867461215981756E-2</c:v>
                </c:pt>
                <c:pt idx="46">
                  <c:v>0.99840955813044197</c:v>
                </c:pt>
                <c:pt idx="47">
                  <c:v>0.13765197890092118</c:v>
                </c:pt>
                <c:pt idx="48">
                  <c:v>-0.58612986593366001</c:v>
                </c:pt>
                <c:pt idx="49">
                  <c:v>0.71569458059261848</c:v>
                </c:pt>
                <c:pt idx="50">
                  <c:v>-0.10218952618689103</c:v>
                </c:pt>
                <c:pt idx="51">
                  <c:v>0.87568626987968301</c:v>
                </c:pt>
                <c:pt idx="52">
                  <c:v>-0.44471660844948024</c:v>
                </c:pt>
                <c:pt idx="53">
                  <c:v>0.81520154547352064</c:v>
                </c:pt>
                <c:pt idx="54">
                  <c:v>0.35628273679999545</c:v>
                </c:pt>
                <c:pt idx="55">
                  <c:v>-5.5683609264689515E-2</c:v>
                </c:pt>
                <c:pt idx="56">
                  <c:v>2.0371651018047832</c:v>
                </c:pt>
                <c:pt idx="57">
                  <c:v>-0.75768659468098409</c:v>
                </c:pt>
                <c:pt idx="58">
                  <c:v>0.71148325336878315</c:v>
                </c:pt>
                <c:pt idx="59">
                  <c:v>0.42445785632365673</c:v>
                </c:pt>
                <c:pt idx="60">
                  <c:v>-8.1826409042129455E-2</c:v>
                </c:pt>
                <c:pt idx="61">
                  <c:v>0.63637822034965374</c:v>
                </c:pt>
                <c:pt idx="62">
                  <c:v>-0.23482404453709638</c:v>
                </c:pt>
                <c:pt idx="63">
                  <c:v>0.8295673050808805</c:v>
                </c:pt>
                <c:pt idx="64">
                  <c:v>-0.15846999687099128</c:v>
                </c:pt>
                <c:pt idx="65">
                  <c:v>0.37135440717510626</c:v>
                </c:pt>
                <c:pt idx="66">
                  <c:v>0.19253857043022293</c:v>
                </c:pt>
                <c:pt idx="67">
                  <c:v>5.6559619203988554E-2</c:v>
                </c:pt>
                <c:pt idx="68">
                  <c:v>0.54154826768455511</c:v>
                </c:pt>
                <c:pt idx="69">
                  <c:v>0.4897416045248848</c:v>
                </c:pt>
                <c:pt idx="70">
                  <c:v>0.8482158850516619</c:v>
                </c:pt>
                <c:pt idx="71">
                  <c:v>0.11784265921808146</c:v>
                </c:pt>
                <c:pt idx="72">
                  <c:v>0.41605960279404997</c:v>
                </c:pt>
                <c:pt idx="73">
                  <c:v>0.17671867747597325</c:v>
                </c:pt>
                <c:pt idx="74">
                  <c:v>4.2806224538893822E-2</c:v>
                </c:pt>
                <c:pt idx="75">
                  <c:v>0.34365263356748166</c:v>
                </c:pt>
                <c:pt idx="76">
                  <c:v>0.32668581985733081</c:v>
                </c:pt>
                <c:pt idx="77">
                  <c:v>0.66585841255897282</c:v>
                </c:pt>
                <c:pt idx="78">
                  <c:v>0.8479067985451394</c:v>
                </c:pt>
                <c:pt idx="79">
                  <c:v>0.42002687456479393</c:v>
                </c:pt>
                <c:pt idx="80">
                  <c:v>0.54410729970688632</c:v>
                </c:pt>
                <c:pt idx="81">
                  <c:v>-0.29464666865769429</c:v>
                </c:pt>
                <c:pt idx="82">
                  <c:v>1.0617895789183596</c:v>
                </c:pt>
                <c:pt idx="83">
                  <c:v>1.2098387942135247</c:v>
                </c:pt>
                <c:pt idx="84">
                  <c:v>1.0056054479394838</c:v>
                </c:pt>
                <c:pt idx="85">
                  <c:v>1.3279906304771494</c:v>
                </c:pt>
                <c:pt idx="86">
                  <c:v>-0.46435705945993</c:v>
                </c:pt>
                <c:pt idx="87">
                  <c:v>0.14698126070131767</c:v>
                </c:pt>
                <c:pt idx="88" formatCode="0.0">
                  <c:v>-0.24800133305277194</c:v>
                </c:pt>
                <c:pt idx="89" formatCode="0.0">
                  <c:v>0.23821310501290771</c:v>
                </c:pt>
                <c:pt idx="90" formatCode="0.0">
                  <c:v>0.4411127280423921</c:v>
                </c:pt>
                <c:pt idx="91" formatCode="0.0">
                  <c:v>0.19352947872992576</c:v>
                </c:pt>
                <c:pt idx="92" formatCode="0.0">
                  <c:v>0.18852218590648118</c:v>
                </c:pt>
                <c:pt idx="93" formatCode="0.0">
                  <c:v>0.31118609032760869</c:v>
                </c:pt>
                <c:pt idx="94">
                  <c:v>0.32</c:v>
                </c:pt>
                <c:pt idx="95">
                  <c:v>0.19</c:v>
                </c:pt>
                <c:pt idx="96">
                  <c:v>0.38</c:v>
                </c:pt>
                <c:pt idx="97">
                  <c:v>0.11</c:v>
                </c:pt>
                <c:pt idx="98">
                  <c:v>0.08</c:v>
                </c:pt>
                <c:pt idx="99">
                  <c:v>0.05</c:v>
                </c:pt>
                <c:pt idx="100">
                  <c:v>0.42</c:v>
                </c:pt>
                <c:pt idx="101">
                  <c:v>0.3</c:v>
                </c:pt>
                <c:pt idx="102">
                  <c:v>0.26</c:v>
                </c:pt>
                <c:pt idx="103">
                  <c:v>0.19</c:v>
                </c:pt>
              </c:numCache>
            </c:numRef>
          </c:val>
          <c:extLst>
            <c:ext xmlns:c16="http://schemas.microsoft.com/office/drawing/2014/chart" uri="{C3380CC4-5D6E-409C-BE32-E72D297353CC}">
              <c16:uniqueId val="{00000000-AD1F-4DC5-9C00-4BE122FA66E0}"/>
            </c:ext>
          </c:extLst>
        </c:ser>
        <c:dLbls>
          <c:showLegendKey val="0"/>
          <c:showVal val="0"/>
          <c:showCatName val="0"/>
          <c:showSerName val="0"/>
          <c:showPercent val="0"/>
          <c:showBubbleSize val="0"/>
        </c:dLbls>
        <c:gapWidth val="10"/>
        <c:overlap val="100"/>
        <c:axId val="285244032"/>
        <c:axId val="285245824"/>
      </c:barChart>
      <c:catAx>
        <c:axId val="285244032"/>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fr-FR"/>
          </a:p>
        </c:txPr>
        <c:crossAx val="285245824"/>
        <c:crosses val="autoZero"/>
        <c:auto val="1"/>
        <c:lblAlgn val="ctr"/>
        <c:lblOffset val="100"/>
        <c:tickLblSkip val="4"/>
        <c:tickMarkSkip val="4"/>
        <c:noMultiLvlLbl val="0"/>
      </c:catAx>
      <c:valAx>
        <c:axId val="285245824"/>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fr-FR"/>
          </a:p>
        </c:txPr>
        <c:crossAx val="285244032"/>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GB"/>
              <a:t>Government consumption (YoY)</a:t>
            </a:r>
          </a:p>
        </c:rich>
      </c:tx>
      <c:layout>
        <c:manualLayout>
          <c:xMode val="edge"/>
          <c:yMode val="edge"/>
          <c:x val="0.39955357142857145"/>
          <c:y val="3.6065573770491806E-2"/>
        </c:manualLayout>
      </c:layout>
      <c:overlay val="0"/>
      <c:spPr>
        <a:noFill/>
        <a:ln w="25400">
          <a:noFill/>
        </a:ln>
      </c:spPr>
    </c:title>
    <c:autoTitleDeleted val="0"/>
    <c:plotArea>
      <c:layout>
        <c:manualLayout>
          <c:layoutTarget val="inner"/>
          <c:xMode val="edge"/>
          <c:yMode val="edge"/>
          <c:x val="5.3571428571428568E-2"/>
          <c:y val="0.19672131147540983"/>
          <c:w val="0.9308035714285714"/>
          <c:h val="0.69180327868852454"/>
        </c:manualLayout>
      </c:layout>
      <c:barChart>
        <c:barDir val="col"/>
        <c:grouping val="stacked"/>
        <c:varyColors val="0"/>
        <c:ser>
          <c:idx val="0"/>
          <c:order val="0"/>
          <c:tx>
            <c:strRef>
              <c:f>'Q1'!$F$46</c:f>
              <c:strCache>
                <c:ptCount val="1"/>
                <c:pt idx="0">
                  <c:v>QAC</c:v>
                </c:pt>
              </c:strCache>
            </c:strRef>
          </c:tx>
          <c:spPr>
            <a:solidFill>
              <a:srgbClr val="FFCC99"/>
            </a:solidFill>
            <a:ln w="12700">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3">
                  <c:v>1</c:v>
                </c:pt>
                <c:pt idx="96">
                  <c:v>2019</c:v>
                </c:pt>
                <c:pt idx="100">
                  <c:v>2020</c:v>
                </c:pt>
              </c:numCache>
            </c:numRef>
          </c:cat>
          <c:val>
            <c:numRef>
              <c:f>'Q1'!$G$51:$DJ$51</c:f>
              <c:numCache>
                <c:formatCode>0</c:formatCode>
                <c:ptCount val="108"/>
                <c:pt idx="4" formatCode="0.00">
                  <c:v>-0.32782602204584066</c:v>
                </c:pt>
                <c:pt idx="5" formatCode="0.00">
                  <c:v>-0.23746366608843328</c:v>
                </c:pt>
                <c:pt idx="6" formatCode="0.00">
                  <c:v>-0.50056069635119327</c:v>
                </c:pt>
                <c:pt idx="7" formatCode="0.00">
                  <c:v>0.95112111752722051</c:v>
                </c:pt>
                <c:pt idx="8" formatCode="0.00">
                  <c:v>-1.5232365343768373</c:v>
                </c:pt>
                <c:pt idx="9" formatCode="0.00">
                  <c:v>-0.28533317807826197</c:v>
                </c:pt>
                <c:pt idx="10" formatCode="0.00">
                  <c:v>1.7923227367825811</c:v>
                </c:pt>
                <c:pt idx="11" formatCode="0.00">
                  <c:v>-7.5844267121460973E-2</c:v>
                </c:pt>
                <c:pt idx="12" formatCode="0.00">
                  <c:v>4.2160911769987264</c:v>
                </c:pt>
                <c:pt idx="13" formatCode="0.00">
                  <c:v>3.3548688450324216</c:v>
                </c:pt>
                <c:pt idx="14" formatCode="0.00">
                  <c:v>3.2006734168592788</c:v>
                </c:pt>
                <c:pt idx="15" formatCode="0.00">
                  <c:v>3.7498583251234452</c:v>
                </c:pt>
                <c:pt idx="16" formatCode="0.00">
                  <c:v>2.8741847371648532</c:v>
                </c:pt>
                <c:pt idx="17" formatCode="0.00">
                  <c:v>2.5234277943751104</c:v>
                </c:pt>
                <c:pt idx="18" formatCode="0.00">
                  <c:v>0.19459986610417257</c:v>
                </c:pt>
                <c:pt idx="19" formatCode="0.00">
                  <c:v>3.3909950791022325E-2</c:v>
                </c:pt>
                <c:pt idx="20" formatCode="0.00">
                  <c:v>-0.95206615152864105</c:v>
                </c:pt>
                <c:pt idx="21" formatCode="0.00">
                  <c:v>-1.1127073073536109</c:v>
                </c:pt>
                <c:pt idx="22" formatCode="0.00">
                  <c:v>-9.1596378480973684E-2</c:v>
                </c:pt>
                <c:pt idx="23" formatCode="0.00">
                  <c:v>-0.7238259200638919</c:v>
                </c:pt>
                <c:pt idx="24" formatCode="0.00">
                  <c:v>4.0732508769436571E-2</c:v>
                </c:pt>
                <c:pt idx="25" formatCode="0.00">
                  <c:v>7.5671905325047639E-2</c:v>
                </c:pt>
                <c:pt idx="26" formatCode="0.00">
                  <c:v>-0.2279633001363357</c:v>
                </c:pt>
                <c:pt idx="27" formatCode="0.00">
                  <c:v>1.3503941926578999</c:v>
                </c:pt>
                <c:pt idx="28" formatCode="0.00">
                  <c:v>1.9097210138911525</c:v>
                </c:pt>
                <c:pt idx="29" formatCode="0.00">
                  <c:v>2.4230504982813983</c:v>
                </c:pt>
                <c:pt idx="30" formatCode="0.00">
                  <c:v>2.2558655431497598</c:v>
                </c:pt>
                <c:pt idx="31" formatCode="0.00">
                  <c:v>1.7806443755024715</c:v>
                </c:pt>
                <c:pt idx="32" formatCode="0.00">
                  <c:v>1.2198572426523446</c:v>
                </c:pt>
                <c:pt idx="33" formatCode="0.00">
                  <c:v>0.72821118172807786</c:v>
                </c:pt>
                <c:pt idx="34" formatCode="0.00">
                  <c:v>1.2225590184592017</c:v>
                </c:pt>
                <c:pt idx="35" formatCode="0.00">
                  <c:v>0.29916571367911704</c:v>
                </c:pt>
                <c:pt idx="36" formatCode="0.00">
                  <c:v>-0.34459193086184836</c:v>
                </c:pt>
                <c:pt idx="37" formatCode="0.00">
                  <c:v>-0.45926841832120147</c:v>
                </c:pt>
                <c:pt idx="38" formatCode="0.00">
                  <c:v>-1.4887453687924768</c:v>
                </c:pt>
                <c:pt idx="39" formatCode="0.00">
                  <c:v>-1.2765619662951089</c:v>
                </c:pt>
                <c:pt idx="40" formatCode="0.00">
                  <c:v>-0.1243369662360494</c:v>
                </c:pt>
                <c:pt idx="41" formatCode="0.00">
                  <c:v>0.22287563791132392</c:v>
                </c:pt>
                <c:pt idx="42" formatCode="0.00">
                  <c:v>0.21683044112537075</c:v>
                </c:pt>
                <c:pt idx="43" formatCode="0.00">
                  <c:v>0.71015230776352301</c:v>
                </c:pt>
                <c:pt idx="44" formatCode="0.00">
                  <c:v>1.2776989313852294</c:v>
                </c:pt>
                <c:pt idx="45" formatCode="0.00">
                  <c:v>1.1012254085097428</c:v>
                </c:pt>
                <c:pt idx="46" formatCode="0.00">
                  <c:v>2.6466872345859649</c:v>
                </c:pt>
                <c:pt idx="47" formatCode="0.00">
                  <c:v>2.4323693984713568</c:v>
                </c:pt>
                <c:pt idx="48" formatCode="0.00">
                  <c:v>0.61890892261557973</c:v>
                </c:pt>
                <c:pt idx="49" formatCode="0.00">
                  <c:v>1.2642316837615075</c:v>
                </c:pt>
                <c:pt idx="50" formatCode="0.00">
                  <c:v>0.16073588464102784</c:v>
                </c:pt>
                <c:pt idx="51" formatCode="0.00">
                  <c:v>0.8989403085684522</c:v>
                </c:pt>
                <c:pt idx="52" formatCode="0.00">
                  <c:v>1.0424660339676928</c:v>
                </c:pt>
                <c:pt idx="53" formatCode="0.00">
                  <c:v>1.1422958485858725</c:v>
                </c:pt>
                <c:pt idx="54" formatCode="0.00">
                  <c:v>1.6064795683436328</c:v>
                </c:pt>
                <c:pt idx="55" formatCode="0.00">
                  <c:v>0.66836238574845552</c:v>
                </c:pt>
                <c:pt idx="56" formatCode="0.00">
                  <c:v>3.1779928030894578</c:v>
                </c:pt>
                <c:pt idx="57" formatCode="0.00">
                  <c:v>1.5682411117066364</c:v>
                </c:pt>
                <c:pt idx="58" formatCode="0.00">
                  <c:v>1.927731227581897</c:v>
                </c:pt>
                <c:pt idx="59" formatCode="0.00">
                  <c:v>2.4174011960508723</c:v>
                </c:pt>
                <c:pt idx="60" formatCode="0.00">
                  <c:v>0.29051337551109224</c:v>
                </c:pt>
                <c:pt idx="61" formatCode="0.00">
                  <c:v>1.699302340427189</c:v>
                </c:pt>
                <c:pt idx="62" formatCode="0.00">
                  <c:v>0.74371327662037245</c:v>
                </c:pt>
                <c:pt idx="63" formatCode="0.00">
                  <c:v>1.1501105927964606</c:v>
                </c:pt>
                <c:pt idx="64" formatCode="0.00">
                  <c:v>1.0725220310113359</c:v>
                </c:pt>
                <c:pt idx="65" formatCode="0.00">
                  <c:v>0.80634964216428351</c:v>
                </c:pt>
                <c:pt idx="66" formatCode="0.00">
                  <c:v>1.2381723175196369</c:v>
                </c:pt>
                <c:pt idx="67" formatCode="0.00">
                  <c:v>0.46203207019728243</c:v>
                </c:pt>
                <c:pt idx="68" formatCode="0.00">
                  <c:v>1.1664008568264439</c:v>
                </c:pt>
                <c:pt idx="69" formatCode="0.00">
                  <c:v>1.2857258050065434</c:v>
                </c:pt>
                <c:pt idx="70" formatCode="0.00">
                  <c:v>1.948557126109618</c:v>
                </c:pt>
                <c:pt idx="71" formatCode="0.00">
                  <c:v>2.0109989842897802</c:v>
                </c:pt>
                <c:pt idx="72" formatCode="0.00">
                  <c:v>1.8836762576434518</c:v>
                </c:pt>
                <c:pt idx="73" formatCode="0.00">
                  <c:v>1.5663112604661356</c:v>
                </c:pt>
                <c:pt idx="74" formatCode="0.00">
                  <c:v>0.75516663530921235</c:v>
                </c:pt>
                <c:pt idx="75" formatCode="0.00">
                  <c:v>0.98241405683956451</c:v>
                </c:pt>
                <c:pt idx="76" formatCode="0.00">
                  <c:v>0.89253619875551138</c:v>
                </c:pt>
                <c:pt idx="77" formatCode="0.00">
                  <c:v>1.3851711051452442</c:v>
                </c:pt>
                <c:pt idx="78" formatCode="0.00">
                  <c:v>2.2010744422554795</c:v>
                </c:pt>
                <c:pt idx="79" formatCode="0.00">
                  <c:v>2.2788624167289662</c:v>
                </c:pt>
                <c:pt idx="80" formatCode="0.00">
                  <c:v>2.5005145269551665</c:v>
                </c:pt>
                <c:pt idx="81" formatCode="0.00">
                  <c:v>1.5225040417420566</c:v>
                </c:pt>
                <c:pt idx="82" formatCode="0.00">
                  <c:v>1.7378175383154115</c:v>
                </c:pt>
                <c:pt idx="83" formatCode="0.00">
                  <c:v>2.537993991874643</c:v>
                </c:pt>
                <c:pt idx="84" formatCode="0.00">
                  <c:v>3.0086440938212222</c:v>
                </c:pt>
                <c:pt idx="85" formatCode="0.00">
                  <c:v>4.6850402195586227</c:v>
                </c:pt>
                <c:pt idx="86" formatCode="0.00">
                  <c:v>3.1041784231739866</c:v>
                </c:pt>
                <c:pt idx="87" formatCode="0.00">
                  <c:v>2.0214274369138918</c:v>
                </c:pt>
                <c:pt idx="88" formatCode="0.00">
                  <c:v>0.7552130256023748</c:v>
                </c:pt>
                <c:pt idx="89" formatCode="0.00">
                  <c:v>-0.3284043050627905</c:v>
                </c:pt>
                <c:pt idx="90" formatCode="0.00">
                  <c:v>0.57830223651071933</c:v>
                </c:pt>
                <c:pt idx="91" formatCode="0.00">
                  <c:v>0.62505093210309948</c:v>
                </c:pt>
                <c:pt idx="92" formatCode="0.00">
                  <c:v>1.0653950045561578</c:v>
                </c:pt>
                <c:pt idx="93" formatCode="0.00">
                  <c:v>1.138970174713716</c:v>
                </c:pt>
                <c:pt idx="94" formatCode="0.00">
                  <c:v>1.0170159643653864</c:v>
                </c:pt>
                <c:pt idx="95" formatCode="0.00">
                  <c:v>1.0134574769953719</c:v>
                </c:pt>
                <c:pt idx="96" formatCode="0.00">
                  <c:v>1.2065118869190483</c:v>
                </c:pt>
                <c:pt idx="97" formatCode="0.00">
                  <c:v>1.003530113541462</c:v>
                </c:pt>
                <c:pt idx="98" formatCode="0.00">
                  <c:v>0.7618948740353515</c:v>
                </c:pt>
                <c:pt idx="99" formatCode="0.00">
                  <c:v>0.62109573956721231</c:v>
                </c:pt>
                <c:pt idx="100" formatCode="0.00">
                  <c:v>0.66119181278481154</c:v>
                </c:pt>
                <c:pt idx="101" formatCode="0.00">
                  <c:v>0.85223792650397368</c:v>
                </c:pt>
                <c:pt idx="102" formatCode="0.00">
                  <c:v>1.0336268436379914</c:v>
                </c:pt>
                <c:pt idx="103" formatCode="0.00">
                  <c:v>1.1750032330243965</c:v>
                </c:pt>
              </c:numCache>
            </c:numRef>
          </c:val>
          <c:extLst>
            <c:ext xmlns:c16="http://schemas.microsoft.com/office/drawing/2014/chart" uri="{C3380CC4-5D6E-409C-BE32-E72D297353CC}">
              <c16:uniqueId val="{00000000-046D-40C5-BB49-92121AB47246}"/>
            </c:ext>
          </c:extLst>
        </c:ser>
        <c:dLbls>
          <c:showLegendKey val="0"/>
          <c:showVal val="0"/>
          <c:showCatName val="0"/>
          <c:showSerName val="0"/>
          <c:showPercent val="0"/>
          <c:showBubbleSize val="0"/>
        </c:dLbls>
        <c:gapWidth val="10"/>
        <c:overlap val="100"/>
        <c:axId val="285294592"/>
        <c:axId val="285296128"/>
      </c:barChart>
      <c:catAx>
        <c:axId val="285294592"/>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fr-FR"/>
          </a:p>
        </c:txPr>
        <c:crossAx val="285296128"/>
        <c:crosses val="autoZero"/>
        <c:auto val="1"/>
        <c:lblAlgn val="ctr"/>
        <c:lblOffset val="100"/>
        <c:tickLblSkip val="4"/>
        <c:tickMarkSkip val="4"/>
        <c:noMultiLvlLbl val="0"/>
      </c:catAx>
      <c:valAx>
        <c:axId val="285296128"/>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fr-FR"/>
          </a:p>
        </c:txPr>
        <c:crossAx val="285294592"/>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GB"/>
              <a:t>Gross fixed capital formation (QoQ)</a:t>
            </a:r>
          </a:p>
        </c:rich>
      </c:tx>
      <c:layout>
        <c:manualLayout>
          <c:xMode val="edge"/>
          <c:yMode val="edge"/>
          <c:x val="0.390625"/>
          <c:y val="3.5947712418300651E-2"/>
        </c:manualLayout>
      </c:layout>
      <c:overlay val="0"/>
      <c:spPr>
        <a:noFill/>
        <a:ln w="25400">
          <a:noFill/>
        </a:ln>
      </c:spPr>
    </c:title>
    <c:autoTitleDeleted val="0"/>
    <c:plotArea>
      <c:layout>
        <c:manualLayout>
          <c:layoutTarget val="inner"/>
          <c:xMode val="edge"/>
          <c:yMode val="edge"/>
          <c:x val="5.6919642857142856E-2"/>
          <c:y val="0.19281107284988017"/>
          <c:w val="0.9274553571428571"/>
          <c:h val="0.69608065283092335"/>
        </c:manualLayout>
      </c:layout>
      <c:barChart>
        <c:barDir val="col"/>
        <c:grouping val="stacked"/>
        <c:varyColors val="0"/>
        <c:ser>
          <c:idx val="0"/>
          <c:order val="0"/>
          <c:spPr>
            <a:solidFill>
              <a:srgbClr val="9999FF"/>
            </a:solidFill>
            <a:ln w="12700">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3">
                  <c:v>1</c:v>
                </c:pt>
                <c:pt idx="96">
                  <c:v>2019</c:v>
                </c:pt>
                <c:pt idx="100">
                  <c:v>2020</c:v>
                </c:pt>
              </c:numCache>
            </c:numRef>
          </c:cat>
          <c:val>
            <c:numRef>
              <c:f>'Q1'!#REF!</c:f>
              <c:numCache>
                <c:formatCode>General</c:formatCode>
                <c:ptCount val="80"/>
                <c:pt idx="1">
                  <c:v>1.1332728921124247</c:v>
                </c:pt>
                <c:pt idx="2">
                  <c:v>2.2770058269834248</c:v>
                </c:pt>
                <c:pt idx="3">
                  <c:v>-0.46454553422736744</c:v>
                </c:pt>
                <c:pt idx="4">
                  <c:v>-2.0781965480803133</c:v>
                </c:pt>
                <c:pt idx="5">
                  <c:v>0.99820143884892243</c:v>
                </c:pt>
                <c:pt idx="6">
                  <c:v>1.5581871605377939</c:v>
                </c:pt>
                <c:pt idx="7">
                  <c:v>1.7008591969138953</c:v>
                </c:pt>
                <c:pt idx="8">
                  <c:v>2.1810344827586148</c:v>
                </c:pt>
                <c:pt idx="9">
                  <c:v>4.4376950982873531</c:v>
                </c:pt>
                <c:pt idx="10">
                  <c:v>-3.433233702237648</c:v>
                </c:pt>
                <c:pt idx="11">
                  <c:v>4.099046344319901</c:v>
                </c:pt>
                <c:pt idx="12">
                  <c:v>-0.75538412086146867</c:v>
                </c:pt>
                <c:pt idx="13">
                  <c:v>0.55870445344130548</c:v>
                </c:pt>
                <c:pt idx="14">
                  <c:v>3.1322972864159748</c:v>
                </c:pt>
                <c:pt idx="15">
                  <c:v>0.31230480949406836</c:v>
                </c:pt>
                <c:pt idx="16">
                  <c:v>2.1948941469489336</c:v>
                </c:pt>
                <c:pt idx="17">
                  <c:v>-0.19040365575019313</c:v>
                </c:pt>
                <c:pt idx="18">
                  <c:v>1.9534528805799312</c:v>
                </c:pt>
                <c:pt idx="19">
                  <c:v>-0.31434772846343773</c:v>
                </c:pt>
                <c:pt idx="20">
                  <c:v>1.5316465200090112</c:v>
                </c:pt>
                <c:pt idx="21">
                  <c:v>1.5159358130592437</c:v>
                </c:pt>
                <c:pt idx="22">
                  <c:v>0.93240093240092303</c:v>
                </c:pt>
                <c:pt idx="23">
                  <c:v>-0.53406466512702089</c:v>
                </c:pt>
                <c:pt idx="24">
                  <c:v>0.63125816282108005</c:v>
                </c:pt>
                <c:pt idx="25">
                  <c:v>-1.8386329223447961</c:v>
                </c:pt>
                <c:pt idx="26">
                  <c:v>2.3064492434258899</c:v>
                </c:pt>
                <c:pt idx="27">
                  <c:v>-2.2400919012062093</c:v>
                </c:pt>
                <c:pt idx="28">
                  <c:v>0.65364277320798525</c:v>
                </c:pt>
                <c:pt idx="29">
                  <c:v>-4.3341846041590637</c:v>
                </c:pt>
                <c:pt idx="30">
                  <c:v>2.1813744184272732</c:v>
                </c:pt>
                <c:pt idx="31">
                  <c:v>1.2390833768754161</c:v>
                </c:pt>
                <c:pt idx="32">
                  <c:v>-9.5849000958492248E-2</c:v>
                </c:pt>
                <c:pt idx="33">
                  <c:v>-0.16236162361623618</c:v>
                </c:pt>
                <c:pt idx="34">
                  <c:v>-0.3400354819633411</c:v>
                </c:pt>
                <c:pt idx="35">
                  <c:v>-3.2116896602877865</c:v>
                </c:pt>
                <c:pt idx="36">
                  <c:v>8.5370526477124731</c:v>
                </c:pt>
                <c:pt idx="37">
                  <c:v>3.0713831815293302</c:v>
                </c:pt>
                <c:pt idx="38">
                  <c:v>-1.2672968899849368</c:v>
                </c:pt>
                <c:pt idx="39">
                  <c:v>0.31915631721362026</c:v>
                </c:pt>
                <c:pt idx="40">
                  <c:v>3.7623625423611529</c:v>
                </c:pt>
                <c:pt idx="41">
                  <c:v>3.8125708191695029</c:v>
                </c:pt>
                <c:pt idx="42">
                  <c:v>-1.1364365971107571</c:v>
                </c:pt>
                <c:pt idx="43">
                  <c:v>0.6689180413040674</c:v>
                </c:pt>
                <c:pt idx="44">
                  <c:v>2.0643829430359251</c:v>
                </c:pt>
                <c:pt idx="45">
                  <c:v>1.548574679223802</c:v>
                </c:pt>
                <c:pt idx="46">
                  <c:v>0.79048923191835652</c:v>
                </c:pt>
                <c:pt idx="47">
                  <c:v>-1.2968566664608216</c:v>
                </c:pt>
                <c:pt idx="48">
                  <c:v>3.4786961146217932</c:v>
                </c:pt>
                <c:pt idx="49">
                  <c:v>1.4994860632444373</c:v>
                </c:pt>
                <c:pt idx="50">
                  <c:v>1.5130755942098117</c:v>
                </c:pt>
                <c:pt idx="51">
                  <c:v>1.7839328677894395</c:v>
                </c:pt>
                <c:pt idx="52">
                  <c:v>1.4355722110118263</c:v>
                </c:pt>
                <c:pt idx="53">
                  <c:v>1.1196998976923833</c:v>
                </c:pt>
                <c:pt idx="54">
                  <c:v>0.53</c:v>
                </c:pt>
                <c:pt idx="55">
                  <c:v>0.5</c:v>
                </c:pt>
                <c:pt idx="56">
                  <c:v>0.53</c:v>
                </c:pt>
                <c:pt idx="57">
                  <c:v>0.53</c:v>
                </c:pt>
                <c:pt idx="58">
                  <c:v>0.53</c:v>
                </c:pt>
                <c:pt idx="59">
                  <c:v>0.5</c:v>
                </c:pt>
                <c:pt idx="60">
                  <c:v>0.53</c:v>
                </c:pt>
                <c:pt idx="61">
                  <c:v>0.53</c:v>
                </c:pt>
                <c:pt idx="62">
                  <c:v>0.53</c:v>
                </c:pt>
                <c:pt idx="63">
                  <c:v>0.5</c:v>
                </c:pt>
                <c:pt idx="64">
                  <c:v>0.53</c:v>
                </c:pt>
                <c:pt idx="65">
                  <c:v>0.53</c:v>
                </c:pt>
                <c:pt idx="66">
                  <c:v>0.53</c:v>
                </c:pt>
                <c:pt idx="67">
                  <c:v>0.5</c:v>
                </c:pt>
              </c:numCache>
            </c:numRef>
          </c:val>
          <c:extLst>
            <c:ext xmlns:c15="http://schemas.microsoft.com/office/drawing/2012/chart" uri="{02D57815-91ED-43cb-92C2-25804820EDAC}">
              <c15:filteredSeriesTitle>
                <c15:tx>
                  <c:strRef>
                    <c:extLst>
                      <c:ext uri="{02D57815-91ED-43cb-92C2-25804820EDAC}">
                        <c15:formulaRef>
                          <c15:sqref>'Q1'!#REF!</c15:sqref>
                        </c15:formulaRef>
                      </c:ext>
                    </c:extLst>
                    <c:strCache>
                      <c:ptCount val="1"/>
                      <c:pt idx="0">
                        <c:v>QI</c:v>
                      </c:pt>
                    </c:strCache>
                  </c:strRef>
                </c15:tx>
              </c15:filteredSeriesTitle>
            </c:ext>
            <c:ext xmlns:c16="http://schemas.microsoft.com/office/drawing/2014/chart" uri="{C3380CC4-5D6E-409C-BE32-E72D297353CC}">
              <c16:uniqueId val="{00000000-E1A1-4079-884F-7254DACD1869}"/>
            </c:ext>
          </c:extLst>
        </c:ser>
        <c:dLbls>
          <c:showLegendKey val="0"/>
          <c:showVal val="0"/>
          <c:showCatName val="0"/>
          <c:showSerName val="0"/>
          <c:showPercent val="0"/>
          <c:showBubbleSize val="0"/>
        </c:dLbls>
        <c:gapWidth val="10"/>
        <c:overlap val="100"/>
        <c:axId val="285312128"/>
        <c:axId val="285313664"/>
      </c:barChart>
      <c:catAx>
        <c:axId val="285312128"/>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fr-FR"/>
          </a:p>
        </c:txPr>
        <c:crossAx val="285313664"/>
        <c:crosses val="autoZero"/>
        <c:auto val="1"/>
        <c:lblAlgn val="ctr"/>
        <c:lblOffset val="100"/>
        <c:tickLblSkip val="4"/>
        <c:tickMarkSkip val="4"/>
        <c:noMultiLvlLbl val="0"/>
      </c:catAx>
      <c:valAx>
        <c:axId val="285313664"/>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fr-FR"/>
          </a:p>
        </c:txPr>
        <c:crossAx val="285312128"/>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GB"/>
              <a:t>Gross fixed capital formation (YoY)</a:t>
            </a:r>
          </a:p>
        </c:rich>
      </c:tx>
      <c:layout>
        <c:manualLayout>
          <c:xMode val="edge"/>
          <c:yMode val="edge"/>
          <c:x val="0.39174107142857145"/>
          <c:y val="3.6065573770491806E-2"/>
        </c:manualLayout>
      </c:layout>
      <c:overlay val="0"/>
      <c:spPr>
        <a:noFill/>
        <a:ln w="25400">
          <a:noFill/>
        </a:ln>
      </c:spPr>
    </c:title>
    <c:autoTitleDeleted val="0"/>
    <c:plotArea>
      <c:layout>
        <c:manualLayout>
          <c:layoutTarget val="inner"/>
          <c:xMode val="edge"/>
          <c:yMode val="edge"/>
          <c:x val="5.6919642857142856E-2"/>
          <c:y val="0.19672131147540983"/>
          <c:w val="0.9274553571428571"/>
          <c:h val="0.69180327868852454"/>
        </c:manualLayout>
      </c:layout>
      <c:barChart>
        <c:barDir val="col"/>
        <c:grouping val="stacked"/>
        <c:varyColors val="0"/>
        <c:ser>
          <c:idx val="0"/>
          <c:order val="0"/>
          <c:spPr>
            <a:solidFill>
              <a:srgbClr val="FFCC99"/>
            </a:solidFill>
            <a:ln w="12700">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3">
                  <c:v>1</c:v>
                </c:pt>
                <c:pt idx="96">
                  <c:v>2019</c:v>
                </c:pt>
                <c:pt idx="100">
                  <c:v>2020</c:v>
                </c:pt>
              </c:numCache>
            </c:numRef>
          </c:cat>
          <c:val>
            <c:numRef>
              <c:f>'Q1'!#REF!</c:f>
              <c:numCache>
                <c:formatCode>General</c:formatCode>
                <c:ptCount val="80"/>
                <c:pt idx="4">
                  <c:v>0.81595648232093421</c:v>
                </c:pt>
                <c:pt idx="5">
                  <c:v>0.68130883012103016</c:v>
                </c:pt>
                <c:pt idx="6">
                  <c:v>-2.6295030239287254E-2</c:v>
                </c:pt>
                <c:pt idx="7">
                  <c:v>2.1486438886932024</c:v>
                </c:pt>
                <c:pt idx="8">
                  <c:v>6.5917266187050405</c:v>
                </c:pt>
                <c:pt idx="9">
                  <c:v>10.221707773127942</c:v>
                </c:pt>
                <c:pt idx="10">
                  <c:v>4.8044888655093709</c:v>
                </c:pt>
                <c:pt idx="11">
                  <c:v>7.2758620689655329</c:v>
                </c:pt>
                <c:pt idx="12">
                  <c:v>4.1930313000928088</c:v>
                </c:pt>
                <c:pt idx="13">
                  <c:v>0.32312787785766517</c:v>
                </c:pt>
                <c:pt idx="14">
                  <c:v>7.1440522001003703</c:v>
                </c:pt>
                <c:pt idx="15">
                  <c:v>3.2465445194471254</c:v>
                </c:pt>
                <c:pt idx="16">
                  <c:v>6.3157894736842302</c:v>
                </c:pt>
                <c:pt idx="17">
                  <c:v>5.523794186327402</c:v>
                </c:pt>
                <c:pt idx="18">
                  <c:v>4.3176139912554756</c:v>
                </c:pt>
                <c:pt idx="19">
                  <c:v>3.665940224159403</c:v>
                </c:pt>
                <c:pt idx="20">
                  <c:v>2.993145468392977</c:v>
                </c:pt>
                <c:pt idx="21">
                  <c:v>4.7539107210988085</c:v>
                </c:pt>
                <c:pt idx="22">
                  <c:v>3.7048125140333843</c:v>
                </c:pt>
                <c:pt idx="23">
                  <c:v>3.4762369547263194</c:v>
                </c:pt>
                <c:pt idx="24">
                  <c:v>2.5586038600902139</c:v>
                </c:pt>
                <c:pt idx="25">
                  <c:v>-0.83041958041957242</c:v>
                </c:pt>
                <c:pt idx="26">
                  <c:v>0.51963048498846476</c:v>
                </c:pt>
                <c:pt idx="27">
                  <c:v>-1.2044695980264142</c:v>
                </c:pt>
                <c:pt idx="28">
                  <c:v>-1.1824933304491969</c:v>
                </c:pt>
                <c:pt idx="29">
                  <c:v>-3.6947260173350926</c:v>
                </c:pt>
                <c:pt idx="30">
                  <c:v>-3.8124641010913285</c:v>
                </c:pt>
                <c:pt idx="31">
                  <c:v>-0.38924794359576076</c:v>
                </c:pt>
                <c:pt idx="32">
                  <c:v>-1.1309740970448678</c:v>
                </c:pt>
                <c:pt idx="33">
                  <c:v>3.180535428266329</c:v>
                </c:pt>
                <c:pt idx="34">
                  <c:v>0.6344704038217408</c:v>
                </c:pt>
                <c:pt idx="35">
                  <c:v>-3.7897220378972252</c:v>
                </c:pt>
                <c:pt idx="36">
                  <c:v>4.5239852398524016</c:v>
                </c:pt>
                <c:pt idx="37">
                  <c:v>7.9095209934949784</c:v>
                </c:pt>
                <c:pt idx="38">
                  <c:v>6.905503634475596</c:v>
                </c:pt>
                <c:pt idx="39">
                  <c:v>10.80542570311902</c:v>
                </c:pt>
                <c:pt idx="40">
                  <c:v>5.9309468332980231</c:v>
                </c:pt>
                <c:pt idx="41">
                  <c:v>6.6926976298122831</c:v>
                </c:pt>
                <c:pt idx="42">
                  <c:v>6.8341080968570056</c:v>
                </c:pt>
                <c:pt idx="43">
                  <c:v>7.2065841344491233</c:v>
                </c:pt>
                <c:pt idx="44">
                  <c:v>5.4522428847563864</c:v>
                </c:pt>
                <c:pt idx="45">
                  <c:v>3.1524879614767132</c:v>
                </c:pt>
                <c:pt idx="46">
                  <c:v>5.1630081828809127</c:v>
                </c:pt>
                <c:pt idx="47">
                  <c:v>3.1094768079478863</c:v>
                </c:pt>
                <c:pt idx="48">
                  <c:v>4.5382719170722563</c:v>
                </c:pt>
                <c:pt idx="49">
                  <c:v>4.4877380804182687</c:v>
                </c:pt>
                <c:pt idx="50">
                  <c:v>5.2368307293274796</c:v>
                </c:pt>
                <c:pt idx="51">
                  <c:v>8.5215541512857271</c:v>
                </c:pt>
                <c:pt idx="52">
                  <c:v>6.3788620835600662</c:v>
                </c:pt>
                <c:pt idx="53">
                  <c:v>5.9808184904986073</c:v>
                </c:pt>
                <c:pt idx="54">
                  <c:v>4.9544762631301253</c:v>
                </c:pt>
                <c:pt idx="55">
                  <c:v>3.6305492159123709</c:v>
                </c:pt>
                <c:pt idx="56">
                  <c:v>2.705381214822955</c:v>
                </c:pt>
                <c:pt idx="57">
                  <c:v>2.1064340971385098</c:v>
                </c:pt>
                <c:pt idx="58">
                  <c:v>2.1064340971385098</c:v>
                </c:pt>
                <c:pt idx="59">
                  <c:v>2.106434097138532</c:v>
                </c:pt>
                <c:pt idx="60">
                  <c:v>2.1064340971385098</c:v>
                </c:pt>
                <c:pt idx="61">
                  <c:v>2.106434097138532</c:v>
                </c:pt>
                <c:pt idx="62">
                  <c:v>2.106434097138532</c:v>
                </c:pt>
                <c:pt idx="63">
                  <c:v>2.106434097138532</c:v>
                </c:pt>
                <c:pt idx="64">
                  <c:v>2.106434097138532</c:v>
                </c:pt>
                <c:pt idx="65">
                  <c:v>2.106434097138532</c:v>
                </c:pt>
                <c:pt idx="66">
                  <c:v>2.1064340971385098</c:v>
                </c:pt>
                <c:pt idx="67">
                  <c:v>2.1064340971385098</c:v>
                </c:pt>
              </c:numCache>
            </c:numRef>
          </c:val>
          <c:extLst>
            <c:ext xmlns:c15="http://schemas.microsoft.com/office/drawing/2012/chart" uri="{02D57815-91ED-43cb-92C2-25804820EDAC}">
              <c15:filteredSeriesTitle>
                <c15:tx>
                  <c:strRef>
                    <c:extLst>
                      <c:ext uri="{02D57815-91ED-43cb-92C2-25804820EDAC}">
                        <c15:formulaRef>
                          <c15:sqref>'Q1'!#REF!</c15:sqref>
                        </c15:formulaRef>
                      </c:ext>
                    </c:extLst>
                    <c:strCache>
                      <c:ptCount val="1"/>
                      <c:pt idx="0">
                        <c:v>QI</c:v>
                      </c:pt>
                    </c:strCache>
                  </c:strRef>
                </c15:tx>
              </c15:filteredSeriesTitle>
            </c:ext>
            <c:ext xmlns:c16="http://schemas.microsoft.com/office/drawing/2014/chart" uri="{C3380CC4-5D6E-409C-BE32-E72D297353CC}">
              <c16:uniqueId val="{00000000-22B0-4C28-A0C1-2ACC1FA1BA63}"/>
            </c:ext>
          </c:extLst>
        </c:ser>
        <c:dLbls>
          <c:showLegendKey val="0"/>
          <c:showVal val="0"/>
          <c:showCatName val="0"/>
          <c:showSerName val="0"/>
          <c:showPercent val="0"/>
          <c:showBubbleSize val="0"/>
        </c:dLbls>
        <c:gapWidth val="10"/>
        <c:overlap val="100"/>
        <c:axId val="285333760"/>
        <c:axId val="285364224"/>
      </c:barChart>
      <c:catAx>
        <c:axId val="285333760"/>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fr-FR"/>
          </a:p>
        </c:txPr>
        <c:crossAx val="285364224"/>
        <c:crosses val="autoZero"/>
        <c:auto val="1"/>
        <c:lblAlgn val="ctr"/>
        <c:lblOffset val="100"/>
        <c:tickLblSkip val="4"/>
        <c:tickMarkSkip val="4"/>
        <c:noMultiLvlLbl val="0"/>
      </c:catAx>
      <c:valAx>
        <c:axId val="285364224"/>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fr-FR"/>
          </a:p>
        </c:txPr>
        <c:crossAx val="285333760"/>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GB"/>
              <a:t>Domestic demand (Excl. Inventories, QoQ)</a:t>
            </a:r>
          </a:p>
        </c:rich>
      </c:tx>
      <c:layout>
        <c:manualLayout>
          <c:xMode val="edge"/>
          <c:yMode val="edge"/>
          <c:x val="0.36941964285714285"/>
          <c:y val="3.5947712418300651E-2"/>
        </c:manualLayout>
      </c:layout>
      <c:overlay val="0"/>
      <c:spPr>
        <a:noFill/>
        <a:ln w="25400">
          <a:noFill/>
        </a:ln>
      </c:spPr>
    </c:title>
    <c:autoTitleDeleted val="0"/>
    <c:plotArea>
      <c:layout>
        <c:manualLayout>
          <c:layoutTarget val="inner"/>
          <c:xMode val="edge"/>
          <c:yMode val="edge"/>
          <c:x val="5.3571428571428568E-2"/>
          <c:y val="0.19281107284988017"/>
          <c:w val="0.9308035714285714"/>
          <c:h val="0.69608065283092335"/>
        </c:manualLayout>
      </c:layout>
      <c:barChart>
        <c:barDir val="col"/>
        <c:grouping val="clustered"/>
        <c:varyColors val="0"/>
        <c:ser>
          <c:idx val="1"/>
          <c:order val="0"/>
          <c:tx>
            <c:strRef>
              <c:f>'Q1'!$F$110</c:f>
              <c:strCache>
                <c:ptCount val="1"/>
                <c:pt idx="0">
                  <c:v>QDDE</c:v>
                </c:pt>
              </c:strCache>
            </c:strRef>
          </c:tx>
          <c:spPr>
            <a:solidFill>
              <a:srgbClr val="CCFFCC"/>
            </a:solidFill>
            <a:ln w="12700">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3">
                  <c:v>1</c:v>
                </c:pt>
                <c:pt idx="96">
                  <c:v>2019</c:v>
                </c:pt>
                <c:pt idx="100">
                  <c:v>2020</c:v>
                </c:pt>
              </c:numCache>
            </c:numRef>
          </c:cat>
          <c:val>
            <c:numRef>
              <c:f>'Q1'!$G$110:$DJ$110</c:f>
              <c:numCache>
                <c:formatCode>0.00</c:formatCode>
                <c:ptCount val="108"/>
                <c:pt idx="1">
                  <c:v>0.65572016498887109</c:v>
                </c:pt>
                <c:pt idx="2">
                  <c:v>1.437312877301844</c:v>
                </c:pt>
                <c:pt idx="3">
                  <c:v>1.0515197118096564</c:v>
                </c:pt>
                <c:pt idx="4">
                  <c:v>-0.25348513065036604</c:v>
                </c:pt>
                <c:pt idx="5">
                  <c:v>-1.5315683674607894</c:v>
                </c:pt>
                <c:pt idx="6">
                  <c:v>1.4610592494033181</c:v>
                </c:pt>
                <c:pt idx="7">
                  <c:v>0.66302611261668254</c:v>
                </c:pt>
                <c:pt idx="8">
                  <c:v>-7.9677827452329097E-2</c:v>
                </c:pt>
                <c:pt idx="9">
                  <c:v>0.12143824663533032</c:v>
                </c:pt>
                <c:pt idx="10">
                  <c:v>1.3397962417631692</c:v>
                </c:pt>
                <c:pt idx="11">
                  <c:v>1.8299888570848521</c:v>
                </c:pt>
                <c:pt idx="12">
                  <c:v>1.199294397214401</c:v>
                </c:pt>
                <c:pt idx="13">
                  <c:v>1.7807838964432054</c:v>
                </c:pt>
                <c:pt idx="14">
                  <c:v>-0.54906452797163219</c:v>
                </c:pt>
                <c:pt idx="15">
                  <c:v>0.65056621215622279</c:v>
                </c:pt>
                <c:pt idx="16">
                  <c:v>1.9149742259164437</c:v>
                </c:pt>
                <c:pt idx="17">
                  <c:v>-0.44144864694368735</c:v>
                </c:pt>
                <c:pt idx="18">
                  <c:v>0.68724192686453467</c:v>
                </c:pt>
                <c:pt idx="19">
                  <c:v>2.4991492028626938</c:v>
                </c:pt>
                <c:pt idx="20">
                  <c:v>0.59748991417232222</c:v>
                </c:pt>
                <c:pt idx="21">
                  <c:v>2.201505825271588</c:v>
                </c:pt>
                <c:pt idx="22">
                  <c:v>0.57745809494742506</c:v>
                </c:pt>
                <c:pt idx="23">
                  <c:v>-1.0105380796481045</c:v>
                </c:pt>
                <c:pt idx="24">
                  <c:v>0.93136119682961649</c:v>
                </c:pt>
                <c:pt idx="25">
                  <c:v>-2.812168241945745E-2</c:v>
                </c:pt>
                <c:pt idx="26">
                  <c:v>-0.62464622841115203</c:v>
                </c:pt>
                <c:pt idx="27">
                  <c:v>0.41724886543414996</c:v>
                </c:pt>
                <c:pt idx="28">
                  <c:v>-4.9894590310939346E-2</c:v>
                </c:pt>
                <c:pt idx="29">
                  <c:v>0.78888913657679804</c:v>
                </c:pt>
                <c:pt idx="30">
                  <c:v>0.86189478154259369</c:v>
                </c:pt>
                <c:pt idx="31">
                  <c:v>0.63865486775742664</c:v>
                </c:pt>
                <c:pt idx="32">
                  <c:v>1.2187371416947812</c:v>
                </c:pt>
                <c:pt idx="33">
                  <c:v>-0.96716951222374226</c:v>
                </c:pt>
                <c:pt idx="34">
                  <c:v>0.9341364391745488</c:v>
                </c:pt>
                <c:pt idx="35">
                  <c:v>0.67613230590530815</c:v>
                </c:pt>
                <c:pt idx="36">
                  <c:v>5.187744887711343E-2</c:v>
                </c:pt>
                <c:pt idx="37">
                  <c:v>2.1104373957347988E-2</c:v>
                </c:pt>
                <c:pt idx="38">
                  <c:v>1.4992390237659636</c:v>
                </c:pt>
                <c:pt idx="39">
                  <c:v>1.1101335951113622</c:v>
                </c:pt>
                <c:pt idx="40">
                  <c:v>0.17088997974905595</c:v>
                </c:pt>
                <c:pt idx="41">
                  <c:v>0.56443575808855506</c:v>
                </c:pt>
                <c:pt idx="42">
                  <c:v>-5.6760411833811641E-2</c:v>
                </c:pt>
                <c:pt idx="43">
                  <c:v>1.8899872360025993</c:v>
                </c:pt>
                <c:pt idx="44">
                  <c:v>0.40409926002469287</c:v>
                </c:pt>
                <c:pt idx="45">
                  <c:v>2.5168775578580771</c:v>
                </c:pt>
                <c:pt idx="46">
                  <c:v>0.62475143254396848</c:v>
                </c:pt>
                <c:pt idx="47">
                  <c:v>1.0425953457958936</c:v>
                </c:pt>
                <c:pt idx="48">
                  <c:v>1.4986013979886748</c:v>
                </c:pt>
                <c:pt idx="49">
                  <c:v>0.51857414185845219</c:v>
                </c:pt>
                <c:pt idx="50">
                  <c:v>1.5322133728091103</c:v>
                </c:pt>
                <c:pt idx="51">
                  <c:v>1.594002013845075</c:v>
                </c:pt>
                <c:pt idx="52">
                  <c:v>-1.6379534484526337</c:v>
                </c:pt>
                <c:pt idx="53">
                  <c:v>0.92711978953103902</c:v>
                </c:pt>
                <c:pt idx="54">
                  <c:v>-1.2163657352078805</c:v>
                </c:pt>
                <c:pt idx="55">
                  <c:v>-2.6104600815518686</c:v>
                </c:pt>
                <c:pt idx="56">
                  <c:v>-1.7997276653317296</c:v>
                </c:pt>
                <c:pt idx="57">
                  <c:v>-1.1463466691421398</c:v>
                </c:pt>
                <c:pt idx="58">
                  <c:v>0.84950220130604048</c:v>
                </c:pt>
                <c:pt idx="59">
                  <c:v>1.0557252793998328</c:v>
                </c:pt>
                <c:pt idx="60">
                  <c:v>2.4343892746944595</c:v>
                </c:pt>
                <c:pt idx="61">
                  <c:v>1.8283951164968171</c:v>
                </c:pt>
                <c:pt idx="62">
                  <c:v>1.5627110032758962</c:v>
                </c:pt>
                <c:pt idx="63">
                  <c:v>0.22059707721051591</c:v>
                </c:pt>
                <c:pt idx="64">
                  <c:v>1.7064956076696003</c:v>
                </c:pt>
                <c:pt idx="65">
                  <c:v>0.57126750042231222</c:v>
                </c:pt>
                <c:pt idx="66">
                  <c:v>-0.72112960512086266</c:v>
                </c:pt>
                <c:pt idx="67">
                  <c:v>-0.66709211491681186</c:v>
                </c:pt>
                <c:pt idx="68">
                  <c:v>7.3155133665059324E-2</c:v>
                </c:pt>
                <c:pt idx="69">
                  <c:v>0.10897126684439318</c:v>
                </c:pt>
                <c:pt idx="70">
                  <c:v>1.0794456563299581</c:v>
                </c:pt>
                <c:pt idx="71">
                  <c:v>-0.97501524875934775</c:v>
                </c:pt>
                <c:pt idx="72">
                  <c:v>1.259633030856544</c:v>
                </c:pt>
                <c:pt idx="73">
                  <c:v>-0.20890347610661442</c:v>
                </c:pt>
                <c:pt idx="74">
                  <c:v>0.72859227333292864</c:v>
                </c:pt>
                <c:pt idx="75">
                  <c:v>1.2887160077948545</c:v>
                </c:pt>
                <c:pt idx="76">
                  <c:v>0.19303992114227952</c:v>
                </c:pt>
                <c:pt idx="77">
                  <c:v>1.3397228435885422</c:v>
                </c:pt>
                <c:pt idx="78">
                  <c:v>8.0744556404899193E-2</c:v>
                </c:pt>
                <c:pt idx="79">
                  <c:v>1.951589219950578</c:v>
                </c:pt>
                <c:pt idx="80">
                  <c:v>0.72671212476711489</c:v>
                </c:pt>
                <c:pt idx="81">
                  <c:v>0.18917046739910237</c:v>
                </c:pt>
                <c:pt idx="82">
                  <c:v>1.671002496015328</c:v>
                </c:pt>
                <c:pt idx="83">
                  <c:v>1.6647271731596858</c:v>
                </c:pt>
                <c:pt idx="84">
                  <c:v>0.36349714744534634</c:v>
                </c:pt>
                <c:pt idx="85">
                  <c:v>0.59968248527340062</c:v>
                </c:pt>
                <c:pt idx="86">
                  <c:v>-9.1195896851514746E-2</c:v>
                </c:pt>
                <c:pt idx="87">
                  <c:v>0.43278327013567264</c:v>
                </c:pt>
                <c:pt idx="88">
                  <c:v>1.2199383426239052</c:v>
                </c:pt>
                <c:pt idx="89">
                  <c:v>1.0763564256726088</c:v>
                </c:pt>
                <c:pt idx="90">
                  <c:v>0.72711718984166396</c:v>
                </c:pt>
                <c:pt idx="91">
                  <c:v>0.3356311002365775</c:v>
                </c:pt>
                <c:pt idx="92">
                  <c:v>0.70887817615747917</c:v>
                </c:pt>
                <c:pt idx="93">
                  <c:v>1.2869502052488491</c:v>
                </c:pt>
                <c:pt idx="94" formatCode="0.0">
                  <c:v>0.36807132961220779</c:v>
                </c:pt>
                <c:pt idx="95" formatCode="0.0">
                  <c:v>0.47605012399969693</c:v>
                </c:pt>
                <c:pt idx="96" formatCode="0.0">
                  <c:v>0.64254735494379445</c:v>
                </c:pt>
                <c:pt idx="97" formatCode="0.0">
                  <c:v>0.44782452243838627</c:v>
                </c:pt>
                <c:pt idx="98" formatCode="0.0">
                  <c:v>0.36767852739945034</c:v>
                </c:pt>
                <c:pt idx="99" formatCode="0.0">
                  <c:v>0.31100734637281979</c:v>
                </c:pt>
                <c:pt idx="100" formatCode="0.0">
                  <c:v>0.59577368524738072</c:v>
                </c:pt>
                <c:pt idx="101" formatCode="0.0">
                  <c:v>0.50584688193292138</c:v>
                </c:pt>
                <c:pt idx="102" formatCode="0.0">
                  <c:v>0.44407239423216671</c:v>
                </c:pt>
                <c:pt idx="103" formatCode="0.0">
                  <c:v>0.33039716192603147</c:v>
                </c:pt>
              </c:numCache>
            </c:numRef>
          </c:val>
          <c:extLst>
            <c:ext xmlns:c16="http://schemas.microsoft.com/office/drawing/2014/chart" uri="{C3380CC4-5D6E-409C-BE32-E72D297353CC}">
              <c16:uniqueId val="{00000000-E5D1-4D3A-A108-96FAC85F017C}"/>
            </c:ext>
          </c:extLst>
        </c:ser>
        <c:dLbls>
          <c:showLegendKey val="0"/>
          <c:showVal val="0"/>
          <c:showCatName val="0"/>
          <c:showSerName val="0"/>
          <c:showPercent val="0"/>
          <c:showBubbleSize val="0"/>
        </c:dLbls>
        <c:gapWidth val="10"/>
        <c:overlap val="50"/>
        <c:axId val="285379968"/>
        <c:axId val="285389952"/>
      </c:barChart>
      <c:catAx>
        <c:axId val="285379968"/>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fr-FR"/>
          </a:p>
        </c:txPr>
        <c:crossAx val="285389952"/>
        <c:crosses val="autoZero"/>
        <c:auto val="1"/>
        <c:lblAlgn val="ctr"/>
        <c:lblOffset val="100"/>
        <c:tickLblSkip val="4"/>
        <c:tickMarkSkip val="4"/>
        <c:noMultiLvlLbl val="0"/>
      </c:catAx>
      <c:valAx>
        <c:axId val="285389952"/>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fr-FR"/>
          </a:p>
        </c:txPr>
        <c:crossAx val="285379968"/>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GB"/>
              <a:t>Domestic demand (Excl. inventories, YoY)</a:t>
            </a:r>
          </a:p>
        </c:rich>
      </c:tx>
      <c:layout>
        <c:manualLayout>
          <c:xMode val="edge"/>
          <c:yMode val="edge"/>
          <c:x val="0.3705357142857143"/>
          <c:y val="3.5947712418300651E-2"/>
        </c:manualLayout>
      </c:layout>
      <c:overlay val="0"/>
      <c:spPr>
        <a:noFill/>
        <a:ln w="25400">
          <a:noFill/>
        </a:ln>
      </c:spPr>
    </c:title>
    <c:autoTitleDeleted val="0"/>
    <c:plotArea>
      <c:layout>
        <c:manualLayout>
          <c:layoutTarget val="inner"/>
          <c:xMode val="edge"/>
          <c:yMode val="edge"/>
          <c:x val="5.3571428571428568E-2"/>
          <c:y val="0.19281107284988017"/>
          <c:w val="0.9308035714285714"/>
          <c:h val="0.69608065283092335"/>
        </c:manualLayout>
      </c:layout>
      <c:barChart>
        <c:barDir val="col"/>
        <c:grouping val="stacked"/>
        <c:varyColors val="0"/>
        <c:ser>
          <c:idx val="0"/>
          <c:order val="0"/>
          <c:spPr>
            <a:solidFill>
              <a:srgbClr val="FF8080"/>
            </a:solidFill>
            <a:ln w="12700">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3">
                  <c:v>1</c:v>
                </c:pt>
                <c:pt idx="96">
                  <c:v>2019</c:v>
                </c:pt>
                <c:pt idx="100">
                  <c:v>2020</c:v>
                </c:pt>
              </c:numCache>
            </c:numRef>
          </c:cat>
          <c:val>
            <c:numRef>
              <c:f>'Q1'!$G$115:$CH$115</c:f>
              <c:numCache>
                <c:formatCode>0</c:formatCode>
                <c:ptCount val="80"/>
                <c:pt idx="4" formatCode="0.00">
                  <c:v>2.9145492280653107</c:v>
                </c:pt>
                <c:pt idx="5" formatCode="0.00">
                  <c:v>0.67817544841526356</c:v>
                </c:pt>
                <c:pt idx="6" formatCode="0.00">
                  <c:v>0.70174410721428604</c:v>
                </c:pt>
                <c:pt idx="7" formatCode="0.00">
                  <c:v>0.31459522390413497</c:v>
                </c:pt>
                <c:pt idx="8" formatCode="0.00">
                  <c:v>0.48939240143064389</c:v>
                </c:pt>
                <c:pt idx="9" formatCode="0.00">
                  <c:v>2.1763252339342509</c:v>
                </c:pt>
                <c:pt idx="10" formatCode="0.00">
                  <c:v>2.0542073633034175</c:v>
                </c:pt>
                <c:pt idx="11" formatCode="0.00">
                  <c:v>3.2372977442340467</c:v>
                </c:pt>
                <c:pt idx="12" formatCode="0.00">
                  <c:v>4.55872699399682</c:v>
                </c:pt>
                <c:pt idx="13" formatCode="0.00">
                  <c:v>6.2916132951259307</c:v>
                </c:pt>
                <c:pt idx="14" formatCode="0.00">
                  <c:v>4.3104561786658335</c:v>
                </c:pt>
                <c:pt idx="15" formatCode="0.00">
                  <c:v>3.1023040861362317</c:v>
                </c:pt>
                <c:pt idx="16" formatCode="0.00">
                  <c:v>3.8314419696231283</c:v>
                </c:pt>
                <c:pt idx="17" formatCode="0.00">
                  <c:v>1.5644363469660139</c:v>
                </c:pt>
                <c:pt idx="18" formatCode="0.00">
                  <c:v>2.8270164085971938</c:v>
                </c:pt>
                <c:pt idx="19" formatCode="0.00">
                  <c:v>4.7155728337777258</c:v>
                </c:pt>
                <c:pt idx="20" formatCode="0.00">
                  <c:v>3.361884374827806</c:v>
                </c:pt>
                <c:pt idx="21" formatCode="0.00">
                  <c:v>6.1058049206008214</c:v>
                </c:pt>
                <c:pt idx="22" formatCode="0.00">
                  <c:v>5.9901129855561175</c:v>
                </c:pt>
                <c:pt idx="23" formatCode="0.00">
                  <c:v>2.3608911382502873</c:v>
                </c:pt>
                <c:pt idx="24" formatCode="0.00">
                  <c:v>2.7006149429638082</c:v>
                </c:pt>
                <c:pt idx="25" formatCode="0.00">
                  <c:v>0.46009887341489364</c:v>
                </c:pt>
                <c:pt idx="26" formatCode="0.00">
                  <c:v>-0.74060276955921767</c:v>
                </c:pt>
                <c:pt idx="27" formatCode="0.00">
                  <c:v>0.69107762139377638</c:v>
                </c:pt>
                <c:pt idx="28" formatCode="0.00">
                  <c:v>-0.28784212622292582</c:v>
                </c:pt>
                <c:pt idx="29" formatCode="0.00">
                  <c:v>0.52704615175407366</c:v>
                </c:pt>
                <c:pt idx="30" formatCode="0.00">
                  <c:v>2.0308151552594245</c:v>
                </c:pt>
                <c:pt idx="31" formatCode="0.00">
                  <c:v>2.2557788457862049</c:v>
                </c:pt>
                <c:pt idx="32" formatCode="0.00">
                  <c:v>3.5536756843436823</c:v>
                </c:pt>
                <c:pt idx="33" formatCode="0.00">
                  <c:v>1.7494457800517393</c:v>
                </c:pt>
                <c:pt idx="34" formatCode="0.00">
                  <c:v>1.8223231401509388</c:v>
                </c:pt>
                <c:pt idx="35" formatCode="0.00">
                  <c:v>1.8602413716950039</c:v>
                </c:pt>
                <c:pt idx="36" formatCode="0.00">
                  <c:v>0.68598635415884068</c:v>
                </c:pt>
                <c:pt idx="37" formatCode="0.00">
                  <c:v>1.6907575045753021</c:v>
                </c:pt>
                <c:pt idx="38" formatCode="0.00">
                  <c:v>2.2600962032773619</c:v>
                </c:pt>
                <c:pt idx="39" formatCode="0.00">
                  <c:v>2.7009257481759086</c:v>
                </c:pt>
                <c:pt idx="40" formatCode="0.00">
                  <c:v>2.8230893437808602</c:v>
                </c:pt>
                <c:pt idx="41" formatCode="0.00">
                  <c:v>3.3816415793663346</c:v>
                </c:pt>
                <c:pt idx="42" formatCode="0.00">
                  <c:v>1.7967846139736565</c:v>
                </c:pt>
                <c:pt idx="43" formatCode="0.00">
                  <c:v>2.5819343342788903</c:v>
                </c:pt>
                <c:pt idx="44" formatCode="0.00">
                  <c:v>2.8207568013670636</c:v>
                </c:pt>
                <c:pt idx="45" formatCode="0.00">
                  <c:v>4.8170046990417603</c:v>
                </c:pt>
                <c:pt idx="46" formatCode="0.00">
                  <c:v>5.5317506937579086</c:v>
                </c:pt>
                <c:pt idx="47" formatCode="0.00">
                  <c:v>4.6540712266864848</c:v>
                </c:pt>
                <c:pt idx="48" formatCode="0.00">
                  <c:v>5.794902184271189</c:v>
                </c:pt>
                <c:pt idx="49" formatCode="0.00">
                  <c:v>3.7327020913073827</c:v>
                </c:pt>
                <c:pt idx="50" formatCode="0.00">
                  <c:v>4.6681923933314051</c:v>
                </c:pt>
                <c:pt idx="51" formatCode="0.00">
                  <c:v>5.239384562543048</c:v>
                </c:pt>
                <c:pt idx="52" formatCode="0.00">
                  <c:v>1.9872303738185826</c:v>
                </c:pt>
                <c:pt idx="53" formatCode="0.00">
                  <c:v>2.4017451980002491</c:v>
                </c:pt>
                <c:pt idx="54" formatCode="0.00">
                  <c:v>-0.37037301085068863</c:v>
                </c:pt>
                <c:pt idx="55" formatCode="0.00">
                  <c:v>-4.4935395556367608</c:v>
                </c:pt>
                <c:pt idx="56" formatCode="0.00">
                  <c:v>-4.650617243494592</c:v>
                </c:pt>
                <c:pt idx="57" formatCode="0.00">
                  <c:v>-6.6094935833038271</c:v>
                </c:pt>
                <c:pt idx="58" formatCode="0.00">
                  <c:v>-4.6564124457553868</c:v>
                </c:pt>
                <c:pt idx="59" formatCode="0.00">
                  <c:v>-1.0672460399515304</c:v>
                </c:pt>
                <c:pt idx="60" formatCode="0.00">
                  <c:v>3.1984534281526811</c:v>
                </c:pt>
                <c:pt idx="61" formatCode="0.00">
                  <c:v>6.3039405930889858</c:v>
                </c:pt>
                <c:pt idx="62" formatCode="0.00">
                  <c:v>7.0557232440705775</c:v>
                </c:pt>
                <c:pt idx="63" formatCode="0.00">
                  <c:v>6.1710108397044827</c:v>
                </c:pt>
                <c:pt idx="64" formatCode="0.00">
                  <c:v>5.4165649259927839</c:v>
                </c:pt>
                <c:pt idx="65" formatCode="0.00">
                  <c:v>4.1151393775633593</c:v>
                </c:pt>
                <c:pt idx="66" formatCode="0.00">
                  <c:v>1.7739023141720711</c:v>
                </c:pt>
                <c:pt idx="67" formatCode="0.00">
                  <c:v>0.87245494946208701</c:v>
                </c:pt>
                <c:pt idx="68" formatCode="0.00">
                  <c:v>-0.74749137153508061</c:v>
                </c:pt>
                <c:pt idx="69" formatCode="0.00">
                  <c:v>-1.2037256624264248</c:v>
                </c:pt>
                <c:pt idx="70" formatCode="0.00">
                  <c:v>0.58809697604833566</c:v>
                </c:pt>
                <c:pt idx="71" formatCode="0.00">
                  <c:v>0.27628286824072923</c:v>
                </c:pt>
                <c:pt idx="72" formatCode="0.00">
                  <c:v>1.4651690693080921</c:v>
                </c:pt>
                <c:pt idx="73" formatCode="0.00">
                  <c:v>1.1429880087274746</c:v>
                </c:pt>
                <c:pt idx="74" formatCode="0.00">
                  <c:v>0.79191406605920722</c:v>
                </c:pt>
                <c:pt idx="75" formatCode="0.00">
                  <c:v>3.0960376854915594</c:v>
                </c:pt>
                <c:pt idx="76" formatCode="0.00">
                  <c:v>2.0101012649963446</c:v>
                </c:pt>
                <c:pt idx="77" formatCode="0.00">
                  <c:v>3.5931636142102041</c:v>
                </c:pt>
                <c:pt idx="78" formatCode="0.00">
                  <c:v>2.9268920718193092</c:v>
                </c:pt>
                <c:pt idx="79" formatCode="0.00">
                  <c:v>3.6004861527197285</c:v>
                </c:pt>
              </c:numCache>
            </c:numRef>
          </c:val>
          <c:extLst>
            <c:ext xmlns:c15="http://schemas.microsoft.com/office/drawing/2012/chart" uri="{02D57815-91ED-43cb-92C2-25804820EDAC}">
              <c15:filteredSeriesTitle>
                <c15:tx>
                  <c:strRef>
                    <c:extLst>
                      <c:ext uri="{02D57815-91ED-43cb-92C2-25804820EDAC}">
                        <c15:formulaRef>
                          <c15:sqref>'Q1'!#REF!</c15:sqref>
                        </c15:formulaRef>
                      </c:ext>
                    </c:extLst>
                    <c:strCache>
                      <c:ptCount val="1"/>
                      <c:pt idx="0">
                        <c:v>QI</c:v>
                      </c:pt>
                    </c:strCache>
                  </c:strRef>
                </c15:tx>
              </c15:filteredSeriesTitle>
            </c:ext>
            <c:ext xmlns:c16="http://schemas.microsoft.com/office/drawing/2014/chart" uri="{C3380CC4-5D6E-409C-BE32-E72D297353CC}">
              <c16:uniqueId val="{00000000-CB44-4DCE-972A-95738DE869D9}"/>
            </c:ext>
          </c:extLst>
        </c:ser>
        <c:dLbls>
          <c:showLegendKey val="0"/>
          <c:showVal val="0"/>
          <c:showCatName val="0"/>
          <c:showSerName val="0"/>
          <c:showPercent val="0"/>
          <c:showBubbleSize val="0"/>
        </c:dLbls>
        <c:gapWidth val="10"/>
        <c:overlap val="100"/>
        <c:axId val="285496064"/>
        <c:axId val="285497600"/>
      </c:barChart>
      <c:catAx>
        <c:axId val="285496064"/>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fr-FR"/>
          </a:p>
        </c:txPr>
        <c:crossAx val="285497600"/>
        <c:crosses val="autoZero"/>
        <c:auto val="1"/>
        <c:lblAlgn val="ctr"/>
        <c:lblOffset val="100"/>
        <c:tickLblSkip val="4"/>
        <c:tickMarkSkip val="4"/>
        <c:noMultiLvlLbl val="0"/>
      </c:catAx>
      <c:valAx>
        <c:axId val="285497600"/>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fr-FR"/>
          </a:p>
        </c:txPr>
        <c:crossAx val="285496064"/>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GB"/>
              <a:t>Domestic demand (Incl. Inventories, QoQ)</a:t>
            </a:r>
          </a:p>
        </c:rich>
      </c:tx>
      <c:layout>
        <c:manualLayout>
          <c:xMode val="edge"/>
          <c:yMode val="edge"/>
          <c:x val="0.3705357142857143"/>
          <c:y val="3.5947712418300651E-2"/>
        </c:manualLayout>
      </c:layout>
      <c:overlay val="0"/>
      <c:spPr>
        <a:noFill/>
        <a:ln w="25400">
          <a:noFill/>
        </a:ln>
      </c:spPr>
    </c:title>
    <c:autoTitleDeleted val="0"/>
    <c:plotArea>
      <c:layout>
        <c:manualLayout>
          <c:layoutTarget val="inner"/>
          <c:xMode val="edge"/>
          <c:yMode val="edge"/>
          <c:x val="5.3571428571428568E-2"/>
          <c:y val="0.19281107284988017"/>
          <c:w val="0.9308035714285714"/>
          <c:h val="0.69608065283092335"/>
        </c:manualLayout>
      </c:layout>
      <c:barChart>
        <c:barDir val="col"/>
        <c:grouping val="clustered"/>
        <c:varyColors val="0"/>
        <c:ser>
          <c:idx val="0"/>
          <c:order val="0"/>
          <c:tx>
            <c:strRef>
              <c:f>'Q1'!$F$149</c:f>
              <c:strCache>
                <c:ptCount val="1"/>
                <c:pt idx="0">
                  <c:v>QDDI</c:v>
                </c:pt>
              </c:strCache>
            </c:strRef>
          </c:tx>
          <c:spPr>
            <a:solidFill>
              <a:srgbClr val="CCFFCC"/>
            </a:solidFill>
            <a:ln w="12700">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3">
                  <c:v>1</c:v>
                </c:pt>
                <c:pt idx="96">
                  <c:v>2019</c:v>
                </c:pt>
                <c:pt idx="100">
                  <c:v>2020</c:v>
                </c:pt>
              </c:numCache>
            </c:numRef>
          </c:cat>
          <c:val>
            <c:numRef>
              <c:f>'Q1'!$G$149:$DJ$149</c:f>
              <c:numCache>
                <c:formatCode>0.00</c:formatCode>
                <c:ptCount val="108"/>
                <c:pt idx="1">
                  <c:v>0.4703737077352832</c:v>
                </c:pt>
                <c:pt idx="2">
                  <c:v>0.7911233825471653</c:v>
                </c:pt>
                <c:pt idx="3">
                  <c:v>0.73831813602625029</c:v>
                </c:pt>
                <c:pt idx="4">
                  <c:v>-3.7899396473173308E-2</c:v>
                </c:pt>
                <c:pt idx="5">
                  <c:v>0.13050760634389924</c:v>
                </c:pt>
                <c:pt idx="6">
                  <c:v>1.5536331684971927</c:v>
                </c:pt>
                <c:pt idx="7">
                  <c:v>0.39745891433149438</c:v>
                </c:pt>
                <c:pt idx="8">
                  <c:v>-0.78665414666263533</c:v>
                </c:pt>
                <c:pt idx="9">
                  <c:v>1.5532920051553045</c:v>
                </c:pt>
                <c:pt idx="10">
                  <c:v>0.15195900317777067</c:v>
                </c:pt>
                <c:pt idx="11">
                  <c:v>0.92116631340786181</c:v>
                </c:pt>
                <c:pt idx="12">
                  <c:v>1.1646598712776957</c:v>
                </c:pt>
                <c:pt idx="13">
                  <c:v>1.1728482881663505</c:v>
                </c:pt>
                <c:pt idx="14">
                  <c:v>1.552272755344708</c:v>
                </c:pt>
                <c:pt idx="15">
                  <c:v>1.0378360441724244</c:v>
                </c:pt>
                <c:pt idx="16">
                  <c:v>0.81996877852741346</c:v>
                </c:pt>
                <c:pt idx="17">
                  <c:v>-3.2942246211142834E-2</c:v>
                </c:pt>
                <c:pt idx="18">
                  <c:v>1.6991366501732719</c:v>
                </c:pt>
                <c:pt idx="19">
                  <c:v>1.0658357242501859</c:v>
                </c:pt>
                <c:pt idx="20">
                  <c:v>0.39508408665838157</c:v>
                </c:pt>
                <c:pt idx="21">
                  <c:v>1.9689376133090075</c:v>
                </c:pt>
                <c:pt idx="22">
                  <c:v>0.85238282555788469</c:v>
                </c:pt>
                <c:pt idx="23">
                  <c:v>-5.9682419111972695E-2</c:v>
                </c:pt>
                <c:pt idx="24">
                  <c:v>-0.40890122523093986</c:v>
                </c:pt>
                <c:pt idx="25">
                  <c:v>0.41601679898883859</c:v>
                </c:pt>
                <c:pt idx="26">
                  <c:v>0.30447920397942418</c:v>
                </c:pt>
                <c:pt idx="27">
                  <c:v>0.78700602331078784</c:v>
                </c:pt>
                <c:pt idx="28">
                  <c:v>-1.0805170737921643</c:v>
                </c:pt>
                <c:pt idx="29">
                  <c:v>1.8028517143203748</c:v>
                </c:pt>
                <c:pt idx="30">
                  <c:v>-0.15553310400225895</c:v>
                </c:pt>
                <c:pt idx="31">
                  <c:v>1.1408803503845322</c:v>
                </c:pt>
                <c:pt idx="32">
                  <c:v>0.51903031576334691</c:v>
                </c:pt>
                <c:pt idx="33">
                  <c:v>-0.44266580827166946</c:v>
                </c:pt>
                <c:pt idx="34">
                  <c:v>0.94338086911613939</c:v>
                </c:pt>
                <c:pt idx="35">
                  <c:v>0.51904023364663932</c:v>
                </c:pt>
                <c:pt idx="36">
                  <c:v>0.52357961551054988</c:v>
                </c:pt>
                <c:pt idx="37">
                  <c:v>0.2727469347614031</c:v>
                </c:pt>
                <c:pt idx="38">
                  <c:v>0.92729243561422425</c:v>
                </c:pt>
                <c:pt idx="39">
                  <c:v>0.82359460346437263</c:v>
                </c:pt>
                <c:pt idx="40">
                  <c:v>0.34791107057556836</c:v>
                </c:pt>
                <c:pt idx="41">
                  <c:v>0.82370954835788712</c:v>
                </c:pt>
                <c:pt idx="42">
                  <c:v>1.1297196484884253</c:v>
                </c:pt>
                <c:pt idx="43">
                  <c:v>-0.18042646326837941</c:v>
                </c:pt>
                <c:pt idx="44">
                  <c:v>1.4950012159311798</c:v>
                </c:pt>
                <c:pt idx="45">
                  <c:v>1.892794705294687</c:v>
                </c:pt>
                <c:pt idx="46">
                  <c:v>0.54077571442139316</c:v>
                </c:pt>
                <c:pt idx="47">
                  <c:v>1.2057059619440258</c:v>
                </c:pt>
                <c:pt idx="48">
                  <c:v>0.94804496777367575</c:v>
                </c:pt>
                <c:pt idx="49">
                  <c:v>0.98234268845718287</c:v>
                </c:pt>
                <c:pt idx="50">
                  <c:v>0.73265451602393394</c:v>
                </c:pt>
                <c:pt idx="51">
                  <c:v>1.4986240691558628</c:v>
                </c:pt>
                <c:pt idx="52">
                  <c:v>-0.53167708682174686</c:v>
                </c:pt>
                <c:pt idx="53">
                  <c:v>-0.35176742953334506</c:v>
                </c:pt>
                <c:pt idx="54">
                  <c:v>-0.64650950569604682</c:v>
                </c:pt>
                <c:pt idx="55">
                  <c:v>-0.70316834638641801</c:v>
                </c:pt>
                <c:pt idx="56">
                  <c:v>-1.8395470611465403</c:v>
                </c:pt>
                <c:pt idx="57">
                  <c:v>-6.3407087547939778E-2</c:v>
                </c:pt>
                <c:pt idx="58">
                  <c:v>-1.2184997118758201E-2</c:v>
                </c:pt>
                <c:pt idx="59">
                  <c:v>0.6300197857764589</c:v>
                </c:pt>
                <c:pt idx="60">
                  <c:v>0.87656041797725681</c:v>
                </c:pt>
                <c:pt idx="61">
                  <c:v>1.2284122538567033</c:v>
                </c:pt>
                <c:pt idx="62">
                  <c:v>1.8127590399484195</c:v>
                </c:pt>
                <c:pt idx="63">
                  <c:v>0.86998632935177955</c:v>
                </c:pt>
                <c:pt idx="64">
                  <c:v>-0.30893257178250533</c:v>
                </c:pt>
                <c:pt idx="65">
                  <c:v>1.8944835370754864</c:v>
                </c:pt>
                <c:pt idx="66">
                  <c:v>-0.34430873777812065</c:v>
                </c:pt>
                <c:pt idx="67">
                  <c:v>-0.99777339262339115</c:v>
                </c:pt>
                <c:pt idx="68">
                  <c:v>1.4873761172556899</c:v>
                </c:pt>
                <c:pt idx="69">
                  <c:v>-0.26554917208080342</c:v>
                </c:pt>
                <c:pt idx="70">
                  <c:v>-0.1755150265763783</c:v>
                </c:pt>
                <c:pt idx="71">
                  <c:v>0.76670186427534315</c:v>
                </c:pt>
                <c:pt idx="72">
                  <c:v>7.9486568052011819E-3</c:v>
                </c:pt>
                <c:pt idx="73">
                  <c:v>0.42912342840040196</c:v>
                </c:pt>
                <c:pt idx="74">
                  <c:v>1.1484211906604758</c:v>
                </c:pt>
                <c:pt idx="75">
                  <c:v>0.2655871552644129</c:v>
                </c:pt>
                <c:pt idx="76">
                  <c:v>0.67011560827243688</c:v>
                </c:pt>
                <c:pt idx="77">
                  <c:v>0.91885297215856809</c:v>
                </c:pt>
                <c:pt idx="78">
                  <c:v>0.47786401654674737</c:v>
                </c:pt>
                <c:pt idx="79">
                  <c:v>1.3874197516680065</c:v>
                </c:pt>
                <c:pt idx="80">
                  <c:v>0.7597644037171003</c:v>
                </c:pt>
                <c:pt idx="81">
                  <c:v>0.5838692380437438</c:v>
                </c:pt>
                <c:pt idx="82">
                  <c:v>0.72495094216460387</c:v>
                </c:pt>
                <c:pt idx="83">
                  <c:v>1.7867595640707057</c:v>
                </c:pt>
                <c:pt idx="84">
                  <c:v>0.59476418132198283</c:v>
                </c:pt>
                <c:pt idx="85">
                  <c:v>0.64177341295750256</c:v>
                </c:pt>
                <c:pt idx="86">
                  <c:v>0.21976278104853808</c:v>
                </c:pt>
                <c:pt idx="87">
                  <c:v>0.4858763543564848</c:v>
                </c:pt>
                <c:pt idx="88">
                  <c:v>0.91499039134339544</c:v>
                </c:pt>
                <c:pt idx="89">
                  <c:v>0.84005640430420137</c:v>
                </c:pt>
                <c:pt idx="90">
                  <c:v>1.2140899698802832</c:v>
                </c:pt>
                <c:pt idx="91">
                  <c:v>7.3810944688901259E-2</c:v>
                </c:pt>
                <c:pt idx="92">
                  <c:v>0.86823099301969187</c:v>
                </c:pt>
                <c:pt idx="93">
                  <c:v>0.31488978405880275</c:v>
                </c:pt>
                <c:pt idx="94" formatCode="0.0">
                  <c:v>-4.8709418819823949E-2</c:v>
                </c:pt>
                <c:pt idx="95" formatCode="0.0">
                  <c:v>8.2689695087010268E-2</c:v>
                </c:pt>
                <c:pt idx="96" formatCode="0.0">
                  <c:v>0.73444292775006503</c:v>
                </c:pt>
                <c:pt idx="97" formatCode="0.0">
                  <c:v>0.44394850613538561</c:v>
                </c:pt>
                <c:pt idx="98" formatCode="0.0">
                  <c:v>0.36451025718467456</c:v>
                </c:pt>
                <c:pt idx="99" formatCode="0.0">
                  <c:v>0.40373338472212578</c:v>
                </c:pt>
                <c:pt idx="100" formatCode="0.0">
                  <c:v>0.59011308191282286</c:v>
                </c:pt>
                <c:pt idx="101" formatCode="0.0">
                  <c:v>0.59552414415939792</c:v>
                </c:pt>
                <c:pt idx="102" formatCode="0.0">
                  <c:v>0.4394857620603585</c:v>
                </c:pt>
                <c:pt idx="103" formatCode="0.0">
                  <c:v>0.32699956414378489</c:v>
                </c:pt>
              </c:numCache>
            </c:numRef>
          </c:val>
          <c:extLst>
            <c:ext xmlns:c16="http://schemas.microsoft.com/office/drawing/2014/chart" uri="{C3380CC4-5D6E-409C-BE32-E72D297353CC}">
              <c16:uniqueId val="{00000000-F32F-4997-9457-448E3FA67DA4}"/>
            </c:ext>
          </c:extLst>
        </c:ser>
        <c:dLbls>
          <c:showLegendKey val="0"/>
          <c:showVal val="0"/>
          <c:showCatName val="0"/>
          <c:showSerName val="0"/>
          <c:showPercent val="0"/>
          <c:showBubbleSize val="0"/>
        </c:dLbls>
        <c:gapWidth val="10"/>
        <c:overlap val="50"/>
        <c:axId val="285538176"/>
        <c:axId val="285539712"/>
      </c:barChart>
      <c:catAx>
        <c:axId val="285538176"/>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fr-FR"/>
          </a:p>
        </c:txPr>
        <c:crossAx val="285539712"/>
        <c:crosses val="autoZero"/>
        <c:auto val="1"/>
        <c:lblAlgn val="ctr"/>
        <c:lblOffset val="100"/>
        <c:tickLblSkip val="4"/>
        <c:tickMarkSkip val="4"/>
        <c:noMultiLvlLbl val="0"/>
      </c:catAx>
      <c:valAx>
        <c:axId val="285539712"/>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fr-FR"/>
          </a:p>
        </c:txPr>
        <c:crossAx val="285538176"/>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GB"/>
              <a:t>Domestic demand (Incl. inventories, YoY)</a:t>
            </a:r>
          </a:p>
        </c:rich>
      </c:tx>
      <c:layout>
        <c:manualLayout>
          <c:xMode val="edge"/>
          <c:yMode val="edge"/>
          <c:x val="0.3716517857142857"/>
          <c:y val="3.5947712418300651E-2"/>
        </c:manualLayout>
      </c:layout>
      <c:overlay val="0"/>
      <c:spPr>
        <a:noFill/>
        <a:ln w="25400">
          <a:noFill/>
        </a:ln>
      </c:spPr>
    </c:title>
    <c:autoTitleDeleted val="0"/>
    <c:plotArea>
      <c:layout>
        <c:manualLayout>
          <c:layoutTarget val="inner"/>
          <c:xMode val="edge"/>
          <c:yMode val="edge"/>
          <c:x val="5.3571428571428568E-2"/>
          <c:y val="0.19281107284988017"/>
          <c:w val="0.9308035714285714"/>
          <c:h val="0.69608065283092335"/>
        </c:manualLayout>
      </c:layout>
      <c:barChart>
        <c:barDir val="col"/>
        <c:grouping val="stacked"/>
        <c:varyColors val="0"/>
        <c:ser>
          <c:idx val="0"/>
          <c:order val="0"/>
          <c:tx>
            <c:strRef>
              <c:f>'Q1'!$F$149</c:f>
              <c:strCache>
                <c:ptCount val="1"/>
                <c:pt idx="0">
                  <c:v>QDDI</c:v>
                </c:pt>
              </c:strCache>
            </c:strRef>
          </c:tx>
          <c:spPr>
            <a:solidFill>
              <a:srgbClr val="FF8080"/>
            </a:solidFill>
            <a:ln w="12700">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3">
                  <c:v>1</c:v>
                </c:pt>
                <c:pt idx="96">
                  <c:v>2019</c:v>
                </c:pt>
                <c:pt idx="100">
                  <c:v>2020</c:v>
                </c:pt>
              </c:numCache>
            </c:numRef>
          </c:cat>
          <c:val>
            <c:numRef>
              <c:f>'Q1'!$G$154:$DJ$154</c:f>
              <c:numCache>
                <c:formatCode>0</c:formatCode>
                <c:ptCount val="108"/>
                <c:pt idx="4" formatCode="0.00">
                  <c:v>1.9742155340513268</c:v>
                </c:pt>
                <c:pt idx="5" formatCode="0.00">
                  <c:v>1.6292623125492289</c:v>
                </c:pt>
                <c:pt idx="6" formatCode="0.00">
                  <c:v>2.3981128268755647</c:v>
                </c:pt>
                <c:pt idx="7" formatCode="0.00">
                  <c:v>2.0516375065902759</c:v>
                </c:pt>
                <c:pt idx="8" formatCode="0.00">
                  <c:v>1.2872313177813899</c:v>
                </c:pt>
                <c:pt idx="9" formatCode="0.00">
                  <c:v>2.7264519505609597</c:v>
                </c:pt>
                <c:pt idx="10" formatCode="0.00">
                  <c:v>1.3085901833199687</c:v>
                </c:pt>
                <c:pt idx="11" formatCode="0.00">
                  <c:v>1.8370503539530958</c:v>
                </c:pt>
                <c:pt idx="12" formatCode="0.00">
                  <c:v>3.8399670199741776</c:v>
                </c:pt>
                <c:pt idx="13" formatCode="0.00">
                  <c:v>3.450956853537801</c:v>
                </c:pt>
                <c:pt idx="14" formatCode="0.00">
                  <c:v>4.8973968333313245</c:v>
                </c:pt>
                <c:pt idx="15" formatCode="0.00">
                  <c:v>5.0186632781565876</c:v>
                </c:pt>
                <c:pt idx="16" formatCode="0.00">
                  <c:v>4.660840715904313</c:v>
                </c:pt>
                <c:pt idx="17" formatCode="0.00">
                  <c:v>3.4134798558464574</c:v>
                </c:pt>
                <c:pt idx="18" formatCode="0.00">
                  <c:v>3.5630354100189887</c:v>
                </c:pt>
                <c:pt idx="19" formatCode="0.00">
                  <c:v>3.5917348752182887</c:v>
                </c:pt>
                <c:pt idx="20" formatCode="0.00">
                  <c:v>3.1551691543012073</c:v>
                </c:pt>
                <c:pt idx="21" formatCode="0.00">
                  <c:v>5.2208922052285889</c:v>
                </c:pt>
                <c:pt idx="22" formatCode="0.00">
                  <c:v>4.3448160079380127</c:v>
                </c:pt>
                <c:pt idx="23" formatCode="0.00">
                  <c:v>3.1827815504864132</c:v>
                </c:pt>
                <c:pt idx="24" formatCode="0.00">
                  <c:v>2.3564717609067865</c:v>
                </c:pt>
                <c:pt idx="25" formatCode="0.00">
                  <c:v>0.79764905275354625</c:v>
                </c:pt>
                <c:pt idx="26" formatCode="0.00">
                  <c:v>0.250042784906368</c:v>
                </c:pt>
                <c:pt idx="27" formatCode="0.00">
                  <c:v>1.0993552008857321</c:v>
                </c:pt>
                <c:pt idx="28" formatCode="0.00">
                  <c:v>0.41756807264250462</c:v>
                </c:pt>
                <c:pt idx="29" formatCode="0.00">
                  <c:v>1.8044244124493014</c:v>
                </c:pt>
                <c:pt idx="30" formatCode="0.00">
                  <c:v>1.3375331169820148</c:v>
                </c:pt>
                <c:pt idx="31" formatCode="0.00">
                  <c:v>1.6933404055802015</c:v>
                </c:pt>
                <c:pt idx="32" formatCode="0.00">
                  <c:v>3.3377416131994408</c:v>
                </c:pt>
                <c:pt idx="33" formatCode="0.00">
                  <c:v>1.0583682397629079</c:v>
                </c:pt>
                <c:pt idx="34" formatCode="0.00">
                  <c:v>2.1706427243860738</c:v>
                </c:pt>
                <c:pt idx="35" formatCode="0.00">
                  <c:v>1.5424713640141308</c:v>
                </c:pt>
                <c:pt idx="36" formatCode="0.00">
                  <c:v>1.5470669827527539</c:v>
                </c:pt>
                <c:pt idx="37" formatCode="0.00">
                  <c:v>2.2767778205016631</c:v>
                </c:pt>
                <c:pt idx="38" formatCode="0.00">
                  <c:v>2.260476869170458</c:v>
                </c:pt>
                <c:pt idx="39" formatCode="0.00">
                  <c:v>2.5703074745737631</c:v>
                </c:pt>
                <c:pt idx="40" formatCode="0.00">
                  <c:v>2.3910621996192649</c:v>
                </c:pt>
                <c:pt idx="41" formatCode="0.00">
                  <c:v>2.9536641923135099</c:v>
                </c:pt>
                <c:pt idx="42" formatCode="0.00">
                  <c:v>3.1601556456627655</c:v>
                </c:pt>
                <c:pt idx="43" formatCode="0.00">
                  <c:v>2.1328666472588464</c:v>
                </c:pt>
                <c:pt idx="44" formatCode="0.00">
                  <c:v>3.3003608541446461</c:v>
                </c:pt>
                <c:pt idx="45" formatCode="0.00">
                  <c:v>4.3957072066056702</c:v>
                </c:pt>
                <c:pt idx="46" formatCode="0.00">
                  <c:v>3.7877433091908053</c:v>
                </c:pt>
                <c:pt idx="47" formatCode="0.00">
                  <c:v>5.2289792436195581</c:v>
                </c:pt>
                <c:pt idx="48" formatCode="0.00">
                  <c:v>4.6619005994005924</c:v>
                </c:pt>
                <c:pt idx="49" formatCode="0.00">
                  <c:v>3.7267055371552171</c:v>
                </c:pt>
                <c:pt idx="50" formatCode="0.00">
                  <c:v>3.9246645822413884</c:v>
                </c:pt>
                <c:pt idx="51" formatCode="0.00">
                  <c:v>4.225452129274565</c:v>
                </c:pt>
                <c:pt idx="52" formatCode="0.00">
                  <c:v>2.6976890089971839</c:v>
                </c:pt>
                <c:pt idx="53" formatCode="0.00">
                  <c:v>1.3409169005916599</c:v>
                </c:pt>
                <c:pt idx="54" formatCode="0.00">
                  <c:v>-4.6575042204066719E-2</c:v>
                </c:pt>
                <c:pt idx="55" formatCode="0.00">
                  <c:v>-2.2148477158277169</c:v>
                </c:pt>
                <c:pt idx="56" formatCode="0.00">
                  <c:v>-3.5005863395589754</c:v>
                </c:pt>
                <c:pt idx="57" formatCode="0.00">
                  <c:v>-3.2213379955922328</c:v>
                </c:pt>
                <c:pt idx="58" formatCode="0.00">
                  <c:v>-2.6034525351892879</c:v>
                </c:pt>
                <c:pt idx="59" formatCode="0.00">
                  <c:v>-1.2957781710496108</c:v>
                </c:pt>
                <c:pt idx="60" formatCode="0.00">
                  <c:v>1.4353754361745574</c:v>
                </c:pt>
                <c:pt idx="61" formatCode="0.00">
                  <c:v>2.7465686244983134</c:v>
                </c:pt>
                <c:pt idx="62" formatCode="0.00">
                  <c:v>4.6218645066514297</c:v>
                </c:pt>
                <c:pt idx="63" formatCode="0.00">
                  <c:v>4.8713501696922679</c:v>
                </c:pt>
                <c:pt idx="64" formatCode="0.00">
                  <c:v>3.638910741368373</c:v>
                </c:pt>
                <c:pt idx="65" formatCode="0.00">
                  <c:v>4.3208428267574872</c:v>
                </c:pt>
                <c:pt idx="66" formatCode="0.00">
                  <c:v>2.1106372422238229</c:v>
                </c:pt>
                <c:pt idx="67" formatCode="0.00">
                  <c:v>0.2199049999934477</c:v>
                </c:pt>
                <c:pt idx="68" formatCode="0.00">
                  <c:v>2.0257426824487945</c:v>
                </c:pt>
                <c:pt idx="69" formatCode="0.00">
                  <c:v>-0.13707255268476937</c:v>
                </c:pt>
                <c:pt idx="70" formatCode="0.00">
                  <c:v>3.2072168723562555E-2</c:v>
                </c:pt>
                <c:pt idx="71" formatCode="0.00">
                  <c:v>1.8149019321187065</c:v>
                </c:pt>
                <c:pt idx="72" formatCode="0.00">
                  <c:v>0.3306999794796095</c:v>
                </c:pt>
                <c:pt idx="73" formatCode="0.00">
                  <c:v>1.0295255877250442</c:v>
                </c:pt>
                <c:pt idx="74" formatCode="0.00">
                  <c:v>2.369443824933648</c:v>
                </c:pt>
                <c:pt idx="75" formatCode="0.00">
                  <c:v>1.8603586499218006</c:v>
                </c:pt>
                <c:pt idx="76" formatCode="0.00">
                  <c:v>2.534790673260634</c:v>
                </c:pt>
                <c:pt idx="77" formatCode="0.00">
                  <c:v>3.0347882291643646</c:v>
                </c:pt>
                <c:pt idx="78" formatCode="0.00">
                  <c:v>2.3517255019654737</c:v>
                </c:pt>
                <c:pt idx="79" formatCode="0.00">
                  <c:v>3.4968990876788952</c:v>
                </c:pt>
                <c:pt idx="80" formatCode="0.00">
                  <c:v>3.5890651915857719</c:v>
                </c:pt>
                <c:pt idx="81" formatCode="0.00">
                  <c:v>3.2452181218919351</c:v>
                </c:pt>
                <c:pt idx="82" formatCode="0.00">
                  <c:v>3.4991102978470634</c:v>
                </c:pt>
                <c:pt idx="83" formatCode="0.00">
                  <c:v>3.9067675337390639</c:v>
                </c:pt>
                <c:pt idx="84" formatCode="0.00">
                  <c:v>3.7366139029432421</c:v>
                </c:pt>
                <c:pt idx="85" formatCode="0.00">
                  <c:v>3.7963330515691673</c:v>
                </c:pt>
                <c:pt idx="86" formatCode="0.00">
                  <c:v>3.2757403073242708</c:v>
                </c:pt>
                <c:pt idx="87" formatCode="0.00">
                  <c:v>1.9558272153662237</c:v>
                </c:pt>
                <c:pt idx="88" formatCode="0.00">
                  <c:v>2.2803861365435107</c:v>
                </c:pt>
                <c:pt idx="89" formatCode="0.00">
                  <c:v>2.4818974993852105</c:v>
                </c:pt>
                <c:pt idx="90" formatCode="0.00">
                  <c:v>3.4986683858752254</c:v>
                </c:pt>
                <c:pt idx="91" formatCode="0.00">
                  <c:v>3.0742483306818169</c:v>
                </c:pt>
                <c:pt idx="92" formatCode="0.00">
                  <c:v>3.0264884308302653</c:v>
                </c:pt>
                <c:pt idx="93" formatCode="0.00">
                  <c:v>2.489935054580239</c:v>
                </c:pt>
                <c:pt idx="94" formatCode="0.00">
                  <c:v>1.2112175620517807</c:v>
                </c:pt>
                <c:pt idx="95" formatCode="0.00">
                  <c:v>1.220197225459585</c:v>
                </c:pt>
                <c:pt idx="96" formatCode="0.00">
                  <c:v>1.0859423245885402</c:v>
                </c:pt>
                <c:pt idx="97" formatCode="0.00">
                  <c:v>1.2159930335551072</c:v>
                </c:pt>
                <c:pt idx="98" formatCode="0.00">
                  <c:v>1.6344412557301569</c:v>
                </c:pt>
                <c:pt idx="99" formatCode="0.00">
                  <c:v>1.960462629797477</c:v>
                </c:pt>
                <c:pt idx="100" formatCode="0.00">
                  <c:v>1.8143761729198626</c:v>
                </c:pt>
                <c:pt idx="101" formatCode="0.00">
                  <c:v>1.9680198643313718</c:v>
                </c:pt>
                <c:pt idx="102" formatCode="0.00">
                  <c:v>2.0441932422606168</c:v>
                </c:pt>
                <c:pt idx="103" formatCode="0.00">
                  <c:v>1.9662056958682061</c:v>
                </c:pt>
              </c:numCache>
            </c:numRef>
          </c:val>
          <c:extLst>
            <c:ext xmlns:c16="http://schemas.microsoft.com/office/drawing/2014/chart" uri="{C3380CC4-5D6E-409C-BE32-E72D297353CC}">
              <c16:uniqueId val="{00000000-7417-440B-8363-C939732E3B8D}"/>
            </c:ext>
          </c:extLst>
        </c:ser>
        <c:dLbls>
          <c:showLegendKey val="0"/>
          <c:showVal val="0"/>
          <c:showCatName val="0"/>
          <c:showSerName val="0"/>
          <c:showPercent val="0"/>
          <c:showBubbleSize val="0"/>
        </c:dLbls>
        <c:gapWidth val="10"/>
        <c:overlap val="100"/>
        <c:axId val="285559808"/>
        <c:axId val="285561600"/>
      </c:barChart>
      <c:catAx>
        <c:axId val="285559808"/>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fr-FR"/>
          </a:p>
        </c:txPr>
        <c:crossAx val="285561600"/>
        <c:crosses val="autoZero"/>
        <c:auto val="1"/>
        <c:lblAlgn val="ctr"/>
        <c:lblOffset val="100"/>
        <c:tickLblSkip val="4"/>
        <c:tickMarkSkip val="4"/>
        <c:noMultiLvlLbl val="0"/>
      </c:catAx>
      <c:valAx>
        <c:axId val="285561600"/>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fr-FR"/>
          </a:p>
        </c:txPr>
        <c:crossAx val="285559808"/>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GB"/>
              <a:t>Exports (QoQ)</a:t>
            </a:r>
          </a:p>
        </c:rich>
      </c:tx>
      <c:layout>
        <c:manualLayout>
          <c:xMode val="edge"/>
          <c:yMode val="edge"/>
          <c:x val="0.45535714285714285"/>
          <c:y val="3.5947712418300651E-2"/>
        </c:manualLayout>
      </c:layout>
      <c:overlay val="0"/>
      <c:spPr>
        <a:noFill/>
        <a:ln w="25400">
          <a:noFill/>
        </a:ln>
      </c:spPr>
    </c:title>
    <c:autoTitleDeleted val="0"/>
    <c:plotArea>
      <c:layout>
        <c:manualLayout>
          <c:layoutTarget val="inner"/>
          <c:xMode val="edge"/>
          <c:yMode val="edge"/>
          <c:x val="5.3571428571428568E-2"/>
          <c:y val="0.19281107284988017"/>
          <c:w val="0.9308035714285714"/>
          <c:h val="0.69608065283092335"/>
        </c:manualLayout>
      </c:layout>
      <c:barChart>
        <c:barDir val="col"/>
        <c:grouping val="stacked"/>
        <c:varyColors val="0"/>
        <c:ser>
          <c:idx val="0"/>
          <c:order val="0"/>
          <c:spPr>
            <a:solidFill>
              <a:srgbClr val="9999FF"/>
            </a:solidFill>
            <a:ln w="12700">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3">
                  <c:v>1</c:v>
                </c:pt>
                <c:pt idx="96">
                  <c:v>2019</c:v>
                </c:pt>
                <c:pt idx="100">
                  <c:v>2020</c:v>
                </c:pt>
              </c:numCache>
            </c:numRef>
          </c:cat>
          <c:val>
            <c:numRef>
              <c:f>'Q1'!#REF!</c:f>
              <c:numCache>
                <c:formatCode>General</c:formatCode>
                <c:ptCount val="80"/>
                <c:pt idx="1">
                  <c:v>-0.42471221685852489</c:v>
                </c:pt>
                <c:pt idx="2">
                  <c:v>-1.0488288078312591</c:v>
                </c:pt>
                <c:pt idx="3">
                  <c:v>1.102343657990823</c:v>
                </c:pt>
                <c:pt idx="4">
                  <c:v>0.21433730167974563</c:v>
                </c:pt>
                <c:pt idx="5">
                  <c:v>2.1527374171800506</c:v>
                </c:pt>
                <c:pt idx="6">
                  <c:v>1.0172731617395847</c:v>
                </c:pt>
                <c:pt idx="7">
                  <c:v>1.2728665405064454</c:v>
                </c:pt>
                <c:pt idx="8">
                  <c:v>1.3480746557515522</c:v>
                </c:pt>
                <c:pt idx="9">
                  <c:v>0.94602603217806003</c:v>
                </c:pt>
                <c:pt idx="10">
                  <c:v>3.6464448793215976</c:v>
                </c:pt>
                <c:pt idx="11">
                  <c:v>-2.0978874273658299E-3</c:v>
                </c:pt>
                <c:pt idx="12">
                  <c:v>1.8839424327613097</c:v>
                </c:pt>
                <c:pt idx="13">
                  <c:v>2.7571863932130736</c:v>
                </c:pt>
                <c:pt idx="14">
                  <c:v>-0.24647816764522545</c:v>
                </c:pt>
                <c:pt idx="15">
                  <c:v>-0.27721976697469008</c:v>
                </c:pt>
                <c:pt idx="16">
                  <c:v>1.5027597598807452</c:v>
                </c:pt>
                <c:pt idx="17">
                  <c:v>1.4507422402159298</c:v>
                </c:pt>
                <c:pt idx="18">
                  <c:v>3.1045208239597777</c:v>
                </c:pt>
                <c:pt idx="19">
                  <c:v>2.4247713732781895</c:v>
                </c:pt>
                <c:pt idx="20">
                  <c:v>2.5100029638411403</c:v>
                </c:pt>
                <c:pt idx="21">
                  <c:v>0.78064294620430186</c:v>
                </c:pt>
                <c:pt idx="22">
                  <c:v>1.5832601172652394</c:v>
                </c:pt>
                <c:pt idx="23">
                  <c:v>3.1683552794153913</c:v>
                </c:pt>
                <c:pt idx="24">
                  <c:v>-0.17280021899434006</c:v>
                </c:pt>
                <c:pt idx="25">
                  <c:v>-2.7010351683005474</c:v>
                </c:pt>
                <c:pt idx="26">
                  <c:v>0.79968998802226743</c:v>
                </c:pt>
                <c:pt idx="27">
                  <c:v>-2.2821794289308972</c:v>
                </c:pt>
                <c:pt idx="28">
                  <c:v>0.6920600858369097</c:v>
                </c:pt>
                <c:pt idx="29">
                  <c:v>2.0228390786225514</c:v>
                </c:pt>
                <c:pt idx="30">
                  <c:v>1.4047975490025344</c:v>
                </c:pt>
                <c:pt idx="31">
                  <c:v>-0.35877980533192133</c:v>
                </c:pt>
                <c:pt idx="32">
                  <c:v>0.25325615050653116</c:v>
                </c:pt>
                <c:pt idx="33">
                  <c:v>2.3852485779587873</c:v>
                </c:pt>
                <c:pt idx="34">
                  <c:v>-1.4736736098289627</c:v>
                </c:pt>
                <c:pt idx="35">
                  <c:v>2.5468049948041749</c:v>
                </c:pt>
                <c:pt idx="36">
                  <c:v>1.6413050701043153</c:v>
                </c:pt>
                <c:pt idx="37">
                  <c:v>1.8648666317991669</c:v>
                </c:pt>
                <c:pt idx="38">
                  <c:v>2.1243481748896897</c:v>
                </c:pt>
                <c:pt idx="39">
                  <c:v>1.2254709421986254</c:v>
                </c:pt>
                <c:pt idx="40">
                  <c:v>0.47028512005462542</c:v>
                </c:pt>
                <c:pt idx="41">
                  <c:v>1.208057838472465</c:v>
                </c:pt>
                <c:pt idx="42">
                  <c:v>0.29764630460666908</c:v>
                </c:pt>
                <c:pt idx="43">
                  <c:v>0.51743292395258766</c:v>
                </c:pt>
                <c:pt idx="44">
                  <c:v>-0.24678647670670628</c:v>
                </c:pt>
                <c:pt idx="45">
                  <c:v>2.3965637616489177</c:v>
                </c:pt>
                <c:pt idx="46">
                  <c:v>0.53805677017713105</c:v>
                </c:pt>
                <c:pt idx="47">
                  <c:v>-0.42460340862180423</c:v>
                </c:pt>
                <c:pt idx="48">
                  <c:v>1.0586319218240936</c:v>
                </c:pt>
                <c:pt idx="49">
                  <c:v>1.8064610651234325</c:v>
                </c:pt>
                <c:pt idx="50">
                  <c:v>1.8305318903983459</c:v>
                </c:pt>
                <c:pt idx="51">
                  <c:v>-0.58648954211419912</c:v>
                </c:pt>
                <c:pt idx="52">
                  <c:v>1.6021039164119566</c:v>
                </c:pt>
                <c:pt idx="53">
                  <c:v>-1.2074658607566624</c:v>
                </c:pt>
                <c:pt idx="54">
                  <c:v>1.25</c:v>
                </c:pt>
                <c:pt idx="55">
                  <c:v>1.23</c:v>
                </c:pt>
                <c:pt idx="56">
                  <c:v>1.33</c:v>
                </c:pt>
                <c:pt idx="57">
                  <c:v>1.33</c:v>
                </c:pt>
                <c:pt idx="58">
                  <c:v>1.3</c:v>
                </c:pt>
                <c:pt idx="59">
                  <c:v>1.23</c:v>
                </c:pt>
                <c:pt idx="60">
                  <c:v>1.33</c:v>
                </c:pt>
                <c:pt idx="61">
                  <c:v>1.33</c:v>
                </c:pt>
                <c:pt idx="62">
                  <c:v>1.3</c:v>
                </c:pt>
                <c:pt idx="63">
                  <c:v>1.23</c:v>
                </c:pt>
                <c:pt idx="64">
                  <c:v>1.33</c:v>
                </c:pt>
                <c:pt idx="65">
                  <c:v>1.33</c:v>
                </c:pt>
                <c:pt idx="66">
                  <c:v>1.3</c:v>
                </c:pt>
                <c:pt idx="67">
                  <c:v>1.23</c:v>
                </c:pt>
              </c:numCache>
            </c:numRef>
          </c:val>
          <c:extLst>
            <c:ext xmlns:c15="http://schemas.microsoft.com/office/drawing/2012/chart" uri="{02D57815-91ED-43cb-92C2-25804820EDAC}">
              <c15:filteredSeriesTitle>
                <c15:tx>
                  <c:strRef>
                    <c:extLst>
                      <c:ext uri="{02D57815-91ED-43cb-92C2-25804820EDAC}">
                        <c15:formulaRef>
                          <c15:sqref>'Q1'!#REF!</c15:sqref>
                        </c15:formulaRef>
                      </c:ext>
                    </c:extLst>
                    <c:strCache>
                      <c:ptCount val="1"/>
                      <c:pt idx="0">
                        <c:v>QXFob</c:v>
                      </c:pt>
                    </c:strCache>
                  </c:strRef>
                </c15:tx>
              </c15:filteredSeriesTitle>
            </c:ext>
            <c:ext xmlns:c16="http://schemas.microsoft.com/office/drawing/2014/chart" uri="{C3380CC4-5D6E-409C-BE32-E72D297353CC}">
              <c16:uniqueId val="{00000000-991B-4B22-AEC9-6469E0349352}"/>
            </c:ext>
          </c:extLst>
        </c:ser>
        <c:dLbls>
          <c:showLegendKey val="0"/>
          <c:showVal val="0"/>
          <c:showCatName val="0"/>
          <c:showSerName val="0"/>
          <c:showPercent val="0"/>
          <c:showBubbleSize val="0"/>
        </c:dLbls>
        <c:gapWidth val="10"/>
        <c:overlap val="100"/>
        <c:axId val="285598080"/>
        <c:axId val="285599616"/>
      </c:barChart>
      <c:catAx>
        <c:axId val="285598080"/>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fr-FR"/>
          </a:p>
        </c:txPr>
        <c:crossAx val="285599616"/>
        <c:crosses val="autoZero"/>
        <c:auto val="1"/>
        <c:lblAlgn val="ctr"/>
        <c:lblOffset val="100"/>
        <c:tickLblSkip val="4"/>
        <c:tickMarkSkip val="4"/>
        <c:noMultiLvlLbl val="0"/>
      </c:catAx>
      <c:valAx>
        <c:axId val="285599616"/>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fr-FR"/>
          </a:p>
        </c:txPr>
        <c:crossAx val="285598080"/>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GB"/>
              <a:t>Exports (YoY)</a:t>
            </a:r>
          </a:p>
        </c:rich>
      </c:tx>
      <c:layout>
        <c:manualLayout>
          <c:xMode val="edge"/>
          <c:yMode val="edge"/>
          <c:x val="0.4564732142857143"/>
          <c:y val="3.6065573770491806E-2"/>
        </c:manualLayout>
      </c:layout>
      <c:overlay val="0"/>
      <c:spPr>
        <a:noFill/>
        <a:ln w="25400">
          <a:noFill/>
        </a:ln>
      </c:spPr>
    </c:title>
    <c:autoTitleDeleted val="0"/>
    <c:plotArea>
      <c:layout>
        <c:manualLayout>
          <c:layoutTarget val="inner"/>
          <c:xMode val="edge"/>
          <c:yMode val="edge"/>
          <c:x val="6.1383928571428568E-2"/>
          <c:y val="0.19672131147540983"/>
          <c:w val="0.9229910714285714"/>
          <c:h val="0.69180327868852454"/>
        </c:manualLayout>
      </c:layout>
      <c:barChart>
        <c:barDir val="col"/>
        <c:grouping val="stacked"/>
        <c:varyColors val="0"/>
        <c:ser>
          <c:idx val="0"/>
          <c:order val="0"/>
          <c:spPr>
            <a:solidFill>
              <a:srgbClr val="FFCC99"/>
            </a:solidFill>
            <a:ln w="12700">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3">
                  <c:v>1</c:v>
                </c:pt>
                <c:pt idx="96">
                  <c:v>2019</c:v>
                </c:pt>
                <c:pt idx="100">
                  <c:v>2020</c:v>
                </c:pt>
              </c:numCache>
            </c:numRef>
          </c:cat>
          <c:val>
            <c:numRef>
              <c:f>'Q1'!$G$189:$CH$189</c:f>
              <c:numCache>
                <c:formatCode>0</c:formatCode>
                <c:ptCount val="80"/>
                <c:pt idx="4" formatCode="0.00">
                  <c:v>1.6986217010828586</c:v>
                </c:pt>
                <c:pt idx="5" formatCode="0.00">
                  <c:v>3.7342434123998514</c:v>
                </c:pt>
                <c:pt idx="6" formatCode="0.00">
                  <c:v>4.02849732589321</c:v>
                </c:pt>
                <c:pt idx="7" formatCode="0.00">
                  <c:v>7.0305557454371614</c:v>
                </c:pt>
                <c:pt idx="8" formatCode="0.00">
                  <c:v>11.280607420949117</c:v>
                </c:pt>
                <c:pt idx="9" formatCode="0.00">
                  <c:v>13.472913950833521</c:v>
                </c:pt>
                <c:pt idx="10" formatCode="0.00">
                  <c:v>16.578977919152994</c:v>
                </c:pt>
                <c:pt idx="11" formatCode="0.00">
                  <c:v>15.591937999729799</c:v>
                </c:pt>
                <c:pt idx="12" formatCode="0.00">
                  <c:v>11.537049380345032</c:v>
                </c:pt>
                <c:pt idx="13" formatCode="0.00">
                  <c:v>6.8536821443345719</c:v>
                </c:pt>
                <c:pt idx="14" formatCode="0.00">
                  <c:v>8.8455769459724998</c:v>
                </c:pt>
                <c:pt idx="15" formatCode="0.00">
                  <c:v>8.0617295231942609</c:v>
                </c:pt>
                <c:pt idx="16" formatCode="0.00">
                  <c:v>6.1525164359430784</c:v>
                </c:pt>
                <c:pt idx="17" formatCode="0.00">
                  <c:v>7.4275539724772299</c:v>
                </c:pt>
                <c:pt idx="18" formatCode="0.00">
                  <c:v>7.9589896563305951</c:v>
                </c:pt>
                <c:pt idx="19" formatCode="0.00">
                  <c:v>5.7175838978967608</c:v>
                </c:pt>
                <c:pt idx="20" formatCode="0.00">
                  <c:v>9.6220469560916566</c:v>
                </c:pt>
                <c:pt idx="21" formatCode="0.00">
                  <c:v>11.818777711727325</c:v>
                </c:pt>
                <c:pt idx="22" formatCode="0.00">
                  <c:v>12.743350699204846</c:v>
                </c:pt>
                <c:pt idx="23" formatCode="0.00">
                  <c:v>13.473437960397284</c:v>
                </c:pt>
                <c:pt idx="24" formatCode="0.00">
                  <c:v>7.2122519500904536</c:v>
                </c:pt>
                <c:pt idx="25" formatCode="0.00">
                  <c:v>0.7651357848307061</c:v>
                </c:pt>
                <c:pt idx="26" formatCode="0.00">
                  <c:v>-1.6364586346954035</c:v>
                </c:pt>
                <c:pt idx="27" formatCode="0.00">
                  <c:v>-2.0918031453931119</c:v>
                </c:pt>
                <c:pt idx="28" formatCode="0.00">
                  <c:v>1.7406294356349772</c:v>
                </c:pt>
                <c:pt idx="29" formatCode="0.00">
                  <c:v>3.9066032558112473</c:v>
                </c:pt>
                <c:pt idx="30" formatCode="0.00">
                  <c:v>-0.34003890137412895</c:v>
                </c:pt>
                <c:pt idx="31" formatCode="0.00">
                  <c:v>-0.10451245325655556</c:v>
                </c:pt>
                <c:pt idx="32" formatCode="0.00">
                  <c:v>1.9160946766023201</c:v>
                </c:pt>
                <c:pt idx="33" formatCode="0.00">
                  <c:v>1.9321224974175433</c:v>
                </c:pt>
                <c:pt idx="34" formatCode="0.00">
                  <c:v>6.618451674421344</c:v>
                </c:pt>
                <c:pt idx="35" formatCode="0.00">
                  <c:v>7.1415019010259595</c:v>
                </c:pt>
                <c:pt idx="36" formatCode="0.00">
                  <c:v>7.8426702883314325</c:v>
                </c:pt>
                <c:pt idx="37" formatCode="0.00">
                  <c:v>12.350699868137504</c:v>
                </c:pt>
                <c:pt idx="38" formatCode="0.00">
                  <c:v>9.9375240925075659</c:v>
                </c:pt>
                <c:pt idx="39" formatCode="0.00">
                  <c:v>9.1366030425203526</c:v>
                </c:pt>
                <c:pt idx="40" formatCode="0.00">
                  <c:v>5.9190992405438569</c:v>
                </c:pt>
                <c:pt idx="41" formatCode="0.00">
                  <c:v>4.0194839372464486</c:v>
                </c:pt>
                <c:pt idx="42" formatCode="0.00">
                  <c:v>8.4977386037608191</c:v>
                </c:pt>
                <c:pt idx="43" formatCode="0.00">
                  <c:v>8.0209289238220229</c:v>
                </c:pt>
                <c:pt idx="44" formatCode="0.00">
                  <c:v>11.572235613996984</c:v>
                </c:pt>
                <c:pt idx="45" formatCode="0.00">
                  <c:v>8.0165286967310845</c:v>
                </c:pt>
                <c:pt idx="46" formatCode="0.00">
                  <c:v>6.9310470034795957</c:v>
                </c:pt>
                <c:pt idx="47" formatCode="0.00">
                  <c:v>10.071147025508665</c:v>
                </c:pt>
                <c:pt idx="48" formatCode="0.00">
                  <c:v>4.3582991531296189</c:v>
                </c:pt>
                <c:pt idx="49" formatCode="0.00">
                  <c:v>6.1519554929025722</c:v>
                </c:pt>
                <c:pt idx="50" formatCode="0.00">
                  <c:v>4.6734733462409972</c:v>
                </c:pt>
                <c:pt idx="51" formatCode="0.00">
                  <c:v>3.7609374434893761</c:v>
                </c:pt>
                <c:pt idx="52" formatCode="0.00">
                  <c:v>7.6754862564812676</c:v>
                </c:pt>
                <c:pt idx="53" formatCode="0.00">
                  <c:v>3.9511825504694675</c:v>
                </c:pt>
                <c:pt idx="54" formatCode="0.00">
                  <c:v>2.110568548228775</c:v>
                </c:pt>
                <c:pt idx="55" formatCode="0.00">
                  <c:v>-6.9266792349271018</c:v>
                </c:pt>
                <c:pt idx="56" formatCode="0.00">
                  <c:v>-16.703150055277515</c:v>
                </c:pt>
                <c:pt idx="57" formatCode="0.00">
                  <c:v>-17.381906884351206</c:v>
                </c:pt>
                <c:pt idx="58" formatCode="0.00">
                  <c:v>-14.653883668148493</c:v>
                </c:pt>
                <c:pt idx="59" formatCode="0.00">
                  <c:v>-8.1279079870213327</c:v>
                </c:pt>
                <c:pt idx="60" formatCode="0.00">
                  <c:v>4.2091577199342867</c:v>
                </c:pt>
                <c:pt idx="61" formatCode="0.00">
                  <c:v>12.559536348426036</c:v>
                </c:pt>
                <c:pt idx="62" formatCode="0.00">
                  <c:v>12.890166772617718</c:v>
                </c:pt>
                <c:pt idx="63" formatCode="0.00">
                  <c:v>15.996507416034067</c:v>
                </c:pt>
                <c:pt idx="64" formatCode="0.00">
                  <c:v>11.867822532347327</c:v>
                </c:pt>
                <c:pt idx="65" formatCode="0.00">
                  <c:v>6.7559132949941203</c:v>
                </c:pt>
                <c:pt idx="66" formatCode="0.00">
                  <c:v>7.2132800746802062</c:v>
                </c:pt>
                <c:pt idx="67" formatCode="0.00">
                  <c:v>-0.28460072963492067</c:v>
                </c:pt>
                <c:pt idx="68" formatCode="0.00">
                  <c:v>2.6976924009910253</c:v>
                </c:pt>
                <c:pt idx="69" formatCode="0.00">
                  <c:v>3.8782216994015961</c:v>
                </c:pt>
                <c:pt idx="70" formatCode="0.00">
                  <c:v>-1.2099646228288741</c:v>
                </c:pt>
                <c:pt idx="71" formatCode="0.00">
                  <c:v>0.901795179273579</c:v>
                </c:pt>
                <c:pt idx="72" formatCode="0.00">
                  <c:v>-2.0036732791783418</c:v>
                </c:pt>
                <c:pt idx="73" formatCode="0.00">
                  <c:v>-1.9459021010533539</c:v>
                </c:pt>
                <c:pt idx="74" formatCode="0.00">
                  <c:v>0.18863333654233205</c:v>
                </c:pt>
                <c:pt idx="75" formatCode="0.00">
                  <c:v>0.64961902786035974</c:v>
                </c:pt>
                <c:pt idx="76" formatCode="0.00">
                  <c:v>4.9227618321208588</c:v>
                </c:pt>
                <c:pt idx="77" formatCode="0.00">
                  <c:v>4.6352317133307341</c:v>
                </c:pt>
                <c:pt idx="78" formatCode="0.00">
                  <c:v>5.019711877050903</c:v>
                </c:pt>
                <c:pt idx="79" formatCode="0.00">
                  <c:v>7.2007393749551785</c:v>
                </c:pt>
              </c:numCache>
            </c:numRef>
          </c:val>
          <c:extLst>
            <c:ext xmlns:c15="http://schemas.microsoft.com/office/drawing/2012/chart" uri="{02D57815-91ED-43cb-92C2-25804820EDAC}">
              <c15:filteredSeriesTitle>
                <c15:tx>
                  <c:strRef>
                    <c:extLst>
                      <c:ext uri="{02D57815-91ED-43cb-92C2-25804820EDAC}">
                        <c15:formulaRef>
                          <c15:sqref>'Q1'!#REF!</c15:sqref>
                        </c15:formulaRef>
                      </c:ext>
                    </c:extLst>
                    <c:strCache>
                      <c:ptCount val="1"/>
                      <c:pt idx="0">
                        <c:v>QXFob</c:v>
                      </c:pt>
                    </c:strCache>
                  </c:strRef>
                </c15:tx>
              </c15:filteredSeriesTitle>
            </c:ext>
            <c:ext xmlns:c16="http://schemas.microsoft.com/office/drawing/2014/chart" uri="{C3380CC4-5D6E-409C-BE32-E72D297353CC}">
              <c16:uniqueId val="{00000000-11AA-4A21-B5D9-60CDE33A2D4C}"/>
            </c:ext>
          </c:extLst>
        </c:ser>
        <c:dLbls>
          <c:showLegendKey val="0"/>
          <c:showVal val="0"/>
          <c:showCatName val="0"/>
          <c:showSerName val="0"/>
          <c:showPercent val="0"/>
          <c:showBubbleSize val="0"/>
        </c:dLbls>
        <c:gapWidth val="10"/>
        <c:overlap val="100"/>
        <c:axId val="285640192"/>
        <c:axId val="285641728"/>
      </c:barChart>
      <c:catAx>
        <c:axId val="285640192"/>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fr-FR"/>
          </a:p>
        </c:txPr>
        <c:crossAx val="285641728"/>
        <c:crosses val="autoZero"/>
        <c:auto val="1"/>
        <c:lblAlgn val="ctr"/>
        <c:lblOffset val="100"/>
        <c:tickLblSkip val="4"/>
        <c:tickMarkSkip val="4"/>
        <c:noMultiLvlLbl val="0"/>
      </c:catAx>
      <c:valAx>
        <c:axId val="285641728"/>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fr-FR"/>
          </a:p>
        </c:txPr>
        <c:crossAx val="285640192"/>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GB"/>
              <a:t>Final demand (QoQ)</a:t>
            </a:r>
          </a:p>
        </c:rich>
      </c:tx>
      <c:layout>
        <c:manualLayout>
          <c:xMode val="edge"/>
          <c:yMode val="edge"/>
          <c:x val="0.43861607142857145"/>
          <c:y val="3.5947712418300651E-2"/>
        </c:manualLayout>
      </c:layout>
      <c:overlay val="0"/>
      <c:spPr>
        <a:noFill/>
        <a:ln w="25400">
          <a:noFill/>
        </a:ln>
      </c:spPr>
    </c:title>
    <c:autoTitleDeleted val="0"/>
    <c:plotArea>
      <c:layout>
        <c:manualLayout>
          <c:layoutTarget val="inner"/>
          <c:xMode val="edge"/>
          <c:yMode val="edge"/>
          <c:x val="5.3571428571428568E-2"/>
          <c:y val="0.19281107284988017"/>
          <c:w val="0.9308035714285714"/>
          <c:h val="0.69608065283092335"/>
        </c:manualLayout>
      </c:layout>
      <c:barChart>
        <c:barDir val="col"/>
        <c:grouping val="stacked"/>
        <c:varyColors val="0"/>
        <c:ser>
          <c:idx val="0"/>
          <c:order val="0"/>
          <c:tx>
            <c:strRef>
              <c:f>'Q1'!$F$206</c:f>
              <c:strCache>
                <c:ptCount val="1"/>
                <c:pt idx="0">
                  <c:v>QFD</c:v>
                </c:pt>
              </c:strCache>
            </c:strRef>
          </c:tx>
          <c:spPr>
            <a:solidFill>
              <a:srgbClr val="CCFFCC"/>
            </a:solidFill>
            <a:ln w="12700">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3">
                  <c:v>1</c:v>
                </c:pt>
                <c:pt idx="96">
                  <c:v>2019</c:v>
                </c:pt>
                <c:pt idx="100">
                  <c:v>2020</c:v>
                </c:pt>
              </c:numCache>
            </c:numRef>
          </c:cat>
          <c:val>
            <c:numRef>
              <c:f>'Q1'!$G$206:$DJ$206</c:f>
              <c:numCache>
                <c:formatCode>0.00</c:formatCode>
                <c:ptCount val="108"/>
                <c:pt idx="1">
                  <c:v>0.86047481829130135</c:v>
                </c:pt>
                <c:pt idx="2">
                  <c:v>-8.6499774701243037E-2</c:v>
                </c:pt>
                <c:pt idx="3">
                  <c:v>1.060156045831584</c:v>
                </c:pt>
                <c:pt idx="4">
                  <c:v>6.4233900700894075E-2</c:v>
                </c:pt>
                <c:pt idx="5">
                  <c:v>1.0997918678663954</c:v>
                </c:pt>
                <c:pt idx="6">
                  <c:v>0.54040196029223608</c:v>
                </c:pt>
                <c:pt idx="7">
                  <c:v>1.5221334929448549</c:v>
                </c:pt>
                <c:pt idx="8">
                  <c:v>0.50991803110582712</c:v>
                </c:pt>
                <c:pt idx="9">
                  <c:v>2.7573104385949732</c:v>
                </c:pt>
                <c:pt idx="10">
                  <c:v>0.15960026962900109</c:v>
                </c:pt>
                <c:pt idx="11">
                  <c:v>1.788348397469619</c:v>
                </c:pt>
                <c:pt idx="12">
                  <c:v>1.0385774955516069</c:v>
                </c:pt>
                <c:pt idx="13">
                  <c:v>1.3196256516200489</c:v>
                </c:pt>
                <c:pt idx="14">
                  <c:v>1.689137689908371</c:v>
                </c:pt>
                <c:pt idx="15">
                  <c:v>1.6884009350061513</c:v>
                </c:pt>
                <c:pt idx="16">
                  <c:v>0.2869750078696276</c:v>
                </c:pt>
                <c:pt idx="17">
                  <c:v>0.79015854563877497</c:v>
                </c:pt>
                <c:pt idx="18">
                  <c:v>1.9414274410313626</c:v>
                </c:pt>
                <c:pt idx="19">
                  <c:v>1.1151220715903909</c:v>
                </c:pt>
                <c:pt idx="20">
                  <c:v>1.0205275709782358</c:v>
                </c:pt>
                <c:pt idx="21">
                  <c:v>2.8462830251127835</c:v>
                </c:pt>
                <c:pt idx="22">
                  <c:v>1.6077033455883294</c:v>
                </c:pt>
                <c:pt idx="23">
                  <c:v>0.52963872749656193</c:v>
                </c:pt>
                <c:pt idx="24">
                  <c:v>-1.2249088455547952</c:v>
                </c:pt>
                <c:pt idx="25">
                  <c:v>-0.10570616406174738</c:v>
                </c:pt>
                <c:pt idx="26">
                  <c:v>0.49167384074104703</c:v>
                </c:pt>
                <c:pt idx="27">
                  <c:v>0.97611019974197522</c:v>
                </c:pt>
                <c:pt idx="28">
                  <c:v>-0.54340768892294777</c:v>
                </c:pt>
                <c:pt idx="29">
                  <c:v>1.4924821733225402</c:v>
                </c:pt>
                <c:pt idx="30">
                  <c:v>-1.0675096265705175</c:v>
                </c:pt>
                <c:pt idx="31">
                  <c:v>1.2941843811224096</c:v>
                </c:pt>
                <c:pt idx="32">
                  <c:v>1.1786658210368728</c:v>
                </c:pt>
                <c:pt idx="33">
                  <c:v>-7.1986141567281781E-2</c:v>
                </c:pt>
                <c:pt idx="34">
                  <c:v>1.0396809066117729</c:v>
                </c:pt>
                <c:pt idx="35">
                  <c:v>1.0166494698037543</c:v>
                </c:pt>
                <c:pt idx="36">
                  <c:v>1.4131760303109919</c:v>
                </c:pt>
                <c:pt idx="37">
                  <c:v>1.752763470841634</c:v>
                </c:pt>
                <c:pt idx="38">
                  <c:v>0.33350784955890056</c:v>
                </c:pt>
                <c:pt idx="39">
                  <c:v>1.0124917208190531</c:v>
                </c:pt>
                <c:pt idx="40">
                  <c:v>0.35705606426734704</c:v>
                </c:pt>
                <c:pt idx="41">
                  <c:v>1.5595814275016329</c:v>
                </c:pt>
                <c:pt idx="42">
                  <c:v>1.8519071705235257</c:v>
                </c:pt>
                <c:pt idx="43">
                  <c:v>0.19908341768346549</c:v>
                </c:pt>
                <c:pt idx="44">
                  <c:v>2.2196950314104402</c:v>
                </c:pt>
                <c:pt idx="45">
                  <c:v>1.2001968918718742</c:v>
                </c:pt>
                <c:pt idx="46">
                  <c:v>1.1302158448741162</c:v>
                </c:pt>
                <c:pt idx="47">
                  <c:v>2.123825609858665</c:v>
                </c:pt>
                <c:pt idx="48">
                  <c:v>4.020479357988993E-2</c:v>
                </c:pt>
                <c:pt idx="49">
                  <c:v>1.1743050096388208</c:v>
                </c:pt>
                <c:pt idx="50">
                  <c:v>0.78544244202025659</c:v>
                </c:pt>
                <c:pt idx="51">
                  <c:v>2.015981037938297</c:v>
                </c:pt>
                <c:pt idx="52">
                  <c:v>0.33358890931858287</c:v>
                </c:pt>
                <c:pt idx="53">
                  <c:v>-0.90949836474916168</c:v>
                </c:pt>
                <c:pt idx="54">
                  <c:v>-0.73261314934244259</c:v>
                </c:pt>
                <c:pt idx="55">
                  <c:v>-2.5487734122864425</c:v>
                </c:pt>
                <c:pt idx="56">
                  <c:v>-4.1086511510100454</c:v>
                </c:pt>
                <c:pt idx="57">
                  <c:v>-0.91064499642656838</c:v>
                </c:pt>
                <c:pt idx="58">
                  <c:v>0.72432297442901472</c:v>
                </c:pt>
                <c:pt idx="59">
                  <c:v>0.7749038994249613</c:v>
                </c:pt>
                <c:pt idx="60">
                  <c:v>1.7169664043134247</c:v>
                </c:pt>
                <c:pt idx="61">
                  <c:v>2.4470258866333916</c:v>
                </c:pt>
                <c:pt idx="62">
                  <c:v>2.0960794194975207</c:v>
                </c:pt>
                <c:pt idx="63">
                  <c:v>1.8617779056969042</c:v>
                </c:pt>
                <c:pt idx="64">
                  <c:v>-0.25119375010008715</c:v>
                </c:pt>
                <c:pt idx="65">
                  <c:v>1.3348123635304798</c:v>
                </c:pt>
                <c:pt idx="66">
                  <c:v>0.80931711244558446</c:v>
                </c:pt>
                <c:pt idx="67">
                  <c:v>-1.8138573845738581</c:v>
                </c:pt>
                <c:pt idx="68">
                  <c:v>1.9443903492830428</c:v>
                </c:pt>
                <c:pt idx="69">
                  <c:v>0.29372719696982852</c:v>
                </c:pt>
                <c:pt idx="70">
                  <c:v>-0.7777758242517252</c:v>
                </c:pt>
                <c:pt idx="71">
                  <c:v>5.9026316799815071E-2</c:v>
                </c:pt>
                <c:pt idx="72">
                  <c:v>-3.2163763811265955E-2</c:v>
                </c:pt>
                <c:pt idx="73">
                  <c:v>0.76810739766830505</c:v>
                </c:pt>
                <c:pt idx="74">
                  <c:v>0.8300193932575084</c:v>
                </c:pt>
                <c:pt idx="75">
                  <c:v>-0.11354959679531484</c:v>
                </c:pt>
                <c:pt idx="76">
                  <c:v>1.8145640385550443</c:v>
                </c:pt>
                <c:pt idx="77">
                  <c:v>1.0032273178117501</c:v>
                </c:pt>
                <c:pt idx="78">
                  <c:v>0.5083192129416243</c:v>
                </c:pt>
                <c:pt idx="79">
                  <c:v>1.3195262389061879</c:v>
                </c:pt>
                <c:pt idx="80">
                  <c:v>0.84365739314873345</c:v>
                </c:pt>
                <c:pt idx="81">
                  <c:v>0.78525294362927767</c:v>
                </c:pt>
                <c:pt idx="82">
                  <c:v>1.4787391196831534</c:v>
                </c:pt>
                <c:pt idx="83">
                  <c:v>1.5891049651467704</c:v>
                </c:pt>
                <c:pt idx="84">
                  <c:v>7.2763969632139158E-2</c:v>
                </c:pt>
                <c:pt idx="85">
                  <c:v>0.13827581706344905</c:v>
                </c:pt>
                <c:pt idx="86">
                  <c:v>0.92139438365705884</c:v>
                </c:pt>
                <c:pt idx="87">
                  <c:v>0.75918694435221923</c:v>
                </c:pt>
                <c:pt idx="88">
                  <c:v>0.36380653858978373</c:v>
                </c:pt>
                <c:pt idx="89">
                  <c:v>1.423549938004931</c:v>
                </c:pt>
                <c:pt idx="90">
                  <c:v>0.77010337258220596</c:v>
                </c:pt>
                <c:pt idx="91">
                  <c:v>0.82741568032811408</c:v>
                </c:pt>
                <c:pt idx="92">
                  <c:v>0.57351117440500587</c:v>
                </c:pt>
                <c:pt idx="93">
                  <c:v>0.34510520182786664</c:v>
                </c:pt>
                <c:pt idx="94" formatCode="0.0">
                  <c:v>0.34002861904447018</c:v>
                </c:pt>
                <c:pt idx="95" formatCode="0.0">
                  <c:v>0.383602319405422</c:v>
                </c:pt>
                <c:pt idx="96" formatCode="0.0">
                  <c:v>0.72591462375418048</c:v>
                </c:pt>
                <c:pt idx="97" formatCode="0.0">
                  <c:v>0.59606580447937196</c:v>
                </c:pt>
                <c:pt idx="98" formatCode="0.0">
                  <c:v>0.46438493964670896</c:v>
                </c:pt>
                <c:pt idx="99" formatCode="0.0">
                  <c:v>0.46901660582402693</c:v>
                </c:pt>
                <c:pt idx="100" formatCode="0.0">
                  <c:v>0.69183576937864744</c:v>
                </c:pt>
                <c:pt idx="101" formatCode="0.0">
                  <c:v>0.66037856076563273</c:v>
                </c:pt>
                <c:pt idx="102" formatCode="0.0">
                  <c:v>0.55229980007213553</c:v>
                </c:pt>
                <c:pt idx="103" formatCode="0.0">
                  <c:v>0.43386941955108188</c:v>
                </c:pt>
              </c:numCache>
            </c:numRef>
          </c:val>
          <c:extLst>
            <c:ext xmlns:c16="http://schemas.microsoft.com/office/drawing/2014/chart" uri="{C3380CC4-5D6E-409C-BE32-E72D297353CC}">
              <c16:uniqueId val="{00000000-5592-454C-A095-E3B64496D89A}"/>
            </c:ext>
          </c:extLst>
        </c:ser>
        <c:dLbls>
          <c:showLegendKey val="0"/>
          <c:showVal val="0"/>
          <c:showCatName val="0"/>
          <c:showSerName val="0"/>
          <c:showPercent val="0"/>
          <c:showBubbleSize val="0"/>
        </c:dLbls>
        <c:gapWidth val="10"/>
        <c:overlap val="100"/>
        <c:axId val="285649536"/>
        <c:axId val="285876608"/>
      </c:barChart>
      <c:catAx>
        <c:axId val="285649536"/>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fr-FR"/>
          </a:p>
        </c:txPr>
        <c:crossAx val="285876608"/>
        <c:crosses val="autoZero"/>
        <c:auto val="1"/>
        <c:lblAlgn val="ctr"/>
        <c:lblOffset val="100"/>
        <c:tickLblSkip val="4"/>
        <c:tickMarkSkip val="4"/>
        <c:noMultiLvlLbl val="0"/>
      </c:catAx>
      <c:valAx>
        <c:axId val="285876608"/>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fr-FR"/>
          </a:p>
        </c:txPr>
        <c:crossAx val="285649536"/>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GB"/>
              <a:t>Final demand (YoY)</a:t>
            </a:r>
          </a:p>
        </c:rich>
      </c:tx>
      <c:layout>
        <c:manualLayout>
          <c:xMode val="edge"/>
          <c:yMode val="edge"/>
          <c:x val="0.43973214285714285"/>
          <c:y val="3.5947712418300651E-2"/>
        </c:manualLayout>
      </c:layout>
      <c:overlay val="0"/>
      <c:spPr>
        <a:noFill/>
        <a:ln w="25400">
          <a:noFill/>
        </a:ln>
      </c:spPr>
    </c:title>
    <c:autoTitleDeleted val="0"/>
    <c:plotArea>
      <c:layout>
        <c:manualLayout>
          <c:layoutTarget val="inner"/>
          <c:xMode val="edge"/>
          <c:yMode val="edge"/>
          <c:x val="6.1383928571428568E-2"/>
          <c:y val="0.19281107284988017"/>
          <c:w val="0.9229910714285714"/>
          <c:h val="0.69608065283092335"/>
        </c:manualLayout>
      </c:layout>
      <c:barChart>
        <c:barDir val="col"/>
        <c:grouping val="stacked"/>
        <c:varyColors val="0"/>
        <c:ser>
          <c:idx val="0"/>
          <c:order val="0"/>
          <c:tx>
            <c:strRef>
              <c:f>'Q1'!$F$206</c:f>
              <c:strCache>
                <c:ptCount val="1"/>
                <c:pt idx="0">
                  <c:v>QFD</c:v>
                </c:pt>
              </c:strCache>
            </c:strRef>
          </c:tx>
          <c:spPr>
            <a:solidFill>
              <a:srgbClr val="FF8080"/>
            </a:solidFill>
            <a:ln w="12700">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3">
                  <c:v>1</c:v>
                </c:pt>
                <c:pt idx="96">
                  <c:v>2019</c:v>
                </c:pt>
                <c:pt idx="100">
                  <c:v>2020</c:v>
                </c:pt>
              </c:numCache>
            </c:numRef>
          </c:cat>
          <c:val>
            <c:numRef>
              <c:f>'Q1'!$G$189:$DJ$189</c:f>
              <c:numCache>
                <c:formatCode>0</c:formatCode>
                <c:ptCount val="108"/>
                <c:pt idx="4" formatCode="0.00">
                  <c:v>1.6986217010828586</c:v>
                </c:pt>
                <c:pt idx="5" formatCode="0.00">
                  <c:v>3.7342434123998514</c:v>
                </c:pt>
                <c:pt idx="6" formatCode="0.00">
                  <c:v>4.02849732589321</c:v>
                </c:pt>
                <c:pt idx="7" formatCode="0.00">
                  <c:v>7.0305557454371614</c:v>
                </c:pt>
                <c:pt idx="8" formatCode="0.00">
                  <c:v>11.280607420949117</c:v>
                </c:pt>
                <c:pt idx="9" formatCode="0.00">
                  <c:v>13.472913950833521</c:v>
                </c:pt>
                <c:pt idx="10" formatCode="0.00">
                  <c:v>16.578977919152994</c:v>
                </c:pt>
                <c:pt idx="11" formatCode="0.00">
                  <c:v>15.591937999729799</c:v>
                </c:pt>
                <c:pt idx="12" formatCode="0.00">
                  <c:v>11.537049380345032</c:v>
                </c:pt>
                <c:pt idx="13" formatCode="0.00">
                  <c:v>6.8536821443345719</c:v>
                </c:pt>
                <c:pt idx="14" formatCode="0.00">
                  <c:v>8.8455769459724998</c:v>
                </c:pt>
                <c:pt idx="15" formatCode="0.00">
                  <c:v>8.0617295231942609</c:v>
                </c:pt>
                <c:pt idx="16" formatCode="0.00">
                  <c:v>6.1525164359430784</c:v>
                </c:pt>
                <c:pt idx="17" formatCode="0.00">
                  <c:v>7.4275539724772299</c:v>
                </c:pt>
                <c:pt idx="18" formatCode="0.00">
                  <c:v>7.9589896563305951</c:v>
                </c:pt>
                <c:pt idx="19" formatCode="0.00">
                  <c:v>5.7175838978967608</c:v>
                </c:pt>
                <c:pt idx="20" formatCode="0.00">
                  <c:v>9.6220469560916566</c:v>
                </c:pt>
                <c:pt idx="21" formatCode="0.00">
                  <c:v>11.818777711727325</c:v>
                </c:pt>
                <c:pt idx="22" formatCode="0.00">
                  <c:v>12.743350699204846</c:v>
                </c:pt>
                <c:pt idx="23" formatCode="0.00">
                  <c:v>13.473437960397284</c:v>
                </c:pt>
                <c:pt idx="24" formatCode="0.00">
                  <c:v>7.2122519500904536</c:v>
                </c:pt>
                <c:pt idx="25" formatCode="0.00">
                  <c:v>0.7651357848307061</c:v>
                </c:pt>
                <c:pt idx="26" formatCode="0.00">
                  <c:v>-1.6364586346954035</c:v>
                </c:pt>
                <c:pt idx="27" formatCode="0.00">
                  <c:v>-2.0918031453931119</c:v>
                </c:pt>
                <c:pt idx="28" formatCode="0.00">
                  <c:v>1.7406294356349772</c:v>
                </c:pt>
                <c:pt idx="29" formatCode="0.00">
                  <c:v>3.9066032558112473</c:v>
                </c:pt>
                <c:pt idx="30" formatCode="0.00">
                  <c:v>-0.34003890137412895</c:v>
                </c:pt>
                <c:pt idx="31" formatCode="0.00">
                  <c:v>-0.10451245325655556</c:v>
                </c:pt>
                <c:pt idx="32" formatCode="0.00">
                  <c:v>1.9160946766023201</c:v>
                </c:pt>
                <c:pt idx="33" formatCode="0.00">
                  <c:v>1.9321224974175433</c:v>
                </c:pt>
                <c:pt idx="34" formatCode="0.00">
                  <c:v>6.618451674421344</c:v>
                </c:pt>
                <c:pt idx="35" formatCode="0.00">
                  <c:v>7.1415019010259595</c:v>
                </c:pt>
                <c:pt idx="36" formatCode="0.00">
                  <c:v>7.8426702883314325</c:v>
                </c:pt>
                <c:pt idx="37" formatCode="0.00">
                  <c:v>12.350699868137504</c:v>
                </c:pt>
                <c:pt idx="38" formatCode="0.00">
                  <c:v>9.9375240925075659</c:v>
                </c:pt>
                <c:pt idx="39" formatCode="0.00">
                  <c:v>9.1366030425203526</c:v>
                </c:pt>
                <c:pt idx="40" formatCode="0.00">
                  <c:v>5.9190992405438569</c:v>
                </c:pt>
                <c:pt idx="41" formatCode="0.00">
                  <c:v>4.0194839372464486</c:v>
                </c:pt>
                <c:pt idx="42" formatCode="0.00">
                  <c:v>8.4977386037608191</c:v>
                </c:pt>
                <c:pt idx="43" formatCode="0.00">
                  <c:v>8.0209289238220229</c:v>
                </c:pt>
                <c:pt idx="44" formatCode="0.00">
                  <c:v>11.572235613996984</c:v>
                </c:pt>
                <c:pt idx="45" formatCode="0.00">
                  <c:v>8.0165286967310845</c:v>
                </c:pt>
                <c:pt idx="46" formatCode="0.00">
                  <c:v>6.9310470034795957</c:v>
                </c:pt>
                <c:pt idx="47" formatCode="0.00">
                  <c:v>10.071147025508665</c:v>
                </c:pt>
                <c:pt idx="48" formatCode="0.00">
                  <c:v>4.3582991531296189</c:v>
                </c:pt>
                <c:pt idx="49" formatCode="0.00">
                  <c:v>6.1519554929025722</c:v>
                </c:pt>
                <c:pt idx="50" formatCode="0.00">
                  <c:v>4.6734733462409972</c:v>
                </c:pt>
                <c:pt idx="51" formatCode="0.00">
                  <c:v>3.7609374434893761</c:v>
                </c:pt>
                <c:pt idx="52" formatCode="0.00">
                  <c:v>7.6754862564812676</c:v>
                </c:pt>
                <c:pt idx="53" formatCode="0.00">
                  <c:v>3.9511825504694675</c:v>
                </c:pt>
                <c:pt idx="54" formatCode="0.00">
                  <c:v>2.110568548228775</c:v>
                </c:pt>
                <c:pt idx="55" formatCode="0.00">
                  <c:v>-6.9266792349271018</c:v>
                </c:pt>
                <c:pt idx="56" formatCode="0.00">
                  <c:v>-16.703150055277515</c:v>
                </c:pt>
                <c:pt idx="57" formatCode="0.00">
                  <c:v>-17.381906884351206</c:v>
                </c:pt>
                <c:pt idx="58" formatCode="0.00">
                  <c:v>-14.653883668148493</c:v>
                </c:pt>
                <c:pt idx="59" formatCode="0.00">
                  <c:v>-8.1279079870213327</c:v>
                </c:pt>
                <c:pt idx="60" formatCode="0.00">
                  <c:v>4.2091577199342867</c:v>
                </c:pt>
                <c:pt idx="61" formatCode="0.00">
                  <c:v>12.559536348426036</c:v>
                </c:pt>
                <c:pt idx="62" formatCode="0.00">
                  <c:v>12.890166772617718</c:v>
                </c:pt>
                <c:pt idx="63" formatCode="0.00">
                  <c:v>15.996507416034067</c:v>
                </c:pt>
                <c:pt idx="64" formatCode="0.00">
                  <c:v>11.867822532347327</c:v>
                </c:pt>
                <c:pt idx="65" formatCode="0.00">
                  <c:v>6.7559132949941203</c:v>
                </c:pt>
                <c:pt idx="66" formatCode="0.00">
                  <c:v>7.2132800746802062</c:v>
                </c:pt>
                <c:pt idx="67" formatCode="0.00">
                  <c:v>-0.28460072963492067</c:v>
                </c:pt>
                <c:pt idx="68" formatCode="0.00">
                  <c:v>2.6976924009910253</c:v>
                </c:pt>
                <c:pt idx="69" formatCode="0.00">
                  <c:v>3.8782216994015961</c:v>
                </c:pt>
                <c:pt idx="70" formatCode="0.00">
                  <c:v>-1.2099646228288741</c:v>
                </c:pt>
                <c:pt idx="71" formatCode="0.00">
                  <c:v>0.901795179273579</c:v>
                </c:pt>
                <c:pt idx="72" formatCode="0.00">
                  <c:v>-2.0036732791783418</c:v>
                </c:pt>
                <c:pt idx="73" formatCode="0.00">
                  <c:v>-1.9459021010533539</c:v>
                </c:pt>
                <c:pt idx="74" formatCode="0.00">
                  <c:v>0.18863333654233205</c:v>
                </c:pt>
                <c:pt idx="75" formatCode="0.00">
                  <c:v>0.64961902786035974</c:v>
                </c:pt>
                <c:pt idx="76" formatCode="0.00">
                  <c:v>4.9227618321208588</c:v>
                </c:pt>
                <c:pt idx="77" formatCode="0.00">
                  <c:v>4.6352317133307341</c:v>
                </c:pt>
                <c:pt idx="78" formatCode="0.00">
                  <c:v>5.019711877050903</c:v>
                </c:pt>
                <c:pt idx="79" formatCode="0.00">
                  <c:v>7.2007393749551785</c:v>
                </c:pt>
                <c:pt idx="80" formatCode="0.00">
                  <c:v>3.987578834785932</c:v>
                </c:pt>
                <c:pt idx="81" formatCode="0.00">
                  <c:v>3.9970739673129474</c:v>
                </c:pt>
                <c:pt idx="82" formatCode="0.00">
                  <c:v>6.4481225612556203</c:v>
                </c:pt>
                <c:pt idx="83" formatCode="0.00">
                  <c:v>6.4770005440427658</c:v>
                </c:pt>
                <c:pt idx="84" formatCode="0.00">
                  <c:v>4.4435338122413626</c:v>
                </c:pt>
                <c:pt idx="85" formatCode="0.00">
                  <c:v>2.3656473908257203</c:v>
                </c:pt>
                <c:pt idx="86" formatCode="0.00">
                  <c:v>1.7298747462944686</c:v>
                </c:pt>
                <c:pt idx="87" formatCode="0.00">
                  <c:v>1.8002780727853551</c:v>
                </c:pt>
                <c:pt idx="88" formatCode="0.00">
                  <c:v>2.0405487257923571</c:v>
                </c:pt>
                <c:pt idx="89" formatCode="0.00">
                  <c:v>5.5290971182914594</c:v>
                </c:pt>
                <c:pt idx="90" formatCode="0.00">
                  <c:v>3.0792851809199107</c:v>
                </c:pt>
                <c:pt idx="91" formatCode="0.00">
                  <c:v>4.0946805407756859</c:v>
                </c:pt>
                <c:pt idx="92" formatCode="0.00">
                  <c:v>4.8331064998663908</c:v>
                </c:pt>
                <c:pt idx="93" formatCode="0.00">
                  <c:v>2.6332590257866162</c:v>
                </c:pt>
                <c:pt idx="94" formatCode="0.00">
                  <c:v>3.820827043120234</c:v>
                </c:pt>
                <c:pt idx="95" formatCode="0.00">
                  <c:v>2.4683119401498033</c:v>
                </c:pt>
                <c:pt idx="96" formatCode="0.00">
                  <c:v>3.1785499243212278</c:v>
                </c:pt>
                <c:pt idx="97" formatCode="0.00">
                  <c:v>3.6690756094448274</c:v>
                </c:pt>
                <c:pt idx="98" formatCode="0.00">
                  <c:v>3.2280615363140086</c:v>
                </c:pt>
                <c:pt idx="99" formatCode="0.00">
                  <c:v>2.8599376913108099</c:v>
                </c:pt>
                <c:pt idx="100" formatCode="0.00">
                  <c:v>3.0335668185823783</c:v>
                </c:pt>
                <c:pt idx="101" formatCode="0.00">
                  <c:v>2.9314320378343695</c:v>
                </c:pt>
                <c:pt idx="102" formatCode="0.00">
                  <c:v>3.0439254061817467</c:v>
                </c:pt>
                <c:pt idx="103" formatCode="0.00">
                  <c:v>3.0849012190483194</c:v>
                </c:pt>
              </c:numCache>
            </c:numRef>
          </c:val>
          <c:extLst>
            <c:ext xmlns:c16="http://schemas.microsoft.com/office/drawing/2014/chart" uri="{C3380CC4-5D6E-409C-BE32-E72D297353CC}">
              <c16:uniqueId val="{00000000-102C-4B3F-AF0E-C46F52CB6D78}"/>
            </c:ext>
          </c:extLst>
        </c:ser>
        <c:dLbls>
          <c:showLegendKey val="0"/>
          <c:showVal val="0"/>
          <c:showCatName val="0"/>
          <c:showSerName val="0"/>
          <c:showPercent val="0"/>
          <c:showBubbleSize val="0"/>
        </c:dLbls>
        <c:gapWidth val="10"/>
        <c:overlap val="100"/>
        <c:axId val="285901184"/>
        <c:axId val="285902720"/>
      </c:barChart>
      <c:catAx>
        <c:axId val="285901184"/>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fr-FR"/>
          </a:p>
        </c:txPr>
        <c:crossAx val="285902720"/>
        <c:crosses val="autoZero"/>
        <c:auto val="1"/>
        <c:lblAlgn val="ctr"/>
        <c:lblOffset val="100"/>
        <c:tickLblSkip val="4"/>
        <c:tickMarkSkip val="4"/>
        <c:noMultiLvlLbl val="0"/>
      </c:catAx>
      <c:valAx>
        <c:axId val="285902720"/>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fr-FR"/>
          </a:p>
        </c:txPr>
        <c:crossAx val="285901184"/>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GB"/>
              <a:t>Imports and final demand (QoQ)</a:t>
            </a:r>
          </a:p>
        </c:rich>
      </c:tx>
      <c:layout>
        <c:manualLayout>
          <c:xMode val="edge"/>
          <c:yMode val="edge"/>
          <c:x val="0.40066964285714285"/>
          <c:y val="2.9978586723768737E-2"/>
        </c:manualLayout>
      </c:layout>
      <c:overlay val="0"/>
      <c:spPr>
        <a:noFill/>
        <a:ln w="25400">
          <a:noFill/>
        </a:ln>
      </c:spPr>
    </c:title>
    <c:autoTitleDeleted val="0"/>
    <c:plotArea>
      <c:layout>
        <c:manualLayout>
          <c:layoutTarget val="inner"/>
          <c:xMode val="edge"/>
          <c:yMode val="edge"/>
          <c:x val="5.3571428571428568E-2"/>
          <c:y val="0.14132762312633834"/>
          <c:w val="0.9319196428571429"/>
          <c:h val="0.78586723768736622"/>
        </c:manualLayout>
      </c:layout>
      <c:barChart>
        <c:barDir val="col"/>
        <c:grouping val="stacked"/>
        <c:varyColors val="0"/>
        <c:ser>
          <c:idx val="0"/>
          <c:order val="0"/>
          <c:tx>
            <c:strRef>
              <c:f>'Q1'!#REF!</c:f>
              <c:strCache>
                <c:ptCount val="1"/>
                <c:pt idx="0">
                  <c:v>QMCif</c:v>
                </c:pt>
              </c:strCache>
            </c:strRef>
          </c:tx>
          <c:spPr>
            <a:solidFill>
              <a:srgbClr val="9999FF"/>
            </a:solidFill>
            <a:ln w="12700">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3">
                  <c:v>1</c:v>
                </c:pt>
                <c:pt idx="96">
                  <c:v>2019</c:v>
                </c:pt>
                <c:pt idx="100">
                  <c:v>2020</c:v>
                </c:pt>
              </c:numCache>
            </c:numRef>
          </c:cat>
          <c:val>
            <c:numRef>
              <c:f>'Q1'!#REF!</c:f>
              <c:numCache>
                <c:formatCode>General</c:formatCode>
                <c:ptCount val="80"/>
                <c:pt idx="1">
                  <c:v>0.37626628075253521</c:v>
                </c:pt>
                <c:pt idx="2">
                  <c:v>6.9684736639752387E-2</c:v>
                </c:pt>
                <c:pt idx="3">
                  <c:v>0.2713410973706365</c:v>
                </c:pt>
                <c:pt idx="4">
                  <c:v>6.7053019780627388E-2</c:v>
                </c:pt>
                <c:pt idx="5">
                  <c:v>1.9575934523524463</c:v>
                </c:pt>
                <c:pt idx="6">
                  <c:v>0.74406159046098708</c:v>
                </c:pt>
                <c:pt idx="7">
                  <c:v>0.38209734162764075</c:v>
                </c:pt>
                <c:pt idx="8">
                  <c:v>1.8103748404317166</c:v>
                </c:pt>
                <c:pt idx="9">
                  <c:v>1.5935255898780198</c:v>
                </c:pt>
                <c:pt idx="10">
                  <c:v>0.89085360380576351</c:v>
                </c:pt>
                <c:pt idx="11">
                  <c:v>2.237494717644184</c:v>
                </c:pt>
                <c:pt idx="12">
                  <c:v>2.3125285530924522</c:v>
                </c:pt>
                <c:pt idx="13">
                  <c:v>2.198596640442263</c:v>
                </c:pt>
                <c:pt idx="14">
                  <c:v>1.3648468708388872</c:v>
                </c:pt>
                <c:pt idx="15">
                  <c:v>-0.91954022988506301</c:v>
                </c:pt>
                <c:pt idx="16">
                  <c:v>0.47646668876368814</c:v>
                </c:pt>
                <c:pt idx="17">
                  <c:v>1.3648921693950822</c:v>
                </c:pt>
                <c:pt idx="18">
                  <c:v>3.2442437555935122</c:v>
                </c:pt>
                <c:pt idx="19">
                  <c:v>2.7955633483717213</c:v>
                </c:pt>
                <c:pt idx="20">
                  <c:v>2.2308252520219174</c:v>
                </c:pt>
                <c:pt idx="21">
                  <c:v>0.80611900566158745</c:v>
                </c:pt>
                <c:pt idx="22">
                  <c:v>2.5515137990032022</c:v>
                </c:pt>
                <c:pt idx="23">
                  <c:v>1.3383142318293961</c:v>
                </c:pt>
                <c:pt idx="24">
                  <c:v>0.9806377724491</c:v>
                </c:pt>
                <c:pt idx="25">
                  <c:v>-1.8589402799929156</c:v>
                </c:pt>
                <c:pt idx="26">
                  <c:v>-3.0858958848702711</c:v>
                </c:pt>
                <c:pt idx="27">
                  <c:v>-0.92226859442539055</c:v>
                </c:pt>
                <c:pt idx="28">
                  <c:v>0.82742539067641729</c:v>
                </c:pt>
                <c:pt idx="29">
                  <c:v>1.0854766212208933</c:v>
                </c:pt>
                <c:pt idx="30">
                  <c:v>2.1919223601911453</c:v>
                </c:pt>
                <c:pt idx="31">
                  <c:v>1.0562045245274154</c:v>
                </c:pt>
                <c:pt idx="32">
                  <c:v>-0.31980275852212525</c:v>
                </c:pt>
                <c:pt idx="33">
                  <c:v>0.14876418188660701</c:v>
                </c:pt>
                <c:pt idx="34">
                  <c:v>1.2688810938506823</c:v>
                </c:pt>
                <c:pt idx="35">
                  <c:v>0.75284969514890498</c:v>
                </c:pt>
                <c:pt idx="36">
                  <c:v>2.294294083597892</c:v>
                </c:pt>
                <c:pt idx="37">
                  <c:v>2.4486016564069901</c:v>
                </c:pt>
                <c:pt idx="38">
                  <c:v>1.2452508075719182</c:v>
                </c:pt>
                <c:pt idx="39">
                  <c:v>1.2596915243589857</c:v>
                </c:pt>
                <c:pt idx="40">
                  <c:v>1.2423881279284288</c:v>
                </c:pt>
                <c:pt idx="41">
                  <c:v>1.1174895991227674</c:v>
                </c:pt>
                <c:pt idx="42">
                  <c:v>0.53104119157350027</c:v>
                </c:pt>
                <c:pt idx="43">
                  <c:v>1.3086928934010089</c:v>
                </c:pt>
                <c:pt idx="44">
                  <c:v>-0.32725279887262371</c:v>
                </c:pt>
                <c:pt idx="45">
                  <c:v>1.457835867789381</c:v>
                </c:pt>
                <c:pt idx="46">
                  <c:v>0.72308931004583243</c:v>
                </c:pt>
                <c:pt idx="47">
                  <c:v>-0.35664324914297385</c:v>
                </c:pt>
                <c:pt idx="48">
                  <c:v>1.1277557506286673</c:v>
                </c:pt>
                <c:pt idx="49">
                  <c:v>1.9877955758962562</c:v>
                </c:pt>
                <c:pt idx="50">
                  <c:v>2.7762404080594827</c:v>
                </c:pt>
                <c:pt idx="51">
                  <c:v>0.41479282190106659</c:v>
                </c:pt>
                <c:pt idx="52">
                  <c:v>2.2103371307649944</c:v>
                </c:pt>
                <c:pt idx="53">
                  <c:v>-1.0394361803202079</c:v>
                </c:pt>
                <c:pt idx="54">
                  <c:v>1.2</c:v>
                </c:pt>
                <c:pt idx="55">
                  <c:v>1</c:v>
                </c:pt>
                <c:pt idx="56">
                  <c:v>1.26</c:v>
                </c:pt>
                <c:pt idx="57">
                  <c:v>1.3</c:v>
                </c:pt>
                <c:pt idx="58">
                  <c:v>1.2</c:v>
                </c:pt>
                <c:pt idx="59">
                  <c:v>1</c:v>
                </c:pt>
                <c:pt idx="60">
                  <c:v>1.26</c:v>
                </c:pt>
                <c:pt idx="61">
                  <c:v>1.3</c:v>
                </c:pt>
                <c:pt idx="62">
                  <c:v>1.2</c:v>
                </c:pt>
                <c:pt idx="63">
                  <c:v>1</c:v>
                </c:pt>
                <c:pt idx="64">
                  <c:v>1.26</c:v>
                </c:pt>
                <c:pt idx="65">
                  <c:v>1.3</c:v>
                </c:pt>
                <c:pt idx="66">
                  <c:v>1.2</c:v>
                </c:pt>
                <c:pt idx="67">
                  <c:v>1</c:v>
                </c:pt>
              </c:numCache>
            </c:numRef>
          </c:val>
          <c:extLst>
            <c:ext xmlns:c16="http://schemas.microsoft.com/office/drawing/2014/chart" uri="{C3380CC4-5D6E-409C-BE32-E72D297353CC}">
              <c16:uniqueId val="{00000000-6C35-4DB2-A076-84E63D4A52D4}"/>
            </c:ext>
          </c:extLst>
        </c:ser>
        <c:dLbls>
          <c:showLegendKey val="0"/>
          <c:showVal val="0"/>
          <c:showCatName val="0"/>
          <c:showSerName val="0"/>
          <c:showPercent val="0"/>
          <c:showBubbleSize val="0"/>
        </c:dLbls>
        <c:gapWidth val="10"/>
        <c:overlap val="100"/>
        <c:axId val="286271744"/>
        <c:axId val="286278016"/>
      </c:barChart>
      <c:lineChart>
        <c:grouping val="standard"/>
        <c:varyColors val="0"/>
        <c:ser>
          <c:idx val="1"/>
          <c:order val="1"/>
          <c:tx>
            <c:strRef>
              <c:f>'Q1'!$F$206</c:f>
              <c:strCache>
                <c:ptCount val="1"/>
                <c:pt idx="0">
                  <c:v>QFD</c:v>
                </c:pt>
              </c:strCache>
            </c:strRef>
          </c:tx>
          <c:spPr>
            <a:ln w="25400">
              <a:solidFill>
                <a:srgbClr val="993366"/>
              </a:solidFill>
              <a:prstDash val="solid"/>
            </a:ln>
          </c:spPr>
          <c:marker>
            <c:symbol val="circle"/>
            <c:size val="7"/>
            <c:spPr>
              <a:solidFill>
                <a:srgbClr val="FFFFFF"/>
              </a:solidFill>
              <a:ln>
                <a:solidFill>
                  <a:srgbClr val="993366"/>
                </a:solidFill>
                <a:prstDash val="solid"/>
              </a:ln>
            </c:spPr>
          </c:marker>
          <c:val>
            <c:numRef>
              <c:f>'Q1'!$G$206:$DJ$206</c:f>
              <c:numCache>
                <c:formatCode>0.00</c:formatCode>
                <c:ptCount val="108"/>
                <c:pt idx="1">
                  <c:v>0.86047481829130135</c:v>
                </c:pt>
                <c:pt idx="2">
                  <c:v>-8.6499774701243037E-2</c:v>
                </c:pt>
                <c:pt idx="3">
                  <c:v>1.060156045831584</c:v>
                </c:pt>
                <c:pt idx="4">
                  <c:v>6.4233900700894075E-2</c:v>
                </c:pt>
                <c:pt idx="5">
                  <c:v>1.0997918678663954</c:v>
                </c:pt>
                <c:pt idx="6">
                  <c:v>0.54040196029223608</c:v>
                </c:pt>
                <c:pt idx="7">
                  <c:v>1.5221334929448549</c:v>
                </c:pt>
                <c:pt idx="8">
                  <c:v>0.50991803110582712</c:v>
                </c:pt>
                <c:pt idx="9">
                  <c:v>2.7573104385949732</c:v>
                </c:pt>
                <c:pt idx="10">
                  <c:v>0.15960026962900109</c:v>
                </c:pt>
                <c:pt idx="11">
                  <c:v>1.788348397469619</c:v>
                </c:pt>
                <c:pt idx="12">
                  <c:v>1.0385774955516069</c:v>
                </c:pt>
                <c:pt idx="13">
                  <c:v>1.3196256516200489</c:v>
                </c:pt>
                <c:pt idx="14">
                  <c:v>1.689137689908371</c:v>
                </c:pt>
                <c:pt idx="15">
                  <c:v>1.6884009350061513</c:v>
                </c:pt>
                <c:pt idx="16">
                  <c:v>0.2869750078696276</c:v>
                </c:pt>
                <c:pt idx="17">
                  <c:v>0.79015854563877497</c:v>
                </c:pt>
                <c:pt idx="18">
                  <c:v>1.9414274410313626</c:v>
                </c:pt>
                <c:pt idx="19">
                  <c:v>1.1151220715903909</c:v>
                </c:pt>
                <c:pt idx="20">
                  <c:v>1.0205275709782358</c:v>
                </c:pt>
                <c:pt idx="21">
                  <c:v>2.8462830251127835</c:v>
                </c:pt>
                <c:pt idx="22">
                  <c:v>1.6077033455883294</c:v>
                </c:pt>
                <c:pt idx="23">
                  <c:v>0.52963872749656193</c:v>
                </c:pt>
                <c:pt idx="24">
                  <c:v>-1.2249088455547952</c:v>
                </c:pt>
                <c:pt idx="25">
                  <c:v>-0.10570616406174738</c:v>
                </c:pt>
                <c:pt idx="26">
                  <c:v>0.49167384074104703</c:v>
                </c:pt>
                <c:pt idx="27">
                  <c:v>0.97611019974197522</c:v>
                </c:pt>
                <c:pt idx="28">
                  <c:v>-0.54340768892294777</c:v>
                </c:pt>
                <c:pt idx="29">
                  <c:v>1.4924821733225402</c:v>
                </c:pt>
                <c:pt idx="30">
                  <c:v>-1.0675096265705175</c:v>
                </c:pt>
                <c:pt idx="31">
                  <c:v>1.2941843811224096</c:v>
                </c:pt>
                <c:pt idx="32">
                  <c:v>1.1786658210368728</c:v>
                </c:pt>
                <c:pt idx="33">
                  <c:v>-7.1986141567281781E-2</c:v>
                </c:pt>
                <c:pt idx="34">
                  <c:v>1.0396809066117729</c:v>
                </c:pt>
                <c:pt idx="35">
                  <c:v>1.0166494698037543</c:v>
                </c:pt>
                <c:pt idx="36">
                  <c:v>1.4131760303109919</c:v>
                </c:pt>
                <c:pt idx="37">
                  <c:v>1.752763470841634</c:v>
                </c:pt>
                <c:pt idx="38">
                  <c:v>0.33350784955890056</c:v>
                </c:pt>
                <c:pt idx="39">
                  <c:v>1.0124917208190531</c:v>
                </c:pt>
                <c:pt idx="40">
                  <c:v>0.35705606426734704</c:v>
                </c:pt>
                <c:pt idx="41">
                  <c:v>1.5595814275016329</c:v>
                </c:pt>
                <c:pt idx="42">
                  <c:v>1.8519071705235257</c:v>
                </c:pt>
                <c:pt idx="43">
                  <c:v>0.19908341768346549</c:v>
                </c:pt>
                <c:pt idx="44">
                  <c:v>2.2196950314104402</c:v>
                </c:pt>
                <c:pt idx="45">
                  <c:v>1.2001968918718742</c:v>
                </c:pt>
                <c:pt idx="46">
                  <c:v>1.1302158448741162</c:v>
                </c:pt>
                <c:pt idx="47">
                  <c:v>2.123825609858665</c:v>
                </c:pt>
                <c:pt idx="48">
                  <c:v>4.020479357988993E-2</c:v>
                </c:pt>
                <c:pt idx="49">
                  <c:v>1.1743050096388208</c:v>
                </c:pt>
                <c:pt idx="50">
                  <c:v>0.78544244202025659</c:v>
                </c:pt>
                <c:pt idx="51">
                  <c:v>2.015981037938297</c:v>
                </c:pt>
                <c:pt idx="52">
                  <c:v>0.33358890931858287</c:v>
                </c:pt>
                <c:pt idx="53">
                  <c:v>-0.90949836474916168</c:v>
                </c:pt>
                <c:pt idx="54">
                  <c:v>-0.73261314934244259</c:v>
                </c:pt>
                <c:pt idx="55">
                  <c:v>-2.5487734122864425</c:v>
                </c:pt>
                <c:pt idx="56">
                  <c:v>-4.1086511510100454</c:v>
                </c:pt>
                <c:pt idx="57">
                  <c:v>-0.91064499642656838</c:v>
                </c:pt>
                <c:pt idx="58">
                  <c:v>0.72432297442901472</c:v>
                </c:pt>
                <c:pt idx="59">
                  <c:v>0.7749038994249613</c:v>
                </c:pt>
                <c:pt idx="60">
                  <c:v>1.7169664043134247</c:v>
                </c:pt>
                <c:pt idx="61">
                  <c:v>2.4470258866333916</c:v>
                </c:pt>
                <c:pt idx="62">
                  <c:v>2.0960794194975207</c:v>
                </c:pt>
                <c:pt idx="63">
                  <c:v>1.8617779056969042</c:v>
                </c:pt>
                <c:pt idx="64">
                  <c:v>-0.25119375010008715</c:v>
                </c:pt>
                <c:pt idx="65">
                  <c:v>1.3348123635304798</c:v>
                </c:pt>
                <c:pt idx="66">
                  <c:v>0.80931711244558446</c:v>
                </c:pt>
                <c:pt idx="67">
                  <c:v>-1.8138573845738581</c:v>
                </c:pt>
                <c:pt idx="68">
                  <c:v>1.9443903492830428</c:v>
                </c:pt>
                <c:pt idx="69">
                  <c:v>0.29372719696982852</c:v>
                </c:pt>
                <c:pt idx="70">
                  <c:v>-0.7777758242517252</c:v>
                </c:pt>
                <c:pt idx="71">
                  <c:v>5.9026316799815071E-2</c:v>
                </c:pt>
                <c:pt idx="72">
                  <c:v>-3.2163763811265955E-2</c:v>
                </c:pt>
                <c:pt idx="73">
                  <c:v>0.76810739766830505</c:v>
                </c:pt>
                <c:pt idx="74">
                  <c:v>0.8300193932575084</c:v>
                </c:pt>
                <c:pt idx="75">
                  <c:v>-0.11354959679531484</c:v>
                </c:pt>
                <c:pt idx="76">
                  <c:v>1.8145640385550443</c:v>
                </c:pt>
                <c:pt idx="77">
                  <c:v>1.0032273178117501</c:v>
                </c:pt>
                <c:pt idx="78">
                  <c:v>0.5083192129416243</c:v>
                </c:pt>
                <c:pt idx="79">
                  <c:v>1.3195262389061879</c:v>
                </c:pt>
                <c:pt idx="80">
                  <c:v>0.84365739314873345</c:v>
                </c:pt>
                <c:pt idx="81">
                  <c:v>0.78525294362927767</c:v>
                </c:pt>
                <c:pt idx="82">
                  <c:v>1.4787391196831534</c:v>
                </c:pt>
                <c:pt idx="83">
                  <c:v>1.5891049651467704</c:v>
                </c:pt>
                <c:pt idx="84">
                  <c:v>7.2763969632139158E-2</c:v>
                </c:pt>
                <c:pt idx="85">
                  <c:v>0.13827581706344905</c:v>
                </c:pt>
                <c:pt idx="86">
                  <c:v>0.92139438365705884</c:v>
                </c:pt>
                <c:pt idx="87">
                  <c:v>0.75918694435221923</c:v>
                </c:pt>
                <c:pt idx="88">
                  <c:v>0.36380653858978373</c:v>
                </c:pt>
                <c:pt idx="89">
                  <c:v>1.423549938004931</c:v>
                </c:pt>
                <c:pt idx="90">
                  <c:v>0.77010337258220596</c:v>
                </c:pt>
                <c:pt idx="91">
                  <c:v>0.82741568032811408</c:v>
                </c:pt>
                <c:pt idx="92">
                  <c:v>0.57351117440500587</c:v>
                </c:pt>
                <c:pt idx="93">
                  <c:v>0.34510520182786664</c:v>
                </c:pt>
                <c:pt idx="94" formatCode="0.0">
                  <c:v>0.34002861904447018</c:v>
                </c:pt>
                <c:pt idx="95" formatCode="0.0">
                  <c:v>0.383602319405422</c:v>
                </c:pt>
                <c:pt idx="96" formatCode="0.0">
                  <c:v>0.72591462375418048</c:v>
                </c:pt>
                <c:pt idx="97" formatCode="0.0">
                  <c:v>0.59606580447937196</c:v>
                </c:pt>
                <c:pt idx="98" formatCode="0.0">
                  <c:v>0.46438493964670896</c:v>
                </c:pt>
                <c:pt idx="99" formatCode="0.0">
                  <c:v>0.46901660582402693</c:v>
                </c:pt>
                <c:pt idx="100" formatCode="0.0">
                  <c:v>0.69183576937864744</c:v>
                </c:pt>
                <c:pt idx="101" formatCode="0.0">
                  <c:v>0.66037856076563273</c:v>
                </c:pt>
                <c:pt idx="102" formatCode="0.0">
                  <c:v>0.55229980007213553</c:v>
                </c:pt>
                <c:pt idx="103" formatCode="0.0">
                  <c:v>0.43386941955108188</c:v>
                </c:pt>
              </c:numCache>
            </c:numRef>
          </c:val>
          <c:smooth val="0"/>
          <c:extLst>
            <c:ext xmlns:c16="http://schemas.microsoft.com/office/drawing/2014/chart" uri="{C3380CC4-5D6E-409C-BE32-E72D297353CC}">
              <c16:uniqueId val="{00000001-6C35-4DB2-A076-84E63D4A52D4}"/>
            </c:ext>
          </c:extLst>
        </c:ser>
        <c:dLbls>
          <c:showLegendKey val="0"/>
          <c:showVal val="0"/>
          <c:showCatName val="0"/>
          <c:showSerName val="0"/>
          <c:showPercent val="0"/>
          <c:showBubbleSize val="0"/>
        </c:dLbls>
        <c:marker val="1"/>
        <c:smooth val="0"/>
        <c:axId val="286271744"/>
        <c:axId val="286278016"/>
      </c:lineChart>
      <c:catAx>
        <c:axId val="286271744"/>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fr-FR"/>
          </a:p>
        </c:txPr>
        <c:crossAx val="286278016"/>
        <c:crosses val="autoZero"/>
        <c:auto val="1"/>
        <c:lblAlgn val="ctr"/>
        <c:lblOffset val="100"/>
        <c:tickLblSkip val="4"/>
        <c:tickMarkSkip val="4"/>
        <c:noMultiLvlLbl val="0"/>
      </c:catAx>
      <c:valAx>
        <c:axId val="286278016"/>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fr-FR"/>
          </a:p>
        </c:txPr>
        <c:crossAx val="286271744"/>
        <c:crosses val="autoZero"/>
        <c:crossBetween val="between"/>
      </c:valAx>
      <c:spPr>
        <a:noFill/>
        <a:ln w="12700">
          <a:solidFill>
            <a:srgbClr val="808080"/>
          </a:solidFill>
          <a:prstDash val="solid"/>
        </a:ln>
      </c:spPr>
    </c:plotArea>
    <c:legend>
      <c:legendPos val="r"/>
      <c:layout>
        <c:manualLayout>
          <c:xMode val="edge"/>
          <c:yMode val="edge"/>
          <c:x val="7.2321483748341853E-2"/>
          <c:y val="0.81217598210593267"/>
          <c:w val="0.16964298657018456"/>
          <c:h val="5.3913180825019093E-2"/>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GB"/>
              <a:t>Imports and final demand (YoY)</a:t>
            </a:r>
          </a:p>
        </c:rich>
      </c:tx>
      <c:layout>
        <c:manualLayout>
          <c:xMode val="edge"/>
          <c:yMode val="edge"/>
          <c:x val="0.4017857142857143"/>
          <c:y val="3.5947712418300651E-2"/>
        </c:manualLayout>
      </c:layout>
      <c:overlay val="0"/>
      <c:spPr>
        <a:noFill/>
        <a:ln w="25400">
          <a:noFill/>
        </a:ln>
      </c:spPr>
    </c:title>
    <c:autoTitleDeleted val="0"/>
    <c:plotArea>
      <c:layout>
        <c:manualLayout>
          <c:layoutTarget val="inner"/>
          <c:xMode val="edge"/>
          <c:yMode val="edge"/>
          <c:x val="6.1383928571428568E-2"/>
          <c:y val="0.19281107284988017"/>
          <c:w val="0.9241071428571429"/>
          <c:h val="0.69608065283092335"/>
        </c:manualLayout>
      </c:layout>
      <c:barChart>
        <c:barDir val="col"/>
        <c:grouping val="stacked"/>
        <c:varyColors val="0"/>
        <c:ser>
          <c:idx val="0"/>
          <c:order val="0"/>
          <c:tx>
            <c:strRef>
              <c:f>'Q1'!#REF!</c:f>
              <c:strCache>
                <c:ptCount val="1"/>
                <c:pt idx="0">
                  <c:v>QMCif</c:v>
                </c:pt>
              </c:strCache>
            </c:strRef>
          </c:tx>
          <c:spPr>
            <a:solidFill>
              <a:srgbClr val="FFCC99"/>
            </a:solidFill>
            <a:ln w="12700">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3">
                  <c:v>1</c:v>
                </c:pt>
                <c:pt idx="96">
                  <c:v>2019</c:v>
                </c:pt>
                <c:pt idx="100">
                  <c:v>2020</c:v>
                </c:pt>
              </c:numCache>
            </c:numRef>
          </c:cat>
          <c:val>
            <c:numRef>
              <c:f>'Q1'!#REF!</c:f>
              <c:numCache>
                <c:formatCode>General</c:formatCode>
                <c:ptCount val="80"/>
                <c:pt idx="4">
                  <c:v>0.78630004823927457</c:v>
                </c:pt>
                <c:pt idx="5">
                  <c:v>2.3740868896578338</c:v>
                </c:pt>
                <c:pt idx="6">
                  <c:v>3.0639932765037736</c:v>
                </c:pt>
                <c:pt idx="7">
                  <c:v>3.1778341874610705</c:v>
                </c:pt>
                <c:pt idx="8">
                  <c:v>4.9753505958933575</c:v>
                </c:pt>
                <c:pt idx="9">
                  <c:v>4.6005069946484012</c:v>
                </c:pt>
                <c:pt idx="10">
                  <c:v>4.7529181519535779</c:v>
                </c:pt>
                <c:pt idx="11">
                  <c:v>6.6891029360566234</c:v>
                </c:pt>
                <c:pt idx="12">
                  <c:v>7.2153197309928085</c:v>
                </c:pt>
                <c:pt idx="13">
                  <c:v>7.8538730814110114</c:v>
                </c:pt>
                <c:pt idx="14">
                  <c:v>8.3605791686127908</c:v>
                </c:pt>
                <c:pt idx="15">
                  <c:v>5.0144669001675135</c:v>
                </c:pt>
                <c:pt idx="16">
                  <c:v>3.1299170742079552</c:v>
                </c:pt>
                <c:pt idx="17">
                  <c:v>2.2886151797603116</c:v>
                </c:pt>
                <c:pt idx="18">
                  <c:v>4.1851395730706065</c:v>
                </c:pt>
                <c:pt idx="19">
                  <c:v>8.0916473317865325</c:v>
                </c:pt>
                <c:pt idx="20">
                  <c:v>9.9789699393839406</c:v>
                </c:pt>
                <c:pt idx="21">
                  <c:v>9.3727117402977669</c:v>
                </c:pt>
                <c:pt idx="22">
                  <c:v>8.6388620737209099</c:v>
                </c:pt>
                <c:pt idx="23">
                  <c:v>7.0987772624477863</c:v>
                </c:pt>
                <c:pt idx="24">
                  <c:v>5.7890592778673478</c:v>
                </c:pt>
                <c:pt idx="25">
                  <c:v>2.9922636316298545</c:v>
                </c:pt>
                <c:pt idx="26">
                  <c:v>-2.6693747279849189</c:v>
                </c:pt>
                <c:pt idx="27">
                  <c:v>-4.8405568877277094</c:v>
                </c:pt>
                <c:pt idx="28">
                  <c:v>-4.9849370902002477</c:v>
                </c:pt>
                <c:pt idx="29">
                  <c:v>-2.134305989418761</c:v>
                </c:pt>
                <c:pt idx="30">
                  <c:v>3.1953346251304193</c:v>
                </c:pt>
                <c:pt idx="31">
                  <c:v>5.2560317430468073</c:v>
                </c:pt>
                <c:pt idx="32">
                  <c:v>4.0584143088945757</c:v>
                </c:pt>
                <c:pt idx="33">
                  <c:v>3.0941530286536567</c:v>
                </c:pt>
                <c:pt idx="34">
                  <c:v>2.1629624280065762</c:v>
                </c:pt>
                <c:pt idx="35">
                  <c:v>1.8562852854999035</c:v>
                </c:pt>
                <c:pt idx="36">
                  <c:v>4.5274496800673969</c:v>
                </c:pt>
                <c:pt idx="37">
                  <c:v>6.9278402176247367</c:v>
                </c:pt>
                <c:pt idx="38">
                  <c:v>6.9028894583370137</c:v>
                </c:pt>
                <c:pt idx="39">
                  <c:v>7.4406693445124628</c:v>
                </c:pt>
                <c:pt idx="40">
                  <c:v>6.335842521305235</c:v>
                </c:pt>
                <c:pt idx="41">
                  <c:v>4.9542236430281106</c:v>
                </c:pt>
                <c:pt idx="42">
                  <c:v>4.213849994214014</c:v>
                </c:pt>
                <c:pt idx="43">
                  <c:v>4.2642809331787879</c:v>
                </c:pt>
                <c:pt idx="44">
                  <c:v>2.647789208888307</c:v>
                </c:pt>
                <c:pt idx="45">
                  <c:v>2.9932862359864254</c:v>
                </c:pt>
                <c:pt idx="46">
                  <c:v>3.1900380710659926</c:v>
                </c:pt>
                <c:pt idx="47">
                  <c:v>1.4937759336099532</c:v>
                </c:pt>
                <c:pt idx="48">
                  <c:v>2.9753676008545948</c:v>
                </c:pt>
                <c:pt idx="49">
                  <c:v>3.5132540567323067</c:v>
                </c:pt>
                <c:pt idx="50">
                  <c:v>5.6232801955388823</c:v>
                </c:pt>
                <c:pt idx="51">
                  <c:v>6.4410126660392697</c:v>
                </c:pt>
                <c:pt idx="52">
                  <c:v>7.5804729214340227</c:v>
                </c:pt>
                <c:pt idx="53">
                  <c:v>4.3872376707103644</c:v>
                </c:pt>
                <c:pt idx="54">
                  <c:v>2.7862900056761175</c:v>
                </c:pt>
                <c:pt idx="55">
                  <c:v>3.3853180276546047</c:v>
                </c:pt>
                <c:pt idx="56">
                  <c:v>2.4240560921623855</c:v>
                </c:pt>
                <c:pt idx="57">
                  <c:v>4.8453695255999962</c:v>
                </c:pt>
                <c:pt idx="58">
                  <c:v>4.845369525599974</c:v>
                </c:pt>
                <c:pt idx="59">
                  <c:v>4.845369525599974</c:v>
                </c:pt>
                <c:pt idx="60">
                  <c:v>4.845369525599974</c:v>
                </c:pt>
                <c:pt idx="61">
                  <c:v>4.845369525599974</c:v>
                </c:pt>
                <c:pt idx="62">
                  <c:v>4.845369525599974</c:v>
                </c:pt>
                <c:pt idx="63">
                  <c:v>4.845369525599974</c:v>
                </c:pt>
                <c:pt idx="64">
                  <c:v>4.845369525599974</c:v>
                </c:pt>
                <c:pt idx="65">
                  <c:v>4.845369525599974</c:v>
                </c:pt>
                <c:pt idx="66">
                  <c:v>4.8453695255999962</c:v>
                </c:pt>
                <c:pt idx="67">
                  <c:v>4.8453695255999962</c:v>
                </c:pt>
              </c:numCache>
            </c:numRef>
          </c:val>
          <c:extLst>
            <c:ext xmlns:c16="http://schemas.microsoft.com/office/drawing/2014/chart" uri="{C3380CC4-5D6E-409C-BE32-E72D297353CC}">
              <c16:uniqueId val="{00000000-0A3E-4A47-9565-425919785251}"/>
            </c:ext>
          </c:extLst>
        </c:ser>
        <c:dLbls>
          <c:showLegendKey val="0"/>
          <c:showVal val="0"/>
          <c:showCatName val="0"/>
          <c:showSerName val="0"/>
          <c:showPercent val="0"/>
          <c:showBubbleSize val="0"/>
        </c:dLbls>
        <c:gapWidth val="10"/>
        <c:overlap val="100"/>
        <c:axId val="286307456"/>
        <c:axId val="286309376"/>
      </c:barChart>
      <c:lineChart>
        <c:grouping val="standard"/>
        <c:varyColors val="0"/>
        <c:ser>
          <c:idx val="1"/>
          <c:order val="1"/>
          <c:tx>
            <c:strRef>
              <c:f>'Q1'!$F$206</c:f>
              <c:strCache>
                <c:ptCount val="1"/>
                <c:pt idx="0">
                  <c:v>QFD</c:v>
                </c:pt>
              </c:strCache>
            </c:strRef>
          </c:tx>
          <c:spPr>
            <a:ln w="25400">
              <a:solidFill>
                <a:srgbClr val="993366"/>
              </a:solidFill>
              <a:prstDash val="solid"/>
            </a:ln>
          </c:spPr>
          <c:marker>
            <c:symbol val="circle"/>
            <c:size val="7"/>
            <c:spPr>
              <a:solidFill>
                <a:srgbClr val="FFFFFF"/>
              </a:solidFill>
              <a:ln>
                <a:solidFill>
                  <a:srgbClr val="993366"/>
                </a:solidFill>
                <a:prstDash val="solid"/>
              </a:ln>
            </c:spPr>
          </c:marker>
          <c:val>
            <c:numRef>
              <c:f>'Q1'!$G$211:$DJ$211</c:f>
              <c:numCache>
                <c:formatCode>0</c:formatCode>
                <c:ptCount val="108"/>
                <c:pt idx="4" formatCode="0.00">
                  <c:v>1.9070010551142325</c:v>
                </c:pt>
                <c:pt idx="5" formatCode="0.00">
                  <c:v>2.148801253531829</c:v>
                </c:pt>
                <c:pt idx="6" formatCode="0.00">
                  <c:v>2.7897282612829644</c:v>
                </c:pt>
                <c:pt idx="7" formatCode="0.00">
                  <c:v>3.2596121216450946</c:v>
                </c:pt>
                <c:pt idx="8" formatCode="0.00">
                  <c:v>3.7195284038209708</c:v>
                </c:pt>
                <c:pt idx="9" formatCode="0.00">
                  <c:v>5.4199972307126476</c:v>
                </c:pt>
                <c:pt idx="10" formatCode="0.00">
                  <c:v>5.0207138342624802</c:v>
                </c:pt>
                <c:pt idx="11" formatCode="0.00">
                  <c:v>5.2961028390498432</c:v>
                </c:pt>
                <c:pt idx="12" formatCode="0.00">
                  <c:v>5.8499365544240067</c:v>
                </c:pt>
                <c:pt idx="13" formatCode="0.00">
                  <c:v>4.3689826170640433</c:v>
                </c:pt>
                <c:pt idx="14" formatCode="0.00">
                  <c:v>5.96280152208708</c:v>
                </c:pt>
                <c:pt idx="15" formatCode="0.00">
                  <c:v>5.858755103274027</c:v>
                </c:pt>
                <c:pt idx="16" formatCode="0.00">
                  <c:v>5.0712964350040579</c:v>
                </c:pt>
                <c:pt idx="17" formatCode="0.00">
                  <c:v>4.5222241808642094</c:v>
                </c:pt>
                <c:pt idx="18" formatCode="0.00">
                  <c:v>4.781542791725335</c:v>
                </c:pt>
                <c:pt idx="19" formatCode="0.00">
                  <c:v>4.1908260216092952</c:v>
                </c:pt>
                <c:pt idx="20" formatCode="0.00">
                  <c:v>4.9529334385949753</c:v>
                </c:pt>
                <c:pt idx="21" formatCode="0.00">
                  <c:v>7.0939787425170486</c:v>
                </c:pt>
                <c:pt idx="22" formatCode="0.00">
                  <c:v>6.7433868185034829</c:v>
                </c:pt>
                <c:pt idx="23" formatCode="0.00">
                  <c:v>6.125314330491749</c:v>
                </c:pt>
                <c:pt idx="24" formatCode="0.00">
                  <c:v>3.7664111328592931</c:v>
                </c:pt>
                <c:pt idx="25" formatCode="0.00">
                  <c:v>0.78801157525112409</c:v>
                </c:pt>
                <c:pt idx="26" formatCode="0.00">
                  <c:v>-0.31901467324398913</c:v>
                </c:pt>
                <c:pt idx="27" formatCode="0.00">
                  <c:v>0.12368776592768249</c:v>
                </c:pt>
                <c:pt idx="28" formatCode="0.00">
                  <c:v>0.81449359785583653</c:v>
                </c:pt>
                <c:pt idx="29" formatCode="0.00">
                  <c:v>2.4274040226696103</c:v>
                </c:pt>
                <c:pt idx="30" formatCode="0.00">
                  <c:v>0.83818663929828841</c:v>
                </c:pt>
                <c:pt idx="31" formatCode="0.00">
                  <c:v>1.1558263622360787</c:v>
                </c:pt>
                <c:pt idx="32" formatCode="0.00">
                  <c:v>2.9073218127503297</c:v>
                </c:pt>
                <c:pt idx="33" formatCode="0.00">
                  <c:v>1.3210442787032095</c:v>
                </c:pt>
                <c:pt idx="34" formatCode="0.00">
                  <c:v>3.4791092835397608</c:v>
                </c:pt>
                <c:pt idx="35" formatCode="0.00">
                  <c:v>3.1955879185788127</c:v>
                </c:pt>
                <c:pt idx="36" formatCode="0.00">
                  <c:v>3.4347729159552198</c:v>
                </c:pt>
                <c:pt idx="37" formatCode="0.00">
                  <c:v>5.3235581974818258</c:v>
                </c:pt>
                <c:pt idx="38" formatCode="0.00">
                  <c:v>4.5874448368235843</c:v>
                </c:pt>
                <c:pt idx="39" formatCode="0.00">
                  <c:v>4.5831401173059172</c:v>
                </c:pt>
                <c:pt idx="40" formatCode="0.00">
                  <c:v>3.4940080467708912</c:v>
                </c:pt>
                <c:pt idx="41" formatCode="0.00">
                  <c:v>3.2975201749338545</c:v>
                </c:pt>
                <c:pt idx="42" formatCode="0.00">
                  <c:v>4.8607754408229731</c:v>
                </c:pt>
                <c:pt idx="43" formatCode="0.00">
                  <c:v>4.0163786344107111</c:v>
                </c:pt>
                <c:pt idx="44" formatCode="0.00">
                  <c:v>5.9469350662523457</c:v>
                </c:pt>
                <c:pt idx="45" formatCode="0.00">
                  <c:v>5.5720251904435081</c:v>
                </c:pt>
                <c:pt idx="46" formatCode="0.00">
                  <c:v>4.8239742513126016</c:v>
                </c:pt>
                <c:pt idx="47" formatCode="0.00">
                  <c:v>6.837556802282152</c:v>
                </c:pt>
                <c:pt idx="48" formatCode="0.00">
                  <c:v>4.5596062369562596</c:v>
                </c:pt>
                <c:pt idx="49" formatCode="0.00">
                  <c:v>4.5328548560877868</c:v>
                </c:pt>
                <c:pt idx="50" formatCode="0.00">
                  <c:v>4.1764811671989532</c:v>
                </c:pt>
                <c:pt idx="51" formatCode="0.00">
                  <c:v>4.0664689545878874</c:v>
                </c:pt>
                <c:pt idx="52" formatCode="0.00">
                  <c:v>4.371660742582395</c:v>
                </c:pt>
                <c:pt idx="53" formatCode="0.00">
                  <c:v>2.222004080002371</c:v>
                </c:pt>
                <c:pt idx="54" formatCode="0.00">
                  <c:v>0.68231063723933616</c:v>
                </c:pt>
                <c:pt idx="55" formatCode="0.00">
                  <c:v>-3.8227680853711088</c:v>
                </c:pt>
                <c:pt idx="56" formatCode="0.00">
                  <c:v>-8.0809866654801272</c:v>
                </c:pt>
                <c:pt idx="57" formatCode="0.00">
                  <c:v>-8.0820503118509297</c:v>
                </c:pt>
                <c:pt idx="58" formatCode="0.00">
                  <c:v>-6.7329810397329322</c:v>
                </c:pt>
                <c:pt idx="59" formatCode="0.00">
                  <c:v>-3.5520105614374908</c:v>
                </c:pt>
                <c:pt idx="60" formatCode="0.00">
                  <c:v>2.3074241758272329</c:v>
                </c:pt>
                <c:pt idx="61" formatCode="0.00">
                  <c:v>5.7741402450119717</c:v>
                </c:pt>
                <c:pt idx="62" formatCode="0.00">
                  <c:v>7.2146697449174901</c:v>
                </c:pt>
                <c:pt idx="63" formatCode="0.00">
                  <c:v>8.3709976909414294</c:v>
                </c:pt>
                <c:pt idx="64" formatCode="0.00">
                  <c:v>6.2740861619292376</c:v>
                </c:pt>
                <c:pt idx="65" formatCode="0.00">
                  <c:v>5.1203242565763363</c:v>
                </c:pt>
                <c:pt idx="66" formatCode="0.00">
                  <c:v>3.7954460464870055</c:v>
                </c:pt>
                <c:pt idx="67" formatCode="0.00">
                  <c:v>5.0035232913092642E-2</c:v>
                </c:pt>
                <c:pt idx="68" formatCode="0.00">
                  <c:v>2.2522497230772709</c:v>
                </c:pt>
                <c:pt idx="69" formatCode="0.00">
                  <c:v>1.2017390648815462</c:v>
                </c:pt>
                <c:pt idx="70" formatCode="0.00">
                  <c:v>-0.39153197247903115</c:v>
                </c:pt>
                <c:pt idx="71" formatCode="0.00">
                  <c:v>1.5084823403170189</c:v>
                </c:pt>
                <c:pt idx="72" formatCode="0.00">
                  <c:v>-0.45962014767952919</c:v>
                </c:pt>
                <c:pt idx="73" formatCode="0.00">
                  <c:v>1.119678864998086E-2</c:v>
                </c:pt>
                <c:pt idx="74" formatCode="0.00">
                  <c:v>1.6317765048368793</c:v>
                </c:pt>
                <c:pt idx="75" formatCode="0.00">
                  <c:v>1.4564880043762995</c:v>
                </c:pt>
                <c:pt idx="76" formatCode="0.00">
                  <c:v>3.3307159979226952</c:v>
                </c:pt>
                <c:pt idx="77" formatCode="0.00">
                  <c:v>3.5718151940991261</c:v>
                </c:pt>
                <c:pt idx="78" formatCode="0.00">
                  <c:v>3.24136725980253</c:v>
                </c:pt>
                <c:pt idx="79" formatCode="0.00">
                  <c:v>4.7225762532904003</c:v>
                </c:pt>
                <c:pt idx="80" formatCode="0.00">
                  <c:v>3.7239387187831818</c:v>
                </c:pt>
                <c:pt idx="81" formatCode="0.00">
                  <c:v>3.5000927959313533</c:v>
                </c:pt>
                <c:pt idx="82" formatCode="0.00">
                  <c:v>4.4993986363362382</c:v>
                </c:pt>
                <c:pt idx="83" formatCode="0.00">
                  <c:v>4.7774379819887747</c:v>
                </c:pt>
                <c:pt idx="84" formatCode="0.00">
                  <c:v>3.9764730035138696</c:v>
                </c:pt>
                <c:pt idx="85" formatCode="0.00">
                  <c:v>3.3090102768797536</c:v>
                </c:pt>
                <c:pt idx="86" formatCode="0.00">
                  <c:v>2.7416132677981153</c:v>
                </c:pt>
                <c:pt idx="87" formatCode="0.00">
                  <c:v>1.9022799912060906</c:v>
                </c:pt>
                <c:pt idx="88" formatCode="0.00">
                  <c:v>2.1986433589679999</c:v>
                </c:pt>
                <c:pt idx="89" formatCode="0.00">
                  <c:v>3.5103622839529836</c:v>
                </c:pt>
                <c:pt idx="90" formatCode="0.00">
                  <c:v>3.3551901575440857</c:v>
                </c:pt>
                <c:pt idx="91" formatCode="0.00">
                  <c:v>3.4251767681436007</c:v>
                </c:pt>
                <c:pt idx="92" formatCode="0.00">
                  <c:v>3.6412779681309404</c:v>
                </c:pt>
                <c:pt idx="93" formatCode="0.00">
                  <c:v>2.5392519520457624</c:v>
                </c:pt>
                <c:pt idx="94" formatCode="0.00">
                  <c:v>2.1016266838829623</c:v>
                </c:pt>
                <c:pt idx="95" formatCode="0.00">
                  <c:v>1.652204611637087</c:v>
                </c:pt>
                <c:pt idx="96" formatCode="0.00">
                  <c:v>1.8062426524279473</c:v>
                </c:pt>
                <c:pt idx="97" formatCode="0.00">
                  <c:v>2.0608575233611148</c:v>
                </c:pt>
                <c:pt idx="98" formatCode="0.00">
                  <c:v>2.1873465516561108</c:v>
                </c:pt>
                <c:pt idx="99" formatCode="0.00">
                  <c:v>2.2742956059344177</c:v>
                </c:pt>
                <c:pt idx="100" formatCode="0.00">
                  <c:v>2.2396928838908092</c:v>
                </c:pt>
                <c:pt idx="101" formatCode="0.00">
                  <c:v>2.3050564386048134</c:v>
                </c:pt>
                <c:pt idx="102" formatCode="0.00">
                  <c:v>2.3945820427581754</c:v>
                </c:pt>
                <c:pt idx="103" formatCode="0.00">
                  <c:v>2.3587612338164421</c:v>
                </c:pt>
              </c:numCache>
            </c:numRef>
          </c:val>
          <c:smooth val="0"/>
          <c:extLst>
            <c:ext xmlns:c16="http://schemas.microsoft.com/office/drawing/2014/chart" uri="{C3380CC4-5D6E-409C-BE32-E72D297353CC}">
              <c16:uniqueId val="{00000001-0A3E-4A47-9565-425919785251}"/>
            </c:ext>
          </c:extLst>
        </c:ser>
        <c:dLbls>
          <c:showLegendKey val="0"/>
          <c:showVal val="0"/>
          <c:showCatName val="0"/>
          <c:showSerName val="0"/>
          <c:showPercent val="0"/>
          <c:showBubbleSize val="0"/>
        </c:dLbls>
        <c:marker val="1"/>
        <c:smooth val="0"/>
        <c:axId val="286307456"/>
        <c:axId val="286309376"/>
      </c:lineChart>
      <c:catAx>
        <c:axId val="286307456"/>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fr-FR"/>
          </a:p>
        </c:txPr>
        <c:crossAx val="286309376"/>
        <c:crosses val="autoZero"/>
        <c:auto val="1"/>
        <c:lblAlgn val="ctr"/>
        <c:lblOffset val="100"/>
        <c:tickLblSkip val="4"/>
        <c:tickMarkSkip val="4"/>
        <c:noMultiLvlLbl val="0"/>
      </c:catAx>
      <c:valAx>
        <c:axId val="286309376"/>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fr-FR"/>
          </a:p>
        </c:txPr>
        <c:crossAx val="286307456"/>
        <c:crosses val="autoZero"/>
        <c:crossBetween val="between"/>
      </c:valAx>
      <c:spPr>
        <a:noFill/>
        <a:ln w="12700">
          <a:solidFill>
            <a:srgbClr val="808080"/>
          </a:solidFill>
          <a:prstDash val="solid"/>
        </a:ln>
      </c:spPr>
    </c:plotArea>
    <c:legend>
      <c:legendPos val="r"/>
      <c:layout>
        <c:manualLayout>
          <c:xMode val="edge"/>
          <c:yMode val="edge"/>
          <c:x val="7.4107199396449039E-2"/>
          <c:y val="0.78283166122999304"/>
          <c:w val="0.16964298657018456"/>
          <c:h val="7.828316612299932E-2"/>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paperSize="9" orientation="landscape"/>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GB"/>
              <a:t>Gross domestic product (QoQ)</a:t>
            </a:r>
          </a:p>
        </c:rich>
      </c:tx>
      <c:layout>
        <c:manualLayout>
          <c:xMode val="edge"/>
          <c:yMode val="edge"/>
          <c:x val="0.40401785714285715"/>
          <c:y val="3.6065573770491806E-2"/>
        </c:manualLayout>
      </c:layout>
      <c:overlay val="0"/>
      <c:spPr>
        <a:noFill/>
        <a:ln w="25400">
          <a:noFill/>
        </a:ln>
      </c:spPr>
    </c:title>
    <c:autoTitleDeleted val="0"/>
    <c:plotArea>
      <c:layout>
        <c:manualLayout>
          <c:layoutTarget val="inner"/>
          <c:xMode val="edge"/>
          <c:yMode val="edge"/>
          <c:x val="5.3571428571428568E-2"/>
          <c:y val="0.19672131147540983"/>
          <c:w val="0.9308035714285714"/>
          <c:h val="0.69180327868852454"/>
        </c:manualLayout>
      </c:layout>
      <c:barChart>
        <c:barDir val="col"/>
        <c:grouping val="stacked"/>
        <c:varyColors val="0"/>
        <c:ser>
          <c:idx val="0"/>
          <c:order val="0"/>
          <c:tx>
            <c:strRef>
              <c:f>'Q1'!$F$263</c:f>
              <c:strCache>
                <c:ptCount val="1"/>
                <c:pt idx="0">
                  <c:v>QGDP</c:v>
                </c:pt>
              </c:strCache>
            </c:strRef>
          </c:tx>
          <c:spPr>
            <a:solidFill>
              <a:srgbClr val="CCFFCC"/>
            </a:solidFill>
            <a:ln w="12700">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3">
                  <c:v>1</c:v>
                </c:pt>
                <c:pt idx="96">
                  <c:v>2019</c:v>
                </c:pt>
                <c:pt idx="100">
                  <c:v>2020</c:v>
                </c:pt>
              </c:numCache>
            </c:numRef>
          </c:cat>
          <c:val>
            <c:numRef>
              <c:f>'Q1'!$G$263:$DJ$263</c:f>
              <c:numCache>
                <c:formatCode>0.00</c:formatCode>
                <c:ptCount val="108"/>
                <c:pt idx="1">
                  <c:v>0.53028225275537633</c:v>
                </c:pt>
                <c:pt idx="2">
                  <c:v>0.35919501777073037</c:v>
                </c:pt>
                <c:pt idx="3">
                  <c:v>1.3361851862099039</c:v>
                </c:pt>
                <c:pt idx="4">
                  <c:v>0.37016380397996151</c:v>
                </c:pt>
                <c:pt idx="5">
                  <c:v>-0.75227975604164055</c:v>
                </c:pt>
                <c:pt idx="6">
                  <c:v>0.47670239237831424</c:v>
                </c:pt>
                <c:pt idx="7">
                  <c:v>0.7458407971366654</c:v>
                </c:pt>
                <c:pt idx="8">
                  <c:v>0.58981850696857574</c:v>
                </c:pt>
                <c:pt idx="9">
                  <c:v>1.2868755300363466</c:v>
                </c:pt>
                <c:pt idx="10">
                  <c:v>0.99734374659805614</c:v>
                </c:pt>
                <c:pt idx="11">
                  <c:v>1.6847871745164333</c:v>
                </c:pt>
                <c:pt idx="12">
                  <c:v>0.25551139848023485</c:v>
                </c:pt>
                <c:pt idx="13">
                  <c:v>1.6184890028857035</c:v>
                </c:pt>
                <c:pt idx="14">
                  <c:v>0.52628277122037659</c:v>
                </c:pt>
                <c:pt idx="15">
                  <c:v>1.1064171127064482</c:v>
                </c:pt>
                <c:pt idx="16">
                  <c:v>1.4809233509144315</c:v>
                </c:pt>
                <c:pt idx="17">
                  <c:v>0.31750877773881747</c:v>
                </c:pt>
                <c:pt idx="18">
                  <c:v>0.99696568588378831</c:v>
                </c:pt>
                <c:pt idx="19">
                  <c:v>1.8291919586361782</c:v>
                </c:pt>
                <c:pt idx="20">
                  <c:v>0.7262462352613408</c:v>
                </c:pt>
                <c:pt idx="21">
                  <c:v>2.1751779470431387</c:v>
                </c:pt>
                <c:pt idx="22">
                  <c:v>0.86950155702743004</c:v>
                </c:pt>
                <c:pt idx="23">
                  <c:v>0.28043775270838456</c:v>
                </c:pt>
                <c:pt idx="24">
                  <c:v>-0.24571717994025244</c:v>
                </c:pt>
                <c:pt idx="25">
                  <c:v>0.43490656155062979</c:v>
                </c:pt>
                <c:pt idx="26">
                  <c:v>0.61187118045795685</c:v>
                </c:pt>
                <c:pt idx="27">
                  <c:v>0.60264175255966279</c:v>
                </c:pt>
                <c:pt idx="28">
                  <c:v>-3.5548824130704482E-2</c:v>
                </c:pt>
                <c:pt idx="29">
                  <c:v>1.3835590214738014</c:v>
                </c:pt>
                <c:pt idx="30">
                  <c:v>0.18701913062175723</c:v>
                </c:pt>
                <c:pt idx="31">
                  <c:v>0.44236878302037486</c:v>
                </c:pt>
                <c:pt idx="32">
                  <c:v>1.1931471862928644</c:v>
                </c:pt>
                <c:pt idx="33">
                  <c:v>-0.42209606865875049</c:v>
                </c:pt>
                <c:pt idx="34">
                  <c:v>1.3574586869907757</c:v>
                </c:pt>
                <c:pt idx="35">
                  <c:v>0.60580899298801061</c:v>
                </c:pt>
                <c:pt idx="36">
                  <c:v>1.5515947259894247</c:v>
                </c:pt>
                <c:pt idx="37">
                  <c:v>0.71573799353772394</c:v>
                </c:pt>
                <c:pt idx="38">
                  <c:v>0.86402058034196205</c:v>
                </c:pt>
                <c:pt idx="39">
                  <c:v>0.82613006093168462</c:v>
                </c:pt>
                <c:pt idx="40">
                  <c:v>0.10531286405131013</c:v>
                </c:pt>
                <c:pt idx="41">
                  <c:v>1.0788205434633324</c:v>
                </c:pt>
                <c:pt idx="42">
                  <c:v>0.94251733460315457</c:v>
                </c:pt>
                <c:pt idx="43">
                  <c:v>0.66924410796282974</c:v>
                </c:pt>
                <c:pt idx="44">
                  <c:v>1.9550471022039551</c:v>
                </c:pt>
                <c:pt idx="45">
                  <c:v>1.144861057953217</c:v>
                </c:pt>
                <c:pt idx="46">
                  <c:v>1.3177578177496985</c:v>
                </c:pt>
                <c:pt idx="47">
                  <c:v>0.57870674616624651</c:v>
                </c:pt>
                <c:pt idx="48">
                  <c:v>0.86343556295680468</c:v>
                </c:pt>
                <c:pt idx="49">
                  <c:v>0.71931879691298217</c:v>
                </c:pt>
                <c:pt idx="50">
                  <c:v>0.77042770639212943</c:v>
                </c:pt>
                <c:pt idx="51">
                  <c:v>1.2901196076039234</c:v>
                </c:pt>
                <c:pt idx="52">
                  <c:v>-1.3344917211147944</c:v>
                </c:pt>
                <c:pt idx="53">
                  <c:v>0.20929535422187229</c:v>
                </c:pt>
                <c:pt idx="54">
                  <c:v>-0.2235220652464176</c:v>
                </c:pt>
                <c:pt idx="55">
                  <c:v>-3.7401159094177294</c:v>
                </c:pt>
                <c:pt idx="56">
                  <c:v>-2.5160619376266569</c:v>
                </c:pt>
                <c:pt idx="57">
                  <c:v>4.6780539873680915E-2</c:v>
                </c:pt>
                <c:pt idx="58">
                  <c:v>7.5900044109444842E-2</c:v>
                </c:pt>
                <c:pt idx="59">
                  <c:v>0.56664668426498199</c:v>
                </c:pt>
                <c:pt idx="60">
                  <c:v>2.3685834612188206</c:v>
                </c:pt>
                <c:pt idx="61">
                  <c:v>2.18550257384027</c:v>
                </c:pt>
                <c:pt idx="62">
                  <c:v>1.2834275244796078</c:v>
                </c:pt>
                <c:pt idx="63">
                  <c:v>1.8368496770541087</c:v>
                </c:pt>
                <c:pt idx="64">
                  <c:v>-9.9639147705476994E-2</c:v>
                </c:pt>
                <c:pt idx="65">
                  <c:v>0.29541918764997011</c:v>
                </c:pt>
                <c:pt idx="66">
                  <c:v>0.97332999231447559</c:v>
                </c:pt>
                <c:pt idx="67">
                  <c:v>-1.6742426650561137</c:v>
                </c:pt>
                <c:pt idx="68">
                  <c:v>0.41482137798822816</c:v>
                </c:pt>
                <c:pt idx="69">
                  <c:v>0.63936165748439411</c:v>
                </c:pt>
                <c:pt idx="70">
                  <c:v>-7.9722727728537279E-2</c:v>
                </c:pt>
                <c:pt idx="71">
                  <c:v>-0.47940249562206105</c:v>
                </c:pt>
                <c:pt idx="72" formatCode="0.0">
                  <c:v>1.1844449143037838</c:v>
                </c:pt>
                <c:pt idx="73" formatCode="0.0">
                  <c:v>-0.3609686787724109</c:v>
                </c:pt>
                <c:pt idx="74">
                  <c:v>0.69682500647805234</c:v>
                </c:pt>
                <c:pt idx="75">
                  <c:v>0.7904655913467451</c:v>
                </c:pt>
                <c:pt idx="76" formatCode="0.0">
                  <c:v>0.71437275396584177</c:v>
                </c:pt>
                <c:pt idx="77" formatCode="0.0">
                  <c:v>0.74897227427979107</c:v>
                </c:pt>
                <c:pt idx="78" formatCode="0.0">
                  <c:v>0.43474502775733281</c:v>
                </c:pt>
                <c:pt idx="79">
                  <c:v>1.3324292389980119</c:v>
                </c:pt>
                <c:pt idx="80" formatCode="0.0">
                  <c:v>1.0568109643114054</c:v>
                </c:pt>
                <c:pt idx="81" formatCode="0.0">
                  <c:v>0.88414683554614015</c:v>
                </c:pt>
                <c:pt idx="82" formatCode="0.0">
                  <c:v>1.4833864934650443</c:v>
                </c:pt>
                <c:pt idx="83" formatCode="0.0">
                  <c:v>1.1124189267073037</c:v>
                </c:pt>
                <c:pt idx="84" formatCode="0.0">
                  <c:v>8.611215031302244E-2</c:v>
                </c:pt>
                <c:pt idx="85" formatCode="0.0">
                  <c:v>0.25172725343065583</c:v>
                </c:pt>
                <c:pt idx="86" formatCode="0.0">
                  <c:v>0.49016867263103059</c:v>
                </c:pt>
                <c:pt idx="87" formatCode="0.0">
                  <c:v>0.51339577405928871</c:v>
                </c:pt>
                <c:pt idx="88" formatCode="0.0">
                  <c:v>0.40423031820462363</c:v>
                </c:pt>
                <c:pt idx="89" formatCode="0.0">
                  <c:v>1.1457377241083533</c:v>
                </c:pt>
                <c:pt idx="90" formatCode="0.0">
                  <c:v>0.42094558459544462</c:v>
                </c:pt>
                <c:pt idx="91" formatCode="0.0">
                  <c:v>0.68827524174299715</c:v>
                </c:pt>
                <c:pt idx="92" formatCode="0.0">
                  <c:v>0.54930177229954857</c:v>
                </c:pt>
                <c:pt idx="93" formatCode="0.0">
                  <c:v>0.76488268205716636</c:v>
                </c:pt>
                <c:pt idx="94" formatCode="0.0">
                  <c:v>0.25200539014402779</c:v>
                </c:pt>
                <c:pt idx="95" formatCode="0.0">
                  <c:v>0.40329740728684005</c:v>
                </c:pt>
                <c:pt idx="96" formatCode="0.0">
                  <c:v>0.32868125784137892</c:v>
                </c:pt>
                <c:pt idx="97" formatCode="0.0">
                  <c:v>0.40458909801095455</c:v>
                </c:pt>
                <c:pt idx="98" formatCode="0.0">
                  <c:v>0.33811235517571259</c:v>
                </c:pt>
                <c:pt idx="99" formatCode="0.0">
                  <c:v>0.26833399675958436</c:v>
                </c:pt>
                <c:pt idx="100" formatCode="0.0">
                  <c:v>0.36624145647452533</c:v>
                </c:pt>
                <c:pt idx="101" formatCode="0.0">
                  <c:v>0.43016720058188795</c:v>
                </c:pt>
                <c:pt idx="102" formatCode="0.0">
                  <c:v>0.42310630741280164</c:v>
                </c:pt>
                <c:pt idx="103" formatCode="0.0">
                  <c:v>0.33113125304427005</c:v>
                </c:pt>
              </c:numCache>
            </c:numRef>
          </c:val>
          <c:extLst>
            <c:ext xmlns:c16="http://schemas.microsoft.com/office/drawing/2014/chart" uri="{C3380CC4-5D6E-409C-BE32-E72D297353CC}">
              <c16:uniqueId val="{00000000-8D31-4C7F-AB49-16E916F0EC37}"/>
            </c:ext>
          </c:extLst>
        </c:ser>
        <c:dLbls>
          <c:showLegendKey val="0"/>
          <c:showVal val="0"/>
          <c:showCatName val="0"/>
          <c:showSerName val="0"/>
          <c:showPercent val="0"/>
          <c:showBubbleSize val="0"/>
        </c:dLbls>
        <c:gapWidth val="10"/>
        <c:overlap val="100"/>
        <c:axId val="286006272"/>
        <c:axId val="286020352"/>
      </c:barChart>
      <c:catAx>
        <c:axId val="286006272"/>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fr-FR"/>
          </a:p>
        </c:txPr>
        <c:crossAx val="286020352"/>
        <c:crosses val="autoZero"/>
        <c:auto val="1"/>
        <c:lblAlgn val="ctr"/>
        <c:lblOffset val="100"/>
        <c:tickLblSkip val="4"/>
        <c:tickMarkSkip val="4"/>
        <c:noMultiLvlLbl val="0"/>
      </c:catAx>
      <c:valAx>
        <c:axId val="286020352"/>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fr-FR"/>
          </a:p>
        </c:txPr>
        <c:crossAx val="286006272"/>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GB"/>
              <a:t>Gross domestic product (YoY)</a:t>
            </a:r>
          </a:p>
        </c:rich>
      </c:tx>
      <c:layout>
        <c:manualLayout>
          <c:xMode val="edge"/>
          <c:yMode val="edge"/>
          <c:x val="0.40513392857142855"/>
          <c:y val="3.5947712418300651E-2"/>
        </c:manualLayout>
      </c:layout>
      <c:overlay val="0"/>
      <c:spPr>
        <a:noFill/>
        <a:ln w="25400">
          <a:noFill/>
        </a:ln>
      </c:spPr>
    </c:title>
    <c:autoTitleDeleted val="0"/>
    <c:plotArea>
      <c:layout>
        <c:manualLayout>
          <c:layoutTarget val="inner"/>
          <c:xMode val="edge"/>
          <c:yMode val="edge"/>
          <c:x val="5.3571428571428568E-2"/>
          <c:y val="0.19281107284988017"/>
          <c:w val="0.9308035714285714"/>
          <c:h val="0.69608065283092335"/>
        </c:manualLayout>
      </c:layout>
      <c:barChart>
        <c:barDir val="col"/>
        <c:grouping val="stacked"/>
        <c:varyColors val="0"/>
        <c:ser>
          <c:idx val="0"/>
          <c:order val="0"/>
          <c:tx>
            <c:strRef>
              <c:f>'Q1'!$F$263</c:f>
              <c:strCache>
                <c:ptCount val="1"/>
                <c:pt idx="0">
                  <c:v>QGDP</c:v>
                </c:pt>
              </c:strCache>
            </c:strRef>
          </c:tx>
          <c:spPr>
            <a:solidFill>
              <a:srgbClr val="FF8080"/>
            </a:solidFill>
            <a:ln w="12700">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3">
                  <c:v>1</c:v>
                </c:pt>
                <c:pt idx="96">
                  <c:v>2019</c:v>
                </c:pt>
                <c:pt idx="100">
                  <c:v>2020</c:v>
                </c:pt>
              </c:numCache>
            </c:numRef>
          </c:cat>
          <c:val>
            <c:numRef>
              <c:f>'Q1'!$G$268:$DJ$268</c:f>
              <c:numCache>
                <c:formatCode>0</c:formatCode>
                <c:ptCount val="108"/>
                <c:pt idx="4" formatCode="0.00">
                  <c:v>2.6179312585370873</c:v>
                </c:pt>
                <c:pt idx="5" formatCode="0.00">
                  <c:v>1.3087350929216646</c:v>
                </c:pt>
                <c:pt idx="6" formatCode="0.00">
                  <c:v>1.4273542536620054</c:v>
                </c:pt>
                <c:pt idx="7" formatCode="0.00">
                  <c:v>0.83647874979173586</c:v>
                </c:pt>
                <c:pt idx="8" formatCode="0.00">
                  <c:v>1.0571539579488309</c:v>
                </c:pt>
                <c:pt idx="9" formatCode="0.00">
                  <c:v>3.1334860810727561</c:v>
                </c:pt>
                <c:pt idx="10" formatCode="0.00">
                  <c:v>3.6678941237348495</c:v>
                </c:pt>
                <c:pt idx="11" formatCode="0.00">
                  <c:v>4.6340738971914153</c:v>
                </c:pt>
                <c:pt idx="12" formatCode="0.00">
                  <c:v>4.2863258326941711</c:v>
                </c:pt>
                <c:pt idx="13" formatCode="0.00">
                  <c:v>4.6277595130116866</c:v>
                </c:pt>
                <c:pt idx="14" formatCode="0.00">
                  <c:v>4.1397659418991761</c:v>
                </c:pt>
                <c:pt idx="15" formatCode="0.00">
                  <c:v>3.5474322749041276</c:v>
                </c:pt>
                <c:pt idx="16" formatCode="0.00">
                  <c:v>4.8130810096575161</c:v>
                </c:pt>
                <c:pt idx="17" formatCode="0.00">
                  <c:v>3.4712017210724255</c:v>
                </c:pt>
                <c:pt idx="18" formatCode="0.00">
                  <c:v>3.9556732987257703</c:v>
                </c:pt>
                <c:pt idx="19" formatCode="0.00">
                  <c:v>4.6988164927749709</c:v>
                </c:pt>
                <c:pt idx="20" formatCode="0.00">
                  <c:v>3.9202090635753528</c:v>
                </c:pt>
                <c:pt idx="21" formatCode="0.00">
                  <c:v>5.8445926611861987</c:v>
                </c:pt>
                <c:pt idx="22" formatCode="0.00">
                  <c:v>5.7110105411086964</c:v>
                </c:pt>
                <c:pt idx="23" formatCode="0.00">
                  <c:v>4.1032164592807341</c:v>
                </c:pt>
                <c:pt idx="24" formatCode="0.00">
                  <c:v>3.0986667854360217</c:v>
                </c:pt>
                <c:pt idx="25" formatCode="0.00">
                  <c:v>1.3426663233461644</c:v>
                </c:pt>
                <c:pt idx="26" formatCode="0.00">
                  <c:v>1.0838274386048008</c:v>
                </c:pt>
                <c:pt idx="27" formatCode="0.00">
                  <c:v>1.4086127531774295</c:v>
                </c:pt>
                <c:pt idx="28" formatCode="0.00">
                  <c:v>1.6222665513377477</c:v>
                </c:pt>
                <c:pt idx="29" formatCode="0.00">
                  <c:v>2.5821341556135025</c:v>
                </c:pt>
                <c:pt idx="30" formatCode="0.00">
                  <c:v>2.1489623095754196</c:v>
                </c:pt>
                <c:pt idx="31" formatCode="0.00">
                  <c:v>1.9862258521672782</c:v>
                </c:pt>
                <c:pt idx="32" formatCode="0.00">
                  <c:v>3.2397721613672825</c:v>
                </c:pt>
                <c:pt idx="33" formatCode="0.00">
                  <c:v>1.4010576606481528</c:v>
                </c:pt>
                <c:pt idx="34" formatCode="0.00">
                  <c:v>2.5856802791626388</c:v>
                </c:pt>
                <c:pt idx="35" formatCode="0.00">
                  <c:v>2.7526080938651942</c:v>
                </c:pt>
                <c:pt idx="36" formatCode="0.00">
                  <c:v>3.11657957407665</c:v>
                </c:pt>
                <c:pt idx="37" formatCode="0.00">
                  <c:v>4.294848567341214</c:v>
                </c:pt>
                <c:pt idx="38" formatCode="0.00">
                  <c:v>3.7871103774047565</c:v>
                </c:pt>
                <c:pt idx="39" formatCode="0.00">
                  <c:v>4.0143983166005093</c:v>
                </c:pt>
                <c:pt idx="40" formatCode="0.00">
                  <c:v>2.5330415927439009</c:v>
                </c:pt>
                <c:pt idx="41" formatCode="0.00">
                  <c:v>2.9026755639064872</c:v>
                </c:pt>
                <c:pt idx="42" formatCode="0.00">
                  <c:v>2.982758887871606</c:v>
                </c:pt>
                <c:pt idx="43" formatCode="0.00">
                  <c:v>2.8225172098688578</c:v>
                </c:pt>
                <c:pt idx="44" formatCode="0.00">
                  <c:v>4.7224596314507039</c:v>
                </c:pt>
                <c:pt idx="45" formatCode="0.00">
                  <c:v>4.7908807415856014</c:v>
                </c:pt>
                <c:pt idx="46" formatCode="0.00">
                  <c:v>5.1804270076895031</c:v>
                </c:pt>
                <c:pt idx="47" formatCode="0.00">
                  <c:v>5.0858324921719156</c:v>
                </c:pt>
                <c:pt idx="48" formatCode="0.00">
                  <c:v>3.9607002832204863</c:v>
                </c:pt>
                <c:pt idx="49" formatCode="0.00">
                  <c:v>3.5233110674451229</c:v>
                </c:pt>
                <c:pt idx="50" formatCode="0.00">
                  <c:v>2.9640663052725058</c:v>
                </c:pt>
                <c:pt idx="51" formatCode="0.00">
                  <c:v>3.6923512813396231</c:v>
                </c:pt>
                <c:pt idx="52" formatCode="0.00">
                  <c:v>1.4327787538052306</c:v>
                </c:pt>
                <c:pt idx="53" formatCode="0.00">
                  <c:v>0.91914248581124181</c:v>
                </c:pt>
                <c:pt idx="54" formatCode="0.00">
                  <c:v>-7.6274135025089507E-2</c:v>
                </c:pt>
                <c:pt idx="55" formatCode="0.00">
                  <c:v>-5.0386522700924585</c:v>
                </c:pt>
                <c:pt idx="56" formatCode="0.00">
                  <c:v>-6.1758632585600211</c:v>
                </c:pt>
                <c:pt idx="57" formatCode="0.00">
                  <c:v>-6.3280229171028264</c:v>
                </c:pt>
                <c:pt idx="58" formatCode="0.00">
                  <c:v>-6.0469199803561917</c:v>
                </c:pt>
                <c:pt idx="59" formatCode="0.00">
                  <c:v>-1.8433660865127877</c:v>
                </c:pt>
                <c:pt idx="60" formatCode="0.00">
                  <c:v>3.0749862055837962</c:v>
                </c:pt>
                <c:pt idx="61" formatCode="0.00">
                  <c:v>5.2784428581526655</c:v>
                </c:pt>
                <c:pt idx="62" formatCode="0.00">
                  <c:v>6.548744826816133</c:v>
                </c:pt>
                <c:pt idx="63" formatCode="0.00">
                  <c:v>7.8945044699893607</c:v>
                </c:pt>
                <c:pt idx="64" formatCode="0.00">
                  <c:v>5.2930456404608917</c:v>
                </c:pt>
                <c:pt idx="65" formatCode="0.00">
                  <c:v>3.3454833030089226</c:v>
                </c:pt>
                <c:pt idx="66" formatCode="0.00">
                  <c:v>3.0290724141206038</c:v>
                </c:pt>
                <c:pt idx="67" formatCode="0.00">
                  <c:v>-0.52312493207682387</c:v>
                </c:pt>
                <c:pt idx="68" formatCode="0.00">
                  <c:v>-1.0845246546187237E-2</c:v>
                </c:pt>
                <c:pt idx="69" formatCode="0.00">
                  <c:v>0.33204695253037375</c:v>
                </c:pt>
                <c:pt idx="70" formatCode="0.00">
                  <c:v>-0.71431781486797075</c:v>
                </c:pt>
                <c:pt idx="71" formatCode="0.00">
                  <c:v>0.49218722043369301</c:v>
                </c:pt>
                <c:pt idx="72" formatCode="0.00">
                  <c:v>1.2624037227321194</c:v>
                </c:pt>
                <c:pt idx="73" formatCode="0.00">
                  <c:v>0.25588050261389217</c:v>
                </c:pt>
                <c:pt idx="74" formatCode="0.00">
                  <c:v>1.0350364354287045</c:v>
                </c:pt>
                <c:pt idx="75" formatCode="0.00">
                  <c:v>2.3242285388969108</c:v>
                </c:pt>
                <c:pt idx="76" formatCode="0.00">
                  <c:v>1.8488612904534296</c:v>
                </c:pt>
                <c:pt idx="77" formatCode="0.00">
                  <c:v>2.9834189097819097</c:v>
                </c:pt>
                <c:pt idx="78" formatCode="0.00">
                  <c:v>2.7153876959404855</c:v>
                </c:pt>
                <c:pt idx="79" formatCode="0.00">
                  <c:v>3.2677019040255217</c:v>
                </c:pt>
                <c:pt idx="80" formatCode="0.00">
                  <c:v>3.6188216703462617</c:v>
                </c:pt>
                <c:pt idx="81" formatCode="0.00">
                  <c:v>3.757846699009515</c:v>
                </c:pt>
                <c:pt idx="82" formatCode="0.00">
                  <c:v>4.841184745131466</c:v>
                </c:pt>
                <c:pt idx="83" formatCode="0.00">
                  <c:v>4.6135563149247494</c:v>
                </c:pt>
                <c:pt idx="84" formatCode="0.00">
                  <c:v>3.6086932673572658</c:v>
                </c:pt>
                <c:pt idx="85" formatCode="0.00">
                  <c:v>2.9591941284441647</c:v>
                </c:pt>
                <c:pt idx="86" formatCode="0.00">
                  <c:v>1.9515325794903893</c:v>
                </c:pt>
                <c:pt idx="87" formatCode="0.00">
                  <c:v>1.3475382421841875</c:v>
                </c:pt>
                <c:pt idx="88" formatCode="0.00">
                  <c:v>1.6696657830912232</c:v>
                </c:pt>
                <c:pt idx="89" formatCode="0.00">
                  <c:v>2.5763209425640587</c:v>
                </c:pt>
                <c:pt idx="90" formatCode="0.00">
                  <c:v>2.5056607994996538</c:v>
                </c:pt>
                <c:pt idx="91" formatCode="0.00">
                  <c:v>2.6840065339874153</c:v>
                </c:pt>
                <c:pt idx="92" formatCode="0.00">
                  <c:v>2.8323719772856526</c:v>
                </c:pt>
                <c:pt idx="93" formatCode="0.00">
                  <c:v>2.4451660679228659</c:v>
                </c:pt>
                <c:pt idx="94" formatCode="0.00">
                  <c:v>2.2728204862778156</c:v>
                </c:pt>
                <c:pt idx="95" formatCode="0.00">
                  <c:v>1.9833579164212356</c:v>
                </c:pt>
                <c:pt idx="96" formatCode="0.00">
                  <c:v>1.759590863909577</c:v>
                </c:pt>
                <c:pt idx="97" formatCode="0.00">
                  <c:v>1.3957406144221807</c:v>
                </c:pt>
                <c:pt idx="98" formatCode="0.00">
                  <c:v>1.4828299395430955</c:v>
                </c:pt>
                <c:pt idx="99" formatCode="0.00">
                  <c:v>1.346415407428303</c:v>
                </c:pt>
                <c:pt idx="100" formatCode="0.00">
                  <c:v>1.3843566167189847</c:v>
                </c:pt>
                <c:pt idx="101" formatCode="0.00">
                  <c:v>1.4101843153921934</c:v>
                </c:pt>
                <c:pt idx="102" formatCode="0.00">
                  <c:v>1.4960863934734281</c:v>
                </c:pt>
                <c:pt idx="103" formatCode="0.00">
                  <c:v>1.5596525812725526</c:v>
                </c:pt>
              </c:numCache>
            </c:numRef>
          </c:val>
          <c:extLst>
            <c:ext xmlns:c16="http://schemas.microsoft.com/office/drawing/2014/chart" uri="{C3380CC4-5D6E-409C-BE32-E72D297353CC}">
              <c16:uniqueId val="{00000000-EFC7-4687-A017-C2006241572A}"/>
            </c:ext>
          </c:extLst>
        </c:ser>
        <c:dLbls>
          <c:showLegendKey val="0"/>
          <c:showVal val="0"/>
          <c:showCatName val="0"/>
          <c:showSerName val="0"/>
          <c:showPercent val="0"/>
          <c:showBubbleSize val="0"/>
        </c:dLbls>
        <c:gapWidth val="10"/>
        <c:overlap val="100"/>
        <c:axId val="286056832"/>
        <c:axId val="286058368"/>
      </c:barChart>
      <c:catAx>
        <c:axId val="286056832"/>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fr-FR"/>
          </a:p>
        </c:txPr>
        <c:crossAx val="286058368"/>
        <c:crosses val="autoZero"/>
        <c:auto val="1"/>
        <c:lblAlgn val="ctr"/>
        <c:lblOffset val="100"/>
        <c:tickLblSkip val="4"/>
        <c:tickMarkSkip val="4"/>
        <c:noMultiLvlLbl val="0"/>
      </c:catAx>
      <c:valAx>
        <c:axId val="286058368"/>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fr-FR"/>
          </a:p>
        </c:txPr>
        <c:crossAx val="286056832"/>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GB"/>
              <a:t>HICP (YoY)</a:t>
            </a:r>
          </a:p>
        </c:rich>
      </c:tx>
      <c:layout>
        <c:manualLayout>
          <c:xMode val="edge"/>
          <c:yMode val="edge"/>
          <c:x val="0.46651785714285715"/>
          <c:y val="3.5947712418300651E-2"/>
        </c:manualLayout>
      </c:layout>
      <c:overlay val="0"/>
      <c:spPr>
        <a:noFill/>
        <a:ln w="25400">
          <a:noFill/>
        </a:ln>
      </c:spPr>
    </c:title>
    <c:autoTitleDeleted val="0"/>
    <c:plotArea>
      <c:layout>
        <c:manualLayout>
          <c:layoutTarget val="inner"/>
          <c:xMode val="edge"/>
          <c:yMode val="edge"/>
          <c:x val="4.9107142857142856E-2"/>
          <c:y val="0.19281107284988017"/>
          <c:w val="0.9352678571428571"/>
          <c:h val="0.69608065283092335"/>
        </c:manualLayout>
      </c:layout>
      <c:barChart>
        <c:barDir val="col"/>
        <c:grouping val="stacked"/>
        <c:varyColors val="0"/>
        <c:ser>
          <c:idx val="0"/>
          <c:order val="0"/>
          <c:tx>
            <c:strRef>
              <c:f>'Q1'!$F$316</c:f>
              <c:strCache>
                <c:ptCount val="1"/>
              </c:strCache>
            </c:strRef>
          </c:tx>
          <c:spPr>
            <a:solidFill>
              <a:srgbClr val="0066CC"/>
            </a:solidFill>
            <a:ln w="12700">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3">
                  <c:v>1</c:v>
                </c:pt>
                <c:pt idx="96">
                  <c:v>2019</c:v>
                </c:pt>
                <c:pt idx="100">
                  <c:v>2020</c:v>
                </c:pt>
              </c:numCache>
            </c:numRef>
          </c:cat>
          <c:val>
            <c:numRef>
              <c:f>'Q1'!$G$316:$DH$316</c:f>
              <c:numCache>
                <c:formatCode>0.00</c:formatCode>
                <c:ptCount val="106"/>
                <c:pt idx="11">
                  <c:v>1.9625978961865513</c:v>
                </c:pt>
                <c:pt idx="12">
                  <c:v>1.9629373575755551</c:v>
                </c:pt>
                <c:pt idx="13">
                  <c:v>1.4797810449334037</c:v>
                </c:pt>
                <c:pt idx="14">
                  <c:v>0.6130524380661484</c:v>
                </c:pt>
                <c:pt idx="15">
                  <c:v>0.10014912206131044</c:v>
                </c:pt>
                <c:pt idx="16">
                  <c:v>0.54184143750950398</c:v>
                </c:pt>
                <c:pt idx="17">
                  <c:v>0.66496029660700628</c:v>
                </c:pt>
                <c:pt idx="18">
                  <c:v>0.98677703872731115</c:v>
                </c:pt>
                <c:pt idx="19">
                  <c:v>1.2624843247367181</c:v>
                </c:pt>
                <c:pt idx="20">
                  <c:v>1.6172882994270878</c:v>
                </c:pt>
                <c:pt idx="21">
                  <c:v>1.5882365818376485</c:v>
                </c:pt>
                <c:pt idx="22">
                  <c:v>1.6782931450090643</c:v>
                </c:pt>
                <c:pt idx="23">
                  <c:v>1.9013799437687595</c:v>
                </c:pt>
                <c:pt idx="24">
                  <c:v>1.6007649606465861</c:v>
                </c:pt>
                <c:pt idx="25">
                  <c:v>2.9846766756106149</c:v>
                </c:pt>
                <c:pt idx="26">
                  <c:v>3.097088417152122</c:v>
                </c:pt>
                <c:pt idx="27">
                  <c:v>3.0245252487754328</c:v>
                </c:pt>
                <c:pt idx="28">
                  <c:v>2.81321424852419</c:v>
                </c:pt>
                <c:pt idx="29">
                  <c:v>1.8338012920295199</c:v>
                </c:pt>
                <c:pt idx="30">
                  <c:v>1.4507521442804148</c:v>
                </c:pt>
                <c:pt idx="31">
                  <c:v>1.552693571979475</c:v>
                </c:pt>
                <c:pt idx="32">
                  <c:v>3.0020275525650391</c:v>
                </c:pt>
                <c:pt idx="33">
                  <c:v>2.1015989734290912</c:v>
                </c:pt>
                <c:pt idx="34">
                  <c:v>2.3406451498937315</c:v>
                </c:pt>
                <c:pt idx="35">
                  <c:v>1.9506836418764095</c:v>
                </c:pt>
                <c:pt idx="36">
                  <c:v>0.58551114627130119</c:v>
                </c:pt>
                <c:pt idx="37">
                  <c:v>1.2084482312263702</c:v>
                </c:pt>
                <c:pt idx="38">
                  <c:v>1.1357921097538366</c:v>
                </c:pt>
                <c:pt idx="39">
                  <c:v>1.137920752960639</c:v>
                </c:pt>
                <c:pt idx="40">
                  <c:v>0.7752985160801984</c:v>
                </c:pt>
                <c:pt idx="41">
                  <c:v>0.50599251726922034</c:v>
                </c:pt>
                <c:pt idx="42">
                  <c:v>0.9481500836628669</c:v>
                </c:pt>
                <c:pt idx="43">
                  <c:v>1.1160935486764174</c:v>
                </c:pt>
                <c:pt idx="44">
                  <c:v>1.1754322454240196</c:v>
                </c:pt>
                <c:pt idx="45">
                  <c:v>1.81334178320094</c:v>
                </c:pt>
                <c:pt idx="46">
                  <c:v>1.4689326788715391</c:v>
                </c:pt>
                <c:pt idx="47">
                  <c:v>1.3581838167657736</c:v>
                </c:pt>
                <c:pt idx="48">
                  <c:v>1.7022971678974272</c:v>
                </c:pt>
                <c:pt idx="49">
                  <c:v>1.4117182983560923</c:v>
                </c:pt>
                <c:pt idx="50">
                  <c:v>1.4204668886196998</c:v>
                </c:pt>
                <c:pt idx="51">
                  <c:v>2.312859766829007</c:v>
                </c:pt>
                <c:pt idx="52">
                  <c:v>3.0837365919768303</c:v>
                </c:pt>
                <c:pt idx="53">
                  <c:v>3.639826481557165</c:v>
                </c:pt>
                <c:pt idx="54">
                  <c:v>4.0288613663770292</c:v>
                </c:pt>
                <c:pt idx="55">
                  <c:v>2.6493166321667019</c:v>
                </c:pt>
                <c:pt idx="56">
                  <c:v>2.0704317704797148</c:v>
                </c:pt>
                <c:pt idx="57">
                  <c:v>1.6983603410269978</c:v>
                </c:pt>
                <c:pt idx="58">
                  <c:v>1.682925313288905</c:v>
                </c:pt>
                <c:pt idx="59">
                  <c:v>2.3483083410627899</c:v>
                </c:pt>
                <c:pt idx="60">
                  <c:v>2.6405396833958577</c:v>
                </c:pt>
                <c:pt idx="61">
                  <c:v>1.8418099282381917</c:v>
                </c:pt>
                <c:pt idx="62">
                  <c:v>1.3293991549634825</c:v>
                </c:pt>
                <c:pt idx="63">
                  <c:v>1.7934747729931217</c:v>
                </c:pt>
                <c:pt idx="64">
                  <c:v>1.349945630178496</c:v>
                </c:pt>
                <c:pt idx="65">
                  <c:v>1.6874521949213062</c:v>
                </c:pt>
                <c:pt idx="66">
                  <c:v>1.6113490556452632</c:v>
                </c:pt>
                <c:pt idx="67">
                  <c:v>0.8740710563242402</c:v>
                </c:pt>
                <c:pt idx="68">
                  <c:v>0.91077647039799103</c:v>
                </c:pt>
                <c:pt idx="69">
                  <c:v>0.91408440358256371</c:v>
                </c:pt>
                <c:pt idx="70">
                  <c:v>0.86120892094471913</c:v>
                </c:pt>
                <c:pt idx="71">
                  <c:v>0.99733313093844345</c:v>
                </c:pt>
                <c:pt idx="72">
                  <c:v>0.58512375413728535</c:v>
                </c:pt>
                <c:pt idx="73">
                  <c:v>0.29782668295123926</c:v>
                </c:pt>
                <c:pt idx="74">
                  <c:v>0.71931861055973911</c:v>
                </c:pt>
                <c:pt idx="75">
                  <c:v>0.28933057490088743</c:v>
                </c:pt>
                <c:pt idx="76">
                  <c:v>-5.1282449202616931E-2</c:v>
                </c:pt>
                <c:pt idx="77">
                  <c:v>0.28500927278598454</c:v>
                </c:pt>
                <c:pt idx="78">
                  <c:v>0.19282674219449802</c:v>
                </c:pt>
                <c:pt idx="79">
                  <c:v>0.28080801155981305</c:v>
                </c:pt>
                <c:pt idx="80">
                  <c:v>0.6087932278059327</c:v>
                </c:pt>
                <c:pt idx="81">
                  <c:v>0.61300630201606054</c:v>
                </c:pt>
                <c:pt idx="82">
                  <c:v>0.79309946674834464</c:v>
                </c:pt>
                <c:pt idx="83">
                  <c:v>0.85556179446541591</c:v>
                </c:pt>
                <c:pt idx="84">
                  <c:v>1.0685311441613692</c:v>
                </c:pt>
                <c:pt idx="85">
                  <c:v>1.0072900142311454</c:v>
                </c:pt>
                <c:pt idx="86">
                  <c:v>1.03501160475912</c:v>
                </c:pt>
                <c:pt idx="87">
                  <c:v>1.3767876703441004</c:v>
                </c:pt>
                <c:pt idx="88">
                  <c:v>1.6186697475594372</c:v>
                </c:pt>
                <c:pt idx="89">
                  <c:v>1.8357213943095587</c:v>
                </c:pt>
                <c:pt idx="90">
                  <c:v>2.2267859160357801</c:v>
                </c:pt>
                <c:pt idx="91">
                  <c:v>1.7689084126922836</c:v>
                </c:pt>
                <c:pt idx="92">
                  <c:v>1.7414561722660267</c:v>
                </c:pt>
                <c:pt idx="93">
                  <c:v>1.9978187600815431</c:v>
                </c:pt>
                <c:pt idx="94">
                  <c:v>2.2368626732073267</c:v>
                </c:pt>
                <c:pt idx="95">
                  <c:v>2.4169975008585709</c:v>
                </c:pt>
                <c:pt idx="96">
                  <c:v>2.2737771719108224</c:v>
                </c:pt>
                <c:pt idx="97">
                  <c:v>1.9853869429720845</c:v>
                </c:pt>
                <c:pt idx="98">
                  <c:v>1.7005707106350343</c:v>
                </c:pt>
                <c:pt idx="99">
                  <c:v>1.6633556682615449</c:v>
                </c:pt>
                <c:pt idx="100">
                  <c:v>1.5062973100673673</c:v>
                </c:pt>
                <c:pt idx="101">
                  <c:v>1.5741852142702868</c:v>
                </c:pt>
                <c:pt idx="102">
                  <c:v>1.6578690505000111</c:v>
                </c:pt>
                <c:pt idx="103">
                  <c:v>1.649929533784757</c:v>
                </c:pt>
              </c:numCache>
            </c:numRef>
          </c:val>
          <c:extLst>
            <c:ext xmlns:c16="http://schemas.microsoft.com/office/drawing/2014/chart" uri="{C3380CC4-5D6E-409C-BE32-E72D297353CC}">
              <c16:uniqueId val="{00000000-0554-4B5C-8B4E-CBB6528DAF8F}"/>
            </c:ext>
          </c:extLst>
        </c:ser>
        <c:dLbls>
          <c:showLegendKey val="0"/>
          <c:showVal val="0"/>
          <c:showCatName val="0"/>
          <c:showSerName val="0"/>
          <c:showPercent val="0"/>
          <c:showBubbleSize val="0"/>
        </c:dLbls>
        <c:gapWidth val="10"/>
        <c:overlap val="100"/>
        <c:axId val="286168576"/>
        <c:axId val="286170112"/>
      </c:barChart>
      <c:catAx>
        <c:axId val="286168576"/>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fr-FR"/>
          </a:p>
        </c:txPr>
        <c:crossAx val="286170112"/>
        <c:crosses val="autoZero"/>
        <c:auto val="1"/>
        <c:lblAlgn val="ctr"/>
        <c:lblOffset val="100"/>
        <c:tickLblSkip val="4"/>
        <c:tickMarkSkip val="4"/>
        <c:noMultiLvlLbl val="0"/>
      </c:catAx>
      <c:valAx>
        <c:axId val="286170112"/>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fr-FR"/>
          </a:p>
        </c:txPr>
        <c:crossAx val="286168576"/>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GB"/>
              <a:t>HICP (QoQ)</a:t>
            </a:r>
          </a:p>
        </c:rich>
      </c:tx>
      <c:layout>
        <c:manualLayout>
          <c:xMode val="edge"/>
          <c:yMode val="edge"/>
          <c:x val="0.4654017857142857"/>
          <c:y val="3.5947712418300651E-2"/>
        </c:manualLayout>
      </c:layout>
      <c:overlay val="0"/>
      <c:spPr>
        <a:noFill/>
        <a:ln w="25400">
          <a:noFill/>
        </a:ln>
      </c:spPr>
    </c:title>
    <c:autoTitleDeleted val="0"/>
    <c:plotArea>
      <c:layout>
        <c:manualLayout>
          <c:layoutTarget val="inner"/>
          <c:xMode val="edge"/>
          <c:yMode val="edge"/>
          <c:x val="4.7625492125984249E-2"/>
          <c:y val="0.11982605115537029"/>
          <c:w val="0.9330357142857143"/>
          <c:h val="0.77778025997070299"/>
        </c:manualLayout>
      </c:layout>
      <c:barChart>
        <c:barDir val="col"/>
        <c:grouping val="stacked"/>
        <c:varyColors val="0"/>
        <c:ser>
          <c:idx val="4"/>
          <c:order val="0"/>
          <c:tx>
            <c:strRef>
              <c:f>'Q1'!$E$337</c:f>
              <c:strCache>
                <c:ptCount val="1"/>
                <c:pt idx="0">
                  <c:v>Services</c:v>
                </c:pt>
              </c:strCache>
            </c:strRef>
          </c:tx>
          <c:spPr>
            <a:solidFill>
              <a:srgbClr val="FFCC99"/>
            </a:solidFill>
            <a:ln w="12700">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3">
                  <c:v>1</c:v>
                </c:pt>
                <c:pt idx="96">
                  <c:v>2019</c:v>
                </c:pt>
                <c:pt idx="100">
                  <c:v>2020</c:v>
                </c:pt>
              </c:numCache>
            </c:numRef>
          </c:cat>
          <c:val>
            <c:numRef>
              <c:f>'Q1'!$G$337:$DJ$337</c:f>
              <c:numCache>
                <c:formatCode>0</c:formatCode>
                <c:ptCount val="108"/>
                <c:pt idx="8" formatCode="0.00">
                  <c:v>0.77774738405221799</c:v>
                </c:pt>
                <c:pt idx="9" formatCode="0.00">
                  <c:v>0.92031408301003104</c:v>
                </c:pt>
                <c:pt idx="10" formatCode="0.00">
                  <c:v>0.77190553769015058</c:v>
                </c:pt>
                <c:pt idx="11" formatCode="0.00">
                  <c:v>0.98271420412103372</c:v>
                </c:pt>
                <c:pt idx="12" formatCode="0.00">
                  <c:v>0.65200517708981076</c:v>
                </c:pt>
                <c:pt idx="13" formatCode="0.00">
                  <c:v>0.55626014115341316</c:v>
                </c:pt>
                <c:pt idx="14" formatCode="0.00">
                  <c:v>0.69423910855155524</c:v>
                </c:pt>
                <c:pt idx="15" formatCode="0.00">
                  <c:v>0.68498490713256832</c:v>
                </c:pt>
                <c:pt idx="16" formatCode="0.00">
                  <c:v>0.72041076746414712</c:v>
                </c:pt>
                <c:pt idx="17" formatCode="0.00">
                  <c:v>0.72208539174707798</c:v>
                </c:pt>
                <c:pt idx="18" formatCode="0.00">
                  <c:v>0.6668940120750031</c:v>
                </c:pt>
                <c:pt idx="19" formatCode="0.00">
                  <c:v>0.43757342185867998</c:v>
                </c:pt>
                <c:pt idx="20" formatCode="0.00">
                  <c:v>0.43302164424245376</c:v>
                </c:pt>
                <c:pt idx="21" formatCode="0.00">
                  <c:v>0.32834841426267725</c:v>
                </c:pt>
                <c:pt idx="22" formatCode="0.00">
                  <c:v>0.20534545291721373</c:v>
                </c:pt>
                <c:pt idx="23" formatCode="0.00">
                  <c:v>0.55556700107488588</c:v>
                </c:pt>
                <c:pt idx="24" formatCode="0.00">
                  <c:v>0.76429334045108666</c:v>
                </c:pt>
                <c:pt idx="25" formatCode="0.00">
                  <c:v>1.1155815977618906</c:v>
                </c:pt>
                <c:pt idx="26" formatCode="0.00">
                  <c:v>1.4707118681808016</c:v>
                </c:pt>
                <c:pt idx="27" formatCode="0.00">
                  <c:v>1.322734354311943</c:v>
                </c:pt>
                <c:pt idx="28" formatCode="0.00">
                  <c:v>0.95007388023900075</c:v>
                </c:pt>
                <c:pt idx="29" formatCode="0.00">
                  <c:v>1.0252019674677528</c:v>
                </c:pt>
                <c:pt idx="30" formatCode="0.00">
                  <c:v>0.74631809605488963</c:v>
                </c:pt>
                <c:pt idx="31" formatCode="0.00">
                  <c:v>0.81350100243143963</c:v>
                </c:pt>
                <c:pt idx="32" formatCode="0.00">
                  <c:v>1.0740857483071469</c:v>
                </c:pt>
                <c:pt idx="33" formatCode="0.00">
                  <c:v>0.81983972424844853</c:v>
                </c:pt>
                <c:pt idx="34" formatCode="0.00">
                  <c:v>1.0322174827621418</c:v>
                </c:pt>
                <c:pt idx="35" formatCode="0.00">
                  <c:v>0.85044293100127644</c:v>
                </c:pt>
                <c:pt idx="36" formatCode="0.00">
                  <c:v>0.89795866296648374</c:v>
                </c:pt>
                <c:pt idx="37" formatCode="0.00">
                  <c:v>0.9547478389725762</c:v>
                </c:pt>
                <c:pt idx="38" formatCode="0.00">
                  <c:v>1.0253119698397832</c:v>
                </c:pt>
                <c:pt idx="39" formatCode="0.00">
                  <c:v>0.95775953558725746</c:v>
                </c:pt>
                <c:pt idx="40" formatCode="0.00">
                  <c:v>0.85103631431926796</c:v>
                </c:pt>
                <c:pt idx="41" formatCode="0.00">
                  <c:v>0.63816753043269414</c:v>
                </c:pt>
                <c:pt idx="42" formatCode="0.00">
                  <c:v>0.48274380165290215</c:v>
                </c:pt>
                <c:pt idx="43" formatCode="0.00">
                  <c:v>0.61957397063516961</c:v>
                </c:pt>
                <c:pt idx="44" formatCode="0.00">
                  <c:v>0.48471952168680127</c:v>
                </c:pt>
                <c:pt idx="45" formatCode="0.00">
                  <c:v>0.55220536633442863</c:v>
                </c:pt>
                <c:pt idx="46" formatCode="0.00">
                  <c:v>0.55245473656571131</c:v>
                </c:pt>
                <c:pt idx="47" formatCode="0.00">
                  <c:v>0.52075057675789438</c:v>
                </c:pt>
                <c:pt idx="48" formatCode="0.00">
                  <c:v>0.65967094703049423</c:v>
                </c:pt>
                <c:pt idx="49" formatCode="0.00">
                  <c:v>0.74974831364292072</c:v>
                </c:pt>
                <c:pt idx="50" formatCode="0.00">
                  <c:v>1.0579524661584006</c:v>
                </c:pt>
                <c:pt idx="51" formatCode="0.00">
                  <c:v>0.91151362772844746</c:v>
                </c:pt>
                <c:pt idx="52" formatCode="0.00">
                  <c:v>0.96546603512015394</c:v>
                </c:pt>
                <c:pt idx="53" formatCode="0.00">
                  <c:v>1.0099020358181485</c:v>
                </c:pt>
                <c:pt idx="54" formatCode="0.00">
                  <c:v>0.67567462302037462</c:v>
                </c:pt>
                <c:pt idx="55" formatCode="0.00">
                  <c:v>0.86530758735693059</c:v>
                </c:pt>
                <c:pt idx="56" formatCode="0.00">
                  <c:v>0.92356300056401153</c:v>
                </c:pt>
                <c:pt idx="57" formatCode="0.00">
                  <c:v>0.99341542251418624</c:v>
                </c:pt>
                <c:pt idx="58" formatCode="0.00">
                  <c:v>1.1681917287630452</c:v>
                </c:pt>
                <c:pt idx="59" formatCode="0.00">
                  <c:v>1.0898770634714519</c:v>
                </c:pt>
                <c:pt idx="60" formatCode="0.00">
                  <c:v>0.83386019944408563</c:v>
                </c:pt>
                <c:pt idx="61" formatCode="0.00">
                  <c:v>0.71248104237811216</c:v>
                </c:pt>
                <c:pt idx="62" formatCode="0.00">
                  <c:v>0.69345763805154215</c:v>
                </c:pt>
                <c:pt idx="63" formatCode="0.00">
                  <c:v>0.71816183755060214</c:v>
                </c:pt>
                <c:pt idx="64" formatCode="0.00">
                  <c:v>0.68441985887096735</c:v>
                </c:pt>
                <c:pt idx="65" formatCode="0.00">
                  <c:v>0.7947843137254873</c:v>
                </c:pt>
                <c:pt idx="66" formatCode="0.00">
                  <c:v>0.6720573543015661</c:v>
                </c:pt>
                <c:pt idx="67" formatCode="0.00">
                  <c:v>0.61107977723387896</c:v>
                </c:pt>
                <c:pt idx="68" formatCode="0.00">
                  <c:v>0.74811146412048346</c:v>
                </c:pt>
                <c:pt idx="69" formatCode="0.00">
                  <c:v>0.70451697638818067</c:v>
                </c:pt>
                <c:pt idx="70" formatCode="0.00">
                  <c:v>0.7210962491817281</c:v>
                </c:pt>
                <c:pt idx="71" formatCode="0.00">
                  <c:v>0.79793889216499381</c:v>
                </c:pt>
                <c:pt idx="72" formatCode="0.00">
                  <c:v>0.59866717652785639</c:v>
                </c:pt>
                <c:pt idx="73" formatCode="0.00">
                  <c:v>0.43702966437860474</c:v>
                </c:pt>
                <c:pt idx="74" formatCode="0.00">
                  <c:v>0.51606251719395191</c:v>
                </c:pt>
                <c:pt idx="75" formatCode="0.00">
                  <c:v>0.27963936392610672</c:v>
                </c:pt>
                <c:pt idx="76" formatCode="0.00">
                  <c:v>0.21265658192284126</c:v>
                </c:pt>
                <c:pt idx="77" formatCode="0.00">
                  <c:v>0.42365836177474681</c:v>
                </c:pt>
                <c:pt idx="78" formatCode="0.00">
                  <c:v>0.39609454594850696</c:v>
                </c:pt>
                <c:pt idx="79" formatCode="0.00">
                  <c:v>0.54730853019266201</c:v>
                </c:pt>
                <c:pt idx="80" formatCode="0.00">
                  <c:v>0.6820807908641402</c:v>
                </c:pt>
                <c:pt idx="81" formatCode="0.00">
                  <c:v>0.51492587336982143</c:v>
                </c:pt>
                <c:pt idx="82" formatCode="0.00">
                  <c:v>0.61992548610644771</c:v>
                </c:pt>
                <c:pt idx="83" formatCode="0.00">
                  <c:v>0.44549183577476903</c:v>
                </c:pt>
                <c:pt idx="84" formatCode="0.00">
                  <c:v>0.58559154504278843</c:v>
                </c:pt>
                <c:pt idx="85" formatCode="0.00">
                  <c:v>0.57132634530644821</c:v>
                </c:pt>
                <c:pt idx="86" formatCode="0.00">
                  <c:v>0.50142869931368395</c:v>
                </c:pt>
                <c:pt idx="87" formatCode="0.00">
                  <c:v>0.46198304352163061</c:v>
                </c:pt>
                <c:pt idx="88" formatCode="0.00">
                  <c:v>0.4537373663831627</c:v>
                </c:pt>
                <c:pt idx="89" formatCode="0.00">
                  <c:v>1.0084814229249031</c:v>
                </c:pt>
                <c:pt idx="90" formatCode="0.00">
                  <c:v>1.2802592895995861</c:v>
                </c:pt>
                <c:pt idx="91" formatCode="0.00">
                  <c:v>1.0152882091761175</c:v>
                </c:pt>
                <c:pt idx="92" formatCode="0.00">
                  <c:v>0.83481828896964538</c:v>
                </c:pt>
                <c:pt idx="93" formatCode="0.00">
                  <c:v>0.63792025862069635</c:v>
                </c:pt>
                <c:pt idx="94" formatCode="0.00">
                  <c:v>0.58357522180175481</c:v>
                </c:pt>
                <c:pt idx="95" formatCode="0.00">
                  <c:v>0.79495799999999983</c:v>
                </c:pt>
                <c:pt idx="96" formatCode="0.00">
                  <c:v>0.79495799999999983</c:v>
                </c:pt>
                <c:pt idx="97" formatCode="0.00">
                  <c:v>0.84147149999999993</c:v>
                </c:pt>
                <c:pt idx="98" formatCode="0.00">
                  <c:v>0.84992849999999986</c:v>
                </c:pt>
                <c:pt idx="99" formatCode="0.00">
                  <c:v>0.98524049999999996</c:v>
                </c:pt>
                <c:pt idx="100" formatCode="0.00">
                  <c:v>1.0359825</c:v>
                </c:pt>
                <c:pt idx="101" formatCode="0.00">
                  <c:v>1.0613534999999998</c:v>
                </c:pt>
                <c:pt idx="102" formatCode="0.00">
                  <c:v>1.1205524999999998</c:v>
                </c:pt>
                <c:pt idx="103" formatCode="0.00">
                  <c:v>1.1120954999999997</c:v>
                </c:pt>
              </c:numCache>
            </c:numRef>
          </c:val>
          <c:extLst>
            <c:ext xmlns:c16="http://schemas.microsoft.com/office/drawing/2014/chart" uri="{C3380CC4-5D6E-409C-BE32-E72D297353CC}">
              <c16:uniqueId val="{00000000-FBD3-4676-A999-43F23C90763C}"/>
            </c:ext>
          </c:extLst>
        </c:ser>
        <c:ser>
          <c:idx val="0"/>
          <c:order val="1"/>
          <c:tx>
            <c:strRef>
              <c:f>'Q1'!$E$333</c:f>
              <c:strCache>
                <c:ptCount val="1"/>
                <c:pt idx="0">
                  <c:v>Non-energy industrial goods</c:v>
                </c:pt>
              </c:strCache>
            </c:strRef>
          </c:tx>
          <c:spPr>
            <a:solidFill>
              <a:srgbClr val="339966"/>
            </a:solidFill>
            <a:ln w="12700">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3">
                  <c:v>1</c:v>
                </c:pt>
                <c:pt idx="96">
                  <c:v>2019</c:v>
                </c:pt>
                <c:pt idx="100">
                  <c:v>2020</c:v>
                </c:pt>
              </c:numCache>
            </c:numRef>
          </c:cat>
          <c:val>
            <c:numRef>
              <c:f>'Q1'!$G$333:$DJ$333</c:f>
              <c:numCache>
                <c:formatCode>0</c:formatCode>
                <c:ptCount val="108"/>
                <c:pt idx="8" formatCode="0.00">
                  <c:v>-0.47150906943986903</c:v>
                </c:pt>
                <c:pt idx="9" formatCode="0.00">
                  <c:v>-0.53575740198593202</c:v>
                </c:pt>
                <c:pt idx="10" formatCode="0.00">
                  <c:v>-0.29931511459919113</c:v>
                </c:pt>
                <c:pt idx="11" formatCode="0.00">
                  <c:v>-0.11154106044801365</c:v>
                </c:pt>
                <c:pt idx="12" formatCode="0.00">
                  <c:v>-0.24749428904368662</c:v>
                </c:pt>
                <c:pt idx="13" formatCode="0.00">
                  <c:v>-0.27452710836555633</c:v>
                </c:pt>
                <c:pt idx="14" formatCode="0.00">
                  <c:v>-0.2038673085338174</c:v>
                </c:pt>
                <c:pt idx="15" formatCode="0.00">
                  <c:v>-0.23145387895602265</c:v>
                </c:pt>
                <c:pt idx="16" formatCode="0.00">
                  <c:v>-9.6995490066071416E-2</c:v>
                </c:pt>
                <c:pt idx="17" formatCode="0.00">
                  <c:v>-2.9746224959979233E-2</c:v>
                </c:pt>
                <c:pt idx="18" formatCode="0.00">
                  <c:v>-8.4004479565533266E-2</c:v>
                </c:pt>
                <c:pt idx="19" formatCode="0.00">
                  <c:v>-7.252222636549599E-2</c:v>
                </c:pt>
                <c:pt idx="20" formatCode="0.00">
                  <c:v>-7.6092696441686911E-2</c:v>
                </c:pt>
                <c:pt idx="21" formatCode="0.00">
                  <c:v>4.888540290621717E-3</c:v>
                </c:pt>
                <c:pt idx="22" formatCode="0.00">
                  <c:v>0.15213461025093986</c:v>
                </c:pt>
                <c:pt idx="23" formatCode="0.00">
                  <c:v>2.5161153242671316E-2</c:v>
                </c:pt>
                <c:pt idx="24" formatCode="0.00">
                  <c:v>-1.00425019242712E-3</c:v>
                </c:pt>
                <c:pt idx="25" formatCode="0.00">
                  <c:v>0.21204266138352243</c:v>
                </c:pt>
                <c:pt idx="26" formatCode="0.00">
                  <c:v>0.18728849345992549</c:v>
                </c:pt>
                <c:pt idx="27" formatCode="0.00">
                  <c:v>0.5517833953883321</c:v>
                </c:pt>
                <c:pt idx="28" formatCode="0.00">
                  <c:v>0.47312155287817909</c:v>
                </c:pt>
                <c:pt idx="29" formatCode="0.00">
                  <c:v>0.27070280992819284</c:v>
                </c:pt>
                <c:pt idx="30" formatCode="0.00">
                  <c:v>0.15865569119101944</c:v>
                </c:pt>
                <c:pt idx="31" formatCode="0.00">
                  <c:v>3.5304255796795712E-2</c:v>
                </c:pt>
                <c:pt idx="32" formatCode="0.00">
                  <c:v>0.13449317844074399</c:v>
                </c:pt>
                <c:pt idx="33" formatCode="0.00">
                  <c:v>7.595203290909916E-2</c:v>
                </c:pt>
                <c:pt idx="34" formatCode="0.00">
                  <c:v>-5.7296937321648457E-2</c:v>
                </c:pt>
                <c:pt idx="35" formatCode="0.00">
                  <c:v>-0.25596591530795665</c:v>
                </c:pt>
                <c:pt idx="36" formatCode="0.00">
                  <c:v>-0.39197731593785129</c:v>
                </c:pt>
                <c:pt idx="37" formatCode="0.00">
                  <c:v>-0.34555746362958645</c:v>
                </c:pt>
                <c:pt idx="38" formatCode="0.00">
                  <c:v>-0.41437419863891994</c:v>
                </c:pt>
                <c:pt idx="39" formatCode="0.00">
                  <c:v>-0.23163010113412605</c:v>
                </c:pt>
                <c:pt idx="40" formatCode="0.00">
                  <c:v>-0.35452646267317828</c:v>
                </c:pt>
                <c:pt idx="41" formatCode="0.00">
                  <c:v>-0.5071617049180368</c:v>
                </c:pt>
                <c:pt idx="42" formatCode="0.00">
                  <c:v>-0.32869027611044138</c:v>
                </c:pt>
                <c:pt idx="43" formatCode="0.00">
                  <c:v>-0.33427220322423223</c:v>
                </c:pt>
                <c:pt idx="44" formatCode="0.00">
                  <c:v>-0.19959022796426396</c:v>
                </c:pt>
                <c:pt idx="45" formatCode="0.00">
                  <c:v>-3.1568157356327987E-2</c:v>
                </c:pt>
                <c:pt idx="46" formatCode="0.00">
                  <c:v>-7.9286063357110664E-2</c:v>
                </c:pt>
                <c:pt idx="47" formatCode="0.00">
                  <c:v>-0.12278606786941978</c:v>
                </c:pt>
                <c:pt idx="48" formatCode="0.00">
                  <c:v>8.66557832345424E-2</c:v>
                </c:pt>
                <c:pt idx="49" formatCode="0.00">
                  <c:v>0.17967897110404984</c:v>
                </c:pt>
                <c:pt idx="50" formatCode="0.00">
                  <c:v>0.14258227077484831</c:v>
                </c:pt>
                <c:pt idx="51" formatCode="0.00">
                  <c:v>0.26166792402885047</c:v>
                </c:pt>
                <c:pt idx="52" formatCode="0.00">
                  <c:v>7.2912977408570723E-2</c:v>
                </c:pt>
                <c:pt idx="53" formatCode="0.00">
                  <c:v>-1.8405776892432203E-2</c:v>
                </c:pt>
                <c:pt idx="54" formatCode="0.00">
                  <c:v>3.5352988691435959E-2</c:v>
                </c:pt>
                <c:pt idx="55" formatCode="0.00">
                  <c:v>-0.15787925493540084</c:v>
                </c:pt>
                <c:pt idx="56" formatCode="0.00">
                  <c:v>0.15520052548253929</c:v>
                </c:pt>
                <c:pt idx="57" formatCode="0.00">
                  <c:v>0.19569190392345831</c:v>
                </c:pt>
                <c:pt idx="58" formatCode="0.00">
                  <c:v>0.66266088476536578</c:v>
                </c:pt>
                <c:pt idx="59" formatCode="0.00">
                  <c:v>0.75188440106828924</c:v>
                </c:pt>
                <c:pt idx="60" formatCode="0.00">
                  <c:v>0.64727287054487348</c:v>
                </c:pt>
                <c:pt idx="61" formatCode="0.00">
                  <c:v>0.44133921595147602</c:v>
                </c:pt>
                <c:pt idx="62" formatCode="0.00">
                  <c:v>-1.4089229341733091E-2</c:v>
                </c:pt>
                <c:pt idx="63" formatCode="0.00">
                  <c:v>-3.5823080424335151E-2</c:v>
                </c:pt>
                <c:pt idx="64" formatCode="0.00">
                  <c:v>-0.17716817928639311</c:v>
                </c:pt>
                <c:pt idx="65" formatCode="0.00">
                  <c:v>-0.14599005557180961</c:v>
                </c:pt>
                <c:pt idx="66" formatCode="0.00">
                  <c:v>-4.8330757341579315E-2</c:v>
                </c:pt>
                <c:pt idx="67" formatCode="0.00">
                  <c:v>-0.15528514418125522</c:v>
                </c:pt>
                <c:pt idx="68" formatCode="0.00">
                  <c:v>-0.31091783581556126</c:v>
                </c:pt>
                <c:pt idx="69" formatCode="0.00">
                  <c:v>-0.16793921410414678</c:v>
                </c:pt>
                <c:pt idx="70" formatCode="0.00">
                  <c:v>-0.2937702324710712</c:v>
                </c:pt>
                <c:pt idx="71" formatCode="0.00">
                  <c:v>-0.34652427565119753</c:v>
                </c:pt>
                <c:pt idx="72" formatCode="0.00">
                  <c:v>-0.18069057144762837</c:v>
                </c:pt>
                <c:pt idx="73" formatCode="0.00">
                  <c:v>-0.32208061653740183</c:v>
                </c:pt>
                <c:pt idx="74" formatCode="0.00">
                  <c:v>-0.22059503361959862</c:v>
                </c:pt>
                <c:pt idx="75" formatCode="0.00">
                  <c:v>-0.14076842174241436</c:v>
                </c:pt>
                <c:pt idx="76" formatCode="0.00">
                  <c:v>-8.1914029730542348E-2</c:v>
                </c:pt>
                <c:pt idx="77" formatCode="0.00">
                  <c:v>-8.4845905781441452E-2</c:v>
                </c:pt>
                <c:pt idx="78" formatCode="0.00">
                  <c:v>-0.13122659867141212</c:v>
                </c:pt>
                <c:pt idx="79" formatCode="0.00">
                  <c:v>-0.13153846153845536</c:v>
                </c:pt>
                <c:pt idx="80" formatCode="0.00">
                  <c:v>-3.9115000168281115E-2</c:v>
                </c:pt>
                <c:pt idx="81" formatCode="0.00">
                  <c:v>-6.1827591956515285E-2</c:v>
                </c:pt>
                <c:pt idx="82" formatCode="0.00">
                  <c:v>0.24301243890106705</c:v>
                </c:pt>
                <c:pt idx="83" formatCode="0.00">
                  <c:v>0.25460835759661216</c:v>
                </c:pt>
                <c:pt idx="84" formatCode="0.00">
                  <c:v>0.34709042499410292</c:v>
                </c:pt>
                <c:pt idx="85" formatCode="0.00">
                  <c:v>0.42547175802138554</c:v>
                </c:pt>
                <c:pt idx="86" formatCode="0.00">
                  <c:v>0.28781986830229989</c:v>
                </c:pt>
                <c:pt idx="87" formatCode="0.00">
                  <c:v>0.18762994785688819</c:v>
                </c:pt>
                <c:pt idx="88" formatCode="0.00">
                  <c:v>0.11073916952483413</c:v>
                </c:pt>
                <c:pt idx="89" formatCode="0.00">
                  <c:v>7.4935484933316865E-2</c:v>
                </c:pt>
                <c:pt idx="90" formatCode="0.00">
                  <c:v>-8.6884638295108875E-3</c:v>
                </c:pt>
                <c:pt idx="91" formatCode="0.00">
                  <c:v>-5.892757306226263E-2</c:v>
                </c:pt>
                <c:pt idx="92" formatCode="0.00">
                  <c:v>4.23433405208124E-2</c:v>
                </c:pt>
                <c:pt idx="93" formatCode="0.00">
                  <c:v>2.7634924284725734E-2</c:v>
                </c:pt>
                <c:pt idx="94" formatCode="0.00">
                  <c:v>1.8245886987318612E-2</c:v>
                </c:pt>
                <c:pt idx="95" formatCode="0.00">
                  <c:v>8.7029999999999996E-2</c:v>
                </c:pt>
                <c:pt idx="96" formatCode="0.00">
                  <c:v>7.5425999999999993E-2</c:v>
                </c:pt>
                <c:pt idx="97" formatCode="0.00">
                  <c:v>6.0920999999999989E-2</c:v>
                </c:pt>
                <c:pt idx="98" formatCode="0.00">
                  <c:v>4.3514999999999998E-2</c:v>
                </c:pt>
                <c:pt idx="99" formatCode="0.00">
                  <c:v>2.9010000000000001E-2</c:v>
                </c:pt>
                <c:pt idx="100" formatCode="0.00">
                  <c:v>-2.3207999999999999E-2</c:v>
                </c:pt>
                <c:pt idx="101" formatCode="0.00">
                  <c:v>3.1910999999999995E-2</c:v>
                </c:pt>
                <c:pt idx="102" formatCode="0.00">
                  <c:v>6.0920999999999989E-2</c:v>
                </c:pt>
                <c:pt idx="103" formatCode="0.00">
                  <c:v>4.3514999999999998E-2</c:v>
                </c:pt>
              </c:numCache>
            </c:numRef>
          </c:val>
          <c:extLst>
            <c:ext xmlns:c16="http://schemas.microsoft.com/office/drawing/2014/chart" uri="{C3380CC4-5D6E-409C-BE32-E72D297353CC}">
              <c16:uniqueId val="{00000001-FBD3-4676-A999-43F23C90763C}"/>
            </c:ext>
          </c:extLst>
        </c:ser>
        <c:ser>
          <c:idx val="2"/>
          <c:order val="2"/>
          <c:tx>
            <c:strRef>
              <c:f>'Q1'!$E$335</c:f>
              <c:strCache>
                <c:ptCount val="1"/>
                <c:pt idx="0">
                  <c:v>Unprocessed food</c:v>
                </c:pt>
              </c:strCache>
            </c:strRef>
          </c:tx>
          <c:spPr>
            <a:solidFill>
              <a:srgbClr val="99CC00"/>
            </a:solidFill>
            <a:ln w="12700">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3">
                  <c:v>1</c:v>
                </c:pt>
                <c:pt idx="96">
                  <c:v>2019</c:v>
                </c:pt>
                <c:pt idx="100">
                  <c:v>2020</c:v>
                </c:pt>
              </c:numCache>
            </c:numRef>
          </c:cat>
          <c:val>
            <c:numRef>
              <c:f>'Q1'!$G$335:$DJ$335</c:f>
              <c:numCache>
                <c:formatCode>0</c:formatCode>
                <c:ptCount val="108"/>
                <c:pt idx="8" formatCode="0.00">
                  <c:v>-0.18692812149222424</c:v>
                </c:pt>
                <c:pt idx="9" formatCode="0.00">
                  <c:v>-0.13747693518157353</c:v>
                </c:pt>
                <c:pt idx="10" formatCode="0.00">
                  <c:v>-7.4595583104692794E-3</c:v>
                </c:pt>
                <c:pt idx="11" formatCode="0.00">
                  <c:v>0.20257957432596571</c:v>
                </c:pt>
                <c:pt idx="12" formatCode="0.00">
                  <c:v>7.878057382923194E-2</c:v>
                </c:pt>
                <c:pt idx="13" formatCode="0.00">
                  <c:v>8.1533329321953854E-2</c:v>
                </c:pt>
                <c:pt idx="14" formatCode="0.00">
                  <c:v>6.8335514735133968E-2</c:v>
                </c:pt>
                <c:pt idx="15" formatCode="0.00">
                  <c:v>0.16426804132796916</c:v>
                </c:pt>
                <c:pt idx="16" formatCode="0.00">
                  <c:v>0.33809808360880367</c:v>
                </c:pt>
                <c:pt idx="17" formatCode="0.00">
                  <c:v>0.20971292166333827</c:v>
                </c:pt>
                <c:pt idx="18" formatCode="0.00">
                  <c:v>-9.932861481371515E-3</c:v>
                </c:pt>
                <c:pt idx="19" formatCode="0.00">
                  <c:v>8.5106972296959862E-2</c:v>
                </c:pt>
                <c:pt idx="20" formatCode="0.00">
                  <c:v>-6.4381597062873497E-2</c:v>
                </c:pt>
                <c:pt idx="21" formatCode="0.00">
                  <c:v>-5.4722562219500469E-2</c:v>
                </c:pt>
                <c:pt idx="22" formatCode="0.00">
                  <c:v>4.5333628648700386E-2</c:v>
                </c:pt>
                <c:pt idx="23" formatCode="0.00">
                  <c:v>2.8714887640447811E-2</c:v>
                </c:pt>
                <c:pt idx="24" formatCode="0.00">
                  <c:v>0.12898929316338395</c:v>
                </c:pt>
                <c:pt idx="25" formatCode="0.00">
                  <c:v>0.49211767395080808</c:v>
                </c:pt>
                <c:pt idx="26" formatCode="0.00">
                  <c:v>0.5211472100023159</c:v>
                </c:pt>
                <c:pt idx="27" formatCode="0.00">
                  <c:v>0.60294285447935203</c:v>
                </c:pt>
                <c:pt idx="28" formatCode="0.00">
                  <c:v>0.78465906302540178</c:v>
                </c:pt>
                <c:pt idx="29" formatCode="0.00">
                  <c:v>0.20927666171161699</c:v>
                </c:pt>
                <c:pt idx="30" formatCode="0.00">
                  <c:v>0.18090150801130994</c:v>
                </c:pt>
                <c:pt idx="31" formatCode="0.00">
                  <c:v>-2.4139885772743335E-3</c:v>
                </c:pt>
                <c:pt idx="32" formatCode="0.00">
                  <c:v>-0.14461128005890539</c:v>
                </c:pt>
                <c:pt idx="33" formatCode="0.00">
                  <c:v>-6.6218600364236435E-2</c:v>
                </c:pt>
                <c:pt idx="34" formatCode="0.00">
                  <c:v>5.903677909889455E-2</c:v>
                </c:pt>
                <c:pt idx="35" formatCode="0.00">
                  <c:v>0.10640570312239685</c:v>
                </c:pt>
                <c:pt idx="36" formatCode="0.00">
                  <c:v>-1.7091135045549501E-3</c:v>
                </c:pt>
                <c:pt idx="37" formatCode="0.00">
                  <c:v>2.8914979420448059E-2</c:v>
                </c:pt>
                <c:pt idx="38" formatCode="0.00">
                  <c:v>-8.2863492063493319E-2</c:v>
                </c:pt>
                <c:pt idx="39" formatCode="0.00">
                  <c:v>-7.8984882113992266E-2</c:v>
                </c:pt>
                <c:pt idx="40" formatCode="0.00">
                  <c:v>2.2861807483527778E-2</c:v>
                </c:pt>
                <c:pt idx="41" formatCode="0.00">
                  <c:v>2.8284224897604654E-2</c:v>
                </c:pt>
                <c:pt idx="42" formatCode="0.00">
                  <c:v>-3.1346700677426773E-2</c:v>
                </c:pt>
                <c:pt idx="43" formatCode="0.00">
                  <c:v>2.9273526041002973E-2</c:v>
                </c:pt>
                <c:pt idx="44" formatCode="0.00">
                  <c:v>5.4661166494623702E-3</c:v>
                </c:pt>
                <c:pt idx="45" formatCode="0.00">
                  <c:v>0.11648761420559547</c:v>
                </c:pt>
                <c:pt idx="46" formatCode="0.00">
                  <c:v>0.27578479101921366</c:v>
                </c:pt>
                <c:pt idx="47" formatCode="0.00">
                  <c:v>0.22602169010834919</c:v>
                </c:pt>
                <c:pt idx="48" formatCode="0.00">
                  <c:v>0.17565088464552259</c:v>
                </c:pt>
                <c:pt idx="49" formatCode="0.00">
                  <c:v>7.9746798626540272E-2</c:v>
                </c:pt>
                <c:pt idx="50" formatCode="0.00">
                  <c:v>4.9225973712770023E-2</c:v>
                </c:pt>
                <c:pt idx="51" formatCode="0.00">
                  <c:v>0.23019598583234821</c:v>
                </c:pt>
                <c:pt idx="52" formatCode="0.00">
                  <c:v>0.32541982682594561</c:v>
                </c:pt>
                <c:pt idx="53" formatCode="0.00">
                  <c:v>0.43849686989114345</c:v>
                </c:pt>
                <c:pt idx="54" formatCode="0.00">
                  <c:v>0.44247236842105098</c:v>
                </c:pt>
                <c:pt idx="55" formatCode="0.00">
                  <c:v>0.41323984935859737</c:v>
                </c:pt>
                <c:pt idx="56" formatCode="0.00">
                  <c:v>0.48952958884273817</c:v>
                </c:pt>
                <c:pt idx="57" formatCode="0.00">
                  <c:v>0.26950644656431688</c:v>
                </c:pt>
                <c:pt idx="58" formatCode="0.00">
                  <c:v>0.12691989721818905</c:v>
                </c:pt>
                <c:pt idx="59" formatCode="0.00">
                  <c:v>-1.7500551998234623E-2</c:v>
                </c:pt>
                <c:pt idx="60" formatCode="0.00">
                  <c:v>1.0079720403306956E-2</c:v>
                </c:pt>
                <c:pt idx="61" formatCode="0.00">
                  <c:v>3.1421618403486527E-2</c:v>
                </c:pt>
                <c:pt idx="62" formatCode="0.00">
                  <c:v>7.128526763619801E-2</c:v>
                </c:pt>
                <c:pt idx="63" formatCode="0.00">
                  <c:v>0.11671767276128345</c:v>
                </c:pt>
                <c:pt idx="64" formatCode="0.00">
                  <c:v>-7.263181383487459E-2</c:v>
                </c:pt>
                <c:pt idx="65" formatCode="0.00">
                  <c:v>-0.12109782686141773</c:v>
                </c:pt>
                <c:pt idx="66" formatCode="0.00">
                  <c:v>-0.10946368957294539</c:v>
                </c:pt>
                <c:pt idx="67" formatCode="0.00">
                  <c:v>-0.13095482375104014</c:v>
                </c:pt>
                <c:pt idx="68" formatCode="0.00">
                  <c:v>-5.1671627827390029E-2</c:v>
                </c:pt>
                <c:pt idx="69" formatCode="0.00">
                  <c:v>8.9145669420208323E-2</c:v>
                </c:pt>
                <c:pt idx="70" formatCode="0.00">
                  <c:v>0.1278676069332593</c:v>
                </c:pt>
                <c:pt idx="71" formatCode="0.00">
                  <c:v>0.21882884656504253</c:v>
                </c:pt>
                <c:pt idx="72" formatCode="0.00">
                  <c:v>0.21438225083176699</c:v>
                </c:pt>
                <c:pt idx="73" formatCode="0.00">
                  <c:v>0.31008070866141746</c:v>
                </c:pt>
                <c:pt idx="74" formatCode="0.00">
                  <c:v>0.28760700403109729</c:v>
                </c:pt>
                <c:pt idx="75" formatCode="0.00">
                  <c:v>7.4489458852066773E-2</c:v>
                </c:pt>
                <c:pt idx="76" formatCode="0.00">
                  <c:v>3.5461764500105075E-2</c:v>
                </c:pt>
                <c:pt idx="77" formatCode="0.00">
                  <c:v>-8.5054905306260517E-2</c:v>
                </c:pt>
                <c:pt idx="78" formatCode="0.00">
                  <c:v>-4.783868746341758E-2</c:v>
                </c:pt>
                <c:pt idx="79" formatCode="0.00">
                  <c:v>9.7764438332979459E-2</c:v>
                </c:pt>
                <c:pt idx="80" formatCode="0.00">
                  <c:v>0.12253241062734817</c:v>
                </c:pt>
                <c:pt idx="81" formatCode="0.00">
                  <c:v>0.22579111711150315</c:v>
                </c:pt>
                <c:pt idx="82" formatCode="0.00">
                  <c:v>0.33999444637278947</c:v>
                </c:pt>
                <c:pt idx="83" formatCode="0.00">
                  <c:v>0.32127952960766015</c:v>
                </c:pt>
                <c:pt idx="84" formatCode="0.00">
                  <c:v>0.26316727433809251</c:v>
                </c:pt>
                <c:pt idx="85" formatCode="0.00">
                  <c:v>0.16503292084987209</c:v>
                </c:pt>
                <c:pt idx="86" formatCode="0.00">
                  <c:v>0.10048054000658567</c:v>
                </c:pt>
                <c:pt idx="87" formatCode="0.00">
                  <c:v>0.12598613952874527</c:v>
                </c:pt>
                <c:pt idx="88" formatCode="0.00">
                  <c:v>0.19495987179906404</c:v>
                </c:pt>
                <c:pt idx="89" formatCode="0.00">
                  <c:v>0.10796840976307469</c:v>
                </c:pt>
                <c:pt idx="90" formatCode="0.00">
                  <c:v>0.13916567280269657</c:v>
                </c:pt>
                <c:pt idx="91" formatCode="0.00">
                  <c:v>0.11185454545454601</c:v>
                </c:pt>
                <c:pt idx="92" formatCode="0.00">
                  <c:v>6.6289735624167984E-2</c:v>
                </c:pt>
                <c:pt idx="93" formatCode="0.00">
                  <c:v>0.24173097192500467</c:v>
                </c:pt>
                <c:pt idx="94" formatCode="0.00">
                  <c:v>0.28320117893135571</c:v>
                </c:pt>
                <c:pt idx="95" formatCode="0.00">
                  <c:v>0.24315999999999996</c:v>
                </c:pt>
                <c:pt idx="96" formatCode="0.00">
                  <c:v>0.21276499999999995</c:v>
                </c:pt>
                <c:pt idx="97" formatCode="0.00">
                  <c:v>0.18844899999999998</c:v>
                </c:pt>
                <c:pt idx="98" formatCode="0.00">
                  <c:v>0.1489355</c:v>
                </c:pt>
                <c:pt idx="99" formatCode="0.00">
                  <c:v>0.1489355</c:v>
                </c:pt>
                <c:pt idx="100" formatCode="0.00">
                  <c:v>0.12765899999999999</c:v>
                </c:pt>
                <c:pt idx="101" formatCode="0.00">
                  <c:v>0.12097209999999999</c:v>
                </c:pt>
                <c:pt idx="102" formatCode="0.00">
                  <c:v>0.10820619999999999</c:v>
                </c:pt>
                <c:pt idx="103" formatCode="0.00">
                  <c:v>9.4224499999999989E-2</c:v>
                </c:pt>
              </c:numCache>
            </c:numRef>
          </c:val>
          <c:extLst>
            <c:ext xmlns:c16="http://schemas.microsoft.com/office/drawing/2014/chart" uri="{C3380CC4-5D6E-409C-BE32-E72D297353CC}">
              <c16:uniqueId val="{00000002-FBD3-4676-A999-43F23C90763C}"/>
            </c:ext>
          </c:extLst>
        </c:ser>
        <c:ser>
          <c:idx val="3"/>
          <c:order val="3"/>
          <c:tx>
            <c:strRef>
              <c:f>'Q1'!$E$336</c:f>
              <c:strCache>
                <c:ptCount val="1"/>
                <c:pt idx="0">
                  <c:v>Processed food (incl. Alcohol and tobacco)</c:v>
                </c:pt>
              </c:strCache>
            </c:strRef>
          </c:tx>
          <c:spPr>
            <a:solidFill>
              <a:srgbClr val="00FF00"/>
            </a:solidFill>
            <a:ln w="12700">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3">
                  <c:v>1</c:v>
                </c:pt>
                <c:pt idx="96">
                  <c:v>2019</c:v>
                </c:pt>
                <c:pt idx="100">
                  <c:v>2020</c:v>
                </c:pt>
              </c:numCache>
            </c:numRef>
          </c:cat>
          <c:val>
            <c:numRef>
              <c:f>'Q1'!$G$336:$DJ$336</c:f>
              <c:numCache>
                <c:formatCode>0</c:formatCode>
                <c:ptCount val="108"/>
                <c:pt idx="8" formatCode="0.00">
                  <c:v>0.31368208672014597</c:v>
                </c:pt>
                <c:pt idx="9" formatCode="0.00">
                  <c:v>0.59149335940641012</c:v>
                </c:pt>
                <c:pt idx="10" formatCode="0.00">
                  <c:v>0.82060408491691073</c:v>
                </c:pt>
                <c:pt idx="11" formatCode="0.00">
                  <c:v>1.2226480750228665</c:v>
                </c:pt>
                <c:pt idx="12" formatCode="0.00">
                  <c:v>1.1900489403514829</c:v>
                </c:pt>
                <c:pt idx="13" formatCode="0.00">
                  <c:v>0.87629994592398985</c:v>
                </c:pt>
                <c:pt idx="14" formatCode="0.00">
                  <c:v>0.23876482954036182</c:v>
                </c:pt>
                <c:pt idx="15" formatCode="0.00">
                  <c:v>-0.29703136375057149</c:v>
                </c:pt>
                <c:pt idx="16" formatCode="0.00">
                  <c:v>-0.26565349085968942</c:v>
                </c:pt>
                <c:pt idx="17" formatCode="0.00">
                  <c:v>-0.30919437196909716</c:v>
                </c:pt>
                <c:pt idx="18" formatCode="0.00">
                  <c:v>3.4113763793580192E-3</c:v>
                </c:pt>
                <c:pt idx="19" formatCode="0.00">
                  <c:v>0.18219168402023925</c:v>
                </c:pt>
                <c:pt idx="20" formatCode="0.00">
                  <c:v>0.15171005061460768</c:v>
                </c:pt>
                <c:pt idx="21" formatCode="0.00">
                  <c:v>0.15983543733092975</c:v>
                </c:pt>
                <c:pt idx="22" formatCode="0.00">
                  <c:v>0.18134624022998971</c:v>
                </c:pt>
                <c:pt idx="23" formatCode="0.00">
                  <c:v>0.17739850907131385</c:v>
                </c:pt>
                <c:pt idx="24" formatCode="0.00">
                  <c:v>0.11674025044722605</c:v>
                </c:pt>
                <c:pt idx="25" formatCode="0.00">
                  <c:v>9.2230992196210573E-2</c:v>
                </c:pt>
                <c:pt idx="26" formatCode="0.00">
                  <c:v>0.14807577303580319</c:v>
                </c:pt>
                <c:pt idx="27" formatCode="0.00">
                  <c:v>0.21198882037176639</c:v>
                </c:pt>
                <c:pt idx="28" formatCode="0.00">
                  <c:v>0.25933438317881502</c:v>
                </c:pt>
                <c:pt idx="29" formatCode="0.00">
                  <c:v>0.37414599025254486</c:v>
                </c:pt>
                <c:pt idx="30" formatCode="0.00">
                  <c:v>0.30612974753018507</c:v>
                </c:pt>
                <c:pt idx="31" formatCode="0.00">
                  <c:v>0.23915304248994659</c:v>
                </c:pt>
                <c:pt idx="32" formatCode="0.00">
                  <c:v>0.2435419159839137</c:v>
                </c:pt>
                <c:pt idx="33" formatCode="0.00">
                  <c:v>0.17548199666838082</c:v>
                </c:pt>
                <c:pt idx="34" formatCode="0.00">
                  <c:v>0.17347886093874948</c:v>
                </c:pt>
                <c:pt idx="35" formatCode="0.00">
                  <c:v>0.16614429743523432</c:v>
                </c:pt>
                <c:pt idx="36" formatCode="0.00">
                  <c:v>0.12449408740360034</c:v>
                </c:pt>
                <c:pt idx="37" formatCode="0.00">
                  <c:v>6.7194880546076363E-2</c:v>
                </c:pt>
                <c:pt idx="38" formatCode="0.00">
                  <c:v>1.3842742449342573E-2</c:v>
                </c:pt>
                <c:pt idx="39" formatCode="0.00">
                  <c:v>-3.5783218566693774E-2</c:v>
                </c:pt>
                <c:pt idx="40" formatCode="0.00">
                  <c:v>-6.837827969771762E-2</c:v>
                </c:pt>
                <c:pt idx="41" formatCode="0.00">
                  <c:v>-0.12805353200882769</c:v>
                </c:pt>
                <c:pt idx="42" formatCode="0.00">
                  <c:v>-0.11468287714831316</c:v>
                </c:pt>
                <c:pt idx="43" formatCode="0.00">
                  <c:v>-9.1326841118304983E-2</c:v>
                </c:pt>
                <c:pt idx="44" formatCode="0.00">
                  <c:v>-6.2199412141391831E-2</c:v>
                </c:pt>
                <c:pt idx="45" formatCode="0.00">
                  <c:v>3.9752762960892207E-3</c:v>
                </c:pt>
                <c:pt idx="46" formatCode="0.00">
                  <c:v>2.9490183122731786E-2</c:v>
                </c:pt>
                <c:pt idx="47" formatCode="0.00">
                  <c:v>0.10802998332911852</c:v>
                </c:pt>
                <c:pt idx="48" formatCode="0.00">
                  <c:v>0.36817585526879204</c:v>
                </c:pt>
                <c:pt idx="49" formatCode="0.00">
                  <c:v>0.4331111301516562</c:v>
                </c:pt>
                <c:pt idx="50" formatCode="0.00">
                  <c:v>0.45866753490755802</c:v>
                </c:pt>
                <c:pt idx="51" formatCode="0.00">
                  <c:v>0.65251542750138214</c:v>
                </c:pt>
                <c:pt idx="52" formatCode="0.00">
                  <c:v>0.92983557019006469</c:v>
                </c:pt>
                <c:pt idx="53" formatCode="0.00">
                  <c:v>1.0540489513388029</c:v>
                </c:pt>
                <c:pt idx="54" formatCode="0.00">
                  <c:v>1.0988652482269465</c:v>
                </c:pt>
                <c:pt idx="55" formatCode="0.00">
                  <c:v>0.90528882767560215</c:v>
                </c:pt>
                <c:pt idx="56" formatCode="0.00">
                  <c:v>0.43324134978398765</c:v>
                </c:pt>
                <c:pt idx="57" formatCode="0.00">
                  <c:v>0.34007450604258715</c:v>
                </c:pt>
                <c:pt idx="58" formatCode="0.00">
                  <c:v>0.34867288084005754</c:v>
                </c:pt>
                <c:pt idx="59" formatCode="0.00">
                  <c:v>0.36072853353543227</c:v>
                </c:pt>
                <c:pt idx="60" formatCode="0.00">
                  <c:v>0.29878892398642126</c:v>
                </c:pt>
                <c:pt idx="61" formatCode="0.00">
                  <c:v>0.24032476602687594</c:v>
                </c:pt>
                <c:pt idx="62" formatCode="0.00">
                  <c:v>0.19204512091402667</c:v>
                </c:pt>
                <c:pt idx="63" formatCode="0.00">
                  <c:v>0.23851232673112668</c:v>
                </c:pt>
                <c:pt idx="64" formatCode="0.00">
                  <c:v>0.3465966634679275</c:v>
                </c:pt>
                <c:pt idx="65" formatCode="0.00">
                  <c:v>0.39636875206885197</c:v>
                </c:pt>
                <c:pt idx="66" formatCode="0.00">
                  <c:v>0.42453215304703779</c:v>
                </c:pt>
                <c:pt idx="67" formatCode="0.00">
                  <c:v>0.31306548158897285</c:v>
                </c:pt>
                <c:pt idx="68" formatCode="0.00">
                  <c:v>0.38767546214241777</c:v>
                </c:pt>
                <c:pt idx="69" formatCode="0.00">
                  <c:v>0.35056729668147429</c:v>
                </c:pt>
                <c:pt idx="70" formatCode="0.00">
                  <c:v>0.2878806810202047</c:v>
                </c:pt>
                <c:pt idx="71" formatCode="0.00">
                  <c:v>0.26377572286361078</c:v>
                </c:pt>
                <c:pt idx="72" formatCode="0.00">
                  <c:v>0.19209867039888165</c:v>
                </c:pt>
                <c:pt idx="73" formatCode="0.00">
                  <c:v>0.15158768201769482</c:v>
                </c:pt>
                <c:pt idx="74" formatCode="0.00">
                  <c:v>0.18080316765656229</c:v>
                </c:pt>
                <c:pt idx="75" formatCode="0.00">
                  <c:v>0.19191248391248453</c:v>
                </c:pt>
                <c:pt idx="76" formatCode="0.00">
                  <c:v>0.1232438847679804</c:v>
                </c:pt>
                <c:pt idx="77" formatCode="0.00">
                  <c:v>0.12402700933613596</c:v>
                </c:pt>
                <c:pt idx="78" formatCode="0.00">
                  <c:v>0.16644359897172376</c:v>
                </c:pt>
                <c:pt idx="79" formatCode="0.00">
                  <c:v>0.16655206475511378</c:v>
                </c:pt>
                <c:pt idx="80" formatCode="0.00">
                  <c:v>0.28520402858999488</c:v>
                </c:pt>
                <c:pt idx="81" formatCode="0.00">
                  <c:v>0.34279429742188761</c:v>
                </c:pt>
                <c:pt idx="82" formatCode="0.00">
                  <c:v>0.27726548792466915</c:v>
                </c:pt>
                <c:pt idx="83" formatCode="0.00">
                  <c:v>0.27171369983730664</c:v>
                </c:pt>
                <c:pt idx="84" formatCode="0.00">
                  <c:v>0.12610670465974028</c:v>
                </c:pt>
                <c:pt idx="85" formatCode="0.00">
                  <c:v>5.9185637127425098E-2</c:v>
                </c:pt>
                <c:pt idx="86" formatCode="0.00">
                  <c:v>3.6504849853840622E-2</c:v>
                </c:pt>
                <c:pt idx="87" formatCode="0.00">
                  <c:v>6.4652079938816831E-2</c:v>
                </c:pt>
                <c:pt idx="88" formatCode="0.00">
                  <c:v>0.17208110442901345</c:v>
                </c:pt>
                <c:pt idx="89" formatCode="0.00">
                  <c:v>0.25586115537848619</c:v>
                </c:pt>
                <c:pt idx="90" formatCode="0.00">
                  <c:v>0.33038042541912377</c:v>
                </c:pt>
                <c:pt idx="91" formatCode="0.00">
                  <c:v>0.38766436066333665</c:v>
                </c:pt>
                <c:pt idx="92" formatCode="0.00">
                  <c:v>0.32119690207403317</c:v>
                </c:pt>
                <c:pt idx="93" formatCode="0.00">
                  <c:v>0.24933385487971729</c:v>
                </c:pt>
                <c:pt idx="94" formatCode="0.00">
                  <c:v>0.20315376650272024</c:v>
                </c:pt>
                <c:pt idx="95" formatCode="0.00">
                  <c:v>0.26730599999999999</c:v>
                </c:pt>
                <c:pt idx="96" formatCode="0.00">
                  <c:v>0.25359799999999999</c:v>
                </c:pt>
                <c:pt idx="97" formatCode="0.00">
                  <c:v>0.28923880000000002</c:v>
                </c:pt>
                <c:pt idx="98" formatCode="0.00">
                  <c:v>0.29883440000000006</c:v>
                </c:pt>
                <c:pt idx="99" formatCode="0.00">
                  <c:v>0.30568839999999997</c:v>
                </c:pt>
                <c:pt idx="100" formatCode="0.00">
                  <c:v>0.29472199999999998</c:v>
                </c:pt>
                <c:pt idx="101" formatCode="0.00">
                  <c:v>0.29472199999999998</c:v>
                </c:pt>
                <c:pt idx="102" formatCode="0.00">
                  <c:v>0.27690160000000003</c:v>
                </c:pt>
                <c:pt idx="103" formatCode="0.00">
                  <c:v>0.27278920000000001</c:v>
                </c:pt>
              </c:numCache>
            </c:numRef>
          </c:val>
          <c:extLst>
            <c:ext xmlns:c16="http://schemas.microsoft.com/office/drawing/2014/chart" uri="{C3380CC4-5D6E-409C-BE32-E72D297353CC}">
              <c16:uniqueId val="{00000003-FBD3-4676-A999-43F23C90763C}"/>
            </c:ext>
          </c:extLst>
        </c:ser>
        <c:ser>
          <c:idx val="1"/>
          <c:order val="4"/>
          <c:tx>
            <c:strRef>
              <c:f>'Q1'!$E$334</c:f>
              <c:strCache>
                <c:ptCount val="1"/>
                <c:pt idx="0">
                  <c:v>Energy</c:v>
                </c:pt>
              </c:strCache>
            </c:strRef>
          </c:tx>
          <c:spPr>
            <a:solidFill>
              <a:srgbClr val="FFFF99"/>
            </a:solidFill>
            <a:ln w="12700">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3">
                  <c:v>1</c:v>
                </c:pt>
                <c:pt idx="96">
                  <c:v>2019</c:v>
                </c:pt>
                <c:pt idx="100">
                  <c:v>2020</c:v>
                </c:pt>
              </c:numCache>
            </c:numRef>
          </c:cat>
          <c:val>
            <c:numRef>
              <c:f>'Q1'!$G$334:$BN$334</c:f>
              <c:numCache>
                <c:formatCode>0</c:formatCode>
                <c:ptCount val="60"/>
                <c:pt idx="8" formatCode="0.00">
                  <c:v>0.75225783706051419</c:v>
                </c:pt>
                <c:pt idx="9" formatCode="0.00">
                  <c:v>0.50259826847167832</c:v>
                </c:pt>
                <c:pt idx="10" formatCode="0.00">
                  <c:v>0.81442434568914501</c:v>
                </c:pt>
                <c:pt idx="11" formatCode="0.00">
                  <c:v>0.40565188242792349</c:v>
                </c:pt>
                <c:pt idx="12" formatCode="0.00">
                  <c:v>0.27380241515716836</c:v>
                </c:pt>
                <c:pt idx="13" formatCode="0.00">
                  <c:v>0.20754764970120321</c:v>
                </c:pt>
                <c:pt idx="14" formatCode="0.00">
                  <c:v>-0.19476264500113294</c:v>
                </c:pt>
                <c:pt idx="15" formatCode="0.00">
                  <c:v>-0.25238483756790214</c:v>
                </c:pt>
                <c:pt idx="16" formatCode="0.00">
                  <c:v>-0.37779588959374544</c:v>
                </c:pt>
                <c:pt idx="17" formatCode="0.00">
                  <c:v>-0.17074092208691002</c:v>
                </c:pt>
                <c:pt idx="18" formatCode="0.00">
                  <c:v>0.14605033001209791</c:v>
                </c:pt>
                <c:pt idx="19" formatCode="0.00">
                  <c:v>0.32260432657905486</c:v>
                </c:pt>
                <c:pt idx="20" formatCode="0.00">
                  <c:v>0.83271779175877259</c:v>
                </c:pt>
                <c:pt idx="21" formatCode="0.00">
                  <c:v>0.81370840557016022</c:v>
                </c:pt>
                <c:pt idx="22" formatCode="0.00">
                  <c:v>0.69959417443953786</c:v>
                </c:pt>
                <c:pt idx="23" formatCode="0.00">
                  <c:v>0.71969095162957708</c:v>
                </c:pt>
                <c:pt idx="24" formatCode="0.00">
                  <c:v>0.59395721925133649</c:v>
                </c:pt>
                <c:pt idx="25" formatCode="0.00">
                  <c:v>1.0762394181970361</c:v>
                </c:pt>
                <c:pt idx="26" formatCode="0.00">
                  <c:v>0.79102842576857624</c:v>
                </c:pt>
                <c:pt idx="27" formatCode="0.00">
                  <c:v>0.35202451407764657</c:v>
                </c:pt>
                <c:pt idx="28" formatCode="0.00">
                  <c:v>0.33816168266572633</c:v>
                </c:pt>
                <c:pt idx="29" formatCode="0.00">
                  <c:v>-3.9084712616264727E-2</c:v>
                </c:pt>
                <c:pt idx="30" formatCode="0.00">
                  <c:v>4.271978655898849E-2</c:v>
                </c:pt>
                <c:pt idx="31" formatCode="0.00">
                  <c:v>0.48534503156534098</c:v>
                </c:pt>
                <c:pt idx="32" formatCode="0.00">
                  <c:v>1.7322922252660027</c:v>
                </c:pt>
                <c:pt idx="33" formatCode="0.00">
                  <c:v>1.1005451300803828</c:v>
                </c:pt>
                <c:pt idx="34" formatCode="0.00">
                  <c:v>1.1302014452205433</c:v>
                </c:pt>
                <c:pt idx="35" formatCode="0.00">
                  <c:v>1.0615380685123952</c:v>
                </c:pt>
                <c:pt idx="36" formatCode="0.00">
                  <c:v>-2.5593815046088954E-2</c:v>
                </c:pt>
                <c:pt idx="37" formatCode="0.00">
                  <c:v>0.510049130168719</c:v>
                </c:pt>
                <c:pt idx="38" formatCode="0.00">
                  <c:v>0.60044617063058858</c:v>
                </c:pt>
                <c:pt idx="39" formatCode="0.00">
                  <c:v>0.53250605252807437</c:v>
                </c:pt>
                <c:pt idx="40" formatCode="0.00">
                  <c:v>0.31197735399284654</c:v>
                </c:pt>
                <c:pt idx="41" formatCode="0.00">
                  <c:v>0.46953305074075541</c:v>
                </c:pt>
                <c:pt idx="42" formatCode="0.00">
                  <c:v>0.93146758758425563</c:v>
                </c:pt>
                <c:pt idx="43" formatCode="0.00">
                  <c:v>0.89385507246376805</c:v>
                </c:pt>
                <c:pt idx="44" formatCode="0.00">
                  <c:v>1.000603636924444</c:v>
                </c:pt>
                <c:pt idx="45" formatCode="0.00">
                  <c:v>1.2038043313166042</c:v>
                </c:pt>
                <c:pt idx="46" formatCode="0.00">
                  <c:v>0.67902235732626093</c:v>
                </c:pt>
                <c:pt idx="47" formatCode="0.00">
                  <c:v>0.62769354399261967</c:v>
                </c:pt>
                <c:pt idx="48" formatCode="0.00">
                  <c:v>0.36973579469053952</c:v>
                </c:pt>
                <c:pt idx="49" formatCode="0.00">
                  <c:v>-4.8903183023873316E-2</c:v>
                </c:pt>
                <c:pt idx="50" formatCode="0.00">
                  <c:v>-0.2873325894490385</c:v>
                </c:pt>
                <c:pt idx="51" formatCode="0.00">
                  <c:v>0.22242029146735068</c:v>
                </c:pt>
                <c:pt idx="52" formatCode="0.00">
                  <c:v>0.78830105922721105</c:v>
                </c:pt>
                <c:pt idx="53" formatCode="0.00">
                  <c:v>1.16078399171475</c:v>
                </c:pt>
                <c:pt idx="54" formatCode="0.00">
                  <c:v>1.7861741899232091</c:v>
                </c:pt>
                <c:pt idx="55" formatCode="0.00">
                  <c:v>0.6224673829903502</c:v>
                </c:pt>
                <c:pt idx="56" formatCode="0.00">
                  <c:v>8.2022752652151296E-2</c:v>
                </c:pt>
                <c:pt idx="57" formatCode="0.00">
                  <c:v>-6.8888795593471663E-2</c:v>
                </c:pt>
                <c:pt idx="58" formatCode="0.00">
                  <c:v>-0.51311735537190273</c:v>
                </c:pt>
                <c:pt idx="59" formatCode="0.00">
                  <c:v>0.15818873073999826</c:v>
                </c:pt>
              </c:numCache>
            </c:numRef>
          </c:val>
          <c:extLst>
            <c:ext xmlns:c16="http://schemas.microsoft.com/office/drawing/2014/chart" uri="{C3380CC4-5D6E-409C-BE32-E72D297353CC}">
              <c16:uniqueId val="{00000004-FBD3-4676-A999-43F23C90763C}"/>
            </c:ext>
          </c:extLst>
        </c:ser>
        <c:dLbls>
          <c:showLegendKey val="0"/>
          <c:showVal val="0"/>
          <c:showCatName val="0"/>
          <c:showSerName val="0"/>
          <c:showPercent val="0"/>
          <c:showBubbleSize val="0"/>
        </c:dLbls>
        <c:gapWidth val="10"/>
        <c:overlap val="100"/>
        <c:axId val="286214400"/>
        <c:axId val="286224384"/>
      </c:barChart>
      <c:catAx>
        <c:axId val="286214400"/>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fr-FR"/>
          </a:p>
        </c:txPr>
        <c:crossAx val="286224384"/>
        <c:crosses val="autoZero"/>
        <c:auto val="1"/>
        <c:lblAlgn val="ctr"/>
        <c:lblOffset val="100"/>
        <c:tickLblSkip val="4"/>
        <c:tickMarkSkip val="4"/>
        <c:noMultiLvlLbl val="0"/>
      </c:catAx>
      <c:valAx>
        <c:axId val="286224384"/>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fr-FR"/>
          </a:p>
        </c:txPr>
        <c:crossAx val="286214400"/>
        <c:crosses val="autoZero"/>
        <c:crossBetween val="between"/>
      </c:valAx>
      <c:spPr>
        <a:noFill/>
        <a:ln w="12700">
          <a:solidFill>
            <a:srgbClr val="808080"/>
          </a:solidFill>
          <a:prstDash val="solid"/>
        </a:ln>
      </c:spPr>
    </c:plotArea>
    <c:legend>
      <c:legendPos val="b"/>
      <c:layout>
        <c:manualLayout>
          <c:xMode val="edge"/>
          <c:yMode val="edge"/>
          <c:x val="0.62767905030968274"/>
          <c:y val="0.17171791278593396"/>
          <c:w val="0.34553597790874435"/>
          <c:h val="0.23484949836899796"/>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696850393700787E-2"/>
          <c:y val="2.8252405949256341E-2"/>
          <c:w val="0.68645538057742783"/>
          <c:h val="0.89719889180519097"/>
        </c:manualLayout>
      </c:layout>
      <c:lineChart>
        <c:grouping val="standard"/>
        <c:varyColors val="0"/>
        <c:ser>
          <c:idx val="0"/>
          <c:order val="0"/>
          <c:tx>
            <c:strRef>
              <c:f>Labour1!$C$86</c:f>
              <c:strCache>
                <c:ptCount val="1"/>
                <c:pt idx="0">
                  <c:v>Hours worked per person</c:v>
                </c:pt>
              </c:strCache>
            </c:strRef>
          </c:tx>
          <c:marker>
            <c:symbol val="none"/>
          </c:marker>
          <c:cat>
            <c:numRef>
              <c:f>Labour1!$U$45:$AE$45</c:f>
              <c:numCache>
                <c:formatCode>0</c:formatCode>
                <c:ptCount val="11"/>
                <c:pt idx="0">
                  <c:v>2009</c:v>
                </c:pt>
                <c:pt idx="1">
                  <c:v>2010</c:v>
                </c:pt>
                <c:pt idx="2">
                  <c:v>2011</c:v>
                </c:pt>
                <c:pt idx="3">
                  <c:v>2012</c:v>
                </c:pt>
                <c:pt idx="4">
                  <c:v>2013</c:v>
                </c:pt>
                <c:pt idx="5">
                  <c:v>2014</c:v>
                </c:pt>
                <c:pt idx="6">
                  <c:v>2015</c:v>
                </c:pt>
                <c:pt idx="7">
                  <c:v>2016</c:v>
                </c:pt>
                <c:pt idx="8">
                  <c:v>2017</c:v>
                </c:pt>
                <c:pt idx="9">
                  <c:v>2018</c:v>
                </c:pt>
                <c:pt idx="10">
                  <c:v>2019</c:v>
                </c:pt>
              </c:numCache>
            </c:numRef>
          </c:cat>
          <c:val>
            <c:numRef>
              <c:f>Labour1!$U$92:$AE$92</c:f>
              <c:numCache>
                <c:formatCode>0.00</c:formatCode>
                <c:ptCount val="11"/>
                <c:pt idx="0">
                  <c:v>-0.4772882186682148</c:v>
                </c:pt>
                <c:pt idx="1">
                  <c:v>1.6070214689219764</c:v>
                </c:pt>
                <c:pt idx="2">
                  <c:v>-0.1522807810963589</c:v>
                </c:pt>
                <c:pt idx="3">
                  <c:v>-0.86624829999059072</c:v>
                </c:pt>
                <c:pt idx="4">
                  <c:v>-0.59671340345045509</c:v>
                </c:pt>
                <c:pt idx="5">
                  <c:v>4.3800282390171752E-2</c:v>
                </c:pt>
                <c:pt idx="6">
                  <c:v>4.0330120004061776E-2</c:v>
                </c:pt>
                <c:pt idx="7">
                  <c:v>0.75868507367675697</c:v>
                </c:pt>
                <c:pt idx="8">
                  <c:v>-0.83825986962043908</c:v>
                </c:pt>
                <c:pt idx="9">
                  <c:v>0.2</c:v>
                </c:pt>
                <c:pt idx="10">
                  <c:v>0.01</c:v>
                </c:pt>
              </c:numCache>
            </c:numRef>
          </c:val>
          <c:smooth val="0"/>
          <c:extLst>
            <c:ext xmlns:c16="http://schemas.microsoft.com/office/drawing/2014/chart" uri="{C3380CC4-5D6E-409C-BE32-E72D297353CC}">
              <c16:uniqueId val="{00000000-37F3-423C-B43E-4953F1E3BC63}"/>
            </c:ext>
          </c:extLst>
        </c:ser>
        <c:ser>
          <c:idx val="1"/>
          <c:order val="1"/>
          <c:tx>
            <c:strRef>
              <c:f>Labour1!$E$29</c:f>
              <c:strCache>
                <c:ptCount val="1"/>
                <c:pt idx="0">
                  <c:v>Wage &amp; salary earners (private sector)</c:v>
                </c:pt>
              </c:strCache>
            </c:strRef>
          </c:tx>
          <c:marker>
            <c:symbol val="none"/>
          </c:marker>
          <c:cat>
            <c:numRef>
              <c:f>Labour1!$U$45:$AE$45</c:f>
              <c:numCache>
                <c:formatCode>0</c:formatCode>
                <c:ptCount val="11"/>
                <c:pt idx="0">
                  <c:v>2009</c:v>
                </c:pt>
                <c:pt idx="1">
                  <c:v>2010</c:v>
                </c:pt>
                <c:pt idx="2">
                  <c:v>2011</c:v>
                </c:pt>
                <c:pt idx="3">
                  <c:v>2012</c:v>
                </c:pt>
                <c:pt idx="4">
                  <c:v>2013</c:v>
                </c:pt>
                <c:pt idx="5">
                  <c:v>2014</c:v>
                </c:pt>
                <c:pt idx="6">
                  <c:v>2015</c:v>
                </c:pt>
                <c:pt idx="7">
                  <c:v>2016</c:v>
                </c:pt>
                <c:pt idx="8">
                  <c:v>2017</c:v>
                </c:pt>
                <c:pt idx="9">
                  <c:v>2018</c:v>
                </c:pt>
                <c:pt idx="10">
                  <c:v>2019</c:v>
                </c:pt>
              </c:numCache>
            </c:numRef>
          </c:cat>
          <c:val>
            <c:numRef>
              <c:f>Labour1!$U$46:$AE$46</c:f>
              <c:numCache>
                <c:formatCode>0.0</c:formatCode>
                <c:ptCount val="11"/>
                <c:pt idx="0">
                  <c:v>-2.8879901059598145</c:v>
                </c:pt>
                <c:pt idx="1">
                  <c:v>1.4800536949712617</c:v>
                </c:pt>
                <c:pt idx="2">
                  <c:v>3.4358783027507389</c:v>
                </c:pt>
                <c:pt idx="3">
                  <c:v>0.97061909758655585</c:v>
                </c:pt>
                <c:pt idx="4">
                  <c:v>1.0652117433099573</c:v>
                </c:pt>
                <c:pt idx="5">
                  <c:v>1.7127249357326457</c:v>
                </c:pt>
                <c:pt idx="6">
                  <c:v>1.4532587748396608</c:v>
                </c:pt>
                <c:pt idx="7">
                  <c:v>2.0926104692803538</c:v>
                </c:pt>
                <c:pt idx="8">
                  <c:v>2.76955924965685</c:v>
                </c:pt>
                <c:pt idx="9" formatCode="0.00">
                  <c:v>1.66</c:v>
                </c:pt>
                <c:pt idx="10" formatCode="0.00">
                  <c:v>0.85</c:v>
                </c:pt>
              </c:numCache>
            </c:numRef>
          </c:val>
          <c:smooth val="0"/>
          <c:extLst>
            <c:ext xmlns:c16="http://schemas.microsoft.com/office/drawing/2014/chart" uri="{C3380CC4-5D6E-409C-BE32-E72D297353CC}">
              <c16:uniqueId val="{00000001-37F3-423C-B43E-4953F1E3BC63}"/>
            </c:ext>
          </c:extLst>
        </c:ser>
        <c:dLbls>
          <c:showLegendKey val="0"/>
          <c:showVal val="0"/>
          <c:showCatName val="0"/>
          <c:showSerName val="0"/>
          <c:showPercent val="0"/>
          <c:showBubbleSize val="0"/>
        </c:dLbls>
        <c:smooth val="0"/>
        <c:axId val="284109056"/>
        <c:axId val="284110848"/>
      </c:lineChart>
      <c:catAx>
        <c:axId val="284109056"/>
        <c:scaling>
          <c:orientation val="minMax"/>
        </c:scaling>
        <c:delete val="0"/>
        <c:axPos val="b"/>
        <c:numFmt formatCode="0" sourceLinked="1"/>
        <c:majorTickMark val="out"/>
        <c:minorTickMark val="none"/>
        <c:tickLblPos val="nextTo"/>
        <c:crossAx val="284110848"/>
        <c:crosses val="autoZero"/>
        <c:auto val="1"/>
        <c:lblAlgn val="ctr"/>
        <c:lblOffset val="100"/>
        <c:noMultiLvlLbl val="0"/>
      </c:catAx>
      <c:valAx>
        <c:axId val="284110848"/>
        <c:scaling>
          <c:orientation val="minMax"/>
        </c:scaling>
        <c:delete val="0"/>
        <c:axPos val="l"/>
        <c:majorGridlines/>
        <c:numFmt formatCode="0.00" sourceLinked="1"/>
        <c:majorTickMark val="out"/>
        <c:minorTickMark val="none"/>
        <c:tickLblPos val="nextTo"/>
        <c:crossAx val="284109056"/>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Wage &amp; salary earners and GDP (VOL)</a:t>
            </a:r>
          </a:p>
        </c:rich>
      </c:tx>
      <c:layout>
        <c:manualLayout>
          <c:xMode val="edge"/>
          <c:yMode val="edge"/>
          <c:x val="0.22544666291713536"/>
          <c:y val="3.3613445378151259E-2"/>
        </c:manualLayout>
      </c:layout>
      <c:overlay val="0"/>
      <c:spPr>
        <a:noFill/>
        <a:ln w="25400">
          <a:noFill/>
        </a:ln>
      </c:spPr>
    </c:title>
    <c:autoTitleDeleted val="0"/>
    <c:plotArea>
      <c:layout>
        <c:manualLayout>
          <c:layoutTarget val="inner"/>
          <c:xMode val="edge"/>
          <c:yMode val="edge"/>
          <c:x val="0.10937511920941947"/>
          <c:y val="0.17647107096647127"/>
          <c:w val="0.82366161200562837"/>
          <c:h val="0.56022562211578175"/>
        </c:manualLayout>
      </c:layout>
      <c:lineChart>
        <c:grouping val="standard"/>
        <c:varyColors val="0"/>
        <c:ser>
          <c:idx val="0"/>
          <c:order val="0"/>
          <c:tx>
            <c:strRef>
              <c:f>Labour1!$D$48:$E$48</c:f>
              <c:strCache>
                <c:ptCount val="2"/>
                <c:pt idx="1">
                  <c:v>Wage and salary earners (domestic)</c:v>
                </c:pt>
              </c:strCache>
            </c:strRef>
          </c:tx>
          <c:spPr>
            <a:ln w="25400">
              <a:solidFill>
                <a:srgbClr val="FF0000"/>
              </a:solidFill>
              <a:prstDash val="solid"/>
            </a:ln>
          </c:spPr>
          <c:marker>
            <c:symbol val="diamond"/>
            <c:size val="5"/>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Labour1!$G$48:$AG$48</c:f>
              <c:numCache>
                <c:formatCode>0.0</c:formatCode>
                <c:ptCount val="27"/>
                <c:pt idx="1">
                  <c:v>-0.74328187535736001</c:v>
                </c:pt>
                <c:pt idx="2">
                  <c:v>-1.3379765395894361</c:v>
                </c:pt>
                <c:pt idx="3">
                  <c:v>1.8125845917040362</c:v>
                </c:pt>
                <c:pt idx="4">
                  <c:v>2.1191742258367174</c:v>
                </c:pt>
                <c:pt idx="5">
                  <c:v>2.685248998136669</c:v>
                </c:pt>
                <c:pt idx="6">
                  <c:v>2.5031693554401047</c:v>
                </c:pt>
                <c:pt idx="7">
                  <c:v>0.25705694053737016</c:v>
                </c:pt>
                <c:pt idx="8">
                  <c:v>-0.15722509796333162</c:v>
                </c:pt>
                <c:pt idx="9">
                  <c:v>-0.88426969014221424</c:v>
                </c:pt>
                <c:pt idx="10">
                  <c:v>0.29331247555728357</c:v>
                </c:pt>
                <c:pt idx="11">
                  <c:v>1.6401832715928988</c:v>
                </c:pt>
                <c:pt idx="12">
                  <c:v>2.3402469727850539</c:v>
                </c:pt>
                <c:pt idx="13">
                  <c:v>1.2323984911318808</c:v>
                </c:pt>
                <c:pt idx="14">
                  <c:v>-2.6245747216886106</c:v>
                </c:pt>
                <c:pt idx="15">
                  <c:v>0.87942385853159166</c:v>
                </c:pt>
                <c:pt idx="16">
                  <c:v>2.5045354946634291</c:v>
                </c:pt>
                <c:pt idx="17">
                  <c:v>0.91021928009928921</c:v>
                </c:pt>
                <c:pt idx="18">
                  <c:v>1.0432326545487758</c:v>
                </c:pt>
                <c:pt idx="19">
                  <c:v>1.5847610459873707</c:v>
                </c:pt>
                <c:pt idx="20">
                  <c:v>1.6865277500388354</c:v>
                </c:pt>
                <c:pt idx="21">
                  <c:v>2.295790323636604</c:v>
                </c:pt>
                <c:pt idx="22">
                  <c:v>2.5344000000000033</c:v>
                </c:pt>
                <c:pt idx="23" formatCode="0.00">
                  <c:v>1.7317558204856143</c:v>
                </c:pt>
                <c:pt idx="24" formatCode="0.00">
                  <c:v>0.89492155650239269</c:v>
                </c:pt>
                <c:pt idx="25" formatCode="0.00">
                  <c:v>0.68790291145839344</c:v>
                </c:pt>
              </c:numCache>
            </c:numRef>
          </c:val>
          <c:smooth val="0"/>
          <c:extLst>
            <c:ext xmlns:c16="http://schemas.microsoft.com/office/drawing/2014/chart" uri="{C3380CC4-5D6E-409C-BE32-E72D297353CC}">
              <c16:uniqueId val="{00000000-BDD4-43CF-98B5-445669C00D32}"/>
            </c:ext>
          </c:extLst>
        </c:ser>
        <c:ser>
          <c:idx val="1"/>
          <c:order val="1"/>
          <c:tx>
            <c:strRef>
              <c:f>'VVP2'!$E$131</c:f>
              <c:strCache>
                <c:ptCount val="1"/>
                <c:pt idx="0">
                  <c:v>Gross domestic product (B.1g - constant prices)</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'VVP2'!$G$131:$AG$131</c:f>
              <c:numCache>
                <c:formatCode>0.0</c:formatCode>
                <c:ptCount val="27"/>
                <c:pt idx="1">
                  <c:v>1.5190345789658943</c:v>
                </c:pt>
                <c:pt idx="2">
                  <c:v>2.9123066792213548</c:v>
                </c:pt>
                <c:pt idx="3">
                  <c:v>4.2409560508338551</c:v>
                </c:pt>
                <c:pt idx="4">
                  <c:v>4.4867022926029954</c:v>
                </c:pt>
                <c:pt idx="5">
                  <c:v>4.7456166368949892</c:v>
                </c:pt>
                <c:pt idx="6">
                  <c:v>1.5734459634978881</c:v>
                </c:pt>
                <c:pt idx="7">
                  <c:v>2.0753008012419194</c:v>
                </c:pt>
                <c:pt idx="8">
                  <c:v>2.3597762270646028</c:v>
                </c:pt>
                <c:pt idx="9">
                  <c:v>4.310783239085425</c:v>
                </c:pt>
                <c:pt idx="10">
                  <c:v>2.8166773859819028</c:v>
                </c:pt>
                <c:pt idx="11">
                  <c:v>4.6995582969571181</c:v>
                </c:pt>
                <c:pt idx="12">
                  <c:v>3.4080983285069921</c:v>
                </c:pt>
                <c:pt idx="13">
                  <c:v>-0.55705795199625374</c:v>
                </c:pt>
                <c:pt idx="14">
                  <c:v>-5.1958979284636442</c:v>
                </c:pt>
                <c:pt idx="15">
                  <c:v>5.9919680665020847</c:v>
                </c:pt>
                <c:pt idx="16">
                  <c:v>2.6792280204686714</c:v>
                </c:pt>
                <c:pt idx="17">
                  <c:v>-0.29851237313677226</c:v>
                </c:pt>
                <c:pt idx="18">
                  <c:v>1.238349337689959</c:v>
                </c:pt>
                <c:pt idx="19">
                  <c:v>2.601902927795896</c:v>
                </c:pt>
                <c:pt idx="20">
                  <c:v>4.456568925371962</c:v>
                </c:pt>
                <c:pt idx="21">
                  <c:v>2.6839662785306029</c:v>
                </c:pt>
                <c:pt idx="22">
                  <c:v>2.1141964181437434</c:v>
                </c:pt>
                <c:pt idx="23" formatCode="0.00">
                  <c:v>2.3754579714468482</c:v>
                </c:pt>
                <c:pt idx="24" formatCode="0.00">
                  <c:v>1.7607506553809715</c:v>
                </c:pt>
                <c:pt idx="25" formatCode="0.00">
                  <c:v>1.7609205310281206</c:v>
                </c:pt>
              </c:numCache>
            </c:numRef>
          </c:val>
          <c:smooth val="0"/>
          <c:extLst>
            <c:ext xmlns:c16="http://schemas.microsoft.com/office/drawing/2014/chart" uri="{C3380CC4-5D6E-409C-BE32-E72D297353CC}">
              <c16:uniqueId val="{00000001-BDD4-43CF-98B5-445669C00D32}"/>
            </c:ext>
          </c:extLst>
        </c:ser>
        <c:dLbls>
          <c:showLegendKey val="0"/>
          <c:showVal val="0"/>
          <c:showCatName val="0"/>
          <c:showSerName val="0"/>
          <c:showPercent val="0"/>
          <c:showBubbleSize val="0"/>
        </c:dLbls>
        <c:marker val="1"/>
        <c:smooth val="0"/>
        <c:axId val="284275456"/>
        <c:axId val="284277376"/>
      </c:lineChart>
      <c:catAx>
        <c:axId val="284275456"/>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84277376"/>
        <c:crosses val="autoZero"/>
        <c:auto val="1"/>
        <c:lblAlgn val="ctr"/>
        <c:lblOffset val="100"/>
        <c:tickLblSkip val="2"/>
        <c:tickMarkSkip val="1"/>
        <c:noMultiLvlLbl val="0"/>
      </c:catAx>
      <c:valAx>
        <c:axId val="284277376"/>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84275456"/>
        <c:crosses val="autoZero"/>
        <c:crossBetween val="midCat"/>
      </c:valAx>
      <c:spPr>
        <a:noFill/>
        <a:ln w="12700">
          <a:solidFill>
            <a:srgbClr val="808080"/>
          </a:solidFill>
          <a:prstDash val="solid"/>
        </a:ln>
      </c:spPr>
    </c:plotArea>
    <c:legend>
      <c:legendPos val="r"/>
      <c:layout>
        <c:manualLayout>
          <c:xMode val="edge"/>
          <c:yMode val="edge"/>
          <c:x val="0.16785758193773179"/>
          <c:y val="0.8549808399254577"/>
          <c:w val="0.70893042584339905"/>
          <c:h val="0.12121247350841932"/>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paperSize="9" orientation="landscape"/>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Self-employed and GDP (VOL)</a:t>
            </a:r>
          </a:p>
        </c:rich>
      </c:tx>
      <c:layout>
        <c:manualLayout>
          <c:xMode val="edge"/>
          <c:yMode val="edge"/>
          <c:x val="0.28348237720284963"/>
          <c:y val="3.3613445378151259E-2"/>
        </c:manualLayout>
      </c:layout>
      <c:overlay val="0"/>
      <c:spPr>
        <a:noFill/>
        <a:ln w="25400">
          <a:noFill/>
        </a:ln>
      </c:spPr>
    </c:title>
    <c:autoTitleDeleted val="0"/>
    <c:plotArea>
      <c:layout>
        <c:manualLayout>
          <c:layoutTarget val="inner"/>
          <c:xMode val="edge"/>
          <c:yMode val="edge"/>
          <c:x val="0.10937511920941947"/>
          <c:y val="0.17647107096647127"/>
          <c:w val="0.82366161200562837"/>
          <c:h val="0.56022562211578175"/>
        </c:manualLayout>
      </c:layout>
      <c:lineChart>
        <c:grouping val="standard"/>
        <c:varyColors val="0"/>
        <c:ser>
          <c:idx val="0"/>
          <c:order val="0"/>
          <c:tx>
            <c:strRef>
              <c:f>Labour1!$D$49:$E$49</c:f>
              <c:strCache>
                <c:ptCount val="2"/>
                <c:pt idx="1">
                  <c:v>Self employed</c:v>
                </c:pt>
              </c:strCache>
            </c:strRef>
          </c:tx>
          <c:spPr>
            <a:ln w="25400">
              <a:solidFill>
                <a:srgbClr val="FF0000"/>
              </a:solidFill>
              <a:prstDash val="solid"/>
            </a:ln>
          </c:spPr>
          <c:marker>
            <c:symbol val="diamond"/>
            <c:size val="5"/>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Labour1!$G$49:$AG$49</c:f>
              <c:numCache>
                <c:formatCode>0.0</c:formatCode>
                <c:ptCount val="27"/>
                <c:pt idx="1">
                  <c:v>-1.5652792600495125</c:v>
                </c:pt>
                <c:pt idx="2">
                  <c:v>-0.57824358511036067</c:v>
                </c:pt>
                <c:pt idx="3">
                  <c:v>-3.6350418029940101E-2</c:v>
                </c:pt>
                <c:pt idx="4">
                  <c:v>1.8181818181819853</c:v>
                </c:pt>
                <c:pt idx="5">
                  <c:v>-0.82142857142847303</c:v>
                </c:pt>
                <c:pt idx="6">
                  <c:v>-3.6730284479655206</c:v>
                </c:pt>
                <c:pt idx="7">
                  <c:v>-3.1775700934579487</c:v>
                </c:pt>
                <c:pt idx="8">
                  <c:v>-7.2586872586873241</c:v>
                </c:pt>
                <c:pt idx="9">
                  <c:v>2.4146544546212345</c:v>
                </c:pt>
                <c:pt idx="10">
                  <c:v>-0.20325203252032908</c:v>
                </c:pt>
                <c:pt idx="11">
                  <c:v>2.6069246435843629</c:v>
                </c:pt>
                <c:pt idx="12">
                  <c:v>1.746724890829543</c:v>
                </c:pt>
                <c:pt idx="13">
                  <c:v>-4.6039797112755743</c:v>
                </c:pt>
                <c:pt idx="14">
                  <c:v>1.2269938650306678</c:v>
                </c:pt>
                <c:pt idx="15">
                  <c:v>2.3838383838382438</c:v>
                </c:pt>
                <c:pt idx="16">
                  <c:v>-4.1041831097078374</c:v>
                </c:pt>
                <c:pt idx="17">
                  <c:v>-2.3868312757202359</c:v>
                </c:pt>
                <c:pt idx="18">
                  <c:v>-0.59021922428315055</c:v>
                </c:pt>
                <c:pt idx="19">
                  <c:v>-1.9932145886347397</c:v>
                </c:pt>
                <c:pt idx="20">
                  <c:v>-2.5962786672436233</c:v>
                </c:pt>
                <c:pt idx="21">
                  <c:v>-7.1523767214569105</c:v>
                </c:pt>
                <c:pt idx="22">
                  <c:v>-1.9138755980861233</c:v>
                </c:pt>
                <c:pt idx="23" formatCode="0.00">
                  <c:v>0</c:v>
                </c:pt>
                <c:pt idx="24" formatCode="0.00">
                  <c:v>0</c:v>
                </c:pt>
                <c:pt idx="25" formatCode="0.00">
                  <c:v>0</c:v>
                </c:pt>
              </c:numCache>
            </c:numRef>
          </c:val>
          <c:smooth val="0"/>
          <c:extLst>
            <c:ext xmlns:c16="http://schemas.microsoft.com/office/drawing/2014/chart" uri="{C3380CC4-5D6E-409C-BE32-E72D297353CC}">
              <c16:uniqueId val="{00000000-A9F5-4591-BC48-EA51447A9BB2}"/>
            </c:ext>
          </c:extLst>
        </c:ser>
        <c:ser>
          <c:idx val="1"/>
          <c:order val="1"/>
          <c:tx>
            <c:strRef>
              <c:f>'VVP2'!$D$131:$E$131</c:f>
              <c:strCache>
                <c:ptCount val="2"/>
                <c:pt idx="0">
                  <c:v> </c:v>
                </c:pt>
                <c:pt idx="1">
                  <c:v>Gross domestic product (B.1g - constant prices)</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'VVP2'!$G$131:$AG$131</c:f>
              <c:numCache>
                <c:formatCode>0.0</c:formatCode>
                <c:ptCount val="27"/>
                <c:pt idx="1">
                  <c:v>1.5190345789658943</c:v>
                </c:pt>
                <c:pt idx="2">
                  <c:v>2.9123066792213548</c:v>
                </c:pt>
                <c:pt idx="3">
                  <c:v>4.2409560508338551</c:v>
                </c:pt>
                <c:pt idx="4">
                  <c:v>4.4867022926029954</c:v>
                </c:pt>
                <c:pt idx="5">
                  <c:v>4.7456166368949892</c:v>
                </c:pt>
                <c:pt idx="6">
                  <c:v>1.5734459634978881</c:v>
                </c:pt>
                <c:pt idx="7">
                  <c:v>2.0753008012419194</c:v>
                </c:pt>
                <c:pt idx="8">
                  <c:v>2.3597762270646028</c:v>
                </c:pt>
                <c:pt idx="9">
                  <c:v>4.310783239085425</c:v>
                </c:pt>
                <c:pt idx="10">
                  <c:v>2.8166773859819028</c:v>
                </c:pt>
                <c:pt idx="11">
                  <c:v>4.6995582969571181</c:v>
                </c:pt>
                <c:pt idx="12">
                  <c:v>3.4080983285069921</c:v>
                </c:pt>
                <c:pt idx="13">
                  <c:v>-0.55705795199625374</c:v>
                </c:pt>
                <c:pt idx="14">
                  <c:v>-5.1958979284636442</c:v>
                </c:pt>
                <c:pt idx="15">
                  <c:v>5.9919680665020847</c:v>
                </c:pt>
                <c:pt idx="16">
                  <c:v>2.6792280204686714</c:v>
                </c:pt>
                <c:pt idx="17">
                  <c:v>-0.29851237313677226</c:v>
                </c:pt>
                <c:pt idx="18">
                  <c:v>1.238349337689959</c:v>
                </c:pt>
                <c:pt idx="19">
                  <c:v>2.601902927795896</c:v>
                </c:pt>
                <c:pt idx="20">
                  <c:v>4.456568925371962</c:v>
                </c:pt>
                <c:pt idx="21">
                  <c:v>2.6839662785306029</c:v>
                </c:pt>
                <c:pt idx="22">
                  <c:v>2.1141964181437434</c:v>
                </c:pt>
                <c:pt idx="23" formatCode="0.00">
                  <c:v>2.3754579714468482</c:v>
                </c:pt>
                <c:pt idx="24" formatCode="0.00">
                  <c:v>1.7607506553809715</c:v>
                </c:pt>
                <c:pt idx="25" formatCode="0.00">
                  <c:v>1.7609205310281206</c:v>
                </c:pt>
              </c:numCache>
            </c:numRef>
          </c:val>
          <c:smooth val="0"/>
          <c:extLst>
            <c:ext xmlns:c16="http://schemas.microsoft.com/office/drawing/2014/chart" uri="{C3380CC4-5D6E-409C-BE32-E72D297353CC}">
              <c16:uniqueId val="{00000001-A9F5-4591-BC48-EA51447A9BB2}"/>
            </c:ext>
          </c:extLst>
        </c:ser>
        <c:dLbls>
          <c:showLegendKey val="0"/>
          <c:showVal val="0"/>
          <c:showCatName val="0"/>
          <c:showSerName val="0"/>
          <c:showPercent val="0"/>
          <c:showBubbleSize val="0"/>
        </c:dLbls>
        <c:marker val="1"/>
        <c:smooth val="0"/>
        <c:axId val="284203264"/>
        <c:axId val="284213632"/>
      </c:lineChart>
      <c:catAx>
        <c:axId val="284203264"/>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84213632"/>
        <c:crosses val="autoZero"/>
        <c:auto val="1"/>
        <c:lblAlgn val="ctr"/>
        <c:lblOffset val="100"/>
        <c:tickLblSkip val="2"/>
        <c:tickMarkSkip val="1"/>
        <c:noMultiLvlLbl val="0"/>
      </c:catAx>
      <c:valAx>
        <c:axId val="284213632"/>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84203264"/>
        <c:crosses val="autoZero"/>
        <c:crossBetween val="midCat"/>
      </c:valAx>
      <c:spPr>
        <a:noFill/>
        <a:ln w="12700">
          <a:solidFill>
            <a:srgbClr val="808080"/>
          </a:solidFill>
          <a:prstDash val="solid"/>
        </a:ln>
      </c:spPr>
    </c:plotArea>
    <c:legend>
      <c:legendPos val="r"/>
      <c:layout>
        <c:manualLayout>
          <c:xMode val="edge"/>
          <c:yMode val="edge"/>
          <c:x val="0.1589289871538099"/>
          <c:y val="0.8549808399254577"/>
          <c:w val="0.72678761541124293"/>
          <c:h val="0.12121247350841932"/>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Labour force and total employment 
(changes in 1000 persons)</a:t>
            </a:r>
          </a:p>
        </c:rich>
      </c:tx>
      <c:layout>
        <c:manualLayout>
          <c:xMode val="edge"/>
          <c:yMode val="edge"/>
          <c:x val="0.24553594863142106"/>
          <c:y val="3.3613445378151259E-2"/>
        </c:manualLayout>
      </c:layout>
      <c:overlay val="0"/>
      <c:spPr>
        <a:noFill/>
        <a:ln w="25400">
          <a:noFill/>
        </a:ln>
      </c:spPr>
    </c:title>
    <c:autoTitleDeleted val="0"/>
    <c:plotArea>
      <c:layout>
        <c:manualLayout>
          <c:layoutTarget val="inner"/>
          <c:xMode val="edge"/>
          <c:yMode val="edge"/>
          <c:x val="0.11607155507938394"/>
          <c:y val="0.17647107096647127"/>
          <c:w val="0.81696517613566388"/>
          <c:h val="0.61904931243793893"/>
        </c:manualLayout>
      </c:layout>
      <c:lineChart>
        <c:grouping val="standard"/>
        <c:varyColors val="0"/>
        <c:ser>
          <c:idx val="0"/>
          <c:order val="0"/>
          <c:tx>
            <c:strRef>
              <c:f>Labour1!$D$23:$E$23</c:f>
              <c:strCache>
                <c:ptCount val="2"/>
                <c:pt idx="1">
                  <c:v>Total labour force</c:v>
                </c:pt>
              </c:strCache>
            </c:strRef>
          </c:tx>
          <c:spPr>
            <a:ln w="25400">
              <a:solidFill>
                <a:srgbClr val="339966"/>
              </a:solidFill>
              <a:prstDash val="solid"/>
            </a:ln>
          </c:spPr>
          <c:marker>
            <c:symbol val="diamond"/>
            <c:size val="7"/>
            <c:spPr>
              <a:solidFill>
                <a:srgbClr val="FFFFFF"/>
              </a:solidFill>
              <a:ln>
                <a:solidFill>
                  <a:srgbClr val="339966"/>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Labour1!$G$23:$AH$23</c:f>
              <c:numCache>
                <c:formatCode>0</c:formatCode>
                <c:ptCount val="28"/>
                <c:pt idx="1">
                  <c:v>12.400000000000546</c:v>
                </c:pt>
                <c:pt idx="2">
                  <c:v>-30.800000000000182</c:v>
                </c:pt>
                <c:pt idx="3">
                  <c:v>-13.199999999999818</c:v>
                </c:pt>
                <c:pt idx="4">
                  <c:v>32.599999999999454</c:v>
                </c:pt>
                <c:pt idx="5">
                  <c:v>34.5</c:v>
                </c:pt>
                <c:pt idx="6">
                  <c:v>130</c:v>
                </c:pt>
                <c:pt idx="7">
                  <c:v>20.900000000000546</c:v>
                </c:pt>
                <c:pt idx="8">
                  <c:v>18.5</c:v>
                </c:pt>
                <c:pt idx="9">
                  <c:v>21.400000000000546</c:v>
                </c:pt>
                <c:pt idx="10">
                  <c:v>30.399999999999636</c:v>
                </c:pt>
                <c:pt idx="11">
                  <c:v>57.099999999999454</c:v>
                </c:pt>
                <c:pt idx="12">
                  <c:v>72.5</c:v>
                </c:pt>
                <c:pt idx="13">
                  <c:v>59.5</c:v>
                </c:pt>
                <c:pt idx="14">
                  <c:v>9.3000000000001819</c:v>
                </c:pt>
                <c:pt idx="15">
                  <c:v>41.699999999999818</c:v>
                </c:pt>
                <c:pt idx="16">
                  <c:v>67.199999999999818</c:v>
                </c:pt>
                <c:pt idx="17" formatCode="0.0">
                  <c:v>44.200000000000728</c:v>
                </c:pt>
                <c:pt idx="18" formatCode="0.0">
                  <c:v>55.599999999999454</c:v>
                </c:pt>
                <c:pt idx="19" formatCode="0.0">
                  <c:v>67.600000000000364</c:v>
                </c:pt>
                <c:pt idx="20" formatCode="0.0">
                  <c:v>40.899999999999636</c:v>
                </c:pt>
                <c:pt idx="21" formatCode="0.0">
                  <c:v>51.900000000000546</c:v>
                </c:pt>
                <c:pt idx="22" formatCode="0.0">
                  <c:v>103.69999999999982</c:v>
                </c:pt>
                <c:pt idx="23" formatCode="0.0">
                  <c:v>66.171540000000277</c:v>
                </c:pt>
                <c:pt idx="24" formatCode="0.0">
                  <c:v>43.567772319999676</c:v>
                </c:pt>
                <c:pt idx="25" formatCode="0.0">
                  <c:v>35.68200553007955</c:v>
                </c:pt>
              </c:numCache>
            </c:numRef>
          </c:val>
          <c:smooth val="0"/>
          <c:extLst>
            <c:ext xmlns:c16="http://schemas.microsoft.com/office/drawing/2014/chart" uri="{C3380CC4-5D6E-409C-BE32-E72D297353CC}">
              <c16:uniqueId val="{00000000-3512-44CB-AE65-E217AFFF19D2}"/>
            </c:ext>
          </c:extLst>
        </c:ser>
        <c:ser>
          <c:idx val="1"/>
          <c:order val="1"/>
          <c:tx>
            <c:strRef>
              <c:f>Labour1!$D$63:$E$63</c:f>
              <c:strCache>
                <c:ptCount val="2"/>
                <c:pt idx="1">
                  <c:v>Total employment (national)</c:v>
                </c:pt>
              </c:strCache>
            </c:strRef>
          </c:tx>
          <c:spPr>
            <a:ln w="25400">
              <a:solidFill>
                <a:srgbClr val="FF9900"/>
              </a:solidFill>
              <a:prstDash val="solid"/>
            </a:ln>
          </c:spPr>
          <c:marker>
            <c:symbol val="circle"/>
            <c:size val="7"/>
            <c:spPr>
              <a:solidFill>
                <a:srgbClr val="FFFFFF"/>
              </a:solidFill>
              <a:ln>
                <a:solidFill>
                  <a:srgbClr val="FF99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Labour1!$G$63:$AG$63</c:f>
              <c:numCache>
                <c:formatCode>0</c:formatCode>
                <c:ptCount val="27"/>
                <c:pt idx="1">
                  <c:v>-23.199999999999818</c:v>
                </c:pt>
                <c:pt idx="2">
                  <c:v>-38.199999999999818</c:v>
                </c:pt>
                <c:pt idx="3">
                  <c:v>64.099999999999909</c:v>
                </c:pt>
                <c:pt idx="4">
                  <c:v>88.599999999999909</c:v>
                </c:pt>
                <c:pt idx="5">
                  <c:v>89.399999999999636</c:v>
                </c:pt>
                <c:pt idx="6">
                  <c:v>159</c:v>
                </c:pt>
                <c:pt idx="7">
                  <c:v>14.100000000000364</c:v>
                </c:pt>
                <c:pt idx="8">
                  <c:v>-11</c:v>
                </c:pt>
                <c:pt idx="9">
                  <c:v>-17.899999999999636</c:v>
                </c:pt>
                <c:pt idx="10">
                  <c:v>15</c:v>
                </c:pt>
                <c:pt idx="11">
                  <c:v>81.799999999999272</c:v>
                </c:pt>
                <c:pt idx="12">
                  <c:v>111.30000000000018</c:v>
                </c:pt>
                <c:pt idx="13">
                  <c:v>52.300000000000182</c:v>
                </c:pt>
                <c:pt idx="14">
                  <c:v>-94.300000000000182</c:v>
                </c:pt>
                <c:pt idx="15">
                  <c:v>25</c:v>
                </c:pt>
                <c:pt idx="16">
                  <c:v>102.19999999999982</c:v>
                </c:pt>
                <c:pt idx="17">
                  <c:v>31.200000000000728</c:v>
                </c:pt>
                <c:pt idx="18">
                  <c:v>47.599999999999454</c:v>
                </c:pt>
                <c:pt idx="19">
                  <c:v>67.600000000000364</c:v>
                </c:pt>
                <c:pt idx="20">
                  <c:v>64.899999999999636</c:v>
                </c:pt>
                <c:pt idx="21">
                  <c:v>72.900000000000546</c:v>
                </c:pt>
                <c:pt idx="22">
                  <c:v>111.69999999999982</c:v>
                </c:pt>
                <c:pt idx="23">
                  <c:v>83.23337999999967</c:v>
                </c:pt>
                <c:pt idx="24">
                  <c:v>43.757488229999581</c:v>
                </c:pt>
                <c:pt idx="25">
                  <c:v>33.936251513265233</c:v>
                </c:pt>
              </c:numCache>
            </c:numRef>
          </c:val>
          <c:smooth val="0"/>
          <c:extLst>
            <c:ext xmlns:c16="http://schemas.microsoft.com/office/drawing/2014/chart" uri="{C3380CC4-5D6E-409C-BE32-E72D297353CC}">
              <c16:uniqueId val="{00000001-3512-44CB-AE65-E217AFFF19D2}"/>
            </c:ext>
          </c:extLst>
        </c:ser>
        <c:dLbls>
          <c:showLegendKey val="0"/>
          <c:showVal val="0"/>
          <c:showCatName val="0"/>
          <c:showSerName val="0"/>
          <c:showPercent val="0"/>
          <c:showBubbleSize val="0"/>
        </c:dLbls>
        <c:marker val="1"/>
        <c:smooth val="0"/>
        <c:axId val="287335168"/>
        <c:axId val="287337088"/>
      </c:lineChart>
      <c:catAx>
        <c:axId val="287335168"/>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87337088"/>
        <c:crosses val="autoZero"/>
        <c:auto val="1"/>
        <c:lblAlgn val="ctr"/>
        <c:lblOffset val="100"/>
        <c:tickLblSkip val="2"/>
        <c:tickMarkSkip val="1"/>
        <c:noMultiLvlLbl val="0"/>
      </c:catAx>
      <c:valAx>
        <c:axId val="287337088"/>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87335168"/>
        <c:crosses val="autoZero"/>
        <c:crossBetween val="midCat"/>
      </c:valAx>
      <c:spPr>
        <a:noFill/>
        <a:ln w="12700">
          <a:solidFill>
            <a:srgbClr val="808080"/>
          </a:solidFill>
          <a:prstDash val="solid"/>
        </a:ln>
      </c:spPr>
    </c:plotArea>
    <c:legend>
      <c:legendPos val="r"/>
      <c:layout>
        <c:manualLayout>
          <c:xMode val="edge"/>
          <c:yMode val="edge"/>
          <c:x val="0.14464323549953487"/>
          <c:y val="0.91342256822415979"/>
          <c:w val="0.755359118719793"/>
          <c:h val="6.2770745209717135E-2"/>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Unemployed (changes in 1000 persons)</a:t>
            </a:r>
          </a:p>
        </c:rich>
      </c:tx>
      <c:layout>
        <c:manualLayout>
          <c:xMode val="edge"/>
          <c:yMode val="edge"/>
          <c:x val="0.22098237720284963"/>
          <c:y val="3.3613445378151259E-2"/>
        </c:manualLayout>
      </c:layout>
      <c:overlay val="0"/>
      <c:spPr>
        <a:noFill/>
        <a:ln w="25400">
          <a:noFill/>
        </a:ln>
      </c:spPr>
    </c:title>
    <c:autoTitleDeleted val="0"/>
    <c:plotArea>
      <c:layout>
        <c:manualLayout>
          <c:layoutTarget val="inner"/>
          <c:xMode val="edge"/>
          <c:yMode val="edge"/>
          <c:x val="0.11607155507938394"/>
          <c:y val="0.17647107096647127"/>
          <c:w val="0.81696517613566388"/>
          <c:h val="0.61904931243793893"/>
        </c:manualLayout>
      </c:layout>
      <c:lineChart>
        <c:grouping val="standard"/>
        <c:varyColors val="0"/>
        <c:ser>
          <c:idx val="0"/>
          <c:order val="0"/>
          <c:tx>
            <c:strRef>
              <c:f>Labour1!$D$64:$E$64</c:f>
              <c:strCache>
                <c:ptCount val="2"/>
                <c:pt idx="1">
                  <c:v>Registered unemployment</c:v>
                </c:pt>
              </c:strCache>
            </c:strRef>
          </c:tx>
          <c:spPr>
            <a:ln w="25400">
              <a:solidFill>
                <a:srgbClr val="993366"/>
              </a:solidFill>
              <a:prstDash val="solid"/>
            </a:ln>
          </c:spPr>
          <c:marker>
            <c:symbol val="circle"/>
            <c:size val="7"/>
            <c:spPr>
              <a:solidFill>
                <a:srgbClr val="FFFFFF"/>
              </a:solidFill>
              <a:ln>
                <a:solidFill>
                  <a:srgbClr val="993366"/>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Labour1!$G$64:$AG$64</c:f>
              <c:numCache>
                <c:formatCode>0</c:formatCode>
                <c:ptCount val="27"/>
                <c:pt idx="1">
                  <c:v>35.600000000000023</c:v>
                </c:pt>
                <c:pt idx="2">
                  <c:v>7.3999999999999773</c:v>
                </c:pt>
                <c:pt idx="3">
                  <c:v>-77.300000000000011</c:v>
                </c:pt>
                <c:pt idx="4">
                  <c:v>-56</c:v>
                </c:pt>
                <c:pt idx="5">
                  <c:v>-54.899999999999977</c:v>
                </c:pt>
                <c:pt idx="6">
                  <c:v>-29</c:v>
                </c:pt>
                <c:pt idx="7">
                  <c:v>6.8000000000000114</c:v>
                </c:pt>
                <c:pt idx="8">
                  <c:v>29.5</c:v>
                </c:pt>
                <c:pt idx="9">
                  <c:v>39.300000000000011</c:v>
                </c:pt>
                <c:pt idx="10">
                  <c:v>15.399999999999977</c:v>
                </c:pt>
                <c:pt idx="11">
                  <c:v>-24.699999999999989</c:v>
                </c:pt>
                <c:pt idx="12">
                  <c:v>-38.800000000000011</c:v>
                </c:pt>
                <c:pt idx="13">
                  <c:v>7.1999999999999886</c:v>
                </c:pt>
                <c:pt idx="14">
                  <c:v>103.60000000000002</c:v>
                </c:pt>
                <c:pt idx="15">
                  <c:v>16.699999999999989</c:v>
                </c:pt>
                <c:pt idx="16">
                  <c:v>-35</c:v>
                </c:pt>
                <c:pt idx="17">
                  <c:v>13</c:v>
                </c:pt>
                <c:pt idx="18">
                  <c:v>8</c:v>
                </c:pt>
                <c:pt idx="19">
                  <c:v>0</c:v>
                </c:pt>
                <c:pt idx="20">
                  <c:v>-24</c:v>
                </c:pt>
                <c:pt idx="21">
                  <c:v>-21</c:v>
                </c:pt>
                <c:pt idx="22">
                  <c:v>-8</c:v>
                </c:pt>
                <c:pt idx="23">
                  <c:v>-17.061839999999393</c:v>
                </c:pt>
                <c:pt idx="24">
                  <c:v>-0.1897159099999044</c:v>
                </c:pt>
                <c:pt idx="25">
                  <c:v>1.7457540168143169</c:v>
                </c:pt>
              </c:numCache>
            </c:numRef>
          </c:val>
          <c:smooth val="0"/>
          <c:extLst>
            <c:ext xmlns:c16="http://schemas.microsoft.com/office/drawing/2014/chart" uri="{C3380CC4-5D6E-409C-BE32-E72D297353CC}">
              <c16:uniqueId val="{00000000-083D-40E5-8279-1E88B7F2E8A6}"/>
            </c:ext>
          </c:extLst>
        </c:ser>
        <c:dLbls>
          <c:showLegendKey val="0"/>
          <c:showVal val="0"/>
          <c:showCatName val="0"/>
          <c:showSerName val="0"/>
          <c:showPercent val="0"/>
          <c:showBubbleSize val="0"/>
        </c:dLbls>
        <c:marker val="1"/>
        <c:smooth val="0"/>
        <c:axId val="287357184"/>
        <c:axId val="287363456"/>
      </c:lineChart>
      <c:catAx>
        <c:axId val="287357184"/>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87363456"/>
        <c:crosses val="autoZero"/>
        <c:auto val="1"/>
        <c:lblAlgn val="ctr"/>
        <c:lblOffset val="100"/>
        <c:tickLblSkip val="2"/>
        <c:tickMarkSkip val="1"/>
        <c:noMultiLvlLbl val="0"/>
      </c:catAx>
      <c:valAx>
        <c:axId val="287363456"/>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87357184"/>
        <c:crosses val="autoZero"/>
        <c:crossBetween val="midCat"/>
      </c:valAx>
      <c:spPr>
        <a:noFill/>
        <a:ln w="12700">
          <a:solidFill>
            <a:srgbClr val="808080"/>
          </a:solidFill>
          <a:prstDash val="solid"/>
        </a:ln>
      </c:spPr>
    </c:plotArea>
    <c:legend>
      <c:legendPos val="r"/>
      <c:layout>
        <c:manualLayout>
          <c:xMode val="edge"/>
          <c:yMode val="edge"/>
          <c:x val="0.30535794161012914"/>
          <c:y val="0.91342256822415979"/>
          <c:w val="0.4321439875418201"/>
          <c:h val="6.2770745209717135E-2"/>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Average hours worked</a:t>
            </a:r>
          </a:p>
        </c:rich>
      </c:tx>
      <c:layout>
        <c:manualLayout>
          <c:xMode val="edge"/>
          <c:yMode val="edge"/>
          <c:x val="0.33705404011998497"/>
          <c:y val="3.3613445378151259E-2"/>
        </c:manualLayout>
      </c:layout>
      <c:overlay val="0"/>
      <c:spPr>
        <a:noFill/>
        <a:ln w="25400">
          <a:noFill/>
        </a:ln>
      </c:spPr>
    </c:title>
    <c:autoTitleDeleted val="0"/>
    <c:plotArea>
      <c:layout>
        <c:manualLayout>
          <c:layoutTarget val="inner"/>
          <c:xMode val="edge"/>
          <c:yMode val="edge"/>
          <c:x val="0.10937511920941947"/>
          <c:y val="0.17647107096647127"/>
          <c:w val="0.82366161200562837"/>
          <c:h val="0.61904931243793893"/>
        </c:manualLayout>
      </c:layout>
      <c:lineChart>
        <c:grouping val="standard"/>
        <c:varyColors val="0"/>
        <c:ser>
          <c:idx val="0"/>
          <c:order val="0"/>
          <c:tx>
            <c:strRef>
              <c:f>Labour1!$E$92</c:f>
              <c:strCache>
                <c:ptCount val="1"/>
                <c:pt idx="0">
                  <c:v>Avg. ann. hours worked / person</c:v>
                </c:pt>
              </c:strCache>
            </c:strRef>
          </c:tx>
          <c:spPr>
            <a:ln w="25400">
              <a:solidFill>
                <a:srgbClr val="FF0000"/>
              </a:solidFill>
              <a:prstDash val="solid"/>
            </a:ln>
          </c:spPr>
          <c:marker>
            <c:symbol val="diamond"/>
            <c:size val="5"/>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Labour1!$G$92:$AG$92</c:f>
              <c:numCache>
                <c:formatCode>0.00</c:formatCode>
                <c:ptCount val="27"/>
                <c:pt idx="1">
                  <c:v>0.7739811173024691</c:v>
                </c:pt>
                <c:pt idx="2">
                  <c:v>0.29812268617634974</c:v>
                </c:pt>
                <c:pt idx="3">
                  <c:v>-9.9514534969513679E-2</c:v>
                </c:pt>
                <c:pt idx="4">
                  <c:v>0.51274344425669138</c:v>
                </c:pt>
                <c:pt idx="5">
                  <c:v>-1.3652704813127414</c:v>
                </c:pt>
                <c:pt idx="6">
                  <c:v>-1.4539596641099051</c:v>
                </c:pt>
                <c:pt idx="7">
                  <c:v>-1.4419281842580456</c:v>
                </c:pt>
                <c:pt idx="8">
                  <c:v>-0.83459096377969111</c:v>
                </c:pt>
                <c:pt idx="9">
                  <c:v>1.5141503443747872</c:v>
                </c:pt>
                <c:pt idx="10">
                  <c:v>-2.7834472077348238E-2</c:v>
                </c:pt>
                <c:pt idx="11">
                  <c:v>-0.36985522061118159</c:v>
                </c:pt>
                <c:pt idx="12">
                  <c:v>0.77343918414887192</c:v>
                </c:pt>
                <c:pt idx="13">
                  <c:v>0.33317460105466434</c:v>
                </c:pt>
                <c:pt idx="14">
                  <c:v>-0.4772882186682148</c:v>
                </c:pt>
                <c:pt idx="15">
                  <c:v>1.6070214689219764</c:v>
                </c:pt>
                <c:pt idx="16">
                  <c:v>-0.1522807810963589</c:v>
                </c:pt>
                <c:pt idx="17">
                  <c:v>-0.86624829999059072</c:v>
                </c:pt>
                <c:pt idx="18">
                  <c:v>-0.59671340345045509</c:v>
                </c:pt>
                <c:pt idx="19">
                  <c:v>4.3800282390171752E-2</c:v>
                </c:pt>
                <c:pt idx="20">
                  <c:v>4.0330120004061776E-2</c:v>
                </c:pt>
                <c:pt idx="21">
                  <c:v>0.75868507367675697</c:v>
                </c:pt>
                <c:pt idx="22">
                  <c:v>-0.83825986962043908</c:v>
                </c:pt>
                <c:pt idx="23">
                  <c:v>0.2</c:v>
                </c:pt>
                <c:pt idx="24">
                  <c:v>0.01</c:v>
                </c:pt>
                <c:pt idx="25">
                  <c:v>-0.09</c:v>
                </c:pt>
              </c:numCache>
            </c:numRef>
          </c:val>
          <c:smooth val="0"/>
          <c:extLst>
            <c:ext xmlns:c16="http://schemas.microsoft.com/office/drawing/2014/chart" uri="{C3380CC4-5D6E-409C-BE32-E72D297353CC}">
              <c16:uniqueId val="{00000000-FDEA-4009-AEBB-377518116C71}"/>
            </c:ext>
          </c:extLst>
        </c:ser>
        <c:dLbls>
          <c:showLegendKey val="0"/>
          <c:showVal val="0"/>
          <c:showCatName val="0"/>
          <c:showSerName val="0"/>
          <c:showPercent val="0"/>
          <c:showBubbleSize val="0"/>
        </c:dLbls>
        <c:marker val="1"/>
        <c:smooth val="0"/>
        <c:axId val="287080448"/>
        <c:axId val="287082368"/>
      </c:lineChart>
      <c:catAx>
        <c:axId val="287080448"/>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87082368"/>
        <c:crosses val="autoZero"/>
        <c:auto val="1"/>
        <c:lblAlgn val="ctr"/>
        <c:lblOffset val="100"/>
        <c:tickLblSkip val="2"/>
        <c:tickMarkSkip val="1"/>
        <c:noMultiLvlLbl val="0"/>
      </c:catAx>
      <c:valAx>
        <c:axId val="287082368"/>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87080448"/>
        <c:crosses val="autoZero"/>
        <c:crossBetween val="midCat"/>
      </c:valAx>
      <c:spPr>
        <a:noFill/>
        <a:ln w="12700">
          <a:solidFill>
            <a:srgbClr val="808080"/>
          </a:solidFill>
          <a:prstDash val="solid"/>
        </a:ln>
      </c:spPr>
    </c:plotArea>
    <c:legend>
      <c:legendPos val="r"/>
      <c:layout>
        <c:manualLayout>
          <c:xMode val="edge"/>
          <c:yMode val="edge"/>
          <c:x val="0.26964356247444149"/>
          <c:y val="0.91342256822415979"/>
          <c:w val="0.50535846476997981"/>
          <c:h val="6.2770745209717135E-2"/>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Employment - Total and FTE</a:t>
            </a:r>
          </a:p>
        </c:rich>
      </c:tx>
      <c:layout>
        <c:manualLayout>
          <c:xMode val="edge"/>
          <c:yMode val="edge"/>
          <c:x val="0.29687523434570678"/>
          <c:y val="3.3613445378151259E-2"/>
        </c:manualLayout>
      </c:layout>
      <c:overlay val="0"/>
      <c:spPr>
        <a:noFill/>
        <a:ln w="25400">
          <a:noFill/>
        </a:ln>
      </c:spPr>
    </c:title>
    <c:autoTitleDeleted val="0"/>
    <c:plotArea>
      <c:layout>
        <c:manualLayout>
          <c:layoutTarget val="inner"/>
          <c:xMode val="edge"/>
          <c:yMode val="edge"/>
          <c:x val="0.10937511920941947"/>
          <c:y val="0.17647107096647127"/>
          <c:w val="0.82366161200562837"/>
          <c:h val="0.61904931243793893"/>
        </c:manualLayout>
      </c:layout>
      <c:lineChart>
        <c:grouping val="standard"/>
        <c:varyColors val="0"/>
        <c:ser>
          <c:idx val="1"/>
          <c:order val="0"/>
          <c:tx>
            <c:strRef>
              <c:f>Labour1!$D$48:$E$48</c:f>
              <c:strCache>
                <c:ptCount val="2"/>
                <c:pt idx="1">
                  <c:v>Wage and salary earners (domestic)</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Labour1!$G$48:$AG$48</c:f>
              <c:numCache>
                <c:formatCode>0.0</c:formatCode>
                <c:ptCount val="27"/>
                <c:pt idx="1">
                  <c:v>-0.74328187535736001</c:v>
                </c:pt>
                <c:pt idx="2">
                  <c:v>-1.3379765395894361</c:v>
                </c:pt>
                <c:pt idx="3">
                  <c:v>1.8125845917040362</c:v>
                </c:pt>
                <c:pt idx="4">
                  <c:v>2.1191742258367174</c:v>
                </c:pt>
                <c:pt idx="5">
                  <c:v>2.685248998136669</c:v>
                </c:pt>
                <c:pt idx="6">
                  <c:v>2.5031693554401047</c:v>
                </c:pt>
                <c:pt idx="7">
                  <c:v>0.25705694053737016</c:v>
                </c:pt>
                <c:pt idx="8">
                  <c:v>-0.15722509796333162</c:v>
                </c:pt>
                <c:pt idx="9">
                  <c:v>-0.88426969014221424</c:v>
                </c:pt>
                <c:pt idx="10">
                  <c:v>0.29331247555728357</c:v>
                </c:pt>
                <c:pt idx="11">
                  <c:v>1.6401832715928988</c:v>
                </c:pt>
                <c:pt idx="12">
                  <c:v>2.3402469727850539</c:v>
                </c:pt>
                <c:pt idx="13">
                  <c:v>1.2323984911318808</c:v>
                </c:pt>
                <c:pt idx="14">
                  <c:v>-2.6245747216886106</c:v>
                </c:pt>
                <c:pt idx="15">
                  <c:v>0.87942385853159166</c:v>
                </c:pt>
                <c:pt idx="16">
                  <c:v>2.5045354946634291</c:v>
                </c:pt>
                <c:pt idx="17">
                  <c:v>0.91021928009928921</c:v>
                </c:pt>
                <c:pt idx="18">
                  <c:v>1.0432326545487758</c:v>
                </c:pt>
                <c:pt idx="19">
                  <c:v>1.5847610459873707</c:v>
                </c:pt>
                <c:pt idx="20">
                  <c:v>1.6865277500388354</c:v>
                </c:pt>
                <c:pt idx="21">
                  <c:v>2.295790323636604</c:v>
                </c:pt>
                <c:pt idx="22">
                  <c:v>2.5344000000000033</c:v>
                </c:pt>
                <c:pt idx="23" formatCode="0.00">
                  <c:v>1.7317558204856143</c:v>
                </c:pt>
                <c:pt idx="24" formatCode="0.00">
                  <c:v>0.89492155650239269</c:v>
                </c:pt>
                <c:pt idx="25" formatCode="0.00">
                  <c:v>0.68790291145839344</c:v>
                </c:pt>
              </c:numCache>
            </c:numRef>
          </c:val>
          <c:smooth val="0"/>
          <c:extLst>
            <c:ext xmlns:c16="http://schemas.microsoft.com/office/drawing/2014/chart" uri="{C3380CC4-5D6E-409C-BE32-E72D297353CC}">
              <c16:uniqueId val="{00000000-D645-43ED-BA9F-17340D8FD1BA}"/>
            </c:ext>
          </c:extLst>
        </c:ser>
        <c:dLbls>
          <c:showLegendKey val="0"/>
          <c:showVal val="0"/>
          <c:showCatName val="0"/>
          <c:showSerName val="0"/>
          <c:showPercent val="0"/>
          <c:showBubbleSize val="0"/>
        </c:dLbls>
        <c:marker val="1"/>
        <c:smooth val="0"/>
        <c:axId val="287098368"/>
        <c:axId val="287100288"/>
      </c:lineChart>
      <c:catAx>
        <c:axId val="287098368"/>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87100288"/>
        <c:crosses val="autoZero"/>
        <c:auto val="1"/>
        <c:lblAlgn val="ctr"/>
        <c:lblOffset val="100"/>
        <c:tickLblSkip val="2"/>
        <c:tickMarkSkip val="1"/>
        <c:noMultiLvlLbl val="0"/>
      </c:catAx>
      <c:valAx>
        <c:axId val="287100288"/>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87098368"/>
        <c:crosses val="autoZero"/>
        <c:crossBetween val="midCat"/>
      </c:valAx>
      <c:spPr>
        <a:noFill/>
        <a:ln w="12700">
          <a:solidFill>
            <a:srgbClr val="808080"/>
          </a:solidFill>
          <a:prstDash val="solid"/>
        </a:ln>
      </c:spPr>
    </c:plotArea>
    <c:legend>
      <c:legendPos val="r"/>
      <c:layout>
        <c:manualLayout>
          <c:xMode val="edge"/>
          <c:yMode val="edge"/>
          <c:x val="0.24107205916589139"/>
          <c:y val="0.91342256822415979"/>
          <c:w val="0.55893003347351122"/>
          <c:h val="6.2770745209717135E-2"/>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Wages &amp; salaries / employee (domestic)</a:t>
            </a:r>
          </a:p>
        </c:rich>
      </c:tx>
      <c:layout>
        <c:manualLayout>
          <c:xMode val="edge"/>
          <c:yMode val="edge"/>
          <c:x val="0.21428594863142106"/>
          <c:y val="3.3613445378151259E-2"/>
        </c:manualLayout>
      </c:layout>
      <c:overlay val="0"/>
      <c:spPr>
        <a:noFill/>
        <a:ln w="25400">
          <a:noFill/>
        </a:ln>
      </c:spPr>
    </c:title>
    <c:autoTitleDeleted val="0"/>
    <c:plotArea>
      <c:layout>
        <c:manualLayout>
          <c:layoutTarget val="inner"/>
          <c:xMode val="edge"/>
          <c:yMode val="edge"/>
          <c:x val="0.10937511920941947"/>
          <c:y val="0.17647107096647127"/>
          <c:w val="0.82366161200562837"/>
          <c:h val="0.61904931243793893"/>
        </c:manualLayout>
      </c:layout>
      <c:lineChart>
        <c:grouping val="standard"/>
        <c:varyColors val="0"/>
        <c:ser>
          <c:idx val="0"/>
          <c:order val="0"/>
          <c:tx>
            <c:strRef>
              <c:f>Labour1!$D$120:$E$120</c:f>
              <c:strCache>
                <c:ptCount val="2"/>
                <c:pt idx="1">
                  <c:v>Wages &amp; salaries / employee (domestic)</c:v>
                </c:pt>
              </c:strCache>
            </c:strRef>
          </c:tx>
          <c:spPr>
            <a:ln w="25400">
              <a:solidFill>
                <a:srgbClr val="993366"/>
              </a:solidFill>
              <a:prstDash val="solid"/>
            </a:ln>
          </c:spPr>
          <c:marker>
            <c:symbol val="diamond"/>
            <c:size val="7"/>
            <c:spPr>
              <a:solidFill>
                <a:srgbClr val="FFFFFF"/>
              </a:solidFill>
              <a:ln>
                <a:solidFill>
                  <a:srgbClr val="993366"/>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Labour1!$G$120:$AG$120</c:f>
              <c:numCache>
                <c:formatCode>0.0</c:formatCode>
                <c:ptCount val="27"/>
                <c:pt idx="1">
                  <c:v>6.8415007540822748</c:v>
                </c:pt>
                <c:pt idx="2">
                  <c:v>5.552094818151998</c:v>
                </c:pt>
                <c:pt idx="3">
                  <c:v>3.6402238421590738</c:v>
                </c:pt>
                <c:pt idx="4">
                  <c:v>3.5529141619173643</c:v>
                </c:pt>
                <c:pt idx="5">
                  <c:v>3.9750906614522519</c:v>
                </c:pt>
                <c:pt idx="6">
                  <c:v>3.1037071792426207</c:v>
                </c:pt>
                <c:pt idx="7">
                  <c:v>2.9908424424939906</c:v>
                </c:pt>
                <c:pt idx="8">
                  <c:v>2.6872565368737167</c:v>
                </c:pt>
                <c:pt idx="9">
                  <c:v>3.5058546967277726</c:v>
                </c:pt>
                <c:pt idx="10">
                  <c:v>3.3371708947014245</c:v>
                </c:pt>
                <c:pt idx="11">
                  <c:v>3.7899608975083154</c:v>
                </c:pt>
                <c:pt idx="12">
                  <c:v>4.3729644576544491</c:v>
                </c:pt>
                <c:pt idx="13">
                  <c:v>4.271436122333494</c:v>
                </c:pt>
                <c:pt idx="14">
                  <c:v>2.7791874664932603</c:v>
                </c:pt>
                <c:pt idx="15">
                  <c:v>2.2289331942916046</c:v>
                </c:pt>
                <c:pt idx="16">
                  <c:v>2.973454696952671</c:v>
                </c:pt>
                <c:pt idx="17">
                  <c:v>2.8017897069296138</c:v>
                </c:pt>
                <c:pt idx="18">
                  <c:v>1.6850139805079767</c:v>
                </c:pt>
                <c:pt idx="19" formatCode="0.00">
                  <c:v>2.1705936846021734</c:v>
                </c:pt>
                <c:pt idx="20" formatCode="0.00">
                  <c:v>2.610112368110018</c:v>
                </c:pt>
                <c:pt idx="21">
                  <c:v>2.4409871978493092</c:v>
                </c:pt>
                <c:pt idx="22">
                  <c:v>2.2023193351139447</c:v>
                </c:pt>
                <c:pt idx="23">
                  <c:v>2.7380551091132688</c:v>
                </c:pt>
                <c:pt idx="24">
                  <c:v>2.7954523359095651</c:v>
                </c:pt>
                <c:pt idx="25">
                  <c:v>2.5608858567351955</c:v>
                </c:pt>
              </c:numCache>
            </c:numRef>
          </c:val>
          <c:smooth val="0"/>
          <c:extLst>
            <c:ext xmlns:c16="http://schemas.microsoft.com/office/drawing/2014/chart" uri="{C3380CC4-5D6E-409C-BE32-E72D297353CC}">
              <c16:uniqueId val="{00000000-385F-4120-9B0D-73055E5034DE}"/>
            </c:ext>
          </c:extLst>
        </c:ser>
        <c:ser>
          <c:idx val="1"/>
          <c:order val="1"/>
          <c:tx>
            <c:strRef>
              <c:f>'VVP2'!$F$367</c:f>
              <c:strCache>
                <c:ptCount val="1"/>
                <c:pt idx="0">
                  <c:v>CPI</c:v>
                </c:pt>
              </c:strCache>
            </c:strRef>
          </c:tx>
          <c:spPr>
            <a:ln w="25400">
              <a:solidFill>
                <a:srgbClr val="0000FF"/>
              </a:solidFill>
              <a:prstDash val="solid"/>
            </a:ln>
          </c:spPr>
          <c:marker>
            <c:symbol val="square"/>
            <c:size val="7"/>
            <c:spPr>
              <a:solidFill>
                <a:srgbClr val="FFFFFF"/>
              </a:solidFill>
              <a:ln>
                <a:solidFill>
                  <a:srgbClr val="0000FF"/>
                </a:solidFill>
                <a:prstDash val="solid"/>
              </a:ln>
            </c:spPr>
          </c:marker>
          <c:val>
            <c:numRef>
              <c:f>'VVP2'!$G$367:$AG$367</c:f>
              <c:numCache>
                <c:formatCode>0.0</c:formatCode>
                <c:ptCount val="27"/>
                <c:pt idx="1">
                  <c:v>0.47095763181885797</c:v>
                </c:pt>
                <c:pt idx="2">
                  <c:v>0.50781251431548657</c:v>
                </c:pt>
                <c:pt idx="3">
                  <c:v>-0.11659546316442615</c:v>
                </c:pt>
                <c:pt idx="4">
                  <c:v>0.4280155856252188</c:v>
                </c:pt>
                <c:pt idx="5">
                  <c:v>1.0073614898306271</c:v>
                </c:pt>
                <c:pt idx="6">
                  <c:v>2.4549290372072985</c:v>
                </c:pt>
                <c:pt idx="7">
                  <c:v>2.1340321976787369</c:v>
                </c:pt>
                <c:pt idx="8">
                  <c:v>1.9428152492668493</c:v>
                </c:pt>
                <c:pt idx="9">
                  <c:v>0.3955411722400326</c:v>
                </c:pt>
                <c:pt idx="10">
                  <c:v>0.42979942693406326</c:v>
                </c:pt>
                <c:pt idx="11">
                  <c:v>1.3602146862769837</c:v>
                </c:pt>
                <c:pt idx="12">
                  <c:v>2.2121688343675894</c:v>
                </c:pt>
                <c:pt idx="13">
                  <c:v>3.4370491060286223</c:v>
                </c:pt>
                <c:pt idx="14">
                  <c:v>-0.49446054437829456</c:v>
                </c:pt>
                <c:pt idx="15">
                  <c:v>1.157988027156498</c:v>
                </c:pt>
                <c:pt idx="16">
                  <c:v>2.9611507382208746</c:v>
                </c:pt>
                <c:pt idx="17">
                  <c:v>0.88837750692480899</c:v>
                </c:pt>
                <c:pt idx="18">
                  <c:v>-4.4292970149484301E-2</c:v>
                </c:pt>
                <c:pt idx="19">
                  <c:v>-0.17963849411409827</c:v>
                </c:pt>
                <c:pt idx="20">
                  <c:v>-4.6784744983219273E-2</c:v>
                </c:pt>
                <c:pt idx="21">
                  <c:v>0.98426924457755138</c:v>
                </c:pt>
                <c:pt idx="22">
                  <c:v>1.7944990466558952</c:v>
                </c:pt>
                <c:pt idx="23">
                  <c:v>2.0884262323802574</c:v>
                </c:pt>
                <c:pt idx="24">
                  <c:v>1.903595138430191</c:v>
                </c:pt>
                <c:pt idx="25">
                  <c:v>1.5974596010288593</c:v>
                </c:pt>
              </c:numCache>
            </c:numRef>
          </c:val>
          <c:smooth val="0"/>
          <c:extLst>
            <c:ext xmlns:c16="http://schemas.microsoft.com/office/drawing/2014/chart" uri="{C3380CC4-5D6E-409C-BE32-E72D297353CC}">
              <c16:uniqueId val="{00000001-385F-4120-9B0D-73055E5034DE}"/>
            </c:ext>
          </c:extLst>
        </c:ser>
        <c:dLbls>
          <c:showLegendKey val="0"/>
          <c:showVal val="0"/>
          <c:showCatName val="0"/>
          <c:showSerName val="0"/>
          <c:showPercent val="0"/>
          <c:showBubbleSize val="0"/>
        </c:dLbls>
        <c:marker val="1"/>
        <c:smooth val="0"/>
        <c:axId val="287211520"/>
        <c:axId val="287213440"/>
      </c:lineChart>
      <c:catAx>
        <c:axId val="287211520"/>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87213440"/>
        <c:crosses val="autoZero"/>
        <c:auto val="1"/>
        <c:lblAlgn val="ctr"/>
        <c:lblOffset val="100"/>
        <c:tickLblSkip val="2"/>
        <c:tickMarkSkip val="1"/>
        <c:noMultiLvlLbl val="0"/>
      </c:catAx>
      <c:valAx>
        <c:axId val="287213440"/>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87211520"/>
        <c:crosses val="autoZero"/>
        <c:crossBetween val="midCat"/>
      </c:valAx>
      <c:spPr>
        <a:noFill/>
        <a:ln w="12700">
          <a:solidFill>
            <a:srgbClr val="808080"/>
          </a:solidFill>
          <a:prstDash val="solid"/>
        </a:ln>
      </c:spPr>
    </c:plotArea>
    <c:legend>
      <c:legendPos val="r"/>
      <c:layout>
        <c:manualLayout>
          <c:xMode val="edge"/>
          <c:yMode val="edge"/>
          <c:x val="0.13928607862918171"/>
          <c:y val="0.91342256822415979"/>
          <c:w val="0.7500019618494399"/>
          <c:h val="6.2770745209717135E-2"/>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Total compensation / employee and its components</a:t>
            </a:r>
          </a:p>
        </c:rich>
      </c:tx>
      <c:layout>
        <c:manualLayout>
          <c:xMode val="edge"/>
          <c:yMode val="edge"/>
          <c:x val="0.13169666291713536"/>
          <c:y val="3.3613445378151259E-2"/>
        </c:manualLayout>
      </c:layout>
      <c:overlay val="0"/>
      <c:spPr>
        <a:noFill/>
        <a:ln w="25400">
          <a:noFill/>
        </a:ln>
      </c:spPr>
    </c:title>
    <c:autoTitleDeleted val="0"/>
    <c:plotArea>
      <c:layout>
        <c:manualLayout>
          <c:layoutTarget val="inner"/>
          <c:xMode val="edge"/>
          <c:yMode val="edge"/>
          <c:x val="0.12500013623933653"/>
          <c:y val="0.17647107096647127"/>
          <c:w val="0.80803659497571123"/>
          <c:h val="0.52941321289941379"/>
        </c:manualLayout>
      </c:layout>
      <c:lineChart>
        <c:grouping val="standard"/>
        <c:varyColors val="0"/>
        <c:ser>
          <c:idx val="1"/>
          <c:order val="0"/>
          <c:tx>
            <c:strRef>
              <c:f>Labour1!$D$151:$E$151</c:f>
              <c:strCache>
                <c:ptCount val="2"/>
                <c:pt idx="1">
                  <c:v>Employer's social contr. / employee (domestic)</c:v>
                </c:pt>
              </c:strCache>
            </c:strRef>
          </c:tx>
          <c:spPr>
            <a:ln w="25400">
              <a:solidFill>
                <a:srgbClr val="008000"/>
              </a:solidFill>
              <a:prstDash val="solid"/>
            </a:ln>
          </c:spPr>
          <c:marker>
            <c:symbol val="circle"/>
            <c:size val="5"/>
            <c:spPr>
              <a:solidFill>
                <a:srgbClr val="FFFFFF"/>
              </a:solidFill>
              <a:ln>
                <a:solidFill>
                  <a:srgbClr val="008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Labour1!$G$151:$AG$151</c:f>
              <c:numCache>
                <c:formatCode>0.0</c:formatCode>
                <c:ptCount val="27"/>
                <c:pt idx="1">
                  <c:v>6.8137300042132809</c:v>
                </c:pt>
                <c:pt idx="2">
                  <c:v>8.2004086677454069</c:v>
                </c:pt>
                <c:pt idx="3">
                  <c:v>-30.075315623933495</c:v>
                </c:pt>
                <c:pt idx="4">
                  <c:v>6.240015114994879</c:v>
                </c:pt>
                <c:pt idx="5">
                  <c:v>28.750246536608493</c:v>
                </c:pt>
                <c:pt idx="6">
                  <c:v>11.283994350609717</c:v>
                </c:pt>
                <c:pt idx="7">
                  <c:v>4.3904160007975701</c:v>
                </c:pt>
                <c:pt idx="8">
                  <c:v>9.3045743291922491</c:v>
                </c:pt>
                <c:pt idx="9">
                  <c:v>8.1021077835328867</c:v>
                </c:pt>
                <c:pt idx="10">
                  <c:v>1.7162337512609316</c:v>
                </c:pt>
                <c:pt idx="11">
                  <c:v>-0.28697396993077051</c:v>
                </c:pt>
                <c:pt idx="12">
                  <c:v>10.500813037899537</c:v>
                </c:pt>
                <c:pt idx="13">
                  <c:v>0.48629633645407289</c:v>
                </c:pt>
                <c:pt idx="14">
                  <c:v>2.3515197768070539</c:v>
                </c:pt>
                <c:pt idx="15">
                  <c:v>2.1484543246549359</c:v>
                </c:pt>
                <c:pt idx="16">
                  <c:v>4.2629199300881826</c:v>
                </c:pt>
                <c:pt idx="17" formatCode="0.00">
                  <c:v>4.3774026303168068</c:v>
                </c:pt>
                <c:pt idx="18" formatCode="0.00">
                  <c:v>3.290332122954176</c:v>
                </c:pt>
                <c:pt idx="19" formatCode="0.00">
                  <c:v>2.4869963714724719</c:v>
                </c:pt>
                <c:pt idx="20" formatCode="0.00">
                  <c:v>3.3652284390733422</c:v>
                </c:pt>
                <c:pt idx="21" formatCode="0.00">
                  <c:v>2.863287448913221</c:v>
                </c:pt>
                <c:pt idx="22" formatCode="0.00">
                  <c:v>0.94631550292305633</c:v>
                </c:pt>
                <c:pt idx="23" formatCode="0.00">
                  <c:v>2.521393831021701</c:v>
                </c:pt>
                <c:pt idx="24" formatCode="0.00">
                  <c:v>2.0255886204296081</c:v>
                </c:pt>
                <c:pt idx="25" formatCode="0.00">
                  <c:v>1.9152316119253276</c:v>
                </c:pt>
              </c:numCache>
            </c:numRef>
          </c:val>
          <c:smooth val="0"/>
          <c:extLst>
            <c:ext xmlns:c16="http://schemas.microsoft.com/office/drawing/2014/chart" uri="{C3380CC4-5D6E-409C-BE32-E72D297353CC}">
              <c16:uniqueId val="{00000000-FF71-446B-9E32-593A845A69A1}"/>
            </c:ext>
          </c:extLst>
        </c:ser>
        <c:ser>
          <c:idx val="0"/>
          <c:order val="1"/>
          <c:tx>
            <c:strRef>
              <c:f>Labour1!$D$120:$E$120</c:f>
              <c:strCache>
                <c:ptCount val="2"/>
                <c:pt idx="1">
                  <c:v>Wages &amp; salaries / employee (domestic)</c:v>
                </c:pt>
              </c:strCache>
            </c:strRef>
          </c:tx>
          <c:spPr>
            <a:ln w="25400">
              <a:solidFill>
                <a:srgbClr val="993366"/>
              </a:solidFill>
              <a:prstDash val="solid"/>
            </a:ln>
          </c:spPr>
          <c:marker>
            <c:symbol val="diamond"/>
            <c:size val="5"/>
            <c:spPr>
              <a:solidFill>
                <a:srgbClr val="FFFFFF"/>
              </a:solidFill>
              <a:ln>
                <a:solidFill>
                  <a:srgbClr val="993366"/>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Labour1!$G$120:$AG$120</c:f>
              <c:numCache>
                <c:formatCode>0.0</c:formatCode>
                <c:ptCount val="27"/>
                <c:pt idx="1">
                  <c:v>6.8415007540822748</c:v>
                </c:pt>
                <c:pt idx="2">
                  <c:v>5.552094818151998</c:v>
                </c:pt>
                <c:pt idx="3">
                  <c:v>3.6402238421590738</c:v>
                </c:pt>
                <c:pt idx="4">
                  <c:v>3.5529141619173643</c:v>
                </c:pt>
                <c:pt idx="5">
                  <c:v>3.9750906614522519</c:v>
                </c:pt>
                <c:pt idx="6">
                  <c:v>3.1037071792426207</c:v>
                </c:pt>
                <c:pt idx="7">
                  <c:v>2.9908424424939906</c:v>
                </c:pt>
                <c:pt idx="8">
                  <c:v>2.6872565368737167</c:v>
                </c:pt>
                <c:pt idx="9">
                  <c:v>3.5058546967277726</c:v>
                </c:pt>
                <c:pt idx="10">
                  <c:v>3.3371708947014245</c:v>
                </c:pt>
                <c:pt idx="11">
                  <c:v>3.7899608975083154</c:v>
                </c:pt>
                <c:pt idx="12">
                  <c:v>4.3729644576544491</c:v>
                </c:pt>
                <c:pt idx="13">
                  <c:v>4.271436122333494</c:v>
                </c:pt>
                <c:pt idx="14">
                  <c:v>2.7791874664932603</c:v>
                </c:pt>
                <c:pt idx="15">
                  <c:v>2.2289331942916046</c:v>
                </c:pt>
                <c:pt idx="16">
                  <c:v>2.973454696952671</c:v>
                </c:pt>
                <c:pt idx="17">
                  <c:v>2.8017897069296138</c:v>
                </c:pt>
                <c:pt idx="18">
                  <c:v>1.6850139805079767</c:v>
                </c:pt>
                <c:pt idx="19" formatCode="0.00">
                  <c:v>2.1705936846021734</c:v>
                </c:pt>
                <c:pt idx="20" formatCode="0.00">
                  <c:v>2.610112368110018</c:v>
                </c:pt>
                <c:pt idx="21">
                  <c:v>2.4409871978493092</c:v>
                </c:pt>
                <c:pt idx="22">
                  <c:v>2.2023193351139447</c:v>
                </c:pt>
                <c:pt idx="23">
                  <c:v>2.7380551091132688</c:v>
                </c:pt>
                <c:pt idx="24">
                  <c:v>2.7954523359095651</c:v>
                </c:pt>
                <c:pt idx="25">
                  <c:v>2.5608858567351955</c:v>
                </c:pt>
              </c:numCache>
            </c:numRef>
          </c:val>
          <c:smooth val="0"/>
          <c:extLst>
            <c:ext xmlns:c16="http://schemas.microsoft.com/office/drawing/2014/chart" uri="{C3380CC4-5D6E-409C-BE32-E72D297353CC}">
              <c16:uniqueId val="{00000001-FF71-446B-9E32-593A845A69A1}"/>
            </c:ext>
          </c:extLst>
        </c:ser>
        <c:ser>
          <c:idx val="2"/>
          <c:order val="2"/>
          <c:tx>
            <c:strRef>
              <c:f>Labour1!$D$196:$E$196</c:f>
              <c:strCache>
                <c:ptCount val="2"/>
                <c:pt idx="1">
                  <c:v>Total compensation / employee (domestic)</c:v>
                </c:pt>
              </c:strCache>
            </c:strRef>
          </c:tx>
          <c:spPr>
            <a:ln w="25400">
              <a:solidFill>
                <a:srgbClr val="FF0000"/>
              </a:solidFill>
              <a:prstDash val="solid"/>
            </a:ln>
          </c:spPr>
          <c:marker>
            <c:symbol val="circle"/>
            <c:size val="5"/>
            <c:spPr>
              <a:solidFill>
                <a:srgbClr val="FFFFFF"/>
              </a:solidFill>
              <a:ln>
                <a:solidFill>
                  <a:srgbClr val="FF0000"/>
                </a:solidFill>
                <a:prstDash val="solid"/>
              </a:ln>
            </c:spPr>
          </c:marker>
          <c:val>
            <c:numRef>
              <c:f>Labour1!$G$196:$AG$196</c:f>
              <c:numCache>
                <c:formatCode>0.0</c:formatCode>
                <c:ptCount val="27"/>
                <c:pt idx="1">
                  <c:v>6.8372180715956965</c:v>
                </c:pt>
                <c:pt idx="2">
                  <c:v>5.9604163036113489</c:v>
                </c:pt>
                <c:pt idx="3">
                  <c:v>-1.6679866871525784</c:v>
                </c:pt>
                <c:pt idx="4">
                  <c:v>3.8537555560298697</c:v>
                </c:pt>
                <c:pt idx="5">
                  <c:v>6.8125910055156114</c:v>
                </c:pt>
                <c:pt idx="6">
                  <c:v>4.2330185383788743</c:v>
                </c:pt>
                <c:pt idx="7">
                  <c:v>3.1971277353809668</c:v>
                </c:pt>
                <c:pt idx="8">
                  <c:v>3.6738711585473371</c:v>
                </c:pt>
                <c:pt idx="9">
                  <c:v>4.2283557958758156</c:v>
                </c:pt>
                <c:pt idx="10">
                  <c:v>3.0729001875319906</c:v>
                </c:pt>
                <c:pt idx="11">
                  <c:v>3.1340234868824979</c:v>
                </c:pt>
                <c:pt idx="12">
                  <c:v>5.3261700648362664</c:v>
                </c:pt>
                <c:pt idx="13">
                  <c:v>3.6537189611913101</c:v>
                </c:pt>
                <c:pt idx="14">
                  <c:v>2.7115268211687749</c:v>
                </c:pt>
                <c:pt idx="15">
                  <c:v>2.2162453840836038</c:v>
                </c:pt>
                <c:pt idx="16">
                  <c:v>3.1766091366861371</c:v>
                </c:pt>
                <c:pt idx="17" formatCode="0.00">
                  <c:v>3.0526401356366639</c:v>
                </c:pt>
                <c:pt idx="18" formatCode="0.00">
                  <c:v>1.9438792515581893</c:v>
                </c:pt>
                <c:pt idx="19" formatCode="0.00">
                  <c:v>2.2222890199834922</c:v>
                </c:pt>
                <c:pt idx="20" formatCode="0.00">
                  <c:v>2.7338062078744896</c:v>
                </c:pt>
                <c:pt idx="21" formatCode="0.00">
                  <c:v>2.510588407509351</c:v>
                </c:pt>
                <c:pt idx="22" formatCode="0.00">
                  <c:v>1.9945994440549342</c:v>
                </c:pt>
                <c:pt idx="23" formatCode="0.00">
                  <c:v>2.7025915991121696</c:v>
                </c:pt>
                <c:pt idx="24" formatCode="0.00">
                  <c:v>2.6696619737265115</c:v>
                </c:pt>
                <c:pt idx="25" formatCode="0.00">
                  <c:v>2.4560522557841136</c:v>
                </c:pt>
              </c:numCache>
            </c:numRef>
          </c:val>
          <c:smooth val="0"/>
          <c:extLst>
            <c:ext xmlns:c16="http://schemas.microsoft.com/office/drawing/2014/chart" uri="{C3380CC4-5D6E-409C-BE32-E72D297353CC}">
              <c16:uniqueId val="{00000002-FF71-446B-9E32-593A845A69A1}"/>
            </c:ext>
          </c:extLst>
        </c:ser>
        <c:dLbls>
          <c:showLegendKey val="0"/>
          <c:showVal val="0"/>
          <c:showCatName val="0"/>
          <c:showSerName val="0"/>
          <c:showPercent val="0"/>
          <c:showBubbleSize val="0"/>
        </c:dLbls>
        <c:marker val="1"/>
        <c:smooth val="0"/>
        <c:axId val="287263744"/>
        <c:axId val="287274112"/>
      </c:lineChart>
      <c:catAx>
        <c:axId val="287263744"/>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87274112"/>
        <c:crosses val="autoZero"/>
        <c:auto val="1"/>
        <c:lblAlgn val="ctr"/>
        <c:lblOffset val="100"/>
        <c:tickLblSkip val="2"/>
        <c:tickMarkSkip val="1"/>
        <c:noMultiLvlLbl val="0"/>
      </c:catAx>
      <c:valAx>
        <c:axId val="287274112"/>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87263744"/>
        <c:crosses val="autoZero"/>
        <c:crossBetween val="midCat"/>
      </c:valAx>
      <c:spPr>
        <a:noFill/>
        <a:ln w="12700">
          <a:solidFill>
            <a:srgbClr val="808080"/>
          </a:solidFill>
          <a:prstDash val="solid"/>
        </a:ln>
      </c:spPr>
    </c:plotArea>
    <c:legend>
      <c:legendPos val="r"/>
      <c:layout>
        <c:manualLayout>
          <c:xMode val="edge"/>
          <c:yMode val="edge"/>
          <c:x val="0.18035761463522246"/>
          <c:y val="0.7965391116267555"/>
          <c:w val="0.69285895523233976"/>
          <c:h val="0.17965420180712149"/>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Compensation of employees as % of GDP</a:t>
            </a:r>
          </a:p>
        </c:rich>
      </c:tx>
      <c:layout>
        <c:manualLayout>
          <c:xMode val="edge"/>
          <c:yMode val="edge"/>
          <c:x val="0.20535737720284963"/>
          <c:y val="3.3613445378151259E-2"/>
        </c:manualLayout>
      </c:layout>
      <c:overlay val="0"/>
      <c:spPr>
        <a:noFill/>
        <a:ln w="25400">
          <a:noFill/>
        </a:ln>
      </c:spPr>
    </c:title>
    <c:autoTitleDeleted val="0"/>
    <c:plotArea>
      <c:layout>
        <c:manualLayout>
          <c:layoutTarget val="inner"/>
          <c:xMode val="edge"/>
          <c:yMode val="edge"/>
          <c:x val="0.14285729855924176"/>
          <c:y val="0.17647107096647127"/>
          <c:w val="0.79017943265580604"/>
          <c:h val="0.61904931243793893"/>
        </c:manualLayout>
      </c:layout>
      <c:lineChart>
        <c:grouping val="standard"/>
        <c:varyColors val="0"/>
        <c:ser>
          <c:idx val="0"/>
          <c:order val="0"/>
          <c:tx>
            <c:strRef>
              <c:f>Labour1!$D$231:$E$231</c:f>
              <c:strCache>
                <c:ptCount val="2"/>
                <c:pt idx="0">
                  <c:v>GVT</c:v>
                </c:pt>
                <c:pt idx="1">
                  <c:v>Compensation of employees (D.1p) (Domestic)</c:v>
                </c:pt>
              </c:strCache>
            </c:strRef>
          </c:tx>
          <c:spPr>
            <a:ln w="25400">
              <a:solidFill>
                <a:srgbClr val="FF0000"/>
              </a:solidFill>
              <a:prstDash val="solid"/>
            </a:ln>
          </c:spPr>
          <c:marker>
            <c:symbol val="diamond"/>
            <c:size val="7"/>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Labour1!$G$231:$AG$231</c:f>
              <c:numCache>
                <c:formatCode>0.0%</c:formatCode>
                <c:ptCount val="27"/>
                <c:pt idx="0">
                  <c:v>0.4400365285567614</c:v>
                </c:pt>
                <c:pt idx="1">
                  <c:v>0.45487334946944191</c:v>
                </c:pt>
                <c:pt idx="2">
                  <c:v>0.45493472233624699</c:v>
                </c:pt>
                <c:pt idx="3">
                  <c:v>0.43349529233112688</c:v>
                </c:pt>
                <c:pt idx="4">
                  <c:v>0.43590545811272385</c:v>
                </c:pt>
                <c:pt idx="5">
                  <c:v>0.4494111072794138</c:v>
                </c:pt>
                <c:pt idx="6">
                  <c:v>0.46114493802368811</c:v>
                </c:pt>
                <c:pt idx="7">
                  <c:v>0.46005045146406764</c:v>
                </c:pt>
                <c:pt idx="8">
                  <c:v>0.45721284526661748</c:v>
                </c:pt>
                <c:pt idx="9">
                  <c:v>0.45088115914987992</c:v>
                </c:pt>
                <c:pt idx="10">
                  <c:v>0.44972090742963072</c:v>
                </c:pt>
                <c:pt idx="11">
                  <c:v>0.44222862067387431</c:v>
                </c:pt>
                <c:pt idx="12">
                  <c:v>0.44806895400551894</c:v>
                </c:pt>
                <c:pt idx="13">
                  <c:v>0.45759108831284545</c:v>
                </c:pt>
                <c:pt idx="14">
                  <c:v>0.47151997458087147</c:v>
                </c:pt>
                <c:pt idx="15">
                  <c:v>0.4542233096772143</c:v>
                </c:pt>
                <c:pt idx="16">
                  <c:v>0.46238435331133776</c:v>
                </c:pt>
                <c:pt idx="17">
                  <c:v>0.47720915152630711</c:v>
                </c:pt>
                <c:pt idx="18">
                  <c:v>0.48048047411471151</c:v>
                </c:pt>
                <c:pt idx="19">
                  <c:v>0.4778005163762315</c:v>
                </c:pt>
                <c:pt idx="20">
                  <c:v>0.46817990438274704</c:v>
                </c:pt>
                <c:pt idx="21">
                  <c:v>0.47035877575563267</c:v>
                </c:pt>
                <c:pt idx="22">
                  <c:v>0.4711224248449245</c:v>
                </c:pt>
                <c:pt idx="23">
                  <c:v>0.46925008568660248</c:v>
                </c:pt>
                <c:pt idx="24">
                  <c:v>0.46837833481283325</c:v>
                </c:pt>
                <c:pt idx="25">
                  <c:v>0.46663992209968208</c:v>
                </c:pt>
              </c:numCache>
            </c:numRef>
          </c:val>
          <c:smooth val="0"/>
          <c:extLst>
            <c:ext xmlns:c16="http://schemas.microsoft.com/office/drawing/2014/chart" uri="{C3380CC4-5D6E-409C-BE32-E72D297353CC}">
              <c16:uniqueId val="{00000000-B16F-4B98-B10C-52D03A690FD6}"/>
            </c:ext>
          </c:extLst>
        </c:ser>
        <c:dLbls>
          <c:showLegendKey val="0"/>
          <c:showVal val="0"/>
          <c:showCatName val="0"/>
          <c:showSerName val="0"/>
          <c:showPercent val="0"/>
          <c:showBubbleSize val="0"/>
        </c:dLbls>
        <c:marker val="1"/>
        <c:smooth val="0"/>
        <c:axId val="287306496"/>
        <c:axId val="287308416"/>
      </c:lineChart>
      <c:catAx>
        <c:axId val="287306496"/>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87308416"/>
        <c:crosses val="autoZero"/>
        <c:auto val="1"/>
        <c:lblAlgn val="ctr"/>
        <c:lblOffset val="100"/>
        <c:tickLblSkip val="2"/>
        <c:tickMarkSkip val="1"/>
        <c:noMultiLvlLbl val="0"/>
      </c:catAx>
      <c:valAx>
        <c:axId val="287308416"/>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87306496"/>
        <c:crosses val="autoZero"/>
        <c:crossBetween val="midCat"/>
      </c:valAx>
      <c:spPr>
        <a:noFill/>
        <a:ln w="12700">
          <a:solidFill>
            <a:srgbClr val="808080"/>
          </a:solidFill>
          <a:prstDash val="solid"/>
        </a:ln>
      </c:spPr>
    </c:plotArea>
    <c:legend>
      <c:legendPos val="r"/>
      <c:layout>
        <c:manualLayout>
          <c:xMode val="edge"/>
          <c:yMode val="edge"/>
          <c:x val="0.15535754924024112"/>
          <c:y val="0.91342256822415979"/>
          <c:w val="0.76428771350371494"/>
          <c:h val="6.2770745209717135E-2"/>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Compensation of employees as % of HH gross disposable income</a:t>
            </a:r>
          </a:p>
        </c:rich>
      </c:tx>
      <c:layout>
        <c:manualLayout>
          <c:xMode val="edge"/>
          <c:yMode val="edge"/>
          <c:x val="0.17633952005999248"/>
          <c:y val="3.3613445378151259E-2"/>
        </c:manualLayout>
      </c:layout>
      <c:overlay val="0"/>
      <c:spPr>
        <a:noFill/>
        <a:ln w="25400">
          <a:noFill/>
        </a:ln>
      </c:spPr>
    </c:title>
    <c:autoTitleDeleted val="0"/>
    <c:plotArea>
      <c:layout>
        <c:manualLayout>
          <c:layoutTarget val="inner"/>
          <c:xMode val="edge"/>
          <c:yMode val="edge"/>
          <c:x val="0.13392871739928916"/>
          <c:y val="0.17647107096647127"/>
          <c:w val="0.79910801381575869"/>
          <c:h val="0.61904931243793893"/>
        </c:manualLayout>
      </c:layout>
      <c:lineChart>
        <c:grouping val="standard"/>
        <c:varyColors val="0"/>
        <c:ser>
          <c:idx val="2"/>
          <c:order val="0"/>
          <c:tx>
            <c:strRef>
              <c:f>Labour1!$D$236:$E$236</c:f>
              <c:strCache>
                <c:ptCount val="2"/>
                <c:pt idx="0">
                  <c:v>HH</c:v>
                </c:pt>
                <c:pt idx="1">
                  <c:v>Compensation of employees (D.1r)</c:v>
                </c:pt>
              </c:strCache>
            </c:strRef>
          </c:tx>
          <c:spPr>
            <a:ln w="25400">
              <a:solidFill>
                <a:srgbClr val="0000FF"/>
              </a:solidFill>
              <a:prstDash val="solid"/>
            </a:ln>
          </c:spPr>
          <c:marker>
            <c:symbol val="circle"/>
            <c:size val="7"/>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Labour1!$G$236:$AG$236</c:f>
              <c:numCache>
                <c:formatCode>0.0%</c:formatCode>
                <c:ptCount val="27"/>
                <c:pt idx="0">
                  <c:v>0.8817646652900677</c:v>
                </c:pt>
                <c:pt idx="1">
                  <c:v>0.93214758001929077</c:v>
                </c:pt>
                <c:pt idx="2">
                  <c:v>0.96591647759917132</c:v>
                </c:pt>
                <c:pt idx="3">
                  <c:v>0.94337027591383305</c:v>
                </c:pt>
                <c:pt idx="4">
                  <c:v>1.0193363263062329</c:v>
                </c:pt>
                <c:pt idx="5">
                  <c:v>0.97369854718806048</c:v>
                </c:pt>
                <c:pt idx="6">
                  <c:v>0.96563441886892032</c:v>
                </c:pt>
                <c:pt idx="7">
                  <c:v>0.95747929706617207</c:v>
                </c:pt>
                <c:pt idx="8">
                  <c:v>0.96588168161521226</c:v>
                </c:pt>
                <c:pt idx="9">
                  <c:v>0.97583771489608551</c:v>
                </c:pt>
                <c:pt idx="10">
                  <c:v>0.97251082619040052</c:v>
                </c:pt>
                <c:pt idx="11">
                  <c:v>0.96530310318596746</c:v>
                </c:pt>
                <c:pt idx="12">
                  <c:v>0.9753643230695026</c:v>
                </c:pt>
                <c:pt idx="13">
                  <c:v>0.96339066263673878</c:v>
                </c:pt>
                <c:pt idx="14">
                  <c:v>0.92777714880097351</c:v>
                </c:pt>
                <c:pt idx="15">
                  <c:v>0.91741587217484122</c:v>
                </c:pt>
                <c:pt idx="16">
                  <c:v>0.92342555488591516</c:v>
                </c:pt>
                <c:pt idx="17">
                  <c:v>0.92275349144013108</c:v>
                </c:pt>
                <c:pt idx="18">
                  <c:v>0.9223240115232918</c:v>
                </c:pt>
                <c:pt idx="19">
                  <c:v>0.9219626458057939</c:v>
                </c:pt>
                <c:pt idx="20">
                  <c:v>0.92848800562700129</c:v>
                </c:pt>
                <c:pt idx="21">
                  <c:v>0.92717820639247195</c:v>
                </c:pt>
                <c:pt idx="22">
                  <c:v>0.93412190955064456</c:v>
                </c:pt>
                <c:pt idx="23">
                  <c:v>0.93192217291009816</c:v>
                </c:pt>
                <c:pt idx="24">
                  <c:v>0.93530710068683032</c:v>
                </c:pt>
                <c:pt idx="25">
                  <c:v>0</c:v>
                </c:pt>
              </c:numCache>
            </c:numRef>
          </c:val>
          <c:smooth val="0"/>
          <c:extLst>
            <c:ext xmlns:c16="http://schemas.microsoft.com/office/drawing/2014/chart" uri="{C3380CC4-5D6E-409C-BE32-E72D297353CC}">
              <c16:uniqueId val="{00000000-DA8A-473D-A155-FEFE47C481CB}"/>
            </c:ext>
          </c:extLst>
        </c:ser>
        <c:dLbls>
          <c:showLegendKey val="0"/>
          <c:showVal val="0"/>
          <c:showCatName val="0"/>
          <c:showSerName val="0"/>
          <c:showPercent val="0"/>
          <c:showBubbleSize val="0"/>
        </c:dLbls>
        <c:marker val="1"/>
        <c:smooth val="0"/>
        <c:axId val="287402240"/>
        <c:axId val="287408512"/>
      </c:lineChart>
      <c:catAx>
        <c:axId val="287402240"/>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87408512"/>
        <c:crosses val="autoZero"/>
        <c:auto val="1"/>
        <c:lblAlgn val="ctr"/>
        <c:lblOffset val="100"/>
        <c:tickLblSkip val="2"/>
        <c:tickMarkSkip val="1"/>
        <c:noMultiLvlLbl val="0"/>
      </c:catAx>
      <c:valAx>
        <c:axId val="287408512"/>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87402240"/>
        <c:crosses val="autoZero"/>
        <c:crossBetween val="midCat"/>
      </c:valAx>
      <c:spPr>
        <a:noFill/>
        <a:ln w="12700">
          <a:solidFill>
            <a:srgbClr val="808080"/>
          </a:solidFill>
          <a:prstDash val="solid"/>
        </a:ln>
      </c:spPr>
    </c:plotArea>
    <c:legend>
      <c:legendPos val="r"/>
      <c:layout>
        <c:manualLayout>
          <c:xMode val="edge"/>
          <c:yMode val="edge"/>
          <c:x val="0.23214346438196948"/>
          <c:y val="0.91342256822415979"/>
          <c:w val="0.58928725573884566"/>
          <c:h val="6.2770745209717135E-2"/>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Unit labour productivity and real compensation / employee (domestic) </a:t>
            </a:r>
          </a:p>
        </c:rich>
      </c:tx>
      <c:layout>
        <c:manualLayout>
          <c:xMode val="edge"/>
          <c:yMode val="edge"/>
          <c:x val="0.15401809148856391"/>
          <c:y val="3.3613445378151259E-2"/>
        </c:manualLayout>
      </c:layout>
      <c:overlay val="0"/>
      <c:spPr>
        <a:noFill/>
        <a:ln w="25400">
          <a:noFill/>
        </a:ln>
      </c:spPr>
    </c:title>
    <c:autoTitleDeleted val="0"/>
    <c:plotArea>
      <c:layout>
        <c:manualLayout>
          <c:layoutTarget val="inner"/>
          <c:xMode val="edge"/>
          <c:yMode val="edge"/>
          <c:x val="0.10937511920941947"/>
          <c:y val="0.17086881474531346"/>
          <c:w val="0.82366161200562837"/>
          <c:h val="0.5182087004570981"/>
        </c:manualLayout>
      </c:layout>
      <c:lineChart>
        <c:grouping val="standard"/>
        <c:varyColors val="0"/>
        <c:ser>
          <c:idx val="0"/>
          <c:order val="0"/>
          <c:tx>
            <c:strRef>
              <c:f>Labour1!$D$252:$E$252</c:f>
              <c:strCache>
                <c:ptCount val="2"/>
                <c:pt idx="0">
                  <c:v>HH</c:v>
                </c:pt>
                <c:pt idx="1">
                  <c:v>Unit labour productivity</c:v>
                </c:pt>
              </c:strCache>
            </c:strRef>
          </c:tx>
          <c:spPr>
            <a:ln w="25400">
              <a:solidFill>
                <a:srgbClr val="FF0000"/>
              </a:solidFill>
              <a:prstDash val="solid"/>
            </a:ln>
          </c:spPr>
          <c:marker>
            <c:symbol val="diamond"/>
            <c:size val="5"/>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Labour1!$G$252:$AG$252</c:f>
              <c:numCache>
                <c:formatCode>0.00</c:formatCode>
                <c:ptCount val="27"/>
                <c:pt idx="1">
                  <c:v>2.4773185121083729</c:v>
                </c:pt>
                <c:pt idx="2">
                  <c:v>4.6221834922292038</c:v>
                </c:pt>
                <c:pt idx="3">
                  <c:v>2.4752998958986083</c:v>
                </c:pt>
                <c:pt idx="4">
                  <c:v>2.2865750875463053</c:v>
                </c:pt>
                <c:pt idx="5">
                  <c:v>2.8083277943397489</c:v>
                </c:pt>
                <c:pt idx="6">
                  <c:v>-0.67740400453532024</c:v>
                </c:pt>
                <c:pt idx="7">
                  <c:v>1.8806959368764753</c:v>
                </c:pt>
                <c:pt idx="8">
                  <c:v>2.9959592710034011</c:v>
                </c:pt>
                <c:pt idx="9">
                  <c:v>5.3272277116120259</c:v>
                </c:pt>
                <c:pt idx="10">
                  <c:v>2.3830630270831543</c:v>
                </c:pt>
                <c:pt idx="11">
                  <c:v>3.0498869602490597</c:v>
                </c:pt>
                <c:pt idx="12">
                  <c:v>1.0783406591473588</c:v>
                </c:pt>
                <c:pt idx="13">
                  <c:v>-1.1878969047978805</c:v>
                </c:pt>
                <c:pt idx="14">
                  <c:v>-3.4352092382856081</c:v>
                </c:pt>
                <c:pt idx="15">
                  <c:v>5.2233675122710599</c:v>
                </c:pt>
                <c:pt idx="16">
                  <c:v>0.8124762605395075</c:v>
                </c:pt>
                <c:pt idx="17">
                  <c:v>-0.8663123696399766</c:v>
                </c:pt>
                <c:pt idx="18">
                  <c:v>0.37550306174107817</c:v>
                </c:pt>
                <c:pt idx="19">
                  <c:v>1.2368304016831422</c:v>
                </c:pt>
                <c:pt idx="20">
                  <c:v>2.7821447573243008</c:v>
                </c:pt>
                <c:pt idx="21">
                  <c:v>0.69174814901149517</c:v>
                </c:pt>
                <c:pt idx="22">
                  <c:v>-0.1843309519389158</c:v>
                </c:pt>
                <c:pt idx="23">
                  <c:v>0.69805931647470842</c:v>
                </c:pt>
                <c:pt idx="24">
                  <c:v>0.82023891260705195</c:v>
                </c:pt>
                <c:pt idx="25">
                  <c:v>1.1030303526999408</c:v>
                </c:pt>
              </c:numCache>
            </c:numRef>
          </c:val>
          <c:smooth val="0"/>
          <c:extLst>
            <c:ext xmlns:c16="http://schemas.microsoft.com/office/drawing/2014/chart" uri="{C3380CC4-5D6E-409C-BE32-E72D297353CC}">
              <c16:uniqueId val="{00000000-992D-4BCE-BA06-1293216E5FDD}"/>
            </c:ext>
          </c:extLst>
        </c:ser>
        <c:ser>
          <c:idx val="1"/>
          <c:order val="1"/>
          <c:tx>
            <c:strRef>
              <c:f>Labour1!$D$203:$E$203</c:f>
              <c:strCache>
                <c:ptCount val="2"/>
                <c:pt idx="1">
                  <c:v>Total compensation / employee (domestic)</c:v>
                </c:pt>
              </c:strCache>
            </c:strRef>
          </c:tx>
          <c:spPr>
            <a:ln w="25400">
              <a:solidFill>
                <a:srgbClr val="0000FF"/>
              </a:solidFill>
              <a:prstDash val="solid"/>
            </a:ln>
          </c:spPr>
          <c:marker>
            <c:symbol val="square"/>
            <c:size val="5"/>
            <c:spPr>
              <a:solidFill>
                <a:srgbClr val="FFFFFF"/>
              </a:solidFill>
              <a:ln>
                <a:solidFill>
                  <a:srgbClr val="0000FF"/>
                </a:solidFill>
                <a:prstDash val="solid"/>
              </a:ln>
            </c:spPr>
          </c:marker>
          <c:val>
            <c:numRef>
              <c:f>Labour1!$G$203:$AG$203</c:f>
              <c:numCache>
                <c:formatCode>0.0</c:formatCode>
                <c:ptCount val="27"/>
                <c:pt idx="1">
                  <c:v>5.9219302632429471</c:v>
                </c:pt>
                <c:pt idx="2">
                  <c:v>4.5240398803982007</c:v>
                </c:pt>
                <c:pt idx="3">
                  <c:v>-2.1239145020241379</c:v>
                </c:pt>
                <c:pt idx="4">
                  <c:v>2.3778107453048314</c:v>
                </c:pt>
                <c:pt idx="5">
                  <c:v>5.8278897791349316</c:v>
                </c:pt>
                <c:pt idx="6">
                  <c:v>2.0809938452591048</c:v>
                </c:pt>
                <c:pt idx="7">
                  <c:v>1.7547442905819111</c:v>
                </c:pt>
                <c:pt idx="8">
                  <c:v>2.0525704045053939</c:v>
                </c:pt>
                <c:pt idx="9">
                  <c:v>3.4499330985516607</c:v>
                </c:pt>
                <c:pt idx="10">
                  <c:v>1.9634473145136555</c:v>
                </c:pt>
                <c:pt idx="11">
                  <c:v>1.929783884187275</c:v>
                </c:pt>
                <c:pt idx="12">
                  <c:v>3.8803292049882643</c:v>
                </c:pt>
                <c:pt idx="13">
                  <c:v>0.53136989031195014</c:v>
                </c:pt>
                <c:pt idx="14">
                  <c:v>0.48405751966642541</c:v>
                </c:pt>
                <c:pt idx="15">
                  <c:v>0.73012804692842437</c:v>
                </c:pt>
                <c:pt idx="16">
                  <c:v>1.5105357490704518</c:v>
                </c:pt>
                <c:pt idx="17">
                  <c:v>2.5387540133180453</c:v>
                </c:pt>
                <c:pt idx="18">
                  <c:v>1.2340731003003924</c:v>
                </c:pt>
                <c:pt idx="19">
                  <c:v>1.1403957162661849</c:v>
                </c:pt>
                <c:pt idx="20">
                  <c:v>1.8647843001815101</c:v>
                </c:pt>
                <c:pt idx="21">
                  <c:v>1.5117205581566262</c:v>
                </c:pt>
                <c:pt idx="22">
                  <c:v>0.26181049621385455</c:v>
                </c:pt>
                <c:pt idx="23">
                  <c:v>1.0025915991121697</c:v>
                </c:pt>
                <c:pt idx="24">
                  <c:v>0.96966197372651153</c:v>
                </c:pt>
                <c:pt idx="25">
                  <c:v>0.65605225578411352</c:v>
                </c:pt>
              </c:numCache>
            </c:numRef>
          </c:val>
          <c:smooth val="0"/>
          <c:extLst>
            <c:ext xmlns:c16="http://schemas.microsoft.com/office/drawing/2014/chart" uri="{C3380CC4-5D6E-409C-BE32-E72D297353CC}">
              <c16:uniqueId val="{00000001-992D-4BCE-BA06-1293216E5FDD}"/>
            </c:ext>
          </c:extLst>
        </c:ser>
        <c:dLbls>
          <c:showLegendKey val="0"/>
          <c:showVal val="0"/>
          <c:showCatName val="0"/>
          <c:showSerName val="0"/>
          <c:showPercent val="0"/>
          <c:showBubbleSize val="0"/>
        </c:dLbls>
        <c:marker val="1"/>
        <c:smooth val="0"/>
        <c:axId val="287433472"/>
        <c:axId val="287435392"/>
      </c:lineChart>
      <c:catAx>
        <c:axId val="287433472"/>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87435392"/>
        <c:crosses val="autoZero"/>
        <c:auto val="1"/>
        <c:lblAlgn val="ctr"/>
        <c:lblOffset val="100"/>
        <c:tickLblSkip val="2"/>
        <c:tickMarkSkip val="1"/>
        <c:noMultiLvlLbl val="0"/>
      </c:catAx>
      <c:valAx>
        <c:axId val="287435392"/>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87433472"/>
        <c:crosses val="autoZero"/>
        <c:crossBetween val="midCat"/>
      </c:valAx>
      <c:spPr>
        <a:noFill/>
        <a:ln w="12700">
          <a:solidFill>
            <a:srgbClr val="808080"/>
          </a:solidFill>
          <a:prstDash val="solid"/>
        </a:ln>
      </c:spPr>
    </c:plotArea>
    <c:legend>
      <c:legendPos val="r"/>
      <c:layout>
        <c:manualLayout>
          <c:xMode val="edge"/>
          <c:yMode val="edge"/>
          <c:x val="0.20535768003020377"/>
          <c:y val="0.85281633146995028"/>
          <c:w val="0.63393022965845514"/>
          <c:h val="0.12121247350841932"/>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Unit labour cost</a:t>
            </a:r>
          </a:p>
        </c:rich>
      </c:tx>
      <c:layout>
        <c:manualLayout>
          <c:xMode val="edge"/>
          <c:yMode val="edge"/>
          <c:x val="0.38616118297712781"/>
          <c:y val="3.3613445378151259E-2"/>
        </c:manualLayout>
      </c:layout>
      <c:overlay val="0"/>
      <c:spPr>
        <a:noFill/>
        <a:ln w="25400">
          <a:noFill/>
        </a:ln>
      </c:spPr>
    </c:title>
    <c:autoTitleDeleted val="0"/>
    <c:plotArea>
      <c:layout>
        <c:manualLayout>
          <c:layoutTarget val="inner"/>
          <c:xMode val="edge"/>
          <c:yMode val="edge"/>
          <c:x val="0.10937511920941947"/>
          <c:y val="0.17647107096647127"/>
          <c:w val="0.82366161200562837"/>
          <c:h val="0.61904931243793893"/>
        </c:manualLayout>
      </c:layout>
      <c:lineChart>
        <c:grouping val="standard"/>
        <c:varyColors val="0"/>
        <c:ser>
          <c:idx val="0"/>
          <c:order val="0"/>
          <c:tx>
            <c:strRef>
              <c:f>Labour1!$D$253:$E$253</c:f>
              <c:strCache>
                <c:ptCount val="2"/>
                <c:pt idx="0">
                  <c:v>HH</c:v>
                </c:pt>
                <c:pt idx="1">
                  <c:v>Unit labour cost</c:v>
                </c:pt>
              </c:strCache>
            </c:strRef>
          </c:tx>
          <c:spPr>
            <a:ln w="25400">
              <a:solidFill>
                <a:srgbClr val="008000"/>
              </a:solidFill>
              <a:prstDash val="solid"/>
            </a:ln>
          </c:spPr>
          <c:marker>
            <c:symbol val="diamond"/>
            <c:size val="5"/>
            <c:spPr>
              <a:solidFill>
                <a:srgbClr val="FFFFFF"/>
              </a:solidFill>
              <a:ln>
                <a:solidFill>
                  <a:srgbClr val="008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Labour1!$G$253:$AG$253</c:f>
              <c:numCache>
                <c:formatCode>0.00</c:formatCode>
                <c:ptCount val="27"/>
                <c:pt idx="1">
                  <c:v>4.2545019939921325</c:v>
                </c:pt>
                <c:pt idx="2">
                  <c:v>1.2791100001096289</c:v>
                </c:pt>
                <c:pt idx="3">
                  <c:v>-4.0432051306609544</c:v>
                </c:pt>
                <c:pt idx="4">
                  <c:v>1.532146781864796</c:v>
                </c:pt>
                <c:pt idx="5">
                  <c:v>3.8948821531131994</c:v>
                </c:pt>
                <c:pt idx="6">
                  <c:v>4.9439128062444215</c:v>
                </c:pt>
                <c:pt idx="7">
                  <c:v>1.2921307480272093</c:v>
                </c:pt>
                <c:pt idx="8">
                  <c:v>0.65819270225948578</c:v>
                </c:pt>
                <c:pt idx="9">
                  <c:v>-1.0432933056445104</c:v>
                </c:pt>
                <c:pt idx="10">
                  <c:v>0.67378054538800303</c:v>
                </c:pt>
                <c:pt idx="11">
                  <c:v>8.1646403616031371E-2</c:v>
                </c:pt>
                <c:pt idx="12">
                  <c:v>4.2025120099797642</c:v>
                </c:pt>
                <c:pt idx="13">
                  <c:v>4.89982068423791</c:v>
                </c:pt>
                <c:pt idx="14">
                  <c:v>6.3654008991975264</c:v>
                </c:pt>
                <c:pt idx="15">
                  <c:v>-2.8578463123571596</c:v>
                </c:pt>
                <c:pt idx="16">
                  <c:v>2.3450796606134139</c:v>
                </c:pt>
                <c:pt idx="17">
                  <c:v>3.953199562079468</c:v>
                </c:pt>
                <c:pt idx="18">
                  <c:v>1.5625089209788667</c:v>
                </c:pt>
                <c:pt idx="19">
                  <c:v>0.97341907524199911</c:v>
                </c:pt>
                <c:pt idx="20">
                  <c:v>-4.7030103880341123E-2</c:v>
                </c:pt>
                <c:pt idx="21">
                  <c:v>1.8063449010798927</c:v>
                </c:pt>
                <c:pt idx="22">
                  <c:v>2.1829542563549742</c:v>
                </c:pt>
                <c:pt idx="23">
                  <c:v>1.9906364593756498</c:v>
                </c:pt>
                <c:pt idx="24">
                  <c:v>1.8343767888931106</c:v>
                </c:pt>
                <c:pt idx="25">
                  <c:v>1.338260483750231</c:v>
                </c:pt>
              </c:numCache>
            </c:numRef>
          </c:val>
          <c:smooth val="0"/>
          <c:extLst>
            <c:ext xmlns:c16="http://schemas.microsoft.com/office/drawing/2014/chart" uri="{C3380CC4-5D6E-409C-BE32-E72D297353CC}">
              <c16:uniqueId val="{00000000-3AD7-4D34-88AA-A4317961F077}"/>
            </c:ext>
          </c:extLst>
        </c:ser>
        <c:dLbls>
          <c:showLegendKey val="0"/>
          <c:showVal val="0"/>
          <c:showCatName val="0"/>
          <c:showSerName val="0"/>
          <c:showPercent val="0"/>
          <c:showBubbleSize val="0"/>
        </c:dLbls>
        <c:marker val="1"/>
        <c:smooth val="0"/>
        <c:axId val="287521408"/>
        <c:axId val="287544064"/>
      </c:lineChart>
      <c:catAx>
        <c:axId val="287521408"/>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87544064"/>
        <c:crosses val="autoZero"/>
        <c:auto val="1"/>
        <c:lblAlgn val="ctr"/>
        <c:lblOffset val="100"/>
        <c:tickLblSkip val="2"/>
        <c:tickMarkSkip val="1"/>
        <c:noMultiLvlLbl val="0"/>
      </c:catAx>
      <c:valAx>
        <c:axId val="287544064"/>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87521408"/>
        <c:crosses val="autoZero"/>
        <c:crossBetween val="midCat"/>
      </c:valAx>
      <c:spPr>
        <a:noFill/>
        <a:ln w="12700">
          <a:solidFill>
            <a:srgbClr val="808080"/>
          </a:solidFill>
          <a:prstDash val="solid"/>
        </a:ln>
      </c:spPr>
    </c:plotArea>
    <c:legend>
      <c:legendPos val="r"/>
      <c:layout>
        <c:manualLayout>
          <c:xMode val="edge"/>
          <c:yMode val="edge"/>
          <c:x val="0.35000091552973861"/>
          <c:y val="0.91342256822415979"/>
          <c:w val="0.34464375865938551"/>
          <c:h val="6.2770745209717135E-2"/>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Wage &amp; salary earners - public and private sector</a:t>
            </a:r>
          </a:p>
        </c:rich>
      </c:tx>
      <c:layout>
        <c:manualLayout>
          <c:xMode val="edge"/>
          <c:yMode val="edge"/>
          <c:x val="0.14732166291713536"/>
          <c:y val="3.3613445378151259E-2"/>
        </c:manualLayout>
      </c:layout>
      <c:overlay val="0"/>
      <c:spPr>
        <a:noFill/>
        <a:ln w="25400">
          <a:noFill/>
        </a:ln>
      </c:spPr>
    </c:title>
    <c:autoTitleDeleted val="0"/>
    <c:plotArea>
      <c:layout>
        <c:manualLayout>
          <c:layoutTarget val="inner"/>
          <c:xMode val="edge"/>
          <c:yMode val="edge"/>
          <c:x val="0.10937511920941947"/>
          <c:y val="0.17647107096647127"/>
          <c:w val="0.82366161200562837"/>
          <c:h val="0.59664028755330756"/>
        </c:manualLayout>
      </c:layout>
      <c:lineChart>
        <c:grouping val="standard"/>
        <c:varyColors val="0"/>
        <c:ser>
          <c:idx val="0"/>
          <c:order val="0"/>
          <c:tx>
            <c:strRef>
              <c:f>Labour1!$D$46:$E$46</c:f>
              <c:strCache>
                <c:ptCount val="2"/>
                <c:pt idx="1">
                  <c:v>Wage &amp; salary earners (private sector)</c:v>
                </c:pt>
              </c:strCache>
            </c:strRef>
          </c:tx>
          <c:spPr>
            <a:ln w="25400">
              <a:solidFill>
                <a:srgbClr val="0000FF"/>
              </a:solidFill>
              <a:prstDash val="solid"/>
            </a:ln>
          </c:spPr>
          <c:marker>
            <c:symbol val="diamond"/>
            <c:size val="7"/>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Labour1!$G$46:$AG$46</c:f>
              <c:numCache>
                <c:formatCode>0.0</c:formatCode>
                <c:ptCount val="27"/>
                <c:pt idx="1">
                  <c:v>-0.22410757163440209</c:v>
                </c:pt>
                <c:pt idx="2">
                  <c:v>-1.1671747152254053</c:v>
                </c:pt>
                <c:pt idx="3">
                  <c:v>2.8935513980763883</c:v>
                </c:pt>
                <c:pt idx="4">
                  <c:v>2.4966474717993181</c:v>
                </c:pt>
                <c:pt idx="5">
                  <c:v>5.0101974063955224</c:v>
                </c:pt>
                <c:pt idx="6">
                  <c:v>3.2137491296859722</c:v>
                </c:pt>
                <c:pt idx="7">
                  <c:v>-0.29823191081447264</c:v>
                </c:pt>
                <c:pt idx="8">
                  <c:v>-0.73000498539990133</c:v>
                </c:pt>
                <c:pt idx="9">
                  <c:v>-1.524554292068736</c:v>
                </c:pt>
                <c:pt idx="10">
                  <c:v>0.58283549468163276</c:v>
                </c:pt>
                <c:pt idx="11">
                  <c:v>1.8941040127480768</c:v>
                </c:pt>
                <c:pt idx="12">
                  <c:v>3.5045317220543826</c:v>
                </c:pt>
                <c:pt idx="13">
                  <c:v>2.7334226159815733</c:v>
                </c:pt>
                <c:pt idx="14">
                  <c:v>-2.8879901059598145</c:v>
                </c:pt>
                <c:pt idx="15">
                  <c:v>1.4800536949712617</c:v>
                </c:pt>
                <c:pt idx="16">
                  <c:v>3.4358783027507389</c:v>
                </c:pt>
                <c:pt idx="17">
                  <c:v>0.97061909758655585</c:v>
                </c:pt>
                <c:pt idx="18">
                  <c:v>1.0652117433099573</c:v>
                </c:pt>
                <c:pt idx="19">
                  <c:v>1.7127249357326457</c:v>
                </c:pt>
                <c:pt idx="20">
                  <c:v>1.4532587748396608</c:v>
                </c:pt>
                <c:pt idx="21">
                  <c:v>2.0926104692803538</c:v>
                </c:pt>
                <c:pt idx="22">
                  <c:v>2.76955924965685</c:v>
                </c:pt>
                <c:pt idx="23" formatCode="0.00">
                  <c:v>1.66</c:v>
                </c:pt>
                <c:pt idx="24" formatCode="0.00">
                  <c:v>0.85</c:v>
                </c:pt>
                <c:pt idx="25" formatCode="0.00">
                  <c:v>0.55000000000000004</c:v>
                </c:pt>
              </c:numCache>
            </c:numRef>
          </c:val>
          <c:smooth val="0"/>
          <c:extLst>
            <c:ext xmlns:c16="http://schemas.microsoft.com/office/drawing/2014/chart" uri="{C3380CC4-5D6E-409C-BE32-E72D297353CC}">
              <c16:uniqueId val="{00000000-2D35-4907-AAE5-03F0E94DC6DB}"/>
            </c:ext>
          </c:extLst>
        </c:ser>
        <c:ser>
          <c:idx val="1"/>
          <c:order val="1"/>
          <c:tx>
            <c:strRef>
              <c:f>Labour1!$D$47:$E$47</c:f>
              <c:strCache>
                <c:ptCount val="2"/>
                <c:pt idx="1">
                  <c:v>Wage &amp; salary earners (public sector)</c:v>
                </c:pt>
              </c:strCache>
            </c:strRef>
          </c:tx>
          <c:spPr>
            <a:ln w="25400">
              <a:solidFill>
                <a:srgbClr val="FF0000"/>
              </a:solidFill>
              <a:prstDash val="solid"/>
            </a:ln>
          </c:spPr>
          <c:marker>
            <c:symbol val="circle"/>
            <c:size val="7"/>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Labour1!$G$47:$AG$47</c:f>
              <c:numCache>
                <c:formatCode>0.0</c:formatCode>
                <c:ptCount val="27"/>
                <c:pt idx="1">
                  <c:v>-1.7049666419570064</c:v>
                </c:pt>
                <c:pt idx="2">
                  <c:v>-1.6591251885369585</c:v>
                </c:pt>
                <c:pt idx="3">
                  <c:v>-0.23006134969325576</c:v>
                </c:pt>
                <c:pt idx="4">
                  <c:v>1.3835511145272816</c:v>
                </c:pt>
                <c:pt idx="5">
                  <c:v>-1.8953752843062888</c:v>
                </c:pt>
                <c:pt idx="6">
                  <c:v>1.0046367851622939</c:v>
                </c:pt>
                <c:pt idx="7">
                  <c:v>1.4537107880642663</c:v>
                </c:pt>
                <c:pt idx="8">
                  <c:v>1.0558069381598756</c:v>
                </c:pt>
                <c:pt idx="9">
                  <c:v>0.44776119402984982</c:v>
                </c:pt>
                <c:pt idx="10">
                  <c:v>-0.29717682020802272</c:v>
                </c:pt>
                <c:pt idx="11">
                  <c:v>1.1177347242921076</c:v>
                </c:pt>
                <c:pt idx="12">
                  <c:v>-7.3691967575528761E-2</c:v>
                </c:pt>
                <c:pt idx="13">
                  <c:v>-1.9911504424778736</c:v>
                </c:pt>
                <c:pt idx="14">
                  <c:v>-2.0316027088036148</c:v>
                </c:pt>
                <c:pt idx="15">
                  <c:v>-0.46082949308755561</c:v>
                </c:pt>
                <c:pt idx="16">
                  <c:v>0.38580246913579863</c:v>
                </c:pt>
                <c:pt idx="17">
                  <c:v>0.76863950807071202</c:v>
                </c:pt>
                <c:pt idx="18">
                  <c:v>0.99160945842868831</c:v>
                </c:pt>
                <c:pt idx="19">
                  <c:v>1.2839879154078471</c:v>
                </c:pt>
                <c:pt idx="20">
                  <c:v>2.2371364653243742</c:v>
                </c:pt>
                <c:pt idx="21">
                  <c:v>2.7716994894237734</c:v>
                </c:pt>
                <c:pt idx="22">
                  <c:v>1.9872249822569188</c:v>
                </c:pt>
                <c:pt idx="23" formatCode="0.00">
                  <c:v>1.9</c:v>
                </c:pt>
                <c:pt idx="24" formatCode="0.00">
                  <c:v>1</c:v>
                </c:pt>
                <c:pt idx="25" formatCode="0.00">
                  <c:v>1.01</c:v>
                </c:pt>
              </c:numCache>
            </c:numRef>
          </c:val>
          <c:smooth val="0"/>
          <c:extLst>
            <c:ext xmlns:c16="http://schemas.microsoft.com/office/drawing/2014/chart" uri="{C3380CC4-5D6E-409C-BE32-E72D297353CC}">
              <c16:uniqueId val="{00000001-2D35-4907-AAE5-03F0E94DC6DB}"/>
            </c:ext>
          </c:extLst>
        </c:ser>
        <c:dLbls>
          <c:showLegendKey val="0"/>
          <c:showVal val="0"/>
          <c:showCatName val="0"/>
          <c:showSerName val="0"/>
          <c:showPercent val="0"/>
          <c:showBubbleSize val="0"/>
        </c:dLbls>
        <c:marker val="1"/>
        <c:smooth val="0"/>
        <c:axId val="287908992"/>
        <c:axId val="287910912"/>
      </c:lineChart>
      <c:catAx>
        <c:axId val="287908992"/>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87910912"/>
        <c:crosses val="autoZero"/>
        <c:auto val="1"/>
        <c:lblAlgn val="ctr"/>
        <c:lblOffset val="100"/>
        <c:tickLblSkip val="2"/>
        <c:tickMarkSkip val="1"/>
        <c:noMultiLvlLbl val="0"/>
      </c:catAx>
      <c:valAx>
        <c:axId val="287910912"/>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87908992"/>
        <c:crosses val="autoZero"/>
        <c:crossBetween val="midCat"/>
      </c:valAx>
      <c:spPr>
        <a:noFill/>
        <a:ln w="12700">
          <a:solidFill>
            <a:srgbClr val="808080"/>
          </a:solidFill>
          <a:prstDash val="solid"/>
        </a:ln>
      </c:spPr>
    </c:plotArea>
    <c:legend>
      <c:legendPos val="r"/>
      <c:layout>
        <c:manualLayout>
          <c:xMode val="edge"/>
          <c:yMode val="edge"/>
          <c:x val="0.22678630751161635"/>
          <c:y val="0.87013239911401008"/>
          <c:w val="0.70178755001626159"/>
          <c:h val="0.11038993123088187"/>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Employment by sector (changes in 1000 persons)</a:t>
            </a:r>
          </a:p>
        </c:rich>
      </c:tx>
      <c:layout>
        <c:manualLayout>
          <c:xMode val="edge"/>
          <c:yMode val="edge"/>
          <c:x val="0.15401809148856391"/>
          <c:y val="3.3613445378151259E-2"/>
        </c:manualLayout>
      </c:layout>
      <c:overlay val="0"/>
      <c:spPr>
        <a:noFill/>
        <a:ln w="25400">
          <a:noFill/>
        </a:ln>
      </c:spPr>
    </c:title>
    <c:autoTitleDeleted val="0"/>
    <c:plotArea>
      <c:layout>
        <c:manualLayout>
          <c:layoutTarget val="inner"/>
          <c:xMode val="edge"/>
          <c:yMode val="edge"/>
          <c:x val="0.11607155507938394"/>
          <c:y val="0.17647107096647127"/>
          <c:w val="0.81696517613566388"/>
          <c:h val="0.56022562211578175"/>
        </c:manualLayout>
      </c:layout>
      <c:lineChart>
        <c:grouping val="standard"/>
        <c:varyColors val="0"/>
        <c:ser>
          <c:idx val="0"/>
          <c:order val="0"/>
          <c:tx>
            <c:strRef>
              <c:f>Labour1!$D$57:$E$57</c:f>
              <c:strCache>
                <c:ptCount val="2"/>
                <c:pt idx="1">
                  <c:v>Wage &amp; salary earners (private sector)</c:v>
                </c:pt>
              </c:strCache>
            </c:strRef>
          </c:tx>
          <c:spPr>
            <a:ln w="25400">
              <a:solidFill>
                <a:srgbClr val="0066CC"/>
              </a:solidFill>
              <a:prstDash val="solid"/>
            </a:ln>
          </c:spPr>
          <c:marker>
            <c:symbol val="circle"/>
            <c:size val="7"/>
            <c:spPr>
              <a:solidFill>
                <a:srgbClr val="FFFFFF"/>
              </a:solidFill>
              <a:ln>
                <a:solidFill>
                  <a:srgbClr val="0066CC"/>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Labour1!$G$57:$AG$57</c:f>
              <c:numCache>
                <c:formatCode>0</c:formatCode>
                <c:ptCount val="27"/>
                <c:pt idx="1">
                  <c:v>-5.6000000000003638</c:v>
                </c:pt>
                <c:pt idx="2">
                  <c:v>-29.099999999999909</c:v>
                </c:pt>
                <c:pt idx="3">
                  <c:v>71.300000000000182</c:v>
                </c:pt>
                <c:pt idx="4">
                  <c:v>63.299999999999727</c:v>
                </c:pt>
                <c:pt idx="5">
                  <c:v>130.20000000000027</c:v>
                </c:pt>
                <c:pt idx="6">
                  <c:v>87.700000000000273</c:v>
                </c:pt>
                <c:pt idx="7">
                  <c:v>-8.4000000000005457</c:v>
                </c:pt>
                <c:pt idx="8">
                  <c:v>-20.5</c:v>
                </c:pt>
                <c:pt idx="9">
                  <c:v>-42.5</c:v>
                </c:pt>
                <c:pt idx="10">
                  <c:v>16</c:v>
                </c:pt>
                <c:pt idx="11">
                  <c:v>52.300000000000182</c:v>
                </c:pt>
                <c:pt idx="12">
                  <c:v>98.600000000000364</c:v>
                </c:pt>
                <c:pt idx="13">
                  <c:v>79.599999999999454</c:v>
                </c:pt>
                <c:pt idx="14">
                  <c:v>-86.399999999999636</c:v>
                </c:pt>
                <c:pt idx="15">
                  <c:v>43</c:v>
                </c:pt>
                <c:pt idx="16">
                  <c:v>101.30000000000018</c:v>
                </c:pt>
                <c:pt idx="17">
                  <c:v>29.599999999999454</c:v>
                </c:pt>
                <c:pt idx="18">
                  <c:v>32.800000000000182</c:v>
                </c:pt>
                <c:pt idx="19">
                  <c:v>53.300000000000182</c:v>
                </c:pt>
                <c:pt idx="20">
                  <c:v>46</c:v>
                </c:pt>
                <c:pt idx="21">
                  <c:v>67.199999999999818</c:v>
                </c:pt>
                <c:pt idx="22">
                  <c:v>90.800000000000182</c:v>
                </c:pt>
                <c:pt idx="23">
                  <c:v>55.930379999999786</c:v>
                </c:pt>
                <c:pt idx="24">
                  <c:v>29.114458229999855</c:v>
                </c:pt>
                <c:pt idx="25">
                  <c:v>18.998896610265092</c:v>
                </c:pt>
              </c:numCache>
            </c:numRef>
          </c:val>
          <c:smooth val="0"/>
          <c:extLst>
            <c:ext xmlns:c16="http://schemas.microsoft.com/office/drawing/2014/chart" uri="{C3380CC4-5D6E-409C-BE32-E72D297353CC}">
              <c16:uniqueId val="{00000000-7CEE-4E15-968B-297A757E5A5E}"/>
            </c:ext>
          </c:extLst>
        </c:ser>
        <c:ser>
          <c:idx val="1"/>
          <c:order val="1"/>
          <c:tx>
            <c:strRef>
              <c:f>Labour1!$D$58:$E$58</c:f>
              <c:strCache>
                <c:ptCount val="2"/>
                <c:pt idx="1">
                  <c:v>Wage &amp; salary earners (public sector)</c:v>
                </c:pt>
              </c:strCache>
            </c:strRef>
          </c:tx>
          <c:spPr>
            <a:ln w="25400">
              <a:solidFill>
                <a:srgbClr val="FF8080"/>
              </a:solidFill>
              <a:prstDash val="solid"/>
            </a:ln>
          </c:spPr>
          <c:marker>
            <c:symbol val="circle"/>
            <c:size val="7"/>
            <c:spPr>
              <a:solidFill>
                <a:srgbClr val="FFFFFF"/>
              </a:solidFill>
              <a:ln>
                <a:solidFill>
                  <a:srgbClr val="FF8080"/>
                </a:solidFill>
                <a:prstDash val="solid"/>
              </a:ln>
            </c:spPr>
          </c:marker>
          <c:val>
            <c:numRef>
              <c:f>Labour1!$G$58:$AG$58</c:f>
              <c:numCache>
                <c:formatCode>0</c:formatCode>
                <c:ptCount val="27"/>
                <c:pt idx="1">
                  <c:v>-23</c:v>
                </c:pt>
                <c:pt idx="2">
                  <c:v>-22</c:v>
                </c:pt>
                <c:pt idx="3">
                  <c:v>-3</c:v>
                </c:pt>
                <c:pt idx="4">
                  <c:v>18</c:v>
                </c:pt>
                <c:pt idx="5">
                  <c:v>-25</c:v>
                </c:pt>
                <c:pt idx="6">
                  <c:v>13</c:v>
                </c:pt>
                <c:pt idx="7">
                  <c:v>19</c:v>
                </c:pt>
                <c:pt idx="8">
                  <c:v>14</c:v>
                </c:pt>
                <c:pt idx="9">
                  <c:v>6</c:v>
                </c:pt>
                <c:pt idx="10">
                  <c:v>-4</c:v>
                </c:pt>
                <c:pt idx="11">
                  <c:v>15</c:v>
                </c:pt>
                <c:pt idx="12">
                  <c:v>-1</c:v>
                </c:pt>
                <c:pt idx="13">
                  <c:v>-27</c:v>
                </c:pt>
                <c:pt idx="14">
                  <c:v>-27</c:v>
                </c:pt>
                <c:pt idx="15">
                  <c:v>-6</c:v>
                </c:pt>
                <c:pt idx="16">
                  <c:v>5</c:v>
                </c:pt>
                <c:pt idx="17">
                  <c:v>10</c:v>
                </c:pt>
                <c:pt idx="18">
                  <c:v>13</c:v>
                </c:pt>
                <c:pt idx="19">
                  <c:v>17</c:v>
                </c:pt>
                <c:pt idx="20">
                  <c:v>30</c:v>
                </c:pt>
                <c:pt idx="21">
                  <c:v>38</c:v>
                </c:pt>
                <c:pt idx="22">
                  <c:v>28</c:v>
                </c:pt>
                <c:pt idx="23">
                  <c:v>27.302999999999884</c:v>
                </c:pt>
                <c:pt idx="24">
                  <c:v>14.643029999999953</c:v>
                </c:pt>
                <c:pt idx="25">
                  <c:v>14.937354902999914</c:v>
                </c:pt>
              </c:numCache>
            </c:numRef>
          </c:val>
          <c:smooth val="0"/>
          <c:extLst>
            <c:ext xmlns:c16="http://schemas.microsoft.com/office/drawing/2014/chart" uri="{C3380CC4-5D6E-409C-BE32-E72D297353CC}">
              <c16:uniqueId val="{00000001-7CEE-4E15-968B-297A757E5A5E}"/>
            </c:ext>
          </c:extLst>
        </c:ser>
        <c:dLbls>
          <c:showLegendKey val="0"/>
          <c:showVal val="0"/>
          <c:showCatName val="0"/>
          <c:showSerName val="0"/>
          <c:showPercent val="0"/>
          <c:showBubbleSize val="0"/>
        </c:dLbls>
        <c:marker val="1"/>
        <c:smooth val="0"/>
        <c:axId val="287931776"/>
        <c:axId val="287962624"/>
      </c:lineChart>
      <c:catAx>
        <c:axId val="287931776"/>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87962624"/>
        <c:crosses val="autoZero"/>
        <c:auto val="1"/>
        <c:lblAlgn val="ctr"/>
        <c:lblOffset val="100"/>
        <c:tickLblSkip val="2"/>
        <c:tickMarkSkip val="1"/>
        <c:noMultiLvlLbl val="0"/>
      </c:catAx>
      <c:valAx>
        <c:axId val="287962624"/>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87931776"/>
        <c:crosses val="autoZero"/>
        <c:crossBetween val="midCat"/>
      </c:valAx>
      <c:spPr>
        <a:noFill/>
        <a:ln w="12700">
          <a:solidFill>
            <a:srgbClr val="808080"/>
          </a:solidFill>
          <a:prstDash val="solid"/>
        </a:ln>
      </c:spPr>
    </c:plotArea>
    <c:legend>
      <c:legendPos val="r"/>
      <c:layout>
        <c:manualLayout>
          <c:xMode val="edge"/>
          <c:yMode val="edge"/>
          <c:x val="0.2339291833387539"/>
          <c:y val="0.8549808399254577"/>
          <c:w val="0.67500176566449588"/>
          <c:h val="0.12121247350841932"/>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Total compensation / employee (private sector)</a:t>
            </a:r>
          </a:p>
        </c:rich>
      </c:tx>
      <c:layout>
        <c:manualLayout>
          <c:xMode val="edge"/>
          <c:yMode val="edge"/>
          <c:x val="0.16294666291713536"/>
          <c:y val="3.3613445378151259E-2"/>
        </c:manualLayout>
      </c:layout>
      <c:overlay val="0"/>
      <c:spPr>
        <a:noFill/>
        <a:ln w="25400">
          <a:noFill/>
        </a:ln>
      </c:spPr>
    </c:title>
    <c:autoTitleDeleted val="0"/>
    <c:plotArea>
      <c:layout>
        <c:manualLayout>
          <c:layoutTarget val="inner"/>
          <c:xMode val="edge"/>
          <c:yMode val="edge"/>
          <c:x val="0.10937511920941947"/>
          <c:y val="0.17647107096647127"/>
          <c:w val="0.82366161200562837"/>
          <c:h val="0.44257824147146763"/>
        </c:manualLayout>
      </c:layout>
      <c:lineChart>
        <c:grouping val="standard"/>
        <c:varyColors val="0"/>
        <c:ser>
          <c:idx val="0"/>
          <c:order val="0"/>
          <c:tx>
            <c:strRef>
              <c:f>Labour1!$D$118:$E$118</c:f>
              <c:strCache>
                <c:ptCount val="2"/>
                <c:pt idx="1">
                  <c:v>Wages &amp; salaries / employee (private)</c:v>
                </c:pt>
              </c:strCache>
            </c:strRef>
          </c:tx>
          <c:spPr>
            <a:ln w="25400">
              <a:solidFill>
                <a:srgbClr val="0000FF"/>
              </a:solidFill>
              <a:prstDash val="solid"/>
            </a:ln>
          </c:spPr>
          <c:marker>
            <c:symbol val="diamond"/>
            <c:size val="5"/>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Labour1!$G$118:$AG$118</c:f>
              <c:numCache>
                <c:formatCode>0.0</c:formatCode>
                <c:ptCount val="27"/>
                <c:pt idx="1">
                  <c:v>6.6483557754631661</c:v>
                </c:pt>
                <c:pt idx="2">
                  <c:v>6.1957071849947809</c:v>
                </c:pt>
                <c:pt idx="3">
                  <c:v>3.8261728238692116</c:v>
                </c:pt>
                <c:pt idx="4">
                  <c:v>3.7376482911360087</c:v>
                </c:pt>
                <c:pt idx="5">
                  <c:v>4.1031728213032803</c:v>
                </c:pt>
                <c:pt idx="6">
                  <c:v>2.7960402744786839</c:v>
                </c:pt>
                <c:pt idx="7">
                  <c:v>2.6975699567691747</c:v>
                </c:pt>
                <c:pt idx="8">
                  <c:v>2.3155055675954328</c:v>
                </c:pt>
                <c:pt idx="9">
                  <c:v>3.9437151674579507</c:v>
                </c:pt>
                <c:pt idx="10">
                  <c:v>3.4645707937855486</c:v>
                </c:pt>
                <c:pt idx="11">
                  <c:v>3.8623212118271022</c:v>
                </c:pt>
                <c:pt idx="12">
                  <c:v>4.2640200341507395</c:v>
                </c:pt>
                <c:pt idx="13">
                  <c:v>3.329358231371482</c:v>
                </c:pt>
                <c:pt idx="14">
                  <c:v>2.4361603488772809</c:v>
                </c:pt>
                <c:pt idx="15">
                  <c:v>1.962058445633752</c:v>
                </c:pt>
                <c:pt idx="16">
                  <c:v>2.9409595585280446</c:v>
                </c:pt>
                <c:pt idx="17">
                  <c:v>2.6663119274485503</c:v>
                </c:pt>
                <c:pt idx="18">
                  <c:v>1.3490641098390821</c:v>
                </c:pt>
                <c:pt idx="19">
                  <c:v>2.0334894723667229</c:v>
                </c:pt>
                <c:pt idx="20">
                  <c:v>2.7956609929113974</c:v>
                </c:pt>
                <c:pt idx="21">
                  <c:v>2.3662798762439374</c:v>
                </c:pt>
                <c:pt idx="22">
                  <c:v>1.8840286573026832</c:v>
                </c:pt>
                <c:pt idx="23" formatCode="0.00">
                  <c:v>2.65</c:v>
                </c:pt>
                <c:pt idx="24" formatCode="0.00">
                  <c:v>2.65</c:v>
                </c:pt>
                <c:pt idx="25" formatCode="0.00">
                  <c:v>2.4500000000000002</c:v>
                </c:pt>
                <c:pt idx="26" formatCode="General">
                  <c:v>2.4</c:v>
                </c:pt>
              </c:numCache>
            </c:numRef>
          </c:val>
          <c:smooth val="0"/>
          <c:extLst>
            <c:ext xmlns:c16="http://schemas.microsoft.com/office/drawing/2014/chart" uri="{C3380CC4-5D6E-409C-BE32-E72D297353CC}">
              <c16:uniqueId val="{00000000-108D-4D4F-98B3-3E38B6697337}"/>
            </c:ext>
          </c:extLst>
        </c:ser>
        <c:ser>
          <c:idx val="1"/>
          <c:order val="1"/>
          <c:tx>
            <c:strRef>
              <c:f>Labour1!$E$149:$E$149</c:f>
              <c:strCache>
                <c:ptCount val="1"/>
                <c:pt idx="0">
                  <c:v>Employer's social contr. / employee (private)</c:v>
                </c:pt>
              </c:strCache>
            </c:strRef>
          </c:tx>
          <c:spPr>
            <a:ln w="25400">
              <a:solidFill>
                <a:srgbClr val="339966"/>
              </a:solidFill>
              <a:prstDash val="solid"/>
            </a:ln>
          </c:spPr>
          <c:marker>
            <c:symbol val="circle"/>
            <c:size val="5"/>
            <c:spPr>
              <a:solidFill>
                <a:srgbClr val="FFFFFF"/>
              </a:solidFill>
              <a:ln>
                <a:solidFill>
                  <a:srgbClr val="339966"/>
                </a:solidFill>
                <a:prstDash val="solid"/>
              </a:ln>
            </c:spPr>
          </c:marker>
          <c:val>
            <c:numRef>
              <c:f>Labour1!$G$149:$AG$149</c:f>
              <c:numCache>
                <c:formatCode>0.0</c:formatCode>
                <c:ptCount val="27"/>
                <c:pt idx="1">
                  <c:v>6.0030910186543052</c:v>
                </c:pt>
                <c:pt idx="2">
                  <c:v>9.5004036355415202</c:v>
                </c:pt>
                <c:pt idx="3">
                  <c:v>-28.459666703888619</c:v>
                </c:pt>
                <c:pt idx="4">
                  <c:v>3.7846882144331628</c:v>
                </c:pt>
                <c:pt idx="5">
                  <c:v>22.687661591580309</c:v>
                </c:pt>
                <c:pt idx="6">
                  <c:v>11.274718165855347</c:v>
                </c:pt>
                <c:pt idx="7">
                  <c:v>4.9759505401922199</c:v>
                </c:pt>
                <c:pt idx="8">
                  <c:v>6.8340566143434422</c:v>
                </c:pt>
                <c:pt idx="9">
                  <c:v>10.427393252412775</c:v>
                </c:pt>
                <c:pt idx="10">
                  <c:v>1.0393904883911231</c:v>
                </c:pt>
                <c:pt idx="11">
                  <c:v>-1.5419338214134881</c:v>
                </c:pt>
                <c:pt idx="12">
                  <c:v>10.782390282878929</c:v>
                </c:pt>
                <c:pt idx="13">
                  <c:v>-1.6007394701044508</c:v>
                </c:pt>
                <c:pt idx="14">
                  <c:v>5.2364748401162675</c:v>
                </c:pt>
                <c:pt idx="15">
                  <c:v>2.0608728516674946</c:v>
                </c:pt>
                <c:pt idx="16">
                  <c:v>4.9074109005293298</c:v>
                </c:pt>
                <c:pt idx="17">
                  <c:v>4.0505415193160976</c:v>
                </c:pt>
                <c:pt idx="18">
                  <c:v>3.6098233968711257</c:v>
                </c:pt>
                <c:pt idx="19">
                  <c:v>2.4548426419006564</c:v>
                </c:pt>
                <c:pt idx="20">
                  <c:v>3.6379350056149118</c:v>
                </c:pt>
                <c:pt idx="21">
                  <c:v>2.6263636161044435</c:v>
                </c:pt>
                <c:pt idx="22">
                  <c:v>5.3187667469578592E-2</c:v>
                </c:pt>
                <c:pt idx="23" formatCode="0.00">
                  <c:v>2.4</c:v>
                </c:pt>
                <c:pt idx="24" formatCode="0.00">
                  <c:v>1.9</c:v>
                </c:pt>
                <c:pt idx="25" formatCode="0.00">
                  <c:v>1.8</c:v>
                </c:pt>
              </c:numCache>
            </c:numRef>
          </c:val>
          <c:smooth val="0"/>
          <c:extLst>
            <c:ext xmlns:c16="http://schemas.microsoft.com/office/drawing/2014/chart" uri="{C3380CC4-5D6E-409C-BE32-E72D297353CC}">
              <c16:uniqueId val="{00000001-108D-4D4F-98B3-3E38B6697337}"/>
            </c:ext>
          </c:extLst>
        </c:ser>
        <c:ser>
          <c:idx val="2"/>
          <c:order val="2"/>
          <c:tx>
            <c:strRef>
              <c:f>Labour1!$D$194:$E$194</c:f>
              <c:strCache>
                <c:ptCount val="2"/>
                <c:pt idx="1">
                  <c:v>Total compensation / employee (private)</c:v>
                </c:pt>
              </c:strCache>
            </c:strRef>
          </c:tx>
          <c:spPr>
            <a:ln w="25400">
              <a:solidFill>
                <a:srgbClr val="FF0000"/>
              </a:solidFill>
              <a:prstDash val="solid"/>
            </a:ln>
          </c:spPr>
          <c:marker>
            <c:symbol val="circle"/>
            <c:size val="7"/>
            <c:spPr>
              <a:solidFill>
                <a:srgbClr val="FFFFFF"/>
              </a:solidFill>
              <a:ln>
                <a:solidFill>
                  <a:srgbClr val="FF0000"/>
                </a:solidFill>
                <a:prstDash val="solid"/>
              </a:ln>
            </c:spPr>
          </c:marker>
          <c:val>
            <c:numRef>
              <c:f>Labour1!$G$194:$AG$194</c:f>
              <c:numCache>
                <c:formatCode>0.0</c:formatCode>
                <c:ptCount val="27"/>
                <c:pt idx="1">
                  <c:v>6.544655193635962</c:v>
                </c:pt>
                <c:pt idx="2">
                  <c:v>6.7241058148160615</c:v>
                </c:pt>
                <c:pt idx="3">
                  <c:v>-1.4704053666958261</c:v>
                </c:pt>
                <c:pt idx="4">
                  <c:v>3.7432514659477389</c:v>
                </c:pt>
                <c:pt idx="5">
                  <c:v>6.3177540565862111</c:v>
                </c:pt>
                <c:pt idx="6">
                  <c:v>3.9619481307176629</c:v>
                </c:pt>
                <c:pt idx="7">
                  <c:v>3.0329092594683527</c:v>
                </c:pt>
                <c:pt idx="8">
                  <c:v>2.9931021891307807</c:v>
                </c:pt>
                <c:pt idx="9">
                  <c:v>4.952259661816627</c:v>
                </c:pt>
                <c:pt idx="10">
                  <c:v>3.0676510718202765</c:v>
                </c:pt>
                <c:pt idx="11">
                  <c:v>2.9952339210644885</c:v>
                </c:pt>
                <c:pt idx="12">
                  <c:v>5.2637902240243672</c:v>
                </c:pt>
                <c:pt idx="13">
                  <c:v>2.5335500274713763</c:v>
                </c:pt>
                <c:pt idx="14">
                  <c:v>2.8699563400818473</c:v>
                </c:pt>
                <c:pt idx="15">
                  <c:v>1.9777179036692738</c:v>
                </c:pt>
                <c:pt idx="16">
                  <c:v>3.2528439615852278</c:v>
                </c:pt>
                <c:pt idx="17" formatCode="0.00">
                  <c:v>2.8893724563830325</c:v>
                </c:pt>
                <c:pt idx="18" formatCode="0.00">
                  <c:v>1.7174837282315059</c:v>
                </c:pt>
                <c:pt idx="19" formatCode="0.00">
                  <c:v>2.103431789378174</c:v>
                </c:pt>
                <c:pt idx="20" formatCode="0.00">
                  <c:v>2.9359550590973615</c:v>
                </c:pt>
                <c:pt idx="21" formatCode="0.00">
                  <c:v>2.4098963705007304</c:v>
                </c:pt>
                <c:pt idx="22" formatCode="0.00">
                  <c:v>1.5763444572882257</c:v>
                </c:pt>
                <c:pt idx="23" formatCode="0.00">
                  <c:v>2.6086159559955524</c:v>
                </c:pt>
                <c:pt idx="24" formatCode="0.00">
                  <c:v>2.5261002845645475</c:v>
                </c:pt>
                <c:pt idx="25" formatCode="0.00">
                  <c:v>2.3432759869068898</c:v>
                </c:pt>
              </c:numCache>
            </c:numRef>
          </c:val>
          <c:smooth val="0"/>
          <c:extLst>
            <c:ext xmlns:c16="http://schemas.microsoft.com/office/drawing/2014/chart" uri="{C3380CC4-5D6E-409C-BE32-E72D297353CC}">
              <c16:uniqueId val="{00000002-108D-4D4F-98B3-3E38B6697337}"/>
            </c:ext>
          </c:extLst>
        </c:ser>
        <c:ser>
          <c:idx val="3"/>
          <c:order val="3"/>
          <c:tx>
            <c:strRef>
              <c:f>Labour1!#REF!</c:f>
              <c:strCache>
                <c:ptCount val="1"/>
                <c:pt idx="0">
                  <c:v>HH Total compensation / employee (manufacturing)</c:v>
                </c:pt>
              </c:strCache>
            </c:strRef>
          </c:tx>
          <c:spPr>
            <a:ln w="12700">
              <a:solidFill>
                <a:srgbClr val="FF0000"/>
              </a:solidFill>
              <a:prstDash val="solid"/>
            </a:ln>
          </c:spPr>
          <c:marker>
            <c:symbol val="diamond"/>
            <c:size val="5"/>
            <c:spPr>
              <a:solidFill>
                <a:srgbClr val="FFFFFF"/>
              </a:solidFill>
              <a:ln>
                <a:solidFill>
                  <a:srgbClr val="FF0000"/>
                </a:solidFill>
                <a:prstDash val="solid"/>
              </a:ln>
            </c:spPr>
          </c:marker>
          <c:val>
            <c:numRef>
              <c:f>Labour1!#REF!</c:f>
              <c:numCache>
                <c:formatCode>General</c:formatCode>
                <c:ptCount val="15"/>
                <c:pt idx="1">
                  <c:v>2.170165546927616</c:v>
                </c:pt>
                <c:pt idx="2">
                  <c:v>3.9092709384253244</c:v>
                </c:pt>
                <c:pt idx="3">
                  <c:v>1.6910252505313084</c:v>
                </c:pt>
                <c:pt idx="4">
                  <c:v>3.6939385303295325</c:v>
                </c:pt>
                <c:pt idx="5">
                  <c:v>1.2358915724328234</c:v>
                </c:pt>
                <c:pt idx="6">
                  <c:v>3.2260743555596161</c:v>
                </c:pt>
                <c:pt idx="7">
                  <c:v>4.1129793459359965</c:v>
                </c:pt>
                <c:pt idx="8">
                  <c:v>2.0598308567141288</c:v>
                </c:pt>
                <c:pt idx="9">
                  <c:v>3.4260652748555165</c:v>
                </c:pt>
                <c:pt idx="10">
                  <c:v>1.3900332211112421</c:v>
                </c:pt>
                <c:pt idx="11">
                  <c:v>3.6272544043873145</c:v>
                </c:pt>
                <c:pt idx="12">
                  <c:v>2.2999999999999998</c:v>
                </c:pt>
                <c:pt idx="13">
                  <c:v>2.4</c:v>
                </c:pt>
                <c:pt idx="14">
                  <c:v>2.2999999999999998</c:v>
                </c:pt>
              </c:numCache>
            </c:numRef>
          </c:val>
          <c:smooth val="0"/>
          <c:extLst>
            <c:ext xmlns:c16="http://schemas.microsoft.com/office/drawing/2014/chart" uri="{C3380CC4-5D6E-409C-BE32-E72D297353CC}">
              <c16:uniqueId val="{00000003-108D-4D4F-98B3-3E38B6697337}"/>
            </c:ext>
          </c:extLst>
        </c:ser>
        <c:dLbls>
          <c:showLegendKey val="0"/>
          <c:showVal val="0"/>
          <c:showCatName val="0"/>
          <c:showSerName val="0"/>
          <c:showPercent val="0"/>
          <c:showBubbleSize val="0"/>
        </c:dLbls>
        <c:marker val="1"/>
        <c:smooth val="0"/>
        <c:axId val="287673728"/>
        <c:axId val="287675904"/>
      </c:lineChart>
      <c:catAx>
        <c:axId val="287673728"/>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87675904"/>
        <c:crosses val="autoZero"/>
        <c:auto val="1"/>
        <c:lblAlgn val="ctr"/>
        <c:lblOffset val="100"/>
        <c:tickLblSkip val="2"/>
        <c:tickMarkSkip val="1"/>
        <c:noMultiLvlLbl val="0"/>
      </c:catAx>
      <c:valAx>
        <c:axId val="287675904"/>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87673728"/>
        <c:crosses val="autoZero"/>
        <c:crossBetween val="midCat"/>
      </c:valAx>
      <c:spPr>
        <a:noFill/>
        <a:ln w="12700">
          <a:solidFill>
            <a:srgbClr val="808080"/>
          </a:solidFill>
          <a:prstDash val="solid"/>
        </a:ln>
      </c:spPr>
    </c:plotArea>
    <c:legend>
      <c:legendPos val="r"/>
      <c:layout>
        <c:manualLayout>
          <c:xMode val="edge"/>
          <c:yMode val="edge"/>
          <c:x val="0.1482146734131036"/>
          <c:y val="0.74459090869457578"/>
          <c:w val="0.74643052393587117"/>
          <c:h val="0.23593142165031619"/>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Total compensation / employee (public sector)</a:t>
            </a:r>
          </a:p>
        </c:rich>
      </c:tx>
      <c:layout>
        <c:manualLayout>
          <c:xMode val="edge"/>
          <c:yMode val="edge"/>
          <c:x val="0.16964309148856391"/>
          <c:y val="3.3613445378151259E-2"/>
        </c:manualLayout>
      </c:layout>
      <c:overlay val="0"/>
      <c:spPr>
        <a:noFill/>
        <a:ln w="25400">
          <a:noFill/>
        </a:ln>
      </c:spPr>
    </c:title>
    <c:autoTitleDeleted val="0"/>
    <c:plotArea>
      <c:layout>
        <c:manualLayout>
          <c:layoutTarget val="inner"/>
          <c:xMode val="edge"/>
          <c:yMode val="edge"/>
          <c:x val="0.12500013623933653"/>
          <c:y val="0.17647107096647127"/>
          <c:w val="0.80803659497571123"/>
          <c:h val="0.50140193179362469"/>
        </c:manualLayout>
      </c:layout>
      <c:lineChart>
        <c:grouping val="standard"/>
        <c:varyColors val="0"/>
        <c:ser>
          <c:idx val="0"/>
          <c:order val="0"/>
          <c:tx>
            <c:strRef>
              <c:f>Labour1!$D$119:$E$119</c:f>
              <c:strCache>
                <c:ptCount val="2"/>
                <c:pt idx="1">
                  <c:v>Wages &amp; salaries / employee (public)</c:v>
                </c:pt>
              </c:strCache>
            </c:strRef>
          </c:tx>
          <c:spPr>
            <a:ln w="25400">
              <a:solidFill>
                <a:srgbClr val="0000FF"/>
              </a:solidFill>
              <a:prstDash val="solid"/>
            </a:ln>
          </c:spPr>
          <c:marker>
            <c:symbol val="diamond"/>
            <c:size val="5"/>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Labour1!$G$119:$AG$119</c:f>
              <c:numCache>
                <c:formatCode>0.0</c:formatCode>
                <c:ptCount val="27"/>
                <c:pt idx="1">
                  <c:v>7.0735184701688603</c:v>
                </c:pt>
                <c:pt idx="2">
                  <c:v>4.0432017370172213</c:v>
                </c:pt>
                <c:pt idx="3">
                  <c:v>2.7509734150114928</c:v>
                </c:pt>
                <c:pt idx="4">
                  <c:v>2.9382612857337786</c:v>
                </c:pt>
                <c:pt idx="5">
                  <c:v>2.5043432390629228</c:v>
                </c:pt>
                <c:pt idx="6">
                  <c:v>3.5470113058034825</c:v>
                </c:pt>
                <c:pt idx="7">
                  <c:v>4.0606937231147722</c:v>
                </c:pt>
                <c:pt idx="8">
                  <c:v>3.9182802283278084</c:v>
                </c:pt>
                <c:pt idx="9">
                  <c:v>2.713148650601549</c:v>
                </c:pt>
                <c:pt idx="10">
                  <c:v>2.8795120705528587</c:v>
                </c:pt>
                <c:pt idx="11">
                  <c:v>3.4816497294447579</c:v>
                </c:pt>
                <c:pt idx="12">
                  <c:v>4.0690076474971804</c:v>
                </c:pt>
                <c:pt idx="13">
                  <c:v>6.0813157803153661</c:v>
                </c:pt>
                <c:pt idx="14">
                  <c:v>3.8295928709446425</c:v>
                </c:pt>
                <c:pt idx="15">
                  <c:v>2.6904888830105333</c:v>
                </c:pt>
                <c:pt idx="16">
                  <c:v>2.6705222564106235</c:v>
                </c:pt>
                <c:pt idx="17">
                  <c:v>3.1519437258049621</c:v>
                </c:pt>
                <c:pt idx="18">
                  <c:v>2.6061759311866162</c:v>
                </c:pt>
                <c:pt idx="19">
                  <c:v>2.4975274543004522</c:v>
                </c:pt>
                <c:pt idx="20">
                  <c:v>2.1942165361687804</c:v>
                </c:pt>
                <c:pt idx="21">
                  <c:v>2.722043411957431</c:v>
                </c:pt>
                <c:pt idx="22">
                  <c:v>2.9805549727105252</c:v>
                </c:pt>
                <c:pt idx="23" formatCode="0.00">
                  <c:v>3</c:v>
                </c:pt>
                <c:pt idx="24" formatCode="0.00">
                  <c:v>3.2</c:v>
                </c:pt>
                <c:pt idx="25" formatCode="0.00">
                  <c:v>2.9</c:v>
                </c:pt>
              </c:numCache>
            </c:numRef>
          </c:val>
          <c:smooth val="0"/>
          <c:extLst>
            <c:ext xmlns:c16="http://schemas.microsoft.com/office/drawing/2014/chart" uri="{C3380CC4-5D6E-409C-BE32-E72D297353CC}">
              <c16:uniqueId val="{00000000-C094-4CAD-9DE0-AD4B43D1595D}"/>
            </c:ext>
          </c:extLst>
        </c:ser>
        <c:ser>
          <c:idx val="1"/>
          <c:order val="1"/>
          <c:tx>
            <c:strRef>
              <c:f>Labour1!$D$150:$E$150</c:f>
              <c:strCache>
                <c:ptCount val="2"/>
                <c:pt idx="1">
                  <c:v>Employer's social contr. / employee (public)</c:v>
                </c:pt>
              </c:strCache>
            </c:strRef>
          </c:tx>
          <c:spPr>
            <a:ln w="25400">
              <a:solidFill>
                <a:srgbClr val="339966"/>
              </a:solidFill>
              <a:prstDash val="solid"/>
            </a:ln>
          </c:spPr>
          <c:marker>
            <c:symbol val="circle"/>
            <c:size val="5"/>
            <c:spPr>
              <a:solidFill>
                <a:srgbClr val="FFFFFF"/>
              </a:solidFill>
              <a:ln>
                <a:solidFill>
                  <a:srgbClr val="339966"/>
                </a:solidFill>
                <a:prstDash val="solid"/>
              </a:ln>
            </c:spPr>
          </c:marker>
          <c:val>
            <c:numRef>
              <c:f>Labour1!$G$150:$AG$150</c:f>
              <c:numCache>
                <c:formatCode>0.0</c:formatCode>
                <c:ptCount val="27"/>
                <c:pt idx="1">
                  <c:v>8.5334813940934673</c:v>
                </c:pt>
                <c:pt idx="2">
                  <c:v>4.6893767394614372</c:v>
                </c:pt>
                <c:pt idx="3">
                  <c:v>-35.232252468970771</c:v>
                </c:pt>
                <c:pt idx="4">
                  <c:v>13.472365776268514</c:v>
                </c:pt>
                <c:pt idx="5">
                  <c:v>44.605785185507216</c:v>
                </c:pt>
                <c:pt idx="6">
                  <c:v>10.923983824284011</c:v>
                </c:pt>
                <c:pt idx="7">
                  <c:v>3.1482991969281393</c:v>
                </c:pt>
                <c:pt idx="8">
                  <c:v>16.113818482595832</c:v>
                </c:pt>
                <c:pt idx="9">
                  <c:v>2.8361844330502262</c:v>
                </c:pt>
                <c:pt idx="10">
                  <c:v>3.3014204246274881</c:v>
                </c:pt>
                <c:pt idx="11">
                  <c:v>2.7666484394783142</c:v>
                </c:pt>
                <c:pt idx="12">
                  <c:v>9.3543981707391097</c:v>
                </c:pt>
                <c:pt idx="13">
                  <c:v>5.4360935024151846</c:v>
                </c:pt>
                <c:pt idx="14">
                  <c:v>-4.6787104142344766</c:v>
                </c:pt>
                <c:pt idx="15">
                  <c:v>2.0930729688433347</c:v>
                </c:pt>
                <c:pt idx="16">
                  <c:v>1.950178644882139</c:v>
                </c:pt>
                <c:pt idx="17">
                  <c:v>5.3012377195431615</c:v>
                </c:pt>
                <c:pt idx="18">
                  <c:v>2.3492826004402501</c:v>
                </c:pt>
                <c:pt idx="19">
                  <c:v>2.5053806962604952</c:v>
                </c:pt>
                <c:pt idx="20">
                  <c:v>2.705854390775575</c:v>
                </c:pt>
                <c:pt idx="21">
                  <c:v>3.6843001757454585</c:v>
                </c:pt>
                <c:pt idx="22">
                  <c:v>3.4279195326210266</c:v>
                </c:pt>
                <c:pt idx="23" formatCode="0.00">
                  <c:v>2.9</c:v>
                </c:pt>
                <c:pt idx="24" formatCode="0.00">
                  <c:v>2.4</c:v>
                </c:pt>
                <c:pt idx="25" formatCode="0.00">
                  <c:v>2.2999999999999998</c:v>
                </c:pt>
              </c:numCache>
            </c:numRef>
          </c:val>
          <c:smooth val="0"/>
          <c:extLst>
            <c:ext xmlns:c16="http://schemas.microsoft.com/office/drawing/2014/chart" uri="{C3380CC4-5D6E-409C-BE32-E72D297353CC}">
              <c16:uniqueId val="{00000001-C094-4CAD-9DE0-AD4B43D1595D}"/>
            </c:ext>
          </c:extLst>
        </c:ser>
        <c:ser>
          <c:idx val="2"/>
          <c:order val="2"/>
          <c:tx>
            <c:strRef>
              <c:f>Labour1!$D$195:$E$195</c:f>
              <c:strCache>
                <c:ptCount val="2"/>
                <c:pt idx="1">
                  <c:v>Total compensation / employee (public)</c:v>
                </c:pt>
              </c:strCache>
            </c:strRef>
          </c:tx>
          <c:spPr>
            <a:ln w="25400">
              <a:solidFill>
                <a:srgbClr val="FF0000"/>
              </a:solidFill>
              <a:prstDash val="solid"/>
            </a:ln>
          </c:spPr>
          <c:marker>
            <c:symbol val="circle"/>
            <c:size val="7"/>
            <c:spPr>
              <a:solidFill>
                <a:srgbClr val="FFFFFF"/>
              </a:solidFill>
              <a:ln>
                <a:solidFill>
                  <a:srgbClr val="FF0000"/>
                </a:solidFill>
                <a:prstDash val="solid"/>
              </a:ln>
            </c:spPr>
          </c:marker>
          <c:val>
            <c:numRef>
              <c:f>Labour1!$G$195:$AG$195</c:f>
              <c:numCache>
                <c:formatCode>0.0</c:formatCode>
                <c:ptCount val="27"/>
                <c:pt idx="1">
                  <c:v>7.27719856415594</c:v>
                </c:pt>
                <c:pt idx="2">
                  <c:v>4.1344055978147498</c:v>
                </c:pt>
                <c:pt idx="3">
                  <c:v>-2.638710398891464</c:v>
                </c:pt>
                <c:pt idx="4">
                  <c:v>3.9326164636239058</c:v>
                </c:pt>
                <c:pt idx="5">
                  <c:v>6.8432382040017892</c:v>
                </c:pt>
                <c:pt idx="6">
                  <c:v>4.5759724091893661</c:v>
                </c:pt>
                <c:pt idx="7">
                  <c:v>3.9257051487519679</c:v>
                </c:pt>
                <c:pt idx="8">
                  <c:v>5.7091104045108754</c:v>
                </c:pt>
                <c:pt idx="9">
                  <c:v>2.7329938906189177</c:v>
                </c:pt>
                <c:pt idx="10">
                  <c:v>2.9476327631555277</c:v>
                </c:pt>
                <c:pt idx="11">
                  <c:v>3.365809960119992</c:v>
                </c:pt>
                <c:pt idx="12">
                  <c:v>4.9203480046737802</c:v>
                </c:pt>
                <c:pt idx="13">
                  <c:v>5.9729949385978864</c:v>
                </c:pt>
                <c:pt idx="14">
                  <c:v>2.4084434822174039</c:v>
                </c:pt>
                <c:pt idx="15">
                  <c:v>2.5976077078598392</c:v>
                </c:pt>
                <c:pt idx="16">
                  <c:v>2.5590800594990526</c:v>
                </c:pt>
                <c:pt idx="17" formatCode="0.00">
                  <c:v>3.4824804019602418</c:v>
                </c:pt>
                <c:pt idx="18" formatCode="0.00">
                  <c:v>2.5659743341409635</c:v>
                </c:pt>
                <c:pt idx="19" formatCode="0.00">
                  <c:v>2.4987538226901806</c:v>
                </c:pt>
                <c:pt idx="20" formatCode="0.00">
                  <c:v>2.2741194682496024</c:v>
                </c:pt>
                <c:pt idx="21" formatCode="0.00">
                  <c:v>2.8729542636712013</c:v>
                </c:pt>
                <c:pt idx="22" formatCode="0.00">
                  <c:v>3.0512685589380251</c:v>
                </c:pt>
                <c:pt idx="23" formatCode="0.00">
                  <c:v>2.9841355239606404</c:v>
                </c:pt>
                <c:pt idx="24" formatCode="0.00">
                  <c:v>3.0731878788013089</c:v>
                </c:pt>
                <c:pt idx="25" formatCode="0.00">
                  <c:v>2.8055120821574686</c:v>
                </c:pt>
              </c:numCache>
            </c:numRef>
          </c:val>
          <c:smooth val="0"/>
          <c:extLst>
            <c:ext xmlns:c16="http://schemas.microsoft.com/office/drawing/2014/chart" uri="{C3380CC4-5D6E-409C-BE32-E72D297353CC}">
              <c16:uniqueId val="{00000002-C094-4CAD-9DE0-AD4B43D1595D}"/>
            </c:ext>
          </c:extLst>
        </c:ser>
        <c:dLbls>
          <c:showLegendKey val="0"/>
          <c:showVal val="0"/>
          <c:showCatName val="0"/>
          <c:showSerName val="0"/>
          <c:showPercent val="0"/>
          <c:showBubbleSize val="0"/>
        </c:dLbls>
        <c:marker val="1"/>
        <c:smooth val="0"/>
        <c:axId val="287787648"/>
        <c:axId val="287789824"/>
      </c:lineChart>
      <c:catAx>
        <c:axId val="287787648"/>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87789824"/>
        <c:crosses val="autoZero"/>
        <c:auto val="1"/>
        <c:lblAlgn val="ctr"/>
        <c:lblOffset val="100"/>
        <c:tickLblSkip val="2"/>
        <c:tickMarkSkip val="1"/>
        <c:noMultiLvlLbl val="0"/>
      </c:catAx>
      <c:valAx>
        <c:axId val="287789824"/>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87787648"/>
        <c:crosses val="autoZero"/>
        <c:crossBetween val="midCat"/>
      </c:valAx>
      <c:spPr>
        <a:noFill/>
        <a:ln w="12700">
          <a:solidFill>
            <a:srgbClr val="808080"/>
          </a:solidFill>
          <a:prstDash val="solid"/>
        </a:ln>
      </c:spPr>
    </c:plotArea>
    <c:legend>
      <c:legendPos val="r"/>
      <c:layout>
        <c:manualLayout>
          <c:xMode val="edge"/>
          <c:yMode val="edge"/>
          <c:x val="0.20000052315985065"/>
          <c:y val="0.7965391116267555"/>
          <c:w val="0.6517874192262989"/>
          <c:h val="0.17965420180712149"/>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Participation ratio and employment rate</a:t>
            </a:r>
          </a:p>
        </c:rich>
      </c:tx>
      <c:layout>
        <c:manualLayout>
          <c:xMode val="edge"/>
          <c:yMode val="edge"/>
          <c:x val="0.21205380577427821"/>
          <c:y val="3.3613445378151259E-2"/>
        </c:manualLayout>
      </c:layout>
      <c:overlay val="0"/>
      <c:spPr>
        <a:noFill/>
        <a:ln w="25400">
          <a:noFill/>
        </a:ln>
      </c:spPr>
    </c:title>
    <c:autoTitleDeleted val="0"/>
    <c:plotArea>
      <c:layout>
        <c:manualLayout>
          <c:layoutTarget val="inner"/>
          <c:xMode val="edge"/>
          <c:yMode val="edge"/>
          <c:x val="0.11830370036937209"/>
          <c:y val="0.17647107096647127"/>
          <c:w val="0.81473303084567572"/>
          <c:h val="0.61904931243793893"/>
        </c:manualLayout>
      </c:layout>
      <c:lineChart>
        <c:grouping val="standard"/>
        <c:varyColors val="0"/>
        <c:ser>
          <c:idx val="0"/>
          <c:order val="0"/>
          <c:tx>
            <c:strRef>
              <c:f>Labour1!$E$10</c:f>
              <c:strCache>
                <c:ptCount val="1"/>
                <c:pt idx="0">
                  <c:v>Participation ratio</c:v>
                </c:pt>
              </c:strCache>
            </c:strRef>
          </c:tx>
          <c:spPr>
            <a:ln w="25400">
              <a:solidFill>
                <a:srgbClr val="993366"/>
              </a:solidFill>
              <a:prstDash val="solid"/>
            </a:ln>
          </c:spPr>
          <c:marker>
            <c:symbol val="diamond"/>
            <c:size val="7"/>
            <c:spPr>
              <a:solidFill>
                <a:srgbClr val="FFFFFF"/>
              </a:solidFill>
              <a:ln>
                <a:solidFill>
                  <a:srgbClr val="993366"/>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Labour1!$G$10:$AH$10</c:f>
              <c:numCache>
                <c:formatCode>0.0%</c:formatCode>
                <c:ptCount val="28"/>
                <c:pt idx="0">
                  <c:v>0.69245621072668617</c:v>
                </c:pt>
                <c:pt idx="1">
                  <c:v>0.69485815394478667</c:v>
                </c:pt>
                <c:pt idx="2">
                  <c:v>0.69035298081913377</c:v>
                </c:pt>
                <c:pt idx="3">
                  <c:v>0.68809865481951205</c:v>
                </c:pt>
                <c:pt idx="4">
                  <c:v>0.69240018146174664</c:v>
                </c:pt>
                <c:pt idx="5">
                  <c:v>0.69583976240283507</c:v>
                </c:pt>
                <c:pt idx="6">
                  <c:v>0.71273012188527873</c:v>
                </c:pt>
                <c:pt idx="7">
                  <c:v>0.71185600995981457</c:v>
                </c:pt>
                <c:pt idx="8">
                  <c:v>0.71000949794744772</c:v>
                </c:pt>
                <c:pt idx="9">
                  <c:v>0.70815203607333932</c:v>
                </c:pt>
                <c:pt idx="10">
                  <c:v>0.70706112085840822</c:v>
                </c:pt>
                <c:pt idx="11">
                  <c:v>0.70857756959544005</c:v>
                </c:pt>
                <c:pt idx="12">
                  <c:v>0.71125513995843481</c:v>
                </c:pt>
                <c:pt idx="13">
                  <c:v>0.71203551847226021</c:v>
                </c:pt>
                <c:pt idx="14">
                  <c:v>0.70560705969425652</c:v>
                </c:pt>
                <c:pt idx="15">
                  <c:v>0.7047693876558474</c:v>
                </c:pt>
                <c:pt idx="16">
                  <c:v>0.70923795909880571</c:v>
                </c:pt>
                <c:pt idx="17">
                  <c:v>0.71128325262559899</c:v>
                </c:pt>
                <c:pt idx="18">
                  <c:v>0.71483182057283934</c:v>
                </c:pt>
                <c:pt idx="19">
                  <c:v>0.71942441050482053</c:v>
                </c:pt>
                <c:pt idx="20">
                  <c:v>0.71970672798083424</c:v>
                </c:pt>
                <c:pt idx="21">
                  <c:v>0.71993158869215779</c:v>
                </c:pt>
                <c:pt idx="22">
                  <c:v>0.72666740236597116</c:v>
                </c:pt>
                <c:pt idx="23">
                  <c:v>0.72837490278446015</c:v>
                </c:pt>
                <c:pt idx="24">
                  <c:v>0.73037528645793093</c:v>
                </c:pt>
                <c:pt idx="25">
                  <c:v>0.73132045889331188</c:v>
                </c:pt>
              </c:numCache>
            </c:numRef>
          </c:val>
          <c:smooth val="0"/>
          <c:extLst>
            <c:ext xmlns:c16="http://schemas.microsoft.com/office/drawing/2014/chart" uri="{C3380CC4-5D6E-409C-BE32-E72D297353CC}">
              <c16:uniqueId val="{00000000-7EBB-4A45-88EE-04B5A8E61615}"/>
            </c:ext>
          </c:extLst>
        </c:ser>
        <c:ser>
          <c:idx val="1"/>
          <c:order val="1"/>
          <c:tx>
            <c:strRef>
              <c:f>Labour1!$E$36</c:f>
              <c:strCache>
                <c:ptCount val="1"/>
                <c:pt idx="0">
                  <c:v>Employment rate</c:v>
                </c:pt>
              </c:strCache>
            </c:strRef>
          </c:tx>
          <c:spPr>
            <a:ln w="25400">
              <a:solidFill>
                <a:srgbClr val="808000"/>
              </a:solidFill>
              <a:prstDash val="solid"/>
            </a:ln>
          </c:spPr>
          <c:marker>
            <c:symbol val="circle"/>
            <c:size val="7"/>
            <c:spPr>
              <a:solidFill>
                <a:srgbClr val="FFFFFF"/>
              </a:solidFill>
              <a:ln>
                <a:solidFill>
                  <a:srgbClr val="808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Labour1!$G$36:$AG$36</c:f>
              <c:numCache>
                <c:formatCode>0.0%</c:formatCode>
                <c:ptCount val="27"/>
                <c:pt idx="0">
                  <c:v>0.62336457596292383</c:v>
                </c:pt>
                <c:pt idx="1">
                  <c:v>0.62017837385323615</c:v>
                </c:pt>
                <c:pt idx="2">
                  <c:v>0.61448967366788032</c:v>
                </c:pt>
                <c:pt idx="3">
                  <c:v>0.62429039777575535</c:v>
                </c:pt>
                <c:pt idx="4">
                  <c:v>0.63737077944972931</c:v>
                </c:pt>
                <c:pt idx="5">
                  <c:v>0.64947525534787054</c:v>
                </c:pt>
                <c:pt idx="6">
                  <c:v>0.67105360849916851</c:v>
                </c:pt>
                <c:pt idx="7">
                  <c:v>0.66937455262482615</c:v>
                </c:pt>
                <c:pt idx="8">
                  <c:v>0.66330877873655114</c:v>
                </c:pt>
                <c:pt idx="9">
                  <c:v>0.6558376109382561</c:v>
                </c:pt>
                <c:pt idx="10">
                  <c:v>0.65285200039162716</c:v>
                </c:pt>
                <c:pt idx="11">
                  <c:v>0.65857554750950376</c:v>
                </c:pt>
                <c:pt idx="12">
                  <c:v>0.66752019635593096</c:v>
                </c:pt>
                <c:pt idx="13">
                  <c:v>0.66773774145886666</c:v>
                </c:pt>
                <c:pt idx="14">
                  <c:v>0.64689514559742245</c:v>
                </c:pt>
                <c:pt idx="15">
                  <c:v>0.64424298885338716</c:v>
                </c:pt>
                <c:pt idx="16">
                  <c:v>0.65409276002216266</c:v>
                </c:pt>
                <c:pt idx="17">
                  <c:v>0.65463473761441027</c:v>
                </c:pt>
                <c:pt idx="18">
                  <c:v>0.65740158067303345</c:v>
                </c:pt>
                <c:pt idx="19">
                  <c:v>0.66237900840239905</c:v>
                </c:pt>
                <c:pt idx="20">
                  <c:v>0.66639205707838356</c:v>
                </c:pt>
                <c:pt idx="21">
                  <c:v>0.66999035151671948</c:v>
                </c:pt>
                <c:pt idx="22">
                  <c:v>0.6783111567718938</c:v>
                </c:pt>
                <c:pt idx="23">
                  <c:v>0.68277591327054998</c:v>
                </c:pt>
                <c:pt idx="24">
                  <c:v>0.6850391975253336</c:v>
                </c:pt>
                <c:pt idx="25">
                  <c:v>0.68598779261285336</c:v>
                </c:pt>
              </c:numCache>
            </c:numRef>
          </c:val>
          <c:smooth val="0"/>
          <c:extLst>
            <c:ext xmlns:c16="http://schemas.microsoft.com/office/drawing/2014/chart" uri="{C3380CC4-5D6E-409C-BE32-E72D297353CC}">
              <c16:uniqueId val="{00000001-7EBB-4A45-88EE-04B5A8E61615}"/>
            </c:ext>
          </c:extLst>
        </c:ser>
        <c:dLbls>
          <c:showLegendKey val="0"/>
          <c:showVal val="0"/>
          <c:showCatName val="0"/>
          <c:showSerName val="0"/>
          <c:showPercent val="0"/>
          <c:showBubbleSize val="0"/>
        </c:dLbls>
        <c:marker val="1"/>
        <c:smooth val="0"/>
        <c:axId val="287822976"/>
        <c:axId val="287824896"/>
      </c:lineChart>
      <c:catAx>
        <c:axId val="287822976"/>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87824896"/>
        <c:crosses val="autoZero"/>
        <c:auto val="1"/>
        <c:lblAlgn val="ctr"/>
        <c:lblOffset val="100"/>
        <c:tickLblSkip val="2"/>
        <c:tickMarkSkip val="1"/>
        <c:noMultiLvlLbl val="0"/>
      </c:catAx>
      <c:valAx>
        <c:axId val="287824896"/>
        <c:scaling>
          <c:orientation val="minMax"/>
          <c:min val="0.55000000000000004"/>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87822976"/>
        <c:crosses val="autoZero"/>
        <c:crossBetween val="midCat"/>
      </c:valAx>
      <c:spPr>
        <a:noFill/>
        <a:ln w="12700">
          <a:solidFill>
            <a:srgbClr val="808080"/>
          </a:solidFill>
          <a:prstDash val="solid"/>
        </a:ln>
      </c:spPr>
    </c:plotArea>
    <c:legend>
      <c:legendPos val="r"/>
      <c:layout>
        <c:manualLayout>
          <c:xMode val="edge"/>
          <c:yMode val="edge"/>
          <c:x val="0.21607199377091005"/>
          <c:y val="0.91342256822415979"/>
          <c:w val="0.62143019696096446"/>
          <c:h val="6.2770745209717135E-2"/>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Unemployment rate</a:t>
            </a:r>
          </a:p>
        </c:rich>
      </c:tx>
      <c:layout>
        <c:manualLayout>
          <c:xMode val="edge"/>
          <c:yMode val="edge"/>
          <c:x val="0.35714332583427072"/>
          <c:y val="3.3613445378151259E-2"/>
        </c:manualLayout>
      </c:layout>
      <c:overlay val="0"/>
      <c:spPr>
        <a:noFill/>
        <a:ln w="25400">
          <a:noFill/>
        </a:ln>
      </c:spPr>
    </c:title>
    <c:autoTitleDeleted val="0"/>
    <c:plotArea>
      <c:layout>
        <c:manualLayout>
          <c:layoutTarget val="inner"/>
          <c:xMode val="edge"/>
          <c:yMode val="edge"/>
          <c:x val="0.1272322815293247"/>
          <c:y val="0.17647107096647127"/>
          <c:w val="0.80580444968572307"/>
          <c:h val="0.61904931243793893"/>
        </c:manualLayout>
      </c:layout>
      <c:lineChart>
        <c:grouping val="standard"/>
        <c:varyColors val="0"/>
        <c:ser>
          <c:idx val="1"/>
          <c:order val="0"/>
          <c:tx>
            <c:strRef>
              <c:f>Labour1!$E$38</c:f>
              <c:strCache>
                <c:ptCount val="1"/>
                <c:pt idx="0">
                  <c:v>Unemployment rate (Eurostat)</c:v>
                </c:pt>
              </c:strCache>
            </c:strRef>
          </c:tx>
          <c:spPr>
            <a:ln w="25400">
              <a:solidFill>
                <a:srgbClr val="FF6600"/>
              </a:solidFill>
              <a:prstDash val="solid"/>
            </a:ln>
          </c:spPr>
          <c:marker>
            <c:symbol val="circle"/>
            <c:size val="7"/>
            <c:spPr>
              <a:solidFill>
                <a:srgbClr val="FFFFFF"/>
              </a:solidFill>
              <a:ln>
                <a:solidFill>
                  <a:srgbClr val="FF66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Labour1!$G$38:$AG$38</c:f>
              <c:numCache>
                <c:formatCode>0.0%</c:formatCode>
                <c:ptCount val="27"/>
                <c:pt idx="0">
                  <c:v>9.9777623037354837E-2</c:v>
                </c:pt>
                <c:pt idx="1">
                  <c:v>0.10747485608046053</c:v>
                </c:pt>
                <c:pt idx="2">
                  <c:v>0.10989060561633021</c:v>
                </c:pt>
                <c:pt idx="3">
                  <c:v>9.2731262583987506E-2</c:v>
                </c:pt>
                <c:pt idx="4">
                  <c:v>7.9476296346201347E-2</c:v>
                </c:pt>
                <c:pt idx="5">
                  <c:v>6.6631011276017296E-2</c:v>
                </c:pt>
                <c:pt idx="6">
                  <c:v>5.8474466149781266E-2</c:v>
                </c:pt>
                <c:pt idx="7">
                  <c:v>5.9677036845395943E-2</c:v>
                </c:pt>
                <c:pt idx="8">
                  <c:v>6.5774780965469848E-2</c:v>
                </c:pt>
                <c:pt idx="9">
                  <c:v>7.3874567141208144E-2</c:v>
                </c:pt>
                <c:pt idx="10">
                  <c:v>7.6668224100581911E-2</c:v>
                </c:pt>
                <c:pt idx="11">
                  <c:v>7.0566758293639981E-2</c:v>
                </c:pt>
                <c:pt idx="12">
                  <c:v>6.1489810260014058E-2</c:v>
                </c:pt>
                <c:pt idx="13">
                  <c:v>6.2212875431324907E-2</c:v>
                </c:pt>
                <c:pt idx="14">
                  <c:v>8.320766252292644E-2</c:v>
                </c:pt>
                <c:pt idx="15">
                  <c:v>8.5881140501545869E-2</c:v>
                </c:pt>
                <c:pt idx="16">
                  <c:v>7.7752746266871356E-2</c:v>
                </c:pt>
                <c:pt idx="17">
                  <c:v>7.9642694808402983E-2</c:v>
                </c:pt>
                <c:pt idx="18">
                  <c:v>8.0340911312234892E-2</c:v>
                </c:pt>
                <c:pt idx="19">
                  <c:v>7.9293114425173145E-2</c:v>
                </c:pt>
                <c:pt idx="20">
                  <c:v>7.4078327782244172E-2</c:v>
                </c:pt>
                <c:pt idx="21">
                  <c:v>6.936942059475748E-2</c:v>
                </c:pt>
                <c:pt idx="22" formatCode="0.0000%">
                  <c:v>6.6545224729543842E-2</c:v>
                </c:pt>
                <c:pt idx="23" formatCode="0.00%">
                  <c:v>6.2603735163845639E-2</c:v>
                </c:pt>
                <c:pt idx="24" formatCode="0.00%">
                  <c:v>6.2072320590777025E-2</c:v>
                </c:pt>
                <c:pt idx="25" formatCode="0.00%">
                  <c:v>6.1987417047048354E-2</c:v>
                </c:pt>
              </c:numCache>
            </c:numRef>
          </c:val>
          <c:smooth val="0"/>
          <c:extLst>
            <c:ext xmlns:c16="http://schemas.microsoft.com/office/drawing/2014/chart" uri="{C3380CC4-5D6E-409C-BE32-E72D297353CC}">
              <c16:uniqueId val="{00000000-7CB8-40E6-8EAE-BA53BBDB194B}"/>
            </c:ext>
          </c:extLst>
        </c:ser>
        <c:dLbls>
          <c:showLegendKey val="0"/>
          <c:showVal val="0"/>
          <c:showCatName val="0"/>
          <c:showSerName val="0"/>
          <c:showPercent val="0"/>
          <c:showBubbleSize val="0"/>
        </c:dLbls>
        <c:marker val="1"/>
        <c:smooth val="0"/>
        <c:axId val="287853184"/>
        <c:axId val="287875840"/>
      </c:lineChart>
      <c:catAx>
        <c:axId val="287853184"/>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87875840"/>
        <c:crosses val="autoZero"/>
        <c:auto val="1"/>
        <c:lblAlgn val="ctr"/>
        <c:lblOffset val="100"/>
        <c:tickLblSkip val="2"/>
        <c:tickMarkSkip val="1"/>
        <c:noMultiLvlLbl val="0"/>
      </c:catAx>
      <c:valAx>
        <c:axId val="287875840"/>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87853184"/>
        <c:crosses val="autoZero"/>
        <c:crossBetween val="midCat"/>
      </c:valAx>
      <c:spPr>
        <a:noFill/>
        <a:ln w="12700">
          <a:solidFill>
            <a:srgbClr val="808080"/>
          </a:solidFill>
          <a:prstDash val="solid"/>
        </a:ln>
      </c:spPr>
    </c:plotArea>
    <c:legend>
      <c:legendPos val="r"/>
      <c:layout>
        <c:manualLayout>
          <c:xMode val="edge"/>
          <c:yMode val="edge"/>
          <c:x val="0.28214359517193216"/>
          <c:y val="0.91342256822415979"/>
          <c:w val="0.48214411833178278"/>
          <c:h val="6.2770745209717135E-2"/>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orientation="landscape" horizontalDpi="300" verticalDpi="300"/>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Employment and GDP growth</a:t>
            </a:r>
          </a:p>
        </c:rich>
      </c:tx>
      <c:layout>
        <c:manualLayout>
          <c:xMode val="edge"/>
          <c:yMode val="edge"/>
          <c:x val="0.28794666291713533"/>
          <c:y val="3.3707865168539325E-2"/>
        </c:manualLayout>
      </c:layout>
      <c:overlay val="0"/>
      <c:spPr>
        <a:noFill/>
        <a:ln w="25400">
          <a:noFill/>
        </a:ln>
      </c:spPr>
    </c:title>
    <c:autoTitleDeleted val="0"/>
    <c:plotArea>
      <c:layout>
        <c:manualLayout>
          <c:layoutTarget val="inner"/>
          <c:xMode val="edge"/>
          <c:yMode val="edge"/>
          <c:x val="6.2500068119668267E-2"/>
          <c:y val="0.17696629213483145"/>
          <c:w val="0.87723309896534396"/>
          <c:h val="0.6151685393258427"/>
        </c:manualLayout>
      </c:layout>
      <c:scatterChart>
        <c:scatterStyle val="lineMarker"/>
        <c:varyColors val="0"/>
        <c:ser>
          <c:idx val="0"/>
          <c:order val="0"/>
          <c:tx>
            <c:strRef>
              <c:f>Labour1!$E$48</c:f>
              <c:strCache>
                <c:ptCount val="1"/>
                <c:pt idx="0">
                  <c:v>Wage and salary earners (domestic)</c:v>
                </c:pt>
              </c:strCache>
            </c:strRef>
          </c:tx>
          <c:spPr>
            <a:ln w="28575">
              <a:noFill/>
            </a:ln>
          </c:spPr>
          <c:marker>
            <c:symbol val="circle"/>
            <c:size val="7"/>
            <c:spPr>
              <a:solidFill>
                <a:srgbClr val="FFFFFF"/>
              </a:solidFill>
              <a:ln>
                <a:solidFill>
                  <a:srgbClr val="FF0000"/>
                </a:solidFill>
                <a:prstDash val="solid"/>
              </a:ln>
            </c:spPr>
          </c:marker>
          <c:dLbls>
            <c:dLbl>
              <c:idx val="1"/>
              <c:tx>
                <c:rich>
                  <a:bodyPr/>
                  <a:lstStyle/>
                  <a:p>
                    <a:r>
                      <a:rPr lang="en-GB"/>
                      <a:t>1996</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BE9-4201-9DE7-EF3F471E5FA5}"/>
                </c:ext>
              </c:extLst>
            </c:dLbl>
            <c:dLbl>
              <c:idx val="2"/>
              <c:tx>
                <c:rich>
                  <a:bodyPr/>
                  <a:lstStyle/>
                  <a:p>
                    <a:r>
                      <a:rPr lang="en-GB"/>
                      <a:t>1997</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BE9-4201-9DE7-EF3F471E5FA5}"/>
                </c:ext>
              </c:extLst>
            </c:dLbl>
            <c:dLbl>
              <c:idx val="3"/>
              <c:tx>
                <c:rich>
                  <a:bodyPr/>
                  <a:lstStyle/>
                  <a:p>
                    <a:r>
                      <a:rPr lang="en-GB"/>
                      <a:t>1998</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BE9-4201-9DE7-EF3F471E5FA5}"/>
                </c:ext>
              </c:extLst>
            </c:dLbl>
            <c:dLbl>
              <c:idx val="4"/>
              <c:tx>
                <c:rich>
                  <a:bodyPr/>
                  <a:lstStyle/>
                  <a:p>
                    <a:r>
                      <a:rPr lang="en-GB"/>
                      <a:t>1999</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BE9-4201-9DE7-EF3F471E5FA5}"/>
                </c:ext>
              </c:extLst>
            </c:dLbl>
            <c:dLbl>
              <c:idx val="5"/>
              <c:tx>
                <c:rich>
                  <a:bodyPr/>
                  <a:lstStyle/>
                  <a:p>
                    <a:r>
                      <a:rPr lang="en-GB"/>
                      <a:t>2000</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5BE9-4201-9DE7-EF3F471E5FA5}"/>
                </c:ext>
              </c:extLst>
            </c:dLbl>
            <c:dLbl>
              <c:idx val="6"/>
              <c:tx>
                <c:rich>
                  <a:bodyPr/>
                  <a:lstStyle/>
                  <a:p>
                    <a:r>
                      <a:rPr lang="en-GB"/>
                      <a:t>2001</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5BE9-4201-9DE7-EF3F471E5FA5}"/>
                </c:ext>
              </c:extLst>
            </c:dLbl>
            <c:dLbl>
              <c:idx val="7"/>
              <c:tx>
                <c:rich>
                  <a:bodyPr/>
                  <a:lstStyle/>
                  <a:p>
                    <a:r>
                      <a:rPr lang="en-GB"/>
                      <a:t>2002</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5BE9-4201-9DE7-EF3F471E5FA5}"/>
                </c:ext>
              </c:extLst>
            </c:dLbl>
            <c:dLbl>
              <c:idx val="8"/>
              <c:tx>
                <c:rich>
                  <a:bodyPr/>
                  <a:lstStyle/>
                  <a:p>
                    <a:r>
                      <a:rPr lang="en-GB"/>
                      <a:t>2003</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5BE9-4201-9DE7-EF3F471E5FA5}"/>
                </c:ext>
              </c:extLst>
            </c:dLbl>
            <c:dLbl>
              <c:idx val="9"/>
              <c:tx>
                <c:rich>
                  <a:bodyPr/>
                  <a:lstStyle/>
                  <a:p>
                    <a:r>
                      <a:rPr lang="en-GB"/>
                      <a:t>2004</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5BE9-4201-9DE7-EF3F471E5FA5}"/>
                </c:ext>
              </c:extLst>
            </c:dLbl>
            <c:dLbl>
              <c:idx val="10"/>
              <c:tx>
                <c:rich>
                  <a:bodyPr/>
                  <a:lstStyle/>
                  <a:p>
                    <a:r>
                      <a:rPr lang="en-GB"/>
                      <a:t>2005</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5BE9-4201-9DE7-EF3F471E5FA5}"/>
                </c:ext>
              </c:extLst>
            </c:dLbl>
            <c:dLbl>
              <c:idx val="11"/>
              <c:tx>
                <c:rich>
                  <a:bodyPr/>
                  <a:lstStyle/>
                  <a:p>
                    <a:r>
                      <a:rPr lang="en-GB"/>
                      <a:t>2006</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5BE9-4201-9DE7-EF3F471E5FA5}"/>
                </c:ext>
              </c:extLst>
            </c:dLbl>
            <c:dLbl>
              <c:idx val="12"/>
              <c:tx>
                <c:rich>
                  <a:bodyPr/>
                  <a:lstStyle/>
                  <a:p>
                    <a:r>
                      <a:rPr lang="en-GB"/>
                      <a:t>2007</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5BE9-4201-9DE7-EF3F471E5FA5}"/>
                </c:ext>
              </c:extLst>
            </c:dLbl>
            <c:dLbl>
              <c:idx val="13"/>
              <c:tx>
                <c:rich>
                  <a:bodyPr/>
                  <a:lstStyle/>
                  <a:p>
                    <a:r>
                      <a:rPr lang="en-GB"/>
                      <a:t>2008</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5BE9-4201-9DE7-EF3F471E5FA5}"/>
                </c:ext>
              </c:extLst>
            </c:dLbl>
            <c:dLbl>
              <c:idx val="14"/>
              <c:tx>
                <c:rich>
                  <a:bodyPr/>
                  <a:lstStyle/>
                  <a:p>
                    <a:r>
                      <a:rPr lang="en-GB"/>
                      <a:t>2009</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5BE9-4201-9DE7-EF3F471E5FA5}"/>
                </c:ext>
              </c:extLst>
            </c:dLbl>
            <c:spPr>
              <a:noFill/>
              <a:ln w="25400">
                <a:noFill/>
              </a:ln>
            </c:spPr>
            <c:txPr>
              <a:bodyPr/>
              <a:lstStyle/>
              <a:p>
                <a:pPr>
                  <a:defRPr sz="800"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25400">
                <a:solidFill>
                  <a:srgbClr val="FF0000"/>
                </a:solidFill>
                <a:prstDash val="solid"/>
              </a:ln>
            </c:spPr>
            <c:trendlineType val="linear"/>
            <c:dispRSqr val="0"/>
            <c:dispEq val="0"/>
          </c:trendline>
          <c:xVal>
            <c:numRef>
              <c:f>'VVP2'!$G$131:$AG$131</c:f>
              <c:numCache>
                <c:formatCode>0.0</c:formatCode>
                <c:ptCount val="27"/>
                <c:pt idx="1">
                  <c:v>1.5190345789658943</c:v>
                </c:pt>
                <c:pt idx="2">
                  <c:v>2.9123066792213548</c:v>
                </c:pt>
                <c:pt idx="3">
                  <c:v>4.2409560508338551</c:v>
                </c:pt>
                <c:pt idx="4">
                  <c:v>4.4867022926029954</c:v>
                </c:pt>
                <c:pt idx="5">
                  <c:v>4.7456166368949892</c:v>
                </c:pt>
                <c:pt idx="6">
                  <c:v>1.5734459634978881</c:v>
                </c:pt>
                <c:pt idx="7">
                  <c:v>2.0753008012419194</c:v>
                </c:pt>
                <c:pt idx="8">
                  <c:v>2.3597762270646028</c:v>
                </c:pt>
                <c:pt idx="9">
                  <c:v>4.310783239085425</c:v>
                </c:pt>
                <c:pt idx="10">
                  <c:v>2.8166773859819028</c:v>
                </c:pt>
                <c:pt idx="11">
                  <c:v>4.6995582969571181</c:v>
                </c:pt>
                <c:pt idx="12">
                  <c:v>3.4080983285069921</c:v>
                </c:pt>
                <c:pt idx="13">
                  <c:v>-0.55705795199625374</c:v>
                </c:pt>
                <c:pt idx="14">
                  <c:v>-5.1958979284636442</c:v>
                </c:pt>
                <c:pt idx="15">
                  <c:v>5.9919680665020847</c:v>
                </c:pt>
                <c:pt idx="16">
                  <c:v>2.6792280204686714</c:v>
                </c:pt>
                <c:pt idx="17">
                  <c:v>-0.29851237313677226</c:v>
                </c:pt>
                <c:pt idx="18">
                  <c:v>1.238349337689959</c:v>
                </c:pt>
                <c:pt idx="19">
                  <c:v>2.601902927795896</c:v>
                </c:pt>
                <c:pt idx="20">
                  <c:v>4.456568925371962</c:v>
                </c:pt>
                <c:pt idx="21">
                  <c:v>2.6839662785306029</c:v>
                </c:pt>
                <c:pt idx="22">
                  <c:v>2.1141964181437434</c:v>
                </c:pt>
                <c:pt idx="23" formatCode="0.00">
                  <c:v>2.3754579714468482</c:v>
                </c:pt>
                <c:pt idx="24" formatCode="0.00">
                  <c:v>1.7607506553809715</c:v>
                </c:pt>
                <c:pt idx="25" formatCode="0.00">
                  <c:v>1.7609205310281206</c:v>
                </c:pt>
              </c:numCache>
            </c:numRef>
          </c:xVal>
          <c:yVal>
            <c:numRef>
              <c:f>Labour1!$G$48:$AG$48</c:f>
              <c:numCache>
                <c:formatCode>0.0</c:formatCode>
                <c:ptCount val="27"/>
                <c:pt idx="1">
                  <c:v>-0.74328187535736001</c:v>
                </c:pt>
                <c:pt idx="2">
                  <c:v>-1.3379765395894361</c:v>
                </c:pt>
                <c:pt idx="3">
                  <c:v>1.8125845917040362</c:v>
                </c:pt>
                <c:pt idx="4">
                  <c:v>2.1191742258367174</c:v>
                </c:pt>
                <c:pt idx="5">
                  <c:v>2.685248998136669</c:v>
                </c:pt>
                <c:pt idx="6">
                  <c:v>2.5031693554401047</c:v>
                </c:pt>
                <c:pt idx="7">
                  <c:v>0.25705694053737016</c:v>
                </c:pt>
                <c:pt idx="8">
                  <c:v>-0.15722509796333162</c:v>
                </c:pt>
                <c:pt idx="9">
                  <c:v>-0.88426969014221424</c:v>
                </c:pt>
                <c:pt idx="10">
                  <c:v>0.29331247555728357</c:v>
                </c:pt>
                <c:pt idx="11">
                  <c:v>1.6401832715928988</c:v>
                </c:pt>
                <c:pt idx="12">
                  <c:v>2.3402469727850539</c:v>
                </c:pt>
                <c:pt idx="13">
                  <c:v>1.2323984911318808</c:v>
                </c:pt>
                <c:pt idx="14">
                  <c:v>-2.6245747216886106</c:v>
                </c:pt>
                <c:pt idx="15">
                  <c:v>0.87942385853159166</c:v>
                </c:pt>
                <c:pt idx="16">
                  <c:v>2.5045354946634291</c:v>
                </c:pt>
                <c:pt idx="17">
                  <c:v>0.91021928009928921</c:v>
                </c:pt>
                <c:pt idx="18">
                  <c:v>1.0432326545487758</c:v>
                </c:pt>
                <c:pt idx="19">
                  <c:v>1.5847610459873707</c:v>
                </c:pt>
                <c:pt idx="20">
                  <c:v>1.6865277500388354</c:v>
                </c:pt>
                <c:pt idx="21">
                  <c:v>2.295790323636604</c:v>
                </c:pt>
                <c:pt idx="22">
                  <c:v>2.5344000000000033</c:v>
                </c:pt>
                <c:pt idx="23" formatCode="0.00">
                  <c:v>1.7317558204856143</c:v>
                </c:pt>
                <c:pt idx="24" formatCode="0.00">
                  <c:v>0.89492155650239269</c:v>
                </c:pt>
                <c:pt idx="25" formatCode="0.00">
                  <c:v>0.68790291145839344</c:v>
                </c:pt>
              </c:numCache>
            </c:numRef>
          </c:yVal>
          <c:smooth val="0"/>
          <c:extLst>
            <c:ext xmlns:c16="http://schemas.microsoft.com/office/drawing/2014/chart" uri="{C3380CC4-5D6E-409C-BE32-E72D297353CC}">
              <c16:uniqueId val="{0000000E-5BE9-4201-9DE7-EF3F471E5FA5}"/>
            </c:ext>
          </c:extLst>
        </c:ser>
        <c:dLbls>
          <c:showLegendKey val="0"/>
          <c:showVal val="0"/>
          <c:showCatName val="0"/>
          <c:showSerName val="0"/>
          <c:showPercent val="0"/>
          <c:showBubbleSize val="0"/>
        </c:dLbls>
        <c:axId val="288245632"/>
        <c:axId val="288247168"/>
      </c:scatterChart>
      <c:valAx>
        <c:axId val="288245632"/>
        <c:scaling>
          <c:orientation val="minMax"/>
        </c:scaling>
        <c:delete val="0"/>
        <c:axPos val="b"/>
        <c:majorGridlines>
          <c:spPr>
            <a:ln w="3175">
              <a:solidFill>
                <a:srgbClr val="000000"/>
              </a:solidFill>
              <a:prstDash val="solid"/>
            </a:ln>
          </c:spPr>
        </c:majorGridlines>
        <c:numFmt formatCode="0.0" sourceLinked="1"/>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88247168"/>
        <c:crosses val="autoZero"/>
        <c:crossBetween val="midCat"/>
      </c:valAx>
      <c:valAx>
        <c:axId val="288247168"/>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88245632"/>
        <c:crosses val="autoZero"/>
        <c:crossBetween val="midCat"/>
      </c:valAx>
      <c:spPr>
        <a:noFill/>
        <a:ln w="12700">
          <a:solidFill>
            <a:srgbClr val="808080"/>
          </a:solidFill>
          <a:prstDash val="solid"/>
        </a:ln>
      </c:spPr>
    </c:plotArea>
    <c:legend>
      <c:legendPos val="r"/>
      <c:layout>
        <c:manualLayout>
          <c:xMode val="edge"/>
          <c:yMode val="edge"/>
          <c:x val="0.17142901985130057"/>
          <c:y val="0.85466581120152696"/>
          <c:w val="0.6517874192262989"/>
          <c:h val="0.12147534372407491"/>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Public sector gross real wage growth (DG BUDG)</a:t>
            </a:r>
          </a:p>
        </c:rich>
      </c:tx>
      <c:layout>
        <c:manualLayout>
          <c:xMode val="edge"/>
          <c:yMode val="edge"/>
          <c:x val="0.15401809148856391"/>
          <c:y val="3.3707865168539325E-2"/>
        </c:manualLayout>
      </c:layout>
      <c:overlay val="0"/>
      <c:spPr>
        <a:noFill/>
        <a:ln w="25400">
          <a:noFill/>
        </a:ln>
      </c:spPr>
    </c:title>
    <c:autoTitleDeleted val="0"/>
    <c:plotArea>
      <c:layout>
        <c:manualLayout>
          <c:layoutTarget val="inner"/>
          <c:xMode val="edge"/>
          <c:yMode val="edge"/>
          <c:x val="0.13616086268927732"/>
          <c:y val="0.17696629213483145"/>
          <c:w val="0.7924115779457942"/>
          <c:h val="0.5252808988764045"/>
        </c:manualLayout>
      </c:layout>
      <c:lineChart>
        <c:grouping val="standard"/>
        <c:varyColors val="0"/>
        <c:ser>
          <c:idx val="0"/>
          <c:order val="0"/>
          <c:tx>
            <c:strRef>
              <c:f>Labour1!$E$129</c:f>
              <c:strCache>
                <c:ptCount val="1"/>
                <c:pt idx="0">
                  <c:v>Gross real wage growth per employee in public sector (July - July estimates)</c:v>
                </c:pt>
              </c:strCache>
            </c:strRef>
          </c:tx>
          <c:spPr>
            <a:ln w="25400">
              <a:solidFill>
                <a:srgbClr val="008000"/>
              </a:solidFill>
              <a:prstDash val="solid"/>
            </a:ln>
          </c:spPr>
          <c:marker>
            <c:symbol val="diamond"/>
            <c:size val="7"/>
            <c:spPr>
              <a:solidFill>
                <a:srgbClr val="FFFFFF"/>
              </a:solidFill>
              <a:ln>
                <a:solidFill>
                  <a:srgbClr val="008000"/>
                </a:solidFill>
                <a:prstDash val="solid"/>
              </a:ln>
            </c:spPr>
          </c:marker>
          <c:cat>
            <c:strRef>
              <c:f>Labour1!$G$124:$AG$124</c:f>
              <c:strCache>
                <c:ptCount val="26"/>
                <c:pt idx="1">
                  <c:v>1995-1996</c:v>
                </c:pt>
                <c:pt idx="2">
                  <c:v>1996-1997</c:v>
                </c:pt>
                <c:pt idx="3">
                  <c:v>1997-1998</c:v>
                </c:pt>
                <c:pt idx="4">
                  <c:v>1998-1999</c:v>
                </c:pt>
                <c:pt idx="5">
                  <c:v>1999-2000</c:v>
                </c:pt>
                <c:pt idx="6">
                  <c:v>2000-2001</c:v>
                </c:pt>
                <c:pt idx="7">
                  <c:v>2001-2002</c:v>
                </c:pt>
                <c:pt idx="8">
                  <c:v>2002-2003</c:v>
                </c:pt>
                <c:pt idx="9">
                  <c:v>2003-2004</c:v>
                </c:pt>
                <c:pt idx="10">
                  <c:v>2004-2005</c:v>
                </c:pt>
                <c:pt idx="11">
                  <c:v>2005-2006</c:v>
                </c:pt>
                <c:pt idx="12">
                  <c:v>2006-2007</c:v>
                </c:pt>
                <c:pt idx="13">
                  <c:v>2007-2008</c:v>
                </c:pt>
                <c:pt idx="14">
                  <c:v>2008-2009</c:v>
                </c:pt>
                <c:pt idx="15">
                  <c:v>2009-2010</c:v>
                </c:pt>
                <c:pt idx="16">
                  <c:v>2010-2011</c:v>
                </c:pt>
                <c:pt idx="17">
                  <c:v>2011-2012</c:v>
                </c:pt>
                <c:pt idx="18">
                  <c:v>2012-2013</c:v>
                </c:pt>
                <c:pt idx="19">
                  <c:v>2013-2014</c:v>
                </c:pt>
                <c:pt idx="20">
                  <c:v>2014-2015</c:v>
                </c:pt>
                <c:pt idx="21">
                  <c:v>2015-2016</c:v>
                </c:pt>
                <c:pt idx="22">
                  <c:v>2016-2017</c:v>
                </c:pt>
                <c:pt idx="23">
                  <c:v>2017-2018</c:v>
                </c:pt>
                <c:pt idx="24">
                  <c:v>2018-2019</c:v>
                </c:pt>
                <c:pt idx="25">
                  <c:v>2019-2020</c:v>
                </c:pt>
              </c:strCache>
            </c:strRef>
          </c:cat>
          <c:val>
            <c:numRef>
              <c:f>Labour1!$G$129:$AG$129</c:f>
              <c:numCache>
                <c:formatCode>General</c:formatCode>
                <c:ptCount val="27"/>
                <c:pt idx="2" formatCode="0.0%">
                  <c:v>0</c:v>
                </c:pt>
                <c:pt idx="3" formatCode="0.0%">
                  <c:v>1.3226592245761948E-2</c:v>
                </c:pt>
                <c:pt idx="4" formatCode="0.0%">
                  <c:v>2.520270660365953E-2</c:v>
                </c:pt>
                <c:pt idx="5" formatCode="0.0%">
                  <c:v>1.6853507905757237E-2</c:v>
                </c:pt>
                <c:pt idx="6" formatCode="0.0%">
                  <c:v>1.1689700401448011E-2</c:v>
                </c:pt>
                <c:pt idx="7" formatCode="0.0%">
                  <c:v>1.0796068398478464E-2</c:v>
                </c:pt>
                <c:pt idx="8" formatCode="0.0%">
                  <c:v>1.9148061261788918E-2</c:v>
                </c:pt>
                <c:pt idx="9" formatCode="0.0%">
                  <c:v>1.7745143734815505E-2</c:v>
                </c:pt>
                <c:pt idx="10" formatCode="0.0%">
                  <c:v>1.8941756356160244E-2</c:v>
                </c:pt>
                <c:pt idx="11" formatCode="0.0%">
                  <c:v>1.8730201381208955E-2</c:v>
                </c:pt>
                <c:pt idx="12" formatCode="0.0%">
                  <c:v>2.2616309859639028E-2</c:v>
                </c:pt>
                <c:pt idx="13" formatCode="0.0%">
                  <c:v>2.4310161378028106E-2</c:v>
                </c:pt>
                <c:pt idx="14" formatCode="0.0%">
                  <c:v>2.268098296919141E-2</c:v>
                </c:pt>
                <c:pt idx="15" formatCode="0.0%">
                  <c:v>1.0992675363228122E-2</c:v>
                </c:pt>
                <c:pt idx="16" formatCode="0.0%">
                  <c:v>1.1267316290227036E-2</c:v>
                </c:pt>
                <c:pt idx="17" formatCode="0.0%">
                  <c:v>1.8122962343918525E-2</c:v>
                </c:pt>
                <c:pt idx="18" formatCode="0.0%">
                  <c:v>2.189774244816789E-2</c:v>
                </c:pt>
                <c:pt idx="19" formatCode="0.0%">
                  <c:v>2.2314507251383064E-2</c:v>
                </c:pt>
                <c:pt idx="20" formatCode="0.0%">
                  <c:v>1.9055727724317517E-2</c:v>
                </c:pt>
                <c:pt idx="21" formatCode="0.0%">
                  <c:v>1.5206887228771837E-2</c:v>
                </c:pt>
                <c:pt idx="22" formatCode="0.0%">
                  <c:v>1.3515612777175834E-2</c:v>
                </c:pt>
                <c:pt idx="23" formatCode="0.00%">
                  <c:v>1.0480769750272678E-2</c:v>
                </c:pt>
                <c:pt idx="24" formatCode="0.00%">
                  <c:v>8.5607279427750704E-3</c:v>
                </c:pt>
                <c:pt idx="25" formatCode="0.00%">
                  <c:v>1.4138940424720747E-2</c:v>
                </c:pt>
              </c:numCache>
            </c:numRef>
          </c:val>
          <c:smooth val="0"/>
          <c:extLst>
            <c:ext xmlns:c16="http://schemas.microsoft.com/office/drawing/2014/chart" uri="{C3380CC4-5D6E-409C-BE32-E72D297353CC}">
              <c16:uniqueId val="{00000000-992F-4323-90CA-F78CBF3BA0AA}"/>
            </c:ext>
          </c:extLst>
        </c:ser>
        <c:dLbls>
          <c:showLegendKey val="0"/>
          <c:showVal val="0"/>
          <c:showCatName val="0"/>
          <c:showSerName val="0"/>
          <c:showPercent val="0"/>
          <c:showBubbleSize val="0"/>
        </c:dLbls>
        <c:marker val="1"/>
        <c:smooth val="0"/>
        <c:axId val="288292224"/>
        <c:axId val="288302592"/>
      </c:lineChart>
      <c:catAx>
        <c:axId val="288292224"/>
        <c:scaling>
          <c:orientation val="minMax"/>
        </c:scaling>
        <c:delete val="0"/>
        <c:axPos val="b"/>
        <c:majorGridlines>
          <c:spPr>
            <a:ln w="3175">
              <a:solidFill>
                <a:srgbClr val="000000"/>
              </a:solidFill>
              <a:prstDash val="solid"/>
            </a:ln>
          </c:spPr>
        </c:majorGridlines>
        <c:numFmt formatCode="General"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88302592"/>
        <c:crosses val="autoZero"/>
        <c:auto val="1"/>
        <c:lblAlgn val="ctr"/>
        <c:lblOffset val="100"/>
        <c:tickLblSkip val="2"/>
        <c:tickMarkSkip val="1"/>
        <c:noMultiLvlLbl val="0"/>
      </c:catAx>
      <c:valAx>
        <c:axId val="288302592"/>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88292224"/>
        <c:crosses val="autoZero"/>
        <c:crossBetween val="midCat"/>
      </c:valAx>
      <c:spPr>
        <a:noFill/>
        <a:ln w="12700">
          <a:solidFill>
            <a:srgbClr val="808080"/>
          </a:solidFill>
          <a:prstDash val="solid"/>
        </a:ln>
      </c:spPr>
    </c:plotArea>
    <c:legend>
      <c:legendPos val="r"/>
      <c:layout>
        <c:manualLayout>
          <c:xMode val="edge"/>
          <c:yMode val="edge"/>
          <c:x val="3.928581704925637E-2"/>
          <c:y val="0.86985022916703625"/>
          <c:w val="0.93393101439823112"/>
          <c:h val="0.10629092575856554"/>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paperSize="9" orientation="landscape"/>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trendline>
            <c:trendlineType val="linear"/>
            <c:dispRSqr val="0"/>
            <c:dispEq val="0"/>
          </c:trendline>
          <c:cat>
            <c:numRef>
              <c:f>Sector1!$G$310:$AE$310</c:f>
              <c:numCache>
                <c:formatCode>0</c:formatCode>
                <c:ptCount val="25"/>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numCache>
            </c:numRef>
          </c:cat>
          <c:val>
            <c:numRef>
              <c:f>Sector1!$G$315:$AE$315</c:f>
              <c:numCache>
                <c:formatCode>0.0%</c:formatCode>
                <c:ptCount val="25"/>
                <c:pt idx="0">
                  <c:v>0.20845035764893555</c:v>
                </c:pt>
                <c:pt idx="1">
                  <c:v>0.19878689687331019</c:v>
                </c:pt>
                <c:pt idx="2">
                  <c:v>0.19224788795921616</c:v>
                </c:pt>
                <c:pt idx="3">
                  <c:v>0.18744063046329185</c:v>
                </c:pt>
                <c:pt idx="4">
                  <c:v>0.18251447286029066</c:v>
                </c:pt>
                <c:pt idx="5">
                  <c:v>0.17470693808508547</c:v>
                </c:pt>
                <c:pt idx="6">
                  <c:v>0.17209204501683376</c:v>
                </c:pt>
                <c:pt idx="7">
                  <c:v>0.17482485152249902</c:v>
                </c:pt>
                <c:pt idx="8">
                  <c:v>0.18011849169465208</c:v>
                </c:pt>
                <c:pt idx="9">
                  <c:v>0.17742111798057472</c:v>
                </c:pt>
                <c:pt idx="10">
                  <c:v>0.17619438461694387</c:v>
                </c:pt>
                <c:pt idx="11">
                  <c:v>0.16842312543951757</c:v>
                </c:pt>
                <c:pt idx="12">
                  <c:v>0.15794174038460665</c:v>
                </c:pt>
                <c:pt idx="13">
                  <c:v>0.15973259277626639</c:v>
                </c:pt>
                <c:pt idx="14">
                  <c:v>0.17585431874578714</c:v>
                </c:pt>
                <c:pt idx="15">
                  <c:v>0.16606306103823573</c:v>
                </c:pt>
                <c:pt idx="16">
                  <c:v>0.16232423383172498</c:v>
                </c:pt>
                <c:pt idx="17">
                  <c:v>0.16822816520284933</c:v>
                </c:pt>
                <c:pt idx="18">
                  <c:v>0.17317794484754523</c:v>
                </c:pt>
                <c:pt idx="19">
                  <c:v>0.16794965648927598</c:v>
                </c:pt>
                <c:pt idx="20">
                  <c:v>0.16325169110491075</c:v>
                </c:pt>
                <c:pt idx="21">
                  <c:v>0.16081871678398138</c:v>
                </c:pt>
                <c:pt idx="22">
                  <c:v>0.15886963219760905</c:v>
                </c:pt>
                <c:pt idx="23">
                  <c:v>0.15669119949266488</c:v>
                </c:pt>
                <c:pt idx="24">
                  <c:v>0.15369168192198135</c:v>
                </c:pt>
              </c:numCache>
            </c:numRef>
          </c:val>
          <c:smooth val="0"/>
          <c:extLst>
            <c:ext xmlns:c16="http://schemas.microsoft.com/office/drawing/2014/chart" uri="{C3380CC4-5D6E-409C-BE32-E72D297353CC}">
              <c16:uniqueId val="{00000000-52BF-4C48-8CFB-FEB17A6B811A}"/>
            </c:ext>
          </c:extLst>
        </c:ser>
        <c:dLbls>
          <c:showLegendKey val="0"/>
          <c:showVal val="0"/>
          <c:showCatName val="0"/>
          <c:showSerName val="0"/>
          <c:showPercent val="0"/>
          <c:showBubbleSize val="0"/>
        </c:dLbls>
        <c:smooth val="0"/>
        <c:axId val="289571584"/>
        <c:axId val="289573120"/>
      </c:lineChart>
      <c:catAx>
        <c:axId val="289571584"/>
        <c:scaling>
          <c:orientation val="minMax"/>
        </c:scaling>
        <c:delete val="0"/>
        <c:axPos val="b"/>
        <c:numFmt formatCode="0" sourceLinked="1"/>
        <c:majorTickMark val="out"/>
        <c:minorTickMark val="none"/>
        <c:tickLblPos val="nextTo"/>
        <c:crossAx val="289573120"/>
        <c:crosses val="autoZero"/>
        <c:auto val="1"/>
        <c:lblAlgn val="ctr"/>
        <c:lblOffset val="100"/>
        <c:noMultiLvlLbl val="0"/>
      </c:catAx>
      <c:valAx>
        <c:axId val="289573120"/>
        <c:scaling>
          <c:orientation val="minMax"/>
          <c:min val="0.14000000000000001"/>
        </c:scaling>
        <c:delete val="0"/>
        <c:axPos val="l"/>
        <c:majorGridlines/>
        <c:numFmt formatCode="0.0%" sourceLinked="1"/>
        <c:majorTickMark val="out"/>
        <c:minorTickMark val="none"/>
        <c:tickLblPos val="nextTo"/>
        <c:crossAx val="289571584"/>
        <c:crosses val="autoZero"/>
        <c:crossBetween val="between"/>
      </c:valAx>
    </c:plotArea>
    <c:plotVisOnly val="1"/>
    <c:dispBlanksAs val="gap"/>
    <c:showDLblsOverMax val="0"/>
  </c:chart>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trendline>
            <c:trendlineType val="movingAvg"/>
            <c:period val="4"/>
            <c:dispRSqr val="0"/>
            <c:dispEq val="0"/>
          </c:trendline>
          <c:cat>
            <c:numRef>
              <c:f>Sector1!$G$310:$AE$310</c:f>
              <c:numCache>
                <c:formatCode>0</c:formatCode>
                <c:ptCount val="25"/>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numCache>
            </c:numRef>
          </c:cat>
          <c:val>
            <c:numRef>
              <c:f>Sector1!$G$346:$AE$346</c:f>
              <c:numCache>
                <c:formatCode>0.0%</c:formatCode>
                <c:ptCount val="25"/>
                <c:pt idx="0">
                  <c:v>1.2612640323114389E-2</c:v>
                </c:pt>
                <c:pt idx="1">
                  <c:v>1.1562373021198545E-2</c:v>
                </c:pt>
                <c:pt idx="2">
                  <c:v>1.5255853426694058E-2</c:v>
                </c:pt>
                <c:pt idx="3">
                  <c:v>1.3549669884193512E-2</c:v>
                </c:pt>
                <c:pt idx="4">
                  <c:v>1.3121643436745867E-2</c:v>
                </c:pt>
                <c:pt idx="5">
                  <c:v>1.2786401893585654E-2</c:v>
                </c:pt>
                <c:pt idx="6">
                  <c:v>1.2594705058511246E-2</c:v>
                </c:pt>
                <c:pt idx="7">
                  <c:v>1.1535925785919669E-2</c:v>
                </c:pt>
                <c:pt idx="8">
                  <c:v>1.205693838140927E-2</c:v>
                </c:pt>
                <c:pt idx="9">
                  <c:v>1.2943299092046265E-2</c:v>
                </c:pt>
                <c:pt idx="10">
                  <c:v>1.3234007275955507E-2</c:v>
                </c:pt>
                <c:pt idx="11">
                  <c:v>1.397335468155886E-2</c:v>
                </c:pt>
                <c:pt idx="12">
                  <c:v>1.336056562545157E-2</c:v>
                </c:pt>
                <c:pt idx="13">
                  <c:v>1.5030305031634756E-2</c:v>
                </c:pt>
                <c:pt idx="14">
                  <c:v>1.2256649359099564E-2</c:v>
                </c:pt>
                <c:pt idx="15">
                  <c:v>1.3995023588011206E-2</c:v>
                </c:pt>
                <c:pt idx="16">
                  <c:v>1.393509991551588E-2</c:v>
                </c:pt>
                <c:pt idx="17">
                  <c:v>1.3996152210256201E-2</c:v>
                </c:pt>
                <c:pt idx="18">
                  <c:v>1.4788262343403007E-2</c:v>
                </c:pt>
                <c:pt idx="19">
                  <c:v>1.4705430831594106E-2</c:v>
                </c:pt>
                <c:pt idx="20">
                  <c:v>1.3828729112138088E-2</c:v>
                </c:pt>
                <c:pt idx="21">
                  <c:v>1.1123254673301565E-2</c:v>
                </c:pt>
                <c:pt idx="22">
                  <c:v>1.3297519774950264E-2</c:v>
                </c:pt>
                <c:pt idx="23">
                  <c:v>1.301006899437411E-2</c:v>
                </c:pt>
                <c:pt idx="24">
                  <c:v>1.307977274800538E-2</c:v>
                </c:pt>
              </c:numCache>
            </c:numRef>
          </c:val>
          <c:smooth val="0"/>
          <c:extLst>
            <c:ext xmlns:c16="http://schemas.microsoft.com/office/drawing/2014/chart" uri="{C3380CC4-5D6E-409C-BE32-E72D297353CC}">
              <c16:uniqueId val="{00000000-0EB5-45AB-BEBB-2616799F09FB}"/>
            </c:ext>
          </c:extLst>
        </c:ser>
        <c:dLbls>
          <c:showLegendKey val="0"/>
          <c:showVal val="0"/>
          <c:showCatName val="0"/>
          <c:showSerName val="0"/>
          <c:showPercent val="0"/>
          <c:showBubbleSize val="0"/>
        </c:dLbls>
        <c:smooth val="0"/>
        <c:axId val="289597696"/>
        <c:axId val="289599488"/>
      </c:lineChart>
      <c:catAx>
        <c:axId val="289597696"/>
        <c:scaling>
          <c:orientation val="minMax"/>
        </c:scaling>
        <c:delete val="0"/>
        <c:axPos val="b"/>
        <c:numFmt formatCode="0" sourceLinked="1"/>
        <c:majorTickMark val="out"/>
        <c:minorTickMark val="none"/>
        <c:tickLblPos val="nextTo"/>
        <c:crossAx val="289599488"/>
        <c:crosses val="autoZero"/>
        <c:auto val="1"/>
        <c:lblAlgn val="ctr"/>
        <c:lblOffset val="100"/>
        <c:noMultiLvlLbl val="0"/>
      </c:catAx>
      <c:valAx>
        <c:axId val="289599488"/>
        <c:scaling>
          <c:orientation val="minMax"/>
          <c:min val="1.0000000000000002E-2"/>
        </c:scaling>
        <c:delete val="0"/>
        <c:axPos val="l"/>
        <c:majorGridlines/>
        <c:numFmt formatCode="0.0%" sourceLinked="1"/>
        <c:majorTickMark val="out"/>
        <c:minorTickMark val="none"/>
        <c:tickLblPos val="nextTo"/>
        <c:crossAx val="289597696"/>
        <c:crosses val="autoZero"/>
        <c:crossBetween val="between"/>
      </c:valAx>
    </c:plotArea>
    <c:plotVisOnly val="1"/>
    <c:dispBlanksAs val="gap"/>
    <c:showDLblsOverMax val="0"/>
  </c:chart>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val>
            <c:numRef>
              <c:f>Sector1!$V$443:$AF$443</c:f>
              <c:numCache>
                <c:formatCode>0.0%</c:formatCode>
                <c:ptCount val="11"/>
                <c:pt idx="0">
                  <c:v>8.3718426345924205E-2</c:v>
                </c:pt>
                <c:pt idx="1">
                  <c:v>8.3578095094758512E-2</c:v>
                </c:pt>
                <c:pt idx="2">
                  <c:v>8.420869149395574E-2</c:v>
                </c:pt>
                <c:pt idx="3">
                  <c:v>8.5032640962135322E-2</c:v>
                </c:pt>
                <c:pt idx="4">
                  <c:v>8.3518463304934745E-2</c:v>
                </c:pt>
                <c:pt idx="5">
                  <c:v>8.1066884237528933E-2</c:v>
                </c:pt>
                <c:pt idx="6">
                  <c:v>8.0389292251254532E-2</c:v>
                </c:pt>
                <c:pt idx="7">
                  <c:v>7.8354206982945027E-2</c:v>
                </c:pt>
                <c:pt idx="8">
                  <c:v>7.8524405612057147E-2</c:v>
                </c:pt>
                <c:pt idx="9">
                  <c:v>7.8259255849669765E-2</c:v>
                </c:pt>
                <c:pt idx="10">
                  <c:v>7.8063931997680955E-2</c:v>
                </c:pt>
              </c:numCache>
            </c:numRef>
          </c:val>
          <c:smooth val="0"/>
          <c:extLst>
            <c:ext xmlns:c16="http://schemas.microsoft.com/office/drawing/2014/chart" uri="{C3380CC4-5D6E-409C-BE32-E72D297353CC}">
              <c16:uniqueId val="{00000000-2369-4E07-AFB2-3F31873C63FE}"/>
            </c:ext>
          </c:extLst>
        </c:ser>
        <c:dLbls>
          <c:showLegendKey val="0"/>
          <c:showVal val="0"/>
          <c:showCatName val="0"/>
          <c:showSerName val="0"/>
          <c:showPercent val="0"/>
          <c:showBubbleSize val="0"/>
        </c:dLbls>
        <c:smooth val="0"/>
        <c:axId val="289610752"/>
        <c:axId val="289628928"/>
      </c:lineChart>
      <c:catAx>
        <c:axId val="289610752"/>
        <c:scaling>
          <c:orientation val="minMax"/>
        </c:scaling>
        <c:delete val="0"/>
        <c:axPos val="b"/>
        <c:majorTickMark val="out"/>
        <c:minorTickMark val="none"/>
        <c:tickLblPos val="nextTo"/>
        <c:crossAx val="289628928"/>
        <c:crosses val="autoZero"/>
        <c:auto val="1"/>
        <c:lblAlgn val="ctr"/>
        <c:lblOffset val="100"/>
        <c:noMultiLvlLbl val="0"/>
      </c:catAx>
      <c:valAx>
        <c:axId val="289628928"/>
        <c:scaling>
          <c:orientation val="minMax"/>
        </c:scaling>
        <c:delete val="0"/>
        <c:axPos val="l"/>
        <c:majorGridlines/>
        <c:numFmt formatCode="0.0%" sourceLinked="1"/>
        <c:majorTickMark val="out"/>
        <c:minorTickMark val="none"/>
        <c:tickLblPos val="nextTo"/>
        <c:crossAx val="289610752"/>
        <c:crosses val="autoZero"/>
        <c:crossBetween val="between"/>
      </c:valAx>
    </c:plotArea>
    <c:plotVisOnly val="1"/>
    <c:dispBlanksAs val="gap"/>
    <c:showDLblsOverMax val="0"/>
  </c:chart>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trendline>
            <c:trendlineType val="linear"/>
            <c:dispRSqr val="0"/>
            <c:dispEq val="0"/>
          </c:trendline>
          <c:cat>
            <c:numRef>
              <c:f>Sector1!$L$7:$AE$7</c:f>
              <c:numCache>
                <c:formatCode>0</c:formatCod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numCache>
            </c:numRef>
          </c:cat>
          <c:val>
            <c:numRef>
              <c:f>Sector1!$L$6:$AE$6</c:f>
              <c:numCache>
                <c:formatCode>0.0%</c:formatCode>
                <c:ptCount val="20"/>
                <c:pt idx="0">
                  <c:v>0.22628549948691612</c:v>
                </c:pt>
                <c:pt idx="1">
                  <c:v>0.22730906283693728</c:v>
                </c:pt>
                <c:pt idx="2">
                  <c:v>0.22954134079058761</c:v>
                </c:pt>
                <c:pt idx="3">
                  <c:v>0.22786841401444238</c:v>
                </c:pt>
                <c:pt idx="4">
                  <c:v>0.22318093236618822</c:v>
                </c:pt>
                <c:pt idx="5">
                  <c:v>0.22496472477421967</c:v>
                </c:pt>
                <c:pt idx="6">
                  <c:v>0.22023092437429784</c:v>
                </c:pt>
                <c:pt idx="7">
                  <c:v>0.21954914642092974</c:v>
                </c:pt>
                <c:pt idx="8">
                  <c:v>0.22316131735266378</c:v>
                </c:pt>
                <c:pt idx="9">
                  <c:v>0.22614610105865446</c:v>
                </c:pt>
                <c:pt idx="10">
                  <c:v>0.22184195351413691</c:v>
                </c:pt>
                <c:pt idx="16">
                  <c:v>4.3782486576955382E-2</c:v>
                </c:pt>
                <c:pt idx="17">
                  <c:v>4.4100360802891814E-2</c:v>
                </c:pt>
                <c:pt idx="18">
                  <c:v>4.8980364670283993E-2</c:v>
                </c:pt>
                <c:pt idx="19">
                  <c:v>3.7812749119215061E-2</c:v>
                </c:pt>
              </c:numCache>
            </c:numRef>
          </c:val>
          <c:smooth val="0"/>
          <c:extLst>
            <c:ext xmlns:c16="http://schemas.microsoft.com/office/drawing/2014/chart" uri="{C3380CC4-5D6E-409C-BE32-E72D297353CC}">
              <c16:uniqueId val="{00000000-4A0F-48AB-987B-34B97E8DD136}"/>
            </c:ext>
          </c:extLst>
        </c:ser>
        <c:dLbls>
          <c:showLegendKey val="0"/>
          <c:showVal val="0"/>
          <c:showCatName val="0"/>
          <c:showSerName val="0"/>
          <c:showPercent val="0"/>
          <c:showBubbleSize val="0"/>
        </c:dLbls>
        <c:smooth val="0"/>
        <c:axId val="289665792"/>
        <c:axId val="289667328"/>
      </c:lineChart>
      <c:catAx>
        <c:axId val="289665792"/>
        <c:scaling>
          <c:orientation val="minMax"/>
        </c:scaling>
        <c:delete val="0"/>
        <c:axPos val="b"/>
        <c:numFmt formatCode="0" sourceLinked="1"/>
        <c:majorTickMark val="out"/>
        <c:minorTickMark val="none"/>
        <c:tickLblPos val="nextTo"/>
        <c:crossAx val="289667328"/>
        <c:crosses val="autoZero"/>
        <c:auto val="1"/>
        <c:lblAlgn val="ctr"/>
        <c:lblOffset val="100"/>
        <c:noMultiLvlLbl val="0"/>
      </c:catAx>
      <c:valAx>
        <c:axId val="289667328"/>
        <c:scaling>
          <c:orientation val="minMax"/>
        </c:scaling>
        <c:delete val="0"/>
        <c:axPos val="l"/>
        <c:majorGridlines/>
        <c:numFmt formatCode="0.0%" sourceLinked="1"/>
        <c:majorTickMark val="out"/>
        <c:minorTickMark val="none"/>
        <c:tickLblPos val="nextTo"/>
        <c:crossAx val="289665792"/>
        <c:crosses val="autoZero"/>
        <c:crossBetween val="between"/>
      </c:valAx>
    </c:plotArea>
    <c:plotVisOnly val="1"/>
    <c:dispBlanksAs val="gap"/>
    <c:showDLblsOverMax val="0"/>
  </c:chart>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1"/>
          <c:order val="1"/>
          <c:marker>
            <c:symbol val="none"/>
          </c:marker>
          <c:cat>
            <c:numRef>
              <c:f>Sector1!$W$206:$AF$206</c:f>
              <c:numCache>
                <c:formatCode>0</c:formatCode>
                <c:ptCount val="10"/>
                <c:pt idx="0">
                  <c:v>2011</c:v>
                </c:pt>
                <c:pt idx="1">
                  <c:v>2012</c:v>
                </c:pt>
                <c:pt idx="2">
                  <c:v>2013</c:v>
                </c:pt>
                <c:pt idx="3">
                  <c:v>2014</c:v>
                </c:pt>
                <c:pt idx="4">
                  <c:v>2015</c:v>
                </c:pt>
                <c:pt idx="5">
                  <c:v>2016</c:v>
                </c:pt>
                <c:pt idx="6">
                  <c:v>2017</c:v>
                </c:pt>
                <c:pt idx="7">
                  <c:v>2018</c:v>
                </c:pt>
                <c:pt idx="8">
                  <c:v>2019</c:v>
                </c:pt>
                <c:pt idx="9">
                  <c:v>2020</c:v>
                </c:pt>
              </c:numCache>
            </c:numRef>
          </c:cat>
          <c:val>
            <c:numRef>
              <c:f>Sector1!$W$211:$AF$211</c:f>
              <c:numCache>
                <c:formatCode>0.0</c:formatCode>
                <c:ptCount val="10"/>
                <c:pt idx="0">
                  <c:v>0.85494808238646414</c:v>
                </c:pt>
                <c:pt idx="1">
                  <c:v>-0.43547754476860323</c:v>
                </c:pt>
                <c:pt idx="2">
                  <c:v>4.4171091353564895</c:v>
                </c:pt>
                <c:pt idx="3">
                  <c:v>4.5763631862904663</c:v>
                </c:pt>
                <c:pt idx="4">
                  <c:v>9.9944815745907079</c:v>
                </c:pt>
                <c:pt idx="5">
                  <c:v>6.9080358890659221</c:v>
                </c:pt>
                <c:pt idx="6">
                  <c:v>5.1589495843155531</c:v>
                </c:pt>
                <c:pt idx="7">
                  <c:v>3.2526271301244192</c:v>
                </c:pt>
                <c:pt idx="8">
                  <c:v>3.1279271146667176</c:v>
                </c:pt>
                <c:pt idx="9">
                  <c:v>2.8384032168518258</c:v>
                </c:pt>
              </c:numCache>
            </c:numRef>
          </c:val>
          <c:smooth val="0"/>
          <c:extLst>
            <c:ext xmlns:c16="http://schemas.microsoft.com/office/drawing/2014/chart" uri="{C3380CC4-5D6E-409C-BE32-E72D297353CC}">
              <c16:uniqueId val="{00000000-93AA-468B-A5FA-9C7F0727B1D3}"/>
            </c:ext>
          </c:extLst>
        </c:ser>
        <c:dLbls>
          <c:showLegendKey val="0"/>
          <c:showVal val="0"/>
          <c:showCatName val="0"/>
          <c:showSerName val="0"/>
          <c:showPercent val="0"/>
          <c:showBubbleSize val="0"/>
        </c:dLbls>
        <c:marker val="1"/>
        <c:smooth val="0"/>
        <c:axId val="289762688"/>
        <c:axId val="289764480"/>
      </c:lineChart>
      <c:lineChart>
        <c:grouping val="standard"/>
        <c:varyColors val="0"/>
        <c:ser>
          <c:idx val="0"/>
          <c:order val="0"/>
          <c:marker>
            <c:symbol val="none"/>
          </c:marker>
          <c:cat>
            <c:numRef>
              <c:f>Sector1!$W$198:$AF$198</c:f>
              <c:numCache>
                <c:formatCode>0</c:formatCode>
                <c:ptCount val="10"/>
                <c:pt idx="0">
                  <c:v>2011</c:v>
                </c:pt>
                <c:pt idx="1">
                  <c:v>2012</c:v>
                </c:pt>
                <c:pt idx="2">
                  <c:v>2013</c:v>
                </c:pt>
                <c:pt idx="3">
                  <c:v>2014</c:v>
                </c:pt>
                <c:pt idx="4">
                  <c:v>2015</c:v>
                </c:pt>
                <c:pt idx="5">
                  <c:v>2016</c:v>
                </c:pt>
                <c:pt idx="6">
                  <c:v>2017</c:v>
                </c:pt>
                <c:pt idx="7">
                  <c:v>2018</c:v>
                </c:pt>
                <c:pt idx="8">
                  <c:v>2019</c:v>
                </c:pt>
                <c:pt idx="9">
                  <c:v>2020</c:v>
                </c:pt>
              </c:numCache>
            </c:numRef>
          </c:cat>
          <c:val>
            <c:numRef>
              <c:f>Sector1!$W$205:$AF$205</c:f>
              <c:numCache>
                <c:formatCode>0.0%</c:formatCode>
                <c:ptCount val="10"/>
                <c:pt idx="0">
                  <c:v>3.8940367055789515E-2</c:v>
                </c:pt>
                <c:pt idx="1">
                  <c:v>7.6011125791202172E-3</c:v>
                </c:pt>
                <c:pt idx="2">
                  <c:v>2.3060714240210611E-2</c:v>
                </c:pt>
                <c:pt idx="3">
                  <c:v>4.4247138069799297E-2</c:v>
                </c:pt>
                <c:pt idx="4">
                  <c:v>6.6131174787644964E-2</c:v>
                </c:pt>
                <c:pt idx="5">
                  <c:v>4.3782486576955382E-2</c:v>
                </c:pt>
                <c:pt idx="6">
                  <c:v>4.4100360802891814E-2</c:v>
                </c:pt>
                <c:pt idx="7">
                  <c:v>4.8980364670283993E-2</c:v>
                </c:pt>
                <c:pt idx="8">
                  <c:v>3.7812749119215061E-2</c:v>
                </c:pt>
                <c:pt idx="9">
                  <c:v>3.5451641625984909E-2</c:v>
                </c:pt>
              </c:numCache>
            </c:numRef>
          </c:val>
          <c:smooth val="0"/>
          <c:extLst>
            <c:ext xmlns:c16="http://schemas.microsoft.com/office/drawing/2014/chart" uri="{C3380CC4-5D6E-409C-BE32-E72D297353CC}">
              <c16:uniqueId val="{00000001-93AA-468B-A5FA-9C7F0727B1D3}"/>
            </c:ext>
          </c:extLst>
        </c:ser>
        <c:dLbls>
          <c:showLegendKey val="0"/>
          <c:showVal val="0"/>
          <c:showCatName val="0"/>
          <c:showSerName val="0"/>
          <c:showPercent val="0"/>
          <c:showBubbleSize val="0"/>
        </c:dLbls>
        <c:marker val="1"/>
        <c:smooth val="0"/>
        <c:axId val="289771904"/>
        <c:axId val="289766016"/>
      </c:lineChart>
      <c:catAx>
        <c:axId val="289762688"/>
        <c:scaling>
          <c:orientation val="minMax"/>
        </c:scaling>
        <c:delete val="0"/>
        <c:axPos val="b"/>
        <c:numFmt formatCode="0" sourceLinked="1"/>
        <c:majorTickMark val="out"/>
        <c:minorTickMark val="none"/>
        <c:tickLblPos val="nextTo"/>
        <c:crossAx val="289764480"/>
        <c:crosses val="autoZero"/>
        <c:auto val="1"/>
        <c:lblAlgn val="ctr"/>
        <c:lblOffset val="100"/>
        <c:noMultiLvlLbl val="0"/>
      </c:catAx>
      <c:valAx>
        <c:axId val="289764480"/>
        <c:scaling>
          <c:orientation val="minMax"/>
        </c:scaling>
        <c:delete val="0"/>
        <c:axPos val="l"/>
        <c:majorGridlines/>
        <c:numFmt formatCode="0.0" sourceLinked="1"/>
        <c:majorTickMark val="out"/>
        <c:minorTickMark val="none"/>
        <c:tickLblPos val="nextTo"/>
        <c:crossAx val="289762688"/>
        <c:crosses val="autoZero"/>
        <c:crossBetween val="between"/>
      </c:valAx>
      <c:valAx>
        <c:axId val="289766016"/>
        <c:scaling>
          <c:orientation val="minMax"/>
        </c:scaling>
        <c:delete val="0"/>
        <c:axPos val="r"/>
        <c:numFmt formatCode="0.0%" sourceLinked="1"/>
        <c:majorTickMark val="out"/>
        <c:minorTickMark val="none"/>
        <c:tickLblPos val="nextTo"/>
        <c:crossAx val="289771904"/>
        <c:crosses val="max"/>
        <c:crossBetween val="between"/>
      </c:valAx>
      <c:catAx>
        <c:axId val="289771904"/>
        <c:scaling>
          <c:orientation val="minMax"/>
        </c:scaling>
        <c:delete val="1"/>
        <c:axPos val="b"/>
        <c:numFmt formatCode="0" sourceLinked="1"/>
        <c:majorTickMark val="out"/>
        <c:minorTickMark val="none"/>
        <c:tickLblPos val="nextTo"/>
        <c:crossAx val="289766016"/>
        <c:crosses val="autoZero"/>
        <c:auto val="1"/>
        <c:lblAlgn val="ctr"/>
        <c:lblOffset val="100"/>
        <c:noMultiLvlLbl val="0"/>
      </c:catAx>
    </c:plotArea>
    <c:plotVisOnly val="1"/>
    <c:dispBlanksAs val="gap"/>
    <c:showDLblsOverMax val="0"/>
  </c:chart>
  <c:printSettings>
    <c:headerFooter/>
    <c:pageMargins b="0.75" l="0.7" r="0.7" t="0.75" header="0.3" footer="0.3"/>
    <c:pageSetup/>
  </c:printSettings>
  <c:userShapes r:id="rId1"/>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1"/>
          <c:order val="1"/>
          <c:marker>
            <c:symbol val="none"/>
          </c:marker>
          <c:cat>
            <c:numRef>
              <c:f>Sector1!$W$262:$AF$262</c:f>
              <c:numCache>
                <c:formatCode>0</c:formatCode>
                <c:ptCount val="10"/>
                <c:pt idx="0">
                  <c:v>2011</c:v>
                </c:pt>
                <c:pt idx="1">
                  <c:v>2012</c:v>
                </c:pt>
                <c:pt idx="2">
                  <c:v>2013</c:v>
                </c:pt>
                <c:pt idx="3">
                  <c:v>2014</c:v>
                </c:pt>
                <c:pt idx="4">
                  <c:v>2015</c:v>
                </c:pt>
                <c:pt idx="5">
                  <c:v>2016</c:v>
                </c:pt>
                <c:pt idx="6">
                  <c:v>2017</c:v>
                </c:pt>
                <c:pt idx="7">
                  <c:v>2018</c:v>
                </c:pt>
                <c:pt idx="8">
                  <c:v>2019</c:v>
                </c:pt>
                <c:pt idx="9">
                  <c:v>2020</c:v>
                </c:pt>
              </c:numCache>
            </c:numRef>
          </c:cat>
          <c:val>
            <c:numRef>
              <c:f>Sector1!$W$265:$AF$265</c:f>
              <c:numCache>
                <c:formatCode>0.0</c:formatCode>
                <c:ptCount val="10"/>
                <c:pt idx="0">
                  <c:v>8.3912707609115511</c:v>
                </c:pt>
                <c:pt idx="1">
                  <c:v>0.86333265843288043</c:v>
                </c:pt>
                <c:pt idx="2">
                  <c:v>2.8119253900322105</c:v>
                </c:pt>
                <c:pt idx="3">
                  <c:v>3.1559710409784225</c:v>
                </c:pt>
                <c:pt idx="4">
                  <c:v>5.3587111232246132</c:v>
                </c:pt>
                <c:pt idx="5">
                  <c:v>4.6851870481884328</c:v>
                </c:pt>
                <c:pt idx="6">
                  <c:v>5.0301341277577238</c:v>
                </c:pt>
                <c:pt idx="7">
                  <c:v>4.5138932681865418</c:v>
                </c:pt>
                <c:pt idx="8">
                  <c:v>4.136314033299171</c:v>
                </c:pt>
                <c:pt idx="9">
                  <c:v>3.7631148413085125</c:v>
                </c:pt>
              </c:numCache>
            </c:numRef>
          </c:val>
          <c:smooth val="0"/>
          <c:extLst>
            <c:ext xmlns:c16="http://schemas.microsoft.com/office/drawing/2014/chart" uri="{C3380CC4-5D6E-409C-BE32-E72D297353CC}">
              <c16:uniqueId val="{00000000-7098-405C-BDAE-35FB619AC4E3}"/>
            </c:ext>
          </c:extLst>
        </c:ser>
        <c:dLbls>
          <c:showLegendKey val="0"/>
          <c:showVal val="0"/>
          <c:showCatName val="0"/>
          <c:showSerName val="0"/>
          <c:showPercent val="0"/>
          <c:showBubbleSize val="0"/>
        </c:dLbls>
        <c:marker val="1"/>
        <c:smooth val="0"/>
        <c:axId val="290068352"/>
        <c:axId val="290069888"/>
      </c:lineChart>
      <c:lineChart>
        <c:grouping val="standard"/>
        <c:varyColors val="0"/>
        <c:ser>
          <c:idx val="0"/>
          <c:order val="0"/>
          <c:marker>
            <c:symbol val="none"/>
          </c:marker>
          <c:cat>
            <c:numRef>
              <c:f>Sector1!$W$262:$AF$262</c:f>
              <c:numCache>
                <c:formatCode>0</c:formatCode>
                <c:ptCount val="10"/>
                <c:pt idx="0">
                  <c:v>2011</c:v>
                </c:pt>
                <c:pt idx="1">
                  <c:v>2012</c:v>
                </c:pt>
                <c:pt idx="2">
                  <c:v>2013</c:v>
                </c:pt>
                <c:pt idx="3">
                  <c:v>2014</c:v>
                </c:pt>
                <c:pt idx="4">
                  <c:v>2015</c:v>
                </c:pt>
                <c:pt idx="5">
                  <c:v>2016</c:v>
                </c:pt>
                <c:pt idx="6">
                  <c:v>2017</c:v>
                </c:pt>
                <c:pt idx="7">
                  <c:v>2018</c:v>
                </c:pt>
                <c:pt idx="8">
                  <c:v>2019</c:v>
                </c:pt>
                <c:pt idx="9">
                  <c:v>2020</c:v>
                </c:pt>
              </c:numCache>
            </c:numRef>
          </c:cat>
          <c:val>
            <c:numRef>
              <c:f>Sector1!$W$261:$AF$261</c:f>
              <c:numCache>
                <c:formatCode>0.0%</c:formatCode>
                <c:ptCount val="10"/>
                <c:pt idx="0">
                  <c:v>3.8940367055789515E-2</c:v>
                </c:pt>
                <c:pt idx="1">
                  <c:v>7.6011125791202172E-3</c:v>
                </c:pt>
                <c:pt idx="2">
                  <c:v>2.3060714240210611E-2</c:v>
                </c:pt>
                <c:pt idx="3">
                  <c:v>4.4247138069799297E-2</c:v>
                </c:pt>
                <c:pt idx="4">
                  <c:v>6.6131174787644964E-2</c:v>
                </c:pt>
                <c:pt idx="5">
                  <c:v>4.3782486576955382E-2</c:v>
                </c:pt>
                <c:pt idx="6">
                  <c:v>4.4100360802891814E-2</c:v>
                </c:pt>
                <c:pt idx="7">
                  <c:v>4.8980364670283993E-2</c:v>
                </c:pt>
                <c:pt idx="8">
                  <c:v>3.7812749119215061E-2</c:v>
                </c:pt>
                <c:pt idx="9">
                  <c:v>3.5451641625984909E-2</c:v>
                </c:pt>
              </c:numCache>
            </c:numRef>
          </c:val>
          <c:smooth val="0"/>
          <c:extLst>
            <c:ext xmlns:c16="http://schemas.microsoft.com/office/drawing/2014/chart" uri="{C3380CC4-5D6E-409C-BE32-E72D297353CC}">
              <c16:uniqueId val="{00000001-7098-405C-BDAE-35FB619AC4E3}"/>
            </c:ext>
          </c:extLst>
        </c:ser>
        <c:dLbls>
          <c:showLegendKey val="0"/>
          <c:showVal val="0"/>
          <c:showCatName val="0"/>
          <c:showSerName val="0"/>
          <c:showPercent val="0"/>
          <c:showBubbleSize val="0"/>
        </c:dLbls>
        <c:marker val="1"/>
        <c:smooth val="0"/>
        <c:axId val="290077312"/>
        <c:axId val="290075776"/>
      </c:lineChart>
      <c:catAx>
        <c:axId val="290068352"/>
        <c:scaling>
          <c:orientation val="minMax"/>
        </c:scaling>
        <c:delete val="0"/>
        <c:axPos val="b"/>
        <c:numFmt formatCode="0" sourceLinked="1"/>
        <c:majorTickMark val="out"/>
        <c:minorTickMark val="none"/>
        <c:tickLblPos val="nextTo"/>
        <c:crossAx val="290069888"/>
        <c:crosses val="autoZero"/>
        <c:auto val="1"/>
        <c:lblAlgn val="ctr"/>
        <c:lblOffset val="100"/>
        <c:noMultiLvlLbl val="0"/>
      </c:catAx>
      <c:valAx>
        <c:axId val="290069888"/>
        <c:scaling>
          <c:orientation val="minMax"/>
        </c:scaling>
        <c:delete val="0"/>
        <c:axPos val="l"/>
        <c:majorGridlines/>
        <c:numFmt formatCode="0.0" sourceLinked="1"/>
        <c:majorTickMark val="out"/>
        <c:minorTickMark val="none"/>
        <c:tickLblPos val="nextTo"/>
        <c:crossAx val="290068352"/>
        <c:crosses val="autoZero"/>
        <c:crossBetween val="between"/>
      </c:valAx>
      <c:valAx>
        <c:axId val="290075776"/>
        <c:scaling>
          <c:orientation val="minMax"/>
        </c:scaling>
        <c:delete val="0"/>
        <c:axPos val="r"/>
        <c:numFmt formatCode="0.0%" sourceLinked="1"/>
        <c:majorTickMark val="out"/>
        <c:minorTickMark val="none"/>
        <c:tickLblPos val="nextTo"/>
        <c:crossAx val="290077312"/>
        <c:crosses val="max"/>
        <c:crossBetween val="between"/>
      </c:valAx>
      <c:catAx>
        <c:axId val="290077312"/>
        <c:scaling>
          <c:orientation val="minMax"/>
        </c:scaling>
        <c:delete val="1"/>
        <c:axPos val="b"/>
        <c:numFmt formatCode="0" sourceLinked="1"/>
        <c:majorTickMark val="out"/>
        <c:minorTickMark val="none"/>
        <c:tickLblPos val="nextTo"/>
        <c:crossAx val="290075776"/>
        <c:crosses val="autoZero"/>
        <c:auto val="1"/>
        <c:lblAlgn val="ctr"/>
        <c:lblOffset val="100"/>
        <c:noMultiLvlLbl val="0"/>
      </c:catAx>
    </c:plotArea>
    <c:plotVisOnly val="1"/>
    <c:dispBlanksAs val="gap"/>
    <c:showDLblsOverMax val="0"/>
  </c:chart>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cat>
            <c:numRef>
              <c:f>Sector1!$L$634:$AF$634</c:f>
              <c:numCache>
                <c:formatCode>0</c:formatCode>
                <c:ptCount val="2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numCache>
            </c:numRef>
          </c:cat>
          <c:val>
            <c:numRef>
              <c:f>Sector1!$L$642:$AF$642</c:f>
              <c:numCache>
                <c:formatCode>0.0%</c:formatCode>
                <c:ptCount val="21"/>
                <c:pt idx="0">
                  <c:v>0.5650471172910515</c:v>
                </c:pt>
                <c:pt idx="1">
                  <c:v>0.54116577676279132</c:v>
                </c:pt>
                <c:pt idx="2">
                  <c:v>0.524026217977831</c:v>
                </c:pt>
                <c:pt idx="3">
                  <c:v>0.52707206597278566</c:v>
                </c:pt>
                <c:pt idx="4">
                  <c:v>0.52734774888076963</c:v>
                </c:pt>
                <c:pt idx="5">
                  <c:v>0.54144096076419179</c:v>
                </c:pt>
                <c:pt idx="6">
                  <c:v>0.53183702383047238</c:v>
                </c:pt>
                <c:pt idx="7">
                  <c:v>0.52632564299785856</c:v>
                </c:pt>
                <c:pt idx="8">
                  <c:v>0.51911839586329023</c:v>
                </c:pt>
                <c:pt idx="9">
                  <c:v>0.51985185945724932</c:v>
                </c:pt>
                <c:pt idx="10">
                  <c:v>0.50725944315039573</c:v>
                </c:pt>
                <c:pt idx="11">
                  <c:v>0.50050245244319724</c:v>
                </c:pt>
                <c:pt idx="12">
                  <c:v>0.50338897727787169</c:v>
                </c:pt>
                <c:pt idx="13">
                  <c:v>0.50584786876523447</c:v>
                </c:pt>
                <c:pt idx="14">
                  <c:v>0.49524540558371444</c:v>
                </c:pt>
                <c:pt idx="15">
                  <c:v>0.49794492166330329</c:v>
                </c:pt>
                <c:pt idx="16">
                  <c:v>0.50798666604948073</c:v>
                </c:pt>
                <c:pt idx="17">
                  <c:v>0.50857182043106863</c:v>
                </c:pt>
                <c:pt idx="18">
                  <c:v>0.50179241417122988</c:v>
                </c:pt>
                <c:pt idx="19">
                  <c:v>0.49886106454343249</c:v>
                </c:pt>
                <c:pt idx="20">
                  <c:v>0.49648341455890216</c:v>
                </c:pt>
              </c:numCache>
            </c:numRef>
          </c:val>
          <c:smooth val="0"/>
          <c:extLst>
            <c:ext xmlns:c16="http://schemas.microsoft.com/office/drawing/2014/chart" uri="{C3380CC4-5D6E-409C-BE32-E72D297353CC}">
              <c16:uniqueId val="{00000000-5FF0-4EE8-BDA0-A30AFF8E6204}"/>
            </c:ext>
          </c:extLst>
        </c:ser>
        <c:dLbls>
          <c:showLegendKey val="0"/>
          <c:showVal val="0"/>
          <c:showCatName val="0"/>
          <c:showSerName val="0"/>
          <c:showPercent val="0"/>
          <c:showBubbleSize val="0"/>
        </c:dLbls>
        <c:smooth val="0"/>
        <c:axId val="290097792"/>
        <c:axId val="290107776"/>
      </c:lineChart>
      <c:catAx>
        <c:axId val="290097792"/>
        <c:scaling>
          <c:orientation val="minMax"/>
        </c:scaling>
        <c:delete val="0"/>
        <c:axPos val="b"/>
        <c:numFmt formatCode="0" sourceLinked="1"/>
        <c:majorTickMark val="out"/>
        <c:minorTickMark val="none"/>
        <c:tickLblPos val="nextTo"/>
        <c:crossAx val="290107776"/>
        <c:crosses val="autoZero"/>
        <c:auto val="1"/>
        <c:lblAlgn val="ctr"/>
        <c:lblOffset val="100"/>
        <c:noMultiLvlLbl val="0"/>
      </c:catAx>
      <c:valAx>
        <c:axId val="290107776"/>
        <c:scaling>
          <c:orientation val="minMax"/>
        </c:scaling>
        <c:delete val="0"/>
        <c:axPos val="l"/>
        <c:majorGridlines/>
        <c:numFmt formatCode="0.0%" sourceLinked="1"/>
        <c:majorTickMark val="out"/>
        <c:minorTickMark val="none"/>
        <c:tickLblPos val="nextTo"/>
        <c:crossAx val="290097792"/>
        <c:crosses val="autoZero"/>
        <c:crossBetween val="between"/>
      </c:valAx>
    </c:plotArea>
    <c:plotVisOnly val="1"/>
    <c:dispBlanksAs val="gap"/>
    <c:showDLblsOverMax val="0"/>
  </c:chart>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Indirect taxes, GDP and private consumption</a:t>
            </a:r>
          </a:p>
        </c:rich>
      </c:tx>
      <c:layout>
        <c:manualLayout>
          <c:xMode val="edge"/>
          <c:yMode val="edge"/>
          <c:x val="0.18080380577427821"/>
          <c:y val="3.3613445378151259E-2"/>
        </c:manualLayout>
      </c:layout>
      <c:overlay val="0"/>
      <c:spPr>
        <a:noFill/>
        <a:ln w="25400">
          <a:noFill/>
        </a:ln>
      </c:spPr>
    </c:title>
    <c:autoTitleDeleted val="0"/>
    <c:plotArea>
      <c:layout>
        <c:manualLayout>
          <c:layoutTarget val="inner"/>
          <c:xMode val="edge"/>
          <c:yMode val="edge"/>
          <c:x val="0.10044653804946686"/>
          <c:y val="0.17366994285589235"/>
          <c:w val="0.83259019316558092"/>
          <c:h val="0.52100982856767708"/>
        </c:manualLayout>
      </c:layout>
      <c:lineChart>
        <c:grouping val="standard"/>
        <c:varyColors val="0"/>
        <c:ser>
          <c:idx val="0"/>
          <c:order val="0"/>
          <c:tx>
            <c:strRef>
              <c:f>Sector1!$D$22:$E$22</c:f>
              <c:strCache>
                <c:ptCount val="2"/>
                <c:pt idx="0">
                  <c:v>GVT</c:v>
                </c:pt>
                <c:pt idx="1">
                  <c:v>Taxes on production and imports (D.2r = D.21r+D.29r)</c:v>
                </c:pt>
              </c:strCache>
            </c:strRef>
          </c:tx>
          <c:spPr>
            <a:ln w="25400">
              <a:solidFill>
                <a:srgbClr val="FF0000"/>
              </a:solidFill>
              <a:prstDash val="solid"/>
            </a:ln>
          </c:spPr>
          <c:marker>
            <c:symbol val="diamond"/>
            <c:size val="5"/>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Sector1!$G$22:$AG$22</c:f>
              <c:numCache>
                <c:formatCode>0.0</c:formatCode>
                <c:ptCount val="27"/>
                <c:pt idx="1">
                  <c:v>6.6727578032398371</c:v>
                </c:pt>
                <c:pt idx="2">
                  <c:v>2.5579769527434015</c:v>
                </c:pt>
                <c:pt idx="3">
                  <c:v>16.503999711081807</c:v>
                </c:pt>
                <c:pt idx="4">
                  <c:v>4.6095127385449963</c:v>
                </c:pt>
                <c:pt idx="5">
                  <c:v>-0.10408525360131593</c:v>
                </c:pt>
                <c:pt idx="6">
                  <c:v>4.5945344654974241</c:v>
                </c:pt>
                <c:pt idx="7">
                  <c:v>4.7270110358372142</c:v>
                </c:pt>
                <c:pt idx="8">
                  <c:v>3.3942081478597785</c:v>
                </c:pt>
                <c:pt idx="9">
                  <c:v>2.6024580771472294</c:v>
                </c:pt>
                <c:pt idx="10">
                  <c:v>4.4702942969006676</c:v>
                </c:pt>
                <c:pt idx="11">
                  <c:v>4.358423398864697</c:v>
                </c:pt>
                <c:pt idx="12">
                  <c:v>6.0567213978400147</c:v>
                </c:pt>
                <c:pt idx="13">
                  <c:v>4.438078837853654</c:v>
                </c:pt>
                <c:pt idx="14">
                  <c:v>-1.6405246719479183</c:v>
                </c:pt>
                <c:pt idx="15">
                  <c:v>5.004466234594851</c:v>
                </c:pt>
                <c:pt idx="16">
                  <c:v>2.5726207958737701</c:v>
                </c:pt>
                <c:pt idx="17">
                  <c:v>1.9027415591331476</c:v>
                </c:pt>
                <c:pt idx="18">
                  <c:v>2.1915310243544095</c:v>
                </c:pt>
                <c:pt idx="19">
                  <c:v>2.9572207179101584</c:v>
                </c:pt>
                <c:pt idx="20">
                  <c:v>6.5399557985343693</c:v>
                </c:pt>
                <c:pt idx="21">
                  <c:v>7.8081805914027802</c:v>
                </c:pt>
                <c:pt idx="22">
                  <c:v>4.4653807164174886</c:v>
                </c:pt>
                <c:pt idx="23" formatCode="0.00">
                  <c:v>4.2333708656047131</c:v>
                </c:pt>
                <c:pt idx="24" formatCode="0.00">
                  <c:v>3.4970654442297189</c:v>
                </c:pt>
                <c:pt idx="25" formatCode="0.00">
                  <c:v>3.4998660796967229</c:v>
                </c:pt>
              </c:numCache>
            </c:numRef>
          </c:val>
          <c:smooth val="0"/>
          <c:extLst>
            <c:ext xmlns:c16="http://schemas.microsoft.com/office/drawing/2014/chart" uri="{C3380CC4-5D6E-409C-BE32-E72D297353CC}">
              <c16:uniqueId val="{00000000-CFB7-47B4-8890-BE872A2FA761}"/>
            </c:ext>
          </c:extLst>
        </c:ser>
        <c:ser>
          <c:idx val="1"/>
          <c:order val="1"/>
          <c:tx>
            <c:strRef>
              <c:f>'VVP2'!$E$348</c:f>
              <c:strCache>
                <c:ptCount val="1"/>
                <c:pt idx="0">
                  <c:v>GDP</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'VVP2'!$G$348:$AG$348</c:f>
              <c:numCache>
                <c:formatCode>0.0</c:formatCode>
                <c:ptCount val="27"/>
                <c:pt idx="1">
                  <c:v>2.5842575072335894</c:v>
                </c:pt>
                <c:pt idx="2">
                  <c:v>4.528587483935409</c:v>
                </c:pt>
                <c:pt idx="3">
                  <c:v>5.0657326637579603</c:v>
                </c:pt>
                <c:pt idx="4">
                  <c:v>5.4682108787114991</c:v>
                </c:pt>
                <c:pt idx="5">
                  <c:v>6.3846614236626298</c:v>
                </c:pt>
                <c:pt idx="6">
                  <c:v>4.1235495837014691</c:v>
                </c:pt>
                <c:pt idx="7">
                  <c:v>3.7085461393536079</c:v>
                </c:pt>
                <c:pt idx="8">
                  <c:v>4.1532907089817606</c:v>
                </c:pt>
                <c:pt idx="9">
                  <c:v>4.7574232625837265</c:v>
                </c:pt>
                <c:pt idx="10">
                  <c:v>3.6419274584167605</c:v>
                </c:pt>
                <c:pt idx="11">
                  <c:v>6.6015777053014757</c:v>
                </c:pt>
                <c:pt idx="12">
                  <c:v>6.3860651262684476</c:v>
                </c:pt>
                <c:pt idx="13">
                  <c:v>2.7476057889422645</c:v>
                </c:pt>
                <c:pt idx="14">
                  <c:v>-2.9387197675724841</c:v>
                </c:pt>
                <c:pt idx="15">
                  <c:v>7.0417486707964771</c:v>
                </c:pt>
                <c:pt idx="16">
                  <c:v>3.8940367055789515</c:v>
                </c:pt>
                <c:pt idx="17">
                  <c:v>0.76011125791202172</c:v>
                </c:pt>
                <c:pt idx="18">
                  <c:v>2.3060714240210611</c:v>
                </c:pt>
                <c:pt idx="19">
                  <c:v>4.4247138069799297</c:v>
                </c:pt>
                <c:pt idx="20">
                  <c:v>6.6131174787644964</c:v>
                </c:pt>
                <c:pt idx="21" formatCode="0.00">
                  <c:v>4.3782486576955382</c:v>
                </c:pt>
                <c:pt idx="22">
                  <c:v>4.4100360802891814</c:v>
                </c:pt>
                <c:pt idx="23">
                  <c:v>4.8980364670283993</c:v>
                </c:pt>
                <c:pt idx="24">
                  <c:v>3.7812749119215061</c:v>
                </c:pt>
                <c:pt idx="25">
                  <c:v>3.5451641625984909</c:v>
                </c:pt>
              </c:numCache>
            </c:numRef>
          </c:val>
          <c:smooth val="0"/>
          <c:extLst>
            <c:ext xmlns:c16="http://schemas.microsoft.com/office/drawing/2014/chart" uri="{C3380CC4-5D6E-409C-BE32-E72D297353CC}">
              <c16:uniqueId val="{00000001-CFB7-47B4-8890-BE872A2FA761}"/>
            </c:ext>
          </c:extLst>
        </c:ser>
        <c:ser>
          <c:idx val="2"/>
          <c:order val="2"/>
          <c:tx>
            <c:strRef>
              <c:f>'VVP2'!$D$188:$E$188</c:f>
              <c:strCache>
                <c:ptCount val="2"/>
                <c:pt idx="0">
                  <c:v>HH</c:v>
                </c:pt>
                <c:pt idx="1">
                  <c:v>Final consumption expenditure (P.3)</c:v>
                </c:pt>
              </c:strCache>
            </c:strRef>
          </c:tx>
          <c:spPr>
            <a:ln w="25400">
              <a:solidFill>
                <a:srgbClr val="008000"/>
              </a:solidFill>
              <a:prstDash val="solid"/>
            </a:ln>
          </c:spPr>
          <c:marker>
            <c:symbol val="circle"/>
            <c:size val="5"/>
            <c:spPr>
              <a:solidFill>
                <a:srgbClr val="FFFFFF"/>
              </a:solidFill>
              <a:ln>
                <a:solidFill>
                  <a:srgbClr val="008000"/>
                </a:solidFill>
                <a:prstDash val="solid"/>
              </a:ln>
            </c:spPr>
          </c:marker>
          <c:val>
            <c:numRef>
              <c:f>'VVP2'!$G$188:$AG$188</c:f>
              <c:numCache>
                <c:formatCode>0.0</c:formatCode>
                <c:ptCount val="27"/>
                <c:pt idx="1">
                  <c:v>2.7445359364352662</c:v>
                </c:pt>
                <c:pt idx="2">
                  <c:v>4.2886811706422501</c:v>
                </c:pt>
                <c:pt idx="3">
                  <c:v>3.7721997763183746</c:v>
                </c:pt>
                <c:pt idx="4">
                  <c:v>5.5648694721122549</c:v>
                </c:pt>
                <c:pt idx="5">
                  <c:v>6.2846390107470285</c:v>
                </c:pt>
                <c:pt idx="6">
                  <c:v>2.8988431892746025</c:v>
                </c:pt>
                <c:pt idx="7">
                  <c:v>4.0871345605225651</c:v>
                </c:pt>
                <c:pt idx="8">
                  <c:v>3.9733740644160687</c:v>
                </c:pt>
                <c:pt idx="9">
                  <c:v>3.5894148223736266</c:v>
                </c:pt>
                <c:pt idx="10">
                  <c:v>3.9075875259487303</c:v>
                </c:pt>
                <c:pt idx="11">
                  <c:v>3.9078932304936309</c:v>
                </c:pt>
                <c:pt idx="12">
                  <c:v>5.2954756905138511</c:v>
                </c:pt>
                <c:pt idx="13">
                  <c:v>3.3572400190670093</c:v>
                </c:pt>
                <c:pt idx="14">
                  <c:v>2.5861127781788174</c:v>
                </c:pt>
                <c:pt idx="15">
                  <c:v>5.4343205922134485</c:v>
                </c:pt>
                <c:pt idx="16">
                  <c:v>3.5637816277590106</c:v>
                </c:pt>
                <c:pt idx="17">
                  <c:v>1.3074053618210346</c:v>
                </c:pt>
                <c:pt idx="18">
                  <c:v>2.5818237369885422</c:v>
                </c:pt>
                <c:pt idx="19">
                  <c:v>3.2326364869803781</c:v>
                </c:pt>
                <c:pt idx="20">
                  <c:v>4.0151328696125255</c:v>
                </c:pt>
                <c:pt idx="21">
                  <c:v>3.8912159805113644</c:v>
                </c:pt>
                <c:pt idx="22">
                  <c:v>3.9840824208579484</c:v>
                </c:pt>
                <c:pt idx="23" formatCode="0.00">
                  <c:v>4.1407999999999889</c:v>
                </c:pt>
                <c:pt idx="24" formatCode="0.00">
                  <c:v>4.0696099999999902</c:v>
                </c:pt>
                <c:pt idx="25" formatCode="0.00">
                  <c:v>3.9377999999999913</c:v>
                </c:pt>
              </c:numCache>
            </c:numRef>
          </c:val>
          <c:smooth val="0"/>
          <c:extLst>
            <c:ext xmlns:c16="http://schemas.microsoft.com/office/drawing/2014/chart" uri="{C3380CC4-5D6E-409C-BE32-E72D297353CC}">
              <c16:uniqueId val="{00000002-CFB7-47B4-8890-BE872A2FA761}"/>
            </c:ext>
          </c:extLst>
        </c:ser>
        <c:dLbls>
          <c:showLegendKey val="0"/>
          <c:showVal val="0"/>
          <c:showCatName val="0"/>
          <c:showSerName val="0"/>
          <c:showPercent val="0"/>
          <c:showBubbleSize val="0"/>
        </c:dLbls>
        <c:marker val="1"/>
        <c:smooth val="0"/>
        <c:axId val="214452096"/>
        <c:axId val="214458368"/>
      </c:lineChart>
      <c:catAx>
        <c:axId val="214452096"/>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14458368"/>
        <c:crosses val="autoZero"/>
        <c:auto val="1"/>
        <c:lblAlgn val="ctr"/>
        <c:lblOffset val="100"/>
        <c:tickLblSkip val="2"/>
        <c:tickMarkSkip val="1"/>
        <c:noMultiLvlLbl val="0"/>
      </c:catAx>
      <c:valAx>
        <c:axId val="214458368"/>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14452096"/>
        <c:crosses val="autoZero"/>
        <c:crossBetween val="midCat"/>
      </c:valAx>
      <c:spPr>
        <a:noFill/>
        <a:ln w="12700">
          <a:solidFill>
            <a:srgbClr val="808080"/>
          </a:solidFill>
          <a:prstDash val="solid"/>
        </a:ln>
      </c:spPr>
    </c:plotArea>
    <c:legend>
      <c:legendPos val="r"/>
      <c:layout>
        <c:manualLayout>
          <c:xMode val="edge"/>
          <c:yMode val="edge"/>
          <c:x val="3.928581704925637E-2"/>
          <c:y val="0.81601968772632283"/>
          <c:w val="0.89643091630575922"/>
          <c:h val="0.16017362570755411"/>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paperSize="9" orientation="landscape"/>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Indirect taxes related to private consumption</a:t>
            </a:r>
          </a:p>
        </c:rich>
      </c:tx>
      <c:layout>
        <c:manualLayout>
          <c:xMode val="edge"/>
          <c:yMode val="edge"/>
          <c:x val="0.17857166291713536"/>
          <c:y val="3.3613445378151259E-2"/>
        </c:manualLayout>
      </c:layout>
      <c:overlay val="0"/>
      <c:spPr>
        <a:noFill/>
        <a:ln w="25400">
          <a:noFill/>
        </a:ln>
      </c:spPr>
    </c:title>
    <c:autoTitleDeleted val="0"/>
    <c:plotArea>
      <c:layout>
        <c:manualLayout>
          <c:layoutTarget val="inner"/>
          <c:xMode val="edge"/>
          <c:yMode val="edge"/>
          <c:x val="9.1517956889514251E-2"/>
          <c:y val="0.17366994285589235"/>
          <c:w val="0.86607237251540325"/>
          <c:h val="0.61344705621678108"/>
        </c:manualLayout>
      </c:layout>
      <c:scatterChart>
        <c:scatterStyle val="lineMarker"/>
        <c:varyColors val="0"/>
        <c:ser>
          <c:idx val="0"/>
          <c:order val="0"/>
          <c:tx>
            <c:strRef>
              <c:f>Sector1!$D$34:$E$34</c:f>
              <c:strCache>
                <c:ptCount val="2"/>
                <c:pt idx="0">
                  <c:v>GVT+EXT</c:v>
                </c:pt>
                <c:pt idx="1">
                  <c:v>Taxes on production and imports (D.2r)</c:v>
                </c:pt>
              </c:strCache>
            </c:strRef>
          </c:tx>
          <c:spPr>
            <a:ln w="28575">
              <a:noFill/>
            </a:ln>
          </c:spPr>
          <c:marker>
            <c:symbol val="circle"/>
            <c:size val="7"/>
            <c:spPr>
              <a:solidFill>
                <a:srgbClr val="FFFFFF"/>
              </a:solidFill>
              <a:ln>
                <a:solidFill>
                  <a:srgbClr val="008080"/>
                </a:solidFill>
                <a:prstDash val="solid"/>
              </a:ln>
            </c:spPr>
          </c:marker>
          <c:dLbls>
            <c:dLbl>
              <c:idx val="1"/>
              <c:tx>
                <c:rich>
                  <a:bodyPr/>
                  <a:lstStyle/>
                  <a:p>
                    <a:r>
                      <a:rPr lang="en-GB"/>
                      <a:t>1996</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C186-4358-B5DE-DE3E527CD765}"/>
                </c:ext>
              </c:extLst>
            </c:dLbl>
            <c:dLbl>
              <c:idx val="2"/>
              <c:tx>
                <c:rich>
                  <a:bodyPr/>
                  <a:lstStyle/>
                  <a:p>
                    <a:r>
                      <a:rPr lang="en-GB"/>
                      <a:t>1997</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186-4358-B5DE-DE3E527CD765}"/>
                </c:ext>
              </c:extLst>
            </c:dLbl>
            <c:dLbl>
              <c:idx val="3"/>
              <c:tx>
                <c:rich>
                  <a:bodyPr/>
                  <a:lstStyle/>
                  <a:p>
                    <a:r>
                      <a:rPr lang="en-GB"/>
                      <a:t>1998</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186-4358-B5DE-DE3E527CD765}"/>
                </c:ext>
              </c:extLst>
            </c:dLbl>
            <c:dLbl>
              <c:idx val="4"/>
              <c:tx>
                <c:rich>
                  <a:bodyPr/>
                  <a:lstStyle/>
                  <a:p>
                    <a:r>
                      <a:rPr lang="en-GB"/>
                      <a:t>1999</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186-4358-B5DE-DE3E527CD765}"/>
                </c:ext>
              </c:extLst>
            </c:dLbl>
            <c:dLbl>
              <c:idx val="5"/>
              <c:tx>
                <c:rich>
                  <a:bodyPr/>
                  <a:lstStyle/>
                  <a:p>
                    <a:r>
                      <a:rPr lang="en-GB"/>
                      <a:t>2000</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C186-4358-B5DE-DE3E527CD765}"/>
                </c:ext>
              </c:extLst>
            </c:dLbl>
            <c:dLbl>
              <c:idx val="6"/>
              <c:tx>
                <c:rich>
                  <a:bodyPr/>
                  <a:lstStyle/>
                  <a:p>
                    <a:r>
                      <a:rPr lang="en-GB"/>
                      <a:t>2001</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86-4358-B5DE-DE3E527CD765}"/>
                </c:ext>
              </c:extLst>
            </c:dLbl>
            <c:dLbl>
              <c:idx val="7"/>
              <c:tx>
                <c:rich>
                  <a:bodyPr/>
                  <a:lstStyle/>
                  <a:p>
                    <a:r>
                      <a:rPr lang="en-GB"/>
                      <a:t>2002</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C186-4358-B5DE-DE3E527CD765}"/>
                </c:ext>
              </c:extLst>
            </c:dLbl>
            <c:dLbl>
              <c:idx val="8"/>
              <c:tx>
                <c:rich>
                  <a:bodyPr/>
                  <a:lstStyle/>
                  <a:p>
                    <a:r>
                      <a:rPr lang="en-GB"/>
                      <a:t>2003</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C186-4358-B5DE-DE3E527CD765}"/>
                </c:ext>
              </c:extLst>
            </c:dLbl>
            <c:dLbl>
              <c:idx val="9"/>
              <c:tx>
                <c:rich>
                  <a:bodyPr/>
                  <a:lstStyle/>
                  <a:p>
                    <a:r>
                      <a:rPr lang="en-GB"/>
                      <a:t>2004</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C186-4358-B5DE-DE3E527CD765}"/>
                </c:ext>
              </c:extLst>
            </c:dLbl>
            <c:dLbl>
              <c:idx val="10"/>
              <c:tx>
                <c:rich>
                  <a:bodyPr/>
                  <a:lstStyle/>
                  <a:p>
                    <a:r>
                      <a:rPr lang="en-GB"/>
                      <a:t>2005</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186-4358-B5DE-DE3E527CD765}"/>
                </c:ext>
              </c:extLst>
            </c:dLbl>
            <c:dLbl>
              <c:idx val="11"/>
              <c:tx>
                <c:rich>
                  <a:bodyPr/>
                  <a:lstStyle/>
                  <a:p>
                    <a:r>
                      <a:rPr lang="en-GB"/>
                      <a:t>2006</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C186-4358-B5DE-DE3E527CD765}"/>
                </c:ext>
              </c:extLst>
            </c:dLbl>
            <c:dLbl>
              <c:idx val="12"/>
              <c:tx>
                <c:rich>
                  <a:bodyPr/>
                  <a:lstStyle/>
                  <a:p>
                    <a:r>
                      <a:rPr lang="en-GB"/>
                      <a:t>2007</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C186-4358-B5DE-DE3E527CD765}"/>
                </c:ext>
              </c:extLst>
            </c:dLbl>
            <c:dLbl>
              <c:idx val="13"/>
              <c:tx>
                <c:rich>
                  <a:bodyPr/>
                  <a:lstStyle/>
                  <a:p>
                    <a:r>
                      <a:rPr lang="en-GB"/>
                      <a:t>2008</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C186-4358-B5DE-DE3E527CD765}"/>
                </c:ext>
              </c:extLst>
            </c:dLbl>
            <c:dLbl>
              <c:idx val="14"/>
              <c:tx>
                <c:rich>
                  <a:bodyPr/>
                  <a:lstStyle/>
                  <a:p>
                    <a:r>
                      <a:rPr lang="en-GB"/>
                      <a:t>2009</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C186-4358-B5DE-DE3E527CD765}"/>
                </c:ext>
              </c:extLst>
            </c:dLbl>
            <c:spPr>
              <a:noFill/>
              <a:ln w="25400">
                <a:noFill/>
              </a:ln>
            </c:spPr>
            <c:txPr>
              <a:bodyPr/>
              <a:lstStyle/>
              <a:p>
                <a:pPr>
                  <a:defRPr sz="800"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25400">
                <a:solidFill>
                  <a:srgbClr val="008080"/>
                </a:solidFill>
                <a:prstDash val="solid"/>
              </a:ln>
            </c:spPr>
            <c:trendlineType val="linear"/>
            <c:dispRSqr val="0"/>
            <c:dispEq val="0"/>
          </c:trendline>
          <c:xVal>
            <c:numRef>
              <c:f>'VVP2'!$G$188:$AG$188</c:f>
              <c:numCache>
                <c:formatCode>0.0</c:formatCode>
                <c:ptCount val="27"/>
                <c:pt idx="1">
                  <c:v>2.7445359364352662</c:v>
                </c:pt>
                <c:pt idx="2">
                  <c:v>4.2886811706422501</c:v>
                </c:pt>
                <c:pt idx="3">
                  <c:v>3.7721997763183746</c:v>
                </c:pt>
                <c:pt idx="4">
                  <c:v>5.5648694721122549</c:v>
                </c:pt>
                <c:pt idx="5">
                  <c:v>6.2846390107470285</c:v>
                </c:pt>
                <c:pt idx="6">
                  <c:v>2.8988431892746025</c:v>
                </c:pt>
                <c:pt idx="7">
                  <c:v>4.0871345605225651</c:v>
                </c:pt>
                <c:pt idx="8">
                  <c:v>3.9733740644160687</c:v>
                </c:pt>
                <c:pt idx="9">
                  <c:v>3.5894148223736266</c:v>
                </c:pt>
                <c:pt idx="10">
                  <c:v>3.9075875259487303</c:v>
                </c:pt>
                <c:pt idx="11">
                  <c:v>3.9078932304936309</c:v>
                </c:pt>
                <c:pt idx="12">
                  <c:v>5.2954756905138511</c:v>
                </c:pt>
                <c:pt idx="13">
                  <c:v>3.3572400190670093</c:v>
                </c:pt>
                <c:pt idx="14">
                  <c:v>2.5861127781788174</c:v>
                </c:pt>
                <c:pt idx="15">
                  <c:v>5.4343205922134485</c:v>
                </c:pt>
                <c:pt idx="16">
                  <c:v>3.5637816277590106</c:v>
                </c:pt>
                <c:pt idx="17">
                  <c:v>1.3074053618210346</c:v>
                </c:pt>
                <c:pt idx="18">
                  <c:v>2.5818237369885422</c:v>
                </c:pt>
                <c:pt idx="19">
                  <c:v>3.2326364869803781</c:v>
                </c:pt>
                <c:pt idx="20">
                  <c:v>4.0151328696125255</c:v>
                </c:pt>
                <c:pt idx="21">
                  <c:v>3.8912159805113644</c:v>
                </c:pt>
                <c:pt idx="22">
                  <c:v>3.9840824208579484</c:v>
                </c:pt>
                <c:pt idx="23" formatCode="0.00">
                  <c:v>4.1407999999999889</c:v>
                </c:pt>
                <c:pt idx="24" formatCode="0.00">
                  <c:v>4.0696099999999902</c:v>
                </c:pt>
                <c:pt idx="25" formatCode="0.00">
                  <c:v>3.9377999999999913</c:v>
                </c:pt>
              </c:numCache>
            </c:numRef>
          </c:xVal>
          <c:yVal>
            <c:numRef>
              <c:f>Sector1!$G$35:$AJ$35</c:f>
              <c:numCache>
                <c:formatCode>0.0</c:formatCode>
                <c:ptCount val="30"/>
                <c:pt idx="1">
                  <c:v>6.3037501159854958</c:v>
                </c:pt>
                <c:pt idx="2">
                  <c:v>2.6461467784541171</c:v>
                </c:pt>
                <c:pt idx="3">
                  <c:v>16.330252646183464</c:v>
                </c:pt>
                <c:pt idx="4">
                  <c:v>4.5542421298656155</c:v>
                </c:pt>
                <c:pt idx="5">
                  <c:v>-6.3291139240495564E-2</c:v>
                </c:pt>
                <c:pt idx="6">
                  <c:v>4.5296552130432932</c:v>
                </c:pt>
                <c:pt idx="7">
                  <c:v>4.6581422381908544</c:v>
                </c:pt>
                <c:pt idx="8">
                  <c:v>3.3884300302240877</c:v>
                </c:pt>
                <c:pt idx="9">
                  <c:v>2.6502247042872185</c:v>
                </c:pt>
                <c:pt idx="10">
                  <c:v>4.5700830102513912</c:v>
                </c:pt>
                <c:pt idx="11">
                  <c:v>4.4026530556541266</c:v>
                </c:pt>
                <c:pt idx="12">
                  <c:v>6.11633986928104</c:v>
                </c:pt>
                <c:pt idx="13">
                  <c:v>4.4011108510548125</c:v>
                </c:pt>
                <c:pt idx="14">
                  <c:v>-1.7226777281630357</c:v>
                </c:pt>
                <c:pt idx="15">
                  <c:v>5.0398465368063583</c:v>
                </c:pt>
                <c:pt idx="16">
                  <c:v>2.5523046560478324</c:v>
                </c:pt>
                <c:pt idx="17">
                  <c:v>1.8392501328168498</c:v>
                </c:pt>
                <c:pt idx="18">
                  <c:v>2.1735138717463798</c:v>
                </c:pt>
                <c:pt idx="19">
                  <c:v>3.0083465340996485</c:v>
                </c:pt>
                <c:pt idx="20">
                  <c:v>6.5502723262461426</c:v>
                </c:pt>
                <c:pt idx="21">
                  <c:v>7.7334718428452076</c:v>
                </c:pt>
                <c:pt idx="22">
                  <c:v>4.4563907814360482</c:v>
                </c:pt>
                <c:pt idx="23" formatCode="0.00">
                  <c:v>4.2329505266478717</c:v>
                </c:pt>
                <c:pt idx="24" formatCode="0.00">
                  <c:v>3.4786851886778214</c:v>
                </c:pt>
                <c:pt idx="25" formatCode="0.00">
                  <c:v>3.4735076665553866</c:v>
                </c:pt>
              </c:numCache>
            </c:numRef>
          </c:yVal>
          <c:smooth val="0"/>
          <c:extLst>
            <c:ext xmlns:c16="http://schemas.microsoft.com/office/drawing/2014/chart" uri="{C3380CC4-5D6E-409C-BE32-E72D297353CC}">
              <c16:uniqueId val="{0000000E-C186-4358-B5DE-DE3E527CD765}"/>
            </c:ext>
          </c:extLst>
        </c:ser>
        <c:ser>
          <c:idx val="1"/>
          <c:order val="1"/>
          <c:tx>
            <c:strRef>
              <c:f>Sector1!$F$23</c:f>
              <c:strCache>
                <c:ptCount val="1"/>
                <c:pt idx="0">
                  <c:v>OECD</c:v>
                </c:pt>
              </c:strCache>
            </c:strRef>
          </c:tx>
          <c:spPr>
            <a:ln w="25400">
              <a:solidFill>
                <a:srgbClr val="FF0000"/>
              </a:solidFill>
              <a:prstDash val="solid"/>
            </a:ln>
          </c:spPr>
          <c:marker>
            <c:symbol val="none"/>
          </c:marker>
          <c:xVal>
            <c:numRef>
              <c:f>'VVP2'!$G$188:$AG$188</c:f>
              <c:numCache>
                <c:formatCode>0.0</c:formatCode>
                <c:ptCount val="27"/>
                <c:pt idx="1">
                  <c:v>2.7445359364352662</c:v>
                </c:pt>
                <c:pt idx="2">
                  <c:v>4.2886811706422501</c:v>
                </c:pt>
                <c:pt idx="3">
                  <c:v>3.7721997763183746</c:v>
                </c:pt>
                <c:pt idx="4">
                  <c:v>5.5648694721122549</c:v>
                </c:pt>
                <c:pt idx="5">
                  <c:v>6.2846390107470285</c:v>
                </c:pt>
                <c:pt idx="6">
                  <c:v>2.8988431892746025</c:v>
                </c:pt>
                <c:pt idx="7">
                  <c:v>4.0871345605225651</c:v>
                </c:pt>
                <c:pt idx="8">
                  <c:v>3.9733740644160687</c:v>
                </c:pt>
                <c:pt idx="9">
                  <c:v>3.5894148223736266</c:v>
                </c:pt>
                <c:pt idx="10">
                  <c:v>3.9075875259487303</c:v>
                </c:pt>
                <c:pt idx="11">
                  <c:v>3.9078932304936309</c:v>
                </c:pt>
                <c:pt idx="12">
                  <c:v>5.2954756905138511</c:v>
                </c:pt>
                <c:pt idx="13">
                  <c:v>3.3572400190670093</c:v>
                </c:pt>
                <c:pt idx="14">
                  <c:v>2.5861127781788174</c:v>
                </c:pt>
                <c:pt idx="15">
                  <c:v>5.4343205922134485</c:v>
                </c:pt>
                <c:pt idx="16">
                  <c:v>3.5637816277590106</c:v>
                </c:pt>
                <c:pt idx="17">
                  <c:v>1.3074053618210346</c:v>
                </c:pt>
                <c:pt idx="18">
                  <c:v>2.5818237369885422</c:v>
                </c:pt>
                <c:pt idx="19">
                  <c:v>3.2326364869803781</c:v>
                </c:pt>
                <c:pt idx="20">
                  <c:v>4.0151328696125255</c:v>
                </c:pt>
                <c:pt idx="21">
                  <c:v>3.8912159805113644</c:v>
                </c:pt>
                <c:pt idx="22">
                  <c:v>3.9840824208579484</c:v>
                </c:pt>
                <c:pt idx="23" formatCode="0.00">
                  <c:v>4.1407999999999889</c:v>
                </c:pt>
                <c:pt idx="24" formatCode="0.00">
                  <c:v>4.0696099999999902</c:v>
                </c:pt>
                <c:pt idx="25" formatCode="0.00">
                  <c:v>3.9377999999999913</c:v>
                </c:pt>
              </c:numCache>
            </c:numRef>
          </c:xVal>
          <c:yVal>
            <c:numRef>
              <c:f>Sector1!$G$23:$AG$23</c:f>
              <c:numCache>
                <c:formatCode>0.0</c:formatCode>
                <c:ptCount val="27"/>
                <c:pt idx="1">
                  <c:v>2.7445359364352662</c:v>
                </c:pt>
                <c:pt idx="2">
                  <c:v>4.2886811706422501</c:v>
                </c:pt>
                <c:pt idx="3">
                  <c:v>3.7721997763183746</c:v>
                </c:pt>
                <c:pt idx="4">
                  <c:v>5.5648694721122549</c:v>
                </c:pt>
                <c:pt idx="5">
                  <c:v>6.2846390107470285</c:v>
                </c:pt>
                <c:pt idx="6">
                  <c:v>2.8988431892746025</c:v>
                </c:pt>
                <c:pt idx="7">
                  <c:v>4.0871345605225651</c:v>
                </c:pt>
                <c:pt idx="8">
                  <c:v>3.9733740644160687</c:v>
                </c:pt>
                <c:pt idx="9">
                  <c:v>3.5894148223736266</c:v>
                </c:pt>
                <c:pt idx="10">
                  <c:v>3.9075875259487303</c:v>
                </c:pt>
                <c:pt idx="11">
                  <c:v>3.9078932304936309</c:v>
                </c:pt>
                <c:pt idx="12">
                  <c:v>5.2954756905138511</c:v>
                </c:pt>
                <c:pt idx="13">
                  <c:v>3.3572400190670093</c:v>
                </c:pt>
                <c:pt idx="14">
                  <c:v>2.5861127781788174</c:v>
                </c:pt>
                <c:pt idx="15">
                  <c:v>5.4343205922134485</c:v>
                </c:pt>
                <c:pt idx="16">
                  <c:v>3.5637816277590106</c:v>
                </c:pt>
                <c:pt idx="17">
                  <c:v>1.3074053618210346</c:v>
                </c:pt>
                <c:pt idx="18">
                  <c:v>2.5818237369885422</c:v>
                </c:pt>
                <c:pt idx="19">
                  <c:v>3.2326364869803781</c:v>
                </c:pt>
                <c:pt idx="20">
                  <c:v>4.0151328696125255</c:v>
                </c:pt>
                <c:pt idx="21">
                  <c:v>3.8912159805113644</c:v>
                </c:pt>
                <c:pt idx="22">
                  <c:v>3.9840824208579484</c:v>
                </c:pt>
                <c:pt idx="23" formatCode="0.00">
                  <c:v>4.1407999999999889</c:v>
                </c:pt>
                <c:pt idx="24" formatCode="0.00">
                  <c:v>4.0696099999999902</c:v>
                </c:pt>
                <c:pt idx="25" formatCode="0.00">
                  <c:v>3.9377999999999913</c:v>
                </c:pt>
              </c:numCache>
            </c:numRef>
          </c:yVal>
          <c:smooth val="0"/>
          <c:extLst>
            <c:ext xmlns:c16="http://schemas.microsoft.com/office/drawing/2014/chart" uri="{C3380CC4-5D6E-409C-BE32-E72D297353CC}">
              <c16:uniqueId val="{0000000F-C186-4358-B5DE-DE3E527CD765}"/>
            </c:ext>
          </c:extLst>
        </c:ser>
        <c:dLbls>
          <c:showLegendKey val="0"/>
          <c:showVal val="0"/>
          <c:showCatName val="0"/>
          <c:showSerName val="0"/>
          <c:showPercent val="0"/>
          <c:showBubbleSize val="0"/>
        </c:dLbls>
        <c:axId val="214497152"/>
        <c:axId val="214498688"/>
      </c:scatterChart>
      <c:valAx>
        <c:axId val="214497152"/>
        <c:scaling>
          <c:orientation val="minMax"/>
        </c:scaling>
        <c:delete val="0"/>
        <c:axPos val="b"/>
        <c:majorGridlines>
          <c:spPr>
            <a:ln w="3175">
              <a:solidFill>
                <a:srgbClr val="000000"/>
              </a:solidFill>
              <a:prstDash val="solid"/>
            </a:ln>
          </c:spPr>
        </c:majorGridlines>
        <c:numFmt formatCode="0" sourceLinked="0"/>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14498688"/>
        <c:crosses val="autoZero"/>
        <c:crossBetween val="midCat"/>
      </c:valAx>
      <c:valAx>
        <c:axId val="214498688"/>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14497152"/>
        <c:crosses val="autoZero"/>
        <c:crossBetween val="midCat"/>
      </c:valAx>
      <c:spPr>
        <a:noFill/>
        <a:ln w="12700">
          <a:solidFill>
            <a:srgbClr val="808080"/>
          </a:solidFill>
          <a:prstDash val="solid"/>
        </a:ln>
      </c:spPr>
    </c:plotArea>
    <c:legend>
      <c:legendPos val="r"/>
      <c:layout>
        <c:manualLayout>
          <c:xMode val="edge"/>
          <c:yMode val="edge"/>
          <c:x val="3.0357222265334469E-2"/>
          <c:y val="0.88528395830256257"/>
          <c:w val="0.94643104709572179"/>
          <c:h val="0.10389640586435941"/>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Indirect taxes and its main components</a:t>
            </a:r>
          </a:p>
        </c:rich>
      </c:tx>
      <c:layout>
        <c:manualLayout>
          <c:xMode val="edge"/>
          <c:yMode val="edge"/>
          <c:x val="0.21875023434570678"/>
          <c:y val="3.3613445378151259E-2"/>
        </c:manualLayout>
      </c:layout>
      <c:overlay val="0"/>
      <c:spPr>
        <a:noFill/>
        <a:ln w="25400">
          <a:noFill/>
        </a:ln>
      </c:spPr>
    </c:title>
    <c:autoTitleDeleted val="0"/>
    <c:plotArea>
      <c:layout>
        <c:manualLayout>
          <c:layoutTarget val="inner"/>
          <c:xMode val="edge"/>
          <c:yMode val="edge"/>
          <c:x val="0.10044653804946686"/>
          <c:y val="0.17366994285589235"/>
          <c:w val="0.83259019316558092"/>
          <c:h val="0.4677883944666778"/>
        </c:manualLayout>
      </c:layout>
      <c:lineChart>
        <c:grouping val="standard"/>
        <c:varyColors val="0"/>
        <c:ser>
          <c:idx val="0"/>
          <c:order val="0"/>
          <c:tx>
            <c:strRef>
              <c:f>Sector1!$D$22:$E$22</c:f>
              <c:strCache>
                <c:ptCount val="2"/>
                <c:pt idx="0">
                  <c:v>GVT</c:v>
                </c:pt>
                <c:pt idx="1">
                  <c:v>Taxes on production and imports (D.2r = D.21r+D.29r)</c:v>
                </c:pt>
              </c:strCache>
            </c:strRef>
          </c:tx>
          <c:spPr>
            <a:ln w="25400">
              <a:solidFill>
                <a:srgbClr val="FF0000"/>
              </a:solidFill>
              <a:prstDash val="solid"/>
            </a:ln>
          </c:spPr>
          <c:marker>
            <c:symbol val="diamond"/>
            <c:size val="5"/>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Sector1!$G$22:$AG$22</c:f>
              <c:numCache>
                <c:formatCode>0.0</c:formatCode>
                <c:ptCount val="27"/>
                <c:pt idx="1">
                  <c:v>6.6727578032398371</c:v>
                </c:pt>
                <c:pt idx="2">
                  <c:v>2.5579769527434015</c:v>
                </c:pt>
                <c:pt idx="3">
                  <c:v>16.503999711081807</c:v>
                </c:pt>
                <c:pt idx="4">
                  <c:v>4.6095127385449963</c:v>
                </c:pt>
                <c:pt idx="5">
                  <c:v>-0.10408525360131593</c:v>
                </c:pt>
                <c:pt idx="6">
                  <c:v>4.5945344654974241</c:v>
                </c:pt>
                <c:pt idx="7">
                  <c:v>4.7270110358372142</c:v>
                </c:pt>
                <c:pt idx="8">
                  <c:v>3.3942081478597785</c:v>
                </c:pt>
                <c:pt idx="9">
                  <c:v>2.6024580771472294</c:v>
                </c:pt>
                <c:pt idx="10">
                  <c:v>4.4702942969006676</c:v>
                </c:pt>
                <c:pt idx="11">
                  <c:v>4.358423398864697</c:v>
                </c:pt>
                <c:pt idx="12">
                  <c:v>6.0567213978400147</c:v>
                </c:pt>
                <c:pt idx="13">
                  <c:v>4.438078837853654</c:v>
                </c:pt>
                <c:pt idx="14">
                  <c:v>-1.6405246719479183</c:v>
                </c:pt>
                <c:pt idx="15">
                  <c:v>5.004466234594851</c:v>
                </c:pt>
                <c:pt idx="16">
                  <c:v>2.5726207958737701</c:v>
                </c:pt>
                <c:pt idx="17">
                  <c:v>1.9027415591331476</c:v>
                </c:pt>
                <c:pt idx="18">
                  <c:v>2.1915310243544095</c:v>
                </c:pt>
                <c:pt idx="19">
                  <c:v>2.9572207179101584</c:v>
                </c:pt>
                <c:pt idx="20">
                  <c:v>6.5399557985343693</c:v>
                </c:pt>
                <c:pt idx="21">
                  <c:v>7.8081805914027802</c:v>
                </c:pt>
                <c:pt idx="22">
                  <c:v>4.4653807164174886</c:v>
                </c:pt>
                <c:pt idx="23" formatCode="0.00">
                  <c:v>4.2333708656047131</c:v>
                </c:pt>
                <c:pt idx="24" formatCode="0.00">
                  <c:v>3.4970654442297189</c:v>
                </c:pt>
                <c:pt idx="25" formatCode="0.00">
                  <c:v>3.4998660796967229</c:v>
                </c:pt>
              </c:numCache>
            </c:numRef>
          </c:val>
          <c:smooth val="0"/>
          <c:extLst>
            <c:ext xmlns:c16="http://schemas.microsoft.com/office/drawing/2014/chart" uri="{C3380CC4-5D6E-409C-BE32-E72D297353CC}">
              <c16:uniqueId val="{00000000-3DFD-47D8-A7EE-9AFA2EB4CE16}"/>
            </c:ext>
          </c:extLst>
        </c:ser>
        <c:ser>
          <c:idx val="2"/>
          <c:order val="1"/>
          <c:tx>
            <c:strRef>
              <c:f>Sector1!$D$17:$E$17</c:f>
              <c:strCache>
                <c:ptCount val="2"/>
                <c:pt idx="0">
                  <c:v>ECO</c:v>
                </c:pt>
                <c:pt idx="1">
                  <c:v>Taxes on products (D.21p)</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val>
            <c:numRef>
              <c:f>Sector1!$G$17:$AG$17</c:f>
              <c:numCache>
                <c:formatCode>0.0</c:formatCode>
                <c:ptCount val="27"/>
                <c:pt idx="1">
                  <c:v>-0.57698614828342043</c:v>
                </c:pt>
                <c:pt idx="2">
                  <c:v>2.1511069118868908</c:v>
                </c:pt>
                <c:pt idx="3">
                  <c:v>5.9323047482358504</c:v>
                </c:pt>
                <c:pt idx="4">
                  <c:v>5.3479357193933375</c:v>
                </c:pt>
                <c:pt idx="5">
                  <c:v>3.3859674192626477</c:v>
                </c:pt>
                <c:pt idx="6">
                  <c:v>5.2585021320119552</c:v>
                </c:pt>
                <c:pt idx="7">
                  <c:v>4.9938282952963764</c:v>
                </c:pt>
                <c:pt idx="8">
                  <c:v>4.1312830646472509</c:v>
                </c:pt>
                <c:pt idx="9">
                  <c:v>3.4536288324860998</c:v>
                </c:pt>
                <c:pt idx="10">
                  <c:v>5.1572662918706769</c:v>
                </c:pt>
                <c:pt idx="11">
                  <c:v>5.5438406677118079</c:v>
                </c:pt>
                <c:pt idx="12">
                  <c:v>5.7659820396550154</c:v>
                </c:pt>
                <c:pt idx="13">
                  <c:v>1.9626799061434497</c:v>
                </c:pt>
                <c:pt idx="14">
                  <c:v>1.4054827406428494</c:v>
                </c:pt>
                <c:pt idx="15">
                  <c:v>5.8680332200650165</c:v>
                </c:pt>
                <c:pt idx="16">
                  <c:v>2.0983917600289059</c:v>
                </c:pt>
                <c:pt idx="17">
                  <c:v>-0.58516404504325159</c:v>
                </c:pt>
                <c:pt idx="18">
                  <c:v>1.2973863117955231</c:v>
                </c:pt>
                <c:pt idx="19">
                  <c:v>3.3783323630532047</c:v>
                </c:pt>
                <c:pt idx="20">
                  <c:v>6.7825820860950348</c:v>
                </c:pt>
                <c:pt idx="21">
                  <c:v>5.9531532965830136</c:v>
                </c:pt>
                <c:pt idx="22">
                  <c:v>4.1400891052659317</c:v>
                </c:pt>
                <c:pt idx="23">
                  <c:v>4.9391639287926541</c:v>
                </c:pt>
                <c:pt idx="24">
                  <c:v>4.3905201984733964</c:v>
                </c:pt>
                <c:pt idx="25">
                  <c:v>3.5375373553437228</c:v>
                </c:pt>
              </c:numCache>
            </c:numRef>
          </c:val>
          <c:smooth val="0"/>
          <c:extLst>
            <c:ext xmlns:c16="http://schemas.microsoft.com/office/drawing/2014/chart" uri="{C3380CC4-5D6E-409C-BE32-E72D297353CC}">
              <c16:uniqueId val="{00000001-3DFD-47D8-A7EE-9AFA2EB4CE16}"/>
            </c:ext>
          </c:extLst>
        </c:ser>
        <c:ser>
          <c:idx val="3"/>
          <c:order val="2"/>
          <c:tx>
            <c:strRef>
              <c:f>Sector1!$D$18:$E$18</c:f>
              <c:strCache>
                <c:ptCount val="2"/>
                <c:pt idx="0">
                  <c:v>HH</c:v>
                </c:pt>
                <c:pt idx="1">
                  <c:v>Other taxes on production (D.29p)</c:v>
                </c:pt>
              </c:strCache>
            </c:strRef>
          </c:tx>
          <c:spPr>
            <a:ln w="12700">
              <a:solidFill>
                <a:srgbClr val="339966"/>
              </a:solidFill>
              <a:prstDash val="solid"/>
            </a:ln>
          </c:spPr>
          <c:marker>
            <c:symbol val="square"/>
            <c:size val="5"/>
            <c:spPr>
              <a:solidFill>
                <a:srgbClr val="FFFFFF"/>
              </a:solidFill>
              <a:ln>
                <a:solidFill>
                  <a:srgbClr val="339966"/>
                </a:solidFill>
                <a:prstDash val="solid"/>
              </a:ln>
            </c:spPr>
          </c:marker>
          <c:val>
            <c:numRef>
              <c:f>Sector1!$G$18:$AJ$18</c:f>
              <c:numCache>
                <c:formatCode>0.0</c:formatCode>
                <c:ptCount val="30"/>
                <c:pt idx="1">
                  <c:v>26.536653317081658</c:v>
                </c:pt>
                <c:pt idx="2">
                  <c:v>-3.8255125911655363</c:v>
                </c:pt>
                <c:pt idx="3">
                  <c:v>5.260647684456532</c:v>
                </c:pt>
                <c:pt idx="4">
                  <c:v>-1.9574082464884346</c:v>
                </c:pt>
                <c:pt idx="5">
                  <c:v>12.496533875589222</c:v>
                </c:pt>
                <c:pt idx="6">
                  <c:v>1.9636841672828975</c:v>
                </c:pt>
                <c:pt idx="7">
                  <c:v>7.1796937953263473</c:v>
                </c:pt>
                <c:pt idx="8">
                  <c:v>4.9620329298549093</c:v>
                </c:pt>
                <c:pt idx="9">
                  <c:v>0.2256285366377675</c:v>
                </c:pt>
                <c:pt idx="10">
                  <c:v>3.9807039485438622</c:v>
                </c:pt>
                <c:pt idx="11">
                  <c:v>1.3265060655005323</c:v>
                </c:pt>
                <c:pt idx="12">
                  <c:v>5.4129218246566024</c:v>
                </c:pt>
                <c:pt idx="13">
                  <c:v>-7.1168881310125105</c:v>
                </c:pt>
                <c:pt idx="14">
                  <c:v>1.1500225155010702</c:v>
                </c:pt>
                <c:pt idx="15">
                  <c:v>-1.5204958734289842</c:v>
                </c:pt>
                <c:pt idx="16">
                  <c:v>1.9125778071426014</c:v>
                </c:pt>
                <c:pt idx="17">
                  <c:v>3.6441805711945996</c:v>
                </c:pt>
                <c:pt idx="18">
                  <c:v>1.306995884773654</c:v>
                </c:pt>
                <c:pt idx="19">
                  <c:v>-0.36721695047445824</c:v>
                </c:pt>
                <c:pt idx="20">
                  <c:v>2.4593104797938636</c:v>
                </c:pt>
                <c:pt idx="21">
                  <c:v>2.6836023302454493</c:v>
                </c:pt>
                <c:pt idx="22">
                  <c:v>-2.9885912698412676</c:v>
                </c:pt>
                <c:pt idx="23">
                  <c:v>3.4286255269198795</c:v>
                </c:pt>
                <c:pt idx="24">
                  <c:v>1.8906374559607531</c:v>
                </c:pt>
                <c:pt idx="25">
                  <c:v>3.1906477463386418</c:v>
                </c:pt>
                <c:pt idx="27">
                  <c:v>6.6116669650074238</c:v>
                </c:pt>
                <c:pt idx="28">
                  <c:v>6.8869545744665341</c:v>
                </c:pt>
                <c:pt idx="29">
                  <c:v>6.9177363932594842</c:v>
                </c:pt>
              </c:numCache>
            </c:numRef>
          </c:val>
          <c:smooth val="0"/>
          <c:extLst>
            <c:ext xmlns:c16="http://schemas.microsoft.com/office/drawing/2014/chart" uri="{C3380CC4-5D6E-409C-BE32-E72D297353CC}">
              <c16:uniqueId val="{00000002-3DFD-47D8-A7EE-9AFA2EB4CE16}"/>
            </c:ext>
          </c:extLst>
        </c:ser>
        <c:ser>
          <c:idx val="4"/>
          <c:order val="3"/>
          <c:tx>
            <c:strRef>
              <c:f>Sector1!$D$19:$E$19</c:f>
              <c:strCache>
                <c:ptCount val="2"/>
                <c:pt idx="0">
                  <c:v>E</c:v>
                </c:pt>
                <c:pt idx="1">
                  <c:v>Other taxes on production (D.29p)</c:v>
                </c:pt>
              </c:strCache>
            </c:strRef>
          </c:tx>
          <c:spPr>
            <a:ln w="12700">
              <a:solidFill>
                <a:srgbClr val="993366"/>
              </a:solidFill>
              <a:prstDash val="solid"/>
            </a:ln>
          </c:spPr>
          <c:marker>
            <c:symbol val="square"/>
            <c:size val="5"/>
            <c:spPr>
              <a:solidFill>
                <a:srgbClr val="FFFFFF"/>
              </a:solidFill>
              <a:ln>
                <a:solidFill>
                  <a:srgbClr val="993366"/>
                </a:solidFill>
                <a:prstDash val="solid"/>
              </a:ln>
            </c:spPr>
          </c:marker>
          <c:val>
            <c:numRef>
              <c:f>Sector1!$G$19:$AJ$19</c:f>
              <c:numCache>
                <c:formatCode>0.0</c:formatCode>
                <c:ptCount val="30"/>
                <c:pt idx="1">
                  <c:v>20.449549240667153</c:v>
                </c:pt>
                <c:pt idx="2">
                  <c:v>2.906777177780584</c:v>
                </c:pt>
                <c:pt idx="3">
                  <c:v>33.331435033396531</c:v>
                </c:pt>
                <c:pt idx="4">
                  <c:v>6.095663475443458</c:v>
                </c:pt>
                <c:pt idx="5">
                  <c:v>-1.5700753981262694</c:v>
                </c:pt>
                <c:pt idx="6">
                  <c:v>5.2919420147592433</c:v>
                </c:pt>
                <c:pt idx="7">
                  <c:v>3.0465472464540122</c:v>
                </c:pt>
                <c:pt idx="8">
                  <c:v>1.1034282206210166</c:v>
                </c:pt>
                <c:pt idx="9">
                  <c:v>1.7683748528573684</c:v>
                </c:pt>
                <c:pt idx="10">
                  <c:v>4.0750956490791079</c:v>
                </c:pt>
                <c:pt idx="11">
                  <c:v>4.3118144924037871</c:v>
                </c:pt>
                <c:pt idx="12">
                  <c:v>6.7591347150508962</c:v>
                </c:pt>
                <c:pt idx="13">
                  <c:v>6.6432445369688731</c:v>
                </c:pt>
                <c:pt idx="14">
                  <c:v>-6.6731878350567815</c:v>
                </c:pt>
                <c:pt idx="15">
                  <c:v>4.6384899838925575</c:v>
                </c:pt>
                <c:pt idx="16">
                  <c:v>4.6535829813804552</c:v>
                </c:pt>
                <c:pt idx="17">
                  <c:v>4.7872384503832688</c:v>
                </c:pt>
                <c:pt idx="18">
                  <c:v>2.8204377945781678</c:v>
                </c:pt>
                <c:pt idx="19">
                  <c:v>2.7580690440206723</c:v>
                </c:pt>
                <c:pt idx="20">
                  <c:v>6.4608602255163516</c:v>
                </c:pt>
                <c:pt idx="21">
                  <c:v>10.894882818404561</c:v>
                </c:pt>
                <c:pt idx="22">
                  <c:v>5.2332105520087824</c:v>
                </c:pt>
                <c:pt idx="23">
                  <c:v>3.4286255269198795</c:v>
                </c:pt>
                <c:pt idx="24">
                  <c:v>1.8906374559607531</c:v>
                </c:pt>
                <c:pt idx="25">
                  <c:v>3.1906477463386418</c:v>
                </c:pt>
                <c:pt idx="27" formatCode="0.00">
                  <c:v>0.93</c:v>
                </c:pt>
                <c:pt idx="28" formatCode="0.00">
                  <c:v>0.93</c:v>
                </c:pt>
                <c:pt idx="29" formatCode="0.00">
                  <c:v>0.93</c:v>
                </c:pt>
              </c:numCache>
            </c:numRef>
          </c:val>
          <c:smooth val="0"/>
          <c:extLst>
            <c:ext xmlns:c16="http://schemas.microsoft.com/office/drawing/2014/chart" uri="{C3380CC4-5D6E-409C-BE32-E72D297353CC}">
              <c16:uniqueId val="{00000003-3DFD-47D8-A7EE-9AFA2EB4CE16}"/>
            </c:ext>
          </c:extLst>
        </c:ser>
        <c:dLbls>
          <c:showLegendKey val="0"/>
          <c:showVal val="0"/>
          <c:showCatName val="0"/>
          <c:showSerName val="0"/>
          <c:showPercent val="0"/>
          <c:showBubbleSize val="0"/>
        </c:dLbls>
        <c:marker val="1"/>
        <c:smooth val="0"/>
        <c:axId val="290985472"/>
        <c:axId val="290987392"/>
      </c:lineChart>
      <c:catAx>
        <c:axId val="290985472"/>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90987392"/>
        <c:crosses val="autoZero"/>
        <c:auto val="1"/>
        <c:lblAlgn val="ctr"/>
        <c:lblOffset val="100"/>
        <c:tickLblSkip val="2"/>
        <c:tickMarkSkip val="1"/>
        <c:noMultiLvlLbl val="0"/>
      </c:catAx>
      <c:valAx>
        <c:axId val="290987392"/>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90985472"/>
        <c:crosses val="autoZero"/>
        <c:crossBetween val="midCat"/>
      </c:valAx>
      <c:spPr>
        <a:noFill/>
        <a:ln w="12700">
          <a:solidFill>
            <a:srgbClr val="808080"/>
          </a:solidFill>
          <a:prstDash val="solid"/>
        </a:ln>
      </c:spPr>
    </c:plotArea>
    <c:legend>
      <c:legendPos val="r"/>
      <c:layout>
        <c:manualLayout>
          <c:xMode val="edge"/>
          <c:yMode val="edge"/>
          <c:x val="8.9285947839219032E-2"/>
          <c:y val="0.76407148479414311"/>
          <c:w val="0.853573661342934"/>
          <c:h val="0.21428633709524128"/>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Direct taxes and GDP</a:t>
            </a:r>
          </a:p>
        </c:rich>
      </c:tx>
      <c:layout>
        <c:manualLayout>
          <c:xMode val="edge"/>
          <c:yMode val="edge"/>
          <c:x val="0.34598261154855642"/>
          <c:y val="3.3613445378151259E-2"/>
        </c:manualLayout>
      </c:layout>
      <c:overlay val="0"/>
      <c:spPr>
        <a:noFill/>
        <a:ln w="25400">
          <a:noFill/>
        </a:ln>
      </c:spPr>
    </c:title>
    <c:autoTitleDeleted val="0"/>
    <c:plotArea>
      <c:layout>
        <c:manualLayout>
          <c:layoutTarget val="inner"/>
          <c:xMode val="edge"/>
          <c:yMode val="edge"/>
          <c:x val="9.1517956889514251E-2"/>
          <c:y val="0.17647107096647127"/>
          <c:w val="0.84151877432553357"/>
          <c:h val="0.61904931243793893"/>
        </c:manualLayout>
      </c:layout>
      <c:lineChart>
        <c:grouping val="standard"/>
        <c:varyColors val="0"/>
        <c:ser>
          <c:idx val="0"/>
          <c:order val="0"/>
          <c:tx>
            <c:strRef>
              <c:f>Sector1!$D$211:$E$211</c:f>
              <c:strCache>
                <c:ptCount val="2"/>
                <c:pt idx="0">
                  <c:v>GVT</c:v>
                </c:pt>
                <c:pt idx="1">
                  <c:v>Current taxes on income and wealth (D.5r)  </c:v>
                </c:pt>
              </c:strCache>
            </c:strRef>
          </c:tx>
          <c:spPr>
            <a:ln w="25400">
              <a:solidFill>
                <a:srgbClr val="FF0000"/>
              </a:solidFill>
              <a:prstDash val="solid"/>
            </a:ln>
          </c:spPr>
          <c:marker>
            <c:symbol val="diamond"/>
            <c:size val="5"/>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Sector1!$G$211:$AG$211</c:f>
              <c:numCache>
                <c:formatCode>0.0</c:formatCode>
                <c:ptCount val="27"/>
                <c:pt idx="1">
                  <c:v>7.4787503518153775</c:v>
                </c:pt>
                <c:pt idx="2">
                  <c:v>6.4039782963924985</c:v>
                </c:pt>
                <c:pt idx="3">
                  <c:v>4.0137623145889867</c:v>
                </c:pt>
                <c:pt idx="4">
                  <c:v>9.244834798739344</c:v>
                </c:pt>
                <c:pt idx="5">
                  <c:v>10.193455603974799</c:v>
                </c:pt>
                <c:pt idx="6">
                  <c:v>-4.5179373078707119</c:v>
                </c:pt>
                <c:pt idx="7">
                  <c:v>-2.2664300741478738</c:v>
                </c:pt>
                <c:pt idx="8">
                  <c:v>7.4866884593998151</c:v>
                </c:pt>
                <c:pt idx="9">
                  <c:v>8.5818533824788545</c:v>
                </c:pt>
                <c:pt idx="10">
                  <c:v>9.7959633001032387</c:v>
                </c:pt>
                <c:pt idx="11">
                  <c:v>7.4614108879563767</c:v>
                </c:pt>
                <c:pt idx="12">
                  <c:v>1.5942379227644299</c:v>
                </c:pt>
                <c:pt idx="13">
                  <c:v>-4.392403062261474</c:v>
                </c:pt>
                <c:pt idx="14">
                  <c:v>-4.2039871504157222</c:v>
                </c:pt>
                <c:pt idx="15">
                  <c:v>5.1332882929531642</c:v>
                </c:pt>
                <c:pt idx="16">
                  <c:v>0.85494808238646414</c:v>
                </c:pt>
                <c:pt idx="17">
                  <c:v>-0.43547754476860323</c:v>
                </c:pt>
                <c:pt idx="18">
                  <c:v>4.4171091353564895</c:v>
                </c:pt>
                <c:pt idx="19">
                  <c:v>4.5763631862904663</c:v>
                </c:pt>
                <c:pt idx="20">
                  <c:v>9.9944815745907079</c:v>
                </c:pt>
                <c:pt idx="21">
                  <c:v>6.9080358890659221</c:v>
                </c:pt>
                <c:pt idx="22">
                  <c:v>5.1589495843155531</c:v>
                </c:pt>
                <c:pt idx="23">
                  <c:v>3.2526271301244192</c:v>
                </c:pt>
                <c:pt idx="24">
                  <c:v>3.1279271146667176</c:v>
                </c:pt>
                <c:pt idx="25">
                  <c:v>2.8384032168518258</c:v>
                </c:pt>
              </c:numCache>
            </c:numRef>
          </c:val>
          <c:smooth val="0"/>
          <c:extLst>
            <c:ext xmlns:c16="http://schemas.microsoft.com/office/drawing/2014/chart" uri="{C3380CC4-5D6E-409C-BE32-E72D297353CC}">
              <c16:uniqueId val="{00000000-DDA4-4883-BDBB-07A70DDBC7CC}"/>
            </c:ext>
          </c:extLst>
        </c:ser>
        <c:ser>
          <c:idx val="1"/>
          <c:order val="1"/>
          <c:tx>
            <c:strRef>
              <c:f>'VVP2'!$E$348</c:f>
              <c:strCache>
                <c:ptCount val="1"/>
                <c:pt idx="0">
                  <c:v>GDP</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'VVP2'!$G$348:$AG$348</c:f>
              <c:numCache>
                <c:formatCode>0.0</c:formatCode>
                <c:ptCount val="27"/>
                <c:pt idx="1">
                  <c:v>2.5842575072335894</c:v>
                </c:pt>
                <c:pt idx="2">
                  <c:v>4.528587483935409</c:v>
                </c:pt>
                <c:pt idx="3">
                  <c:v>5.0657326637579603</c:v>
                </c:pt>
                <c:pt idx="4">
                  <c:v>5.4682108787114991</c:v>
                </c:pt>
                <c:pt idx="5">
                  <c:v>6.3846614236626298</c:v>
                </c:pt>
                <c:pt idx="6">
                  <c:v>4.1235495837014691</c:v>
                </c:pt>
                <c:pt idx="7">
                  <c:v>3.7085461393536079</c:v>
                </c:pt>
                <c:pt idx="8">
                  <c:v>4.1532907089817606</c:v>
                </c:pt>
                <c:pt idx="9">
                  <c:v>4.7574232625837265</c:v>
                </c:pt>
                <c:pt idx="10">
                  <c:v>3.6419274584167605</c:v>
                </c:pt>
                <c:pt idx="11">
                  <c:v>6.6015777053014757</c:v>
                </c:pt>
                <c:pt idx="12">
                  <c:v>6.3860651262684476</c:v>
                </c:pt>
                <c:pt idx="13">
                  <c:v>2.7476057889422645</c:v>
                </c:pt>
                <c:pt idx="14">
                  <c:v>-2.9387197675724841</c:v>
                </c:pt>
                <c:pt idx="15">
                  <c:v>7.0417486707964771</c:v>
                </c:pt>
                <c:pt idx="16">
                  <c:v>3.8940367055789515</c:v>
                </c:pt>
                <c:pt idx="17">
                  <c:v>0.76011125791202172</c:v>
                </c:pt>
                <c:pt idx="18">
                  <c:v>2.3060714240210611</c:v>
                </c:pt>
                <c:pt idx="19">
                  <c:v>4.4247138069799297</c:v>
                </c:pt>
                <c:pt idx="20">
                  <c:v>6.6131174787644964</c:v>
                </c:pt>
                <c:pt idx="21" formatCode="0.00">
                  <c:v>4.3782486576955382</c:v>
                </c:pt>
                <c:pt idx="22">
                  <c:v>4.4100360802891814</c:v>
                </c:pt>
                <c:pt idx="23">
                  <c:v>4.8980364670283993</c:v>
                </c:pt>
                <c:pt idx="24">
                  <c:v>3.7812749119215061</c:v>
                </c:pt>
                <c:pt idx="25">
                  <c:v>3.5451641625984909</c:v>
                </c:pt>
              </c:numCache>
            </c:numRef>
          </c:val>
          <c:smooth val="0"/>
          <c:extLst>
            <c:ext xmlns:c16="http://schemas.microsoft.com/office/drawing/2014/chart" uri="{C3380CC4-5D6E-409C-BE32-E72D297353CC}">
              <c16:uniqueId val="{00000001-DDA4-4883-BDBB-07A70DDBC7CC}"/>
            </c:ext>
          </c:extLst>
        </c:ser>
        <c:dLbls>
          <c:showLegendKey val="0"/>
          <c:showVal val="0"/>
          <c:showCatName val="0"/>
          <c:showSerName val="0"/>
          <c:showPercent val="0"/>
          <c:showBubbleSize val="0"/>
        </c:dLbls>
        <c:marker val="1"/>
        <c:smooth val="0"/>
        <c:axId val="291037184"/>
        <c:axId val="291039104"/>
      </c:lineChart>
      <c:catAx>
        <c:axId val="291037184"/>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91039104"/>
        <c:crosses val="autoZero"/>
        <c:auto val="1"/>
        <c:lblAlgn val="ctr"/>
        <c:lblOffset val="100"/>
        <c:tickLblSkip val="2"/>
        <c:tickMarkSkip val="1"/>
        <c:noMultiLvlLbl val="0"/>
      </c:catAx>
      <c:valAx>
        <c:axId val="291039104"/>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91037184"/>
        <c:crosses val="autoZero"/>
        <c:crossBetween val="midCat"/>
      </c:valAx>
      <c:spPr>
        <a:noFill/>
        <a:ln w="12700">
          <a:solidFill>
            <a:srgbClr val="808080"/>
          </a:solidFill>
          <a:prstDash val="solid"/>
        </a:ln>
      </c:spPr>
    </c:plotArea>
    <c:legend>
      <c:legendPos val="r"/>
      <c:layout>
        <c:manualLayout>
          <c:xMode val="edge"/>
          <c:yMode val="edge"/>
          <c:x val="5.8928725573884566E-2"/>
          <c:y val="0.91342256822415979"/>
          <c:w val="0.86250225612685594"/>
          <c:h val="6.2770745209717135E-2"/>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t>Direct taxes related to GDP</a:t>
            </a:r>
          </a:p>
        </c:rich>
      </c:tx>
      <c:layout>
        <c:manualLayout>
          <c:xMode val="edge"/>
          <c:yMode val="edge"/>
          <c:x val="0.30357166291713533"/>
          <c:y val="3.3613445378151259E-2"/>
        </c:manualLayout>
      </c:layout>
      <c:overlay val="0"/>
      <c:spPr>
        <a:noFill/>
        <a:ln w="25400">
          <a:noFill/>
        </a:ln>
      </c:spPr>
    </c:title>
    <c:autoTitleDeleted val="0"/>
    <c:plotArea>
      <c:layout>
        <c:manualLayout>
          <c:layoutTarget val="inner"/>
          <c:xMode val="edge"/>
          <c:yMode val="edge"/>
          <c:x val="4.9107196379739357E-2"/>
          <c:y val="0.17647107096647127"/>
          <c:w val="0.90401884244520181"/>
          <c:h val="0.50140193179362469"/>
        </c:manualLayout>
      </c:layout>
      <c:scatterChart>
        <c:scatterStyle val="lineMarker"/>
        <c:varyColors val="0"/>
        <c:ser>
          <c:idx val="0"/>
          <c:order val="0"/>
          <c:tx>
            <c:strRef>
              <c:f>Sector1!$D$211:$E$211</c:f>
              <c:strCache>
                <c:ptCount val="2"/>
                <c:pt idx="0">
                  <c:v>GVT</c:v>
                </c:pt>
                <c:pt idx="1">
                  <c:v>Current taxes on income and wealth (D.5r)  </c:v>
                </c:pt>
              </c:strCache>
            </c:strRef>
          </c:tx>
          <c:spPr>
            <a:ln w="28575">
              <a:noFill/>
            </a:ln>
          </c:spPr>
          <c:marker>
            <c:symbol val="circle"/>
            <c:size val="7"/>
            <c:spPr>
              <a:solidFill>
                <a:srgbClr val="FFFFFF"/>
              </a:solidFill>
              <a:ln>
                <a:solidFill>
                  <a:srgbClr val="800080"/>
                </a:solidFill>
                <a:prstDash val="solid"/>
              </a:ln>
            </c:spPr>
          </c:marker>
          <c:dLbls>
            <c:dLbl>
              <c:idx val="1"/>
              <c:tx>
                <c:rich>
                  <a:bodyPr/>
                  <a:lstStyle/>
                  <a:p>
                    <a:r>
                      <a:t>1996</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7088-42A0-880B-4288A07677BD}"/>
                </c:ext>
              </c:extLst>
            </c:dLbl>
            <c:dLbl>
              <c:idx val="2"/>
              <c:tx>
                <c:rich>
                  <a:bodyPr/>
                  <a:lstStyle/>
                  <a:p>
                    <a:r>
                      <a:t>1997</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088-42A0-880B-4288A07677BD}"/>
                </c:ext>
              </c:extLst>
            </c:dLbl>
            <c:dLbl>
              <c:idx val="3"/>
              <c:tx>
                <c:rich>
                  <a:bodyPr/>
                  <a:lstStyle/>
                  <a:p>
                    <a:r>
                      <a:t>1998</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7088-42A0-880B-4288A07677BD}"/>
                </c:ext>
              </c:extLst>
            </c:dLbl>
            <c:dLbl>
              <c:idx val="4"/>
              <c:tx>
                <c:rich>
                  <a:bodyPr/>
                  <a:lstStyle/>
                  <a:p>
                    <a:r>
                      <a:t>1999</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088-42A0-880B-4288A07677BD}"/>
                </c:ext>
              </c:extLst>
            </c:dLbl>
            <c:dLbl>
              <c:idx val="5"/>
              <c:tx>
                <c:rich>
                  <a:bodyPr/>
                  <a:lstStyle/>
                  <a:p>
                    <a:r>
                      <a:t>2000</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7088-42A0-880B-4288A07677BD}"/>
                </c:ext>
              </c:extLst>
            </c:dLbl>
            <c:dLbl>
              <c:idx val="6"/>
              <c:tx>
                <c:rich>
                  <a:bodyPr/>
                  <a:lstStyle/>
                  <a:p>
                    <a:r>
                      <a:t>2001</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7088-42A0-880B-4288A07677BD}"/>
                </c:ext>
              </c:extLst>
            </c:dLbl>
            <c:dLbl>
              <c:idx val="7"/>
              <c:tx>
                <c:rich>
                  <a:bodyPr/>
                  <a:lstStyle/>
                  <a:p>
                    <a:r>
                      <a:t>2002</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7088-42A0-880B-4288A07677BD}"/>
                </c:ext>
              </c:extLst>
            </c:dLbl>
            <c:dLbl>
              <c:idx val="8"/>
              <c:tx>
                <c:rich>
                  <a:bodyPr/>
                  <a:lstStyle/>
                  <a:p>
                    <a:r>
                      <a:t>2003</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7088-42A0-880B-4288A07677BD}"/>
                </c:ext>
              </c:extLst>
            </c:dLbl>
            <c:dLbl>
              <c:idx val="9"/>
              <c:tx>
                <c:rich>
                  <a:bodyPr/>
                  <a:lstStyle/>
                  <a:p>
                    <a:r>
                      <a:t>2004</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7088-42A0-880B-4288A07677BD}"/>
                </c:ext>
              </c:extLst>
            </c:dLbl>
            <c:dLbl>
              <c:idx val="10"/>
              <c:tx>
                <c:rich>
                  <a:bodyPr/>
                  <a:lstStyle/>
                  <a:p>
                    <a:r>
                      <a:t>2005</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7088-42A0-880B-4288A07677BD}"/>
                </c:ext>
              </c:extLst>
            </c:dLbl>
            <c:dLbl>
              <c:idx val="11"/>
              <c:tx>
                <c:rich>
                  <a:bodyPr/>
                  <a:lstStyle/>
                  <a:p>
                    <a:r>
                      <a:t>2006</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7088-42A0-880B-4288A07677BD}"/>
                </c:ext>
              </c:extLst>
            </c:dLbl>
            <c:dLbl>
              <c:idx val="12"/>
              <c:tx>
                <c:rich>
                  <a:bodyPr/>
                  <a:lstStyle/>
                  <a:p>
                    <a:r>
                      <a:t>2007</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7088-42A0-880B-4288A07677BD}"/>
                </c:ext>
              </c:extLst>
            </c:dLbl>
            <c:dLbl>
              <c:idx val="13"/>
              <c:tx>
                <c:rich>
                  <a:bodyPr/>
                  <a:lstStyle/>
                  <a:p>
                    <a:r>
                      <a:t>2008</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7088-42A0-880B-4288A07677BD}"/>
                </c:ext>
              </c:extLst>
            </c:dLbl>
            <c:dLbl>
              <c:idx val="14"/>
              <c:tx>
                <c:rich>
                  <a:bodyPr/>
                  <a:lstStyle/>
                  <a:p>
                    <a:r>
                      <a:t>2009</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7088-42A0-880B-4288A07677BD}"/>
                </c:ext>
              </c:extLst>
            </c:dLbl>
            <c:spPr>
              <a:noFill/>
              <a:ln w="25400">
                <a:noFill/>
              </a:ln>
            </c:spPr>
            <c:txPr>
              <a:bodyPr/>
              <a:lstStyle/>
              <a:p>
                <a:pPr>
                  <a:defRPr sz="800"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25400">
                <a:solidFill>
                  <a:srgbClr val="800080"/>
                </a:solidFill>
                <a:prstDash val="solid"/>
              </a:ln>
            </c:spPr>
            <c:trendlineType val="linear"/>
            <c:dispRSqr val="0"/>
            <c:dispEq val="0"/>
          </c:trendline>
          <c:xVal>
            <c:numRef>
              <c:f>'VVP2'!$G$348:$AG$348</c:f>
              <c:numCache>
                <c:formatCode>0.0</c:formatCode>
                <c:ptCount val="27"/>
                <c:pt idx="1">
                  <c:v>2.5842575072335894</c:v>
                </c:pt>
                <c:pt idx="2">
                  <c:v>4.528587483935409</c:v>
                </c:pt>
                <c:pt idx="3">
                  <c:v>5.0657326637579603</c:v>
                </c:pt>
                <c:pt idx="4">
                  <c:v>5.4682108787114991</c:v>
                </c:pt>
                <c:pt idx="5">
                  <c:v>6.3846614236626298</c:v>
                </c:pt>
                <c:pt idx="6">
                  <c:v>4.1235495837014691</c:v>
                </c:pt>
                <c:pt idx="7">
                  <c:v>3.7085461393536079</c:v>
                </c:pt>
                <c:pt idx="8">
                  <c:v>4.1532907089817606</c:v>
                </c:pt>
                <c:pt idx="9">
                  <c:v>4.7574232625837265</c:v>
                </c:pt>
                <c:pt idx="10">
                  <c:v>3.6419274584167605</c:v>
                </c:pt>
                <c:pt idx="11">
                  <c:v>6.6015777053014757</c:v>
                </c:pt>
                <c:pt idx="12">
                  <c:v>6.3860651262684476</c:v>
                </c:pt>
                <c:pt idx="13">
                  <c:v>2.7476057889422645</c:v>
                </c:pt>
                <c:pt idx="14">
                  <c:v>-2.9387197675724841</c:v>
                </c:pt>
                <c:pt idx="15">
                  <c:v>7.0417486707964771</c:v>
                </c:pt>
                <c:pt idx="16">
                  <c:v>3.8940367055789515</c:v>
                </c:pt>
                <c:pt idx="17">
                  <c:v>0.76011125791202172</c:v>
                </c:pt>
                <c:pt idx="18">
                  <c:v>2.3060714240210611</c:v>
                </c:pt>
                <c:pt idx="19">
                  <c:v>4.4247138069799297</c:v>
                </c:pt>
                <c:pt idx="20">
                  <c:v>6.6131174787644964</c:v>
                </c:pt>
                <c:pt idx="21" formatCode="0.00">
                  <c:v>4.3782486576955382</c:v>
                </c:pt>
                <c:pt idx="22">
                  <c:v>4.4100360802891814</c:v>
                </c:pt>
                <c:pt idx="23">
                  <c:v>4.8980364670283993</c:v>
                </c:pt>
                <c:pt idx="24">
                  <c:v>3.7812749119215061</c:v>
                </c:pt>
                <c:pt idx="25">
                  <c:v>3.5451641625984909</c:v>
                </c:pt>
              </c:numCache>
            </c:numRef>
          </c:xVal>
          <c:yVal>
            <c:numRef>
              <c:f>Sector1!$G$211:$AG$211</c:f>
              <c:numCache>
                <c:formatCode>0.0</c:formatCode>
                <c:ptCount val="27"/>
                <c:pt idx="1">
                  <c:v>7.4787503518153775</c:v>
                </c:pt>
                <c:pt idx="2">
                  <c:v>6.4039782963924985</c:v>
                </c:pt>
                <c:pt idx="3">
                  <c:v>4.0137623145889867</c:v>
                </c:pt>
                <c:pt idx="4">
                  <c:v>9.244834798739344</c:v>
                </c:pt>
                <c:pt idx="5">
                  <c:v>10.193455603974799</c:v>
                </c:pt>
                <c:pt idx="6">
                  <c:v>-4.5179373078707119</c:v>
                </c:pt>
                <c:pt idx="7">
                  <c:v>-2.2664300741478738</c:v>
                </c:pt>
                <c:pt idx="8">
                  <c:v>7.4866884593998151</c:v>
                </c:pt>
                <c:pt idx="9">
                  <c:v>8.5818533824788545</c:v>
                </c:pt>
                <c:pt idx="10">
                  <c:v>9.7959633001032387</c:v>
                </c:pt>
                <c:pt idx="11">
                  <c:v>7.4614108879563767</c:v>
                </c:pt>
                <c:pt idx="12">
                  <c:v>1.5942379227644299</c:v>
                </c:pt>
                <c:pt idx="13">
                  <c:v>-4.392403062261474</c:v>
                </c:pt>
                <c:pt idx="14">
                  <c:v>-4.2039871504157222</c:v>
                </c:pt>
                <c:pt idx="15">
                  <c:v>5.1332882929531642</c:v>
                </c:pt>
                <c:pt idx="16">
                  <c:v>0.85494808238646414</c:v>
                </c:pt>
                <c:pt idx="17">
                  <c:v>-0.43547754476860323</c:v>
                </c:pt>
                <c:pt idx="18">
                  <c:v>4.4171091353564895</c:v>
                </c:pt>
                <c:pt idx="19">
                  <c:v>4.5763631862904663</c:v>
                </c:pt>
                <c:pt idx="20">
                  <c:v>9.9944815745907079</c:v>
                </c:pt>
                <c:pt idx="21">
                  <c:v>6.9080358890659221</c:v>
                </c:pt>
                <c:pt idx="22">
                  <c:v>5.1589495843155531</c:v>
                </c:pt>
                <c:pt idx="23">
                  <c:v>3.2526271301244192</c:v>
                </c:pt>
                <c:pt idx="24">
                  <c:v>3.1279271146667176</c:v>
                </c:pt>
                <c:pt idx="25">
                  <c:v>2.8384032168518258</c:v>
                </c:pt>
              </c:numCache>
            </c:numRef>
          </c:yVal>
          <c:smooth val="0"/>
          <c:extLst>
            <c:ext xmlns:c16="http://schemas.microsoft.com/office/drawing/2014/chart" uri="{C3380CC4-5D6E-409C-BE32-E72D297353CC}">
              <c16:uniqueId val="{0000000E-7088-42A0-880B-4288A07677BD}"/>
            </c:ext>
          </c:extLst>
        </c:ser>
        <c:ser>
          <c:idx val="1"/>
          <c:order val="1"/>
          <c:tx>
            <c:strRef>
              <c:f>Sector1!$F$216</c:f>
              <c:strCache>
                <c:ptCount val="1"/>
                <c:pt idx="0">
                  <c:v>OECD</c:v>
                </c:pt>
              </c:strCache>
            </c:strRef>
          </c:tx>
          <c:spPr>
            <a:ln w="25400">
              <a:solidFill>
                <a:srgbClr val="FF0000"/>
              </a:solidFill>
              <a:prstDash val="solid"/>
            </a:ln>
          </c:spPr>
          <c:marker>
            <c:symbol val="none"/>
          </c:marker>
          <c:xVal>
            <c:numRef>
              <c:f>'VVP2'!$G$348:$AG$348</c:f>
              <c:numCache>
                <c:formatCode>0.0</c:formatCode>
                <c:ptCount val="27"/>
                <c:pt idx="1">
                  <c:v>2.5842575072335894</c:v>
                </c:pt>
                <c:pt idx="2">
                  <c:v>4.528587483935409</c:v>
                </c:pt>
                <c:pt idx="3">
                  <c:v>5.0657326637579603</c:v>
                </c:pt>
                <c:pt idx="4">
                  <c:v>5.4682108787114991</c:v>
                </c:pt>
                <c:pt idx="5">
                  <c:v>6.3846614236626298</c:v>
                </c:pt>
                <c:pt idx="6">
                  <c:v>4.1235495837014691</c:v>
                </c:pt>
                <c:pt idx="7">
                  <c:v>3.7085461393536079</c:v>
                </c:pt>
                <c:pt idx="8">
                  <c:v>4.1532907089817606</c:v>
                </c:pt>
                <c:pt idx="9">
                  <c:v>4.7574232625837265</c:v>
                </c:pt>
                <c:pt idx="10">
                  <c:v>3.6419274584167605</c:v>
                </c:pt>
                <c:pt idx="11">
                  <c:v>6.6015777053014757</c:v>
                </c:pt>
                <c:pt idx="12">
                  <c:v>6.3860651262684476</c:v>
                </c:pt>
                <c:pt idx="13">
                  <c:v>2.7476057889422645</c:v>
                </c:pt>
                <c:pt idx="14">
                  <c:v>-2.9387197675724841</c:v>
                </c:pt>
                <c:pt idx="15">
                  <c:v>7.0417486707964771</c:v>
                </c:pt>
                <c:pt idx="16">
                  <c:v>3.8940367055789515</c:v>
                </c:pt>
                <c:pt idx="17">
                  <c:v>0.76011125791202172</c:v>
                </c:pt>
                <c:pt idx="18">
                  <c:v>2.3060714240210611</c:v>
                </c:pt>
                <c:pt idx="19">
                  <c:v>4.4247138069799297</c:v>
                </c:pt>
                <c:pt idx="20">
                  <c:v>6.6131174787644964</c:v>
                </c:pt>
                <c:pt idx="21" formatCode="0.00">
                  <c:v>4.3782486576955382</c:v>
                </c:pt>
                <c:pt idx="22">
                  <c:v>4.4100360802891814</c:v>
                </c:pt>
                <c:pt idx="23">
                  <c:v>4.8980364670283993</c:v>
                </c:pt>
                <c:pt idx="24">
                  <c:v>3.7812749119215061</c:v>
                </c:pt>
                <c:pt idx="25">
                  <c:v>3.5451641625984909</c:v>
                </c:pt>
              </c:numCache>
            </c:numRef>
          </c:xVal>
          <c:yVal>
            <c:numRef>
              <c:f>Sector1!$G$216:$AG$216</c:f>
              <c:numCache>
                <c:formatCode>0.0</c:formatCode>
                <c:ptCount val="27"/>
                <c:pt idx="1">
                  <c:v>3.5036329580070111</c:v>
                </c:pt>
                <c:pt idx="2">
                  <c:v>6.1396777672202703</c:v>
                </c:pt>
                <c:pt idx="3">
                  <c:v>6.8679177162164926</c:v>
                </c:pt>
                <c:pt idx="4">
                  <c:v>7.4135815809219023</c:v>
                </c:pt>
                <c:pt idx="5">
                  <c:v>8.6560685717448482</c:v>
                </c:pt>
                <c:pt idx="6">
                  <c:v>5.5905435835991044</c:v>
                </c:pt>
                <c:pt idx="7">
                  <c:v>5.0278985138900474</c:v>
                </c:pt>
                <c:pt idx="8">
                  <c:v>5.6308654116091121</c:v>
                </c:pt>
                <c:pt idx="9">
                  <c:v>6.4499241624805137</c:v>
                </c:pt>
                <c:pt idx="10">
                  <c:v>4.9375795710231074</c:v>
                </c:pt>
                <c:pt idx="11">
                  <c:v>8.9501549897395289</c:v>
                </c:pt>
                <c:pt idx="12">
                  <c:v>8.6579716555897104</c:v>
                </c:pt>
                <c:pt idx="13">
                  <c:v>3.7250940244163648</c:v>
                </c:pt>
                <c:pt idx="14">
                  <c:v>-3.9841987120840714</c:v>
                </c:pt>
                <c:pt idx="15">
                  <c:v>9.5469211779190317</c:v>
                </c:pt>
                <c:pt idx="16">
                  <c:v>5.2793792039557195</c:v>
                </c:pt>
                <c:pt idx="17">
                  <c:v>1.0305284390268026</c:v>
                </c:pt>
                <c:pt idx="18">
                  <c:v>3.126479393830794</c:v>
                </c:pt>
                <c:pt idx="19">
                  <c:v>5.9988499909511095</c:v>
                </c:pt>
                <c:pt idx="20">
                  <c:v>8.965800153009754</c:v>
                </c:pt>
                <c:pt idx="21">
                  <c:v>5.9358544001573028</c:v>
                </c:pt>
                <c:pt idx="22">
                  <c:v>5.9789505162128611</c:v>
                </c:pt>
                <c:pt idx="23">
                  <c:v>6.6405619205384232</c:v>
                </c:pt>
                <c:pt idx="24">
                  <c:v>5.1265012745867011</c:v>
                </c:pt>
                <c:pt idx="25">
                  <c:v>4.8063917650845305</c:v>
                </c:pt>
              </c:numCache>
            </c:numRef>
          </c:yVal>
          <c:smooth val="0"/>
          <c:extLst>
            <c:ext xmlns:c16="http://schemas.microsoft.com/office/drawing/2014/chart" uri="{C3380CC4-5D6E-409C-BE32-E72D297353CC}">
              <c16:uniqueId val="{0000000F-7088-42A0-880B-4288A07677BD}"/>
            </c:ext>
          </c:extLst>
        </c:ser>
        <c:dLbls>
          <c:showLegendKey val="0"/>
          <c:showVal val="0"/>
          <c:showCatName val="0"/>
          <c:showSerName val="0"/>
          <c:showPercent val="0"/>
          <c:showBubbleSize val="0"/>
        </c:dLbls>
        <c:axId val="291086336"/>
        <c:axId val="291087872"/>
      </c:scatterChart>
      <c:valAx>
        <c:axId val="291086336"/>
        <c:scaling>
          <c:orientation val="minMax"/>
        </c:scaling>
        <c:delete val="0"/>
        <c:axPos val="b"/>
        <c:majorGridlines>
          <c:spPr>
            <a:ln w="3175">
              <a:solidFill>
                <a:srgbClr val="000000"/>
              </a:solidFill>
              <a:prstDash val="solid"/>
            </a:ln>
          </c:spPr>
        </c:majorGridlines>
        <c:numFmt formatCode="0" sourceLinked="0"/>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91087872"/>
        <c:crosses val="autoZero"/>
        <c:crossBetween val="midCat"/>
      </c:valAx>
      <c:valAx>
        <c:axId val="291087872"/>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91086336"/>
        <c:crosses val="autoZero"/>
        <c:crossBetween val="midCat"/>
      </c:valAx>
      <c:spPr>
        <a:noFill/>
        <a:ln w="12700">
          <a:solidFill>
            <a:srgbClr val="808080"/>
          </a:solidFill>
          <a:prstDash val="solid"/>
        </a:ln>
      </c:spPr>
    </c:plotArea>
    <c:legend>
      <c:legendPos val="r"/>
      <c:layout>
        <c:manualLayout>
          <c:xMode val="edge"/>
          <c:yMode val="edge"/>
          <c:x val="0.10714313740706284"/>
          <c:y val="0.7965391116267555"/>
          <c:w val="0.81785928220724635"/>
          <c:h val="0.17965420180712149"/>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Direct taxes and its main components</a:t>
            </a:r>
          </a:p>
        </c:rich>
      </c:tx>
      <c:layout>
        <c:manualLayout>
          <c:xMode val="edge"/>
          <c:yMode val="edge"/>
          <c:x val="0.22991094863142106"/>
          <c:y val="3.3613445378151259E-2"/>
        </c:manualLayout>
      </c:layout>
      <c:overlay val="0"/>
      <c:spPr>
        <a:noFill/>
        <a:ln w="25400">
          <a:noFill/>
        </a:ln>
      </c:spPr>
    </c:title>
    <c:autoTitleDeleted val="0"/>
    <c:plotArea>
      <c:layout>
        <c:manualLayout>
          <c:layoutTarget val="inner"/>
          <c:xMode val="edge"/>
          <c:yMode val="edge"/>
          <c:x val="0.10044653804946686"/>
          <c:y val="0.17647107096647127"/>
          <c:w val="0.83259019316558092"/>
          <c:h val="0.50140193179362469"/>
        </c:manualLayout>
      </c:layout>
      <c:lineChart>
        <c:grouping val="standard"/>
        <c:varyColors val="0"/>
        <c:ser>
          <c:idx val="0"/>
          <c:order val="0"/>
          <c:tx>
            <c:strRef>
              <c:f>Sector1!$D$211:$E$211</c:f>
              <c:strCache>
                <c:ptCount val="2"/>
                <c:pt idx="0">
                  <c:v>GVT</c:v>
                </c:pt>
                <c:pt idx="1">
                  <c:v>Current taxes on income and wealth (D.5r)  </c:v>
                </c:pt>
              </c:strCache>
            </c:strRef>
          </c:tx>
          <c:spPr>
            <a:ln w="25400">
              <a:solidFill>
                <a:srgbClr val="FF0000"/>
              </a:solidFill>
              <a:prstDash val="solid"/>
            </a:ln>
          </c:spPr>
          <c:marker>
            <c:symbol val="diamond"/>
            <c:size val="5"/>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Sector1!$G$211:$AG$211</c:f>
              <c:numCache>
                <c:formatCode>0.0</c:formatCode>
                <c:ptCount val="27"/>
                <c:pt idx="1">
                  <c:v>7.4787503518153775</c:v>
                </c:pt>
                <c:pt idx="2">
                  <c:v>6.4039782963924985</c:v>
                </c:pt>
                <c:pt idx="3">
                  <c:v>4.0137623145889867</c:v>
                </c:pt>
                <c:pt idx="4">
                  <c:v>9.244834798739344</c:v>
                </c:pt>
                <c:pt idx="5">
                  <c:v>10.193455603974799</c:v>
                </c:pt>
                <c:pt idx="6">
                  <c:v>-4.5179373078707119</c:v>
                </c:pt>
                <c:pt idx="7">
                  <c:v>-2.2664300741478738</c:v>
                </c:pt>
                <c:pt idx="8">
                  <c:v>7.4866884593998151</c:v>
                </c:pt>
                <c:pt idx="9">
                  <c:v>8.5818533824788545</c:v>
                </c:pt>
                <c:pt idx="10">
                  <c:v>9.7959633001032387</c:v>
                </c:pt>
                <c:pt idx="11">
                  <c:v>7.4614108879563767</c:v>
                </c:pt>
                <c:pt idx="12">
                  <c:v>1.5942379227644299</c:v>
                </c:pt>
                <c:pt idx="13">
                  <c:v>-4.392403062261474</c:v>
                </c:pt>
                <c:pt idx="14">
                  <c:v>-4.2039871504157222</c:v>
                </c:pt>
                <c:pt idx="15">
                  <c:v>5.1332882929531642</c:v>
                </c:pt>
                <c:pt idx="16">
                  <c:v>0.85494808238646414</c:v>
                </c:pt>
                <c:pt idx="17">
                  <c:v>-0.43547754476860323</c:v>
                </c:pt>
                <c:pt idx="18">
                  <c:v>4.4171091353564895</c:v>
                </c:pt>
                <c:pt idx="19">
                  <c:v>4.5763631862904663</c:v>
                </c:pt>
                <c:pt idx="20">
                  <c:v>9.9944815745907079</c:v>
                </c:pt>
                <c:pt idx="21">
                  <c:v>6.9080358890659221</c:v>
                </c:pt>
                <c:pt idx="22">
                  <c:v>5.1589495843155531</c:v>
                </c:pt>
                <c:pt idx="23">
                  <c:v>3.2526271301244192</c:v>
                </c:pt>
                <c:pt idx="24">
                  <c:v>3.1279271146667176</c:v>
                </c:pt>
                <c:pt idx="25">
                  <c:v>2.8384032168518258</c:v>
                </c:pt>
              </c:numCache>
            </c:numRef>
          </c:val>
          <c:smooth val="0"/>
          <c:extLst>
            <c:ext xmlns:c16="http://schemas.microsoft.com/office/drawing/2014/chart" uri="{C3380CC4-5D6E-409C-BE32-E72D297353CC}">
              <c16:uniqueId val="{00000000-90D9-4503-8E4B-42C9E6E33499}"/>
            </c:ext>
          </c:extLst>
        </c:ser>
        <c:ser>
          <c:idx val="2"/>
          <c:order val="1"/>
          <c:tx>
            <c:strRef>
              <c:f>Sector1!$D$207:$E$207</c:f>
              <c:strCache>
                <c:ptCount val="2"/>
                <c:pt idx="0">
                  <c:v>HH</c:v>
                </c:pt>
                <c:pt idx="1">
                  <c:v>Current taxes on income and wealth (D.5p)  </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val>
            <c:numRef>
              <c:f>Sector1!$G$207:$AI$207</c:f>
              <c:numCache>
                <c:formatCode>0.0</c:formatCode>
                <c:ptCount val="29"/>
                <c:pt idx="1">
                  <c:v>8.4778856770943101</c:v>
                </c:pt>
                <c:pt idx="2">
                  <c:v>5.1335934258482485</c:v>
                </c:pt>
                <c:pt idx="3">
                  <c:v>5.2034740933598611</c:v>
                </c:pt>
                <c:pt idx="4">
                  <c:v>7.2222791970507405</c:v>
                </c:pt>
                <c:pt idx="5">
                  <c:v>6.9421966045381867</c:v>
                </c:pt>
                <c:pt idx="6">
                  <c:v>0.15886988203617225</c:v>
                </c:pt>
                <c:pt idx="7">
                  <c:v>0.18916651588176681</c:v>
                </c:pt>
                <c:pt idx="8">
                  <c:v>6.9437277767874672</c:v>
                </c:pt>
                <c:pt idx="9">
                  <c:v>4.8455898640453965</c:v>
                </c:pt>
                <c:pt idx="10">
                  <c:v>6.9351852820282112</c:v>
                </c:pt>
                <c:pt idx="11">
                  <c:v>7.5669638054103316</c:v>
                </c:pt>
                <c:pt idx="12">
                  <c:v>-0.13930008074314326</c:v>
                </c:pt>
                <c:pt idx="13">
                  <c:v>5.6453345862350623E-2</c:v>
                </c:pt>
                <c:pt idx="14">
                  <c:v>-4.3812200147059883</c:v>
                </c:pt>
                <c:pt idx="15">
                  <c:v>1.537600596919475</c:v>
                </c:pt>
                <c:pt idx="16">
                  <c:v>1.094214553784667</c:v>
                </c:pt>
                <c:pt idx="17">
                  <c:v>2.7959553403711146</c:v>
                </c:pt>
                <c:pt idx="18">
                  <c:v>3.4607662571231268</c:v>
                </c:pt>
                <c:pt idx="19">
                  <c:v>4.9551732915810831</c:v>
                </c:pt>
                <c:pt idx="20">
                  <c:v>8.1020064389446524</c:v>
                </c:pt>
                <c:pt idx="21">
                  <c:v>7.6558281199816225</c:v>
                </c:pt>
                <c:pt idx="22">
                  <c:v>4.9305404880722437</c:v>
                </c:pt>
                <c:pt idx="23">
                  <c:v>2.9230237102800856</c:v>
                </c:pt>
                <c:pt idx="24">
                  <c:v>3.2148253656623047</c:v>
                </c:pt>
                <c:pt idx="25">
                  <c:v>2.8752881228066829</c:v>
                </c:pt>
                <c:pt idx="27" formatCode="0.00">
                  <c:v>1.4037878493009841</c:v>
                </c:pt>
                <c:pt idx="28" formatCode="0.00">
                  <c:v>0.81866526220744684</c:v>
                </c:pt>
              </c:numCache>
            </c:numRef>
          </c:val>
          <c:smooth val="0"/>
          <c:extLst>
            <c:ext xmlns:c16="http://schemas.microsoft.com/office/drawing/2014/chart" uri="{C3380CC4-5D6E-409C-BE32-E72D297353CC}">
              <c16:uniqueId val="{00000001-90D9-4503-8E4B-42C9E6E33499}"/>
            </c:ext>
          </c:extLst>
        </c:ser>
        <c:ser>
          <c:idx val="3"/>
          <c:order val="2"/>
          <c:tx>
            <c:strRef>
              <c:f>Sector1!$D$208:$E$208</c:f>
              <c:strCache>
                <c:ptCount val="2"/>
                <c:pt idx="0">
                  <c:v>E</c:v>
                </c:pt>
                <c:pt idx="1">
                  <c:v>Current taxes on income and wealth (D.5p)  </c:v>
                </c:pt>
              </c:strCache>
            </c:strRef>
          </c:tx>
          <c:spPr>
            <a:ln w="25400">
              <a:solidFill>
                <a:srgbClr val="339966"/>
              </a:solidFill>
              <a:prstDash val="solid"/>
            </a:ln>
          </c:spPr>
          <c:marker>
            <c:symbol val="square"/>
            <c:size val="5"/>
            <c:spPr>
              <a:solidFill>
                <a:srgbClr val="FFFFFF"/>
              </a:solidFill>
              <a:ln>
                <a:solidFill>
                  <a:srgbClr val="339966"/>
                </a:solidFill>
                <a:prstDash val="solid"/>
              </a:ln>
            </c:spPr>
          </c:marker>
          <c:val>
            <c:numRef>
              <c:f>Sector1!$G$208:$AI$208</c:f>
              <c:numCache>
                <c:formatCode>0.0</c:formatCode>
                <c:ptCount val="29"/>
                <c:pt idx="1">
                  <c:v>-0.62599835945257309</c:v>
                </c:pt>
                <c:pt idx="2">
                  <c:v>16.29594230602136</c:v>
                </c:pt>
                <c:pt idx="3">
                  <c:v>-7.4750644402106881</c:v>
                </c:pt>
                <c:pt idx="4">
                  <c:v>26.136547157622726</c:v>
                </c:pt>
                <c:pt idx="5">
                  <c:v>31.203687402973614</c:v>
                </c:pt>
                <c:pt idx="6">
                  <c:v>-28.281288119053428</c:v>
                </c:pt>
                <c:pt idx="7">
                  <c:v>-19.792499362190664</c:v>
                </c:pt>
                <c:pt idx="8">
                  <c:v>16.656770855422188</c:v>
                </c:pt>
                <c:pt idx="9">
                  <c:v>41.988257320996844</c:v>
                </c:pt>
                <c:pt idx="10">
                  <c:v>26.744930356411324</c:v>
                </c:pt>
                <c:pt idx="11">
                  <c:v>8.1674292698201043</c:v>
                </c:pt>
                <c:pt idx="12">
                  <c:v>9.4267385072229537</c:v>
                </c:pt>
                <c:pt idx="13">
                  <c:v>-23.306936100491537</c:v>
                </c:pt>
                <c:pt idx="14">
                  <c:v>2.8930033825891321E-2</c:v>
                </c:pt>
                <c:pt idx="15">
                  <c:v>25.810362855680879</c:v>
                </c:pt>
                <c:pt idx="16">
                  <c:v>-3.1211041458519384</c:v>
                </c:pt>
                <c:pt idx="17">
                  <c:v>-14.661726186673473</c:v>
                </c:pt>
                <c:pt idx="18">
                  <c:v>6.8637306696896605</c:v>
                </c:pt>
                <c:pt idx="19">
                  <c:v>2.1996717505303964</c:v>
                </c:pt>
                <c:pt idx="20">
                  <c:v>19.48453810148645</c:v>
                </c:pt>
                <c:pt idx="21">
                  <c:v>1.267005408949351</c:v>
                </c:pt>
                <c:pt idx="22">
                  <c:v>7.0844730751177476</c:v>
                </c:pt>
                <c:pt idx="23">
                  <c:v>5</c:v>
                </c:pt>
                <c:pt idx="24">
                  <c:v>2.6</c:v>
                </c:pt>
                <c:pt idx="25">
                  <c:v>2.6</c:v>
                </c:pt>
                <c:pt idx="26" formatCode="0.00">
                  <c:v>0</c:v>
                </c:pt>
                <c:pt idx="27">
                  <c:v>4.9000000000000004</c:v>
                </c:pt>
                <c:pt idx="28">
                  <c:v>2.9230237102800856</c:v>
                </c:pt>
              </c:numCache>
            </c:numRef>
          </c:val>
          <c:smooth val="0"/>
          <c:extLst>
            <c:ext xmlns:c16="http://schemas.microsoft.com/office/drawing/2014/chart" uri="{C3380CC4-5D6E-409C-BE32-E72D297353CC}">
              <c16:uniqueId val="{00000002-90D9-4503-8E4B-42C9E6E33499}"/>
            </c:ext>
          </c:extLst>
        </c:ser>
        <c:dLbls>
          <c:showLegendKey val="0"/>
          <c:showVal val="0"/>
          <c:showCatName val="0"/>
          <c:showSerName val="0"/>
          <c:showPercent val="0"/>
          <c:showBubbleSize val="0"/>
        </c:dLbls>
        <c:marker val="1"/>
        <c:smooth val="0"/>
        <c:axId val="291150464"/>
        <c:axId val="291152640"/>
      </c:lineChart>
      <c:catAx>
        <c:axId val="291150464"/>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91152640"/>
        <c:crosses val="autoZero"/>
        <c:auto val="1"/>
        <c:lblAlgn val="ctr"/>
        <c:lblOffset val="100"/>
        <c:tickLblSkip val="2"/>
        <c:tickMarkSkip val="1"/>
        <c:noMultiLvlLbl val="0"/>
      </c:catAx>
      <c:valAx>
        <c:axId val="291152640"/>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91150464"/>
        <c:crosses val="autoZero"/>
        <c:crossBetween val="midCat"/>
      </c:valAx>
      <c:spPr>
        <a:noFill/>
        <a:ln w="12700">
          <a:solidFill>
            <a:srgbClr val="808080"/>
          </a:solidFill>
          <a:prstDash val="solid"/>
        </a:ln>
      </c:spPr>
    </c:plotArea>
    <c:legend>
      <c:legendPos val="r"/>
      <c:layout>
        <c:manualLayout>
          <c:xMode val="edge"/>
          <c:yMode val="edge"/>
          <c:x val="0.13928607862918171"/>
          <c:y val="0.7965391116267555"/>
          <c:w val="0.71428758271375226"/>
          <c:h val="0.17965420180712149"/>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t>Household income tax related to HH compensation of employees (domestic)</a:t>
            </a:r>
          </a:p>
        </c:rich>
      </c:tx>
      <c:layout>
        <c:manualLayout>
          <c:xMode val="edge"/>
          <c:yMode val="edge"/>
          <c:x val="0.11830380577427821"/>
          <c:y val="3.3613445378151259E-2"/>
        </c:manualLayout>
      </c:layout>
      <c:overlay val="0"/>
      <c:spPr>
        <a:noFill/>
        <a:ln w="25400">
          <a:noFill/>
        </a:ln>
      </c:spPr>
    </c:title>
    <c:autoTitleDeleted val="0"/>
    <c:plotArea>
      <c:layout>
        <c:manualLayout>
          <c:layoutTarget val="inner"/>
          <c:xMode val="edge"/>
          <c:yMode val="edge"/>
          <c:x val="9.1517956889514251E-2"/>
          <c:y val="0.22409024884631271"/>
          <c:w val="0.8571437913554506"/>
          <c:h val="0.51260644423594037"/>
        </c:manualLayout>
      </c:layout>
      <c:scatterChart>
        <c:scatterStyle val="lineMarker"/>
        <c:varyColors val="0"/>
        <c:ser>
          <c:idx val="0"/>
          <c:order val="0"/>
          <c:tx>
            <c:strRef>
              <c:f>Sector1!$D$207:$E$207</c:f>
              <c:strCache>
                <c:ptCount val="2"/>
                <c:pt idx="0">
                  <c:v>HH</c:v>
                </c:pt>
                <c:pt idx="1">
                  <c:v>Current taxes on income and wealth (D.5p)  </c:v>
                </c:pt>
              </c:strCache>
            </c:strRef>
          </c:tx>
          <c:spPr>
            <a:ln w="28575">
              <a:noFill/>
            </a:ln>
          </c:spPr>
          <c:marker>
            <c:symbol val="circle"/>
            <c:size val="7"/>
            <c:spPr>
              <a:solidFill>
                <a:srgbClr val="FFFFFF"/>
              </a:solidFill>
              <a:ln>
                <a:solidFill>
                  <a:srgbClr val="0000FF"/>
                </a:solidFill>
                <a:prstDash val="solid"/>
              </a:ln>
            </c:spPr>
          </c:marker>
          <c:dLbls>
            <c:dLbl>
              <c:idx val="1"/>
              <c:tx>
                <c:rich>
                  <a:bodyPr/>
                  <a:lstStyle/>
                  <a:p>
                    <a:r>
                      <a:t>1996</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882-4371-A6D5-8B572BC26208}"/>
                </c:ext>
              </c:extLst>
            </c:dLbl>
            <c:dLbl>
              <c:idx val="2"/>
              <c:tx>
                <c:rich>
                  <a:bodyPr/>
                  <a:lstStyle/>
                  <a:p>
                    <a:r>
                      <a:t>1997</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882-4371-A6D5-8B572BC26208}"/>
                </c:ext>
              </c:extLst>
            </c:dLbl>
            <c:dLbl>
              <c:idx val="3"/>
              <c:tx>
                <c:rich>
                  <a:bodyPr/>
                  <a:lstStyle/>
                  <a:p>
                    <a:r>
                      <a:t>1998</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882-4371-A6D5-8B572BC26208}"/>
                </c:ext>
              </c:extLst>
            </c:dLbl>
            <c:dLbl>
              <c:idx val="4"/>
              <c:tx>
                <c:rich>
                  <a:bodyPr/>
                  <a:lstStyle/>
                  <a:p>
                    <a:r>
                      <a:t>1999</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882-4371-A6D5-8B572BC26208}"/>
                </c:ext>
              </c:extLst>
            </c:dLbl>
            <c:dLbl>
              <c:idx val="5"/>
              <c:tx>
                <c:rich>
                  <a:bodyPr/>
                  <a:lstStyle/>
                  <a:p>
                    <a:r>
                      <a:t>2000</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882-4371-A6D5-8B572BC26208}"/>
                </c:ext>
              </c:extLst>
            </c:dLbl>
            <c:dLbl>
              <c:idx val="6"/>
              <c:tx>
                <c:rich>
                  <a:bodyPr/>
                  <a:lstStyle/>
                  <a:p>
                    <a:r>
                      <a:t>2001</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B882-4371-A6D5-8B572BC26208}"/>
                </c:ext>
              </c:extLst>
            </c:dLbl>
            <c:dLbl>
              <c:idx val="7"/>
              <c:tx>
                <c:rich>
                  <a:bodyPr/>
                  <a:lstStyle/>
                  <a:p>
                    <a:r>
                      <a:t>2002</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B882-4371-A6D5-8B572BC26208}"/>
                </c:ext>
              </c:extLst>
            </c:dLbl>
            <c:dLbl>
              <c:idx val="8"/>
              <c:tx>
                <c:rich>
                  <a:bodyPr/>
                  <a:lstStyle/>
                  <a:p>
                    <a:r>
                      <a:t>2003</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B882-4371-A6D5-8B572BC26208}"/>
                </c:ext>
              </c:extLst>
            </c:dLbl>
            <c:dLbl>
              <c:idx val="9"/>
              <c:tx>
                <c:rich>
                  <a:bodyPr/>
                  <a:lstStyle/>
                  <a:p>
                    <a:r>
                      <a:t>2004</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B882-4371-A6D5-8B572BC26208}"/>
                </c:ext>
              </c:extLst>
            </c:dLbl>
            <c:dLbl>
              <c:idx val="10"/>
              <c:tx>
                <c:rich>
                  <a:bodyPr/>
                  <a:lstStyle/>
                  <a:p>
                    <a:r>
                      <a:t>2005</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B882-4371-A6D5-8B572BC26208}"/>
                </c:ext>
              </c:extLst>
            </c:dLbl>
            <c:dLbl>
              <c:idx val="11"/>
              <c:tx>
                <c:rich>
                  <a:bodyPr/>
                  <a:lstStyle/>
                  <a:p>
                    <a:r>
                      <a:t>2006</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B882-4371-A6D5-8B572BC26208}"/>
                </c:ext>
              </c:extLst>
            </c:dLbl>
            <c:dLbl>
              <c:idx val="12"/>
              <c:tx>
                <c:rich>
                  <a:bodyPr/>
                  <a:lstStyle/>
                  <a:p>
                    <a:r>
                      <a:t>2007</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B882-4371-A6D5-8B572BC26208}"/>
                </c:ext>
              </c:extLst>
            </c:dLbl>
            <c:dLbl>
              <c:idx val="13"/>
              <c:tx>
                <c:rich>
                  <a:bodyPr/>
                  <a:lstStyle/>
                  <a:p>
                    <a:r>
                      <a:t>2008</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B882-4371-A6D5-8B572BC26208}"/>
                </c:ext>
              </c:extLst>
            </c:dLbl>
            <c:dLbl>
              <c:idx val="14"/>
              <c:tx>
                <c:rich>
                  <a:bodyPr/>
                  <a:lstStyle/>
                  <a:p>
                    <a:r>
                      <a:t>2009</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B882-4371-A6D5-8B572BC26208}"/>
                </c:ext>
              </c:extLst>
            </c:dLbl>
            <c:spPr>
              <a:noFill/>
              <a:ln w="25400">
                <a:noFill/>
              </a:ln>
            </c:spPr>
            <c:txPr>
              <a:bodyPr/>
              <a:lstStyle/>
              <a:p>
                <a:pPr>
                  <a:defRPr sz="800"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25400">
                <a:solidFill>
                  <a:srgbClr val="0000FF"/>
                </a:solidFill>
                <a:prstDash val="solid"/>
              </a:ln>
            </c:spPr>
            <c:trendlineType val="linear"/>
            <c:dispRSqr val="0"/>
            <c:dispEq val="0"/>
          </c:trendline>
          <c:xVal>
            <c:numRef>
              <c:f>Labour1!$G$223:$AG$223</c:f>
              <c:numCache>
                <c:formatCode>0.0</c:formatCode>
                <c:ptCount val="27"/>
                <c:pt idx="1">
                  <c:v>6.0431163935334986</c:v>
                </c:pt>
                <c:pt idx="2">
                  <c:v>4.5426907922177184</c:v>
                </c:pt>
                <c:pt idx="3">
                  <c:v>0.11436423486848035</c:v>
                </c:pt>
                <c:pt idx="4">
                  <c:v>6.0545975763367066</c:v>
                </c:pt>
                <c:pt idx="5">
                  <c:v>9.6807750353750333</c:v>
                </c:pt>
                <c:pt idx="6">
                  <c:v>6.8421475166817736</c:v>
                </c:pt>
                <c:pt idx="7">
                  <c:v>3.4624031146600176</c:v>
                </c:pt>
                <c:pt idx="8">
                  <c:v>3.5108698130559279</c:v>
                </c:pt>
                <c:pt idx="9">
                  <c:v>3.306696037039325</c:v>
                </c:pt>
                <c:pt idx="10">
                  <c:v>3.375225862700737</c:v>
                </c:pt>
                <c:pt idx="11">
                  <c:v>4.8256104874350392</c:v>
                </c:pt>
                <c:pt idx="12">
                  <c:v>7.7910625713290438</c:v>
                </c:pt>
                <c:pt idx="13">
                  <c:v>4.931145829671113</c:v>
                </c:pt>
                <c:pt idx="14">
                  <c:v>1.5786051959953973E-2</c:v>
                </c:pt>
                <c:pt idx="15">
                  <c:v>3.1151594332864407</c:v>
                </c:pt>
                <c:pt idx="16">
                  <c:v>5.760703934704603</c:v>
                </c:pt>
                <c:pt idx="17" formatCode="0.00">
                  <c:v>3.990645134802584</c:v>
                </c:pt>
                <c:pt idx="18" formatCode="0.00">
                  <c:v>3.0073910892242095</c:v>
                </c:pt>
                <c:pt idx="19" formatCode="0.00">
                  <c:v>3.842268036688834</c:v>
                </c:pt>
                <c:pt idx="20" formatCode="0.00">
                  <c:v>4.4664403582414192</c:v>
                </c:pt>
                <c:pt idx="21" formatCode="0.00">
                  <c:v>4.864016576871899</c:v>
                </c:pt>
                <c:pt idx="22" formatCode="0.00">
                  <c:v>4.5795505723650543</c:v>
                </c:pt>
                <c:pt idx="23" formatCode="0.00">
                  <c:v>4.481149706919374</c:v>
                </c:pt>
                <c:pt idx="24" formatCode="0.00">
                  <c:v>3.5884749107174985</c:v>
                </c:pt>
                <c:pt idx="25" formatCode="0.00">
                  <c:v>3.1608504222169653</c:v>
                </c:pt>
              </c:numCache>
            </c:numRef>
          </c:xVal>
          <c:yVal>
            <c:numRef>
              <c:f>Sector1!$G$207:$AI$207</c:f>
              <c:numCache>
                <c:formatCode>0.0</c:formatCode>
                <c:ptCount val="29"/>
                <c:pt idx="1">
                  <c:v>8.4778856770943101</c:v>
                </c:pt>
                <c:pt idx="2">
                  <c:v>5.1335934258482485</c:v>
                </c:pt>
                <c:pt idx="3">
                  <c:v>5.2034740933598611</c:v>
                </c:pt>
                <c:pt idx="4">
                  <c:v>7.2222791970507405</c:v>
                </c:pt>
                <c:pt idx="5">
                  <c:v>6.9421966045381867</c:v>
                </c:pt>
                <c:pt idx="6">
                  <c:v>0.15886988203617225</c:v>
                </c:pt>
                <c:pt idx="7">
                  <c:v>0.18916651588176681</c:v>
                </c:pt>
                <c:pt idx="8">
                  <c:v>6.9437277767874672</c:v>
                </c:pt>
                <c:pt idx="9">
                  <c:v>4.8455898640453965</c:v>
                </c:pt>
                <c:pt idx="10">
                  <c:v>6.9351852820282112</c:v>
                </c:pt>
                <c:pt idx="11">
                  <c:v>7.5669638054103316</c:v>
                </c:pt>
                <c:pt idx="12">
                  <c:v>-0.13930008074314326</c:v>
                </c:pt>
                <c:pt idx="13">
                  <c:v>5.6453345862350623E-2</c:v>
                </c:pt>
                <c:pt idx="14">
                  <c:v>-4.3812200147059883</c:v>
                </c:pt>
                <c:pt idx="15">
                  <c:v>1.537600596919475</c:v>
                </c:pt>
                <c:pt idx="16">
                  <c:v>1.094214553784667</c:v>
                </c:pt>
                <c:pt idx="17">
                  <c:v>2.7959553403711146</c:v>
                </c:pt>
                <c:pt idx="18">
                  <c:v>3.4607662571231268</c:v>
                </c:pt>
                <c:pt idx="19">
                  <c:v>4.9551732915810831</c:v>
                </c:pt>
                <c:pt idx="20">
                  <c:v>8.1020064389446524</c:v>
                </c:pt>
                <c:pt idx="21">
                  <c:v>7.6558281199816225</c:v>
                </c:pt>
                <c:pt idx="22">
                  <c:v>4.9305404880722437</c:v>
                </c:pt>
                <c:pt idx="23">
                  <c:v>2.9230237102800856</c:v>
                </c:pt>
                <c:pt idx="24">
                  <c:v>3.2148253656623047</c:v>
                </c:pt>
                <c:pt idx="25">
                  <c:v>2.8752881228066829</c:v>
                </c:pt>
                <c:pt idx="27" formatCode="0.00">
                  <c:v>1.4037878493009841</c:v>
                </c:pt>
                <c:pt idx="28" formatCode="0.00">
                  <c:v>0.81866526220744684</c:v>
                </c:pt>
              </c:numCache>
            </c:numRef>
          </c:yVal>
          <c:smooth val="0"/>
          <c:extLst>
            <c:ext xmlns:c16="http://schemas.microsoft.com/office/drawing/2014/chart" uri="{C3380CC4-5D6E-409C-BE32-E72D297353CC}">
              <c16:uniqueId val="{0000000E-B882-4371-A6D5-8B572BC26208}"/>
            </c:ext>
          </c:extLst>
        </c:ser>
        <c:dLbls>
          <c:showLegendKey val="0"/>
          <c:showVal val="0"/>
          <c:showCatName val="0"/>
          <c:showSerName val="0"/>
          <c:showPercent val="0"/>
          <c:showBubbleSize val="0"/>
        </c:dLbls>
        <c:axId val="291465088"/>
        <c:axId val="291466624"/>
      </c:scatterChart>
      <c:valAx>
        <c:axId val="291465088"/>
        <c:scaling>
          <c:orientation val="minMax"/>
        </c:scaling>
        <c:delete val="0"/>
        <c:axPos val="b"/>
        <c:majorGridlines>
          <c:spPr>
            <a:ln w="3175">
              <a:solidFill>
                <a:srgbClr val="000000"/>
              </a:solidFill>
              <a:prstDash val="solid"/>
            </a:ln>
          </c:spPr>
        </c:majorGridlines>
        <c:numFmt formatCode="0" sourceLinked="0"/>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91466624"/>
        <c:crosses val="autoZero"/>
        <c:crossBetween val="midCat"/>
      </c:valAx>
      <c:valAx>
        <c:axId val="291466624"/>
        <c:scaling>
          <c:orientation val="minMax"/>
        </c:scaling>
        <c:delete val="0"/>
        <c:axPos val="l"/>
        <c:majorGridlines>
          <c:spPr>
            <a:ln w="3175">
              <a:solidFill>
                <a:srgbClr val="000000"/>
              </a:solidFill>
              <a:prstDash val="solid"/>
            </a:ln>
          </c:spPr>
        </c:majorGridlines>
        <c:numFmt formatCode="0" sourceLinked="0"/>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91465088"/>
        <c:crosses val="autoZero"/>
        <c:crossBetween val="midCat"/>
      </c:valAx>
      <c:spPr>
        <a:noFill/>
        <a:ln w="12700">
          <a:solidFill>
            <a:srgbClr val="808080"/>
          </a:solidFill>
          <a:prstDash val="solid"/>
        </a:ln>
      </c:spPr>
    </c:plotArea>
    <c:legend>
      <c:legendPos val="r"/>
      <c:layout>
        <c:manualLayout>
          <c:xMode val="edge"/>
          <c:yMode val="edge"/>
          <c:x val="0.11428601323420036"/>
          <c:y val="0.8549808399254577"/>
          <c:w val="0.80000209263940258"/>
          <c:h val="0.12121247350841932"/>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paperSize="9" orientation="landscape"/>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Indirect taxes as % of GDP</a:t>
            </a:r>
          </a:p>
        </c:rich>
      </c:tx>
      <c:layout>
        <c:manualLayout>
          <c:xMode val="edge"/>
          <c:yMode val="edge"/>
          <c:x val="0.31026809148856394"/>
          <c:y val="3.3613445378151259E-2"/>
        </c:manualLayout>
      </c:layout>
      <c:overlay val="0"/>
      <c:spPr>
        <a:noFill/>
        <a:ln w="25400">
          <a:noFill/>
        </a:ln>
      </c:spPr>
    </c:title>
    <c:autoTitleDeleted val="0"/>
    <c:plotArea>
      <c:layout>
        <c:manualLayout>
          <c:layoutTarget val="inner"/>
          <c:xMode val="edge"/>
          <c:yMode val="edge"/>
          <c:x val="0.14285729855924176"/>
          <c:y val="0.17366994285589235"/>
          <c:w val="0.79017943265580604"/>
          <c:h val="0.62465156865909666"/>
        </c:manualLayout>
      </c:layout>
      <c:lineChart>
        <c:grouping val="standard"/>
        <c:varyColors val="0"/>
        <c:ser>
          <c:idx val="0"/>
          <c:order val="0"/>
          <c:tx>
            <c:strRef>
              <c:f>Sector1!$D$31:$E$31</c:f>
              <c:strCache>
                <c:ptCount val="2"/>
                <c:pt idx="0">
                  <c:v>GVT</c:v>
                </c:pt>
                <c:pt idx="1">
                  <c:v>Taxes on production and imports (D.2r = D.21r+D.29r)</c:v>
                </c:pt>
              </c:strCache>
            </c:strRef>
          </c:tx>
          <c:spPr>
            <a:ln w="25400">
              <a:solidFill>
                <a:srgbClr val="0000FF"/>
              </a:solidFill>
              <a:prstDash val="solid"/>
            </a:ln>
          </c:spPr>
          <c:marker>
            <c:symbol val="circle"/>
            <c:size val="7"/>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Sector1!$G$31:$AJ$31</c:f>
              <c:numCache>
                <c:formatCode>0.0%</c:formatCode>
                <c:ptCount val="30"/>
                <c:pt idx="0">
                  <c:v>0.21475906425801633</c:v>
                </c:pt>
                <c:pt idx="1">
                  <c:v>0.22331829663075162</c:v>
                </c:pt>
                <c:pt idx="2">
                  <c:v>0.21910821977291542</c:v>
                </c:pt>
                <c:pt idx="3">
                  <c:v>0.24296203268113534</c:v>
                </c:pt>
                <c:pt idx="4">
                  <c:v>0.24098389117426661</c:v>
                </c:pt>
                <c:pt idx="5">
                  <c:v>0.22628549948691612</c:v>
                </c:pt>
                <c:pt idx="6">
                  <c:v>0.22730906283693728</c:v>
                </c:pt>
                <c:pt idx="7">
                  <c:v>0.22954134079058761</c:v>
                </c:pt>
                <c:pt idx="8">
                  <c:v>0.22786841401444238</c:v>
                </c:pt>
                <c:pt idx="9">
                  <c:v>0.22318093236618822</c:v>
                </c:pt>
                <c:pt idx="10">
                  <c:v>0.22496472477421967</c:v>
                </c:pt>
                <c:pt idx="11">
                  <c:v>0.22023092437429784</c:v>
                </c:pt>
                <c:pt idx="12">
                  <c:v>0.21954914642092974</c:v>
                </c:pt>
                <c:pt idx="13">
                  <c:v>0.22316131735266378</c:v>
                </c:pt>
                <c:pt idx="14">
                  <c:v>0.22614610105865446</c:v>
                </c:pt>
                <c:pt idx="15">
                  <c:v>0.22184195351413691</c:v>
                </c:pt>
                <c:pt idx="16">
                  <c:v>0.21902037206337099</c:v>
                </c:pt>
                <c:pt idx="17">
                  <c:v>0.22150408620957468</c:v>
                </c:pt>
                <c:pt idx="18">
                  <c:v>0.22125609343447258</c:v>
                </c:pt>
                <c:pt idx="19">
                  <c:v>0.21814675488622595</c:v>
                </c:pt>
                <c:pt idx="20">
                  <c:v>0.21799705489150059</c:v>
                </c:pt>
                <c:pt idx="21">
                  <c:v>0.22516056903014639</c:v>
                </c:pt>
                <c:pt idx="22">
                  <c:v>0.22527991991087815</c:v>
                </c:pt>
                <c:pt idx="23">
                  <c:v>0.22385247838290154</c:v>
                </c:pt>
                <c:pt idx="24">
                  <c:v>0.22323944878024263</c:v>
                </c:pt>
                <c:pt idx="25">
                  <c:v>0.2231417878306505</c:v>
                </c:pt>
              </c:numCache>
            </c:numRef>
          </c:val>
          <c:smooth val="0"/>
          <c:extLst>
            <c:ext xmlns:c16="http://schemas.microsoft.com/office/drawing/2014/chart" uri="{C3380CC4-5D6E-409C-BE32-E72D297353CC}">
              <c16:uniqueId val="{00000000-6960-4F71-8B7D-153328EEE335}"/>
            </c:ext>
          </c:extLst>
        </c:ser>
        <c:dLbls>
          <c:showLegendKey val="0"/>
          <c:showVal val="0"/>
          <c:showCatName val="0"/>
          <c:showSerName val="0"/>
          <c:showPercent val="0"/>
          <c:showBubbleSize val="0"/>
        </c:dLbls>
        <c:marker val="1"/>
        <c:smooth val="0"/>
        <c:axId val="291248768"/>
        <c:axId val="291271424"/>
      </c:lineChart>
      <c:catAx>
        <c:axId val="291248768"/>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91271424"/>
        <c:crosses val="autoZero"/>
        <c:auto val="1"/>
        <c:lblAlgn val="ctr"/>
        <c:lblOffset val="100"/>
        <c:tickLblSkip val="2"/>
        <c:tickMarkSkip val="1"/>
        <c:noMultiLvlLbl val="0"/>
      </c:catAx>
      <c:valAx>
        <c:axId val="291271424"/>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91248768"/>
        <c:crosses val="autoZero"/>
        <c:crossBetween val="midCat"/>
      </c:valAx>
      <c:spPr>
        <a:noFill/>
        <a:ln w="12700">
          <a:solidFill>
            <a:srgbClr val="808080"/>
          </a:solidFill>
          <a:prstDash val="solid"/>
        </a:ln>
      </c:spPr>
    </c:plotArea>
    <c:legend>
      <c:legendPos val="r"/>
      <c:layout>
        <c:manualLayout>
          <c:xMode val="edge"/>
          <c:yMode val="edge"/>
          <c:x val="5.5357287660315807E-2"/>
          <c:y val="0.91342256822415979"/>
          <c:w val="0.88750232152183717"/>
          <c:h val="6.2770745209717135E-2"/>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t>Household income tax as % of GDP</a:t>
            </a:r>
          </a:p>
        </c:rich>
      </c:tx>
      <c:layout>
        <c:manualLayout>
          <c:xMode val="edge"/>
          <c:yMode val="edge"/>
          <c:x val="0.24776809148856391"/>
          <c:y val="3.3613445378151259E-2"/>
        </c:manualLayout>
      </c:layout>
      <c:overlay val="0"/>
      <c:spPr>
        <a:noFill/>
        <a:ln w="25400">
          <a:noFill/>
        </a:ln>
      </c:spPr>
    </c:title>
    <c:autoTitleDeleted val="0"/>
    <c:plotArea>
      <c:layout>
        <c:manualLayout>
          <c:layoutTarget val="inner"/>
          <c:xMode val="edge"/>
          <c:yMode val="edge"/>
          <c:x val="0.14285729855924176"/>
          <c:y val="0.17647107096647127"/>
          <c:w val="0.79017943265580604"/>
          <c:h val="0.61904931243793893"/>
        </c:manualLayout>
      </c:layout>
      <c:lineChart>
        <c:grouping val="standard"/>
        <c:varyColors val="0"/>
        <c:ser>
          <c:idx val="0"/>
          <c:order val="0"/>
          <c:tx>
            <c:strRef>
              <c:f>Sector1!$D$219:$E$219</c:f>
              <c:strCache>
                <c:ptCount val="2"/>
                <c:pt idx="0">
                  <c:v>HH</c:v>
                </c:pt>
                <c:pt idx="1">
                  <c:v>Current taxes on income and wealth (D.5p)  </c:v>
                </c:pt>
              </c:strCache>
            </c:strRef>
          </c:tx>
          <c:spPr>
            <a:ln w="25400">
              <a:solidFill>
                <a:srgbClr val="0000FF"/>
              </a:solidFill>
              <a:prstDash val="solid"/>
            </a:ln>
          </c:spPr>
          <c:marker>
            <c:symbol val="circle"/>
            <c:size val="7"/>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Sector1!$G$219:$AG$219</c:f>
              <c:numCache>
                <c:formatCode>0.0%</c:formatCode>
                <c:ptCount val="27"/>
                <c:pt idx="0">
                  <c:v>0.16377765097197355</c:v>
                </c:pt>
                <c:pt idx="1">
                  <c:v>0.17318693657599499</c:v>
                </c:pt>
                <c:pt idx="2">
                  <c:v>0.17418933341510145</c:v>
                </c:pt>
                <c:pt idx="3">
                  <c:v>0.17441769605244947</c:v>
                </c:pt>
                <c:pt idx="4">
                  <c:v>0.17731848058510036</c:v>
                </c:pt>
                <c:pt idx="5">
                  <c:v>0.17824776202306902</c:v>
                </c:pt>
                <c:pt idx="6">
                  <c:v>0.17146067796009209</c:v>
                </c:pt>
                <c:pt idx="7">
                  <c:v>0.16564211007246038</c:v>
                </c:pt>
                <c:pt idx="8">
                  <c:v>0.17007993321553547</c:v>
                </c:pt>
                <c:pt idx="9">
                  <c:v>0.17022307695868436</c:v>
                </c:pt>
                <c:pt idx="10">
                  <c:v>0.17563197366391325</c:v>
                </c:pt>
                <c:pt idx="11">
                  <c:v>0.17722250046248045</c:v>
                </c:pt>
                <c:pt idx="12">
                  <c:v>0.16635226537064868</c:v>
                </c:pt>
                <c:pt idx="13">
                  <c:v>0.16199518763704487</c:v>
                </c:pt>
                <c:pt idx="14">
                  <c:v>0.15958765604832795</c:v>
                </c:pt>
                <c:pt idx="15">
                  <c:v>0.15138156729734514</c:v>
                </c:pt>
                <c:pt idx="16">
                  <c:v>0.14730201202225704</c:v>
                </c:pt>
                <c:pt idx="17">
                  <c:v>0.15027822875888042</c:v>
                </c:pt>
                <c:pt idx="18">
                  <c:v>0.1519743694850394</c:v>
                </c:pt>
                <c:pt idx="19">
                  <c:v>0.15274637299618743</c:v>
                </c:pt>
                <c:pt idx="20">
                  <c:v>0.15487952878264008</c:v>
                </c:pt>
                <c:pt idx="21">
                  <c:v>0.15974289801133143</c:v>
                </c:pt>
                <c:pt idx="22">
                  <c:v>0.16053924753526991</c:v>
                </c:pt>
                <c:pt idx="23">
                  <c:v>0.15751662602089492</c:v>
                </c:pt>
                <c:pt idx="24">
                  <c:v>0.15665688305268086</c:v>
                </c:pt>
                <c:pt idx="25">
                  <c:v>0.15564340556897463</c:v>
                </c:pt>
              </c:numCache>
            </c:numRef>
          </c:val>
          <c:smooth val="0"/>
          <c:extLst>
            <c:ext xmlns:c16="http://schemas.microsoft.com/office/drawing/2014/chart" uri="{C3380CC4-5D6E-409C-BE32-E72D297353CC}">
              <c16:uniqueId val="{00000000-6768-4220-B570-19E02BC3EAFD}"/>
            </c:ext>
          </c:extLst>
        </c:ser>
        <c:dLbls>
          <c:showLegendKey val="0"/>
          <c:showVal val="0"/>
          <c:showCatName val="0"/>
          <c:showSerName val="0"/>
          <c:showPercent val="0"/>
          <c:showBubbleSize val="0"/>
        </c:dLbls>
        <c:marker val="1"/>
        <c:smooth val="0"/>
        <c:axId val="291295616"/>
        <c:axId val="291297536"/>
      </c:lineChart>
      <c:catAx>
        <c:axId val="291295616"/>
        <c:scaling>
          <c:orientation val="minMax"/>
        </c:scaling>
        <c:delete val="0"/>
        <c:axPos val="b"/>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91297536"/>
        <c:crosses val="autoZero"/>
        <c:auto val="1"/>
        <c:lblAlgn val="ctr"/>
        <c:lblOffset val="100"/>
        <c:tickLblSkip val="2"/>
        <c:tickMarkSkip val="1"/>
        <c:noMultiLvlLbl val="0"/>
      </c:catAx>
      <c:valAx>
        <c:axId val="291297536"/>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91295616"/>
        <c:crosses val="autoZero"/>
        <c:crossBetween val="midCat"/>
      </c:valAx>
      <c:spPr>
        <a:noFill/>
        <a:ln w="12700">
          <a:solidFill>
            <a:srgbClr val="808080"/>
          </a:solidFill>
          <a:prstDash val="solid"/>
        </a:ln>
      </c:spPr>
    </c:plotArea>
    <c:legend>
      <c:legendPos val="r"/>
      <c:layout>
        <c:manualLayout>
          <c:xMode val="edge"/>
          <c:yMode val="edge"/>
          <c:x val="0.18928620941914434"/>
          <c:y val="0.91342256822415979"/>
          <c:w val="0.71071614480018352"/>
          <c:h val="6.2770745209717135E-2"/>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paperSize="9" orientation="landscape"/>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t>Direct taxes as % of GDP</a:t>
            </a:r>
          </a:p>
        </c:rich>
      </c:tx>
      <c:layout>
        <c:manualLayout>
          <c:xMode val="edge"/>
          <c:yMode val="edge"/>
          <c:x val="0.32366118297712781"/>
          <c:y val="3.3613445378151259E-2"/>
        </c:manualLayout>
      </c:layout>
      <c:overlay val="0"/>
      <c:spPr>
        <a:noFill/>
        <a:ln w="25400">
          <a:noFill/>
        </a:ln>
      </c:spPr>
    </c:title>
    <c:autoTitleDeleted val="0"/>
    <c:plotArea>
      <c:layout>
        <c:manualLayout>
          <c:layoutTarget val="inner"/>
          <c:xMode val="edge"/>
          <c:yMode val="edge"/>
          <c:x val="0.14285729855924176"/>
          <c:y val="0.17647107096647127"/>
          <c:w val="0.79017943265580604"/>
          <c:h val="0.61904931243793893"/>
        </c:manualLayout>
      </c:layout>
      <c:lineChart>
        <c:grouping val="standard"/>
        <c:varyColors val="0"/>
        <c:ser>
          <c:idx val="0"/>
          <c:order val="0"/>
          <c:tx>
            <c:strRef>
              <c:f>Sector1!$D$223:$E$223</c:f>
              <c:strCache>
                <c:ptCount val="2"/>
                <c:pt idx="0">
                  <c:v>GVT</c:v>
                </c:pt>
                <c:pt idx="1">
                  <c:v>Current taxes on income and wealth (D.5r)  </c:v>
                </c:pt>
              </c:strCache>
            </c:strRef>
          </c:tx>
          <c:spPr>
            <a:ln w="25400">
              <a:solidFill>
                <a:srgbClr val="800080"/>
              </a:solidFill>
              <a:prstDash val="solid"/>
            </a:ln>
          </c:spPr>
          <c:marker>
            <c:symbol val="circle"/>
            <c:size val="7"/>
            <c:spPr>
              <a:solidFill>
                <a:srgbClr val="FFFFFF"/>
              </a:solidFill>
              <a:ln>
                <a:solidFill>
                  <a:srgbClr val="80008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Sector1!$G$223:$AG$223</c:f>
              <c:numCache>
                <c:formatCode>0.0%</c:formatCode>
                <c:ptCount val="27"/>
                <c:pt idx="0">
                  <c:v>0.1884232900308011</c:v>
                </c:pt>
                <c:pt idx="1">
                  <c:v>0.19741332872892475</c:v>
                </c:pt>
                <c:pt idx="2">
                  <c:v>0.20095520327125221</c:v>
                </c:pt>
                <c:pt idx="3">
                  <c:v>0.19894313987062739</c:v>
                </c:pt>
                <c:pt idx="4">
                  <c:v>0.20606693020044428</c:v>
                </c:pt>
                <c:pt idx="5">
                  <c:v>0.21344455883599187</c:v>
                </c:pt>
                <c:pt idx="6">
                  <c:v>0.19573023422227021</c:v>
                </c:pt>
                <c:pt idx="7">
                  <c:v>0.1844535985227426</c:v>
                </c:pt>
                <c:pt idx="8">
                  <c:v>0.19035698579151566</c:v>
                </c:pt>
                <c:pt idx="9">
                  <c:v>0.19730644070669345</c:v>
                </c:pt>
                <c:pt idx="10">
                  <c:v>0.20902207488757796</c:v>
                </c:pt>
                <c:pt idx="11">
                  <c:v>0.21070801725132574</c:v>
                </c:pt>
                <c:pt idx="12">
                  <c:v>0.20121733435161587</c:v>
                </c:pt>
                <c:pt idx="13">
                  <c:v>0.18723458957372463</c:v>
                </c:pt>
                <c:pt idx="14">
                  <c:v>0.18479384473128718</c:v>
                </c:pt>
                <c:pt idx="15">
                  <c:v>0.18149913276031948</c:v>
                </c:pt>
                <c:pt idx="16">
                  <c:v>0.17618995461129519</c:v>
                </c:pt>
                <c:pt idx="17">
                  <c:v>0.17409933825281501</c:v>
                </c:pt>
                <c:pt idx="18">
                  <c:v>0.17769179629029511</c:v>
                </c:pt>
                <c:pt idx="19">
                  <c:v>0.17794984679992643</c:v>
                </c:pt>
                <c:pt idx="20">
                  <c:v>0.18359374163253833</c:v>
                </c:pt>
                <c:pt idx="21">
                  <c:v>0.18804345322776414</c:v>
                </c:pt>
                <c:pt idx="22">
                  <c:v>0.18939225346529809</c:v>
                </c:pt>
                <c:pt idx="23">
                  <c:v>0.18642148496776725</c:v>
                </c:pt>
                <c:pt idx="24">
                  <c:v>0.18524788147650134</c:v>
                </c:pt>
                <c:pt idx="25">
                  <c:v>0.18398344803850611</c:v>
                </c:pt>
                <c:pt idx="26" formatCode="General">
                  <c:v>0</c:v>
                </c:pt>
              </c:numCache>
            </c:numRef>
          </c:val>
          <c:smooth val="0"/>
          <c:extLst>
            <c:ext xmlns:c16="http://schemas.microsoft.com/office/drawing/2014/chart" uri="{C3380CC4-5D6E-409C-BE32-E72D297353CC}">
              <c16:uniqueId val="{00000000-5402-4C93-AD3A-85A31D2C0AF0}"/>
            </c:ext>
          </c:extLst>
        </c:ser>
        <c:dLbls>
          <c:showLegendKey val="0"/>
          <c:showVal val="0"/>
          <c:showCatName val="0"/>
          <c:showSerName val="0"/>
          <c:showPercent val="0"/>
          <c:showBubbleSize val="0"/>
        </c:dLbls>
        <c:marker val="1"/>
        <c:smooth val="0"/>
        <c:axId val="291309440"/>
        <c:axId val="291323904"/>
      </c:lineChart>
      <c:catAx>
        <c:axId val="291309440"/>
        <c:scaling>
          <c:orientation val="minMax"/>
        </c:scaling>
        <c:delete val="0"/>
        <c:axPos val="b"/>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91323904"/>
        <c:crosses val="autoZero"/>
        <c:auto val="1"/>
        <c:lblAlgn val="ctr"/>
        <c:lblOffset val="100"/>
        <c:tickLblSkip val="2"/>
        <c:tickMarkSkip val="1"/>
        <c:noMultiLvlLbl val="0"/>
      </c:catAx>
      <c:valAx>
        <c:axId val="291323904"/>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91309440"/>
        <c:crosses val="autoZero"/>
        <c:crossBetween val="midCat"/>
      </c:valAx>
      <c:spPr>
        <a:noFill/>
        <a:ln w="12700">
          <a:solidFill>
            <a:srgbClr val="808080"/>
          </a:solidFill>
          <a:prstDash val="solid"/>
        </a:ln>
      </c:spPr>
    </c:plotArea>
    <c:legend>
      <c:legendPos val="r"/>
      <c:layout>
        <c:manualLayout>
          <c:xMode val="edge"/>
          <c:yMode val="edge"/>
          <c:x val="0.18392905254879122"/>
          <c:y val="0.91342256822415979"/>
          <c:w val="0.7232161774976742"/>
          <c:h val="6.2770745209717135E-2"/>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Indirect taxes and GDP</a:t>
            </a:r>
          </a:p>
        </c:rich>
      </c:tx>
      <c:layout>
        <c:manualLayout>
          <c:xMode val="edge"/>
          <c:yMode val="edge"/>
          <c:x val="0.33258975440569927"/>
          <c:y val="3.3613445378151259E-2"/>
        </c:manualLayout>
      </c:layout>
      <c:overlay val="0"/>
      <c:spPr>
        <a:noFill/>
        <a:ln w="25400">
          <a:noFill/>
        </a:ln>
      </c:spPr>
    </c:title>
    <c:autoTitleDeleted val="0"/>
    <c:plotArea>
      <c:layout>
        <c:manualLayout>
          <c:layoutTarget val="inner"/>
          <c:xMode val="edge"/>
          <c:yMode val="edge"/>
          <c:x val="0.14285729855924176"/>
          <c:y val="0.17647107096647127"/>
          <c:w val="0.79017943265580604"/>
          <c:h val="0.61904931243793893"/>
        </c:manualLayout>
      </c:layout>
      <c:lineChart>
        <c:grouping val="standard"/>
        <c:varyColors val="0"/>
        <c:ser>
          <c:idx val="2"/>
          <c:order val="0"/>
          <c:tx>
            <c:strRef>
              <c:f>Sector1!$D$34:$E$34</c:f>
              <c:strCache>
                <c:ptCount val="2"/>
                <c:pt idx="0">
                  <c:v>GVT+EXT</c:v>
                </c:pt>
                <c:pt idx="1">
                  <c:v>Taxes on production and imports (D.2r)</c:v>
                </c:pt>
              </c:strCache>
            </c:strRef>
          </c:tx>
          <c:spPr>
            <a:ln w="25400">
              <a:solidFill>
                <a:srgbClr val="008080"/>
              </a:solidFill>
              <a:prstDash val="solid"/>
            </a:ln>
          </c:spPr>
          <c:marker>
            <c:symbol val="circle"/>
            <c:size val="7"/>
            <c:spPr>
              <a:solidFill>
                <a:srgbClr val="FFFFFF"/>
              </a:solidFill>
              <a:ln>
                <a:solidFill>
                  <a:srgbClr val="00808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Sector1!$G$38:$AJ$38</c:f>
              <c:numCache>
                <c:formatCode>0.0%</c:formatCode>
                <c:ptCount val="30"/>
                <c:pt idx="0">
                  <c:v>0.45824395800394541</c:v>
                </c:pt>
                <c:pt idx="1">
                  <c:v>0.47411816852186434</c:v>
                </c:pt>
                <c:pt idx="2">
                  <c:v>0.46665086345081669</c:v>
                </c:pt>
                <c:pt idx="3">
                  <c:v>0.52312288801631024</c:v>
                </c:pt>
                <c:pt idx="4">
                  <c:v>0.51811476081804775</c:v>
                </c:pt>
                <c:pt idx="5">
                  <c:v>0.48716996633069115</c:v>
                </c:pt>
                <c:pt idx="6">
                  <c:v>0.49489097284628131</c:v>
                </c:pt>
                <c:pt idx="7">
                  <c:v>0.49760587653055594</c:v>
                </c:pt>
                <c:pt idx="8">
                  <c:v>0.49480639453360642</c:v>
                </c:pt>
                <c:pt idx="9">
                  <c:v>0.49032024817484204</c:v>
                </c:pt>
                <c:pt idx="10">
                  <c:v>0.49344643903358826</c:v>
                </c:pt>
                <c:pt idx="11">
                  <c:v>0.49579599561020715</c:v>
                </c:pt>
                <c:pt idx="12">
                  <c:v>0.49966113008159552</c:v>
                </c:pt>
                <c:pt idx="13">
                  <c:v>0.50470752721327228</c:v>
                </c:pt>
                <c:pt idx="14">
                  <c:v>0.48350895615094813</c:v>
                </c:pt>
                <c:pt idx="15">
                  <c:v>0.48169994616551648</c:v>
                </c:pt>
                <c:pt idx="16">
                  <c:v>0.47699532457712968</c:v>
                </c:pt>
                <c:pt idx="17">
                  <c:v>0.47949946006712429</c:v>
                </c:pt>
                <c:pt idx="18">
                  <c:v>0.47759089232294305</c:v>
                </c:pt>
                <c:pt idx="19">
                  <c:v>0.47655324722948567</c:v>
                </c:pt>
                <c:pt idx="20">
                  <c:v>0.48816818158478553</c:v>
                </c:pt>
                <c:pt idx="21">
                  <c:v>0.50622232639189657</c:v>
                </c:pt>
                <c:pt idx="22">
                  <c:v>0.50852164982198189</c:v>
                </c:pt>
                <c:pt idx="23">
                  <c:v>0.50897162272254481</c:v>
                </c:pt>
                <c:pt idx="24">
                  <c:v>0.50608159594022428</c:v>
                </c:pt>
                <c:pt idx="25">
                  <c:v>0.50382091883244973</c:v>
                </c:pt>
              </c:numCache>
            </c:numRef>
          </c:val>
          <c:smooth val="0"/>
          <c:extLst>
            <c:ext xmlns:c16="http://schemas.microsoft.com/office/drawing/2014/chart" uri="{C3380CC4-5D6E-409C-BE32-E72D297353CC}">
              <c16:uniqueId val="{00000000-788C-473C-A0CB-AAAE8D70FED2}"/>
            </c:ext>
          </c:extLst>
        </c:ser>
        <c:dLbls>
          <c:showLegendKey val="0"/>
          <c:showVal val="0"/>
          <c:showCatName val="0"/>
          <c:showSerName val="0"/>
          <c:showPercent val="0"/>
          <c:showBubbleSize val="0"/>
        </c:dLbls>
        <c:marker val="1"/>
        <c:smooth val="0"/>
        <c:axId val="291343744"/>
        <c:axId val="291370496"/>
      </c:lineChart>
      <c:catAx>
        <c:axId val="291343744"/>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91370496"/>
        <c:crosses val="autoZero"/>
        <c:auto val="1"/>
        <c:lblAlgn val="ctr"/>
        <c:lblOffset val="100"/>
        <c:tickLblSkip val="2"/>
        <c:tickMarkSkip val="1"/>
        <c:noMultiLvlLbl val="0"/>
      </c:catAx>
      <c:valAx>
        <c:axId val="291370496"/>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91343744"/>
        <c:crosses val="autoZero"/>
        <c:crossBetween val="midCat"/>
      </c:valAx>
      <c:spPr>
        <a:noFill/>
        <a:ln w="12700">
          <a:solidFill>
            <a:srgbClr val="808080"/>
          </a:solidFill>
          <a:prstDash val="solid"/>
        </a:ln>
      </c:spPr>
    </c:plotArea>
    <c:legend>
      <c:legendPos val="r"/>
      <c:layout>
        <c:manualLayout>
          <c:xMode val="edge"/>
          <c:yMode val="edge"/>
          <c:x val="0.16964330089451615"/>
          <c:y val="0.91558707667966743"/>
          <c:w val="0.73214477228159602"/>
          <c:h val="6.2770745209717135E-2"/>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paperSize="9" orientation="landscape"/>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t>Corporate tax as % of GDP</a:t>
            </a:r>
          </a:p>
        </c:rich>
      </c:tx>
      <c:layout>
        <c:manualLayout>
          <c:xMode val="edge"/>
          <c:yMode val="edge"/>
          <c:x val="0.31026809148856394"/>
          <c:y val="3.3613445378151259E-2"/>
        </c:manualLayout>
      </c:layout>
      <c:overlay val="0"/>
      <c:spPr>
        <a:noFill/>
        <a:ln w="25400">
          <a:noFill/>
        </a:ln>
      </c:spPr>
    </c:title>
    <c:autoTitleDeleted val="0"/>
    <c:plotArea>
      <c:layout>
        <c:manualLayout>
          <c:layoutTarget val="inner"/>
          <c:xMode val="edge"/>
          <c:yMode val="edge"/>
          <c:x val="0.1272322815293247"/>
          <c:y val="0.17647107096647127"/>
          <c:w val="0.80580444968572307"/>
          <c:h val="0.61904931243793893"/>
        </c:manualLayout>
      </c:layout>
      <c:lineChart>
        <c:grouping val="standard"/>
        <c:varyColors val="0"/>
        <c:ser>
          <c:idx val="0"/>
          <c:order val="0"/>
          <c:tx>
            <c:strRef>
              <c:f>Sector1!$D$220:$E$220</c:f>
              <c:strCache>
                <c:ptCount val="2"/>
                <c:pt idx="0">
                  <c:v>E</c:v>
                </c:pt>
                <c:pt idx="1">
                  <c:v>Current taxes on income and wealth (D.5p)  </c:v>
                </c:pt>
              </c:strCache>
            </c:strRef>
          </c:tx>
          <c:spPr>
            <a:ln w="25400">
              <a:solidFill>
                <a:srgbClr val="339966"/>
              </a:solidFill>
              <a:prstDash val="solid"/>
            </a:ln>
          </c:spPr>
          <c:marker>
            <c:symbol val="circle"/>
            <c:size val="7"/>
            <c:spPr>
              <a:solidFill>
                <a:srgbClr val="FFFFFF"/>
              </a:solidFill>
              <a:ln>
                <a:solidFill>
                  <a:srgbClr val="339966"/>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Sector1!$G$220:$AG$220</c:f>
              <c:numCache>
                <c:formatCode>0.0%</c:formatCode>
                <c:ptCount val="27"/>
                <c:pt idx="0">
                  <c:v>2.4567681773056266E-2</c:v>
                </c:pt>
                <c:pt idx="1">
                  <c:v>2.3798864544571953E-2</c:v>
                </c:pt>
                <c:pt idx="2">
                  <c:v>2.6478032896500355E-2</c:v>
                </c:pt>
                <c:pt idx="3">
                  <c:v>2.3317576772048283E-2</c:v>
                </c:pt>
                <c:pt idx="4">
                  <c:v>2.7887062818305854E-2</c:v>
                </c:pt>
                <c:pt idx="5">
                  <c:v>3.4392979435532253E-2</c:v>
                </c:pt>
                <c:pt idx="6">
                  <c:v>2.368935934979266E-2</c:v>
                </c:pt>
                <c:pt idx="7">
                  <c:v>1.8321193150318247E-2</c:v>
                </c:pt>
                <c:pt idx="8">
                  <c:v>2.0520630856556265E-2</c:v>
                </c:pt>
                <c:pt idx="9">
                  <c:v>2.7813672040657982E-2</c:v>
                </c:pt>
                <c:pt idx="10">
                  <c:v>3.4013666208240471E-2</c:v>
                </c:pt>
                <c:pt idx="11">
                  <c:v>3.4513286885473088E-2</c:v>
                </c:pt>
                <c:pt idx="12">
                  <c:v>3.5499728414232969E-2</c:v>
                </c:pt>
                <c:pt idx="13">
                  <c:v>2.6497774997117949E-2</c:v>
                </c:pt>
                <c:pt idx="14">
                  <c:v>2.7307944783869057E-2</c:v>
                </c:pt>
                <c:pt idx="15">
                  <c:v>3.209609787548981E-2</c:v>
                </c:pt>
                <c:pt idx="16">
                  <c:v>2.9928902774427942E-2</c:v>
                </c:pt>
                <c:pt idx="17">
                  <c:v>2.5348134971377421E-2</c:v>
                </c:pt>
                <c:pt idx="18">
                  <c:v>2.6477375495470384E-2</c:v>
                </c:pt>
                <c:pt idx="19">
                  <c:v>2.5913205656032529E-2</c:v>
                </c:pt>
                <c:pt idx="20">
                  <c:v>2.9041711580721656E-2</c:v>
                </c:pt>
                <c:pt idx="21">
                  <c:v>2.8176053934137909E-2</c:v>
                </c:pt>
                <c:pt idx="22">
                  <c:v>2.8897776517892181E-2</c:v>
                </c:pt>
                <c:pt idx="23">
                  <c:v>2.892586588436678E-2</c:v>
                </c:pt>
                <c:pt idx="24">
                  <c:v>2.8596621522088441E-2</c:v>
                </c:pt>
                <c:pt idx="25">
                  <c:v>2.8335590482612492E-2</c:v>
                </c:pt>
              </c:numCache>
            </c:numRef>
          </c:val>
          <c:smooth val="0"/>
          <c:extLst>
            <c:ext xmlns:c16="http://schemas.microsoft.com/office/drawing/2014/chart" uri="{C3380CC4-5D6E-409C-BE32-E72D297353CC}">
              <c16:uniqueId val="{00000000-F071-440C-B32F-71F6D073F249}"/>
            </c:ext>
          </c:extLst>
        </c:ser>
        <c:dLbls>
          <c:showLegendKey val="0"/>
          <c:showVal val="0"/>
          <c:showCatName val="0"/>
          <c:showSerName val="0"/>
          <c:showPercent val="0"/>
          <c:showBubbleSize val="0"/>
        </c:dLbls>
        <c:marker val="1"/>
        <c:smooth val="0"/>
        <c:axId val="291390976"/>
        <c:axId val="291392896"/>
      </c:lineChart>
      <c:catAx>
        <c:axId val="291390976"/>
        <c:scaling>
          <c:orientation val="minMax"/>
        </c:scaling>
        <c:delete val="0"/>
        <c:axPos val="b"/>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91392896"/>
        <c:crosses val="autoZero"/>
        <c:auto val="1"/>
        <c:lblAlgn val="ctr"/>
        <c:lblOffset val="100"/>
        <c:tickLblSkip val="2"/>
        <c:tickMarkSkip val="1"/>
        <c:noMultiLvlLbl val="0"/>
      </c:catAx>
      <c:valAx>
        <c:axId val="291392896"/>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91390976"/>
        <c:crosses val="autoZero"/>
        <c:crossBetween val="midCat"/>
      </c:valAx>
      <c:spPr>
        <a:noFill/>
        <a:ln w="12700">
          <a:solidFill>
            <a:srgbClr val="808080"/>
          </a:solidFill>
          <a:prstDash val="solid"/>
        </a:ln>
      </c:spPr>
    </c:plotArea>
    <c:legend>
      <c:legendPos val="r"/>
      <c:layout>
        <c:manualLayout>
          <c:xMode val="edge"/>
          <c:yMode val="edge"/>
          <c:x val="0.20000052315985065"/>
          <c:y val="0.91342256822415979"/>
          <c:w val="0.69285895523233976"/>
          <c:h val="6.2770745209717135E-2"/>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Indirect taxes related to GDP</a:t>
            </a:r>
          </a:p>
        </c:rich>
      </c:tx>
      <c:layout>
        <c:manualLayout>
          <c:xMode val="edge"/>
          <c:yMode val="edge"/>
          <c:x val="0.29241094863142109"/>
          <c:y val="3.3613445378151259E-2"/>
        </c:manualLayout>
      </c:layout>
      <c:overlay val="0"/>
      <c:spPr>
        <a:noFill/>
        <a:ln w="25400">
          <a:noFill/>
        </a:ln>
      </c:spPr>
    </c:title>
    <c:autoTitleDeleted val="0"/>
    <c:plotArea>
      <c:layout>
        <c:manualLayout>
          <c:layoutTarget val="inner"/>
          <c:xMode val="edge"/>
          <c:yMode val="edge"/>
          <c:x val="4.9107196379739357E-2"/>
          <c:y val="0.17366994285589235"/>
          <c:w val="0.90401884244520181"/>
          <c:h val="0.56582787833693959"/>
        </c:manualLayout>
      </c:layout>
      <c:scatterChart>
        <c:scatterStyle val="lineMarker"/>
        <c:varyColors val="0"/>
        <c:ser>
          <c:idx val="0"/>
          <c:order val="0"/>
          <c:tx>
            <c:strRef>
              <c:f>Sector1!$D$22:$E$22</c:f>
              <c:strCache>
                <c:ptCount val="2"/>
                <c:pt idx="0">
                  <c:v>GVT</c:v>
                </c:pt>
                <c:pt idx="1">
                  <c:v>Taxes on production and imports (D.2r = D.21r+D.29r)</c:v>
                </c:pt>
              </c:strCache>
            </c:strRef>
          </c:tx>
          <c:spPr>
            <a:ln w="28575">
              <a:noFill/>
            </a:ln>
          </c:spPr>
          <c:marker>
            <c:symbol val="circle"/>
            <c:size val="7"/>
            <c:spPr>
              <a:solidFill>
                <a:srgbClr val="FFFFFF"/>
              </a:solidFill>
              <a:ln>
                <a:solidFill>
                  <a:srgbClr val="0000FF"/>
                </a:solidFill>
                <a:prstDash val="solid"/>
              </a:ln>
            </c:spPr>
          </c:marker>
          <c:dLbls>
            <c:dLbl>
              <c:idx val="1"/>
              <c:tx>
                <c:rich>
                  <a:bodyPr/>
                  <a:lstStyle/>
                  <a:p>
                    <a:r>
                      <a:rPr lang="en-GB"/>
                      <a:t>1996</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473-4A03-80DB-4DFBE9DBEFA4}"/>
                </c:ext>
              </c:extLst>
            </c:dLbl>
            <c:dLbl>
              <c:idx val="2"/>
              <c:tx>
                <c:rich>
                  <a:bodyPr/>
                  <a:lstStyle/>
                  <a:p>
                    <a:r>
                      <a:rPr lang="en-GB"/>
                      <a:t>1997</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473-4A03-80DB-4DFBE9DBEFA4}"/>
                </c:ext>
              </c:extLst>
            </c:dLbl>
            <c:dLbl>
              <c:idx val="3"/>
              <c:tx>
                <c:rich>
                  <a:bodyPr/>
                  <a:lstStyle/>
                  <a:p>
                    <a:r>
                      <a:rPr lang="en-GB"/>
                      <a:t>1998</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473-4A03-80DB-4DFBE9DBEFA4}"/>
                </c:ext>
              </c:extLst>
            </c:dLbl>
            <c:dLbl>
              <c:idx val="4"/>
              <c:tx>
                <c:rich>
                  <a:bodyPr/>
                  <a:lstStyle/>
                  <a:p>
                    <a:r>
                      <a:rPr lang="en-GB"/>
                      <a:t>1999</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473-4A03-80DB-4DFBE9DBEFA4}"/>
                </c:ext>
              </c:extLst>
            </c:dLbl>
            <c:dLbl>
              <c:idx val="5"/>
              <c:tx>
                <c:rich>
                  <a:bodyPr/>
                  <a:lstStyle/>
                  <a:p>
                    <a:r>
                      <a:rPr lang="en-GB"/>
                      <a:t>2000</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473-4A03-80DB-4DFBE9DBEFA4}"/>
                </c:ext>
              </c:extLst>
            </c:dLbl>
            <c:dLbl>
              <c:idx val="6"/>
              <c:tx>
                <c:rich>
                  <a:bodyPr/>
                  <a:lstStyle/>
                  <a:p>
                    <a:r>
                      <a:rPr lang="en-GB"/>
                      <a:t>2001</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D473-4A03-80DB-4DFBE9DBEFA4}"/>
                </c:ext>
              </c:extLst>
            </c:dLbl>
            <c:dLbl>
              <c:idx val="7"/>
              <c:tx>
                <c:rich>
                  <a:bodyPr/>
                  <a:lstStyle/>
                  <a:p>
                    <a:r>
                      <a:rPr lang="en-GB"/>
                      <a:t>2002</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D473-4A03-80DB-4DFBE9DBEFA4}"/>
                </c:ext>
              </c:extLst>
            </c:dLbl>
            <c:dLbl>
              <c:idx val="8"/>
              <c:tx>
                <c:rich>
                  <a:bodyPr/>
                  <a:lstStyle/>
                  <a:p>
                    <a:r>
                      <a:rPr lang="en-GB"/>
                      <a:t>2003</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D473-4A03-80DB-4DFBE9DBEFA4}"/>
                </c:ext>
              </c:extLst>
            </c:dLbl>
            <c:dLbl>
              <c:idx val="9"/>
              <c:tx>
                <c:rich>
                  <a:bodyPr/>
                  <a:lstStyle/>
                  <a:p>
                    <a:r>
                      <a:rPr lang="en-GB"/>
                      <a:t>2004</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D473-4A03-80DB-4DFBE9DBEFA4}"/>
                </c:ext>
              </c:extLst>
            </c:dLbl>
            <c:dLbl>
              <c:idx val="10"/>
              <c:tx>
                <c:rich>
                  <a:bodyPr/>
                  <a:lstStyle/>
                  <a:p>
                    <a:r>
                      <a:rPr lang="en-GB"/>
                      <a:t>2005</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D473-4A03-80DB-4DFBE9DBEFA4}"/>
                </c:ext>
              </c:extLst>
            </c:dLbl>
            <c:dLbl>
              <c:idx val="11"/>
              <c:tx>
                <c:rich>
                  <a:bodyPr/>
                  <a:lstStyle/>
                  <a:p>
                    <a:r>
                      <a:rPr lang="en-GB"/>
                      <a:t>2006</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D473-4A03-80DB-4DFBE9DBEFA4}"/>
                </c:ext>
              </c:extLst>
            </c:dLbl>
            <c:dLbl>
              <c:idx val="12"/>
              <c:tx>
                <c:rich>
                  <a:bodyPr/>
                  <a:lstStyle/>
                  <a:p>
                    <a:r>
                      <a:rPr lang="en-GB"/>
                      <a:t>2007</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D473-4A03-80DB-4DFBE9DBEFA4}"/>
                </c:ext>
              </c:extLst>
            </c:dLbl>
            <c:dLbl>
              <c:idx val="13"/>
              <c:tx>
                <c:rich>
                  <a:bodyPr/>
                  <a:lstStyle/>
                  <a:p>
                    <a:r>
                      <a:rPr lang="en-GB"/>
                      <a:t>2008</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D473-4A03-80DB-4DFBE9DBEFA4}"/>
                </c:ext>
              </c:extLst>
            </c:dLbl>
            <c:dLbl>
              <c:idx val="14"/>
              <c:tx>
                <c:rich>
                  <a:bodyPr/>
                  <a:lstStyle/>
                  <a:p>
                    <a:r>
                      <a:rPr lang="en-GB"/>
                      <a:t>2009</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D473-4A03-80DB-4DFBE9DBEFA4}"/>
                </c:ext>
              </c:extLst>
            </c:dLbl>
            <c:spPr>
              <a:noFill/>
              <a:ln w="25400">
                <a:noFill/>
              </a:ln>
            </c:spPr>
            <c:txPr>
              <a:bodyPr/>
              <a:lstStyle/>
              <a:p>
                <a:pPr>
                  <a:defRPr sz="800"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25400">
                <a:solidFill>
                  <a:srgbClr val="0000FF"/>
                </a:solidFill>
                <a:prstDash val="solid"/>
              </a:ln>
            </c:spPr>
            <c:trendlineType val="linear"/>
            <c:dispRSqr val="0"/>
            <c:dispEq val="0"/>
          </c:trendline>
          <c:xVal>
            <c:numRef>
              <c:f>'VVP2'!$G$348:$AG$348</c:f>
              <c:numCache>
                <c:formatCode>0.0</c:formatCode>
                <c:ptCount val="27"/>
                <c:pt idx="1">
                  <c:v>2.5842575072335894</c:v>
                </c:pt>
                <c:pt idx="2">
                  <c:v>4.528587483935409</c:v>
                </c:pt>
                <c:pt idx="3">
                  <c:v>5.0657326637579603</c:v>
                </c:pt>
                <c:pt idx="4">
                  <c:v>5.4682108787114991</c:v>
                </c:pt>
                <c:pt idx="5">
                  <c:v>6.3846614236626298</c:v>
                </c:pt>
                <c:pt idx="6">
                  <c:v>4.1235495837014691</c:v>
                </c:pt>
                <c:pt idx="7">
                  <c:v>3.7085461393536079</c:v>
                </c:pt>
                <c:pt idx="8">
                  <c:v>4.1532907089817606</c:v>
                </c:pt>
                <c:pt idx="9">
                  <c:v>4.7574232625837265</c:v>
                </c:pt>
                <c:pt idx="10">
                  <c:v>3.6419274584167605</c:v>
                </c:pt>
                <c:pt idx="11">
                  <c:v>6.6015777053014757</c:v>
                </c:pt>
                <c:pt idx="12">
                  <c:v>6.3860651262684476</c:v>
                </c:pt>
                <c:pt idx="13">
                  <c:v>2.7476057889422645</c:v>
                </c:pt>
                <c:pt idx="14">
                  <c:v>-2.9387197675724841</c:v>
                </c:pt>
                <c:pt idx="15">
                  <c:v>7.0417486707964771</c:v>
                </c:pt>
                <c:pt idx="16">
                  <c:v>3.8940367055789515</c:v>
                </c:pt>
                <c:pt idx="17">
                  <c:v>0.76011125791202172</c:v>
                </c:pt>
                <c:pt idx="18">
                  <c:v>2.3060714240210611</c:v>
                </c:pt>
                <c:pt idx="19">
                  <c:v>4.4247138069799297</c:v>
                </c:pt>
                <c:pt idx="20">
                  <c:v>6.6131174787644964</c:v>
                </c:pt>
                <c:pt idx="21" formatCode="0.00">
                  <c:v>4.3782486576955382</c:v>
                </c:pt>
                <c:pt idx="22">
                  <c:v>4.4100360802891814</c:v>
                </c:pt>
                <c:pt idx="23">
                  <c:v>4.8980364670283993</c:v>
                </c:pt>
                <c:pt idx="24">
                  <c:v>3.7812749119215061</c:v>
                </c:pt>
                <c:pt idx="25">
                  <c:v>3.5451641625984909</c:v>
                </c:pt>
              </c:numCache>
            </c:numRef>
          </c:xVal>
          <c:yVal>
            <c:numRef>
              <c:f>Sector1!$G$22:$AG$22</c:f>
              <c:numCache>
                <c:formatCode>0.0</c:formatCode>
                <c:ptCount val="27"/>
                <c:pt idx="1">
                  <c:v>6.6727578032398371</c:v>
                </c:pt>
                <c:pt idx="2">
                  <c:v>2.5579769527434015</c:v>
                </c:pt>
                <c:pt idx="3">
                  <c:v>16.503999711081807</c:v>
                </c:pt>
                <c:pt idx="4">
                  <c:v>4.6095127385449963</c:v>
                </c:pt>
                <c:pt idx="5">
                  <c:v>-0.10408525360131593</c:v>
                </c:pt>
                <c:pt idx="6">
                  <c:v>4.5945344654974241</c:v>
                </c:pt>
                <c:pt idx="7">
                  <c:v>4.7270110358372142</c:v>
                </c:pt>
                <c:pt idx="8">
                  <c:v>3.3942081478597785</c:v>
                </c:pt>
                <c:pt idx="9">
                  <c:v>2.6024580771472294</c:v>
                </c:pt>
                <c:pt idx="10">
                  <c:v>4.4702942969006676</c:v>
                </c:pt>
                <c:pt idx="11">
                  <c:v>4.358423398864697</c:v>
                </c:pt>
                <c:pt idx="12">
                  <c:v>6.0567213978400147</c:v>
                </c:pt>
                <c:pt idx="13">
                  <c:v>4.438078837853654</c:v>
                </c:pt>
                <c:pt idx="14">
                  <c:v>-1.6405246719479183</c:v>
                </c:pt>
                <c:pt idx="15">
                  <c:v>5.004466234594851</c:v>
                </c:pt>
                <c:pt idx="16">
                  <c:v>2.5726207958737701</c:v>
                </c:pt>
                <c:pt idx="17">
                  <c:v>1.9027415591331476</c:v>
                </c:pt>
                <c:pt idx="18">
                  <c:v>2.1915310243544095</c:v>
                </c:pt>
                <c:pt idx="19">
                  <c:v>2.9572207179101584</c:v>
                </c:pt>
                <c:pt idx="20">
                  <c:v>6.5399557985343693</c:v>
                </c:pt>
                <c:pt idx="21">
                  <c:v>7.8081805914027802</c:v>
                </c:pt>
                <c:pt idx="22">
                  <c:v>4.4653807164174886</c:v>
                </c:pt>
                <c:pt idx="23" formatCode="0.00">
                  <c:v>4.2333708656047131</c:v>
                </c:pt>
                <c:pt idx="24" formatCode="0.00">
                  <c:v>3.4970654442297189</c:v>
                </c:pt>
                <c:pt idx="25" formatCode="0.00">
                  <c:v>3.4998660796967229</c:v>
                </c:pt>
              </c:numCache>
            </c:numRef>
          </c:yVal>
          <c:smooth val="0"/>
          <c:extLst>
            <c:ext xmlns:c16="http://schemas.microsoft.com/office/drawing/2014/chart" uri="{C3380CC4-5D6E-409C-BE32-E72D297353CC}">
              <c16:uniqueId val="{0000000E-D473-4A03-80DB-4DFBE9DBEFA4}"/>
            </c:ext>
          </c:extLst>
        </c:ser>
        <c:dLbls>
          <c:showLegendKey val="0"/>
          <c:showVal val="0"/>
          <c:showCatName val="0"/>
          <c:showSerName val="0"/>
          <c:showPercent val="0"/>
          <c:showBubbleSize val="0"/>
        </c:dLbls>
        <c:axId val="291570432"/>
        <c:axId val="291571968"/>
      </c:scatterChart>
      <c:valAx>
        <c:axId val="291570432"/>
        <c:scaling>
          <c:orientation val="minMax"/>
        </c:scaling>
        <c:delete val="0"/>
        <c:axPos val="b"/>
        <c:majorGridlines>
          <c:spPr>
            <a:ln w="3175">
              <a:solidFill>
                <a:srgbClr val="000000"/>
              </a:solidFill>
              <a:prstDash val="solid"/>
            </a:ln>
          </c:spPr>
        </c:majorGridlines>
        <c:numFmt formatCode="0" sourceLinked="0"/>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91571968"/>
        <c:crosses val="autoZero"/>
        <c:crossBetween val="midCat"/>
      </c:valAx>
      <c:valAx>
        <c:axId val="291571968"/>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91570432"/>
        <c:crosses val="autoZero"/>
        <c:crossBetween val="midCat"/>
      </c:valAx>
      <c:spPr>
        <a:noFill/>
        <a:ln w="12700">
          <a:solidFill>
            <a:srgbClr val="808080"/>
          </a:solidFill>
          <a:prstDash val="solid"/>
        </a:ln>
      </c:spPr>
    </c:plotArea>
    <c:legend>
      <c:legendPos val="r"/>
      <c:layout>
        <c:manualLayout>
          <c:xMode val="edge"/>
          <c:yMode val="edge"/>
          <c:x val="1.2500032697490665E-2"/>
          <c:y val="0.85930985683647265"/>
          <c:w val="0.9732168314474875"/>
          <c:h val="0.12121247350841932"/>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t>Social contributions (GVT, received), GDP and compensation of employees</a:t>
            </a:r>
          </a:p>
        </c:rich>
      </c:tx>
      <c:layout>
        <c:manualLayout>
          <c:xMode val="edge"/>
          <c:yMode val="edge"/>
          <c:x val="0.11607166291713535"/>
          <c:y val="3.3613445378151259E-2"/>
        </c:manualLayout>
      </c:layout>
      <c:overlay val="0"/>
      <c:spPr>
        <a:noFill/>
        <a:ln w="25400">
          <a:noFill/>
        </a:ln>
      </c:spPr>
    </c:title>
    <c:autoTitleDeleted val="0"/>
    <c:plotArea>
      <c:layout>
        <c:manualLayout>
          <c:layoutTarget val="inner"/>
          <c:xMode val="edge"/>
          <c:yMode val="edge"/>
          <c:x val="0.10044653804946686"/>
          <c:y val="0.21848799262515489"/>
          <c:w val="0.83259019316558092"/>
          <c:h val="0.45938501013494104"/>
        </c:manualLayout>
      </c:layout>
      <c:lineChart>
        <c:grouping val="standard"/>
        <c:varyColors val="0"/>
        <c:ser>
          <c:idx val="0"/>
          <c:order val="0"/>
          <c:tx>
            <c:strRef>
              <c:f>Sector1!$D$265:$E$265</c:f>
              <c:strCache>
                <c:ptCount val="2"/>
                <c:pt idx="0">
                  <c:v>GVT</c:v>
                </c:pt>
                <c:pt idx="1">
                  <c:v>Social contributions (D.61r)</c:v>
                </c:pt>
              </c:strCache>
            </c:strRef>
          </c:tx>
          <c:spPr>
            <a:ln w="25400">
              <a:solidFill>
                <a:srgbClr val="FF0000"/>
              </a:solidFill>
              <a:prstDash val="solid"/>
            </a:ln>
          </c:spPr>
          <c:marker>
            <c:symbol val="diamond"/>
            <c:size val="5"/>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Sector1!$G$265:$AJ$265</c:f>
              <c:numCache>
                <c:formatCode>0.0</c:formatCode>
                <c:ptCount val="30"/>
                <c:pt idx="1">
                  <c:v>11.810911168237649</c:v>
                </c:pt>
                <c:pt idx="2">
                  <c:v>9.1758206667518216</c:v>
                </c:pt>
                <c:pt idx="3">
                  <c:v>-26.530075023033394</c:v>
                </c:pt>
                <c:pt idx="4">
                  <c:v>0.25080616266572875</c:v>
                </c:pt>
                <c:pt idx="5">
                  <c:v>21.135136208402816</c:v>
                </c:pt>
                <c:pt idx="6">
                  <c:v>-5.2107493218158218</c:v>
                </c:pt>
                <c:pt idx="7">
                  <c:v>-12.120976318315035</c:v>
                </c:pt>
                <c:pt idx="8">
                  <c:v>3.2083825265643462</c:v>
                </c:pt>
                <c:pt idx="9">
                  <c:v>2.5586028731851895</c:v>
                </c:pt>
                <c:pt idx="10">
                  <c:v>-4.8965933912720194</c:v>
                </c:pt>
                <c:pt idx="11" formatCode="0.00">
                  <c:v>-4.4459864929581538</c:v>
                </c:pt>
                <c:pt idx="12" formatCode="0.00">
                  <c:v>8.117175353899043</c:v>
                </c:pt>
                <c:pt idx="13" formatCode="0.00">
                  <c:v>5.6639294634072357</c:v>
                </c:pt>
                <c:pt idx="14" formatCode="0.00">
                  <c:v>-4.2080382483811185E-2</c:v>
                </c:pt>
                <c:pt idx="15" formatCode="0.00">
                  <c:v>2.0350399484074355</c:v>
                </c:pt>
                <c:pt idx="16">
                  <c:v>8.3912707609115511</c:v>
                </c:pt>
                <c:pt idx="17">
                  <c:v>0.86333265843288043</c:v>
                </c:pt>
                <c:pt idx="18">
                  <c:v>2.8119253900322105</c:v>
                </c:pt>
                <c:pt idx="19">
                  <c:v>3.1559710409784225</c:v>
                </c:pt>
                <c:pt idx="20">
                  <c:v>5.3587111232246132</c:v>
                </c:pt>
                <c:pt idx="21">
                  <c:v>4.6851870481884328</c:v>
                </c:pt>
                <c:pt idx="22">
                  <c:v>5.0301341277577238</c:v>
                </c:pt>
                <c:pt idx="23">
                  <c:v>4.5138932681865418</c:v>
                </c:pt>
                <c:pt idx="24">
                  <c:v>4.136314033299171</c:v>
                </c:pt>
                <c:pt idx="25">
                  <c:v>3.7631148413085125</c:v>
                </c:pt>
              </c:numCache>
            </c:numRef>
          </c:val>
          <c:smooth val="0"/>
          <c:extLst>
            <c:ext xmlns:c16="http://schemas.microsoft.com/office/drawing/2014/chart" uri="{C3380CC4-5D6E-409C-BE32-E72D297353CC}">
              <c16:uniqueId val="{00000000-58E7-4561-B9F4-B3DAEA20846C}"/>
            </c:ext>
          </c:extLst>
        </c:ser>
        <c:ser>
          <c:idx val="1"/>
          <c:order val="1"/>
          <c:tx>
            <c:strRef>
              <c:f>'VVP2'!$E$348</c:f>
              <c:strCache>
                <c:ptCount val="1"/>
                <c:pt idx="0">
                  <c:v>GDP</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'VVP2'!$G$348:$AG$348</c:f>
              <c:numCache>
                <c:formatCode>0.0</c:formatCode>
                <c:ptCount val="27"/>
                <c:pt idx="1">
                  <c:v>2.5842575072335894</c:v>
                </c:pt>
                <c:pt idx="2">
                  <c:v>4.528587483935409</c:v>
                </c:pt>
                <c:pt idx="3">
                  <c:v>5.0657326637579603</c:v>
                </c:pt>
                <c:pt idx="4">
                  <c:v>5.4682108787114991</c:v>
                </c:pt>
                <c:pt idx="5">
                  <c:v>6.3846614236626298</c:v>
                </c:pt>
                <c:pt idx="6">
                  <c:v>4.1235495837014691</c:v>
                </c:pt>
                <c:pt idx="7">
                  <c:v>3.7085461393536079</c:v>
                </c:pt>
                <c:pt idx="8">
                  <c:v>4.1532907089817606</c:v>
                </c:pt>
                <c:pt idx="9">
                  <c:v>4.7574232625837265</c:v>
                </c:pt>
                <c:pt idx="10">
                  <c:v>3.6419274584167605</c:v>
                </c:pt>
                <c:pt idx="11">
                  <c:v>6.6015777053014757</c:v>
                </c:pt>
                <c:pt idx="12">
                  <c:v>6.3860651262684476</c:v>
                </c:pt>
                <c:pt idx="13">
                  <c:v>2.7476057889422645</c:v>
                </c:pt>
                <c:pt idx="14">
                  <c:v>-2.9387197675724841</c:v>
                </c:pt>
                <c:pt idx="15">
                  <c:v>7.0417486707964771</c:v>
                </c:pt>
                <c:pt idx="16">
                  <c:v>3.8940367055789515</c:v>
                </c:pt>
                <c:pt idx="17">
                  <c:v>0.76011125791202172</c:v>
                </c:pt>
                <c:pt idx="18">
                  <c:v>2.3060714240210611</c:v>
                </c:pt>
                <c:pt idx="19">
                  <c:v>4.4247138069799297</c:v>
                </c:pt>
                <c:pt idx="20">
                  <c:v>6.6131174787644964</c:v>
                </c:pt>
                <c:pt idx="21" formatCode="0.00">
                  <c:v>4.3782486576955382</c:v>
                </c:pt>
                <c:pt idx="22">
                  <c:v>4.4100360802891814</c:v>
                </c:pt>
                <c:pt idx="23">
                  <c:v>4.8980364670283993</c:v>
                </c:pt>
                <c:pt idx="24">
                  <c:v>3.7812749119215061</c:v>
                </c:pt>
                <c:pt idx="25">
                  <c:v>3.5451641625984909</c:v>
                </c:pt>
              </c:numCache>
            </c:numRef>
          </c:val>
          <c:smooth val="0"/>
          <c:extLst>
            <c:ext xmlns:c16="http://schemas.microsoft.com/office/drawing/2014/chart" uri="{C3380CC4-5D6E-409C-BE32-E72D297353CC}">
              <c16:uniqueId val="{00000001-58E7-4561-B9F4-B3DAEA20846C}"/>
            </c:ext>
          </c:extLst>
        </c:ser>
        <c:ser>
          <c:idx val="2"/>
          <c:order val="2"/>
          <c:tx>
            <c:strRef>
              <c:f>Labour1!$D$223:$E$223</c:f>
              <c:strCache>
                <c:ptCount val="2"/>
                <c:pt idx="0">
                  <c:v>GVT</c:v>
                </c:pt>
                <c:pt idx="1">
                  <c:v>Compensation of employees (D.1p) (Domestic)</c:v>
                </c:pt>
              </c:strCache>
            </c:strRef>
          </c:tx>
          <c:spPr>
            <a:ln w="25400">
              <a:solidFill>
                <a:srgbClr val="008000"/>
              </a:solidFill>
              <a:prstDash val="solid"/>
            </a:ln>
          </c:spPr>
          <c:marker>
            <c:symbol val="circle"/>
            <c:size val="5"/>
            <c:spPr>
              <a:solidFill>
                <a:srgbClr val="FFFFFF"/>
              </a:solidFill>
              <a:ln>
                <a:solidFill>
                  <a:srgbClr val="008000"/>
                </a:solidFill>
                <a:prstDash val="solid"/>
              </a:ln>
            </c:spPr>
          </c:marker>
          <c:val>
            <c:numRef>
              <c:f>Labour1!$G$223:$U$223</c:f>
              <c:numCache>
                <c:formatCode>0.0</c:formatCode>
                <c:ptCount val="15"/>
                <c:pt idx="1">
                  <c:v>6.0431163935334986</c:v>
                </c:pt>
                <c:pt idx="2">
                  <c:v>4.5426907922177184</c:v>
                </c:pt>
                <c:pt idx="3">
                  <c:v>0.11436423486848035</c:v>
                </c:pt>
                <c:pt idx="4">
                  <c:v>6.0545975763367066</c:v>
                </c:pt>
                <c:pt idx="5">
                  <c:v>9.6807750353750333</c:v>
                </c:pt>
                <c:pt idx="6">
                  <c:v>6.8421475166817736</c:v>
                </c:pt>
                <c:pt idx="7">
                  <c:v>3.4624031146600176</c:v>
                </c:pt>
                <c:pt idx="8">
                  <c:v>3.5108698130559279</c:v>
                </c:pt>
                <c:pt idx="9">
                  <c:v>3.306696037039325</c:v>
                </c:pt>
                <c:pt idx="10">
                  <c:v>3.375225862700737</c:v>
                </c:pt>
                <c:pt idx="11">
                  <c:v>4.8256104874350392</c:v>
                </c:pt>
                <c:pt idx="12">
                  <c:v>7.7910625713290438</c:v>
                </c:pt>
                <c:pt idx="13">
                  <c:v>4.931145829671113</c:v>
                </c:pt>
                <c:pt idx="14">
                  <c:v>1.5786051959953973E-2</c:v>
                </c:pt>
              </c:numCache>
            </c:numRef>
          </c:val>
          <c:smooth val="0"/>
          <c:extLst>
            <c:ext xmlns:c16="http://schemas.microsoft.com/office/drawing/2014/chart" uri="{C3380CC4-5D6E-409C-BE32-E72D297353CC}">
              <c16:uniqueId val="{00000002-58E7-4561-B9F4-B3DAEA20846C}"/>
            </c:ext>
          </c:extLst>
        </c:ser>
        <c:dLbls>
          <c:showLegendKey val="0"/>
          <c:showVal val="0"/>
          <c:showCatName val="0"/>
          <c:showSerName val="0"/>
          <c:showPercent val="0"/>
          <c:showBubbleSize val="0"/>
        </c:dLbls>
        <c:marker val="1"/>
        <c:smooth val="0"/>
        <c:axId val="291630464"/>
        <c:axId val="291632640"/>
      </c:lineChart>
      <c:catAx>
        <c:axId val="291630464"/>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91632640"/>
        <c:crosses val="autoZero"/>
        <c:auto val="1"/>
        <c:lblAlgn val="ctr"/>
        <c:lblOffset val="100"/>
        <c:tickLblSkip val="2"/>
        <c:tickMarkSkip val="1"/>
        <c:noMultiLvlLbl val="0"/>
      </c:catAx>
      <c:valAx>
        <c:axId val="291632640"/>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91630464"/>
        <c:crosses val="autoZero"/>
        <c:crossBetween val="midCat"/>
      </c:valAx>
      <c:spPr>
        <a:noFill/>
        <a:ln w="12700">
          <a:solidFill>
            <a:srgbClr val="808080"/>
          </a:solidFill>
          <a:prstDash val="solid"/>
        </a:ln>
      </c:spPr>
    </c:plotArea>
    <c:legend>
      <c:legendPos val="r"/>
      <c:layout>
        <c:manualLayout>
          <c:xMode val="edge"/>
          <c:yMode val="edge"/>
          <c:x val="0.12678604593169104"/>
          <c:y val="0.80086812853777045"/>
          <c:w val="0.755359118719793"/>
          <c:h val="0.17965420180712149"/>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t>Social contributions (GVT, received) related to GDP</a:t>
            </a:r>
          </a:p>
        </c:rich>
      </c:tx>
      <c:layout>
        <c:manualLayout>
          <c:xMode val="edge"/>
          <c:yMode val="edge"/>
          <c:x val="0.13392880577427821"/>
          <c:y val="3.3613445378151259E-2"/>
        </c:manualLayout>
      </c:layout>
      <c:overlay val="0"/>
      <c:spPr>
        <a:noFill/>
        <a:ln w="25400">
          <a:noFill/>
        </a:ln>
      </c:spPr>
    </c:title>
    <c:autoTitleDeleted val="0"/>
    <c:plotArea>
      <c:layout>
        <c:manualLayout>
          <c:layoutTarget val="inner"/>
          <c:xMode val="edge"/>
          <c:yMode val="edge"/>
          <c:x val="4.9107196379739357E-2"/>
          <c:y val="0.17647107096647127"/>
          <c:w val="0.90401884244520181"/>
          <c:h val="0.56022562211578175"/>
        </c:manualLayout>
      </c:layout>
      <c:scatterChart>
        <c:scatterStyle val="lineMarker"/>
        <c:varyColors val="0"/>
        <c:ser>
          <c:idx val="0"/>
          <c:order val="0"/>
          <c:tx>
            <c:strRef>
              <c:f>Sector1!$D$211:$E$211</c:f>
              <c:strCache>
                <c:ptCount val="2"/>
                <c:pt idx="0">
                  <c:v>GVT</c:v>
                </c:pt>
                <c:pt idx="1">
                  <c:v>Current taxes on income and wealth (D.5r)  </c:v>
                </c:pt>
              </c:strCache>
            </c:strRef>
          </c:tx>
          <c:spPr>
            <a:ln w="28575">
              <a:noFill/>
            </a:ln>
          </c:spPr>
          <c:marker>
            <c:symbol val="circle"/>
            <c:size val="7"/>
            <c:spPr>
              <a:solidFill>
                <a:srgbClr val="FFFFFF"/>
              </a:solidFill>
              <a:ln>
                <a:solidFill>
                  <a:srgbClr val="0000FF"/>
                </a:solidFill>
                <a:prstDash val="solid"/>
              </a:ln>
            </c:spPr>
          </c:marker>
          <c:dLbls>
            <c:dLbl>
              <c:idx val="1"/>
              <c:tx>
                <c:strRef>
                  <c:f>Sector1!$H$250</c:f>
                  <c:strCache>
                    <c:ptCount val="1"/>
                    <c:pt idx="0">
                      <c:v>1996</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{DD8F1D71-B788-4CCC-873E-08B864ABFA27}</c15:txfldGUID>
                      <c15:f>Sector1!$H$250</c15:f>
                      <c15:dlblFieldTableCache>
                        <c:ptCount val="1"/>
                        <c:pt idx="0">
                          <c:v>1996</c:v>
                        </c:pt>
                      </c15:dlblFieldTableCache>
                    </c15:dlblFTEntry>
                  </c15:dlblFieldTable>
                  <c15:showDataLabelsRange val="0"/>
                </c:ext>
                <c:ext xmlns:c16="http://schemas.microsoft.com/office/drawing/2014/chart" uri="{C3380CC4-5D6E-409C-BE32-E72D297353CC}">
                  <c16:uniqueId val="{00000000-838C-44D9-8515-90C7D9AFE847}"/>
                </c:ext>
              </c:extLst>
            </c:dLbl>
            <c:dLbl>
              <c:idx val="2"/>
              <c:tx>
                <c:strRef>
                  <c:f>Sector1!$I$250</c:f>
                  <c:strCache>
                    <c:ptCount val="1"/>
                    <c:pt idx="0">
                      <c:v>1997</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{C7E3B494-583A-441C-A511-81AA2955D532}</c15:txfldGUID>
                      <c15:f>Sector1!$I$250</c15:f>
                      <c15:dlblFieldTableCache>
                        <c:ptCount val="1"/>
                        <c:pt idx="0">
                          <c:v>1997</c:v>
                        </c:pt>
                      </c15:dlblFieldTableCache>
                    </c15:dlblFTEntry>
                  </c15:dlblFieldTable>
                  <c15:showDataLabelsRange val="0"/>
                </c:ext>
                <c:ext xmlns:c16="http://schemas.microsoft.com/office/drawing/2014/chart" uri="{C3380CC4-5D6E-409C-BE32-E72D297353CC}">
                  <c16:uniqueId val="{00000001-838C-44D9-8515-90C7D9AFE847}"/>
                </c:ext>
              </c:extLst>
            </c:dLbl>
            <c:dLbl>
              <c:idx val="3"/>
              <c:tx>
                <c:strRef>
                  <c:f>Sector1!$J$250</c:f>
                  <c:strCache>
                    <c:ptCount val="1"/>
                    <c:pt idx="0">
                      <c:v>1998</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{14104F91-5C4C-4260-82A3-1B9310E1FBEB}</c15:txfldGUID>
                      <c15:f>Sector1!$J$250</c15:f>
                      <c15:dlblFieldTableCache>
                        <c:ptCount val="1"/>
                        <c:pt idx="0">
                          <c:v>1998</c:v>
                        </c:pt>
                      </c15:dlblFieldTableCache>
                    </c15:dlblFTEntry>
                  </c15:dlblFieldTable>
                  <c15:showDataLabelsRange val="0"/>
                </c:ext>
                <c:ext xmlns:c16="http://schemas.microsoft.com/office/drawing/2014/chart" uri="{C3380CC4-5D6E-409C-BE32-E72D297353CC}">
                  <c16:uniqueId val="{00000002-838C-44D9-8515-90C7D9AFE847}"/>
                </c:ext>
              </c:extLst>
            </c:dLbl>
            <c:dLbl>
              <c:idx val="4"/>
              <c:tx>
                <c:strRef>
                  <c:f>Sector1!$K$250</c:f>
                  <c:strCache>
                    <c:ptCount val="1"/>
                    <c:pt idx="0">
                      <c:v>1999</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{42852B7D-6AE3-4B50-9690-67CAF59A39CB}</c15:txfldGUID>
                      <c15:f>Sector1!$K$250</c15:f>
                      <c15:dlblFieldTableCache>
                        <c:ptCount val="1"/>
                        <c:pt idx="0">
                          <c:v>1999</c:v>
                        </c:pt>
                      </c15:dlblFieldTableCache>
                    </c15:dlblFTEntry>
                  </c15:dlblFieldTable>
                  <c15:showDataLabelsRange val="0"/>
                </c:ext>
                <c:ext xmlns:c16="http://schemas.microsoft.com/office/drawing/2014/chart" uri="{C3380CC4-5D6E-409C-BE32-E72D297353CC}">
                  <c16:uniqueId val="{00000003-838C-44D9-8515-90C7D9AFE847}"/>
                </c:ext>
              </c:extLst>
            </c:dLbl>
            <c:dLbl>
              <c:idx val="5"/>
              <c:tx>
                <c:strRef>
                  <c:f>Sector1!$L$250</c:f>
                  <c:strCache>
                    <c:ptCount val="1"/>
                    <c:pt idx="0">
                      <c:v>2000</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{3612EC14-7EFE-475F-A399-76A1ECA61945}</c15:txfldGUID>
                      <c15:f>Sector1!$L$250</c15:f>
                      <c15:dlblFieldTableCache>
                        <c:ptCount val="1"/>
                        <c:pt idx="0">
                          <c:v>2000</c:v>
                        </c:pt>
                      </c15:dlblFieldTableCache>
                    </c15:dlblFTEntry>
                  </c15:dlblFieldTable>
                  <c15:showDataLabelsRange val="0"/>
                </c:ext>
                <c:ext xmlns:c16="http://schemas.microsoft.com/office/drawing/2014/chart" uri="{C3380CC4-5D6E-409C-BE32-E72D297353CC}">
                  <c16:uniqueId val="{00000004-838C-44D9-8515-90C7D9AFE847}"/>
                </c:ext>
              </c:extLst>
            </c:dLbl>
            <c:dLbl>
              <c:idx val="6"/>
              <c:tx>
                <c:strRef>
                  <c:f>Sector1!$M$250</c:f>
                  <c:strCache>
                    <c:ptCount val="1"/>
                    <c:pt idx="0">
                      <c:v>2001</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{CB93D595-B999-4CDA-9415-B28814A5B0F1}</c15:txfldGUID>
                      <c15:f>Sector1!$M$250</c15:f>
                      <c15:dlblFieldTableCache>
                        <c:ptCount val="1"/>
                        <c:pt idx="0">
                          <c:v>2001</c:v>
                        </c:pt>
                      </c15:dlblFieldTableCache>
                    </c15:dlblFTEntry>
                  </c15:dlblFieldTable>
                  <c15:showDataLabelsRange val="0"/>
                </c:ext>
                <c:ext xmlns:c16="http://schemas.microsoft.com/office/drawing/2014/chart" uri="{C3380CC4-5D6E-409C-BE32-E72D297353CC}">
                  <c16:uniqueId val="{00000005-838C-44D9-8515-90C7D9AFE847}"/>
                </c:ext>
              </c:extLst>
            </c:dLbl>
            <c:dLbl>
              <c:idx val="7"/>
              <c:tx>
                <c:strRef>
                  <c:f>Sector1!$N$250</c:f>
                  <c:strCache>
                    <c:ptCount val="1"/>
                    <c:pt idx="0">
                      <c:v>2002</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{B1FC096C-E9CA-4FB2-A27A-493AACF47EC3}</c15:txfldGUID>
                      <c15:f>Sector1!$N$250</c15:f>
                      <c15:dlblFieldTableCache>
                        <c:ptCount val="1"/>
                        <c:pt idx="0">
                          <c:v>2002</c:v>
                        </c:pt>
                      </c15:dlblFieldTableCache>
                    </c15:dlblFTEntry>
                  </c15:dlblFieldTable>
                  <c15:showDataLabelsRange val="0"/>
                </c:ext>
                <c:ext xmlns:c16="http://schemas.microsoft.com/office/drawing/2014/chart" uri="{C3380CC4-5D6E-409C-BE32-E72D297353CC}">
                  <c16:uniqueId val="{00000006-838C-44D9-8515-90C7D9AFE847}"/>
                </c:ext>
              </c:extLst>
            </c:dLbl>
            <c:dLbl>
              <c:idx val="8"/>
              <c:tx>
                <c:strRef>
                  <c:f>Sector1!$O$250</c:f>
                  <c:strCache>
                    <c:ptCount val="1"/>
                    <c:pt idx="0">
                      <c:v>2003</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{906D0334-C70B-4CA5-A6EC-66FDEC8EF36B}</c15:txfldGUID>
                      <c15:f>Sector1!$O$250</c15:f>
                      <c15:dlblFieldTableCache>
                        <c:ptCount val="1"/>
                        <c:pt idx="0">
                          <c:v>2003</c:v>
                        </c:pt>
                      </c15:dlblFieldTableCache>
                    </c15:dlblFTEntry>
                  </c15:dlblFieldTable>
                  <c15:showDataLabelsRange val="0"/>
                </c:ext>
                <c:ext xmlns:c16="http://schemas.microsoft.com/office/drawing/2014/chart" uri="{C3380CC4-5D6E-409C-BE32-E72D297353CC}">
                  <c16:uniqueId val="{00000007-838C-44D9-8515-90C7D9AFE847}"/>
                </c:ext>
              </c:extLst>
            </c:dLbl>
            <c:dLbl>
              <c:idx val="9"/>
              <c:tx>
                <c:strRef>
                  <c:f>Sector1!$P$250</c:f>
                  <c:strCache>
                    <c:ptCount val="1"/>
                    <c:pt idx="0">
                      <c:v>2004</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{09BBA975-A473-4700-94FC-C84A554A1929}</c15:txfldGUID>
                      <c15:f>Sector1!$P$250</c15:f>
                      <c15:dlblFieldTableCache>
                        <c:ptCount val="1"/>
                        <c:pt idx="0">
                          <c:v>2004</c:v>
                        </c:pt>
                      </c15:dlblFieldTableCache>
                    </c15:dlblFTEntry>
                  </c15:dlblFieldTable>
                  <c15:showDataLabelsRange val="0"/>
                </c:ext>
                <c:ext xmlns:c16="http://schemas.microsoft.com/office/drawing/2014/chart" uri="{C3380CC4-5D6E-409C-BE32-E72D297353CC}">
                  <c16:uniqueId val="{00000008-838C-44D9-8515-90C7D9AFE847}"/>
                </c:ext>
              </c:extLst>
            </c:dLbl>
            <c:dLbl>
              <c:idx val="10"/>
              <c:tx>
                <c:strRef>
                  <c:f>Sector1!$Q$250</c:f>
                  <c:strCache>
                    <c:ptCount val="1"/>
                    <c:pt idx="0">
                      <c:v>2005</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{F541A642-6B79-4807-BE16-24C4F93DFE88}</c15:txfldGUID>
                      <c15:f>Sector1!$Q$250</c15:f>
                      <c15:dlblFieldTableCache>
                        <c:ptCount val="1"/>
                        <c:pt idx="0">
                          <c:v>2005</c:v>
                        </c:pt>
                      </c15:dlblFieldTableCache>
                    </c15:dlblFTEntry>
                  </c15:dlblFieldTable>
                  <c15:showDataLabelsRange val="0"/>
                </c:ext>
                <c:ext xmlns:c16="http://schemas.microsoft.com/office/drawing/2014/chart" uri="{C3380CC4-5D6E-409C-BE32-E72D297353CC}">
                  <c16:uniqueId val="{00000009-838C-44D9-8515-90C7D9AFE847}"/>
                </c:ext>
              </c:extLst>
            </c:dLbl>
            <c:dLbl>
              <c:idx val="11"/>
              <c:tx>
                <c:strRef>
                  <c:f>Sector1!$R$250</c:f>
                  <c:strCache>
                    <c:ptCount val="1"/>
                    <c:pt idx="0">
                      <c:v>2006</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{0EC4F057-427A-4AC0-98CA-168A4124FDFF}</c15:txfldGUID>
                      <c15:f>Sector1!$R$250</c15:f>
                      <c15:dlblFieldTableCache>
                        <c:ptCount val="1"/>
                        <c:pt idx="0">
                          <c:v>2006</c:v>
                        </c:pt>
                      </c15:dlblFieldTableCache>
                    </c15:dlblFTEntry>
                  </c15:dlblFieldTable>
                  <c15:showDataLabelsRange val="0"/>
                </c:ext>
                <c:ext xmlns:c16="http://schemas.microsoft.com/office/drawing/2014/chart" uri="{C3380CC4-5D6E-409C-BE32-E72D297353CC}">
                  <c16:uniqueId val="{0000000A-838C-44D9-8515-90C7D9AFE847}"/>
                </c:ext>
              </c:extLst>
            </c:dLbl>
            <c:dLbl>
              <c:idx val="12"/>
              <c:tx>
                <c:strRef>
                  <c:f>Sector1!$S$250</c:f>
                  <c:strCache>
                    <c:ptCount val="1"/>
                    <c:pt idx="0">
                      <c:v>2007</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{70F26325-0536-4641-8C3A-11DDD30390CC}</c15:txfldGUID>
                      <c15:f>Sector1!$S$250</c15:f>
                      <c15:dlblFieldTableCache>
                        <c:ptCount val="1"/>
                        <c:pt idx="0">
                          <c:v>2007</c:v>
                        </c:pt>
                      </c15:dlblFieldTableCache>
                    </c15:dlblFTEntry>
                  </c15:dlblFieldTable>
                  <c15:showDataLabelsRange val="0"/>
                </c:ext>
                <c:ext xmlns:c16="http://schemas.microsoft.com/office/drawing/2014/chart" uri="{C3380CC4-5D6E-409C-BE32-E72D297353CC}">
                  <c16:uniqueId val="{0000000B-838C-44D9-8515-90C7D9AFE847}"/>
                </c:ext>
              </c:extLst>
            </c:dLbl>
            <c:dLbl>
              <c:idx val="13"/>
              <c:tx>
                <c:strRef>
                  <c:f>Sector1!$T$250</c:f>
                  <c:strCache>
                    <c:ptCount val="1"/>
                    <c:pt idx="0">
                      <c:v>2008</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{F45C2ACD-79D6-4DEF-B773-AAC796AC3245}</c15:txfldGUID>
                      <c15:f>Sector1!$T$250</c15:f>
                      <c15:dlblFieldTableCache>
                        <c:ptCount val="1"/>
                        <c:pt idx="0">
                          <c:v>2008</c:v>
                        </c:pt>
                      </c15:dlblFieldTableCache>
                    </c15:dlblFTEntry>
                  </c15:dlblFieldTable>
                  <c15:showDataLabelsRange val="0"/>
                </c:ext>
                <c:ext xmlns:c16="http://schemas.microsoft.com/office/drawing/2014/chart" uri="{C3380CC4-5D6E-409C-BE32-E72D297353CC}">
                  <c16:uniqueId val="{0000000C-838C-44D9-8515-90C7D9AFE847}"/>
                </c:ext>
              </c:extLst>
            </c:dLbl>
            <c:dLbl>
              <c:idx val="14"/>
              <c:tx>
                <c:strRef>
                  <c:f>Sector1!$U$250</c:f>
                  <c:strCache>
                    <c:ptCount val="1"/>
                    <c:pt idx="0">
                      <c:v>2009</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{B850985B-9814-4C07-8A76-1E8B35E6FF36}</c15:txfldGUID>
                      <c15:f>Sector1!$U$250</c15:f>
                      <c15:dlblFieldTableCache>
                        <c:ptCount val="1"/>
                        <c:pt idx="0">
                          <c:v>2009</c:v>
                        </c:pt>
                      </c15:dlblFieldTableCache>
                    </c15:dlblFTEntry>
                  </c15:dlblFieldTable>
                  <c15:showDataLabelsRange val="0"/>
                </c:ext>
                <c:ext xmlns:c16="http://schemas.microsoft.com/office/drawing/2014/chart" uri="{C3380CC4-5D6E-409C-BE32-E72D297353CC}">
                  <c16:uniqueId val="{0000000D-838C-44D9-8515-90C7D9AFE847}"/>
                </c:ext>
              </c:extLst>
            </c:dLbl>
            <c:dLbl>
              <c:idx val="15"/>
              <c:tx>
                <c:strRef>
                  <c:f>Sector1!$V$250</c:f>
                  <c:strCache>
                    <c:ptCount val="1"/>
                    <c:pt idx="0">
                      <c:v>2010</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{DA5EFF16-B8AC-404D-89B1-C6869322AE29}</c15:txfldGUID>
                      <c15:f>Sector1!$V$250</c15:f>
                      <c15:dlblFieldTableCache>
                        <c:ptCount val="1"/>
                        <c:pt idx="0">
                          <c:v>2010</c:v>
                        </c:pt>
                      </c15:dlblFieldTableCache>
                    </c15:dlblFTEntry>
                  </c15:dlblFieldTable>
                  <c15:showDataLabelsRange val="0"/>
                </c:ext>
                <c:ext xmlns:c16="http://schemas.microsoft.com/office/drawing/2014/chart" uri="{C3380CC4-5D6E-409C-BE32-E72D297353CC}">
                  <c16:uniqueId val="{0000000E-838C-44D9-8515-90C7D9AFE847}"/>
                </c:ext>
              </c:extLst>
            </c:dLbl>
            <c:spPr>
              <a:noFill/>
              <a:ln w="25400">
                <a:noFill/>
              </a:ln>
            </c:spPr>
            <c:txPr>
              <a:bodyPr/>
              <a:lstStyle/>
              <a:p>
                <a:pPr>
                  <a:defRPr sz="800"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25400">
                <a:solidFill>
                  <a:srgbClr val="0000FF"/>
                </a:solidFill>
                <a:prstDash val="solid"/>
              </a:ln>
            </c:spPr>
            <c:trendlineType val="linear"/>
            <c:dispRSqr val="0"/>
            <c:dispEq val="0"/>
          </c:trendline>
          <c:xVal>
            <c:numRef>
              <c:f>'VVP2'!$G$348:$AG$348</c:f>
              <c:numCache>
                <c:formatCode>0.0</c:formatCode>
                <c:ptCount val="27"/>
                <c:pt idx="1">
                  <c:v>2.5842575072335894</c:v>
                </c:pt>
                <c:pt idx="2">
                  <c:v>4.528587483935409</c:v>
                </c:pt>
                <c:pt idx="3">
                  <c:v>5.0657326637579603</c:v>
                </c:pt>
                <c:pt idx="4">
                  <c:v>5.4682108787114991</c:v>
                </c:pt>
                <c:pt idx="5">
                  <c:v>6.3846614236626298</c:v>
                </c:pt>
                <c:pt idx="6">
                  <c:v>4.1235495837014691</c:v>
                </c:pt>
                <c:pt idx="7">
                  <c:v>3.7085461393536079</c:v>
                </c:pt>
                <c:pt idx="8">
                  <c:v>4.1532907089817606</c:v>
                </c:pt>
                <c:pt idx="9">
                  <c:v>4.7574232625837265</c:v>
                </c:pt>
                <c:pt idx="10">
                  <c:v>3.6419274584167605</c:v>
                </c:pt>
                <c:pt idx="11">
                  <c:v>6.6015777053014757</c:v>
                </c:pt>
                <c:pt idx="12">
                  <c:v>6.3860651262684476</c:v>
                </c:pt>
                <c:pt idx="13">
                  <c:v>2.7476057889422645</c:v>
                </c:pt>
                <c:pt idx="14">
                  <c:v>-2.9387197675724841</c:v>
                </c:pt>
                <c:pt idx="15">
                  <c:v>7.0417486707964771</c:v>
                </c:pt>
                <c:pt idx="16">
                  <c:v>3.8940367055789515</c:v>
                </c:pt>
                <c:pt idx="17">
                  <c:v>0.76011125791202172</c:v>
                </c:pt>
                <c:pt idx="18">
                  <c:v>2.3060714240210611</c:v>
                </c:pt>
                <c:pt idx="19">
                  <c:v>4.4247138069799297</c:v>
                </c:pt>
                <c:pt idx="20">
                  <c:v>6.6131174787644964</c:v>
                </c:pt>
                <c:pt idx="21" formatCode="0.00">
                  <c:v>4.3782486576955382</c:v>
                </c:pt>
                <c:pt idx="22">
                  <c:v>4.4100360802891814</c:v>
                </c:pt>
                <c:pt idx="23">
                  <c:v>4.8980364670283993</c:v>
                </c:pt>
                <c:pt idx="24">
                  <c:v>3.7812749119215061</c:v>
                </c:pt>
                <c:pt idx="25">
                  <c:v>3.5451641625984909</c:v>
                </c:pt>
              </c:numCache>
            </c:numRef>
          </c:xVal>
          <c:yVal>
            <c:numRef>
              <c:f>Sector1!$G$265:$AJ$265</c:f>
              <c:numCache>
                <c:formatCode>0.0</c:formatCode>
                <c:ptCount val="30"/>
                <c:pt idx="1">
                  <c:v>11.810911168237649</c:v>
                </c:pt>
                <c:pt idx="2">
                  <c:v>9.1758206667518216</c:v>
                </c:pt>
                <c:pt idx="3">
                  <c:v>-26.530075023033394</c:v>
                </c:pt>
                <c:pt idx="4">
                  <c:v>0.25080616266572875</c:v>
                </c:pt>
                <c:pt idx="5">
                  <c:v>21.135136208402816</c:v>
                </c:pt>
                <c:pt idx="6">
                  <c:v>-5.2107493218158218</c:v>
                </c:pt>
                <c:pt idx="7">
                  <c:v>-12.120976318315035</c:v>
                </c:pt>
                <c:pt idx="8">
                  <c:v>3.2083825265643462</c:v>
                </c:pt>
                <c:pt idx="9">
                  <c:v>2.5586028731851895</c:v>
                </c:pt>
                <c:pt idx="10">
                  <c:v>-4.8965933912720194</c:v>
                </c:pt>
                <c:pt idx="11" formatCode="0.00">
                  <c:v>-4.4459864929581538</c:v>
                </c:pt>
                <c:pt idx="12" formatCode="0.00">
                  <c:v>8.117175353899043</c:v>
                </c:pt>
                <c:pt idx="13" formatCode="0.00">
                  <c:v>5.6639294634072357</c:v>
                </c:pt>
                <c:pt idx="14" formatCode="0.00">
                  <c:v>-4.2080382483811185E-2</c:v>
                </c:pt>
                <c:pt idx="15" formatCode="0.00">
                  <c:v>2.0350399484074355</c:v>
                </c:pt>
                <c:pt idx="16">
                  <c:v>8.3912707609115511</c:v>
                </c:pt>
                <c:pt idx="17">
                  <c:v>0.86333265843288043</c:v>
                </c:pt>
                <c:pt idx="18">
                  <c:v>2.8119253900322105</c:v>
                </c:pt>
                <c:pt idx="19">
                  <c:v>3.1559710409784225</c:v>
                </c:pt>
                <c:pt idx="20">
                  <c:v>5.3587111232246132</c:v>
                </c:pt>
                <c:pt idx="21">
                  <c:v>4.6851870481884328</c:v>
                </c:pt>
                <c:pt idx="22">
                  <c:v>5.0301341277577238</c:v>
                </c:pt>
                <c:pt idx="23">
                  <c:v>4.5138932681865418</c:v>
                </c:pt>
                <c:pt idx="24">
                  <c:v>4.136314033299171</c:v>
                </c:pt>
                <c:pt idx="25">
                  <c:v>3.7631148413085125</c:v>
                </c:pt>
              </c:numCache>
            </c:numRef>
          </c:yVal>
          <c:smooth val="0"/>
          <c:extLst>
            <c:ext xmlns:c16="http://schemas.microsoft.com/office/drawing/2014/chart" uri="{C3380CC4-5D6E-409C-BE32-E72D297353CC}">
              <c16:uniqueId val="{0000000F-838C-44D9-8515-90C7D9AFE847}"/>
            </c:ext>
          </c:extLst>
        </c:ser>
        <c:dLbls>
          <c:showLegendKey val="0"/>
          <c:showVal val="0"/>
          <c:showCatName val="0"/>
          <c:showSerName val="0"/>
          <c:showPercent val="0"/>
          <c:showBubbleSize val="0"/>
        </c:dLbls>
        <c:axId val="291658368"/>
        <c:axId val="291717504"/>
      </c:scatterChart>
      <c:valAx>
        <c:axId val="291658368"/>
        <c:scaling>
          <c:orientation val="minMax"/>
        </c:scaling>
        <c:delete val="0"/>
        <c:axPos val="b"/>
        <c:majorGridlines>
          <c:spPr>
            <a:ln w="3175">
              <a:solidFill>
                <a:srgbClr val="000000"/>
              </a:solidFill>
              <a:prstDash val="solid"/>
            </a:ln>
          </c:spPr>
        </c:majorGridlines>
        <c:numFmt formatCode="0" sourceLinked="0"/>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91717504"/>
        <c:crosses val="autoZero"/>
        <c:crossBetween val="midCat"/>
      </c:valAx>
      <c:valAx>
        <c:axId val="291717504"/>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91658368"/>
        <c:crosses val="autoZero"/>
        <c:crossBetween val="midCat"/>
      </c:valAx>
      <c:spPr>
        <a:noFill/>
        <a:ln w="12700">
          <a:solidFill>
            <a:srgbClr val="808080"/>
          </a:solidFill>
          <a:prstDash val="solid"/>
        </a:ln>
      </c:spPr>
    </c:plotArea>
    <c:legend>
      <c:legendPos val="r"/>
      <c:layout>
        <c:manualLayout>
          <c:xMode val="edge"/>
          <c:yMode val="edge"/>
          <c:x val="0.1017859805367097"/>
          <c:y val="0.85714534838096512"/>
          <c:w val="0.81250212533689326"/>
          <c:h val="0.12121247350841932"/>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t>Social contributions (GVT, received) and its main components</a:t>
            </a:r>
          </a:p>
        </c:rich>
      </c:tx>
      <c:layout>
        <c:manualLayout>
          <c:xMode val="edge"/>
          <c:yMode val="edge"/>
          <c:x val="0.18973237720284963"/>
          <c:y val="3.3613445378151259E-2"/>
        </c:manualLayout>
      </c:layout>
      <c:overlay val="0"/>
      <c:spPr>
        <a:noFill/>
        <a:ln w="25400">
          <a:noFill/>
        </a:ln>
      </c:spPr>
    </c:title>
    <c:autoTitleDeleted val="0"/>
    <c:plotArea>
      <c:layout>
        <c:manualLayout>
          <c:layoutTarget val="inner"/>
          <c:xMode val="edge"/>
          <c:yMode val="edge"/>
          <c:x val="0.10044653804946686"/>
          <c:y val="0.21848799262515489"/>
          <c:w val="0.83259019316558092"/>
          <c:h val="0.45938501013494104"/>
        </c:manualLayout>
      </c:layout>
      <c:lineChart>
        <c:grouping val="standard"/>
        <c:varyColors val="0"/>
        <c:ser>
          <c:idx val="2"/>
          <c:order val="0"/>
          <c:tx>
            <c:strRef>
              <c:f>Sector1!$D$263:$E$263</c:f>
              <c:strCache>
                <c:ptCount val="2"/>
                <c:pt idx="0">
                  <c:v>GVT</c:v>
                </c:pt>
                <c:pt idx="1">
                  <c:v>Actual social contributions (D.611r)</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Sector1!$G$263:$AI$263</c:f>
              <c:numCache>
                <c:formatCode>0.0</c:formatCode>
                <c:ptCount val="29"/>
                <c:pt idx="1">
                  <c:v>12.681967857669441</c:v>
                </c:pt>
                <c:pt idx="2">
                  <c:v>10.538482339907706</c:v>
                </c:pt>
                <c:pt idx="3">
                  <c:v>-22.588740352593952</c:v>
                </c:pt>
                <c:pt idx="4">
                  <c:v>-1.325259445020821E-2</c:v>
                </c:pt>
                <c:pt idx="5">
                  <c:v>21.714705192646889</c:v>
                </c:pt>
                <c:pt idx="6">
                  <c:v>-5.4967791655148872</c:v>
                </c:pt>
                <c:pt idx="7">
                  <c:v>-12.627529538987915</c:v>
                </c:pt>
                <c:pt idx="8">
                  <c:v>3.1256657637641849</c:v>
                </c:pt>
                <c:pt idx="9">
                  <c:v>2.4938023846063029</c:v>
                </c:pt>
                <c:pt idx="10">
                  <c:v>-5.3307994279516713</c:v>
                </c:pt>
                <c:pt idx="11">
                  <c:v>-4.7134326239696716</c:v>
                </c:pt>
                <c:pt idx="12">
                  <c:v>8.2705566905005199</c:v>
                </c:pt>
                <c:pt idx="13">
                  <c:v>5.6094421022632401</c:v>
                </c:pt>
                <c:pt idx="14">
                  <c:v>-0.3275485041641546</c:v>
                </c:pt>
                <c:pt idx="15">
                  <c:v>1.9558783714395123</c:v>
                </c:pt>
                <c:pt idx="16">
                  <c:v>8.4334480990403637</c:v>
                </c:pt>
                <c:pt idx="17">
                  <c:v>0.61139353814452235</c:v>
                </c:pt>
                <c:pt idx="18">
                  <c:v>2.8503802185627203</c:v>
                </c:pt>
                <c:pt idx="19">
                  <c:v>2.9060373108749982</c:v>
                </c:pt>
                <c:pt idx="20">
                  <c:v>5.0515864519147469</c:v>
                </c:pt>
                <c:pt idx="21">
                  <c:v>4.5920177550974106</c:v>
                </c:pt>
                <c:pt idx="22">
                  <c:v>5.0233847219816496</c:v>
                </c:pt>
                <c:pt idx="23">
                  <c:v>4.5352205245287127</c:v>
                </c:pt>
                <c:pt idx="24">
                  <c:v>4.1566504375683371</c:v>
                </c:pt>
                <c:pt idx="25">
                  <c:v>3.7642962084051272</c:v>
                </c:pt>
                <c:pt idx="27">
                  <c:v>0.9</c:v>
                </c:pt>
                <c:pt idx="28">
                  <c:v>0.9</c:v>
                </c:pt>
              </c:numCache>
            </c:numRef>
          </c:val>
          <c:smooth val="0"/>
          <c:extLst>
            <c:ext xmlns:c16="http://schemas.microsoft.com/office/drawing/2014/chart" uri="{C3380CC4-5D6E-409C-BE32-E72D297353CC}">
              <c16:uniqueId val="{00000000-ACEC-4FA5-8BB2-5119B997313B}"/>
            </c:ext>
          </c:extLst>
        </c:ser>
        <c:ser>
          <c:idx val="3"/>
          <c:order val="1"/>
          <c:tx>
            <c:strRef>
              <c:f>Sector1!$D$264:$E$264</c:f>
              <c:strCache>
                <c:ptCount val="2"/>
                <c:pt idx="0">
                  <c:v>GVT</c:v>
                </c:pt>
                <c:pt idx="1">
                  <c:v>Imputed social contributions (D.612r)</c:v>
                </c:pt>
              </c:strCache>
            </c:strRef>
          </c:tx>
          <c:spPr>
            <a:ln w="25400">
              <a:solidFill>
                <a:srgbClr val="339966"/>
              </a:solidFill>
              <a:prstDash val="solid"/>
            </a:ln>
          </c:spPr>
          <c:marker>
            <c:symbol val="square"/>
            <c:size val="5"/>
            <c:spPr>
              <a:solidFill>
                <a:srgbClr val="FFFFFF"/>
              </a:solidFill>
              <a:ln>
                <a:solidFill>
                  <a:srgbClr val="339966"/>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Sector1!$G$264:$AJ$264</c:f>
              <c:numCache>
                <c:formatCode>0.0</c:formatCode>
                <c:ptCount val="30"/>
                <c:pt idx="1">
                  <c:v>3.2048169369719437</c:v>
                </c:pt>
                <c:pt idx="2">
                  <c:v>-5.5236661334337249</c:v>
                </c:pt>
                <c:pt idx="3">
                  <c:v>-76.274900398406359</c:v>
                </c:pt>
                <c:pt idx="4">
                  <c:v>11.125104953820308</c:v>
                </c:pt>
                <c:pt idx="5">
                  <c:v>-0.34000755572345387</c:v>
                </c:pt>
                <c:pt idx="6">
                  <c:v>7.733131159969675</c:v>
                </c:pt>
                <c:pt idx="7">
                  <c:v>7.9873328641801411</c:v>
                </c:pt>
                <c:pt idx="8">
                  <c:v>5.8651026392961825</c:v>
                </c:pt>
                <c:pt idx="9">
                  <c:v>4.58602646968298</c:v>
                </c:pt>
                <c:pt idx="10">
                  <c:v>8.4167157151265428</c:v>
                </c:pt>
                <c:pt idx="11">
                  <c:v>2.7144408251900121</c:v>
                </c:pt>
                <c:pt idx="12">
                  <c:v>4.3076109936575069</c:v>
                </c:pt>
                <c:pt idx="13">
                  <c:v>7.0686597415758889</c:v>
                </c:pt>
                <c:pt idx="14">
                  <c:v>7.2172266919072303</c:v>
                </c:pt>
                <c:pt idx="15">
                  <c:v>3.9064224233061218</c:v>
                </c:pt>
                <c:pt idx="16">
                  <c:v>7.4129141886151162</c:v>
                </c:pt>
                <c:pt idx="17">
                  <c:v>6.7629029068617674</c:v>
                </c:pt>
                <c:pt idx="18">
                  <c:v>1.963326541952215</c:v>
                </c:pt>
                <c:pt idx="19">
                  <c:v>8.7193460490463401</c:v>
                </c:pt>
                <c:pt idx="20">
                  <c:v>11.829573934837079</c:v>
                </c:pt>
                <c:pt idx="21">
                  <c:v>6.5292096219931262</c:v>
                </c:pt>
                <c:pt idx="22">
                  <c:v>5.1612903225806583</c:v>
                </c:pt>
                <c:pt idx="23" formatCode="0.00">
                  <c:v>4.0999999999999996</c:v>
                </c:pt>
                <c:pt idx="24" formatCode="0.00">
                  <c:v>3.74</c:v>
                </c:pt>
                <c:pt idx="25" formatCode="0.00">
                  <c:v>3.74</c:v>
                </c:pt>
                <c:pt idx="26" formatCode="General">
                  <c:v>0</c:v>
                </c:pt>
              </c:numCache>
            </c:numRef>
          </c:val>
          <c:smooth val="0"/>
          <c:extLst>
            <c:ext xmlns:c16="http://schemas.microsoft.com/office/drawing/2014/chart" uri="{C3380CC4-5D6E-409C-BE32-E72D297353CC}">
              <c16:uniqueId val="{00000001-ACEC-4FA5-8BB2-5119B997313B}"/>
            </c:ext>
          </c:extLst>
        </c:ser>
        <c:ser>
          <c:idx val="0"/>
          <c:order val="2"/>
          <c:tx>
            <c:strRef>
              <c:f>Sector1!$D$265:$E$265</c:f>
              <c:strCache>
                <c:ptCount val="2"/>
                <c:pt idx="0">
                  <c:v>GVT</c:v>
                </c:pt>
                <c:pt idx="1">
                  <c:v>Social contributions (D.61r)</c:v>
                </c:pt>
              </c:strCache>
            </c:strRef>
          </c:tx>
          <c:spPr>
            <a:ln w="25400">
              <a:solidFill>
                <a:srgbClr val="FF0000"/>
              </a:solidFill>
              <a:prstDash val="solid"/>
            </a:ln>
          </c:spPr>
          <c:marker>
            <c:symbol val="diamond"/>
            <c:size val="5"/>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Sector1!$G$265:$AJ$265</c:f>
              <c:numCache>
                <c:formatCode>0.0</c:formatCode>
                <c:ptCount val="30"/>
                <c:pt idx="1">
                  <c:v>11.810911168237649</c:v>
                </c:pt>
                <c:pt idx="2">
                  <c:v>9.1758206667518216</c:v>
                </c:pt>
                <c:pt idx="3">
                  <c:v>-26.530075023033394</c:v>
                </c:pt>
                <c:pt idx="4">
                  <c:v>0.25080616266572875</c:v>
                </c:pt>
                <c:pt idx="5">
                  <c:v>21.135136208402816</c:v>
                </c:pt>
                <c:pt idx="6">
                  <c:v>-5.2107493218158218</c:v>
                </c:pt>
                <c:pt idx="7">
                  <c:v>-12.120976318315035</c:v>
                </c:pt>
                <c:pt idx="8">
                  <c:v>3.2083825265643462</c:v>
                </c:pt>
                <c:pt idx="9">
                  <c:v>2.5586028731851895</c:v>
                </c:pt>
                <c:pt idx="10">
                  <c:v>-4.8965933912720194</c:v>
                </c:pt>
                <c:pt idx="11" formatCode="0.00">
                  <c:v>-4.4459864929581538</c:v>
                </c:pt>
                <c:pt idx="12" formatCode="0.00">
                  <c:v>8.117175353899043</c:v>
                </c:pt>
                <c:pt idx="13" formatCode="0.00">
                  <c:v>5.6639294634072357</c:v>
                </c:pt>
                <c:pt idx="14" formatCode="0.00">
                  <c:v>-4.2080382483811185E-2</c:v>
                </c:pt>
                <c:pt idx="15" formatCode="0.00">
                  <c:v>2.0350399484074355</c:v>
                </c:pt>
                <c:pt idx="16">
                  <c:v>8.3912707609115511</c:v>
                </c:pt>
                <c:pt idx="17">
                  <c:v>0.86333265843288043</c:v>
                </c:pt>
                <c:pt idx="18">
                  <c:v>2.8119253900322105</c:v>
                </c:pt>
                <c:pt idx="19">
                  <c:v>3.1559710409784225</c:v>
                </c:pt>
                <c:pt idx="20">
                  <c:v>5.3587111232246132</c:v>
                </c:pt>
                <c:pt idx="21">
                  <c:v>4.6851870481884328</c:v>
                </c:pt>
                <c:pt idx="22">
                  <c:v>5.0301341277577238</c:v>
                </c:pt>
                <c:pt idx="23">
                  <c:v>4.5138932681865418</c:v>
                </c:pt>
                <c:pt idx="24">
                  <c:v>4.136314033299171</c:v>
                </c:pt>
                <c:pt idx="25">
                  <c:v>3.7631148413085125</c:v>
                </c:pt>
              </c:numCache>
            </c:numRef>
          </c:val>
          <c:smooth val="0"/>
          <c:extLst>
            <c:ext xmlns:c16="http://schemas.microsoft.com/office/drawing/2014/chart" uri="{C3380CC4-5D6E-409C-BE32-E72D297353CC}">
              <c16:uniqueId val="{00000002-ACEC-4FA5-8BB2-5119B997313B}"/>
            </c:ext>
          </c:extLst>
        </c:ser>
        <c:dLbls>
          <c:showLegendKey val="0"/>
          <c:showVal val="0"/>
          <c:showCatName val="0"/>
          <c:showSerName val="0"/>
          <c:showPercent val="0"/>
          <c:showBubbleSize val="0"/>
        </c:dLbls>
        <c:marker val="1"/>
        <c:smooth val="0"/>
        <c:axId val="291759232"/>
        <c:axId val="291761152"/>
      </c:lineChart>
      <c:catAx>
        <c:axId val="291759232"/>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91761152"/>
        <c:crosses val="autoZero"/>
        <c:auto val="1"/>
        <c:lblAlgn val="ctr"/>
        <c:lblOffset val="100"/>
        <c:tickLblSkip val="2"/>
        <c:tickMarkSkip val="1"/>
        <c:noMultiLvlLbl val="0"/>
      </c:catAx>
      <c:valAx>
        <c:axId val="291761152"/>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91759232"/>
        <c:crosses val="autoZero"/>
        <c:crossBetween val="midCat"/>
      </c:valAx>
      <c:spPr>
        <a:noFill/>
        <a:ln w="12700">
          <a:solidFill>
            <a:srgbClr val="808080"/>
          </a:solidFill>
          <a:prstDash val="solid"/>
        </a:ln>
      </c:spPr>
    </c:plotArea>
    <c:legend>
      <c:legendPos val="r"/>
      <c:layout>
        <c:manualLayout>
          <c:xMode val="edge"/>
          <c:yMode val="edge"/>
          <c:x val="0.18392905254879122"/>
          <c:y val="0.80086812853777045"/>
          <c:w val="0.6250016348745332"/>
          <c:h val="0.17965420180712149"/>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t>Social contributions (GVT, received) related to compensation of employees</a:t>
            </a:r>
          </a:p>
        </c:rich>
      </c:tx>
      <c:layout>
        <c:manualLayout>
          <c:xMode val="edge"/>
          <c:yMode val="edge"/>
          <c:x val="0.1138395200599925"/>
          <c:y val="3.3613445378151259E-2"/>
        </c:manualLayout>
      </c:layout>
      <c:overlay val="0"/>
      <c:spPr>
        <a:noFill/>
        <a:ln w="25400">
          <a:noFill/>
        </a:ln>
      </c:spPr>
    </c:title>
    <c:autoTitleDeleted val="0"/>
    <c:plotArea>
      <c:layout>
        <c:manualLayout>
          <c:layoutTarget val="inner"/>
          <c:xMode val="edge"/>
          <c:yMode val="edge"/>
          <c:x val="0.10044653804946686"/>
          <c:y val="0.21848799262515489"/>
          <c:w val="0.84821521019549795"/>
          <c:h val="0.45938501013494104"/>
        </c:manualLayout>
      </c:layout>
      <c:scatterChart>
        <c:scatterStyle val="lineMarker"/>
        <c:varyColors val="0"/>
        <c:ser>
          <c:idx val="0"/>
          <c:order val="0"/>
          <c:tx>
            <c:strRef>
              <c:f>Sector1!$D$265:$E$265</c:f>
              <c:strCache>
                <c:ptCount val="2"/>
                <c:pt idx="0">
                  <c:v>GVT</c:v>
                </c:pt>
                <c:pt idx="1">
                  <c:v>Social contributions (D.61r)</c:v>
                </c:pt>
              </c:strCache>
            </c:strRef>
          </c:tx>
          <c:spPr>
            <a:ln w="28575">
              <a:noFill/>
            </a:ln>
          </c:spPr>
          <c:marker>
            <c:symbol val="circle"/>
            <c:size val="7"/>
            <c:spPr>
              <a:solidFill>
                <a:srgbClr val="FFFFFF"/>
              </a:solidFill>
              <a:ln>
                <a:solidFill>
                  <a:srgbClr val="008000"/>
                </a:solidFill>
                <a:prstDash val="solid"/>
              </a:ln>
            </c:spPr>
          </c:marker>
          <c:dLbls>
            <c:dLbl>
              <c:idx val="1"/>
              <c:tx>
                <c:strRef>
                  <c:f>Sector1!$H$250</c:f>
                  <c:strCache>
                    <c:ptCount val="1"/>
                    <c:pt idx="0">
                      <c:v>1996</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{C5181B77-E271-405D-B0B9-C589E30BF3C4}</c15:txfldGUID>
                      <c15:f>Sector1!$H$250</c15:f>
                      <c15:dlblFieldTableCache>
                        <c:ptCount val="1"/>
                        <c:pt idx="0">
                          <c:v>1996</c:v>
                        </c:pt>
                      </c15:dlblFieldTableCache>
                    </c15:dlblFTEntry>
                  </c15:dlblFieldTable>
                  <c15:showDataLabelsRange val="0"/>
                </c:ext>
                <c:ext xmlns:c16="http://schemas.microsoft.com/office/drawing/2014/chart" uri="{C3380CC4-5D6E-409C-BE32-E72D297353CC}">
                  <c16:uniqueId val="{00000000-E9DE-41ED-BD2D-570612027CB7}"/>
                </c:ext>
              </c:extLst>
            </c:dLbl>
            <c:dLbl>
              <c:idx val="2"/>
              <c:tx>
                <c:strRef>
                  <c:f>Sector1!$I$250</c:f>
                  <c:strCache>
                    <c:ptCount val="1"/>
                    <c:pt idx="0">
                      <c:v>1997</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{8109F749-D0FC-4A33-8769-C170260156BA}</c15:txfldGUID>
                      <c15:f>Sector1!$I$250</c15:f>
                      <c15:dlblFieldTableCache>
                        <c:ptCount val="1"/>
                        <c:pt idx="0">
                          <c:v>1997</c:v>
                        </c:pt>
                      </c15:dlblFieldTableCache>
                    </c15:dlblFTEntry>
                  </c15:dlblFieldTable>
                  <c15:showDataLabelsRange val="0"/>
                </c:ext>
                <c:ext xmlns:c16="http://schemas.microsoft.com/office/drawing/2014/chart" uri="{C3380CC4-5D6E-409C-BE32-E72D297353CC}">
                  <c16:uniqueId val="{00000001-E9DE-41ED-BD2D-570612027CB7}"/>
                </c:ext>
              </c:extLst>
            </c:dLbl>
            <c:dLbl>
              <c:idx val="3"/>
              <c:tx>
                <c:strRef>
                  <c:f>Sector1!$J$250</c:f>
                  <c:strCache>
                    <c:ptCount val="1"/>
                    <c:pt idx="0">
                      <c:v>1998</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{FB088FCE-D64F-4920-B6D2-27DDE82C1595}</c15:txfldGUID>
                      <c15:f>Sector1!$J$250</c15:f>
                      <c15:dlblFieldTableCache>
                        <c:ptCount val="1"/>
                        <c:pt idx="0">
                          <c:v>1998</c:v>
                        </c:pt>
                      </c15:dlblFieldTableCache>
                    </c15:dlblFTEntry>
                  </c15:dlblFieldTable>
                  <c15:showDataLabelsRange val="0"/>
                </c:ext>
                <c:ext xmlns:c16="http://schemas.microsoft.com/office/drawing/2014/chart" uri="{C3380CC4-5D6E-409C-BE32-E72D297353CC}">
                  <c16:uniqueId val="{00000002-E9DE-41ED-BD2D-570612027CB7}"/>
                </c:ext>
              </c:extLst>
            </c:dLbl>
            <c:dLbl>
              <c:idx val="4"/>
              <c:tx>
                <c:strRef>
                  <c:f>Sector1!$K$250</c:f>
                  <c:strCache>
                    <c:ptCount val="1"/>
                    <c:pt idx="0">
                      <c:v>1999</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{843CDB3D-B885-4552-AC95-23A9331ED0ED}</c15:txfldGUID>
                      <c15:f>Sector1!$K$250</c15:f>
                      <c15:dlblFieldTableCache>
                        <c:ptCount val="1"/>
                        <c:pt idx="0">
                          <c:v>1999</c:v>
                        </c:pt>
                      </c15:dlblFieldTableCache>
                    </c15:dlblFTEntry>
                  </c15:dlblFieldTable>
                  <c15:showDataLabelsRange val="0"/>
                </c:ext>
                <c:ext xmlns:c16="http://schemas.microsoft.com/office/drawing/2014/chart" uri="{C3380CC4-5D6E-409C-BE32-E72D297353CC}">
                  <c16:uniqueId val="{00000003-E9DE-41ED-BD2D-570612027CB7}"/>
                </c:ext>
              </c:extLst>
            </c:dLbl>
            <c:dLbl>
              <c:idx val="5"/>
              <c:tx>
                <c:strRef>
                  <c:f>Sector1!$L$250</c:f>
                  <c:strCache>
                    <c:ptCount val="1"/>
                    <c:pt idx="0">
                      <c:v>2000</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{90E8C054-D550-4CE7-9E1B-DC0FFD60F1E3}</c15:txfldGUID>
                      <c15:f>Sector1!$L$250</c15:f>
                      <c15:dlblFieldTableCache>
                        <c:ptCount val="1"/>
                        <c:pt idx="0">
                          <c:v>2000</c:v>
                        </c:pt>
                      </c15:dlblFieldTableCache>
                    </c15:dlblFTEntry>
                  </c15:dlblFieldTable>
                  <c15:showDataLabelsRange val="0"/>
                </c:ext>
                <c:ext xmlns:c16="http://schemas.microsoft.com/office/drawing/2014/chart" uri="{C3380CC4-5D6E-409C-BE32-E72D297353CC}">
                  <c16:uniqueId val="{00000004-E9DE-41ED-BD2D-570612027CB7}"/>
                </c:ext>
              </c:extLst>
            </c:dLbl>
            <c:dLbl>
              <c:idx val="6"/>
              <c:tx>
                <c:strRef>
                  <c:f>Sector1!$M$250</c:f>
                  <c:strCache>
                    <c:ptCount val="1"/>
                    <c:pt idx="0">
                      <c:v>2001</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{0F79A9DE-6BF2-4CD1-8C12-50D63835121E}</c15:txfldGUID>
                      <c15:f>Sector1!$M$250</c15:f>
                      <c15:dlblFieldTableCache>
                        <c:ptCount val="1"/>
                        <c:pt idx="0">
                          <c:v>2001</c:v>
                        </c:pt>
                      </c15:dlblFieldTableCache>
                    </c15:dlblFTEntry>
                  </c15:dlblFieldTable>
                  <c15:showDataLabelsRange val="0"/>
                </c:ext>
                <c:ext xmlns:c16="http://schemas.microsoft.com/office/drawing/2014/chart" uri="{C3380CC4-5D6E-409C-BE32-E72D297353CC}">
                  <c16:uniqueId val="{00000005-E9DE-41ED-BD2D-570612027CB7}"/>
                </c:ext>
              </c:extLst>
            </c:dLbl>
            <c:dLbl>
              <c:idx val="7"/>
              <c:tx>
                <c:strRef>
                  <c:f>Sector1!$N$250</c:f>
                  <c:strCache>
                    <c:ptCount val="1"/>
                    <c:pt idx="0">
                      <c:v>2002</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{235B47BA-E80B-4D61-B0CC-468D1C5E9A64}</c15:txfldGUID>
                      <c15:f>Sector1!$N$250</c15:f>
                      <c15:dlblFieldTableCache>
                        <c:ptCount val="1"/>
                        <c:pt idx="0">
                          <c:v>2002</c:v>
                        </c:pt>
                      </c15:dlblFieldTableCache>
                    </c15:dlblFTEntry>
                  </c15:dlblFieldTable>
                  <c15:showDataLabelsRange val="0"/>
                </c:ext>
                <c:ext xmlns:c16="http://schemas.microsoft.com/office/drawing/2014/chart" uri="{C3380CC4-5D6E-409C-BE32-E72D297353CC}">
                  <c16:uniqueId val="{00000006-E9DE-41ED-BD2D-570612027CB7}"/>
                </c:ext>
              </c:extLst>
            </c:dLbl>
            <c:dLbl>
              <c:idx val="8"/>
              <c:tx>
                <c:strRef>
                  <c:f>Sector1!$O$250</c:f>
                  <c:strCache>
                    <c:ptCount val="1"/>
                    <c:pt idx="0">
                      <c:v>2003</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{9E6D00E7-26A8-44A3-85C9-EE646929A23C}</c15:txfldGUID>
                      <c15:f>Sector1!$O$250</c15:f>
                      <c15:dlblFieldTableCache>
                        <c:ptCount val="1"/>
                        <c:pt idx="0">
                          <c:v>2003</c:v>
                        </c:pt>
                      </c15:dlblFieldTableCache>
                    </c15:dlblFTEntry>
                  </c15:dlblFieldTable>
                  <c15:showDataLabelsRange val="0"/>
                </c:ext>
                <c:ext xmlns:c16="http://schemas.microsoft.com/office/drawing/2014/chart" uri="{C3380CC4-5D6E-409C-BE32-E72D297353CC}">
                  <c16:uniqueId val="{00000007-E9DE-41ED-BD2D-570612027CB7}"/>
                </c:ext>
              </c:extLst>
            </c:dLbl>
            <c:dLbl>
              <c:idx val="9"/>
              <c:tx>
                <c:strRef>
                  <c:f>Sector1!$P$250</c:f>
                  <c:strCache>
                    <c:ptCount val="1"/>
                    <c:pt idx="0">
                      <c:v>2004</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{D4D5AC15-28E2-4AE8-982F-FF4F1D076B6E}</c15:txfldGUID>
                      <c15:f>Sector1!$P$250</c15:f>
                      <c15:dlblFieldTableCache>
                        <c:ptCount val="1"/>
                        <c:pt idx="0">
                          <c:v>2004</c:v>
                        </c:pt>
                      </c15:dlblFieldTableCache>
                    </c15:dlblFTEntry>
                  </c15:dlblFieldTable>
                  <c15:showDataLabelsRange val="0"/>
                </c:ext>
                <c:ext xmlns:c16="http://schemas.microsoft.com/office/drawing/2014/chart" uri="{C3380CC4-5D6E-409C-BE32-E72D297353CC}">
                  <c16:uniqueId val="{00000008-E9DE-41ED-BD2D-570612027CB7}"/>
                </c:ext>
              </c:extLst>
            </c:dLbl>
            <c:dLbl>
              <c:idx val="10"/>
              <c:tx>
                <c:strRef>
                  <c:f>Sector1!$Q$250</c:f>
                  <c:strCache>
                    <c:ptCount val="1"/>
                    <c:pt idx="0">
                      <c:v>2005</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{A29987D0-F9F3-421E-A169-FA4C196D9EB8}</c15:txfldGUID>
                      <c15:f>Sector1!$Q$250</c15:f>
                      <c15:dlblFieldTableCache>
                        <c:ptCount val="1"/>
                        <c:pt idx="0">
                          <c:v>2005</c:v>
                        </c:pt>
                      </c15:dlblFieldTableCache>
                    </c15:dlblFTEntry>
                  </c15:dlblFieldTable>
                  <c15:showDataLabelsRange val="0"/>
                </c:ext>
                <c:ext xmlns:c16="http://schemas.microsoft.com/office/drawing/2014/chart" uri="{C3380CC4-5D6E-409C-BE32-E72D297353CC}">
                  <c16:uniqueId val="{00000009-E9DE-41ED-BD2D-570612027CB7}"/>
                </c:ext>
              </c:extLst>
            </c:dLbl>
            <c:dLbl>
              <c:idx val="11"/>
              <c:tx>
                <c:strRef>
                  <c:f>Sector1!$R$250</c:f>
                  <c:strCache>
                    <c:ptCount val="1"/>
                    <c:pt idx="0">
                      <c:v>2006</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{3A5E32B8-0C52-4F22-AAD2-EA733915DBF8}</c15:txfldGUID>
                      <c15:f>Sector1!$R$250</c15:f>
                      <c15:dlblFieldTableCache>
                        <c:ptCount val="1"/>
                        <c:pt idx="0">
                          <c:v>2006</c:v>
                        </c:pt>
                      </c15:dlblFieldTableCache>
                    </c15:dlblFTEntry>
                  </c15:dlblFieldTable>
                  <c15:showDataLabelsRange val="0"/>
                </c:ext>
                <c:ext xmlns:c16="http://schemas.microsoft.com/office/drawing/2014/chart" uri="{C3380CC4-5D6E-409C-BE32-E72D297353CC}">
                  <c16:uniqueId val="{0000000A-E9DE-41ED-BD2D-570612027CB7}"/>
                </c:ext>
              </c:extLst>
            </c:dLbl>
            <c:dLbl>
              <c:idx val="12"/>
              <c:tx>
                <c:strRef>
                  <c:f>Sector1!$S$250</c:f>
                  <c:strCache>
                    <c:ptCount val="1"/>
                    <c:pt idx="0">
                      <c:v>2007</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{0F83223E-9DC8-4589-A34E-E3A28548A843}</c15:txfldGUID>
                      <c15:f>Sector1!$S$250</c15:f>
                      <c15:dlblFieldTableCache>
                        <c:ptCount val="1"/>
                        <c:pt idx="0">
                          <c:v>2007</c:v>
                        </c:pt>
                      </c15:dlblFieldTableCache>
                    </c15:dlblFTEntry>
                  </c15:dlblFieldTable>
                  <c15:showDataLabelsRange val="0"/>
                </c:ext>
                <c:ext xmlns:c16="http://schemas.microsoft.com/office/drawing/2014/chart" uri="{C3380CC4-5D6E-409C-BE32-E72D297353CC}">
                  <c16:uniqueId val="{0000000B-E9DE-41ED-BD2D-570612027CB7}"/>
                </c:ext>
              </c:extLst>
            </c:dLbl>
            <c:dLbl>
              <c:idx val="13"/>
              <c:tx>
                <c:strRef>
                  <c:f>Sector1!$T$250</c:f>
                  <c:strCache>
                    <c:ptCount val="1"/>
                    <c:pt idx="0">
                      <c:v>2008</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{231E492C-CA4F-47FA-A622-4C3A9858146B}</c15:txfldGUID>
                      <c15:f>Sector1!$T$250</c15:f>
                      <c15:dlblFieldTableCache>
                        <c:ptCount val="1"/>
                        <c:pt idx="0">
                          <c:v>2008</c:v>
                        </c:pt>
                      </c15:dlblFieldTableCache>
                    </c15:dlblFTEntry>
                  </c15:dlblFieldTable>
                  <c15:showDataLabelsRange val="0"/>
                </c:ext>
                <c:ext xmlns:c16="http://schemas.microsoft.com/office/drawing/2014/chart" uri="{C3380CC4-5D6E-409C-BE32-E72D297353CC}">
                  <c16:uniqueId val="{0000000C-E9DE-41ED-BD2D-570612027CB7}"/>
                </c:ext>
              </c:extLst>
            </c:dLbl>
            <c:dLbl>
              <c:idx val="14"/>
              <c:tx>
                <c:strRef>
                  <c:f>Sector1!$U$250</c:f>
                  <c:strCache>
                    <c:ptCount val="1"/>
                    <c:pt idx="0">
                      <c:v>2009</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{9517F992-5100-4E6B-A27F-B407722C2798}</c15:txfldGUID>
                      <c15:f>Sector1!$U$250</c15:f>
                      <c15:dlblFieldTableCache>
                        <c:ptCount val="1"/>
                        <c:pt idx="0">
                          <c:v>2009</c:v>
                        </c:pt>
                      </c15:dlblFieldTableCache>
                    </c15:dlblFTEntry>
                  </c15:dlblFieldTable>
                  <c15:showDataLabelsRange val="0"/>
                </c:ext>
                <c:ext xmlns:c16="http://schemas.microsoft.com/office/drawing/2014/chart" uri="{C3380CC4-5D6E-409C-BE32-E72D297353CC}">
                  <c16:uniqueId val="{0000000D-E9DE-41ED-BD2D-570612027CB7}"/>
                </c:ext>
              </c:extLst>
            </c:dLbl>
            <c:dLbl>
              <c:idx val="15"/>
              <c:tx>
                <c:strRef>
                  <c:f>Sector1!$V$250</c:f>
                  <c:strCache>
                    <c:ptCount val="1"/>
                    <c:pt idx="0">
                      <c:v>2010</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{27299CD0-B4E9-4413-87BA-5E5571128642}</c15:txfldGUID>
                      <c15:f>Sector1!$V$250</c15:f>
                      <c15:dlblFieldTableCache>
                        <c:ptCount val="1"/>
                        <c:pt idx="0">
                          <c:v>2010</c:v>
                        </c:pt>
                      </c15:dlblFieldTableCache>
                    </c15:dlblFTEntry>
                  </c15:dlblFieldTable>
                  <c15:showDataLabelsRange val="0"/>
                </c:ext>
                <c:ext xmlns:c16="http://schemas.microsoft.com/office/drawing/2014/chart" uri="{C3380CC4-5D6E-409C-BE32-E72D297353CC}">
                  <c16:uniqueId val="{0000000E-E9DE-41ED-BD2D-570612027CB7}"/>
                </c:ext>
              </c:extLst>
            </c:dLbl>
            <c:spPr>
              <a:noFill/>
              <a:ln w="25400">
                <a:noFill/>
              </a:ln>
            </c:spPr>
            <c:txPr>
              <a:bodyPr/>
              <a:lstStyle/>
              <a:p>
                <a:pPr>
                  <a:defRPr sz="800"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25400">
                <a:solidFill>
                  <a:srgbClr val="008000"/>
                </a:solidFill>
                <a:prstDash val="solid"/>
              </a:ln>
            </c:spPr>
            <c:trendlineType val="linear"/>
            <c:dispRSqr val="0"/>
            <c:dispEq val="0"/>
          </c:trendline>
          <c:xVal>
            <c:numRef>
              <c:f>Labour1!$G$223:$AG$223</c:f>
              <c:numCache>
                <c:formatCode>0.0</c:formatCode>
                <c:ptCount val="27"/>
                <c:pt idx="1">
                  <c:v>6.0431163935334986</c:v>
                </c:pt>
                <c:pt idx="2">
                  <c:v>4.5426907922177184</c:v>
                </c:pt>
                <c:pt idx="3">
                  <c:v>0.11436423486848035</c:v>
                </c:pt>
                <c:pt idx="4">
                  <c:v>6.0545975763367066</c:v>
                </c:pt>
                <c:pt idx="5">
                  <c:v>9.6807750353750333</c:v>
                </c:pt>
                <c:pt idx="6">
                  <c:v>6.8421475166817736</c:v>
                </c:pt>
                <c:pt idx="7">
                  <c:v>3.4624031146600176</c:v>
                </c:pt>
                <c:pt idx="8">
                  <c:v>3.5108698130559279</c:v>
                </c:pt>
                <c:pt idx="9">
                  <c:v>3.306696037039325</c:v>
                </c:pt>
                <c:pt idx="10">
                  <c:v>3.375225862700737</c:v>
                </c:pt>
                <c:pt idx="11">
                  <c:v>4.8256104874350392</c:v>
                </c:pt>
                <c:pt idx="12">
                  <c:v>7.7910625713290438</c:v>
                </c:pt>
                <c:pt idx="13">
                  <c:v>4.931145829671113</c:v>
                </c:pt>
                <c:pt idx="14">
                  <c:v>1.5786051959953973E-2</c:v>
                </c:pt>
                <c:pt idx="15">
                  <c:v>3.1151594332864407</c:v>
                </c:pt>
                <c:pt idx="16">
                  <c:v>5.760703934704603</c:v>
                </c:pt>
                <c:pt idx="17" formatCode="0.00">
                  <c:v>3.990645134802584</c:v>
                </c:pt>
                <c:pt idx="18" formatCode="0.00">
                  <c:v>3.0073910892242095</c:v>
                </c:pt>
                <c:pt idx="19" formatCode="0.00">
                  <c:v>3.842268036688834</c:v>
                </c:pt>
                <c:pt idx="20" formatCode="0.00">
                  <c:v>4.4664403582414192</c:v>
                </c:pt>
                <c:pt idx="21" formatCode="0.00">
                  <c:v>4.864016576871899</c:v>
                </c:pt>
                <c:pt idx="22" formatCode="0.00">
                  <c:v>4.5795505723650543</c:v>
                </c:pt>
                <c:pt idx="23" formatCode="0.00">
                  <c:v>4.481149706919374</c:v>
                </c:pt>
                <c:pt idx="24" formatCode="0.00">
                  <c:v>3.5884749107174985</c:v>
                </c:pt>
                <c:pt idx="25" formatCode="0.00">
                  <c:v>3.1608504222169653</c:v>
                </c:pt>
              </c:numCache>
            </c:numRef>
          </c:xVal>
          <c:yVal>
            <c:numRef>
              <c:f>Sector1!$G$265:$AJ$265</c:f>
              <c:numCache>
                <c:formatCode>0.0</c:formatCode>
                <c:ptCount val="30"/>
                <c:pt idx="1">
                  <c:v>11.810911168237649</c:v>
                </c:pt>
                <c:pt idx="2">
                  <c:v>9.1758206667518216</c:v>
                </c:pt>
                <c:pt idx="3">
                  <c:v>-26.530075023033394</c:v>
                </c:pt>
                <c:pt idx="4">
                  <c:v>0.25080616266572875</c:v>
                </c:pt>
                <c:pt idx="5">
                  <c:v>21.135136208402816</c:v>
                </c:pt>
                <c:pt idx="6">
                  <c:v>-5.2107493218158218</c:v>
                </c:pt>
                <c:pt idx="7">
                  <c:v>-12.120976318315035</c:v>
                </c:pt>
                <c:pt idx="8">
                  <c:v>3.2083825265643462</c:v>
                </c:pt>
                <c:pt idx="9">
                  <c:v>2.5586028731851895</c:v>
                </c:pt>
                <c:pt idx="10">
                  <c:v>-4.8965933912720194</c:v>
                </c:pt>
                <c:pt idx="11" formatCode="0.00">
                  <c:v>-4.4459864929581538</c:v>
                </c:pt>
                <c:pt idx="12" formatCode="0.00">
                  <c:v>8.117175353899043</c:v>
                </c:pt>
                <c:pt idx="13" formatCode="0.00">
                  <c:v>5.6639294634072357</c:v>
                </c:pt>
                <c:pt idx="14" formatCode="0.00">
                  <c:v>-4.2080382483811185E-2</c:v>
                </c:pt>
                <c:pt idx="15" formatCode="0.00">
                  <c:v>2.0350399484074355</c:v>
                </c:pt>
                <c:pt idx="16">
                  <c:v>8.3912707609115511</c:v>
                </c:pt>
                <c:pt idx="17">
                  <c:v>0.86333265843288043</c:v>
                </c:pt>
                <c:pt idx="18">
                  <c:v>2.8119253900322105</c:v>
                </c:pt>
                <c:pt idx="19">
                  <c:v>3.1559710409784225</c:v>
                </c:pt>
                <c:pt idx="20">
                  <c:v>5.3587111232246132</c:v>
                </c:pt>
                <c:pt idx="21">
                  <c:v>4.6851870481884328</c:v>
                </c:pt>
                <c:pt idx="22">
                  <c:v>5.0301341277577238</c:v>
                </c:pt>
                <c:pt idx="23">
                  <c:v>4.5138932681865418</c:v>
                </c:pt>
                <c:pt idx="24">
                  <c:v>4.136314033299171</c:v>
                </c:pt>
                <c:pt idx="25">
                  <c:v>3.7631148413085125</c:v>
                </c:pt>
              </c:numCache>
            </c:numRef>
          </c:yVal>
          <c:smooth val="0"/>
          <c:extLst>
            <c:ext xmlns:c16="http://schemas.microsoft.com/office/drawing/2014/chart" uri="{C3380CC4-5D6E-409C-BE32-E72D297353CC}">
              <c16:uniqueId val="{0000000F-E9DE-41ED-BD2D-570612027CB7}"/>
            </c:ext>
          </c:extLst>
        </c:ser>
        <c:ser>
          <c:idx val="1"/>
          <c:order val="1"/>
          <c:tx>
            <c:strRef>
              <c:f>Sector1!$F$274</c:f>
              <c:strCache>
                <c:ptCount val="1"/>
                <c:pt idx="0">
                  <c:v>OECD</c:v>
                </c:pt>
              </c:strCache>
            </c:strRef>
          </c:tx>
          <c:spPr>
            <a:ln w="25400">
              <a:solidFill>
                <a:srgbClr val="FF0000"/>
              </a:solidFill>
              <a:prstDash val="solid"/>
            </a:ln>
          </c:spPr>
          <c:marker>
            <c:symbol val="none"/>
          </c:marker>
          <c:xVal>
            <c:numRef>
              <c:f>Labour1!$G$223:$AG$223</c:f>
              <c:numCache>
                <c:formatCode>0.0</c:formatCode>
                <c:ptCount val="27"/>
                <c:pt idx="1">
                  <c:v>6.0431163935334986</c:v>
                </c:pt>
                <c:pt idx="2">
                  <c:v>4.5426907922177184</c:v>
                </c:pt>
                <c:pt idx="3">
                  <c:v>0.11436423486848035</c:v>
                </c:pt>
                <c:pt idx="4">
                  <c:v>6.0545975763367066</c:v>
                </c:pt>
                <c:pt idx="5">
                  <c:v>9.6807750353750333</c:v>
                </c:pt>
                <c:pt idx="6">
                  <c:v>6.8421475166817736</c:v>
                </c:pt>
                <c:pt idx="7">
                  <c:v>3.4624031146600176</c:v>
                </c:pt>
                <c:pt idx="8">
                  <c:v>3.5108698130559279</c:v>
                </c:pt>
                <c:pt idx="9">
                  <c:v>3.306696037039325</c:v>
                </c:pt>
                <c:pt idx="10">
                  <c:v>3.375225862700737</c:v>
                </c:pt>
                <c:pt idx="11">
                  <c:v>4.8256104874350392</c:v>
                </c:pt>
                <c:pt idx="12">
                  <c:v>7.7910625713290438</c:v>
                </c:pt>
                <c:pt idx="13">
                  <c:v>4.931145829671113</c:v>
                </c:pt>
                <c:pt idx="14">
                  <c:v>1.5786051959953973E-2</c:v>
                </c:pt>
                <c:pt idx="15">
                  <c:v>3.1151594332864407</c:v>
                </c:pt>
                <c:pt idx="16">
                  <c:v>5.760703934704603</c:v>
                </c:pt>
                <c:pt idx="17" formatCode="0.00">
                  <c:v>3.990645134802584</c:v>
                </c:pt>
                <c:pt idx="18" formatCode="0.00">
                  <c:v>3.0073910892242095</c:v>
                </c:pt>
                <c:pt idx="19" formatCode="0.00">
                  <c:v>3.842268036688834</c:v>
                </c:pt>
                <c:pt idx="20" formatCode="0.00">
                  <c:v>4.4664403582414192</c:v>
                </c:pt>
                <c:pt idx="21" formatCode="0.00">
                  <c:v>4.864016576871899</c:v>
                </c:pt>
                <c:pt idx="22" formatCode="0.00">
                  <c:v>4.5795505723650543</c:v>
                </c:pt>
                <c:pt idx="23" formatCode="0.00">
                  <c:v>4.481149706919374</c:v>
                </c:pt>
                <c:pt idx="24" formatCode="0.00">
                  <c:v>3.5884749107174985</c:v>
                </c:pt>
                <c:pt idx="25" formatCode="0.00">
                  <c:v>3.1608504222169653</c:v>
                </c:pt>
              </c:numCache>
            </c:numRef>
          </c:xVal>
          <c:yVal>
            <c:numRef>
              <c:f>Sector1!$G$274:$AJ$274</c:f>
              <c:numCache>
                <c:formatCode>0.0</c:formatCode>
                <c:ptCount val="30"/>
                <c:pt idx="1">
                  <c:v>5.7409605738568237</c:v>
                </c:pt>
                <c:pt idx="2">
                  <c:v>4.3155562526068323</c:v>
                </c:pt>
                <c:pt idx="3">
                  <c:v>0.10864602312505633</c:v>
                </c:pt>
                <c:pt idx="4">
                  <c:v>5.751867697519871</c:v>
                </c:pt>
                <c:pt idx="5">
                  <c:v>9.1967362836062811</c:v>
                </c:pt>
                <c:pt idx="6">
                  <c:v>6.5000401408476849</c:v>
                </c:pt>
                <c:pt idx="7">
                  <c:v>3.2892829589270165</c:v>
                </c:pt>
                <c:pt idx="8">
                  <c:v>3.3353263224031315</c:v>
                </c:pt>
                <c:pt idx="9">
                  <c:v>3.1413612351873588</c:v>
                </c:pt>
                <c:pt idx="10">
                  <c:v>3.2064645695656999</c:v>
                </c:pt>
                <c:pt idx="11">
                  <c:v>4.5843299630632872</c:v>
                </c:pt>
                <c:pt idx="12">
                  <c:v>7.4015094427625909</c:v>
                </c:pt>
                <c:pt idx="13">
                  <c:v>4.6845885381875574</c:v>
                </c:pt>
                <c:pt idx="14">
                  <c:v>1.4996749361956274E-2</c:v>
                </c:pt>
                <c:pt idx="15">
                  <c:v>2.9594014616221185</c:v>
                </c:pt>
                <c:pt idx="16">
                  <c:v>5.4726687379693724</c:v>
                </c:pt>
                <c:pt idx="17">
                  <c:v>3.7911128780624548</c:v>
                </c:pt>
                <c:pt idx="18">
                  <c:v>2.8570215347629988</c:v>
                </c:pt>
                <c:pt idx="19">
                  <c:v>3.6501546348543923</c:v>
                </c:pt>
                <c:pt idx="20">
                  <c:v>4.2431183403293478</c:v>
                </c:pt>
                <c:pt idx="21">
                  <c:v>4.6208157480283036</c:v>
                </c:pt>
                <c:pt idx="22">
                  <c:v>4.3505730437468015</c:v>
                </c:pt>
                <c:pt idx="23">
                  <c:v>4.2570922215734051</c:v>
                </c:pt>
                <c:pt idx="24">
                  <c:v>3.4090511651816233</c:v>
                </c:pt>
                <c:pt idx="25">
                  <c:v>3.0028079011061171</c:v>
                </c:pt>
              </c:numCache>
            </c:numRef>
          </c:yVal>
          <c:smooth val="0"/>
          <c:extLst>
            <c:ext xmlns:c16="http://schemas.microsoft.com/office/drawing/2014/chart" uri="{C3380CC4-5D6E-409C-BE32-E72D297353CC}">
              <c16:uniqueId val="{00000010-E9DE-41ED-BD2D-570612027CB7}"/>
            </c:ext>
          </c:extLst>
        </c:ser>
        <c:dLbls>
          <c:showLegendKey val="0"/>
          <c:showVal val="0"/>
          <c:showCatName val="0"/>
          <c:showSerName val="0"/>
          <c:showPercent val="0"/>
          <c:showBubbleSize val="0"/>
        </c:dLbls>
        <c:axId val="291804288"/>
        <c:axId val="291805824"/>
      </c:scatterChart>
      <c:valAx>
        <c:axId val="291804288"/>
        <c:scaling>
          <c:orientation val="minMax"/>
        </c:scaling>
        <c:delete val="0"/>
        <c:axPos val="b"/>
        <c:majorGridlines>
          <c:spPr>
            <a:ln w="3175">
              <a:solidFill>
                <a:srgbClr val="000000"/>
              </a:solidFill>
              <a:prstDash val="solid"/>
            </a:ln>
          </c:spPr>
        </c:majorGridlines>
        <c:numFmt formatCode="0" sourceLinked="0"/>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91805824"/>
        <c:crosses val="autoZero"/>
        <c:crossBetween val="midCat"/>
      </c:valAx>
      <c:valAx>
        <c:axId val="291805824"/>
        <c:scaling>
          <c:orientation val="minMax"/>
        </c:scaling>
        <c:delete val="0"/>
        <c:axPos val="l"/>
        <c:majorGridlines>
          <c:spPr>
            <a:ln w="3175">
              <a:solidFill>
                <a:srgbClr val="000000"/>
              </a:solidFill>
              <a:prstDash val="solid"/>
            </a:ln>
          </c:spPr>
        </c:majorGridlines>
        <c:numFmt formatCode="0" sourceLinked="0"/>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91804288"/>
        <c:crosses val="autoZero"/>
        <c:crossBetween val="midCat"/>
      </c:valAx>
      <c:spPr>
        <a:noFill/>
        <a:ln w="12700">
          <a:solidFill>
            <a:srgbClr val="808080"/>
          </a:solidFill>
          <a:prstDash val="solid"/>
        </a:ln>
      </c:spPr>
    </c:plotArea>
    <c:legend>
      <c:legendPos val="r"/>
      <c:layout>
        <c:manualLayout>
          <c:xMode val="edge"/>
          <c:yMode val="edge"/>
          <c:x val="0.20892911794377256"/>
          <c:y val="0.80086812853777045"/>
          <c:w val="0.61071588322025827"/>
          <c:h val="0.17965420180712149"/>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t>Social contributions (GVT, received) as % of compensation of employees</a:t>
            </a:r>
          </a:p>
        </c:rich>
      </c:tx>
      <c:layout>
        <c:manualLayout>
          <c:xMode val="edge"/>
          <c:yMode val="edge"/>
          <c:x val="0.1138395200599925"/>
          <c:y val="3.3613445378151259E-2"/>
        </c:manualLayout>
      </c:layout>
      <c:overlay val="0"/>
      <c:spPr>
        <a:noFill/>
        <a:ln w="25400">
          <a:noFill/>
        </a:ln>
      </c:spPr>
    </c:title>
    <c:autoTitleDeleted val="0"/>
    <c:plotArea>
      <c:layout>
        <c:manualLayout>
          <c:layoutTarget val="inner"/>
          <c:xMode val="edge"/>
          <c:yMode val="edge"/>
          <c:x val="0.14285729855924176"/>
          <c:y val="0.21848799262515489"/>
          <c:w val="0.79017943265580604"/>
          <c:h val="0.57703239077925528"/>
        </c:manualLayout>
      </c:layout>
      <c:lineChart>
        <c:grouping val="standard"/>
        <c:varyColors val="0"/>
        <c:ser>
          <c:idx val="0"/>
          <c:order val="0"/>
          <c:tx>
            <c:strRef>
              <c:f>Sector1!$D$279:$E$279</c:f>
              <c:strCache>
                <c:ptCount val="2"/>
                <c:pt idx="0">
                  <c:v>GVT</c:v>
                </c:pt>
                <c:pt idx="1">
                  <c:v>Social contributions (D.61r)</c:v>
                </c:pt>
              </c:strCache>
            </c:strRef>
          </c:tx>
          <c:spPr>
            <a:ln w="25400">
              <a:solidFill>
                <a:srgbClr val="008000"/>
              </a:solidFill>
              <a:prstDash val="solid"/>
            </a:ln>
          </c:spPr>
          <c:marker>
            <c:symbol val="circle"/>
            <c:size val="7"/>
            <c:spPr>
              <a:solidFill>
                <a:srgbClr val="FFFFFF"/>
              </a:solidFill>
              <a:ln>
                <a:solidFill>
                  <a:srgbClr val="008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Sector1!$G$289:$AG$289</c:f>
              <c:numCache>
                <c:formatCode>0.0%</c:formatCode>
                <c:ptCount val="27"/>
                <c:pt idx="0">
                  <c:v>0.13501833073416938</c:v>
                </c:pt>
                <c:pt idx="1">
                  <c:v>0.14236211738419383</c:v>
                </c:pt>
                <c:pt idx="2">
                  <c:v>0.14867133110402797</c:v>
                </c:pt>
                <c:pt idx="3">
                  <c:v>0.10910393953872215</c:v>
                </c:pt>
                <c:pt idx="4">
                  <c:v>0.10313327422139129</c:v>
                </c:pt>
                <c:pt idx="5">
                  <c:v>0.11390385613520185</c:v>
                </c:pt>
                <c:pt idx="6">
                  <c:v>0.10105432568851827</c:v>
                </c:pt>
                <c:pt idx="7">
                  <c:v>8.5833647904701341E-2</c:v>
                </c:pt>
                <c:pt idx="8">
                  <c:v>8.5582818332007593E-2</c:v>
                </c:pt>
                <c:pt idx="9">
                  <c:v>8.4963072238157203E-2</c:v>
                </c:pt>
                <c:pt idx="10">
                  <c:v>7.8164546083063724E-2</c:v>
                </c:pt>
                <c:pt idx="11">
                  <c:v>7.1251062192365044E-2</c:v>
                </c:pt>
                <c:pt idx="12">
                  <c:v>7.1466626280874176E-2</c:v>
                </c:pt>
                <c:pt idx="13">
                  <c:v>7.1965711406485694E-2</c:v>
                </c:pt>
                <c:pt idx="14">
                  <c:v>7.1924073988177142E-2</c:v>
                </c:pt>
                <c:pt idx="15">
                  <c:v>7.1170677550897996E-2</c:v>
                </c:pt>
                <c:pt idx="16">
                  <c:v>7.2940892918220548E-2</c:v>
                </c:pt>
                <c:pt idx="17">
                  <c:v>7.0747340179269841E-2</c:v>
                </c:pt>
                <c:pt idx="18">
                  <c:v>7.0613090799998238E-2</c:v>
                </c:pt>
                <c:pt idx="19">
                  <c:v>7.0146406539435449E-2</c:v>
                </c:pt>
                <c:pt idx="20">
                  <c:v>7.0745542373001985E-2</c:v>
                </c:pt>
                <c:pt idx="21">
                  <c:v>7.0624896679541013E-2</c:v>
                </c:pt>
                <c:pt idx="22">
                  <c:v>7.0929185776892681E-2</c:v>
                </c:pt>
                <c:pt idx="23">
                  <c:v>7.0951414419539033E-2</c:v>
                </c:pt>
                <c:pt idx="24">
                  <c:v>7.1326648832971906E-2</c:v>
                </c:pt>
                <c:pt idx="25">
                  <c:v>7.1743061673204614E-2</c:v>
                </c:pt>
              </c:numCache>
            </c:numRef>
          </c:val>
          <c:smooth val="0"/>
          <c:extLst>
            <c:ext xmlns:c16="http://schemas.microsoft.com/office/drawing/2014/chart" uri="{C3380CC4-5D6E-409C-BE32-E72D297353CC}">
              <c16:uniqueId val="{00000000-BA32-44D0-B02A-003F1A7541DD}"/>
            </c:ext>
          </c:extLst>
        </c:ser>
        <c:dLbls>
          <c:showLegendKey val="0"/>
          <c:showVal val="0"/>
          <c:showCatName val="0"/>
          <c:showSerName val="0"/>
          <c:showPercent val="0"/>
          <c:showBubbleSize val="0"/>
        </c:dLbls>
        <c:marker val="1"/>
        <c:smooth val="0"/>
        <c:axId val="291862400"/>
        <c:axId val="291880960"/>
      </c:lineChart>
      <c:catAx>
        <c:axId val="291862400"/>
        <c:scaling>
          <c:orientation val="minMax"/>
        </c:scaling>
        <c:delete val="0"/>
        <c:axPos val="b"/>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91880960"/>
        <c:crosses val="autoZero"/>
        <c:auto val="1"/>
        <c:lblAlgn val="ctr"/>
        <c:lblOffset val="100"/>
        <c:tickLblSkip val="2"/>
        <c:tickMarkSkip val="1"/>
        <c:noMultiLvlLbl val="0"/>
      </c:catAx>
      <c:valAx>
        <c:axId val="291880960"/>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91862400"/>
        <c:crosses val="autoZero"/>
        <c:crossBetween val="midCat"/>
      </c:valAx>
      <c:spPr>
        <a:noFill/>
        <a:ln w="12700">
          <a:solidFill>
            <a:srgbClr val="808080"/>
          </a:solidFill>
          <a:prstDash val="solid"/>
        </a:ln>
      </c:spPr>
    </c:plotArea>
    <c:legend>
      <c:legendPos val="r"/>
      <c:layout>
        <c:manualLayout>
          <c:xMode val="edge"/>
          <c:yMode val="edge"/>
          <c:x val="0.28571503308550089"/>
          <c:y val="0.91558707667966743"/>
          <c:w val="0.51250134059711716"/>
          <c:h val="6.2770745209717135E-2"/>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t>Social contributions (GVT, received) as % of GDP</a:t>
            </a:r>
          </a:p>
        </c:rich>
      </c:tx>
      <c:layout>
        <c:manualLayout>
          <c:xMode val="edge"/>
          <c:yMode val="edge"/>
          <c:x val="0.15178594863142106"/>
          <c:y val="3.3613445378151259E-2"/>
        </c:manualLayout>
      </c:layout>
      <c:overlay val="0"/>
      <c:spPr>
        <a:noFill/>
        <a:ln w="25400">
          <a:noFill/>
        </a:ln>
      </c:spPr>
    </c:title>
    <c:autoTitleDeleted val="0"/>
    <c:plotArea>
      <c:layout>
        <c:manualLayout>
          <c:layoutTarget val="inner"/>
          <c:xMode val="edge"/>
          <c:yMode val="edge"/>
          <c:x val="0.14285729855924176"/>
          <c:y val="0.17647107096647127"/>
          <c:w val="0.79017943265580604"/>
          <c:h val="0.61904931243793893"/>
        </c:manualLayout>
      </c:layout>
      <c:lineChart>
        <c:grouping val="standard"/>
        <c:varyColors val="0"/>
        <c:ser>
          <c:idx val="0"/>
          <c:order val="0"/>
          <c:tx>
            <c:strRef>
              <c:f>Sector1!$D$279:$E$279</c:f>
              <c:strCache>
                <c:ptCount val="2"/>
                <c:pt idx="0">
                  <c:v>GVT</c:v>
                </c:pt>
                <c:pt idx="1">
                  <c:v>Social contributions (D.61r)</c:v>
                </c:pt>
              </c:strCache>
            </c:strRef>
          </c:tx>
          <c:spPr>
            <a:ln w="25400">
              <a:solidFill>
                <a:srgbClr val="0000FF"/>
              </a:solidFill>
              <a:prstDash val="solid"/>
            </a:ln>
          </c:spPr>
          <c:marker>
            <c:symbol val="circle"/>
            <c:size val="7"/>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Sector1!$G$279:$AJ$279</c:f>
              <c:numCache>
                <c:formatCode>0.0%</c:formatCode>
                <c:ptCount val="30"/>
                <c:pt idx="0">
                  <c:v>5.9412997547792591E-2</c:v>
                </c:pt>
                <c:pt idx="1">
                  <c:v>6.4756733172110101E-2</c:v>
                </c:pt>
                <c:pt idx="2">
                  <c:v>6.763575073517121E-2</c:v>
                </c:pt>
                <c:pt idx="3">
                  <c:v>4.7296044164815955E-2</c:v>
                </c:pt>
                <c:pt idx="4">
                  <c:v>4.4956357146140748E-2</c:v>
                </c:pt>
                <c:pt idx="5">
                  <c:v>5.1189658109116111E-2</c:v>
                </c:pt>
                <c:pt idx="6">
                  <c:v>4.6600690756657348E-2</c:v>
                </c:pt>
                <c:pt idx="7">
                  <c:v>3.9487808469365678E-2</c:v>
                </c:pt>
                <c:pt idx="8">
                  <c:v>3.9129563875513224E-2</c:v>
                </c:pt>
                <c:pt idx="9">
                  <c:v>3.8308248495675302E-2</c:v>
                </c:pt>
                <c:pt idx="10">
                  <c:v>3.515223059330061E-2</c:v>
                </c:pt>
                <c:pt idx="11">
                  <c:v>3.1509258954878029E-2</c:v>
                </c:pt>
                <c:pt idx="12">
                  <c:v>3.2021976483974625E-2</c:v>
                </c:pt>
                <c:pt idx="13">
                  <c:v>3.2930868203701939E-2</c:v>
                </c:pt>
                <c:pt idx="14">
                  <c:v>3.3913637538658004E-2</c:v>
                </c:pt>
                <c:pt idx="15">
                  <c:v>3.2327380709138709E-2</c:v>
                </c:pt>
                <c:pt idx="16">
                  <c:v>3.3726727601942945E-2</c:v>
                </c:pt>
                <c:pt idx="17">
                  <c:v>3.3761278179692378E-2</c:v>
                </c:pt>
                <c:pt idx="18">
                  <c:v>3.3928211346288324E-2</c:v>
                </c:pt>
                <c:pt idx="19">
                  <c:v>3.3515989266479314E-2</c:v>
                </c:pt>
                <c:pt idx="20">
                  <c:v>3.3121641263697647E-2</c:v>
                </c:pt>
                <c:pt idx="21">
                  <c:v>3.3219039940056962E-2</c:v>
                </c:pt>
                <c:pt idx="22">
                  <c:v>3.3416329995485806E-2</c:v>
                </c:pt>
                <c:pt idx="23">
                  <c:v>3.3293957295954336E-2</c:v>
                </c:pt>
                <c:pt idx="24">
                  <c:v>3.3407857008167098E-2</c:v>
                </c:pt>
                <c:pt idx="25">
                  <c:v>3.3478176710376888E-2</c:v>
                </c:pt>
              </c:numCache>
            </c:numRef>
          </c:val>
          <c:smooth val="0"/>
          <c:extLst>
            <c:ext xmlns:c16="http://schemas.microsoft.com/office/drawing/2014/chart" uri="{C3380CC4-5D6E-409C-BE32-E72D297353CC}">
              <c16:uniqueId val="{00000000-5335-4B18-B461-F0D34814247C}"/>
            </c:ext>
          </c:extLst>
        </c:ser>
        <c:dLbls>
          <c:showLegendKey val="0"/>
          <c:showVal val="0"/>
          <c:showCatName val="0"/>
          <c:showSerName val="0"/>
          <c:showPercent val="0"/>
          <c:showBubbleSize val="0"/>
        </c:dLbls>
        <c:marker val="1"/>
        <c:smooth val="0"/>
        <c:axId val="291888512"/>
        <c:axId val="291972608"/>
      </c:lineChart>
      <c:catAx>
        <c:axId val="291888512"/>
        <c:scaling>
          <c:orientation val="minMax"/>
        </c:scaling>
        <c:delete val="0"/>
        <c:axPos val="b"/>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91972608"/>
        <c:crosses val="autoZero"/>
        <c:auto val="1"/>
        <c:lblAlgn val="ctr"/>
        <c:lblOffset val="100"/>
        <c:tickLblSkip val="2"/>
        <c:tickMarkSkip val="1"/>
        <c:noMultiLvlLbl val="0"/>
      </c:catAx>
      <c:valAx>
        <c:axId val="291972608"/>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91888512"/>
        <c:crosses val="autoZero"/>
        <c:crossBetween val="midCat"/>
      </c:valAx>
      <c:spPr>
        <a:noFill/>
        <a:ln w="12700">
          <a:solidFill>
            <a:srgbClr val="808080"/>
          </a:solidFill>
          <a:prstDash val="solid"/>
        </a:ln>
      </c:spPr>
    </c:plotArea>
    <c:legend>
      <c:legendPos val="r"/>
      <c:layout>
        <c:manualLayout>
          <c:xMode val="edge"/>
          <c:yMode val="edge"/>
          <c:x val="0.28392931412871653"/>
          <c:y val="0.91558707667966743"/>
          <c:w val="0.51250134059711716"/>
          <c:h val="6.2770745209717135E-2"/>
        </c:manualLayout>
      </c:layout>
      <c:overlay val="0"/>
      <c:spPr>
        <a:solidFill>
          <a:srgbClr val="FFFFFF"/>
        </a:solidFill>
        <a:ln w="3175">
          <a:solidFill>
            <a:srgbClr val="000000"/>
          </a:solidFill>
          <a:prstDash val="solid"/>
        </a:ln>
      </c:spPr>
      <c:txPr>
        <a:bodyPr/>
        <a:lstStyle/>
        <a:p>
          <a:pPr>
            <a:defRPr sz="23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t>Corporate income tax related to corporate GOS</a:t>
            </a:r>
          </a:p>
        </c:rich>
      </c:tx>
      <c:layout>
        <c:manualLayout>
          <c:xMode val="edge"/>
          <c:yMode val="edge"/>
          <c:x val="0.16071452005999248"/>
          <c:y val="3.3613445378151259E-2"/>
        </c:manualLayout>
      </c:layout>
      <c:overlay val="0"/>
      <c:spPr>
        <a:noFill/>
        <a:ln w="25400">
          <a:noFill/>
        </a:ln>
      </c:spPr>
    </c:title>
    <c:autoTitleDeleted val="0"/>
    <c:plotArea>
      <c:layout>
        <c:manualLayout>
          <c:layoutTarget val="inner"/>
          <c:xMode val="edge"/>
          <c:yMode val="edge"/>
          <c:x val="0.10044653804946686"/>
          <c:y val="0.17647107096647127"/>
          <c:w val="0.84375091961552173"/>
          <c:h val="0.56022562211578175"/>
        </c:manualLayout>
      </c:layout>
      <c:scatterChart>
        <c:scatterStyle val="lineMarker"/>
        <c:varyColors val="0"/>
        <c:ser>
          <c:idx val="0"/>
          <c:order val="0"/>
          <c:tx>
            <c:strRef>
              <c:f>Sector1!$D$208:$E$208</c:f>
              <c:strCache>
                <c:ptCount val="2"/>
                <c:pt idx="0">
                  <c:v>E</c:v>
                </c:pt>
                <c:pt idx="1">
                  <c:v>Current taxes on income and wealth (D.5p)  </c:v>
                </c:pt>
              </c:strCache>
            </c:strRef>
          </c:tx>
          <c:spPr>
            <a:ln w="28575">
              <a:noFill/>
            </a:ln>
          </c:spPr>
          <c:marker>
            <c:symbol val="circle"/>
            <c:size val="7"/>
            <c:spPr>
              <a:solidFill>
                <a:srgbClr val="FFFFFF"/>
              </a:solidFill>
              <a:ln>
                <a:solidFill>
                  <a:srgbClr val="339966"/>
                </a:solidFill>
                <a:prstDash val="solid"/>
              </a:ln>
            </c:spPr>
          </c:marker>
          <c:dLbls>
            <c:dLbl>
              <c:idx val="1"/>
              <c:tx>
                <c:rich>
                  <a:bodyPr/>
                  <a:lstStyle/>
                  <a:p>
                    <a:r>
                      <a:t>1996</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FEE-4F08-A0C3-C0042A28CBCE}"/>
                </c:ext>
              </c:extLst>
            </c:dLbl>
            <c:dLbl>
              <c:idx val="2"/>
              <c:tx>
                <c:rich>
                  <a:bodyPr/>
                  <a:lstStyle/>
                  <a:p>
                    <a:r>
                      <a:t>1997</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FEE-4F08-A0C3-C0042A28CBCE}"/>
                </c:ext>
              </c:extLst>
            </c:dLbl>
            <c:dLbl>
              <c:idx val="3"/>
              <c:tx>
                <c:rich>
                  <a:bodyPr/>
                  <a:lstStyle/>
                  <a:p>
                    <a:r>
                      <a:t>1998</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FEE-4F08-A0C3-C0042A28CBCE}"/>
                </c:ext>
              </c:extLst>
            </c:dLbl>
            <c:dLbl>
              <c:idx val="4"/>
              <c:tx>
                <c:rich>
                  <a:bodyPr/>
                  <a:lstStyle/>
                  <a:p>
                    <a:r>
                      <a:t>1999</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FEE-4F08-A0C3-C0042A28CBCE}"/>
                </c:ext>
              </c:extLst>
            </c:dLbl>
            <c:dLbl>
              <c:idx val="5"/>
              <c:tx>
                <c:rich>
                  <a:bodyPr/>
                  <a:lstStyle/>
                  <a:p>
                    <a:r>
                      <a:t>2000</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FEE-4F08-A0C3-C0042A28CBCE}"/>
                </c:ext>
              </c:extLst>
            </c:dLbl>
            <c:dLbl>
              <c:idx val="6"/>
              <c:tx>
                <c:rich>
                  <a:bodyPr/>
                  <a:lstStyle/>
                  <a:p>
                    <a:r>
                      <a:t>2001</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FEE-4F08-A0C3-C0042A28CBCE}"/>
                </c:ext>
              </c:extLst>
            </c:dLbl>
            <c:dLbl>
              <c:idx val="7"/>
              <c:tx>
                <c:rich>
                  <a:bodyPr/>
                  <a:lstStyle/>
                  <a:p>
                    <a:r>
                      <a:t>2002</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FEE-4F08-A0C3-C0042A28CBCE}"/>
                </c:ext>
              </c:extLst>
            </c:dLbl>
            <c:dLbl>
              <c:idx val="8"/>
              <c:tx>
                <c:rich>
                  <a:bodyPr/>
                  <a:lstStyle/>
                  <a:p>
                    <a:r>
                      <a:t>2003</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FEE-4F08-A0C3-C0042A28CBCE}"/>
                </c:ext>
              </c:extLst>
            </c:dLbl>
            <c:dLbl>
              <c:idx val="9"/>
              <c:tx>
                <c:rich>
                  <a:bodyPr/>
                  <a:lstStyle/>
                  <a:p>
                    <a:r>
                      <a:t>2004</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0FEE-4F08-A0C3-C0042A28CBCE}"/>
                </c:ext>
              </c:extLst>
            </c:dLbl>
            <c:dLbl>
              <c:idx val="10"/>
              <c:tx>
                <c:rich>
                  <a:bodyPr/>
                  <a:lstStyle/>
                  <a:p>
                    <a:r>
                      <a:t>2005</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0FEE-4F08-A0C3-C0042A28CBCE}"/>
                </c:ext>
              </c:extLst>
            </c:dLbl>
            <c:dLbl>
              <c:idx val="11"/>
              <c:tx>
                <c:rich>
                  <a:bodyPr/>
                  <a:lstStyle/>
                  <a:p>
                    <a:r>
                      <a:t>2006</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0FEE-4F08-A0C3-C0042A28CBCE}"/>
                </c:ext>
              </c:extLst>
            </c:dLbl>
            <c:dLbl>
              <c:idx val="12"/>
              <c:tx>
                <c:rich>
                  <a:bodyPr/>
                  <a:lstStyle/>
                  <a:p>
                    <a:r>
                      <a:t>2007</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0FEE-4F08-A0C3-C0042A28CBCE}"/>
                </c:ext>
              </c:extLst>
            </c:dLbl>
            <c:dLbl>
              <c:idx val="13"/>
              <c:tx>
                <c:rich>
                  <a:bodyPr/>
                  <a:lstStyle/>
                  <a:p>
                    <a:r>
                      <a:t>2008</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0FEE-4F08-A0C3-C0042A28CBCE}"/>
                </c:ext>
              </c:extLst>
            </c:dLbl>
            <c:dLbl>
              <c:idx val="14"/>
              <c:tx>
                <c:rich>
                  <a:bodyPr/>
                  <a:lstStyle/>
                  <a:p>
                    <a:r>
                      <a:t>2009</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0FEE-4F08-A0C3-C0042A28CBCE}"/>
                </c:ext>
              </c:extLst>
            </c:dLbl>
            <c:spPr>
              <a:noFill/>
              <a:ln w="25400">
                <a:noFill/>
              </a:ln>
            </c:spPr>
            <c:txPr>
              <a:bodyPr/>
              <a:lstStyle/>
              <a:p>
                <a:pPr>
                  <a:defRPr sz="800"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25400">
                <a:solidFill>
                  <a:srgbClr val="339966"/>
                </a:solidFill>
                <a:prstDash val="solid"/>
              </a:ln>
            </c:spPr>
            <c:trendlineType val="linear"/>
            <c:dispRSqr val="0"/>
            <c:dispEq val="0"/>
          </c:trendline>
          <c:xVal>
            <c:numRef>
              <c:f>Sector1!$G$119:$AI$119</c:f>
              <c:numCache>
                <c:formatCode>0.0</c:formatCode>
                <c:ptCount val="29"/>
                <c:pt idx="1">
                  <c:v>-6.7785095211727819</c:v>
                </c:pt>
                <c:pt idx="2">
                  <c:v>6.3768524993470077</c:v>
                </c:pt>
                <c:pt idx="3">
                  <c:v>3.0712479630286449</c:v>
                </c:pt>
                <c:pt idx="4">
                  <c:v>5.550283354144625</c:v>
                </c:pt>
                <c:pt idx="5">
                  <c:v>4.8685757550387843</c:v>
                </c:pt>
                <c:pt idx="6">
                  <c:v>-2.2551510607575542</c:v>
                </c:pt>
                <c:pt idx="7">
                  <c:v>3.0095987556774118</c:v>
                </c:pt>
                <c:pt idx="8">
                  <c:v>7.0495804518847072</c:v>
                </c:pt>
                <c:pt idx="9">
                  <c:v>10.513874978665005</c:v>
                </c:pt>
                <c:pt idx="10">
                  <c:v>3.7380781010050157</c:v>
                </c:pt>
                <c:pt idx="11">
                  <c:v>12.217450049016975</c:v>
                </c:pt>
                <c:pt idx="12">
                  <c:v>3.42058559223819</c:v>
                </c:pt>
                <c:pt idx="13">
                  <c:v>-0.23961777334577938</c:v>
                </c:pt>
                <c:pt idx="14">
                  <c:v>-10.052454339007433</c:v>
                </c:pt>
                <c:pt idx="15">
                  <c:v>18.279229098952122</c:v>
                </c:pt>
                <c:pt idx="16">
                  <c:v>2.2660076054298539</c:v>
                </c:pt>
                <c:pt idx="17">
                  <c:v>-5.0885404703872927</c:v>
                </c:pt>
                <c:pt idx="18">
                  <c:v>1.4496499224660342</c:v>
                </c:pt>
                <c:pt idx="19">
                  <c:v>7.5844739340883205</c:v>
                </c:pt>
                <c:pt idx="20">
                  <c:v>12.549430725945543</c:v>
                </c:pt>
                <c:pt idx="21">
                  <c:v>0.96206076092693049</c:v>
                </c:pt>
                <c:pt idx="22">
                  <c:v>3.3720679111743923</c:v>
                </c:pt>
                <c:pt idx="23">
                  <c:v>6.5950992684434162</c:v>
                </c:pt>
                <c:pt idx="24">
                  <c:v>4.4470621631447216</c:v>
                </c:pt>
                <c:pt idx="25">
                  <c:v>4.3022366869294171</c:v>
                </c:pt>
                <c:pt idx="27" formatCode="0.00">
                  <c:v>3.88</c:v>
                </c:pt>
                <c:pt idx="28" formatCode="0.00">
                  <c:v>3.88</c:v>
                </c:pt>
              </c:numCache>
            </c:numRef>
          </c:xVal>
          <c:yVal>
            <c:numRef>
              <c:f>Sector1!$G$208:$AI$208</c:f>
              <c:numCache>
                <c:formatCode>0.0</c:formatCode>
                <c:ptCount val="29"/>
                <c:pt idx="1">
                  <c:v>-0.62599835945257309</c:v>
                </c:pt>
                <c:pt idx="2">
                  <c:v>16.29594230602136</c:v>
                </c:pt>
                <c:pt idx="3">
                  <c:v>-7.4750644402106881</c:v>
                </c:pt>
                <c:pt idx="4">
                  <c:v>26.136547157622726</c:v>
                </c:pt>
                <c:pt idx="5">
                  <c:v>31.203687402973614</c:v>
                </c:pt>
                <c:pt idx="6">
                  <c:v>-28.281288119053428</c:v>
                </c:pt>
                <c:pt idx="7">
                  <c:v>-19.792499362190664</c:v>
                </c:pt>
                <c:pt idx="8">
                  <c:v>16.656770855422188</c:v>
                </c:pt>
                <c:pt idx="9">
                  <c:v>41.988257320996844</c:v>
                </c:pt>
                <c:pt idx="10">
                  <c:v>26.744930356411324</c:v>
                </c:pt>
                <c:pt idx="11">
                  <c:v>8.1674292698201043</c:v>
                </c:pt>
                <c:pt idx="12">
                  <c:v>9.4267385072229537</c:v>
                </c:pt>
                <c:pt idx="13">
                  <c:v>-23.306936100491537</c:v>
                </c:pt>
                <c:pt idx="14">
                  <c:v>2.8930033825891321E-2</c:v>
                </c:pt>
                <c:pt idx="15">
                  <c:v>25.810362855680879</c:v>
                </c:pt>
                <c:pt idx="16">
                  <c:v>-3.1211041458519384</c:v>
                </c:pt>
                <c:pt idx="17">
                  <c:v>-14.661726186673473</c:v>
                </c:pt>
                <c:pt idx="18">
                  <c:v>6.8637306696896605</c:v>
                </c:pt>
                <c:pt idx="19">
                  <c:v>2.1996717505303964</c:v>
                </c:pt>
                <c:pt idx="20">
                  <c:v>19.48453810148645</c:v>
                </c:pt>
                <c:pt idx="21">
                  <c:v>1.267005408949351</c:v>
                </c:pt>
                <c:pt idx="22">
                  <c:v>7.0844730751177476</c:v>
                </c:pt>
                <c:pt idx="23">
                  <c:v>5</c:v>
                </c:pt>
                <c:pt idx="24">
                  <c:v>2.6</c:v>
                </c:pt>
                <c:pt idx="25">
                  <c:v>2.6</c:v>
                </c:pt>
                <c:pt idx="26" formatCode="0.00">
                  <c:v>0</c:v>
                </c:pt>
                <c:pt idx="27">
                  <c:v>4.9000000000000004</c:v>
                </c:pt>
                <c:pt idx="28">
                  <c:v>2.9230237102800856</c:v>
                </c:pt>
              </c:numCache>
            </c:numRef>
          </c:yVal>
          <c:smooth val="0"/>
          <c:extLst>
            <c:ext xmlns:c16="http://schemas.microsoft.com/office/drawing/2014/chart" uri="{C3380CC4-5D6E-409C-BE32-E72D297353CC}">
              <c16:uniqueId val="{0000000E-0FEE-4F08-A0C3-C0042A28CBCE}"/>
            </c:ext>
          </c:extLst>
        </c:ser>
        <c:dLbls>
          <c:showLegendKey val="0"/>
          <c:showVal val="0"/>
          <c:showCatName val="0"/>
          <c:showSerName val="0"/>
          <c:showPercent val="0"/>
          <c:showBubbleSize val="0"/>
        </c:dLbls>
        <c:axId val="292027008"/>
        <c:axId val="292057472"/>
      </c:scatterChart>
      <c:valAx>
        <c:axId val="292027008"/>
        <c:scaling>
          <c:orientation val="minMax"/>
        </c:scaling>
        <c:delete val="0"/>
        <c:axPos val="b"/>
        <c:majorGridlines>
          <c:spPr>
            <a:ln w="3175">
              <a:solidFill>
                <a:srgbClr val="000000"/>
              </a:solidFill>
              <a:prstDash val="solid"/>
            </a:ln>
          </c:spPr>
        </c:majorGridlines>
        <c:numFmt formatCode="0" sourceLinked="0"/>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92057472"/>
        <c:crosses val="autoZero"/>
        <c:crossBetween val="midCat"/>
      </c:valAx>
      <c:valAx>
        <c:axId val="292057472"/>
        <c:scaling>
          <c:orientation val="minMax"/>
        </c:scaling>
        <c:delete val="0"/>
        <c:axPos val="l"/>
        <c:majorGridlines>
          <c:spPr>
            <a:ln w="3175">
              <a:solidFill>
                <a:srgbClr val="000000"/>
              </a:solidFill>
              <a:prstDash val="solid"/>
            </a:ln>
          </c:spPr>
        </c:majorGridlines>
        <c:numFmt formatCode="0" sourceLinked="0"/>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92027008"/>
        <c:crosses val="autoZero"/>
        <c:crossBetween val="midCat"/>
      </c:valAx>
      <c:spPr>
        <a:noFill/>
        <a:ln w="12700">
          <a:solidFill>
            <a:srgbClr val="808080"/>
          </a:solidFill>
          <a:prstDash val="solid"/>
        </a:ln>
      </c:spPr>
    </c:plotArea>
    <c:legend>
      <c:legendPos val="r"/>
      <c:layout>
        <c:manualLayout>
          <c:xMode val="edge"/>
          <c:yMode val="edge"/>
          <c:x val="0.12500032697490668"/>
          <c:y val="0.85714534838096512"/>
          <c:w val="0.78214490307155882"/>
          <c:h val="0.12121247350841932"/>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t>Household income tax related to GDP</a:t>
            </a:r>
          </a:p>
        </c:rich>
      </c:tx>
      <c:layout>
        <c:manualLayout>
          <c:xMode val="edge"/>
          <c:yMode val="edge"/>
          <c:x val="0.22991094863142106"/>
          <c:y val="3.3613445378151259E-2"/>
        </c:manualLayout>
      </c:layout>
      <c:overlay val="0"/>
      <c:spPr>
        <a:noFill/>
        <a:ln w="25400">
          <a:noFill/>
        </a:ln>
      </c:spPr>
    </c:title>
    <c:autoTitleDeleted val="0"/>
    <c:plotArea>
      <c:layout>
        <c:manualLayout>
          <c:layoutTarget val="inner"/>
          <c:xMode val="edge"/>
          <c:yMode val="edge"/>
          <c:x val="9.1517956889514251E-2"/>
          <c:y val="0.17647107096647127"/>
          <c:w val="0.86160808193542693"/>
          <c:h val="0.50140193179362469"/>
        </c:manualLayout>
      </c:layout>
      <c:scatterChart>
        <c:scatterStyle val="lineMarker"/>
        <c:varyColors val="0"/>
        <c:ser>
          <c:idx val="0"/>
          <c:order val="0"/>
          <c:tx>
            <c:strRef>
              <c:f>Sector1!$D$207:$E$207</c:f>
              <c:strCache>
                <c:ptCount val="2"/>
                <c:pt idx="0">
                  <c:v>HH</c:v>
                </c:pt>
                <c:pt idx="1">
                  <c:v>Current taxes on income and wealth (D.5p)  </c:v>
                </c:pt>
              </c:strCache>
            </c:strRef>
          </c:tx>
          <c:spPr>
            <a:ln w="28575">
              <a:noFill/>
            </a:ln>
          </c:spPr>
          <c:marker>
            <c:symbol val="circle"/>
            <c:size val="7"/>
            <c:spPr>
              <a:solidFill>
                <a:srgbClr val="FFFFFF"/>
              </a:solidFill>
              <a:ln>
                <a:solidFill>
                  <a:srgbClr val="0000FF"/>
                </a:solidFill>
                <a:prstDash val="solid"/>
              </a:ln>
            </c:spPr>
          </c:marker>
          <c:dLbls>
            <c:dLbl>
              <c:idx val="1"/>
              <c:tx>
                <c:rich>
                  <a:bodyPr/>
                  <a:lstStyle/>
                  <a:p>
                    <a:r>
                      <a:t>1996</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41CC-42CF-ABAB-B6C9CBCE0011}"/>
                </c:ext>
              </c:extLst>
            </c:dLbl>
            <c:dLbl>
              <c:idx val="2"/>
              <c:tx>
                <c:rich>
                  <a:bodyPr/>
                  <a:lstStyle/>
                  <a:p>
                    <a:r>
                      <a:t>1997</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41CC-42CF-ABAB-B6C9CBCE0011}"/>
                </c:ext>
              </c:extLst>
            </c:dLbl>
            <c:dLbl>
              <c:idx val="3"/>
              <c:tx>
                <c:rich>
                  <a:bodyPr/>
                  <a:lstStyle/>
                  <a:p>
                    <a:r>
                      <a:t>1998</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41CC-42CF-ABAB-B6C9CBCE0011}"/>
                </c:ext>
              </c:extLst>
            </c:dLbl>
            <c:dLbl>
              <c:idx val="4"/>
              <c:tx>
                <c:rich>
                  <a:bodyPr/>
                  <a:lstStyle/>
                  <a:p>
                    <a:r>
                      <a:t>1999</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1CC-42CF-ABAB-B6C9CBCE0011}"/>
                </c:ext>
              </c:extLst>
            </c:dLbl>
            <c:dLbl>
              <c:idx val="5"/>
              <c:tx>
                <c:rich>
                  <a:bodyPr/>
                  <a:lstStyle/>
                  <a:p>
                    <a:r>
                      <a:t>2000</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41CC-42CF-ABAB-B6C9CBCE0011}"/>
                </c:ext>
              </c:extLst>
            </c:dLbl>
            <c:dLbl>
              <c:idx val="6"/>
              <c:tx>
                <c:rich>
                  <a:bodyPr/>
                  <a:lstStyle/>
                  <a:p>
                    <a:r>
                      <a:t>2001</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1CC-42CF-ABAB-B6C9CBCE0011}"/>
                </c:ext>
              </c:extLst>
            </c:dLbl>
            <c:dLbl>
              <c:idx val="7"/>
              <c:tx>
                <c:rich>
                  <a:bodyPr/>
                  <a:lstStyle/>
                  <a:p>
                    <a:r>
                      <a:t>2002</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1CC-42CF-ABAB-B6C9CBCE0011}"/>
                </c:ext>
              </c:extLst>
            </c:dLbl>
            <c:dLbl>
              <c:idx val="8"/>
              <c:tx>
                <c:rich>
                  <a:bodyPr/>
                  <a:lstStyle/>
                  <a:p>
                    <a:r>
                      <a:t>2003</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41CC-42CF-ABAB-B6C9CBCE0011}"/>
                </c:ext>
              </c:extLst>
            </c:dLbl>
            <c:dLbl>
              <c:idx val="9"/>
              <c:tx>
                <c:rich>
                  <a:bodyPr/>
                  <a:lstStyle/>
                  <a:p>
                    <a:r>
                      <a:t>2004</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41CC-42CF-ABAB-B6C9CBCE0011}"/>
                </c:ext>
              </c:extLst>
            </c:dLbl>
            <c:dLbl>
              <c:idx val="10"/>
              <c:tx>
                <c:rich>
                  <a:bodyPr/>
                  <a:lstStyle/>
                  <a:p>
                    <a:r>
                      <a:t>2005</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41CC-42CF-ABAB-B6C9CBCE0011}"/>
                </c:ext>
              </c:extLst>
            </c:dLbl>
            <c:dLbl>
              <c:idx val="11"/>
              <c:tx>
                <c:rich>
                  <a:bodyPr/>
                  <a:lstStyle/>
                  <a:p>
                    <a:r>
                      <a:t>2006</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41CC-42CF-ABAB-B6C9CBCE0011}"/>
                </c:ext>
              </c:extLst>
            </c:dLbl>
            <c:dLbl>
              <c:idx val="12"/>
              <c:tx>
                <c:rich>
                  <a:bodyPr/>
                  <a:lstStyle/>
                  <a:p>
                    <a:r>
                      <a:t>2007</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41CC-42CF-ABAB-B6C9CBCE0011}"/>
                </c:ext>
              </c:extLst>
            </c:dLbl>
            <c:dLbl>
              <c:idx val="13"/>
              <c:tx>
                <c:rich>
                  <a:bodyPr/>
                  <a:lstStyle/>
                  <a:p>
                    <a:r>
                      <a:t>2008</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41CC-42CF-ABAB-B6C9CBCE0011}"/>
                </c:ext>
              </c:extLst>
            </c:dLbl>
            <c:dLbl>
              <c:idx val="14"/>
              <c:tx>
                <c:rich>
                  <a:bodyPr/>
                  <a:lstStyle/>
                  <a:p>
                    <a:r>
                      <a:t>2009</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41CC-42CF-ABAB-B6C9CBCE0011}"/>
                </c:ext>
              </c:extLst>
            </c:dLbl>
            <c:spPr>
              <a:noFill/>
              <a:ln w="25400">
                <a:noFill/>
              </a:ln>
            </c:spPr>
            <c:txPr>
              <a:bodyPr/>
              <a:lstStyle/>
              <a:p>
                <a:pPr>
                  <a:defRPr sz="800"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25400">
                <a:solidFill>
                  <a:srgbClr val="0000FF"/>
                </a:solidFill>
                <a:prstDash val="solid"/>
              </a:ln>
            </c:spPr>
            <c:trendlineType val="linear"/>
            <c:dispRSqr val="0"/>
            <c:dispEq val="0"/>
          </c:trendline>
          <c:xVal>
            <c:numRef>
              <c:f>'VVP2'!$G$348:$AG$348</c:f>
              <c:numCache>
                <c:formatCode>0.0</c:formatCode>
                <c:ptCount val="27"/>
                <c:pt idx="1">
                  <c:v>2.5842575072335894</c:v>
                </c:pt>
                <c:pt idx="2">
                  <c:v>4.528587483935409</c:v>
                </c:pt>
                <c:pt idx="3">
                  <c:v>5.0657326637579603</c:v>
                </c:pt>
                <c:pt idx="4">
                  <c:v>5.4682108787114991</c:v>
                </c:pt>
                <c:pt idx="5">
                  <c:v>6.3846614236626298</c:v>
                </c:pt>
                <c:pt idx="6">
                  <c:v>4.1235495837014691</c:v>
                </c:pt>
                <c:pt idx="7">
                  <c:v>3.7085461393536079</c:v>
                </c:pt>
                <c:pt idx="8">
                  <c:v>4.1532907089817606</c:v>
                </c:pt>
                <c:pt idx="9">
                  <c:v>4.7574232625837265</c:v>
                </c:pt>
                <c:pt idx="10">
                  <c:v>3.6419274584167605</c:v>
                </c:pt>
                <c:pt idx="11">
                  <c:v>6.6015777053014757</c:v>
                </c:pt>
                <c:pt idx="12">
                  <c:v>6.3860651262684476</c:v>
                </c:pt>
                <c:pt idx="13">
                  <c:v>2.7476057889422645</c:v>
                </c:pt>
                <c:pt idx="14">
                  <c:v>-2.9387197675724841</c:v>
                </c:pt>
                <c:pt idx="15">
                  <c:v>7.0417486707964771</c:v>
                </c:pt>
                <c:pt idx="16">
                  <c:v>3.8940367055789515</c:v>
                </c:pt>
                <c:pt idx="17">
                  <c:v>0.76011125791202172</c:v>
                </c:pt>
                <c:pt idx="18">
                  <c:v>2.3060714240210611</c:v>
                </c:pt>
                <c:pt idx="19">
                  <c:v>4.4247138069799297</c:v>
                </c:pt>
                <c:pt idx="20">
                  <c:v>6.6131174787644964</c:v>
                </c:pt>
                <c:pt idx="21" formatCode="0.00">
                  <c:v>4.3782486576955382</c:v>
                </c:pt>
                <c:pt idx="22">
                  <c:v>4.4100360802891814</c:v>
                </c:pt>
                <c:pt idx="23">
                  <c:v>4.8980364670283993</c:v>
                </c:pt>
                <c:pt idx="24">
                  <c:v>3.7812749119215061</c:v>
                </c:pt>
                <c:pt idx="25">
                  <c:v>3.5451641625984909</c:v>
                </c:pt>
              </c:numCache>
            </c:numRef>
          </c:xVal>
          <c:yVal>
            <c:numRef>
              <c:f>Sector1!$G$207:$AI$207</c:f>
              <c:numCache>
                <c:formatCode>0.0</c:formatCode>
                <c:ptCount val="29"/>
                <c:pt idx="1">
                  <c:v>8.4778856770943101</c:v>
                </c:pt>
                <c:pt idx="2">
                  <c:v>5.1335934258482485</c:v>
                </c:pt>
                <c:pt idx="3">
                  <c:v>5.2034740933598611</c:v>
                </c:pt>
                <c:pt idx="4">
                  <c:v>7.2222791970507405</c:v>
                </c:pt>
                <c:pt idx="5">
                  <c:v>6.9421966045381867</c:v>
                </c:pt>
                <c:pt idx="6">
                  <c:v>0.15886988203617225</c:v>
                </c:pt>
                <c:pt idx="7">
                  <c:v>0.18916651588176681</c:v>
                </c:pt>
                <c:pt idx="8">
                  <c:v>6.9437277767874672</c:v>
                </c:pt>
                <c:pt idx="9">
                  <c:v>4.8455898640453965</c:v>
                </c:pt>
                <c:pt idx="10">
                  <c:v>6.9351852820282112</c:v>
                </c:pt>
                <c:pt idx="11">
                  <c:v>7.5669638054103316</c:v>
                </c:pt>
                <c:pt idx="12">
                  <c:v>-0.13930008074314326</c:v>
                </c:pt>
                <c:pt idx="13">
                  <c:v>5.6453345862350623E-2</c:v>
                </c:pt>
                <c:pt idx="14">
                  <c:v>-4.3812200147059883</c:v>
                </c:pt>
                <c:pt idx="15">
                  <c:v>1.537600596919475</c:v>
                </c:pt>
                <c:pt idx="16">
                  <c:v>1.094214553784667</c:v>
                </c:pt>
                <c:pt idx="17">
                  <c:v>2.7959553403711146</c:v>
                </c:pt>
                <c:pt idx="18">
                  <c:v>3.4607662571231268</c:v>
                </c:pt>
                <c:pt idx="19">
                  <c:v>4.9551732915810831</c:v>
                </c:pt>
                <c:pt idx="20">
                  <c:v>8.1020064389446524</c:v>
                </c:pt>
                <c:pt idx="21">
                  <c:v>7.6558281199816225</c:v>
                </c:pt>
                <c:pt idx="22">
                  <c:v>4.9305404880722437</c:v>
                </c:pt>
                <c:pt idx="23">
                  <c:v>2.9230237102800856</c:v>
                </c:pt>
                <c:pt idx="24">
                  <c:v>3.2148253656623047</c:v>
                </c:pt>
                <c:pt idx="25">
                  <c:v>2.8752881228066829</c:v>
                </c:pt>
                <c:pt idx="27" formatCode="0.00">
                  <c:v>1.4037878493009841</c:v>
                </c:pt>
                <c:pt idx="28" formatCode="0.00">
                  <c:v>0.81866526220744684</c:v>
                </c:pt>
              </c:numCache>
            </c:numRef>
          </c:yVal>
          <c:smooth val="0"/>
          <c:extLst>
            <c:ext xmlns:c16="http://schemas.microsoft.com/office/drawing/2014/chart" uri="{C3380CC4-5D6E-409C-BE32-E72D297353CC}">
              <c16:uniqueId val="{0000000E-41CC-42CF-ABAB-B6C9CBCE0011}"/>
            </c:ext>
          </c:extLst>
        </c:ser>
        <c:ser>
          <c:idx val="1"/>
          <c:order val="1"/>
          <c:tx>
            <c:strRef>
              <c:f>Sector1!$F$214</c:f>
              <c:strCache>
                <c:ptCount val="1"/>
                <c:pt idx="0">
                  <c:v>OECD</c:v>
                </c:pt>
              </c:strCache>
            </c:strRef>
          </c:tx>
          <c:spPr>
            <a:ln w="25400">
              <a:solidFill>
                <a:srgbClr val="FF0000"/>
              </a:solidFill>
              <a:prstDash val="solid"/>
            </a:ln>
          </c:spPr>
          <c:marker>
            <c:symbol val="none"/>
          </c:marker>
          <c:xVal>
            <c:numRef>
              <c:f>'VVP2'!$G$348:$AG$348</c:f>
              <c:numCache>
                <c:formatCode>0.0</c:formatCode>
                <c:ptCount val="27"/>
                <c:pt idx="1">
                  <c:v>2.5842575072335894</c:v>
                </c:pt>
                <c:pt idx="2">
                  <c:v>4.528587483935409</c:v>
                </c:pt>
                <c:pt idx="3">
                  <c:v>5.0657326637579603</c:v>
                </c:pt>
                <c:pt idx="4">
                  <c:v>5.4682108787114991</c:v>
                </c:pt>
                <c:pt idx="5">
                  <c:v>6.3846614236626298</c:v>
                </c:pt>
                <c:pt idx="6">
                  <c:v>4.1235495837014691</c:v>
                </c:pt>
                <c:pt idx="7">
                  <c:v>3.7085461393536079</c:v>
                </c:pt>
                <c:pt idx="8">
                  <c:v>4.1532907089817606</c:v>
                </c:pt>
                <c:pt idx="9">
                  <c:v>4.7574232625837265</c:v>
                </c:pt>
                <c:pt idx="10">
                  <c:v>3.6419274584167605</c:v>
                </c:pt>
                <c:pt idx="11">
                  <c:v>6.6015777053014757</c:v>
                </c:pt>
                <c:pt idx="12">
                  <c:v>6.3860651262684476</c:v>
                </c:pt>
                <c:pt idx="13">
                  <c:v>2.7476057889422645</c:v>
                </c:pt>
                <c:pt idx="14">
                  <c:v>-2.9387197675724841</c:v>
                </c:pt>
                <c:pt idx="15">
                  <c:v>7.0417486707964771</c:v>
                </c:pt>
                <c:pt idx="16">
                  <c:v>3.8940367055789515</c:v>
                </c:pt>
                <c:pt idx="17">
                  <c:v>0.76011125791202172</c:v>
                </c:pt>
                <c:pt idx="18">
                  <c:v>2.3060714240210611</c:v>
                </c:pt>
                <c:pt idx="19">
                  <c:v>4.4247138069799297</c:v>
                </c:pt>
                <c:pt idx="20">
                  <c:v>6.6131174787644964</c:v>
                </c:pt>
                <c:pt idx="21" formatCode="0.00">
                  <c:v>4.3782486576955382</c:v>
                </c:pt>
                <c:pt idx="22">
                  <c:v>4.4100360802891814</c:v>
                </c:pt>
                <c:pt idx="23">
                  <c:v>4.8980364670283993</c:v>
                </c:pt>
                <c:pt idx="24">
                  <c:v>3.7812749119215061</c:v>
                </c:pt>
                <c:pt idx="25">
                  <c:v>3.5451641625984909</c:v>
                </c:pt>
              </c:numCache>
            </c:numRef>
          </c:xVal>
          <c:yVal>
            <c:numRef>
              <c:f>Sector1!$G$214:$AG$214</c:f>
              <c:numCache>
                <c:formatCode>0.0</c:formatCode>
                <c:ptCount val="27"/>
                <c:pt idx="1">
                  <c:v>3.411219909548338</c:v>
                </c:pt>
                <c:pt idx="2">
                  <c:v>5.9777354787947399</c:v>
                </c:pt>
                <c:pt idx="3">
                  <c:v>6.6867671161605076</c:v>
                </c:pt>
                <c:pt idx="4">
                  <c:v>7.2180383598991789</c:v>
                </c:pt>
                <c:pt idx="5">
                  <c:v>8.4277530792346713</c:v>
                </c:pt>
                <c:pt idx="6">
                  <c:v>5.4430854504859392</c:v>
                </c:pt>
                <c:pt idx="7">
                  <c:v>4.8952809039467624</c:v>
                </c:pt>
                <c:pt idx="8">
                  <c:v>5.4823437358559239</c:v>
                </c:pt>
                <c:pt idx="9">
                  <c:v>6.279798706610519</c:v>
                </c:pt>
                <c:pt idx="10">
                  <c:v>4.8073442451101238</c:v>
                </c:pt>
                <c:pt idx="11">
                  <c:v>8.7140825709979488</c:v>
                </c:pt>
                <c:pt idx="12">
                  <c:v>8.4296059666743517</c:v>
                </c:pt>
                <c:pt idx="13">
                  <c:v>3.6268396414037891</c:v>
                </c:pt>
                <c:pt idx="14">
                  <c:v>-3.879110093195679</c:v>
                </c:pt>
                <c:pt idx="15">
                  <c:v>9.2951082454513507</c:v>
                </c:pt>
                <c:pt idx="16">
                  <c:v>5.140128451364216</c:v>
                </c:pt>
                <c:pt idx="17">
                  <c:v>1.0033468604438687</c:v>
                </c:pt>
                <c:pt idx="18">
                  <c:v>3.0440142797078007</c:v>
                </c:pt>
                <c:pt idx="19">
                  <c:v>5.8406222252135072</c:v>
                </c:pt>
                <c:pt idx="20">
                  <c:v>8.7293150719691361</c:v>
                </c:pt>
                <c:pt idx="21">
                  <c:v>5.7792882281581104</c:v>
                </c:pt>
                <c:pt idx="22">
                  <c:v>5.8212476259817194</c:v>
                </c:pt>
                <c:pt idx="23">
                  <c:v>6.4654081364774871</c:v>
                </c:pt>
                <c:pt idx="24">
                  <c:v>4.9912828837363881</c:v>
                </c:pt>
                <c:pt idx="25">
                  <c:v>4.679616694630008</c:v>
                </c:pt>
              </c:numCache>
            </c:numRef>
          </c:yVal>
          <c:smooth val="0"/>
          <c:extLst>
            <c:ext xmlns:c16="http://schemas.microsoft.com/office/drawing/2014/chart" uri="{C3380CC4-5D6E-409C-BE32-E72D297353CC}">
              <c16:uniqueId val="{0000000F-41CC-42CF-ABAB-B6C9CBCE0011}"/>
            </c:ext>
          </c:extLst>
        </c:ser>
        <c:dLbls>
          <c:showLegendKey val="0"/>
          <c:showVal val="0"/>
          <c:showCatName val="0"/>
          <c:showSerName val="0"/>
          <c:showPercent val="0"/>
          <c:showBubbleSize val="0"/>
        </c:dLbls>
        <c:axId val="292088064"/>
        <c:axId val="292253696"/>
      </c:scatterChart>
      <c:valAx>
        <c:axId val="292088064"/>
        <c:scaling>
          <c:orientation val="minMax"/>
        </c:scaling>
        <c:delete val="0"/>
        <c:axPos val="b"/>
        <c:majorGridlines>
          <c:spPr>
            <a:ln w="3175">
              <a:solidFill>
                <a:srgbClr val="000000"/>
              </a:solidFill>
              <a:prstDash val="solid"/>
            </a:ln>
          </c:spPr>
        </c:majorGridlines>
        <c:numFmt formatCode="0" sourceLinked="0"/>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92253696"/>
        <c:crosses val="autoZero"/>
        <c:crossBetween val="midCat"/>
      </c:valAx>
      <c:valAx>
        <c:axId val="292253696"/>
        <c:scaling>
          <c:orientation val="minMax"/>
        </c:scaling>
        <c:delete val="0"/>
        <c:axPos val="l"/>
        <c:majorGridlines>
          <c:spPr>
            <a:ln w="3175">
              <a:solidFill>
                <a:srgbClr val="000000"/>
              </a:solidFill>
              <a:prstDash val="solid"/>
            </a:ln>
          </c:spPr>
        </c:majorGridlines>
        <c:numFmt formatCode="0" sourceLinked="0"/>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92088064"/>
        <c:crosses val="autoZero"/>
        <c:crossBetween val="midCat"/>
      </c:valAx>
      <c:spPr>
        <a:noFill/>
        <a:ln w="12700">
          <a:solidFill>
            <a:srgbClr val="808080"/>
          </a:solidFill>
          <a:prstDash val="solid"/>
        </a:ln>
      </c:spPr>
    </c:plotArea>
    <c:legend>
      <c:legendPos val="r"/>
      <c:layout>
        <c:manualLayout>
          <c:xMode val="edge"/>
          <c:yMode val="edge"/>
          <c:x val="0.11607173219098474"/>
          <c:y val="0.7965391116267555"/>
          <c:w val="0.80893068742332452"/>
          <c:h val="0.17965420180712149"/>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t>Corporate income tax related GDP</a:t>
            </a:r>
          </a:p>
        </c:rich>
      </c:tx>
      <c:layout>
        <c:manualLayout>
          <c:xMode val="edge"/>
          <c:yMode val="edge"/>
          <c:x val="0.25223237720284963"/>
          <c:y val="3.3613445378151259E-2"/>
        </c:manualLayout>
      </c:layout>
      <c:overlay val="0"/>
      <c:spPr>
        <a:noFill/>
        <a:ln w="25400">
          <a:noFill/>
        </a:ln>
      </c:spPr>
    </c:title>
    <c:autoTitleDeleted val="0"/>
    <c:plotArea>
      <c:layout>
        <c:manualLayout>
          <c:layoutTarget val="inner"/>
          <c:xMode val="edge"/>
          <c:yMode val="edge"/>
          <c:x val="0.10044653804946686"/>
          <c:y val="0.17647107096647127"/>
          <c:w val="0.85267950077547428"/>
          <c:h val="0.50140193179362469"/>
        </c:manualLayout>
      </c:layout>
      <c:scatterChart>
        <c:scatterStyle val="lineMarker"/>
        <c:varyColors val="0"/>
        <c:ser>
          <c:idx val="0"/>
          <c:order val="0"/>
          <c:tx>
            <c:strRef>
              <c:f>Sector1!$D$208:$E$208</c:f>
              <c:strCache>
                <c:ptCount val="2"/>
                <c:pt idx="0">
                  <c:v>E</c:v>
                </c:pt>
                <c:pt idx="1">
                  <c:v>Current taxes on income and wealth (D.5p)  </c:v>
                </c:pt>
              </c:strCache>
            </c:strRef>
          </c:tx>
          <c:spPr>
            <a:ln w="28575">
              <a:noFill/>
            </a:ln>
          </c:spPr>
          <c:marker>
            <c:symbol val="circle"/>
            <c:size val="7"/>
            <c:spPr>
              <a:solidFill>
                <a:srgbClr val="FFFFFF"/>
              </a:solidFill>
              <a:ln>
                <a:solidFill>
                  <a:srgbClr val="339966"/>
                </a:solidFill>
                <a:prstDash val="solid"/>
              </a:ln>
            </c:spPr>
          </c:marker>
          <c:dLbls>
            <c:dLbl>
              <c:idx val="1"/>
              <c:tx>
                <c:rich>
                  <a:bodyPr/>
                  <a:lstStyle/>
                  <a:p>
                    <a:r>
                      <a:t>1996</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AF8-4373-92BD-5A7713F92684}"/>
                </c:ext>
              </c:extLst>
            </c:dLbl>
            <c:dLbl>
              <c:idx val="2"/>
              <c:tx>
                <c:rich>
                  <a:bodyPr/>
                  <a:lstStyle/>
                  <a:p>
                    <a:r>
                      <a:t>1997</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AF8-4373-92BD-5A7713F92684}"/>
                </c:ext>
              </c:extLst>
            </c:dLbl>
            <c:dLbl>
              <c:idx val="3"/>
              <c:tx>
                <c:rich>
                  <a:bodyPr/>
                  <a:lstStyle/>
                  <a:p>
                    <a:r>
                      <a:t>1998</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AF8-4373-92BD-5A7713F92684}"/>
                </c:ext>
              </c:extLst>
            </c:dLbl>
            <c:dLbl>
              <c:idx val="4"/>
              <c:tx>
                <c:rich>
                  <a:bodyPr/>
                  <a:lstStyle/>
                  <a:p>
                    <a:r>
                      <a:t>1999</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AF8-4373-92BD-5A7713F92684}"/>
                </c:ext>
              </c:extLst>
            </c:dLbl>
            <c:dLbl>
              <c:idx val="5"/>
              <c:tx>
                <c:rich>
                  <a:bodyPr/>
                  <a:lstStyle/>
                  <a:p>
                    <a:r>
                      <a:t>2000</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AF8-4373-92BD-5A7713F92684}"/>
                </c:ext>
              </c:extLst>
            </c:dLbl>
            <c:dLbl>
              <c:idx val="6"/>
              <c:tx>
                <c:rich>
                  <a:bodyPr/>
                  <a:lstStyle/>
                  <a:p>
                    <a:r>
                      <a:t>2001</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DAF8-4373-92BD-5A7713F92684}"/>
                </c:ext>
              </c:extLst>
            </c:dLbl>
            <c:dLbl>
              <c:idx val="7"/>
              <c:tx>
                <c:rich>
                  <a:bodyPr/>
                  <a:lstStyle/>
                  <a:p>
                    <a:r>
                      <a:t>2002</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DAF8-4373-92BD-5A7713F92684}"/>
                </c:ext>
              </c:extLst>
            </c:dLbl>
            <c:dLbl>
              <c:idx val="8"/>
              <c:tx>
                <c:rich>
                  <a:bodyPr/>
                  <a:lstStyle/>
                  <a:p>
                    <a:r>
                      <a:t>2003</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DAF8-4373-92BD-5A7713F92684}"/>
                </c:ext>
              </c:extLst>
            </c:dLbl>
            <c:dLbl>
              <c:idx val="9"/>
              <c:tx>
                <c:rich>
                  <a:bodyPr/>
                  <a:lstStyle/>
                  <a:p>
                    <a:r>
                      <a:t>2004</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DAF8-4373-92BD-5A7713F92684}"/>
                </c:ext>
              </c:extLst>
            </c:dLbl>
            <c:dLbl>
              <c:idx val="10"/>
              <c:tx>
                <c:rich>
                  <a:bodyPr/>
                  <a:lstStyle/>
                  <a:p>
                    <a:r>
                      <a:t>2005</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DAF8-4373-92BD-5A7713F92684}"/>
                </c:ext>
              </c:extLst>
            </c:dLbl>
            <c:dLbl>
              <c:idx val="11"/>
              <c:tx>
                <c:rich>
                  <a:bodyPr/>
                  <a:lstStyle/>
                  <a:p>
                    <a:r>
                      <a:t>2006</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DAF8-4373-92BD-5A7713F92684}"/>
                </c:ext>
              </c:extLst>
            </c:dLbl>
            <c:dLbl>
              <c:idx val="12"/>
              <c:tx>
                <c:rich>
                  <a:bodyPr/>
                  <a:lstStyle/>
                  <a:p>
                    <a:r>
                      <a:t>2007</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DAF8-4373-92BD-5A7713F92684}"/>
                </c:ext>
              </c:extLst>
            </c:dLbl>
            <c:dLbl>
              <c:idx val="13"/>
              <c:tx>
                <c:rich>
                  <a:bodyPr/>
                  <a:lstStyle/>
                  <a:p>
                    <a:r>
                      <a:t>2008</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DAF8-4373-92BD-5A7713F92684}"/>
                </c:ext>
              </c:extLst>
            </c:dLbl>
            <c:dLbl>
              <c:idx val="14"/>
              <c:tx>
                <c:rich>
                  <a:bodyPr/>
                  <a:lstStyle/>
                  <a:p>
                    <a:r>
                      <a:t>2009</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DAF8-4373-92BD-5A7713F92684}"/>
                </c:ext>
              </c:extLst>
            </c:dLbl>
            <c:spPr>
              <a:noFill/>
              <a:ln w="25400">
                <a:noFill/>
              </a:ln>
            </c:spPr>
            <c:txPr>
              <a:bodyPr/>
              <a:lstStyle/>
              <a:p>
                <a:pPr>
                  <a:defRPr sz="800"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25400">
                <a:solidFill>
                  <a:srgbClr val="339966"/>
                </a:solidFill>
                <a:prstDash val="solid"/>
              </a:ln>
            </c:spPr>
            <c:trendlineType val="linear"/>
            <c:dispRSqr val="0"/>
            <c:dispEq val="0"/>
          </c:trendline>
          <c:xVal>
            <c:numRef>
              <c:f>'VVP2'!$G$348:$AG$348</c:f>
              <c:numCache>
                <c:formatCode>0.0</c:formatCode>
                <c:ptCount val="27"/>
                <c:pt idx="1">
                  <c:v>2.5842575072335894</c:v>
                </c:pt>
                <c:pt idx="2">
                  <c:v>4.528587483935409</c:v>
                </c:pt>
                <c:pt idx="3">
                  <c:v>5.0657326637579603</c:v>
                </c:pt>
                <c:pt idx="4">
                  <c:v>5.4682108787114991</c:v>
                </c:pt>
                <c:pt idx="5">
                  <c:v>6.3846614236626298</c:v>
                </c:pt>
                <c:pt idx="6">
                  <c:v>4.1235495837014691</c:v>
                </c:pt>
                <c:pt idx="7">
                  <c:v>3.7085461393536079</c:v>
                </c:pt>
                <c:pt idx="8">
                  <c:v>4.1532907089817606</c:v>
                </c:pt>
                <c:pt idx="9">
                  <c:v>4.7574232625837265</c:v>
                </c:pt>
                <c:pt idx="10">
                  <c:v>3.6419274584167605</c:v>
                </c:pt>
                <c:pt idx="11">
                  <c:v>6.6015777053014757</c:v>
                </c:pt>
                <c:pt idx="12">
                  <c:v>6.3860651262684476</c:v>
                </c:pt>
                <c:pt idx="13">
                  <c:v>2.7476057889422645</c:v>
                </c:pt>
                <c:pt idx="14">
                  <c:v>-2.9387197675724841</c:v>
                </c:pt>
                <c:pt idx="15">
                  <c:v>7.0417486707964771</c:v>
                </c:pt>
                <c:pt idx="16">
                  <c:v>3.8940367055789515</c:v>
                </c:pt>
                <c:pt idx="17">
                  <c:v>0.76011125791202172</c:v>
                </c:pt>
                <c:pt idx="18">
                  <c:v>2.3060714240210611</c:v>
                </c:pt>
                <c:pt idx="19">
                  <c:v>4.4247138069799297</c:v>
                </c:pt>
                <c:pt idx="20">
                  <c:v>6.6131174787644964</c:v>
                </c:pt>
                <c:pt idx="21" formatCode="0.00">
                  <c:v>4.3782486576955382</c:v>
                </c:pt>
                <c:pt idx="22">
                  <c:v>4.4100360802891814</c:v>
                </c:pt>
                <c:pt idx="23">
                  <c:v>4.8980364670283993</c:v>
                </c:pt>
                <c:pt idx="24">
                  <c:v>3.7812749119215061</c:v>
                </c:pt>
                <c:pt idx="25">
                  <c:v>3.5451641625984909</c:v>
                </c:pt>
              </c:numCache>
            </c:numRef>
          </c:xVal>
          <c:yVal>
            <c:numRef>
              <c:f>Sector1!$G$208:$AI$208</c:f>
              <c:numCache>
                <c:formatCode>0.0</c:formatCode>
                <c:ptCount val="29"/>
                <c:pt idx="1">
                  <c:v>-0.62599835945257309</c:v>
                </c:pt>
                <c:pt idx="2">
                  <c:v>16.29594230602136</c:v>
                </c:pt>
                <c:pt idx="3">
                  <c:v>-7.4750644402106881</c:v>
                </c:pt>
                <c:pt idx="4">
                  <c:v>26.136547157622726</c:v>
                </c:pt>
                <c:pt idx="5">
                  <c:v>31.203687402973614</c:v>
                </c:pt>
                <c:pt idx="6">
                  <c:v>-28.281288119053428</c:v>
                </c:pt>
                <c:pt idx="7">
                  <c:v>-19.792499362190664</c:v>
                </c:pt>
                <c:pt idx="8">
                  <c:v>16.656770855422188</c:v>
                </c:pt>
                <c:pt idx="9">
                  <c:v>41.988257320996844</c:v>
                </c:pt>
                <c:pt idx="10">
                  <c:v>26.744930356411324</c:v>
                </c:pt>
                <c:pt idx="11">
                  <c:v>8.1674292698201043</c:v>
                </c:pt>
                <c:pt idx="12">
                  <c:v>9.4267385072229537</c:v>
                </c:pt>
                <c:pt idx="13">
                  <c:v>-23.306936100491537</c:v>
                </c:pt>
                <c:pt idx="14">
                  <c:v>2.8930033825891321E-2</c:v>
                </c:pt>
                <c:pt idx="15">
                  <c:v>25.810362855680879</c:v>
                </c:pt>
                <c:pt idx="16">
                  <c:v>-3.1211041458519384</c:v>
                </c:pt>
                <c:pt idx="17">
                  <c:v>-14.661726186673473</c:v>
                </c:pt>
                <c:pt idx="18">
                  <c:v>6.8637306696896605</c:v>
                </c:pt>
                <c:pt idx="19">
                  <c:v>2.1996717505303964</c:v>
                </c:pt>
                <c:pt idx="20">
                  <c:v>19.48453810148645</c:v>
                </c:pt>
                <c:pt idx="21">
                  <c:v>1.267005408949351</c:v>
                </c:pt>
                <c:pt idx="22">
                  <c:v>7.0844730751177476</c:v>
                </c:pt>
                <c:pt idx="23">
                  <c:v>5</c:v>
                </c:pt>
                <c:pt idx="24">
                  <c:v>2.6</c:v>
                </c:pt>
                <c:pt idx="25">
                  <c:v>2.6</c:v>
                </c:pt>
                <c:pt idx="26" formatCode="0.00">
                  <c:v>0</c:v>
                </c:pt>
                <c:pt idx="27">
                  <c:v>4.9000000000000004</c:v>
                </c:pt>
                <c:pt idx="28">
                  <c:v>2.9230237102800856</c:v>
                </c:pt>
              </c:numCache>
            </c:numRef>
          </c:yVal>
          <c:smooth val="0"/>
          <c:extLst>
            <c:ext xmlns:c16="http://schemas.microsoft.com/office/drawing/2014/chart" uri="{C3380CC4-5D6E-409C-BE32-E72D297353CC}">
              <c16:uniqueId val="{0000000E-DAF8-4373-92BD-5A7713F92684}"/>
            </c:ext>
          </c:extLst>
        </c:ser>
        <c:ser>
          <c:idx val="1"/>
          <c:order val="1"/>
          <c:tx>
            <c:strRef>
              <c:f>Sector1!$F$215</c:f>
              <c:strCache>
                <c:ptCount val="1"/>
                <c:pt idx="0">
                  <c:v>OECD</c:v>
                </c:pt>
              </c:strCache>
            </c:strRef>
          </c:tx>
          <c:spPr>
            <a:ln w="25400">
              <a:solidFill>
                <a:srgbClr val="FF0000"/>
              </a:solidFill>
              <a:prstDash val="solid"/>
            </a:ln>
          </c:spPr>
          <c:marker>
            <c:symbol val="none"/>
          </c:marker>
          <c:xVal>
            <c:numRef>
              <c:f>'VVP2'!$G$348:$AG$348</c:f>
              <c:numCache>
                <c:formatCode>0.0</c:formatCode>
                <c:ptCount val="27"/>
                <c:pt idx="1">
                  <c:v>2.5842575072335894</c:v>
                </c:pt>
                <c:pt idx="2">
                  <c:v>4.528587483935409</c:v>
                </c:pt>
                <c:pt idx="3">
                  <c:v>5.0657326637579603</c:v>
                </c:pt>
                <c:pt idx="4">
                  <c:v>5.4682108787114991</c:v>
                </c:pt>
                <c:pt idx="5">
                  <c:v>6.3846614236626298</c:v>
                </c:pt>
                <c:pt idx="6">
                  <c:v>4.1235495837014691</c:v>
                </c:pt>
                <c:pt idx="7">
                  <c:v>3.7085461393536079</c:v>
                </c:pt>
                <c:pt idx="8">
                  <c:v>4.1532907089817606</c:v>
                </c:pt>
                <c:pt idx="9">
                  <c:v>4.7574232625837265</c:v>
                </c:pt>
                <c:pt idx="10">
                  <c:v>3.6419274584167605</c:v>
                </c:pt>
                <c:pt idx="11">
                  <c:v>6.6015777053014757</c:v>
                </c:pt>
                <c:pt idx="12">
                  <c:v>6.3860651262684476</c:v>
                </c:pt>
                <c:pt idx="13">
                  <c:v>2.7476057889422645</c:v>
                </c:pt>
                <c:pt idx="14">
                  <c:v>-2.9387197675724841</c:v>
                </c:pt>
                <c:pt idx="15">
                  <c:v>7.0417486707964771</c:v>
                </c:pt>
                <c:pt idx="16">
                  <c:v>3.8940367055789515</c:v>
                </c:pt>
                <c:pt idx="17">
                  <c:v>0.76011125791202172</c:v>
                </c:pt>
                <c:pt idx="18">
                  <c:v>2.3060714240210611</c:v>
                </c:pt>
                <c:pt idx="19">
                  <c:v>4.4247138069799297</c:v>
                </c:pt>
                <c:pt idx="20">
                  <c:v>6.6131174787644964</c:v>
                </c:pt>
                <c:pt idx="21" formatCode="0.00">
                  <c:v>4.3782486576955382</c:v>
                </c:pt>
                <c:pt idx="22">
                  <c:v>4.4100360802891814</c:v>
                </c:pt>
                <c:pt idx="23">
                  <c:v>4.8980364670283993</c:v>
                </c:pt>
                <c:pt idx="24">
                  <c:v>3.7812749119215061</c:v>
                </c:pt>
                <c:pt idx="25">
                  <c:v>3.5451641625984909</c:v>
                </c:pt>
              </c:numCache>
            </c:numRef>
          </c:xVal>
          <c:yVal>
            <c:numRef>
              <c:f>Sector1!$G$215:$AG$215</c:f>
              <c:numCache>
                <c:formatCode>0.0</c:formatCode>
                <c:ptCount val="27"/>
                <c:pt idx="1">
                  <c:v>4.0314417112843994</c:v>
                </c:pt>
                <c:pt idx="2">
                  <c:v>7.064596474939238</c:v>
                </c:pt>
                <c:pt idx="3">
                  <c:v>7.902542955462418</c:v>
                </c:pt>
                <c:pt idx="4">
                  <c:v>8.5304089707899386</c:v>
                </c:pt>
                <c:pt idx="5">
                  <c:v>9.9600718209137025</c:v>
                </c:pt>
                <c:pt idx="6">
                  <c:v>6.4327373505742917</c:v>
                </c:pt>
                <c:pt idx="7">
                  <c:v>5.7853319773916283</c:v>
                </c:pt>
                <c:pt idx="8">
                  <c:v>6.4791335060115465</c:v>
                </c:pt>
                <c:pt idx="9">
                  <c:v>7.4215802896306133</c:v>
                </c:pt>
                <c:pt idx="10">
                  <c:v>5.6814068351301463</c:v>
                </c:pt>
                <c:pt idx="11">
                  <c:v>10.298461220270303</c:v>
                </c:pt>
                <c:pt idx="12">
                  <c:v>9.9622615969787791</c:v>
                </c:pt>
                <c:pt idx="13">
                  <c:v>4.2862650307499326</c:v>
                </c:pt>
                <c:pt idx="14">
                  <c:v>-4.5844028374130756</c:v>
                </c:pt>
                <c:pt idx="15">
                  <c:v>10.985127926442505</c:v>
                </c:pt>
                <c:pt idx="16">
                  <c:v>6.0746972607031644</c:v>
                </c:pt>
                <c:pt idx="17">
                  <c:v>1.1857735623427539</c:v>
                </c:pt>
                <c:pt idx="18">
                  <c:v>3.5974714214728554</c:v>
                </c:pt>
                <c:pt idx="19">
                  <c:v>6.9025535388886903</c:v>
                </c:pt>
                <c:pt idx="20">
                  <c:v>10.316463266872615</c:v>
                </c:pt>
                <c:pt idx="21">
                  <c:v>6.8300679060050395</c:v>
                </c:pt>
                <c:pt idx="22">
                  <c:v>6.8796562852511229</c:v>
                </c:pt>
                <c:pt idx="23">
                  <c:v>7.640936888564303</c:v>
                </c:pt>
                <c:pt idx="24">
                  <c:v>5.8987888625975495</c:v>
                </c:pt>
                <c:pt idx="25">
                  <c:v>5.5304560936536458</c:v>
                </c:pt>
              </c:numCache>
            </c:numRef>
          </c:yVal>
          <c:smooth val="0"/>
          <c:extLst>
            <c:ext xmlns:c16="http://schemas.microsoft.com/office/drawing/2014/chart" uri="{C3380CC4-5D6E-409C-BE32-E72D297353CC}">
              <c16:uniqueId val="{0000000F-DAF8-4373-92BD-5A7713F92684}"/>
            </c:ext>
          </c:extLst>
        </c:ser>
        <c:dLbls>
          <c:showLegendKey val="0"/>
          <c:showVal val="0"/>
          <c:showCatName val="0"/>
          <c:showSerName val="0"/>
          <c:showPercent val="0"/>
          <c:showBubbleSize val="0"/>
        </c:dLbls>
        <c:axId val="292288384"/>
        <c:axId val="292289920"/>
      </c:scatterChart>
      <c:valAx>
        <c:axId val="292288384"/>
        <c:scaling>
          <c:orientation val="minMax"/>
        </c:scaling>
        <c:delete val="0"/>
        <c:axPos val="b"/>
        <c:majorGridlines>
          <c:spPr>
            <a:ln w="3175">
              <a:solidFill>
                <a:srgbClr val="000000"/>
              </a:solidFill>
              <a:prstDash val="solid"/>
            </a:ln>
          </c:spPr>
        </c:majorGridlines>
        <c:numFmt formatCode="0" sourceLinked="0"/>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92289920"/>
        <c:crosses val="autoZero"/>
        <c:crossBetween val="midCat"/>
      </c:valAx>
      <c:valAx>
        <c:axId val="292289920"/>
        <c:scaling>
          <c:orientation val="minMax"/>
        </c:scaling>
        <c:delete val="0"/>
        <c:axPos val="l"/>
        <c:majorGridlines>
          <c:spPr>
            <a:ln w="3175">
              <a:solidFill>
                <a:srgbClr val="000000"/>
              </a:solidFill>
              <a:prstDash val="solid"/>
            </a:ln>
          </c:spPr>
        </c:majorGridlines>
        <c:numFmt formatCode="0" sourceLinked="0"/>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92288384"/>
        <c:crosses val="autoZero"/>
        <c:crossBetween val="midCat"/>
      </c:valAx>
      <c:spPr>
        <a:noFill/>
        <a:ln w="12700">
          <a:solidFill>
            <a:srgbClr val="808080"/>
          </a:solidFill>
          <a:prstDash val="solid"/>
        </a:ln>
      </c:spPr>
    </c:plotArea>
    <c:legend>
      <c:legendPos val="r"/>
      <c:layout>
        <c:manualLayout>
          <c:xMode val="edge"/>
          <c:yMode val="edge"/>
          <c:x val="0.12142888906133788"/>
          <c:y val="0.79870362008226292"/>
          <c:w val="0.79107349785548065"/>
          <c:h val="0.17965420180712149"/>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t>GVT current resources and expenditure as % of GDP</a:t>
            </a:r>
          </a:p>
        </c:rich>
      </c:tx>
      <c:layout>
        <c:manualLayout>
          <c:xMode val="edge"/>
          <c:yMode val="edge"/>
          <c:x val="0.12723237720284963"/>
          <c:y val="3.3613445378151259E-2"/>
        </c:manualLayout>
      </c:layout>
      <c:overlay val="0"/>
      <c:spPr>
        <a:noFill/>
        <a:ln w="25400">
          <a:noFill/>
        </a:ln>
      </c:spPr>
    </c:title>
    <c:autoTitleDeleted val="0"/>
    <c:plotArea>
      <c:layout>
        <c:manualLayout>
          <c:layoutTarget val="inner"/>
          <c:xMode val="edge"/>
          <c:yMode val="edge"/>
          <c:x val="0.13839300797926546"/>
          <c:y val="0.17366994285589235"/>
          <c:w val="0.79464372323578236"/>
          <c:h val="0.58263464700041301"/>
        </c:manualLayout>
      </c:layout>
      <c:lineChart>
        <c:grouping val="standard"/>
        <c:varyColors val="0"/>
        <c:ser>
          <c:idx val="0"/>
          <c:order val="0"/>
          <c:tx>
            <c:strRef>
              <c:f>Sector1!$E$629</c:f>
              <c:strCache>
                <c:ptCount val="1"/>
                <c:pt idx="0">
                  <c:v>Total current revenue</c:v>
                </c:pt>
              </c:strCache>
            </c:strRef>
          </c:tx>
          <c:spPr>
            <a:ln w="25400">
              <a:solidFill>
                <a:srgbClr val="FF0000"/>
              </a:solidFill>
              <a:prstDash val="solid"/>
            </a:ln>
          </c:spPr>
          <c:marker>
            <c:symbol val="circle"/>
            <c:size val="7"/>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Sector1!$G$640:$AJ$640</c:f>
              <c:numCache>
                <c:formatCode>0.0%</c:formatCode>
                <c:ptCount val="30"/>
                <c:pt idx="0">
                  <c:v>0.56218817085691497</c:v>
                </c:pt>
                <c:pt idx="1">
                  <c:v>0.58074998785139198</c:v>
                </c:pt>
                <c:pt idx="2">
                  <c:v>0.57401267471752915</c:v>
                </c:pt>
                <c:pt idx="3">
                  <c:v>0.57532599700810494</c:v>
                </c:pt>
                <c:pt idx="4">
                  <c:v>0.56795605409866146</c:v>
                </c:pt>
                <c:pt idx="5">
                  <c:v>0.56296667346303497</c:v>
                </c:pt>
                <c:pt idx="6">
                  <c:v>0.53904402888735947</c:v>
                </c:pt>
                <c:pt idx="7">
                  <c:v>0.52180279483861247</c:v>
                </c:pt>
                <c:pt idx="8">
                  <c:v>0.52510740011705193</c:v>
                </c:pt>
                <c:pt idx="9">
                  <c:v>0.52541426568765248</c:v>
                </c:pt>
                <c:pt idx="10">
                  <c:v>0.53922292465376687</c:v>
                </c:pt>
                <c:pt idx="11">
                  <c:v>0.53056012664551189</c:v>
                </c:pt>
                <c:pt idx="12">
                  <c:v>0.52525202341241983</c:v>
                </c:pt>
                <c:pt idx="13">
                  <c:v>0.51820380513379649</c:v>
                </c:pt>
                <c:pt idx="14">
                  <c:v>0.51884305298071776</c:v>
                </c:pt>
                <c:pt idx="15">
                  <c:v>0.50636439277330525</c:v>
                </c:pt>
                <c:pt idx="16">
                  <c:v>0.49947351069080587</c:v>
                </c:pt>
                <c:pt idx="17">
                  <c:v>0.49960326614836897</c:v>
                </c:pt>
                <c:pt idx="18">
                  <c:v>0.50224420691484428</c:v>
                </c:pt>
                <c:pt idx="19">
                  <c:v>0.49389090124780349</c:v>
                </c:pt>
                <c:pt idx="20">
                  <c:v>0.49531779158275907</c:v>
                </c:pt>
                <c:pt idx="21">
                  <c:v>0.50641717460985602</c:v>
                </c:pt>
                <c:pt idx="22">
                  <c:v>0.5069332169152454</c:v>
                </c:pt>
                <c:pt idx="23" formatCode="0.00%">
                  <c:v>0.50052242092329824</c:v>
                </c:pt>
                <c:pt idx="24" formatCode="0.00%">
                  <c:v>0.49761286913054154</c:v>
                </c:pt>
                <c:pt idx="25" formatCode="0.00%">
                  <c:v>0.49525987277949579</c:v>
                </c:pt>
              </c:numCache>
            </c:numRef>
          </c:val>
          <c:smooth val="0"/>
          <c:extLst>
            <c:ext xmlns:c16="http://schemas.microsoft.com/office/drawing/2014/chart" uri="{C3380CC4-5D6E-409C-BE32-E72D297353CC}">
              <c16:uniqueId val="{00000000-7298-412F-B49F-CD8D72A34A13}"/>
            </c:ext>
          </c:extLst>
        </c:ser>
        <c:ser>
          <c:idx val="1"/>
          <c:order val="1"/>
          <c:tx>
            <c:strRef>
              <c:f>Sector1!$E$661</c:f>
              <c:strCache>
                <c:ptCount val="1"/>
                <c:pt idx="0">
                  <c:v>Total current expenditure</c:v>
                </c:pt>
              </c:strCache>
            </c:strRef>
          </c:tx>
          <c:spPr>
            <a:ln w="25400">
              <a:solidFill>
                <a:srgbClr val="0000FF"/>
              </a:solidFill>
              <a:prstDash val="solid"/>
            </a:ln>
          </c:spPr>
          <c:marker>
            <c:symbol val="circle"/>
            <c:size val="7"/>
            <c:spPr>
              <a:solidFill>
                <a:srgbClr val="FFFFFF"/>
              </a:solidFill>
              <a:ln>
                <a:solidFill>
                  <a:srgbClr val="0000FF"/>
                </a:solidFill>
                <a:prstDash val="solid"/>
              </a:ln>
            </c:spPr>
          </c:marker>
          <c:val>
            <c:numRef>
              <c:f>Sector1!$G$675:$AJ$675</c:f>
              <c:numCache>
                <c:formatCode>0.0%</c:formatCode>
                <c:ptCount val="30"/>
                <c:pt idx="0">
                  <c:v>0.57777750672447881</c:v>
                </c:pt>
                <c:pt idx="1">
                  <c:v>0.56369075744244412</c:v>
                </c:pt>
                <c:pt idx="2">
                  <c:v>0.54240797872182589</c:v>
                </c:pt>
                <c:pt idx="3">
                  <c:v>0.53117436120967465</c:v>
                </c:pt>
                <c:pt idx="4">
                  <c:v>0.51629248411009154</c:v>
                </c:pt>
                <c:pt idx="5">
                  <c:v>0.49260957885171575</c:v>
                </c:pt>
                <c:pt idx="6">
                  <c:v>0.48411227454917904</c:v>
                </c:pt>
                <c:pt idx="7">
                  <c:v>0.49287187558154583</c:v>
                </c:pt>
                <c:pt idx="8">
                  <c:v>0.49563293611049875</c:v>
                </c:pt>
                <c:pt idx="9">
                  <c:v>0.4817766538491805</c:v>
                </c:pt>
                <c:pt idx="10">
                  <c:v>0.47958468854217373</c:v>
                </c:pt>
                <c:pt idx="11">
                  <c:v>0.46782941014569263</c:v>
                </c:pt>
                <c:pt idx="12">
                  <c:v>0.45082510270425502</c:v>
                </c:pt>
                <c:pt idx="13">
                  <c:v>0.45652465547320037</c:v>
                </c:pt>
                <c:pt idx="14">
                  <c:v>0.48136624170833064</c:v>
                </c:pt>
                <c:pt idx="15">
                  <c:v>0.4619410617556382</c:v>
                </c:pt>
                <c:pt idx="16">
                  <c:v>0.4555360316718487</c:v>
                </c:pt>
                <c:pt idx="17">
                  <c:v>0.46537843150383951</c:v>
                </c:pt>
                <c:pt idx="18">
                  <c:v>0.47286376382872114</c:v>
                </c:pt>
                <c:pt idx="19">
                  <c:v>0.46463507932782272</c:v>
                </c:pt>
                <c:pt idx="20">
                  <c:v>0.4509621822268628</c:v>
                </c:pt>
                <c:pt idx="21">
                  <c:v>0.45069281771256486</c:v>
                </c:pt>
                <c:pt idx="22">
                  <c:v>0.44617952918376225</c:v>
                </c:pt>
                <c:pt idx="23" formatCode="0.00%">
                  <c:v>0.44282272086436181</c:v>
                </c:pt>
                <c:pt idx="24" formatCode="0.00%">
                  <c:v>0.43924021482292225</c:v>
                </c:pt>
                <c:pt idx="25" formatCode="0.00%">
                  <c:v>0.43788745044547195</c:v>
                </c:pt>
              </c:numCache>
            </c:numRef>
          </c:val>
          <c:smooth val="0"/>
          <c:extLst>
            <c:ext xmlns:c16="http://schemas.microsoft.com/office/drawing/2014/chart" uri="{C3380CC4-5D6E-409C-BE32-E72D297353CC}">
              <c16:uniqueId val="{00000001-7298-412F-B49F-CD8D72A34A13}"/>
            </c:ext>
          </c:extLst>
        </c:ser>
        <c:dLbls>
          <c:showLegendKey val="0"/>
          <c:showVal val="0"/>
          <c:showCatName val="0"/>
          <c:showSerName val="0"/>
          <c:showPercent val="0"/>
          <c:showBubbleSize val="0"/>
        </c:dLbls>
        <c:marker val="1"/>
        <c:smooth val="0"/>
        <c:axId val="292413440"/>
        <c:axId val="292415360"/>
      </c:lineChart>
      <c:catAx>
        <c:axId val="292413440"/>
        <c:scaling>
          <c:orientation val="minMax"/>
        </c:scaling>
        <c:delete val="0"/>
        <c:axPos val="b"/>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fr-FR"/>
          </a:p>
        </c:txPr>
        <c:crossAx val="292415360"/>
        <c:crosses val="autoZero"/>
        <c:auto val="1"/>
        <c:lblAlgn val="ctr"/>
        <c:lblOffset val="100"/>
        <c:tickLblSkip val="2"/>
        <c:tickMarkSkip val="1"/>
        <c:noMultiLvlLbl val="0"/>
      </c:catAx>
      <c:valAx>
        <c:axId val="292415360"/>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fr-FR"/>
          </a:p>
        </c:txPr>
        <c:crossAx val="292413440"/>
        <c:crosses val="autoZero"/>
        <c:crossBetween val="midCat"/>
      </c:valAx>
      <c:spPr>
        <a:noFill/>
        <a:ln w="12700">
          <a:solidFill>
            <a:srgbClr val="808080"/>
          </a:solidFill>
          <a:prstDash val="solid"/>
        </a:ln>
      </c:spPr>
    </c:plotArea>
    <c:legend>
      <c:legendPos val="r"/>
      <c:layout>
        <c:manualLayout>
          <c:xMode val="edge"/>
          <c:yMode val="edge"/>
          <c:x val="9.1071666796003412E-2"/>
          <c:y val="0.8636388737474876"/>
          <c:w val="0.83571647177509023"/>
          <c:h val="0.11688345659740434"/>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t>GVT capital transfers and expenditure as % of GDP</a:t>
            </a:r>
          </a:p>
        </c:rich>
      </c:tx>
      <c:layout>
        <c:manualLayout>
          <c:xMode val="edge"/>
          <c:yMode val="edge"/>
          <c:x val="0.13839309148856391"/>
          <c:y val="3.3613445378151259E-2"/>
        </c:manualLayout>
      </c:layout>
      <c:overlay val="0"/>
      <c:spPr>
        <a:noFill/>
        <a:ln w="25400">
          <a:noFill/>
        </a:ln>
      </c:spPr>
    </c:title>
    <c:autoTitleDeleted val="0"/>
    <c:plotArea>
      <c:layout>
        <c:manualLayout>
          <c:layoutTarget val="inner"/>
          <c:xMode val="edge"/>
          <c:yMode val="edge"/>
          <c:x val="0.1272322815293247"/>
          <c:y val="0.17086881474531346"/>
          <c:w val="0.80580444968572307"/>
          <c:h val="0.62745269676967563"/>
        </c:manualLayout>
      </c:layout>
      <c:lineChart>
        <c:grouping val="standard"/>
        <c:varyColors val="0"/>
        <c:ser>
          <c:idx val="0"/>
          <c:order val="0"/>
          <c:tx>
            <c:strRef>
              <c:f>Sector1!$E$506</c:f>
              <c:strCache>
                <c:ptCount val="1"/>
                <c:pt idx="0">
                  <c:v>Capital transfers (D.9r)</c:v>
                </c:pt>
              </c:strCache>
            </c:strRef>
          </c:tx>
          <c:spPr>
            <a:ln w="25400">
              <a:solidFill>
                <a:srgbClr val="FF0000"/>
              </a:solidFill>
              <a:prstDash val="solid"/>
            </a:ln>
          </c:spPr>
          <c:marker>
            <c:symbol val="circle"/>
            <c:size val="7"/>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Sector1!$G$506:$AJ$506</c:f>
              <c:numCache>
                <c:formatCode>0.0%</c:formatCode>
                <c:ptCount val="30"/>
                <c:pt idx="0">
                  <c:v>2.4002358870796672E-3</c:v>
                </c:pt>
                <c:pt idx="1">
                  <c:v>2.1438415862876856E-3</c:v>
                </c:pt>
                <c:pt idx="2">
                  <c:v>2.2418641548028711E-3</c:v>
                </c:pt>
                <c:pt idx="3">
                  <c:v>2.3479504388520841E-3</c:v>
                </c:pt>
                <c:pt idx="4">
                  <c:v>2.0677746272940003E-3</c:v>
                </c:pt>
                <c:pt idx="5">
                  <c:v>2.0804438280166431E-3</c:v>
                </c:pt>
                <c:pt idx="6">
                  <c:v>2.121747875431723E-3</c:v>
                </c:pt>
                <c:pt idx="7">
                  <c:v>2.2234231392186123E-3</c:v>
                </c:pt>
                <c:pt idx="8">
                  <c:v>1.9646658557337694E-3</c:v>
                </c:pt>
                <c:pt idx="9">
                  <c:v>1.9334831931172272E-3</c:v>
                </c:pt>
                <c:pt idx="10">
                  <c:v>2.2180361104249418E-3</c:v>
                </c:pt>
                <c:pt idx="11">
                  <c:v>1.2768971849605878E-3</c:v>
                </c:pt>
                <c:pt idx="12">
                  <c:v>1.0736195854386405E-3</c:v>
                </c:pt>
                <c:pt idx="13">
                  <c:v>9.1459072949372298E-4</c:v>
                </c:pt>
                <c:pt idx="14">
                  <c:v>1.008806476531504E-3</c:v>
                </c:pt>
                <c:pt idx="15">
                  <c:v>8.9505037709034277E-4</c:v>
                </c:pt>
                <c:pt idx="16">
                  <c:v>1.0289417523913268E-3</c:v>
                </c:pt>
                <c:pt idx="17">
                  <c:v>3.7857111295027663E-3</c:v>
                </c:pt>
                <c:pt idx="18">
                  <c:v>3.6036618503902688E-3</c:v>
                </c:pt>
                <c:pt idx="19">
                  <c:v>1.3545043359109853E-3</c:v>
                </c:pt>
                <c:pt idx="20">
                  <c:v>2.6271300805442194E-3</c:v>
                </c:pt>
                <c:pt idx="21">
                  <c:v>1.5694914396247449E-3</c:v>
                </c:pt>
                <c:pt idx="22">
                  <c:v>1.6386035158233452E-3</c:v>
                </c:pt>
                <c:pt idx="23">
                  <c:v>1.2699932479316902E-3</c:v>
                </c:pt>
                <c:pt idx="24">
                  <c:v>1.2481954128909245E-3</c:v>
                </c:pt>
                <c:pt idx="25">
                  <c:v>1.2235417794063542E-3</c:v>
                </c:pt>
              </c:numCache>
            </c:numRef>
          </c:val>
          <c:smooth val="0"/>
          <c:extLst>
            <c:ext xmlns:c16="http://schemas.microsoft.com/office/drawing/2014/chart" uri="{C3380CC4-5D6E-409C-BE32-E72D297353CC}">
              <c16:uniqueId val="{00000000-7133-4713-BF91-3AECA5DD4C5B}"/>
            </c:ext>
          </c:extLst>
        </c:ser>
        <c:ser>
          <c:idx val="1"/>
          <c:order val="1"/>
          <c:tx>
            <c:strRef>
              <c:f>Sector1!$E$764</c:f>
              <c:strCache>
                <c:ptCount val="1"/>
                <c:pt idx="0">
                  <c:v>Capital expenditure</c:v>
                </c:pt>
              </c:strCache>
            </c:strRef>
          </c:tx>
          <c:spPr>
            <a:ln w="25400">
              <a:solidFill>
                <a:srgbClr val="0000FF"/>
              </a:solidFill>
              <a:prstDash val="solid"/>
            </a:ln>
          </c:spPr>
          <c:marker>
            <c:symbol val="circle"/>
            <c:size val="7"/>
            <c:spPr>
              <a:solidFill>
                <a:srgbClr val="FFFFFF"/>
              </a:solidFill>
              <a:ln>
                <a:solidFill>
                  <a:srgbClr val="0000FF"/>
                </a:solidFill>
                <a:prstDash val="solid"/>
              </a:ln>
            </c:spPr>
          </c:marker>
          <c:val>
            <c:numRef>
              <c:f>Sector1!$G$765:$AJ$765</c:f>
              <c:numCache>
                <c:formatCode>0.0%</c:formatCode>
                <c:ptCount val="30"/>
                <c:pt idx="0">
                  <c:v>5.7017004234088238E-2</c:v>
                </c:pt>
                <c:pt idx="1">
                  <c:v>5.0276626388430806E-2</c:v>
                </c:pt>
                <c:pt idx="2">
                  <c:v>4.9570766843160502E-2</c:v>
                </c:pt>
                <c:pt idx="3">
                  <c:v>3.8124539282980749E-2</c:v>
                </c:pt>
                <c:pt idx="4">
                  <c:v>4.615605026035751E-2</c:v>
                </c:pt>
                <c:pt idx="5">
                  <c:v>4.0231982701984283E-2</c:v>
                </c:pt>
                <c:pt idx="6">
                  <c:v>4.2838274945646827E-2</c:v>
                </c:pt>
                <c:pt idx="7">
                  <c:v>4.5658846935790358E-2</c:v>
                </c:pt>
                <c:pt idx="8">
                  <c:v>4.4116390878608865E-2</c:v>
                </c:pt>
                <c:pt idx="9">
                  <c:v>4.2017117913632766E-2</c:v>
                </c:pt>
                <c:pt idx="10">
                  <c:v>4.3533081410789154E-2</c:v>
                </c:pt>
                <c:pt idx="11">
                  <c:v>4.1916196612516173E-2</c:v>
                </c:pt>
                <c:pt idx="12">
                  <c:v>4.1960531150872331E-2</c:v>
                </c:pt>
                <c:pt idx="13">
                  <c:v>4.3552444938070534E-2</c:v>
                </c:pt>
                <c:pt idx="14">
                  <c:v>4.5639607911156989E-2</c:v>
                </c:pt>
                <c:pt idx="15">
                  <c:v>4.5639055753068251E-2</c:v>
                </c:pt>
                <c:pt idx="16">
                  <c:v>4.6990980439180853E-2</c:v>
                </c:pt>
                <c:pt idx="17">
                  <c:v>4.765821304133433E-2</c:v>
                </c:pt>
                <c:pt idx="18">
                  <c:v>4.6654967131159249E-2</c:v>
                </c:pt>
                <c:pt idx="19">
                  <c:v>4.6133585389217004E-2</c:v>
                </c:pt>
                <c:pt idx="20">
                  <c:v>4.5388563201661868E-2</c:v>
                </c:pt>
                <c:pt idx="21">
                  <c:v>4.6177206369084275E-2</c:v>
                </c:pt>
                <c:pt idx="22">
                  <c:v>4.6869127272735213E-2</c:v>
                </c:pt>
                <c:pt idx="23">
                  <c:v>4.8448139823424184E-2</c:v>
                </c:pt>
                <c:pt idx="24">
                  <c:v>5.0169682063570802E-2</c:v>
                </c:pt>
                <c:pt idx="25">
                  <c:v>5.0205835019245408E-2</c:v>
                </c:pt>
              </c:numCache>
            </c:numRef>
          </c:val>
          <c:smooth val="0"/>
          <c:extLst>
            <c:ext xmlns:c16="http://schemas.microsoft.com/office/drawing/2014/chart" uri="{C3380CC4-5D6E-409C-BE32-E72D297353CC}">
              <c16:uniqueId val="{00000001-7133-4713-BF91-3AECA5DD4C5B}"/>
            </c:ext>
          </c:extLst>
        </c:ser>
        <c:dLbls>
          <c:showLegendKey val="0"/>
          <c:showVal val="0"/>
          <c:showCatName val="0"/>
          <c:showSerName val="0"/>
          <c:showPercent val="0"/>
          <c:showBubbleSize val="0"/>
        </c:dLbls>
        <c:marker val="1"/>
        <c:smooth val="0"/>
        <c:axId val="292428032"/>
        <c:axId val="292458880"/>
      </c:lineChart>
      <c:catAx>
        <c:axId val="292428032"/>
        <c:scaling>
          <c:orientation val="minMax"/>
        </c:scaling>
        <c:delete val="0"/>
        <c:axPos val="b"/>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92458880"/>
        <c:crosses val="autoZero"/>
        <c:auto val="1"/>
        <c:lblAlgn val="ctr"/>
        <c:lblOffset val="100"/>
        <c:tickLblSkip val="2"/>
        <c:tickMarkSkip val="1"/>
        <c:noMultiLvlLbl val="0"/>
      </c:catAx>
      <c:valAx>
        <c:axId val="292458880"/>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92428032"/>
        <c:crosses val="autoZero"/>
        <c:crossBetween val="midCat"/>
      </c:valAx>
      <c:spPr>
        <a:noFill/>
        <a:ln w="12700">
          <a:solidFill>
            <a:srgbClr val="808080"/>
          </a:solidFill>
          <a:prstDash val="solid"/>
        </a:ln>
      </c:spPr>
    </c:plotArea>
    <c:legend>
      <c:legendPos val="r"/>
      <c:layout>
        <c:manualLayout>
          <c:xMode val="edge"/>
          <c:yMode val="edge"/>
          <c:x val="6.9643039314590843E-2"/>
          <c:y val="0.91558707667966743"/>
          <c:w val="0.83928790968865896"/>
          <c:h val="6.7099762120732126E-2"/>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t>GVT gross saving and net lending as % of GDP</a:t>
            </a:r>
          </a:p>
        </c:rich>
      </c:tx>
      <c:layout>
        <c:manualLayout>
          <c:xMode val="edge"/>
          <c:yMode val="edge"/>
          <c:x val="0.16964309148856391"/>
          <c:y val="3.3613445378151259E-2"/>
        </c:manualLayout>
      </c:layout>
      <c:overlay val="0"/>
      <c:spPr>
        <a:noFill/>
        <a:ln w="25400">
          <a:noFill/>
        </a:ln>
      </c:spPr>
    </c:title>
    <c:autoTitleDeleted val="0"/>
    <c:plotArea>
      <c:layout>
        <c:manualLayout>
          <c:layoutTarget val="inner"/>
          <c:xMode val="edge"/>
          <c:yMode val="edge"/>
          <c:x val="0.15178587971919438"/>
          <c:y val="0.17086881474531346"/>
          <c:w val="0.78125085149585338"/>
          <c:h val="0.62745269676967563"/>
        </c:manualLayout>
      </c:layout>
      <c:lineChart>
        <c:grouping val="standard"/>
        <c:varyColors val="0"/>
        <c:ser>
          <c:idx val="0"/>
          <c:order val="0"/>
          <c:tx>
            <c:strRef>
              <c:f>Sector1!$E$470</c:f>
              <c:strCache>
                <c:ptCount val="1"/>
                <c:pt idx="0">
                  <c:v>Gross saving (B.8g)</c:v>
                </c:pt>
              </c:strCache>
            </c:strRef>
          </c:tx>
          <c:spPr>
            <a:ln w="25400">
              <a:solidFill>
                <a:srgbClr val="0000FF"/>
              </a:solidFill>
              <a:prstDash val="solid"/>
            </a:ln>
          </c:spPr>
          <c:marker>
            <c:symbol val="circle"/>
            <c:size val="7"/>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Sector1!$G$470:$AJ$470</c:f>
              <c:numCache>
                <c:formatCode>0.0%</c:formatCode>
                <c:ptCount val="30"/>
                <c:pt idx="0">
                  <c:v>-1.5589335867563808E-2</c:v>
                </c:pt>
                <c:pt idx="1">
                  <c:v>1.7059230408948033E-2</c:v>
                </c:pt>
                <c:pt idx="2">
                  <c:v>3.1604695995703161E-2</c:v>
                </c:pt>
                <c:pt idx="3">
                  <c:v>4.4151635798430323E-2</c:v>
                </c:pt>
                <c:pt idx="4">
                  <c:v>5.1663569988569878E-2</c:v>
                </c:pt>
                <c:pt idx="5">
                  <c:v>7.0357094611319171E-2</c:v>
                </c:pt>
                <c:pt idx="6">
                  <c:v>5.4931754338180622E-2</c:v>
                </c:pt>
                <c:pt idx="7">
                  <c:v>2.893091925706677E-2</c:v>
                </c:pt>
                <c:pt idx="8">
                  <c:v>2.9474464006553177E-2</c:v>
                </c:pt>
                <c:pt idx="9">
                  <c:v>4.363761183847191E-2</c:v>
                </c:pt>
                <c:pt idx="10">
                  <c:v>5.9638236111593156E-2</c:v>
                </c:pt>
                <c:pt idx="11">
                  <c:v>6.2730716499819206E-2</c:v>
                </c:pt>
                <c:pt idx="12">
                  <c:v>7.442692070816477E-2</c:v>
                </c:pt>
                <c:pt idx="13">
                  <c:v>6.1679149660596067E-2</c:v>
                </c:pt>
                <c:pt idx="14">
                  <c:v>3.7476811272387209E-2</c:v>
                </c:pt>
                <c:pt idx="15">
                  <c:v>4.4423331017667128E-2</c:v>
                </c:pt>
                <c:pt idx="16">
                  <c:v>4.3937479018957157E-2</c:v>
                </c:pt>
                <c:pt idx="17">
                  <c:v>3.4224834644529412E-2</c:v>
                </c:pt>
                <c:pt idx="18">
                  <c:v>2.9380443086123014E-2</c:v>
                </c:pt>
                <c:pt idx="19">
                  <c:v>2.9255821919980617E-2</c:v>
                </c:pt>
                <c:pt idx="20">
                  <c:v>4.4355609355896067E-2</c:v>
                </c:pt>
                <c:pt idx="21">
                  <c:v>5.5724356897291154E-2</c:v>
                </c:pt>
                <c:pt idx="22">
                  <c:v>6.0753687731483035E-2</c:v>
                </c:pt>
                <c:pt idx="23">
                  <c:v>5.7932208998509281E-2</c:v>
                </c:pt>
                <c:pt idx="24">
                  <c:v>5.8487018188971188E-2</c:v>
                </c:pt>
                <c:pt idx="25">
                  <c:v>5.7377699459388899E-2</c:v>
                </c:pt>
              </c:numCache>
            </c:numRef>
          </c:val>
          <c:smooth val="0"/>
          <c:extLst>
            <c:ext xmlns:c16="http://schemas.microsoft.com/office/drawing/2014/chart" uri="{C3380CC4-5D6E-409C-BE32-E72D297353CC}">
              <c16:uniqueId val="{00000000-451B-42BC-8E30-A768209C5B2D}"/>
            </c:ext>
          </c:extLst>
        </c:ser>
        <c:ser>
          <c:idx val="1"/>
          <c:order val="1"/>
          <c:tx>
            <c:strRef>
              <c:f>Sector1!$E$597</c:f>
              <c:strCache>
                <c:ptCount val="1"/>
                <c:pt idx="0">
                  <c:v>Net-lending</c:v>
                </c:pt>
              </c:strCache>
            </c:strRef>
          </c:tx>
          <c:spPr>
            <a:ln w="25400">
              <a:solidFill>
                <a:srgbClr val="FF0000"/>
              </a:solidFill>
              <a:prstDash val="solid"/>
            </a:ln>
          </c:spPr>
          <c:marker>
            <c:symbol val="circle"/>
            <c:size val="7"/>
            <c:spPr>
              <a:solidFill>
                <a:srgbClr val="FFFFFF"/>
              </a:solidFill>
              <a:ln>
                <a:solidFill>
                  <a:srgbClr val="FF0000"/>
                </a:solidFill>
                <a:prstDash val="solid"/>
              </a:ln>
            </c:spPr>
          </c:marker>
          <c:val>
            <c:numRef>
              <c:f>Sector1!$G$597:$AJ$597</c:f>
              <c:numCache>
                <c:formatCode>0.0%</c:formatCode>
                <c:ptCount val="30"/>
                <c:pt idx="0">
                  <c:v>-7.0206104214572365E-2</c:v>
                </c:pt>
                <c:pt idx="1">
                  <c:v>-3.1073554393195091E-2</c:v>
                </c:pt>
                <c:pt idx="2">
                  <c:v>-1.572420669265448E-2</c:v>
                </c:pt>
                <c:pt idx="3">
                  <c:v>8.3750469543016608E-3</c:v>
                </c:pt>
                <c:pt idx="4">
                  <c:v>7.575294355506375E-3</c:v>
                </c:pt>
                <c:pt idx="5">
                  <c:v>3.2205555737351517E-2</c:v>
                </c:pt>
                <c:pt idx="6">
                  <c:v>1.4215227267965511E-2</c:v>
                </c:pt>
                <c:pt idx="7">
                  <c:v>-1.4504504539504966E-2</c:v>
                </c:pt>
                <c:pt idx="8">
                  <c:v>-1.2677261016321927E-2</c:v>
                </c:pt>
                <c:pt idx="9">
                  <c:v>3.553977117956375E-3</c:v>
                </c:pt>
                <c:pt idx="10">
                  <c:v>1.8323190811228955E-2</c:v>
                </c:pt>
                <c:pt idx="11">
                  <c:v>2.2091417072263631E-2</c:v>
                </c:pt>
                <c:pt idx="12">
                  <c:v>3.3540009142731093E-2</c:v>
                </c:pt>
                <c:pt idx="13">
                  <c:v>1.9041295452019259E-2</c:v>
                </c:pt>
                <c:pt idx="14">
                  <c:v>-7.1539901622382791E-3</c:v>
                </c:pt>
                <c:pt idx="15">
                  <c:v>-3.2067435831078329E-4</c:v>
                </c:pt>
                <c:pt idx="16">
                  <c:v>-2.0245596678323732E-3</c:v>
                </c:pt>
                <c:pt idx="17">
                  <c:v>-9.6476672673021478E-3</c:v>
                </c:pt>
                <c:pt idx="18">
                  <c:v>-1.367086219464597E-2</c:v>
                </c:pt>
                <c:pt idx="19">
                  <c:v>-1.5523259133325395E-2</c:v>
                </c:pt>
                <c:pt idx="20">
                  <c:v>1.5941762347784227E-3</c:v>
                </c:pt>
                <c:pt idx="21">
                  <c:v>1.1116641967831626E-2</c:v>
                </c:pt>
                <c:pt idx="22">
                  <c:v>1.5523163974571161E-2</c:v>
                </c:pt>
                <c:pt idx="23" formatCode="0.00%">
                  <c:v>1.0754062423016802E-2</c:v>
                </c:pt>
                <c:pt idx="24" formatCode="0.00%">
                  <c:v>9.5655315382913043E-3</c:v>
                </c:pt>
                <c:pt idx="25" formatCode="0.00%">
                  <c:v>8.3954062195498377E-3</c:v>
                </c:pt>
              </c:numCache>
            </c:numRef>
          </c:val>
          <c:smooth val="0"/>
          <c:extLst>
            <c:ext xmlns:c16="http://schemas.microsoft.com/office/drawing/2014/chart" uri="{C3380CC4-5D6E-409C-BE32-E72D297353CC}">
              <c16:uniqueId val="{00000001-451B-42BC-8E30-A768209C5B2D}"/>
            </c:ext>
          </c:extLst>
        </c:ser>
        <c:dLbls>
          <c:showLegendKey val="0"/>
          <c:showVal val="0"/>
          <c:showCatName val="0"/>
          <c:showSerName val="0"/>
          <c:showPercent val="0"/>
          <c:showBubbleSize val="0"/>
        </c:dLbls>
        <c:marker val="1"/>
        <c:smooth val="0"/>
        <c:axId val="292766080"/>
        <c:axId val="292768000"/>
      </c:lineChart>
      <c:catAx>
        <c:axId val="292766080"/>
        <c:scaling>
          <c:orientation val="minMax"/>
        </c:scaling>
        <c:delete val="0"/>
        <c:axPos val="b"/>
        <c:majorGridlines>
          <c:spPr>
            <a:ln w="3175">
              <a:solidFill>
                <a:srgbClr val="000000"/>
              </a:solidFill>
              <a:prstDash val="solid"/>
            </a:ln>
          </c:spPr>
        </c:majorGridlines>
        <c:numFmt formatCode="0" sourceLinked="0"/>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92768000"/>
        <c:crosses val="autoZero"/>
        <c:auto val="1"/>
        <c:lblAlgn val="ctr"/>
        <c:lblOffset val="100"/>
        <c:tickLblSkip val="2"/>
        <c:tickMarkSkip val="1"/>
        <c:noMultiLvlLbl val="0"/>
      </c:catAx>
      <c:valAx>
        <c:axId val="292768000"/>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92766080"/>
        <c:crosses val="autoZero"/>
        <c:crossBetween val="midCat"/>
      </c:valAx>
      <c:spPr>
        <a:noFill/>
        <a:ln w="12700">
          <a:solidFill>
            <a:srgbClr val="808080"/>
          </a:solidFill>
          <a:prstDash val="solid"/>
        </a:ln>
      </c:spPr>
    </c:plotArea>
    <c:legend>
      <c:legendPos val="r"/>
      <c:layout>
        <c:manualLayout>
          <c:xMode val="edge"/>
          <c:yMode val="edge"/>
          <c:x val="0.20000052315985065"/>
          <c:y val="0.91342256822415979"/>
          <c:w val="0.71071614480018352"/>
          <c:h val="7.1428779031747103E-2"/>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25" b="1" i="0" u="none" strike="noStrike" baseline="0">
                <a:solidFill>
                  <a:srgbClr val="000000"/>
                </a:solidFill>
                <a:latin typeface="Arial"/>
                <a:ea typeface="Arial"/>
                <a:cs typeface="Arial"/>
              </a:defRPr>
            </a:pPr>
            <a:r>
              <a:t>GVT debt reduction and net lending as % of GDP</a:t>
            </a:r>
          </a:p>
        </c:rich>
      </c:tx>
      <c:layout>
        <c:manualLayout>
          <c:xMode val="edge"/>
          <c:yMode val="edge"/>
          <c:x val="0.30580357142857145"/>
          <c:y val="3.1862745098039214E-2"/>
        </c:manualLayout>
      </c:layout>
      <c:overlay val="0"/>
      <c:spPr>
        <a:noFill/>
        <a:ln w="25400">
          <a:noFill/>
        </a:ln>
      </c:spPr>
    </c:title>
    <c:autoTitleDeleted val="0"/>
    <c:plotArea>
      <c:layout>
        <c:manualLayout>
          <c:layoutTarget val="inner"/>
          <c:xMode val="edge"/>
          <c:yMode val="edge"/>
          <c:x val="7.03125E-2"/>
          <c:y val="0.1764710106249297"/>
          <c:w val="0.8604910714285714"/>
          <c:h val="0.63970741351537008"/>
        </c:manualLayout>
      </c:layout>
      <c:barChart>
        <c:barDir val="col"/>
        <c:grouping val="stacked"/>
        <c:varyColors val="0"/>
        <c:ser>
          <c:idx val="3"/>
          <c:order val="3"/>
          <c:tx>
            <c:strRef>
              <c:f>Sector1!$E$613</c:f>
              <c:strCache>
                <c:ptCount val="1"/>
                <c:pt idx="0">
                  <c:v>Debt increase as % of GDP</c:v>
                </c:pt>
              </c:strCache>
            </c:strRef>
          </c:tx>
          <c:spPr>
            <a:solidFill>
              <a:srgbClr val="0066CC"/>
            </a:solidFill>
            <a:ln w="12700">
              <a:solidFill>
                <a:srgbClr val="000000"/>
              </a:solidFill>
              <a:prstDash val="solid"/>
            </a:ln>
          </c:spPr>
          <c:invertIfNegative val="0"/>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Sector1!$G$613:$AJ$613</c:f>
              <c:numCache>
                <c:formatCode>0.0%</c:formatCode>
                <c:ptCount val="30"/>
                <c:pt idx="1">
                  <c:v>6.9449800057281852E-3</c:v>
                </c:pt>
                <c:pt idx="2">
                  <c:v>-2.3741305249040834E-2</c:v>
                </c:pt>
                <c:pt idx="3">
                  <c:v>-1.0854952363320014E-2</c:v>
                </c:pt>
                <c:pt idx="4">
                  <c:v>-5.2732399309374123E-2</c:v>
                </c:pt>
                <c:pt idx="5">
                  <c:v>-0.106836815575583</c:v>
                </c:pt>
                <c:pt idx="6">
                  <c:v>1.4720381516951431E-2</c:v>
                </c:pt>
                <c:pt idx="7">
                  <c:v>-1.9796373854328642E-2</c:v>
                </c:pt>
                <c:pt idx="8">
                  <c:v>-5.5056400436563346E-3</c:v>
                </c:pt>
                <c:pt idx="9">
                  <c:v>-8.3548817724061197E-3</c:v>
                </c:pt>
                <c:pt idx="10">
                  <c:v>2.5756193407130978E-3</c:v>
                </c:pt>
                <c:pt idx="11">
                  <c:v>-5.1782723876301118E-2</c:v>
                </c:pt>
                <c:pt idx="12">
                  <c:v>-4.7268984454963248E-2</c:v>
                </c:pt>
                <c:pt idx="13">
                  <c:v>-1.4667039886455513E-2</c:v>
                </c:pt>
                <c:pt idx="14">
                  <c:v>3.6093540817730085E-2</c:v>
                </c:pt>
                <c:pt idx="15">
                  <c:v>-2.7443046590128584E-2</c:v>
                </c:pt>
                <c:pt idx="16">
                  <c:v>-7.7553790020564173E-3</c:v>
                </c:pt>
                <c:pt idx="17">
                  <c:v>2.3924253269063112E-3</c:v>
                </c:pt>
                <c:pt idx="18">
                  <c:v>2.6294897172131848E-2</c:v>
                </c:pt>
                <c:pt idx="19">
                  <c:v>4.7657314019953323E-2</c:v>
                </c:pt>
                <c:pt idx="20">
                  <c:v>-1.2800582999564603E-2</c:v>
                </c:pt>
                <c:pt idx="21">
                  <c:v>-1.8204887749890153E-2</c:v>
                </c:pt>
                <c:pt idx="22">
                  <c:v>-1.532725015020886E-2</c:v>
                </c:pt>
                <c:pt idx="23">
                  <c:v>-2.9818354665358093E-2</c:v>
                </c:pt>
                <c:pt idx="24">
                  <c:v>-2.3355068227032982E-2</c:v>
                </c:pt>
                <c:pt idx="25">
                  <c:v>-2.0553748286179285E-2</c:v>
                </c:pt>
              </c:numCache>
            </c:numRef>
          </c:val>
          <c:extLst>
            <c:ext xmlns:c16="http://schemas.microsoft.com/office/drawing/2014/chart" uri="{C3380CC4-5D6E-409C-BE32-E72D297353CC}">
              <c16:uniqueId val="{00000000-905A-4CFD-98F9-2A48E7DABC12}"/>
            </c:ext>
          </c:extLst>
        </c:ser>
        <c:dLbls>
          <c:showLegendKey val="0"/>
          <c:showVal val="0"/>
          <c:showCatName val="0"/>
          <c:showSerName val="0"/>
          <c:showPercent val="0"/>
          <c:showBubbleSize val="0"/>
        </c:dLbls>
        <c:gapWidth val="20"/>
        <c:overlap val="100"/>
        <c:axId val="292808576"/>
        <c:axId val="292810112"/>
      </c:barChart>
      <c:barChart>
        <c:barDir val="col"/>
        <c:grouping val="stacked"/>
        <c:varyColors val="0"/>
        <c:ser>
          <c:idx val="0"/>
          <c:order val="0"/>
          <c:tx>
            <c:strRef>
              <c:f>Sector1!$E$610</c:f>
              <c:strCache>
                <c:ptCount val="1"/>
                <c:pt idx="0">
                  <c:v>Snowball effect</c:v>
                </c:pt>
              </c:strCache>
            </c:strRef>
          </c:tx>
          <c:spPr>
            <a:solidFill>
              <a:srgbClr val="FFCC99"/>
            </a:solidFill>
            <a:ln w="3175">
              <a:solidFill>
                <a:srgbClr val="000000"/>
              </a:solidFill>
              <a:prstDash val="solid"/>
            </a:ln>
          </c:spPr>
          <c:invertIfNegative val="0"/>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Sector1!$G$610:$AJ$610</c:f>
              <c:numCache>
                <c:formatCode>0.0%</c:formatCode>
                <c:ptCount val="30"/>
                <c:pt idx="1">
                  <c:v>-1.7500087090775218E-2</c:v>
                </c:pt>
                <c:pt idx="2">
                  <c:v>-3.0397164017039228E-2</c:v>
                </c:pt>
                <c:pt idx="3">
                  <c:v>-3.2684113079303689E-2</c:v>
                </c:pt>
                <c:pt idx="4">
                  <c:v>-3.4583470441624672E-2</c:v>
                </c:pt>
                <c:pt idx="5">
                  <c:v>-3.6866946141368116E-2</c:v>
                </c:pt>
                <c:pt idx="6">
                  <c:v>-2.0096671114966814E-2</c:v>
                </c:pt>
                <c:pt idx="7">
                  <c:v>-1.867281283412589E-2</c:v>
                </c:pt>
                <c:pt idx="8">
                  <c:v>-2.0033424566774496E-2</c:v>
                </c:pt>
                <c:pt idx="9">
                  <c:v>-2.2565093056185516E-2</c:v>
                </c:pt>
                <c:pt idx="10">
                  <c:v>-1.7166482427153747E-2</c:v>
                </c:pt>
                <c:pt idx="11">
                  <c:v>-3.0412582901953155E-2</c:v>
                </c:pt>
                <c:pt idx="12">
                  <c:v>-2.6370967106797587E-2</c:v>
                </c:pt>
                <c:pt idx="13">
                  <c:v>-1.0483863461549957E-2</c:v>
                </c:pt>
                <c:pt idx="14">
                  <c:v>1.1425929034165663E-2</c:v>
                </c:pt>
                <c:pt idx="15">
                  <c:v>-2.7200412451760716E-2</c:v>
                </c:pt>
                <c:pt idx="16">
                  <c:v>-1.4468766416517261E-2</c:v>
                </c:pt>
                <c:pt idx="17">
                  <c:v>-2.8536242096591754E-3</c:v>
                </c:pt>
                <c:pt idx="18">
                  <c:v>-8.5806002855642553E-3</c:v>
                </c:pt>
                <c:pt idx="19">
                  <c:v>-1.724394647092127E-2</c:v>
                </c:pt>
                <c:pt idx="20">
                  <c:v>-2.8199687566624859E-2</c:v>
                </c:pt>
                <c:pt idx="21">
                  <c:v>-1.8532558707138533E-2</c:v>
                </c:pt>
                <c:pt idx="22">
                  <c:v>1.9591382436230133E-4</c:v>
                </c:pt>
                <c:pt idx="23">
                  <c:v>-1.9064292242341289E-2</c:v>
                </c:pt>
                <c:pt idx="24">
                  <c:v>-1.3789536688741678E-2</c:v>
                </c:pt>
                <c:pt idx="25">
                  <c:v>-1.2158342066629448E-2</c:v>
                </c:pt>
              </c:numCache>
            </c:numRef>
          </c:val>
          <c:extLst>
            <c:ext xmlns:c16="http://schemas.microsoft.com/office/drawing/2014/chart" uri="{C3380CC4-5D6E-409C-BE32-E72D297353CC}">
              <c16:uniqueId val="{00000001-905A-4CFD-98F9-2A48E7DABC12}"/>
            </c:ext>
          </c:extLst>
        </c:ser>
        <c:ser>
          <c:idx val="2"/>
          <c:order val="1"/>
          <c:tx>
            <c:strRef>
              <c:f>Sector1!$E$611</c:f>
              <c:strCache>
                <c:ptCount val="1"/>
                <c:pt idx="0">
                  <c:v>Net borrowing as % of GDP</c:v>
                </c:pt>
              </c:strCache>
            </c:strRef>
          </c:tx>
          <c:spPr>
            <a:solidFill>
              <a:srgbClr val="FF99CC"/>
            </a:solidFill>
            <a:ln w="3175">
              <a:solidFill>
                <a:srgbClr val="000000"/>
              </a:solidFill>
              <a:prstDash val="solid"/>
            </a:ln>
          </c:spPr>
          <c:invertIfNegative val="0"/>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Sector1!$G$611:$AJ$611</c:f>
              <c:numCache>
                <c:formatCode>0.0%</c:formatCode>
                <c:ptCount val="30"/>
                <c:pt idx="1">
                  <c:v>3.1073554393195091E-2</c:v>
                </c:pt>
                <c:pt idx="2">
                  <c:v>1.572420669265448E-2</c:v>
                </c:pt>
                <c:pt idx="3">
                  <c:v>-8.3750469543016608E-3</c:v>
                </c:pt>
                <c:pt idx="4">
                  <c:v>-7.575294355506375E-3</c:v>
                </c:pt>
                <c:pt idx="5">
                  <c:v>-3.2205555737351517E-2</c:v>
                </c:pt>
                <c:pt idx="6">
                  <c:v>-1.4215227267965511E-2</c:v>
                </c:pt>
                <c:pt idx="7">
                  <c:v>1.4504504539504966E-2</c:v>
                </c:pt>
                <c:pt idx="8">
                  <c:v>1.2677261016321927E-2</c:v>
                </c:pt>
                <c:pt idx="9">
                  <c:v>-3.553977117956375E-3</c:v>
                </c:pt>
                <c:pt idx="10">
                  <c:v>-1.8323190811228955E-2</c:v>
                </c:pt>
                <c:pt idx="11">
                  <c:v>-2.2091417072263631E-2</c:v>
                </c:pt>
                <c:pt idx="12">
                  <c:v>-3.3540009142731093E-2</c:v>
                </c:pt>
                <c:pt idx="13">
                  <c:v>-1.9041295452019259E-2</c:v>
                </c:pt>
                <c:pt idx="14">
                  <c:v>7.1539901622382791E-3</c:v>
                </c:pt>
                <c:pt idx="15">
                  <c:v>3.2067435831078329E-4</c:v>
                </c:pt>
                <c:pt idx="16">
                  <c:v>2.0245596678323732E-3</c:v>
                </c:pt>
                <c:pt idx="17">
                  <c:v>9.6476672673021478E-3</c:v>
                </c:pt>
                <c:pt idx="18">
                  <c:v>1.367086219464597E-2</c:v>
                </c:pt>
                <c:pt idx="19">
                  <c:v>1.5523259133325395E-2</c:v>
                </c:pt>
                <c:pt idx="20">
                  <c:v>-1.5941762347784227E-3</c:v>
                </c:pt>
                <c:pt idx="21">
                  <c:v>-1.1116641967831626E-2</c:v>
                </c:pt>
                <c:pt idx="22">
                  <c:v>-1.5523163974571161E-2</c:v>
                </c:pt>
                <c:pt idx="23">
                  <c:v>-1.0754062423016802E-2</c:v>
                </c:pt>
                <c:pt idx="24">
                  <c:v>-9.5655315382913043E-3</c:v>
                </c:pt>
                <c:pt idx="25">
                  <c:v>-8.3954062195498377E-3</c:v>
                </c:pt>
              </c:numCache>
            </c:numRef>
          </c:val>
          <c:extLst>
            <c:ext xmlns:c16="http://schemas.microsoft.com/office/drawing/2014/chart" uri="{C3380CC4-5D6E-409C-BE32-E72D297353CC}">
              <c16:uniqueId val="{00000002-905A-4CFD-98F9-2A48E7DABC12}"/>
            </c:ext>
          </c:extLst>
        </c:ser>
        <c:ser>
          <c:idx val="1"/>
          <c:order val="2"/>
          <c:tx>
            <c:strRef>
              <c:f>Sector1!$E$612</c:f>
              <c:strCache>
                <c:ptCount val="1"/>
                <c:pt idx="0">
                  <c:v>Stock-flow adjustment as % of GDP</c:v>
                </c:pt>
              </c:strCache>
            </c:strRef>
          </c:tx>
          <c:spPr>
            <a:solidFill>
              <a:srgbClr val="FFFF99"/>
            </a:solidFill>
            <a:ln w="3175">
              <a:solidFill>
                <a:srgbClr val="000000"/>
              </a:solidFill>
              <a:prstDash val="solid"/>
            </a:ln>
          </c:spPr>
          <c:invertIfNegative val="0"/>
          <c:val>
            <c:numRef>
              <c:f>Sector1!$G$612:$AJ$612</c:f>
              <c:numCache>
                <c:formatCode>0.0%</c:formatCode>
                <c:ptCount val="30"/>
                <c:pt idx="1">
                  <c:v>-6.6284872966916883E-3</c:v>
                </c:pt>
                <c:pt idx="2">
                  <c:v>-9.0683479246560852E-3</c:v>
                </c:pt>
                <c:pt idx="3">
                  <c:v>3.0204207670285341E-2</c:v>
                </c:pt>
                <c:pt idx="4">
                  <c:v>-1.0573634512243075E-2</c:v>
                </c:pt>
                <c:pt idx="5">
                  <c:v>-3.7764313696863373E-2</c:v>
                </c:pt>
                <c:pt idx="6">
                  <c:v>4.9032279899883756E-2</c:v>
                </c:pt>
                <c:pt idx="7">
                  <c:v>-1.5628065559707718E-2</c:v>
                </c:pt>
                <c:pt idx="8">
                  <c:v>1.8505235067962328E-3</c:v>
                </c:pt>
                <c:pt idx="9">
                  <c:v>1.776418840173577E-2</c:v>
                </c:pt>
                <c:pt idx="10">
                  <c:v>3.80652925790958E-2</c:v>
                </c:pt>
                <c:pt idx="11" formatCode="0.00%">
                  <c:v>7.2127609791566567E-4</c:v>
                </c:pt>
                <c:pt idx="12" formatCode="0.00%">
                  <c:v>1.2641991794565434E-2</c:v>
                </c:pt>
                <c:pt idx="13">
                  <c:v>1.4858119027113703E-2</c:v>
                </c:pt>
                <c:pt idx="14">
                  <c:v>1.7513621621326143E-2</c:v>
                </c:pt>
                <c:pt idx="15">
                  <c:v>-5.6330849667865241E-4</c:v>
                </c:pt>
                <c:pt idx="16">
                  <c:v>4.6888277466284713E-3</c:v>
                </c:pt>
                <c:pt idx="17">
                  <c:v>-4.4016177307366613E-3</c:v>
                </c:pt>
                <c:pt idx="18">
                  <c:v>2.1204635263050133E-2</c:v>
                </c:pt>
                <c:pt idx="19">
                  <c:v>4.9378001357549196E-2</c:v>
                </c:pt>
                <c:pt idx="20">
                  <c:v>1.6993280801838678E-2</c:v>
                </c:pt>
                <c:pt idx="21">
                  <c:v>1.1444312925080006E-2</c:v>
                </c:pt>
                <c:pt idx="22">
                  <c:v>0</c:v>
                </c:pt>
                <c:pt idx="23">
                  <c:v>0</c:v>
                </c:pt>
                <c:pt idx="24">
                  <c:v>0</c:v>
                </c:pt>
                <c:pt idx="25">
                  <c:v>0</c:v>
                </c:pt>
              </c:numCache>
            </c:numRef>
          </c:val>
          <c:extLst>
            <c:ext xmlns:c16="http://schemas.microsoft.com/office/drawing/2014/chart" uri="{C3380CC4-5D6E-409C-BE32-E72D297353CC}">
              <c16:uniqueId val="{00000003-905A-4CFD-98F9-2A48E7DABC12}"/>
            </c:ext>
          </c:extLst>
        </c:ser>
        <c:dLbls>
          <c:showLegendKey val="0"/>
          <c:showVal val="0"/>
          <c:showCatName val="0"/>
          <c:showSerName val="0"/>
          <c:showPercent val="0"/>
          <c:showBubbleSize val="0"/>
        </c:dLbls>
        <c:gapWidth val="150"/>
        <c:overlap val="100"/>
        <c:axId val="292488320"/>
        <c:axId val="292489856"/>
      </c:barChart>
      <c:catAx>
        <c:axId val="292808576"/>
        <c:scaling>
          <c:orientation val="minMax"/>
        </c:scaling>
        <c:delete val="0"/>
        <c:axPos val="b"/>
        <c:majorGridlines>
          <c:spPr>
            <a:ln w="3175">
              <a:solidFill>
                <a:srgbClr val="000000"/>
              </a:solidFill>
              <a:prstDash val="solid"/>
            </a:ln>
          </c:spPr>
        </c:majorGridlines>
        <c:numFmt formatCode="0" sourceLinked="0"/>
        <c:majorTickMark val="out"/>
        <c:minorTickMark val="none"/>
        <c:tickLblPos val="low"/>
        <c:spPr>
          <a:ln w="25400">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fr-FR"/>
          </a:p>
        </c:txPr>
        <c:crossAx val="292810112"/>
        <c:crosses val="autoZero"/>
        <c:auto val="1"/>
        <c:lblAlgn val="ctr"/>
        <c:lblOffset val="100"/>
        <c:tickLblSkip val="1"/>
        <c:tickMarkSkip val="1"/>
        <c:noMultiLvlLbl val="0"/>
      </c:catAx>
      <c:valAx>
        <c:axId val="292810112"/>
        <c:scaling>
          <c:orientation val="minMax"/>
          <c:max val="0.06"/>
          <c:min val="-0.1"/>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fr-FR"/>
          </a:p>
        </c:txPr>
        <c:crossAx val="292808576"/>
        <c:crosses val="autoZero"/>
        <c:crossBetween val="between"/>
      </c:valAx>
      <c:catAx>
        <c:axId val="292488320"/>
        <c:scaling>
          <c:orientation val="minMax"/>
        </c:scaling>
        <c:delete val="1"/>
        <c:axPos val="b"/>
        <c:numFmt formatCode="0" sourceLinked="1"/>
        <c:majorTickMark val="out"/>
        <c:minorTickMark val="none"/>
        <c:tickLblPos val="nextTo"/>
        <c:crossAx val="292489856"/>
        <c:crosses val="autoZero"/>
        <c:auto val="1"/>
        <c:lblAlgn val="ctr"/>
        <c:lblOffset val="100"/>
        <c:noMultiLvlLbl val="0"/>
      </c:catAx>
      <c:valAx>
        <c:axId val="292489856"/>
        <c:scaling>
          <c:orientation val="minMax"/>
          <c:max val="0.06"/>
          <c:min val="-0.1"/>
        </c:scaling>
        <c:delete val="0"/>
        <c:axPos val="r"/>
        <c:numFmt formatCode="0%" sourceLinked="0"/>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fr-FR"/>
          </a:p>
        </c:txPr>
        <c:crossAx val="292488320"/>
        <c:crosses val="max"/>
        <c:crossBetween val="between"/>
      </c:valAx>
      <c:spPr>
        <a:noFill/>
        <a:ln w="12700">
          <a:solidFill>
            <a:srgbClr val="808080"/>
          </a:solidFill>
          <a:prstDash val="solid"/>
        </a:ln>
      </c:spPr>
    </c:plotArea>
    <c:legend>
      <c:legendPos val="r"/>
      <c:layout>
        <c:manualLayout>
          <c:xMode val="edge"/>
          <c:yMode val="edge"/>
          <c:x val="4.7321464674840955E-2"/>
          <c:y val="0.91666836209080937"/>
          <c:w val="0.9223221322473717"/>
          <c:h val="5.4924344009573287E-2"/>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paperSize="9" orientation="landscape"/>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t>Subsidies and GDP</a:t>
            </a:r>
          </a:p>
        </c:rich>
      </c:tx>
      <c:layout>
        <c:manualLayout>
          <c:xMode val="edge"/>
          <c:yMode val="edge"/>
          <c:x val="0.36160761154855642"/>
          <c:y val="3.3613445378151259E-2"/>
        </c:manualLayout>
      </c:layout>
      <c:overlay val="0"/>
      <c:spPr>
        <a:noFill/>
        <a:ln w="25400">
          <a:noFill/>
        </a:ln>
      </c:spPr>
    </c:title>
    <c:autoTitleDeleted val="0"/>
    <c:plotArea>
      <c:layout>
        <c:manualLayout>
          <c:layoutTarget val="inner"/>
          <c:xMode val="edge"/>
          <c:yMode val="edge"/>
          <c:x val="0.10044653804946686"/>
          <c:y val="0.17647107096647127"/>
          <c:w val="0.83259019316558092"/>
          <c:h val="0.61904931243793893"/>
        </c:manualLayout>
      </c:layout>
      <c:lineChart>
        <c:grouping val="standard"/>
        <c:varyColors val="0"/>
        <c:ser>
          <c:idx val="1"/>
          <c:order val="0"/>
          <c:tx>
            <c:strRef>
              <c:f>'VVP2'!$E$348</c:f>
              <c:strCache>
                <c:ptCount val="1"/>
                <c:pt idx="0">
                  <c:v>GDP</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'VVP2'!$G$348:$AG$348</c:f>
              <c:numCache>
                <c:formatCode>0.0</c:formatCode>
                <c:ptCount val="27"/>
                <c:pt idx="1">
                  <c:v>2.5842575072335894</c:v>
                </c:pt>
                <c:pt idx="2">
                  <c:v>4.528587483935409</c:v>
                </c:pt>
                <c:pt idx="3">
                  <c:v>5.0657326637579603</c:v>
                </c:pt>
                <c:pt idx="4">
                  <c:v>5.4682108787114991</c:v>
                </c:pt>
                <c:pt idx="5">
                  <c:v>6.3846614236626298</c:v>
                </c:pt>
                <c:pt idx="6">
                  <c:v>4.1235495837014691</c:v>
                </c:pt>
                <c:pt idx="7">
                  <c:v>3.7085461393536079</c:v>
                </c:pt>
                <c:pt idx="8">
                  <c:v>4.1532907089817606</c:v>
                </c:pt>
                <c:pt idx="9">
                  <c:v>4.7574232625837265</c:v>
                </c:pt>
                <c:pt idx="10">
                  <c:v>3.6419274584167605</c:v>
                </c:pt>
                <c:pt idx="11">
                  <c:v>6.6015777053014757</c:v>
                </c:pt>
                <c:pt idx="12">
                  <c:v>6.3860651262684476</c:v>
                </c:pt>
                <c:pt idx="13">
                  <c:v>2.7476057889422645</c:v>
                </c:pt>
                <c:pt idx="14">
                  <c:v>-2.9387197675724841</c:v>
                </c:pt>
                <c:pt idx="15">
                  <c:v>7.0417486707964771</c:v>
                </c:pt>
                <c:pt idx="16">
                  <c:v>3.8940367055789515</c:v>
                </c:pt>
                <c:pt idx="17">
                  <c:v>0.76011125791202172</c:v>
                </c:pt>
                <c:pt idx="18">
                  <c:v>2.3060714240210611</c:v>
                </c:pt>
                <c:pt idx="19">
                  <c:v>4.4247138069799297</c:v>
                </c:pt>
                <c:pt idx="20">
                  <c:v>6.6131174787644964</c:v>
                </c:pt>
                <c:pt idx="21" formatCode="0.00">
                  <c:v>4.3782486576955382</c:v>
                </c:pt>
                <c:pt idx="22">
                  <c:v>4.4100360802891814</c:v>
                </c:pt>
                <c:pt idx="23">
                  <c:v>4.8980364670283993</c:v>
                </c:pt>
                <c:pt idx="24">
                  <c:v>3.7812749119215061</c:v>
                </c:pt>
                <c:pt idx="25">
                  <c:v>3.5451641625984909</c:v>
                </c:pt>
              </c:numCache>
            </c:numRef>
          </c:val>
          <c:smooth val="0"/>
          <c:extLst>
            <c:ext xmlns:c16="http://schemas.microsoft.com/office/drawing/2014/chart" uri="{C3380CC4-5D6E-409C-BE32-E72D297353CC}">
              <c16:uniqueId val="{00000000-2581-428D-B4B2-5B4490B18476}"/>
            </c:ext>
          </c:extLst>
        </c:ser>
        <c:ser>
          <c:idx val="0"/>
          <c:order val="1"/>
          <c:tx>
            <c:strRef>
              <c:f>Sector1!$D$59:$E$59</c:f>
              <c:strCache>
                <c:ptCount val="2"/>
                <c:pt idx="0">
                  <c:v>GVT</c:v>
                </c:pt>
                <c:pt idx="1">
                  <c:v>Subsidies (D.3p = D.31p+D.39p)</c:v>
                </c:pt>
              </c:strCache>
            </c:strRef>
          </c:tx>
          <c:spPr>
            <a:ln w="25400">
              <a:solidFill>
                <a:srgbClr val="FF0000"/>
              </a:solidFill>
              <a:prstDash val="solid"/>
            </a:ln>
          </c:spPr>
          <c:marker>
            <c:symbol val="circle"/>
            <c:size val="5"/>
            <c:spPr>
              <a:solidFill>
                <a:srgbClr val="FFFFFF"/>
              </a:solidFill>
              <a:ln>
                <a:solidFill>
                  <a:srgbClr val="FF0000"/>
                </a:solidFill>
                <a:prstDash val="solid"/>
              </a:ln>
            </c:spPr>
          </c:marker>
          <c:val>
            <c:numRef>
              <c:f>Sector1!$G$59:$AK$59</c:f>
              <c:numCache>
                <c:formatCode>0.0</c:formatCode>
                <c:ptCount val="31"/>
                <c:pt idx="1">
                  <c:v>-11.23593797506841</c:v>
                </c:pt>
                <c:pt idx="2">
                  <c:v>-12.591412766103204</c:v>
                </c:pt>
                <c:pt idx="3">
                  <c:v>-16.090287438524985</c:v>
                </c:pt>
                <c:pt idx="4">
                  <c:v>-2.5359019264448501</c:v>
                </c:pt>
                <c:pt idx="5">
                  <c:v>-13.577229928843515</c:v>
                </c:pt>
                <c:pt idx="6">
                  <c:v>-4.3912175648702645</c:v>
                </c:pt>
                <c:pt idx="7">
                  <c:v>8.5247042449547514</c:v>
                </c:pt>
                <c:pt idx="8">
                  <c:v>4.1733461579566145</c:v>
                </c:pt>
                <c:pt idx="9">
                  <c:v>-2.7442934085663007</c:v>
                </c:pt>
                <c:pt idx="10">
                  <c:v>7.3707805907172963</c:v>
                </c:pt>
                <c:pt idx="11">
                  <c:v>11.042613287486169</c:v>
                </c:pt>
                <c:pt idx="12">
                  <c:v>2.9528212160757406</c:v>
                </c:pt>
                <c:pt idx="13">
                  <c:v>5.9962187943110035</c:v>
                </c:pt>
                <c:pt idx="14">
                  <c:v>2.5538642398200029</c:v>
                </c:pt>
                <c:pt idx="15">
                  <c:v>9.5163744886060506</c:v>
                </c:pt>
                <c:pt idx="16">
                  <c:v>7.828629177795432</c:v>
                </c:pt>
                <c:pt idx="17">
                  <c:v>3.7221757322175586</c:v>
                </c:pt>
                <c:pt idx="18">
                  <c:v>1.494174976603091</c:v>
                </c:pt>
                <c:pt idx="19">
                  <c:v>5.8903020667726569</c:v>
                </c:pt>
                <c:pt idx="20">
                  <c:v>-0.26874859244802041</c:v>
                </c:pt>
                <c:pt idx="21">
                  <c:v>4.7255592689609438</c:v>
                </c:pt>
                <c:pt idx="22">
                  <c:v>2.9253216416301298</c:v>
                </c:pt>
                <c:pt idx="23">
                  <c:v>2.7922206703910879</c:v>
                </c:pt>
                <c:pt idx="24">
                  <c:v>2.8377480307878233</c:v>
                </c:pt>
                <c:pt idx="25">
                  <c:v>2.8818782485614314</c:v>
                </c:pt>
                <c:pt idx="27">
                  <c:v>-5.2148647543898763</c:v>
                </c:pt>
                <c:pt idx="28">
                  <c:v>-4.7043712773621165</c:v>
                </c:pt>
                <c:pt idx="29">
                  <c:v>-4.758698013877412</c:v>
                </c:pt>
              </c:numCache>
            </c:numRef>
          </c:val>
          <c:smooth val="0"/>
          <c:extLst>
            <c:ext xmlns:c16="http://schemas.microsoft.com/office/drawing/2014/chart" uri="{C3380CC4-5D6E-409C-BE32-E72D297353CC}">
              <c16:uniqueId val="{00000001-2581-428D-B4B2-5B4490B18476}"/>
            </c:ext>
          </c:extLst>
        </c:ser>
        <c:dLbls>
          <c:showLegendKey val="0"/>
          <c:showVal val="0"/>
          <c:showCatName val="0"/>
          <c:showSerName val="0"/>
          <c:showPercent val="0"/>
          <c:showBubbleSize val="0"/>
        </c:dLbls>
        <c:marker val="1"/>
        <c:smooth val="0"/>
        <c:axId val="292515200"/>
        <c:axId val="292533760"/>
      </c:lineChart>
      <c:catAx>
        <c:axId val="292515200"/>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92533760"/>
        <c:crosses val="autoZero"/>
        <c:auto val="1"/>
        <c:lblAlgn val="ctr"/>
        <c:lblOffset val="100"/>
        <c:tickLblSkip val="2"/>
        <c:tickMarkSkip val="1"/>
        <c:noMultiLvlLbl val="0"/>
      </c:catAx>
      <c:valAx>
        <c:axId val="292533760"/>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92515200"/>
        <c:crosses val="autoZero"/>
        <c:crossBetween val="midCat"/>
      </c:valAx>
      <c:spPr>
        <a:noFill/>
        <a:ln w="12700">
          <a:solidFill>
            <a:srgbClr val="808080"/>
          </a:solidFill>
          <a:prstDash val="solid"/>
        </a:ln>
      </c:spPr>
    </c:plotArea>
    <c:legend>
      <c:legendPos val="r"/>
      <c:layout>
        <c:manualLayout>
          <c:xMode val="edge"/>
          <c:yMode val="edge"/>
          <c:x val="0.14107179758596608"/>
          <c:y val="0.91342256822415979"/>
          <c:w val="0.71964473958410546"/>
          <c:h val="6.2770745209717135E-2"/>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paperSize="9" orientation="landscape"/>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t>Subsidies as % of GDP</a:t>
            </a:r>
          </a:p>
        </c:rich>
      </c:tx>
      <c:layout>
        <c:manualLayout>
          <c:xMode val="edge"/>
          <c:yMode val="edge"/>
          <c:x val="0.33928618297712781"/>
          <c:y val="3.3613445378151259E-2"/>
        </c:manualLayout>
      </c:layout>
      <c:overlay val="0"/>
      <c:spPr>
        <a:noFill/>
        <a:ln w="25400">
          <a:noFill/>
        </a:ln>
      </c:spPr>
    </c:title>
    <c:autoTitleDeleted val="0"/>
    <c:plotArea>
      <c:layout>
        <c:manualLayout>
          <c:layoutTarget val="inner"/>
          <c:xMode val="edge"/>
          <c:yMode val="edge"/>
          <c:x val="0.1272322815293247"/>
          <c:y val="0.17647107096647127"/>
          <c:w val="0.80580444968572307"/>
          <c:h val="0.61904931243793893"/>
        </c:manualLayout>
      </c:layout>
      <c:lineChart>
        <c:grouping val="standard"/>
        <c:varyColors val="0"/>
        <c:ser>
          <c:idx val="0"/>
          <c:order val="0"/>
          <c:tx>
            <c:strRef>
              <c:f>Sector1!$D$67:$E$67</c:f>
              <c:strCache>
                <c:ptCount val="2"/>
                <c:pt idx="0">
                  <c:v>GVT</c:v>
                </c:pt>
                <c:pt idx="1">
                  <c:v>Subsidies (D.3p = D.31p+D.39p)</c:v>
                </c:pt>
              </c:strCache>
            </c:strRef>
          </c:tx>
          <c:spPr>
            <a:ln w="25400">
              <a:solidFill>
                <a:srgbClr val="FF0000"/>
              </a:solidFill>
              <a:prstDash val="solid"/>
            </a:ln>
          </c:spPr>
          <c:marker>
            <c:symbol val="circle"/>
            <c:size val="7"/>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Sector1!$G$67:$AJ$67</c:f>
              <c:numCache>
                <c:formatCode>0.0%</c:formatCode>
                <c:ptCount val="30"/>
                <c:pt idx="0">
                  <c:v>3.4884559578457909E-2</c:v>
                </c:pt>
                <c:pt idx="1">
                  <c:v>3.0184896643779036E-2</c:v>
                </c:pt>
                <c:pt idx="2">
                  <c:v>2.5241125274360055E-2</c:v>
                </c:pt>
                <c:pt idx="3">
                  <c:v>2.015857609138743E-2</c:v>
                </c:pt>
                <c:pt idx="4">
                  <c:v>1.862871685055564E-2</c:v>
                </c:pt>
                <c:pt idx="5">
                  <c:v>1.5133246574756275E-2</c:v>
                </c:pt>
                <c:pt idx="6">
                  <c:v>1.3895716051631077E-2</c:v>
                </c:pt>
                <c:pt idx="7">
                  <c:v>1.4541024157727454E-2</c:v>
                </c:pt>
                <c:pt idx="8">
                  <c:v>1.4543824134243341E-2</c:v>
                </c:pt>
                <c:pt idx="9">
                  <c:v>1.3502335669061742E-2</c:v>
                </c:pt>
                <c:pt idx="10">
                  <c:v>1.3988125811020989E-2</c:v>
                </c:pt>
                <c:pt idx="11">
                  <c:v>1.4570872950341526E-2</c:v>
                </c:pt>
                <c:pt idx="12">
                  <c:v>1.4100648200854108E-2</c:v>
                </c:pt>
                <c:pt idx="13">
                  <c:v>1.4546474152492526E-2</c:v>
                </c:pt>
                <c:pt idx="14">
                  <c:v>1.5369642063554505E-2</c:v>
                </c:pt>
                <c:pt idx="15">
                  <c:v>1.5724962427181379E-2</c:v>
                </c:pt>
                <c:pt idx="16">
                  <c:v>1.6320485719506707E-2</c:v>
                </c:pt>
                <c:pt idx="17">
                  <c:v>1.6800262194042567E-2</c:v>
                </c:pt>
                <c:pt idx="18">
                  <c:v>1.6666936058054992E-2</c:v>
                </c:pt>
                <c:pt idx="19">
                  <c:v>1.6900854494820379E-2</c:v>
                </c:pt>
                <c:pt idx="20">
                  <c:v>1.5809906027380895E-2</c:v>
                </c:pt>
                <c:pt idx="21">
                  <c:v>1.5862512276259681E-2</c:v>
                </c:pt>
                <c:pt idx="22">
                  <c:v>1.5636946785679263E-2</c:v>
                </c:pt>
                <c:pt idx="23">
                  <c:v>1.53230369103232E-2</c:v>
                </c:pt>
                <c:pt idx="24">
                  <c:v>1.5183727605848345E-2</c:v>
                </c:pt>
                <c:pt idx="25">
                  <c:v>1.508646422590218E-2</c:v>
                </c:pt>
              </c:numCache>
            </c:numRef>
          </c:val>
          <c:smooth val="0"/>
          <c:extLst>
            <c:ext xmlns:c16="http://schemas.microsoft.com/office/drawing/2014/chart" uri="{C3380CC4-5D6E-409C-BE32-E72D297353CC}">
              <c16:uniqueId val="{00000000-B9B1-43B8-9C57-FE80492D76DE}"/>
            </c:ext>
          </c:extLst>
        </c:ser>
        <c:dLbls>
          <c:showLegendKey val="0"/>
          <c:showVal val="0"/>
          <c:showCatName val="0"/>
          <c:showSerName val="0"/>
          <c:showPercent val="0"/>
          <c:showBubbleSize val="0"/>
        </c:dLbls>
        <c:marker val="1"/>
        <c:smooth val="0"/>
        <c:axId val="292575104"/>
        <c:axId val="292581376"/>
      </c:lineChart>
      <c:catAx>
        <c:axId val="292575104"/>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92581376"/>
        <c:crosses val="autoZero"/>
        <c:auto val="1"/>
        <c:lblAlgn val="ctr"/>
        <c:lblOffset val="100"/>
        <c:tickLblSkip val="2"/>
        <c:tickMarkSkip val="1"/>
        <c:noMultiLvlLbl val="0"/>
      </c:catAx>
      <c:valAx>
        <c:axId val="292581376"/>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92575104"/>
        <c:crosses val="autoZero"/>
        <c:crossBetween val="midCat"/>
      </c:valAx>
      <c:spPr>
        <a:noFill/>
        <a:ln w="12700">
          <a:solidFill>
            <a:srgbClr val="808080"/>
          </a:solidFill>
          <a:prstDash val="solid"/>
        </a:ln>
      </c:spPr>
    </c:plotArea>
    <c:legend>
      <c:legendPos val="r"/>
      <c:layout>
        <c:manualLayout>
          <c:xMode val="edge"/>
          <c:yMode val="edge"/>
          <c:x val="0.25535781082016645"/>
          <c:y val="0.91342256822415979"/>
          <c:w val="0.58035866095492372"/>
          <c:h val="6.2770745209717135E-2"/>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Gross value added and its components</a:t>
            </a:r>
          </a:p>
        </c:rich>
      </c:tx>
      <c:layout>
        <c:manualLayout>
          <c:xMode val="edge"/>
          <c:yMode val="edge"/>
          <c:x val="0.22321452005999248"/>
          <c:y val="3.3613445378151259E-2"/>
        </c:manualLayout>
      </c:layout>
      <c:overlay val="0"/>
      <c:spPr>
        <a:noFill/>
        <a:ln w="25400">
          <a:noFill/>
        </a:ln>
      </c:spPr>
    </c:title>
    <c:autoTitleDeleted val="0"/>
    <c:plotArea>
      <c:layout>
        <c:manualLayout>
          <c:layoutTarget val="inner"/>
          <c:xMode val="edge"/>
          <c:yMode val="edge"/>
          <c:x val="0.10044653804946686"/>
          <c:y val="0.17366994285589235"/>
          <c:w val="0.83259019316558092"/>
          <c:h val="0.44537936958204655"/>
        </c:manualLayout>
      </c:layout>
      <c:lineChart>
        <c:grouping val="standard"/>
        <c:varyColors val="0"/>
        <c:ser>
          <c:idx val="1"/>
          <c:order val="0"/>
          <c:tx>
            <c:strRef>
              <c:f>Sector1!$D$95:$E$95</c:f>
              <c:strCache>
                <c:ptCount val="2"/>
                <c:pt idx="0">
                  <c:v>GVT</c:v>
                </c:pt>
                <c:pt idx="1">
                  <c:v>Gross value added (B.1g-D.21+D.31)</c:v>
                </c:pt>
              </c:strCache>
            </c:strRef>
          </c:tx>
          <c:spPr>
            <a:ln w="25400">
              <a:solidFill>
                <a:srgbClr val="FF0000"/>
              </a:solidFill>
              <a:prstDash val="solid"/>
            </a:ln>
          </c:spPr>
          <c:marker>
            <c:symbol val="circle"/>
            <c:size val="5"/>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Sector1!$G$95:$AJ$95</c:f>
              <c:numCache>
                <c:formatCode>0.0</c:formatCode>
                <c:ptCount val="30"/>
                <c:pt idx="1">
                  <c:v>3.0507780011299612</c:v>
                </c:pt>
                <c:pt idx="2">
                  <c:v>4.8521769617480226</c:v>
                </c:pt>
                <c:pt idx="3">
                  <c:v>4.9034964783872814</c:v>
                </c:pt>
                <c:pt idx="4">
                  <c:v>5.4636187489403909</c:v>
                </c:pt>
                <c:pt idx="5">
                  <c:v>6.8490448447070751</c:v>
                </c:pt>
                <c:pt idx="6">
                  <c:v>3.9881919940010668</c:v>
                </c:pt>
                <c:pt idx="7">
                  <c:v>3.550535398557253</c:v>
                </c:pt>
                <c:pt idx="8">
                  <c:v>4.1836189156466697</c:v>
                </c:pt>
                <c:pt idx="9">
                  <c:v>4.9261906917438703</c:v>
                </c:pt>
                <c:pt idx="10">
                  <c:v>3.2869816174973421</c:v>
                </c:pt>
                <c:pt idx="11">
                  <c:v>6.7544863617413409</c:v>
                </c:pt>
                <c:pt idx="12">
                  <c:v>6.4701305178664015</c:v>
                </c:pt>
                <c:pt idx="13">
                  <c:v>2.8968215944882525</c:v>
                </c:pt>
                <c:pt idx="14">
                  <c:v>-3.4980913463576346</c:v>
                </c:pt>
                <c:pt idx="15">
                  <c:v>7.1709291889246574</c:v>
                </c:pt>
                <c:pt idx="16">
                  <c:v>4.1560476819174408</c:v>
                </c:pt>
                <c:pt idx="17">
                  <c:v>0.94965075570188073</c:v>
                </c:pt>
                <c:pt idx="18">
                  <c:v>2.4376574179738375</c:v>
                </c:pt>
                <c:pt idx="19">
                  <c:v>4.5992977905992216</c:v>
                </c:pt>
                <c:pt idx="20">
                  <c:v>6.6020121651141794</c:v>
                </c:pt>
                <c:pt idx="21">
                  <c:v>4.1633346231566337</c:v>
                </c:pt>
                <c:pt idx="22">
                  <c:v>4.4557081150022437</c:v>
                </c:pt>
                <c:pt idx="23">
                  <c:v>4.8930254054674105</c:v>
                </c:pt>
                <c:pt idx="24">
                  <c:v>3.7052385513229424</c:v>
                </c:pt>
                <c:pt idx="25">
                  <c:v>3.5551897618169903</c:v>
                </c:pt>
              </c:numCache>
            </c:numRef>
          </c:val>
          <c:smooth val="0"/>
          <c:extLst>
            <c:ext xmlns:c16="http://schemas.microsoft.com/office/drawing/2014/chart" uri="{C3380CC4-5D6E-409C-BE32-E72D297353CC}">
              <c16:uniqueId val="{00000000-DEFE-41DE-99C5-B6DB3D47D9D9}"/>
            </c:ext>
          </c:extLst>
        </c:ser>
        <c:ser>
          <c:idx val="0"/>
          <c:order val="1"/>
          <c:tx>
            <c:strRef>
              <c:f>Sector1!$D$92:$E$92</c:f>
              <c:strCache>
                <c:ptCount val="2"/>
                <c:pt idx="0">
                  <c:v>HH</c:v>
                </c:pt>
                <c:pt idx="1">
                  <c:v>Gross value added (B.1g-D.21+D.31)</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val>
            <c:numRef>
              <c:f>Sector1!$G$92:$AJ$92</c:f>
              <c:numCache>
                <c:formatCode>0.0</c:formatCode>
                <c:ptCount val="30"/>
                <c:pt idx="1">
                  <c:v>3.1329912150995787</c:v>
                </c:pt>
                <c:pt idx="2">
                  <c:v>1.4089891936263754</c:v>
                </c:pt>
                <c:pt idx="3">
                  <c:v>2.6479785323013427</c:v>
                </c:pt>
                <c:pt idx="4">
                  <c:v>1.5523387706600555</c:v>
                </c:pt>
                <c:pt idx="5">
                  <c:v>11.752848192155895</c:v>
                </c:pt>
                <c:pt idx="6">
                  <c:v>3.8008481231349256</c:v>
                </c:pt>
                <c:pt idx="7">
                  <c:v>5.3448694846788269</c:v>
                </c:pt>
                <c:pt idx="8">
                  <c:v>2.8669794649929914</c:v>
                </c:pt>
                <c:pt idx="9">
                  <c:v>0.82846395674047724</c:v>
                </c:pt>
                <c:pt idx="10">
                  <c:v>2.603451965807646</c:v>
                </c:pt>
                <c:pt idx="11">
                  <c:v>5.9663889604626652</c:v>
                </c:pt>
                <c:pt idx="12">
                  <c:v>8.924277570428929</c:v>
                </c:pt>
                <c:pt idx="13">
                  <c:v>-2.713553238156996</c:v>
                </c:pt>
                <c:pt idx="14">
                  <c:v>-2.6959989801679018</c:v>
                </c:pt>
                <c:pt idx="15">
                  <c:v>5.7188203014751693</c:v>
                </c:pt>
                <c:pt idx="16">
                  <c:v>1.8832918482744487</c:v>
                </c:pt>
                <c:pt idx="17">
                  <c:v>-2.9223284100781899</c:v>
                </c:pt>
                <c:pt idx="18">
                  <c:v>1.1179884084326908</c:v>
                </c:pt>
                <c:pt idx="19">
                  <c:v>2.9380735244137313</c:v>
                </c:pt>
                <c:pt idx="20">
                  <c:v>0.53686335606664137</c:v>
                </c:pt>
                <c:pt idx="21">
                  <c:v>3.8358123178390935</c:v>
                </c:pt>
                <c:pt idx="22">
                  <c:v>5.2112263084895805</c:v>
                </c:pt>
                <c:pt idx="23">
                  <c:v>3.4366200309635886</c:v>
                </c:pt>
                <c:pt idx="24">
                  <c:v>3.1943976645070649</c:v>
                </c:pt>
                <c:pt idx="25">
                  <c:v>3.3303509356632066</c:v>
                </c:pt>
              </c:numCache>
            </c:numRef>
          </c:val>
          <c:smooth val="0"/>
          <c:extLst>
            <c:ext xmlns:c16="http://schemas.microsoft.com/office/drawing/2014/chart" uri="{C3380CC4-5D6E-409C-BE32-E72D297353CC}">
              <c16:uniqueId val="{00000001-DEFE-41DE-99C5-B6DB3D47D9D9}"/>
            </c:ext>
          </c:extLst>
        </c:ser>
        <c:ser>
          <c:idx val="2"/>
          <c:order val="2"/>
          <c:tx>
            <c:strRef>
              <c:f>Sector1!$D$93:$E$93</c:f>
              <c:strCache>
                <c:ptCount val="2"/>
                <c:pt idx="0">
                  <c:v>E</c:v>
                </c:pt>
                <c:pt idx="1">
                  <c:v>Gross value added (B.1g-D.21+D.31)</c:v>
                </c:pt>
              </c:strCache>
            </c:strRef>
          </c:tx>
          <c:spPr>
            <a:ln w="25400">
              <a:solidFill>
                <a:srgbClr val="993366"/>
              </a:solidFill>
              <a:prstDash val="solid"/>
            </a:ln>
          </c:spPr>
          <c:marker>
            <c:symbol val="circle"/>
            <c:size val="5"/>
            <c:spPr>
              <a:solidFill>
                <a:srgbClr val="FFFFFF"/>
              </a:solidFill>
              <a:ln>
                <a:solidFill>
                  <a:srgbClr val="993366"/>
                </a:solidFill>
                <a:prstDash val="solid"/>
              </a:ln>
            </c:spPr>
          </c:marker>
          <c:val>
            <c:numRef>
              <c:f>Sector1!$G$93:$AJ$93</c:f>
              <c:numCache>
                <c:formatCode>0.0</c:formatCode>
                <c:ptCount val="30"/>
                <c:pt idx="1">
                  <c:v>2.3174839772836631</c:v>
                </c:pt>
                <c:pt idx="2">
                  <c:v>6.1846666168762887</c:v>
                </c:pt>
                <c:pt idx="3">
                  <c:v>5.9429388502871161</c:v>
                </c:pt>
                <c:pt idx="4">
                  <c:v>6.3753160360005445</c:v>
                </c:pt>
                <c:pt idx="5">
                  <c:v>7.4866899129695463</c:v>
                </c:pt>
                <c:pt idx="6">
                  <c:v>3.6125393725395361</c:v>
                </c:pt>
                <c:pt idx="7">
                  <c:v>2.7451484554501748</c:v>
                </c:pt>
                <c:pt idx="8">
                  <c:v>3.8232238615574898</c:v>
                </c:pt>
                <c:pt idx="9">
                  <c:v>6.0164832617946251</c:v>
                </c:pt>
                <c:pt idx="10">
                  <c:v>3.5688884846958313</c:v>
                </c:pt>
                <c:pt idx="11">
                  <c:v>7.6979754819818558</c:v>
                </c:pt>
                <c:pt idx="12">
                  <c:v>6.6624645709498331</c:v>
                </c:pt>
                <c:pt idx="13">
                  <c:v>3.3195707970282484</c:v>
                </c:pt>
                <c:pt idx="14">
                  <c:v>-4.8493468503503889</c:v>
                </c:pt>
                <c:pt idx="15">
                  <c:v>8.9578283617463228</c:v>
                </c:pt>
                <c:pt idx="16">
                  <c:v>4.7862281349410063</c:v>
                </c:pt>
                <c:pt idx="17">
                  <c:v>0.53185776962871856</c:v>
                </c:pt>
                <c:pt idx="18">
                  <c:v>2.3635235381810116</c:v>
                </c:pt>
                <c:pt idx="19">
                  <c:v>5.1156405675909511</c:v>
                </c:pt>
                <c:pt idx="20">
                  <c:v>7.8889763302863569</c:v>
                </c:pt>
                <c:pt idx="21">
                  <c:v>3.8807448546324341</c:v>
                </c:pt>
                <c:pt idx="22">
                  <c:v>4.2412656207689192</c:v>
                </c:pt>
                <c:pt idx="23">
                  <c:v>5.1767901243026326</c:v>
                </c:pt>
                <c:pt idx="24">
                  <c:v>3.7084279875117865</c:v>
                </c:pt>
                <c:pt idx="25">
                  <c:v>3.5357323238297989</c:v>
                </c:pt>
              </c:numCache>
            </c:numRef>
          </c:val>
          <c:smooth val="0"/>
          <c:extLst>
            <c:ext xmlns:c16="http://schemas.microsoft.com/office/drawing/2014/chart" uri="{C3380CC4-5D6E-409C-BE32-E72D297353CC}">
              <c16:uniqueId val="{00000002-DEFE-41DE-99C5-B6DB3D47D9D9}"/>
            </c:ext>
          </c:extLst>
        </c:ser>
        <c:ser>
          <c:idx val="3"/>
          <c:order val="3"/>
          <c:tx>
            <c:strRef>
              <c:f>Sector1!$D$94:$E$94</c:f>
              <c:strCache>
                <c:ptCount val="2"/>
                <c:pt idx="0">
                  <c:v>GVT</c:v>
                </c:pt>
                <c:pt idx="1">
                  <c:v>Gross value added (B.1g-D.21+D.31)</c:v>
                </c:pt>
              </c:strCache>
            </c:strRef>
          </c:tx>
          <c:spPr>
            <a:ln w="25400">
              <a:solidFill>
                <a:srgbClr val="008000"/>
              </a:solidFill>
              <a:prstDash val="solid"/>
            </a:ln>
          </c:spPr>
          <c:marker>
            <c:symbol val="circle"/>
            <c:size val="5"/>
            <c:spPr>
              <a:solidFill>
                <a:srgbClr val="FFFFFF"/>
              </a:solidFill>
              <a:ln>
                <a:solidFill>
                  <a:srgbClr val="008000"/>
                </a:solidFill>
                <a:prstDash val="solid"/>
              </a:ln>
            </c:spPr>
          </c:marker>
          <c:val>
            <c:numRef>
              <c:f>Sector1!$G$94:$AJ$94</c:f>
              <c:numCache>
                <c:formatCode>0.0</c:formatCode>
                <c:ptCount val="30"/>
                <c:pt idx="1">
                  <c:v>5.2476495902201048</c:v>
                </c:pt>
                <c:pt idx="2">
                  <c:v>2.4975584347939339</c:v>
                </c:pt>
                <c:pt idx="3">
                  <c:v>2.7454168942868451</c:v>
                </c:pt>
                <c:pt idx="4">
                  <c:v>4.3677819818483066</c:v>
                </c:pt>
                <c:pt idx="5">
                  <c:v>2.6066743754028288</c:v>
                </c:pt>
                <c:pt idx="6">
                  <c:v>5.3490149711453938</c:v>
                </c:pt>
                <c:pt idx="7">
                  <c:v>5.3704986453191106</c:v>
                </c:pt>
                <c:pt idx="8">
                  <c:v>5.9813270757401726</c:v>
                </c:pt>
                <c:pt idx="9">
                  <c:v>3.3644258098961988</c:v>
                </c:pt>
                <c:pt idx="10">
                  <c:v>2.677994941016526</c:v>
                </c:pt>
                <c:pt idx="11">
                  <c:v>4.0108010135197381</c:v>
                </c:pt>
                <c:pt idx="12">
                  <c:v>4.6851216979387544</c:v>
                </c:pt>
                <c:pt idx="13">
                  <c:v>4.1207764589179297</c:v>
                </c:pt>
                <c:pt idx="14">
                  <c:v>0.79072210693915679</c:v>
                </c:pt>
                <c:pt idx="15">
                  <c:v>1.9961769480650871</c:v>
                </c:pt>
                <c:pt idx="16">
                  <c:v>2.9885870979617923</c:v>
                </c:pt>
                <c:pt idx="17">
                  <c:v>4.1410052742924863</c:v>
                </c:pt>
                <c:pt idx="18">
                  <c:v>3.2356718431892473</c:v>
                </c:pt>
                <c:pt idx="19">
                  <c:v>3.5273833700470547</c:v>
                </c:pt>
                <c:pt idx="20">
                  <c:v>4.6287618380487228</c:v>
                </c:pt>
                <c:pt idx="21">
                  <c:v>5.2895715603164417</c:v>
                </c:pt>
                <c:pt idx="22">
                  <c:v>4.9158861827645506</c:v>
                </c:pt>
                <c:pt idx="23">
                  <c:v>4.4662038073461474</c:v>
                </c:pt>
                <c:pt idx="24">
                  <c:v>3.8875819897776775</c:v>
                </c:pt>
                <c:pt idx="25">
                  <c:v>3.7075856016635322</c:v>
                </c:pt>
              </c:numCache>
            </c:numRef>
          </c:val>
          <c:smooth val="0"/>
          <c:extLst>
            <c:ext xmlns:c16="http://schemas.microsoft.com/office/drawing/2014/chart" uri="{C3380CC4-5D6E-409C-BE32-E72D297353CC}">
              <c16:uniqueId val="{00000003-DEFE-41DE-99C5-B6DB3D47D9D9}"/>
            </c:ext>
          </c:extLst>
        </c:ser>
        <c:dLbls>
          <c:showLegendKey val="0"/>
          <c:showVal val="0"/>
          <c:showCatName val="0"/>
          <c:showSerName val="0"/>
          <c:showPercent val="0"/>
          <c:showBubbleSize val="0"/>
        </c:dLbls>
        <c:marker val="1"/>
        <c:smooth val="0"/>
        <c:axId val="292693888"/>
        <c:axId val="292696064"/>
      </c:lineChart>
      <c:catAx>
        <c:axId val="292693888"/>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92696064"/>
        <c:crosses val="autoZero"/>
        <c:auto val="1"/>
        <c:lblAlgn val="ctr"/>
        <c:lblOffset val="100"/>
        <c:tickLblSkip val="2"/>
        <c:tickMarkSkip val="1"/>
        <c:noMultiLvlLbl val="0"/>
      </c:catAx>
      <c:valAx>
        <c:axId val="292696064"/>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92693888"/>
        <c:crosses val="autoZero"/>
        <c:crossBetween val="midCat"/>
      </c:valAx>
      <c:spPr>
        <a:noFill/>
        <a:ln w="12700">
          <a:solidFill>
            <a:srgbClr val="808080"/>
          </a:solidFill>
          <a:prstDash val="solid"/>
        </a:ln>
      </c:spPr>
    </c:plotArea>
    <c:legend>
      <c:legendPos val="r"/>
      <c:layout>
        <c:manualLayout>
          <c:xMode val="edge"/>
          <c:yMode val="edge"/>
          <c:x val="9.821454262314093E-2"/>
          <c:y val="0.74242640023906825"/>
          <c:w val="0.7500019618494399"/>
          <c:h val="0.23593142165031619"/>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Government compensation of employees as % of GVA</a:t>
            </a:r>
          </a:p>
        </c:rich>
      </c:tx>
      <c:layout>
        <c:manualLayout>
          <c:xMode val="edge"/>
          <c:yMode val="edge"/>
          <c:x val="0.11607166291713535"/>
          <c:y val="3.3613445378151259E-2"/>
        </c:manualLayout>
      </c:layout>
      <c:overlay val="0"/>
      <c:spPr>
        <a:noFill/>
        <a:ln w="25400">
          <a:noFill/>
        </a:ln>
      </c:spPr>
    </c:title>
    <c:autoTitleDeleted val="0"/>
    <c:plotArea>
      <c:layout>
        <c:manualLayout>
          <c:layoutTarget val="inner"/>
          <c:xMode val="edge"/>
          <c:yMode val="edge"/>
          <c:x val="0.14285729855924176"/>
          <c:y val="0.17366994285589235"/>
          <c:w val="0.79017943265580604"/>
          <c:h val="0.62465156865909666"/>
        </c:manualLayout>
      </c:layout>
      <c:lineChart>
        <c:grouping val="standard"/>
        <c:varyColors val="0"/>
        <c:ser>
          <c:idx val="2"/>
          <c:order val="0"/>
          <c:tx>
            <c:strRef>
              <c:f>Sector1!$E$86</c:f>
              <c:strCache>
                <c:ptCount val="1"/>
                <c:pt idx="0">
                  <c:v>Compensation of employees (D.1p) </c:v>
                </c:pt>
              </c:strCache>
            </c:strRef>
          </c:tx>
          <c:spPr>
            <a:ln w="25400">
              <a:solidFill>
                <a:srgbClr val="008000"/>
              </a:solidFill>
              <a:prstDash val="solid"/>
            </a:ln>
          </c:spPr>
          <c:marker>
            <c:symbol val="circle"/>
            <c:size val="7"/>
            <c:spPr>
              <a:solidFill>
                <a:srgbClr val="FFFFFF"/>
              </a:solidFill>
              <a:ln>
                <a:solidFill>
                  <a:srgbClr val="008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Sector1!$G$86:$AJ$86</c:f>
              <c:numCache>
                <c:formatCode>0.0%</c:formatCode>
                <c:ptCount val="30"/>
                <c:pt idx="0">
                  <c:v>0.69675191184935448</c:v>
                </c:pt>
                <c:pt idx="1">
                  <c:v>0.69807930203789315</c:v>
                </c:pt>
                <c:pt idx="2">
                  <c:v>0.69746039408992155</c:v>
                </c:pt>
                <c:pt idx="3">
                  <c:v>0.65939115166802675</c:v>
                </c:pt>
                <c:pt idx="4">
                  <c:v>0.66572676953406384</c:v>
                </c:pt>
                <c:pt idx="5">
                  <c:v>0.68007519057439036</c:v>
                </c:pt>
                <c:pt idx="6">
                  <c:v>0.6818670045331392</c:v>
                </c:pt>
                <c:pt idx="7">
                  <c:v>0.68229400702314968</c:v>
                </c:pt>
                <c:pt idx="8">
                  <c:v>0.68772671597493762</c:v>
                </c:pt>
                <c:pt idx="9">
                  <c:v>0.686586097670285</c:v>
                </c:pt>
                <c:pt idx="10">
                  <c:v>0.68634337605652029</c:v>
                </c:pt>
                <c:pt idx="11">
                  <c:v>0.68971115410330464</c:v>
                </c:pt>
                <c:pt idx="12">
                  <c:v>0.6907515236341647</c:v>
                </c:pt>
                <c:pt idx="13">
                  <c:v>0.68904082325150406</c:v>
                </c:pt>
                <c:pt idx="14">
                  <c:v>0.68587688218946596</c:v>
                </c:pt>
                <c:pt idx="15">
                  <c:v>0.68674186402269888</c:v>
                </c:pt>
                <c:pt idx="16">
                  <c:v>0.68651627049123498</c:v>
                </c:pt>
                <c:pt idx="17">
                  <c:v>0.68741862364471384</c:v>
                </c:pt>
                <c:pt idx="18">
                  <c:v>0.68973157661653828</c:v>
                </c:pt>
                <c:pt idx="19">
                  <c:v>0.69164660491477159</c:v>
                </c:pt>
                <c:pt idx="20">
                  <c:v>0.69120614351359966</c:v>
                </c:pt>
                <c:pt idx="21">
                  <c:v>0.69405994468230015</c:v>
                </c:pt>
                <c:pt idx="22">
                  <c:v>0.69527216889491494</c:v>
                </c:pt>
                <c:pt idx="23">
                  <c:v>0.69843105875800882</c:v>
                </c:pt>
                <c:pt idx="24">
                  <c:v>0.69988548683620699</c:v>
                </c:pt>
                <c:pt idx="25">
                  <c:v>0.70080507147799675</c:v>
                </c:pt>
              </c:numCache>
            </c:numRef>
          </c:val>
          <c:smooth val="0"/>
          <c:extLst>
            <c:ext xmlns:c16="http://schemas.microsoft.com/office/drawing/2014/chart" uri="{C3380CC4-5D6E-409C-BE32-E72D297353CC}">
              <c16:uniqueId val="{00000000-4CA9-4BF1-9D32-CA3E9B17AA06}"/>
            </c:ext>
          </c:extLst>
        </c:ser>
        <c:dLbls>
          <c:showLegendKey val="0"/>
          <c:showVal val="0"/>
          <c:showCatName val="0"/>
          <c:showSerName val="0"/>
          <c:showPercent val="0"/>
          <c:showBubbleSize val="0"/>
        </c:dLbls>
        <c:marker val="1"/>
        <c:smooth val="0"/>
        <c:axId val="292718080"/>
        <c:axId val="292720000"/>
      </c:lineChart>
      <c:catAx>
        <c:axId val="292718080"/>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92720000"/>
        <c:crosses val="autoZero"/>
        <c:auto val="1"/>
        <c:lblAlgn val="ctr"/>
        <c:lblOffset val="100"/>
        <c:tickLblSkip val="2"/>
        <c:tickMarkSkip val="1"/>
        <c:noMultiLvlLbl val="0"/>
      </c:catAx>
      <c:valAx>
        <c:axId val="292720000"/>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92718080"/>
        <c:crosses val="autoZero"/>
        <c:crossBetween val="midCat"/>
      </c:valAx>
      <c:spPr>
        <a:noFill/>
        <a:ln w="12700">
          <a:solidFill>
            <a:srgbClr val="808080"/>
          </a:solidFill>
          <a:prstDash val="solid"/>
        </a:ln>
      </c:spPr>
    </c:plotArea>
    <c:legend>
      <c:legendPos val="r"/>
      <c:layout>
        <c:manualLayout>
          <c:xMode val="edge"/>
          <c:yMode val="edge"/>
          <c:x val="0.18928620941914434"/>
          <c:y val="0.91342256822415979"/>
          <c:w val="0.67321604670771151"/>
          <c:h val="6.2770745209717135E-2"/>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Corporate compensation of employees as % of GVA</a:t>
            </a:r>
          </a:p>
        </c:rich>
      </c:tx>
      <c:layout>
        <c:manualLayout>
          <c:xMode val="edge"/>
          <c:yMode val="edge"/>
          <c:x val="0.13392880577427821"/>
          <c:y val="3.3613445378151259E-2"/>
        </c:manualLayout>
      </c:layout>
      <c:overlay val="0"/>
      <c:spPr>
        <a:noFill/>
        <a:ln w="25400">
          <a:noFill/>
        </a:ln>
      </c:spPr>
    </c:title>
    <c:autoTitleDeleted val="0"/>
    <c:plotArea>
      <c:layout>
        <c:manualLayout>
          <c:layoutTarget val="inner"/>
          <c:xMode val="edge"/>
          <c:yMode val="edge"/>
          <c:x val="0.14285729855924176"/>
          <c:y val="0.17366994285589235"/>
          <c:w val="0.79017943265580604"/>
          <c:h val="0.62465156865909666"/>
        </c:manualLayout>
      </c:layout>
      <c:lineChart>
        <c:grouping val="standard"/>
        <c:varyColors val="0"/>
        <c:ser>
          <c:idx val="2"/>
          <c:order val="0"/>
          <c:tx>
            <c:strRef>
              <c:f>Sector1!$E$81</c:f>
              <c:strCache>
                <c:ptCount val="1"/>
                <c:pt idx="0">
                  <c:v>Compensation of employees (D.1p) </c:v>
                </c:pt>
              </c:strCache>
            </c:strRef>
          </c:tx>
          <c:spPr>
            <a:ln w="25400">
              <a:solidFill>
                <a:srgbClr val="993366"/>
              </a:solidFill>
              <a:prstDash val="solid"/>
            </a:ln>
          </c:spPr>
          <c:marker>
            <c:symbol val="circle"/>
            <c:size val="7"/>
            <c:spPr>
              <a:solidFill>
                <a:srgbClr val="FFFFFF"/>
              </a:solidFill>
              <a:ln>
                <a:solidFill>
                  <a:srgbClr val="993366"/>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Sector1!$G$81:$AJ$81</c:f>
              <c:numCache>
                <c:formatCode>0.0%</c:formatCode>
                <c:ptCount val="30"/>
                <c:pt idx="0">
                  <c:v>0.4945407240856331</c:v>
                </c:pt>
                <c:pt idx="1">
                  <c:v>0.51433215740199723</c:v>
                </c:pt>
                <c:pt idx="2">
                  <c:v>0.51112584019932261</c:v>
                </c:pt>
                <c:pt idx="3">
                  <c:v>0.48910071209149636</c:v>
                </c:pt>
                <c:pt idx="4">
                  <c:v>0.48951603488267087</c:v>
                </c:pt>
                <c:pt idx="5">
                  <c:v>0.50598981761744821</c:v>
                </c:pt>
                <c:pt idx="6">
                  <c:v>0.52461291481653627</c:v>
                </c:pt>
                <c:pt idx="7">
                  <c:v>0.52404770720144656</c:v>
                </c:pt>
                <c:pt idx="8">
                  <c:v>0.5153896310580004</c:v>
                </c:pt>
                <c:pt idx="9">
                  <c:v>0.50234295934595352</c:v>
                </c:pt>
                <c:pt idx="10">
                  <c:v>0.50280906307713003</c:v>
                </c:pt>
                <c:pt idx="11">
                  <c:v>0.48990582392696297</c:v>
                </c:pt>
                <c:pt idx="12">
                  <c:v>0.50115052582166064</c:v>
                </c:pt>
                <c:pt idx="13">
                  <c:v>0.51156148864244277</c:v>
                </c:pt>
                <c:pt idx="14">
                  <c:v>0.53632730083870772</c:v>
                </c:pt>
                <c:pt idx="15">
                  <c:v>0.50935900919569888</c:v>
                </c:pt>
                <c:pt idx="16">
                  <c:v>0.51989129723004379</c:v>
                </c:pt>
                <c:pt idx="17">
                  <c:v>0.53784403819121929</c:v>
                </c:pt>
                <c:pt idx="18">
                  <c:v>0.54031903976691598</c:v>
                </c:pt>
                <c:pt idx="19">
                  <c:v>0.53411788445628261</c:v>
                </c:pt>
                <c:pt idx="20">
                  <c:v>0.51762167516356949</c:v>
                </c:pt>
                <c:pt idx="21">
                  <c:v>0.52183630816917959</c:v>
                </c:pt>
                <c:pt idx="22">
                  <c:v>0.52326109597890058</c:v>
                </c:pt>
                <c:pt idx="23">
                  <c:v>0.51963254504566947</c:v>
                </c:pt>
                <c:pt idx="24">
                  <c:v>0.51864947679791307</c:v>
                </c:pt>
                <c:pt idx="25">
                  <c:v>0.51595879619624863</c:v>
                </c:pt>
              </c:numCache>
            </c:numRef>
          </c:val>
          <c:smooth val="0"/>
          <c:extLst>
            <c:ext xmlns:c16="http://schemas.microsoft.com/office/drawing/2014/chart" uri="{C3380CC4-5D6E-409C-BE32-E72D297353CC}">
              <c16:uniqueId val="{00000000-F883-4553-AD04-E9DDBF3E398B}"/>
            </c:ext>
          </c:extLst>
        </c:ser>
        <c:dLbls>
          <c:showLegendKey val="0"/>
          <c:showVal val="0"/>
          <c:showCatName val="0"/>
          <c:showSerName val="0"/>
          <c:showPercent val="0"/>
          <c:showBubbleSize val="0"/>
        </c:dLbls>
        <c:marker val="1"/>
        <c:smooth val="0"/>
        <c:axId val="292883456"/>
        <c:axId val="292906112"/>
      </c:lineChart>
      <c:catAx>
        <c:axId val="292883456"/>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92906112"/>
        <c:crosses val="autoZero"/>
        <c:auto val="1"/>
        <c:lblAlgn val="ctr"/>
        <c:lblOffset val="100"/>
        <c:tickLblSkip val="2"/>
        <c:tickMarkSkip val="1"/>
        <c:noMultiLvlLbl val="0"/>
      </c:catAx>
      <c:valAx>
        <c:axId val="292906112"/>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92883456"/>
        <c:crosses val="autoZero"/>
        <c:crossBetween val="midCat"/>
      </c:valAx>
      <c:spPr>
        <a:noFill/>
        <a:ln w="12700">
          <a:solidFill>
            <a:srgbClr val="808080"/>
          </a:solidFill>
          <a:prstDash val="solid"/>
        </a:ln>
      </c:spPr>
    </c:plotArea>
    <c:legend>
      <c:legendPos val="r"/>
      <c:layout>
        <c:manualLayout>
          <c:xMode val="edge"/>
          <c:yMode val="edge"/>
          <c:x val="0.20000052315985065"/>
          <c:y val="0.91558707667966743"/>
          <c:w val="0.66428745192378968"/>
          <c:h val="6.2770745209717135E-2"/>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Household compensation of employees as % of GVA</a:t>
            </a:r>
          </a:p>
        </c:rich>
      </c:tx>
      <c:layout>
        <c:manualLayout>
          <c:xMode val="edge"/>
          <c:yMode val="edge"/>
          <c:x val="0.12946452005999248"/>
          <c:y val="3.3613445378151259E-2"/>
        </c:manualLayout>
      </c:layout>
      <c:overlay val="0"/>
      <c:spPr>
        <a:noFill/>
        <a:ln w="25400">
          <a:noFill/>
        </a:ln>
      </c:spPr>
    </c:title>
    <c:autoTitleDeleted val="0"/>
    <c:plotArea>
      <c:layout>
        <c:manualLayout>
          <c:layoutTarget val="inner"/>
          <c:xMode val="edge"/>
          <c:yMode val="edge"/>
          <c:x val="0.14285729855924176"/>
          <c:y val="0.17647107096647127"/>
          <c:w val="0.79017943265580604"/>
          <c:h val="0.61904931243793893"/>
        </c:manualLayout>
      </c:layout>
      <c:lineChart>
        <c:grouping val="standard"/>
        <c:varyColors val="0"/>
        <c:ser>
          <c:idx val="2"/>
          <c:order val="0"/>
          <c:tx>
            <c:strRef>
              <c:f>Sector1!$E$76</c:f>
              <c:strCache>
                <c:ptCount val="1"/>
                <c:pt idx="0">
                  <c:v>Compensation of employees (D.1p) </c:v>
                </c:pt>
              </c:strCache>
            </c:strRef>
          </c:tx>
          <c:spPr>
            <a:ln w="25400">
              <a:solidFill>
                <a:srgbClr val="0000FF"/>
              </a:solidFill>
              <a:prstDash val="solid"/>
            </a:ln>
          </c:spPr>
          <c:marker>
            <c:symbol val="circle"/>
            <c:size val="7"/>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Sector1!$G$76:$AJ$76</c:f>
              <c:numCache>
                <c:formatCode>0.0%</c:formatCode>
                <c:ptCount val="30"/>
                <c:pt idx="0">
                  <c:v>0.14767330607984691</c:v>
                </c:pt>
                <c:pt idx="1">
                  <c:v>0.14892779633190523</c:v>
                </c:pt>
                <c:pt idx="2">
                  <c:v>0.15346743252533765</c:v>
                </c:pt>
                <c:pt idx="3">
                  <c:v>0.15166900723776602</c:v>
                </c:pt>
                <c:pt idx="4">
                  <c:v>0.15440339549182508</c:v>
                </c:pt>
                <c:pt idx="5">
                  <c:v>0.17140463850060209</c:v>
                </c:pt>
                <c:pt idx="6">
                  <c:v>0.17301017437195373</c:v>
                </c:pt>
                <c:pt idx="7">
                  <c:v>0.17186643105234295</c:v>
                </c:pt>
                <c:pt idx="8">
                  <c:v>0.1754287237508515</c:v>
                </c:pt>
                <c:pt idx="9">
                  <c:v>0.18050012799046575</c:v>
                </c:pt>
                <c:pt idx="10">
                  <c:v>0.18249264835196297</c:v>
                </c:pt>
                <c:pt idx="11">
                  <c:v>0.1811448487211057</c:v>
                </c:pt>
                <c:pt idx="12">
                  <c:v>0.17594866288937788</c:v>
                </c:pt>
                <c:pt idx="13">
                  <c:v>0.18567500136584655</c:v>
                </c:pt>
                <c:pt idx="14">
                  <c:v>0.19635938956328394</c:v>
                </c:pt>
                <c:pt idx="15">
                  <c:v>0.19251781851142402</c:v>
                </c:pt>
                <c:pt idx="16">
                  <c:v>0.19590964378801043</c:v>
                </c:pt>
                <c:pt idx="17">
                  <c:v>0.20473543088912835</c:v>
                </c:pt>
                <c:pt idx="18">
                  <c:v>0.20667058457006912</c:v>
                </c:pt>
                <c:pt idx="19">
                  <c:v>0.2060062662718434</c:v>
                </c:pt>
                <c:pt idx="20">
                  <c:v>0.20833048261518039</c:v>
                </c:pt>
                <c:pt idx="21">
                  <c:v>0.20185348079476309</c:v>
                </c:pt>
                <c:pt idx="22">
                  <c:v>0.19409121510544691</c:v>
                </c:pt>
                <c:pt idx="23">
                  <c:v>0.18951907670399468</c:v>
                </c:pt>
                <c:pt idx="24">
                  <c:v>0.1845707484109132</c:v>
                </c:pt>
                <c:pt idx="25">
                  <c:v>0.17951511871711537</c:v>
                </c:pt>
              </c:numCache>
            </c:numRef>
          </c:val>
          <c:smooth val="0"/>
          <c:extLst>
            <c:ext xmlns:c16="http://schemas.microsoft.com/office/drawing/2014/chart" uri="{C3380CC4-5D6E-409C-BE32-E72D297353CC}">
              <c16:uniqueId val="{00000000-BB38-428C-AF16-9013C7DD4AE5}"/>
            </c:ext>
          </c:extLst>
        </c:ser>
        <c:dLbls>
          <c:showLegendKey val="0"/>
          <c:showVal val="0"/>
          <c:showCatName val="0"/>
          <c:showSerName val="0"/>
          <c:showPercent val="0"/>
          <c:showBubbleSize val="0"/>
        </c:dLbls>
        <c:marker val="1"/>
        <c:smooth val="0"/>
        <c:axId val="292954880"/>
        <c:axId val="292956800"/>
      </c:lineChart>
      <c:catAx>
        <c:axId val="292954880"/>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92956800"/>
        <c:crosses val="autoZero"/>
        <c:auto val="1"/>
        <c:lblAlgn val="ctr"/>
        <c:lblOffset val="100"/>
        <c:tickLblSkip val="2"/>
        <c:tickMarkSkip val="1"/>
        <c:noMultiLvlLbl val="0"/>
      </c:catAx>
      <c:valAx>
        <c:axId val="292956800"/>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92954880"/>
        <c:crosses val="autoZero"/>
        <c:crossBetween val="midCat"/>
      </c:valAx>
      <c:spPr>
        <a:noFill/>
        <a:ln w="12700">
          <a:solidFill>
            <a:srgbClr val="808080"/>
          </a:solidFill>
          <a:prstDash val="solid"/>
        </a:ln>
      </c:spPr>
    </c:plotArea>
    <c:legend>
      <c:legendPos val="r"/>
      <c:layout>
        <c:manualLayout>
          <c:xMode val="edge"/>
          <c:yMode val="edge"/>
          <c:x val="0.26428640560408839"/>
          <c:y val="0.91342256822415979"/>
          <c:w val="0.55714431451672686"/>
          <c:h val="6.2770745209717135E-2"/>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75" b="1" i="0" u="none" strike="noStrike" baseline="0">
                <a:solidFill>
                  <a:srgbClr val="000000"/>
                </a:solidFill>
                <a:latin typeface="Arial"/>
                <a:ea typeface="Arial"/>
                <a:cs typeface="Arial"/>
              </a:defRPr>
            </a:pPr>
            <a:r>
              <a:t>Social benefits (HH, received) and GDP</a:t>
            </a:r>
          </a:p>
        </c:rich>
      </c:tx>
      <c:layout>
        <c:manualLayout>
          <c:xMode val="edge"/>
          <c:yMode val="edge"/>
          <c:x val="0.25446452005999248"/>
          <c:y val="3.3613445378151259E-2"/>
        </c:manualLayout>
      </c:layout>
      <c:overlay val="0"/>
      <c:spPr>
        <a:noFill/>
        <a:ln w="25400">
          <a:noFill/>
        </a:ln>
      </c:spPr>
    </c:title>
    <c:autoTitleDeleted val="0"/>
    <c:plotArea>
      <c:layout>
        <c:manualLayout>
          <c:layoutTarget val="inner"/>
          <c:xMode val="edge"/>
          <c:yMode val="edge"/>
          <c:x val="9.1517956889514251E-2"/>
          <c:y val="0.17366994285589235"/>
          <c:w val="0.84151877432553357"/>
          <c:h val="0.62185044054851779"/>
        </c:manualLayout>
      </c:layout>
      <c:lineChart>
        <c:grouping val="standard"/>
        <c:varyColors val="0"/>
        <c:ser>
          <c:idx val="0"/>
          <c:order val="0"/>
          <c:tx>
            <c:strRef>
              <c:f>Sector1!$D$300:$E$300</c:f>
              <c:strCache>
                <c:ptCount val="2"/>
                <c:pt idx="0">
                  <c:v>HH</c:v>
                </c:pt>
                <c:pt idx="1">
                  <c:v>Social benefits (D.62r)</c:v>
                </c:pt>
              </c:strCache>
            </c:strRef>
          </c:tx>
          <c:spPr>
            <a:ln w="25400">
              <a:solidFill>
                <a:srgbClr val="FF0000"/>
              </a:solidFill>
              <a:prstDash val="solid"/>
            </a:ln>
          </c:spPr>
          <c:marker>
            <c:symbol val="diamond"/>
            <c:size val="5"/>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Sector1!$G$308:$AJ$308</c:f>
              <c:numCache>
                <c:formatCode>0.0</c:formatCode>
                <c:ptCount val="30"/>
                <c:pt idx="1">
                  <c:v>-2.1714021126330585</c:v>
                </c:pt>
                <c:pt idx="2">
                  <c:v>1.0901648510255324</c:v>
                </c:pt>
                <c:pt idx="3">
                  <c:v>2.4385098824092344</c:v>
                </c:pt>
                <c:pt idx="4">
                  <c:v>2.6963837267704793</c:v>
                </c:pt>
                <c:pt idx="5">
                  <c:v>1.8337787972230402</c:v>
                </c:pt>
                <c:pt idx="6">
                  <c:v>2.5651000393817958</c:v>
                </c:pt>
                <c:pt idx="7">
                  <c:v>5.3554287105671117</c:v>
                </c:pt>
                <c:pt idx="8">
                  <c:v>7.3070187914451745</c:v>
                </c:pt>
                <c:pt idx="9">
                  <c:v>3.1886230955137318</c:v>
                </c:pt>
                <c:pt idx="10">
                  <c:v>2.9253216127802295</c:v>
                </c:pt>
                <c:pt idx="11">
                  <c:v>1.8997905804081672</c:v>
                </c:pt>
                <c:pt idx="12">
                  <c:v>-0.23460118754891068</c:v>
                </c:pt>
                <c:pt idx="13">
                  <c:v>3.9126290127991181</c:v>
                </c:pt>
                <c:pt idx="14">
                  <c:v>6.8576238274371537</c:v>
                </c:pt>
                <c:pt idx="15">
                  <c:v>1.0818532631790001</c:v>
                </c:pt>
                <c:pt idx="16">
                  <c:v>1.5549141541789879</c:v>
                </c:pt>
                <c:pt idx="17" formatCode="0.00">
                  <c:v>4.4248800220772821</c:v>
                </c:pt>
                <c:pt idx="18" formatCode="0.00">
                  <c:v>5.3162243865337189</c:v>
                </c:pt>
                <c:pt idx="19" formatCode="0.00">
                  <c:v>1.2721038369675197</c:v>
                </c:pt>
                <c:pt idx="20" formatCode="0.00">
                  <c:v>3.6308861011940419</c:v>
                </c:pt>
                <c:pt idx="21" formatCode="0.00">
                  <c:v>2.822677643827376</c:v>
                </c:pt>
                <c:pt idx="22" formatCode="0.00">
                  <c:v>3.1446112836218676</c:v>
                </c:pt>
                <c:pt idx="23" formatCode="0.00">
                  <c:v>3.4596664641321384</c:v>
                </c:pt>
                <c:pt idx="24" formatCode="0.00">
                  <c:v>1.7946045780791842</c:v>
                </c:pt>
                <c:pt idx="25" formatCode="0.00">
                  <c:v>2.2067475840448658</c:v>
                </c:pt>
              </c:numCache>
            </c:numRef>
          </c:val>
          <c:smooth val="0"/>
          <c:extLst>
            <c:ext xmlns:c16="http://schemas.microsoft.com/office/drawing/2014/chart" uri="{C3380CC4-5D6E-409C-BE32-E72D297353CC}">
              <c16:uniqueId val="{00000000-C7B9-451F-9C8A-F9EFA020C724}"/>
            </c:ext>
          </c:extLst>
        </c:ser>
        <c:ser>
          <c:idx val="1"/>
          <c:order val="1"/>
          <c:tx>
            <c:strRef>
              <c:f>'VVP2'!$E$348</c:f>
              <c:strCache>
                <c:ptCount val="1"/>
                <c:pt idx="0">
                  <c:v>GDP</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'VVP2'!$G$348:$AG$348</c:f>
              <c:numCache>
                <c:formatCode>0.0</c:formatCode>
                <c:ptCount val="27"/>
                <c:pt idx="1">
                  <c:v>2.5842575072335894</c:v>
                </c:pt>
                <c:pt idx="2">
                  <c:v>4.528587483935409</c:v>
                </c:pt>
                <c:pt idx="3">
                  <c:v>5.0657326637579603</c:v>
                </c:pt>
                <c:pt idx="4">
                  <c:v>5.4682108787114991</c:v>
                </c:pt>
                <c:pt idx="5">
                  <c:v>6.3846614236626298</c:v>
                </c:pt>
                <c:pt idx="6">
                  <c:v>4.1235495837014691</c:v>
                </c:pt>
                <c:pt idx="7">
                  <c:v>3.7085461393536079</c:v>
                </c:pt>
                <c:pt idx="8">
                  <c:v>4.1532907089817606</c:v>
                </c:pt>
                <c:pt idx="9">
                  <c:v>4.7574232625837265</c:v>
                </c:pt>
                <c:pt idx="10">
                  <c:v>3.6419274584167605</c:v>
                </c:pt>
                <c:pt idx="11">
                  <c:v>6.6015777053014757</c:v>
                </c:pt>
                <c:pt idx="12">
                  <c:v>6.3860651262684476</c:v>
                </c:pt>
                <c:pt idx="13">
                  <c:v>2.7476057889422645</c:v>
                </c:pt>
                <c:pt idx="14">
                  <c:v>-2.9387197675724841</c:v>
                </c:pt>
                <c:pt idx="15">
                  <c:v>7.0417486707964771</c:v>
                </c:pt>
                <c:pt idx="16">
                  <c:v>3.8940367055789515</c:v>
                </c:pt>
                <c:pt idx="17">
                  <c:v>0.76011125791202172</c:v>
                </c:pt>
                <c:pt idx="18">
                  <c:v>2.3060714240210611</c:v>
                </c:pt>
                <c:pt idx="19">
                  <c:v>4.4247138069799297</c:v>
                </c:pt>
                <c:pt idx="20">
                  <c:v>6.6131174787644964</c:v>
                </c:pt>
                <c:pt idx="21" formatCode="0.00">
                  <c:v>4.3782486576955382</c:v>
                </c:pt>
                <c:pt idx="22">
                  <c:v>4.4100360802891814</c:v>
                </c:pt>
                <c:pt idx="23">
                  <c:v>4.8980364670283993</c:v>
                </c:pt>
                <c:pt idx="24">
                  <c:v>3.7812749119215061</c:v>
                </c:pt>
                <c:pt idx="25">
                  <c:v>3.5451641625984909</c:v>
                </c:pt>
              </c:numCache>
            </c:numRef>
          </c:val>
          <c:smooth val="0"/>
          <c:extLst>
            <c:ext xmlns:c16="http://schemas.microsoft.com/office/drawing/2014/chart" uri="{C3380CC4-5D6E-409C-BE32-E72D297353CC}">
              <c16:uniqueId val="{00000001-C7B9-451F-9C8A-F9EFA020C724}"/>
            </c:ext>
          </c:extLst>
        </c:ser>
        <c:dLbls>
          <c:showLegendKey val="0"/>
          <c:showVal val="0"/>
          <c:showCatName val="0"/>
          <c:showSerName val="0"/>
          <c:showPercent val="0"/>
          <c:showBubbleSize val="0"/>
        </c:dLbls>
        <c:marker val="1"/>
        <c:smooth val="0"/>
        <c:axId val="292965376"/>
        <c:axId val="292983936"/>
      </c:lineChart>
      <c:catAx>
        <c:axId val="292965376"/>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92983936"/>
        <c:crosses val="autoZero"/>
        <c:auto val="1"/>
        <c:lblAlgn val="ctr"/>
        <c:lblOffset val="100"/>
        <c:tickLblSkip val="2"/>
        <c:tickMarkSkip val="1"/>
        <c:noMultiLvlLbl val="0"/>
      </c:catAx>
      <c:valAx>
        <c:axId val="292983936"/>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92965376"/>
        <c:crosses val="autoZero"/>
        <c:crossBetween val="midCat"/>
      </c:valAx>
      <c:spPr>
        <a:noFill/>
        <a:ln w="12700">
          <a:solidFill>
            <a:srgbClr val="808080"/>
          </a:solidFill>
          <a:prstDash val="solid"/>
        </a:ln>
      </c:spPr>
    </c:plotArea>
    <c:legend>
      <c:legendPos val="r"/>
      <c:layout>
        <c:manualLayout>
          <c:xMode val="edge"/>
          <c:yMode val="edge"/>
          <c:x val="0.22500058855483199"/>
          <c:y val="0.91558707667966743"/>
          <c:w val="0.56785862825743305"/>
          <c:h val="6.2770745209717135E-2"/>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150"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paperSize="9" orientation="landscape"/>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t>Social benefits (HH, received) as % of GDP</a:t>
            </a:r>
          </a:p>
        </c:rich>
      </c:tx>
      <c:layout>
        <c:manualLayout>
          <c:xMode val="edge"/>
          <c:yMode val="edge"/>
          <c:x val="0.19866094863142106"/>
          <c:y val="3.3613445378151259E-2"/>
        </c:manualLayout>
      </c:layout>
      <c:overlay val="0"/>
      <c:spPr>
        <a:noFill/>
        <a:ln w="25400">
          <a:noFill/>
        </a:ln>
      </c:spPr>
    </c:title>
    <c:autoTitleDeleted val="0"/>
    <c:plotArea>
      <c:layout>
        <c:manualLayout>
          <c:layoutTarget val="inner"/>
          <c:xMode val="edge"/>
          <c:yMode val="edge"/>
          <c:x val="0.14285729855924176"/>
          <c:y val="0.17647107096647127"/>
          <c:w val="0.79017943265580604"/>
          <c:h val="0.61904931243793893"/>
        </c:manualLayout>
      </c:layout>
      <c:lineChart>
        <c:grouping val="standard"/>
        <c:varyColors val="0"/>
        <c:ser>
          <c:idx val="0"/>
          <c:order val="0"/>
          <c:tx>
            <c:strRef>
              <c:f>Sector1!$D$315:$E$315</c:f>
              <c:strCache>
                <c:ptCount val="2"/>
                <c:pt idx="0">
                  <c:v>HH</c:v>
                </c:pt>
                <c:pt idx="1">
                  <c:v>Social benefits (D.62r)</c:v>
                </c:pt>
              </c:strCache>
            </c:strRef>
          </c:tx>
          <c:spPr>
            <a:ln w="25400">
              <a:solidFill>
                <a:srgbClr val="FF0000"/>
              </a:solidFill>
              <a:prstDash val="solid"/>
            </a:ln>
          </c:spPr>
          <c:marker>
            <c:symbol val="circle"/>
            <c:size val="7"/>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Sector1!$G$315:$AJ$315</c:f>
              <c:numCache>
                <c:formatCode>0.0%</c:formatCode>
                <c:ptCount val="30"/>
                <c:pt idx="0">
                  <c:v>0.20845035764893555</c:v>
                </c:pt>
                <c:pt idx="1">
                  <c:v>0.19878689687331019</c:v>
                </c:pt>
                <c:pt idx="2">
                  <c:v>0.19224788795921616</c:v>
                </c:pt>
                <c:pt idx="3">
                  <c:v>0.18744063046329185</c:v>
                </c:pt>
                <c:pt idx="4">
                  <c:v>0.18251447286029066</c:v>
                </c:pt>
                <c:pt idx="5">
                  <c:v>0.17470693808508547</c:v>
                </c:pt>
                <c:pt idx="6">
                  <c:v>0.17209204501683376</c:v>
                </c:pt>
                <c:pt idx="7">
                  <c:v>0.17482485152249902</c:v>
                </c:pt>
                <c:pt idx="8">
                  <c:v>0.18011849169465208</c:v>
                </c:pt>
                <c:pt idx="9">
                  <c:v>0.17742111798057472</c:v>
                </c:pt>
                <c:pt idx="10">
                  <c:v>0.17619438461694387</c:v>
                </c:pt>
                <c:pt idx="11">
                  <c:v>0.16842312543951757</c:v>
                </c:pt>
                <c:pt idx="12">
                  <c:v>0.15794174038460665</c:v>
                </c:pt>
                <c:pt idx="13">
                  <c:v>0.15973259277626639</c:v>
                </c:pt>
                <c:pt idx="14">
                  <c:v>0.17585431874578714</c:v>
                </c:pt>
                <c:pt idx="15">
                  <c:v>0.16606306103823573</c:v>
                </c:pt>
                <c:pt idx="16">
                  <c:v>0.16232423383172498</c:v>
                </c:pt>
                <c:pt idx="17">
                  <c:v>0.16822816520284933</c:v>
                </c:pt>
                <c:pt idx="18">
                  <c:v>0.17317794484754523</c:v>
                </c:pt>
                <c:pt idx="19">
                  <c:v>0.16794965648927598</c:v>
                </c:pt>
                <c:pt idx="20">
                  <c:v>0.16325169110491075</c:v>
                </c:pt>
                <c:pt idx="21">
                  <c:v>0.16081871678398138</c:v>
                </c:pt>
                <c:pt idx="22">
                  <c:v>0.15886963219760905</c:v>
                </c:pt>
                <c:pt idx="23">
                  <c:v>0.15669119949266488</c:v>
                </c:pt>
                <c:pt idx="24">
                  <c:v>0.15369168192198135</c:v>
                </c:pt>
                <c:pt idx="25">
                  <c:v>0.15170507543259329</c:v>
                </c:pt>
              </c:numCache>
            </c:numRef>
          </c:val>
          <c:smooth val="0"/>
          <c:extLst>
            <c:ext xmlns:c16="http://schemas.microsoft.com/office/drawing/2014/chart" uri="{C3380CC4-5D6E-409C-BE32-E72D297353CC}">
              <c16:uniqueId val="{00000000-5BC5-404D-9975-04A8423F51DE}"/>
            </c:ext>
          </c:extLst>
        </c:ser>
        <c:dLbls>
          <c:showLegendKey val="0"/>
          <c:showVal val="0"/>
          <c:showCatName val="0"/>
          <c:showSerName val="0"/>
          <c:showPercent val="0"/>
          <c:showBubbleSize val="0"/>
        </c:dLbls>
        <c:marker val="1"/>
        <c:smooth val="0"/>
        <c:axId val="293077760"/>
        <c:axId val="293079680"/>
      </c:lineChart>
      <c:catAx>
        <c:axId val="293077760"/>
        <c:scaling>
          <c:orientation val="minMax"/>
        </c:scaling>
        <c:delete val="0"/>
        <c:axPos val="b"/>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93079680"/>
        <c:crosses val="autoZero"/>
        <c:auto val="1"/>
        <c:lblAlgn val="ctr"/>
        <c:lblOffset val="100"/>
        <c:tickLblSkip val="2"/>
        <c:tickMarkSkip val="1"/>
        <c:noMultiLvlLbl val="0"/>
      </c:catAx>
      <c:valAx>
        <c:axId val="293079680"/>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93077760"/>
        <c:crosses val="autoZero"/>
        <c:crossBetween val="midCat"/>
      </c:valAx>
      <c:spPr>
        <a:noFill/>
        <a:ln w="12700">
          <a:solidFill>
            <a:srgbClr val="808080"/>
          </a:solidFill>
          <a:prstDash val="solid"/>
        </a:ln>
      </c:spPr>
    </c:plotArea>
    <c:legend>
      <c:legendPos val="r"/>
      <c:layout>
        <c:manualLayout>
          <c:xMode val="edge"/>
          <c:yMode val="edge"/>
          <c:x val="0.32500085013475727"/>
          <c:y val="0.91558707667966743"/>
          <c:w val="0.42857254962825136"/>
          <c:h val="6.2770745209717135E-2"/>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150"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t>Social benefits (HH, received) related to GDP</a:t>
            </a:r>
          </a:p>
        </c:rich>
      </c:tx>
      <c:layout>
        <c:manualLayout>
          <c:xMode val="edge"/>
          <c:yMode val="edge"/>
          <c:x val="0.17857166291713536"/>
          <c:y val="3.3613445378151259E-2"/>
        </c:manualLayout>
      </c:layout>
      <c:overlay val="0"/>
      <c:spPr>
        <a:noFill/>
        <a:ln w="25400">
          <a:noFill/>
        </a:ln>
      </c:spPr>
    </c:title>
    <c:autoTitleDeleted val="0"/>
    <c:plotArea>
      <c:layout>
        <c:manualLayout>
          <c:layoutTarget val="inner"/>
          <c:xMode val="edge"/>
          <c:yMode val="edge"/>
          <c:x val="4.9107196379739357E-2"/>
          <c:y val="0.17647107096647127"/>
          <c:w val="0.90401884244520181"/>
          <c:h val="0.61904931243793893"/>
        </c:manualLayout>
      </c:layout>
      <c:scatterChart>
        <c:scatterStyle val="lineMarker"/>
        <c:varyColors val="0"/>
        <c:ser>
          <c:idx val="0"/>
          <c:order val="0"/>
          <c:tx>
            <c:strRef>
              <c:f>Sector1!$D$308:$E$308</c:f>
              <c:strCache>
                <c:ptCount val="2"/>
                <c:pt idx="0">
                  <c:v>HH</c:v>
                </c:pt>
                <c:pt idx="1">
                  <c:v>Social benefits (D.62r)</c:v>
                </c:pt>
              </c:strCache>
            </c:strRef>
          </c:tx>
          <c:spPr>
            <a:ln w="28575">
              <a:noFill/>
            </a:ln>
          </c:spPr>
          <c:marker>
            <c:symbol val="circle"/>
            <c:size val="7"/>
            <c:spPr>
              <a:solidFill>
                <a:srgbClr val="FFFFFF"/>
              </a:solidFill>
              <a:ln>
                <a:solidFill>
                  <a:srgbClr val="FF0000"/>
                </a:solidFill>
                <a:prstDash val="solid"/>
              </a:ln>
            </c:spPr>
          </c:marker>
          <c:dLbls>
            <c:dLbl>
              <c:idx val="1"/>
              <c:tx>
                <c:strRef>
                  <c:f>Sector1!$H$250</c:f>
                  <c:strCache>
                    <c:ptCount val="1"/>
                    <c:pt idx="0">
                      <c:v>1996</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{7790B9AD-B884-4C7B-88CD-008B72F568D4}</c15:txfldGUID>
                      <c15:f>Sector1!$H$250</c15:f>
                      <c15:dlblFieldTableCache>
                        <c:ptCount val="1"/>
                        <c:pt idx="0">
                          <c:v>1996</c:v>
                        </c:pt>
                      </c15:dlblFieldTableCache>
                    </c15:dlblFTEntry>
                  </c15:dlblFieldTable>
                  <c15:showDataLabelsRange val="0"/>
                </c:ext>
                <c:ext xmlns:c16="http://schemas.microsoft.com/office/drawing/2014/chart" uri="{C3380CC4-5D6E-409C-BE32-E72D297353CC}">
                  <c16:uniqueId val="{00000000-601D-4348-A220-4B0541E3A1FC}"/>
                </c:ext>
              </c:extLst>
            </c:dLbl>
            <c:dLbl>
              <c:idx val="2"/>
              <c:tx>
                <c:strRef>
                  <c:f>Sector1!$I$250</c:f>
                  <c:strCache>
                    <c:ptCount val="1"/>
                    <c:pt idx="0">
                      <c:v>1997</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{29C623A7-BD76-4198-9EC8-3C392835C974}</c15:txfldGUID>
                      <c15:f>Sector1!$I$250</c15:f>
                      <c15:dlblFieldTableCache>
                        <c:ptCount val="1"/>
                        <c:pt idx="0">
                          <c:v>1997</c:v>
                        </c:pt>
                      </c15:dlblFieldTableCache>
                    </c15:dlblFTEntry>
                  </c15:dlblFieldTable>
                  <c15:showDataLabelsRange val="0"/>
                </c:ext>
                <c:ext xmlns:c16="http://schemas.microsoft.com/office/drawing/2014/chart" uri="{C3380CC4-5D6E-409C-BE32-E72D297353CC}">
                  <c16:uniqueId val="{00000001-601D-4348-A220-4B0541E3A1FC}"/>
                </c:ext>
              </c:extLst>
            </c:dLbl>
            <c:dLbl>
              <c:idx val="3"/>
              <c:tx>
                <c:strRef>
                  <c:f>Sector1!$J$250</c:f>
                  <c:strCache>
                    <c:ptCount val="1"/>
                    <c:pt idx="0">
                      <c:v>1998</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{FD67424D-07FA-4711-9E49-A728A49256DD}</c15:txfldGUID>
                      <c15:f>Sector1!$J$250</c15:f>
                      <c15:dlblFieldTableCache>
                        <c:ptCount val="1"/>
                        <c:pt idx="0">
                          <c:v>1998</c:v>
                        </c:pt>
                      </c15:dlblFieldTableCache>
                    </c15:dlblFTEntry>
                  </c15:dlblFieldTable>
                  <c15:showDataLabelsRange val="0"/>
                </c:ext>
                <c:ext xmlns:c16="http://schemas.microsoft.com/office/drawing/2014/chart" uri="{C3380CC4-5D6E-409C-BE32-E72D297353CC}">
                  <c16:uniqueId val="{00000002-601D-4348-A220-4B0541E3A1FC}"/>
                </c:ext>
              </c:extLst>
            </c:dLbl>
            <c:dLbl>
              <c:idx val="4"/>
              <c:tx>
                <c:strRef>
                  <c:f>Sector1!$K$250</c:f>
                  <c:strCache>
                    <c:ptCount val="1"/>
                    <c:pt idx="0">
                      <c:v>1999</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{43888F51-8E8F-45D4-8CC0-705C06B26DFA}</c15:txfldGUID>
                      <c15:f>Sector1!$K$250</c15:f>
                      <c15:dlblFieldTableCache>
                        <c:ptCount val="1"/>
                        <c:pt idx="0">
                          <c:v>1999</c:v>
                        </c:pt>
                      </c15:dlblFieldTableCache>
                    </c15:dlblFTEntry>
                  </c15:dlblFieldTable>
                  <c15:showDataLabelsRange val="0"/>
                </c:ext>
                <c:ext xmlns:c16="http://schemas.microsoft.com/office/drawing/2014/chart" uri="{C3380CC4-5D6E-409C-BE32-E72D297353CC}">
                  <c16:uniqueId val="{00000003-601D-4348-A220-4B0541E3A1FC}"/>
                </c:ext>
              </c:extLst>
            </c:dLbl>
            <c:dLbl>
              <c:idx val="5"/>
              <c:tx>
                <c:strRef>
                  <c:f>Sector1!$L$250</c:f>
                  <c:strCache>
                    <c:ptCount val="1"/>
                    <c:pt idx="0">
                      <c:v>2000</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{E9564AC7-67F8-406E-800E-289687E3023A}</c15:txfldGUID>
                      <c15:f>Sector1!$L$250</c15:f>
                      <c15:dlblFieldTableCache>
                        <c:ptCount val="1"/>
                        <c:pt idx="0">
                          <c:v>2000</c:v>
                        </c:pt>
                      </c15:dlblFieldTableCache>
                    </c15:dlblFTEntry>
                  </c15:dlblFieldTable>
                  <c15:showDataLabelsRange val="0"/>
                </c:ext>
                <c:ext xmlns:c16="http://schemas.microsoft.com/office/drawing/2014/chart" uri="{C3380CC4-5D6E-409C-BE32-E72D297353CC}">
                  <c16:uniqueId val="{00000004-601D-4348-A220-4B0541E3A1FC}"/>
                </c:ext>
              </c:extLst>
            </c:dLbl>
            <c:dLbl>
              <c:idx val="6"/>
              <c:tx>
                <c:strRef>
                  <c:f>Sector1!$M$250</c:f>
                  <c:strCache>
                    <c:ptCount val="1"/>
                    <c:pt idx="0">
                      <c:v>2001</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{5CF93FE8-5871-47B4-AA9F-F0E76B50C27B}</c15:txfldGUID>
                      <c15:f>Sector1!$M$250</c15:f>
                      <c15:dlblFieldTableCache>
                        <c:ptCount val="1"/>
                        <c:pt idx="0">
                          <c:v>2001</c:v>
                        </c:pt>
                      </c15:dlblFieldTableCache>
                    </c15:dlblFTEntry>
                  </c15:dlblFieldTable>
                  <c15:showDataLabelsRange val="0"/>
                </c:ext>
                <c:ext xmlns:c16="http://schemas.microsoft.com/office/drawing/2014/chart" uri="{C3380CC4-5D6E-409C-BE32-E72D297353CC}">
                  <c16:uniqueId val="{00000005-601D-4348-A220-4B0541E3A1FC}"/>
                </c:ext>
              </c:extLst>
            </c:dLbl>
            <c:dLbl>
              <c:idx val="7"/>
              <c:tx>
                <c:strRef>
                  <c:f>Sector1!$N$250</c:f>
                  <c:strCache>
                    <c:ptCount val="1"/>
                    <c:pt idx="0">
                      <c:v>2002</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{9E852E0D-554E-485E-BB5E-5CFC480CB425}</c15:txfldGUID>
                      <c15:f>Sector1!$N$250</c15:f>
                      <c15:dlblFieldTableCache>
                        <c:ptCount val="1"/>
                        <c:pt idx="0">
                          <c:v>2002</c:v>
                        </c:pt>
                      </c15:dlblFieldTableCache>
                    </c15:dlblFTEntry>
                  </c15:dlblFieldTable>
                  <c15:showDataLabelsRange val="0"/>
                </c:ext>
                <c:ext xmlns:c16="http://schemas.microsoft.com/office/drawing/2014/chart" uri="{C3380CC4-5D6E-409C-BE32-E72D297353CC}">
                  <c16:uniqueId val="{00000006-601D-4348-A220-4B0541E3A1FC}"/>
                </c:ext>
              </c:extLst>
            </c:dLbl>
            <c:dLbl>
              <c:idx val="8"/>
              <c:tx>
                <c:strRef>
                  <c:f>Sector1!$O$250</c:f>
                  <c:strCache>
                    <c:ptCount val="1"/>
                    <c:pt idx="0">
                      <c:v>2003</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{031D3174-1833-419D-A353-E6BDF74A8972}</c15:txfldGUID>
                      <c15:f>Sector1!$O$250</c15:f>
                      <c15:dlblFieldTableCache>
                        <c:ptCount val="1"/>
                        <c:pt idx="0">
                          <c:v>2003</c:v>
                        </c:pt>
                      </c15:dlblFieldTableCache>
                    </c15:dlblFTEntry>
                  </c15:dlblFieldTable>
                  <c15:showDataLabelsRange val="0"/>
                </c:ext>
                <c:ext xmlns:c16="http://schemas.microsoft.com/office/drawing/2014/chart" uri="{C3380CC4-5D6E-409C-BE32-E72D297353CC}">
                  <c16:uniqueId val="{00000007-601D-4348-A220-4B0541E3A1FC}"/>
                </c:ext>
              </c:extLst>
            </c:dLbl>
            <c:dLbl>
              <c:idx val="9"/>
              <c:tx>
                <c:strRef>
                  <c:f>Sector1!$P$250</c:f>
                  <c:strCache>
                    <c:ptCount val="1"/>
                    <c:pt idx="0">
                      <c:v>2004</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{3FE771F4-0999-4B1D-B6A4-D70BC0BC2ADA}</c15:txfldGUID>
                      <c15:f>Sector1!$P$250</c15:f>
                      <c15:dlblFieldTableCache>
                        <c:ptCount val="1"/>
                        <c:pt idx="0">
                          <c:v>2004</c:v>
                        </c:pt>
                      </c15:dlblFieldTableCache>
                    </c15:dlblFTEntry>
                  </c15:dlblFieldTable>
                  <c15:showDataLabelsRange val="0"/>
                </c:ext>
                <c:ext xmlns:c16="http://schemas.microsoft.com/office/drawing/2014/chart" uri="{C3380CC4-5D6E-409C-BE32-E72D297353CC}">
                  <c16:uniqueId val="{00000008-601D-4348-A220-4B0541E3A1FC}"/>
                </c:ext>
              </c:extLst>
            </c:dLbl>
            <c:dLbl>
              <c:idx val="10"/>
              <c:tx>
                <c:strRef>
                  <c:f>Sector1!$Q$250</c:f>
                  <c:strCache>
                    <c:ptCount val="1"/>
                    <c:pt idx="0">
                      <c:v>2005</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{E8F2AE47-F468-4BEF-A08B-14AC9EDFE194}</c15:txfldGUID>
                      <c15:f>Sector1!$Q$250</c15:f>
                      <c15:dlblFieldTableCache>
                        <c:ptCount val="1"/>
                        <c:pt idx="0">
                          <c:v>2005</c:v>
                        </c:pt>
                      </c15:dlblFieldTableCache>
                    </c15:dlblFTEntry>
                  </c15:dlblFieldTable>
                  <c15:showDataLabelsRange val="0"/>
                </c:ext>
                <c:ext xmlns:c16="http://schemas.microsoft.com/office/drawing/2014/chart" uri="{C3380CC4-5D6E-409C-BE32-E72D297353CC}">
                  <c16:uniqueId val="{00000009-601D-4348-A220-4B0541E3A1FC}"/>
                </c:ext>
              </c:extLst>
            </c:dLbl>
            <c:dLbl>
              <c:idx val="11"/>
              <c:tx>
                <c:strRef>
                  <c:f>Sector1!$R$250</c:f>
                  <c:strCache>
                    <c:ptCount val="1"/>
                    <c:pt idx="0">
                      <c:v>2006</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{643951F5-CA83-46EB-A4C3-C1ED84C2C8B1}</c15:txfldGUID>
                      <c15:f>Sector1!$R$250</c15:f>
                      <c15:dlblFieldTableCache>
                        <c:ptCount val="1"/>
                        <c:pt idx="0">
                          <c:v>2006</c:v>
                        </c:pt>
                      </c15:dlblFieldTableCache>
                    </c15:dlblFTEntry>
                  </c15:dlblFieldTable>
                  <c15:showDataLabelsRange val="0"/>
                </c:ext>
                <c:ext xmlns:c16="http://schemas.microsoft.com/office/drawing/2014/chart" uri="{C3380CC4-5D6E-409C-BE32-E72D297353CC}">
                  <c16:uniqueId val="{0000000A-601D-4348-A220-4B0541E3A1FC}"/>
                </c:ext>
              </c:extLst>
            </c:dLbl>
            <c:dLbl>
              <c:idx val="12"/>
              <c:tx>
                <c:strRef>
                  <c:f>Sector1!$S$250</c:f>
                  <c:strCache>
                    <c:ptCount val="1"/>
                    <c:pt idx="0">
                      <c:v>2007</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{5B6292B2-3488-4A28-93D0-E4EB0AE2069E}</c15:txfldGUID>
                      <c15:f>Sector1!$S$250</c15:f>
                      <c15:dlblFieldTableCache>
                        <c:ptCount val="1"/>
                        <c:pt idx="0">
                          <c:v>2007</c:v>
                        </c:pt>
                      </c15:dlblFieldTableCache>
                    </c15:dlblFTEntry>
                  </c15:dlblFieldTable>
                  <c15:showDataLabelsRange val="0"/>
                </c:ext>
                <c:ext xmlns:c16="http://schemas.microsoft.com/office/drawing/2014/chart" uri="{C3380CC4-5D6E-409C-BE32-E72D297353CC}">
                  <c16:uniqueId val="{0000000B-601D-4348-A220-4B0541E3A1FC}"/>
                </c:ext>
              </c:extLst>
            </c:dLbl>
            <c:dLbl>
              <c:idx val="13"/>
              <c:tx>
                <c:strRef>
                  <c:f>Sector1!$T$250</c:f>
                  <c:strCache>
                    <c:ptCount val="1"/>
                    <c:pt idx="0">
                      <c:v>2008</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{2C3A69BE-8F49-4D48-8DDE-1F8BA24AA1D1}</c15:txfldGUID>
                      <c15:f>Sector1!$T$250</c15:f>
                      <c15:dlblFieldTableCache>
                        <c:ptCount val="1"/>
                        <c:pt idx="0">
                          <c:v>2008</c:v>
                        </c:pt>
                      </c15:dlblFieldTableCache>
                    </c15:dlblFTEntry>
                  </c15:dlblFieldTable>
                  <c15:showDataLabelsRange val="0"/>
                </c:ext>
                <c:ext xmlns:c16="http://schemas.microsoft.com/office/drawing/2014/chart" uri="{C3380CC4-5D6E-409C-BE32-E72D297353CC}">
                  <c16:uniqueId val="{0000000C-601D-4348-A220-4B0541E3A1FC}"/>
                </c:ext>
              </c:extLst>
            </c:dLbl>
            <c:dLbl>
              <c:idx val="14"/>
              <c:tx>
                <c:strRef>
                  <c:f>Sector1!$U$250</c:f>
                  <c:strCache>
                    <c:ptCount val="1"/>
                    <c:pt idx="0">
                      <c:v>2009</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{8FB1C15E-82C2-4FD6-80D7-B70E956F8B00}</c15:txfldGUID>
                      <c15:f>Sector1!$U$250</c15:f>
                      <c15:dlblFieldTableCache>
                        <c:ptCount val="1"/>
                        <c:pt idx="0">
                          <c:v>2009</c:v>
                        </c:pt>
                      </c15:dlblFieldTableCache>
                    </c15:dlblFTEntry>
                  </c15:dlblFieldTable>
                  <c15:showDataLabelsRange val="0"/>
                </c:ext>
                <c:ext xmlns:c16="http://schemas.microsoft.com/office/drawing/2014/chart" uri="{C3380CC4-5D6E-409C-BE32-E72D297353CC}">
                  <c16:uniqueId val="{0000000D-601D-4348-A220-4B0541E3A1FC}"/>
                </c:ext>
              </c:extLst>
            </c:dLbl>
            <c:dLbl>
              <c:idx val="15"/>
              <c:tx>
                <c:strRef>
                  <c:f>Sector1!$V$250</c:f>
                  <c:strCache>
                    <c:ptCount val="1"/>
                    <c:pt idx="0">
                      <c:v>2010</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{60A3B4A2-0262-4F83-8ACC-3DFDA46AC551}</c15:txfldGUID>
                      <c15:f>Sector1!$V$250</c15:f>
                      <c15:dlblFieldTableCache>
                        <c:ptCount val="1"/>
                        <c:pt idx="0">
                          <c:v>2010</c:v>
                        </c:pt>
                      </c15:dlblFieldTableCache>
                    </c15:dlblFTEntry>
                  </c15:dlblFieldTable>
                  <c15:showDataLabelsRange val="0"/>
                </c:ext>
                <c:ext xmlns:c16="http://schemas.microsoft.com/office/drawing/2014/chart" uri="{C3380CC4-5D6E-409C-BE32-E72D297353CC}">
                  <c16:uniqueId val="{0000000E-601D-4348-A220-4B0541E3A1FC}"/>
                </c:ext>
              </c:extLst>
            </c:dLbl>
            <c:spPr>
              <a:noFill/>
              <a:ln w="25400">
                <a:noFill/>
              </a:ln>
            </c:spPr>
            <c:txPr>
              <a:bodyPr/>
              <a:lstStyle/>
              <a:p>
                <a:pPr>
                  <a:defRPr sz="800"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25400">
                <a:solidFill>
                  <a:srgbClr val="FF0000"/>
                </a:solidFill>
                <a:prstDash val="solid"/>
              </a:ln>
            </c:spPr>
            <c:trendlineType val="linear"/>
            <c:dispRSqr val="0"/>
            <c:dispEq val="0"/>
          </c:trendline>
          <c:xVal>
            <c:numRef>
              <c:f>'VVP2'!$G$348:$AG$348</c:f>
              <c:numCache>
                <c:formatCode>0.0</c:formatCode>
                <c:ptCount val="27"/>
                <c:pt idx="1">
                  <c:v>2.5842575072335894</c:v>
                </c:pt>
                <c:pt idx="2">
                  <c:v>4.528587483935409</c:v>
                </c:pt>
                <c:pt idx="3">
                  <c:v>5.0657326637579603</c:v>
                </c:pt>
                <c:pt idx="4">
                  <c:v>5.4682108787114991</c:v>
                </c:pt>
                <c:pt idx="5">
                  <c:v>6.3846614236626298</c:v>
                </c:pt>
                <c:pt idx="6">
                  <c:v>4.1235495837014691</c:v>
                </c:pt>
                <c:pt idx="7">
                  <c:v>3.7085461393536079</c:v>
                </c:pt>
                <c:pt idx="8">
                  <c:v>4.1532907089817606</c:v>
                </c:pt>
                <c:pt idx="9">
                  <c:v>4.7574232625837265</c:v>
                </c:pt>
                <c:pt idx="10">
                  <c:v>3.6419274584167605</c:v>
                </c:pt>
                <c:pt idx="11">
                  <c:v>6.6015777053014757</c:v>
                </c:pt>
                <c:pt idx="12">
                  <c:v>6.3860651262684476</c:v>
                </c:pt>
                <c:pt idx="13">
                  <c:v>2.7476057889422645</c:v>
                </c:pt>
                <c:pt idx="14">
                  <c:v>-2.9387197675724841</c:v>
                </c:pt>
                <c:pt idx="15">
                  <c:v>7.0417486707964771</c:v>
                </c:pt>
                <c:pt idx="16">
                  <c:v>3.8940367055789515</c:v>
                </c:pt>
                <c:pt idx="17">
                  <c:v>0.76011125791202172</c:v>
                </c:pt>
                <c:pt idx="18">
                  <c:v>2.3060714240210611</c:v>
                </c:pt>
                <c:pt idx="19">
                  <c:v>4.4247138069799297</c:v>
                </c:pt>
                <c:pt idx="20">
                  <c:v>6.6131174787644964</c:v>
                </c:pt>
                <c:pt idx="21" formatCode="0.00">
                  <c:v>4.3782486576955382</c:v>
                </c:pt>
                <c:pt idx="22">
                  <c:v>4.4100360802891814</c:v>
                </c:pt>
                <c:pt idx="23">
                  <c:v>4.8980364670283993</c:v>
                </c:pt>
                <c:pt idx="24">
                  <c:v>3.7812749119215061</c:v>
                </c:pt>
                <c:pt idx="25">
                  <c:v>3.5451641625984909</c:v>
                </c:pt>
              </c:numCache>
            </c:numRef>
          </c:xVal>
          <c:yVal>
            <c:numRef>
              <c:f>Sector1!$G$308:$AJ$308</c:f>
              <c:numCache>
                <c:formatCode>0.0</c:formatCode>
                <c:ptCount val="30"/>
                <c:pt idx="1">
                  <c:v>-2.1714021126330585</c:v>
                </c:pt>
                <c:pt idx="2">
                  <c:v>1.0901648510255324</c:v>
                </c:pt>
                <c:pt idx="3">
                  <c:v>2.4385098824092344</c:v>
                </c:pt>
                <c:pt idx="4">
                  <c:v>2.6963837267704793</c:v>
                </c:pt>
                <c:pt idx="5">
                  <c:v>1.8337787972230402</c:v>
                </c:pt>
                <c:pt idx="6">
                  <c:v>2.5651000393817958</c:v>
                </c:pt>
                <c:pt idx="7">
                  <c:v>5.3554287105671117</c:v>
                </c:pt>
                <c:pt idx="8">
                  <c:v>7.3070187914451745</c:v>
                </c:pt>
                <c:pt idx="9">
                  <c:v>3.1886230955137318</c:v>
                </c:pt>
                <c:pt idx="10">
                  <c:v>2.9253216127802295</c:v>
                </c:pt>
                <c:pt idx="11">
                  <c:v>1.8997905804081672</c:v>
                </c:pt>
                <c:pt idx="12">
                  <c:v>-0.23460118754891068</c:v>
                </c:pt>
                <c:pt idx="13">
                  <c:v>3.9126290127991181</c:v>
                </c:pt>
                <c:pt idx="14">
                  <c:v>6.8576238274371537</c:v>
                </c:pt>
                <c:pt idx="15">
                  <c:v>1.0818532631790001</c:v>
                </c:pt>
                <c:pt idx="16">
                  <c:v>1.5549141541789879</c:v>
                </c:pt>
                <c:pt idx="17" formatCode="0.00">
                  <c:v>4.4248800220772821</c:v>
                </c:pt>
                <c:pt idx="18" formatCode="0.00">
                  <c:v>5.3162243865337189</c:v>
                </c:pt>
                <c:pt idx="19" formatCode="0.00">
                  <c:v>1.2721038369675197</c:v>
                </c:pt>
                <c:pt idx="20" formatCode="0.00">
                  <c:v>3.6308861011940419</c:v>
                </c:pt>
                <c:pt idx="21" formatCode="0.00">
                  <c:v>2.822677643827376</c:v>
                </c:pt>
                <c:pt idx="22" formatCode="0.00">
                  <c:v>3.1446112836218676</c:v>
                </c:pt>
                <c:pt idx="23" formatCode="0.00">
                  <c:v>3.4596664641321384</c:v>
                </c:pt>
                <c:pt idx="24" formatCode="0.00">
                  <c:v>1.7946045780791842</c:v>
                </c:pt>
                <c:pt idx="25" formatCode="0.00">
                  <c:v>2.2067475840448658</c:v>
                </c:pt>
              </c:numCache>
            </c:numRef>
          </c:yVal>
          <c:smooth val="0"/>
          <c:extLst>
            <c:ext xmlns:c16="http://schemas.microsoft.com/office/drawing/2014/chart" uri="{C3380CC4-5D6E-409C-BE32-E72D297353CC}">
              <c16:uniqueId val="{0000000F-601D-4348-A220-4B0541E3A1FC}"/>
            </c:ext>
          </c:extLst>
        </c:ser>
        <c:dLbls>
          <c:showLegendKey val="0"/>
          <c:showVal val="0"/>
          <c:showCatName val="0"/>
          <c:showSerName val="0"/>
          <c:showPercent val="0"/>
          <c:showBubbleSize val="0"/>
        </c:dLbls>
        <c:axId val="293146624"/>
        <c:axId val="293148160"/>
      </c:scatterChart>
      <c:valAx>
        <c:axId val="293146624"/>
        <c:scaling>
          <c:orientation val="minMax"/>
        </c:scaling>
        <c:delete val="0"/>
        <c:axPos val="b"/>
        <c:majorGridlines>
          <c:spPr>
            <a:ln w="3175">
              <a:solidFill>
                <a:srgbClr val="000000"/>
              </a:solidFill>
              <a:prstDash val="solid"/>
            </a:ln>
          </c:spPr>
        </c:majorGridlines>
        <c:numFmt formatCode="0" sourceLinked="0"/>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93148160"/>
        <c:crosses val="autoZero"/>
        <c:crossBetween val="midCat"/>
      </c:valAx>
      <c:valAx>
        <c:axId val="293148160"/>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93146624"/>
        <c:crosses val="autoZero"/>
        <c:crossBetween val="midCat"/>
      </c:valAx>
      <c:spPr>
        <a:noFill/>
        <a:ln w="12700">
          <a:solidFill>
            <a:srgbClr val="808080"/>
          </a:solidFill>
          <a:prstDash val="solid"/>
        </a:ln>
      </c:spPr>
    </c:plotArea>
    <c:legend>
      <c:legendPos val="r"/>
      <c:layout>
        <c:manualLayout>
          <c:xMode val="edge"/>
          <c:yMode val="edge"/>
          <c:x val="4.6428692876393889E-2"/>
          <c:y val="0.91558707667966743"/>
          <c:w val="0.93393101439823112"/>
          <c:h val="6.2770745209717135E-2"/>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t>Social benefits (GVT, paid) as % of GDP</a:t>
            </a:r>
          </a:p>
        </c:rich>
      </c:tx>
      <c:layout>
        <c:manualLayout>
          <c:xMode val="edge"/>
          <c:yMode val="edge"/>
          <c:x val="0.21875023434570678"/>
          <c:y val="3.3613445378151259E-2"/>
        </c:manualLayout>
      </c:layout>
      <c:overlay val="0"/>
      <c:spPr>
        <a:noFill/>
        <a:ln w="25400">
          <a:noFill/>
        </a:ln>
      </c:spPr>
    </c:title>
    <c:autoTitleDeleted val="0"/>
    <c:plotArea>
      <c:layout>
        <c:manualLayout>
          <c:layoutTarget val="inner"/>
          <c:xMode val="edge"/>
          <c:yMode val="edge"/>
          <c:x val="0.14285729855924176"/>
          <c:y val="0.17647107096647127"/>
          <c:w val="0.79017943265580604"/>
          <c:h val="0.61904931243793893"/>
        </c:manualLayout>
      </c:layout>
      <c:lineChart>
        <c:grouping val="standard"/>
        <c:varyColors val="0"/>
        <c:ser>
          <c:idx val="1"/>
          <c:order val="0"/>
          <c:tx>
            <c:strRef>
              <c:f>Sector1!$D$313:$E$313</c:f>
              <c:strCache>
                <c:ptCount val="2"/>
                <c:pt idx="0">
                  <c:v>GVT</c:v>
                </c:pt>
                <c:pt idx="1">
                  <c:v>Social benefits (D.62p)</c:v>
                </c:pt>
              </c:strCache>
            </c:strRef>
          </c:tx>
          <c:spPr>
            <a:ln w="25400">
              <a:solidFill>
                <a:srgbClr val="008000"/>
              </a:solidFill>
              <a:prstDash val="solid"/>
            </a:ln>
          </c:spPr>
          <c:marker>
            <c:symbol val="circle"/>
            <c:size val="7"/>
            <c:spPr>
              <a:solidFill>
                <a:srgbClr val="FFFFFF"/>
              </a:solidFill>
              <a:ln>
                <a:solidFill>
                  <a:srgbClr val="008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Sector1!$G$313:$AJ$313</c:f>
              <c:numCache>
                <c:formatCode>0.0%</c:formatCode>
                <c:ptCount val="30"/>
                <c:pt idx="0">
                  <c:v>0.17201089492842778</c:v>
                </c:pt>
                <c:pt idx="1">
                  <c:v>0.16412200717750097</c:v>
                </c:pt>
                <c:pt idx="2">
                  <c:v>0.15831626259039416</c:v>
                </c:pt>
                <c:pt idx="3">
                  <c:v>0.1566098947188061</c:v>
                </c:pt>
                <c:pt idx="4">
                  <c:v>0.15410790007734632</c:v>
                </c:pt>
                <c:pt idx="5">
                  <c:v>0.14797455641111482</c:v>
                </c:pt>
                <c:pt idx="6">
                  <c:v>0.14885112953057233</c:v>
                </c:pt>
                <c:pt idx="7">
                  <c:v>0.15071257933789933</c:v>
                </c:pt>
                <c:pt idx="8">
                  <c:v>0.15531080849711457</c:v>
                </c:pt>
                <c:pt idx="9">
                  <c:v>0.15179659044659902</c:v>
                </c:pt>
                <c:pt idx="10">
                  <c:v>0.14949687066575096</c:v>
                </c:pt>
                <c:pt idx="11">
                  <c:v>0.14396419531305898</c:v>
                </c:pt>
                <c:pt idx="12">
                  <c:v>0.13597828283271982</c:v>
                </c:pt>
                <c:pt idx="13">
                  <c:v>0.13624541930682749</c:v>
                </c:pt>
                <c:pt idx="14">
                  <c:v>0.14832492863780142</c:v>
                </c:pt>
                <c:pt idx="15">
                  <c:v>0.13956145369348752</c:v>
                </c:pt>
                <c:pt idx="16">
                  <c:v>0.13434778012713863</c:v>
                </c:pt>
                <c:pt idx="17">
                  <c:v>0.13985634086960483</c:v>
                </c:pt>
                <c:pt idx="18">
                  <c:v>0.14293262291732856</c:v>
                </c:pt>
                <c:pt idx="19">
                  <c:v>0.13829570468862007</c:v>
                </c:pt>
                <c:pt idx="20">
                  <c:v>0.13353808350884427</c:v>
                </c:pt>
                <c:pt idx="21">
                  <c:v>0.1317935002577815</c:v>
                </c:pt>
                <c:pt idx="22">
                  <c:v>0.12916795063616821</c:v>
                </c:pt>
                <c:pt idx="23">
                  <c:v>0.12750802339926889</c:v>
                </c:pt>
                <c:pt idx="24">
                  <c:v>0.1247051974068505</c:v>
                </c:pt>
                <c:pt idx="25">
                  <c:v>0.12284427030821504</c:v>
                </c:pt>
              </c:numCache>
            </c:numRef>
          </c:val>
          <c:smooth val="0"/>
          <c:extLst>
            <c:ext xmlns:c16="http://schemas.microsoft.com/office/drawing/2014/chart" uri="{C3380CC4-5D6E-409C-BE32-E72D297353CC}">
              <c16:uniqueId val="{00000000-07EC-4398-A483-45B51B557ED7}"/>
            </c:ext>
          </c:extLst>
        </c:ser>
        <c:dLbls>
          <c:showLegendKey val="0"/>
          <c:showVal val="0"/>
          <c:showCatName val="0"/>
          <c:showSerName val="0"/>
          <c:showPercent val="0"/>
          <c:showBubbleSize val="0"/>
        </c:dLbls>
        <c:marker val="1"/>
        <c:smooth val="0"/>
        <c:axId val="293192832"/>
        <c:axId val="293194752"/>
      </c:lineChart>
      <c:catAx>
        <c:axId val="293192832"/>
        <c:scaling>
          <c:orientation val="minMax"/>
        </c:scaling>
        <c:delete val="0"/>
        <c:axPos val="b"/>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93194752"/>
        <c:crosses val="autoZero"/>
        <c:auto val="1"/>
        <c:lblAlgn val="ctr"/>
        <c:lblOffset val="100"/>
        <c:tickLblSkip val="2"/>
        <c:tickMarkSkip val="1"/>
        <c:noMultiLvlLbl val="0"/>
      </c:catAx>
      <c:valAx>
        <c:axId val="293194752"/>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93192832"/>
        <c:crosses val="autoZero"/>
        <c:crossBetween val="midCat"/>
      </c:valAx>
      <c:spPr>
        <a:noFill/>
        <a:ln w="12700">
          <a:solidFill>
            <a:srgbClr val="808080"/>
          </a:solidFill>
          <a:prstDash val="solid"/>
        </a:ln>
      </c:spPr>
    </c:plotArea>
    <c:legend>
      <c:legendPos val="r"/>
      <c:layout>
        <c:manualLayout>
          <c:xMode val="edge"/>
          <c:yMode val="edge"/>
          <c:x val="0.31785797430761981"/>
          <c:y val="0.91558707667966743"/>
          <c:w val="0.45178689606644834"/>
          <c:h val="6.2770745209717135E-2"/>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150"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t>Social benefits (E, paid) as % of GDP</a:t>
            </a:r>
          </a:p>
        </c:rich>
      </c:tx>
      <c:layout>
        <c:manualLayout>
          <c:xMode val="edge"/>
          <c:yMode val="edge"/>
          <c:x val="0.23883952005999248"/>
          <c:y val="3.3613445378151259E-2"/>
        </c:manualLayout>
      </c:layout>
      <c:overlay val="0"/>
      <c:spPr>
        <a:noFill/>
        <a:ln w="25400">
          <a:noFill/>
        </a:ln>
      </c:spPr>
    </c:title>
    <c:autoTitleDeleted val="0"/>
    <c:plotArea>
      <c:layout>
        <c:manualLayout>
          <c:layoutTarget val="inner"/>
          <c:xMode val="edge"/>
          <c:yMode val="edge"/>
          <c:x val="0.1272322815293247"/>
          <c:y val="0.17647107096647127"/>
          <c:w val="0.80580444968572307"/>
          <c:h val="0.61904931243793893"/>
        </c:manualLayout>
      </c:layout>
      <c:lineChart>
        <c:grouping val="standard"/>
        <c:varyColors val="0"/>
        <c:ser>
          <c:idx val="1"/>
          <c:order val="0"/>
          <c:tx>
            <c:strRef>
              <c:f>Sector1!$D$312:$E$312</c:f>
              <c:strCache>
                <c:ptCount val="2"/>
                <c:pt idx="0">
                  <c:v>E</c:v>
                </c:pt>
                <c:pt idx="1">
                  <c:v>Social benefits (D.62p)</c:v>
                </c:pt>
              </c:strCache>
            </c:strRef>
          </c:tx>
          <c:spPr>
            <a:ln w="25400">
              <a:solidFill>
                <a:srgbClr val="993366"/>
              </a:solidFill>
              <a:prstDash val="solid"/>
            </a:ln>
          </c:spPr>
          <c:marker>
            <c:symbol val="circle"/>
            <c:size val="7"/>
            <c:spPr>
              <a:solidFill>
                <a:srgbClr val="FFFFFF"/>
              </a:solidFill>
              <a:ln>
                <a:solidFill>
                  <a:srgbClr val="993366"/>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Sector1!$G$312:$AJ$312</c:f>
              <c:numCache>
                <c:formatCode>0.0%</c:formatCode>
                <c:ptCount val="30"/>
                <c:pt idx="0">
                  <c:v>1.5063256769025821E-2</c:v>
                </c:pt>
                <c:pt idx="1">
                  <c:v>1.4376714375370274E-2</c:v>
                </c:pt>
                <c:pt idx="2">
                  <c:v>1.5551603429908733E-2</c:v>
                </c:pt>
                <c:pt idx="3">
                  <c:v>1.4273636960166747E-2</c:v>
                </c:pt>
                <c:pt idx="4">
                  <c:v>1.3910280986158452E-2</c:v>
                </c:pt>
                <c:pt idx="5">
                  <c:v>1.3422827238836964E-2</c:v>
                </c:pt>
                <c:pt idx="6">
                  <c:v>1.361891377468053E-2</c:v>
                </c:pt>
                <c:pt idx="7">
                  <c:v>1.5254710739370753E-2</c:v>
                </c:pt>
                <c:pt idx="8">
                  <c:v>1.5182424465554562E-2</c:v>
                </c:pt>
                <c:pt idx="9">
                  <c:v>1.4991794268842472E-2</c:v>
                </c:pt>
                <c:pt idx="10">
                  <c:v>1.7027275041631124E-2</c:v>
                </c:pt>
                <c:pt idx="11">
                  <c:v>1.6708918363019097E-2</c:v>
                </c:pt>
                <c:pt idx="12">
                  <c:v>1.695949358115446E-2</c:v>
                </c:pt>
                <c:pt idx="13">
                  <c:v>2.0488955181811028E-2</c:v>
                </c:pt>
                <c:pt idx="14">
                  <c:v>2.2752671696827074E-2</c:v>
                </c:pt>
                <c:pt idx="15">
                  <c:v>2.2509921040324374E-2</c:v>
                </c:pt>
                <c:pt idx="16">
                  <c:v>2.5369273182532955E-2</c:v>
                </c:pt>
                <c:pt idx="17">
                  <c:v>2.574093808105515E-2</c:v>
                </c:pt>
                <c:pt idx="18">
                  <c:v>2.7464672852422895E-2</c:v>
                </c:pt>
                <c:pt idx="19">
                  <c:v>2.7581595691366874E-2</c:v>
                </c:pt>
                <c:pt idx="20">
                  <c:v>2.8078732027733623E-2</c:v>
                </c:pt>
                <c:pt idx="21">
                  <c:v>2.7714304672879719E-2</c:v>
                </c:pt>
                <c:pt idx="22">
                  <c:v>2.8363586967085314E-2</c:v>
                </c:pt>
                <c:pt idx="23">
                  <c:v>2.7958529932240048E-2</c:v>
                </c:pt>
                <c:pt idx="24">
                  <c:v>2.7855815005617533E-2</c:v>
                </c:pt>
                <c:pt idx="25">
                  <c:v>2.7816762809491413E-2</c:v>
                </c:pt>
              </c:numCache>
            </c:numRef>
          </c:val>
          <c:smooth val="0"/>
          <c:extLst>
            <c:ext xmlns:c16="http://schemas.microsoft.com/office/drawing/2014/chart" uri="{C3380CC4-5D6E-409C-BE32-E72D297353CC}">
              <c16:uniqueId val="{00000000-04F4-4A49-BAFA-7D7D6B128CB9}"/>
            </c:ext>
          </c:extLst>
        </c:ser>
        <c:dLbls>
          <c:showLegendKey val="0"/>
          <c:showVal val="0"/>
          <c:showCatName val="0"/>
          <c:showSerName val="0"/>
          <c:showPercent val="0"/>
          <c:showBubbleSize val="0"/>
        </c:dLbls>
        <c:marker val="1"/>
        <c:smooth val="0"/>
        <c:axId val="293542912"/>
        <c:axId val="293545088"/>
      </c:lineChart>
      <c:catAx>
        <c:axId val="293542912"/>
        <c:scaling>
          <c:orientation val="minMax"/>
        </c:scaling>
        <c:delete val="0"/>
        <c:axPos val="b"/>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93545088"/>
        <c:crosses val="autoZero"/>
        <c:auto val="1"/>
        <c:lblAlgn val="ctr"/>
        <c:lblOffset val="100"/>
        <c:tickLblSkip val="2"/>
        <c:tickMarkSkip val="1"/>
        <c:noMultiLvlLbl val="0"/>
      </c:catAx>
      <c:valAx>
        <c:axId val="293545088"/>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93542912"/>
        <c:crosses val="autoZero"/>
        <c:crossBetween val="midCat"/>
      </c:valAx>
      <c:spPr>
        <a:noFill/>
        <a:ln w="12700">
          <a:solidFill>
            <a:srgbClr val="808080"/>
          </a:solidFill>
          <a:prstDash val="solid"/>
        </a:ln>
      </c:spPr>
    </c:plotArea>
    <c:legend>
      <c:legendPos val="r"/>
      <c:layout>
        <c:manualLayout>
          <c:xMode val="edge"/>
          <c:yMode val="edge"/>
          <c:x val="0.33750088283224794"/>
          <c:y val="0.91558707667966743"/>
          <c:w val="0.41607251693076075"/>
          <c:h val="6.2770745209717135E-2"/>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150"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75" b="1" i="0" u="none" strike="noStrike" baseline="0">
                <a:solidFill>
                  <a:srgbClr val="000000"/>
                </a:solidFill>
                <a:latin typeface="Arial"/>
                <a:ea typeface="Arial"/>
                <a:cs typeface="Arial"/>
              </a:defRPr>
            </a:pPr>
            <a:r>
              <a:t>Social benefits (HH, received) and its main components</a:t>
            </a:r>
          </a:p>
        </c:rich>
      </c:tx>
      <c:layout>
        <c:manualLayout>
          <c:xMode val="edge"/>
          <c:yMode val="edge"/>
          <c:x val="0.14732166291713536"/>
          <c:y val="3.3613445378151259E-2"/>
        </c:manualLayout>
      </c:layout>
      <c:overlay val="0"/>
      <c:spPr>
        <a:noFill/>
        <a:ln w="25400">
          <a:noFill/>
        </a:ln>
      </c:spPr>
    </c:title>
    <c:autoTitleDeleted val="0"/>
    <c:plotArea>
      <c:layout>
        <c:manualLayout>
          <c:layoutTarget val="inner"/>
          <c:xMode val="edge"/>
          <c:yMode val="edge"/>
          <c:x val="9.1517956889514251E-2"/>
          <c:y val="0.17366994285589235"/>
          <c:w val="0.84151877432553357"/>
          <c:h val="0.56302675022636073"/>
        </c:manualLayout>
      </c:layout>
      <c:lineChart>
        <c:grouping val="standard"/>
        <c:varyColors val="0"/>
        <c:ser>
          <c:idx val="0"/>
          <c:order val="0"/>
          <c:tx>
            <c:strRef>
              <c:f>Sector1!$D$300:$E$300</c:f>
              <c:strCache>
                <c:ptCount val="2"/>
                <c:pt idx="0">
                  <c:v>HH</c:v>
                </c:pt>
                <c:pt idx="1">
                  <c:v>Social benefits (D.62r)</c:v>
                </c:pt>
              </c:strCache>
            </c:strRef>
          </c:tx>
          <c:spPr>
            <a:ln w="25400">
              <a:solidFill>
                <a:srgbClr val="FF0000"/>
              </a:solidFill>
              <a:prstDash val="solid"/>
            </a:ln>
          </c:spPr>
          <c:marker>
            <c:symbol val="diamond"/>
            <c:size val="5"/>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Sector1!$G$308:$AJ$308</c:f>
              <c:numCache>
                <c:formatCode>0.0</c:formatCode>
                <c:ptCount val="30"/>
                <c:pt idx="1">
                  <c:v>-2.1714021126330585</c:v>
                </c:pt>
                <c:pt idx="2">
                  <c:v>1.0901648510255324</c:v>
                </c:pt>
                <c:pt idx="3">
                  <c:v>2.4385098824092344</c:v>
                </c:pt>
                <c:pt idx="4">
                  <c:v>2.6963837267704793</c:v>
                </c:pt>
                <c:pt idx="5">
                  <c:v>1.8337787972230402</c:v>
                </c:pt>
                <c:pt idx="6">
                  <c:v>2.5651000393817958</c:v>
                </c:pt>
                <c:pt idx="7">
                  <c:v>5.3554287105671117</c:v>
                </c:pt>
                <c:pt idx="8">
                  <c:v>7.3070187914451745</c:v>
                </c:pt>
                <c:pt idx="9">
                  <c:v>3.1886230955137318</c:v>
                </c:pt>
                <c:pt idx="10">
                  <c:v>2.9253216127802295</c:v>
                </c:pt>
                <c:pt idx="11">
                  <c:v>1.8997905804081672</c:v>
                </c:pt>
                <c:pt idx="12">
                  <c:v>-0.23460118754891068</c:v>
                </c:pt>
                <c:pt idx="13">
                  <c:v>3.9126290127991181</c:v>
                </c:pt>
                <c:pt idx="14">
                  <c:v>6.8576238274371537</c:v>
                </c:pt>
                <c:pt idx="15">
                  <c:v>1.0818532631790001</c:v>
                </c:pt>
                <c:pt idx="16">
                  <c:v>1.5549141541789879</c:v>
                </c:pt>
                <c:pt idx="17" formatCode="0.00">
                  <c:v>4.4248800220772821</c:v>
                </c:pt>
                <c:pt idx="18" formatCode="0.00">
                  <c:v>5.3162243865337189</c:v>
                </c:pt>
                <c:pt idx="19" formatCode="0.00">
                  <c:v>1.2721038369675197</c:v>
                </c:pt>
                <c:pt idx="20" formatCode="0.00">
                  <c:v>3.6308861011940419</c:v>
                </c:pt>
                <c:pt idx="21" formatCode="0.00">
                  <c:v>2.822677643827376</c:v>
                </c:pt>
                <c:pt idx="22" formatCode="0.00">
                  <c:v>3.1446112836218676</c:v>
                </c:pt>
                <c:pt idx="23" formatCode="0.00">
                  <c:v>3.4596664641321384</c:v>
                </c:pt>
                <c:pt idx="24" formatCode="0.00">
                  <c:v>1.7946045780791842</c:v>
                </c:pt>
                <c:pt idx="25" formatCode="0.00">
                  <c:v>2.2067475840448658</c:v>
                </c:pt>
              </c:numCache>
            </c:numRef>
          </c:val>
          <c:smooth val="0"/>
          <c:extLst>
            <c:ext xmlns:c16="http://schemas.microsoft.com/office/drawing/2014/chart" uri="{C3380CC4-5D6E-409C-BE32-E72D297353CC}">
              <c16:uniqueId val="{00000000-322E-4A85-AB90-D96EC8E8FE3A}"/>
            </c:ext>
          </c:extLst>
        </c:ser>
        <c:ser>
          <c:idx val="1"/>
          <c:order val="1"/>
          <c:tx>
            <c:strRef>
              <c:f>Sector1!$D$305:$E$305</c:f>
              <c:strCache>
                <c:ptCount val="2"/>
                <c:pt idx="0">
                  <c:v>E</c:v>
                </c:pt>
                <c:pt idx="1">
                  <c:v>Social benefits (D.62p)</c:v>
                </c:pt>
              </c:strCache>
            </c:strRef>
          </c:tx>
          <c:spPr>
            <a:ln w="25400">
              <a:solidFill>
                <a:srgbClr val="993366"/>
              </a:solidFill>
              <a:prstDash val="solid"/>
            </a:ln>
          </c:spPr>
          <c:marker>
            <c:symbol val="circle"/>
            <c:size val="5"/>
            <c:spPr>
              <a:solidFill>
                <a:srgbClr val="FFFFFF"/>
              </a:solidFill>
              <a:ln>
                <a:solidFill>
                  <a:srgbClr val="993366"/>
                </a:solidFill>
                <a:prstDash val="solid"/>
              </a:ln>
            </c:spPr>
          </c:marker>
          <c:val>
            <c:numRef>
              <c:f>Sector1!$G$305:$AJ$305</c:f>
              <c:numCache>
                <c:formatCode>0.0</c:formatCode>
                <c:ptCount val="30"/>
                <c:pt idx="1">
                  <c:v>-2.0912547528517123</c:v>
                </c:pt>
                <c:pt idx="2">
                  <c:v>13.070837828119398</c:v>
                </c:pt>
                <c:pt idx="3">
                  <c:v>-3.5681348386070955</c:v>
                </c:pt>
                <c:pt idx="4">
                  <c:v>2.7833657619628749</c:v>
                </c:pt>
                <c:pt idx="5">
                  <c:v>2.6566560785446169</c:v>
                </c:pt>
                <c:pt idx="6">
                  <c:v>5.644631973745895</c:v>
                </c:pt>
                <c:pt idx="7">
                  <c:v>16.165202212952281</c:v>
                </c:pt>
                <c:pt idx="8">
                  <c:v>3.6597478670571615</c:v>
                </c:pt>
                <c:pt idx="9">
                  <c:v>3.4420912977249252</c:v>
                </c:pt>
                <c:pt idx="10">
                  <c:v>17.713702111488484</c:v>
                </c:pt>
                <c:pt idx="11">
                  <c:v>4.6084622989850832</c:v>
                </c:pt>
                <c:pt idx="12">
                  <c:v>7.9814832674317548</c:v>
                </c:pt>
                <c:pt idx="13">
                  <c:v>24.13053962810141</c:v>
                </c:pt>
                <c:pt idx="14">
                  <c:v>7.7850687848960876</c:v>
                </c:pt>
                <c:pt idx="15">
                  <c:v>5.8997089530319569</c:v>
                </c:pt>
                <c:pt idx="16">
                  <c:v>17.091312514970824</c:v>
                </c:pt>
                <c:pt idx="17">
                  <c:v>2.2362669308124694</c:v>
                </c:pt>
                <c:pt idx="18">
                  <c:v>9.1569690906218923</c:v>
                </c:pt>
                <c:pt idx="19">
                  <c:v>4.8692715870718661</c:v>
                </c:pt>
                <c:pt idx="20">
                  <c:v>8.5347341692963106</c:v>
                </c:pt>
                <c:pt idx="21">
                  <c:v>3.0235475613270557</c:v>
                </c:pt>
                <c:pt idx="22">
                  <c:v>6.8561226252869423</c:v>
                </c:pt>
                <c:pt idx="23" formatCode="0.00">
                  <c:v>3.4</c:v>
                </c:pt>
                <c:pt idx="24" formatCode="0.00">
                  <c:v>3.4</c:v>
                </c:pt>
                <c:pt idx="25" formatCode="0.00">
                  <c:v>3.4</c:v>
                </c:pt>
                <c:pt idx="26" formatCode="General">
                  <c:v>0</c:v>
                </c:pt>
              </c:numCache>
            </c:numRef>
          </c:val>
          <c:smooth val="0"/>
          <c:extLst>
            <c:ext xmlns:c16="http://schemas.microsoft.com/office/drawing/2014/chart" uri="{C3380CC4-5D6E-409C-BE32-E72D297353CC}">
              <c16:uniqueId val="{00000001-322E-4A85-AB90-D96EC8E8FE3A}"/>
            </c:ext>
          </c:extLst>
        </c:ser>
        <c:ser>
          <c:idx val="2"/>
          <c:order val="2"/>
          <c:tx>
            <c:strRef>
              <c:f>Sector1!$D$306:$E$306</c:f>
              <c:strCache>
                <c:ptCount val="2"/>
                <c:pt idx="0">
                  <c:v>GVT</c:v>
                </c:pt>
                <c:pt idx="1">
                  <c:v>Social benefits (D.62p)</c:v>
                </c:pt>
              </c:strCache>
            </c:strRef>
          </c:tx>
          <c:spPr>
            <a:ln w="25400">
              <a:solidFill>
                <a:srgbClr val="008000"/>
              </a:solidFill>
              <a:prstDash val="solid"/>
            </a:ln>
          </c:spPr>
          <c:marker>
            <c:symbol val="circle"/>
            <c:size val="5"/>
            <c:spPr>
              <a:solidFill>
                <a:srgbClr val="FFFFFF"/>
              </a:solidFill>
              <a:ln>
                <a:solidFill>
                  <a:srgbClr val="008000"/>
                </a:solidFill>
                <a:prstDash val="solid"/>
              </a:ln>
            </c:spPr>
          </c:marker>
          <c:val>
            <c:numRef>
              <c:f>Sector1!$G$306:$AJ$306</c:f>
              <c:numCache>
                <c:formatCode>0.0</c:formatCode>
                <c:ptCount val="30"/>
                <c:pt idx="1">
                  <c:v>-2.1205357142857095</c:v>
                </c:pt>
                <c:pt idx="2">
                  <c:v>0.83093418673656494</c:v>
                </c:pt>
                <c:pt idx="3">
                  <c:v>3.9333108412055617</c:v>
                </c:pt>
                <c:pt idx="4">
                  <c:v>3.7832541335665937</c:v>
                </c:pt>
                <c:pt idx="5">
                  <c:v>2.1506559703437622</c:v>
                </c:pt>
                <c:pt idx="6">
                  <c:v>4.7403576815341353</c:v>
                </c:pt>
                <c:pt idx="7">
                  <c:v>5.0054677941510972</c:v>
                </c:pt>
                <c:pt idx="8">
                  <c:v>7.3309995669299521</c:v>
                </c:pt>
                <c:pt idx="9">
                  <c:v>2.3870767856242203</c:v>
                </c:pt>
                <c:pt idx="10">
                  <c:v>2.0717512772515434</c:v>
                </c:pt>
                <c:pt idx="11">
                  <c:v>2.6563986597355482</c:v>
                </c:pt>
                <c:pt idx="12">
                  <c:v>0.48466857847713207</c:v>
                </c:pt>
                <c:pt idx="13">
                  <c:v>2.949458853723419</c:v>
                </c:pt>
                <c:pt idx="14">
                  <c:v>5.6667265381377563</c:v>
                </c:pt>
                <c:pt idx="15">
                  <c:v>0.71740595182752109</c:v>
                </c:pt>
                <c:pt idx="16">
                  <c:v>1.2810345879343821E-2</c:v>
                </c:pt>
                <c:pt idx="17">
                  <c:v>4.8915021358007404</c:v>
                </c:pt>
                <c:pt idx="18">
                  <c:v>4.5563972150289178</c:v>
                </c:pt>
                <c:pt idx="19">
                  <c:v>1.0370417059836656</c:v>
                </c:pt>
                <c:pt idx="20">
                  <c:v>2.9454343290894025</c:v>
                </c:pt>
                <c:pt idx="21">
                  <c:v>3.0146186010201914</c:v>
                </c:pt>
                <c:pt idx="22">
                  <c:v>2.3300114190802468</c:v>
                </c:pt>
                <c:pt idx="23" formatCode="0.00">
                  <c:v>3.55</c:v>
                </c:pt>
                <c:pt idx="24" formatCode="0.00">
                  <c:v>1.5</c:v>
                </c:pt>
                <c:pt idx="25" formatCode="0.00">
                  <c:v>2</c:v>
                </c:pt>
                <c:pt idx="26" formatCode="General">
                  <c:v>0</c:v>
                </c:pt>
              </c:numCache>
            </c:numRef>
          </c:val>
          <c:smooth val="0"/>
          <c:extLst>
            <c:ext xmlns:c16="http://schemas.microsoft.com/office/drawing/2014/chart" uri="{C3380CC4-5D6E-409C-BE32-E72D297353CC}">
              <c16:uniqueId val="{00000002-322E-4A85-AB90-D96EC8E8FE3A}"/>
            </c:ext>
          </c:extLst>
        </c:ser>
        <c:dLbls>
          <c:showLegendKey val="0"/>
          <c:showVal val="0"/>
          <c:showCatName val="0"/>
          <c:showSerName val="0"/>
          <c:showPercent val="0"/>
          <c:showBubbleSize val="0"/>
        </c:dLbls>
        <c:marker val="1"/>
        <c:smooth val="0"/>
        <c:axId val="293587200"/>
        <c:axId val="293282176"/>
      </c:lineChart>
      <c:catAx>
        <c:axId val="293587200"/>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93282176"/>
        <c:crosses val="autoZero"/>
        <c:auto val="1"/>
        <c:lblAlgn val="ctr"/>
        <c:lblOffset val="100"/>
        <c:tickLblSkip val="2"/>
        <c:tickMarkSkip val="1"/>
        <c:noMultiLvlLbl val="0"/>
      </c:catAx>
      <c:valAx>
        <c:axId val="293282176"/>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93587200"/>
        <c:crosses val="autoZero"/>
        <c:crossBetween val="midCat"/>
      </c:valAx>
      <c:spPr>
        <a:noFill/>
        <a:ln w="12700">
          <a:solidFill>
            <a:srgbClr val="808080"/>
          </a:solidFill>
          <a:prstDash val="solid"/>
        </a:ln>
      </c:spPr>
    </c:plotArea>
    <c:legend>
      <c:legendPos val="r"/>
      <c:layout>
        <c:manualLayout>
          <c:xMode val="edge"/>
          <c:yMode val="edge"/>
          <c:x val="4.4642973919609516E-2"/>
          <c:y val="0.85714534838096512"/>
          <c:w val="0.88393088360826844"/>
          <c:h val="0.12121247350841932"/>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150"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75" b="1" i="0" u="none" strike="noStrike" baseline="0">
                <a:solidFill>
                  <a:srgbClr val="000000"/>
                </a:solidFill>
                <a:latin typeface="Arial"/>
                <a:ea typeface="Arial"/>
                <a:cs typeface="Arial"/>
              </a:defRPr>
            </a:pPr>
            <a:r>
              <a:t>Gross savings as % of GDP</a:t>
            </a:r>
          </a:p>
        </c:rich>
      </c:tx>
      <c:layout>
        <c:manualLayout>
          <c:xMode val="edge"/>
          <c:yMode val="edge"/>
          <c:x val="0.32812546869141357"/>
          <c:y val="3.3613445378151259E-2"/>
        </c:manualLayout>
      </c:layout>
      <c:overlay val="0"/>
      <c:spPr>
        <a:noFill/>
        <a:ln w="25400">
          <a:noFill/>
        </a:ln>
      </c:spPr>
    </c:title>
    <c:autoTitleDeleted val="0"/>
    <c:plotArea>
      <c:layout>
        <c:manualLayout>
          <c:layoutTarget val="inner"/>
          <c:xMode val="edge"/>
          <c:yMode val="edge"/>
          <c:x val="0.11830370036937209"/>
          <c:y val="0.17366994285589235"/>
          <c:w val="0.81473303084567572"/>
          <c:h val="0.62185044054851779"/>
        </c:manualLayout>
      </c:layout>
      <c:lineChart>
        <c:grouping val="standard"/>
        <c:varyColors val="0"/>
        <c:ser>
          <c:idx val="0"/>
          <c:order val="0"/>
          <c:tx>
            <c:strRef>
              <c:f>Sector1!$D$468:$E$468</c:f>
              <c:strCache>
                <c:ptCount val="2"/>
                <c:pt idx="0">
                  <c:v>HH</c:v>
                </c:pt>
                <c:pt idx="1">
                  <c:v>Gross saving (B.8g)</c:v>
                </c:pt>
              </c:strCache>
            </c:strRef>
          </c:tx>
          <c:spPr>
            <a:ln w="25400">
              <a:solidFill>
                <a:srgbClr val="FF0000"/>
              </a:solidFill>
              <a:prstDash val="solid"/>
            </a:ln>
          </c:spPr>
          <c:marker>
            <c:symbol val="diamond"/>
            <c:size val="5"/>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Sector1!$G$468:$AJ$468</c:f>
              <c:numCache>
                <c:formatCode>0.0%</c:formatCode>
                <c:ptCount val="30"/>
                <c:pt idx="0">
                  <c:v>5.3318010572492969E-2</c:v>
                </c:pt>
                <c:pt idx="1">
                  <c:v>4.1819127388752361E-2</c:v>
                </c:pt>
                <c:pt idx="2">
                  <c:v>2.6152114414696906E-2</c:v>
                </c:pt>
                <c:pt idx="3">
                  <c:v>2.364284416443926E-2</c:v>
                </c:pt>
                <c:pt idx="4">
                  <c:v>-6.8348587615758589E-3</c:v>
                </c:pt>
                <c:pt idx="5">
                  <c:v>3.580343560608925E-2</c:v>
                </c:pt>
                <c:pt idx="6">
                  <c:v>5.7429421463095473E-2</c:v>
                </c:pt>
                <c:pt idx="7">
                  <c:v>5.6089471510618501E-2</c:v>
                </c:pt>
                <c:pt idx="8">
                  <c:v>5.1422247239041971E-2</c:v>
                </c:pt>
                <c:pt idx="9">
                  <c:v>4.4618952479398434E-2</c:v>
                </c:pt>
                <c:pt idx="10">
                  <c:v>4.2039617505582036E-2</c:v>
                </c:pt>
                <c:pt idx="11">
                  <c:v>5.0321415841131083E-2</c:v>
                </c:pt>
                <c:pt idx="12">
                  <c:v>6.2356879753697657E-2</c:v>
                </c:pt>
                <c:pt idx="13">
                  <c:v>7.5867394368750993E-2</c:v>
                </c:pt>
                <c:pt idx="14">
                  <c:v>7.6363096212677464E-2</c:v>
                </c:pt>
                <c:pt idx="15">
                  <c:v>7.9478997816009075E-2</c:v>
                </c:pt>
                <c:pt idx="16">
                  <c:v>8.3347013405742548E-2</c:v>
                </c:pt>
                <c:pt idx="17">
                  <c:v>9.5033141576379404E-2</c:v>
                </c:pt>
                <c:pt idx="18">
                  <c:v>9.8599367928310436E-2</c:v>
                </c:pt>
                <c:pt idx="19">
                  <c:v>0.10677569352372847</c:v>
                </c:pt>
                <c:pt idx="20">
                  <c:v>9.5684847209703661E-2</c:v>
                </c:pt>
                <c:pt idx="21">
                  <c:v>0.10137391497474507</c:v>
                </c:pt>
                <c:pt idx="22">
                  <c:v>9.5257615422397371E-2</c:v>
                </c:pt>
                <c:pt idx="23">
                  <c:v>9.6577490398206858E-2</c:v>
                </c:pt>
                <c:pt idx="24">
                  <c:v>9.2043201319675069E-2</c:v>
                </c:pt>
                <c:pt idx="25">
                  <c:v>8.8407509624329472E-2</c:v>
                </c:pt>
              </c:numCache>
            </c:numRef>
          </c:val>
          <c:smooth val="0"/>
          <c:extLst>
            <c:ext xmlns:c16="http://schemas.microsoft.com/office/drawing/2014/chart" uri="{C3380CC4-5D6E-409C-BE32-E72D297353CC}">
              <c16:uniqueId val="{00000000-A70E-4C9E-8431-D7985094F1E2}"/>
            </c:ext>
          </c:extLst>
        </c:ser>
        <c:ser>
          <c:idx val="1"/>
          <c:order val="1"/>
          <c:tx>
            <c:strRef>
              <c:f>Sector1!$D$469:$E$469</c:f>
              <c:strCache>
                <c:ptCount val="2"/>
                <c:pt idx="0">
                  <c:v>E</c:v>
                </c:pt>
                <c:pt idx="1">
                  <c:v>Gross saving (B.8g)</c:v>
                </c:pt>
              </c:strCache>
            </c:strRef>
          </c:tx>
          <c:spPr>
            <a:ln w="25400">
              <a:solidFill>
                <a:srgbClr val="0000FF"/>
              </a:solidFill>
              <a:prstDash val="solid"/>
            </a:ln>
          </c:spPr>
          <c:marker>
            <c:symbol val="circle"/>
            <c:size val="5"/>
            <c:spPr>
              <a:solidFill>
                <a:srgbClr val="FFFFFF"/>
              </a:solidFill>
              <a:ln>
                <a:solidFill>
                  <a:srgbClr val="0000FF"/>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Sector1!$G$469:$AJ$469</c:f>
              <c:numCache>
                <c:formatCode>0.0%</c:formatCode>
                <c:ptCount val="30"/>
                <c:pt idx="0">
                  <c:v>0.20302516694526229</c:v>
                </c:pt>
                <c:pt idx="1">
                  <c:v>0.1799534527377793</c:v>
                </c:pt>
                <c:pt idx="2">
                  <c:v>0.18619094767598848</c:v>
                </c:pt>
                <c:pt idx="3">
                  <c:v>0.18915922850905151</c:v>
                </c:pt>
                <c:pt idx="4">
                  <c:v>0.18454877390738883</c:v>
                </c:pt>
                <c:pt idx="5">
                  <c:v>0.16606925750935761</c:v>
                </c:pt>
                <c:pt idx="6">
                  <c:v>0.16288222486175993</c:v>
                </c:pt>
                <c:pt idx="7">
                  <c:v>0.18434326265492185</c:v>
                </c:pt>
                <c:pt idx="8">
                  <c:v>0.19884268610518332</c:v>
                </c:pt>
                <c:pt idx="9">
                  <c:v>0.19096725078274027</c:v>
                </c:pt>
                <c:pt idx="10">
                  <c:v>0.18565848634152188</c:v>
                </c:pt>
                <c:pt idx="11">
                  <c:v>0.19947602739946765</c:v>
                </c:pt>
                <c:pt idx="12">
                  <c:v>0.19104309231522854</c:v>
                </c:pt>
                <c:pt idx="13">
                  <c:v>0.18717768563729911</c:v>
                </c:pt>
                <c:pt idx="14">
                  <c:v>0.15997313494586429</c:v>
                </c:pt>
                <c:pt idx="15">
                  <c:v>0.16994804507830127</c:v>
                </c:pt>
                <c:pt idx="16">
                  <c:v>0.16137423133243722</c:v>
                </c:pt>
                <c:pt idx="17">
                  <c:v>0.15193537534925999</c:v>
                </c:pt>
                <c:pt idx="18">
                  <c:v>0.14788076860807764</c:v>
                </c:pt>
                <c:pt idx="19">
                  <c:v>0.14476728179298004</c:v>
                </c:pt>
                <c:pt idx="20">
                  <c:v>0.14824910753025744</c:v>
                </c:pt>
                <c:pt idx="21">
                  <c:v>0.13047209928544021</c:v>
                </c:pt>
                <c:pt idx="22">
                  <c:v>0.13659266124891589</c:v>
                </c:pt>
                <c:pt idx="23">
                  <c:v>0.14180867515689821</c:v>
                </c:pt>
                <c:pt idx="24">
                  <c:v>0.14430368560044093</c:v>
                </c:pt>
                <c:pt idx="25">
                  <c:v>0.14718203708321373</c:v>
                </c:pt>
              </c:numCache>
            </c:numRef>
          </c:val>
          <c:smooth val="0"/>
          <c:extLst>
            <c:ext xmlns:c16="http://schemas.microsoft.com/office/drawing/2014/chart" uri="{C3380CC4-5D6E-409C-BE32-E72D297353CC}">
              <c16:uniqueId val="{00000001-A70E-4C9E-8431-D7985094F1E2}"/>
            </c:ext>
          </c:extLst>
        </c:ser>
        <c:dLbls>
          <c:showLegendKey val="0"/>
          <c:showVal val="0"/>
          <c:showCatName val="0"/>
          <c:showSerName val="0"/>
          <c:showPercent val="0"/>
          <c:showBubbleSize val="0"/>
        </c:dLbls>
        <c:marker val="1"/>
        <c:smooth val="0"/>
        <c:axId val="293319424"/>
        <c:axId val="293321344"/>
      </c:lineChart>
      <c:catAx>
        <c:axId val="293319424"/>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93321344"/>
        <c:crosses val="autoZero"/>
        <c:auto val="1"/>
        <c:lblAlgn val="ctr"/>
        <c:lblOffset val="100"/>
        <c:tickLblSkip val="2"/>
        <c:tickMarkSkip val="1"/>
        <c:noMultiLvlLbl val="0"/>
      </c:catAx>
      <c:valAx>
        <c:axId val="293321344"/>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93319424"/>
        <c:crosses val="autoZero"/>
        <c:crossBetween val="midCat"/>
      </c:valAx>
      <c:spPr>
        <a:noFill/>
        <a:ln w="12700">
          <a:solidFill>
            <a:srgbClr val="808080"/>
          </a:solidFill>
          <a:prstDash val="solid"/>
        </a:ln>
      </c:spPr>
    </c:plotArea>
    <c:legend>
      <c:legendPos val="r"/>
      <c:layout>
        <c:manualLayout>
          <c:xMode val="edge"/>
          <c:yMode val="edge"/>
          <c:x val="0.15178611132667238"/>
          <c:y val="0.91558707667966743"/>
          <c:w val="0.75893055663336173"/>
          <c:h val="6.2770745209717135E-2"/>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150"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75" b="1" i="0" u="none" strike="noStrike" baseline="0">
                <a:solidFill>
                  <a:srgbClr val="000000"/>
                </a:solidFill>
                <a:latin typeface="Arial"/>
                <a:ea typeface="Arial"/>
                <a:cs typeface="Arial"/>
              </a:defRPr>
            </a:pPr>
            <a:r>
              <a:t>Household savings ratio</a:t>
            </a:r>
          </a:p>
        </c:rich>
      </c:tx>
      <c:layout>
        <c:manualLayout>
          <c:xMode val="edge"/>
          <c:yMode val="edge"/>
          <c:x val="0.34375046869141357"/>
          <c:y val="3.3613445378151259E-2"/>
        </c:manualLayout>
      </c:layout>
      <c:overlay val="0"/>
      <c:spPr>
        <a:noFill/>
        <a:ln w="25400">
          <a:noFill/>
        </a:ln>
      </c:spPr>
    </c:title>
    <c:autoTitleDeleted val="0"/>
    <c:plotArea>
      <c:layout>
        <c:manualLayout>
          <c:layoutTarget val="inner"/>
          <c:xMode val="edge"/>
          <c:yMode val="edge"/>
          <c:x val="0.11830370036937209"/>
          <c:y val="0.17366994285589235"/>
          <c:w val="0.81473303084567572"/>
          <c:h val="0.62185044054851779"/>
        </c:manualLayout>
      </c:layout>
      <c:lineChart>
        <c:grouping val="standard"/>
        <c:varyColors val="0"/>
        <c:ser>
          <c:idx val="0"/>
          <c:order val="0"/>
          <c:tx>
            <c:strRef>
              <c:f>Sector1!$E$474</c:f>
              <c:strCache>
                <c:ptCount val="1"/>
                <c:pt idx="0">
                  <c:v>Gross saving (B.8g) / Adj. Disp. Income (B.6g + D.8)</c:v>
                </c:pt>
              </c:strCache>
            </c:strRef>
          </c:tx>
          <c:spPr>
            <a:ln w="25400">
              <a:solidFill>
                <a:srgbClr val="FF0000"/>
              </a:solidFill>
              <a:prstDash val="solid"/>
            </a:ln>
          </c:spPr>
          <c:marker>
            <c:symbol val="diamond"/>
            <c:size val="5"/>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Sector1!$G$474:$AJ$474</c:f>
              <c:numCache>
                <c:formatCode>0.0%</c:formatCode>
                <c:ptCount val="30"/>
                <c:pt idx="0">
                  <c:v>0.10112125619316041</c:v>
                </c:pt>
                <c:pt idx="1">
                  <c:v>8.096484423870888E-2</c:v>
                </c:pt>
                <c:pt idx="2">
                  <c:v>5.2330057694781759E-2</c:v>
                </c:pt>
                <c:pt idx="3">
                  <c:v>4.8111950542213511E-2</c:v>
                </c:pt>
                <c:pt idx="4">
                  <c:v>-1.4814456525945428E-2</c:v>
                </c:pt>
                <c:pt idx="5">
                  <c:v>7.110032125194958E-2</c:v>
                </c:pt>
                <c:pt idx="6">
                  <c:v>0.1105078390904764</c:v>
                </c:pt>
                <c:pt idx="7">
                  <c:v>0.10785733176147855</c:v>
                </c:pt>
                <c:pt idx="8">
                  <c:v>9.9933380645881364E-2</c:v>
                </c:pt>
                <c:pt idx="9">
                  <c:v>8.8776604713573792E-2</c:v>
                </c:pt>
                <c:pt idx="10">
                  <c:v>8.3879153805182724E-2</c:v>
                </c:pt>
                <c:pt idx="11">
                  <c:v>0.10107294400947694</c:v>
                </c:pt>
                <c:pt idx="12">
                  <c:v>0.1234008292307435</c:v>
                </c:pt>
                <c:pt idx="13">
                  <c:v>0.14549075239975087</c:v>
                </c:pt>
                <c:pt idx="14">
                  <c:v>0.13952241539592908</c:v>
                </c:pt>
                <c:pt idx="15">
                  <c:v>0.14627280371440077</c:v>
                </c:pt>
                <c:pt idx="16">
                  <c:v>0.15271877527487046</c:v>
                </c:pt>
                <c:pt idx="17">
                  <c:v>0.16971639621164492</c:v>
                </c:pt>
                <c:pt idx="18">
                  <c:v>0.17458261295899671</c:v>
                </c:pt>
                <c:pt idx="19">
                  <c:v>0.18810902585367539</c:v>
                </c:pt>
                <c:pt idx="20">
                  <c:v>0.17547012930328981</c:v>
                </c:pt>
                <c:pt idx="21">
                  <c:v>0.18468667759229129</c:v>
                </c:pt>
                <c:pt idx="22">
                  <c:v>0.17609166334608678</c:v>
                </c:pt>
                <c:pt idx="23">
                  <c:v>0.17916000544719285</c:v>
                </c:pt>
                <c:pt idx="24">
                  <c:v>0.17180180150357169</c:v>
                </c:pt>
                <c:pt idx="25">
                  <c:v>0.16561945265846534</c:v>
                </c:pt>
              </c:numCache>
            </c:numRef>
          </c:val>
          <c:smooth val="0"/>
          <c:extLst>
            <c:ext xmlns:c16="http://schemas.microsoft.com/office/drawing/2014/chart" uri="{C3380CC4-5D6E-409C-BE32-E72D297353CC}">
              <c16:uniqueId val="{00000000-1FAD-4913-AA5F-3F8C1CBDEF7A}"/>
            </c:ext>
          </c:extLst>
        </c:ser>
        <c:dLbls>
          <c:showLegendKey val="0"/>
          <c:showVal val="0"/>
          <c:showCatName val="0"/>
          <c:showSerName val="0"/>
          <c:showPercent val="0"/>
          <c:showBubbleSize val="0"/>
        </c:dLbls>
        <c:marker val="1"/>
        <c:smooth val="0"/>
        <c:axId val="293349632"/>
        <c:axId val="293351808"/>
      </c:lineChart>
      <c:catAx>
        <c:axId val="293349632"/>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93351808"/>
        <c:crosses val="autoZero"/>
        <c:auto val="1"/>
        <c:lblAlgn val="ctr"/>
        <c:lblOffset val="100"/>
        <c:tickLblSkip val="2"/>
        <c:tickMarkSkip val="1"/>
        <c:noMultiLvlLbl val="0"/>
      </c:catAx>
      <c:valAx>
        <c:axId val="293351808"/>
        <c:scaling>
          <c:orientation val="minMax"/>
          <c:min val="0.1"/>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93349632"/>
        <c:crosses val="autoZero"/>
        <c:crossBetween val="midCat"/>
      </c:valAx>
      <c:spPr>
        <a:noFill/>
        <a:ln w="12700">
          <a:solidFill>
            <a:srgbClr val="808080"/>
          </a:solidFill>
          <a:prstDash val="solid"/>
        </a:ln>
      </c:spPr>
    </c:plotArea>
    <c:legend>
      <c:legendPos val="r"/>
      <c:layout>
        <c:manualLayout>
          <c:xMode val="edge"/>
          <c:yMode val="edge"/>
          <c:x val="0.14642895445631923"/>
          <c:y val="0.91558707667966743"/>
          <c:w val="0.7714305893308524"/>
          <c:h val="6.2770745209717135E-2"/>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150"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t>Corporate income tax related to corporate GOS</a:t>
            </a:r>
          </a:p>
        </c:rich>
      </c:tx>
      <c:layout>
        <c:manualLayout>
          <c:xMode val="edge"/>
          <c:yMode val="edge"/>
          <c:x val="0.16071452005999248"/>
          <c:y val="3.3613445378151259E-2"/>
        </c:manualLayout>
      </c:layout>
      <c:overlay val="0"/>
      <c:spPr>
        <a:noFill/>
        <a:ln w="25400">
          <a:noFill/>
        </a:ln>
      </c:spPr>
    </c:title>
    <c:autoTitleDeleted val="0"/>
    <c:plotArea>
      <c:layout>
        <c:manualLayout>
          <c:layoutTarget val="inner"/>
          <c:xMode val="edge"/>
          <c:yMode val="edge"/>
          <c:x val="0.10714297391943133"/>
          <c:y val="0.17647107096647127"/>
          <c:w val="0.86160808193542693"/>
          <c:h val="0.56022562211578175"/>
        </c:manualLayout>
      </c:layout>
      <c:lineChart>
        <c:grouping val="standard"/>
        <c:varyColors val="0"/>
        <c:ser>
          <c:idx val="0"/>
          <c:order val="0"/>
          <c:tx>
            <c:strRef>
              <c:f>Sector1!$D$208:$E$208</c:f>
              <c:strCache>
                <c:ptCount val="2"/>
                <c:pt idx="0">
                  <c:v>E</c:v>
                </c:pt>
                <c:pt idx="1">
                  <c:v>Current taxes on income and wealth (D.5p)  </c:v>
                </c:pt>
              </c:strCache>
            </c:strRef>
          </c:tx>
          <c:spPr>
            <a:ln w="25400">
              <a:solidFill>
                <a:srgbClr val="008000"/>
              </a:solidFill>
              <a:prstDash val="solid"/>
            </a:ln>
          </c:spPr>
          <c:marker>
            <c:symbol val="none"/>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Sector1!$G$208:$AI$208</c:f>
              <c:numCache>
                <c:formatCode>0.0</c:formatCode>
                <c:ptCount val="29"/>
                <c:pt idx="1">
                  <c:v>-0.62599835945257309</c:v>
                </c:pt>
                <c:pt idx="2">
                  <c:v>16.29594230602136</c:v>
                </c:pt>
                <c:pt idx="3">
                  <c:v>-7.4750644402106881</c:v>
                </c:pt>
                <c:pt idx="4">
                  <c:v>26.136547157622726</c:v>
                </c:pt>
                <c:pt idx="5">
                  <c:v>31.203687402973614</c:v>
                </c:pt>
                <c:pt idx="6">
                  <c:v>-28.281288119053428</c:v>
                </c:pt>
                <c:pt idx="7">
                  <c:v>-19.792499362190664</c:v>
                </c:pt>
                <c:pt idx="8">
                  <c:v>16.656770855422188</c:v>
                </c:pt>
                <c:pt idx="9">
                  <c:v>41.988257320996844</c:v>
                </c:pt>
                <c:pt idx="10">
                  <c:v>26.744930356411324</c:v>
                </c:pt>
                <c:pt idx="11">
                  <c:v>8.1674292698201043</c:v>
                </c:pt>
                <c:pt idx="12">
                  <c:v>9.4267385072229537</c:v>
                </c:pt>
                <c:pt idx="13">
                  <c:v>-23.306936100491537</c:v>
                </c:pt>
                <c:pt idx="14">
                  <c:v>2.8930033825891321E-2</c:v>
                </c:pt>
                <c:pt idx="15">
                  <c:v>25.810362855680879</c:v>
                </c:pt>
                <c:pt idx="16">
                  <c:v>-3.1211041458519384</c:v>
                </c:pt>
                <c:pt idx="17">
                  <c:v>-14.661726186673473</c:v>
                </c:pt>
                <c:pt idx="18">
                  <c:v>6.8637306696896605</c:v>
                </c:pt>
                <c:pt idx="19">
                  <c:v>2.1996717505303964</c:v>
                </c:pt>
                <c:pt idx="20">
                  <c:v>19.48453810148645</c:v>
                </c:pt>
                <c:pt idx="21">
                  <c:v>1.267005408949351</c:v>
                </c:pt>
                <c:pt idx="22">
                  <c:v>7.0844730751177476</c:v>
                </c:pt>
                <c:pt idx="23">
                  <c:v>5</c:v>
                </c:pt>
                <c:pt idx="24">
                  <c:v>2.6</c:v>
                </c:pt>
                <c:pt idx="25">
                  <c:v>2.6</c:v>
                </c:pt>
                <c:pt idx="26" formatCode="0.00">
                  <c:v>0</c:v>
                </c:pt>
                <c:pt idx="27">
                  <c:v>4.9000000000000004</c:v>
                </c:pt>
                <c:pt idx="28">
                  <c:v>2.9230237102800856</c:v>
                </c:pt>
              </c:numCache>
            </c:numRef>
          </c:val>
          <c:smooth val="0"/>
          <c:extLst>
            <c:ext xmlns:c16="http://schemas.microsoft.com/office/drawing/2014/chart" uri="{C3380CC4-5D6E-409C-BE32-E72D297353CC}">
              <c16:uniqueId val="{00000000-2F5F-4634-9B70-18F0F501F4ED}"/>
            </c:ext>
          </c:extLst>
        </c:ser>
        <c:ser>
          <c:idx val="1"/>
          <c:order val="1"/>
          <c:tx>
            <c:strRef>
              <c:f>Sector1!$D$108:$E$108</c:f>
              <c:strCache>
                <c:ptCount val="2"/>
                <c:pt idx="0">
                  <c:v>E</c:v>
                </c:pt>
                <c:pt idx="1">
                  <c:v>Gross operating surplus (B.2g) / Mixed income (implicit residual)</c:v>
                </c:pt>
              </c:strCache>
            </c:strRef>
          </c:tx>
          <c:spPr>
            <a:ln w="25400">
              <a:solidFill>
                <a:srgbClr val="FF0000"/>
              </a:solidFill>
              <a:prstDash val="solid"/>
            </a:ln>
          </c:spPr>
          <c:marker>
            <c:symbol val="none"/>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Sector1!$G$119:$AI$119</c:f>
              <c:numCache>
                <c:formatCode>0.0</c:formatCode>
                <c:ptCount val="29"/>
                <c:pt idx="1">
                  <c:v>-6.7785095211727819</c:v>
                </c:pt>
                <c:pt idx="2">
                  <c:v>6.3768524993470077</c:v>
                </c:pt>
                <c:pt idx="3">
                  <c:v>3.0712479630286449</c:v>
                </c:pt>
                <c:pt idx="4">
                  <c:v>5.550283354144625</c:v>
                </c:pt>
                <c:pt idx="5">
                  <c:v>4.8685757550387843</c:v>
                </c:pt>
                <c:pt idx="6">
                  <c:v>-2.2551510607575542</c:v>
                </c:pt>
                <c:pt idx="7">
                  <c:v>3.0095987556774118</c:v>
                </c:pt>
                <c:pt idx="8">
                  <c:v>7.0495804518847072</c:v>
                </c:pt>
                <c:pt idx="9">
                  <c:v>10.513874978665005</c:v>
                </c:pt>
                <c:pt idx="10">
                  <c:v>3.7380781010050157</c:v>
                </c:pt>
                <c:pt idx="11">
                  <c:v>12.217450049016975</c:v>
                </c:pt>
                <c:pt idx="12">
                  <c:v>3.42058559223819</c:v>
                </c:pt>
                <c:pt idx="13">
                  <c:v>-0.23961777334577938</c:v>
                </c:pt>
                <c:pt idx="14">
                  <c:v>-10.052454339007433</c:v>
                </c:pt>
                <c:pt idx="15">
                  <c:v>18.279229098952122</c:v>
                </c:pt>
                <c:pt idx="16">
                  <c:v>2.2660076054298539</c:v>
                </c:pt>
                <c:pt idx="17">
                  <c:v>-5.0885404703872927</c:v>
                </c:pt>
                <c:pt idx="18">
                  <c:v>1.4496499224660342</c:v>
                </c:pt>
                <c:pt idx="19">
                  <c:v>7.5844739340883205</c:v>
                </c:pt>
                <c:pt idx="20">
                  <c:v>12.549430725945543</c:v>
                </c:pt>
                <c:pt idx="21">
                  <c:v>0.96206076092693049</c:v>
                </c:pt>
                <c:pt idx="22">
                  <c:v>3.3720679111743923</c:v>
                </c:pt>
                <c:pt idx="23">
                  <c:v>6.5950992684434162</c:v>
                </c:pt>
                <c:pt idx="24">
                  <c:v>4.4470621631447216</c:v>
                </c:pt>
                <c:pt idx="25">
                  <c:v>4.3022366869294171</c:v>
                </c:pt>
                <c:pt idx="27" formatCode="0.00">
                  <c:v>3.88</c:v>
                </c:pt>
                <c:pt idx="28" formatCode="0.00">
                  <c:v>3.88</c:v>
                </c:pt>
              </c:numCache>
            </c:numRef>
          </c:val>
          <c:smooth val="0"/>
          <c:extLst>
            <c:ext xmlns:c16="http://schemas.microsoft.com/office/drawing/2014/chart" uri="{C3380CC4-5D6E-409C-BE32-E72D297353CC}">
              <c16:uniqueId val="{00000001-2F5F-4634-9B70-18F0F501F4ED}"/>
            </c:ext>
          </c:extLst>
        </c:ser>
        <c:dLbls>
          <c:showLegendKey val="0"/>
          <c:showVal val="0"/>
          <c:showCatName val="0"/>
          <c:showSerName val="0"/>
          <c:showPercent val="0"/>
          <c:showBubbleSize val="0"/>
        </c:dLbls>
        <c:smooth val="0"/>
        <c:axId val="293377152"/>
        <c:axId val="293378688"/>
      </c:lineChart>
      <c:catAx>
        <c:axId val="293377152"/>
        <c:scaling>
          <c:orientation val="minMax"/>
        </c:scaling>
        <c:delete val="0"/>
        <c:axPos val="b"/>
        <c:majorGridlines>
          <c:spPr>
            <a:ln w="3175">
              <a:solidFill>
                <a:srgbClr val="000000"/>
              </a:solidFill>
              <a:prstDash val="solid"/>
            </a:ln>
          </c:spPr>
        </c:majorGridlines>
        <c:numFmt formatCode="0" sourceLinked="0"/>
        <c:majorTickMark val="out"/>
        <c:minorTickMark val="none"/>
        <c:tickLblPos val="low"/>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93378688"/>
        <c:crosses val="autoZero"/>
        <c:auto val="1"/>
        <c:lblAlgn val="ctr"/>
        <c:lblOffset val="100"/>
        <c:tickLblSkip val="2"/>
        <c:tickMarkSkip val="1"/>
        <c:noMultiLvlLbl val="0"/>
      </c:catAx>
      <c:valAx>
        <c:axId val="293378688"/>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93377152"/>
        <c:crosses val="autoZero"/>
        <c:crossBetween val="between"/>
      </c:valAx>
      <c:spPr>
        <a:noFill/>
        <a:ln w="12700">
          <a:solidFill>
            <a:srgbClr val="808080"/>
          </a:solidFill>
          <a:prstDash val="solid"/>
        </a:ln>
      </c:spPr>
    </c:plotArea>
    <c:legend>
      <c:legendPos val="r"/>
      <c:layout>
        <c:manualLayout>
          <c:xMode val="edge"/>
          <c:yMode val="edge"/>
          <c:x val="1.2500032697490665E-2"/>
          <c:y val="0.85714534838096512"/>
          <c:w val="0.94643104709572179"/>
          <c:h val="0.12121247350841932"/>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t>Household income tax related to HH compensation of employees (domestic)</a:t>
            </a:r>
          </a:p>
        </c:rich>
      </c:tx>
      <c:layout>
        <c:manualLayout>
          <c:xMode val="edge"/>
          <c:yMode val="edge"/>
          <c:x val="0.11830380577427821"/>
          <c:y val="3.3613445378151259E-2"/>
        </c:manualLayout>
      </c:layout>
      <c:overlay val="0"/>
      <c:spPr>
        <a:noFill/>
        <a:ln w="25400">
          <a:noFill/>
        </a:ln>
      </c:spPr>
    </c:title>
    <c:autoTitleDeleted val="0"/>
    <c:plotArea>
      <c:layout>
        <c:manualLayout>
          <c:layoutTarget val="inner"/>
          <c:xMode val="edge"/>
          <c:yMode val="edge"/>
          <c:x val="9.1517956889514251E-2"/>
          <c:y val="0.22409024884631271"/>
          <c:w val="0.87723309896534396"/>
          <c:h val="0.51260644423594037"/>
        </c:manualLayout>
      </c:layout>
      <c:lineChart>
        <c:grouping val="standard"/>
        <c:varyColors val="0"/>
        <c:ser>
          <c:idx val="0"/>
          <c:order val="0"/>
          <c:tx>
            <c:strRef>
              <c:f>Sector1!$D$207:$E$207</c:f>
              <c:strCache>
                <c:ptCount val="2"/>
                <c:pt idx="0">
                  <c:v>HH</c:v>
                </c:pt>
                <c:pt idx="1">
                  <c:v>Current taxes on income and wealth (D.5p)  </c:v>
                </c:pt>
              </c:strCache>
            </c:strRef>
          </c:tx>
          <c:spPr>
            <a:ln w="25400">
              <a:solidFill>
                <a:srgbClr val="0000FF"/>
              </a:solidFill>
              <a:prstDash val="solid"/>
            </a:ln>
          </c:spPr>
          <c:marker>
            <c:symbol val="none"/>
          </c:marker>
          <c:cat>
            <c:numRef>
              <c:f>InputY!$G$3:$W$3</c:f>
              <c:numCache>
                <c:formatCode>0</c:formatCode>
                <c:ptCount val="17"/>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numCache>
            </c:numRef>
          </c:cat>
          <c:val>
            <c:numRef>
              <c:f>Sector1!$G$207:$AI$207</c:f>
              <c:numCache>
                <c:formatCode>0.0</c:formatCode>
                <c:ptCount val="29"/>
                <c:pt idx="1">
                  <c:v>8.4778856770943101</c:v>
                </c:pt>
                <c:pt idx="2">
                  <c:v>5.1335934258482485</c:v>
                </c:pt>
                <c:pt idx="3">
                  <c:v>5.2034740933598611</c:v>
                </c:pt>
                <c:pt idx="4">
                  <c:v>7.2222791970507405</c:v>
                </c:pt>
                <c:pt idx="5">
                  <c:v>6.9421966045381867</c:v>
                </c:pt>
                <c:pt idx="6">
                  <c:v>0.15886988203617225</c:v>
                </c:pt>
                <c:pt idx="7">
                  <c:v>0.18916651588176681</c:v>
                </c:pt>
                <c:pt idx="8">
                  <c:v>6.9437277767874672</c:v>
                </c:pt>
                <c:pt idx="9">
                  <c:v>4.8455898640453965</c:v>
                </c:pt>
                <c:pt idx="10">
                  <c:v>6.9351852820282112</c:v>
                </c:pt>
                <c:pt idx="11">
                  <c:v>7.5669638054103316</c:v>
                </c:pt>
                <c:pt idx="12">
                  <c:v>-0.13930008074314326</c:v>
                </c:pt>
                <c:pt idx="13">
                  <c:v>5.6453345862350623E-2</c:v>
                </c:pt>
                <c:pt idx="14">
                  <c:v>-4.3812200147059883</c:v>
                </c:pt>
                <c:pt idx="15">
                  <c:v>1.537600596919475</c:v>
                </c:pt>
                <c:pt idx="16">
                  <c:v>1.094214553784667</c:v>
                </c:pt>
                <c:pt idx="17">
                  <c:v>2.7959553403711146</c:v>
                </c:pt>
                <c:pt idx="18">
                  <c:v>3.4607662571231268</c:v>
                </c:pt>
                <c:pt idx="19">
                  <c:v>4.9551732915810831</c:v>
                </c:pt>
                <c:pt idx="20">
                  <c:v>8.1020064389446524</c:v>
                </c:pt>
                <c:pt idx="21">
                  <c:v>7.6558281199816225</c:v>
                </c:pt>
                <c:pt idx="22">
                  <c:v>4.9305404880722437</c:v>
                </c:pt>
                <c:pt idx="23">
                  <c:v>2.9230237102800856</c:v>
                </c:pt>
                <c:pt idx="24">
                  <c:v>3.2148253656623047</c:v>
                </c:pt>
                <c:pt idx="25">
                  <c:v>2.8752881228066829</c:v>
                </c:pt>
                <c:pt idx="27" formatCode="0.00">
                  <c:v>1.4037878493009841</c:v>
                </c:pt>
                <c:pt idx="28" formatCode="0.00">
                  <c:v>0.81866526220744684</c:v>
                </c:pt>
              </c:numCache>
            </c:numRef>
          </c:val>
          <c:smooth val="0"/>
          <c:extLst>
            <c:ext xmlns:c16="http://schemas.microsoft.com/office/drawing/2014/chart" uri="{C3380CC4-5D6E-409C-BE32-E72D297353CC}">
              <c16:uniqueId val="{00000000-753A-427F-A3DB-91A7AA9BC08A}"/>
            </c:ext>
          </c:extLst>
        </c:ser>
        <c:ser>
          <c:idx val="1"/>
          <c:order val="1"/>
          <c:tx>
            <c:strRef>
              <c:f>Labour1!$D$223:$E$223</c:f>
              <c:strCache>
                <c:ptCount val="2"/>
                <c:pt idx="0">
                  <c:v>GVT</c:v>
                </c:pt>
                <c:pt idx="1">
                  <c:v>Compensation of employees (D.1p) (Domestic)</c:v>
                </c:pt>
              </c:strCache>
            </c:strRef>
          </c:tx>
          <c:spPr>
            <a:ln w="25400">
              <a:solidFill>
                <a:srgbClr val="FF0000"/>
              </a:solidFill>
              <a:prstDash val="solid"/>
            </a:ln>
          </c:spPr>
          <c:marker>
            <c:symbol val="none"/>
          </c:marker>
          <c:cat>
            <c:numRef>
              <c:f>InputY!$G$3:$W$3</c:f>
              <c:numCache>
                <c:formatCode>0</c:formatCode>
                <c:ptCount val="17"/>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numCache>
            </c:numRef>
          </c:cat>
          <c:val>
            <c:numRef>
              <c:f>Labour1!$G$223:$AG$223</c:f>
              <c:numCache>
                <c:formatCode>0.0</c:formatCode>
                <c:ptCount val="27"/>
                <c:pt idx="1">
                  <c:v>6.0431163935334986</c:v>
                </c:pt>
                <c:pt idx="2">
                  <c:v>4.5426907922177184</c:v>
                </c:pt>
                <c:pt idx="3">
                  <c:v>0.11436423486848035</c:v>
                </c:pt>
                <c:pt idx="4">
                  <c:v>6.0545975763367066</c:v>
                </c:pt>
                <c:pt idx="5">
                  <c:v>9.6807750353750333</c:v>
                </c:pt>
                <c:pt idx="6">
                  <c:v>6.8421475166817736</c:v>
                </c:pt>
                <c:pt idx="7">
                  <c:v>3.4624031146600176</c:v>
                </c:pt>
                <c:pt idx="8">
                  <c:v>3.5108698130559279</c:v>
                </c:pt>
                <c:pt idx="9">
                  <c:v>3.306696037039325</c:v>
                </c:pt>
                <c:pt idx="10">
                  <c:v>3.375225862700737</c:v>
                </c:pt>
                <c:pt idx="11">
                  <c:v>4.8256104874350392</c:v>
                </c:pt>
                <c:pt idx="12">
                  <c:v>7.7910625713290438</c:v>
                </c:pt>
                <c:pt idx="13">
                  <c:v>4.931145829671113</c:v>
                </c:pt>
                <c:pt idx="14">
                  <c:v>1.5786051959953973E-2</c:v>
                </c:pt>
                <c:pt idx="15">
                  <c:v>3.1151594332864407</c:v>
                </c:pt>
                <c:pt idx="16">
                  <c:v>5.760703934704603</c:v>
                </c:pt>
                <c:pt idx="17" formatCode="0.00">
                  <c:v>3.990645134802584</c:v>
                </c:pt>
                <c:pt idx="18" formatCode="0.00">
                  <c:v>3.0073910892242095</c:v>
                </c:pt>
                <c:pt idx="19" formatCode="0.00">
                  <c:v>3.842268036688834</c:v>
                </c:pt>
                <c:pt idx="20" formatCode="0.00">
                  <c:v>4.4664403582414192</c:v>
                </c:pt>
                <c:pt idx="21" formatCode="0.00">
                  <c:v>4.864016576871899</c:v>
                </c:pt>
                <c:pt idx="22" formatCode="0.00">
                  <c:v>4.5795505723650543</c:v>
                </c:pt>
                <c:pt idx="23" formatCode="0.00">
                  <c:v>4.481149706919374</c:v>
                </c:pt>
                <c:pt idx="24" formatCode="0.00">
                  <c:v>3.5884749107174985</c:v>
                </c:pt>
                <c:pt idx="25" formatCode="0.00">
                  <c:v>3.1608504222169653</c:v>
                </c:pt>
              </c:numCache>
            </c:numRef>
          </c:val>
          <c:smooth val="0"/>
          <c:extLst>
            <c:ext xmlns:c16="http://schemas.microsoft.com/office/drawing/2014/chart" uri="{C3380CC4-5D6E-409C-BE32-E72D297353CC}">
              <c16:uniqueId val="{00000001-753A-427F-A3DB-91A7AA9BC08A}"/>
            </c:ext>
          </c:extLst>
        </c:ser>
        <c:dLbls>
          <c:showLegendKey val="0"/>
          <c:showVal val="0"/>
          <c:showCatName val="0"/>
          <c:showSerName val="0"/>
          <c:showPercent val="0"/>
          <c:showBubbleSize val="0"/>
        </c:dLbls>
        <c:smooth val="0"/>
        <c:axId val="293420416"/>
        <c:axId val="293426304"/>
      </c:lineChart>
      <c:catAx>
        <c:axId val="293420416"/>
        <c:scaling>
          <c:orientation val="minMax"/>
        </c:scaling>
        <c:delete val="0"/>
        <c:axPos val="b"/>
        <c:majorGridlines>
          <c:spPr>
            <a:ln w="3175">
              <a:solidFill>
                <a:srgbClr val="000000"/>
              </a:solidFill>
              <a:prstDash val="solid"/>
            </a:ln>
          </c:spPr>
        </c:majorGridlines>
        <c:numFmt formatCode="0" sourceLinked="0"/>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93426304"/>
        <c:crosses val="autoZero"/>
        <c:auto val="1"/>
        <c:lblAlgn val="ctr"/>
        <c:lblOffset val="100"/>
        <c:tickLblSkip val="2"/>
        <c:tickMarkSkip val="1"/>
        <c:noMultiLvlLbl val="0"/>
      </c:catAx>
      <c:valAx>
        <c:axId val="293426304"/>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293420416"/>
        <c:crosses val="autoZero"/>
        <c:crossBetween val="between"/>
      </c:valAx>
      <c:spPr>
        <a:noFill/>
        <a:ln w="12700">
          <a:solidFill>
            <a:srgbClr val="808080"/>
          </a:solidFill>
          <a:prstDash val="solid"/>
        </a:ln>
      </c:spPr>
    </c:plotArea>
    <c:legend>
      <c:legendPos val="r"/>
      <c:layout>
        <c:manualLayout>
          <c:xMode val="edge"/>
          <c:yMode val="edge"/>
          <c:x val="0.14285751654275045"/>
          <c:y val="0.8549808399254577"/>
          <c:w val="0.755359118719793"/>
          <c:h val="0.12121247350841932"/>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t>GVT total resources and expenditure as % of GDP</a:t>
            </a:r>
          </a:p>
        </c:rich>
      </c:tx>
      <c:layout>
        <c:manualLayout>
          <c:xMode val="edge"/>
          <c:yMode val="edge"/>
          <c:x val="0.14732166291713536"/>
          <c:y val="3.3613445378151259E-2"/>
        </c:manualLayout>
      </c:layout>
      <c:overlay val="0"/>
      <c:spPr>
        <a:noFill/>
        <a:ln w="25400">
          <a:noFill/>
        </a:ln>
      </c:spPr>
    </c:title>
    <c:autoTitleDeleted val="0"/>
    <c:plotArea>
      <c:layout>
        <c:manualLayout>
          <c:layoutTarget val="inner"/>
          <c:xMode val="edge"/>
          <c:yMode val="edge"/>
          <c:x val="0.14285729855924176"/>
          <c:y val="0.17366994285589235"/>
          <c:w val="0.79017943265580604"/>
          <c:h val="0.57983351888983414"/>
        </c:manualLayout>
      </c:layout>
      <c:lineChart>
        <c:grouping val="standard"/>
        <c:varyColors val="0"/>
        <c:ser>
          <c:idx val="0"/>
          <c:order val="0"/>
          <c:tx>
            <c:strRef>
              <c:f>Sector1!$E$631</c:f>
              <c:strCache>
                <c:ptCount val="1"/>
                <c:pt idx="0">
                  <c:v>Total government revenue (harmonised)</c:v>
                </c:pt>
              </c:strCache>
            </c:strRef>
          </c:tx>
          <c:spPr>
            <a:ln w="25400">
              <a:solidFill>
                <a:srgbClr val="FF0000"/>
              </a:solidFill>
              <a:prstDash val="solid"/>
            </a:ln>
          </c:spPr>
          <c:marker>
            <c:symbol val="circle"/>
            <c:size val="7"/>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Sector1!$G$642:$AJ$642</c:f>
              <c:numCache>
                <c:formatCode>0.0%</c:formatCode>
                <c:ptCount val="30"/>
                <c:pt idx="0">
                  <c:v>0.56458840674399469</c:v>
                </c:pt>
                <c:pt idx="1">
                  <c:v>0.58289382943767976</c:v>
                </c:pt>
                <c:pt idx="2">
                  <c:v>0.57625453887233191</c:v>
                </c:pt>
                <c:pt idx="3">
                  <c:v>0.57767394744695688</c:v>
                </c:pt>
                <c:pt idx="4">
                  <c:v>0.57002382872595547</c:v>
                </c:pt>
                <c:pt idx="5">
                  <c:v>0.5650471172910515</c:v>
                </c:pt>
                <c:pt idx="6">
                  <c:v>0.54116577676279132</c:v>
                </c:pt>
                <c:pt idx="7">
                  <c:v>0.524026217977831</c:v>
                </c:pt>
                <c:pt idx="8">
                  <c:v>0.52707206597278566</c:v>
                </c:pt>
                <c:pt idx="9">
                  <c:v>0.52734774888076963</c:v>
                </c:pt>
                <c:pt idx="10">
                  <c:v>0.54144096076419179</c:v>
                </c:pt>
                <c:pt idx="11">
                  <c:v>0.53183702383047238</c:v>
                </c:pt>
                <c:pt idx="12">
                  <c:v>0.52632564299785856</c:v>
                </c:pt>
                <c:pt idx="13">
                  <c:v>0.51911839586329023</c:v>
                </c:pt>
                <c:pt idx="14">
                  <c:v>0.51985185945724932</c:v>
                </c:pt>
                <c:pt idx="15">
                  <c:v>0.50725944315039573</c:v>
                </c:pt>
                <c:pt idx="16">
                  <c:v>0.50050245244319724</c:v>
                </c:pt>
                <c:pt idx="17">
                  <c:v>0.50338897727787169</c:v>
                </c:pt>
                <c:pt idx="18">
                  <c:v>0.50584786876523447</c:v>
                </c:pt>
                <c:pt idx="19">
                  <c:v>0.49524540558371444</c:v>
                </c:pt>
                <c:pt idx="20">
                  <c:v>0.49794492166330329</c:v>
                </c:pt>
                <c:pt idx="21">
                  <c:v>0.50798666604948073</c:v>
                </c:pt>
                <c:pt idx="22">
                  <c:v>0.50857182043106863</c:v>
                </c:pt>
                <c:pt idx="23">
                  <c:v>0.50179241417122988</c:v>
                </c:pt>
                <c:pt idx="24">
                  <c:v>0.49886106454343249</c:v>
                </c:pt>
                <c:pt idx="25">
                  <c:v>0.49648341455890216</c:v>
                </c:pt>
              </c:numCache>
            </c:numRef>
          </c:val>
          <c:smooth val="0"/>
          <c:extLst>
            <c:ext xmlns:c16="http://schemas.microsoft.com/office/drawing/2014/chart" uri="{C3380CC4-5D6E-409C-BE32-E72D297353CC}">
              <c16:uniqueId val="{00000000-D6CB-4938-B210-B234C23BD9F4}"/>
            </c:ext>
          </c:extLst>
        </c:ser>
        <c:ser>
          <c:idx val="1"/>
          <c:order val="1"/>
          <c:tx>
            <c:strRef>
              <c:f>Sector1!$E$664</c:f>
              <c:strCache>
                <c:ptCount val="1"/>
                <c:pt idx="0">
                  <c:v>Total government expenditure (harmonised)</c:v>
                </c:pt>
              </c:strCache>
            </c:strRef>
          </c:tx>
          <c:spPr>
            <a:ln w="25400">
              <a:solidFill>
                <a:srgbClr val="0000FF"/>
              </a:solidFill>
              <a:prstDash val="solid"/>
            </a:ln>
          </c:spPr>
          <c:marker>
            <c:symbol val="circle"/>
            <c:size val="7"/>
            <c:spPr>
              <a:solidFill>
                <a:srgbClr val="FFFFFF"/>
              </a:solidFill>
              <a:ln>
                <a:solidFill>
                  <a:srgbClr val="0000FF"/>
                </a:solidFill>
                <a:prstDash val="solid"/>
              </a:ln>
            </c:spPr>
          </c:marker>
          <c:val>
            <c:numRef>
              <c:f>Sector1!$G$678:$AJ$678</c:f>
              <c:numCache>
                <c:formatCode>0.0%</c:formatCode>
                <c:ptCount val="30"/>
                <c:pt idx="0">
                  <c:v>0.63479451095856709</c:v>
                </c:pt>
                <c:pt idx="1">
                  <c:v>0.6139673838308749</c:v>
                </c:pt>
                <c:pt idx="2">
                  <c:v>0.59197874556498642</c:v>
                </c:pt>
                <c:pt idx="3">
                  <c:v>0.56929890049265541</c:v>
                </c:pt>
                <c:pt idx="4">
                  <c:v>0.56244853437044906</c:v>
                </c:pt>
                <c:pt idx="5">
                  <c:v>0.5328415615537001</c:v>
                </c:pt>
                <c:pt idx="6">
                  <c:v>0.52695054949482578</c:v>
                </c:pt>
                <c:pt idx="7">
                  <c:v>0.53853072251733614</c:v>
                </c:pt>
                <c:pt idx="8">
                  <c:v>0.5397493269891076</c:v>
                </c:pt>
                <c:pt idx="9">
                  <c:v>0.52379377176281328</c:v>
                </c:pt>
                <c:pt idx="10">
                  <c:v>0.523117769952963</c:v>
                </c:pt>
                <c:pt idx="11">
                  <c:v>0.50974560675820879</c:v>
                </c:pt>
                <c:pt idx="12">
                  <c:v>0.49278563385512736</c:v>
                </c:pt>
                <c:pt idx="13">
                  <c:v>0.50007710041127096</c:v>
                </c:pt>
                <c:pt idx="14">
                  <c:v>0.5270058496194876</c:v>
                </c:pt>
                <c:pt idx="15">
                  <c:v>0.50758011750870646</c:v>
                </c:pt>
                <c:pt idx="16">
                  <c:v>0.50252701211102957</c:v>
                </c:pt>
                <c:pt idx="17">
                  <c:v>0.51303664454517384</c:v>
                </c:pt>
                <c:pt idx="18">
                  <c:v>0.51951873095988044</c:v>
                </c:pt>
                <c:pt idx="19">
                  <c:v>0.51076866471703974</c:v>
                </c:pt>
                <c:pt idx="20">
                  <c:v>0.4963507454285247</c:v>
                </c:pt>
                <c:pt idx="21">
                  <c:v>0.4968700240816491</c:v>
                </c:pt>
                <c:pt idx="22">
                  <c:v>0.49304865645649743</c:v>
                </c:pt>
                <c:pt idx="23" formatCode="0.00%">
                  <c:v>0.49127086068778603</c:v>
                </c:pt>
                <c:pt idx="24" formatCode="0.00%">
                  <c:v>0.489409896886493</c:v>
                </c:pt>
                <c:pt idx="25" formatCode="0.00%">
                  <c:v>0.48809328546471736</c:v>
                </c:pt>
              </c:numCache>
            </c:numRef>
          </c:val>
          <c:smooth val="0"/>
          <c:extLst>
            <c:ext xmlns:c16="http://schemas.microsoft.com/office/drawing/2014/chart" uri="{C3380CC4-5D6E-409C-BE32-E72D297353CC}">
              <c16:uniqueId val="{00000001-D6CB-4938-B210-B234C23BD9F4}"/>
            </c:ext>
          </c:extLst>
        </c:ser>
        <c:dLbls>
          <c:showLegendKey val="0"/>
          <c:showVal val="0"/>
          <c:showCatName val="0"/>
          <c:showSerName val="0"/>
          <c:showPercent val="0"/>
          <c:showBubbleSize val="0"/>
        </c:dLbls>
        <c:marker val="1"/>
        <c:smooth val="0"/>
        <c:axId val="293881344"/>
        <c:axId val="293883264"/>
      </c:lineChart>
      <c:catAx>
        <c:axId val="293881344"/>
        <c:scaling>
          <c:orientation val="minMax"/>
        </c:scaling>
        <c:delete val="0"/>
        <c:axPos val="b"/>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93883264"/>
        <c:crosses val="autoZero"/>
        <c:auto val="1"/>
        <c:lblAlgn val="ctr"/>
        <c:lblOffset val="100"/>
        <c:tickLblSkip val="2"/>
        <c:tickMarkSkip val="1"/>
        <c:noMultiLvlLbl val="0"/>
      </c:catAx>
      <c:valAx>
        <c:axId val="293883264"/>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293881344"/>
        <c:crosses val="autoZero"/>
        <c:crossBetween val="midCat"/>
      </c:valAx>
      <c:spPr>
        <a:noFill/>
        <a:ln w="12700">
          <a:solidFill>
            <a:srgbClr val="808080"/>
          </a:solidFill>
          <a:prstDash val="solid"/>
        </a:ln>
      </c:spPr>
    </c:plotArea>
    <c:legend>
      <c:legendPos val="r"/>
      <c:layout>
        <c:manualLayout>
          <c:xMode val="edge"/>
          <c:yMode val="edge"/>
          <c:x val="9.1071666796003412E-2"/>
          <c:y val="0.86580338220299502"/>
          <c:w val="0.83571647177509023"/>
          <c:h val="0.11688345659740434"/>
        </c:manualLayout>
      </c:layout>
      <c:overlay val="0"/>
      <c:spPr>
        <a:solidFill>
          <a:srgbClr val="FFFFFF"/>
        </a:solidFill>
        <a:ln w="3175">
          <a:solidFill>
            <a:srgbClr val="000000"/>
          </a:solidFill>
          <a:prstDash val="solid"/>
        </a:ln>
      </c:spPr>
      <c:txPr>
        <a:bodyPr/>
        <a:lstStyle/>
        <a:p>
          <a:pPr>
            <a:defRPr sz="21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fr-FR"/>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_rels/drawing4.xml.rels><?xml version="1.0" encoding="UTF-8" standalone="yes"?>
<Relationships xmlns="http://schemas.openxmlformats.org/package/2006/relationships"><Relationship Id="rId8" Type="http://schemas.openxmlformats.org/officeDocument/2006/relationships/chart" Target="../charts/chart17.xml"/><Relationship Id="rId13" Type="http://schemas.openxmlformats.org/officeDocument/2006/relationships/chart" Target="../charts/chart22.xml"/><Relationship Id="rId18" Type="http://schemas.openxmlformats.org/officeDocument/2006/relationships/chart" Target="../charts/chart27.xml"/><Relationship Id="rId3" Type="http://schemas.openxmlformats.org/officeDocument/2006/relationships/chart" Target="../charts/chart12.xml"/><Relationship Id="rId21" Type="http://schemas.openxmlformats.org/officeDocument/2006/relationships/chart" Target="../charts/chart30.xml"/><Relationship Id="rId7" Type="http://schemas.openxmlformats.org/officeDocument/2006/relationships/chart" Target="../charts/chart16.xml"/><Relationship Id="rId12" Type="http://schemas.openxmlformats.org/officeDocument/2006/relationships/chart" Target="../charts/chart21.xml"/><Relationship Id="rId17" Type="http://schemas.openxmlformats.org/officeDocument/2006/relationships/chart" Target="../charts/chart26.xml"/><Relationship Id="rId2" Type="http://schemas.openxmlformats.org/officeDocument/2006/relationships/chart" Target="../charts/chart11.xml"/><Relationship Id="rId16" Type="http://schemas.openxmlformats.org/officeDocument/2006/relationships/chart" Target="../charts/chart25.xml"/><Relationship Id="rId20" Type="http://schemas.openxmlformats.org/officeDocument/2006/relationships/chart" Target="../charts/chart29.xml"/><Relationship Id="rId1" Type="http://schemas.openxmlformats.org/officeDocument/2006/relationships/chart" Target="../charts/chart10.xml"/><Relationship Id="rId6" Type="http://schemas.openxmlformats.org/officeDocument/2006/relationships/chart" Target="../charts/chart15.xml"/><Relationship Id="rId11" Type="http://schemas.openxmlformats.org/officeDocument/2006/relationships/chart" Target="../charts/chart20.xml"/><Relationship Id="rId24" Type="http://schemas.openxmlformats.org/officeDocument/2006/relationships/chart" Target="../charts/chart33.xml"/><Relationship Id="rId5" Type="http://schemas.openxmlformats.org/officeDocument/2006/relationships/chart" Target="../charts/chart14.xml"/><Relationship Id="rId15" Type="http://schemas.openxmlformats.org/officeDocument/2006/relationships/chart" Target="../charts/chart24.xml"/><Relationship Id="rId23" Type="http://schemas.openxmlformats.org/officeDocument/2006/relationships/chart" Target="../charts/chart32.xml"/><Relationship Id="rId10" Type="http://schemas.openxmlformats.org/officeDocument/2006/relationships/chart" Target="../charts/chart19.xml"/><Relationship Id="rId19" Type="http://schemas.openxmlformats.org/officeDocument/2006/relationships/chart" Target="../charts/chart28.xml"/><Relationship Id="rId4" Type="http://schemas.openxmlformats.org/officeDocument/2006/relationships/chart" Target="../charts/chart13.xml"/><Relationship Id="rId9" Type="http://schemas.openxmlformats.org/officeDocument/2006/relationships/chart" Target="../charts/chart18.xml"/><Relationship Id="rId14" Type="http://schemas.openxmlformats.org/officeDocument/2006/relationships/chart" Target="../charts/chart23.xml"/><Relationship Id="rId22" Type="http://schemas.openxmlformats.org/officeDocument/2006/relationships/chart" Target="../charts/chart31.xml"/></Relationships>
</file>

<file path=xl/drawings/_rels/drawing5.xml.rels><?xml version="1.0" encoding="UTF-8" standalone="yes"?>
<Relationships xmlns="http://schemas.openxmlformats.org/package/2006/relationships"><Relationship Id="rId2" Type="http://schemas.openxmlformats.org/officeDocument/2006/relationships/chart" Target="../charts/chart35.xml"/><Relationship Id="rId1" Type="http://schemas.openxmlformats.org/officeDocument/2006/relationships/chart" Target="../charts/chart34.xml"/></Relationships>
</file>

<file path=xl/drawings/_rels/drawing6.xml.rels><?xml version="1.0" encoding="UTF-8" standalone="yes"?>
<Relationships xmlns="http://schemas.openxmlformats.org/package/2006/relationships"><Relationship Id="rId8" Type="http://schemas.openxmlformats.org/officeDocument/2006/relationships/chart" Target="../charts/chart43.xml"/><Relationship Id="rId13" Type="http://schemas.openxmlformats.org/officeDocument/2006/relationships/chart" Target="../charts/chart48.xml"/><Relationship Id="rId18" Type="http://schemas.openxmlformats.org/officeDocument/2006/relationships/chart" Target="../charts/chart53.xml"/><Relationship Id="rId3" Type="http://schemas.openxmlformats.org/officeDocument/2006/relationships/chart" Target="../charts/chart38.xml"/><Relationship Id="rId7" Type="http://schemas.openxmlformats.org/officeDocument/2006/relationships/chart" Target="../charts/chart42.xml"/><Relationship Id="rId12" Type="http://schemas.openxmlformats.org/officeDocument/2006/relationships/chart" Target="../charts/chart47.xml"/><Relationship Id="rId17" Type="http://schemas.openxmlformats.org/officeDocument/2006/relationships/chart" Target="../charts/chart52.xml"/><Relationship Id="rId2" Type="http://schemas.openxmlformats.org/officeDocument/2006/relationships/chart" Target="../charts/chart37.xml"/><Relationship Id="rId16" Type="http://schemas.openxmlformats.org/officeDocument/2006/relationships/chart" Target="../charts/chart51.xml"/><Relationship Id="rId20" Type="http://schemas.openxmlformats.org/officeDocument/2006/relationships/chart" Target="../charts/chart55.xml"/><Relationship Id="rId1" Type="http://schemas.openxmlformats.org/officeDocument/2006/relationships/chart" Target="../charts/chart36.xml"/><Relationship Id="rId6" Type="http://schemas.openxmlformats.org/officeDocument/2006/relationships/chart" Target="../charts/chart41.xml"/><Relationship Id="rId11" Type="http://schemas.openxmlformats.org/officeDocument/2006/relationships/chart" Target="../charts/chart46.xml"/><Relationship Id="rId5" Type="http://schemas.openxmlformats.org/officeDocument/2006/relationships/chart" Target="../charts/chart40.xml"/><Relationship Id="rId15" Type="http://schemas.openxmlformats.org/officeDocument/2006/relationships/chart" Target="../charts/chart50.xml"/><Relationship Id="rId10" Type="http://schemas.openxmlformats.org/officeDocument/2006/relationships/chart" Target="../charts/chart45.xml"/><Relationship Id="rId19" Type="http://schemas.openxmlformats.org/officeDocument/2006/relationships/chart" Target="../charts/chart54.xml"/><Relationship Id="rId4" Type="http://schemas.openxmlformats.org/officeDocument/2006/relationships/chart" Target="../charts/chart39.xml"/><Relationship Id="rId9" Type="http://schemas.openxmlformats.org/officeDocument/2006/relationships/chart" Target="../charts/chart44.xml"/><Relationship Id="rId14" Type="http://schemas.openxmlformats.org/officeDocument/2006/relationships/chart" Target="../charts/chart49.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6.xml"/></Relationships>
</file>

<file path=xl/drawings/_rels/drawing8.xml.rels><?xml version="1.0" encoding="UTF-8" standalone="yes"?>
<Relationships xmlns="http://schemas.openxmlformats.org/package/2006/relationships"><Relationship Id="rId8" Type="http://schemas.openxmlformats.org/officeDocument/2006/relationships/chart" Target="../charts/chart64.xml"/><Relationship Id="rId13" Type="http://schemas.openxmlformats.org/officeDocument/2006/relationships/chart" Target="../charts/chart69.xml"/><Relationship Id="rId18" Type="http://schemas.openxmlformats.org/officeDocument/2006/relationships/chart" Target="../charts/chart74.xml"/><Relationship Id="rId3" Type="http://schemas.openxmlformats.org/officeDocument/2006/relationships/chart" Target="../charts/chart59.xml"/><Relationship Id="rId7" Type="http://schemas.openxmlformats.org/officeDocument/2006/relationships/chart" Target="../charts/chart63.xml"/><Relationship Id="rId12" Type="http://schemas.openxmlformats.org/officeDocument/2006/relationships/chart" Target="../charts/chart68.xml"/><Relationship Id="rId17" Type="http://schemas.openxmlformats.org/officeDocument/2006/relationships/chart" Target="../charts/chart73.xml"/><Relationship Id="rId2" Type="http://schemas.openxmlformats.org/officeDocument/2006/relationships/chart" Target="../charts/chart58.xml"/><Relationship Id="rId16" Type="http://schemas.openxmlformats.org/officeDocument/2006/relationships/chart" Target="../charts/chart72.xml"/><Relationship Id="rId20" Type="http://schemas.openxmlformats.org/officeDocument/2006/relationships/chart" Target="../charts/chart76.xml"/><Relationship Id="rId1" Type="http://schemas.openxmlformats.org/officeDocument/2006/relationships/chart" Target="../charts/chart57.xml"/><Relationship Id="rId6" Type="http://schemas.openxmlformats.org/officeDocument/2006/relationships/chart" Target="../charts/chart62.xml"/><Relationship Id="rId11" Type="http://schemas.openxmlformats.org/officeDocument/2006/relationships/chart" Target="../charts/chart67.xml"/><Relationship Id="rId5" Type="http://schemas.openxmlformats.org/officeDocument/2006/relationships/chart" Target="../charts/chart61.xml"/><Relationship Id="rId15" Type="http://schemas.openxmlformats.org/officeDocument/2006/relationships/chart" Target="../charts/chart71.xml"/><Relationship Id="rId10" Type="http://schemas.openxmlformats.org/officeDocument/2006/relationships/chart" Target="../charts/chart66.xml"/><Relationship Id="rId19" Type="http://schemas.openxmlformats.org/officeDocument/2006/relationships/chart" Target="../charts/chart75.xml"/><Relationship Id="rId4" Type="http://schemas.openxmlformats.org/officeDocument/2006/relationships/chart" Target="../charts/chart60.xml"/><Relationship Id="rId9" Type="http://schemas.openxmlformats.org/officeDocument/2006/relationships/chart" Target="../charts/chart65.xml"/><Relationship Id="rId14" Type="http://schemas.openxmlformats.org/officeDocument/2006/relationships/chart" Target="../charts/chart7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79.xml"/><Relationship Id="rId7" Type="http://schemas.openxmlformats.org/officeDocument/2006/relationships/chart" Target="../charts/chart83.xml"/><Relationship Id="rId2" Type="http://schemas.openxmlformats.org/officeDocument/2006/relationships/chart" Target="../charts/chart78.xml"/><Relationship Id="rId1" Type="http://schemas.openxmlformats.org/officeDocument/2006/relationships/chart" Target="../charts/chart77.xml"/><Relationship Id="rId6" Type="http://schemas.openxmlformats.org/officeDocument/2006/relationships/chart" Target="../charts/chart82.xml"/><Relationship Id="rId5" Type="http://schemas.openxmlformats.org/officeDocument/2006/relationships/chart" Target="../charts/chart81.xml"/><Relationship Id="rId4" Type="http://schemas.openxmlformats.org/officeDocument/2006/relationships/chart" Target="../charts/chart80.xml"/></Relationships>
</file>

<file path=xl/drawings/_rels/drawing11.xml.rels><?xml version="1.0" encoding="UTF-8" standalone="yes"?>
<Relationships xmlns="http://schemas.openxmlformats.org/package/2006/relationships"><Relationship Id="rId13" Type="http://schemas.openxmlformats.org/officeDocument/2006/relationships/chart" Target="../charts/chart96.xml"/><Relationship Id="rId18" Type="http://schemas.openxmlformats.org/officeDocument/2006/relationships/chart" Target="../charts/chart101.xml"/><Relationship Id="rId26" Type="http://schemas.openxmlformats.org/officeDocument/2006/relationships/chart" Target="../charts/chart109.xml"/><Relationship Id="rId39" Type="http://schemas.openxmlformats.org/officeDocument/2006/relationships/chart" Target="../charts/chart122.xml"/><Relationship Id="rId21" Type="http://schemas.openxmlformats.org/officeDocument/2006/relationships/chart" Target="../charts/chart104.xml"/><Relationship Id="rId34" Type="http://schemas.openxmlformats.org/officeDocument/2006/relationships/chart" Target="../charts/chart117.xml"/><Relationship Id="rId42" Type="http://schemas.openxmlformats.org/officeDocument/2006/relationships/chart" Target="../charts/chart125.xml"/><Relationship Id="rId7" Type="http://schemas.openxmlformats.org/officeDocument/2006/relationships/chart" Target="../charts/chart90.xml"/><Relationship Id="rId2" Type="http://schemas.openxmlformats.org/officeDocument/2006/relationships/chart" Target="../charts/chart85.xml"/><Relationship Id="rId16" Type="http://schemas.openxmlformats.org/officeDocument/2006/relationships/chart" Target="../charts/chart99.xml"/><Relationship Id="rId20" Type="http://schemas.openxmlformats.org/officeDocument/2006/relationships/chart" Target="../charts/chart103.xml"/><Relationship Id="rId29" Type="http://schemas.openxmlformats.org/officeDocument/2006/relationships/chart" Target="../charts/chart112.xml"/><Relationship Id="rId41" Type="http://schemas.openxmlformats.org/officeDocument/2006/relationships/chart" Target="../charts/chart124.xml"/><Relationship Id="rId1" Type="http://schemas.openxmlformats.org/officeDocument/2006/relationships/chart" Target="../charts/chart84.xml"/><Relationship Id="rId6" Type="http://schemas.openxmlformats.org/officeDocument/2006/relationships/chart" Target="../charts/chart89.xml"/><Relationship Id="rId11" Type="http://schemas.openxmlformats.org/officeDocument/2006/relationships/chart" Target="../charts/chart94.xml"/><Relationship Id="rId24" Type="http://schemas.openxmlformats.org/officeDocument/2006/relationships/chart" Target="../charts/chart107.xml"/><Relationship Id="rId32" Type="http://schemas.openxmlformats.org/officeDocument/2006/relationships/chart" Target="../charts/chart115.xml"/><Relationship Id="rId37" Type="http://schemas.openxmlformats.org/officeDocument/2006/relationships/chart" Target="../charts/chart120.xml"/><Relationship Id="rId40" Type="http://schemas.openxmlformats.org/officeDocument/2006/relationships/chart" Target="../charts/chart123.xml"/><Relationship Id="rId5" Type="http://schemas.openxmlformats.org/officeDocument/2006/relationships/chart" Target="../charts/chart88.xml"/><Relationship Id="rId15" Type="http://schemas.openxmlformats.org/officeDocument/2006/relationships/chart" Target="../charts/chart98.xml"/><Relationship Id="rId23" Type="http://schemas.openxmlformats.org/officeDocument/2006/relationships/chart" Target="../charts/chart106.xml"/><Relationship Id="rId28" Type="http://schemas.openxmlformats.org/officeDocument/2006/relationships/chart" Target="../charts/chart111.xml"/><Relationship Id="rId36" Type="http://schemas.openxmlformats.org/officeDocument/2006/relationships/chart" Target="../charts/chart119.xml"/><Relationship Id="rId10" Type="http://schemas.openxmlformats.org/officeDocument/2006/relationships/chart" Target="../charts/chart93.xml"/><Relationship Id="rId19" Type="http://schemas.openxmlformats.org/officeDocument/2006/relationships/chart" Target="../charts/chart102.xml"/><Relationship Id="rId31" Type="http://schemas.openxmlformats.org/officeDocument/2006/relationships/chart" Target="../charts/chart114.xml"/><Relationship Id="rId4" Type="http://schemas.openxmlformats.org/officeDocument/2006/relationships/chart" Target="../charts/chart87.xml"/><Relationship Id="rId9" Type="http://schemas.openxmlformats.org/officeDocument/2006/relationships/chart" Target="../charts/chart92.xml"/><Relationship Id="rId14" Type="http://schemas.openxmlformats.org/officeDocument/2006/relationships/chart" Target="../charts/chart97.xml"/><Relationship Id="rId22" Type="http://schemas.openxmlformats.org/officeDocument/2006/relationships/chart" Target="../charts/chart105.xml"/><Relationship Id="rId27" Type="http://schemas.openxmlformats.org/officeDocument/2006/relationships/chart" Target="../charts/chart110.xml"/><Relationship Id="rId30" Type="http://schemas.openxmlformats.org/officeDocument/2006/relationships/chart" Target="../charts/chart113.xml"/><Relationship Id="rId35" Type="http://schemas.openxmlformats.org/officeDocument/2006/relationships/chart" Target="../charts/chart118.xml"/><Relationship Id="rId43" Type="http://schemas.openxmlformats.org/officeDocument/2006/relationships/chart" Target="../charts/chart126.xml"/><Relationship Id="rId8" Type="http://schemas.openxmlformats.org/officeDocument/2006/relationships/chart" Target="../charts/chart91.xml"/><Relationship Id="rId3" Type="http://schemas.openxmlformats.org/officeDocument/2006/relationships/chart" Target="../charts/chart86.xml"/><Relationship Id="rId12" Type="http://schemas.openxmlformats.org/officeDocument/2006/relationships/chart" Target="../charts/chart95.xml"/><Relationship Id="rId17" Type="http://schemas.openxmlformats.org/officeDocument/2006/relationships/chart" Target="../charts/chart100.xml"/><Relationship Id="rId25" Type="http://schemas.openxmlformats.org/officeDocument/2006/relationships/chart" Target="../charts/chart108.xml"/><Relationship Id="rId33" Type="http://schemas.openxmlformats.org/officeDocument/2006/relationships/chart" Target="../charts/chart116.xml"/><Relationship Id="rId38" Type="http://schemas.openxmlformats.org/officeDocument/2006/relationships/chart" Target="../charts/chart121.xml"/></Relationships>
</file>

<file path=xl/drawings/drawing1.xml><?xml version="1.0" encoding="utf-8"?>
<xdr:wsDr xmlns:xdr="http://schemas.openxmlformats.org/drawingml/2006/spreadsheetDrawing" xmlns:a="http://schemas.openxmlformats.org/drawingml/2006/main">
  <xdr:twoCellAnchor>
    <xdr:from>
      <xdr:col>6</xdr:col>
      <xdr:colOff>91440</xdr:colOff>
      <xdr:row>65</xdr:row>
      <xdr:rowOff>38100</xdr:rowOff>
    </xdr:from>
    <xdr:to>
      <xdr:col>12</xdr:col>
      <xdr:colOff>281940</xdr:colOff>
      <xdr:row>84</xdr:row>
      <xdr:rowOff>160020</xdr:rowOff>
    </xdr:to>
    <xdr:graphicFrame macro="">
      <xdr:nvGraphicFramePr>
        <xdr:cNvPr id="3207929" name="Chart 4">
          <a:extLst>
            <a:ext uri="{FF2B5EF4-FFF2-40B4-BE49-F238E27FC236}">
              <a16:creationId xmlns:a16="http://schemas.microsoft.com/office/drawing/2014/main" id="{00000000-0008-0000-0000-0000F9F23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33</xdr:col>
      <xdr:colOff>281940</xdr:colOff>
      <xdr:row>71</xdr:row>
      <xdr:rowOff>76200</xdr:rowOff>
    </xdr:from>
    <xdr:to>
      <xdr:col>43</xdr:col>
      <xdr:colOff>594360</xdr:colOff>
      <xdr:row>92</xdr:row>
      <xdr:rowOff>121920</xdr:rowOff>
    </xdr:to>
    <xdr:graphicFrame macro="">
      <xdr:nvGraphicFramePr>
        <xdr:cNvPr id="3207930" name="Chart 6">
          <a:extLst>
            <a:ext uri="{FF2B5EF4-FFF2-40B4-BE49-F238E27FC236}">
              <a16:creationId xmlns:a16="http://schemas.microsoft.com/office/drawing/2014/main" id="{00000000-0008-0000-0000-0000FAF23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7620</xdr:colOff>
      <xdr:row>65</xdr:row>
      <xdr:rowOff>129540</xdr:rowOff>
    </xdr:from>
    <xdr:to>
      <xdr:col>5</xdr:col>
      <xdr:colOff>525780</xdr:colOff>
      <xdr:row>84</xdr:row>
      <xdr:rowOff>99060</xdr:rowOff>
    </xdr:to>
    <xdr:graphicFrame macro="">
      <xdr:nvGraphicFramePr>
        <xdr:cNvPr id="3207931" name="Chart 2">
          <a:extLst>
            <a:ext uri="{FF2B5EF4-FFF2-40B4-BE49-F238E27FC236}">
              <a16:creationId xmlns:a16="http://schemas.microsoft.com/office/drawing/2014/main" id="{00000000-0008-0000-0000-0000FBF23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144780</xdr:colOff>
      <xdr:row>103</xdr:row>
      <xdr:rowOff>76200</xdr:rowOff>
    </xdr:from>
    <xdr:to>
      <xdr:col>5</xdr:col>
      <xdr:colOff>662940</xdr:colOff>
      <xdr:row>120</xdr:row>
      <xdr:rowOff>60960</xdr:rowOff>
    </xdr:to>
    <xdr:graphicFrame macro="">
      <xdr:nvGraphicFramePr>
        <xdr:cNvPr id="3207932" name="Chart 4">
          <a:extLst>
            <a:ext uri="{FF2B5EF4-FFF2-40B4-BE49-F238E27FC236}">
              <a16:creationId xmlns:a16="http://schemas.microsoft.com/office/drawing/2014/main" id="{00000000-0008-0000-0000-0000FCF23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3</xdr:row>
      <xdr:rowOff>0</xdr:rowOff>
    </xdr:from>
    <xdr:to>
      <xdr:col>3</xdr:col>
      <xdr:colOff>350520</xdr:colOff>
      <xdr:row>9</xdr:row>
      <xdr:rowOff>121920</xdr:rowOff>
    </xdr:to>
    <xdr:pic>
      <xdr:nvPicPr>
        <xdr:cNvPr id="3290491" name="Picture 1" descr="EuropeFlag200">
          <a:extLst>
            <a:ext uri="{FF2B5EF4-FFF2-40B4-BE49-F238E27FC236}">
              <a16:creationId xmlns:a16="http://schemas.microsoft.com/office/drawing/2014/main" id="{00000000-0008-0000-0100-00007B353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5280" y="502920"/>
          <a:ext cx="1950720" cy="12877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40005</xdr:colOff>
      <xdr:row>12</xdr:row>
      <xdr:rowOff>9524</xdr:rowOff>
    </xdr:from>
    <xdr:to>
      <xdr:col>3</xdr:col>
      <xdr:colOff>344296</xdr:colOff>
      <xdr:row>17</xdr:row>
      <xdr:rowOff>150421</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61950" y="2133599"/>
          <a:ext cx="1857375" cy="1169597"/>
        </a:xfrm>
        <a:prstGeom prst="rect">
          <a:avLst/>
        </a:prstGeom>
        <a:effectLst>
          <a:glow rad="63500">
            <a:schemeClr val="tx2">
              <a:lumMod val="75000"/>
              <a:alpha val="40000"/>
            </a:schemeClr>
          </a:glow>
        </a:effec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10</xdr:col>
      <xdr:colOff>54977</xdr:colOff>
      <xdr:row>243</xdr:row>
      <xdr:rowOff>100221</xdr:rowOff>
    </xdr:from>
    <xdr:to>
      <xdr:col>23</xdr:col>
      <xdr:colOff>112059</xdr:colOff>
      <xdr:row>276</xdr:row>
      <xdr:rowOff>11206</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72838</xdr:colOff>
      <xdr:row>5</xdr:row>
      <xdr:rowOff>78442</xdr:rowOff>
    </xdr:from>
    <xdr:to>
      <xdr:col>19</xdr:col>
      <xdr:colOff>224118</xdr:colOff>
      <xdr:row>34</xdr:row>
      <xdr:rowOff>122144</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559732</xdr:colOff>
      <xdr:row>36</xdr:row>
      <xdr:rowOff>21853</xdr:rowOff>
    </xdr:from>
    <xdr:to>
      <xdr:col>18</xdr:col>
      <xdr:colOff>279026</xdr:colOff>
      <xdr:row>61</xdr:row>
      <xdr:rowOff>115421</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554691</xdr:colOff>
      <xdr:row>125</xdr:row>
      <xdr:rowOff>79561</xdr:rowOff>
    </xdr:from>
    <xdr:to>
      <xdr:col>28</xdr:col>
      <xdr:colOff>16809</xdr:colOff>
      <xdr:row>142</xdr:row>
      <xdr:rowOff>155761</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453839</xdr:colOff>
      <xdr:row>106</xdr:row>
      <xdr:rowOff>12326</xdr:rowOff>
    </xdr:from>
    <xdr:to>
      <xdr:col>27</xdr:col>
      <xdr:colOff>554692</xdr:colOff>
      <xdr:row>123</xdr:row>
      <xdr:rowOff>88526</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31</xdr:row>
      <xdr:rowOff>0</xdr:rowOff>
    </xdr:from>
    <xdr:to>
      <xdr:col>7</xdr:col>
      <xdr:colOff>0</xdr:colOff>
      <xdr:row>52</xdr:row>
      <xdr:rowOff>0</xdr:rowOff>
    </xdr:to>
    <xdr:graphicFrame macro="">
      <xdr:nvGraphicFramePr>
        <xdr:cNvPr id="3698105" name="Chart 1">
          <a:extLst>
            <a:ext uri="{FF2B5EF4-FFF2-40B4-BE49-F238E27FC236}">
              <a16:creationId xmlns:a16="http://schemas.microsoft.com/office/drawing/2014/main" id="{00000000-0008-0000-0800-0000B96D38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31</xdr:row>
      <xdr:rowOff>0</xdr:rowOff>
    </xdr:from>
    <xdr:to>
      <xdr:col>14</xdr:col>
      <xdr:colOff>0</xdr:colOff>
      <xdr:row>52</xdr:row>
      <xdr:rowOff>0</xdr:rowOff>
    </xdr:to>
    <xdr:graphicFrame macro="">
      <xdr:nvGraphicFramePr>
        <xdr:cNvPr id="3698106" name="Chart 2">
          <a:extLst>
            <a:ext uri="{FF2B5EF4-FFF2-40B4-BE49-F238E27FC236}">
              <a16:creationId xmlns:a16="http://schemas.microsoft.com/office/drawing/2014/main" id="{00000000-0008-0000-0800-0000BA6D38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52</xdr:row>
      <xdr:rowOff>0</xdr:rowOff>
    </xdr:from>
    <xdr:to>
      <xdr:col>7</xdr:col>
      <xdr:colOff>0</xdr:colOff>
      <xdr:row>73</xdr:row>
      <xdr:rowOff>0</xdr:rowOff>
    </xdr:to>
    <xdr:graphicFrame macro="">
      <xdr:nvGraphicFramePr>
        <xdr:cNvPr id="3698107" name="Chart 3">
          <a:extLst>
            <a:ext uri="{FF2B5EF4-FFF2-40B4-BE49-F238E27FC236}">
              <a16:creationId xmlns:a16="http://schemas.microsoft.com/office/drawing/2014/main" id="{00000000-0008-0000-0800-0000BB6D38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0</xdr:colOff>
      <xdr:row>52</xdr:row>
      <xdr:rowOff>0</xdr:rowOff>
    </xdr:from>
    <xdr:to>
      <xdr:col>14</xdr:col>
      <xdr:colOff>0</xdr:colOff>
      <xdr:row>73</xdr:row>
      <xdr:rowOff>0</xdr:rowOff>
    </xdr:to>
    <xdr:graphicFrame macro="">
      <xdr:nvGraphicFramePr>
        <xdr:cNvPr id="3698108" name="Chart 4">
          <a:extLst>
            <a:ext uri="{FF2B5EF4-FFF2-40B4-BE49-F238E27FC236}">
              <a16:creationId xmlns:a16="http://schemas.microsoft.com/office/drawing/2014/main" id="{00000000-0008-0000-0800-0000BC6D38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76</xdr:row>
      <xdr:rowOff>0</xdr:rowOff>
    </xdr:from>
    <xdr:to>
      <xdr:col>7</xdr:col>
      <xdr:colOff>0</xdr:colOff>
      <xdr:row>97</xdr:row>
      <xdr:rowOff>7620</xdr:rowOff>
    </xdr:to>
    <xdr:graphicFrame macro="">
      <xdr:nvGraphicFramePr>
        <xdr:cNvPr id="3698109" name="Chart 5">
          <a:extLst>
            <a:ext uri="{FF2B5EF4-FFF2-40B4-BE49-F238E27FC236}">
              <a16:creationId xmlns:a16="http://schemas.microsoft.com/office/drawing/2014/main" id="{00000000-0008-0000-0800-0000BD6D38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97</xdr:row>
      <xdr:rowOff>7620</xdr:rowOff>
    </xdr:from>
    <xdr:to>
      <xdr:col>7</xdr:col>
      <xdr:colOff>0</xdr:colOff>
      <xdr:row>118</xdr:row>
      <xdr:rowOff>0</xdr:rowOff>
    </xdr:to>
    <xdr:graphicFrame macro="">
      <xdr:nvGraphicFramePr>
        <xdr:cNvPr id="3698110" name="Chart 7">
          <a:extLst>
            <a:ext uri="{FF2B5EF4-FFF2-40B4-BE49-F238E27FC236}">
              <a16:creationId xmlns:a16="http://schemas.microsoft.com/office/drawing/2014/main" id="{00000000-0008-0000-0800-0000BE6D38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76</xdr:row>
      <xdr:rowOff>0</xdr:rowOff>
    </xdr:from>
    <xdr:to>
      <xdr:col>14</xdr:col>
      <xdr:colOff>0</xdr:colOff>
      <xdr:row>97</xdr:row>
      <xdr:rowOff>7620</xdr:rowOff>
    </xdr:to>
    <xdr:graphicFrame macro="">
      <xdr:nvGraphicFramePr>
        <xdr:cNvPr id="3698111" name="Chart 8">
          <a:extLst>
            <a:ext uri="{FF2B5EF4-FFF2-40B4-BE49-F238E27FC236}">
              <a16:creationId xmlns:a16="http://schemas.microsoft.com/office/drawing/2014/main" id="{00000000-0008-0000-0800-0000BF6D38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3</xdr:row>
      <xdr:rowOff>0</xdr:rowOff>
    </xdr:from>
    <xdr:to>
      <xdr:col>14</xdr:col>
      <xdr:colOff>0</xdr:colOff>
      <xdr:row>28</xdr:row>
      <xdr:rowOff>0</xdr:rowOff>
    </xdr:to>
    <xdr:graphicFrame macro="">
      <xdr:nvGraphicFramePr>
        <xdr:cNvPr id="3698112" name="Chart 9">
          <a:extLst>
            <a:ext uri="{FF2B5EF4-FFF2-40B4-BE49-F238E27FC236}">
              <a16:creationId xmlns:a16="http://schemas.microsoft.com/office/drawing/2014/main" id="{00000000-0008-0000-0800-0000C06D38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142</xdr:row>
      <xdr:rowOff>0</xdr:rowOff>
    </xdr:from>
    <xdr:to>
      <xdr:col>7</xdr:col>
      <xdr:colOff>0</xdr:colOff>
      <xdr:row>163</xdr:row>
      <xdr:rowOff>7620</xdr:rowOff>
    </xdr:to>
    <xdr:graphicFrame macro="">
      <xdr:nvGraphicFramePr>
        <xdr:cNvPr id="3698113" name="Chart 10">
          <a:extLst>
            <a:ext uri="{FF2B5EF4-FFF2-40B4-BE49-F238E27FC236}">
              <a16:creationId xmlns:a16="http://schemas.microsoft.com/office/drawing/2014/main" id="{00000000-0008-0000-0800-0000C16D38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142</xdr:row>
      <xdr:rowOff>0</xdr:rowOff>
    </xdr:from>
    <xdr:to>
      <xdr:col>14</xdr:col>
      <xdr:colOff>0</xdr:colOff>
      <xdr:row>163</xdr:row>
      <xdr:rowOff>7620</xdr:rowOff>
    </xdr:to>
    <xdr:graphicFrame macro="">
      <xdr:nvGraphicFramePr>
        <xdr:cNvPr id="3698114" name="Chart 11">
          <a:extLst>
            <a:ext uri="{FF2B5EF4-FFF2-40B4-BE49-F238E27FC236}">
              <a16:creationId xmlns:a16="http://schemas.microsoft.com/office/drawing/2014/main" id="{00000000-0008-0000-0800-0000C26D38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166</xdr:row>
      <xdr:rowOff>0</xdr:rowOff>
    </xdr:from>
    <xdr:to>
      <xdr:col>7</xdr:col>
      <xdr:colOff>0</xdr:colOff>
      <xdr:row>187</xdr:row>
      <xdr:rowOff>0</xdr:rowOff>
    </xdr:to>
    <xdr:graphicFrame macro="">
      <xdr:nvGraphicFramePr>
        <xdr:cNvPr id="3698115" name="Chart 12">
          <a:extLst>
            <a:ext uri="{FF2B5EF4-FFF2-40B4-BE49-F238E27FC236}">
              <a16:creationId xmlns:a16="http://schemas.microsoft.com/office/drawing/2014/main" id="{00000000-0008-0000-0800-0000C36D38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187</xdr:row>
      <xdr:rowOff>0</xdr:rowOff>
    </xdr:from>
    <xdr:to>
      <xdr:col>7</xdr:col>
      <xdr:colOff>0</xdr:colOff>
      <xdr:row>207</xdr:row>
      <xdr:rowOff>160020</xdr:rowOff>
    </xdr:to>
    <xdr:graphicFrame macro="">
      <xdr:nvGraphicFramePr>
        <xdr:cNvPr id="3698116" name="Chart 13">
          <a:extLst>
            <a:ext uri="{FF2B5EF4-FFF2-40B4-BE49-F238E27FC236}">
              <a16:creationId xmlns:a16="http://schemas.microsoft.com/office/drawing/2014/main" id="{00000000-0008-0000-0800-0000C46D38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0</xdr:colOff>
      <xdr:row>211</xdr:row>
      <xdr:rowOff>7620</xdr:rowOff>
    </xdr:from>
    <xdr:to>
      <xdr:col>7</xdr:col>
      <xdr:colOff>0</xdr:colOff>
      <xdr:row>232</xdr:row>
      <xdr:rowOff>7620</xdr:rowOff>
    </xdr:to>
    <xdr:graphicFrame macro="">
      <xdr:nvGraphicFramePr>
        <xdr:cNvPr id="3698117" name="Chart 14">
          <a:extLst>
            <a:ext uri="{FF2B5EF4-FFF2-40B4-BE49-F238E27FC236}">
              <a16:creationId xmlns:a16="http://schemas.microsoft.com/office/drawing/2014/main" id="{00000000-0008-0000-0800-0000C56D38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0</xdr:colOff>
      <xdr:row>232</xdr:row>
      <xdr:rowOff>7620</xdr:rowOff>
    </xdr:from>
    <xdr:to>
      <xdr:col>7</xdr:col>
      <xdr:colOff>0</xdr:colOff>
      <xdr:row>253</xdr:row>
      <xdr:rowOff>22860</xdr:rowOff>
    </xdr:to>
    <xdr:graphicFrame macro="">
      <xdr:nvGraphicFramePr>
        <xdr:cNvPr id="3698118" name="Chart 15">
          <a:extLst>
            <a:ext uri="{FF2B5EF4-FFF2-40B4-BE49-F238E27FC236}">
              <a16:creationId xmlns:a16="http://schemas.microsoft.com/office/drawing/2014/main" id="{00000000-0008-0000-0800-0000C66D38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7</xdr:col>
      <xdr:colOff>0</xdr:colOff>
      <xdr:row>211</xdr:row>
      <xdr:rowOff>7620</xdr:rowOff>
    </xdr:from>
    <xdr:to>
      <xdr:col>14</xdr:col>
      <xdr:colOff>0</xdr:colOff>
      <xdr:row>232</xdr:row>
      <xdr:rowOff>7620</xdr:rowOff>
    </xdr:to>
    <xdr:graphicFrame macro="">
      <xdr:nvGraphicFramePr>
        <xdr:cNvPr id="3698119" name="Chart 16">
          <a:extLst>
            <a:ext uri="{FF2B5EF4-FFF2-40B4-BE49-F238E27FC236}">
              <a16:creationId xmlns:a16="http://schemas.microsoft.com/office/drawing/2014/main" id="{00000000-0008-0000-0800-0000C76D38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7</xdr:col>
      <xdr:colOff>0</xdr:colOff>
      <xdr:row>187</xdr:row>
      <xdr:rowOff>0</xdr:rowOff>
    </xdr:from>
    <xdr:to>
      <xdr:col>14</xdr:col>
      <xdr:colOff>0</xdr:colOff>
      <xdr:row>207</xdr:row>
      <xdr:rowOff>160020</xdr:rowOff>
    </xdr:to>
    <xdr:graphicFrame macro="">
      <xdr:nvGraphicFramePr>
        <xdr:cNvPr id="3698120" name="Chart 17">
          <a:extLst>
            <a:ext uri="{FF2B5EF4-FFF2-40B4-BE49-F238E27FC236}">
              <a16:creationId xmlns:a16="http://schemas.microsoft.com/office/drawing/2014/main" id="{00000000-0008-0000-0800-0000C86D38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7</xdr:col>
      <xdr:colOff>0</xdr:colOff>
      <xdr:row>232</xdr:row>
      <xdr:rowOff>7620</xdr:rowOff>
    </xdr:from>
    <xdr:to>
      <xdr:col>14</xdr:col>
      <xdr:colOff>0</xdr:colOff>
      <xdr:row>253</xdr:row>
      <xdr:rowOff>22860</xdr:rowOff>
    </xdr:to>
    <xdr:graphicFrame macro="">
      <xdr:nvGraphicFramePr>
        <xdr:cNvPr id="3698121" name="Chart 19">
          <a:extLst>
            <a:ext uri="{FF2B5EF4-FFF2-40B4-BE49-F238E27FC236}">
              <a16:creationId xmlns:a16="http://schemas.microsoft.com/office/drawing/2014/main" id="{00000000-0008-0000-0800-0000C96D38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0</xdr:col>
      <xdr:colOff>0</xdr:colOff>
      <xdr:row>256</xdr:row>
      <xdr:rowOff>0</xdr:rowOff>
    </xdr:from>
    <xdr:to>
      <xdr:col>7</xdr:col>
      <xdr:colOff>0</xdr:colOff>
      <xdr:row>276</xdr:row>
      <xdr:rowOff>160020</xdr:rowOff>
    </xdr:to>
    <xdr:graphicFrame macro="">
      <xdr:nvGraphicFramePr>
        <xdr:cNvPr id="3698122" name="Chart 20">
          <a:extLst>
            <a:ext uri="{FF2B5EF4-FFF2-40B4-BE49-F238E27FC236}">
              <a16:creationId xmlns:a16="http://schemas.microsoft.com/office/drawing/2014/main" id="{00000000-0008-0000-0800-0000CA6D38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7</xdr:col>
      <xdr:colOff>0</xdr:colOff>
      <xdr:row>256</xdr:row>
      <xdr:rowOff>0</xdr:rowOff>
    </xdr:from>
    <xdr:to>
      <xdr:col>14</xdr:col>
      <xdr:colOff>0</xdr:colOff>
      <xdr:row>276</xdr:row>
      <xdr:rowOff>160020</xdr:rowOff>
    </xdr:to>
    <xdr:graphicFrame macro="">
      <xdr:nvGraphicFramePr>
        <xdr:cNvPr id="3698123" name="Chart 21">
          <a:extLst>
            <a:ext uri="{FF2B5EF4-FFF2-40B4-BE49-F238E27FC236}">
              <a16:creationId xmlns:a16="http://schemas.microsoft.com/office/drawing/2014/main" id="{00000000-0008-0000-0800-0000CB6D38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0</xdr:col>
      <xdr:colOff>0</xdr:colOff>
      <xdr:row>280</xdr:row>
      <xdr:rowOff>0</xdr:rowOff>
    </xdr:from>
    <xdr:to>
      <xdr:col>7</xdr:col>
      <xdr:colOff>0</xdr:colOff>
      <xdr:row>300</xdr:row>
      <xdr:rowOff>160020</xdr:rowOff>
    </xdr:to>
    <xdr:graphicFrame macro="">
      <xdr:nvGraphicFramePr>
        <xdr:cNvPr id="3698124" name="Chart 22">
          <a:extLst>
            <a:ext uri="{FF2B5EF4-FFF2-40B4-BE49-F238E27FC236}">
              <a16:creationId xmlns:a16="http://schemas.microsoft.com/office/drawing/2014/main" id="{00000000-0008-0000-0800-0000CC6D38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7</xdr:col>
      <xdr:colOff>0</xdr:colOff>
      <xdr:row>280</xdr:row>
      <xdr:rowOff>0</xdr:rowOff>
    </xdr:from>
    <xdr:to>
      <xdr:col>14</xdr:col>
      <xdr:colOff>0</xdr:colOff>
      <xdr:row>300</xdr:row>
      <xdr:rowOff>160020</xdr:rowOff>
    </xdr:to>
    <xdr:graphicFrame macro="">
      <xdr:nvGraphicFramePr>
        <xdr:cNvPr id="3698125" name="Chart 23">
          <a:extLst>
            <a:ext uri="{FF2B5EF4-FFF2-40B4-BE49-F238E27FC236}">
              <a16:creationId xmlns:a16="http://schemas.microsoft.com/office/drawing/2014/main" id="{00000000-0008-0000-0800-0000CD6D38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0</xdr:col>
      <xdr:colOff>0</xdr:colOff>
      <xdr:row>118</xdr:row>
      <xdr:rowOff>0</xdr:rowOff>
    </xdr:from>
    <xdr:to>
      <xdr:col>7</xdr:col>
      <xdr:colOff>0</xdr:colOff>
      <xdr:row>138</xdr:row>
      <xdr:rowOff>160020</xdr:rowOff>
    </xdr:to>
    <xdr:graphicFrame macro="">
      <xdr:nvGraphicFramePr>
        <xdr:cNvPr id="3698126" name="Chart 26">
          <a:extLst>
            <a:ext uri="{FF2B5EF4-FFF2-40B4-BE49-F238E27FC236}">
              <a16:creationId xmlns:a16="http://schemas.microsoft.com/office/drawing/2014/main" id="{00000000-0008-0000-0800-0000CE6D38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xdr:col>
      <xdr:colOff>0</xdr:colOff>
      <xdr:row>118</xdr:row>
      <xdr:rowOff>0</xdr:rowOff>
    </xdr:from>
    <xdr:to>
      <xdr:col>14</xdr:col>
      <xdr:colOff>0</xdr:colOff>
      <xdr:row>138</xdr:row>
      <xdr:rowOff>160020</xdr:rowOff>
    </xdr:to>
    <xdr:graphicFrame macro="">
      <xdr:nvGraphicFramePr>
        <xdr:cNvPr id="3698127" name="Chart 27">
          <a:extLst>
            <a:ext uri="{FF2B5EF4-FFF2-40B4-BE49-F238E27FC236}">
              <a16:creationId xmlns:a16="http://schemas.microsoft.com/office/drawing/2014/main" id="{00000000-0008-0000-0800-0000CF6D38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xdr:col>
      <xdr:colOff>0</xdr:colOff>
      <xdr:row>97</xdr:row>
      <xdr:rowOff>7620</xdr:rowOff>
    </xdr:from>
    <xdr:to>
      <xdr:col>14</xdr:col>
      <xdr:colOff>0</xdr:colOff>
      <xdr:row>118</xdr:row>
      <xdr:rowOff>0</xdr:rowOff>
    </xdr:to>
    <xdr:graphicFrame macro="">
      <xdr:nvGraphicFramePr>
        <xdr:cNvPr id="3698128" name="Chart 29">
          <a:extLst>
            <a:ext uri="{FF2B5EF4-FFF2-40B4-BE49-F238E27FC236}">
              <a16:creationId xmlns:a16="http://schemas.microsoft.com/office/drawing/2014/main" id="{00000000-0008-0000-0800-0000D06D38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86</xdr:col>
      <xdr:colOff>295275</xdr:colOff>
      <xdr:row>173</xdr:row>
      <xdr:rowOff>42862</xdr:rowOff>
    </xdr:from>
    <xdr:to>
      <xdr:col>93</xdr:col>
      <xdr:colOff>600075</xdr:colOff>
      <xdr:row>193</xdr:row>
      <xdr:rowOff>204787</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96</xdr:col>
      <xdr:colOff>85725</xdr:colOff>
      <xdr:row>339</xdr:row>
      <xdr:rowOff>85725</xdr:rowOff>
    </xdr:from>
    <xdr:to>
      <xdr:col>104</xdr:col>
      <xdr:colOff>581025</xdr:colOff>
      <xdr:row>361</xdr:row>
      <xdr:rowOff>157162</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3</xdr:row>
      <xdr:rowOff>0</xdr:rowOff>
    </xdr:from>
    <xdr:to>
      <xdr:col>14</xdr:col>
      <xdr:colOff>0</xdr:colOff>
      <xdr:row>21</xdr:row>
      <xdr:rowOff>0</xdr:rowOff>
    </xdr:to>
    <xdr:graphicFrame macro="">
      <xdr:nvGraphicFramePr>
        <xdr:cNvPr id="3740357" name="Chart 1">
          <a:extLst>
            <a:ext uri="{FF2B5EF4-FFF2-40B4-BE49-F238E27FC236}">
              <a16:creationId xmlns:a16="http://schemas.microsoft.com/office/drawing/2014/main" id="{00000000-0008-0000-0A00-0000C5123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0</xdr:rowOff>
    </xdr:from>
    <xdr:to>
      <xdr:col>14</xdr:col>
      <xdr:colOff>0</xdr:colOff>
      <xdr:row>39</xdr:row>
      <xdr:rowOff>0</xdr:rowOff>
    </xdr:to>
    <xdr:graphicFrame macro="">
      <xdr:nvGraphicFramePr>
        <xdr:cNvPr id="3740358" name="Chart 3">
          <a:extLst>
            <a:ext uri="{FF2B5EF4-FFF2-40B4-BE49-F238E27FC236}">
              <a16:creationId xmlns:a16="http://schemas.microsoft.com/office/drawing/2014/main" id="{00000000-0008-0000-0A00-0000C6123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42</xdr:row>
      <xdr:rowOff>0</xdr:rowOff>
    </xdr:from>
    <xdr:to>
      <xdr:col>14</xdr:col>
      <xdr:colOff>0</xdr:colOff>
      <xdr:row>60</xdr:row>
      <xdr:rowOff>0</xdr:rowOff>
    </xdr:to>
    <xdr:graphicFrame macro="">
      <xdr:nvGraphicFramePr>
        <xdr:cNvPr id="3740359" name="Chart 4">
          <a:extLst>
            <a:ext uri="{FF2B5EF4-FFF2-40B4-BE49-F238E27FC236}">
              <a16:creationId xmlns:a16="http://schemas.microsoft.com/office/drawing/2014/main" id="{00000000-0008-0000-0A00-0000C7123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60</xdr:row>
      <xdr:rowOff>0</xdr:rowOff>
    </xdr:from>
    <xdr:to>
      <xdr:col>14</xdr:col>
      <xdr:colOff>0</xdr:colOff>
      <xdr:row>77</xdr:row>
      <xdr:rowOff>160020</xdr:rowOff>
    </xdr:to>
    <xdr:graphicFrame macro="">
      <xdr:nvGraphicFramePr>
        <xdr:cNvPr id="3740360" name="Chart 5">
          <a:extLst>
            <a:ext uri="{FF2B5EF4-FFF2-40B4-BE49-F238E27FC236}">
              <a16:creationId xmlns:a16="http://schemas.microsoft.com/office/drawing/2014/main" id="{00000000-0008-0000-0A00-0000C8123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81</xdr:row>
      <xdr:rowOff>0</xdr:rowOff>
    </xdr:from>
    <xdr:to>
      <xdr:col>14</xdr:col>
      <xdr:colOff>0</xdr:colOff>
      <xdr:row>99</xdr:row>
      <xdr:rowOff>0</xdr:rowOff>
    </xdr:to>
    <xdr:graphicFrame macro="">
      <xdr:nvGraphicFramePr>
        <xdr:cNvPr id="3740361" name="Chart 6">
          <a:extLst>
            <a:ext uri="{FF2B5EF4-FFF2-40B4-BE49-F238E27FC236}">
              <a16:creationId xmlns:a16="http://schemas.microsoft.com/office/drawing/2014/main" id="{00000000-0008-0000-0A00-0000C9123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99</xdr:row>
      <xdr:rowOff>0</xdr:rowOff>
    </xdr:from>
    <xdr:to>
      <xdr:col>14</xdr:col>
      <xdr:colOff>0</xdr:colOff>
      <xdr:row>116</xdr:row>
      <xdr:rowOff>160020</xdr:rowOff>
    </xdr:to>
    <xdr:graphicFrame macro="">
      <xdr:nvGraphicFramePr>
        <xdr:cNvPr id="3740362" name="Chart 7">
          <a:extLst>
            <a:ext uri="{FF2B5EF4-FFF2-40B4-BE49-F238E27FC236}">
              <a16:creationId xmlns:a16="http://schemas.microsoft.com/office/drawing/2014/main" id="{00000000-0008-0000-0A00-0000CA123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120</xdr:row>
      <xdr:rowOff>0</xdr:rowOff>
    </xdr:from>
    <xdr:to>
      <xdr:col>14</xdr:col>
      <xdr:colOff>0</xdr:colOff>
      <xdr:row>138</xdr:row>
      <xdr:rowOff>0</xdr:rowOff>
    </xdr:to>
    <xdr:graphicFrame macro="">
      <xdr:nvGraphicFramePr>
        <xdr:cNvPr id="3740363" name="Chart 8">
          <a:extLst>
            <a:ext uri="{FF2B5EF4-FFF2-40B4-BE49-F238E27FC236}">
              <a16:creationId xmlns:a16="http://schemas.microsoft.com/office/drawing/2014/main" id="{00000000-0008-0000-0A00-0000CB123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138</xdr:row>
      <xdr:rowOff>0</xdr:rowOff>
    </xdr:from>
    <xdr:to>
      <xdr:col>14</xdr:col>
      <xdr:colOff>0</xdr:colOff>
      <xdr:row>156</xdr:row>
      <xdr:rowOff>0</xdr:rowOff>
    </xdr:to>
    <xdr:graphicFrame macro="">
      <xdr:nvGraphicFramePr>
        <xdr:cNvPr id="3740364" name="Chart 9">
          <a:extLst>
            <a:ext uri="{FF2B5EF4-FFF2-40B4-BE49-F238E27FC236}">
              <a16:creationId xmlns:a16="http://schemas.microsoft.com/office/drawing/2014/main" id="{00000000-0008-0000-0A00-0000CC123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159</xdr:row>
      <xdr:rowOff>0</xdr:rowOff>
    </xdr:from>
    <xdr:to>
      <xdr:col>14</xdr:col>
      <xdr:colOff>0</xdr:colOff>
      <xdr:row>177</xdr:row>
      <xdr:rowOff>0</xdr:rowOff>
    </xdr:to>
    <xdr:graphicFrame macro="">
      <xdr:nvGraphicFramePr>
        <xdr:cNvPr id="3740365" name="Chart 10">
          <a:extLst>
            <a:ext uri="{FF2B5EF4-FFF2-40B4-BE49-F238E27FC236}">
              <a16:creationId xmlns:a16="http://schemas.microsoft.com/office/drawing/2014/main" id="{00000000-0008-0000-0A00-0000CD123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177</xdr:row>
      <xdr:rowOff>0</xdr:rowOff>
    </xdr:from>
    <xdr:to>
      <xdr:col>14</xdr:col>
      <xdr:colOff>0</xdr:colOff>
      <xdr:row>195</xdr:row>
      <xdr:rowOff>0</xdr:rowOff>
    </xdr:to>
    <xdr:graphicFrame macro="">
      <xdr:nvGraphicFramePr>
        <xdr:cNvPr id="3740366" name="Chart 11">
          <a:extLst>
            <a:ext uri="{FF2B5EF4-FFF2-40B4-BE49-F238E27FC236}">
              <a16:creationId xmlns:a16="http://schemas.microsoft.com/office/drawing/2014/main" id="{00000000-0008-0000-0A00-0000CE123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198</xdr:row>
      <xdr:rowOff>0</xdr:rowOff>
    </xdr:from>
    <xdr:to>
      <xdr:col>14</xdr:col>
      <xdr:colOff>0</xdr:colOff>
      <xdr:row>216</xdr:row>
      <xdr:rowOff>0</xdr:rowOff>
    </xdr:to>
    <xdr:graphicFrame macro="">
      <xdr:nvGraphicFramePr>
        <xdr:cNvPr id="3740367" name="Chart 12">
          <a:extLst>
            <a:ext uri="{FF2B5EF4-FFF2-40B4-BE49-F238E27FC236}">
              <a16:creationId xmlns:a16="http://schemas.microsoft.com/office/drawing/2014/main" id="{00000000-0008-0000-0A00-0000CF123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216</xdr:row>
      <xdr:rowOff>0</xdr:rowOff>
    </xdr:from>
    <xdr:to>
      <xdr:col>14</xdr:col>
      <xdr:colOff>0</xdr:colOff>
      <xdr:row>233</xdr:row>
      <xdr:rowOff>160020</xdr:rowOff>
    </xdr:to>
    <xdr:graphicFrame macro="">
      <xdr:nvGraphicFramePr>
        <xdr:cNvPr id="3740368" name="Chart 13">
          <a:extLst>
            <a:ext uri="{FF2B5EF4-FFF2-40B4-BE49-F238E27FC236}">
              <a16:creationId xmlns:a16="http://schemas.microsoft.com/office/drawing/2014/main" id="{00000000-0008-0000-0A00-0000D0123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0</xdr:colOff>
      <xdr:row>237</xdr:row>
      <xdr:rowOff>0</xdr:rowOff>
    </xdr:from>
    <xdr:to>
      <xdr:col>14</xdr:col>
      <xdr:colOff>0</xdr:colOff>
      <xdr:row>255</xdr:row>
      <xdr:rowOff>0</xdr:rowOff>
    </xdr:to>
    <xdr:graphicFrame macro="">
      <xdr:nvGraphicFramePr>
        <xdr:cNvPr id="3740369" name="Chart 22">
          <a:extLst>
            <a:ext uri="{FF2B5EF4-FFF2-40B4-BE49-F238E27FC236}">
              <a16:creationId xmlns:a16="http://schemas.microsoft.com/office/drawing/2014/main" id="{00000000-0008-0000-0A00-0000D1123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0</xdr:colOff>
      <xdr:row>255</xdr:row>
      <xdr:rowOff>0</xdr:rowOff>
    </xdr:from>
    <xdr:to>
      <xdr:col>14</xdr:col>
      <xdr:colOff>0</xdr:colOff>
      <xdr:row>273</xdr:row>
      <xdr:rowOff>0</xdr:rowOff>
    </xdr:to>
    <xdr:graphicFrame macro="">
      <xdr:nvGraphicFramePr>
        <xdr:cNvPr id="3740370" name="Chart 23">
          <a:extLst>
            <a:ext uri="{FF2B5EF4-FFF2-40B4-BE49-F238E27FC236}">
              <a16:creationId xmlns:a16="http://schemas.microsoft.com/office/drawing/2014/main" id="{00000000-0008-0000-0A00-0000D2123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0</xdr:col>
      <xdr:colOff>0</xdr:colOff>
      <xdr:row>276</xdr:row>
      <xdr:rowOff>7620</xdr:rowOff>
    </xdr:from>
    <xdr:to>
      <xdr:col>14</xdr:col>
      <xdr:colOff>0</xdr:colOff>
      <xdr:row>294</xdr:row>
      <xdr:rowOff>0</xdr:rowOff>
    </xdr:to>
    <xdr:graphicFrame macro="">
      <xdr:nvGraphicFramePr>
        <xdr:cNvPr id="3740371" name="Chart 24">
          <a:extLst>
            <a:ext uri="{FF2B5EF4-FFF2-40B4-BE49-F238E27FC236}">
              <a16:creationId xmlns:a16="http://schemas.microsoft.com/office/drawing/2014/main" id="{00000000-0008-0000-0A00-0000D3123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0</xdr:col>
      <xdr:colOff>0</xdr:colOff>
      <xdr:row>294</xdr:row>
      <xdr:rowOff>0</xdr:rowOff>
    </xdr:from>
    <xdr:to>
      <xdr:col>14</xdr:col>
      <xdr:colOff>0</xdr:colOff>
      <xdr:row>312</xdr:row>
      <xdr:rowOff>0</xdr:rowOff>
    </xdr:to>
    <xdr:graphicFrame macro="">
      <xdr:nvGraphicFramePr>
        <xdr:cNvPr id="3740372" name="Chart 25">
          <a:extLst>
            <a:ext uri="{FF2B5EF4-FFF2-40B4-BE49-F238E27FC236}">
              <a16:creationId xmlns:a16="http://schemas.microsoft.com/office/drawing/2014/main" id="{00000000-0008-0000-0A00-0000D4123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0</xdr:colOff>
      <xdr:row>315</xdr:row>
      <xdr:rowOff>7620</xdr:rowOff>
    </xdr:from>
    <xdr:to>
      <xdr:col>14</xdr:col>
      <xdr:colOff>0</xdr:colOff>
      <xdr:row>333</xdr:row>
      <xdr:rowOff>0</xdr:rowOff>
    </xdr:to>
    <xdr:graphicFrame macro="">
      <xdr:nvGraphicFramePr>
        <xdr:cNvPr id="3740373" name="Chart 26">
          <a:extLst>
            <a:ext uri="{FF2B5EF4-FFF2-40B4-BE49-F238E27FC236}">
              <a16:creationId xmlns:a16="http://schemas.microsoft.com/office/drawing/2014/main" id="{00000000-0008-0000-0A00-0000D5123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0</xdr:col>
      <xdr:colOff>0</xdr:colOff>
      <xdr:row>333</xdr:row>
      <xdr:rowOff>0</xdr:rowOff>
    </xdr:from>
    <xdr:to>
      <xdr:col>14</xdr:col>
      <xdr:colOff>0</xdr:colOff>
      <xdr:row>351</xdr:row>
      <xdr:rowOff>0</xdr:rowOff>
    </xdr:to>
    <xdr:graphicFrame macro="">
      <xdr:nvGraphicFramePr>
        <xdr:cNvPr id="3740374" name="Chart 27">
          <a:extLst>
            <a:ext uri="{FF2B5EF4-FFF2-40B4-BE49-F238E27FC236}">
              <a16:creationId xmlns:a16="http://schemas.microsoft.com/office/drawing/2014/main" id="{00000000-0008-0000-0A00-0000D6123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0</xdr:col>
      <xdr:colOff>0</xdr:colOff>
      <xdr:row>372</xdr:row>
      <xdr:rowOff>7620</xdr:rowOff>
    </xdr:from>
    <xdr:to>
      <xdr:col>14</xdr:col>
      <xdr:colOff>0</xdr:colOff>
      <xdr:row>390</xdr:row>
      <xdr:rowOff>7620</xdr:rowOff>
    </xdr:to>
    <xdr:graphicFrame macro="">
      <xdr:nvGraphicFramePr>
        <xdr:cNvPr id="3740375" name="Chart 28">
          <a:extLst>
            <a:ext uri="{FF2B5EF4-FFF2-40B4-BE49-F238E27FC236}">
              <a16:creationId xmlns:a16="http://schemas.microsoft.com/office/drawing/2014/main" id="{00000000-0008-0000-0A00-0000D7123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0</xdr:col>
      <xdr:colOff>0</xdr:colOff>
      <xdr:row>354</xdr:row>
      <xdr:rowOff>7620</xdr:rowOff>
    </xdr:from>
    <xdr:to>
      <xdr:col>14</xdr:col>
      <xdr:colOff>0</xdr:colOff>
      <xdr:row>372</xdr:row>
      <xdr:rowOff>7620</xdr:rowOff>
    </xdr:to>
    <xdr:graphicFrame macro="">
      <xdr:nvGraphicFramePr>
        <xdr:cNvPr id="3740376" name="Chart 29">
          <a:extLst>
            <a:ext uri="{FF2B5EF4-FFF2-40B4-BE49-F238E27FC236}">
              <a16:creationId xmlns:a16="http://schemas.microsoft.com/office/drawing/2014/main" id="{00000000-0008-0000-0A00-0000D8123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32</xdr:col>
      <xdr:colOff>280987</xdr:colOff>
      <xdr:row>29</xdr:row>
      <xdr:rowOff>90487</xdr:rowOff>
    </xdr:from>
    <xdr:to>
      <xdr:col>40</xdr:col>
      <xdr:colOff>585787</xdr:colOff>
      <xdr:row>46</xdr:row>
      <xdr:rowOff>138112</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3</xdr:row>
      <xdr:rowOff>0</xdr:rowOff>
    </xdr:from>
    <xdr:to>
      <xdr:col>7</xdr:col>
      <xdr:colOff>0</xdr:colOff>
      <xdr:row>24</xdr:row>
      <xdr:rowOff>0</xdr:rowOff>
    </xdr:to>
    <xdr:graphicFrame macro="">
      <xdr:nvGraphicFramePr>
        <xdr:cNvPr id="3781317" name="Chart 1">
          <a:extLst>
            <a:ext uri="{FF2B5EF4-FFF2-40B4-BE49-F238E27FC236}">
              <a16:creationId xmlns:a16="http://schemas.microsoft.com/office/drawing/2014/main" id="{00000000-0008-0000-0C00-0000C5B23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3</xdr:row>
      <xdr:rowOff>0</xdr:rowOff>
    </xdr:from>
    <xdr:to>
      <xdr:col>14</xdr:col>
      <xdr:colOff>0</xdr:colOff>
      <xdr:row>24</xdr:row>
      <xdr:rowOff>0</xdr:rowOff>
    </xdr:to>
    <xdr:graphicFrame macro="">
      <xdr:nvGraphicFramePr>
        <xdr:cNvPr id="3781318" name="Chart 5">
          <a:extLst>
            <a:ext uri="{FF2B5EF4-FFF2-40B4-BE49-F238E27FC236}">
              <a16:creationId xmlns:a16="http://schemas.microsoft.com/office/drawing/2014/main" id="{00000000-0008-0000-0C00-0000C6B23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66</xdr:row>
      <xdr:rowOff>0</xdr:rowOff>
    </xdr:from>
    <xdr:to>
      <xdr:col>7</xdr:col>
      <xdr:colOff>0</xdr:colOff>
      <xdr:row>87</xdr:row>
      <xdr:rowOff>0</xdr:rowOff>
    </xdr:to>
    <xdr:graphicFrame macro="">
      <xdr:nvGraphicFramePr>
        <xdr:cNvPr id="3781319" name="Chart 6">
          <a:extLst>
            <a:ext uri="{FF2B5EF4-FFF2-40B4-BE49-F238E27FC236}">
              <a16:creationId xmlns:a16="http://schemas.microsoft.com/office/drawing/2014/main" id="{00000000-0008-0000-0C00-0000C7B23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0</xdr:colOff>
      <xdr:row>66</xdr:row>
      <xdr:rowOff>0</xdr:rowOff>
    </xdr:from>
    <xdr:to>
      <xdr:col>14</xdr:col>
      <xdr:colOff>0</xdr:colOff>
      <xdr:row>87</xdr:row>
      <xdr:rowOff>0</xdr:rowOff>
    </xdr:to>
    <xdr:graphicFrame macro="">
      <xdr:nvGraphicFramePr>
        <xdr:cNvPr id="3781320" name="Chart 7">
          <a:extLst>
            <a:ext uri="{FF2B5EF4-FFF2-40B4-BE49-F238E27FC236}">
              <a16:creationId xmlns:a16="http://schemas.microsoft.com/office/drawing/2014/main" id="{00000000-0008-0000-0C00-0000C8B23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111</xdr:row>
      <xdr:rowOff>0</xdr:rowOff>
    </xdr:from>
    <xdr:to>
      <xdr:col>7</xdr:col>
      <xdr:colOff>0</xdr:colOff>
      <xdr:row>132</xdr:row>
      <xdr:rowOff>0</xdr:rowOff>
    </xdr:to>
    <xdr:graphicFrame macro="">
      <xdr:nvGraphicFramePr>
        <xdr:cNvPr id="3781321" name="Chart 8">
          <a:extLst>
            <a:ext uri="{FF2B5EF4-FFF2-40B4-BE49-F238E27FC236}">
              <a16:creationId xmlns:a16="http://schemas.microsoft.com/office/drawing/2014/main" id="{00000000-0008-0000-0C00-0000C9B23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0</xdr:colOff>
      <xdr:row>111</xdr:row>
      <xdr:rowOff>0</xdr:rowOff>
    </xdr:from>
    <xdr:to>
      <xdr:col>14</xdr:col>
      <xdr:colOff>0</xdr:colOff>
      <xdr:row>132</xdr:row>
      <xdr:rowOff>0</xdr:rowOff>
    </xdr:to>
    <xdr:graphicFrame macro="">
      <xdr:nvGraphicFramePr>
        <xdr:cNvPr id="3781322" name="Chart 9">
          <a:extLst>
            <a:ext uri="{FF2B5EF4-FFF2-40B4-BE49-F238E27FC236}">
              <a16:creationId xmlns:a16="http://schemas.microsoft.com/office/drawing/2014/main" id="{00000000-0008-0000-0C00-0000CAB23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135</xdr:row>
      <xdr:rowOff>0</xdr:rowOff>
    </xdr:from>
    <xdr:to>
      <xdr:col>7</xdr:col>
      <xdr:colOff>0</xdr:colOff>
      <xdr:row>156</xdr:row>
      <xdr:rowOff>0</xdr:rowOff>
    </xdr:to>
    <xdr:graphicFrame macro="">
      <xdr:nvGraphicFramePr>
        <xdr:cNvPr id="3781323" name="Chart 10">
          <a:extLst>
            <a:ext uri="{FF2B5EF4-FFF2-40B4-BE49-F238E27FC236}">
              <a16:creationId xmlns:a16="http://schemas.microsoft.com/office/drawing/2014/main" id="{00000000-0008-0000-0C00-0000CBB23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0</xdr:colOff>
      <xdr:row>135</xdr:row>
      <xdr:rowOff>0</xdr:rowOff>
    </xdr:from>
    <xdr:to>
      <xdr:col>14</xdr:col>
      <xdr:colOff>0</xdr:colOff>
      <xdr:row>156</xdr:row>
      <xdr:rowOff>0</xdr:rowOff>
    </xdr:to>
    <xdr:graphicFrame macro="">
      <xdr:nvGraphicFramePr>
        <xdr:cNvPr id="3781324" name="Chart 11">
          <a:extLst>
            <a:ext uri="{FF2B5EF4-FFF2-40B4-BE49-F238E27FC236}">
              <a16:creationId xmlns:a16="http://schemas.microsoft.com/office/drawing/2014/main" id="{00000000-0008-0000-0C00-0000CCB23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177</xdr:row>
      <xdr:rowOff>0</xdr:rowOff>
    </xdr:from>
    <xdr:to>
      <xdr:col>7</xdr:col>
      <xdr:colOff>0</xdr:colOff>
      <xdr:row>198</xdr:row>
      <xdr:rowOff>0</xdr:rowOff>
    </xdr:to>
    <xdr:graphicFrame macro="">
      <xdr:nvGraphicFramePr>
        <xdr:cNvPr id="3781325" name="Chart 12">
          <a:extLst>
            <a:ext uri="{FF2B5EF4-FFF2-40B4-BE49-F238E27FC236}">
              <a16:creationId xmlns:a16="http://schemas.microsoft.com/office/drawing/2014/main" id="{00000000-0008-0000-0C00-0000CDB23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177</xdr:row>
      <xdr:rowOff>0</xdr:rowOff>
    </xdr:from>
    <xdr:to>
      <xdr:col>14</xdr:col>
      <xdr:colOff>0</xdr:colOff>
      <xdr:row>198</xdr:row>
      <xdr:rowOff>0</xdr:rowOff>
    </xdr:to>
    <xdr:graphicFrame macro="">
      <xdr:nvGraphicFramePr>
        <xdr:cNvPr id="3781326" name="Chart 13">
          <a:extLst>
            <a:ext uri="{FF2B5EF4-FFF2-40B4-BE49-F238E27FC236}">
              <a16:creationId xmlns:a16="http://schemas.microsoft.com/office/drawing/2014/main" id="{00000000-0008-0000-0C00-0000CEB23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222</xdr:row>
      <xdr:rowOff>0</xdr:rowOff>
    </xdr:from>
    <xdr:to>
      <xdr:col>7</xdr:col>
      <xdr:colOff>0</xdr:colOff>
      <xdr:row>243</xdr:row>
      <xdr:rowOff>0</xdr:rowOff>
    </xdr:to>
    <xdr:graphicFrame macro="">
      <xdr:nvGraphicFramePr>
        <xdr:cNvPr id="3781327" name="Chart 14">
          <a:extLst>
            <a:ext uri="{FF2B5EF4-FFF2-40B4-BE49-F238E27FC236}">
              <a16:creationId xmlns:a16="http://schemas.microsoft.com/office/drawing/2014/main" id="{00000000-0008-0000-0C00-0000CFB23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0</xdr:colOff>
      <xdr:row>222</xdr:row>
      <xdr:rowOff>0</xdr:rowOff>
    </xdr:from>
    <xdr:to>
      <xdr:col>14</xdr:col>
      <xdr:colOff>0</xdr:colOff>
      <xdr:row>243</xdr:row>
      <xdr:rowOff>0</xdr:rowOff>
    </xdr:to>
    <xdr:graphicFrame macro="">
      <xdr:nvGraphicFramePr>
        <xdr:cNvPr id="3781328" name="Chart 15">
          <a:extLst>
            <a:ext uri="{FF2B5EF4-FFF2-40B4-BE49-F238E27FC236}">
              <a16:creationId xmlns:a16="http://schemas.microsoft.com/office/drawing/2014/main" id="{00000000-0008-0000-0C00-0000D0B23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7</xdr:col>
      <xdr:colOff>0</xdr:colOff>
      <xdr:row>24</xdr:row>
      <xdr:rowOff>0</xdr:rowOff>
    </xdr:from>
    <xdr:to>
      <xdr:col>14</xdr:col>
      <xdr:colOff>0</xdr:colOff>
      <xdr:row>45</xdr:row>
      <xdr:rowOff>0</xdr:rowOff>
    </xdr:to>
    <xdr:graphicFrame macro="">
      <xdr:nvGraphicFramePr>
        <xdr:cNvPr id="3781329" name="Chart 16">
          <a:extLst>
            <a:ext uri="{FF2B5EF4-FFF2-40B4-BE49-F238E27FC236}">
              <a16:creationId xmlns:a16="http://schemas.microsoft.com/office/drawing/2014/main" id="{00000000-0008-0000-0C00-0000D1B23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0</xdr:colOff>
      <xdr:row>24</xdr:row>
      <xdr:rowOff>0</xdr:rowOff>
    </xdr:from>
    <xdr:to>
      <xdr:col>7</xdr:col>
      <xdr:colOff>0</xdr:colOff>
      <xdr:row>45</xdr:row>
      <xdr:rowOff>0</xdr:rowOff>
    </xdr:to>
    <xdr:graphicFrame macro="">
      <xdr:nvGraphicFramePr>
        <xdr:cNvPr id="3781330" name="Chart 17">
          <a:extLst>
            <a:ext uri="{FF2B5EF4-FFF2-40B4-BE49-F238E27FC236}">
              <a16:creationId xmlns:a16="http://schemas.microsoft.com/office/drawing/2014/main" id="{00000000-0008-0000-0C00-0000D2B23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0</xdr:col>
      <xdr:colOff>0</xdr:colOff>
      <xdr:row>156</xdr:row>
      <xdr:rowOff>0</xdr:rowOff>
    </xdr:from>
    <xdr:to>
      <xdr:col>7</xdr:col>
      <xdr:colOff>0</xdr:colOff>
      <xdr:row>177</xdr:row>
      <xdr:rowOff>0</xdr:rowOff>
    </xdr:to>
    <xdr:graphicFrame macro="">
      <xdr:nvGraphicFramePr>
        <xdr:cNvPr id="3781331" name="Chart 18">
          <a:extLst>
            <a:ext uri="{FF2B5EF4-FFF2-40B4-BE49-F238E27FC236}">
              <a16:creationId xmlns:a16="http://schemas.microsoft.com/office/drawing/2014/main" id="{00000000-0008-0000-0C00-0000D3B23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7</xdr:col>
      <xdr:colOff>0</xdr:colOff>
      <xdr:row>156</xdr:row>
      <xdr:rowOff>0</xdr:rowOff>
    </xdr:from>
    <xdr:to>
      <xdr:col>14</xdr:col>
      <xdr:colOff>0</xdr:colOff>
      <xdr:row>177</xdr:row>
      <xdr:rowOff>0</xdr:rowOff>
    </xdr:to>
    <xdr:graphicFrame macro="">
      <xdr:nvGraphicFramePr>
        <xdr:cNvPr id="3781332" name="Chart 20">
          <a:extLst>
            <a:ext uri="{FF2B5EF4-FFF2-40B4-BE49-F238E27FC236}">
              <a16:creationId xmlns:a16="http://schemas.microsoft.com/office/drawing/2014/main" id="{00000000-0008-0000-0C00-0000D4B23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0</xdr:colOff>
      <xdr:row>45</xdr:row>
      <xdr:rowOff>0</xdr:rowOff>
    </xdr:from>
    <xdr:to>
      <xdr:col>7</xdr:col>
      <xdr:colOff>0</xdr:colOff>
      <xdr:row>66</xdr:row>
      <xdr:rowOff>0</xdr:rowOff>
    </xdr:to>
    <xdr:graphicFrame macro="">
      <xdr:nvGraphicFramePr>
        <xdr:cNvPr id="3781333" name="Chart 21">
          <a:extLst>
            <a:ext uri="{FF2B5EF4-FFF2-40B4-BE49-F238E27FC236}">
              <a16:creationId xmlns:a16="http://schemas.microsoft.com/office/drawing/2014/main" id="{00000000-0008-0000-0C00-0000D5B23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7</xdr:col>
      <xdr:colOff>0</xdr:colOff>
      <xdr:row>45</xdr:row>
      <xdr:rowOff>0</xdr:rowOff>
    </xdr:from>
    <xdr:to>
      <xdr:col>14</xdr:col>
      <xdr:colOff>0</xdr:colOff>
      <xdr:row>66</xdr:row>
      <xdr:rowOff>0</xdr:rowOff>
    </xdr:to>
    <xdr:graphicFrame macro="">
      <xdr:nvGraphicFramePr>
        <xdr:cNvPr id="3781334" name="Chart 22">
          <a:extLst>
            <a:ext uri="{FF2B5EF4-FFF2-40B4-BE49-F238E27FC236}">
              <a16:creationId xmlns:a16="http://schemas.microsoft.com/office/drawing/2014/main" id="{00000000-0008-0000-0C00-0000D6B23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0</xdr:col>
      <xdr:colOff>0</xdr:colOff>
      <xdr:row>87</xdr:row>
      <xdr:rowOff>0</xdr:rowOff>
    </xdr:from>
    <xdr:to>
      <xdr:col>7</xdr:col>
      <xdr:colOff>0</xdr:colOff>
      <xdr:row>107</xdr:row>
      <xdr:rowOff>160020</xdr:rowOff>
    </xdr:to>
    <xdr:graphicFrame macro="">
      <xdr:nvGraphicFramePr>
        <xdr:cNvPr id="3781335" name="Chart 23">
          <a:extLst>
            <a:ext uri="{FF2B5EF4-FFF2-40B4-BE49-F238E27FC236}">
              <a16:creationId xmlns:a16="http://schemas.microsoft.com/office/drawing/2014/main" id="{00000000-0008-0000-0C00-0000D7B23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0</xdr:col>
      <xdr:colOff>0</xdr:colOff>
      <xdr:row>198</xdr:row>
      <xdr:rowOff>0</xdr:rowOff>
    </xdr:from>
    <xdr:to>
      <xdr:col>7</xdr:col>
      <xdr:colOff>0</xdr:colOff>
      <xdr:row>218</xdr:row>
      <xdr:rowOff>160020</xdr:rowOff>
    </xdr:to>
    <xdr:graphicFrame macro="">
      <xdr:nvGraphicFramePr>
        <xdr:cNvPr id="3781336" name="Chart 24">
          <a:extLst>
            <a:ext uri="{FF2B5EF4-FFF2-40B4-BE49-F238E27FC236}">
              <a16:creationId xmlns:a16="http://schemas.microsoft.com/office/drawing/2014/main" id="{00000000-0008-0000-0C00-0000D8B23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32</xdr:col>
      <xdr:colOff>363139</xdr:colOff>
      <xdr:row>308</xdr:row>
      <xdr:rowOff>110727</xdr:rowOff>
    </xdr:from>
    <xdr:to>
      <xdr:col>38</xdr:col>
      <xdr:colOff>476249</xdr:colOff>
      <xdr:row>317</xdr:row>
      <xdr:rowOff>0</xdr:rowOff>
    </xdr:to>
    <xdr:graphicFrame macro="">
      <xdr:nvGraphicFramePr>
        <xdr:cNvPr id="5" name="Chart 4">
          <a:extLst>
            <a:ext uri="{FF2B5EF4-FFF2-40B4-BE49-F238E27FC236}">
              <a16:creationId xmlns:a16="http://schemas.microsoft.com/office/drawing/2014/main" id="{00000000-0008-0000-0D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33</xdr:col>
      <xdr:colOff>0</xdr:colOff>
      <xdr:row>332</xdr:row>
      <xdr:rowOff>0</xdr:rowOff>
    </xdr:from>
    <xdr:to>
      <xdr:col>38</xdr:col>
      <xdr:colOff>625078</xdr:colOff>
      <xdr:row>341</xdr:row>
      <xdr:rowOff>103585</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136922</xdr:colOff>
      <xdr:row>434</xdr:row>
      <xdr:rowOff>47624</xdr:rowOff>
    </xdr:from>
    <xdr:to>
      <xdr:col>38</xdr:col>
      <xdr:colOff>773906</xdr:colOff>
      <xdr:row>445</xdr:row>
      <xdr:rowOff>329802</xdr:rowOff>
    </xdr:to>
    <xdr:graphicFrame macro="">
      <xdr:nvGraphicFramePr>
        <xdr:cNvPr id="8" name="Chart 7">
          <a:extLst>
            <a:ext uri="{FF2B5EF4-FFF2-40B4-BE49-F238E27FC236}">
              <a16:creationId xmlns:a16="http://schemas.microsoft.com/office/drawing/2014/main" id="{00000000-0008-0000-0D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41</xdr:col>
      <xdr:colOff>187099</xdr:colOff>
      <xdr:row>38</xdr:row>
      <xdr:rowOff>73307</xdr:rowOff>
    </xdr:from>
    <xdr:to>
      <xdr:col>48</xdr:col>
      <xdr:colOff>432027</xdr:colOff>
      <xdr:row>51</xdr:row>
      <xdr:rowOff>101882</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673553</xdr:colOff>
      <xdr:row>233</xdr:row>
      <xdr:rowOff>2720</xdr:rowOff>
    </xdr:from>
    <xdr:to>
      <xdr:col>38</xdr:col>
      <xdr:colOff>238124</xdr:colOff>
      <xdr:row>247</xdr:row>
      <xdr:rowOff>24492</xdr:rowOff>
    </xdr:to>
    <xdr:graphicFrame macro="">
      <xdr:nvGraphicFramePr>
        <xdr:cNvPr id="4" name="Chart 3">
          <a:extLst>
            <a:ext uri="{FF2B5EF4-FFF2-40B4-BE49-F238E27FC236}">
              <a16:creationId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537481</xdr:colOff>
      <xdr:row>265</xdr:row>
      <xdr:rowOff>84364</xdr:rowOff>
    </xdr:from>
    <xdr:to>
      <xdr:col>39</xdr:col>
      <xdr:colOff>34017</xdr:colOff>
      <xdr:row>282</xdr:row>
      <xdr:rowOff>51707</xdr:rowOff>
    </xdr:to>
    <xdr:graphicFrame macro="">
      <xdr:nvGraphicFramePr>
        <xdr:cNvPr id="9" name="Chart 8">
          <a:extLst>
            <a:ext uri="{FF2B5EF4-FFF2-40B4-BE49-F238E27FC236}">
              <a16:creationId xmlns:a16="http://schemas.microsoft.com/office/drawing/2014/main" id="{00000000-0008-0000-0D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28</xdr:col>
      <xdr:colOff>571500</xdr:colOff>
      <xdr:row>244</xdr:row>
      <xdr:rowOff>95250</xdr:rowOff>
    </xdr:from>
    <xdr:to>
      <xdr:col>28</xdr:col>
      <xdr:colOff>571500</xdr:colOff>
      <xdr:row>255</xdr:row>
      <xdr:rowOff>27214</xdr:rowOff>
    </xdr:to>
    <xdr:cxnSp macro="">
      <xdr:nvCxnSpPr>
        <xdr:cNvPr id="11" name="Straight Connector 10">
          <a:extLst>
            <a:ext uri="{FF2B5EF4-FFF2-40B4-BE49-F238E27FC236}">
              <a16:creationId xmlns:a16="http://schemas.microsoft.com/office/drawing/2014/main" id="{00000000-0008-0000-0D00-00000B000000}"/>
            </a:ext>
          </a:extLst>
        </xdr:cNvPr>
        <xdr:cNvCxnSpPr/>
      </xdr:nvCxnSpPr>
      <xdr:spPr bwMode="auto">
        <a:xfrm flipV="1">
          <a:off x="19553464" y="43379571"/>
          <a:ext cx="0" cy="2286000"/>
        </a:xfrm>
        <a:prstGeom prst="line">
          <a:avLst/>
        </a:prstGeom>
        <a:solidFill>
          <a:srgbClr xmlns:mc="http://schemas.openxmlformats.org/markup-compatibility/2006" xmlns:a14="http://schemas.microsoft.com/office/drawing/2010/main" val="FFFFFF" mc:Ignorable="a14" a14:legacySpreadsheetColorIndex="65"/>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19</xdr:col>
      <xdr:colOff>166687</xdr:colOff>
      <xdr:row>612</xdr:row>
      <xdr:rowOff>194071</xdr:rowOff>
    </xdr:from>
    <xdr:to>
      <xdr:col>26</xdr:col>
      <xdr:colOff>190500</xdr:colOff>
      <xdr:row>625</xdr:row>
      <xdr:rowOff>20240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c:userShapes xmlns:c="http://schemas.openxmlformats.org/drawingml/2006/chart">
  <cdr:relSizeAnchor xmlns:cdr="http://schemas.openxmlformats.org/drawingml/2006/chartDrawing">
    <cdr:from>
      <cdr:x>0.62351</cdr:x>
      <cdr:y>0.05853</cdr:y>
    </cdr:from>
    <cdr:to>
      <cdr:x>0.62351</cdr:x>
      <cdr:y>0.81746</cdr:y>
    </cdr:to>
    <cdr:cxnSp macro="">
      <cdr:nvCxnSpPr>
        <cdr:cNvPr id="3" name="Straight Connector 2">
          <a:extLst xmlns:a="http://schemas.openxmlformats.org/drawingml/2006/main">
            <a:ext uri="{FF2B5EF4-FFF2-40B4-BE49-F238E27FC236}">
              <a16:creationId xmlns:a16="http://schemas.microsoft.com/office/drawing/2014/main" id="{7F3A247D-9FF7-4A87-9B05-042B511BF062}"/>
            </a:ext>
          </a:extLst>
        </cdr:cNvPr>
        <cdr:cNvCxnSpPr/>
      </cdr:nvCxnSpPr>
      <cdr:spPr bwMode="auto">
        <a:xfrm xmlns:a="http://schemas.openxmlformats.org/drawingml/2006/main" flipV="1">
          <a:off x="2850697" y="160565"/>
          <a:ext cx="0" cy="2081893"/>
        </a:xfrm>
        <a:prstGeom xmlns:a="http://schemas.openxmlformats.org/drawingml/2006/main" prst="line">
          <a:avLst/>
        </a:prstGeom>
        <a:solidFill xmlns:a="http://schemas.openxmlformats.org/drawingml/2006/main">
          <a:srgbClr xmlns:mc="http://schemas.openxmlformats.org/markup-compatibility/2006" xmlns:a14="http://schemas.microsoft.com/office/drawing/2010/main" val="FFFFFF" mc:Ignorable="a14" a14:legacySpreadsheetColorIndex="65"/>
        </a:solidFill>
        <a:ln xmlns:a="http://schemas.openxmlformats.org/drawingml/2006/mai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mlns:a="http://schemas.openxmlformats.org/drawingml/2006/main"/>
        <a:extLst xmlns:a="http://schemas.openxmlformats.org/drawingml/2006/main">
          <a:ext uri="{AF507438-7753-43E0-B8FC-AC1667EBCBE1}">
            <a14:hiddenEffects xmlns:a14="http://schemas.microsoft.com/office/drawing/2010/main">
              <a:effectLst>
                <a:outerShdw dist="35921" dir="2700000" algn="ctr" rotWithShape="0">
                  <a:srgbClr val="808080"/>
                </a:outerShdw>
              </a:effectLst>
            </a14:hiddenEffects>
          </a:ext>
        </a:extLst>
      </cdr:spPr>
    </cdr:cxnSp>
  </cdr:relSizeAnchor>
</c:userShapes>
</file>

<file path=xl/drawings/drawing11.xml><?xml version="1.0" encoding="utf-8"?>
<xdr:wsDr xmlns:xdr="http://schemas.openxmlformats.org/drawingml/2006/spreadsheetDrawing" xmlns:a="http://schemas.openxmlformats.org/drawingml/2006/main">
  <xdr:twoCellAnchor>
    <xdr:from>
      <xdr:col>0</xdr:col>
      <xdr:colOff>0</xdr:colOff>
      <xdr:row>3</xdr:row>
      <xdr:rowOff>0</xdr:rowOff>
    </xdr:from>
    <xdr:to>
      <xdr:col>7</xdr:col>
      <xdr:colOff>0</xdr:colOff>
      <xdr:row>24</xdr:row>
      <xdr:rowOff>0</xdr:rowOff>
    </xdr:to>
    <xdr:graphicFrame macro="">
      <xdr:nvGraphicFramePr>
        <xdr:cNvPr id="3883456" name="Chart 1">
          <a:extLst>
            <a:ext uri="{FF2B5EF4-FFF2-40B4-BE49-F238E27FC236}">
              <a16:creationId xmlns:a16="http://schemas.microsoft.com/office/drawing/2014/main" id="{00000000-0008-0000-0F00-0000C0413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45</xdr:row>
      <xdr:rowOff>0</xdr:rowOff>
    </xdr:from>
    <xdr:to>
      <xdr:col>14</xdr:col>
      <xdr:colOff>0</xdr:colOff>
      <xdr:row>66</xdr:row>
      <xdr:rowOff>0</xdr:rowOff>
    </xdr:to>
    <xdr:graphicFrame macro="">
      <xdr:nvGraphicFramePr>
        <xdr:cNvPr id="3883457" name="Chart 2">
          <a:extLst>
            <a:ext uri="{FF2B5EF4-FFF2-40B4-BE49-F238E27FC236}">
              <a16:creationId xmlns:a16="http://schemas.microsoft.com/office/drawing/2014/main" id="{00000000-0008-0000-0F00-0000C1413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3</xdr:row>
      <xdr:rowOff>0</xdr:rowOff>
    </xdr:from>
    <xdr:to>
      <xdr:col>14</xdr:col>
      <xdr:colOff>0</xdr:colOff>
      <xdr:row>24</xdr:row>
      <xdr:rowOff>0</xdr:rowOff>
    </xdr:to>
    <xdr:graphicFrame macro="">
      <xdr:nvGraphicFramePr>
        <xdr:cNvPr id="3883458" name="Chart 3">
          <a:extLst>
            <a:ext uri="{FF2B5EF4-FFF2-40B4-BE49-F238E27FC236}">
              <a16:creationId xmlns:a16="http://schemas.microsoft.com/office/drawing/2014/main" id="{00000000-0008-0000-0F00-0000C2413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138</xdr:row>
      <xdr:rowOff>0</xdr:rowOff>
    </xdr:from>
    <xdr:to>
      <xdr:col>7</xdr:col>
      <xdr:colOff>0</xdr:colOff>
      <xdr:row>159</xdr:row>
      <xdr:rowOff>0</xdr:rowOff>
    </xdr:to>
    <xdr:graphicFrame macro="">
      <xdr:nvGraphicFramePr>
        <xdr:cNvPr id="3883459" name="Chart 5">
          <a:extLst>
            <a:ext uri="{FF2B5EF4-FFF2-40B4-BE49-F238E27FC236}">
              <a16:creationId xmlns:a16="http://schemas.microsoft.com/office/drawing/2014/main" id="{00000000-0008-0000-0F00-0000C3413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0</xdr:colOff>
      <xdr:row>159</xdr:row>
      <xdr:rowOff>0</xdr:rowOff>
    </xdr:from>
    <xdr:to>
      <xdr:col>14</xdr:col>
      <xdr:colOff>0</xdr:colOff>
      <xdr:row>180</xdr:row>
      <xdr:rowOff>0</xdr:rowOff>
    </xdr:to>
    <xdr:graphicFrame macro="">
      <xdr:nvGraphicFramePr>
        <xdr:cNvPr id="3883460" name="Chart 6">
          <a:extLst>
            <a:ext uri="{FF2B5EF4-FFF2-40B4-BE49-F238E27FC236}">
              <a16:creationId xmlns:a16="http://schemas.microsoft.com/office/drawing/2014/main" id="{00000000-0008-0000-0F00-0000C4413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0</xdr:colOff>
      <xdr:row>138</xdr:row>
      <xdr:rowOff>0</xdr:rowOff>
    </xdr:from>
    <xdr:to>
      <xdr:col>14</xdr:col>
      <xdr:colOff>0</xdr:colOff>
      <xdr:row>159</xdr:row>
      <xdr:rowOff>0</xdr:rowOff>
    </xdr:to>
    <xdr:graphicFrame macro="">
      <xdr:nvGraphicFramePr>
        <xdr:cNvPr id="3883461" name="Chart 7">
          <a:extLst>
            <a:ext uri="{FF2B5EF4-FFF2-40B4-BE49-F238E27FC236}">
              <a16:creationId xmlns:a16="http://schemas.microsoft.com/office/drawing/2014/main" id="{00000000-0008-0000-0F00-0000C5413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201</xdr:row>
      <xdr:rowOff>0</xdr:rowOff>
    </xdr:from>
    <xdr:to>
      <xdr:col>14</xdr:col>
      <xdr:colOff>0</xdr:colOff>
      <xdr:row>222</xdr:row>
      <xdr:rowOff>0</xdr:rowOff>
    </xdr:to>
    <xdr:graphicFrame macro="">
      <xdr:nvGraphicFramePr>
        <xdr:cNvPr id="3883462" name="Chart 11">
          <a:extLst>
            <a:ext uri="{FF2B5EF4-FFF2-40B4-BE49-F238E27FC236}">
              <a16:creationId xmlns:a16="http://schemas.microsoft.com/office/drawing/2014/main" id="{00000000-0008-0000-0F00-0000C6413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0</xdr:col>
      <xdr:colOff>0</xdr:colOff>
      <xdr:row>24</xdr:row>
      <xdr:rowOff>0</xdr:rowOff>
    </xdr:from>
    <xdr:to>
      <xdr:col>7</xdr:col>
      <xdr:colOff>0</xdr:colOff>
      <xdr:row>45</xdr:row>
      <xdr:rowOff>0</xdr:rowOff>
    </xdr:to>
    <xdr:graphicFrame macro="">
      <xdr:nvGraphicFramePr>
        <xdr:cNvPr id="3883463" name="Chart 12">
          <a:extLst>
            <a:ext uri="{FF2B5EF4-FFF2-40B4-BE49-F238E27FC236}">
              <a16:creationId xmlns:a16="http://schemas.microsoft.com/office/drawing/2014/main" id="{00000000-0008-0000-0F00-0000C7413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180</xdr:row>
      <xdr:rowOff>0</xdr:rowOff>
    </xdr:from>
    <xdr:to>
      <xdr:col>7</xdr:col>
      <xdr:colOff>0</xdr:colOff>
      <xdr:row>201</xdr:row>
      <xdr:rowOff>0</xdr:rowOff>
    </xdr:to>
    <xdr:graphicFrame macro="">
      <xdr:nvGraphicFramePr>
        <xdr:cNvPr id="3883464" name="Chart 13">
          <a:extLst>
            <a:ext uri="{FF2B5EF4-FFF2-40B4-BE49-F238E27FC236}">
              <a16:creationId xmlns:a16="http://schemas.microsoft.com/office/drawing/2014/main" id="{00000000-0008-0000-0F00-0000C8413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159</xdr:row>
      <xdr:rowOff>0</xdr:rowOff>
    </xdr:from>
    <xdr:to>
      <xdr:col>7</xdr:col>
      <xdr:colOff>0</xdr:colOff>
      <xdr:row>180</xdr:row>
      <xdr:rowOff>0</xdr:rowOff>
    </xdr:to>
    <xdr:graphicFrame macro="">
      <xdr:nvGraphicFramePr>
        <xdr:cNvPr id="3883465" name="Chart 14">
          <a:extLst>
            <a:ext uri="{FF2B5EF4-FFF2-40B4-BE49-F238E27FC236}">
              <a16:creationId xmlns:a16="http://schemas.microsoft.com/office/drawing/2014/main" id="{00000000-0008-0000-0F00-0000C9413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45</xdr:row>
      <xdr:rowOff>0</xdr:rowOff>
    </xdr:from>
    <xdr:to>
      <xdr:col>7</xdr:col>
      <xdr:colOff>0</xdr:colOff>
      <xdr:row>66</xdr:row>
      <xdr:rowOff>0</xdr:rowOff>
    </xdr:to>
    <xdr:graphicFrame macro="">
      <xdr:nvGraphicFramePr>
        <xdr:cNvPr id="3883466" name="Chart 15">
          <a:extLst>
            <a:ext uri="{FF2B5EF4-FFF2-40B4-BE49-F238E27FC236}">
              <a16:creationId xmlns:a16="http://schemas.microsoft.com/office/drawing/2014/main" id="{00000000-0008-0000-0F00-0000CA413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222</xdr:row>
      <xdr:rowOff>0</xdr:rowOff>
    </xdr:from>
    <xdr:to>
      <xdr:col>7</xdr:col>
      <xdr:colOff>0</xdr:colOff>
      <xdr:row>243</xdr:row>
      <xdr:rowOff>0</xdr:rowOff>
    </xdr:to>
    <xdr:graphicFrame macro="">
      <xdr:nvGraphicFramePr>
        <xdr:cNvPr id="3883467" name="Chart 16">
          <a:extLst>
            <a:ext uri="{FF2B5EF4-FFF2-40B4-BE49-F238E27FC236}">
              <a16:creationId xmlns:a16="http://schemas.microsoft.com/office/drawing/2014/main" id="{00000000-0008-0000-0F00-0000CB413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7</xdr:col>
      <xdr:colOff>0</xdr:colOff>
      <xdr:row>24</xdr:row>
      <xdr:rowOff>0</xdr:rowOff>
    </xdr:from>
    <xdr:to>
      <xdr:col>14</xdr:col>
      <xdr:colOff>0</xdr:colOff>
      <xdr:row>45</xdr:row>
      <xdr:rowOff>0</xdr:rowOff>
    </xdr:to>
    <xdr:graphicFrame macro="">
      <xdr:nvGraphicFramePr>
        <xdr:cNvPr id="3883468" name="Chart 17">
          <a:extLst>
            <a:ext uri="{FF2B5EF4-FFF2-40B4-BE49-F238E27FC236}">
              <a16:creationId xmlns:a16="http://schemas.microsoft.com/office/drawing/2014/main" id="{00000000-0008-0000-0F00-0000CC413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0</xdr:colOff>
      <xdr:row>267</xdr:row>
      <xdr:rowOff>0</xdr:rowOff>
    </xdr:from>
    <xdr:to>
      <xdr:col>7</xdr:col>
      <xdr:colOff>0</xdr:colOff>
      <xdr:row>288</xdr:row>
      <xdr:rowOff>0</xdr:rowOff>
    </xdr:to>
    <xdr:graphicFrame macro="">
      <xdr:nvGraphicFramePr>
        <xdr:cNvPr id="3883469" name="Chart 18">
          <a:extLst>
            <a:ext uri="{FF2B5EF4-FFF2-40B4-BE49-F238E27FC236}">
              <a16:creationId xmlns:a16="http://schemas.microsoft.com/office/drawing/2014/main" id="{00000000-0008-0000-0F00-0000CD413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7</xdr:col>
      <xdr:colOff>0</xdr:colOff>
      <xdr:row>288</xdr:row>
      <xdr:rowOff>0</xdr:rowOff>
    </xdr:from>
    <xdr:to>
      <xdr:col>14</xdr:col>
      <xdr:colOff>0</xdr:colOff>
      <xdr:row>309</xdr:row>
      <xdr:rowOff>0</xdr:rowOff>
    </xdr:to>
    <xdr:graphicFrame macro="">
      <xdr:nvGraphicFramePr>
        <xdr:cNvPr id="3883470" name="Chart 19">
          <a:extLst>
            <a:ext uri="{FF2B5EF4-FFF2-40B4-BE49-F238E27FC236}">
              <a16:creationId xmlns:a16="http://schemas.microsoft.com/office/drawing/2014/main" id="{00000000-0008-0000-0F00-0000CE413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7</xdr:col>
      <xdr:colOff>0</xdr:colOff>
      <xdr:row>267</xdr:row>
      <xdr:rowOff>0</xdr:rowOff>
    </xdr:from>
    <xdr:to>
      <xdr:col>14</xdr:col>
      <xdr:colOff>0</xdr:colOff>
      <xdr:row>288</xdr:row>
      <xdr:rowOff>0</xdr:rowOff>
    </xdr:to>
    <xdr:graphicFrame macro="">
      <xdr:nvGraphicFramePr>
        <xdr:cNvPr id="3883471" name="Chart 20">
          <a:extLst>
            <a:ext uri="{FF2B5EF4-FFF2-40B4-BE49-F238E27FC236}">
              <a16:creationId xmlns:a16="http://schemas.microsoft.com/office/drawing/2014/main" id="{00000000-0008-0000-0F00-0000CF413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7</xdr:col>
      <xdr:colOff>0</xdr:colOff>
      <xdr:row>309</xdr:row>
      <xdr:rowOff>0</xdr:rowOff>
    </xdr:from>
    <xdr:to>
      <xdr:col>14</xdr:col>
      <xdr:colOff>0</xdr:colOff>
      <xdr:row>330</xdr:row>
      <xdr:rowOff>0</xdr:rowOff>
    </xdr:to>
    <xdr:graphicFrame macro="">
      <xdr:nvGraphicFramePr>
        <xdr:cNvPr id="3883472" name="Chart 22">
          <a:extLst>
            <a:ext uri="{FF2B5EF4-FFF2-40B4-BE49-F238E27FC236}">
              <a16:creationId xmlns:a16="http://schemas.microsoft.com/office/drawing/2014/main" id="{00000000-0008-0000-0F00-0000D0413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0</xdr:col>
      <xdr:colOff>0</xdr:colOff>
      <xdr:row>309</xdr:row>
      <xdr:rowOff>0</xdr:rowOff>
    </xdr:from>
    <xdr:to>
      <xdr:col>7</xdr:col>
      <xdr:colOff>0</xdr:colOff>
      <xdr:row>330</xdr:row>
      <xdr:rowOff>0</xdr:rowOff>
    </xdr:to>
    <xdr:graphicFrame macro="">
      <xdr:nvGraphicFramePr>
        <xdr:cNvPr id="3883473" name="Chart 23">
          <a:extLst>
            <a:ext uri="{FF2B5EF4-FFF2-40B4-BE49-F238E27FC236}">
              <a16:creationId xmlns:a16="http://schemas.microsoft.com/office/drawing/2014/main" id="{00000000-0008-0000-0F00-0000D1413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0</xdr:col>
      <xdr:colOff>0</xdr:colOff>
      <xdr:row>288</xdr:row>
      <xdr:rowOff>0</xdr:rowOff>
    </xdr:from>
    <xdr:to>
      <xdr:col>7</xdr:col>
      <xdr:colOff>0</xdr:colOff>
      <xdr:row>309</xdr:row>
      <xdr:rowOff>0</xdr:rowOff>
    </xdr:to>
    <xdr:graphicFrame macro="">
      <xdr:nvGraphicFramePr>
        <xdr:cNvPr id="3883474" name="Chart 24">
          <a:extLst>
            <a:ext uri="{FF2B5EF4-FFF2-40B4-BE49-F238E27FC236}">
              <a16:creationId xmlns:a16="http://schemas.microsoft.com/office/drawing/2014/main" id="{00000000-0008-0000-0F00-0000D2413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7</xdr:col>
      <xdr:colOff>0</xdr:colOff>
      <xdr:row>243</xdr:row>
      <xdr:rowOff>0</xdr:rowOff>
    </xdr:from>
    <xdr:to>
      <xdr:col>14</xdr:col>
      <xdr:colOff>0</xdr:colOff>
      <xdr:row>264</xdr:row>
      <xdr:rowOff>0</xdr:rowOff>
    </xdr:to>
    <xdr:graphicFrame macro="">
      <xdr:nvGraphicFramePr>
        <xdr:cNvPr id="3883475" name="Chart 26">
          <a:extLst>
            <a:ext uri="{FF2B5EF4-FFF2-40B4-BE49-F238E27FC236}">
              <a16:creationId xmlns:a16="http://schemas.microsoft.com/office/drawing/2014/main" id="{00000000-0008-0000-0F00-0000D3413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7</xdr:col>
      <xdr:colOff>0</xdr:colOff>
      <xdr:row>180</xdr:row>
      <xdr:rowOff>0</xdr:rowOff>
    </xdr:from>
    <xdr:to>
      <xdr:col>14</xdr:col>
      <xdr:colOff>0</xdr:colOff>
      <xdr:row>201</xdr:row>
      <xdr:rowOff>0</xdr:rowOff>
    </xdr:to>
    <xdr:graphicFrame macro="">
      <xdr:nvGraphicFramePr>
        <xdr:cNvPr id="3883476" name="Chart 28">
          <a:extLst>
            <a:ext uri="{FF2B5EF4-FFF2-40B4-BE49-F238E27FC236}">
              <a16:creationId xmlns:a16="http://schemas.microsoft.com/office/drawing/2014/main" id="{00000000-0008-0000-0F00-0000D4413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xdr:col>
      <xdr:colOff>0</xdr:colOff>
      <xdr:row>222</xdr:row>
      <xdr:rowOff>0</xdr:rowOff>
    </xdr:from>
    <xdr:to>
      <xdr:col>14</xdr:col>
      <xdr:colOff>0</xdr:colOff>
      <xdr:row>243</xdr:row>
      <xdr:rowOff>0</xdr:rowOff>
    </xdr:to>
    <xdr:graphicFrame macro="">
      <xdr:nvGraphicFramePr>
        <xdr:cNvPr id="3883477" name="Chart 29">
          <a:extLst>
            <a:ext uri="{FF2B5EF4-FFF2-40B4-BE49-F238E27FC236}">
              <a16:creationId xmlns:a16="http://schemas.microsoft.com/office/drawing/2014/main" id="{00000000-0008-0000-0F00-0000D5413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0</xdr:col>
      <xdr:colOff>0</xdr:colOff>
      <xdr:row>423</xdr:row>
      <xdr:rowOff>0</xdr:rowOff>
    </xdr:from>
    <xdr:to>
      <xdr:col>7</xdr:col>
      <xdr:colOff>0</xdr:colOff>
      <xdr:row>444</xdr:row>
      <xdr:rowOff>0</xdr:rowOff>
    </xdr:to>
    <xdr:graphicFrame macro="">
      <xdr:nvGraphicFramePr>
        <xdr:cNvPr id="3883478" name="Chart 30">
          <a:extLst>
            <a:ext uri="{FF2B5EF4-FFF2-40B4-BE49-F238E27FC236}">
              <a16:creationId xmlns:a16="http://schemas.microsoft.com/office/drawing/2014/main" id="{00000000-0008-0000-0F00-0000D6413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xdr:col>
      <xdr:colOff>0</xdr:colOff>
      <xdr:row>423</xdr:row>
      <xdr:rowOff>0</xdr:rowOff>
    </xdr:from>
    <xdr:to>
      <xdr:col>14</xdr:col>
      <xdr:colOff>0</xdr:colOff>
      <xdr:row>444</xdr:row>
      <xdr:rowOff>0</xdr:rowOff>
    </xdr:to>
    <xdr:graphicFrame macro="">
      <xdr:nvGraphicFramePr>
        <xdr:cNvPr id="3883479" name="Chart 32">
          <a:extLst>
            <a:ext uri="{FF2B5EF4-FFF2-40B4-BE49-F238E27FC236}">
              <a16:creationId xmlns:a16="http://schemas.microsoft.com/office/drawing/2014/main" id="{00000000-0008-0000-0F00-0000D7413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7</xdr:col>
      <xdr:colOff>0</xdr:colOff>
      <xdr:row>444</xdr:row>
      <xdr:rowOff>0</xdr:rowOff>
    </xdr:from>
    <xdr:to>
      <xdr:col>14</xdr:col>
      <xdr:colOff>0</xdr:colOff>
      <xdr:row>465</xdr:row>
      <xdr:rowOff>0</xdr:rowOff>
    </xdr:to>
    <xdr:graphicFrame macro="">
      <xdr:nvGraphicFramePr>
        <xdr:cNvPr id="3883480" name="Chart 33">
          <a:extLst>
            <a:ext uri="{FF2B5EF4-FFF2-40B4-BE49-F238E27FC236}">
              <a16:creationId xmlns:a16="http://schemas.microsoft.com/office/drawing/2014/main" id="{00000000-0008-0000-0F00-0000D8413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0</xdr:col>
      <xdr:colOff>0</xdr:colOff>
      <xdr:row>465</xdr:row>
      <xdr:rowOff>0</xdr:rowOff>
    </xdr:from>
    <xdr:to>
      <xdr:col>14</xdr:col>
      <xdr:colOff>0</xdr:colOff>
      <xdr:row>489</xdr:row>
      <xdr:rowOff>0</xdr:rowOff>
    </xdr:to>
    <xdr:graphicFrame macro="">
      <xdr:nvGraphicFramePr>
        <xdr:cNvPr id="3883481" name="Chart 34">
          <a:extLst>
            <a:ext uri="{FF2B5EF4-FFF2-40B4-BE49-F238E27FC236}">
              <a16:creationId xmlns:a16="http://schemas.microsoft.com/office/drawing/2014/main" id="{00000000-0008-0000-0F00-0000D9413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0</xdr:col>
      <xdr:colOff>0</xdr:colOff>
      <xdr:row>69</xdr:row>
      <xdr:rowOff>0</xdr:rowOff>
    </xdr:from>
    <xdr:to>
      <xdr:col>7</xdr:col>
      <xdr:colOff>0</xdr:colOff>
      <xdr:row>90</xdr:row>
      <xdr:rowOff>0</xdr:rowOff>
    </xdr:to>
    <xdr:graphicFrame macro="">
      <xdr:nvGraphicFramePr>
        <xdr:cNvPr id="3883482" name="Chart 35">
          <a:extLst>
            <a:ext uri="{FF2B5EF4-FFF2-40B4-BE49-F238E27FC236}">
              <a16:creationId xmlns:a16="http://schemas.microsoft.com/office/drawing/2014/main" id="{00000000-0008-0000-0F00-0000DA413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7</xdr:col>
      <xdr:colOff>0</xdr:colOff>
      <xdr:row>69</xdr:row>
      <xdr:rowOff>0</xdr:rowOff>
    </xdr:from>
    <xdr:to>
      <xdr:col>14</xdr:col>
      <xdr:colOff>0</xdr:colOff>
      <xdr:row>90</xdr:row>
      <xdr:rowOff>0</xdr:rowOff>
    </xdr:to>
    <xdr:graphicFrame macro="">
      <xdr:nvGraphicFramePr>
        <xdr:cNvPr id="3883483" name="Chart 36">
          <a:extLst>
            <a:ext uri="{FF2B5EF4-FFF2-40B4-BE49-F238E27FC236}">
              <a16:creationId xmlns:a16="http://schemas.microsoft.com/office/drawing/2014/main" id="{00000000-0008-0000-0F00-0000DB413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0</xdr:col>
      <xdr:colOff>0</xdr:colOff>
      <xdr:row>93</xdr:row>
      <xdr:rowOff>0</xdr:rowOff>
    </xdr:from>
    <xdr:to>
      <xdr:col>7</xdr:col>
      <xdr:colOff>0</xdr:colOff>
      <xdr:row>114</xdr:row>
      <xdr:rowOff>0</xdr:rowOff>
    </xdr:to>
    <xdr:graphicFrame macro="">
      <xdr:nvGraphicFramePr>
        <xdr:cNvPr id="3883484" name="Chart 37">
          <a:extLst>
            <a:ext uri="{FF2B5EF4-FFF2-40B4-BE49-F238E27FC236}">
              <a16:creationId xmlns:a16="http://schemas.microsoft.com/office/drawing/2014/main" id="{00000000-0008-0000-0F00-0000DC413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0</xdr:col>
      <xdr:colOff>0</xdr:colOff>
      <xdr:row>114</xdr:row>
      <xdr:rowOff>0</xdr:rowOff>
    </xdr:from>
    <xdr:to>
      <xdr:col>7</xdr:col>
      <xdr:colOff>0</xdr:colOff>
      <xdr:row>135</xdr:row>
      <xdr:rowOff>0</xdr:rowOff>
    </xdr:to>
    <xdr:graphicFrame macro="">
      <xdr:nvGraphicFramePr>
        <xdr:cNvPr id="3883485" name="Chart 38">
          <a:extLst>
            <a:ext uri="{FF2B5EF4-FFF2-40B4-BE49-F238E27FC236}">
              <a16:creationId xmlns:a16="http://schemas.microsoft.com/office/drawing/2014/main" id="{00000000-0008-0000-0F00-0000DD413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xdr:col>
      <xdr:colOff>0</xdr:colOff>
      <xdr:row>114</xdr:row>
      <xdr:rowOff>0</xdr:rowOff>
    </xdr:from>
    <xdr:to>
      <xdr:col>14</xdr:col>
      <xdr:colOff>0</xdr:colOff>
      <xdr:row>135</xdr:row>
      <xdr:rowOff>0</xdr:rowOff>
    </xdr:to>
    <xdr:graphicFrame macro="">
      <xdr:nvGraphicFramePr>
        <xdr:cNvPr id="3883486" name="Chart 41">
          <a:extLst>
            <a:ext uri="{FF2B5EF4-FFF2-40B4-BE49-F238E27FC236}">
              <a16:creationId xmlns:a16="http://schemas.microsoft.com/office/drawing/2014/main" id="{00000000-0008-0000-0F00-0000DE413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xdr:col>
      <xdr:colOff>0</xdr:colOff>
      <xdr:row>93</xdr:row>
      <xdr:rowOff>0</xdr:rowOff>
    </xdr:from>
    <xdr:to>
      <xdr:col>14</xdr:col>
      <xdr:colOff>0</xdr:colOff>
      <xdr:row>114</xdr:row>
      <xdr:rowOff>0</xdr:rowOff>
    </xdr:to>
    <xdr:graphicFrame macro="">
      <xdr:nvGraphicFramePr>
        <xdr:cNvPr id="3883487" name="Chart 42">
          <a:extLst>
            <a:ext uri="{FF2B5EF4-FFF2-40B4-BE49-F238E27FC236}">
              <a16:creationId xmlns:a16="http://schemas.microsoft.com/office/drawing/2014/main" id="{00000000-0008-0000-0F00-0000DF413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0</xdr:col>
      <xdr:colOff>0</xdr:colOff>
      <xdr:row>333</xdr:row>
      <xdr:rowOff>0</xdr:rowOff>
    </xdr:from>
    <xdr:to>
      <xdr:col>7</xdr:col>
      <xdr:colOff>0</xdr:colOff>
      <xdr:row>354</xdr:row>
      <xdr:rowOff>0</xdr:rowOff>
    </xdr:to>
    <xdr:graphicFrame macro="">
      <xdr:nvGraphicFramePr>
        <xdr:cNvPr id="3883488" name="Chart 43">
          <a:extLst>
            <a:ext uri="{FF2B5EF4-FFF2-40B4-BE49-F238E27FC236}">
              <a16:creationId xmlns:a16="http://schemas.microsoft.com/office/drawing/2014/main" id="{00000000-0008-0000-0F00-0000E0413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0</xdr:col>
      <xdr:colOff>0</xdr:colOff>
      <xdr:row>354</xdr:row>
      <xdr:rowOff>0</xdr:rowOff>
    </xdr:from>
    <xdr:to>
      <xdr:col>7</xdr:col>
      <xdr:colOff>0</xdr:colOff>
      <xdr:row>375</xdr:row>
      <xdr:rowOff>0</xdr:rowOff>
    </xdr:to>
    <xdr:graphicFrame macro="">
      <xdr:nvGraphicFramePr>
        <xdr:cNvPr id="3883489" name="Chart 46">
          <a:extLst>
            <a:ext uri="{FF2B5EF4-FFF2-40B4-BE49-F238E27FC236}">
              <a16:creationId xmlns:a16="http://schemas.microsoft.com/office/drawing/2014/main" id="{00000000-0008-0000-0F00-0000E1413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xdr:col>
      <xdr:colOff>0</xdr:colOff>
      <xdr:row>354</xdr:row>
      <xdr:rowOff>0</xdr:rowOff>
    </xdr:from>
    <xdr:to>
      <xdr:col>14</xdr:col>
      <xdr:colOff>0</xdr:colOff>
      <xdr:row>375</xdr:row>
      <xdr:rowOff>0</xdr:rowOff>
    </xdr:to>
    <xdr:graphicFrame macro="">
      <xdr:nvGraphicFramePr>
        <xdr:cNvPr id="3883490" name="Chart 47">
          <a:extLst>
            <a:ext uri="{FF2B5EF4-FFF2-40B4-BE49-F238E27FC236}">
              <a16:creationId xmlns:a16="http://schemas.microsoft.com/office/drawing/2014/main" id="{00000000-0008-0000-0F00-0000E2413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0</xdr:col>
      <xdr:colOff>0</xdr:colOff>
      <xdr:row>375</xdr:row>
      <xdr:rowOff>0</xdr:rowOff>
    </xdr:from>
    <xdr:to>
      <xdr:col>7</xdr:col>
      <xdr:colOff>0</xdr:colOff>
      <xdr:row>396</xdr:row>
      <xdr:rowOff>0</xdr:rowOff>
    </xdr:to>
    <xdr:graphicFrame macro="">
      <xdr:nvGraphicFramePr>
        <xdr:cNvPr id="3883491" name="Chart 48">
          <a:extLst>
            <a:ext uri="{FF2B5EF4-FFF2-40B4-BE49-F238E27FC236}">
              <a16:creationId xmlns:a16="http://schemas.microsoft.com/office/drawing/2014/main" id="{00000000-0008-0000-0F00-0000E3413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7</xdr:col>
      <xdr:colOff>0</xdr:colOff>
      <xdr:row>375</xdr:row>
      <xdr:rowOff>0</xdr:rowOff>
    </xdr:from>
    <xdr:to>
      <xdr:col>14</xdr:col>
      <xdr:colOff>0</xdr:colOff>
      <xdr:row>396</xdr:row>
      <xdr:rowOff>0</xdr:rowOff>
    </xdr:to>
    <xdr:graphicFrame macro="">
      <xdr:nvGraphicFramePr>
        <xdr:cNvPr id="3883492" name="Chart 51">
          <a:extLst>
            <a:ext uri="{FF2B5EF4-FFF2-40B4-BE49-F238E27FC236}">
              <a16:creationId xmlns:a16="http://schemas.microsoft.com/office/drawing/2014/main" id="{00000000-0008-0000-0F00-0000E4413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7</xdr:col>
      <xdr:colOff>0</xdr:colOff>
      <xdr:row>333</xdr:row>
      <xdr:rowOff>0</xdr:rowOff>
    </xdr:from>
    <xdr:to>
      <xdr:col>14</xdr:col>
      <xdr:colOff>0</xdr:colOff>
      <xdr:row>354</xdr:row>
      <xdr:rowOff>0</xdr:rowOff>
    </xdr:to>
    <xdr:graphicFrame macro="">
      <xdr:nvGraphicFramePr>
        <xdr:cNvPr id="3883493" name="Chart 52">
          <a:extLst>
            <a:ext uri="{FF2B5EF4-FFF2-40B4-BE49-F238E27FC236}">
              <a16:creationId xmlns:a16="http://schemas.microsoft.com/office/drawing/2014/main" id="{00000000-0008-0000-0F00-0000E5413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0</xdr:col>
      <xdr:colOff>0</xdr:colOff>
      <xdr:row>399</xdr:row>
      <xdr:rowOff>0</xdr:rowOff>
    </xdr:from>
    <xdr:to>
      <xdr:col>7</xdr:col>
      <xdr:colOff>0</xdr:colOff>
      <xdr:row>420</xdr:row>
      <xdr:rowOff>0</xdr:rowOff>
    </xdr:to>
    <xdr:graphicFrame macro="">
      <xdr:nvGraphicFramePr>
        <xdr:cNvPr id="3883494" name="Chart 53">
          <a:extLst>
            <a:ext uri="{FF2B5EF4-FFF2-40B4-BE49-F238E27FC236}">
              <a16:creationId xmlns:a16="http://schemas.microsoft.com/office/drawing/2014/main" id="{00000000-0008-0000-0F00-0000E6413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7</xdr:col>
      <xdr:colOff>0</xdr:colOff>
      <xdr:row>399</xdr:row>
      <xdr:rowOff>0</xdr:rowOff>
    </xdr:from>
    <xdr:to>
      <xdr:col>14</xdr:col>
      <xdr:colOff>0</xdr:colOff>
      <xdr:row>420</xdr:row>
      <xdr:rowOff>0</xdr:rowOff>
    </xdr:to>
    <xdr:graphicFrame macro="">
      <xdr:nvGraphicFramePr>
        <xdr:cNvPr id="3883495" name="Chart 54">
          <a:extLst>
            <a:ext uri="{FF2B5EF4-FFF2-40B4-BE49-F238E27FC236}">
              <a16:creationId xmlns:a16="http://schemas.microsoft.com/office/drawing/2014/main" id="{00000000-0008-0000-0F00-0000E7413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0</xdr:col>
      <xdr:colOff>0</xdr:colOff>
      <xdr:row>243</xdr:row>
      <xdr:rowOff>0</xdr:rowOff>
    </xdr:from>
    <xdr:to>
      <xdr:col>7</xdr:col>
      <xdr:colOff>0</xdr:colOff>
      <xdr:row>264</xdr:row>
      <xdr:rowOff>0</xdr:rowOff>
    </xdr:to>
    <xdr:graphicFrame macro="">
      <xdr:nvGraphicFramePr>
        <xdr:cNvPr id="3883496" name="Chart 56">
          <a:extLst>
            <a:ext uri="{FF2B5EF4-FFF2-40B4-BE49-F238E27FC236}">
              <a16:creationId xmlns:a16="http://schemas.microsoft.com/office/drawing/2014/main" id="{00000000-0008-0000-0F00-0000E8413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0</xdr:col>
      <xdr:colOff>0</xdr:colOff>
      <xdr:row>201</xdr:row>
      <xdr:rowOff>0</xdr:rowOff>
    </xdr:from>
    <xdr:to>
      <xdr:col>7</xdr:col>
      <xdr:colOff>0</xdr:colOff>
      <xdr:row>222</xdr:row>
      <xdr:rowOff>0</xdr:rowOff>
    </xdr:to>
    <xdr:graphicFrame macro="">
      <xdr:nvGraphicFramePr>
        <xdr:cNvPr id="3883497" name="Chart 57">
          <a:extLst>
            <a:ext uri="{FF2B5EF4-FFF2-40B4-BE49-F238E27FC236}">
              <a16:creationId xmlns:a16="http://schemas.microsoft.com/office/drawing/2014/main" id="{00000000-0008-0000-0F00-0000E9413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twoCellAnchor>
    <xdr:from>
      <xdr:col>0</xdr:col>
      <xdr:colOff>0</xdr:colOff>
      <xdr:row>444</xdr:row>
      <xdr:rowOff>0</xdr:rowOff>
    </xdr:from>
    <xdr:to>
      <xdr:col>7</xdr:col>
      <xdr:colOff>0</xdr:colOff>
      <xdr:row>465</xdr:row>
      <xdr:rowOff>0</xdr:rowOff>
    </xdr:to>
    <xdr:graphicFrame macro="">
      <xdr:nvGraphicFramePr>
        <xdr:cNvPr id="3883498" name="Chart 58">
          <a:extLst>
            <a:ext uri="{FF2B5EF4-FFF2-40B4-BE49-F238E27FC236}">
              <a16:creationId xmlns:a16="http://schemas.microsoft.com/office/drawing/2014/main" id="{00000000-0008-0000-0F00-0000EA413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
        </a:graphicData>
      </a:graphic>
    </xdr:graphicFrame>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95250</xdr:colOff>
          <xdr:row>92</xdr:row>
          <xdr:rowOff>0</xdr:rowOff>
        </xdr:from>
        <xdr:to>
          <xdr:col>9</xdr:col>
          <xdr:colOff>285750</xdr:colOff>
          <xdr:row>95</xdr:row>
          <xdr:rowOff>9525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1000-00000144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fr-BE" sz="1200" b="1" i="0" u="none" strike="noStrike" baseline="0">
                  <a:solidFill>
                    <a:srgbClr val="000000"/>
                  </a:solidFill>
                  <a:latin typeface="Arial"/>
                  <a:cs typeface="Arial"/>
                </a:rPr>
                <a:t>Transfer forecast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361950</xdr:colOff>
          <xdr:row>92</xdr:row>
          <xdr:rowOff>0</xdr:rowOff>
        </xdr:from>
        <xdr:to>
          <xdr:col>10</xdr:col>
          <xdr:colOff>552450</xdr:colOff>
          <xdr:row>95</xdr:row>
          <xdr:rowOff>9525</xdr:rowOff>
        </xdr:to>
        <xdr:sp macro="" textlink="">
          <xdr:nvSpPr>
            <xdr:cNvPr id="17416" name="Button 8" hidden="1">
              <a:extLst>
                <a:ext uri="{63B3BB69-23CF-44E3-9099-C40C66FF867C}">
                  <a14:compatExt spid="_x0000_s17416"/>
                </a:ext>
                <a:ext uri="{FF2B5EF4-FFF2-40B4-BE49-F238E27FC236}">
                  <a16:creationId xmlns:a16="http://schemas.microsoft.com/office/drawing/2014/main" id="{00000000-0008-0000-1000-00000844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fr-BE" sz="1200" b="1" i="0" u="none" strike="noStrike" baseline="0">
                  <a:solidFill>
                    <a:srgbClr val="000000"/>
                  </a:solidFill>
                  <a:latin typeface="Arial"/>
                  <a:cs typeface="Arial"/>
                </a:rPr>
                <a:t>Save </a:t>
              </a:r>
            </a:p>
            <a:p>
              <a:pPr algn="ctr" rtl="0">
                <a:defRPr sz="1000"/>
              </a:pPr>
              <a:r>
                <a:rPr lang="fr-BE" sz="1200" b="1" i="0" u="none" strike="noStrike" baseline="0">
                  <a:solidFill>
                    <a:srgbClr val="000000"/>
                  </a:solidFill>
                  <a:latin typeface="Arial"/>
                  <a:cs typeface="Arial"/>
                </a:rPr>
                <a:t>values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390525</xdr:colOff>
          <xdr:row>8</xdr:row>
          <xdr:rowOff>66675</xdr:rowOff>
        </xdr:from>
        <xdr:to>
          <xdr:col>8</xdr:col>
          <xdr:colOff>533400</xdr:colOff>
          <xdr:row>10</xdr:row>
          <xdr:rowOff>66675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1100-0000015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fr-BE" sz="1000" b="0" i="0" u="none" strike="noStrike" baseline="0">
                  <a:solidFill>
                    <a:srgbClr val="000000"/>
                  </a:solidFill>
                  <a:latin typeface="Arial"/>
                  <a:cs typeface="Arial"/>
                </a:rPr>
                <a:t>Print this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390525</xdr:colOff>
          <xdr:row>50</xdr:row>
          <xdr:rowOff>66675</xdr:rowOff>
        </xdr:from>
        <xdr:to>
          <xdr:col>10</xdr:col>
          <xdr:colOff>533400</xdr:colOff>
          <xdr:row>52</xdr:row>
          <xdr:rowOff>104775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1100-0000025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fr-BE" sz="1000" b="0" i="0" u="none" strike="noStrike" baseline="0">
                  <a:solidFill>
                    <a:srgbClr val="000000"/>
                  </a:solidFill>
                  <a:latin typeface="Arial"/>
                  <a:cs typeface="Arial"/>
                </a:rPr>
                <a:t>Print this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390525</xdr:colOff>
          <xdr:row>91</xdr:row>
          <xdr:rowOff>57150</xdr:rowOff>
        </xdr:from>
        <xdr:to>
          <xdr:col>16</xdr:col>
          <xdr:colOff>533400</xdr:colOff>
          <xdr:row>93</xdr:row>
          <xdr:rowOff>95250</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1100-0000035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fr-BE" sz="1000" b="0" i="0" u="none" strike="noStrike" baseline="0">
                  <a:solidFill>
                    <a:srgbClr val="000000"/>
                  </a:solidFill>
                  <a:latin typeface="Arial"/>
                  <a:cs typeface="Arial"/>
                </a:rPr>
                <a:t>Print this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400050</xdr:colOff>
          <xdr:row>135</xdr:row>
          <xdr:rowOff>57150</xdr:rowOff>
        </xdr:from>
        <xdr:to>
          <xdr:col>10</xdr:col>
          <xdr:colOff>552450</xdr:colOff>
          <xdr:row>137</xdr:row>
          <xdr:rowOff>95250</xdr:rowOff>
        </xdr:to>
        <xdr:sp macro="" textlink="">
          <xdr:nvSpPr>
            <xdr:cNvPr id="23556" name="Button 4" hidden="1">
              <a:extLst>
                <a:ext uri="{63B3BB69-23CF-44E3-9099-C40C66FF867C}">
                  <a14:compatExt spid="_x0000_s23556"/>
                </a:ext>
                <a:ext uri="{FF2B5EF4-FFF2-40B4-BE49-F238E27FC236}">
                  <a16:creationId xmlns:a16="http://schemas.microsoft.com/office/drawing/2014/main" id="{00000000-0008-0000-1100-0000045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fr-BE" sz="1000" b="0" i="0" u="none" strike="noStrike" baseline="0">
                  <a:solidFill>
                    <a:srgbClr val="000000"/>
                  </a:solidFill>
                  <a:latin typeface="Arial"/>
                  <a:cs typeface="Arial"/>
                </a:rPr>
                <a:t>Print this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165</xdr:row>
          <xdr:rowOff>57150</xdr:rowOff>
        </xdr:from>
        <xdr:to>
          <xdr:col>13</xdr:col>
          <xdr:colOff>552450</xdr:colOff>
          <xdr:row>167</xdr:row>
          <xdr:rowOff>95250</xdr:rowOff>
        </xdr:to>
        <xdr:sp macro="" textlink="">
          <xdr:nvSpPr>
            <xdr:cNvPr id="23557" name="Button 5" hidden="1">
              <a:extLst>
                <a:ext uri="{63B3BB69-23CF-44E3-9099-C40C66FF867C}">
                  <a14:compatExt spid="_x0000_s23557"/>
                </a:ext>
                <a:ext uri="{FF2B5EF4-FFF2-40B4-BE49-F238E27FC236}">
                  <a16:creationId xmlns:a16="http://schemas.microsoft.com/office/drawing/2014/main" id="{00000000-0008-0000-1100-0000055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fr-BE" sz="1000" b="0" i="0" u="none" strike="noStrike" baseline="0">
                  <a:solidFill>
                    <a:srgbClr val="000000"/>
                  </a:solidFill>
                  <a:latin typeface="Arial"/>
                  <a:cs typeface="Arial"/>
                </a:rPr>
                <a:t>Print this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400050</xdr:colOff>
          <xdr:row>213</xdr:row>
          <xdr:rowOff>47625</xdr:rowOff>
        </xdr:from>
        <xdr:to>
          <xdr:col>8</xdr:col>
          <xdr:colOff>552450</xdr:colOff>
          <xdr:row>215</xdr:row>
          <xdr:rowOff>85725</xdr:rowOff>
        </xdr:to>
        <xdr:sp macro="" textlink="">
          <xdr:nvSpPr>
            <xdr:cNvPr id="23558" name="Button 6" hidden="1">
              <a:extLst>
                <a:ext uri="{63B3BB69-23CF-44E3-9099-C40C66FF867C}">
                  <a14:compatExt spid="_x0000_s23558"/>
                </a:ext>
                <a:ext uri="{FF2B5EF4-FFF2-40B4-BE49-F238E27FC236}">
                  <a16:creationId xmlns:a16="http://schemas.microsoft.com/office/drawing/2014/main" id="{00000000-0008-0000-1100-0000065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fr-BE" sz="1000" b="0" i="0" u="none" strike="noStrike" baseline="0">
                  <a:solidFill>
                    <a:srgbClr val="000000"/>
                  </a:solidFill>
                  <a:latin typeface="Arial"/>
                  <a:cs typeface="Arial"/>
                </a:rPr>
                <a:t>Print this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390525</xdr:colOff>
          <xdr:row>268</xdr:row>
          <xdr:rowOff>76200</xdr:rowOff>
        </xdr:from>
        <xdr:to>
          <xdr:col>13</xdr:col>
          <xdr:colOff>533400</xdr:colOff>
          <xdr:row>270</xdr:row>
          <xdr:rowOff>123825</xdr:rowOff>
        </xdr:to>
        <xdr:sp macro="" textlink="">
          <xdr:nvSpPr>
            <xdr:cNvPr id="23559" name="Button 7" hidden="1">
              <a:extLst>
                <a:ext uri="{63B3BB69-23CF-44E3-9099-C40C66FF867C}">
                  <a14:compatExt spid="_x0000_s23559"/>
                </a:ext>
                <a:ext uri="{FF2B5EF4-FFF2-40B4-BE49-F238E27FC236}">
                  <a16:creationId xmlns:a16="http://schemas.microsoft.com/office/drawing/2014/main" id="{00000000-0008-0000-1100-0000075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fr-BE" sz="1000" b="0" i="0" u="none" strike="noStrike" baseline="0">
                  <a:solidFill>
                    <a:srgbClr val="000000"/>
                  </a:solidFill>
                  <a:latin typeface="Arial"/>
                  <a:cs typeface="Arial"/>
                </a:rPr>
                <a:t>Print this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381000</xdr:colOff>
          <xdr:row>295</xdr:row>
          <xdr:rowOff>57150</xdr:rowOff>
        </xdr:from>
        <xdr:to>
          <xdr:col>12</xdr:col>
          <xdr:colOff>523875</xdr:colOff>
          <xdr:row>297</xdr:row>
          <xdr:rowOff>95250</xdr:rowOff>
        </xdr:to>
        <xdr:sp macro="" textlink="">
          <xdr:nvSpPr>
            <xdr:cNvPr id="23560" name="Button 8" hidden="1">
              <a:extLst>
                <a:ext uri="{63B3BB69-23CF-44E3-9099-C40C66FF867C}">
                  <a14:compatExt spid="_x0000_s23560"/>
                </a:ext>
                <a:ext uri="{FF2B5EF4-FFF2-40B4-BE49-F238E27FC236}">
                  <a16:creationId xmlns:a16="http://schemas.microsoft.com/office/drawing/2014/main" id="{00000000-0008-0000-1100-0000085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fr-BE" sz="1000" b="0" i="0" u="none" strike="noStrike" baseline="0">
                  <a:solidFill>
                    <a:srgbClr val="000000"/>
                  </a:solidFill>
                  <a:latin typeface="Arial"/>
                  <a:cs typeface="Arial"/>
                </a:rPr>
                <a:t>Print this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390525</xdr:colOff>
          <xdr:row>328</xdr:row>
          <xdr:rowOff>57150</xdr:rowOff>
        </xdr:from>
        <xdr:to>
          <xdr:col>13</xdr:col>
          <xdr:colOff>533400</xdr:colOff>
          <xdr:row>330</xdr:row>
          <xdr:rowOff>95250</xdr:rowOff>
        </xdr:to>
        <xdr:sp macro="" textlink="">
          <xdr:nvSpPr>
            <xdr:cNvPr id="23561" name="Button 9" hidden="1">
              <a:extLst>
                <a:ext uri="{63B3BB69-23CF-44E3-9099-C40C66FF867C}">
                  <a14:compatExt spid="_x0000_s23561"/>
                </a:ext>
                <a:ext uri="{FF2B5EF4-FFF2-40B4-BE49-F238E27FC236}">
                  <a16:creationId xmlns:a16="http://schemas.microsoft.com/office/drawing/2014/main" id="{00000000-0008-0000-1100-0000095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fr-BE" sz="1000" b="0" i="0" u="none" strike="noStrike" baseline="0">
                  <a:solidFill>
                    <a:srgbClr val="000000"/>
                  </a:solidFill>
                  <a:latin typeface="Arial"/>
                  <a:cs typeface="Arial"/>
                </a:rPr>
                <a:t>Print this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381000</xdr:colOff>
          <xdr:row>365</xdr:row>
          <xdr:rowOff>57150</xdr:rowOff>
        </xdr:from>
        <xdr:to>
          <xdr:col>13</xdr:col>
          <xdr:colOff>523875</xdr:colOff>
          <xdr:row>367</xdr:row>
          <xdr:rowOff>95250</xdr:rowOff>
        </xdr:to>
        <xdr:sp macro="" textlink="">
          <xdr:nvSpPr>
            <xdr:cNvPr id="23562" name="Button 10" hidden="1">
              <a:extLst>
                <a:ext uri="{63B3BB69-23CF-44E3-9099-C40C66FF867C}">
                  <a14:compatExt spid="_x0000_s23562"/>
                </a:ext>
                <a:ext uri="{FF2B5EF4-FFF2-40B4-BE49-F238E27FC236}">
                  <a16:creationId xmlns:a16="http://schemas.microsoft.com/office/drawing/2014/main" id="{00000000-0008-0000-1100-00000A5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fr-BE" sz="1000" b="0" i="0" u="none" strike="noStrike" baseline="0">
                  <a:solidFill>
                    <a:srgbClr val="000000"/>
                  </a:solidFill>
                  <a:latin typeface="Arial"/>
                  <a:cs typeface="Arial"/>
                </a:rPr>
                <a:t>Print this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400050</xdr:colOff>
          <xdr:row>399</xdr:row>
          <xdr:rowOff>57150</xdr:rowOff>
        </xdr:from>
        <xdr:to>
          <xdr:col>13</xdr:col>
          <xdr:colOff>552450</xdr:colOff>
          <xdr:row>401</xdr:row>
          <xdr:rowOff>95250</xdr:rowOff>
        </xdr:to>
        <xdr:sp macro="" textlink="">
          <xdr:nvSpPr>
            <xdr:cNvPr id="23563" name="Button 11" hidden="1">
              <a:extLst>
                <a:ext uri="{63B3BB69-23CF-44E3-9099-C40C66FF867C}">
                  <a14:compatExt spid="_x0000_s23563"/>
                </a:ext>
                <a:ext uri="{FF2B5EF4-FFF2-40B4-BE49-F238E27FC236}">
                  <a16:creationId xmlns:a16="http://schemas.microsoft.com/office/drawing/2014/main" id="{00000000-0008-0000-1100-00000B5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fr-BE" sz="1000" b="0" i="0" u="none" strike="noStrike" baseline="0">
                  <a:solidFill>
                    <a:srgbClr val="000000"/>
                  </a:solidFill>
                  <a:latin typeface="Arial"/>
                  <a:cs typeface="Arial"/>
                </a:rPr>
                <a:t>Print this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445</xdr:row>
          <xdr:rowOff>66675</xdr:rowOff>
        </xdr:from>
        <xdr:to>
          <xdr:col>12</xdr:col>
          <xdr:colOff>533400</xdr:colOff>
          <xdr:row>447</xdr:row>
          <xdr:rowOff>104775</xdr:rowOff>
        </xdr:to>
        <xdr:sp macro="" textlink="">
          <xdr:nvSpPr>
            <xdr:cNvPr id="23564" name="Button 12" hidden="1">
              <a:extLst>
                <a:ext uri="{63B3BB69-23CF-44E3-9099-C40C66FF867C}">
                  <a14:compatExt spid="_x0000_s23564"/>
                </a:ext>
                <a:ext uri="{FF2B5EF4-FFF2-40B4-BE49-F238E27FC236}">
                  <a16:creationId xmlns:a16="http://schemas.microsoft.com/office/drawing/2014/main" id="{00000000-0008-0000-1100-00000C5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fr-BE" sz="1000" b="0" i="0" u="none" strike="noStrike" baseline="0">
                  <a:solidFill>
                    <a:srgbClr val="000000"/>
                  </a:solidFill>
                  <a:latin typeface="Arial"/>
                  <a:cs typeface="Arial"/>
                </a:rPr>
                <a:t>Print this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390525</xdr:colOff>
          <xdr:row>472</xdr:row>
          <xdr:rowOff>76200</xdr:rowOff>
        </xdr:from>
        <xdr:to>
          <xdr:col>13</xdr:col>
          <xdr:colOff>533400</xdr:colOff>
          <xdr:row>474</xdr:row>
          <xdr:rowOff>114300</xdr:rowOff>
        </xdr:to>
        <xdr:sp macro="" textlink="">
          <xdr:nvSpPr>
            <xdr:cNvPr id="23565" name="Button 13" hidden="1">
              <a:extLst>
                <a:ext uri="{63B3BB69-23CF-44E3-9099-C40C66FF867C}">
                  <a14:compatExt spid="_x0000_s23565"/>
                </a:ext>
                <a:ext uri="{FF2B5EF4-FFF2-40B4-BE49-F238E27FC236}">
                  <a16:creationId xmlns:a16="http://schemas.microsoft.com/office/drawing/2014/main" id="{00000000-0008-0000-1100-00000D5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fr-BE" sz="1000" b="0" i="0" u="none" strike="noStrike" baseline="0">
                  <a:solidFill>
                    <a:srgbClr val="000000"/>
                  </a:solidFill>
                  <a:latin typeface="Arial"/>
                  <a:cs typeface="Arial"/>
                </a:rPr>
                <a:t>Print this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492</xdr:row>
          <xdr:rowOff>66675</xdr:rowOff>
        </xdr:from>
        <xdr:to>
          <xdr:col>12</xdr:col>
          <xdr:colOff>533400</xdr:colOff>
          <xdr:row>494</xdr:row>
          <xdr:rowOff>104775</xdr:rowOff>
        </xdr:to>
        <xdr:sp macro="" textlink="">
          <xdr:nvSpPr>
            <xdr:cNvPr id="23566" name="Button 14" hidden="1">
              <a:extLst>
                <a:ext uri="{63B3BB69-23CF-44E3-9099-C40C66FF867C}">
                  <a14:compatExt spid="_x0000_s23566"/>
                </a:ext>
                <a:ext uri="{FF2B5EF4-FFF2-40B4-BE49-F238E27FC236}">
                  <a16:creationId xmlns:a16="http://schemas.microsoft.com/office/drawing/2014/main" id="{00000000-0008-0000-1100-00000E5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fr-BE" sz="1000" b="0" i="0" u="none" strike="noStrike" baseline="0">
                  <a:solidFill>
                    <a:srgbClr val="000000"/>
                  </a:solidFill>
                  <a:latin typeface="Arial"/>
                  <a:cs typeface="Arial"/>
                </a:rPr>
                <a:t>Print this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400050</xdr:colOff>
          <xdr:row>526</xdr:row>
          <xdr:rowOff>66675</xdr:rowOff>
        </xdr:from>
        <xdr:to>
          <xdr:col>13</xdr:col>
          <xdr:colOff>552450</xdr:colOff>
          <xdr:row>528</xdr:row>
          <xdr:rowOff>104775</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1100-00000F5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fr-BE" sz="1000" b="0" i="0" u="none" strike="noStrike" baseline="0">
                  <a:solidFill>
                    <a:srgbClr val="000000"/>
                  </a:solidFill>
                  <a:latin typeface="Arial"/>
                  <a:cs typeface="Arial"/>
                </a:rPr>
                <a:t>Print this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xdr:row>
          <xdr:rowOff>38100</xdr:rowOff>
        </xdr:from>
        <xdr:to>
          <xdr:col>6</xdr:col>
          <xdr:colOff>0</xdr:colOff>
          <xdr:row>5</xdr:row>
          <xdr:rowOff>9525</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1100-0000105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fr-BE" sz="1000" b="0" i="0" u="none" strike="noStrike" baseline="0">
                  <a:solidFill>
                    <a:srgbClr val="000000"/>
                  </a:solidFill>
                  <a:latin typeface="Arial"/>
                  <a:cs typeface="Arial"/>
                </a:rPr>
                <a:t>Print all tables</a:t>
              </a:r>
            </a:p>
          </xdr:txBody>
        </xdr:sp>
        <xdr:clientData fPrintsWithSheet="0"/>
      </xdr:twoCellAnchor>
    </mc:Choice>
    <mc:Fallback/>
  </mc:AlternateContent>
  <xdr:twoCellAnchor>
    <xdr:from>
      <xdr:col>6</xdr:col>
      <xdr:colOff>556260</xdr:colOff>
      <xdr:row>0</xdr:row>
      <xdr:rowOff>9525</xdr:rowOff>
    </xdr:from>
    <xdr:to>
      <xdr:col>13</xdr:col>
      <xdr:colOff>165735</xdr:colOff>
      <xdr:row>1</xdr:row>
      <xdr:rowOff>38100</xdr:rowOff>
    </xdr:to>
    <xdr:sp macro="" textlink="">
      <xdr:nvSpPr>
        <xdr:cNvPr id="23570" name="Text Box 18">
          <a:extLst>
            <a:ext uri="{FF2B5EF4-FFF2-40B4-BE49-F238E27FC236}">
              <a16:creationId xmlns:a16="http://schemas.microsoft.com/office/drawing/2014/main" id="{00000000-0008-0000-1100-0000125C0000}"/>
            </a:ext>
          </a:extLst>
        </xdr:cNvPr>
        <xdr:cNvSpPr txBox="1">
          <a:spLocks noChangeArrowheads="1"/>
        </xdr:cNvSpPr>
      </xdr:nvSpPr>
      <xdr:spPr bwMode="auto">
        <a:xfrm>
          <a:off x="5638800" y="9525"/>
          <a:ext cx="3676650" cy="1905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Go to Table No. (</a:t>
          </a:r>
          <a:r>
            <a:rPr lang="en-GB" sz="1000" b="0" i="1" u="none" strike="noStrike" baseline="0">
              <a:solidFill>
                <a:srgbClr val="000000"/>
              </a:solidFill>
              <a:latin typeface="Arial"/>
              <a:cs typeface="Arial"/>
            </a:rPr>
            <a:t>push button</a:t>
          </a:r>
          <a:r>
            <a:rPr lang="en-GB" sz="1000" b="0" i="0" u="none" strike="noStrike" baseline="0">
              <a:solidFill>
                <a:srgbClr val="000000"/>
              </a:solidFill>
              <a:latin typeface="Arial"/>
              <a:cs typeface="Arial"/>
            </a:rPr>
            <a:t>)</a:t>
          </a:r>
        </a:p>
      </xdr:txBody>
    </xdr:sp>
    <xdr:clientData/>
  </xdr:twoCellAnchor>
  <mc:AlternateContent xmlns:mc="http://schemas.openxmlformats.org/markup-compatibility/2006">
    <mc:Choice xmlns:a14="http://schemas.microsoft.com/office/drawing/2010/main" Requires="a14">
      <xdr:twoCellAnchor>
        <xdr:from>
          <xdr:col>6</xdr:col>
          <xdr:colOff>0</xdr:colOff>
          <xdr:row>1</xdr:row>
          <xdr:rowOff>38100</xdr:rowOff>
        </xdr:from>
        <xdr:to>
          <xdr:col>8</xdr:col>
          <xdr:colOff>133350</xdr:colOff>
          <xdr:row>2</xdr:row>
          <xdr:rowOff>95250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1100-0000115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fr-BE" sz="1000" b="0" i="0" u="none" strike="noStrike" baseline="0">
                  <a:solidFill>
                    <a:srgbClr val="000000"/>
                  </a:solidFill>
                  <a:latin typeface="Arial"/>
                  <a:cs typeface="Arial"/>
                </a:rPr>
                <a:t>Table 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133350</xdr:colOff>
          <xdr:row>1</xdr:row>
          <xdr:rowOff>38100</xdr:rowOff>
        </xdr:from>
        <xdr:to>
          <xdr:col>9</xdr:col>
          <xdr:colOff>285750</xdr:colOff>
          <xdr:row>2</xdr:row>
          <xdr:rowOff>95250</xdr:rowOff>
        </xdr:to>
        <xdr:sp macro="" textlink="">
          <xdr:nvSpPr>
            <xdr:cNvPr id="23571" name="Button 19" hidden="1">
              <a:extLst>
                <a:ext uri="{63B3BB69-23CF-44E3-9099-C40C66FF867C}">
                  <a14:compatExt spid="_x0000_s23571"/>
                </a:ext>
                <a:ext uri="{FF2B5EF4-FFF2-40B4-BE49-F238E27FC236}">
                  <a16:creationId xmlns:a16="http://schemas.microsoft.com/office/drawing/2014/main" id="{00000000-0008-0000-1100-0000135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fr-BE" sz="1000" b="0" i="0" u="none" strike="noStrike" baseline="0">
                  <a:solidFill>
                    <a:srgbClr val="000000"/>
                  </a:solidFill>
                  <a:latin typeface="Arial"/>
                  <a:cs typeface="Arial"/>
                </a:rPr>
                <a:t>Table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285750</xdr:colOff>
          <xdr:row>1</xdr:row>
          <xdr:rowOff>38100</xdr:rowOff>
        </xdr:from>
        <xdr:to>
          <xdr:col>10</xdr:col>
          <xdr:colOff>447675</xdr:colOff>
          <xdr:row>2</xdr:row>
          <xdr:rowOff>95250</xdr:rowOff>
        </xdr:to>
        <xdr:sp macro="" textlink="">
          <xdr:nvSpPr>
            <xdr:cNvPr id="23572" name="Button 20" hidden="1">
              <a:extLst>
                <a:ext uri="{63B3BB69-23CF-44E3-9099-C40C66FF867C}">
                  <a14:compatExt spid="_x0000_s23572"/>
                </a:ext>
                <a:ext uri="{FF2B5EF4-FFF2-40B4-BE49-F238E27FC236}">
                  <a16:creationId xmlns:a16="http://schemas.microsoft.com/office/drawing/2014/main" id="{00000000-0008-0000-1100-0000145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fr-BE" sz="1000" b="0" i="0" u="none" strike="noStrike" baseline="0">
                  <a:solidFill>
                    <a:srgbClr val="000000"/>
                  </a:solidFill>
                  <a:latin typeface="Arial"/>
                  <a:cs typeface="Arial"/>
                </a:rPr>
                <a:t>Table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447675</xdr:colOff>
          <xdr:row>1</xdr:row>
          <xdr:rowOff>38100</xdr:rowOff>
        </xdr:from>
        <xdr:to>
          <xdr:col>12</xdr:col>
          <xdr:colOff>9525</xdr:colOff>
          <xdr:row>2</xdr:row>
          <xdr:rowOff>95250</xdr:rowOff>
        </xdr:to>
        <xdr:sp macro="" textlink="">
          <xdr:nvSpPr>
            <xdr:cNvPr id="23573" name="Button 21" hidden="1">
              <a:extLst>
                <a:ext uri="{63B3BB69-23CF-44E3-9099-C40C66FF867C}">
                  <a14:compatExt spid="_x0000_s23573"/>
                </a:ext>
                <a:ext uri="{FF2B5EF4-FFF2-40B4-BE49-F238E27FC236}">
                  <a16:creationId xmlns:a16="http://schemas.microsoft.com/office/drawing/2014/main" id="{00000000-0008-0000-1100-0000155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fr-BE" sz="1000" b="0" i="0" u="none" strike="noStrike" baseline="0">
                  <a:solidFill>
                    <a:srgbClr val="000000"/>
                  </a:solidFill>
                  <a:latin typeface="Arial"/>
                  <a:cs typeface="Arial"/>
                </a:rPr>
                <a:t>Table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1</xdr:row>
          <xdr:rowOff>38100</xdr:rowOff>
        </xdr:from>
        <xdr:to>
          <xdr:col>13</xdr:col>
          <xdr:colOff>171450</xdr:colOff>
          <xdr:row>2</xdr:row>
          <xdr:rowOff>95250</xdr:rowOff>
        </xdr:to>
        <xdr:sp macro="" textlink="">
          <xdr:nvSpPr>
            <xdr:cNvPr id="23574" name="Button 22" hidden="1">
              <a:extLst>
                <a:ext uri="{63B3BB69-23CF-44E3-9099-C40C66FF867C}">
                  <a14:compatExt spid="_x0000_s23574"/>
                </a:ext>
                <a:ext uri="{FF2B5EF4-FFF2-40B4-BE49-F238E27FC236}">
                  <a16:creationId xmlns:a16="http://schemas.microsoft.com/office/drawing/2014/main" id="{00000000-0008-0000-1100-0000165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fr-BE" sz="1000" b="0" i="0" u="none" strike="noStrike" baseline="0">
                  <a:solidFill>
                    <a:srgbClr val="000000"/>
                  </a:solidFill>
                  <a:latin typeface="Arial"/>
                  <a:cs typeface="Arial"/>
                </a:rPr>
                <a:t>Table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2</xdr:row>
          <xdr:rowOff>95250</xdr:rowOff>
        </xdr:from>
        <xdr:to>
          <xdr:col>8</xdr:col>
          <xdr:colOff>133350</xdr:colOff>
          <xdr:row>3</xdr:row>
          <xdr:rowOff>133350</xdr:rowOff>
        </xdr:to>
        <xdr:sp macro="" textlink="">
          <xdr:nvSpPr>
            <xdr:cNvPr id="23575" name="Button 23" hidden="1">
              <a:extLst>
                <a:ext uri="{63B3BB69-23CF-44E3-9099-C40C66FF867C}">
                  <a14:compatExt spid="_x0000_s23575"/>
                </a:ext>
                <a:ext uri="{FF2B5EF4-FFF2-40B4-BE49-F238E27FC236}">
                  <a16:creationId xmlns:a16="http://schemas.microsoft.com/office/drawing/2014/main" id="{00000000-0008-0000-1100-0000175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fr-BE" sz="1000" b="0" i="0" u="none" strike="noStrike" baseline="0">
                  <a:solidFill>
                    <a:srgbClr val="000000"/>
                  </a:solidFill>
                  <a:latin typeface="Arial"/>
                  <a:cs typeface="Arial"/>
                </a:rPr>
                <a:t>Table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133350</xdr:colOff>
          <xdr:row>2</xdr:row>
          <xdr:rowOff>95250</xdr:rowOff>
        </xdr:from>
        <xdr:to>
          <xdr:col>9</xdr:col>
          <xdr:colOff>285750</xdr:colOff>
          <xdr:row>3</xdr:row>
          <xdr:rowOff>133350</xdr:rowOff>
        </xdr:to>
        <xdr:sp macro="" textlink="">
          <xdr:nvSpPr>
            <xdr:cNvPr id="23576" name="Button 24" hidden="1">
              <a:extLst>
                <a:ext uri="{63B3BB69-23CF-44E3-9099-C40C66FF867C}">
                  <a14:compatExt spid="_x0000_s23576"/>
                </a:ext>
                <a:ext uri="{FF2B5EF4-FFF2-40B4-BE49-F238E27FC236}">
                  <a16:creationId xmlns:a16="http://schemas.microsoft.com/office/drawing/2014/main" id="{00000000-0008-0000-1100-0000185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fr-BE" sz="1000" b="0" i="0" u="none" strike="noStrike" baseline="0">
                  <a:solidFill>
                    <a:srgbClr val="000000"/>
                  </a:solidFill>
                  <a:latin typeface="Arial"/>
                  <a:cs typeface="Arial"/>
                </a:rPr>
                <a:t>Table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285750</xdr:colOff>
          <xdr:row>2</xdr:row>
          <xdr:rowOff>95250</xdr:rowOff>
        </xdr:from>
        <xdr:to>
          <xdr:col>10</xdr:col>
          <xdr:colOff>447675</xdr:colOff>
          <xdr:row>3</xdr:row>
          <xdr:rowOff>133350</xdr:rowOff>
        </xdr:to>
        <xdr:sp macro="" textlink="">
          <xdr:nvSpPr>
            <xdr:cNvPr id="23577" name="Button 25" hidden="1">
              <a:extLst>
                <a:ext uri="{63B3BB69-23CF-44E3-9099-C40C66FF867C}">
                  <a14:compatExt spid="_x0000_s23577"/>
                </a:ext>
                <a:ext uri="{FF2B5EF4-FFF2-40B4-BE49-F238E27FC236}">
                  <a16:creationId xmlns:a16="http://schemas.microsoft.com/office/drawing/2014/main" id="{00000000-0008-0000-1100-0000195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fr-BE" sz="1000" b="0" i="0" u="none" strike="noStrike" baseline="0">
                  <a:solidFill>
                    <a:srgbClr val="000000"/>
                  </a:solidFill>
                  <a:latin typeface="Arial"/>
                  <a:cs typeface="Arial"/>
                </a:rPr>
                <a:t>Table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447675</xdr:colOff>
          <xdr:row>2</xdr:row>
          <xdr:rowOff>95250</xdr:rowOff>
        </xdr:from>
        <xdr:to>
          <xdr:col>12</xdr:col>
          <xdr:colOff>9525</xdr:colOff>
          <xdr:row>3</xdr:row>
          <xdr:rowOff>133350</xdr:rowOff>
        </xdr:to>
        <xdr:sp macro="" textlink="">
          <xdr:nvSpPr>
            <xdr:cNvPr id="23578" name="Button 26" hidden="1">
              <a:extLst>
                <a:ext uri="{63B3BB69-23CF-44E3-9099-C40C66FF867C}">
                  <a14:compatExt spid="_x0000_s23578"/>
                </a:ext>
                <a:ext uri="{FF2B5EF4-FFF2-40B4-BE49-F238E27FC236}">
                  <a16:creationId xmlns:a16="http://schemas.microsoft.com/office/drawing/2014/main" id="{00000000-0008-0000-1100-00001A5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fr-BE" sz="1000" b="0" i="0" u="none" strike="noStrike" baseline="0">
                  <a:solidFill>
                    <a:srgbClr val="000000"/>
                  </a:solidFill>
                  <a:latin typeface="Arial"/>
                  <a:cs typeface="Arial"/>
                </a:rPr>
                <a:t>Table 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2</xdr:row>
          <xdr:rowOff>95250</xdr:rowOff>
        </xdr:from>
        <xdr:to>
          <xdr:col>13</xdr:col>
          <xdr:colOff>171450</xdr:colOff>
          <xdr:row>3</xdr:row>
          <xdr:rowOff>133350</xdr:rowOff>
        </xdr:to>
        <xdr:sp macro="" textlink="">
          <xdr:nvSpPr>
            <xdr:cNvPr id="23579" name="Button 27" hidden="1">
              <a:extLst>
                <a:ext uri="{63B3BB69-23CF-44E3-9099-C40C66FF867C}">
                  <a14:compatExt spid="_x0000_s23579"/>
                </a:ext>
                <a:ext uri="{FF2B5EF4-FFF2-40B4-BE49-F238E27FC236}">
                  <a16:creationId xmlns:a16="http://schemas.microsoft.com/office/drawing/2014/main" id="{00000000-0008-0000-1100-00001B5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fr-BE" sz="1000" b="0" i="0" u="none" strike="noStrike" baseline="0">
                  <a:solidFill>
                    <a:srgbClr val="000000"/>
                  </a:solidFill>
                  <a:latin typeface="Arial"/>
                  <a:cs typeface="Arial"/>
                </a:rPr>
                <a:t>Table 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133350</xdr:rowOff>
        </xdr:from>
        <xdr:to>
          <xdr:col>8</xdr:col>
          <xdr:colOff>133350</xdr:colOff>
          <xdr:row>5</xdr:row>
          <xdr:rowOff>9525</xdr:rowOff>
        </xdr:to>
        <xdr:sp macro="" textlink="">
          <xdr:nvSpPr>
            <xdr:cNvPr id="23580" name="Button 28" hidden="1">
              <a:extLst>
                <a:ext uri="{63B3BB69-23CF-44E3-9099-C40C66FF867C}">
                  <a14:compatExt spid="_x0000_s23580"/>
                </a:ext>
                <a:ext uri="{FF2B5EF4-FFF2-40B4-BE49-F238E27FC236}">
                  <a16:creationId xmlns:a16="http://schemas.microsoft.com/office/drawing/2014/main" id="{00000000-0008-0000-1100-00001C5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fr-BE" sz="1000" b="0" i="0" u="none" strike="noStrike" baseline="0">
                  <a:solidFill>
                    <a:srgbClr val="000000"/>
                  </a:solidFill>
                  <a:latin typeface="Arial"/>
                  <a:cs typeface="Arial"/>
                </a:rPr>
                <a:t>Table 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133350</xdr:colOff>
          <xdr:row>3</xdr:row>
          <xdr:rowOff>133350</xdr:rowOff>
        </xdr:from>
        <xdr:to>
          <xdr:col>9</xdr:col>
          <xdr:colOff>285750</xdr:colOff>
          <xdr:row>5</xdr:row>
          <xdr:rowOff>9525</xdr:rowOff>
        </xdr:to>
        <xdr:sp macro="" textlink="">
          <xdr:nvSpPr>
            <xdr:cNvPr id="23581" name="Button 29" hidden="1">
              <a:extLst>
                <a:ext uri="{63B3BB69-23CF-44E3-9099-C40C66FF867C}">
                  <a14:compatExt spid="_x0000_s23581"/>
                </a:ext>
                <a:ext uri="{FF2B5EF4-FFF2-40B4-BE49-F238E27FC236}">
                  <a16:creationId xmlns:a16="http://schemas.microsoft.com/office/drawing/2014/main" id="{00000000-0008-0000-1100-00001D5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fr-BE" sz="1000" b="0" i="0" u="none" strike="noStrike" baseline="0">
                  <a:solidFill>
                    <a:srgbClr val="000000"/>
                  </a:solidFill>
                  <a:latin typeface="Arial"/>
                  <a:cs typeface="Arial"/>
                </a:rPr>
                <a:t>Table 10a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285750</xdr:colOff>
          <xdr:row>3</xdr:row>
          <xdr:rowOff>133350</xdr:rowOff>
        </xdr:from>
        <xdr:to>
          <xdr:col>10</xdr:col>
          <xdr:colOff>447675</xdr:colOff>
          <xdr:row>5</xdr:row>
          <xdr:rowOff>9525</xdr:rowOff>
        </xdr:to>
        <xdr:sp macro="" textlink="">
          <xdr:nvSpPr>
            <xdr:cNvPr id="23582" name="Button 30" hidden="1">
              <a:extLst>
                <a:ext uri="{63B3BB69-23CF-44E3-9099-C40C66FF867C}">
                  <a14:compatExt spid="_x0000_s23582"/>
                </a:ext>
                <a:ext uri="{FF2B5EF4-FFF2-40B4-BE49-F238E27FC236}">
                  <a16:creationId xmlns:a16="http://schemas.microsoft.com/office/drawing/2014/main" id="{00000000-0008-0000-1100-00001E5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fr-BE" sz="1000" b="0" i="0" u="none" strike="noStrike" baseline="0">
                  <a:solidFill>
                    <a:srgbClr val="000000"/>
                  </a:solidFill>
                  <a:latin typeface="Arial"/>
                  <a:cs typeface="Arial"/>
                </a:rPr>
                <a:t>Table 10b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447675</xdr:colOff>
          <xdr:row>3</xdr:row>
          <xdr:rowOff>133350</xdr:rowOff>
        </xdr:from>
        <xdr:to>
          <xdr:col>12</xdr:col>
          <xdr:colOff>9525</xdr:colOff>
          <xdr:row>5</xdr:row>
          <xdr:rowOff>9525</xdr:rowOff>
        </xdr:to>
        <xdr:sp macro="" textlink="">
          <xdr:nvSpPr>
            <xdr:cNvPr id="23583" name="Button 31" hidden="1">
              <a:extLst>
                <a:ext uri="{63B3BB69-23CF-44E3-9099-C40C66FF867C}">
                  <a14:compatExt spid="_x0000_s23583"/>
                </a:ext>
                <a:ext uri="{FF2B5EF4-FFF2-40B4-BE49-F238E27FC236}">
                  <a16:creationId xmlns:a16="http://schemas.microsoft.com/office/drawing/2014/main" id="{00000000-0008-0000-1100-00001F5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fr-BE" sz="1000" b="0" i="0" u="none" strike="noStrike" baseline="0">
                  <a:solidFill>
                    <a:srgbClr val="000000"/>
                  </a:solidFill>
                  <a:latin typeface="Arial"/>
                  <a:cs typeface="Arial"/>
                </a:rPr>
                <a:t>Table 11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3</xdr:row>
          <xdr:rowOff>133350</xdr:rowOff>
        </xdr:from>
        <xdr:to>
          <xdr:col>13</xdr:col>
          <xdr:colOff>171450</xdr:colOff>
          <xdr:row>5</xdr:row>
          <xdr:rowOff>9525</xdr:rowOff>
        </xdr:to>
        <xdr:sp macro="" textlink="">
          <xdr:nvSpPr>
            <xdr:cNvPr id="23584" name="Button 32" hidden="1">
              <a:extLst>
                <a:ext uri="{63B3BB69-23CF-44E3-9099-C40C66FF867C}">
                  <a14:compatExt spid="_x0000_s23584"/>
                </a:ext>
                <a:ext uri="{FF2B5EF4-FFF2-40B4-BE49-F238E27FC236}">
                  <a16:creationId xmlns:a16="http://schemas.microsoft.com/office/drawing/2014/main" id="{00000000-0008-0000-1100-0000205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fr-BE" sz="1000" b="0" i="0" u="none" strike="noStrike" baseline="0">
                  <a:solidFill>
                    <a:srgbClr val="000000"/>
                  </a:solidFill>
                  <a:latin typeface="Arial"/>
                  <a:cs typeface="Arial"/>
                </a:rPr>
                <a:t>Table 12</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awczha/AppData/Local/Microsoft/Windows/Temporary%20Internet%20Files/Content.Outlook/Z4L9WSEN/SE%20Forecast%2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CKGROUND CALC"/>
      <sheetName val="T"/>
      <sheetName val="Manual"/>
      <sheetName val="InputY"/>
      <sheetName val="InputQ"/>
      <sheetName val="InputDFM"/>
      <sheetName val="VVP1"/>
      <sheetName val="VVP2"/>
      <sheetName val="VVP3"/>
      <sheetName val="Q1"/>
      <sheetName val="Q2"/>
      <sheetName val="Labour1"/>
      <sheetName val="Labour2"/>
      <sheetName val="Sector1"/>
      <sheetName val="Sector2"/>
      <sheetName val="Sector3"/>
      <sheetName val="Transfer"/>
      <sheetName val="Tables"/>
      <sheetName val="Transfer FDMS+ A"/>
      <sheetName val="Transfer FDMS+ Q"/>
    </sheetNames>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y_transfer_matrix.cfm?cty=SE_1" preserveFormatting="0" connectionId="2" xr16:uid="{00000000-0016-0000-0500-00000000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y_additional_impact.cfm?cty=SE" preserveFormatting="0" connectionId="4" xr16:uid="{00000000-0016-0000-0500-000003000000}"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y_transfer_matrix.cfm?cty=SE" preserveFormatting="0" connectionId="1" xr16:uid="{00000000-0016-0000-0500-000002000000}"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fdms_web_query.cfm?cty=SE" preserveFormatting="0" connectionId="3" xr16:uid="{00000000-0016-0000-0500-000001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410000" mc:Ignorable="a14" a14:legacySpreadsheetColorIndex="65"/>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65"/>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www.statistikdatabasen.scb.se/pxweb/en/ssd/START__PR__PR0301__PR0301E/IMPIAr07/?rxid=29d4d549-84a1-4778-89a5-88bee37a0f9e" TargetMode="External"/><Relationship Id="rId7" Type="http://schemas.openxmlformats.org/officeDocument/2006/relationships/comments" Target="../comments1.xml"/><Relationship Id="rId2" Type="http://schemas.openxmlformats.org/officeDocument/2006/relationships/hyperlink" Target="http://www.statistikdatabasen.scb.se/pxweb/en/ssd/START__PR__PR0301__PR0301E/EXPIAr07/?rxid=2bf6ae97-e632-4fa5-ace0-5a338642261e" TargetMode="External"/><Relationship Id="rId1" Type="http://schemas.openxmlformats.org/officeDocument/2006/relationships/hyperlink" Target="http://www.statistikdatabasen.scb.se/pxweb/en/ssd/START__PR__PR0301__PR0301E/PPIAr07/?rxid=46ecae67-8feb-41f7-87a7-52ba106a1de5"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hyperlink" Target="http://www.konj.se/764.html"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mailto:gerrit.bethuyne@cec.eu.int"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queryTable" Target="../queryTables/queryTable1.xml"/><Relationship Id="rId4" Type="http://schemas.openxmlformats.org/officeDocument/2006/relationships/queryTable" Target="../queryTables/queryTable4.xml"/></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1.bin"/><Relationship Id="rId4" Type="http://schemas.openxmlformats.org/officeDocument/2006/relationships/comments" Target="../comments8.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2.xml"/><Relationship Id="rId1" Type="http://schemas.openxmlformats.org/officeDocument/2006/relationships/printerSettings" Target="../printerSettings/printerSettings14.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8.xml.rels><?xml version="1.0" encoding="UTF-8" standalone="yes"?>
<Relationships xmlns="http://schemas.openxmlformats.org/package/2006/relationships"><Relationship Id="rId13" Type="http://schemas.openxmlformats.org/officeDocument/2006/relationships/ctrlProp" Target="../ctrlProps/ctrlProp12.xml"/><Relationship Id="rId18" Type="http://schemas.openxmlformats.org/officeDocument/2006/relationships/ctrlProp" Target="../ctrlProps/ctrlProp17.xml"/><Relationship Id="rId26" Type="http://schemas.openxmlformats.org/officeDocument/2006/relationships/ctrlProp" Target="../ctrlProps/ctrlProp25.xml"/><Relationship Id="rId3" Type="http://schemas.openxmlformats.org/officeDocument/2006/relationships/vmlDrawing" Target="../drawings/vmlDrawing10.vml"/><Relationship Id="rId21" Type="http://schemas.openxmlformats.org/officeDocument/2006/relationships/ctrlProp" Target="../ctrlProps/ctrlProp20.xml"/><Relationship Id="rId34" Type="http://schemas.openxmlformats.org/officeDocument/2006/relationships/ctrlProp" Target="../ctrlProps/ctrlProp33.x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ctrlProp" Target="../ctrlProps/ctrlProp16.xml"/><Relationship Id="rId25" Type="http://schemas.openxmlformats.org/officeDocument/2006/relationships/ctrlProp" Target="../ctrlProps/ctrlProp24.xml"/><Relationship Id="rId33" Type="http://schemas.openxmlformats.org/officeDocument/2006/relationships/ctrlProp" Target="../ctrlProps/ctrlProp32.xml"/><Relationship Id="rId2" Type="http://schemas.openxmlformats.org/officeDocument/2006/relationships/drawing" Target="../drawings/drawing13.xml"/><Relationship Id="rId16" Type="http://schemas.openxmlformats.org/officeDocument/2006/relationships/ctrlProp" Target="../ctrlProps/ctrlProp15.xml"/><Relationship Id="rId20" Type="http://schemas.openxmlformats.org/officeDocument/2006/relationships/ctrlProp" Target="../ctrlProps/ctrlProp19.xml"/><Relationship Id="rId29" Type="http://schemas.openxmlformats.org/officeDocument/2006/relationships/ctrlProp" Target="../ctrlProps/ctrlProp28.xml"/><Relationship Id="rId1" Type="http://schemas.openxmlformats.org/officeDocument/2006/relationships/printerSettings" Target="../printerSettings/printerSettings15.bin"/><Relationship Id="rId6" Type="http://schemas.openxmlformats.org/officeDocument/2006/relationships/ctrlProp" Target="../ctrlProps/ctrlProp5.xml"/><Relationship Id="rId11" Type="http://schemas.openxmlformats.org/officeDocument/2006/relationships/ctrlProp" Target="../ctrlProps/ctrlProp10.xml"/><Relationship Id="rId24" Type="http://schemas.openxmlformats.org/officeDocument/2006/relationships/ctrlProp" Target="../ctrlProps/ctrlProp23.xml"/><Relationship Id="rId32" Type="http://schemas.openxmlformats.org/officeDocument/2006/relationships/ctrlProp" Target="../ctrlProps/ctrlProp31.xml"/><Relationship Id="rId5" Type="http://schemas.openxmlformats.org/officeDocument/2006/relationships/ctrlProp" Target="../ctrlProps/ctrlProp4.xml"/><Relationship Id="rId15" Type="http://schemas.openxmlformats.org/officeDocument/2006/relationships/ctrlProp" Target="../ctrlProps/ctrlProp14.xml"/><Relationship Id="rId23" Type="http://schemas.openxmlformats.org/officeDocument/2006/relationships/ctrlProp" Target="../ctrlProps/ctrlProp22.xml"/><Relationship Id="rId28" Type="http://schemas.openxmlformats.org/officeDocument/2006/relationships/ctrlProp" Target="../ctrlProps/ctrlProp27.xml"/><Relationship Id="rId10" Type="http://schemas.openxmlformats.org/officeDocument/2006/relationships/ctrlProp" Target="../ctrlProps/ctrlProp9.xml"/><Relationship Id="rId19" Type="http://schemas.openxmlformats.org/officeDocument/2006/relationships/ctrlProp" Target="../ctrlProps/ctrlProp18.xml"/><Relationship Id="rId31" Type="http://schemas.openxmlformats.org/officeDocument/2006/relationships/ctrlProp" Target="../ctrlProps/ctrlProp30.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ctrlProp" Target="../ctrlProps/ctrlProp21.xml"/><Relationship Id="rId27" Type="http://schemas.openxmlformats.org/officeDocument/2006/relationships/ctrlProp" Target="../ctrlProps/ctrlProp26.xml"/><Relationship Id="rId30" Type="http://schemas.openxmlformats.org/officeDocument/2006/relationships/ctrlProp" Target="../ctrlProps/ctrlProp29.xml"/><Relationship Id="rId8" Type="http://schemas.openxmlformats.org/officeDocument/2006/relationships/ctrlProp" Target="../ctrlProps/ctrlProp7.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1.v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CD182"/>
  <sheetViews>
    <sheetView workbookViewId="0"/>
  </sheetViews>
  <sheetFormatPr defaultRowHeight="12.75" outlineLevelCol="2"/>
  <cols>
    <col min="1" max="1" width="3.73046875" customWidth="1"/>
    <col min="2" max="2" width="28.3984375" customWidth="1"/>
    <col min="3" max="3" width="7.3984375" style="545" customWidth="1"/>
    <col min="4" max="4" width="12.59765625" customWidth="1"/>
    <col min="5" max="15" width="12.59765625" customWidth="1" outlineLevel="1"/>
    <col min="16" max="17" width="12.59765625" customWidth="1"/>
    <col min="18" max="23" width="12.73046875" bestFit="1" customWidth="1"/>
    <col min="24" max="24" width="10.1328125" style="26" bestFit="1" customWidth="1"/>
    <col min="25" max="27" width="9.1328125" style="26" customWidth="1"/>
    <col min="28" max="31" width="9.1328125" customWidth="1" outlineLevel="1"/>
    <col min="32" max="32" width="6" customWidth="1"/>
    <col min="33" max="37" width="9.1328125" customWidth="1" outlineLevel="2"/>
    <col min="38" max="38" width="2.3984375" customWidth="1" outlineLevel="1"/>
    <col min="39" max="46" width="9.1328125" customWidth="1" outlineLevel="2"/>
    <col min="47" max="47" width="2.59765625" customWidth="1" outlineLevel="1"/>
    <col min="48" max="52" width="9.1328125" customWidth="1" outlineLevel="2"/>
    <col min="53" max="53" width="3.86328125" customWidth="1" outlineLevel="1"/>
    <col min="54" max="65" width="9.1328125" customWidth="1" outlineLevel="2"/>
    <col min="66" max="66" width="4.73046875" customWidth="1" outlineLevel="1"/>
    <col min="67" max="76" width="9.1328125" customWidth="1" outlineLevel="2"/>
    <col min="77" max="77" width="2.86328125" customWidth="1" outlineLevel="1"/>
    <col min="78" max="78" width="9.1328125" customWidth="1" outlineLevel="1"/>
  </cols>
  <sheetData>
    <row r="2" spans="1:76" s="1333" customFormat="1" ht="13.5" customHeight="1">
      <c r="A2" s="3296" t="s">
        <v>2349</v>
      </c>
      <c r="B2" s="3296"/>
      <c r="C2" s="3299"/>
      <c r="D2" s="3299" t="s">
        <v>2390</v>
      </c>
      <c r="E2" s="3297">
        <v>1995</v>
      </c>
      <c r="F2" s="3297">
        <v>1996</v>
      </c>
      <c r="G2" s="3297">
        <v>1997</v>
      </c>
      <c r="H2" s="3297">
        <v>1998</v>
      </c>
      <c r="I2" s="3297">
        <v>1999</v>
      </c>
      <c r="J2" s="3297">
        <v>2000</v>
      </c>
      <c r="K2" s="3297">
        <v>2001</v>
      </c>
      <c r="L2" s="3297">
        <v>2002</v>
      </c>
      <c r="M2" s="3297">
        <v>2003</v>
      </c>
      <c r="N2" s="3297">
        <v>2004</v>
      </c>
      <c r="O2" s="3297">
        <v>2005</v>
      </c>
      <c r="P2" s="3297">
        <v>2006</v>
      </c>
      <c r="Q2" s="3297">
        <v>2007</v>
      </c>
      <c r="R2" s="3297">
        <v>2008</v>
      </c>
      <c r="S2" s="3297">
        <v>2009</v>
      </c>
      <c r="T2" s="3297">
        <v>2010</v>
      </c>
      <c r="U2" s="3297">
        <v>2011</v>
      </c>
      <c r="V2" s="3297">
        <v>2012</v>
      </c>
      <c r="W2" s="3297">
        <v>2013</v>
      </c>
      <c r="X2" s="3297">
        <v>2014</v>
      </c>
      <c r="Y2" s="3297">
        <v>2015</v>
      </c>
      <c r="Z2" s="3297">
        <v>2016</v>
      </c>
      <c r="AA2" s="3297">
        <v>2017</v>
      </c>
      <c r="AB2" s="3300" t="s">
        <v>2399</v>
      </c>
      <c r="AC2" s="3300"/>
      <c r="AD2" s="3300"/>
      <c r="AE2" s="3300"/>
      <c r="AF2" s="3298"/>
      <c r="AG2" s="3300" t="s">
        <v>2402</v>
      </c>
      <c r="AH2" s="3300"/>
      <c r="AI2" s="3300"/>
      <c r="AJ2" s="3300"/>
      <c r="AK2" s="3300"/>
      <c r="AL2" s="3300"/>
      <c r="AM2" s="3300"/>
      <c r="AN2" s="3300"/>
      <c r="AO2" s="3300"/>
      <c r="AP2" s="3300"/>
      <c r="AQ2" s="3300"/>
      <c r="AR2" s="3300"/>
      <c r="AS2" s="3300"/>
      <c r="AT2" s="3300"/>
      <c r="AU2" s="3300"/>
      <c r="AV2" s="3300"/>
      <c r="AW2" s="3300"/>
      <c r="AX2" s="3300"/>
      <c r="AY2" s="3300"/>
      <c r="AZ2" s="3300"/>
      <c r="BA2" s="3300"/>
      <c r="BB2" s="3300"/>
      <c r="BC2" s="3300"/>
      <c r="BD2" s="3300"/>
      <c r="BE2" s="3300"/>
      <c r="BF2" s="3300"/>
      <c r="BG2" s="3300"/>
      <c r="BH2" s="3300"/>
      <c r="BI2" s="3300"/>
      <c r="BJ2" s="3300"/>
      <c r="BK2" s="3300"/>
      <c r="BL2" s="3300"/>
      <c r="BM2" s="3300"/>
      <c r="BN2" s="3300"/>
      <c r="BO2" s="3300"/>
      <c r="BP2" s="3300"/>
      <c r="BQ2" s="3300"/>
      <c r="BR2" s="3300"/>
      <c r="BS2" s="3300"/>
      <c r="BT2" s="3300"/>
      <c r="BU2" s="3300"/>
      <c r="BV2" s="3300"/>
      <c r="BW2" s="3300"/>
      <c r="BX2" s="3300"/>
    </row>
    <row r="3" spans="1:76">
      <c r="B3" s="3314" t="str">
        <f>+Labour1!E5</f>
        <v>Total population</v>
      </c>
      <c r="D3" s="3301">
        <f>+((Y3/E3)^(1/19))-1</f>
        <v>5.5146808235111422E-3</v>
      </c>
      <c r="E3" s="3295">
        <f>+Labour1!G5</f>
        <v>8826.9385000000002</v>
      </c>
      <c r="F3" s="3295">
        <f>+Labour1!H5</f>
        <v>8840.9974999999995</v>
      </c>
      <c r="G3" s="3295">
        <f>+Labour1!I5</f>
        <v>8846.0619999999999</v>
      </c>
      <c r="H3" s="3295">
        <f>+Labour1!J5</f>
        <v>8850.9735000000001</v>
      </c>
      <c r="I3" s="3295">
        <f>+Labour1!K5</f>
        <v>8857.8739999999998</v>
      </c>
      <c r="J3" s="3295">
        <f>+Labour1!L5</f>
        <v>8872.1090000000004</v>
      </c>
      <c r="K3" s="3295">
        <f>+Labour1!M5</f>
        <v>8895.9599999999991</v>
      </c>
      <c r="L3" s="3295">
        <f>+Labour1!N5</f>
        <v>8924.9580000000005</v>
      </c>
      <c r="M3" s="3295">
        <f>+Labour1!O5</f>
        <v>8958.2289999999994</v>
      </c>
      <c r="N3" s="3295">
        <f>+Labour1!P5</f>
        <v>8993.5310000000009</v>
      </c>
      <c r="O3" s="3295">
        <f>+Labour1!Q5</f>
        <v>9029.5720000000001</v>
      </c>
      <c r="P3" s="3295">
        <f>+Labour1!R5</f>
        <v>9080.5044999999991</v>
      </c>
      <c r="Q3" s="3295">
        <f>+Labour1!S5</f>
        <v>9148.0920000000006</v>
      </c>
      <c r="R3" s="3295">
        <f>+Labour1!T5</f>
        <v>9219.6370000000006</v>
      </c>
      <c r="S3" s="3295">
        <f>+Labour1!U5</f>
        <v>9219.6370000000006</v>
      </c>
      <c r="T3" s="3295">
        <f>+Labour1!V5</f>
        <v>9378.1260000000002</v>
      </c>
      <c r="U3" s="3295">
        <f>+Labour1!W5</f>
        <v>9449.2124999999996</v>
      </c>
      <c r="V3" s="3295">
        <f>+Labour1!X5</f>
        <v>9519.3739999999998</v>
      </c>
      <c r="W3" s="3295">
        <f>+Labour1!Y5</f>
        <v>9600.3785000000007</v>
      </c>
      <c r="X3" s="3302">
        <f>+Labour1!Z5</f>
        <v>9696.1095000000005</v>
      </c>
      <c r="Y3" s="3302">
        <f>+Labour1!AA5</f>
        <v>9799.1859999999997</v>
      </c>
      <c r="Z3" s="3302">
        <f>+Labour1!AB5</f>
        <v>9923.0849999999991</v>
      </c>
      <c r="AA3" s="3302">
        <f>+Labour1!AC5</f>
        <v>10057.6975</v>
      </c>
      <c r="AB3" s="3303" t="s">
        <v>2391</v>
      </c>
      <c r="AC3" s="3303"/>
      <c r="AD3" s="3303"/>
      <c r="AE3" s="3303"/>
      <c r="AG3" s="3303"/>
    </row>
    <row r="4" spans="1:76" ht="13.5" customHeight="1">
      <c r="B4" t="s">
        <v>2350</v>
      </c>
      <c r="C4" s="545" t="s">
        <v>2351</v>
      </c>
      <c r="D4" s="3301">
        <f>+((Y4/E4)^(1/19))-1</f>
        <v>4.3069057999486793E-2</v>
      </c>
      <c r="E4" s="3295">
        <f>+'VVP2'!G341</f>
        <v>1885.6479999999999</v>
      </c>
      <c r="F4" s="3295">
        <f>+'VVP2'!H341</f>
        <v>1934.3779999999999</v>
      </c>
      <c r="G4" s="3295">
        <f>+'VVP2'!I341</f>
        <v>2021.9780000000001</v>
      </c>
      <c r="H4" s="3295">
        <f>+'VVP2'!J341</f>
        <v>2124.4059999999999</v>
      </c>
      <c r="I4" s="3295">
        <f>+'VVP2'!K341</f>
        <v>2240.5729999999999</v>
      </c>
      <c r="J4" s="3295">
        <f>+'VVP2'!L341</f>
        <v>2383.6260000000002</v>
      </c>
      <c r="K4" s="3295">
        <f>+'VVP2'!M341</f>
        <v>2481.9160000000002</v>
      </c>
      <c r="L4" s="3295">
        <f>+'VVP2'!N341</f>
        <v>2573.9589999999998</v>
      </c>
      <c r="M4" s="3295">
        <f>+'VVP2'!O341</f>
        <v>2680.8629999999998</v>
      </c>
      <c r="N4" s="3295">
        <f>+'VVP2'!P341</f>
        <v>2808.4029999999998</v>
      </c>
      <c r="O4" s="3295">
        <f>+'VVP2'!Q341</f>
        <v>2910.683</v>
      </c>
      <c r="P4" s="3295">
        <f>+'VVP2'!R341</f>
        <v>3102.8339999999998</v>
      </c>
      <c r="Q4" s="3295">
        <f>+'VVP2'!S341</f>
        <v>3300.9830000000002</v>
      </c>
      <c r="R4" s="3295">
        <f>+'VVP2'!T341</f>
        <v>3391.681</v>
      </c>
      <c r="S4" s="3295">
        <f>+'VVP2'!U341</f>
        <v>3292.009</v>
      </c>
      <c r="T4" s="3295">
        <f>+'VVP2'!V341</f>
        <v>3523.8240000000001</v>
      </c>
      <c r="U4" s="3295">
        <f>+'VVP2'!W341</f>
        <v>3661.0430000000001</v>
      </c>
      <c r="V4" s="3295">
        <f>+'VVP2'!X341</f>
        <v>3688.8710000000001</v>
      </c>
      <c r="W4" s="3295">
        <f>+'VVP2'!Y341</f>
        <v>3773.9389999999999</v>
      </c>
      <c r="X4" s="3302">
        <f>+'VVP2'!Z341</f>
        <v>3940.9250000000002</v>
      </c>
      <c r="Y4" s="3302">
        <f>+'VVP2'!AA341</f>
        <v>4201.5429999999997</v>
      </c>
      <c r="Z4" s="3302">
        <f>+'VVP2'!AB341</f>
        <v>4385.4970000000003</v>
      </c>
      <c r="AA4" s="3302">
        <f>+'VVP2'!AC341</f>
        <v>4578.8990000000003</v>
      </c>
      <c r="AB4" s="3304">
        <f>+CORREL(F3:Y3,F4:Y4)^2</f>
        <v>0.91348907735927276</v>
      </c>
      <c r="AC4" s="3304"/>
      <c r="AD4" s="3304"/>
      <c r="AE4" s="3304"/>
      <c r="AG4" s="3304">
        <f>+RSQ($F$3:$Y$3,F4:Y4)</f>
        <v>0.91348907735927276</v>
      </c>
      <c r="AH4" s="3303"/>
    </row>
    <row r="5" spans="1:76" ht="13.5" customHeight="1">
      <c r="B5" t="s">
        <v>2352</v>
      </c>
      <c r="C5" s="545" t="s">
        <v>2351</v>
      </c>
      <c r="D5" s="3301">
        <f>+((Y5/E5)^(1/19))-1</f>
        <v>4.3069057999486793E-2</v>
      </c>
      <c r="E5" s="3302">
        <f>+'VVP2'!G342</f>
        <v>1885.6479999999999</v>
      </c>
      <c r="F5" s="3302">
        <f>+'VVP2'!H342</f>
        <v>1934.3779999999999</v>
      </c>
      <c r="G5" s="3302">
        <f>+'VVP2'!I342</f>
        <v>2021.9780000000001</v>
      </c>
      <c r="H5" s="3302">
        <f>+'VVP2'!J342</f>
        <v>2124.4059999999999</v>
      </c>
      <c r="I5" s="3302">
        <f>+'VVP2'!K342</f>
        <v>2240.5729999999999</v>
      </c>
      <c r="J5" s="3302">
        <f>+'VVP2'!L342</f>
        <v>2383.6260000000002</v>
      </c>
      <c r="K5" s="3302">
        <f>+'VVP2'!M342</f>
        <v>2481.9160000000002</v>
      </c>
      <c r="L5" s="3302">
        <f>+'VVP2'!N342</f>
        <v>2573.9589999999998</v>
      </c>
      <c r="M5" s="3302">
        <f>+'VVP2'!O342</f>
        <v>2680.8629999999998</v>
      </c>
      <c r="N5" s="3302">
        <f>+'VVP2'!P342</f>
        <v>2808.4029999999998</v>
      </c>
      <c r="O5" s="3302">
        <f>+'VVP2'!Q342</f>
        <v>2910.683</v>
      </c>
      <c r="P5" s="3302">
        <f>+'VVP2'!R342</f>
        <v>3102.8339999999998</v>
      </c>
      <c r="Q5" s="3302">
        <f>+'VVP2'!S342</f>
        <v>3300.9830000000002</v>
      </c>
      <c r="R5" s="3302">
        <f>+'VVP2'!T342</f>
        <v>3391.681</v>
      </c>
      <c r="S5" s="3302">
        <f>+'VVP2'!U342</f>
        <v>3292.009</v>
      </c>
      <c r="T5" s="3302">
        <f>+'VVP2'!V342</f>
        <v>3523.8240000000001</v>
      </c>
      <c r="U5" s="3302">
        <f>+'VVP2'!W342</f>
        <v>3661.0430000000001</v>
      </c>
      <c r="V5" s="3302">
        <f>+'VVP2'!X342</f>
        <v>3688.8710000000001</v>
      </c>
      <c r="W5" s="3302">
        <f>+'VVP2'!Y342</f>
        <v>3773.9389999999999</v>
      </c>
      <c r="X5" s="3302">
        <f>+'VVP2'!Z342</f>
        <v>3940.9250000000002</v>
      </c>
      <c r="Y5" s="3302">
        <f>+'VVP2'!AA342</f>
        <v>4201.5429999999997</v>
      </c>
      <c r="Z5" s="3302">
        <f>+'VVP2'!AB342</f>
        <v>4385.4970000000003</v>
      </c>
      <c r="AA5" s="3302">
        <f>+'VVP2'!AC342</f>
        <v>4578.8990000000003</v>
      </c>
      <c r="AB5" s="3304">
        <f>+CORREL(F3:Y3,F5:Y5)^2</f>
        <v>0.91348907735927276</v>
      </c>
      <c r="AC5" s="3304"/>
      <c r="AD5" s="3304"/>
      <c r="AE5" s="3304"/>
      <c r="AG5" s="3304">
        <f>+RSQ($F$3:$Y$3,$F5:$Y5)</f>
        <v>0.91348907735927276</v>
      </c>
      <c r="AH5" s="3304">
        <f>+RSQ($F$4:$Y$4,$F5:$Y5)</f>
        <v>1</v>
      </c>
      <c r="AI5" s="3316"/>
    </row>
    <row r="6" spans="1:76" ht="15" customHeight="1">
      <c r="B6" t="s">
        <v>2353</v>
      </c>
      <c r="C6" s="545" t="s">
        <v>2351</v>
      </c>
      <c r="D6" s="3301">
        <f>+((Y6/E6)^(1/19))-1</f>
        <v>2.6058076848427758E-2</v>
      </c>
      <c r="E6" s="3295">
        <f>+'VVP2'!G125</f>
        <v>2400.8650299999999</v>
      </c>
      <c r="F6" s="3295">
        <f>+'VVP2'!H125</f>
        <v>2437.335</v>
      </c>
      <c r="G6" s="3295">
        <f>+'VVP2'!I125</f>
        <v>2508.3176699999999</v>
      </c>
      <c r="H6" s="3295">
        <f>+'VVP2'!J125</f>
        <v>2614.6943199999996</v>
      </c>
      <c r="I6" s="3295">
        <f>+'VVP2'!K125</f>
        <v>2732.0078699999999</v>
      </c>
      <c r="J6" s="3295">
        <f>+'VVP2'!L125</f>
        <v>2861.6584900000003</v>
      </c>
      <c r="K6" s="3295">
        <f>+'VVP2'!M125</f>
        <v>2906.68514</v>
      </c>
      <c r="L6" s="3295">
        <f>+'VVP2'!N125</f>
        <v>2967.0075999999999</v>
      </c>
      <c r="M6" s="3295">
        <f>+'VVP2'!O125</f>
        <v>3037.02234</v>
      </c>
      <c r="N6" s="3295">
        <f>+'VVP2'!P125</f>
        <v>3167.9417899999999</v>
      </c>
      <c r="O6" s="3295">
        <f>+'VVP2'!Q125</f>
        <v>3257.1724900000004</v>
      </c>
      <c r="P6" s="3295">
        <f>+'VVP2'!R125</f>
        <v>3410.24521</v>
      </c>
      <c r="Q6" s="3295">
        <f>+'VVP2'!S125</f>
        <v>3526.4697200000001</v>
      </c>
      <c r="R6" s="3295">
        <f>+'VVP2'!T125</f>
        <v>3506.8252400000001</v>
      </c>
      <c r="S6" s="3295">
        <f>+'VVP2'!U125</f>
        <v>3324.61418</v>
      </c>
      <c r="T6" s="3295">
        <f>+'VVP2'!V125</f>
        <v>3523.8240000000001</v>
      </c>
      <c r="U6" s="3295">
        <f>+'VVP2'!W125</f>
        <v>3618.2352799999999</v>
      </c>
      <c r="V6" s="3295">
        <f>+'VVP2'!X125</f>
        <v>3607.4344000000001</v>
      </c>
      <c r="W6" s="3295">
        <f>+'VVP2'!Y125</f>
        <v>3652.1070399999999</v>
      </c>
      <c r="X6" s="3302">
        <f>+'VVP2'!Z125</f>
        <v>3747.13132</v>
      </c>
      <c r="Y6" s="3302">
        <f>+'VVP2'!AA125</f>
        <v>3914.1248100000003</v>
      </c>
      <c r="Z6" s="3302">
        <f>+'VVP2'!AB125</f>
        <v>4019.1786000000002</v>
      </c>
      <c r="AA6" s="3302">
        <f>+'VVP2'!AC125</f>
        <v>4104.15193</v>
      </c>
      <c r="AB6" s="3304">
        <f>+CORREL(F6:Y6,F3:Y3)^2</f>
        <v>0.81649305784349269</v>
      </c>
      <c r="AC6" s="3304"/>
      <c r="AD6" s="3304"/>
      <c r="AE6" s="3304"/>
      <c r="AG6" s="3304">
        <f t="shared" ref="AG6:AG54" si="0">+RSQ($F$3:$Y$3,F6:Y6)</f>
        <v>0.81649305784349291</v>
      </c>
      <c r="AH6" s="3304">
        <f t="shared" ref="AH6:AH54" si="1">+RSQ($F$4:$Y$4,$F6:$Y6)</f>
        <v>0.97492034038227937</v>
      </c>
      <c r="AI6" s="3304">
        <f>+RSQ($F$5:$Y$5,$F6:$Y6)</f>
        <v>0.97492034038227937</v>
      </c>
      <c r="AJ6" s="3317"/>
      <c r="AK6" s="3317"/>
      <c r="AL6" s="3317"/>
    </row>
    <row r="7" spans="1:76" ht="13.5" customHeight="1">
      <c r="B7" t="s">
        <v>2354</v>
      </c>
      <c r="C7" s="545" t="s">
        <v>2351</v>
      </c>
      <c r="D7" s="3301">
        <f>+((Y7/E7)^(1/19))-1</f>
        <v>2.0430727086044875E-2</v>
      </c>
      <c r="E7" s="3302">
        <f t="shared" ref="E7:X7" si="2">+E6/E3*1000</f>
        <v>271.99294863105706</v>
      </c>
      <c r="F7" s="3302">
        <f t="shared" si="2"/>
        <v>275.68552077975369</v>
      </c>
      <c r="G7" s="3302">
        <f t="shared" si="2"/>
        <v>283.55189800840191</v>
      </c>
      <c r="H7" s="3302">
        <f t="shared" si="2"/>
        <v>295.41319042475942</v>
      </c>
      <c r="I7" s="3302">
        <f t="shared" si="2"/>
        <v>308.42704129681681</v>
      </c>
      <c r="J7" s="3302">
        <f t="shared" si="2"/>
        <v>322.54546128772768</v>
      </c>
      <c r="K7" s="3302">
        <f t="shared" si="2"/>
        <v>326.74215486580425</v>
      </c>
      <c r="L7" s="3302">
        <f t="shared" si="2"/>
        <v>332.43939075119454</v>
      </c>
      <c r="M7" s="3302">
        <f t="shared" si="2"/>
        <v>339.02039566079412</v>
      </c>
      <c r="N7" s="3302">
        <f t="shared" si="2"/>
        <v>352.24671933637632</v>
      </c>
      <c r="O7" s="3302">
        <f t="shared" si="2"/>
        <v>360.72279948595576</v>
      </c>
      <c r="P7" s="3302">
        <f t="shared" si="2"/>
        <v>375.5567997350808</v>
      </c>
      <c r="Q7" s="3302">
        <f t="shared" si="2"/>
        <v>385.48691027593514</v>
      </c>
      <c r="R7" s="3302">
        <f t="shared" si="2"/>
        <v>380.3647844269791</v>
      </c>
      <c r="S7" s="3302">
        <f t="shared" si="2"/>
        <v>360.60141847233245</v>
      </c>
      <c r="T7" s="3302">
        <f t="shared" si="2"/>
        <v>375.74927016335675</v>
      </c>
      <c r="U7" s="3302">
        <f t="shared" si="2"/>
        <v>382.91394970744921</v>
      </c>
      <c r="V7" s="3302">
        <f t="shared" si="2"/>
        <v>378.95710369190243</v>
      </c>
      <c r="W7" s="3302">
        <f t="shared" si="2"/>
        <v>380.41281809878637</v>
      </c>
      <c r="X7" s="3302">
        <f t="shared" si="2"/>
        <v>386.45719914776129</v>
      </c>
      <c r="Y7" s="3302">
        <f>+Y6/Y3*1000</f>
        <v>399.43366826591517</v>
      </c>
      <c r="Z7" s="3302">
        <f>+Z6/Z3*1000</f>
        <v>405.0331726474177</v>
      </c>
      <c r="AA7" s="3302">
        <f>+AA6/AA3*1000</f>
        <v>408.06078428984364</v>
      </c>
      <c r="AB7" s="3304">
        <f>+CORREL(F7:Y7,F3:Y3)^2</f>
        <v>0.67726356781569419</v>
      </c>
      <c r="AC7" s="3304"/>
      <c r="AD7" s="3304"/>
      <c r="AE7" s="3304"/>
      <c r="AG7" s="3304">
        <f t="shared" si="0"/>
        <v>0.67726356781569419</v>
      </c>
      <c r="AH7" s="3304">
        <f t="shared" si="1"/>
        <v>0.90435286255092417</v>
      </c>
      <c r="AI7" s="3304">
        <f t="shared" ref="AI7:AI54" si="3">+RSQ($F$5:$Y$5,$F7:$Y7)</f>
        <v>0.90435286255092417</v>
      </c>
      <c r="AJ7" s="3304">
        <f>+RSQ($F$6:$Y$6,$F7:$Y7)</f>
        <v>0.97404161061947125</v>
      </c>
      <c r="AK7" s="3317"/>
      <c r="AL7" s="3317"/>
    </row>
    <row r="8" spans="1:76">
      <c r="AG8" s="3304"/>
      <c r="AH8" s="3304"/>
      <c r="AI8" s="3304"/>
      <c r="AJ8" s="3304"/>
      <c r="AK8" s="3304"/>
      <c r="AL8" s="3304"/>
    </row>
    <row r="9" spans="1:76" ht="13.15">
      <c r="A9" s="1333" t="s">
        <v>2355</v>
      </c>
      <c r="D9" s="1525"/>
      <c r="AB9" s="583"/>
      <c r="AC9" s="583"/>
      <c r="AD9" s="583"/>
      <c r="AE9" s="583"/>
      <c r="AG9" s="3304"/>
      <c r="AH9" s="3304"/>
      <c r="AI9" s="3304"/>
      <c r="AJ9" s="3304"/>
      <c r="AK9" s="3304"/>
      <c r="AL9" s="3304"/>
    </row>
    <row r="10" spans="1:76">
      <c r="B10" t="s">
        <v>2356</v>
      </c>
      <c r="C10" s="545" t="s">
        <v>2357</v>
      </c>
      <c r="D10" s="3305">
        <f>+AVERAGE(E10:Y10)</f>
        <v>2.5032402752543419E-2</v>
      </c>
      <c r="F10" s="1439">
        <f>'VVP2'!H131/100</f>
        <v>1.5190345789658943E-2</v>
      </c>
      <c r="G10" s="1439">
        <f>'VVP2'!I131/100</f>
        <v>2.9123066792213548E-2</v>
      </c>
      <c r="H10" s="1439">
        <f>'VVP2'!J131/100</f>
        <v>4.2409560508338551E-2</v>
      </c>
      <c r="I10" s="1439">
        <f>'VVP2'!K131/100</f>
        <v>4.4867022926029954E-2</v>
      </c>
      <c r="J10" s="1439">
        <f>'VVP2'!L131/100</f>
        <v>4.7456166368949892E-2</v>
      </c>
      <c r="K10" s="1439">
        <f>'VVP2'!M131/100</f>
        <v>1.5734459634978881E-2</v>
      </c>
      <c r="L10" s="1439">
        <f>'VVP2'!N131/100</f>
        <v>2.0753008012419194E-2</v>
      </c>
      <c r="M10" s="1439">
        <f>'VVP2'!O131/100</f>
        <v>2.3597762270646028E-2</v>
      </c>
      <c r="N10" s="1439">
        <f>'VVP2'!P131/100</f>
        <v>4.310783239085425E-2</v>
      </c>
      <c r="O10" s="1439">
        <f>'VVP2'!Q131/100</f>
        <v>2.8166773859819028E-2</v>
      </c>
      <c r="P10" s="1439">
        <f>'VVP2'!R131/100</f>
        <v>4.6995582969571181E-2</v>
      </c>
      <c r="Q10" s="1439">
        <f>'VVP2'!S131/100</f>
        <v>3.4080983285069921E-2</v>
      </c>
      <c r="R10" s="1439">
        <f>'VVP2'!T131/100</f>
        <v>-5.5705795199625374E-3</v>
      </c>
      <c r="S10" s="1439">
        <f>'VVP2'!U131/100</f>
        <v>-5.1958979284636442E-2</v>
      </c>
      <c r="T10" s="1439">
        <f>'VVP2'!V131/100</f>
        <v>5.9919680665020847E-2</v>
      </c>
      <c r="U10" s="1439">
        <f>'VVP2'!W131/100</f>
        <v>2.6792280204686714E-2</v>
      </c>
      <c r="V10" s="1439">
        <f>'VVP2'!X131/100</f>
        <v>-2.9851237313677226E-3</v>
      </c>
      <c r="W10" s="1439">
        <f>'VVP2'!Y131/100</f>
        <v>1.238349337689959E-2</v>
      </c>
      <c r="X10" s="3306">
        <f>'VVP2'!Z131/100</f>
        <v>2.601902927795896E-2</v>
      </c>
      <c r="Y10" s="3306">
        <f>'VVP2'!AA131/100</f>
        <v>4.456568925371962E-2</v>
      </c>
      <c r="Z10" s="3306">
        <f>'VVP2'!AB131/100</f>
        <v>2.6839662785306029E-2</v>
      </c>
      <c r="AA10" s="3306">
        <f>'VVP2'!AC131/100</f>
        <v>2.1141964181437434E-2</v>
      </c>
      <c r="AB10" s="3303" t="s">
        <v>2391</v>
      </c>
      <c r="AC10" s="3303"/>
      <c r="AD10" s="3303"/>
      <c r="AE10" s="3303"/>
      <c r="AG10" s="3304">
        <f t="shared" si="0"/>
        <v>1.5659661904414958E-2</v>
      </c>
      <c r="AH10" s="3304">
        <f t="shared" si="1"/>
        <v>2.3083207244838897E-2</v>
      </c>
      <c r="AI10" s="3304">
        <f t="shared" si="3"/>
        <v>2.3083207244838897E-2</v>
      </c>
      <c r="AJ10" s="3304">
        <f t="shared" ref="AJ10:AJ54" si="4">+RSQ($F$6:$Y$6,$F10:$Y10)</f>
        <v>1.0210387457693511E-2</v>
      </c>
      <c r="AK10" s="3304">
        <f>+RSQ($F$7:$Y$7,$F10:$Y10)</f>
        <v>8.6757014936968881E-3</v>
      </c>
      <c r="AL10" s="3304"/>
      <c r="AM10" s="3320" t="s">
        <v>2403</v>
      </c>
    </row>
    <row r="11" spans="1:76">
      <c r="B11" t="s">
        <v>2358</v>
      </c>
      <c r="C11" s="545" t="s">
        <v>2357</v>
      </c>
      <c r="D11" s="3305">
        <f t="shared" ref="D11:D25" si="5">+AVERAGE(E11:Y11)</f>
        <v>5.2471642278753335E-3</v>
      </c>
      <c r="F11" s="1439">
        <f t="shared" ref="F11:AA11" si="6">+F3/E3-1</f>
        <v>1.592737957786694E-3</v>
      </c>
      <c r="G11" s="1439">
        <f t="shared" si="6"/>
        <v>5.7284260062284709E-4</v>
      </c>
      <c r="H11" s="1439">
        <f t="shared" si="6"/>
        <v>5.5521880809794588E-4</v>
      </c>
      <c r="I11" s="1439">
        <f t="shared" si="6"/>
        <v>7.7963175463136025E-4</v>
      </c>
      <c r="J11" s="1439">
        <f t="shared" si="6"/>
        <v>1.6070447604019655E-3</v>
      </c>
      <c r="K11" s="1439">
        <f t="shared" si="6"/>
        <v>2.6883123279930476E-3</v>
      </c>
      <c r="L11" s="1439">
        <f t="shared" si="6"/>
        <v>3.2596819230303886E-3</v>
      </c>
      <c r="M11" s="1439">
        <f t="shared" si="6"/>
        <v>3.7278606801285363E-3</v>
      </c>
      <c r="N11" s="1439">
        <f t="shared" si="6"/>
        <v>3.9407342679007584E-3</v>
      </c>
      <c r="O11" s="1439">
        <f t="shared" si="6"/>
        <v>4.0074360115063268E-3</v>
      </c>
      <c r="P11" s="1439">
        <f t="shared" si="6"/>
        <v>5.6406328007572171E-3</v>
      </c>
      <c r="Q11" s="1439">
        <f t="shared" si="6"/>
        <v>7.4431437151978308E-3</v>
      </c>
      <c r="R11" s="1439">
        <f t="shared" si="6"/>
        <v>7.8207565031047643E-3</v>
      </c>
      <c r="S11" s="1439">
        <f t="shared" si="6"/>
        <v>0</v>
      </c>
      <c r="T11" s="1439">
        <f t="shared" si="6"/>
        <v>1.7190373113388224E-2</v>
      </c>
      <c r="U11" s="1439">
        <f t="shared" si="6"/>
        <v>7.5800325139585567E-3</v>
      </c>
      <c r="V11" s="1439">
        <f t="shared" si="6"/>
        <v>7.4251161141736244E-3</v>
      </c>
      <c r="W11" s="1439">
        <f t="shared" si="6"/>
        <v>8.5094355994417281E-3</v>
      </c>
      <c r="X11" s="3306">
        <f t="shared" si="6"/>
        <v>9.9715860161138092E-3</v>
      </c>
      <c r="Y11" s="3306">
        <f t="shared" si="6"/>
        <v>1.0630707089271052E-2</v>
      </c>
      <c r="Z11" s="3306">
        <f t="shared" si="6"/>
        <v>1.2643805311992162E-2</v>
      </c>
      <c r="AA11" s="3306">
        <f t="shared" si="6"/>
        <v>1.3565589733434802E-2</v>
      </c>
      <c r="AB11" s="3304">
        <f>+RSQ(F10:Y10,F11:Y11)</f>
        <v>7.2621040406118234E-2</v>
      </c>
      <c r="AC11" s="3304"/>
      <c r="AD11" s="3304"/>
      <c r="AE11" s="3304"/>
      <c r="AG11" s="3304">
        <f t="shared" si="0"/>
        <v>0.5759848893929711</v>
      </c>
      <c r="AH11" s="3304">
        <f t="shared" si="1"/>
        <v>0.6099040902136843</v>
      </c>
      <c r="AI11" s="3304">
        <f t="shared" si="3"/>
        <v>0.6099040902136843</v>
      </c>
      <c r="AJ11" s="3304">
        <f t="shared" si="4"/>
        <v>0.60452620698044868</v>
      </c>
      <c r="AK11" s="3304">
        <f t="shared" ref="AK11:AK54" si="7">+RSQ($F$7:$Y$7,$F11:$Y11)</f>
        <v>0.55623413342868078</v>
      </c>
      <c r="AL11" s="3304"/>
      <c r="AM11" s="3304">
        <f>+RSQ($F$10:$Y$10,$F11:$Y11)</f>
        <v>7.2621040406118234E-2</v>
      </c>
      <c r="AN11" s="3317"/>
    </row>
    <row r="12" spans="1:76">
      <c r="B12" t="s">
        <v>2359</v>
      </c>
      <c r="C12" s="545" t="s">
        <v>2357</v>
      </c>
      <c r="D12" s="3305">
        <f t="shared" si="5"/>
        <v>1.782418891219701E-2</v>
      </c>
      <c r="F12" s="1439">
        <f>+Labour1!H252/100</f>
        <v>2.4773185121083729E-2</v>
      </c>
      <c r="G12" s="1439">
        <f>+Labour1!I252/100</f>
        <v>4.6221834922292038E-2</v>
      </c>
      <c r="H12" s="1439">
        <f>+Labour1!J252/100</f>
        <v>2.4752998958986083E-2</v>
      </c>
      <c r="I12" s="1439">
        <f>+Labour1!K252/100</f>
        <v>2.2865750875463053E-2</v>
      </c>
      <c r="J12" s="1439">
        <f>+Labour1!L252/100</f>
        <v>2.8083277943397489E-2</v>
      </c>
      <c r="K12" s="1439">
        <f>+Labour1!M252/100</f>
        <v>-6.7740400453532024E-3</v>
      </c>
      <c r="L12" s="1439">
        <f>+Labour1!N252/100</f>
        <v>1.8806959368764753E-2</v>
      </c>
      <c r="M12" s="1439">
        <f>+Labour1!O252/100</f>
        <v>2.9959592710034011E-2</v>
      </c>
      <c r="N12" s="1439">
        <f>+Labour1!P252/100</f>
        <v>5.3272277116120259E-2</v>
      </c>
      <c r="O12" s="1439">
        <f>+Labour1!Q252/100</f>
        <v>2.3830630270831543E-2</v>
      </c>
      <c r="P12" s="1439">
        <f>+Labour1!R252/100</f>
        <v>3.0498869602490597E-2</v>
      </c>
      <c r="Q12" s="1439">
        <f>+Labour1!S252/100</f>
        <v>1.0783406591473588E-2</v>
      </c>
      <c r="R12" s="1439">
        <f>+Labour1!T252/100</f>
        <v>-1.1878969047978805E-2</v>
      </c>
      <c r="S12" s="1439">
        <f>+Labour1!U252/100</f>
        <v>-3.4352092382856081E-2</v>
      </c>
      <c r="T12" s="1439">
        <f>+Labour1!V252/100</f>
        <v>5.2233675122710599E-2</v>
      </c>
      <c r="U12" s="1439">
        <f>+Labour1!W252/100</f>
        <v>8.124762605395075E-3</v>
      </c>
      <c r="V12" s="1439">
        <f>+Labour1!X252/100</f>
        <v>-8.663123696399766E-3</v>
      </c>
      <c r="W12" s="1439">
        <f>+Labour1!Y252/100</f>
        <v>3.7550306174107817E-3</v>
      </c>
      <c r="X12" s="3306">
        <f>+Labour1!Z252/100</f>
        <v>1.2368304016831422E-2</v>
      </c>
      <c r="Y12" s="3306">
        <f>+Labour1!AA252/100</f>
        <v>2.7821447573243008E-2</v>
      </c>
      <c r="Z12" s="3306">
        <f>+Labour1!AB252/100</f>
        <v>6.9174814901149517E-3</v>
      </c>
      <c r="AA12" s="3306">
        <f>+Labour1!AC252/100</f>
        <v>-1.843309519389158E-3</v>
      </c>
      <c r="AB12" s="3304">
        <f>+RSQ(F10:Y10,F12:Y12)</f>
        <v>0.7172344923311359</v>
      </c>
      <c r="AC12" s="3304"/>
      <c r="AD12" s="3304"/>
      <c r="AE12" s="3304"/>
      <c r="AG12" s="3304">
        <f t="shared" si="0"/>
        <v>6.8020384661235819E-2</v>
      </c>
      <c r="AH12" s="3304">
        <f t="shared" si="1"/>
        <v>9.6234225948930122E-2</v>
      </c>
      <c r="AI12" s="3304">
        <f t="shared" si="3"/>
        <v>9.6234225948930122E-2</v>
      </c>
      <c r="AJ12" s="3304">
        <f t="shared" si="4"/>
        <v>8.0427368028071863E-2</v>
      </c>
      <c r="AK12" s="3304">
        <f t="shared" si="7"/>
        <v>7.9500200617100975E-2</v>
      </c>
      <c r="AL12" s="3304"/>
      <c r="AM12" s="3304">
        <f t="shared" ref="AM12:AM54" si="8">+RSQ($F$10:$Y$10,$F12:$Y12)</f>
        <v>0.7172344923311359</v>
      </c>
      <c r="AN12" s="3304">
        <f>+RSQ($F$11:$Y$11,$F12:$Y12)</f>
        <v>1.7072384320626518E-2</v>
      </c>
      <c r="AO12" s="3317"/>
      <c r="AP12" s="3317"/>
    </row>
    <row r="13" spans="1:76">
      <c r="B13" t="s">
        <v>2348</v>
      </c>
      <c r="C13" s="545" t="s">
        <v>2357</v>
      </c>
      <c r="D13" s="3305">
        <f t="shared" si="5"/>
        <v>1.9672851351757059E-2</v>
      </c>
      <c r="F13" s="1439">
        <f t="shared" ref="F13:AA13" si="9">+F7/E7-1</f>
        <v>1.3575984845494604E-2</v>
      </c>
      <c r="G13" s="1439">
        <f t="shared" si="9"/>
        <v>2.8533878770269805E-2</v>
      </c>
      <c r="H13" s="1439">
        <f t="shared" si="9"/>
        <v>4.1831116277719405E-2</v>
      </c>
      <c r="I13" s="1439">
        <f t="shared" si="9"/>
        <v>4.4053046017834996E-2</v>
      </c>
      <c r="J13" s="1439">
        <f t="shared" si="9"/>
        <v>4.577555823752788E-2</v>
      </c>
      <c r="K13" s="1439">
        <f t="shared" si="9"/>
        <v>1.3011169220368934E-2</v>
      </c>
      <c r="L13" s="1439">
        <f t="shared" si="9"/>
        <v>1.7436488682429641E-2</v>
      </c>
      <c r="M13" s="1439">
        <f t="shared" si="9"/>
        <v>1.9796104471040188E-2</v>
      </c>
      <c r="N13" s="1439">
        <f t="shared" si="9"/>
        <v>3.9013356850706282E-2</v>
      </c>
      <c r="O13" s="1439">
        <f t="shared" si="9"/>
        <v>2.4062907287108803E-2</v>
      </c>
      <c r="P13" s="1439">
        <f t="shared" si="9"/>
        <v>4.1122990479847799E-2</v>
      </c>
      <c r="Q13" s="1439">
        <f t="shared" si="9"/>
        <v>2.6441035145307046E-2</v>
      </c>
      <c r="R13" s="1439">
        <f t="shared" si="9"/>
        <v>-1.3287418359522407E-2</v>
      </c>
      <c r="S13" s="1439">
        <f t="shared" si="9"/>
        <v>-5.1958979284636553E-2</v>
      </c>
      <c r="T13" s="1439">
        <f t="shared" si="9"/>
        <v>4.2007188311120158E-2</v>
      </c>
      <c r="U13" s="1439">
        <f t="shared" si="9"/>
        <v>1.9067713800156261E-2</v>
      </c>
      <c r="V13" s="1439">
        <f t="shared" si="9"/>
        <v>-1.0333512316722415E-2</v>
      </c>
      <c r="W13" s="1439">
        <f t="shared" si="9"/>
        <v>3.8413698877841629E-3</v>
      </c>
      <c r="X13" s="3306">
        <f t="shared" si="9"/>
        <v>1.5889004684919161E-2</v>
      </c>
      <c r="Y13" s="3306">
        <f t="shared" si="9"/>
        <v>3.3578024026387432E-2</v>
      </c>
      <c r="Z13" s="3306">
        <f t="shared" si="9"/>
        <v>1.4018608911491981E-2</v>
      </c>
      <c r="AA13" s="3306">
        <f t="shared" si="9"/>
        <v>7.4749720439848399E-3</v>
      </c>
      <c r="AB13" s="3304">
        <f>+RSQ(F10:Y10,F13:Y13)</f>
        <v>0.96782115580467809</v>
      </c>
      <c r="AC13" s="3304"/>
      <c r="AD13" s="3304"/>
      <c r="AE13" s="3304"/>
      <c r="AG13" s="3304">
        <f t="shared" si="0"/>
        <v>7.3006086530111702E-2</v>
      </c>
      <c r="AH13" s="3304">
        <f t="shared" si="1"/>
        <v>9.1322146440599467E-2</v>
      </c>
      <c r="AI13" s="3304">
        <f t="shared" si="3"/>
        <v>9.1322146440599467E-2</v>
      </c>
      <c r="AJ13" s="3304">
        <f t="shared" si="4"/>
        <v>6.1943997146995493E-2</v>
      </c>
      <c r="AK13" s="3304">
        <f t="shared" si="7"/>
        <v>5.5172504369807689E-2</v>
      </c>
      <c r="AL13" s="3304"/>
      <c r="AM13" s="3304">
        <f t="shared" si="8"/>
        <v>0.96782115580467809</v>
      </c>
      <c r="AN13" s="3304">
        <f>+RSQ($F$11:$Y$11,$F13:$Y13)</f>
        <v>8.5398756814028098E-3</v>
      </c>
      <c r="AO13" s="3304">
        <f>+RSQ($F$12:$Y$12,$F13:$Y13)</f>
        <v>0.72348387381239132</v>
      </c>
      <c r="AP13" s="3318"/>
    </row>
    <row r="14" spans="1:76">
      <c r="D14" s="3305"/>
      <c r="F14" s="1439"/>
      <c r="G14" s="1439"/>
      <c r="H14" s="1439"/>
      <c r="I14" s="1439"/>
      <c r="J14" s="1439"/>
      <c r="K14" s="1439"/>
      <c r="L14" s="1439"/>
      <c r="M14" s="1439"/>
      <c r="N14" s="1439"/>
      <c r="O14" s="1439"/>
      <c r="P14" s="1439"/>
      <c r="Q14" s="1439"/>
      <c r="R14" s="1439"/>
      <c r="S14" s="1439"/>
      <c r="T14" s="1439"/>
      <c r="U14" s="1439"/>
      <c r="V14" s="1439"/>
      <c r="W14" s="1439"/>
      <c r="X14" s="3306"/>
      <c r="Y14" s="3306"/>
      <c r="Z14" s="3306"/>
      <c r="AA14" s="3306"/>
      <c r="AB14" s="3304"/>
      <c r="AC14" s="3304"/>
      <c r="AD14" s="3304"/>
      <c r="AE14" s="3304"/>
      <c r="AG14" s="3304"/>
      <c r="AH14" s="3304"/>
      <c r="AI14" s="3304"/>
      <c r="AJ14" s="3304"/>
      <c r="AK14" s="3304"/>
      <c r="AL14" s="3304"/>
      <c r="AM14" s="3304"/>
      <c r="AN14" s="3304"/>
      <c r="AO14" s="3304"/>
      <c r="AP14" s="3304"/>
    </row>
    <row r="15" spans="1:76">
      <c r="B15" t="s">
        <v>2360</v>
      </c>
      <c r="D15" s="3305">
        <f t="shared" si="5"/>
        <v>3.5051686900275415E-2</v>
      </c>
      <c r="F15" s="1439">
        <f>+'VVP2'!H42/100</f>
        <v>5.2145700905189551E-2</v>
      </c>
      <c r="G15" s="1439">
        <f>+'VVP2'!I42/100</f>
        <v>1.4309449204905622E-2</v>
      </c>
      <c r="H15" s="1439">
        <f>+'VVP2'!J42/100</f>
        <v>7.8839351635803023E-2</v>
      </c>
      <c r="I15" s="1439">
        <f>+'VVP2'!K42/100</f>
        <v>6.8000910017954608E-2</v>
      </c>
      <c r="J15" s="1439">
        <f>+'VVP2'!L42/100</f>
        <v>6.535996935921462E-2</v>
      </c>
      <c r="K15" s="1439">
        <f>+'VVP2'!M42/100</f>
        <v>2.5100784083548433E-2</v>
      </c>
      <c r="L15" s="1439">
        <f>+'VVP2'!N42/100</f>
        <v>-2.2231604070815481E-2</v>
      </c>
      <c r="M15" s="1439">
        <f>+'VVP2'!O42/100</f>
        <v>2.3398653945408965E-2</v>
      </c>
      <c r="N15" s="1439">
        <f>+'VVP2'!P42/100</f>
        <v>5.7570718089645423E-2</v>
      </c>
      <c r="O15" s="1439">
        <f>+'VVP2'!Q42/100</f>
        <v>5.0461475655452226E-2</v>
      </c>
      <c r="P15" s="1439">
        <f>+'VVP2'!R42/100</f>
        <v>9.3698695618881889E-2</v>
      </c>
      <c r="Q15" s="1439">
        <f>+'VVP2'!S42/100</f>
        <v>8.0946626795717513E-2</v>
      </c>
      <c r="R15" s="1439">
        <f>+'VVP2'!T42/100</f>
        <v>5.539798924269812E-3</v>
      </c>
      <c r="S15" s="1439">
        <f>+'VVP2'!U42/100</f>
        <v>-0.13375837621300779</v>
      </c>
      <c r="T15" s="1439">
        <f>+'VVP2'!V42/100</f>
        <v>6.0335529121229747E-2</v>
      </c>
      <c r="U15" s="1439">
        <f>+'VVP2'!W42/100</f>
        <v>5.7033418239333278E-2</v>
      </c>
      <c r="V15" s="1439">
        <f>+'VVP2'!X42/100</f>
        <v>-2.8349406927131726E-3</v>
      </c>
      <c r="W15" s="1439">
        <f>+'VVP2'!Y42/100</f>
        <v>6.2269927052218677E-3</v>
      </c>
      <c r="X15" s="3306">
        <f>+'VVP2'!Z42/100</f>
        <v>5.4381477690142122E-2</v>
      </c>
      <c r="Y15" s="3306">
        <f>+'VVP2'!AA42/100</f>
        <v>6.6509106990126021E-2</v>
      </c>
      <c r="Z15" s="3306">
        <f>+'VVP2'!AB42/100</f>
        <v>4.1596180158439244E-2</v>
      </c>
      <c r="AA15" s="3306">
        <f>+'VVP2'!AC42/100</f>
        <v>6.0546057350353344E-2</v>
      </c>
      <c r="AB15" s="3304">
        <f>+RSQ(F10:Y10,F15:Y15)</f>
        <v>0.79134411889854994</v>
      </c>
      <c r="AC15" s="3303" t="s">
        <v>2397</v>
      </c>
      <c r="AD15" s="3304"/>
      <c r="AE15" s="3304"/>
      <c r="AG15" s="3304">
        <f t="shared" si="0"/>
        <v>4.2328361849350927E-3</v>
      </c>
      <c r="AH15" s="3304">
        <f t="shared" si="1"/>
        <v>7.8232987030581007E-3</v>
      </c>
      <c r="AI15" s="3304">
        <f t="shared" si="3"/>
        <v>7.8232987030581007E-3</v>
      </c>
      <c r="AJ15" s="3304">
        <f t="shared" si="4"/>
        <v>8.8732734292761007E-4</v>
      </c>
      <c r="AK15" s="3304">
        <f t="shared" si="7"/>
        <v>4.9402614294896707E-4</v>
      </c>
      <c r="AL15" s="3304"/>
      <c r="AM15" s="3304">
        <f t="shared" si="8"/>
        <v>0.79134411889854994</v>
      </c>
      <c r="AN15" s="3304">
        <f t="shared" ref="AN15:AN54" si="10">+RSQ($F$11:$Y$11,$F15:$Y15)</f>
        <v>6.3113556482967653E-2</v>
      </c>
      <c r="AO15" s="3304">
        <f t="shared" ref="AO15:AO54" si="11">+RSQ($F$12:$Y$12,$F15:$Y15)</f>
        <v>0.41553689970205093</v>
      </c>
      <c r="AP15" s="3304">
        <f>+RSQ($F$13:$Y$13,$F15:$Y15)</f>
        <v>0.76382426467405151</v>
      </c>
      <c r="AQ15" s="3318"/>
    </row>
    <row r="16" spans="1:76">
      <c r="B16" t="s">
        <v>2361</v>
      </c>
      <c r="C16" s="545" t="s">
        <v>2357</v>
      </c>
      <c r="D16" s="3305">
        <f t="shared" si="5"/>
        <v>0.22118348549557409</v>
      </c>
      <c r="E16" s="1439">
        <f>+'VVP2'!G244</f>
        <v>0.19597454031717479</v>
      </c>
      <c r="F16" s="1439">
        <f>+'VVP2'!H244</f>
        <v>0.20122385593715397</v>
      </c>
      <c r="G16" s="1439">
        <f>+'VVP2'!I244</f>
        <v>0.19847347498340734</v>
      </c>
      <c r="H16" s="1439">
        <f>+'VVP2'!J244</f>
        <v>0.2072739391622882</v>
      </c>
      <c r="I16" s="1439">
        <f>+'VVP2'!K244</f>
        <v>0.21470891597818953</v>
      </c>
      <c r="J16" s="1439">
        <f>+'VVP2'!L244</f>
        <v>0.22203189594340719</v>
      </c>
      <c r="K16" s="1439">
        <f>+'VVP2'!M244</f>
        <v>0.2258424539750741</v>
      </c>
      <c r="L16" s="1439">
        <f>+'VVP2'!N244</f>
        <v>0.2177750306046056</v>
      </c>
      <c r="M16" s="1439">
        <f>+'VVP2'!O244</f>
        <v>0.21371364370353876</v>
      </c>
      <c r="N16" s="1439">
        <f>+'VVP2'!P244</f>
        <v>0.21678299019051042</v>
      </c>
      <c r="O16" s="1439">
        <f>+'VVP2'!Q244</f>
        <v>0.22226638902278262</v>
      </c>
      <c r="P16" s="1439">
        <f>+'VVP2'!R244</f>
        <v>0.23093049773207333</v>
      </c>
      <c r="Q16" s="1439">
        <f>+'VVP2'!S244</f>
        <v>0.23979402499194938</v>
      </c>
      <c r="R16" s="1439">
        <f>+'VVP2'!T244</f>
        <v>0.24411081112875888</v>
      </c>
      <c r="S16" s="1439">
        <f>+'VVP2'!U244</f>
        <v>0.22399786877860905</v>
      </c>
      <c r="T16" s="1439">
        <f>+'VVP2'!V244</f>
        <v>0.22337806882523076</v>
      </c>
      <c r="U16" s="1439">
        <f>+'VVP2'!W244</f>
        <v>0.22785883694892411</v>
      </c>
      <c r="V16" s="1439">
        <f>+'VVP2'!X244</f>
        <v>0.22723781883400096</v>
      </c>
      <c r="W16" s="1439">
        <f>+'VVP2'!Y244</f>
        <v>0.22421613067937771</v>
      </c>
      <c r="X16" s="3306">
        <f>+'VVP2'!Z244</f>
        <v>0.23129798207273672</v>
      </c>
      <c r="Y16" s="3306">
        <f>+'VVP2'!AA244</f>
        <v>0.23596402559726273</v>
      </c>
      <c r="Z16" s="3306">
        <f>+'VVP2'!AB244</f>
        <v>0.2393801660336331</v>
      </c>
      <c r="AA16" s="3306">
        <f>+'VVP2'!AC244</f>
        <v>0.24953880834672265</v>
      </c>
      <c r="AB16" s="3304">
        <f>+RSQ(F10:Y10,F16:Y16)</f>
        <v>1.5882282006266516E-2</v>
      </c>
      <c r="AC16" s="3304">
        <f>+RSQ(F16:Y16,$F$15:$Y$15)</f>
        <v>7.3917850110951765E-4</v>
      </c>
      <c r="AD16" s="3304"/>
      <c r="AE16" s="3304"/>
      <c r="AG16" s="3304">
        <f t="shared" si="0"/>
        <v>0.37449017088339537</v>
      </c>
      <c r="AH16" s="3304">
        <f t="shared" si="1"/>
        <v>0.59901782366572309</v>
      </c>
      <c r="AI16" s="3304">
        <f t="shared" si="3"/>
        <v>0.59901782366572309</v>
      </c>
      <c r="AJ16" s="3304">
        <f t="shared" si="4"/>
        <v>0.69499489257667313</v>
      </c>
      <c r="AK16" s="3304">
        <f t="shared" si="7"/>
        <v>0.76319228254562599</v>
      </c>
      <c r="AL16" s="3304"/>
      <c r="AM16" s="3304">
        <f t="shared" si="8"/>
        <v>1.5882282006266516E-2</v>
      </c>
      <c r="AN16" s="3304">
        <f t="shared" si="10"/>
        <v>0.33458530056555297</v>
      </c>
      <c r="AO16" s="3304">
        <f t="shared" si="11"/>
        <v>0.20029526821885524</v>
      </c>
      <c r="AP16" s="3304">
        <f t="shared" ref="AP16:AP54" si="12">+RSQ($F$13:$Y$13,$F16:$Y16)</f>
        <v>5.6274210814212251E-2</v>
      </c>
      <c r="AQ16" s="3304">
        <f>+RSQ($F$15:$Y$15,$F16:$Y16)</f>
        <v>7.3917850110951765E-4</v>
      </c>
      <c r="AR16" s="3317"/>
    </row>
    <row r="17" spans="1:82">
      <c r="B17" t="s">
        <v>811</v>
      </c>
      <c r="C17" s="545" t="s">
        <v>2357</v>
      </c>
      <c r="D17" s="3305">
        <f t="shared" si="5"/>
        <v>2.9616495393094223E-2</v>
      </c>
      <c r="E17" s="1439"/>
      <c r="F17" s="1439">
        <f>+'VVP2'!H37/100</f>
        <v>5.04001174676727E-3</v>
      </c>
      <c r="G17" s="1439">
        <f>+'VVP2'!I37/100</f>
        <v>-5.5914219877158722E-2</v>
      </c>
      <c r="H17" s="1439">
        <f>+'VVP2'!J37/100</f>
        <v>3.9813653680173644E-2</v>
      </c>
      <c r="I17" s="1439">
        <f>+'VVP2'!K37/100</f>
        <v>2.2794232376675883E-2</v>
      </c>
      <c r="J17" s="1439">
        <f>+'VVP2'!L37/100</f>
        <v>7.1847562999429293E-2</v>
      </c>
      <c r="K17" s="1439">
        <f>+'VVP2'!M37/100</f>
        <v>6.9921445442716834E-2</v>
      </c>
      <c r="L17" s="1439">
        <f>+'VVP2'!N37/100</f>
        <v>4.7740361681827714E-2</v>
      </c>
      <c r="M17" s="1439">
        <f>+'VVP2'!O37/100</f>
        <v>1.3586559039610702E-2</v>
      </c>
      <c r="N17" s="1439">
        <f>+'VVP2'!P37/100</f>
        <v>8.3026521224502048E-2</v>
      </c>
      <c r="O17" s="1439">
        <f>+'VVP2'!Q37/100</f>
        <v>2.3707232795633804E-2</v>
      </c>
      <c r="P17" s="1439">
        <f>+'VVP2'!R37/100</f>
        <v>0.14423284792943858</v>
      </c>
      <c r="Q17" s="1439">
        <f>+'VVP2'!S37/100</f>
        <v>7.2961683367217978E-2</v>
      </c>
      <c r="R17" s="1439">
        <f>+'VVP2'!T37/100</f>
        <v>-2.8827792261534868E-2</v>
      </c>
      <c r="S17" s="1439">
        <f>+'VVP2'!U37/100</f>
        <v>-0.12794412789636278</v>
      </c>
      <c r="T17" s="1439">
        <f>+'VVP2'!V37/100</f>
        <v>3.5135457016159277E-2</v>
      </c>
      <c r="U17" s="1439">
        <f>+'VVP2'!W37/100</f>
        <v>1.1032259924836918E-2</v>
      </c>
      <c r="V17" s="1439">
        <f>+'VVP2'!X37/100</f>
        <v>-2.773680301073278E-3</v>
      </c>
      <c r="W17" s="1439">
        <f>+'VVP2'!Y37/100</f>
        <v>-1.3089173344832283E-2</v>
      </c>
      <c r="X17" s="1439">
        <f>+'VVP2'!Z37/100</f>
        <v>9.4411991249097257E-2</v>
      </c>
      <c r="Y17" s="1439">
        <f>+'VVP2'!AA37/100</f>
        <v>8.5627081068759173E-2</v>
      </c>
      <c r="Z17" s="1439">
        <f>+'VVP2'!AB37/100</f>
        <v>7.6525721855122075E-2</v>
      </c>
      <c r="AA17" s="1439">
        <f>+'VVP2'!AC37/100</f>
        <v>8.0894223066741558E-2</v>
      </c>
      <c r="AB17" s="3304"/>
      <c r="AC17" s="3304">
        <f>+RSQ(F17:Y17,$F$15:$Y$15)</f>
        <v>0.6047753665208957</v>
      </c>
      <c r="AD17" s="3303" t="s">
        <v>2397</v>
      </c>
      <c r="AE17" s="3303"/>
      <c r="AG17" s="3304">
        <f t="shared" si="0"/>
        <v>1.7893141147726545E-3</v>
      </c>
      <c r="AH17" s="3304">
        <f t="shared" si="1"/>
        <v>7.2097440818562775E-3</v>
      </c>
      <c r="AI17" s="3304">
        <f t="shared" si="3"/>
        <v>7.2097440818562775E-3</v>
      </c>
      <c r="AJ17" s="3304">
        <f t="shared" si="4"/>
        <v>2.76468195032279E-2</v>
      </c>
      <c r="AK17" s="3304">
        <f t="shared" si="7"/>
        <v>3.9321412880875338E-2</v>
      </c>
      <c r="AL17" s="3304"/>
      <c r="AM17" s="3304">
        <f t="shared" si="8"/>
        <v>0.54608048513735619</v>
      </c>
      <c r="AN17" s="3304">
        <f t="shared" si="10"/>
        <v>7.6620992714451011E-2</v>
      </c>
      <c r="AO17" s="3304">
        <f t="shared" si="11"/>
        <v>0.21623283745280578</v>
      </c>
      <c r="AP17" s="3304">
        <f t="shared" si="12"/>
        <v>0.50841083084300953</v>
      </c>
      <c r="AQ17" s="3304">
        <f t="shared" ref="AQ17:AQ54" si="13">+RSQ($F$15:$Y$15,$F17:$Y17)</f>
        <v>0.6047753665208957</v>
      </c>
      <c r="AR17" s="3304">
        <f>+RSQ($F$16:$Y$16,$F17:$Y17)</f>
        <v>7.0402907709312193E-2</v>
      </c>
      <c r="AS17" s="3317"/>
    </row>
    <row r="18" spans="1:82" ht="11.25" customHeight="1">
      <c r="B18" t="s">
        <v>2362</v>
      </c>
      <c r="C18" s="545" t="s">
        <v>2357</v>
      </c>
      <c r="D18" s="3305">
        <f t="shared" si="5"/>
        <v>1.9721282510679228E-2</v>
      </c>
      <c r="E18" s="1439">
        <f>+Sector1!G577</f>
        <v>6.6129521522574675E-2</v>
      </c>
      <c r="F18" s="1439">
        <f>+Sector1!H577</f>
        <v>3.6850605207462049E-2</v>
      </c>
      <c r="G18" s="1439">
        <f>+Sector1!I577</f>
        <v>4.630713093812093E-2</v>
      </c>
      <c r="H18" s="1439">
        <f>+Sector1!J577</f>
        <v>3.1040676782121732E-2</v>
      </c>
      <c r="I18" s="1439">
        <f>+Sector1!K577</f>
        <v>2.2370616802041211E-2</v>
      </c>
      <c r="J18" s="1439">
        <f>+Sector1!L577</f>
        <v>-2.2625193717470183E-3</v>
      </c>
      <c r="K18" s="1439">
        <f>+Sector1!M577</f>
        <v>-1.9041740332872545E-3</v>
      </c>
      <c r="L18" s="1439">
        <f>+Sector1!N577</f>
        <v>3.3742184704573727E-2</v>
      </c>
      <c r="M18" s="1439">
        <f>+Sector1!O577</f>
        <v>5.1692682542897599E-2</v>
      </c>
      <c r="N18" s="1439">
        <f>+Sector1!P577</f>
        <v>4.4596163727214415E-2</v>
      </c>
      <c r="O18" s="1439">
        <f>+Sector1!Q577</f>
        <v>3.6225861765090836E-2</v>
      </c>
      <c r="P18" s="1439">
        <f>+Sector1!R577</f>
        <v>3.6365464604293962E-2</v>
      </c>
      <c r="Q18" s="1439">
        <f>+Sector1!S577</f>
        <v>1.8986162606714492E-2</v>
      </c>
      <c r="R18" s="1439">
        <f>+Sector1!T577</f>
        <v>1.5497330084993356E-2</v>
      </c>
      <c r="S18" s="1439">
        <f>+Sector1!U577</f>
        <v>2.3249328905236833E-2</v>
      </c>
      <c r="T18" s="1439">
        <f>+Sector1!V577</f>
        <v>1.5756178515158512E-2</v>
      </c>
      <c r="U18" s="1439">
        <f>+Sector1!W577</f>
        <v>-2.5145839587243355E-3</v>
      </c>
      <c r="V18" s="1439">
        <f>+Sector1!X577</f>
        <v>-6.2772593565890347E-3</v>
      </c>
      <c r="W18" s="1439">
        <f>+Sector1!Y577</f>
        <v>-1.0684592411271114E-2</v>
      </c>
      <c r="X18" s="3306">
        <f>+Sector1!Z577</f>
        <v>-1.9341144528251638E-2</v>
      </c>
      <c r="Y18" s="3306">
        <f>+Sector1!AA577</f>
        <v>-2.1678702324360269E-2</v>
      </c>
      <c r="Z18" s="3306">
        <f>+Sector1!AB577</f>
        <v>-3.5503843692060416E-2</v>
      </c>
      <c r="AA18" s="3306">
        <f>+Sector1!AC577</f>
        <v>-3.8319910528710109E-2</v>
      </c>
      <c r="AB18" s="3304">
        <f>+RSQ(F10:Y10,F18:Y18)</f>
        <v>3.1263114350648324E-3</v>
      </c>
      <c r="AC18" s="3304">
        <f>+RSQ(F18:Y18,$F$15:$Y$15)</f>
        <v>1.3571687245670398E-3</v>
      </c>
      <c r="AD18" s="3304">
        <f>+RSQ(F18:Y18,$F$17:$Y$17)</f>
        <v>2.6009085908109755E-2</v>
      </c>
      <c r="AE18" s="3304"/>
      <c r="AG18" s="3304">
        <f t="shared" si="0"/>
        <v>0.56687792197061215</v>
      </c>
      <c r="AH18" s="3304">
        <f t="shared" si="1"/>
        <v>0.45186967123733673</v>
      </c>
      <c r="AI18" s="3304">
        <f t="shared" si="3"/>
        <v>0.45186967123733673</v>
      </c>
      <c r="AJ18" s="3304">
        <f t="shared" si="4"/>
        <v>0.384967849221104</v>
      </c>
      <c r="AK18" s="3304">
        <f t="shared" si="7"/>
        <v>0.29016613597054053</v>
      </c>
      <c r="AL18" s="3304"/>
      <c r="AM18" s="3304">
        <f t="shared" si="8"/>
        <v>3.1263114350648324E-3</v>
      </c>
      <c r="AN18" s="3304">
        <f t="shared" si="10"/>
        <v>0.24769970547604547</v>
      </c>
      <c r="AO18" s="3304">
        <f t="shared" si="11"/>
        <v>0.1616243185934044</v>
      </c>
      <c r="AP18" s="3304">
        <f t="shared" si="12"/>
        <v>2.2309165330362365E-2</v>
      </c>
      <c r="AQ18" s="3304">
        <f t="shared" si="13"/>
        <v>1.3571687245670398E-3</v>
      </c>
      <c r="AR18" s="3304">
        <f>+RSQ($F$16:$Y$16,$F18:$Y18)</f>
        <v>0.3320635926732835</v>
      </c>
      <c r="AS18" s="3304">
        <f>+RSQ($F$17:$Y$17,$F18:$Y18)</f>
        <v>2.6009085908109755E-2</v>
      </c>
      <c r="AT18" s="3317"/>
    </row>
    <row r="19" spans="1:82" ht="11.25" customHeight="1">
      <c r="D19" s="3305"/>
      <c r="E19" s="1439"/>
      <c r="F19" s="1439"/>
      <c r="G19" s="1439"/>
      <c r="H19" s="1439"/>
      <c r="I19" s="1439"/>
      <c r="J19" s="1439"/>
      <c r="K19" s="1439"/>
      <c r="L19" s="1439"/>
      <c r="M19" s="1439"/>
      <c r="N19" s="1439"/>
      <c r="O19" s="1439"/>
      <c r="P19" s="1439"/>
      <c r="Q19" s="1439"/>
      <c r="R19" s="1439"/>
      <c r="S19" s="1439"/>
      <c r="T19" s="1439"/>
      <c r="U19" s="1439"/>
      <c r="V19" s="1439"/>
      <c r="W19" s="1439"/>
      <c r="X19" s="3321">
        <f>FORECAST(X21,E10:W10,E21:W21)</f>
        <v>3.4369454732640525E-2</v>
      </c>
      <c r="Y19" s="3322"/>
      <c r="Z19" s="3322"/>
      <c r="AA19" s="3322"/>
      <c r="AB19" s="3304"/>
      <c r="AC19" s="3304"/>
      <c r="AD19" s="3304"/>
      <c r="AE19" s="3304"/>
      <c r="AG19" s="3304"/>
      <c r="AH19" s="3304"/>
      <c r="AI19" s="3304"/>
      <c r="AJ19" s="3304"/>
      <c r="AK19" s="3304"/>
      <c r="AL19" s="3304"/>
      <c r="AM19" s="3304"/>
      <c r="AN19" s="3304"/>
      <c r="AO19" s="3304"/>
      <c r="AP19" s="3304"/>
      <c r="AQ19" s="3304"/>
      <c r="AR19" s="3304"/>
      <c r="AS19" s="3304"/>
      <c r="AT19" s="3317"/>
    </row>
    <row r="20" spans="1:82" ht="13.15">
      <c r="A20" s="1333" t="s">
        <v>2400</v>
      </c>
      <c r="D20" s="3305"/>
      <c r="E20" s="1439"/>
      <c r="F20" s="1439"/>
      <c r="G20" s="1439"/>
      <c r="H20" s="1439"/>
      <c r="I20" s="1439"/>
      <c r="J20" s="1439"/>
      <c r="K20" s="1439"/>
      <c r="L20" s="1439"/>
      <c r="M20" s="1439"/>
      <c r="N20" s="1439"/>
      <c r="O20" s="1439"/>
      <c r="P20" s="1439"/>
      <c r="Q20" s="1439"/>
      <c r="R20" s="1439"/>
      <c r="S20" s="1439"/>
      <c r="T20" s="1439"/>
      <c r="U20" s="1439"/>
      <c r="V20" s="1439"/>
      <c r="W20" s="1439"/>
      <c r="X20" s="3321">
        <f>FORECAST(X22,E10:W10,E22:W22)</f>
        <v>2.9910014522642414E-2</v>
      </c>
      <c r="Y20" s="3321">
        <f>FORECAST(X25,E10:W10,E25:W25)</f>
        <v>3.0311195363180221E-2</v>
      </c>
      <c r="Z20" s="3321"/>
      <c r="AA20" s="3321"/>
      <c r="AB20" s="3304"/>
      <c r="AC20" s="3304"/>
      <c r="AD20" s="3304"/>
      <c r="AE20" s="3303" t="s">
        <v>2398</v>
      </c>
      <c r="AG20" s="3304"/>
      <c r="AH20" s="3304"/>
      <c r="AI20" s="3304"/>
      <c r="AJ20" s="3304"/>
      <c r="AK20" s="3304"/>
      <c r="AL20" s="3304"/>
      <c r="AM20" s="3304"/>
      <c r="AN20" s="3304"/>
      <c r="AO20" s="3304"/>
      <c r="AP20" s="3304"/>
      <c r="AQ20" s="3304"/>
      <c r="AR20" s="3304"/>
      <c r="AS20" s="3304"/>
    </row>
    <row r="21" spans="1:82">
      <c r="B21" t="s">
        <v>2392</v>
      </c>
      <c r="D21" s="3315">
        <f t="shared" si="5"/>
        <v>100.18289473684212</v>
      </c>
      <c r="E21" s="3312"/>
      <c r="F21" s="3312">
        <v>91.325000000000017</v>
      </c>
      <c r="G21" s="3312">
        <v>101.6</v>
      </c>
      <c r="H21" s="3312">
        <v>100.69999999999999</v>
      </c>
      <c r="I21" s="3312">
        <v>103.45</v>
      </c>
      <c r="J21" s="3312">
        <v>110.425</v>
      </c>
      <c r="K21" s="3312">
        <v>90.85</v>
      </c>
      <c r="L21" s="3312">
        <v>97.25</v>
      </c>
      <c r="M21" s="3312">
        <v>90.024999999999991</v>
      </c>
      <c r="N21" s="3312">
        <v>102.15</v>
      </c>
      <c r="O21" s="3312">
        <v>103.72499999999999</v>
      </c>
      <c r="P21" s="3312">
        <v>112.22499999999999</v>
      </c>
      <c r="Q21" s="3312">
        <v>112.42500000000001</v>
      </c>
      <c r="R21" s="3312">
        <v>89.9</v>
      </c>
      <c r="S21" s="3312">
        <v>89.6</v>
      </c>
      <c r="T21" s="3312">
        <v>113.77499999999999</v>
      </c>
      <c r="U21" s="3312">
        <v>99.525000000000006</v>
      </c>
      <c r="V21" s="3312">
        <v>91.449999999999989</v>
      </c>
      <c r="W21" s="3312">
        <v>98.674999999999983</v>
      </c>
      <c r="X21" s="3313">
        <v>104.4</v>
      </c>
      <c r="Y21" s="3313"/>
      <c r="Z21" s="3313"/>
      <c r="AA21" s="3313"/>
      <c r="AB21" s="3304">
        <f>+RSQ(F10:Y10,F21:Y21)</f>
        <v>0.57500616760121015</v>
      </c>
      <c r="AC21" s="3304">
        <f>+RSQ(F21:Y21,$F$15:$Y$15)</f>
        <v>0.41574955916966044</v>
      </c>
      <c r="AD21" s="3304">
        <f>+RSQ(F21:Y21,$F$17:$Y$17)</f>
        <v>0.34463856086132055</v>
      </c>
      <c r="AE21" s="3304">
        <f>+RSQ($F$43:$Y$43,F21:Y21)</f>
        <v>0.10819436654356338</v>
      </c>
      <c r="AG21" s="3304">
        <f t="shared" si="0"/>
        <v>1.4738747653292232E-3</v>
      </c>
      <c r="AH21" s="3304">
        <f t="shared" si="1"/>
        <v>8.5690250642704406E-3</v>
      </c>
      <c r="AI21" s="3304">
        <f t="shared" si="3"/>
        <v>8.5690250642704406E-3</v>
      </c>
      <c r="AJ21" s="3304">
        <f t="shared" si="4"/>
        <v>2.6369811517951917E-2</v>
      </c>
      <c r="AK21" s="3304">
        <f t="shared" si="7"/>
        <v>3.7304224533064298E-2</v>
      </c>
      <c r="AL21" s="3304"/>
      <c r="AM21" s="3304">
        <f t="shared" si="8"/>
        <v>0.57500616760121015</v>
      </c>
      <c r="AN21" s="3304">
        <f t="shared" si="10"/>
        <v>0.12966305981401222</v>
      </c>
      <c r="AO21" s="3304">
        <f t="shared" si="11"/>
        <v>0.33817738363292366</v>
      </c>
      <c r="AP21" s="3304">
        <f t="shared" si="12"/>
        <v>0.50711915568095167</v>
      </c>
      <c r="AQ21" s="3304">
        <f t="shared" si="13"/>
        <v>0.41574955916966044</v>
      </c>
      <c r="AR21" s="3304">
        <f t="shared" ref="AR21:AR54" si="14">+RSQ($F$16:$Y$16,$F21:$Y21)</f>
        <v>2.1849670221031164E-2</v>
      </c>
      <c r="AS21" s="3304">
        <f t="shared" ref="AS21:AS54" si="15">+RSQ($F$17:$Y$17,$F21:$Y21)</f>
        <v>0.34463856086132055</v>
      </c>
      <c r="AT21" s="3304">
        <f>+RSQ($F$18:$Y$18,$F21:$Y21)</f>
        <v>1.3463043677475076E-3</v>
      </c>
      <c r="AV21" s="3317"/>
    </row>
    <row r="22" spans="1:82">
      <c r="B22" t="s">
        <v>2393</v>
      </c>
      <c r="D22" s="3315">
        <f t="shared" si="5"/>
        <v>103.64500000000001</v>
      </c>
      <c r="E22" s="3312">
        <v>106.52500000000001</v>
      </c>
      <c r="F22" s="3312">
        <v>99.324999999999989</v>
      </c>
      <c r="G22" s="3312">
        <v>108.15</v>
      </c>
      <c r="H22" s="3312">
        <v>104.32499999999999</v>
      </c>
      <c r="I22" s="3312">
        <v>104.95</v>
      </c>
      <c r="J22" s="3312">
        <v>109.80000000000001</v>
      </c>
      <c r="K22" s="3312">
        <v>95.65</v>
      </c>
      <c r="L22" s="3312">
        <v>100.625</v>
      </c>
      <c r="M22" s="3312">
        <v>100</v>
      </c>
      <c r="N22" s="3312">
        <v>107.15</v>
      </c>
      <c r="O22" s="3312">
        <v>103.12499999999999</v>
      </c>
      <c r="P22" s="3312">
        <v>107.92499999999998</v>
      </c>
      <c r="Q22" s="3312">
        <v>110.69999999999999</v>
      </c>
      <c r="R22" s="3312">
        <v>97.2</v>
      </c>
      <c r="S22" s="3312">
        <v>97.55</v>
      </c>
      <c r="T22" s="3312">
        <v>110.44999999999999</v>
      </c>
      <c r="U22" s="3312">
        <v>103.85</v>
      </c>
      <c r="V22" s="3312">
        <v>98.95</v>
      </c>
      <c r="W22" s="3312">
        <v>101.75</v>
      </c>
      <c r="X22" s="3313">
        <v>104.9</v>
      </c>
      <c r="Y22" s="3313"/>
      <c r="Z22" s="3313"/>
      <c r="AA22" s="3313"/>
      <c r="AB22" s="3304">
        <f>+RSQ(F10:Y10,F22:Y22)</f>
        <v>0.57284569605044144</v>
      </c>
      <c r="AC22" s="3304">
        <f>+RSQ(F22:Y22,$F$15:$Y$15)</f>
        <v>0.38001371421533009</v>
      </c>
      <c r="AD22" s="3304">
        <f>+RSQ(F22:Y22,$F$17:$Y$17)</f>
        <v>0.20723025733479863</v>
      </c>
      <c r="AE22" s="3304">
        <f>+RSQ($F$43:$Y$43,F22:Y22)</f>
        <v>2.2628244508362001E-2</v>
      </c>
      <c r="AG22" s="3304">
        <f t="shared" si="0"/>
        <v>1.603185284291208E-3</v>
      </c>
      <c r="AH22" s="3304">
        <f t="shared" si="1"/>
        <v>3.1036988281716866E-4</v>
      </c>
      <c r="AI22" s="3304">
        <f t="shared" si="3"/>
        <v>3.1036988281716866E-4</v>
      </c>
      <c r="AJ22" s="3304">
        <f t="shared" si="4"/>
        <v>1.1661090178432287E-3</v>
      </c>
      <c r="AK22" s="3304">
        <f t="shared" si="7"/>
        <v>2.975983079499412E-3</v>
      </c>
      <c r="AL22" s="3304"/>
      <c r="AM22" s="3304">
        <f t="shared" si="8"/>
        <v>0.57284569605044144</v>
      </c>
      <c r="AN22" s="3304">
        <f t="shared" si="10"/>
        <v>6.7905817309947242E-2</v>
      </c>
      <c r="AO22" s="3304">
        <f t="shared" si="11"/>
        <v>0.4901699531664363</v>
      </c>
      <c r="AP22" s="3304">
        <f t="shared" si="12"/>
        <v>0.5308342450311655</v>
      </c>
      <c r="AQ22" s="3304">
        <f t="shared" si="13"/>
        <v>0.38001371421533009</v>
      </c>
      <c r="AR22" s="3304">
        <f t="shared" si="14"/>
        <v>1.6561681664528632E-3</v>
      </c>
      <c r="AS22" s="3304">
        <f t="shared" si="15"/>
        <v>0.20723025733479863</v>
      </c>
      <c r="AT22" s="3304">
        <f t="shared" ref="AT22:AT54" si="16">+RSQ($F$18:$Y$18,$F22:$Y22)</f>
        <v>1.0498335828380884E-2</v>
      </c>
      <c r="AV22" s="3304">
        <f>+RSQ($F$21:$Y$21,$F22:$Y22)</f>
        <v>0.87561943245960161</v>
      </c>
      <c r="AW22" s="3317"/>
    </row>
    <row r="23" spans="1:82">
      <c r="B23" t="s">
        <v>2394</v>
      </c>
      <c r="D23" s="3315">
        <f t="shared" si="5"/>
        <v>102.51875</v>
      </c>
      <c r="E23" s="3312">
        <v>95.3</v>
      </c>
      <c r="F23" s="3312">
        <v>89.424999999999997</v>
      </c>
      <c r="G23" s="3312">
        <v>89.225000000000009</v>
      </c>
      <c r="H23" s="3312">
        <v>100.95</v>
      </c>
      <c r="I23" s="3312">
        <v>100.925</v>
      </c>
      <c r="J23" s="3312">
        <v>110.05000000000001</v>
      </c>
      <c r="K23" s="3312">
        <v>105.32499999999999</v>
      </c>
      <c r="L23" s="3312">
        <v>98.699999999999989</v>
      </c>
      <c r="M23" s="3312">
        <v>93.95</v>
      </c>
      <c r="N23" s="3312">
        <v>104.325</v>
      </c>
      <c r="O23" s="3312">
        <v>111.85</v>
      </c>
      <c r="P23" s="3312">
        <v>114.97499999999999</v>
      </c>
      <c r="Q23" s="3312">
        <v>117</v>
      </c>
      <c r="R23" s="3312">
        <v>106.37499999999999</v>
      </c>
      <c r="S23" s="3312">
        <v>97.775000000000006</v>
      </c>
      <c r="T23" s="3312">
        <v>108.52499999999999</v>
      </c>
      <c r="U23" s="3312">
        <v>110.22499999999999</v>
      </c>
      <c r="V23" s="3312">
        <v>97.45</v>
      </c>
      <c r="W23" s="3312">
        <v>96.924999999999997</v>
      </c>
      <c r="X23" s="3313">
        <v>101.1</v>
      </c>
      <c r="Y23" s="3313"/>
      <c r="Z23" s="3313"/>
      <c r="AA23" s="3313"/>
      <c r="AB23" s="3304">
        <f>+RSQ(F10:Y10,F23:Y23)</f>
        <v>0.13835375273745876</v>
      </c>
      <c r="AC23" s="3304">
        <f>+RSQ(F23:Y23,$F$15:$Y$15)</f>
        <v>0.20842491290588852</v>
      </c>
      <c r="AD23" s="3304">
        <f>+RSQ(F23:Y23,$F$17:$Y$17)</f>
        <v>0.30515678379095634</v>
      </c>
      <c r="AE23" s="3304">
        <f>+RSQ($F$43:$Y$43,F23:Y23)</f>
        <v>0.35468731847062773</v>
      </c>
      <c r="AG23" s="3304">
        <f t="shared" si="0"/>
        <v>1.5659542922956182E-2</v>
      </c>
      <c r="AH23" s="3304">
        <f t="shared" si="1"/>
        <v>0.12049228421948092</v>
      </c>
      <c r="AI23" s="3304">
        <f t="shared" si="3"/>
        <v>0.12049228421948092</v>
      </c>
      <c r="AJ23" s="3304">
        <f t="shared" si="4"/>
        <v>0.22116111927796508</v>
      </c>
      <c r="AK23" s="3304">
        <f t="shared" si="7"/>
        <v>0.31489077308853292</v>
      </c>
      <c r="AL23" s="3304"/>
      <c r="AM23" s="3304">
        <f t="shared" si="8"/>
        <v>0.13835375273745876</v>
      </c>
      <c r="AN23" s="3304">
        <f t="shared" si="10"/>
        <v>0.13206918046219027</v>
      </c>
      <c r="AO23" s="3304">
        <f t="shared" si="11"/>
        <v>5.8872061609267366E-4</v>
      </c>
      <c r="AP23" s="3304">
        <f t="shared" si="12"/>
        <v>9.9805377495598063E-2</v>
      </c>
      <c r="AQ23" s="3304">
        <f t="shared" si="13"/>
        <v>0.20842491290588852</v>
      </c>
      <c r="AR23" s="3304">
        <f t="shared" si="14"/>
        <v>0.48104967247252584</v>
      </c>
      <c r="AS23" s="3304">
        <f t="shared" si="15"/>
        <v>0.30515678379095634</v>
      </c>
      <c r="AT23" s="3304">
        <f t="shared" si="16"/>
        <v>4.1975991757102683E-2</v>
      </c>
      <c r="AV23" s="3304">
        <f>+RSQ($F$21:$Y$21,$F23:$Y23)</f>
        <v>0.39280634441210377</v>
      </c>
      <c r="AW23" s="3304">
        <f>+RSQ($F$22:$Y$22,$F23:$Y23)</f>
        <v>0.19332719461367426</v>
      </c>
      <c r="AX23" s="3317"/>
    </row>
    <row r="24" spans="1:82">
      <c r="B24" t="s">
        <v>2395</v>
      </c>
      <c r="D24" s="3315">
        <f t="shared" si="5"/>
        <v>102.42333333333333</v>
      </c>
      <c r="E24" s="3312"/>
      <c r="F24" s="3312"/>
      <c r="G24" s="3312"/>
      <c r="H24" s="3312"/>
      <c r="I24" s="3312"/>
      <c r="J24" s="3312"/>
      <c r="K24" s="3312"/>
      <c r="L24" s="3312"/>
      <c r="M24" s="3312"/>
      <c r="N24" s="3312"/>
      <c r="O24" s="3312"/>
      <c r="P24" s="3312"/>
      <c r="Q24" s="3312"/>
      <c r="R24" s="3312"/>
      <c r="S24" s="3312"/>
      <c r="T24" s="3312">
        <v>112.06666666666666</v>
      </c>
      <c r="U24" s="3312">
        <v>89.774999999999991</v>
      </c>
      <c r="V24" s="3312">
        <v>96.425000000000011</v>
      </c>
      <c r="W24" s="3312">
        <v>101.65</v>
      </c>
      <c r="X24" s="3313">
        <v>112.2</v>
      </c>
      <c r="Y24" s="3313"/>
      <c r="Z24" s="3313"/>
      <c r="AA24" s="3313"/>
      <c r="AB24" s="3304">
        <f>+RSQ(F10:Y10,F24:Y24)</f>
        <v>0.3019086774295423</v>
      </c>
      <c r="AC24" s="3304">
        <f>+RSQ(F24:Y24,$F$15:$Y$15)</f>
        <v>0.11281558842348327</v>
      </c>
      <c r="AD24" s="3304">
        <f>+RSQ(F24:Y24,$F$17:$Y$17)</f>
        <v>0.46720520491452627</v>
      </c>
      <c r="AE24" s="3304">
        <f>+RSQ($F$43:$Y$43,F24:Y24)</f>
        <v>0.26796531266304463</v>
      </c>
      <c r="AG24" s="3304">
        <f t="shared" si="0"/>
        <v>5.913066143264957E-2</v>
      </c>
      <c r="AH24" s="3304">
        <f t="shared" si="1"/>
        <v>3.6850398572113745E-2</v>
      </c>
      <c r="AI24" s="3304">
        <f t="shared" si="3"/>
        <v>3.6850398572113745E-2</v>
      </c>
      <c r="AJ24" s="3304">
        <f t="shared" si="4"/>
        <v>1.4985036142489505E-2</v>
      </c>
      <c r="AK24" s="3304">
        <f t="shared" si="7"/>
        <v>3.0578371161041418E-3</v>
      </c>
      <c r="AL24" s="3304"/>
      <c r="AM24" s="3304">
        <f t="shared" si="8"/>
        <v>0.3019086774295423</v>
      </c>
      <c r="AN24" s="3304">
        <f t="shared" si="10"/>
        <v>0.5292582749410204</v>
      </c>
      <c r="AO24" s="3304">
        <f t="shared" si="11"/>
        <v>0.39985182708958145</v>
      </c>
      <c r="AP24" s="3304">
        <f t="shared" si="12"/>
        <v>0.24621845832432324</v>
      </c>
      <c r="AQ24" s="3304">
        <f t="shared" si="13"/>
        <v>0.11281558842348327</v>
      </c>
      <c r="AR24" s="3304">
        <f t="shared" si="14"/>
        <v>6.0254323033634687E-4</v>
      </c>
      <c r="AS24" s="3304">
        <f t="shared" si="15"/>
        <v>0.46720520491452627</v>
      </c>
      <c r="AT24" s="3304">
        <f t="shared" si="16"/>
        <v>6.3236557206225183E-3</v>
      </c>
      <c r="AV24" s="3304">
        <f>+RSQ($F$21:$Y$21,$F24:$Y24)</f>
        <v>0.52356723409567041</v>
      </c>
      <c r="AW24" s="3304">
        <f>+RSQ($F$22:$Y$22,$F24:$Y24)</f>
        <v>0.3916091129023902</v>
      </c>
      <c r="AX24" s="3304">
        <f>+RSQ($F$23:$Y$23,$F24:$Y24)</f>
        <v>5.8935561388333115E-3</v>
      </c>
      <c r="AY24" s="3317"/>
    </row>
    <row r="25" spans="1:82">
      <c r="B25" t="s">
        <v>2396</v>
      </c>
      <c r="D25" s="3315">
        <f t="shared" si="5"/>
        <v>99.911249999999995</v>
      </c>
      <c r="E25" s="3312">
        <v>94.6</v>
      </c>
      <c r="F25" s="3312">
        <v>93.8</v>
      </c>
      <c r="G25" s="3312">
        <v>101.925</v>
      </c>
      <c r="H25" s="3312">
        <v>103.5</v>
      </c>
      <c r="I25" s="3312">
        <v>103.89999999999999</v>
      </c>
      <c r="J25" s="3312">
        <v>109.07499999999999</v>
      </c>
      <c r="K25" s="3312">
        <v>88.625</v>
      </c>
      <c r="L25" s="3312">
        <v>91.25</v>
      </c>
      <c r="M25" s="3312">
        <v>87.925000000000011</v>
      </c>
      <c r="N25" s="3312">
        <v>104.80000000000001</v>
      </c>
      <c r="O25" s="3312">
        <v>107.925</v>
      </c>
      <c r="P25" s="3312">
        <v>111.72499999999999</v>
      </c>
      <c r="Q25" s="3312">
        <v>110.52500000000001</v>
      </c>
      <c r="R25" s="3312">
        <v>90.424999999999997</v>
      </c>
      <c r="S25" s="3312">
        <v>88.275000000000006</v>
      </c>
      <c r="T25" s="3312">
        <v>112.9</v>
      </c>
      <c r="U25" s="3312">
        <v>100.97499999999999</v>
      </c>
      <c r="V25" s="3312">
        <v>93.175000000000011</v>
      </c>
      <c r="W25" s="3312">
        <v>100</v>
      </c>
      <c r="X25" s="3313">
        <v>102.9</v>
      </c>
      <c r="Y25" s="3313"/>
      <c r="Z25" s="3313"/>
      <c r="AA25" s="3313"/>
      <c r="AB25" s="3304">
        <f>+RSQ(F10:Y10,F25:Y25)</f>
        <v>0.56841927471701115</v>
      </c>
      <c r="AC25" s="3304">
        <f>+RSQ(F25:Y25,$F$15:$Y$15)</f>
        <v>0.49336676679493041</v>
      </c>
      <c r="AD25" s="3304">
        <f>+RSQ(F25:Y25,$F$17:$Y$17)</f>
        <v>0.27825935354421694</v>
      </c>
      <c r="AE25" s="3304">
        <f>+RSQ($F$43:$Y$43,F25:Y25)</f>
        <v>7.8987412914100302E-2</v>
      </c>
      <c r="AG25" s="3304">
        <f t="shared" si="0"/>
        <v>2.5639004890590897E-3</v>
      </c>
      <c r="AH25" s="3304">
        <f t="shared" si="1"/>
        <v>6.4256500354899172E-3</v>
      </c>
      <c r="AI25" s="3304">
        <f t="shared" si="3"/>
        <v>6.4256500354899172E-3</v>
      </c>
      <c r="AJ25" s="3304">
        <f t="shared" si="4"/>
        <v>2.0502924366011081E-2</v>
      </c>
      <c r="AK25" s="3304">
        <f t="shared" si="7"/>
        <v>2.6974553979967199E-2</v>
      </c>
      <c r="AL25" s="3304"/>
      <c r="AM25" s="3304">
        <f t="shared" si="8"/>
        <v>0.56841927471701115</v>
      </c>
      <c r="AN25" s="3304">
        <f t="shared" si="10"/>
        <v>0.1101020215227048</v>
      </c>
      <c r="AO25" s="3304">
        <f t="shared" si="11"/>
        <v>0.36307612247815491</v>
      </c>
      <c r="AP25" s="3304">
        <f t="shared" si="12"/>
        <v>0.50842657977624339</v>
      </c>
      <c r="AQ25" s="3304">
        <f t="shared" si="13"/>
        <v>0.49336676679493041</v>
      </c>
      <c r="AR25" s="3304">
        <f t="shared" si="14"/>
        <v>6.8874167448503198E-3</v>
      </c>
      <c r="AS25" s="3304">
        <f t="shared" si="15"/>
        <v>0.27825935354421694</v>
      </c>
      <c r="AT25" s="3304">
        <f t="shared" si="16"/>
        <v>1.4020713169357382E-4</v>
      </c>
      <c r="AV25" s="3304">
        <f>+RSQ($F$21:$Y$21,$F25:$Y25)</f>
        <v>0.92101373360190564</v>
      </c>
      <c r="AW25" s="3304">
        <f>+RSQ($F$22:$Y$22,$F25:$Y25)</f>
        <v>0.83617150675109841</v>
      </c>
      <c r="AX25" s="3304">
        <f>+RSQ($F$23:$Y$23,$F25:$Y25)</f>
        <v>0.36063529849893683</v>
      </c>
      <c r="AY25" s="3304">
        <f>+RSQ($F$24:$Y$24,$F25:$Y25)</f>
        <v>0.42162393901741507</v>
      </c>
      <c r="AZ25" s="3317"/>
    </row>
    <row r="26" spans="1:82">
      <c r="D26" s="3315"/>
      <c r="E26" s="3312"/>
      <c r="F26" s="3312"/>
      <c r="G26" s="3312"/>
      <c r="H26" s="3312"/>
      <c r="I26" s="3312"/>
      <c r="J26" s="3312"/>
      <c r="K26" s="3312"/>
      <c r="L26" s="3312"/>
      <c r="M26" s="3312"/>
      <c r="N26" s="3312"/>
      <c r="O26" s="3312"/>
      <c r="P26" s="3312"/>
      <c r="Q26" s="3312"/>
      <c r="R26" s="3312"/>
      <c r="S26" s="3312"/>
      <c r="T26" s="3312"/>
      <c r="U26" s="3312"/>
      <c r="V26" s="3312"/>
      <c r="W26" s="3312"/>
      <c r="X26" s="3313"/>
      <c r="Y26" s="3313"/>
      <c r="Z26" s="3313"/>
      <c r="AA26" s="3313"/>
      <c r="AB26" s="3304"/>
      <c r="AC26" s="3304"/>
      <c r="AD26" s="3304"/>
      <c r="AE26" s="3304"/>
      <c r="AG26" s="3304"/>
      <c r="AH26" s="3304"/>
      <c r="AI26" s="3304"/>
      <c r="AJ26" s="3304"/>
      <c r="AK26" s="3304"/>
      <c r="AL26" s="3304"/>
      <c r="AM26" s="3304"/>
      <c r="AN26" s="3304"/>
      <c r="AO26" s="3304"/>
      <c r="AP26" s="3304"/>
      <c r="AQ26" s="3304"/>
      <c r="AR26" s="3304"/>
      <c r="AS26" s="3304"/>
      <c r="AT26" s="3304"/>
      <c r="AV26" s="3304"/>
      <c r="AW26" s="3304"/>
      <c r="AX26" s="3304"/>
      <c r="AY26" s="3304"/>
    </row>
    <row r="27" spans="1:82" ht="13.15">
      <c r="A27" s="1333" t="s">
        <v>2363</v>
      </c>
      <c r="D27" s="1525"/>
      <c r="AB27" s="583"/>
      <c r="AC27" s="3303"/>
      <c r="AD27" s="3303"/>
      <c r="AG27" s="3304"/>
      <c r="AH27" s="3304"/>
      <c r="AI27" s="3304"/>
      <c r="AJ27" s="3304"/>
      <c r="AK27" s="3304"/>
      <c r="AL27" s="3304"/>
      <c r="AM27" s="3304"/>
      <c r="AN27" s="3304"/>
      <c r="AO27" s="3304"/>
      <c r="AP27" s="3304"/>
      <c r="AQ27" s="3304"/>
      <c r="AR27" s="3304"/>
      <c r="AS27" s="3304"/>
      <c r="AT27" s="3304"/>
      <c r="AV27" s="3304"/>
      <c r="AW27" s="3304"/>
      <c r="AX27" s="3304"/>
      <c r="AY27" s="3304"/>
    </row>
    <row r="28" spans="1:82">
      <c r="B28" t="s">
        <v>2364</v>
      </c>
      <c r="C28" s="545" t="s">
        <v>2357</v>
      </c>
      <c r="D28" s="3305">
        <f>+AVERAGE(E28:Y28)</f>
        <v>2.4554932120608865E-2</v>
      </c>
      <c r="F28" s="1439">
        <f>+'VVP2'!H10/100</f>
        <v>1.8126570986513268E-2</v>
      </c>
      <c r="G28" s="1439">
        <f>+'VVP2'!I10/100</f>
        <v>2.811915062431547E-2</v>
      </c>
      <c r="H28" s="1439">
        <f>+'VVP2'!J10/100</f>
        <v>3.3012207776909941E-2</v>
      </c>
      <c r="I28" s="1439">
        <f>+'VVP2'!K10/100</f>
        <v>4.0294521711662812E-2</v>
      </c>
      <c r="J28" s="1439">
        <f>+'VVP2'!L10/100</f>
        <v>5.2482581222726976E-2</v>
      </c>
      <c r="K28" s="1439">
        <f>+'VVP2'!M10/100</f>
        <v>7.3108535870765046E-3</v>
      </c>
      <c r="L28" s="1439">
        <f>+'VVP2'!N10/100</f>
        <v>2.6071460723935624E-2</v>
      </c>
      <c r="M28" s="1439">
        <f>+'VVP2'!O10/100</f>
        <v>2.3145475337566834E-2</v>
      </c>
      <c r="N28" s="1439">
        <f>+'VVP2'!P10/100</f>
        <v>2.7892797384733159E-2</v>
      </c>
      <c r="O28" s="1439">
        <f>+'VVP2'!Q10/100</f>
        <v>2.7674313067884482E-2</v>
      </c>
      <c r="P28" s="1439">
        <f>+'VVP2'!R10/100</f>
        <v>2.6714825766315009E-2</v>
      </c>
      <c r="Q28" s="1439">
        <f>+'VVP2'!S10/100</f>
        <v>3.7947685169116951E-2</v>
      </c>
      <c r="R28" s="1439">
        <f>+'VVP2'!T10/100</f>
        <v>2.2777889594640666E-3</v>
      </c>
      <c r="S28" s="1439">
        <f>+'VVP2'!U10/100</f>
        <v>3.5082887126818285E-3</v>
      </c>
      <c r="T28" s="1439">
        <f>+'VVP2'!V10/100</f>
        <v>3.8903875314705516E-2</v>
      </c>
      <c r="U28" s="1439">
        <f>+'VVP2'!W10/100</f>
        <v>1.8666091616502678E-2</v>
      </c>
      <c r="V28" s="1439">
        <f>+'VVP2'!X10/100</f>
        <v>7.8946230229000047E-3</v>
      </c>
      <c r="W28" s="1439">
        <f>+'VVP2'!Y10/100</f>
        <v>1.8588235418893984E-2</v>
      </c>
      <c r="X28" s="3306">
        <f>+'VVP2'!Z10/100</f>
        <v>2.1277234853534388E-2</v>
      </c>
      <c r="Y28" s="3306">
        <f>+'VVP2'!AA10/100</f>
        <v>3.1190061154737769E-2</v>
      </c>
      <c r="Z28" s="3306"/>
      <c r="AA28" s="3306"/>
      <c r="AB28" s="3303" t="s">
        <v>2391</v>
      </c>
      <c r="AC28" s="3303"/>
      <c r="AD28" s="3303"/>
      <c r="AE28" s="3304">
        <f t="shared" ref="AE28:AE39" si="17">+RSQ($F$43:$Y$43,F28:Y28)</f>
        <v>5.7191755017014394E-2</v>
      </c>
      <c r="AG28" s="3304">
        <f t="shared" si="0"/>
        <v>5.8345874543390512E-2</v>
      </c>
      <c r="AH28" s="3304">
        <f t="shared" si="1"/>
        <v>6.6816587324014409E-2</v>
      </c>
      <c r="AI28" s="3304">
        <f t="shared" si="3"/>
        <v>6.6816587324014409E-2</v>
      </c>
      <c r="AJ28" s="3304">
        <f t="shared" si="4"/>
        <v>4.6770181462077537E-2</v>
      </c>
      <c r="AK28" s="3304">
        <f t="shared" si="7"/>
        <v>4.0361375753942524E-2</v>
      </c>
      <c r="AL28" s="3304"/>
      <c r="AM28" s="3304">
        <f t="shared" si="8"/>
        <v>0.66940820369990273</v>
      </c>
      <c r="AN28" s="3304">
        <f t="shared" si="10"/>
        <v>1.1013534683923752E-3</v>
      </c>
      <c r="AO28" s="3304">
        <f t="shared" si="11"/>
        <v>0.51003465216885335</v>
      </c>
      <c r="AP28" s="3304">
        <f t="shared" si="12"/>
        <v>0.70392538910919145</v>
      </c>
      <c r="AQ28" s="3304">
        <f t="shared" si="13"/>
        <v>0.40156553628036107</v>
      </c>
      <c r="AR28" s="3304">
        <f t="shared" si="14"/>
        <v>4.2330702211508794E-2</v>
      </c>
      <c r="AS28" s="3304">
        <f t="shared" si="15"/>
        <v>0.22941241335303303</v>
      </c>
      <c r="AT28" s="3304">
        <f t="shared" si="16"/>
        <v>1.0747177980761309E-2</v>
      </c>
      <c r="AV28" s="3304">
        <f t="shared" ref="AV28:AV39" si="18">+RSQ($F$21:$Y$21,$F28:$Y28)</f>
        <v>0.6496586873144804</v>
      </c>
      <c r="AW28" s="3304">
        <f t="shared" ref="AW28:AW39" si="19">+RSQ($F$22:$Y$22,$F28:$Y28)</f>
        <v>0.71309264538140205</v>
      </c>
      <c r="AX28" s="3304">
        <f t="shared" ref="AX28:AX39" si="20">+RSQ($F$23:$Y$23,$F28:$Y28)</f>
        <v>9.98084161448511E-2</v>
      </c>
      <c r="AY28" s="3304">
        <f t="shared" ref="AY28:AY39" si="21">+RSQ($F$24:$Y$24,$F28:$Y28)</f>
        <v>0.41982481226823681</v>
      </c>
      <c r="AZ28" s="3304">
        <f t="shared" ref="AZ28:AZ39" si="22">+RSQ($F$25:$Y$25,$F28:$Y28)</f>
        <v>0.58443829750320297</v>
      </c>
      <c r="BB28" s="3317"/>
    </row>
    <row r="29" spans="1:82">
      <c r="B29" t="s">
        <v>2365</v>
      </c>
      <c r="C29" s="545" t="s">
        <v>2357</v>
      </c>
      <c r="D29" s="3305">
        <f>+AVERAGE(E29:Y29)</f>
        <v>4.2277171078198804E-2</v>
      </c>
      <c r="F29" s="1439">
        <f>+Sector1!H379/100</f>
        <v>2.7135630377890241E-3</v>
      </c>
      <c r="G29" s="1439">
        <f>+Sector1!I379/100</f>
        <v>9.8603374727763704E-3</v>
      </c>
      <c r="H29" s="1439">
        <f>+Sector1!J379/100</f>
        <v>2.527773001581024E-2</v>
      </c>
      <c r="I29" s="1439">
        <f>+Sector1!K379/100</f>
        <v>-1.7835924222375343E-2</v>
      </c>
      <c r="J29" s="1439">
        <f>+Sector1!L379/100</f>
        <v>0.14857174389258643</v>
      </c>
      <c r="K29" s="1439">
        <f>+Sector1!M379/100</f>
        <v>7.8496443434426855E-2</v>
      </c>
      <c r="L29" s="1439">
        <f>+Sector1!N379/100</f>
        <v>4.4185159098511839E-2</v>
      </c>
      <c r="M29" s="1439">
        <f>+Sector1!O379/100</f>
        <v>2.5517251371609539E-2</v>
      </c>
      <c r="N29" s="1439">
        <f>+Sector1!P379/100</f>
        <v>2.2880811153836333E-2</v>
      </c>
      <c r="O29" s="1439">
        <f>+Sector1!Q379/100</f>
        <v>3.8199400240026771E-2</v>
      </c>
      <c r="P29" s="1439">
        <f>+Sector1!R379/100</f>
        <v>5.7135824989338113E-2</v>
      </c>
      <c r="Q29" s="1439">
        <f>+Sector1!S379/100</f>
        <v>6.9795115894039972E-2</v>
      </c>
      <c r="R29" s="1439">
        <f>+Sector1!T379/100</f>
        <v>6.494812750555834E-2</v>
      </c>
      <c r="S29" s="1439">
        <f>+Sector1!U379/100</f>
        <v>4.0749934794949372E-2</v>
      </c>
      <c r="T29" s="1439">
        <f>+Sector1!V379/100</f>
        <v>4.1666961499543742E-2</v>
      </c>
      <c r="U29" s="1439">
        <f>+Sector1!W379/100</f>
        <v>4.9170184847424414E-2</v>
      </c>
      <c r="V29" s="1439">
        <f>+Sector1!X379/100</f>
        <v>4.0444610146007642E-2</v>
      </c>
      <c r="W29" s="1439">
        <f>+Sector1!Y379/100</f>
        <v>3.0014639390279152E-2</v>
      </c>
      <c r="X29" s="3306">
        <f>+Sector1!Z379/100</f>
        <v>3.9001368416070825E-2</v>
      </c>
      <c r="Y29" s="3306">
        <f>+Sector1!AA379/100</f>
        <v>3.4750138585766477E-2</v>
      </c>
      <c r="Z29" s="3306"/>
      <c r="AA29" s="3306"/>
      <c r="AB29" s="3304">
        <f>+RSQ(F28:Y28,F29:Y29)</f>
        <v>2.3858585429864021E-2</v>
      </c>
      <c r="AC29" s="3304">
        <f t="shared" ref="AC29:AC39" si="23">+RSQ($F$24:$Y$24,F28:Y28)</f>
        <v>0.41982481226823681</v>
      </c>
      <c r="AD29" s="3304">
        <f>+RSQ($F$25:$Y$25,F28:Y28)</f>
        <v>0.58443829750320297</v>
      </c>
      <c r="AE29" s="3304">
        <f t="shared" si="17"/>
        <v>0.19083936380233221</v>
      </c>
      <c r="AG29" s="3304">
        <f t="shared" si="0"/>
        <v>7.5112713240135323E-5</v>
      </c>
      <c r="AH29" s="3304">
        <f t="shared" si="1"/>
        <v>1.7796458137711055E-2</v>
      </c>
      <c r="AI29" s="3304">
        <f t="shared" si="3"/>
        <v>1.7796458137711055E-2</v>
      </c>
      <c r="AJ29" s="3304">
        <f t="shared" si="4"/>
        <v>3.853087426281035E-2</v>
      </c>
      <c r="AK29" s="3304">
        <f t="shared" si="7"/>
        <v>6.5540073126481191E-2</v>
      </c>
      <c r="AL29" s="3304"/>
      <c r="AM29" s="3304">
        <f t="shared" si="8"/>
        <v>1.0460259109384253E-3</v>
      </c>
      <c r="AN29" s="3304">
        <f t="shared" si="10"/>
        <v>8.5845258114123947E-3</v>
      </c>
      <c r="AO29" s="3304">
        <f t="shared" si="11"/>
        <v>4.102964199192171E-2</v>
      </c>
      <c r="AP29" s="3304">
        <f t="shared" si="12"/>
        <v>2.6956489847778043E-4</v>
      </c>
      <c r="AQ29" s="3304">
        <f t="shared" si="13"/>
        <v>2.7605300953713265E-3</v>
      </c>
      <c r="AR29" s="3304">
        <f t="shared" si="14"/>
        <v>0.23383082274561165</v>
      </c>
      <c r="AS29" s="3304">
        <f t="shared" si="15"/>
        <v>7.935199081053311E-2</v>
      </c>
      <c r="AT29" s="3304">
        <f t="shared" si="16"/>
        <v>0.13035103459496972</v>
      </c>
      <c r="AV29" s="3304">
        <f t="shared" si="18"/>
        <v>6.2064050046562048E-2</v>
      </c>
      <c r="AW29" s="3304">
        <f t="shared" si="19"/>
        <v>2.2223035599985865E-2</v>
      </c>
      <c r="AX29" s="3304">
        <f t="shared" si="20"/>
        <v>0.32701450627269729</v>
      </c>
      <c r="AY29" s="3304">
        <f t="shared" si="21"/>
        <v>0.15136605643848799</v>
      </c>
      <c r="AZ29" s="3304">
        <f t="shared" si="22"/>
        <v>2.1220303920524878E-2</v>
      </c>
      <c r="BB29" s="3304">
        <f t="shared" ref="BB29:BB39" si="24">+RSQ($F$28:$Y$28,$F29:$Y29)</f>
        <v>2.3858585429864021E-2</v>
      </c>
      <c r="BC29" s="3317"/>
    </row>
    <row r="30" spans="1:82">
      <c r="B30" s="217" t="s">
        <v>2366</v>
      </c>
      <c r="C30" s="545" t="s">
        <v>2357</v>
      </c>
      <c r="D30" s="3305">
        <f>+AVERAGE(E30:Y30)</f>
        <v>4.4704843775053148E-2</v>
      </c>
      <c r="F30" s="1439">
        <f>Labour1!H225/100</f>
        <v>6.0007344398090412E-2</v>
      </c>
      <c r="G30" s="1439">
        <f>Labour1!I225/100</f>
        <v>4.6444534049670416E-2</v>
      </c>
      <c r="H30" s="1439">
        <f>Labour1!J225/100</f>
        <v>1.3459315420143447E-3</v>
      </c>
      <c r="I30" s="1439">
        <f>Labour1!K225/100</f>
        <v>6.1254044561994903E-2</v>
      </c>
      <c r="J30" s="1439">
        <f>Labour1!L225/100</f>
        <v>9.7147829923884821E-2</v>
      </c>
      <c r="K30" s="1439">
        <f>Labour1!M225/100</f>
        <v>6.9564383571846244E-2</v>
      </c>
      <c r="L30" s="1439">
        <f>Labour1!N225/100</f>
        <v>3.5366648707131132E-2</v>
      </c>
      <c r="M30" s="1439">
        <f>Labour1!O225/100</f>
        <v>3.4516704763554173E-2</v>
      </c>
      <c r="N30" s="1439">
        <f>Labour1!P225/100</f>
        <v>3.3424375228044978E-2</v>
      </c>
      <c r="O30" s="1439">
        <f>Labour1!Q225/100</f>
        <v>3.4659904065424296E-2</v>
      </c>
      <c r="P30" s="1439">
        <f>Labour1!R225/100</f>
        <v>4.9300907372601843E-2</v>
      </c>
      <c r="Q30" s="1439">
        <f>Labour1!S225/100</f>
        <v>8.0945441481741209E-2</v>
      </c>
      <c r="R30" s="1439">
        <f>Labour1!T225/100</f>
        <v>5.1874728206791287E-2</v>
      </c>
      <c r="S30" s="1439">
        <f>Labour1!U225/100</f>
        <v>2.276692692988691E-3</v>
      </c>
      <c r="T30" s="1439">
        <f>Labour1!V225/100</f>
        <v>3.0033780455638981E-2</v>
      </c>
      <c r="U30" s="1439">
        <f>Labour1!W225/100</f>
        <v>5.6042945731650917E-2</v>
      </c>
      <c r="V30" s="1439">
        <f>Labour1!X225/100</f>
        <v>3.9687380950711448E-2</v>
      </c>
      <c r="W30" s="1439">
        <f>Labour1!Y225/100</f>
        <v>2.9535236596605507E-2</v>
      </c>
      <c r="X30" s="3306">
        <f>Labour1!Z225/100</f>
        <v>3.8594288615168004E-2</v>
      </c>
      <c r="Y30" s="3306">
        <f>Labour1!AA225/100</f>
        <v>4.2073772585509372E-2</v>
      </c>
      <c r="Z30" s="3306"/>
      <c r="AA30" s="3306"/>
      <c r="AB30" s="3304">
        <f>+RSQ(F28:Y28,F30:Y30)</f>
        <v>0.11206622796807128</v>
      </c>
      <c r="AC30" s="3304">
        <f t="shared" si="23"/>
        <v>0.15136605643848799</v>
      </c>
      <c r="AD30" s="3304">
        <f t="shared" ref="AD30:AD39" si="25">+RSQ($F$25:$Y$25,F29:Y29)</f>
        <v>2.1220303920524878E-2</v>
      </c>
      <c r="AE30" s="3304">
        <f t="shared" si="17"/>
        <v>0.32915721092823425</v>
      </c>
      <c r="AG30" s="3304">
        <f t="shared" si="0"/>
        <v>4.1015136999474032E-2</v>
      </c>
      <c r="AH30" s="3304">
        <f t="shared" si="1"/>
        <v>2.8205098832191345E-2</v>
      </c>
      <c r="AI30" s="3304">
        <f t="shared" si="3"/>
        <v>2.8205098832191345E-2</v>
      </c>
      <c r="AJ30" s="3304">
        <f t="shared" si="4"/>
        <v>1.2253204716727922E-2</v>
      </c>
      <c r="AK30" s="3304">
        <f t="shared" si="7"/>
        <v>5.766754843889125E-3</v>
      </c>
      <c r="AL30" s="3304"/>
      <c r="AM30" s="3304">
        <f t="shared" si="8"/>
        <v>0.10164514183984</v>
      </c>
      <c r="AN30" s="3304">
        <f t="shared" si="10"/>
        <v>9.192018040606937E-4</v>
      </c>
      <c r="AO30" s="3304">
        <f t="shared" si="11"/>
        <v>7.2071546595455782E-3</v>
      </c>
      <c r="AP30" s="3304">
        <f t="shared" si="12"/>
        <v>0.11319219479861475</v>
      </c>
      <c r="AQ30" s="3304">
        <f t="shared" si="13"/>
        <v>0.19147179644091963</v>
      </c>
      <c r="AR30" s="3304">
        <f t="shared" si="14"/>
        <v>4.5216923396742909E-2</v>
      </c>
      <c r="AS30" s="3304">
        <f t="shared" si="15"/>
        <v>0.14312860433364963</v>
      </c>
      <c r="AT30" s="3304">
        <f t="shared" si="16"/>
        <v>4.5939004353556578E-2</v>
      </c>
      <c r="AV30" s="3304">
        <f t="shared" si="18"/>
        <v>8.0484541876463325E-2</v>
      </c>
      <c r="AW30" s="3304">
        <f t="shared" si="19"/>
        <v>6.9063326705174066E-2</v>
      </c>
      <c r="AX30" s="3304">
        <f t="shared" si="20"/>
        <v>0.12939371417317835</v>
      </c>
      <c r="AY30" s="3304">
        <f t="shared" si="21"/>
        <v>0.51660235700303814</v>
      </c>
      <c r="AZ30" s="3304">
        <f t="shared" si="22"/>
        <v>4.8102661611672586E-2</v>
      </c>
      <c r="BB30" s="3304">
        <f t="shared" si="24"/>
        <v>0.11206622796807128</v>
      </c>
      <c r="BC30" s="3304">
        <f t="shared" ref="BC30:BC39" si="26">+RSQ($F$29:$Y$29,$F30:$Y30)</f>
        <v>0.26637379733830335</v>
      </c>
      <c r="BD30" s="3317"/>
    </row>
    <row r="31" spans="1:82">
      <c r="B31" t="s">
        <v>2367</v>
      </c>
      <c r="D31" s="1776"/>
      <c r="E31" s="1492">
        <f>+Sector1!G456</f>
        <v>100.53900000000021</v>
      </c>
      <c r="F31" s="1492">
        <f>+Sector1!H456</f>
        <v>80.894000000000005</v>
      </c>
      <c r="G31" s="1492">
        <f>+Sector1!I456</f>
        <v>52.879000000000019</v>
      </c>
      <c r="H31" s="1492">
        <f>+Sector1!J456</f>
        <v>50.226999999999748</v>
      </c>
      <c r="I31" s="1492">
        <f>+Sector1!K456</f>
        <v>-15.314000000000306</v>
      </c>
      <c r="J31" s="1492">
        <f>+Sector1!L456</f>
        <v>85.342000000000098</v>
      </c>
      <c r="K31" s="1492">
        <f>+Sector1!M456</f>
        <v>142.53500000000008</v>
      </c>
      <c r="L31" s="1492">
        <f>+Sector1!N456</f>
        <v>144.37200000000007</v>
      </c>
      <c r="M31" s="1492">
        <f>+Sector1!O456</f>
        <v>137.85599999999977</v>
      </c>
      <c r="N31" s="1492">
        <f>+Sector1!P456</f>
        <v>125.30799999999999</v>
      </c>
      <c r="O31" s="1492">
        <f>+Sector1!Q456</f>
        <v>122.36400000000003</v>
      </c>
      <c r="P31" s="1492">
        <f>+Sector1!R456</f>
        <v>156.13900000000012</v>
      </c>
      <c r="Q31" s="1492">
        <f>+Sector1!S456</f>
        <v>205.83900000000017</v>
      </c>
      <c r="R31" s="1492">
        <f>+Sector1!T456</f>
        <v>257.31799999999976</v>
      </c>
      <c r="S31" s="1492">
        <f>+Sector1!U456</f>
        <v>251.38800000000015</v>
      </c>
      <c r="T31" s="1492">
        <f>+Sector1!V456</f>
        <v>280.07000000000039</v>
      </c>
      <c r="U31" s="1492">
        <f>+Sector1!W456</f>
        <v>305.13699999999994</v>
      </c>
      <c r="V31" s="1492">
        <f>+Sector1!X456</f>
        <v>350.56500000000028</v>
      </c>
      <c r="W31" s="1492">
        <f>+Sector1!Y456</f>
        <v>372.10799999999995</v>
      </c>
      <c r="X31" s="3307">
        <f>+Sector1!Z456</f>
        <v>420.79499999999962</v>
      </c>
      <c r="Y31" s="3307">
        <f>+Sector1!AA456</f>
        <v>402.02399999999989</v>
      </c>
      <c r="Z31" s="3307"/>
      <c r="AA31" s="3307"/>
      <c r="AB31" s="3304">
        <f>+RSQ($F$28:$Y$28,F31:Y31)</f>
        <v>0.14346491111172735</v>
      </c>
      <c r="AC31" s="3304">
        <f t="shared" si="23"/>
        <v>0.51660235700303814</v>
      </c>
      <c r="AD31" s="3304">
        <f t="shared" si="25"/>
        <v>4.8102661611672586E-2</v>
      </c>
      <c r="AE31" s="3304">
        <f t="shared" si="17"/>
        <v>1.6878585001621144E-3</v>
      </c>
      <c r="AG31" s="3304">
        <f t="shared" si="0"/>
        <v>0.93474317074724766</v>
      </c>
      <c r="AH31" s="3304">
        <f t="shared" si="1"/>
        <v>0.90040841134184435</v>
      </c>
      <c r="AI31" s="3304">
        <f t="shared" si="3"/>
        <v>0.90040841134184435</v>
      </c>
      <c r="AJ31" s="3304">
        <f t="shared" si="4"/>
        <v>0.81217764470480325</v>
      </c>
      <c r="AK31" s="3304">
        <f t="shared" si="7"/>
        <v>0.69462088514213771</v>
      </c>
      <c r="AL31" s="3304"/>
      <c r="AM31" s="3304">
        <f t="shared" si="8"/>
        <v>6.6625897038541257E-2</v>
      </c>
      <c r="AN31" s="3304">
        <f t="shared" si="10"/>
        <v>0.55716785094415278</v>
      </c>
      <c r="AO31" s="3304">
        <f t="shared" si="11"/>
        <v>0.13693375025088883</v>
      </c>
      <c r="AP31" s="3304">
        <f t="shared" si="12"/>
        <v>0.16432131766197833</v>
      </c>
      <c r="AQ31" s="3304">
        <f t="shared" si="13"/>
        <v>3.5172411702307553E-2</v>
      </c>
      <c r="AR31" s="3304">
        <f t="shared" si="14"/>
        <v>0.42579837913523788</v>
      </c>
      <c r="AS31" s="3304">
        <f t="shared" si="15"/>
        <v>8.1228658611285418E-6</v>
      </c>
      <c r="AT31" s="3304">
        <f t="shared" si="16"/>
        <v>0.53850445394999391</v>
      </c>
      <c r="AV31" s="3304">
        <f t="shared" si="18"/>
        <v>6.3270846040447432E-3</v>
      </c>
      <c r="AW31" s="3304">
        <f t="shared" si="19"/>
        <v>2.6576893935266535E-2</v>
      </c>
      <c r="AX31" s="3304">
        <f t="shared" si="20"/>
        <v>1.1061124364633164E-2</v>
      </c>
      <c r="AY31" s="3304">
        <f t="shared" si="21"/>
        <v>6.7253782292354319E-2</v>
      </c>
      <c r="AZ31" s="3304">
        <f t="shared" si="22"/>
        <v>9.9808684285233908E-3</v>
      </c>
      <c r="BB31" s="3304">
        <f t="shared" si="24"/>
        <v>0.14346491111172735</v>
      </c>
      <c r="BC31" s="3304">
        <f t="shared" si="26"/>
        <v>1.566539603602389E-2</v>
      </c>
      <c r="BD31" s="3304">
        <f t="shared" ref="BD31:BD39" si="27">+RSQ($F$30:$Y$30,$F31:$Y31)</f>
        <v>3.803944920437434E-2</v>
      </c>
      <c r="BE31" s="3317"/>
      <c r="CD31">
        <v>0</v>
      </c>
    </row>
    <row r="32" spans="1:82">
      <c r="B32" t="s">
        <v>2368</v>
      </c>
      <c r="C32" s="545" t="s">
        <v>2357</v>
      </c>
      <c r="D32" s="3305">
        <f>+AVERAGE(E32:Y32)</f>
        <v>-0.33123183054575467</v>
      </c>
      <c r="F32" s="3308">
        <f>+Sector1!H462/100</f>
        <v>-0.19539681118769991</v>
      </c>
      <c r="G32" s="3308">
        <f>+Sector1!I462/100</f>
        <v>-0.34631740302123748</v>
      </c>
      <c r="H32" s="3308">
        <f>+Sector1!J462/100</f>
        <v>-5.0152234346342972E-2</v>
      </c>
      <c r="I32" s="3308">
        <f>+Sector1!K462/100</f>
        <v>-1.3048957731897262</v>
      </c>
      <c r="J32" s="3308">
        <f>+Sector1!L462/100</f>
        <v>-6.5728091942012794</v>
      </c>
      <c r="K32" s="3308">
        <f>+Sector1!M462/100</f>
        <v>0.67016240538070249</v>
      </c>
      <c r="L32" s="3308">
        <f>+Sector1!N462/100</f>
        <v>1.2888062581120296E-2</v>
      </c>
      <c r="M32" s="3308">
        <f>+Sector1!O462/100</f>
        <v>-4.5133405369464308E-2</v>
      </c>
      <c r="N32" s="3308">
        <f>+Sector1!P462/100</f>
        <v>-9.1022516248837851E-2</v>
      </c>
      <c r="O32" s="3308">
        <f>+Sector1!Q462/100</f>
        <v>-2.3494110511698807E-2</v>
      </c>
      <c r="P32" s="3308">
        <f>+Sector1!R462/100</f>
        <v>0.27602072504985187</v>
      </c>
      <c r="Q32" s="3308">
        <f>+Sector1!S462/100</f>
        <v>0.3183061246709662</v>
      </c>
      <c r="R32" s="3308">
        <f>+Sector1!T462/100</f>
        <v>0.2500935196925731</v>
      </c>
      <c r="S32" s="3308">
        <f>+Sector1!U462/100</f>
        <v>-2.3045414623149574E-2</v>
      </c>
      <c r="T32" s="3308">
        <f>+Sector1!V462/100</f>
        <v>0.11409454707464238</v>
      </c>
      <c r="U32" s="3308">
        <f>+Sector1!W462/100</f>
        <v>8.9502624343912304E-2</v>
      </c>
      <c r="V32" s="3308">
        <f>+Sector1!X462/100</f>
        <v>0.14887738950045493</v>
      </c>
      <c r="W32" s="3308">
        <f>+Sector1!Y462/100</f>
        <v>6.1452227119078273E-2</v>
      </c>
      <c r="X32" s="3309">
        <f>+Sector1!Z462/100</f>
        <v>0.13084104614789172</v>
      </c>
      <c r="Y32" s="3309">
        <f>+Sector1!AA462/100</f>
        <v>-4.4608419776850372E-2</v>
      </c>
      <c r="Z32" s="3309"/>
      <c r="AA32" s="3309"/>
      <c r="AB32" s="3304">
        <f t="shared" ref="AB32:AB39" si="28">+RSQ($F$28:$Y$28,F32:Y32)</f>
        <v>0.34278936196980075</v>
      </c>
      <c r="AC32" s="3304">
        <f t="shared" si="23"/>
        <v>6.7253782292354319E-2</v>
      </c>
      <c r="AD32" s="3304">
        <f t="shared" si="25"/>
        <v>9.9808684285233908E-3</v>
      </c>
      <c r="AE32" s="3304">
        <f t="shared" si="17"/>
        <v>2.069400774427645E-2</v>
      </c>
      <c r="AG32" s="3304">
        <f t="shared" si="0"/>
        <v>7.6099050739115659E-2</v>
      </c>
      <c r="AH32" s="3304">
        <f t="shared" si="1"/>
        <v>8.9401681099055108E-2</v>
      </c>
      <c r="AI32" s="3304">
        <f t="shared" si="3"/>
        <v>8.9401681099055108E-2</v>
      </c>
      <c r="AJ32" s="3304">
        <f t="shared" si="4"/>
        <v>8.2287043573275542E-2</v>
      </c>
      <c r="AK32" s="3304">
        <f t="shared" si="7"/>
        <v>7.741228094203359E-2</v>
      </c>
      <c r="AL32" s="3304"/>
      <c r="AM32" s="3304">
        <f t="shared" si="8"/>
        <v>6.3335123785434308E-2</v>
      </c>
      <c r="AN32" s="3304">
        <f t="shared" si="10"/>
        <v>7.721185420937296E-2</v>
      </c>
      <c r="AO32" s="3304">
        <f t="shared" si="11"/>
        <v>3.2261470993462889E-2</v>
      </c>
      <c r="AP32" s="3304">
        <f t="shared" si="12"/>
        <v>9.740686514699376E-2</v>
      </c>
      <c r="AQ32" s="3304">
        <f t="shared" si="13"/>
        <v>2.3669116583706549E-2</v>
      </c>
      <c r="AR32" s="3304">
        <f t="shared" si="14"/>
        <v>1.7216319808881747E-2</v>
      </c>
      <c r="AS32" s="3304">
        <f t="shared" si="15"/>
        <v>1.0741588044502117E-2</v>
      </c>
      <c r="AT32" s="3304">
        <f t="shared" si="16"/>
        <v>1.7354230312186053E-2</v>
      </c>
      <c r="AV32" s="3304">
        <f t="shared" si="18"/>
        <v>9.5785136369066562E-2</v>
      </c>
      <c r="AW32" s="3304">
        <f t="shared" si="19"/>
        <v>0.12939390206821119</v>
      </c>
      <c r="AX32" s="3304">
        <f t="shared" si="20"/>
        <v>1.4162751850650569E-2</v>
      </c>
      <c r="AY32" s="3304">
        <f t="shared" si="21"/>
        <v>5.163914057117161E-2</v>
      </c>
      <c r="AZ32" s="3304">
        <f t="shared" si="22"/>
        <v>7.654403448323284E-2</v>
      </c>
      <c r="BB32" s="3304">
        <f t="shared" si="24"/>
        <v>0.34278936196980075</v>
      </c>
      <c r="BC32" s="3304">
        <f t="shared" si="26"/>
        <v>0.32783201972478537</v>
      </c>
      <c r="BD32" s="3304">
        <f t="shared" si="27"/>
        <v>0.25988530608872473</v>
      </c>
      <c r="BE32" s="3304">
        <f t="shared" ref="BE32:BE39" si="29">+RSQ($F$31:$Y$31,$F32:$Y32)</f>
        <v>9.6961301835265953E-2</v>
      </c>
      <c r="BF32" s="3317"/>
    </row>
    <row r="33" spans="1:71">
      <c r="B33" s="217" t="s">
        <v>2369</v>
      </c>
      <c r="C33" s="545" t="s">
        <v>2357</v>
      </c>
      <c r="D33" s="3305">
        <f>+AVERAGE(E33:Y33)</f>
        <v>0.1117202365602019</v>
      </c>
      <c r="E33" s="1439">
        <f>+Sector1!G474</f>
        <v>0.10112125619316041</v>
      </c>
      <c r="F33" s="1439">
        <f>+Sector1!H474</f>
        <v>8.096484423870888E-2</v>
      </c>
      <c r="G33" s="1439">
        <f>+Sector1!I474</f>
        <v>5.2330057694781759E-2</v>
      </c>
      <c r="H33" s="1439">
        <f>+Sector1!J474</f>
        <v>4.8111950542213511E-2</v>
      </c>
      <c r="I33" s="1439">
        <f>+Sector1!K474</f>
        <v>-1.4814456525945428E-2</v>
      </c>
      <c r="J33" s="1439">
        <f>+Sector1!L474</f>
        <v>7.110032125194958E-2</v>
      </c>
      <c r="K33" s="1439">
        <f>+Sector1!M474</f>
        <v>0.1105078390904764</v>
      </c>
      <c r="L33" s="1439">
        <f>+Sector1!N474</f>
        <v>0.10785733176147855</v>
      </c>
      <c r="M33" s="1439">
        <f>+Sector1!O474</f>
        <v>9.9933380645881364E-2</v>
      </c>
      <c r="N33" s="1439">
        <f>+Sector1!P474</f>
        <v>8.8776604713573792E-2</v>
      </c>
      <c r="O33" s="1439">
        <f>+Sector1!Q474</f>
        <v>8.3879153805182724E-2</v>
      </c>
      <c r="P33" s="1439">
        <f>+Sector1!R474</f>
        <v>0.10107294400947694</v>
      </c>
      <c r="Q33" s="1439">
        <f>+Sector1!S474</f>
        <v>0.1234008292307435</v>
      </c>
      <c r="R33" s="1439">
        <f>+Sector1!T474</f>
        <v>0.14549075239975087</v>
      </c>
      <c r="S33" s="1439">
        <f>+Sector1!U474</f>
        <v>0.13952241539592908</v>
      </c>
      <c r="T33" s="1439">
        <f>+Sector1!V474</f>
        <v>0.14627280371440077</v>
      </c>
      <c r="U33" s="1439">
        <f>+Sector1!W474</f>
        <v>0.15271877527487046</v>
      </c>
      <c r="V33" s="1439">
        <f>+Sector1!X474</f>
        <v>0.16971639621164492</v>
      </c>
      <c r="W33" s="1439">
        <f>+Sector1!Y474</f>
        <v>0.17458261295899671</v>
      </c>
      <c r="X33" s="3306">
        <f>+Sector1!Z474</f>
        <v>0.18810902585367539</v>
      </c>
      <c r="Y33" s="3306">
        <f>+Sector1!AA474</f>
        <v>0.17547012930328981</v>
      </c>
      <c r="Z33" s="3306"/>
      <c r="AA33" s="3306"/>
      <c r="AB33" s="3304">
        <f t="shared" si="28"/>
        <v>0.2196329446804732</v>
      </c>
      <c r="AC33" s="3304">
        <f t="shared" si="23"/>
        <v>5.163914057117161E-2</v>
      </c>
      <c r="AD33" s="3304">
        <f t="shared" si="25"/>
        <v>7.654403448323284E-2</v>
      </c>
      <c r="AE33" s="3304">
        <f t="shared" si="17"/>
        <v>2.7975310538709387E-5</v>
      </c>
      <c r="AG33" s="3304">
        <f t="shared" si="0"/>
        <v>0.75245762952468864</v>
      </c>
      <c r="AH33" s="3304">
        <f t="shared" si="1"/>
        <v>0.7781427064717511</v>
      </c>
      <c r="AI33" s="3304">
        <f t="shared" si="3"/>
        <v>0.7781427064717511</v>
      </c>
      <c r="AJ33" s="3304">
        <f t="shared" si="4"/>
        <v>0.71719744121265516</v>
      </c>
      <c r="AK33" s="3304">
        <f t="shared" si="7"/>
        <v>0.63896914814018735</v>
      </c>
      <c r="AL33" s="3304"/>
      <c r="AM33" s="3304">
        <f t="shared" si="8"/>
        <v>0.11066494791307639</v>
      </c>
      <c r="AN33" s="3304">
        <f t="shared" si="10"/>
        <v>0.50098960432529516</v>
      </c>
      <c r="AO33" s="3304">
        <f t="shared" si="11"/>
        <v>0.16011420762315337</v>
      </c>
      <c r="AP33" s="3304">
        <f t="shared" si="12"/>
        <v>0.22602611452914273</v>
      </c>
      <c r="AQ33" s="3304">
        <f t="shared" si="13"/>
        <v>6.537111551548036E-2</v>
      </c>
      <c r="AR33" s="3304">
        <f t="shared" si="14"/>
        <v>0.41433486589171542</v>
      </c>
      <c r="AS33" s="3304">
        <f t="shared" si="15"/>
        <v>3.3362769514836763E-5</v>
      </c>
      <c r="AT33" s="3304">
        <f t="shared" si="16"/>
        <v>0.40310756044879792</v>
      </c>
      <c r="AV33" s="3304">
        <f t="shared" si="18"/>
        <v>2.353938490616542E-2</v>
      </c>
      <c r="AW33" s="3304">
        <f t="shared" si="19"/>
        <v>5.559309996025897E-2</v>
      </c>
      <c r="AX33" s="3304">
        <f t="shared" si="20"/>
        <v>1.2907103198566377E-2</v>
      </c>
      <c r="AY33" s="3304">
        <f t="shared" si="21"/>
        <v>6.1909283583299356E-2</v>
      </c>
      <c r="AZ33" s="3304">
        <f t="shared" si="22"/>
        <v>3.715927402007279E-2</v>
      </c>
      <c r="BB33" s="3304">
        <f t="shared" si="24"/>
        <v>0.2196329446804732</v>
      </c>
      <c r="BC33" s="3304">
        <f t="shared" si="26"/>
        <v>5.5929821380740374E-2</v>
      </c>
      <c r="BD33" s="3304">
        <f t="shared" si="27"/>
        <v>2.9845300552546406E-2</v>
      </c>
      <c r="BE33" s="3304">
        <f t="shared" si="29"/>
        <v>0.92647964806763439</v>
      </c>
      <c r="BF33" s="3304">
        <f t="shared" ref="BF33:BF39" si="30">+RSQ($F$32:$Y$32,$F33:$Y33)</f>
        <v>0.11652301870012782</v>
      </c>
      <c r="BG33" s="3317"/>
    </row>
    <row r="34" spans="1:71">
      <c r="B34" t="s">
        <v>2370</v>
      </c>
      <c r="C34" s="545" t="s">
        <v>2357</v>
      </c>
      <c r="D34" s="3305">
        <f>+AVERAGE(E34:Y34)</f>
        <v>5.9491820534226768E-2</v>
      </c>
      <c r="E34" s="1439">
        <f>+Sector1!G468</f>
        <v>5.3318010572492969E-2</v>
      </c>
      <c r="F34" s="1439">
        <f>+Sector1!H468</f>
        <v>4.1819127388752361E-2</v>
      </c>
      <c r="G34" s="1439">
        <f>+Sector1!I468</f>
        <v>2.6152114414696906E-2</v>
      </c>
      <c r="H34" s="1439">
        <f>+Sector1!J468</f>
        <v>2.364284416443926E-2</v>
      </c>
      <c r="I34" s="1439">
        <f>+Sector1!K468</f>
        <v>-6.8348587615758589E-3</v>
      </c>
      <c r="J34" s="1439">
        <f>+Sector1!L468</f>
        <v>3.580343560608925E-2</v>
      </c>
      <c r="K34" s="1439">
        <f>+Sector1!M468</f>
        <v>5.7429421463095473E-2</v>
      </c>
      <c r="L34" s="1439">
        <f>+Sector1!N468</f>
        <v>5.6089471510618501E-2</v>
      </c>
      <c r="M34" s="1439">
        <f>+Sector1!O468</f>
        <v>5.1422247239041971E-2</v>
      </c>
      <c r="N34" s="1439">
        <f>+Sector1!P468</f>
        <v>4.4618952479398434E-2</v>
      </c>
      <c r="O34" s="1439">
        <f>+Sector1!Q468</f>
        <v>4.2039617505582036E-2</v>
      </c>
      <c r="P34" s="1439">
        <f>+Sector1!R468</f>
        <v>5.0321415841131083E-2</v>
      </c>
      <c r="Q34" s="1439">
        <f>+Sector1!S468</f>
        <v>6.2356879753697657E-2</v>
      </c>
      <c r="R34" s="1439">
        <f>+Sector1!T468</f>
        <v>7.5867394368750993E-2</v>
      </c>
      <c r="S34" s="1439">
        <f>+Sector1!U468</f>
        <v>7.6363096212677464E-2</v>
      </c>
      <c r="T34" s="1439">
        <f>+Sector1!V468</f>
        <v>7.9478997816009075E-2</v>
      </c>
      <c r="U34" s="1439">
        <f>+Sector1!W468</f>
        <v>8.3347013405742548E-2</v>
      </c>
      <c r="V34" s="1439">
        <f>+Sector1!X468</f>
        <v>9.5033141576379404E-2</v>
      </c>
      <c r="W34" s="1439">
        <f>+Sector1!Y468</f>
        <v>9.8599367928310436E-2</v>
      </c>
      <c r="X34" s="3306">
        <f>+Sector1!Z468</f>
        <v>0.10677569352372847</v>
      </c>
      <c r="Y34" s="3306">
        <f>+Sector1!AA468</f>
        <v>9.5684847209703661E-2</v>
      </c>
      <c r="Z34" s="3306"/>
      <c r="AA34" s="3306"/>
      <c r="AB34" s="3304">
        <f t="shared" si="28"/>
        <v>0.21840965512876792</v>
      </c>
      <c r="AC34" s="3304">
        <f t="shared" si="23"/>
        <v>6.1909283583299356E-2</v>
      </c>
      <c r="AD34" s="3304">
        <f t="shared" si="25"/>
        <v>3.715927402007279E-2</v>
      </c>
      <c r="AE34" s="3304">
        <f t="shared" si="17"/>
        <v>7.5328588223618598E-5</v>
      </c>
      <c r="AG34" s="3304">
        <f t="shared" si="0"/>
        <v>0.79445158971169239</v>
      </c>
      <c r="AH34" s="3304">
        <f t="shared" si="1"/>
        <v>0.79189779312051067</v>
      </c>
      <c r="AI34" s="3304">
        <f t="shared" si="3"/>
        <v>0.79189779312051067</v>
      </c>
      <c r="AJ34" s="3304">
        <f t="shared" si="4"/>
        <v>0.71594774474912792</v>
      </c>
      <c r="AK34" s="3304">
        <f t="shared" si="7"/>
        <v>0.62363547038232547</v>
      </c>
      <c r="AL34" s="3304"/>
      <c r="AM34" s="3304">
        <f t="shared" si="8"/>
        <v>0.11523239991724958</v>
      </c>
      <c r="AN34" s="3304">
        <f t="shared" si="10"/>
        <v>0.50029733490927553</v>
      </c>
      <c r="AO34" s="3304">
        <f t="shared" si="11"/>
        <v>0.16827581506339923</v>
      </c>
      <c r="AP34" s="3304">
        <f t="shared" si="12"/>
        <v>0.23262424089864847</v>
      </c>
      <c r="AQ34" s="3304">
        <f t="shared" si="13"/>
        <v>7.1511469036442232E-2</v>
      </c>
      <c r="AR34" s="3304">
        <f t="shared" si="14"/>
        <v>0.38708224063590729</v>
      </c>
      <c r="AS34" s="3304">
        <f t="shared" si="15"/>
        <v>7.9118567557559885E-4</v>
      </c>
      <c r="AT34" s="3304">
        <f t="shared" si="16"/>
        <v>0.44479262778301071</v>
      </c>
      <c r="AV34" s="3304">
        <f t="shared" si="18"/>
        <v>2.6146726482721559E-2</v>
      </c>
      <c r="AW34" s="3304">
        <f t="shared" si="19"/>
        <v>5.8876294718388296E-2</v>
      </c>
      <c r="AX34" s="3304">
        <f t="shared" si="20"/>
        <v>5.4202070939044509E-3</v>
      </c>
      <c r="AY34" s="3304">
        <f t="shared" si="21"/>
        <v>6.2597852790098232E-2</v>
      </c>
      <c r="AZ34" s="3304">
        <f t="shared" si="22"/>
        <v>3.8897618741097553E-2</v>
      </c>
      <c r="BB34" s="3304">
        <f t="shared" si="24"/>
        <v>0.21840965512876792</v>
      </c>
      <c r="BC34" s="3304">
        <f t="shared" si="26"/>
        <v>3.9976459696010685E-2</v>
      </c>
      <c r="BD34" s="3304">
        <f t="shared" si="27"/>
        <v>3.616612800492483E-2</v>
      </c>
      <c r="BE34" s="3304">
        <f t="shared" si="29"/>
        <v>0.95264502518151972</v>
      </c>
      <c r="BF34" s="3304">
        <f t="shared" si="30"/>
        <v>0.11116840250502893</v>
      </c>
      <c r="BG34" s="3304">
        <f t="shared" ref="BG34:BG39" si="31">+RSQ($F$33:$Y$33,$F34:$Y34)</f>
        <v>0.99324191442211907</v>
      </c>
      <c r="BH34" s="3317"/>
    </row>
    <row r="35" spans="1:71">
      <c r="B35" t="s">
        <v>2371</v>
      </c>
      <c r="D35" s="3305"/>
      <c r="E35" s="1492">
        <f>+Sector1!G561</f>
        <v>67.049000000000234</v>
      </c>
      <c r="F35" s="1492">
        <f>+Sector1!H561</f>
        <v>45.310000000000009</v>
      </c>
      <c r="G35" s="1492">
        <f>+Sector1!I561</f>
        <v>14.824000000000019</v>
      </c>
      <c r="H35" s="1492">
        <f>+Sector1!J561</f>
        <v>6.2429999999997534</v>
      </c>
      <c r="I35" s="1492">
        <f>+Sector1!K561</f>
        <v>-64.851000000000312</v>
      </c>
      <c r="J35" s="1492">
        <f>+Sector1!L561</f>
        <v>28.961000000000091</v>
      </c>
      <c r="K35" s="1492">
        <f>+Sector1!M561</f>
        <v>83.457000000000079</v>
      </c>
      <c r="L35" s="1492">
        <f>+Sector1!N561</f>
        <v>78.393000000000043</v>
      </c>
      <c r="M35" s="1492">
        <f>+Sector1!O561</f>
        <v>63.164999999999793</v>
      </c>
      <c r="N35" s="1492">
        <f>+Sector1!P561</f>
        <v>38.710999999999999</v>
      </c>
      <c r="O35" s="1492">
        <f>+Sector1!Q561</f>
        <v>33.657000000000025</v>
      </c>
      <c r="P35" s="1492">
        <f>+Sector1!R561</f>
        <v>53.409000000000091</v>
      </c>
      <c r="Q35" s="1492">
        <f>+Sector1!S561</f>
        <v>90.94300000000014</v>
      </c>
      <c r="R35" s="1492">
        <f>+Sector1!T561</f>
        <v>144.37599999999981</v>
      </c>
      <c r="S35" s="1492">
        <f>+Sector1!U561</f>
        <v>152.66300000000012</v>
      </c>
      <c r="T35" s="1492">
        <f>+Sector1!V561</f>
        <v>165.91400000000041</v>
      </c>
      <c r="U35" s="1492">
        <f>+Sector1!W561</f>
        <v>192.08899999999991</v>
      </c>
      <c r="V35" s="1492">
        <f>+Sector1!X561</f>
        <v>253.03200000000027</v>
      </c>
      <c r="W35" s="1492">
        <f>+Sector1!Y561</f>
        <v>271.82600000000002</v>
      </c>
      <c r="X35" s="3307">
        <f>+Sector1!Z561</f>
        <v>315.24399999999957</v>
      </c>
      <c r="Y35" s="3307">
        <f>+Sector1!AA561</f>
        <v>265.91599999999994</v>
      </c>
      <c r="Z35" s="3307"/>
      <c r="AA35" s="3307"/>
      <c r="AB35" s="3304">
        <f t="shared" si="28"/>
        <v>0.16814514309605486</v>
      </c>
      <c r="AC35" s="3304">
        <f t="shared" si="23"/>
        <v>6.2597852790098232E-2</v>
      </c>
      <c r="AD35" s="3304">
        <f t="shared" si="25"/>
        <v>3.8897618741097553E-2</v>
      </c>
      <c r="AE35" s="3304">
        <f t="shared" si="17"/>
        <v>3.6219818898213657E-4</v>
      </c>
      <c r="AG35" s="3304">
        <f t="shared" si="0"/>
        <v>0.89444051104076383</v>
      </c>
      <c r="AH35" s="3304">
        <f t="shared" si="1"/>
        <v>0.79116898310156225</v>
      </c>
      <c r="AI35" s="3304">
        <f t="shared" si="3"/>
        <v>0.79116898310156225</v>
      </c>
      <c r="AJ35" s="3304">
        <f t="shared" si="4"/>
        <v>0.67861485504875796</v>
      </c>
      <c r="AK35" s="3304">
        <f t="shared" si="7"/>
        <v>0.54638768156873108</v>
      </c>
      <c r="AL35" s="3304"/>
      <c r="AM35" s="3304">
        <f t="shared" si="8"/>
        <v>8.5842919963271772E-2</v>
      </c>
      <c r="AN35" s="3304">
        <f t="shared" si="10"/>
        <v>0.4769799765936214</v>
      </c>
      <c r="AO35" s="3304">
        <f t="shared" si="11"/>
        <v>0.15012461433767404</v>
      </c>
      <c r="AP35" s="3304">
        <f t="shared" si="12"/>
        <v>0.18564197719026215</v>
      </c>
      <c r="AQ35" s="3304">
        <f t="shared" si="13"/>
        <v>5.0547489334250073E-2</v>
      </c>
      <c r="AR35" s="3304">
        <f t="shared" si="14"/>
        <v>0.30893316760428763</v>
      </c>
      <c r="AS35" s="3304">
        <f t="shared" si="15"/>
        <v>1.4829646876010428E-3</v>
      </c>
      <c r="AT35" s="3304">
        <f t="shared" si="16"/>
        <v>0.57392878866459918</v>
      </c>
      <c r="AV35" s="3304">
        <f t="shared" si="18"/>
        <v>2.3332137536305312E-2</v>
      </c>
      <c r="AW35" s="3304">
        <f t="shared" si="19"/>
        <v>4.9195354429598097E-2</v>
      </c>
      <c r="AX35" s="3304">
        <f t="shared" si="20"/>
        <v>7.9970637802994455E-4</v>
      </c>
      <c r="AY35" s="3304">
        <f t="shared" si="21"/>
        <v>4.8814600355052487E-2</v>
      </c>
      <c r="AZ35" s="3304">
        <f t="shared" si="22"/>
        <v>2.9433313555111154E-2</v>
      </c>
      <c r="BB35" s="3304">
        <f t="shared" si="24"/>
        <v>0.16814514309605486</v>
      </c>
      <c r="BC35" s="3304">
        <f t="shared" si="26"/>
        <v>9.6854027753770153E-3</v>
      </c>
      <c r="BD35" s="3304">
        <f t="shared" si="27"/>
        <v>4.2594829946198343E-2</v>
      </c>
      <c r="BE35" s="3304">
        <f t="shared" si="29"/>
        <v>0.9734610126420703</v>
      </c>
      <c r="BF35" s="3304">
        <f t="shared" si="30"/>
        <v>8.3595015710380999E-2</v>
      </c>
      <c r="BG35" s="3304">
        <f t="shared" si="31"/>
        <v>0.90350040560115707</v>
      </c>
      <c r="BH35" s="3304">
        <f>+RSQ($F$34:$Y$34,$F35:$Y35)</f>
        <v>0.94283288793932651</v>
      </c>
      <c r="BI35" s="3317"/>
    </row>
    <row r="36" spans="1:71">
      <c r="B36" t="s">
        <v>2372</v>
      </c>
      <c r="C36" s="545" t="s">
        <v>2357</v>
      </c>
      <c r="D36" s="3305"/>
      <c r="E36" s="1492"/>
      <c r="F36" s="1492">
        <f>+Sector1!H570</f>
        <v>-32.422556637683108</v>
      </c>
      <c r="G36" s="1492">
        <f>+Sector1!I570</f>
        <v>-67.283160450231705</v>
      </c>
      <c r="H36" s="1492">
        <f>+Sector1!J570</f>
        <v>-57.885860766326601</v>
      </c>
      <c r="I36" s="1492">
        <f>+Sector1!K570</f>
        <v>-1138.7794329649666</v>
      </c>
      <c r="J36" s="1492">
        <f>+Sector1!L570</f>
        <v>-144.65775392823542</v>
      </c>
      <c r="K36" s="1492">
        <f>+Sector1!M570</f>
        <v>188.17029798694733</v>
      </c>
      <c r="L36" s="1492">
        <f>+Sector1!N570</f>
        <v>-6.0677953916388416</v>
      </c>
      <c r="M36" s="1492">
        <f>+Sector1!O570</f>
        <v>-19.425203780950142</v>
      </c>
      <c r="N36" s="1492">
        <f>+Sector1!P570</f>
        <v>-38.714477954563243</v>
      </c>
      <c r="O36" s="1492">
        <f>+Sector1!Q570</f>
        <v>-13.055720596212893</v>
      </c>
      <c r="P36" s="1492">
        <f>+Sector1!R570</f>
        <v>58.686157411534154</v>
      </c>
      <c r="Q36" s="1492">
        <f>+Sector1!S570</f>
        <v>70.276545151566182</v>
      </c>
      <c r="R36" s="1492">
        <f>+Sector1!T570</f>
        <v>58.754384614538324</v>
      </c>
      <c r="S36" s="1492">
        <f>+Sector1!U570</f>
        <v>5.7398736632129577</v>
      </c>
      <c r="T36" s="1492">
        <f>+Sector1!V570</f>
        <v>8.6799027924253203</v>
      </c>
      <c r="U36" s="1492">
        <f>+Sector1!W570</f>
        <v>15.776245524789601</v>
      </c>
      <c r="V36" s="1492">
        <f>+Sector1!X570</f>
        <v>31.726439306779874</v>
      </c>
      <c r="W36" s="1492">
        <f>+Sector1!Y570</f>
        <v>7.4275190489739407</v>
      </c>
      <c r="X36" s="3307">
        <f>+Sector1!Z570</f>
        <v>15.972717841560247</v>
      </c>
      <c r="Y36" s="3307">
        <f>+Sector1!AA570</f>
        <v>-15.647561888568761</v>
      </c>
      <c r="Z36" s="3307"/>
      <c r="AA36" s="3307"/>
      <c r="AB36" s="3304">
        <f t="shared" si="28"/>
        <v>0.17137354242341468</v>
      </c>
      <c r="AC36" s="3304">
        <f t="shared" si="23"/>
        <v>4.8814600355052487E-2</v>
      </c>
      <c r="AD36" s="3304">
        <f t="shared" si="25"/>
        <v>2.9433313555111154E-2</v>
      </c>
      <c r="AE36" s="3304">
        <f t="shared" si="17"/>
        <v>9.5025515460211672E-3</v>
      </c>
      <c r="AG36" s="3304">
        <f t="shared" si="0"/>
        <v>7.1018157424505512E-2</v>
      </c>
      <c r="AH36" s="3304">
        <f t="shared" si="1"/>
        <v>0.106709716767951</v>
      </c>
      <c r="AI36" s="3304">
        <f t="shared" si="3"/>
        <v>0.106709716767951</v>
      </c>
      <c r="AJ36" s="3304">
        <f t="shared" si="4"/>
        <v>0.11185305803266872</v>
      </c>
      <c r="AK36" s="3304">
        <f t="shared" si="7"/>
        <v>0.11884619443455711</v>
      </c>
      <c r="AL36" s="3304"/>
      <c r="AM36" s="3304">
        <f t="shared" si="8"/>
        <v>6.0003427429179967E-2</v>
      </c>
      <c r="AN36" s="3304">
        <f t="shared" si="10"/>
        <v>8.7946736000242567E-2</v>
      </c>
      <c r="AO36" s="3304">
        <f t="shared" si="11"/>
        <v>2.9469333272758198E-2</v>
      </c>
      <c r="AP36" s="3304">
        <f t="shared" si="12"/>
        <v>9.5300395272116464E-2</v>
      </c>
      <c r="AQ36" s="3304">
        <f t="shared" si="13"/>
        <v>2.8885355777247122E-2</v>
      </c>
      <c r="AR36" s="3304">
        <f t="shared" si="14"/>
        <v>7.6771990321528108E-2</v>
      </c>
      <c r="AS36" s="3304">
        <f t="shared" si="15"/>
        <v>3.3405080537896852E-3</v>
      </c>
      <c r="AT36" s="3304">
        <f t="shared" si="16"/>
        <v>1.1178325612152E-2</v>
      </c>
      <c r="AV36" s="3304">
        <f t="shared" si="18"/>
        <v>2.2000602615317381E-2</v>
      </c>
      <c r="AW36" s="3304">
        <f t="shared" si="19"/>
        <v>3.0967233660635418E-2</v>
      </c>
      <c r="AX36" s="3304">
        <f t="shared" si="20"/>
        <v>1.6216696582031669E-2</v>
      </c>
      <c r="AY36" s="3304">
        <f t="shared" si="21"/>
        <v>0.16818395168668654</v>
      </c>
      <c r="AZ36" s="3304">
        <f t="shared" si="22"/>
        <v>2.941508219817749E-2</v>
      </c>
      <c r="BB36" s="3304">
        <f t="shared" si="24"/>
        <v>0.17137354242341468</v>
      </c>
      <c r="BC36" s="3304">
        <f t="shared" si="26"/>
        <v>0.17013412193213098</v>
      </c>
      <c r="BD36" s="3304">
        <f t="shared" si="27"/>
        <v>2.0150029785437045E-2</v>
      </c>
      <c r="BE36" s="3304">
        <f t="shared" si="29"/>
        <v>0.20100914970312556</v>
      </c>
      <c r="BF36" s="3304">
        <f t="shared" si="30"/>
        <v>9.2470495614228404E-2</v>
      </c>
      <c r="BG36" s="3304">
        <f t="shared" si="31"/>
        <v>0.41991405185635183</v>
      </c>
      <c r="BH36" s="3304">
        <f>+RSQ($F$34:$Y$34,$F36:$Y36)</f>
        <v>0.3586035862554669</v>
      </c>
      <c r="BI36" s="3304">
        <f>+RSQ($F$35:$Y$35,$F36:$Y36)</f>
        <v>0.20009112849482921</v>
      </c>
      <c r="BJ36" s="3317"/>
    </row>
    <row r="37" spans="1:71">
      <c r="B37" t="s">
        <v>2373</v>
      </c>
      <c r="C37" s="545" t="s">
        <v>2357</v>
      </c>
      <c r="D37" s="3305">
        <f>+AVERAGE(E37:Y37)</f>
        <v>3.2505132382016196E-2</v>
      </c>
      <c r="E37" s="1439">
        <f>+Sector1!G576</f>
        <v>3.5557537780116034E-2</v>
      </c>
      <c r="F37" s="1439">
        <f>+Sector1!H576</f>
        <v>2.3423550102410186E-2</v>
      </c>
      <c r="G37" s="1439">
        <f>+Sector1!I576</f>
        <v>7.3314348622982141E-3</v>
      </c>
      <c r="H37" s="1439">
        <f>+Sector1!J576</f>
        <v>2.9387038070876064E-3</v>
      </c>
      <c r="I37" s="1439">
        <f>+Sector1!K576</f>
        <v>-2.8943935323687432E-2</v>
      </c>
      <c r="J37" s="1439">
        <f>+Sector1!L576</f>
        <v>1.2149976548334381E-2</v>
      </c>
      <c r="K37" s="1439">
        <f>+Sector1!M576</f>
        <v>3.3626037303438182E-2</v>
      </c>
      <c r="L37" s="1439">
        <f>+Sector1!N576</f>
        <v>3.0456196077715322E-2</v>
      </c>
      <c r="M37" s="1439">
        <f>+Sector1!O576</f>
        <v>2.3561442714528792E-2</v>
      </c>
      <c r="N37" s="1439">
        <f>+Sector1!P576</f>
        <v>1.3783990403086737E-2</v>
      </c>
      <c r="O37" s="1439">
        <f>+Sector1!Q576</f>
        <v>1.1563265391662378E-2</v>
      </c>
      <c r="P37" s="1439">
        <f>+Sector1!R576</f>
        <v>1.7212973687925327E-2</v>
      </c>
      <c r="Q37" s="1439">
        <f>+Sector1!S576</f>
        <v>2.755027820500746E-2</v>
      </c>
      <c r="R37" s="1439">
        <f>+Sector1!T576</f>
        <v>4.2567682514953444E-2</v>
      </c>
      <c r="S37" s="1439">
        <f>+Sector1!U576</f>
        <v>4.6373810035148788E-2</v>
      </c>
      <c r="T37" s="1439">
        <f>+Sector1!V576</f>
        <v>4.7083509278556597E-2</v>
      </c>
      <c r="U37" s="1439">
        <f>+Sector1!W576</f>
        <v>5.2468381278231342E-2</v>
      </c>
      <c r="V37" s="1439">
        <f>+Sector1!X576</f>
        <v>6.8593344684593271E-2</v>
      </c>
      <c r="W37" s="1439">
        <f>+Sector1!Y576</f>
        <v>7.2027131334131272E-2</v>
      </c>
      <c r="X37" s="3306">
        <f>+Sector1!Z576</f>
        <v>7.9992387573983151E-2</v>
      </c>
      <c r="Y37" s="3306">
        <f>+Sector1!AA576</f>
        <v>6.3290081762819028E-2</v>
      </c>
      <c r="Z37" s="3306"/>
      <c r="AA37" s="3306"/>
      <c r="AB37" s="3304">
        <f t="shared" si="28"/>
        <v>0.23964872978081042</v>
      </c>
      <c r="AC37" s="3304">
        <f t="shared" si="23"/>
        <v>0.16818395168668654</v>
      </c>
      <c r="AD37" s="3304">
        <f t="shared" si="25"/>
        <v>2.941508219817749E-2</v>
      </c>
      <c r="AE37" s="3304">
        <f t="shared" si="17"/>
        <v>7.6320308459537146E-4</v>
      </c>
      <c r="AG37" s="3304">
        <f t="shared" si="0"/>
        <v>0.75847063720142205</v>
      </c>
      <c r="AH37" s="3304">
        <f t="shared" si="1"/>
        <v>0.68738980197158273</v>
      </c>
      <c r="AI37" s="3304">
        <f t="shared" si="3"/>
        <v>0.68738980197158273</v>
      </c>
      <c r="AJ37" s="3304">
        <f t="shared" si="4"/>
        <v>0.58780393011153309</v>
      </c>
      <c r="AK37" s="3304">
        <f t="shared" si="7"/>
        <v>0.479349107267594</v>
      </c>
      <c r="AL37" s="3304"/>
      <c r="AM37" s="3304">
        <f t="shared" si="8"/>
        <v>0.1339458372552936</v>
      </c>
      <c r="AN37" s="3304">
        <f t="shared" si="10"/>
        <v>0.42478995631593658</v>
      </c>
      <c r="AO37" s="3304">
        <f t="shared" si="11"/>
        <v>0.17776614537615354</v>
      </c>
      <c r="AP37" s="3304">
        <f t="shared" si="12"/>
        <v>0.24924390725269902</v>
      </c>
      <c r="AQ37" s="3304">
        <f t="shared" si="13"/>
        <v>8.7421363825903181E-2</v>
      </c>
      <c r="AR37" s="3304">
        <f t="shared" si="14"/>
        <v>0.27368284427028483</v>
      </c>
      <c r="AS37" s="3304">
        <f t="shared" si="15"/>
        <v>4.9621518107599476E-3</v>
      </c>
      <c r="AT37" s="3304">
        <f t="shared" si="16"/>
        <v>0.47856210267291421</v>
      </c>
      <c r="AV37" s="3304">
        <f t="shared" si="18"/>
        <v>5.0888492138076294E-2</v>
      </c>
      <c r="AW37" s="3304">
        <f t="shared" si="19"/>
        <v>8.529776577950042E-2</v>
      </c>
      <c r="AX37" s="3304">
        <f t="shared" si="20"/>
        <v>2.7928229658878518E-3</v>
      </c>
      <c r="AY37" s="3304">
        <f t="shared" si="21"/>
        <v>3.7872189044597625E-2</v>
      </c>
      <c r="AZ37" s="3304">
        <f t="shared" si="22"/>
        <v>6.6145791353391548E-2</v>
      </c>
      <c r="BB37" s="3304">
        <f t="shared" si="24"/>
        <v>0.23964872978081042</v>
      </c>
      <c r="BC37" s="3304">
        <f t="shared" si="26"/>
        <v>2.7643950834465972E-2</v>
      </c>
      <c r="BD37" s="3304">
        <f t="shared" si="27"/>
        <v>3.9101826310292055E-2</v>
      </c>
      <c r="BE37" s="3304">
        <f t="shared" si="29"/>
        <v>0.91865200900033428</v>
      </c>
      <c r="BF37" s="3304">
        <f t="shared" si="30"/>
        <v>9.5663183486025177E-2</v>
      </c>
      <c r="BG37" s="3304">
        <f t="shared" si="31"/>
        <v>0.95385347377975738</v>
      </c>
      <c r="BH37" s="3304">
        <f>+RSQ($F$34:$Y$34,$F37:$Y37)</f>
        <v>0.9747897120216853</v>
      </c>
      <c r="BI37" s="3304">
        <f>+RSQ($F$35:$Y$35,$F37:$Y37)</f>
        <v>0.9587560302896122</v>
      </c>
      <c r="BJ37" s="3304">
        <f>+RSQ($F$36:$Y$36,$F37:$Y37)</f>
        <v>0.34417490838889531</v>
      </c>
      <c r="BK37" s="3317"/>
    </row>
    <row r="38" spans="1:71">
      <c r="B38" t="s">
        <v>2374</v>
      </c>
      <c r="D38" s="1776">
        <f>+AVERAGE(E38:Y38)</f>
        <v>82.288285714285735</v>
      </c>
      <c r="E38" s="1492">
        <f>+E31-E35</f>
        <v>33.489999999999981</v>
      </c>
      <c r="F38" s="1492">
        <f>+F31-F35</f>
        <v>35.583999999999996</v>
      </c>
      <c r="G38" s="1492">
        <f t="shared" ref="G38:Y38" si="32">+G31-G35</f>
        <v>38.055</v>
      </c>
      <c r="H38" s="1492">
        <f t="shared" si="32"/>
        <v>43.983999999999995</v>
      </c>
      <c r="I38" s="1492">
        <f t="shared" si="32"/>
        <v>49.537000000000006</v>
      </c>
      <c r="J38" s="1492">
        <f t="shared" si="32"/>
        <v>56.381000000000007</v>
      </c>
      <c r="K38" s="1492">
        <f t="shared" si="32"/>
        <v>59.078000000000003</v>
      </c>
      <c r="L38" s="1492">
        <f t="shared" si="32"/>
        <v>65.979000000000028</v>
      </c>
      <c r="M38" s="1492">
        <f t="shared" si="32"/>
        <v>74.690999999999974</v>
      </c>
      <c r="N38" s="1492">
        <f t="shared" si="32"/>
        <v>86.596999999999994</v>
      </c>
      <c r="O38" s="1492">
        <f t="shared" si="32"/>
        <v>88.707000000000008</v>
      </c>
      <c r="P38" s="1492">
        <f t="shared" si="32"/>
        <v>102.73000000000003</v>
      </c>
      <c r="Q38" s="1492">
        <f t="shared" si="32"/>
        <v>114.89600000000003</v>
      </c>
      <c r="R38" s="1492">
        <f t="shared" si="32"/>
        <v>112.94199999999995</v>
      </c>
      <c r="S38" s="1492">
        <f t="shared" si="32"/>
        <v>98.725000000000023</v>
      </c>
      <c r="T38" s="1492">
        <f t="shared" si="32"/>
        <v>114.15599999999998</v>
      </c>
      <c r="U38" s="1492">
        <f t="shared" si="32"/>
        <v>113.04800000000003</v>
      </c>
      <c r="V38" s="1492">
        <f t="shared" si="32"/>
        <v>97.533000000000015</v>
      </c>
      <c r="W38" s="1492">
        <f t="shared" si="32"/>
        <v>100.28199999999993</v>
      </c>
      <c r="X38" s="3307">
        <f t="shared" si="32"/>
        <v>105.55100000000004</v>
      </c>
      <c r="Y38" s="3307">
        <f t="shared" si="32"/>
        <v>136.10799999999995</v>
      </c>
      <c r="Z38" s="3307"/>
      <c r="AA38" s="3307"/>
      <c r="AB38" s="3304">
        <f t="shared" si="28"/>
        <v>3.3929063866107972E-2</v>
      </c>
      <c r="AC38" s="3304">
        <f t="shared" si="23"/>
        <v>3.7872189044597625E-2</v>
      </c>
      <c r="AD38" s="3304">
        <f t="shared" si="25"/>
        <v>6.6145791353391548E-2</v>
      </c>
      <c r="AE38" s="3304">
        <f t="shared" si="17"/>
        <v>1.1872158048141972E-2</v>
      </c>
      <c r="AG38" s="3304">
        <f t="shared" si="0"/>
        <v>0.67754442445831209</v>
      </c>
      <c r="AH38" s="3304">
        <f t="shared" si="1"/>
        <v>0.88989010271074864</v>
      </c>
      <c r="AI38" s="3304">
        <f t="shared" si="3"/>
        <v>0.88989010271074864</v>
      </c>
      <c r="AJ38" s="3304">
        <f t="shared" si="4"/>
        <v>0.93961773070349974</v>
      </c>
      <c r="AK38" s="3304">
        <f t="shared" si="7"/>
        <v>0.951913625885213</v>
      </c>
      <c r="AL38" s="3304"/>
      <c r="AM38" s="3304">
        <f t="shared" si="8"/>
        <v>6.1074546728851183E-3</v>
      </c>
      <c r="AN38" s="3304">
        <f t="shared" si="10"/>
        <v>0.59866184793737032</v>
      </c>
      <c r="AO38" s="3304">
        <f t="shared" si="11"/>
        <v>5.1054506847401308E-2</v>
      </c>
      <c r="AP38" s="3304">
        <f t="shared" si="12"/>
        <v>5.0655252270858264E-2</v>
      </c>
      <c r="AQ38" s="3304">
        <f t="shared" si="13"/>
        <v>2.2491438511040111E-4</v>
      </c>
      <c r="AR38" s="3304">
        <f t="shared" si="14"/>
        <v>0.71236385605117647</v>
      </c>
      <c r="AS38" s="3304">
        <f t="shared" si="15"/>
        <v>2.1561181370373637E-2</v>
      </c>
      <c r="AT38" s="3304">
        <f t="shared" si="16"/>
        <v>0.2359800311344474</v>
      </c>
      <c r="AV38" s="3304">
        <f t="shared" si="18"/>
        <v>4.16065745284619E-2</v>
      </c>
      <c r="AW38" s="3304">
        <f t="shared" si="19"/>
        <v>8.2302513032357708E-3</v>
      </c>
      <c r="AX38" s="3304">
        <f t="shared" si="20"/>
        <v>0.30929578894914167</v>
      </c>
      <c r="AY38" s="3304">
        <f t="shared" si="21"/>
        <v>1.912995177898855E-2</v>
      </c>
      <c r="AZ38" s="3304">
        <f t="shared" si="22"/>
        <v>3.3643849298292353E-2</v>
      </c>
      <c r="BB38" s="3304">
        <f t="shared" si="24"/>
        <v>3.3929063866107972E-2</v>
      </c>
      <c r="BC38" s="3304">
        <f t="shared" si="26"/>
        <v>3.6309753024342702E-2</v>
      </c>
      <c r="BD38" s="3304">
        <f t="shared" si="27"/>
        <v>1.2432819710729343E-2</v>
      </c>
      <c r="BE38" s="3304">
        <f t="shared" si="29"/>
        <v>0.67547974521466436</v>
      </c>
      <c r="BF38" s="3304">
        <f t="shared" si="30"/>
        <v>0.10189384465134506</v>
      </c>
      <c r="BG38" s="3304">
        <f t="shared" si="31"/>
        <v>0.62114342702969494</v>
      </c>
      <c r="BH38" s="3304">
        <f>+RSQ($F$34:$Y$34,$F38:$Y38)</f>
        <v>0.59939835952297427</v>
      </c>
      <c r="BI38" s="3304">
        <f>+RSQ($F$35:$Y$35,$F38:$Y38)</f>
        <v>0.51565800461099687</v>
      </c>
      <c r="BJ38" s="3304">
        <f>+RSQ($F$36:$Y$36,$F38:$Y38)</f>
        <v>0.12328575158773902</v>
      </c>
      <c r="BK38" s="3304">
        <f>+RSQ($F$37:$Y$37,$F38:$Y38)</f>
        <v>0.44968835528520379</v>
      </c>
      <c r="BL38" s="3317"/>
    </row>
    <row r="39" spans="1:71" ht="14.25" customHeight="1">
      <c r="B39" t="s">
        <v>2375</v>
      </c>
      <c r="D39" s="1525"/>
      <c r="E39" s="3310">
        <v>34.171322160148975</v>
      </c>
      <c r="F39" s="3310">
        <v>34.450651769087514</v>
      </c>
      <c r="G39" s="3310">
        <v>36.731843575418992</v>
      </c>
      <c r="H39" s="3310">
        <v>40.223463687150826</v>
      </c>
      <c r="I39" s="3310">
        <v>43.994413407821227</v>
      </c>
      <c r="J39" s="3310">
        <v>48.929236499068892</v>
      </c>
      <c r="K39" s="3310">
        <v>52.793296089385464</v>
      </c>
      <c r="L39" s="3310">
        <v>56.145251396648035</v>
      </c>
      <c r="M39" s="3310">
        <v>59.869646182495345</v>
      </c>
      <c r="N39" s="3310">
        <v>65.456238361266273</v>
      </c>
      <c r="O39" s="3310">
        <v>71.36871508379889</v>
      </c>
      <c r="P39" s="3310">
        <v>80.074487895716913</v>
      </c>
      <c r="Q39" s="3310">
        <v>88.407821229050228</v>
      </c>
      <c r="R39" s="3310">
        <v>91.294227188081905</v>
      </c>
      <c r="S39" s="3310">
        <v>92.737430167597751</v>
      </c>
      <c r="T39" s="3310">
        <v>100</v>
      </c>
      <c r="U39" s="3310">
        <v>100.74487895716945</v>
      </c>
      <c r="V39" s="3310">
        <v>99.348230912476708</v>
      </c>
      <c r="W39" s="3310">
        <v>102.4674115456238</v>
      </c>
      <c r="X39" s="3311"/>
      <c r="Y39" s="3311"/>
      <c r="Z39" s="3311"/>
      <c r="AA39" s="3311"/>
      <c r="AB39" s="3304">
        <f t="shared" si="28"/>
        <v>0.12209939745707259</v>
      </c>
      <c r="AC39" s="3304">
        <f t="shared" si="23"/>
        <v>1.912995177898855E-2</v>
      </c>
      <c r="AD39" s="3304">
        <f t="shared" si="25"/>
        <v>3.3643849298292353E-2</v>
      </c>
      <c r="AE39" s="3304">
        <f t="shared" si="17"/>
        <v>4.9046458440734839E-4</v>
      </c>
      <c r="AG39" s="3304">
        <f t="shared" si="0"/>
        <v>0.87616993331636728</v>
      </c>
      <c r="AH39" s="3304">
        <f t="shared" si="1"/>
        <v>0.99003193940514655</v>
      </c>
      <c r="AI39" s="3304">
        <f t="shared" si="3"/>
        <v>0.99003193940514655</v>
      </c>
      <c r="AJ39" s="3304">
        <f t="shared" si="4"/>
        <v>0.95565241424037262</v>
      </c>
      <c r="AK39" s="3304">
        <f t="shared" si="7"/>
        <v>0.89700076432199416</v>
      </c>
      <c r="AL39" s="3304"/>
      <c r="AM39" s="3304">
        <f t="shared" si="8"/>
        <v>9.3312290061379755E-2</v>
      </c>
      <c r="AN39" s="3319">
        <f t="shared" si="10"/>
        <v>0.54129023796210551</v>
      </c>
      <c r="AO39" s="3304">
        <f t="shared" si="11"/>
        <v>0.16767237532743842</v>
      </c>
      <c r="AP39" s="3304">
        <f t="shared" si="12"/>
        <v>0.19388169226413621</v>
      </c>
      <c r="AQ39" s="3304">
        <f t="shared" si="13"/>
        <v>5.9755222901550907E-2</v>
      </c>
      <c r="AR39" s="3319">
        <f t="shared" si="14"/>
        <v>0.55782221980844238</v>
      </c>
      <c r="AS39" s="3304">
        <f t="shared" si="15"/>
        <v>2.4854936738610684E-2</v>
      </c>
      <c r="AT39" s="3304">
        <f t="shared" si="16"/>
        <v>0.25140544057971986</v>
      </c>
      <c r="AV39" s="3304">
        <f t="shared" si="18"/>
        <v>4.0920839408879108E-3</v>
      </c>
      <c r="AW39" s="3304">
        <f t="shared" si="19"/>
        <v>1.2546802544451492E-3</v>
      </c>
      <c r="AX39" s="3304">
        <f t="shared" si="20"/>
        <v>0.16436713326994118</v>
      </c>
      <c r="AY39" s="3304">
        <f t="shared" si="21"/>
        <v>9.3583951517524984E-4</v>
      </c>
      <c r="AZ39" s="3304">
        <f t="shared" si="22"/>
        <v>4.6374837290632954E-3</v>
      </c>
      <c r="BB39" s="3304">
        <f t="shared" si="24"/>
        <v>0.12209939745707259</v>
      </c>
      <c r="BC39" s="3304">
        <f t="shared" si="26"/>
        <v>3.488470960200752E-2</v>
      </c>
      <c r="BD39" s="3304">
        <f t="shared" si="27"/>
        <v>3.3318894565922477E-2</v>
      </c>
      <c r="BE39" s="3319">
        <f t="shared" si="29"/>
        <v>0.85488136169166384</v>
      </c>
      <c r="BF39" s="3304">
        <f t="shared" si="30"/>
        <v>9.9618187728075375E-2</v>
      </c>
      <c r="BG39" s="3319">
        <f t="shared" si="31"/>
        <v>0.72011036779890281</v>
      </c>
      <c r="BH39" s="3319">
        <f>+RSQ($F$34:$Y$34,$F39:$Y39)</f>
        <v>0.73396289266267567</v>
      </c>
      <c r="BI39" s="3304">
        <f>+RSQ($F$35:$Y$35,$F39:$Y39)</f>
        <v>0.70734596275773975</v>
      </c>
      <c r="BJ39" s="3304">
        <f>+RSQ($F$36:$Y$36,$F39:$Y39)</f>
        <v>0.1226813106169823</v>
      </c>
      <c r="BK39" s="3304">
        <f>+RSQ($F$37:$Y$37,$F39:$Y39)</f>
        <v>0.59912759717866904</v>
      </c>
      <c r="BL39" s="3319">
        <f>+RSQ($F$38:$Y$38,$F39:$Y39)</f>
        <v>0.90832226119740633</v>
      </c>
      <c r="BM39" s="3317"/>
    </row>
    <row r="40" spans="1:71">
      <c r="D40" s="1525"/>
      <c r="AB40" s="583"/>
      <c r="AC40" s="583"/>
      <c r="AD40" s="583"/>
      <c r="AE40" s="583"/>
      <c r="AG40" s="3304"/>
      <c r="AH40" s="3304"/>
      <c r="AI40" s="3304"/>
      <c r="AJ40" s="3304"/>
      <c r="AK40" s="3304"/>
      <c r="AL40" s="3304"/>
      <c r="AM40" s="3304"/>
      <c r="AN40" s="3304"/>
      <c r="AO40" s="3304"/>
      <c r="AP40" s="3304"/>
      <c r="AQ40" s="3304"/>
      <c r="AR40" s="3304"/>
      <c r="AS40" s="3304"/>
      <c r="AT40" s="3304"/>
      <c r="AV40" s="3304"/>
      <c r="AW40" s="3304"/>
      <c r="AX40" s="3304"/>
      <c r="AY40" s="3304"/>
      <c r="AZ40" s="3304"/>
      <c r="BB40" s="3304"/>
      <c r="BC40" s="3304"/>
      <c r="BD40" s="3304"/>
      <c r="BE40" s="3304"/>
      <c r="BF40" s="3304"/>
      <c r="BG40" s="3304"/>
      <c r="BH40" s="3304"/>
      <c r="BI40" s="3304"/>
      <c r="BJ40" s="3304"/>
      <c r="BK40" s="3304"/>
      <c r="BL40" s="3304"/>
    </row>
    <row r="41" spans="1:71" ht="13.15">
      <c r="A41" s="1333" t="s">
        <v>2376</v>
      </c>
      <c r="D41" s="1525"/>
      <c r="AB41" s="583"/>
      <c r="AC41" s="3303"/>
      <c r="AD41" s="583"/>
      <c r="AE41" s="3304"/>
      <c r="AG41" s="3304"/>
      <c r="AH41" s="3304"/>
      <c r="AI41" s="3304"/>
      <c r="AJ41" s="3304"/>
      <c r="AK41" s="3304"/>
      <c r="AL41" s="3304"/>
      <c r="AM41" s="3304"/>
      <c r="AN41" s="3304"/>
      <c r="AO41" s="3304"/>
      <c r="AP41" s="3304"/>
      <c r="AQ41" s="3304"/>
      <c r="AR41" s="3304"/>
      <c r="AS41" s="3304"/>
      <c r="AT41" s="3304"/>
      <c r="AV41" s="3304"/>
      <c r="AW41" s="3304"/>
      <c r="AX41" s="3304"/>
      <c r="AY41" s="3304"/>
      <c r="AZ41" s="3304"/>
      <c r="BB41" s="3304"/>
      <c r="BC41" s="3304"/>
      <c r="BD41" s="3304"/>
      <c r="BE41" s="3304"/>
      <c r="BF41" s="3304"/>
      <c r="BG41" s="3304"/>
      <c r="BH41" s="3304"/>
      <c r="BI41" s="3304"/>
      <c r="BJ41" s="3304"/>
      <c r="BK41" s="3304"/>
      <c r="BL41" s="3304"/>
    </row>
    <row r="42" spans="1:71">
      <c r="B42" t="s">
        <v>2377</v>
      </c>
      <c r="C42" s="545" t="s">
        <v>2357</v>
      </c>
      <c r="D42" s="3305">
        <f>+AVERAGE(E42:Y42)</f>
        <v>8.0564432771833006E-3</v>
      </c>
      <c r="F42" s="1439">
        <f>+Labour1!H54/100</f>
        <v>2.785327612929489E-3</v>
      </c>
      <c r="G42" s="1439">
        <f>+Labour1!I54/100</f>
        <v>-6.8991779226307282E-3</v>
      </c>
      <c r="H42" s="1439">
        <f>+Labour1!J54/100</f>
        <v>-2.9773316792601756E-3</v>
      </c>
      <c r="I42" s="1439">
        <f>+Labour1!K54/100</f>
        <v>7.3750650408341833E-3</v>
      </c>
      <c r="J42" s="1439">
        <f>+Labour1!L54/100</f>
        <v>7.7477598868154196E-3</v>
      </c>
      <c r="K42" s="1439">
        <f>+Labour1!M54/100</f>
        <v>2.8970004902616253E-2</v>
      </c>
      <c r="L42" s="1439">
        <f>+Labour1!N54/100</f>
        <v>4.5263568241868946E-3</v>
      </c>
      <c r="M42" s="1439">
        <f>+Labour1!O54/100</f>
        <v>3.9885302804907319E-3</v>
      </c>
      <c r="N42" s="1439">
        <f>+Labour1!P54/100</f>
        <v>4.5954303384299067E-3</v>
      </c>
      <c r="O42" s="1439">
        <f>+Labour1!Q54/100</f>
        <v>6.498225813347025E-3</v>
      </c>
      <c r="P42" s="1439">
        <f>+Labour1!R54/100</f>
        <v>1.2126746803720723E-2</v>
      </c>
      <c r="Q42" s="1439">
        <f>+Labour1!S54/100</f>
        <v>1.5212875338355358E-2</v>
      </c>
      <c r="R42" s="1439">
        <f>+Labour1!T54/100</f>
        <v>1.2297962052002731E-2</v>
      </c>
      <c r="S42" s="1439">
        <f>+Labour1!U54/100</f>
        <v>1.8988504808379325E-3</v>
      </c>
      <c r="T42" s="1439">
        <f>+Labour1!V54/100</f>
        <v>8.4980639902179078E-3</v>
      </c>
      <c r="U42" s="1439">
        <f>+Labour1!W54/100</f>
        <v>1.357932386283256E-2</v>
      </c>
      <c r="V42" s="1439">
        <f>+Labour1!X54/100</f>
        <v>8.811977910245572E-3</v>
      </c>
      <c r="W42" s="1439">
        <f>+Labour1!Y54/100</f>
        <v>1.0987925139819277E-2</v>
      </c>
      <c r="X42" s="3306">
        <f>+Labour1!Z54/100</f>
        <v>1.321422288249896E-2</v>
      </c>
      <c r="Y42" s="3306">
        <f>+Labour1!AA54/100</f>
        <v>7.8907259853759903E-3</v>
      </c>
      <c r="Z42" s="3306"/>
      <c r="AA42" s="3306"/>
      <c r="AB42" s="3304">
        <f>+RSQ($F$43:$Y$43,$F42:$Y42)</f>
        <v>0.54524417995191965</v>
      </c>
      <c r="AC42" s="3304">
        <f>+RSQ($F$28:$Y$28,F42:Y42)</f>
        <v>5.8637346364854889E-2</v>
      </c>
      <c r="AD42" s="3304"/>
      <c r="AE42" s="3304">
        <f>+RSQ($F$43:$Y$43,F42:Y42)</f>
        <v>0.54524417995191965</v>
      </c>
      <c r="AG42" s="3304">
        <f t="shared" si="0"/>
        <v>7.9563103362535942E-2</v>
      </c>
      <c r="AH42" s="3304">
        <f t="shared" si="1"/>
        <v>0.14895447837847173</v>
      </c>
      <c r="AI42" s="3304">
        <f t="shared" si="3"/>
        <v>0.14895447837847173</v>
      </c>
      <c r="AJ42" s="3304">
        <f t="shared" si="4"/>
        <v>0.19457583393329519</v>
      </c>
      <c r="AK42" s="3304">
        <f t="shared" si="7"/>
        <v>0.22856295443812608</v>
      </c>
      <c r="AL42" s="3304"/>
      <c r="AM42" s="3304">
        <f t="shared" si="8"/>
        <v>1.8292403831035663E-6</v>
      </c>
      <c r="AN42" s="3304">
        <f t="shared" si="10"/>
        <v>0.1340173888483159</v>
      </c>
      <c r="AO42" s="3304">
        <f t="shared" si="11"/>
        <v>0.14401796434427003</v>
      </c>
      <c r="AP42" s="3304">
        <f t="shared" si="12"/>
        <v>4.348954720813634E-3</v>
      </c>
      <c r="AQ42" s="3304">
        <f t="shared" si="13"/>
        <v>3.0306198979858912E-2</v>
      </c>
      <c r="AR42" s="3304">
        <f t="shared" si="14"/>
        <v>0.45002325784143532</v>
      </c>
      <c r="AS42" s="3304">
        <f t="shared" si="15"/>
        <v>0.17342107791772504</v>
      </c>
      <c r="AT42" s="3304">
        <f t="shared" si="16"/>
        <v>0.30300462801429007</v>
      </c>
      <c r="AV42" s="3304">
        <f>+RSQ($F$21:$Y$21,$F42:$Y42)</f>
        <v>7.0706608781116525E-4</v>
      </c>
      <c r="AW42" s="3304">
        <f>+RSQ($F$22:$Y$22,$F42:$Y42)</f>
        <v>3.9607349885471946E-2</v>
      </c>
      <c r="AX42" s="3304">
        <f>+RSQ($F$23:$Y$23,$F42:$Y42)</f>
        <v>0.28742107222445085</v>
      </c>
      <c r="AY42" s="3304">
        <f>+RSQ($F$24:$Y$24,$F42:$Y42)</f>
        <v>5.5449530796881676E-2</v>
      </c>
      <c r="AZ42" s="3304">
        <f>+RSQ($F$25:$Y$25,$F42:$Y42)</f>
        <v>1.9738391718169507E-3</v>
      </c>
      <c r="BB42" s="3304">
        <f>+RSQ($F$28:$Y$28,$F42:$Y42)</f>
        <v>5.8637346364854889E-2</v>
      </c>
      <c r="BC42" s="3304">
        <f>+RSQ($F$29:$Y$29,$F42:$Y42)</f>
        <v>0.20119180713252485</v>
      </c>
      <c r="BD42" s="3304">
        <f>+RSQ($F$30:$Y$30,$F42:$Y42)</f>
        <v>0.22676754894498605</v>
      </c>
      <c r="BE42" s="3304">
        <f>+RSQ($F$31:$Y$31,$F42:$Y42)</f>
        <v>0.12865242923198067</v>
      </c>
      <c r="BF42" s="3304">
        <f>+RSQ($F$32:$Y$32,$F42:$Y42)</f>
        <v>2.0150924832970141E-2</v>
      </c>
      <c r="BG42" s="3304">
        <f>+RSQ($F$33:$Y$33,$F42:$Y42)</f>
        <v>0.15865401827155498</v>
      </c>
      <c r="BH42" s="3304">
        <f>+RSQ($F$34:$Y$34,$F42:$Y42)</f>
        <v>0.14892720194393216</v>
      </c>
      <c r="BI42" s="3304">
        <f>+RSQ($F$35:$Y$35,$F42:$Y42)</f>
        <v>0.10627830082079931</v>
      </c>
      <c r="BJ42" s="3304">
        <f>+RSQ($F$36:$Y$36,$F42:$Y42)</f>
        <v>4.6440614433493753E-2</v>
      </c>
      <c r="BK42" s="3304">
        <f>+RSQ($F$37:$Y$37,$F42:$Y42)</f>
        <v>0.12056209064386661</v>
      </c>
      <c r="BL42" s="3304">
        <f>+RSQ($F$38:$Y$38,$F42:$Y42)</f>
        <v>0.15390461990337465</v>
      </c>
      <c r="BM42" s="3304">
        <f>+RSQ($F$39:$Y$39,$F42:$Y42)</f>
        <v>0.14088563863075024</v>
      </c>
      <c r="BO42" s="3317"/>
    </row>
    <row r="43" spans="1:71">
      <c r="B43" t="s">
        <v>2378</v>
      </c>
      <c r="C43" s="545" t="s">
        <v>2357</v>
      </c>
      <c r="D43" s="3305">
        <f>+AVERAGE(E43:Y43)</f>
        <v>9.540642207100769E-3</v>
      </c>
      <c r="F43" s="1439">
        <f>+Labour1!H52/100</f>
        <v>-5.7888564513310925E-3</v>
      </c>
      <c r="G43" s="1439">
        <f>+Labour1!I52/100</f>
        <v>-9.587150207052253E-3</v>
      </c>
      <c r="H43" s="1439">
        <f>+Labour1!J52/100</f>
        <v>1.6243063122418411E-2</v>
      </c>
      <c r="I43" s="1439">
        <f>+Labour1!K52/100</f>
        <v>2.209255934570109E-2</v>
      </c>
      <c r="J43" s="1439">
        <f>+Labour1!L52/100</f>
        <v>2.181019760917291E-2</v>
      </c>
      <c r="K43" s="1439">
        <f>+Labour1!M52/100</f>
        <v>3.7961990258809974E-2</v>
      </c>
      <c r="L43" s="1439">
        <f>+Labour1!N52/100</f>
        <v>3.2433178451489741E-3</v>
      </c>
      <c r="M43" s="1439">
        <f>+Labour1!O52/100</f>
        <v>-2.5220680958385477E-3</v>
      </c>
      <c r="N43" s="1439">
        <f>+Labour1!P52/100</f>
        <v>-4.1144696011952142E-3</v>
      </c>
      <c r="O43" s="1439">
        <f>+Labour1!Q52/100</f>
        <v>3.4621243595069906E-3</v>
      </c>
      <c r="P43" s="1439">
        <f>+Labour1!R52/100</f>
        <v>1.881497837887558E-2</v>
      </c>
      <c r="Q43" s="1439">
        <f>+Labour1!S52/100</f>
        <v>2.5127556779699356E-2</v>
      </c>
      <c r="R43" s="1439">
        <f>+Labour1!T52/100</f>
        <v>1.1518047878080528E-2</v>
      </c>
      <c r="S43" s="1439">
        <f>+Labour1!U52/100</f>
        <v>-2.053124319616817E-2</v>
      </c>
      <c r="T43" s="1439">
        <f>+Labour1!V52/100</f>
        <v>5.5571609576099412E-3</v>
      </c>
      <c r="U43" s="1439">
        <f>+Labour1!W52/100</f>
        <v>2.2592125914627337E-2</v>
      </c>
      <c r="V43" s="1439">
        <f>+Labour1!X52/100</f>
        <v>6.744633476728934E-3</v>
      </c>
      <c r="W43" s="1439">
        <f>+Labour1!Y52/100</f>
        <v>1.022095295355463E-2</v>
      </c>
      <c r="X43" s="3306">
        <f>+Labour1!Z52/100</f>
        <v>1.4368610113290936E-2</v>
      </c>
      <c r="Y43" s="3306">
        <f>+Labour1!AA52/100</f>
        <v>1.3599312700375066E-2</v>
      </c>
      <c r="Z43" s="3306"/>
      <c r="AA43" s="3306"/>
      <c r="AB43" s="3303" t="s">
        <v>2391</v>
      </c>
      <c r="AC43" s="3304">
        <f>+RSQ($F$28:$Y$28,F43:Y43)</f>
        <v>5.7191755017014394E-2</v>
      </c>
      <c r="AD43" s="3303"/>
      <c r="AE43" s="3304">
        <f>+RSQ($F$43:$Y$43,F43:Y43)</f>
        <v>1</v>
      </c>
      <c r="AG43" s="3304">
        <f t="shared" si="0"/>
        <v>4.9395154718744495E-3</v>
      </c>
      <c r="AH43" s="3304">
        <f t="shared" si="1"/>
        <v>1.147241980680209E-2</v>
      </c>
      <c r="AI43" s="3304">
        <f t="shared" si="3"/>
        <v>1.147241980680209E-2</v>
      </c>
      <c r="AJ43" s="3304">
        <f t="shared" si="4"/>
        <v>2.7180677706109255E-2</v>
      </c>
      <c r="AK43" s="3304">
        <f t="shared" si="7"/>
        <v>3.5044688621445025E-2</v>
      </c>
      <c r="AL43" s="3304"/>
      <c r="AM43" s="3304">
        <f t="shared" si="8"/>
        <v>0.1920739059955997</v>
      </c>
      <c r="AN43" s="3304">
        <f t="shared" si="10"/>
        <v>3.7267412953287046E-2</v>
      </c>
      <c r="AO43" s="3304">
        <f t="shared" si="11"/>
        <v>6.129133328864284E-3</v>
      </c>
      <c r="AP43" s="3304">
        <f t="shared" si="12"/>
        <v>0.17534986986461476</v>
      </c>
      <c r="AQ43" s="3304">
        <f t="shared" si="13"/>
        <v>0.34412388968374386</v>
      </c>
      <c r="AR43" s="3304">
        <f t="shared" si="14"/>
        <v>0.20178225409862241</v>
      </c>
      <c r="AS43" s="3304">
        <f t="shared" si="15"/>
        <v>0.37893935029270331</v>
      </c>
      <c r="AT43" s="3304">
        <f t="shared" si="16"/>
        <v>0.25539726687594394</v>
      </c>
      <c r="AV43" s="3304">
        <f>+RSQ($F$21:$Y$21,$F43:$Y43)</f>
        <v>0.10819436654356338</v>
      </c>
      <c r="AW43" s="3304">
        <f>+RSQ($F$22:$Y$22,$F43:$Y43)</f>
        <v>2.2628244508362001E-2</v>
      </c>
      <c r="AX43" s="3304">
        <f>+RSQ($F$23:$Y$23,$F43:$Y43)</f>
        <v>0.35468731847062773</v>
      </c>
      <c r="AY43" s="3304">
        <f>+RSQ($F$24:$Y$24,$F43:$Y43)</f>
        <v>0.26796531266304463</v>
      </c>
      <c r="AZ43" s="3304">
        <f>+RSQ($F$25:$Y$25,$F43:$Y43)</f>
        <v>7.8987412914100302E-2</v>
      </c>
      <c r="BB43" s="3304">
        <f>+RSQ($F$28:$Y$28,$F43:$Y43)</f>
        <v>5.7191755017014394E-2</v>
      </c>
      <c r="BC43" s="3304">
        <f>+RSQ($F$29:$Y$29,$F43:$Y43)</f>
        <v>0.19083936380233221</v>
      </c>
      <c r="BD43" s="3304">
        <f>+RSQ($F$30:$Y$30,$F43:$Y43)</f>
        <v>0.32915721092823425</v>
      </c>
      <c r="BE43" s="3304">
        <f>+RSQ($F$31:$Y$31,$F43:$Y43)</f>
        <v>1.6878585001621144E-3</v>
      </c>
      <c r="BF43" s="3304">
        <f>+RSQ($F$32:$Y$32,$F43:$Y43)</f>
        <v>2.069400774427645E-2</v>
      </c>
      <c r="BG43" s="3304">
        <f>+RSQ($F$33:$Y$33,$F43:$Y43)</f>
        <v>2.7975310538709387E-5</v>
      </c>
      <c r="BH43" s="3304">
        <f>+RSQ($F$34:$Y$34,$F43:$Y43)</f>
        <v>7.5328588223618598E-5</v>
      </c>
      <c r="BI43" s="3304">
        <f>+RSQ($F$35:$Y$35,$F43:$Y43)</f>
        <v>3.6219818898213657E-4</v>
      </c>
      <c r="BJ43" s="3304">
        <f>+RSQ($F$36:$Y$36,$F43:$Y43)</f>
        <v>9.5025515460211672E-3</v>
      </c>
      <c r="BK43" s="3304">
        <f>+RSQ($F$37:$Y$37,$F43:$Y43)</f>
        <v>7.6320308459537146E-4</v>
      </c>
      <c r="BL43" s="3304">
        <f>+RSQ($F$38:$Y$38,$F43:$Y43)</f>
        <v>1.1872158048141972E-2</v>
      </c>
      <c r="BM43" s="3304">
        <f>+RSQ($F$39:$Y$39,$F43:$Y43)</f>
        <v>4.9046458440734839E-4</v>
      </c>
      <c r="BO43" s="3304">
        <f>+RSQ($F$42:$Y$42,$F43:$Y43)</f>
        <v>0.54524417995191965</v>
      </c>
      <c r="BP43" s="3317"/>
    </row>
    <row r="44" spans="1:71">
      <c r="B44" t="s">
        <v>2379</v>
      </c>
      <c r="C44" s="545" t="s">
        <v>2357</v>
      </c>
      <c r="D44" s="3305">
        <f>+AVERAGE(E44:Y44)</f>
        <v>-8.9436048784700126E-4</v>
      </c>
      <c r="F44" s="1439">
        <f>+Labour1!H92/100</f>
        <v>7.739811173024691E-3</v>
      </c>
      <c r="G44" s="1439">
        <f>+Labour1!I92/100</f>
        <v>2.9812268617634974E-3</v>
      </c>
      <c r="H44" s="1439">
        <f>+Labour1!J92/100</f>
        <v>-9.9514534969513679E-4</v>
      </c>
      <c r="I44" s="1439">
        <f>+Labour1!K92/100</f>
        <v>5.1274344425669138E-3</v>
      </c>
      <c r="J44" s="1439">
        <f>+Labour1!L92/100</f>
        <v>-1.3652704813127414E-2</v>
      </c>
      <c r="K44" s="1439">
        <f>+Labour1!M92/100</f>
        <v>-1.4539596641099051E-2</v>
      </c>
      <c r="L44" s="1439">
        <f>+Labour1!N92/100</f>
        <v>-1.4419281842580456E-2</v>
      </c>
      <c r="M44" s="1439">
        <f>+Labour1!O92/100</f>
        <v>-8.3459096377969111E-3</v>
      </c>
      <c r="N44" s="1439">
        <f>+Labour1!P92/100</f>
        <v>1.5141503443747872E-2</v>
      </c>
      <c r="O44" s="1439">
        <f>+Labour1!Q92/100</f>
        <v>-2.7834472077348238E-4</v>
      </c>
      <c r="P44" s="1439">
        <f>+Labour1!R92/100</f>
        <v>-3.6985522061118159E-3</v>
      </c>
      <c r="Q44" s="1439">
        <f>+Labour1!S92/100</f>
        <v>7.7343918414887192E-3</v>
      </c>
      <c r="R44" s="1439">
        <f>+Labour1!T92/100</f>
        <v>3.3317460105466434E-3</v>
      </c>
      <c r="S44" s="1439">
        <f>+Labour1!U92/100</f>
        <v>-4.772882186682148E-3</v>
      </c>
      <c r="T44" s="1439">
        <f>+Labour1!V92/100</f>
        <v>1.6070214689219764E-2</v>
      </c>
      <c r="U44" s="1439">
        <f>+Labour1!W92/100</f>
        <v>-1.522807810963589E-3</v>
      </c>
      <c r="V44" s="1439">
        <f>+Labour1!X92/100</f>
        <v>-8.6624829999059072E-3</v>
      </c>
      <c r="W44" s="1439">
        <f>+Labour1!Y92/100</f>
        <v>-5.9671340345045509E-3</v>
      </c>
      <c r="X44" s="3306">
        <f>+Labour1!Z92/100</f>
        <v>4.3800282390171752E-4</v>
      </c>
      <c r="Y44" s="3306">
        <f>+Labour1!AA92/100</f>
        <v>4.0330120004061776E-4</v>
      </c>
      <c r="Z44" s="3306"/>
      <c r="AA44" s="3306"/>
      <c r="AB44" s="3304">
        <f>+RSQ($F$43:$Y$43,$F44:$Y44)</f>
        <v>5.3882001602074271E-2</v>
      </c>
      <c r="AC44" s="3304">
        <f>+RSQ($F$28:$Y$28,F44:Y44)</f>
        <v>5.0041728473902064E-2</v>
      </c>
      <c r="AD44" s="3304"/>
      <c r="AE44" s="3304">
        <f>+RSQ($F$43:$Y$43,F44:Y44)</f>
        <v>5.3882001602074271E-2</v>
      </c>
      <c r="AG44" s="3304">
        <f t="shared" si="0"/>
        <v>4.8732809484079778E-3</v>
      </c>
      <c r="AH44" s="3304">
        <f t="shared" si="1"/>
        <v>4.1156939555570468E-3</v>
      </c>
      <c r="AI44" s="3304">
        <f t="shared" si="3"/>
        <v>4.1156939555570468E-3</v>
      </c>
      <c r="AJ44" s="3304">
        <f t="shared" si="4"/>
        <v>4.0778044277241547E-3</v>
      </c>
      <c r="AK44" s="3304">
        <f t="shared" si="7"/>
        <v>3.258210919480576E-3</v>
      </c>
      <c r="AL44" s="3304"/>
      <c r="AM44" s="3304">
        <f t="shared" si="8"/>
        <v>0.10373994757176247</v>
      </c>
      <c r="AN44" s="3304">
        <f t="shared" si="10"/>
        <v>0.12017509349998087</v>
      </c>
      <c r="AO44" s="3304">
        <f t="shared" si="11"/>
        <v>0.2212146719878679</v>
      </c>
      <c r="AP44" s="3304">
        <f t="shared" si="12"/>
        <v>7.1554533001925241E-2</v>
      </c>
      <c r="AQ44" s="3304">
        <f t="shared" si="13"/>
        <v>0.1204479057790656</v>
      </c>
      <c r="AR44" s="3304">
        <f t="shared" si="14"/>
        <v>3.6298147873955844E-3</v>
      </c>
      <c r="AS44" s="3304">
        <f t="shared" si="15"/>
        <v>4.0477843260293753E-4</v>
      </c>
      <c r="AT44" s="3304">
        <f t="shared" si="16"/>
        <v>6.1288306992516098E-2</v>
      </c>
      <c r="AV44" s="3304">
        <f>+RSQ($F$21:$Y$21,$F44:$Y44)</f>
        <v>0.12851213276837264</v>
      </c>
      <c r="AW44" s="3304">
        <f>+RSQ($F$22:$Y$22,$F44:$Y44)</f>
        <v>0.21131513180266182</v>
      </c>
      <c r="AX44" s="3304">
        <f>+RSQ($F$23:$Y$23,$F44:$Y44)</f>
        <v>1.0042884161090001E-2</v>
      </c>
      <c r="AY44" s="3304">
        <f>+RSQ($F$24:$Y$24,$F44:$Y44)</f>
        <v>0.38639220403409053</v>
      </c>
      <c r="AZ44" s="3304">
        <f>+RSQ($F$25:$Y$25,$F44:$Y44)</f>
        <v>0.2208116385953659</v>
      </c>
      <c r="BB44" s="3304">
        <f>+RSQ($F$28:$Y$28,$F44:$Y44)</f>
        <v>5.0041728473902064E-2</v>
      </c>
      <c r="BC44" s="3304">
        <f>+RSQ($F$29:$Y$29,$F44:$Y44)</f>
        <v>0.20550320563531382</v>
      </c>
      <c r="BD44" s="3304">
        <f>+RSQ($F$30:$Y$30,$F44:$Y44)</f>
        <v>1.1320769797836855E-2</v>
      </c>
      <c r="BE44" s="3304">
        <f>+RSQ($F$31:$Y$31,$F44:$Y44)</f>
        <v>9.1552789403438143E-4</v>
      </c>
      <c r="BF44" s="3304">
        <f>+RSQ($F$32:$Y$32,$F44:$Y44)</f>
        <v>6.8539934107669329E-2</v>
      </c>
      <c r="BG44" s="3304">
        <f>+RSQ($F$33:$Y$33,$F44:$Y44)</f>
        <v>9.2189873153586139E-3</v>
      </c>
      <c r="BH44" s="3304">
        <f>+RSQ($F$34:$Y$34,$F44:$Y44)</f>
        <v>9.5616760829355715E-3</v>
      </c>
      <c r="BI44" s="3304">
        <f>+RSQ($F$35:$Y$35,$F44:$Y44)</f>
        <v>8.2259032084068748E-3</v>
      </c>
      <c r="BJ44" s="3304">
        <f>+RSQ($F$36:$Y$36,$F44:$Y44)</f>
        <v>3.3068108901690804E-2</v>
      </c>
      <c r="BK44" s="3304">
        <f>+RSQ($F$37:$Y$37,$F44:$Y44)</f>
        <v>2.2176621054684258E-2</v>
      </c>
      <c r="BL44" s="3304">
        <f>+RSQ($F$38:$Y$38,$F44:$Y44)</f>
        <v>3.5303628755146921E-2</v>
      </c>
      <c r="BM44" s="3304">
        <f>+RSQ($F$39:$Y$39,$F44:$Y44)</f>
        <v>7.5682593294435557E-3</v>
      </c>
      <c r="BO44" s="3304">
        <f>+RSQ($F$42:$Y$42,$F44:$Y44)</f>
        <v>5.2824415222326795E-2</v>
      </c>
      <c r="BP44" s="3304">
        <f>+RSQ($F$43:$Y$43,$F44:$Y44)</f>
        <v>5.3882001602074271E-2</v>
      </c>
      <c r="BQ44" s="3317"/>
    </row>
    <row r="45" spans="1:71">
      <c r="B45" t="s">
        <v>992</v>
      </c>
      <c r="C45" s="545" t="s">
        <v>2357</v>
      </c>
      <c r="D45" s="3305">
        <f>+AVERAGE(E45:Y45)</f>
        <v>0.65054606527682501</v>
      </c>
      <c r="E45" s="3308">
        <f>+Labour1!G36</f>
        <v>0.62336457596292383</v>
      </c>
      <c r="F45" s="3308">
        <f>+Labour1!H36</f>
        <v>0.62017837385323615</v>
      </c>
      <c r="G45" s="3308">
        <f>+Labour1!I36</f>
        <v>0.61448967366788032</v>
      </c>
      <c r="H45" s="3308">
        <f>+Labour1!J36</f>
        <v>0.62429039777575535</v>
      </c>
      <c r="I45" s="3308">
        <f>+Labour1!K36</f>
        <v>0.63737077944972931</v>
      </c>
      <c r="J45" s="3308">
        <f>+Labour1!L36</f>
        <v>0.64947525534787054</v>
      </c>
      <c r="K45" s="3308">
        <f>+Labour1!M36</f>
        <v>0.67105360849916851</v>
      </c>
      <c r="L45" s="3308">
        <f>+Labour1!N36</f>
        <v>0.66937455262482615</v>
      </c>
      <c r="M45" s="3308">
        <f>+Labour1!O36</f>
        <v>0.66330877873655114</v>
      </c>
      <c r="N45" s="3308">
        <f>+Labour1!P36</f>
        <v>0.6558376109382561</v>
      </c>
      <c r="O45" s="3308">
        <f>+Labour1!Q36</f>
        <v>0.65285200039162716</v>
      </c>
      <c r="P45" s="3308">
        <f>+Labour1!R36</f>
        <v>0.65857554750950376</v>
      </c>
      <c r="Q45" s="3308">
        <f>+Labour1!S36</f>
        <v>0.66752019635593096</v>
      </c>
      <c r="R45" s="3308">
        <f>+Labour1!T36</f>
        <v>0.66773774145886666</v>
      </c>
      <c r="S45" s="3308">
        <f>+Labour1!U36</f>
        <v>0.64689514559742245</v>
      </c>
      <c r="T45" s="3308">
        <f>+Labour1!V36</f>
        <v>0.64424298885338716</v>
      </c>
      <c r="U45" s="3308">
        <f>+Labour1!W36</f>
        <v>0.65409276002216266</v>
      </c>
      <c r="V45" s="3308">
        <f>+Labour1!X36</f>
        <v>0.65463473761441027</v>
      </c>
      <c r="W45" s="3308">
        <f>+Labour1!Y36</f>
        <v>0.65740158067303345</v>
      </c>
      <c r="X45" s="3309">
        <f>+Labour1!Z36</f>
        <v>0.66237900840239905</v>
      </c>
      <c r="Y45" s="3309">
        <f>+Labour1!AA36</f>
        <v>0.66639205707838356</v>
      </c>
      <c r="Z45" s="3309"/>
      <c r="AA45" s="3309"/>
      <c r="AB45" s="3304">
        <f>+RSQ($F$43:$Y$43,$F45:$Y45)</f>
        <v>0.15179012984732593</v>
      </c>
      <c r="AC45" s="3304">
        <f>+RSQ($F$28:$Y$28,F45:Y45)</f>
        <v>5.1550134748819545E-2</v>
      </c>
      <c r="AD45" s="3304"/>
      <c r="AE45" s="3304">
        <f>+RSQ($F$43:$Y$43,F45:Y45)</f>
        <v>0.15179012984732593</v>
      </c>
      <c r="AG45" s="3304">
        <f t="shared" si="0"/>
        <v>0.17069423124334318</v>
      </c>
      <c r="AH45" s="3304">
        <f t="shared" si="1"/>
        <v>0.34633949684050375</v>
      </c>
      <c r="AI45" s="3304">
        <f t="shared" si="3"/>
        <v>0.34633949684050375</v>
      </c>
      <c r="AJ45" s="3304">
        <f t="shared" si="4"/>
        <v>0.44140567543708481</v>
      </c>
      <c r="AK45" s="3304">
        <f t="shared" si="7"/>
        <v>0.5254010440716198</v>
      </c>
      <c r="AL45" s="3304"/>
      <c r="AM45" s="3304">
        <f t="shared" si="8"/>
        <v>1.0140350022730192E-2</v>
      </c>
      <c r="AN45" s="3304">
        <f t="shared" si="10"/>
        <v>0.1651334924353933</v>
      </c>
      <c r="AO45" s="3304">
        <f t="shared" si="11"/>
        <v>0.11310914133045062</v>
      </c>
      <c r="AP45" s="3304">
        <f t="shared" si="12"/>
        <v>3.2037396243092361E-2</v>
      </c>
      <c r="AQ45" s="3304">
        <f t="shared" si="13"/>
        <v>4.0628851715973063E-3</v>
      </c>
      <c r="AR45" s="3304">
        <f t="shared" si="14"/>
        <v>0.63722094359602588</v>
      </c>
      <c r="AS45" s="3304">
        <f t="shared" si="15"/>
        <v>0.14498734937786908</v>
      </c>
      <c r="AT45" s="3304">
        <f t="shared" si="16"/>
        <v>0.15249255997179922</v>
      </c>
      <c r="AV45" s="3304">
        <f>+RSQ($F$21:$Y$21,$F45:$Y45)</f>
        <v>2.6155131503680664E-3</v>
      </c>
      <c r="AW45" s="3304">
        <f>+RSQ($F$22:$Y$22,$F45:$Y45)</f>
        <v>5.0234233870406625E-2</v>
      </c>
      <c r="AX45" s="3304">
        <f>+RSQ($F$23:$Y$23,$F45:$Y45)</f>
        <v>0.24252199471303745</v>
      </c>
      <c r="AY45" s="3304">
        <f>+RSQ($F$24:$Y$24,$F45:$Y45)</f>
        <v>5.7775560328753445E-3</v>
      </c>
      <c r="AZ45" s="3304">
        <f>+RSQ($F$25:$Y$25,$F45:$Y45)</f>
        <v>3.3800275704786907E-2</v>
      </c>
      <c r="BB45" s="3304">
        <f>+RSQ($F$28:$Y$28,$F45:$Y45)</f>
        <v>5.1550134748819545E-2</v>
      </c>
      <c r="BC45" s="3304">
        <f>+RSQ($F$29:$Y$29,$F45:$Y45)</f>
        <v>0.19802299049936736</v>
      </c>
      <c r="BD45" s="3304">
        <f>+RSQ($F$30:$Y$30,$F45:$Y45)</f>
        <v>3.1660834911393224E-2</v>
      </c>
      <c r="BE45" s="3304">
        <f>+RSQ($F$31:$Y$31,$F45:$Y45)</f>
        <v>0.26006686221713643</v>
      </c>
      <c r="BF45" s="3304">
        <f>+RSQ($F$32:$Y$32,$F45:$Y45)</f>
        <v>2.7782742659981551E-2</v>
      </c>
      <c r="BG45" s="3304">
        <f>+RSQ($F$33:$Y$33,$F45:$Y45)</f>
        <v>0.32057937671690651</v>
      </c>
      <c r="BH45" s="3304">
        <f>+RSQ($F$34:$Y$34,$F45:$Y45)</f>
        <v>0.29012344325748396</v>
      </c>
      <c r="BI45" s="3304">
        <f>+RSQ($F$35:$Y$35,$F45:$Y45)</f>
        <v>0.19357846507453541</v>
      </c>
      <c r="BJ45" s="3304">
        <f>+RSQ($F$36:$Y$36,$F45:$Y45)</f>
        <v>0.11105430186454922</v>
      </c>
      <c r="BK45" s="3304">
        <f>+RSQ($F$37:$Y$37,$F45:$Y45)</f>
        <v>0.20902390418715691</v>
      </c>
      <c r="BL45" s="3304">
        <f>+RSQ($F$38:$Y$38,$F45:$Y45)</f>
        <v>0.40967672047139086</v>
      </c>
      <c r="BM45" s="3304">
        <f>+RSQ($F$39:$Y$39,$F45:$Y45)</f>
        <v>0.26398446000335674</v>
      </c>
      <c r="BO45" s="3304">
        <f>+RSQ($F$42:$Y$42,$F45:$Y45)</f>
        <v>0.49300715552897495</v>
      </c>
      <c r="BP45" s="3304">
        <f>+RSQ($F$43:$Y$43,$F45:$Y45)</f>
        <v>0.15179012984732593</v>
      </c>
      <c r="BQ45" s="3304">
        <f>+RSQ($F$44:$Y$44,$F45:$Y45)</f>
        <v>0.11555829660756652</v>
      </c>
      <c r="BR45" s="3317"/>
      <c r="BS45" s="3317"/>
    </row>
    <row r="46" spans="1:71">
      <c r="B46" t="s">
        <v>2380</v>
      </c>
      <c r="C46" s="545" t="s">
        <v>2357</v>
      </c>
      <c r="D46" s="3305">
        <f>+AVERAGE(E46:Y46)</f>
        <v>7.8329370083198416E-2</v>
      </c>
      <c r="E46" s="1439">
        <f>+Labour1!G38</f>
        <v>9.9777623037354837E-2</v>
      </c>
      <c r="F46" s="1439">
        <f>+Labour1!H38</f>
        <v>0.10747485608046053</v>
      </c>
      <c r="G46" s="1439">
        <f>+Labour1!I38</f>
        <v>0.10989060561633021</v>
      </c>
      <c r="H46" s="1439">
        <f>+Labour1!J38</f>
        <v>9.2731262583987506E-2</v>
      </c>
      <c r="I46" s="1439">
        <f>+Labour1!K38</f>
        <v>7.9476296346201347E-2</v>
      </c>
      <c r="J46" s="1439">
        <f>+Labour1!L38</f>
        <v>6.6631011276017296E-2</v>
      </c>
      <c r="K46" s="1439">
        <f>+Labour1!M38</f>
        <v>5.8474466149781266E-2</v>
      </c>
      <c r="L46" s="1439">
        <f>+Labour1!N38</f>
        <v>5.9677036845395943E-2</v>
      </c>
      <c r="M46" s="1439">
        <f>+Labour1!O38</f>
        <v>6.5774780965469848E-2</v>
      </c>
      <c r="N46" s="1439">
        <f>+Labour1!P38</f>
        <v>7.3874567141208144E-2</v>
      </c>
      <c r="O46" s="1439">
        <f>+Labour1!Q38</f>
        <v>7.6668224100581911E-2</v>
      </c>
      <c r="P46" s="1439">
        <f>+Labour1!R38</f>
        <v>7.0566758293639981E-2</v>
      </c>
      <c r="Q46" s="1439">
        <f>+Labour1!S38</f>
        <v>6.1489810260014058E-2</v>
      </c>
      <c r="R46" s="1439">
        <f>+Labour1!T38</f>
        <v>6.2212875431324907E-2</v>
      </c>
      <c r="S46" s="1439">
        <f>+Labour1!U38</f>
        <v>8.320766252292644E-2</v>
      </c>
      <c r="T46" s="1439">
        <f>+Labour1!V38</f>
        <v>8.5881140501545869E-2</v>
      </c>
      <c r="U46" s="1439">
        <f>+Labour1!W38</f>
        <v>7.7752746266871356E-2</v>
      </c>
      <c r="V46" s="1439">
        <f>+Labour1!X38</f>
        <v>7.9642694808402983E-2</v>
      </c>
      <c r="W46" s="1439">
        <f>+Labour1!Y38</f>
        <v>8.0340911312234892E-2</v>
      </c>
      <c r="X46" s="3306">
        <f>+Labour1!Z38</f>
        <v>7.9293114425173145E-2</v>
      </c>
      <c r="Y46" s="3306">
        <f>+Labour1!AA38</f>
        <v>7.4078327782244172E-2</v>
      </c>
      <c r="Z46" s="3306"/>
      <c r="AA46" s="3306"/>
      <c r="AB46" s="3304">
        <f>+RSQ($F$43:$Y$43,$F46:$Y46)</f>
        <v>0.25353732270922419</v>
      </c>
      <c r="AC46" s="3304">
        <f>+RSQ($F$28:$Y$28,F46:Y46)</f>
        <v>1.0033432990622045E-3</v>
      </c>
      <c r="AD46" s="3304"/>
      <c r="AE46" s="3304">
        <f>+RSQ($F$43:$Y$43,F46:Y46)</f>
        <v>0.25353732270922419</v>
      </c>
      <c r="AG46" s="3304">
        <f t="shared" si="0"/>
        <v>6.5067950737680525E-3</v>
      </c>
      <c r="AH46" s="3304">
        <f t="shared" si="1"/>
        <v>8.6021362353703251E-2</v>
      </c>
      <c r="AI46" s="3304">
        <f t="shared" si="3"/>
        <v>8.6021362353703251E-2</v>
      </c>
      <c r="AJ46" s="3304">
        <f t="shared" si="4"/>
        <v>0.1590276504571545</v>
      </c>
      <c r="AK46" s="3304">
        <f t="shared" si="7"/>
        <v>0.24696414135876962</v>
      </c>
      <c r="AL46" s="3304"/>
      <c r="AM46" s="3304">
        <f t="shared" si="8"/>
        <v>3.1478192388960468E-5</v>
      </c>
      <c r="AN46" s="3304">
        <f t="shared" si="10"/>
        <v>2.8192917838517791E-2</v>
      </c>
      <c r="AO46" s="3304">
        <f t="shared" si="11"/>
        <v>7.6277416205055307E-2</v>
      </c>
      <c r="AP46" s="3304">
        <f t="shared" si="12"/>
        <v>6.0966752437550617E-4</v>
      </c>
      <c r="AQ46" s="3304">
        <f t="shared" si="13"/>
        <v>1.6918777287772583E-4</v>
      </c>
      <c r="AR46" s="3304">
        <f t="shared" si="14"/>
        <v>0.47646627218030246</v>
      </c>
      <c r="AS46" s="3304">
        <f t="shared" si="15"/>
        <v>0.16835439304124203</v>
      </c>
      <c r="AT46" s="3304">
        <f t="shared" si="16"/>
        <v>4.8075758406284315E-2</v>
      </c>
      <c r="AV46" s="3304">
        <f>+RSQ($F$21:$Y$21,$F46:$Y46)</f>
        <v>8.4457805109376812E-4</v>
      </c>
      <c r="AW46" s="3304">
        <f>+RSQ($F$22:$Y$22,$F46:$Y46)</f>
        <v>1.7766831817378589E-2</v>
      </c>
      <c r="AX46" s="3304">
        <f>+RSQ($F$23:$Y$23,$F46:$Y46)</f>
        <v>0.33698194564293693</v>
      </c>
      <c r="AY46" s="3304">
        <f>+RSQ($F$24:$Y$24,$F46:$Y46)</f>
        <v>0.43067907020821</v>
      </c>
      <c r="AZ46" s="3304">
        <f>+RSQ($F$25:$Y$25,$F46:$Y46)</f>
        <v>1.3600814658106719E-2</v>
      </c>
      <c r="BB46" s="3304">
        <f>+RSQ($F$28:$Y$28,$F46:$Y46)</f>
        <v>1.0033432990622045E-3</v>
      </c>
      <c r="BC46" s="3304">
        <f>+RSQ($F$29:$Y$29,$F46:$Y46)</f>
        <v>0.32269796502497344</v>
      </c>
      <c r="BD46" s="3304">
        <f>+RSQ($F$30:$Y$30,$F46:$Y46)</f>
        <v>0.10103993070942005</v>
      </c>
      <c r="BE46" s="3304">
        <f>+RSQ($F$31:$Y$31,$F46:$Y46)</f>
        <v>2.9107783717291735E-2</v>
      </c>
      <c r="BF46" s="3304">
        <f>+RSQ($F$32:$Y$32,$F46:$Y46)</f>
        <v>4.7979062569452006E-3</v>
      </c>
      <c r="BG46" s="3304">
        <f>+RSQ($F$33:$Y$33,$F46:$Y46)</f>
        <v>5.5141983017129283E-2</v>
      </c>
      <c r="BH46" s="3304">
        <f>+RSQ($F$34:$Y$34,$F46:$Y46)</f>
        <v>4.0457169290306419E-2</v>
      </c>
      <c r="BI46" s="3304">
        <f>+RSQ($F$35:$Y$35,$F46:$Y46)</f>
        <v>8.7530488114038393E-3</v>
      </c>
      <c r="BJ46" s="3304">
        <f>+RSQ($F$36:$Y$36,$F46:$Y46)</f>
        <v>2.0793589999145597E-2</v>
      </c>
      <c r="BK46" s="3304">
        <f>+RSQ($F$37:$Y$37,$F46:$Y46)</f>
        <v>1.2937574858469723E-2</v>
      </c>
      <c r="BL46" s="3304">
        <f>+RSQ($F$38:$Y$38,$F46:$Y46)</f>
        <v>0.16135634773330784</v>
      </c>
      <c r="BM46" s="3304">
        <f>+RSQ($F$39:$Y$39,$F46:$Y46)</f>
        <v>8.9529841296812615E-2</v>
      </c>
      <c r="BO46" s="3304">
        <f>+RSQ($F$42:$Y$42,$F46:$Y46)</f>
        <v>0.42558257095957747</v>
      </c>
      <c r="BP46" s="3304">
        <f>+RSQ($F$43:$Y$43,$F46:$Y46)</f>
        <v>0.25353732270922419</v>
      </c>
      <c r="BQ46" s="3304">
        <f>+RSQ($F$44:$Y$44,$F46:$Y46)</f>
        <v>0.1678470030751813</v>
      </c>
      <c r="BR46" s="3304">
        <f>+RSQ($F$44:$Y$44,$F46:$Y46)</f>
        <v>0.1678470030751813</v>
      </c>
      <c r="BS46" s="3317"/>
    </row>
    <row r="47" spans="1:71">
      <c r="D47" s="1525"/>
      <c r="AB47" s="583"/>
      <c r="AC47" s="3304"/>
      <c r="AD47" s="583"/>
      <c r="AE47" s="3304"/>
      <c r="AG47" s="3304"/>
      <c r="AH47" s="3304"/>
      <c r="AI47" s="3304"/>
      <c r="AJ47" s="3304"/>
      <c r="AK47" s="3304"/>
      <c r="AL47" s="3304"/>
      <c r="AM47" s="3304"/>
      <c r="AN47" s="3304"/>
      <c r="AO47" s="3304"/>
      <c r="AP47" s="3304"/>
      <c r="AQ47" s="3304"/>
      <c r="AR47" s="3304"/>
      <c r="AS47" s="3304"/>
      <c r="AT47" s="3304"/>
      <c r="AV47" s="3304"/>
      <c r="AW47" s="3304"/>
      <c r="AX47" s="3304"/>
      <c r="AY47" s="3304"/>
      <c r="AZ47" s="3304"/>
      <c r="BB47" s="3304"/>
      <c r="BC47" s="3304"/>
      <c r="BD47" s="3304"/>
      <c r="BE47" s="3304"/>
      <c r="BF47" s="3304"/>
      <c r="BG47" s="3304"/>
      <c r="BH47" s="3304"/>
      <c r="BI47" s="3304"/>
      <c r="BJ47" s="3304"/>
      <c r="BK47" s="3304"/>
      <c r="BL47" s="3304"/>
      <c r="BM47" s="3304"/>
      <c r="BO47" s="3304"/>
      <c r="BP47" s="3304"/>
      <c r="BQ47" s="3304"/>
      <c r="BR47" s="3304"/>
    </row>
    <row r="48" spans="1:71" ht="13.15">
      <c r="A48" s="1333" t="s">
        <v>2381</v>
      </c>
      <c r="D48" s="1525"/>
      <c r="AB48" s="583"/>
      <c r="AC48" s="3304"/>
      <c r="AD48" s="583"/>
      <c r="AE48" s="3304"/>
      <c r="AG48" s="3304"/>
      <c r="AH48" s="3304"/>
      <c r="AI48" s="3304"/>
      <c r="AJ48" s="3304"/>
      <c r="AK48" s="3304"/>
      <c r="AL48" s="3304"/>
      <c r="AM48" s="3304"/>
      <c r="AN48" s="3304"/>
      <c r="AO48" s="3304"/>
      <c r="AP48" s="3304"/>
      <c r="AQ48" s="3304"/>
      <c r="AR48" s="3304"/>
      <c r="AS48" s="3304"/>
      <c r="AT48" s="3304"/>
      <c r="AV48" s="3304"/>
      <c r="AW48" s="3304"/>
      <c r="AX48" s="3304"/>
      <c r="AY48" s="3304"/>
      <c r="AZ48" s="3304"/>
      <c r="BB48" s="3304"/>
      <c r="BC48" s="3304"/>
      <c r="BD48" s="3304"/>
      <c r="BE48" s="3304"/>
      <c r="BF48" s="3304"/>
      <c r="BG48" s="3304"/>
      <c r="BH48" s="3304"/>
      <c r="BI48" s="3304"/>
      <c r="BJ48" s="3304"/>
      <c r="BK48" s="3304"/>
      <c r="BL48" s="3304"/>
      <c r="BM48" s="3304"/>
      <c r="BO48" s="3304"/>
      <c r="BP48" s="3304"/>
      <c r="BQ48" s="3304"/>
      <c r="BR48" s="3304"/>
      <c r="BS48" s="3317"/>
    </row>
    <row r="49" spans="1:76">
      <c r="B49" t="s">
        <v>2382</v>
      </c>
      <c r="C49" s="545" t="s">
        <v>2357</v>
      </c>
      <c r="D49" s="3305">
        <f t="shared" ref="D49:D54" si="33">+AVERAGE(E49:Y49)</f>
        <v>3.5550815187292348E-2</v>
      </c>
      <c r="F49" s="1439">
        <f>+Labour1!H198/100</f>
        <v>6.7945187414896635E-2</v>
      </c>
      <c r="G49" s="1439">
        <f>+Labour1!I198/100</f>
        <v>6.0635589406464963E-2</v>
      </c>
      <c r="H49" s="1439">
        <f>+Labour1!J198/100</f>
        <v>-1.6481179062802664E-2</v>
      </c>
      <c r="I49" s="1439">
        <f>+Labour1!K198/100</f>
        <v>3.9230930535170572E-2</v>
      </c>
      <c r="J49" s="1439">
        <f>+Labour1!L198/100</f>
        <v>6.8457096446047139E-2</v>
      </c>
      <c r="K49" s="1439">
        <f>+Labour1!M198/100</f>
        <v>4.3445183497715645E-2</v>
      </c>
      <c r="L49" s="1439">
        <f>+Labour1!N198/100</f>
        <v>3.2711990858866669E-2</v>
      </c>
      <c r="M49" s="1439">
        <f>+Labour1!O198/100</f>
        <v>3.6145785990620682E-2</v>
      </c>
      <c r="N49" s="1439">
        <f>+Labour1!P198/100</f>
        <v>4.2644161524443058E-2</v>
      </c>
      <c r="O49" s="1439">
        <f>+Labour1!Q198/100</f>
        <v>3.1633992862269089E-2</v>
      </c>
      <c r="P49" s="1439">
        <f>+Labour1!R198/100</f>
        <v>3.2368177228452311E-2</v>
      </c>
      <c r="Q49" s="1439">
        <f>+Labour1!S198/100</f>
        <v>5.6227118319533531E-2</v>
      </c>
      <c r="R49" s="1439">
        <f>+Labour1!T198/100</f>
        <v>3.9069254393826469E-2</v>
      </c>
      <c r="S49" s="1439">
        <f>+Labour1!U198/100</f>
        <v>2.9291209592516854E-2</v>
      </c>
      <c r="T49" s="1439">
        <f>+Labour1!V198/100</f>
        <v>2.1054384588980346E-2</v>
      </c>
      <c r="U49" s="1439">
        <f>+Labour1!W198/100</f>
        <v>3.0240213894369816E-2</v>
      </c>
      <c r="V49" s="1439">
        <f>+Labour1!X198/100</f>
        <v>3.0309306993796747E-2</v>
      </c>
      <c r="W49" s="1439">
        <f>+Labour1!Y198/100</f>
        <v>1.890567982561242E-2</v>
      </c>
      <c r="X49" s="3306">
        <f>+Labour1!Z198/100</f>
        <v>2.2391821293940684E-2</v>
      </c>
      <c r="Y49" s="3306">
        <f>+Labour1!AA198/100</f>
        <v>2.4790398141125936E-2</v>
      </c>
      <c r="Z49" s="3306"/>
      <c r="AA49" s="3306"/>
      <c r="AB49" s="3304">
        <f>+RSQ($F$53:$Y$53,F49:Y49)</f>
        <v>4.6583485132455631E-2</v>
      </c>
      <c r="AC49" s="3304">
        <f t="shared" ref="AC49:AC54" si="34">+RSQ($F$28:$Y$28,F49:Y49)</f>
        <v>1.5811618304579327E-2</v>
      </c>
      <c r="AD49" s="3304"/>
      <c r="AE49" s="3304">
        <f t="shared" ref="AE49:AE54" si="35">+RSQ($F$43:$Y$43,F49:Y49)</f>
        <v>4.5922133136309193E-3</v>
      </c>
      <c r="AG49" s="3304">
        <f t="shared" si="0"/>
        <v>0.14395586404751104</v>
      </c>
      <c r="AH49" s="3304">
        <f t="shared" si="1"/>
        <v>0.12619240195497136</v>
      </c>
      <c r="AI49" s="3304">
        <f t="shared" si="3"/>
        <v>0.12619240195497136</v>
      </c>
      <c r="AJ49" s="3304">
        <f t="shared" si="4"/>
        <v>0.10649845264107834</v>
      </c>
      <c r="AK49" s="3304">
        <f t="shared" si="7"/>
        <v>8.5496657962380693E-2</v>
      </c>
      <c r="AL49" s="3304"/>
      <c r="AM49" s="3304">
        <f t="shared" si="8"/>
        <v>2.5854326107916623E-4</v>
      </c>
      <c r="AN49" s="3304">
        <f t="shared" si="10"/>
        <v>7.4927909304826457E-2</v>
      </c>
      <c r="AO49" s="3304">
        <f t="shared" si="11"/>
        <v>1.2610135946519543E-2</v>
      </c>
      <c r="AP49" s="3304">
        <f t="shared" si="12"/>
        <v>1.1797846611780131E-3</v>
      </c>
      <c r="AQ49" s="3304">
        <f t="shared" si="13"/>
        <v>4.0081764160741892E-4</v>
      </c>
      <c r="AR49" s="3304">
        <f t="shared" si="14"/>
        <v>1.4123375186669444E-2</v>
      </c>
      <c r="AS49" s="3304">
        <f t="shared" si="15"/>
        <v>1.0043631315734994E-3</v>
      </c>
      <c r="AT49" s="3304">
        <f t="shared" si="16"/>
        <v>3.3789464420845718E-2</v>
      </c>
      <c r="AV49" s="3304">
        <f t="shared" ref="AV49:AV54" si="36">+RSQ($F$21:$Y$21,$F49:$Y49)</f>
        <v>5.3199367516173774E-4</v>
      </c>
      <c r="AW49" s="3304">
        <f t="shared" ref="AW49:AW54" si="37">+RSQ($F$22:$Y$22,$F49:$Y49)</f>
        <v>1.5414981373813549E-2</v>
      </c>
      <c r="AX49" s="3304">
        <f t="shared" ref="AX49:AX54" si="38">+RSQ($F$23:$Y$23,$F49:$Y49)</f>
        <v>1.8545744620463507E-3</v>
      </c>
      <c r="AY49" s="3304">
        <f t="shared" ref="AY49:AY54" si="39">+RSQ($F$24:$Y$24,$F49:$Y49)</f>
        <v>0.55977087327860231</v>
      </c>
      <c r="AZ49" s="3304">
        <f t="shared" ref="AZ49:AZ54" si="40">+RSQ($F$25:$Y$25,$F49:$Y49)</f>
        <v>5.1773250616674342E-4</v>
      </c>
      <c r="BB49" s="3304">
        <f t="shared" ref="BB49:BB54" si="41">+RSQ($F$28:$Y$28,$F49:$Y49)</f>
        <v>1.5811618304579327E-2</v>
      </c>
      <c r="BC49" s="3304">
        <f t="shared" ref="BC49:BC54" si="42">+RSQ($F$29:$Y$29,$F49:$Y49)</f>
        <v>6.5709319667724961E-2</v>
      </c>
      <c r="BD49" s="3304">
        <f t="shared" ref="BD49:BD54" si="43">+RSQ($F$30:$Y$30,$F49:$Y49)</f>
        <v>0.57574789673020621</v>
      </c>
      <c r="BE49" s="3304">
        <f t="shared" ref="BE49:BE54" si="44">+RSQ($F$31:$Y$31,$F49:$Y49)</f>
        <v>0.10847384225239456</v>
      </c>
      <c r="BF49" s="3304">
        <f t="shared" ref="BF49:BF54" si="45">+RSQ($F$32:$Y$32,$F49:$Y49)</f>
        <v>0.17056036180992101</v>
      </c>
      <c r="BG49" s="3304">
        <f t="shared" ref="BG49:BG54" si="46">+RSQ($F$33:$Y$33,$F49:$Y49)</f>
        <v>6.0540641534578485E-2</v>
      </c>
      <c r="BH49" s="3304">
        <f t="shared" ref="BH49:BH54" si="47">+RSQ($F$34:$Y$34,$F49:$Y49)</f>
        <v>7.1655680284427981E-2</v>
      </c>
      <c r="BI49" s="3304">
        <f t="shared" ref="BI49:BI54" si="48">+RSQ($F$35:$Y$35,$F49:$Y49)</f>
        <v>0.10402143269462519</v>
      </c>
      <c r="BJ49" s="3304">
        <f t="shared" ref="BJ49:BJ54" si="49">+RSQ($F$36:$Y$36,$F49:$Y49)</f>
        <v>4.630410042516314E-3</v>
      </c>
      <c r="BK49" s="3304">
        <f t="shared" ref="BK49:BK54" si="50">+RSQ($F$37:$Y$37,$F49:$Y49)</f>
        <v>6.7500674172509448E-2</v>
      </c>
      <c r="BL49" s="3304">
        <f t="shared" ref="BL49:BL54" si="51">+RSQ($F$38:$Y$38,$F49:$Y49)</f>
        <v>7.7945126647521928E-2</v>
      </c>
      <c r="BM49" s="3304">
        <f t="shared" ref="BM49:BM54" si="52">+RSQ($F$39:$Y$39,$F49:$Y49)</f>
        <v>8.4504439341780452E-2</v>
      </c>
      <c r="BO49" s="3304">
        <f t="shared" ref="BO49:BO54" si="53">+RSQ($F$42:$Y$42,$F49:$Y49)</f>
        <v>5.7226600148544641E-3</v>
      </c>
      <c r="BP49" s="3304">
        <f t="shared" ref="BP49:BP54" si="54">+RSQ($F$43:$Y$43,$F49:$Y49)</f>
        <v>4.5922133136309193E-3</v>
      </c>
      <c r="BQ49" s="3304">
        <f t="shared" ref="BQ49:BR54" si="55">+RSQ($F$44:$Y$44,$F49:$Y49)</f>
        <v>9.7698513249876509E-4</v>
      </c>
      <c r="BR49" s="3304">
        <f t="shared" si="55"/>
        <v>9.7698513249876509E-4</v>
      </c>
      <c r="BS49" s="3304">
        <f t="shared" ref="BS49:BS54" si="56">+RSQ($F$46:$Y$46,$F49:$Y49)</f>
        <v>1.147819663316134E-4</v>
      </c>
      <c r="BT49" s="3317"/>
    </row>
    <row r="50" spans="1:76">
      <c r="B50" t="s">
        <v>2383</v>
      </c>
      <c r="C50" s="545" t="s">
        <v>2357</v>
      </c>
      <c r="D50" s="3305">
        <f t="shared" si="33"/>
        <v>1.782418891219701E-2</v>
      </c>
      <c r="F50" s="1439">
        <f>+Labour1!H252/100</f>
        <v>2.4773185121083729E-2</v>
      </c>
      <c r="G50" s="1439">
        <f>+Labour1!I252/100</f>
        <v>4.6221834922292038E-2</v>
      </c>
      <c r="H50" s="1439">
        <f>+Labour1!J252/100</f>
        <v>2.4752998958986083E-2</v>
      </c>
      <c r="I50" s="1439">
        <f>+Labour1!K252/100</f>
        <v>2.2865750875463053E-2</v>
      </c>
      <c r="J50" s="1439">
        <f>+Labour1!L252/100</f>
        <v>2.8083277943397489E-2</v>
      </c>
      <c r="K50" s="1439">
        <f>+Labour1!M252/100</f>
        <v>-6.7740400453532024E-3</v>
      </c>
      <c r="L50" s="1439">
        <f>+Labour1!N252/100</f>
        <v>1.8806959368764753E-2</v>
      </c>
      <c r="M50" s="1439">
        <f>+Labour1!O252/100</f>
        <v>2.9959592710034011E-2</v>
      </c>
      <c r="N50" s="1439">
        <f>+Labour1!P252/100</f>
        <v>5.3272277116120259E-2</v>
      </c>
      <c r="O50" s="1439">
        <f>+Labour1!Q252/100</f>
        <v>2.3830630270831543E-2</v>
      </c>
      <c r="P50" s="1439">
        <f>+Labour1!R252/100</f>
        <v>3.0498869602490597E-2</v>
      </c>
      <c r="Q50" s="1439">
        <f>+Labour1!S252/100</f>
        <v>1.0783406591473588E-2</v>
      </c>
      <c r="R50" s="1439">
        <f>+Labour1!T252/100</f>
        <v>-1.1878969047978805E-2</v>
      </c>
      <c r="S50" s="1439">
        <f>+Labour1!U252/100</f>
        <v>-3.4352092382856081E-2</v>
      </c>
      <c r="T50" s="1439">
        <f>+Labour1!V252/100</f>
        <v>5.2233675122710599E-2</v>
      </c>
      <c r="U50" s="1439">
        <f>+Labour1!W252/100</f>
        <v>8.124762605395075E-3</v>
      </c>
      <c r="V50" s="1439">
        <f>+Labour1!X252/100</f>
        <v>-8.663123696399766E-3</v>
      </c>
      <c r="W50" s="1439">
        <f>+Labour1!Y252/100</f>
        <v>3.7550306174107817E-3</v>
      </c>
      <c r="X50" s="3306">
        <f>+Labour1!Z252/100</f>
        <v>1.2368304016831422E-2</v>
      </c>
      <c r="Y50" s="3306">
        <f>+Labour1!AA252/100</f>
        <v>2.7821447573243008E-2</v>
      </c>
      <c r="Z50" s="3306"/>
      <c r="AA50" s="3306"/>
      <c r="AB50" s="3304">
        <f>+RSQ($F$53:$Y$53,F50:Y50)</f>
        <v>5.7900603914592452E-2</v>
      </c>
      <c r="AC50" s="3304">
        <f t="shared" si="34"/>
        <v>0.51003465216885335</v>
      </c>
      <c r="AD50" s="3304"/>
      <c r="AE50" s="3304">
        <f t="shared" si="35"/>
        <v>6.129133328864284E-3</v>
      </c>
      <c r="AG50" s="3304">
        <f t="shared" si="0"/>
        <v>6.8020384661235819E-2</v>
      </c>
      <c r="AH50" s="3304">
        <f t="shared" si="1"/>
        <v>9.6234225948930122E-2</v>
      </c>
      <c r="AI50" s="3304">
        <f t="shared" si="3"/>
        <v>9.6234225948930122E-2</v>
      </c>
      <c r="AJ50" s="3304">
        <f t="shared" si="4"/>
        <v>8.0427368028071863E-2</v>
      </c>
      <c r="AK50" s="3304">
        <f t="shared" si="7"/>
        <v>7.9500200617100975E-2</v>
      </c>
      <c r="AL50" s="3304"/>
      <c r="AM50" s="3304">
        <f t="shared" si="8"/>
        <v>0.7172344923311359</v>
      </c>
      <c r="AN50" s="3304">
        <f t="shared" si="10"/>
        <v>1.7072384320626518E-2</v>
      </c>
      <c r="AO50" s="3304">
        <f t="shared" si="11"/>
        <v>0.99999999999999978</v>
      </c>
      <c r="AP50" s="3304">
        <f t="shared" si="12"/>
        <v>0.72348387381239132</v>
      </c>
      <c r="AQ50" s="3304">
        <f t="shared" si="13"/>
        <v>0.41553689970205093</v>
      </c>
      <c r="AR50" s="3304">
        <f t="shared" si="14"/>
        <v>0.20029526821885524</v>
      </c>
      <c r="AS50" s="3304">
        <f t="shared" si="15"/>
        <v>0.21623283745280578</v>
      </c>
      <c r="AT50" s="3304">
        <f t="shared" si="16"/>
        <v>0.1616243185934044</v>
      </c>
      <c r="AV50" s="3304">
        <f t="shared" si="36"/>
        <v>0.33817738363292366</v>
      </c>
      <c r="AW50" s="3304">
        <f t="shared" si="37"/>
        <v>0.4901699531664363</v>
      </c>
      <c r="AX50" s="3304">
        <f t="shared" si="38"/>
        <v>5.8872061609267366E-4</v>
      </c>
      <c r="AY50" s="3304">
        <f t="shared" si="39"/>
        <v>0.39985182708958145</v>
      </c>
      <c r="AZ50" s="3304">
        <f t="shared" si="40"/>
        <v>0.36307612247815491</v>
      </c>
      <c r="BB50" s="3304">
        <f t="shared" si="41"/>
        <v>0.51003465216885335</v>
      </c>
      <c r="BC50" s="3304">
        <f t="shared" si="42"/>
        <v>4.102964199192171E-2</v>
      </c>
      <c r="BD50" s="3304">
        <f t="shared" si="43"/>
        <v>7.2071546595455782E-3</v>
      </c>
      <c r="BE50" s="3304">
        <f t="shared" si="44"/>
        <v>0.13693375025088883</v>
      </c>
      <c r="BF50" s="3304">
        <f t="shared" si="45"/>
        <v>3.2261470993462889E-2</v>
      </c>
      <c r="BG50" s="3304">
        <f t="shared" si="46"/>
        <v>0.16011420762315337</v>
      </c>
      <c r="BH50" s="3304">
        <f t="shared" si="47"/>
        <v>0.16827581506339923</v>
      </c>
      <c r="BI50" s="3304">
        <f t="shared" si="48"/>
        <v>0.15012461433767404</v>
      </c>
      <c r="BJ50" s="3304">
        <f t="shared" si="49"/>
        <v>2.9469333272758198E-2</v>
      </c>
      <c r="BK50" s="3304">
        <f t="shared" si="50"/>
        <v>0.17776614537615354</v>
      </c>
      <c r="BL50" s="3304">
        <f t="shared" si="51"/>
        <v>5.1054506847401308E-2</v>
      </c>
      <c r="BM50" s="3304">
        <f t="shared" si="52"/>
        <v>0.16767237532743842</v>
      </c>
      <c r="BO50" s="3304">
        <f t="shared" si="53"/>
        <v>0.14401796434427003</v>
      </c>
      <c r="BP50" s="3304">
        <f t="shared" si="54"/>
        <v>6.129133328864284E-3</v>
      </c>
      <c r="BQ50" s="3304">
        <f t="shared" si="55"/>
        <v>0.2212146719878679</v>
      </c>
      <c r="BR50" s="3304">
        <f t="shared" si="55"/>
        <v>0.2212146719878679</v>
      </c>
      <c r="BS50" s="3304">
        <f t="shared" si="56"/>
        <v>7.6277416205055307E-2</v>
      </c>
      <c r="BT50" s="3304">
        <f>+RSQ($F$49:$Y$49,$F50:$Y50)</f>
        <v>1.2610135946519543E-2</v>
      </c>
      <c r="BU50" s="3317"/>
    </row>
    <row r="51" spans="1:76">
      <c r="B51" t="s">
        <v>2384</v>
      </c>
      <c r="C51" s="545" t="s">
        <v>2357</v>
      </c>
      <c r="D51" s="3305">
        <f t="shared" si="33"/>
        <v>1.7460435047200445E-2</v>
      </c>
      <c r="F51" s="1439">
        <f>+Labour1!H253/100</f>
        <v>4.2545019939921325E-2</v>
      </c>
      <c r="G51" s="1439">
        <f>+Labour1!I253/100</f>
        <v>1.2791100001096289E-2</v>
      </c>
      <c r="H51" s="1439">
        <f>+Labour1!J253/100</f>
        <v>-4.0432051306609547E-2</v>
      </c>
      <c r="I51" s="1439">
        <f>+Labour1!K253/100</f>
        <v>1.532146781864796E-2</v>
      </c>
      <c r="J51" s="1439">
        <f>+Labour1!L253/100</f>
        <v>3.8948821531131994E-2</v>
      </c>
      <c r="K51" s="1439">
        <f>+Labour1!M253/100</f>
        <v>4.9439128062444215E-2</v>
      </c>
      <c r="L51" s="1439">
        <f>+Labour1!N253/100</f>
        <v>1.2921307480272093E-2</v>
      </c>
      <c r="M51" s="1439">
        <f>+Labour1!O253/100</f>
        <v>6.5819270225948578E-3</v>
      </c>
      <c r="N51" s="1439">
        <f>+Labour1!P253/100</f>
        <v>-1.0432933056445104E-2</v>
      </c>
      <c r="O51" s="1439">
        <f>+Labour1!Q253/100</f>
        <v>6.7378054538800303E-3</v>
      </c>
      <c r="P51" s="1439">
        <f>+Labour1!R253/100</f>
        <v>8.1646403616031371E-4</v>
      </c>
      <c r="Q51" s="1439">
        <f>+Labour1!S253/100</f>
        <v>4.2025120099797642E-2</v>
      </c>
      <c r="R51" s="1439">
        <f>+Labour1!T253/100</f>
        <v>4.89982068423791E-2</v>
      </c>
      <c r="S51" s="1439">
        <f>+Labour1!U253/100</f>
        <v>6.3654008991975264E-2</v>
      </c>
      <c r="T51" s="1439">
        <f>+Labour1!V253/100</f>
        <v>-2.8578463123571596E-2</v>
      </c>
      <c r="U51" s="1439">
        <f>+Labour1!W253/100</f>
        <v>2.3450796606134139E-2</v>
      </c>
      <c r="V51" s="1439">
        <f>+Labour1!X253/100</f>
        <v>3.953199562079468E-2</v>
      </c>
      <c r="W51" s="1439">
        <f>+Labour1!Y253/100</f>
        <v>1.5625089209788667E-2</v>
      </c>
      <c r="X51" s="3306">
        <f>+Labour1!Z253/100</f>
        <v>9.7341907524199911E-3</v>
      </c>
      <c r="Y51" s="3306">
        <f>+Labour1!AA253/100</f>
        <v>-4.7030103880341123E-4</v>
      </c>
      <c r="Z51" s="3306"/>
      <c r="AA51" s="3306"/>
      <c r="AB51" s="3304">
        <f>+RSQ($F$53:$Y$53,F51:Y51)</f>
        <v>0.11417130676309996</v>
      </c>
      <c r="AC51" s="3304">
        <f t="shared" si="34"/>
        <v>0.25018188722200835</v>
      </c>
      <c r="AD51" s="3304"/>
      <c r="AE51" s="3304">
        <f t="shared" si="35"/>
        <v>6.9582354368676383E-5</v>
      </c>
      <c r="AG51" s="3304">
        <f t="shared" si="0"/>
        <v>7.9146947191943338E-4</v>
      </c>
      <c r="AH51" s="3304">
        <f t="shared" si="1"/>
        <v>5.8454131211665376E-4</v>
      </c>
      <c r="AI51" s="3304">
        <f t="shared" si="3"/>
        <v>5.8454131211665376E-4</v>
      </c>
      <c r="AJ51" s="3304">
        <f t="shared" si="4"/>
        <v>3.467614153502497E-4</v>
      </c>
      <c r="AK51" s="3304">
        <f t="shared" si="7"/>
        <v>1.3667016162364218E-3</v>
      </c>
      <c r="AL51" s="3304"/>
      <c r="AM51" s="3304">
        <f t="shared" si="8"/>
        <v>0.49195443445254883</v>
      </c>
      <c r="AN51" s="3304">
        <f t="shared" si="10"/>
        <v>7.7167811354488067E-2</v>
      </c>
      <c r="AO51" s="3304">
        <f t="shared" si="11"/>
        <v>0.53826866034013743</v>
      </c>
      <c r="AP51" s="3304">
        <f t="shared" si="12"/>
        <v>0.45284303950291721</v>
      </c>
      <c r="AQ51" s="3304">
        <f t="shared" si="13"/>
        <v>0.26696588799223114</v>
      </c>
      <c r="AR51" s="3304">
        <f t="shared" si="14"/>
        <v>7.866327550399034E-2</v>
      </c>
      <c r="AS51" s="3304">
        <f t="shared" si="15"/>
        <v>0.16489293100847585</v>
      </c>
      <c r="AT51" s="3304">
        <f t="shared" si="16"/>
        <v>4.6969047104687522E-2</v>
      </c>
      <c r="AV51" s="3304">
        <f t="shared" si="36"/>
        <v>0.22130828096320951</v>
      </c>
      <c r="AW51" s="3304">
        <f t="shared" si="37"/>
        <v>0.24526145509760236</v>
      </c>
      <c r="AX51" s="3304">
        <f t="shared" si="38"/>
        <v>3.7062365944434015E-3</v>
      </c>
      <c r="AY51" s="3304">
        <f t="shared" si="39"/>
        <v>0.53620726874235158</v>
      </c>
      <c r="AZ51" s="3304">
        <f t="shared" si="40"/>
        <v>0.26798251112747085</v>
      </c>
      <c r="BB51" s="3304">
        <f t="shared" si="41"/>
        <v>0.25018188722200835</v>
      </c>
      <c r="BC51" s="3304">
        <f t="shared" si="42"/>
        <v>0.11332729965460038</v>
      </c>
      <c r="BD51" s="3304">
        <f t="shared" si="43"/>
        <v>0.19793959508151532</v>
      </c>
      <c r="BE51" s="3304">
        <f t="shared" si="44"/>
        <v>8.8072757487253454E-3</v>
      </c>
      <c r="BF51" s="3304">
        <f t="shared" si="45"/>
        <v>1.8946491270413895E-2</v>
      </c>
      <c r="BG51" s="3304">
        <f t="shared" si="46"/>
        <v>3.0355204483262132E-2</v>
      </c>
      <c r="BH51" s="3304">
        <f t="shared" si="47"/>
        <v>2.8400966936401442E-2</v>
      </c>
      <c r="BI51" s="3304">
        <f t="shared" si="48"/>
        <v>1.2911694208780754E-2</v>
      </c>
      <c r="BJ51" s="3304">
        <f t="shared" si="49"/>
        <v>9.5293924162728333E-3</v>
      </c>
      <c r="BK51" s="3304">
        <f t="shared" si="50"/>
        <v>3.3969527515873531E-2</v>
      </c>
      <c r="BL51" s="3304">
        <f t="shared" si="51"/>
        <v>1.2743649524478671E-5</v>
      </c>
      <c r="BM51" s="3304">
        <f t="shared" si="52"/>
        <v>2.2041886610499814E-2</v>
      </c>
      <c r="BO51" s="3304">
        <f t="shared" si="53"/>
        <v>0.13019303603851681</v>
      </c>
      <c r="BP51" s="3304">
        <f t="shared" si="54"/>
        <v>6.9582354368676383E-5</v>
      </c>
      <c r="BQ51" s="3304">
        <f t="shared" si="55"/>
        <v>0.12870243321200828</v>
      </c>
      <c r="BR51" s="3304">
        <f t="shared" si="55"/>
        <v>0.12870243321200828</v>
      </c>
      <c r="BS51" s="3304">
        <f t="shared" si="56"/>
        <v>4.9678722246416895E-2</v>
      </c>
      <c r="BT51" s="3304">
        <f>+RSQ($F$49:$Y$49,$F51:$Y51)</f>
        <v>0.34985392998294307</v>
      </c>
      <c r="BU51" s="3304">
        <f>+RSQ($F$50:$Y$50,$F51:$Y51)</f>
        <v>0.53826866034013743</v>
      </c>
      <c r="BV51" s="3317"/>
    </row>
    <row r="52" spans="1:76">
      <c r="B52" t="s">
        <v>782</v>
      </c>
      <c r="C52" s="545" t="s">
        <v>2357</v>
      </c>
      <c r="D52" s="3305">
        <f t="shared" si="33"/>
        <v>1.0453220493551513E-2</v>
      </c>
      <c r="F52" s="1439">
        <f>+'VVP2'!H367/100</f>
        <v>4.7095763181885797E-3</v>
      </c>
      <c r="G52" s="1439">
        <f>+'VVP2'!I367/100</f>
        <v>5.0781251431548657E-3</v>
      </c>
      <c r="H52" s="1439">
        <f>+'VVP2'!J367/100</f>
        <v>-1.1659546316442615E-3</v>
      </c>
      <c r="I52" s="1439">
        <f>+'VVP2'!K367/100</f>
        <v>4.280155856252188E-3</v>
      </c>
      <c r="J52" s="1439">
        <f>+'VVP2'!L367/100</f>
        <v>1.0073614898306271E-2</v>
      </c>
      <c r="K52" s="1439">
        <f>+'VVP2'!M367/100</f>
        <v>2.4549290372072985E-2</v>
      </c>
      <c r="L52" s="1439">
        <f>+'VVP2'!N367/100</f>
        <v>2.1340321976787369E-2</v>
      </c>
      <c r="M52" s="1439">
        <f>+'VVP2'!O367/100</f>
        <v>1.9428152492668493E-2</v>
      </c>
      <c r="N52" s="1439">
        <f>+'VVP2'!P367/100</f>
        <v>3.955411722400326E-3</v>
      </c>
      <c r="O52" s="1439">
        <f>+'VVP2'!Q367/100</f>
        <v>4.2979942693406326E-3</v>
      </c>
      <c r="P52" s="1439">
        <f>+'VVP2'!R367/100</f>
        <v>1.3602146862769837E-2</v>
      </c>
      <c r="Q52" s="1439">
        <f>+'VVP2'!S367/100</f>
        <v>2.2121688343675894E-2</v>
      </c>
      <c r="R52" s="1439">
        <f>+'VVP2'!T367/100</f>
        <v>3.4370491060286223E-2</v>
      </c>
      <c r="S52" s="1439">
        <f>+'VVP2'!U367/100</f>
        <v>-4.9446054437829456E-3</v>
      </c>
      <c r="T52" s="1439">
        <f>+'VVP2'!V367/100</f>
        <v>1.157988027156498E-2</v>
      </c>
      <c r="U52" s="1439">
        <f>+'VVP2'!W367/100</f>
        <v>2.9611507382208746E-2</v>
      </c>
      <c r="V52" s="1439">
        <f>+'VVP2'!X367/100</f>
        <v>8.8837750692480899E-3</v>
      </c>
      <c r="W52" s="1439">
        <f>+'VVP2'!Y367/100</f>
        <v>-4.4292970149484301E-4</v>
      </c>
      <c r="X52" s="3306">
        <f>+'VVP2'!Z367/100</f>
        <v>-1.7963849411409827E-3</v>
      </c>
      <c r="Y52" s="3306">
        <f>+'VVP2'!AA367/100</f>
        <v>-4.6784744983219273E-4</v>
      </c>
      <c r="Z52" s="3306"/>
      <c r="AA52" s="3306"/>
      <c r="AB52" s="3304">
        <f>+RSQ($F$53:$Y$53,F52:Y52)</f>
        <v>0.52497747732568523</v>
      </c>
      <c r="AC52" s="3304">
        <f t="shared" si="34"/>
        <v>3.9117290052728203E-2</v>
      </c>
      <c r="AD52" s="3304"/>
      <c r="AE52" s="3304">
        <f t="shared" si="35"/>
        <v>0.1743230930137252</v>
      </c>
      <c r="AG52" s="3304">
        <f t="shared" si="0"/>
        <v>2.2914371774477502E-2</v>
      </c>
      <c r="AH52" s="3304">
        <f t="shared" si="1"/>
        <v>7.4047359431557208E-5</v>
      </c>
      <c r="AI52" s="3304">
        <f t="shared" si="3"/>
        <v>7.4047359431557208E-5</v>
      </c>
      <c r="AJ52" s="3304">
        <f t="shared" si="4"/>
        <v>6.9931097996830446E-3</v>
      </c>
      <c r="AK52" s="3304">
        <f t="shared" si="7"/>
        <v>2.7730846410579782E-2</v>
      </c>
      <c r="AL52" s="3304"/>
      <c r="AM52" s="3304">
        <f t="shared" si="8"/>
        <v>3.6232557774727753E-5</v>
      </c>
      <c r="AN52" s="3304">
        <f t="shared" si="10"/>
        <v>2.4403183624225118E-2</v>
      </c>
      <c r="AO52" s="3304">
        <f t="shared" si="11"/>
        <v>2.4939738943239184E-2</v>
      </c>
      <c r="AP52" s="3304">
        <f t="shared" si="12"/>
        <v>4.6956141712774089E-4</v>
      </c>
      <c r="AQ52" s="3304">
        <f t="shared" si="13"/>
        <v>9.1125830626753081E-3</v>
      </c>
      <c r="AR52" s="3304">
        <f t="shared" si="14"/>
        <v>0.15010054838219583</v>
      </c>
      <c r="AS52" s="3304">
        <f t="shared" si="15"/>
        <v>1.3035769917851533E-2</v>
      </c>
      <c r="AT52" s="3304">
        <f t="shared" si="16"/>
        <v>2.673244909742667E-3</v>
      </c>
      <c r="AV52" s="3304">
        <f t="shared" si="36"/>
        <v>1.3995884612848758E-2</v>
      </c>
      <c r="AW52" s="3304">
        <f t="shared" si="37"/>
        <v>2.5960470224095936E-2</v>
      </c>
      <c r="AX52" s="3304">
        <f t="shared" si="38"/>
        <v>0.15175943862937044</v>
      </c>
      <c r="AY52" s="3304">
        <f t="shared" si="39"/>
        <v>0.45399629528029961</v>
      </c>
      <c r="AZ52" s="3304">
        <f t="shared" si="40"/>
        <v>4.598277440978249E-2</v>
      </c>
      <c r="BB52" s="3304">
        <f t="shared" si="41"/>
        <v>3.9117290052728203E-2</v>
      </c>
      <c r="BC52" s="3304">
        <f t="shared" si="42"/>
        <v>0.1482212914375792</v>
      </c>
      <c r="BD52" s="3304">
        <f t="shared" si="43"/>
        <v>0.2209252144467099</v>
      </c>
      <c r="BE52" s="3304">
        <f t="shared" si="44"/>
        <v>9.2780822881352067E-4</v>
      </c>
      <c r="BF52" s="3304">
        <f t="shared" si="45"/>
        <v>1.1420686007385899E-2</v>
      </c>
      <c r="BG52" s="3304">
        <f t="shared" si="46"/>
        <v>9.7384034242751771E-3</v>
      </c>
      <c r="BH52" s="3304">
        <f t="shared" si="47"/>
        <v>2.9492258378828497E-3</v>
      </c>
      <c r="BI52" s="3304">
        <f t="shared" si="48"/>
        <v>6.5781434657142864E-3</v>
      </c>
      <c r="BJ52" s="3304">
        <f t="shared" si="49"/>
        <v>5.710146955367635E-2</v>
      </c>
      <c r="BK52" s="3304">
        <f t="shared" si="50"/>
        <v>3.2390559304774719E-7</v>
      </c>
      <c r="BL52" s="3304">
        <f t="shared" si="51"/>
        <v>2.3559213971073918E-2</v>
      </c>
      <c r="BM52" s="3304">
        <f t="shared" si="52"/>
        <v>5.1627922133773131E-2</v>
      </c>
      <c r="BO52" s="3304">
        <f t="shared" si="53"/>
        <v>0.25209968827172508</v>
      </c>
      <c r="BP52" s="3304">
        <f t="shared" si="54"/>
        <v>0.1743230930137252</v>
      </c>
      <c r="BQ52" s="3304">
        <f t="shared" si="55"/>
        <v>2.8706046298676229E-2</v>
      </c>
      <c r="BR52" s="3304">
        <f t="shared" si="55"/>
        <v>2.8706046298676229E-2</v>
      </c>
      <c r="BS52" s="3304">
        <f t="shared" si="56"/>
        <v>0.3271007156382062</v>
      </c>
      <c r="BT52" s="3304">
        <f>+RSQ($F$49:$Y$49,$F52:$Y52)</f>
        <v>6.8508871346617303E-2</v>
      </c>
      <c r="BU52" s="3304">
        <f>+RSQ($F$50:$Y$50,$F52:$Y52)</f>
        <v>2.4939738943239184E-2</v>
      </c>
      <c r="BV52" s="3304">
        <f>+RSQ($F$51:$Y$51,$F52:$Y52)</f>
        <v>9.0486556402224819E-2</v>
      </c>
      <c r="BW52" s="3317"/>
    </row>
    <row r="53" spans="1:76">
      <c r="B53" t="s">
        <v>1628</v>
      </c>
      <c r="C53" s="545" t="s">
        <v>2357</v>
      </c>
      <c r="D53" s="3305">
        <f t="shared" si="33"/>
        <v>1.4224267476935403E-2</v>
      </c>
      <c r="F53" s="1439">
        <f>+'VVP2'!H368/100</f>
        <v>9.5926088797166909E-3</v>
      </c>
      <c r="G53" s="1439">
        <f>+'VVP2'!I368/100</f>
        <v>1.8131086552140019E-2</v>
      </c>
      <c r="H53" s="1439">
        <f>+'VVP2'!J368/100</f>
        <v>1.0037937816371745E-2</v>
      </c>
      <c r="I53" s="1439">
        <f>+'VVP2'!K368/100</f>
        <v>5.6394377586963529E-3</v>
      </c>
      <c r="J53" s="1439">
        <f>+'VVP2'!L368/100</f>
        <v>1.2940292664346487E-2</v>
      </c>
      <c r="K53" s="1439">
        <f>+'VVP2'!M368/100</f>
        <v>2.6803434516472269E-2</v>
      </c>
      <c r="L53" s="1439">
        <f>+'VVP2'!N368/100</f>
        <v>1.9389623601220318E-2</v>
      </c>
      <c r="M53" s="1439">
        <f>+'VVP2'!O368/100</f>
        <v>2.3192224018522278E-2</v>
      </c>
      <c r="N53" s="1439">
        <f>+'VVP2'!P368/100</f>
        <v>1.0221398615039012E-2</v>
      </c>
      <c r="O53" s="1439">
        <f>+'VVP2'!Q368/100</f>
        <v>8.3318851493552337E-3</v>
      </c>
      <c r="P53" s="1439">
        <f>+'VVP2'!R368/100</f>
        <v>1.4965387156386178E-2</v>
      </c>
      <c r="Q53" s="1439">
        <f>+'VVP2'!S368/100</f>
        <v>1.6763518357797436E-2</v>
      </c>
      <c r="R53" s="1439">
        <f>+'VVP2'!T368/100</f>
        <v>3.3484565925348653E-2</v>
      </c>
      <c r="S53" s="1439">
        <f>+'VVP2'!U368/100</f>
        <v>1.9409282700422192E-2</v>
      </c>
      <c r="T53" s="1439">
        <f>+'VVP2'!V368/100</f>
        <v>1.9066154713258454E-2</v>
      </c>
      <c r="U53" s="1439">
        <f>+'VVP2'!W368/100</f>
        <v>1.3645358936025698E-2</v>
      </c>
      <c r="V53" s="1439">
        <f>+'VVP2'!X368/100</f>
        <v>9.3779839039687118E-3</v>
      </c>
      <c r="W53" s="1439">
        <f>+'VVP2'!Y368/100</f>
        <v>4.408932734214055E-3</v>
      </c>
      <c r="X53" s="3306">
        <f>+'VVP2'!Z368/100</f>
        <v>2.0602431927885245E-3</v>
      </c>
      <c r="Y53" s="3306">
        <f>+'VVP2'!AA368/100</f>
        <v>7.0239923466177689E-3</v>
      </c>
      <c r="Z53" s="3306"/>
      <c r="AA53" s="3306"/>
      <c r="AB53" s="3303" t="s">
        <v>2391</v>
      </c>
      <c r="AC53" s="3304">
        <f t="shared" si="34"/>
        <v>0.13328862586631704</v>
      </c>
      <c r="AD53" s="3303"/>
      <c r="AE53" s="3304">
        <f t="shared" si="35"/>
        <v>1.7160547192949984E-4</v>
      </c>
      <c r="AG53" s="3304">
        <f t="shared" si="0"/>
        <v>0.10676412714706639</v>
      </c>
      <c r="AH53" s="3304">
        <f t="shared" si="1"/>
        <v>2.7868630112593398E-2</v>
      </c>
      <c r="AI53" s="3304">
        <f t="shared" si="3"/>
        <v>2.7868630112593398E-2</v>
      </c>
      <c r="AJ53" s="3304">
        <f t="shared" si="4"/>
        <v>1.5449394007390344E-2</v>
      </c>
      <c r="AK53" s="3304">
        <f t="shared" si="7"/>
        <v>1.6933842659584057E-3</v>
      </c>
      <c r="AL53" s="3304"/>
      <c r="AM53" s="3304">
        <f t="shared" si="8"/>
        <v>9.0711491772120428E-2</v>
      </c>
      <c r="AN53" s="3304">
        <f t="shared" si="10"/>
        <v>3.064419490070561E-3</v>
      </c>
      <c r="AO53" s="3304">
        <f t="shared" si="11"/>
        <v>5.7900603914592452E-2</v>
      </c>
      <c r="AP53" s="3304">
        <f t="shared" si="12"/>
        <v>9.0939784653783551E-2</v>
      </c>
      <c r="AQ53" s="3304">
        <f t="shared" si="13"/>
        <v>0.11133303134791663</v>
      </c>
      <c r="AR53" s="3304">
        <f t="shared" si="14"/>
        <v>3.494175680867135E-2</v>
      </c>
      <c r="AS53" s="3304">
        <f t="shared" si="15"/>
        <v>6.4756762398148343E-2</v>
      </c>
      <c r="AT53" s="3304">
        <f t="shared" si="16"/>
        <v>8.7952248867072508E-2</v>
      </c>
      <c r="AV53" s="3304">
        <f t="shared" si="36"/>
        <v>0.11076722427944646</v>
      </c>
      <c r="AW53" s="3304">
        <f t="shared" si="37"/>
        <v>0.10563594208763588</v>
      </c>
      <c r="AX53" s="3304">
        <f t="shared" si="38"/>
        <v>9.2506721188835746E-3</v>
      </c>
      <c r="AY53" s="3304">
        <f t="shared" si="39"/>
        <v>1.0919648302428035E-2</v>
      </c>
      <c r="AZ53" s="3304">
        <f t="shared" si="40"/>
        <v>0.19677902870841665</v>
      </c>
      <c r="BB53" s="3304">
        <f t="shared" si="41"/>
        <v>0.13328862586631704</v>
      </c>
      <c r="BC53" s="3304">
        <f t="shared" si="42"/>
        <v>0.10573405835048076</v>
      </c>
      <c r="BD53" s="3304">
        <f t="shared" si="43"/>
        <v>1.2592701543858508E-2</v>
      </c>
      <c r="BE53" s="3304">
        <f t="shared" si="44"/>
        <v>2.610799484433406E-2</v>
      </c>
      <c r="BF53" s="3304">
        <f t="shared" si="45"/>
        <v>1.9183201810527021E-2</v>
      </c>
      <c r="BG53" s="3304">
        <f t="shared" si="46"/>
        <v>1.807315418299868E-4</v>
      </c>
      <c r="BH53" s="3304">
        <f t="shared" si="47"/>
        <v>1.2814153664424111E-3</v>
      </c>
      <c r="BI53" s="3304">
        <f t="shared" si="48"/>
        <v>3.9166902779089602E-2</v>
      </c>
      <c r="BJ53" s="3304">
        <f t="shared" si="49"/>
        <v>0.11720561042562466</v>
      </c>
      <c r="BK53" s="3304">
        <f t="shared" si="50"/>
        <v>6.1185027930015521E-3</v>
      </c>
      <c r="BL53" s="3304">
        <f t="shared" si="51"/>
        <v>3.164014970498985E-6</v>
      </c>
      <c r="BM53" s="3304">
        <f t="shared" si="52"/>
        <v>8.1715639978377722E-3</v>
      </c>
      <c r="BO53" s="3304">
        <f t="shared" si="53"/>
        <v>4.0851038989117391E-2</v>
      </c>
      <c r="BP53" s="3304">
        <f t="shared" si="54"/>
        <v>1.7160547192949984E-4</v>
      </c>
      <c r="BQ53" s="3304">
        <f t="shared" si="55"/>
        <v>2.5326978454790195E-2</v>
      </c>
      <c r="BR53" s="3304">
        <f t="shared" si="55"/>
        <v>2.5326978454790195E-2</v>
      </c>
      <c r="BS53" s="3304">
        <f t="shared" si="56"/>
        <v>0.14171070532229393</v>
      </c>
      <c r="BT53" s="3304">
        <f>+RSQ($F$49:$Y$49,$F53:$Y53)</f>
        <v>4.6583485132455631E-2</v>
      </c>
      <c r="BU53" s="3304">
        <f>+RSQ($F$50:$Y$50,$F53:$Y53)</f>
        <v>5.7900603914592452E-2</v>
      </c>
      <c r="BV53" s="3304">
        <f>+RSQ($F$51:$Y$51,$F53:$Y53)</f>
        <v>0.11417130676309996</v>
      </c>
      <c r="BW53" s="3304">
        <f>+RSQ($F$52:$Y$52,$F53:$Y53)</f>
        <v>0.52497747732568523</v>
      </c>
      <c r="BX53" s="3317"/>
    </row>
    <row r="54" spans="1:76">
      <c r="B54" t="s">
        <v>1696</v>
      </c>
      <c r="C54" s="545" t="s">
        <v>2357</v>
      </c>
      <c r="D54" s="3305">
        <f t="shared" si="33"/>
        <v>1.3349259795264468E-2</v>
      </c>
      <c r="F54" s="1439">
        <f>+'VVP2'!H366/100</f>
        <v>9.1528780835274937E-3</v>
      </c>
      <c r="G54" s="1439">
        <f>+'VVP2'!I366/100</f>
        <v>1.4363764232131482E-2</v>
      </c>
      <c r="H54" s="1439">
        <f>+'VVP2'!J366/100</f>
        <v>4.5592781487155953E-3</v>
      </c>
      <c r="I54" s="1439">
        <f>+'VVP2'!K366/100</f>
        <v>1.4759448107250384E-2</v>
      </c>
      <c r="J54" s="1439">
        <f>+'VVP2'!L366/100</f>
        <v>9.8470122638067981E-3</v>
      </c>
      <c r="K54" s="1439">
        <f>+'VVP2'!M366/100</f>
        <v>2.1520246931197695E-2</v>
      </c>
      <c r="L54" s="1439">
        <f>+'VVP2'!N366/100</f>
        <v>1.4423834447990558E-2</v>
      </c>
      <c r="M54" s="1439">
        <f>+'VVP2'!O366/100</f>
        <v>1.6213007540419433E-2</v>
      </c>
      <c r="N54" s="1439">
        <f>+'VVP2'!P366/100</f>
        <v>7.7842269732415481E-3</v>
      </c>
      <c r="O54" s="1439">
        <f>+'VVP2'!Q366/100</f>
        <v>1.1094528730183351E-2</v>
      </c>
      <c r="P54" s="1439">
        <f>+'VVP2'!R366/100</f>
        <v>1.2042396026952229E-2</v>
      </c>
      <c r="Q54" s="1439">
        <f>+'VVP2'!S366/100</f>
        <v>1.4458408598480021E-2</v>
      </c>
      <c r="R54" s="1439">
        <f>+'VVP2'!T366/100</f>
        <v>3.12234907087936E-2</v>
      </c>
      <c r="S54" s="1439">
        <f>+'VVP2'!U366/100</f>
        <v>2.2274693015023495E-2</v>
      </c>
      <c r="T54" s="1439">
        <f>+'VVP2'!V366/100</f>
        <v>1.4861173371551795E-2</v>
      </c>
      <c r="U54" s="1439">
        <f>+'VVP2'!W366/100</f>
        <v>1.6660733876156852E-2</v>
      </c>
      <c r="V54" s="1439">
        <f>+'VVP2'!X366/100</f>
        <v>5.1388612231861863E-3</v>
      </c>
      <c r="W54" s="1439">
        <f>+'VVP2'!Y366/100</f>
        <v>7.0980615125779689E-3</v>
      </c>
      <c r="X54" s="3306">
        <f>+'VVP2'!Z366/100</f>
        <v>1.0818933037173073E-2</v>
      </c>
      <c r="Y54" s="3306">
        <f>+'VVP2'!AA366/100</f>
        <v>8.6902190769297949E-3</v>
      </c>
      <c r="Z54" s="3306"/>
      <c r="AA54" s="3306"/>
      <c r="AB54" s="3304">
        <f>+RSQ($F$53:$Y$53,F54:Y54)</f>
        <v>0.66906880783686795</v>
      </c>
      <c r="AC54" s="3304">
        <f t="shared" si="34"/>
        <v>0.20271709599462695</v>
      </c>
      <c r="AD54" s="3304"/>
      <c r="AE54" s="3304">
        <f t="shared" si="35"/>
        <v>5.1986332116722071E-4</v>
      </c>
      <c r="AG54" s="3304">
        <f t="shared" si="0"/>
        <v>1.4283039266691205E-2</v>
      </c>
      <c r="AH54" s="3304">
        <f t="shared" si="1"/>
        <v>7.3371640404029084E-4</v>
      </c>
      <c r="AI54" s="3304">
        <f t="shared" si="3"/>
        <v>7.3371640404029084E-4</v>
      </c>
      <c r="AJ54" s="3304">
        <f t="shared" si="4"/>
        <v>2.7622641682378949E-3</v>
      </c>
      <c r="AK54" s="3304">
        <f t="shared" si="7"/>
        <v>1.3387168341243184E-2</v>
      </c>
      <c r="AL54" s="3304"/>
      <c r="AM54" s="3304">
        <f t="shared" si="8"/>
        <v>0.19491604827752015</v>
      </c>
      <c r="AN54" s="3304">
        <f t="shared" si="10"/>
        <v>2.0132204832424311E-4</v>
      </c>
      <c r="AO54" s="3304">
        <f t="shared" si="11"/>
        <v>0.2007935789855157</v>
      </c>
      <c r="AP54" s="3304">
        <f t="shared" si="12"/>
        <v>0.20635934250687393</v>
      </c>
      <c r="AQ54" s="3304">
        <f t="shared" si="13"/>
        <v>0.17021576032192154</v>
      </c>
      <c r="AR54" s="3304">
        <f t="shared" si="14"/>
        <v>0.12913825792267164</v>
      </c>
      <c r="AS54" s="3304">
        <f t="shared" si="15"/>
        <v>0.13820472210915682</v>
      </c>
      <c r="AT54" s="3304">
        <f t="shared" si="16"/>
        <v>7.6301215749621501E-3</v>
      </c>
      <c r="AV54" s="3304">
        <f t="shared" si="36"/>
        <v>0.11066341246684255</v>
      </c>
      <c r="AW54" s="3304">
        <f t="shared" si="37"/>
        <v>0.14626546044031546</v>
      </c>
      <c r="AX54" s="3304">
        <f t="shared" si="38"/>
        <v>1.9366584737730289E-2</v>
      </c>
      <c r="AY54" s="3304">
        <f t="shared" si="39"/>
        <v>1.1194949058967504E-4</v>
      </c>
      <c r="AZ54" s="3304">
        <f t="shared" si="40"/>
        <v>0.18221670692724029</v>
      </c>
      <c r="BB54" s="3304">
        <f t="shared" si="41"/>
        <v>0.20271709599462695</v>
      </c>
      <c r="BC54" s="3304">
        <f t="shared" si="42"/>
        <v>3.3977304750895672E-2</v>
      </c>
      <c r="BD54" s="3304">
        <f t="shared" si="43"/>
        <v>1.7755947682556922E-2</v>
      </c>
      <c r="BE54" s="3304">
        <f t="shared" si="44"/>
        <v>9.1764954332358931E-5</v>
      </c>
      <c r="BF54" s="3304">
        <f t="shared" si="45"/>
        <v>2.8525314689829016E-2</v>
      </c>
      <c r="BG54" s="3304">
        <f t="shared" si="46"/>
        <v>5.062053802947903E-3</v>
      </c>
      <c r="BH54" s="3304">
        <f t="shared" si="47"/>
        <v>2.2121837400821531E-3</v>
      </c>
      <c r="BI54" s="3304">
        <f t="shared" si="48"/>
        <v>3.2608254930006669E-3</v>
      </c>
      <c r="BJ54" s="3304">
        <f t="shared" si="49"/>
        <v>4.2887834514652385E-3</v>
      </c>
      <c r="BK54" s="3304">
        <f t="shared" si="50"/>
        <v>1.092314111605849E-5</v>
      </c>
      <c r="BL54" s="3304">
        <f t="shared" si="51"/>
        <v>2.5204799198066195E-2</v>
      </c>
      <c r="BM54" s="3304">
        <f t="shared" si="52"/>
        <v>3.9295839524913195E-2</v>
      </c>
      <c r="BO54" s="3304">
        <f t="shared" si="53"/>
        <v>0.10272696389137025</v>
      </c>
      <c r="BP54" s="3304">
        <f t="shared" si="54"/>
        <v>5.1986332116722071E-4</v>
      </c>
      <c r="BQ54" s="3304">
        <f t="shared" si="55"/>
        <v>2.4326954274044321E-3</v>
      </c>
      <c r="BR54" s="3304">
        <f t="shared" si="55"/>
        <v>2.4326954274044321E-3</v>
      </c>
      <c r="BS54" s="3304">
        <f t="shared" si="56"/>
        <v>0.12826780484004066</v>
      </c>
      <c r="BT54" s="3304">
        <f>+RSQ($F$49:$Y$49,$F54:$Y54)</f>
        <v>4.5618181808552399E-2</v>
      </c>
      <c r="BU54" s="3304">
        <f>+RSQ($F$50:$Y$50,$F54:$Y54)</f>
        <v>0.2007935789855157</v>
      </c>
      <c r="BV54" s="3304">
        <f>+RSQ($F$51:$Y$51,$F54:$Y54)</f>
        <v>0.25492363032843351</v>
      </c>
      <c r="BW54" s="3304">
        <f>+RSQ($F$52:$Y$52,$F54:$Y54)</f>
        <v>0.37909826771481175</v>
      </c>
      <c r="BX54" s="3304">
        <f>+RSQ($F$53:$Y$53,$F54:$Y54)</f>
        <v>0.66906880783686795</v>
      </c>
    </row>
    <row r="55" spans="1:76">
      <c r="D55" s="1525"/>
      <c r="AB55" s="583"/>
      <c r="AC55" s="583"/>
      <c r="AD55" s="583"/>
      <c r="AE55" s="583"/>
      <c r="AG55" s="3304"/>
      <c r="AH55" s="3304"/>
    </row>
    <row r="56" spans="1:76" ht="13.15">
      <c r="A56" s="1333" t="s">
        <v>2401</v>
      </c>
      <c r="D56" s="1525"/>
      <c r="AB56" s="583"/>
      <c r="AC56" s="583"/>
      <c r="AD56" s="583"/>
      <c r="AE56" s="583"/>
    </row>
    <row r="57" spans="1:76">
      <c r="B57" t="s">
        <v>2385</v>
      </c>
      <c r="D57" s="1525"/>
      <c r="AB57" s="583"/>
      <c r="AC57" s="583"/>
      <c r="AD57" s="583"/>
      <c r="AE57" s="583"/>
    </row>
    <row r="58" spans="1:76">
      <c r="B58" t="s">
        <v>2386</v>
      </c>
      <c r="D58" s="1525"/>
      <c r="AB58" s="583"/>
      <c r="AC58" s="583"/>
      <c r="AD58" s="583"/>
      <c r="AE58" s="583"/>
    </row>
    <row r="59" spans="1:76">
      <c r="B59" t="s">
        <v>2387</v>
      </c>
      <c r="D59" s="1525"/>
      <c r="AB59" s="583"/>
      <c r="AC59" s="583"/>
      <c r="AD59" s="583"/>
      <c r="AE59" s="583"/>
    </row>
    <row r="60" spans="1:76">
      <c r="B60" t="s">
        <v>2388</v>
      </c>
      <c r="D60" s="1525"/>
      <c r="AB60" s="583"/>
      <c r="AC60" s="583"/>
      <c r="AD60" s="583"/>
      <c r="AE60" s="583"/>
    </row>
    <row r="61" spans="1:76">
      <c r="B61" t="s">
        <v>2389</v>
      </c>
      <c r="D61" s="1525"/>
      <c r="AB61" s="583"/>
      <c r="AC61" s="583"/>
      <c r="AD61" s="583"/>
      <c r="AE61" s="583"/>
    </row>
    <row r="101" spans="2:28">
      <c r="B101" t="s">
        <v>2364</v>
      </c>
      <c r="C101" s="545" t="s">
        <v>2357</v>
      </c>
      <c r="D101" s="3323"/>
      <c r="F101" s="3323">
        <v>1.8004168657512309E-2</v>
      </c>
      <c r="G101" s="3323">
        <v>2.7937656754547957E-2</v>
      </c>
      <c r="H101" s="3323">
        <v>3.2990271566144536E-2</v>
      </c>
      <c r="I101" s="3323">
        <v>3.991580681324236E-2</v>
      </c>
      <c r="J101" s="3323">
        <v>5.2806285431674427E-2</v>
      </c>
      <c r="K101" s="3323">
        <v>7.1367194160896208E-3</v>
      </c>
      <c r="L101" s="3323">
        <v>2.6010759524137672E-2</v>
      </c>
      <c r="M101" s="3323">
        <v>2.2753121193050507E-2</v>
      </c>
      <c r="N101" s="3323">
        <v>2.8234181249871426E-2</v>
      </c>
      <c r="O101" s="3323">
        <v>2.7691200044305919E-2</v>
      </c>
      <c r="P101" s="3323">
        <v>2.7079784319772093E-2</v>
      </c>
      <c r="Q101" s="3323">
        <v>3.6966781127389714E-2</v>
      </c>
      <c r="R101" s="3323">
        <v>2.4596632791196171E-5</v>
      </c>
      <c r="S101" s="3323">
        <v>-2.5980432805760012E-3</v>
      </c>
      <c r="T101" s="3323">
        <v>3.9935968299799063E-2</v>
      </c>
      <c r="U101" s="3323">
        <v>1.6547672119774148E-2</v>
      </c>
      <c r="V101" s="3323">
        <v>1.6036368919796207E-2</v>
      </c>
      <c r="W101" s="3323">
        <v>1.9736786002677587E-2</v>
      </c>
      <c r="X101" s="3324">
        <v>2.9399999999999999E-2</v>
      </c>
      <c r="Y101" s="3324">
        <v>2.8399999999999998E-2</v>
      </c>
      <c r="Z101" s="3324"/>
      <c r="AA101" s="3324"/>
    </row>
    <row r="102" spans="2:28">
      <c r="B102" t="s">
        <v>2404</v>
      </c>
      <c r="C102" s="545" t="s">
        <v>2357</v>
      </c>
      <c r="D102" s="3323"/>
      <c r="E102" s="3323"/>
      <c r="F102" s="3323">
        <v>9.1665725862088987E-3</v>
      </c>
      <c r="G102" s="3323">
        <v>2.1979558668610011E-2</v>
      </c>
      <c r="H102" s="3323">
        <v>4.4781353637078247E-2</v>
      </c>
      <c r="I102" s="3323">
        <v>6.1948121746453033E-2</v>
      </c>
      <c r="J102" s="3323">
        <v>8.7697117079917467E-2</v>
      </c>
      <c r="K102" s="3323">
        <v>4.7385802064751292E-2</v>
      </c>
      <c r="L102" s="3323">
        <v>2.6048215339611325E-2</v>
      </c>
      <c r="M102" s="3323">
        <v>2.206468493758762E-2</v>
      </c>
      <c r="N102" s="3323">
        <v>3.0774842119026813E-2</v>
      </c>
      <c r="O102" s="3323">
        <v>4.9315448548851615E-2</v>
      </c>
      <c r="P102" s="3323">
        <v>6.9787170867753545E-2</v>
      </c>
      <c r="Q102" s="3323">
        <v>5.4236302478803289E-2</v>
      </c>
      <c r="R102" s="3323">
        <v>4.1484308300246742E-2</v>
      </c>
      <c r="S102" s="3323">
        <v>3.1181198472207461E-2</v>
      </c>
      <c r="T102" s="3323">
        <v>4.8812547095089753E-2</v>
      </c>
      <c r="U102" s="3323">
        <v>4.5894667483620477E-2</v>
      </c>
      <c r="V102" s="3323">
        <v>3.3837610966974463E-2</v>
      </c>
      <c r="W102" s="3324">
        <v>4.0431287173872121E-2</v>
      </c>
      <c r="X102" s="3324">
        <v>3.8629573174921994E-2</v>
      </c>
      <c r="AB102" s="3304">
        <f>+RSQ($F$101:$Y$101,F102:Y102)</f>
        <v>0.26510389877862472</v>
      </c>
    </row>
    <row r="128" spans="1:31" s="736" customFormat="1" ht="13.15">
      <c r="A128" s="780" t="s">
        <v>1695</v>
      </c>
      <c r="B128" s="781"/>
      <c r="C128" s="933">
        <v>1995</v>
      </c>
      <c r="D128" s="933">
        <v>1996</v>
      </c>
      <c r="E128" s="933">
        <v>1997</v>
      </c>
      <c r="F128" s="933">
        <v>1998</v>
      </c>
      <c r="G128" s="933">
        <v>1999</v>
      </c>
      <c r="H128" s="933">
        <v>2000</v>
      </c>
      <c r="I128" s="933">
        <v>2001</v>
      </c>
      <c r="J128" s="933">
        <v>2002</v>
      </c>
      <c r="K128" s="933">
        <v>2003</v>
      </c>
      <c r="L128" s="933">
        <v>2004</v>
      </c>
      <c r="M128" s="933">
        <v>2005</v>
      </c>
      <c r="N128" s="933">
        <v>2006</v>
      </c>
      <c r="O128" s="933">
        <v>2007</v>
      </c>
      <c r="P128" s="933">
        <v>2008</v>
      </c>
      <c r="Q128" s="933">
        <v>2009</v>
      </c>
      <c r="R128" s="933">
        <v>2010</v>
      </c>
      <c r="S128" s="933">
        <v>2011</v>
      </c>
      <c r="T128" s="933">
        <v>2012</v>
      </c>
      <c r="U128" s="933">
        <v>2013</v>
      </c>
      <c r="V128" s="3326">
        <v>2014</v>
      </c>
      <c r="W128" s="3326">
        <v>2015</v>
      </c>
      <c r="X128" s="3326">
        <v>2016</v>
      </c>
      <c r="AB128" s="3335" t="s">
        <v>2417</v>
      </c>
      <c r="AC128" s="3342" t="s">
        <v>2418</v>
      </c>
      <c r="AD128" s="3335" t="s">
        <v>2417</v>
      </c>
      <c r="AE128" s="3336" t="s">
        <v>2418</v>
      </c>
    </row>
    <row r="129" spans="1:32" s="736" customFormat="1" ht="12.75" customHeight="1">
      <c r="A129" s="1084"/>
      <c r="B129" s="1083" t="s">
        <v>782</v>
      </c>
      <c r="C129" s="1084"/>
      <c r="D129" s="1135">
        <v>0.47095763181885797</v>
      </c>
      <c r="E129" s="1135">
        <v>0.50781251431548657</v>
      </c>
      <c r="F129" s="1135">
        <v>-0.11659546316442615</v>
      </c>
      <c r="G129" s="1135">
        <v>0.4280155856252188</v>
      </c>
      <c r="H129" s="1135">
        <v>1.0073615163317839</v>
      </c>
      <c r="I129" s="1135">
        <v>2.4549289926048434</v>
      </c>
      <c r="J129" s="1135">
        <v>2.1340322363107234</v>
      </c>
      <c r="K129" s="1135">
        <v>1.9428152431495649</v>
      </c>
      <c r="L129" s="1135">
        <v>0.39554113658402112</v>
      </c>
      <c r="M129" s="1135">
        <v>0.42979944801255776</v>
      </c>
      <c r="N129" s="1135">
        <v>1.3623395149791273</v>
      </c>
      <c r="O129" s="1135">
        <v>2.2130743790019558</v>
      </c>
      <c r="P129" s="1135">
        <v>3.4766445217030428</v>
      </c>
      <c r="Q129" s="1135">
        <v>-0.31602408436145479</v>
      </c>
      <c r="R129" s="1135">
        <v>1.2681038510307996</v>
      </c>
      <c r="S129" s="1135">
        <v>2.6263757991169312</v>
      </c>
      <c r="T129" s="1135">
        <v>0.88944546125950819</v>
      </c>
      <c r="U129" s="1135">
        <v>-4.4557606620221346E-2</v>
      </c>
      <c r="V129" s="3327">
        <v>0.45343827895136712</v>
      </c>
      <c r="W129" s="3327">
        <v>1.4713707765339876</v>
      </c>
      <c r="X129" s="3327">
        <v>1.4738668652172464</v>
      </c>
      <c r="AB129" s="3329">
        <f>+RSQ($E$131:$U$131,E129:U129)</f>
        <v>0.44504130031578842</v>
      </c>
      <c r="AC129" s="3341">
        <f>+RSQ($R$131:$U$131,R129:U129)</f>
        <v>0.88022495462855288</v>
      </c>
      <c r="AD129" s="3329">
        <f>+RSQ($E$132:$U$132,E129:U129)</f>
        <v>0.46220520383319108</v>
      </c>
      <c r="AE129" s="3330">
        <f>+RSQ($R$132:$U$132,R129:U129)</f>
        <v>4.9489170215320712E-2</v>
      </c>
    </row>
    <row r="130" spans="1:32" s="736" customFormat="1" ht="12.75" customHeight="1">
      <c r="A130" s="1136"/>
      <c r="B130" s="1488" t="s">
        <v>1628</v>
      </c>
      <c r="C130" s="1136"/>
      <c r="D130" s="1135">
        <v>0.95926088797166909</v>
      </c>
      <c r="E130" s="1135">
        <v>1.8093514980214831</v>
      </c>
      <c r="F130" s="1135">
        <v>1.0317089065183138</v>
      </c>
      <c r="G130" s="1135">
        <v>0.54345310659063006</v>
      </c>
      <c r="H130" s="1135">
        <v>1.2955801104972409</v>
      </c>
      <c r="I130" s="1135">
        <v>2.6725572009054011</v>
      </c>
      <c r="J130" s="1135">
        <v>1.9283380700682695</v>
      </c>
      <c r="K130" s="1135">
        <v>2.3400651465798061</v>
      </c>
      <c r="L130" s="1135">
        <v>1.0185114455223632</v>
      </c>
      <c r="M130" s="1135">
        <v>0.82171754089683802</v>
      </c>
      <c r="N130" s="1135">
        <v>1.4983707592689743</v>
      </c>
      <c r="O130" s="1135">
        <v>1.6774087611732602</v>
      </c>
      <c r="P130" s="1135">
        <v>3.347114812366847</v>
      </c>
      <c r="Q130" s="1135">
        <v>1.9393200346921047</v>
      </c>
      <c r="R130" s="1135">
        <v>1.9077913929123724</v>
      </c>
      <c r="S130" s="1135">
        <v>1.3651338056771545</v>
      </c>
      <c r="T130" s="1135">
        <v>0.93938517018008483</v>
      </c>
      <c r="U130" s="1135">
        <v>0.44032788620576024</v>
      </c>
      <c r="V130" s="3327">
        <v>0.45343827895136712</v>
      </c>
      <c r="W130" s="3327">
        <v>1.4713707765339876</v>
      </c>
      <c r="X130" s="3327">
        <v>1.4738668652172464</v>
      </c>
      <c r="AB130" s="3329">
        <f>+RSQ($E$131:$U$131,E130:U130)</f>
        <v>0.70898202747930383</v>
      </c>
      <c r="AC130" s="3341">
        <f>+RSQ($R$131:$U$131,R130:U130)</f>
        <v>0.6995100519878571</v>
      </c>
      <c r="AD130" s="3329">
        <f>+RSQ($E$132:$U$132,E130:U130)</f>
        <v>0.11915649799592229</v>
      </c>
      <c r="AE130" s="3330">
        <f>+RSQ($R$132:$U$132,R130:U130)</f>
        <v>0.29829603321696641</v>
      </c>
    </row>
    <row r="131" spans="1:32" s="736" customFormat="1">
      <c r="A131" s="1084"/>
      <c r="B131" s="1083" t="s">
        <v>2409</v>
      </c>
      <c r="C131" s="1135"/>
      <c r="D131" s="1135">
        <v>0.9205599594584557</v>
      </c>
      <c r="E131" s="1135">
        <v>1.4406747579541301</v>
      </c>
      <c r="F131" s="1135">
        <v>0.44027636652166358</v>
      </c>
      <c r="G131" s="1135">
        <v>1.4251857994368233</v>
      </c>
      <c r="H131" s="1135">
        <v>0.90346740522495583</v>
      </c>
      <c r="I131" s="1135">
        <v>2.1584702529014343</v>
      </c>
      <c r="J131" s="1135">
        <v>1.5361754095366553</v>
      </c>
      <c r="K131" s="1135">
        <v>1.6610055890083242</v>
      </c>
      <c r="L131" s="1135">
        <v>0.78988919821840753</v>
      </c>
      <c r="M131" s="1135">
        <v>1.072020263352047</v>
      </c>
      <c r="N131" s="1135">
        <v>1.2437401255764424</v>
      </c>
      <c r="O131" s="1135">
        <v>1.353902361020598</v>
      </c>
      <c r="P131" s="1135">
        <v>3.0529481292526306</v>
      </c>
      <c r="Q131" s="1135">
        <v>2.1086788315929583</v>
      </c>
      <c r="R131" s="1135">
        <v>1.46396552797039</v>
      </c>
      <c r="S131" s="1135">
        <v>1.6687216453223241</v>
      </c>
      <c r="T131" s="1135">
        <v>1.1901015018420891</v>
      </c>
      <c r="U131" s="1135">
        <v>0.64955839777991464</v>
      </c>
      <c r="V131" s="3327">
        <v>0.8</v>
      </c>
      <c r="W131" s="3327">
        <v>1.5</v>
      </c>
      <c r="X131" s="3327">
        <v>1.5</v>
      </c>
      <c r="AB131" s="3331" t="s">
        <v>2416</v>
      </c>
      <c r="AC131" s="3328" t="s">
        <v>2416</v>
      </c>
      <c r="AD131" s="3329">
        <f>+RSQ($E$132:$U$132,E131:U131)</f>
        <v>8.7064634523782866E-2</v>
      </c>
      <c r="AE131" s="3330">
        <f>+RSQ($R$132:$U$132,R131:U131)</f>
        <v>1.3721399733165028E-4</v>
      </c>
    </row>
    <row r="132" spans="1:32">
      <c r="B132" s="1083" t="s">
        <v>2410</v>
      </c>
      <c r="D132" s="1135">
        <v>4.0781674748222807</v>
      </c>
      <c r="E132" s="1135">
        <v>2.875796756734772</v>
      </c>
      <c r="F132" s="1135">
        <v>1.5702556223353703</v>
      </c>
      <c r="G132" s="1135">
        <v>3.3817002613168112</v>
      </c>
      <c r="H132" s="1135">
        <v>3.6021002121220169</v>
      </c>
      <c r="I132" s="1135">
        <v>4.615846966636572</v>
      </c>
      <c r="J132" s="1135">
        <v>4.593145975294699</v>
      </c>
      <c r="K132" s="1135">
        <v>4.2671706711742363</v>
      </c>
      <c r="L132" s="1135">
        <v>1.9794757516424566</v>
      </c>
      <c r="M132" s="1135">
        <v>2.7212978475602112</v>
      </c>
      <c r="N132" s="1135">
        <v>3.7452330501293929</v>
      </c>
      <c r="O132" s="1135">
        <v>3.5228477554937854</v>
      </c>
      <c r="P132" s="1135">
        <v>3.6857040281105702</v>
      </c>
      <c r="Q132" s="1135">
        <v>0.75802635195760804</v>
      </c>
      <c r="R132" s="1135">
        <v>1.3646225625508324</v>
      </c>
      <c r="S132" s="1135">
        <v>3.0351415436027152</v>
      </c>
      <c r="T132" s="1135">
        <v>3.081014939656801</v>
      </c>
      <c r="U132" s="1135">
        <v>2.4302654368242083</v>
      </c>
      <c r="V132" s="3327">
        <v>2.200000000000002</v>
      </c>
      <c r="W132" s="3327">
        <v>2.200000000000002</v>
      </c>
      <c r="X132" s="3327">
        <v>2.1999999999999575</v>
      </c>
      <c r="AB132" s="3329"/>
      <c r="AC132" s="1"/>
      <c r="AD132" s="3331" t="s">
        <v>2416</v>
      </c>
      <c r="AE132" s="3339" t="s">
        <v>2416</v>
      </c>
    </row>
    <row r="133" spans="1:32">
      <c r="B133" s="1083" t="s">
        <v>2411</v>
      </c>
      <c r="D133" s="1135">
        <v>-0.88481158327177178</v>
      </c>
      <c r="E133" s="1135">
        <v>1.1096052397504996</v>
      </c>
      <c r="F133" s="1135">
        <v>1.5247380902486452</v>
      </c>
      <c r="G133" s="1135">
        <v>2.0442279765277904</v>
      </c>
      <c r="H133" s="1135">
        <v>2.9918092857192935</v>
      </c>
      <c r="I133" s="1135">
        <v>3.0060523198954359</v>
      </c>
      <c r="J133" s="1135">
        <v>2.0350786220545869</v>
      </c>
      <c r="K133" s="1135">
        <v>-0.53448647153465645</v>
      </c>
      <c r="L133" s="1135">
        <v>2.5641522290498209E-2</v>
      </c>
      <c r="M133" s="1135">
        <v>1.1690835964267787</v>
      </c>
      <c r="N133" s="1135">
        <v>1.8027254238039525</v>
      </c>
      <c r="O133" s="1135">
        <v>1.9810543531882052</v>
      </c>
      <c r="P133" s="1135">
        <v>3.4412793917346196</v>
      </c>
      <c r="Q133" s="1135">
        <v>2.9616075394421015</v>
      </c>
      <c r="R133" s="1135">
        <v>0.51972341806951761</v>
      </c>
      <c r="S133" s="1135">
        <v>-3.4664142538287646E-2</v>
      </c>
      <c r="T133" s="1135">
        <v>0.27410191640873105</v>
      </c>
      <c r="U133" s="1135">
        <v>0.17562623773565988</v>
      </c>
      <c r="V133" s="3327">
        <v>0.82835467077908564</v>
      </c>
      <c r="W133" s="3327">
        <v>1.3573230082070564</v>
      </c>
      <c r="X133" s="3327">
        <v>1.3608043049128549</v>
      </c>
      <c r="AB133" s="60"/>
      <c r="AC133" s="1"/>
      <c r="AD133" s="60"/>
      <c r="AE133" s="90"/>
      <c r="AF133" s="3337" t="s">
        <v>2421</v>
      </c>
    </row>
    <row r="134" spans="1:32">
      <c r="B134" s="1083" t="s">
        <v>2412</v>
      </c>
      <c r="D134" s="1135">
        <v>-4.7021422939655722</v>
      </c>
      <c r="E134" s="1135">
        <v>-1.912283019241956E-2</v>
      </c>
      <c r="F134" s="1135">
        <v>-1.6169306554403851</v>
      </c>
      <c r="G134" s="1135">
        <v>-1.3507344203494531</v>
      </c>
      <c r="H134" s="1135">
        <v>2.387240872065699</v>
      </c>
      <c r="I134" s="1135">
        <v>2.5334752214665412</v>
      </c>
      <c r="J134" s="1135">
        <v>-1.5782314132789743</v>
      </c>
      <c r="K134" s="1135">
        <v>-1.9691718921001189</v>
      </c>
      <c r="L134" s="1135">
        <v>-0.37692191857090496</v>
      </c>
      <c r="M134" s="1135">
        <v>2.8571311753570416</v>
      </c>
      <c r="N134" s="1135">
        <v>2.9751074171370684</v>
      </c>
      <c r="O134" s="1135">
        <v>1.9230306777880735</v>
      </c>
      <c r="P134" s="1135">
        <v>3.9689793440026433</v>
      </c>
      <c r="Q134" s="1135">
        <v>0.77157822220006445</v>
      </c>
      <c r="R134" s="1135">
        <v>-0.45918393707381489</v>
      </c>
      <c r="S134" s="1135">
        <v>-0.92638763254792034</v>
      </c>
      <c r="T134" s="1135">
        <v>-1.4483936150450294</v>
      </c>
      <c r="U134" s="1135">
        <v>-2.7775332641147954</v>
      </c>
      <c r="V134" s="3327">
        <v>0.59699298778517207</v>
      </c>
      <c r="W134" s="3327">
        <v>0.96598004474450772</v>
      </c>
      <c r="X134" s="3327">
        <v>0.96779203950545512</v>
      </c>
      <c r="AB134" s="3332"/>
      <c r="AC134" s="1"/>
      <c r="AD134" s="60"/>
      <c r="AE134" s="90"/>
      <c r="AF134" s="3337" t="s">
        <v>2419</v>
      </c>
    </row>
    <row r="135" spans="1:32">
      <c r="B135" s="1083" t="s">
        <v>2413</v>
      </c>
      <c r="D135" s="1135">
        <v>-3.8775010627215223</v>
      </c>
      <c r="E135" s="1135">
        <v>0.36642225631917658</v>
      </c>
      <c r="F135" s="1135">
        <v>-1.0313051379388871</v>
      </c>
      <c r="G135" s="1135">
        <v>1.1075178325002488</v>
      </c>
      <c r="H135" s="1135">
        <v>4.0520076349456424</v>
      </c>
      <c r="I135" s="1135">
        <v>3.9673127077968884</v>
      </c>
      <c r="J135" s="1135">
        <v>0.12601923326740483</v>
      </c>
      <c r="K135" s="1135">
        <v>-2.0865035619666128</v>
      </c>
      <c r="L135" s="1135">
        <v>0.93358838383423848</v>
      </c>
      <c r="M135" s="1135">
        <v>4.5821279203492438</v>
      </c>
      <c r="N135" s="1135">
        <v>3.3200189925155721</v>
      </c>
      <c r="O135" s="1135">
        <v>0.55568914035690753</v>
      </c>
      <c r="P135" s="1135">
        <v>4.3562350724387633</v>
      </c>
      <c r="Q135" s="1135">
        <v>0.2437246165262863</v>
      </c>
      <c r="R135" s="1135">
        <v>0.15815287839302528</v>
      </c>
      <c r="S135" s="1135">
        <v>-0.44150452012056141</v>
      </c>
      <c r="T135" s="1135">
        <v>-1.0240441560456559</v>
      </c>
      <c r="U135" s="1135">
        <v>-2.8200198499195528</v>
      </c>
      <c r="V135" s="3327">
        <v>0.46052560221907513</v>
      </c>
      <c r="W135" s="3327">
        <v>0.80446662893693954</v>
      </c>
      <c r="X135" s="3327">
        <v>0.80601994195887983</v>
      </c>
      <c r="AB135" s="3340">
        <f>+RSQ($E$134:$U$134,E135:U135)</f>
        <v>0.82934849880698502</v>
      </c>
      <c r="AC135" s="1"/>
      <c r="AD135" s="60"/>
      <c r="AE135" s="90"/>
      <c r="AF135" s="3337" t="s">
        <v>2419</v>
      </c>
    </row>
    <row r="136" spans="1:32">
      <c r="B136" s="1083" t="s">
        <v>2414</v>
      </c>
      <c r="D136" s="1135">
        <v>0.82478489799022725</v>
      </c>
      <c r="E136" s="1135">
        <v>1.5157201489588878</v>
      </c>
      <c r="F136" s="1135">
        <v>0.53392907636797826</v>
      </c>
      <c r="G136" s="1135">
        <v>0.89809775159002125</v>
      </c>
      <c r="H136" s="1135">
        <v>1.4245606086941143</v>
      </c>
      <c r="I136" s="1135">
        <v>2.3702695661147688</v>
      </c>
      <c r="J136" s="1135">
        <v>1.5327771553663938</v>
      </c>
      <c r="K136" s="1135">
        <v>1.765944961741317</v>
      </c>
      <c r="L136" s="1135">
        <v>0.31358971607535757</v>
      </c>
      <c r="M136" s="1135">
        <v>0.88562122574700197</v>
      </c>
      <c r="N136" s="1135">
        <v>1.9422652144108321</v>
      </c>
      <c r="O136" s="1135">
        <v>2.7596598072019418</v>
      </c>
      <c r="P136" s="1135">
        <v>3.1375101506678771</v>
      </c>
      <c r="Q136" s="1135">
        <v>2.056214434373338</v>
      </c>
      <c r="R136" s="1135">
        <v>0.84906298745266451</v>
      </c>
      <c r="S136" s="1135">
        <v>1.3138459986330009</v>
      </c>
      <c r="T136" s="1135">
        <v>1.0493037222620405</v>
      </c>
      <c r="U136" s="1135">
        <v>0.84411432183533197</v>
      </c>
      <c r="V136" s="3327">
        <v>1.2296740876560852</v>
      </c>
      <c r="W136" s="3327">
        <v>1.6982348527128988</v>
      </c>
      <c r="X136" s="3327">
        <v>1.697050795414734</v>
      </c>
      <c r="AB136" s="60"/>
      <c r="AC136" s="1"/>
      <c r="AD136" s="60"/>
      <c r="AE136" s="90"/>
      <c r="AF136" s="3337" t="s">
        <v>2420</v>
      </c>
    </row>
    <row r="137" spans="1:32">
      <c r="V137" s="26"/>
      <c r="W137" s="26"/>
      <c r="AB137" s="60"/>
      <c r="AC137" s="1"/>
      <c r="AD137" s="60"/>
      <c r="AE137" s="90"/>
    </row>
    <row r="138" spans="1:32">
      <c r="AB138" s="60"/>
      <c r="AC138" s="1"/>
      <c r="AD138" s="60"/>
      <c r="AE138" s="90"/>
    </row>
    <row r="139" spans="1:32">
      <c r="AB139" s="60"/>
      <c r="AC139" s="1"/>
      <c r="AD139" s="60"/>
      <c r="AE139" s="90"/>
    </row>
    <row r="140" spans="1:32" s="736" customFormat="1" ht="13.15">
      <c r="A140" s="780" t="s">
        <v>1372</v>
      </c>
      <c r="B140" s="781"/>
      <c r="C140" s="933">
        <v>1995</v>
      </c>
      <c r="D140" s="933">
        <v>1996</v>
      </c>
      <c r="E140" s="933">
        <v>1997</v>
      </c>
      <c r="F140" s="933">
        <v>1998</v>
      </c>
      <c r="G140" s="933">
        <v>1999</v>
      </c>
      <c r="H140" s="933">
        <v>2000</v>
      </c>
      <c r="I140" s="933">
        <v>2001</v>
      </c>
      <c r="J140" s="933">
        <v>2002</v>
      </c>
      <c r="K140" s="933">
        <v>2003</v>
      </c>
      <c r="L140" s="933">
        <v>2004</v>
      </c>
      <c r="M140" s="933">
        <v>2005</v>
      </c>
      <c r="N140" s="933">
        <v>2006</v>
      </c>
      <c r="O140" s="933">
        <v>2007</v>
      </c>
      <c r="P140" s="933">
        <v>2008</v>
      </c>
      <c r="Q140" s="933">
        <v>2009</v>
      </c>
      <c r="R140" s="933">
        <v>2010</v>
      </c>
      <c r="S140" s="933">
        <v>2011</v>
      </c>
      <c r="T140" s="933">
        <v>2012</v>
      </c>
      <c r="U140" s="933">
        <v>2013</v>
      </c>
      <c r="V140" s="3326">
        <v>2014</v>
      </c>
      <c r="W140" s="3326">
        <v>2015</v>
      </c>
      <c r="X140" s="3326">
        <v>2016</v>
      </c>
      <c r="AB140" s="3332"/>
      <c r="AC140" s="1372"/>
      <c r="AD140" s="3332"/>
      <c r="AE140" s="3333"/>
    </row>
    <row r="141" spans="1:32">
      <c r="A141" t="s">
        <v>1680</v>
      </c>
      <c r="D141">
        <v>103.14667129516602</v>
      </c>
      <c r="E141">
        <v>101.9375</v>
      </c>
      <c r="F141">
        <v>101.13250160217285</v>
      </c>
      <c r="G141">
        <v>100.92499732971191</v>
      </c>
      <c r="H141">
        <v>101.00500106811523</v>
      </c>
      <c r="I141">
        <v>101.81083488464355</v>
      </c>
      <c r="J141">
        <v>102.62583160400391</v>
      </c>
      <c r="K141">
        <v>102.53166770935059</v>
      </c>
      <c r="L141">
        <v>101.32749938964844</v>
      </c>
      <c r="M141">
        <v>100.00166702270508</v>
      </c>
      <c r="N141">
        <v>99.62249755859375</v>
      </c>
      <c r="O141">
        <v>100.19749641418457</v>
      </c>
      <c r="P141">
        <v>100.13750267028809</v>
      </c>
      <c r="Q141">
        <v>101.6541690826416</v>
      </c>
      <c r="R141">
        <v>102.56500244140625</v>
      </c>
      <c r="S141">
        <v>102.07666778564453</v>
      </c>
      <c r="T141">
        <v>101.07083129882813</v>
      </c>
      <c r="U141">
        <v>100.29416847229004</v>
      </c>
      <c r="V141">
        <v>100.21605658169403</v>
      </c>
      <c r="W141">
        <v>100.30722213939561</v>
      </c>
      <c r="X141" s="26">
        <v>100.11061951895356</v>
      </c>
      <c r="AB141" s="60"/>
      <c r="AC141" s="1"/>
      <c r="AD141" s="60"/>
      <c r="AE141" s="90"/>
    </row>
    <row r="142" spans="1:32">
      <c r="A142" t="s">
        <v>1681</v>
      </c>
      <c r="D142">
        <v>68.645835876464844</v>
      </c>
      <c r="E142">
        <v>71.964166641235352</v>
      </c>
      <c r="F142">
        <v>71.999166488647461</v>
      </c>
      <c r="G142">
        <v>71.850002288818359</v>
      </c>
      <c r="H142">
        <v>76.516668319702148</v>
      </c>
      <c r="I142">
        <v>81.355001449584961</v>
      </c>
      <c r="J142">
        <v>82.779165267944336</v>
      </c>
      <c r="K142">
        <v>91.737499237060547</v>
      </c>
      <c r="L142">
        <v>94.724164962768555</v>
      </c>
      <c r="M142">
        <v>99.999168395996094</v>
      </c>
      <c r="N142">
        <v>106.91999626159668</v>
      </c>
      <c r="O142">
        <v>107.44083213806152</v>
      </c>
      <c r="P142">
        <v>117.61999893188477</v>
      </c>
      <c r="Q142">
        <v>116.63583374023438</v>
      </c>
      <c r="R142">
        <v>123.0341682434082</v>
      </c>
      <c r="S142">
        <v>128.89249992370605</v>
      </c>
      <c r="T142">
        <v>129.59082794189453</v>
      </c>
      <c r="U142">
        <v>127.84249877929688</v>
      </c>
      <c r="V142">
        <v>125.94772379548031</v>
      </c>
      <c r="W142">
        <v>130.29331409033065</v>
      </c>
      <c r="X142" s="26">
        <v>135.72518562139754</v>
      </c>
      <c r="AB142" s="60"/>
      <c r="AC142" s="1"/>
      <c r="AD142" s="60"/>
      <c r="AE142" s="90"/>
    </row>
    <row r="143" spans="1:32">
      <c r="A143" t="s">
        <v>1683</v>
      </c>
      <c r="D143">
        <v>87.773336410522461</v>
      </c>
      <c r="E143">
        <v>87.349166870117188</v>
      </c>
      <c r="F143">
        <v>88.495004653930664</v>
      </c>
      <c r="G143">
        <v>90.295001983642578</v>
      </c>
      <c r="H143">
        <v>90.119998931884766</v>
      </c>
      <c r="I143">
        <v>96.228336334228516</v>
      </c>
      <c r="J143">
        <v>100.58833122253418</v>
      </c>
      <c r="K143">
        <v>100.36083602905273</v>
      </c>
      <c r="L143">
        <v>99.789999008178711</v>
      </c>
      <c r="M143">
        <v>99.999168395996094</v>
      </c>
      <c r="N143">
        <v>102.57417106628418</v>
      </c>
      <c r="O143">
        <v>104.81500244140625</v>
      </c>
      <c r="P143">
        <v>111.59750175476074</v>
      </c>
      <c r="Q143">
        <v>115.22833442687988</v>
      </c>
      <c r="R143">
        <v>116.26333427429199</v>
      </c>
      <c r="S143">
        <v>114.21833419799805</v>
      </c>
      <c r="T143">
        <v>116.07916450500488</v>
      </c>
      <c r="U143">
        <v>120.13249588012695</v>
      </c>
      <c r="V143">
        <v>119.77287947121513</v>
      </c>
      <c r="W143">
        <v>122.15782825022278</v>
      </c>
      <c r="X143" s="26">
        <v>124.64060086144241</v>
      </c>
      <c r="AB143" s="60"/>
      <c r="AC143" s="1"/>
      <c r="AD143" s="60"/>
      <c r="AE143" s="90"/>
    </row>
    <row r="144" spans="1:32">
      <c r="A144" t="s">
        <v>1682</v>
      </c>
      <c r="D144">
        <v>88.834169387817383</v>
      </c>
      <c r="E144">
        <v>92.915828704833984</v>
      </c>
      <c r="F144">
        <v>95.704998016357422</v>
      </c>
      <c r="G144">
        <v>95.067499160766602</v>
      </c>
      <c r="H144">
        <v>96.170000076293945</v>
      </c>
      <c r="I144">
        <v>97.135833740234375</v>
      </c>
      <c r="J144">
        <v>99.11833381652832</v>
      </c>
      <c r="K144">
        <v>100.42916679382324</v>
      </c>
      <c r="L144">
        <v>100.74499893188477</v>
      </c>
      <c r="M144">
        <v>100.00000190734863</v>
      </c>
      <c r="N144">
        <v>100.15000152587891</v>
      </c>
      <c r="O144">
        <v>103.86500358581543</v>
      </c>
      <c r="P144">
        <v>111.75749969482422</v>
      </c>
      <c r="Q144">
        <v>114.78667068481445</v>
      </c>
      <c r="R144">
        <v>116.84749984741211</v>
      </c>
      <c r="S144">
        <v>120.02833366394043</v>
      </c>
      <c r="T144">
        <v>122.88333702087402</v>
      </c>
      <c r="U144">
        <v>124.50499725341797</v>
      </c>
      <c r="V144">
        <v>125.99574833350056</v>
      </c>
      <c r="W144">
        <v>128.69557403585569</v>
      </c>
      <c r="X144" s="26">
        <v>131.26962964797062</v>
      </c>
      <c r="AB144" s="60"/>
      <c r="AC144" s="1"/>
      <c r="AD144" s="60"/>
      <c r="AE144" s="90"/>
    </row>
    <row r="145" spans="1:31">
      <c r="A145" t="s">
        <v>1684</v>
      </c>
      <c r="D145">
        <v>82.879167556762695</v>
      </c>
      <c r="E145">
        <v>84.921669006347656</v>
      </c>
      <c r="F145">
        <v>86.490833282470703</v>
      </c>
      <c r="G145">
        <v>88.030002593994141</v>
      </c>
      <c r="H145">
        <v>88.923334121704102</v>
      </c>
      <c r="I145">
        <v>91.645002365112305</v>
      </c>
      <c r="J145">
        <v>93.730001449584961</v>
      </c>
      <c r="K145">
        <v>96.017498016357422</v>
      </c>
      <c r="L145">
        <v>98.383331298828125</v>
      </c>
      <c r="M145">
        <v>99.999170303344727</v>
      </c>
      <c r="N145">
        <v>101.33333206176758</v>
      </c>
      <c r="O145">
        <v>103.4958324432373</v>
      </c>
      <c r="P145">
        <v>105.76916694641113</v>
      </c>
      <c r="Q145">
        <v>108.56499862670898</v>
      </c>
      <c r="R145">
        <v>110.54166984558105</v>
      </c>
      <c r="S145">
        <v>112.42416763305664</v>
      </c>
      <c r="T145">
        <v>114.48583030700684</v>
      </c>
      <c r="U145">
        <v>115.76166343688965</v>
      </c>
      <c r="V145">
        <v>116.98099662822017</v>
      </c>
      <c r="W145">
        <v>119.48198650256406</v>
      </c>
      <c r="X145" s="26">
        <v>121.90246780951045</v>
      </c>
      <c r="AB145" s="60"/>
      <c r="AC145" s="1"/>
      <c r="AD145" s="60"/>
      <c r="AE145" s="90"/>
    </row>
    <row r="146" spans="1:31">
      <c r="A146" t="s">
        <v>1628</v>
      </c>
      <c r="D146">
        <v>87.508333206176758</v>
      </c>
      <c r="E146">
        <v>89.091667175292969</v>
      </c>
      <c r="F146">
        <v>90.010829925537109</v>
      </c>
      <c r="G146">
        <v>90.505002975463867</v>
      </c>
      <c r="H146">
        <v>91.672500610351563</v>
      </c>
      <c r="I146">
        <v>94.122503280639648</v>
      </c>
      <c r="J146">
        <v>95.937496185302734</v>
      </c>
      <c r="K146">
        <v>98.182502746582031</v>
      </c>
      <c r="L146">
        <v>99.182500839233398</v>
      </c>
      <c r="M146">
        <v>99.997503280639648</v>
      </c>
      <c r="N146">
        <v>101.4958381652832</v>
      </c>
      <c r="O146">
        <v>103.19833755493164</v>
      </c>
      <c r="P146">
        <v>106.65250205993652</v>
      </c>
      <c r="Q146">
        <v>108.72083473205566</v>
      </c>
      <c r="R146">
        <v>110.79499816894531</v>
      </c>
      <c r="S146">
        <v>112.3075008392334</v>
      </c>
      <c r="T146">
        <v>113.35916900634766</v>
      </c>
      <c r="U146">
        <v>113.86166954040527</v>
      </c>
      <c r="V146">
        <v>114.31664057043389</v>
      </c>
      <c r="W146">
        <v>116.27468251972209</v>
      </c>
      <c r="X146" s="26">
        <v>118.17617969914872</v>
      </c>
      <c r="AB146" s="60"/>
      <c r="AC146" s="1"/>
      <c r="AD146" s="60"/>
      <c r="AE146" s="90"/>
    </row>
    <row r="147" spans="1:31">
      <c r="A147" t="s">
        <v>1945</v>
      </c>
      <c r="D147">
        <v>90.639169692993164</v>
      </c>
      <c r="E147">
        <v>92.052501678466797</v>
      </c>
      <c r="F147">
        <v>93.09083366394043</v>
      </c>
      <c r="G147">
        <v>93.599166870117188</v>
      </c>
      <c r="H147">
        <v>94.263334274291992</v>
      </c>
      <c r="I147">
        <v>96.032501220703125</v>
      </c>
      <c r="J147">
        <v>97.704998016357422</v>
      </c>
      <c r="K147">
        <v>99.004165649414063</v>
      </c>
      <c r="L147">
        <v>99.793329238891602</v>
      </c>
      <c r="M147">
        <v>100.00000190734863</v>
      </c>
      <c r="N147">
        <v>100.53666687011719</v>
      </c>
      <c r="O147">
        <v>102.37083625793457</v>
      </c>
      <c r="P147">
        <v>104.67916488647461</v>
      </c>
      <c r="Q147">
        <v>107.03833198547363</v>
      </c>
      <c r="R147">
        <v>108.65666961669922</v>
      </c>
      <c r="S147">
        <v>109.89166641235352</v>
      </c>
      <c r="T147">
        <v>110.93999481201172</v>
      </c>
      <c r="U147">
        <v>111.50166702270508</v>
      </c>
      <c r="V147">
        <v>112.29178133780185</v>
      </c>
      <c r="W147">
        <v>113.93102161746654</v>
      </c>
      <c r="X147" s="26">
        <v>115.39167638819151</v>
      </c>
      <c r="AB147" s="60"/>
      <c r="AC147" s="1"/>
      <c r="AD147" s="60"/>
      <c r="AE147" s="90"/>
    </row>
    <row r="148" spans="1:31">
      <c r="AB148" s="60"/>
      <c r="AC148" s="1"/>
      <c r="AD148" s="60"/>
      <c r="AE148" s="90"/>
    </row>
    <row r="149" spans="1:31">
      <c r="A149" t="s">
        <v>1680</v>
      </c>
      <c r="E149" s="1492">
        <f t="shared" ref="E149:E155" si="57">+(E141/D141-1)*100</f>
        <v>-1.1722833902277241</v>
      </c>
      <c r="F149" s="1492">
        <f t="shared" ref="F149:X155" si="58">+(F141/E141-1)*100</f>
        <v>-0.78969799909468508</v>
      </c>
      <c r="G149" s="1492">
        <f t="shared" si="58"/>
        <v>-0.20518059889115259</v>
      </c>
      <c r="H149" s="1492">
        <f t="shared" si="58"/>
        <v>7.9270488501426151E-2</v>
      </c>
      <c r="I149" s="1492">
        <f t="shared" si="58"/>
        <v>0.79781575962252216</v>
      </c>
      <c r="J149" s="1492">
        <f t="shared" si="58"/>
        <v>0.80050096856958408</v>
      </c>
      <c r="K149" s="1492">
        <f t="shared" si="58"/>
        <v>-9.1754574049796034E-2</v>
      </c>
      <c r="L149" s="1492">
        <f t="shared" si="58"/>
        <v>-1.1744355150017038</v>
      </c>
      <c r="M149" s="1492">
        <f t="shared" si="58"/>
        <v>-1.3084625347803747</v>
      </c>
      <c r="N149" s="1492">
        <f t="shared" si="58"/>
        <v>-0.37916314337563817</v>
      </c>
      <c r="O149" s="1492">
        <f t="shared" si="58"/>
        <v>0.57717771555829689</v>
      </c>
      <c r="P149" s="1492">
        <f t="shared" si="58"/>
        <v>-5.9875491946914661E-2</v>
      </c>
      <c r="Q149" s="1492">
        <f t="shared" si="58"/>
        <v>1.5145838191584104</v>
      </c>
      <c r="R149" s="1492">
        <f t="shared" si="58"/>
        <v>0.89601180845240158</v>
      </c>
      <c r="S149" s="1492">
        <f t="shared" si="58"/>
        <v>-0.47612211196572662</v>
      </c>
      <c r="T149" s="1492">
        <f t="shared" si="58"/>
        <v>-0.98537355169998619</v>
      </c>
      <c r="U149" s="1492">
        <f t="shared" si="58"/>
        <v>-0.76843419269184698</v>
      </c>
      <c r="V149" s="1492">
        <f t="shared" si="58"/>
        <v>-7.7882784000138372E-2</v>
      </c>
      <c r="W149" s="1492">
        <f t="shared" si="58"/>
        <v>9.0969013161346091E-2</v>
      </c>
      <c r="X149" s="1492">
        <f t="shared" si="58"/>
        <v>-0.19600046362447943</v>
      </c>
      <c r="AB149" s="3329">
        <f>+RSQ($E$131:$U$131,E149:U149)</f>
        <v>0.25831928528195236</v>
      </c>
      <c r="AC149" s="3341">
        <f>+RSQ($R$131:$U$131,R149:U149)</f>
        <v>0.2019525688630337</v>
      </c>
      <c r="AD149" s="3329">
        <f t="shared" ref="AD149:AD155" si="59">+RSQ($E$132:$U$132,E149:U149)</f>
        <v>2.5143471171375784E-3</v>
      </c>
      <c r="AE149" s="3330">
        <f t="shared" ref="AE149:AE155" si="60">+RSQ($R$132:$U$132,R149:U149)</f>
        <v>0.80619358872900726</v>
      </c>
    </row>
    <row r="150" spans="1:31">
      <c r="A150" t="s">
        <v>1681</v>
      </c>
      <c r="E150" s="1492">
        <f t="shared" si="57"/>
        <v>4.833986974449811</v>
      </c>
      <c r="F150" s="1492">
        <f t="shared" ref="F150:T150" si="61">+(F142/E142-1)*100</f>
        <v>4.8635104171479426E-2</v>
      </c>
      <c r="G150" s="1492">
        <f t="shared" si="61"/>
        <v>-0.20717489813250056</v>
      </c>
      <c r="H150" s="1492">
        <f t="shared" si="61"/>
        <v>6.4950116662836122</v>
      </c>
      <c r="I150" s="1492">
        <f t="shared" si="61"/>
        <v>6.3232407214429021</v>
      </c>
      <c r="J150" s="1492">
        <f t="shared" si="61"/>
        <v>1.7505547206485117</v>
      </c>
      <c r="K150" s="1492">
        <f t="shared" si="61"/>
        <v>10.821967025300827</v>
      </c>
      <c r="L150" s="1492">
        <f t="shared" si="61"/>
        <v>3.2556650775819707</v>
      </c>
      <c r="M150" s="1492">
        <f t="shared" si="61"/>
        <v>5.5688043650750529</v>
      </c>
      <c r="N150" s="1492">
        <f t="shared" si="61"/>
        <v>6.9208854199608538</v>
      </c>
      <c r="O150" s="1492">
        <f t="shared" si="61"/>
        <v>0.48712672528583578</v>
      </c>
      <c r="P150" s="1492">
        <f t="shared" si="61"/>
        <v>9.4742069576890575</v>
      </c>
      <c r="Q150" s="1492">
        <f t="shared" si="61"/>
        <v>-0.83673286905939781</v>
      </c>
      <c r="R150" s="1492">
        <f t="shared" si="61"/>
        <v>5.4857364996625968</v>
      </c>
      <c r="S150" s="1492">
        <f t="shared" si="61"/>
        <v>4.7615485713756067</v>
      </c>
      <c r="T150" s="1492">
        <f t="shared" si="61"/>
        <v>0.54179104183860183</v>
      </c>
      <c r="U150" s="1492">
        <f t="shared" si="58"/>
        <v>-1.3491148952158638</v>
      </c>
      <c r="V150" s="1492">
        <f t="shared" si="58"/>
        <v>-1.4821166684856779</v>
      </c>
      <c r="W150" s="1492">
        <f t="shared" si="58"/>
        <v>3.4503126883872026</v>
      </c>
      <c r="X150" s="1492">
        <f t="shared" si="58"/>
        <v>4.1689564571985915</v>
      </c>
      <c r="AB150" s="3329">
        <f t="shared" ref="AB150:AB157" si="62">+RSQ($E$131:$U$131,E150:U150)</f>
        <v>0.19110503426885231</v>
      </c>
      <c r="AC150" s="3341">
        <f t="shared" ref="AC150:AC157" si="63">+RSQ($R$131:$U$131,R150:U150)</f>
        <v>0.84325667500264068</v>
      </c>
      <c r="AD150" s="3329">
        <f t="shared" si="59"/>
        <v>0.20874139928400734</v>
      </c>
      <c r="AE150" s="3330">
        <f t="shared" si="60"/>
        <v>0.15005555788133926</v>
      </c>
    </row>
    <row r="151" spans="1:31">
      <c r="A151" t="s">
        <v>1683</v>
      </c>
      <c r="E151" s="1492">
        <f t="shared" si="57"/>
        <v>-0.48325557367604466</v>
      </c>
      <c r="F151" s="1492">
        <f t="shared" si="58"/>
        <v>1.3117901691235057</v>
      </c>
      <c r="G151" s="1492">
        <f t="shared" si="58"/>
        <v>2.0340100966726782</v>
      </c>
      <c r="H151" s="1492">
        <f t="shared" si="58"/>
        <v>-0.19381255652390905</v>
      </c>
      <c r="I151" s="1492">
        <f t="shared" si="58"/>
        <v>6.778004299534679</v>
      </c>
      <c r="J151" s="1492">
        <f t="shared" si="58"/>
        <v>4.5308846171487005</v>
      </c>
      <c r="K151" s="1492">
        <f t="shared" si="58"/>
        <v>-0.22616459654565269</v>
      </c>
      <c r="L151" s="1492">
        <f t="shared" si="58"/>
        <v>-0.56878464096171699</v>
      </c>
      <c r="M151" s="1492">
        <f t="shared" si="58"/>
        <v>0.2096095699933187</v>
      </c>
      <c r="N151" s="1492">
        <f t="shared" si="58"/>
        <v>2.5750240842914662</v>
      </c>
      <c r="O151" s="1492">
        <f t="shared" si="58"/>
        <v>2.1845961335373865</v>
      </c>
      <c r="P151" s="1492">
        <f t="shared" si="58"/>
        <v>6.4709241572035836</v>
      </c>
      <c r="Q151" s="1492">
        <f t="shared" si="58"/>
        <v>3.2535071260806792</v>
      </c>
      <c r="R151" s="1492">
        <f t="shared" si="58"/>
        <v>0.89821644351624208</v>
      </c>
      <c r="S151" s="1492">
        <f t="shared" si="58"/>
        <v>-1.7589380943344723</v>
      </c>
      <c r="T151" s="1492">
        <f t="shared" si="58"/>
        <v>1.6291870478351456</v>
      </c>
      <c r="U151" s="1492">
        <f t="shared" si="58"/>
        <v>3.4918681508491645</v>
      </c>
      <c r="V151" s="1492">
        <f t="shared" si="58"/>
        <v>-0.2993498189454602</v>
      </c>
      <c r="W151" s="1492">
        <f t="shared" si="58"/>
        <v>1.9912260517881419</v>
      </c>
      <c r="X151" s="1492">
        <f t="shared" si="58"/>
        <v>2.0324302148970963</v>
      </c>
      <c r="AB151" s="3329">
        <f t="shared" si="62"/>
        <v>0.29787483761669326</v>
      </c>
      <c r="AC151" s="3341">
        <f t="shared" si="63"/>
        <v>0.88280472824932676</v>
      </c>
      <c r="AD151" s="3329">
        <f t="shared" si="59"/>
        <v>9.9067875162750521E-2</v>
      </c>
      <c r="AE151" s="3330">
        <f t="shared" si="60"/>
        <v>4.9702432232921444E-2</v>
      </c>
    </row>
    <row r="152" spans="1:31">
      <c r="A152" t="s">
        <v>1682</v>
      </c>
      <c r="E152" s="1492">
        <f t="shared" si="57"/>
        <v>4.5946952002191566</v>
      </c>
      <c r="F152" s="1492">
        <f t="shared" si="58"/>
        <v>3.0018236401720078</v>
      </c>
      <c r="G152" s="1492">
        <f t="shared" si="58"/>
        <v>-0.66610821671180265</v>
      </c>
      <c r="H152" s="1492">
        <f t="shared" si="58"/>
        <v>1.1597032900412474</v>
      </c>
      <c r="I152" s="1492">
        <f t="shared" si="58"/>
        <v>1.0042982875888562</v>
      </c>
      <c r="J152" s="1492">
        <f t="shared" si="58"/>
        <v>2.0409564626743704</v>
      </c>
      <c r="K152" s="1492">
        <f t="shared" si="58"/>
        <v>1.3224929504175531</v>
      </c>
      <c r="L152" s="1492">
        <f t="shared" si="58"/>
        <v>0.3144824836692317</v>
      </c>
      <c r="M152" s="1492">
        <f t="shared" si="58"/>
        <v>-0.73948784796735723</v>
      </c>
      <c r="N152" s="1492">
        <f t="shared" si="58"/>
        <v>0.14999961566926068</v>
      </c>
      <c r="O152" s="1492">
        <f t="shared" si="58"/>
        <v>3.7094378465651445</v>
      </c>
      <c r="P152" s="1492">
        <f t="shared" si="58"/>
        <v>7.5988021340487766</v>
      </c>
      <c r="Q152" s="1492">
        <f t="shared" si="58"/>
        <v>2.7104856481775075</v>
      </c>
      <c r="R152" s="1492">
        <f t="shared" si="58"/>
        <v>1.7953558111780676</v>
      </c>
      <c r="S152" s="1492">
        <f t="shared" si="58"/>
        <v>2.7222095643313571</v>
      </c>
      <c r="T152" s="1492">
        <f t="shared" si="58"/>
        <v>2.3786078418176926</v>
      </c>
      <c r="U152" s="1492">
        <f t="shared" si="58"/>
        <v>1.3196746376349378</v>
      </c>
      <c r="V152" s="1492">
        <f t="shared" si="58"/>
        <v>1.1973423661447935</v>
      </c>
      <c r="W152" s="1492">
        <f t="shared" si="58"/>
        <v>2.1427911164183966</v>
      </c>
      <c r="X152" s="1492">
        <f t="shared" si="58"/>
        <v>2.0001119940595391</v>
      </c>
      <c r="AB152" s="3329">
        <f t="shared" si="62"/>
        <v>0.29380284094562042</v>
      </c>
      <c r="AC152" s="3341">
        <f t="shared" si="63"/>
        <v>0.61585021985068245</v>
      </c>
      <c r="AD152" s="3329">
        <f t="shared" si="59"/>
        <v>3.3307129600523779E-4</v>
      </c>
      <c r="AE152" s="3330">
        <f t="shared" si="60"/>
        <v>0.35786398969950034</v>
      </c>
    </row>
    <row r="153" spans="1:31">
      <c r="A153" t="s">
        <v>1684</v>
      </c>
      <c r="E153" s="1492">
        <f t="shared" si="57"/>
        <v>2.4644328723331776</v>
      </c>
      <c r="F153" s="1492">
        <f t="shared" si="58"/>
        <v>1.8477784227318494</v>
      </c>
      <c r="G153" s="1492">
        <f t="shared" si="58"/>
        <v>1.7795750753107686</v>
      </c>
      <c r="H153" s="1492">
        <f t="shared" si="58"/>
        <v>1.014803477662185</v>
      </c>
      <c r="I153" s="1492">
        <f t="shared" si="58"/>
        <v>3.060690729030946</v>
      </c>
      <c r="J153" s="1492">
        <f t="shared" si="58"/>
        <v>2.2750821437769853</v>
      </c>
      <c r="K153" s="1492">
        <f t="shared" si="58"/>
        <v>2.440516943769433</v>
      </c>
      <c r="L153" s="1492">
        <f t="shared" si="58"/>
        <v>2.4639605606757931</v>
      </c>
      <c r="M153" s="1492">
        <f t="shared" si="58"/>
        <v>1.6423910261878394</v>
      </c>
      <c r="N153" s="1492">
        <f t="shared" si="58"/>
        <v>1.3341728280101828</v>
      </c>
      <c r="O153" s="1492">
        <f t="shared" si="58"/>
        <v>2.1340464558607275</v>
      </c>
      <c r="P153" s="1492">
        <f t="shared" si="58"/>
        <v>2.1965469038771612</v>
      </c>
      <c r="Q153" s="1492">
        <f t="shared" si="58"/>
        <v>2.6433333654924063</v>
      </c>
      <c r="R153" s="1492">
        <f t="shared" si="58"/>
        <v>1.8207260570864747</v>
      </c>
      <c r="S153" s="1492">
        <f t="shared" si="58"/>
        <v>1.7029757105219367</v>
      </c>
      <c r="T153" s="1492">
        <f t="shared" si="58"/>
        <v>1.8338251617564083</v>
      </c>
      <c r="U153" s="1492">
        <f t="shared" si="58"/>
        <v>1.1144026526789474</v>
      </c>
      <c r="V153" s="1492">
        <f t="shared" si="58"/>
        <v>1.0533134676276257</v>
      </c>
      <c r="W153" s="1492">
        <f t="shared" si="58"/>
        <v>2.1379454325323843</v>
      </c>
      <c r="X153" s="1492">
        <f t="shared" si="58"/>
        <v>2.0258127419855443</v>
      </c>
      <c r="AB153" s="3329">
        <f t="shared" si="62"/>
        <v>0.28421258158473178</v>
      </c>
      <c r="AC153" s="3341">
        <f t="shared" si="63"/>
        <v>0.66568126784391168</v>
      </c>
      <c r="AD153" s="3329">
        <f t="shared" si="59"/>
        <v>7.7750762521298835E-3</v>
      </c>
      <c r="AE153" s="3330">
        <f t="shared" si="60"/>
        <v>8.757987473283535E-4</v>
      </c>
    </row>
    <row r="154" spans="1:31">
      <c r="A154" t="s">
        <v>1628</v>
      </c>
      <c r="E154" s="1492">
        <f t="shared" si="57"/>
        <v>1.8093522195032019</v>
      </c>
      <c r="F154" s="1492">
        <f t="shared" si="58"/>
        <v>1.0317045122027357</v>
      </c>
      <c r="G154" s="1492">
        <f t="shared" si="58"/>
        <v>0.54901510222222782</v>
      </c>
      <c r="H154" s="1492">
        <f t="shared" si="58"/>
        <v>1.2899813231365798</v>
      </c>
      <c r="I154" s="1492">
        <f t="shared" si="58"/>
        <v>2.6725600959677909</v>
      </c>
      <c r="J154" s="1492">
        <f t="shared" si="58"/>
        <v>1.9283304644495347</v>
      </c>
      <c r="K154" s="1492">
        <f t="shared" si="58"/>
        <v>2.3400720787449814</v>
      </c>
      <c r="L154" s="1492">
        <f t="shared" si="58"/>
        <v>1.0185094743739187</v>
      </c>
      <c r="M154" s="1492">
        <f t="shared" si="58"/>
        <v>0.82171999547309138</v>
      </c>
      <c r="N154" s="1492">
        <f t="shared" si="58"/>
        <v>1.4983722947947253</v>
      </c>
      <c r="O154" s="1492">
        <f t="shared" si="58"/>
        <v>1.6774080794090818</v>
      </c>
      <c r="P154" s="1492">
        <f t="shared" si="58"/>
        <v>3.3471125473957031</v>
      </c>
      <c r="Q154" s="1492">
        <f t="shared" si="58"/>
        <v>1.9393194085186805</v>
      </c>
      <c r="R154" s="1492">
        <f t="shared" si="58"/>
        <v>1.9077883664170292</v>
      </c>
      <c r="S154" s="1492">
        <f t="shared" si="58"/>
        <v>1.3651362383541477</v>
      </c>
      <c r="T154" s="1492">
        <f t="shared" si="58"/>
        <v>0.93641845758789533</v>
      </c>
      <c r="U154" s="1492">
        <f t="shared" si="58"/>
        <v>0.44328177284844728</v>
      </c>
      <c r="V154" s="1492">
        <f t="shared" si="58"/>
        <v>0.39958225789686885</v>
      </c>
      <c r="W154" s="1492">
        <f t="shared" si="58"/>
        <v>1.7128232071181193</v>
      </c>
      <c r="X154" s="1492">
        <f t="shared" si="58"/>
        <v>1.6353492765754041</v>
      </c>
      <c r="AB154" s="3329">
        <f t="shared" si="62"/>
        <v>0.7101184479811069</v>
      </c>
      <c r="AC154" s="3341">
        <f t="shared" si="63"/>
        <v>0.69803511711947386</v>
      </c>
      <c r="AD154" s="3329">
        <f t="shared" si="59"/>
        <v>0.11913851192670924</v>
      </c>
      <c r="AE154" s="3330">
        <f t="shared" si="60"/>
        <v>0.30045707417821804</v>
      </c>
    </row>
    <row r="155" spans="1:31">
      <c r="A155" t="s">
        <v>1945</v>
      </c>
      <c r="E155" s="1492">
        <f t="shared" si="57"/>
        <v>1.5592949386681099</v>
      </c>
      <c r="F155" s="1492">
        <f t="shared" si="58"/>
        <v>1.1279780196528089</v>
      </c>
      <c r="G155" s="1492">
        <f t="shared" si="58"/>
        <v>0.54606150376936835</v>
      </c>
      <c r="H155" s="1492">
        <f t="shared" si="58"/>
        <v>0.70958687602042936</v>
      </c>
      <c r="I155" s="1492">
        <f t="shared" si="58"/>
        <v>1.8768346781189882</v>
      </c>
      <c r="J155" s="1492">
        <f t="shared" si="58"/>
        <v>1.7415945376769271</v>
      </c>
      <c r="K155" s="1492">
        <f t="shared" si="58"/>
        <v>1.3296839050537912</v>
      </c>
      <c r="L155" s="1492">
        <f t="shared" si="58"/>
        <v>0.79710139901796317</v>
      </c>
      <c r="M155" s="1492">
        <f t="shared" si="58"/>
        <v>0.20710068501901269</v>
      </c>
      <c r="N155" s="1492">
        <f t="shared" si="58"/>
        <v>0.53666495253248403</v>
      </c>
      <c r="O155" s="1492">
        <f t="shared" si="58"/>
        <v>1.8243785525403844</v>
      </c>
      <c r="P155" s="1492">
        <f t="shared" si="58"/>
        <v>2.2548693679945719</v>
      </c>
      <c r="Q155" s="1492">
        <f t="shared" si="58"/>
        <v>2.2537121895819023</v>
      </c>
      <c r="R155" s="1492">
        <f t="shared" si="58"/>
        <v>1.5119234401421933</v>
      </c>
      <c r="S155" s="1492">
        <f t="shared" si="58"/>
        <v>1.1366046833672705</v>
      </c>
      <c r="T155" s="1492">
        <f t="shared" si="58"/>
        <v>0.95396533138780715</v>
      </c>
      <c r="U155" s="1492">
        <f t="shared" si="58"/>
        <v>0.50628469168860768</v>
      </c>
      <c r="V155" s="1492">
        <f t="shared" si="58"/>
        <v>0.70861210975068367</v>
      </c>
      <c r="W155" s="1492">
        <f t="shared" si="58"/>
        <v>1.459804324177072</v>
      </c>
      <c r="X155" s="1492">
        <f t="shared" si="58"/>
        <v>1.2820518503110057</v>
      </c>
      <c r="AB155" s="3329">
        <f t="shared" si="62"/>
        <v>0.53673844595836939</v>
      </c>
      <c r="AC155" s="3341">
        <f t="shared" si="63"/>
        <v>0.71095104205630355</v>
      </c>
      <c r="AD155" s="3329">
        <f t="shared" si="59"/>
        <v>1.0921688931424122E-3</v>
      </c>
      <c r="AE155" s="3330">
        <f t="shared" si="60"/>
        <v>0.24722079342313374</v>
      </c>
    </row>
    <row r="156" spans="1:31">
      <c r="AB156" s="3329"/>
      <c r="AC156" s="3341"/>
      <c r="AD156" s="60"/>
      <c r="AE156" s="90"/>
    </row>
    <row r="157" spans="1:31">
      <c r="A157" t="s">
        <v>2415</v>
      </c>
      <c r="E157" s="1492">
        <f>+AVERAGE(E129,E130,E153)</f>
        <v>1.5938656282233825</v>
      </c>
      <c r="F157" s="1492">
        <f t="shared" ref="F157:X157" si="64">+AVERAGE(F129,F130,F153)</f>
        <v>0.92096395536191233</v>
      </c>
      <c r="G157" s="1492">
        <f t="shared" si="64"/>
        <v>0.91701458917553913</v>
      </c>
      <c r="H157" s="1492">
        <f t="shared" si="64"/>
        <v>1.1059150348304032</v>
      </c>
      <c r="I157" s="1492">
        <f t="shared" si="64"/>
        <v>2.7293923075137303</v>
      </c>
      <c r="J157" s="1492">
        <f t="shared" si="64"/>
        <v>2.1124841500519929</v>
      </c>
      <c r="K157" s="1492">
        <f t="shared" si="64"/>
        <v>2.2411324444996015</v>
      </c>
      <c r="L157" s="1492">
        <f t="shared" si="64"/>
        <v>1.292671047594059</v>
      </c>
      <c r="M157" s="1492">
        <f t="shared" si="64"/>
        <v>0.96463600503241176</v>
      </c>
      <c r="N157" s="1492">
        <f t="shared" si="64"/>
        <v>1.3982943674194281</v>
      </c>
      <c r="O157" s="1492">
        <f t="shared" si="64"/>
        <v>2.0081765320119813</v>
      </c>
      <c r="P157" s="1492">
        <f t="shared" si="64"/>
        <v>3.0067687459823502</v>
      </c>
      <c r="Q157" s="1492">
        <f t="shared" si="64"/>
        <v>1.4222097719410189</v>
      </c>
      <c r="R157" s="1492">
        <f t="shared" si="64"/>
        <v>1.6655404336765489</v>
      </c>
      <c r="S157" s="1492">
        <f t="shared" si="64"/>
        <v>1.8981617717720074</v>
      </c>
      <c r="T157" s="1492">
        <f t="shared" si="64"/>
        <v>1.2208852643986672</v>
      </c>
      <c r="U157" s="1492">
        <f t="shared" si="64"/>
        <v>0.50339097742149541</v>
      </c>
      <c r="V157" s="1492">
        <f t="shared" si="64"/>
        <v>0.65339667517678668</v>
      </c>
      <c r="W157" s="1492">
        <f t="shared" si="64"/>
        <v>1.6935623285334531</v>
      </c>
      <c r="X157" s="1492">
        <f t="shared" si="64"/>
        <v>1.6578488241400124</v>
      </c>
      <c r="AB157" s="3334">
        <f t="shared" si="62"/>
        <v>0.68311615549791049</v>
      </c>
      <c r="AC157" s="3340">
        <f t="shared" si="63"/>
        <v>0.9979059566969033</v>
      </c>
      <c r="AD157" s="3329">
        <f>+RSQ($E$132:$U$132,E157:U157)</f>
        <v>0.27460494736532093</v>
      </c>
      <c r="AE157" s="3330">
        <f>+RSQ($R$132:$U$132,R157:U157)</f>
        <v>3.2106007431878074E-3</v>
      </c>
    </row>
    <row r="158" spans="1:31" ht="12" customHeight="1">
      <c r="AD158" s="60"/>
      <c r="AE158" s="90"/>
    </row>
    <row r="159" spans="1:31">
      <c r="A159" t="s">
        <v>1327</v>
      </c>
      <c r="C159"/>
      <c r="D159" s="1492">
        <v>7.0712905224077138</v>
      </c>
      <c r="E159" s="1492">
        <v>4.0424103943041523</v>
      </c>
      <c r="F159" s="1492">
        <v>2.7502400336180122</v>
      </c>
      <c r="G159" s="1492">
        <v>2.9389014580184725</v>
      </c>
      <c r="H159" s="1492">
        <v>2.4944348629666768</v>
      </c>
      <c r="I159" s="1492">
        <v>3.4510385494926687</v>
      </c>
      <c r="J159" s="1492">
        <v>4.0249618796283526</v>
      </c>
      <c r="K159" s="1492">
        <v>3.9686068809179798</v>
      </c>
      <c r="L159" s="1492">
        <v>2.7207448585395477</v>
      </c>
      <c r="M159" s="1492">
        <v>2.8335941302291001</v>
      </c>
      <c r="N159" s="1492">
        <v>3.4535429746320734</v>
      </c>
      <c r="O159" s="1492">
        <v>4.0453638963617422</v>
      </c>
      <c r="P159" s="1492">
        <v>6.137680015001723</v>
      </c>
      <c r="Q159" s="1492">
        <v>3.5138118434433263</v>
      </c>
      <c r="R159" s="1492">
        <v>2.9682001436883709</v>
      </c>
      <c r="S159" s="1492">
        <v>2.6548248827965581</v>
      </c>
      <c r="T159" s="3307">
        <v>3.1095575307197532</v>
      </c>
      <c r="U159" s="3307">
        <v>3.1095575307197532</v>
      </c>
      <c r="V159" s="1492">
        <v>2.7</v>
      </c>
      <c r="W159" s="1492">
        <v>2.75</v>
      </c>
      <c r="X159" s="1492">
        <v>3.75</v>
      </c>
      <c r="Y159"/>
      <c r="Z159"/>
      <c r="AA159"/>
      <c r="AD159" s="3334">
        <f>+RSQ($E$132:$U$132,E159:U159)</f>
        <v>0.12977254697925403</v>
      </c>
      <c r="AE159" s="3338">
        <f>+RSQ($R$132:$U$132,R159:U159)</f>
        <v>3.4952652414501212E-2</v>
      </c>
    </row>
    <row r="160" spans="1:31">
      <c r="A160" t="s">
        <v>2421</v>
      </c>
      <c r="R160" s="1492"/>
      <c r="S160" s="1492"/>
      <c r="T160" s="1492"/>
      <c r="U160" s="1492"/>
    </row>
    <row r="161" spans="1:28" s="3348" customFormat="1" ht="14.25">
      <c r="A161" s="3347" t="s">
        <v>2422</v>
      </c>
      <c r="B161" s="3347" t="s">
        <v>2423</v>
      </c>
      <c r="C161" s="3349">
        <v>9.0163934426229275</v>
      </c>
      <c r="D161" s="3349">
        <v>-1.8259935553168516</v>
      </c>
      <c r="E161" s="3349">
        <v>0.87527352297591676</v>
      </c>
      <c r="F161" s="3349">
        <v>-1.0845986984815648</v>
      </c>
      <c r="G161" s="3349">
        <v>-1.0964912280701733</v>
      </c>
      <c r="H161" s="3349">
        <v>3.880266075388028</v>
      </c>
      <c r="I161" s="3349">
        <v>2.0277481323372371</v>
      </c>
      <c r="J161" s="3349">
        <v>-0.10460251046024993</v>
      </c>
      <c r="K161" s="3349">
        <v>0</v>
      </c>
      <c r="L161" s="3349">
        <v>0.73298429319372804</v>
      </c>
      <c r="M161" s="3349">
        <v>3.9501039501039559</v>
      </c>
      <c r="N161" s="3349">
        <v>5.0999999999999934</v>
      </c>
      <c r="O161" s="3349">
        <v>3.7107516650808803</v>
      </c>
      <c r="P161" s="3349">
        <v>4.3119266055045902</v>
      </c>
      <c r="Q161" s="3349">
        <v>1.1433597185576128</v>
      </c>
      <c r="R161" s="3349">
        <v>1.0434782608695681</v>
      </c>
      <c r="S161" s="3349">
        <v>0.43029259896729677</v>
      </c>
      <c r="T161" s="3349">
        <v>-0.9425878320479919</v>
      </c>
      <c r="U161" s="3349">
        <v>-2.7681660899653848</v>
      </c>
      <c r="AB161" s="3329">
        <f>+RSQ($E$133:$U$133,E161:U161)</f>
        <v>0.27068679106695814</v>
      </c>
    </row>
    <row r="162" spans="1:28" s="3348" customFormat="1" ht="14.25">
      <c r="A162" s="3347" t="s">
        <v>2424</v>
      </c>
      <c r="B162" s="3347" t="s">
        <v>2425</v>
      </c>
      <c r="C162" s="3349">
        <v>9.0487238979118256</v>
      </c>
      <c r="D162" s="3349">
        <v>-2.0212765957446921</v>
      </c>
      <c r="E162" s="3349">
        <v>0.76004343105320338</v>
      </c>
      <c r="F162" s="3349">
        <v>-0.86206896551723755</v>
      </c>
      <c r="G162" s="3349">
        <v>-1.1956521739130421</v>
      </c>
      <c r="H162" s="3349">
        <v>3.7403740374037264</v>
      </c>
      <c r="I162" s="3349">
        <v>2.0148462354188768</v>
      </c>
      <c r="J162" s="3349">
        <v>-0.20790020790021346</v>
      </c>
      <c r="K162" s="3349">
        <v>0</v>
      </c>
      <c r="L162" s="3349">
        <v>0.62499999999998668</v>
      </c>
      <c r="M162" s="3349">
        <v>3.5196687370600444</v>
      </c>
      <c r="N162" s="3349">
        <v>5.2000000000000046</v>
      </c>
      <c r="O162" s="3349">
        <v>4.1825095057034245</v>
      </c>
      <c r="P162" s="3349">
        <v>4.5620437956204407</v>
      </c>
      <c r="Q162" s="3349">
        <v>0.87260034904013128</v>
      </c>
      <c r="R162" s="3349">
        <v>1.384083044982698</v>
      </c>
      <c r="S162" s="3349">
        <v>0.85324232081911422</v>
      </c>
      <c r="T162" s="3349">
        <v>-1.0998307952622688</v>
      </c>
      <c r="U162" s="3349">
        <v>-2.8229255774166018</v>
      </c>
      <c r="AB162" s="3329">
        <f>+RSQ($E$133:$U$133,E162:U162)</f>
        <v>0.25418400791240708</v>
      </c>
    </row>
    <row r="163" spans="1:28" s="3348" customFormat="1" ht="14.25">
      <c r="A163" s="3347" t="s">
        <v>2335</v>
      </c>
      <c r="B163" s="3347" t="s">
        <v>2426</v>
      </c>
      <c r="C163" s="3349">
        <v>9.7109826589595549</v>
      </c>
      <c r="D163" s="3349">
        <v>-2.3182297154899945</v>
      </c>
      <c r="E163" s="3349">
        <v>0.86299892125134559</v>
      </c>
      <c r="F163" s="3349">
        <v>-0.64171122994651775</v>
      </c>
      <c r="G163" s="3349">
        <v>-0.53821313240043356</v>
      </c>
      <c r="H163" s="3349">
        <v>4.2207792207792139</v>
      </c>
      <c r="I163" s="3349">
        <v>1.349948078920038</v>
      </c>
      <c r="J163" s="3349">
        <v>-0.71721311475408944</v>
      </c>
      <c r="K163" s="3349">
        <v>-1.2383900928792602</v>
      </c>
      <c r="L163" s="3349">
        <v>0.62695924764890609</v>
      </c>
      <c r="M163" s="3349">
        <v>3.8421599169262688</v>
      </c>
      <c r="N163" s="3349">
        <v>3.9000000000000146</v>
      </c>
      <c r="O163" s="3349">
        <v>4.1385948026948949</v>
      </c>
      <c r="P163" s="3349">
        <v>2.9574861367837268</v>
      </c>
      <c r="Q163" s="3349">
        <v>1.3464991023339312</v>
      </c>
      <c r="R163" s="3349">
        <v>0.35429583702391021</v>
      </c>
      <c r="S163" s="3349">
        <v>1.3239187996469504</v>
      </c>
      <c r="T163" s="3349">
        <v>8.7108013937298168E-2</v>
      </c>
      <c r="U163" s="3349">
        <v>-2.3498694516971286</v>
      </c>
      <c r="AB163" s="3329">
        <f>+RSQ($E$133:$U$133,E163:U163)</f>
        <v>0.2550073728087876</v>
      </c>
    </row>
    <row r="164" spans="1:28">
      <c r="A164" s="3350" t="s">
        <v>2427</v>
      </c>
    </row>
    <row r="166" spans="1:28">
      <c r="A166" s="3350" t="s">
        <v>2428</v>
      </c>
    </row>
    <row r="167" spans="1:28" ht="14.25">
      <c r="A167" s="3347" t="s">
        <v>2422</v>
      </c>
      <c r="B167" s="3347" t="s">
        <v>2423</v>
      </c>
      <c r="C167" s="3349">
        <v>11.333333333333329</v>
      </c>
      <c r="D167" s="3349">
        <v>-4.6906187624750517</v>
      </c>
      <c r="E167" s="3349">
        <v>0.52356020942407877</v>
      </c>
      <c r="F167" s="3349">
        <v>-0.41666666666667629</v>
      </c>
      <c r="G167" s="3349">
        <v>-1.0460251046025104</v>
      </c>
      <c r="H167" s="3349">
        <v>4.228329809725162</v>
      </c>
      <c r="I167" s="3349">
        <v>1.7241379310344751</v>
      </c>
      <c r="J167" s="3349">
        <v>-1.8943170488534333</v>
      </c>
      <c r="K167" s="3349">
        <v>-2.1341463414634276</v>
      </c>
      <c r="L167" s="3349">
        <v>-0.31152647975077885</v>
      </c>
      <c r="M167" s="3349">
        <v>4.1666666666666741</v>
      </c>
      <c r="N167" s="3349">
        <v>4.2000000000000037</v>
      </c>
      <c r="O167" s="3349">
        <v>3.5508637236084439</v>
      </c>
      <c r="P167" s="3349">
        <v>2.9657089898053712</v>
      </c>
      <c r="Q167" s="3349">
        <v>2.6102610261026227</v>
      </c>
      <c r="R167" s="3349">
        <v>-0.87719298245614308</v>
      </c>
      <c r="S167" s="3349">
        <v>-0.26548672566371057</v>
      </c>
      <c r="T167" s="3349">
        <v>-1.5084294587400238</v>
      </c>
      <c r="U167" s="3349">
        <v>-4.6846846846846919</v>
      </c>
      <c r="W167" s="26"/>
      <c r="Y167"/>
      <c r="Z167"/>
      <c r="AA167"/>
      <c r="AB167" s="3329">
        <f>+RSQ($E$134:$U$134,E167:U167)</f>
        <v>0.8538535891597987</v>
      </c>
    </row>
    <row r="168" spans="1:28" ht="14.25">
      <c r="A168" s="3347" t="s">
        <v>2424</v>
      </c>
      <c r="B168" s="3347" t="s">
        <v>2425</v>
      </c>
      <c r="C168" s="3349">
        <v>11.45717463848721</v>
      </c>
      <c r="D168" s="3349">
        <v>-4.6906187624750517</v>
      </c>
      <c r="E168" s="3349">
        <v>0.52356020942407877</v>
      </c>
      <c r="F168" s="3349">
        <v>-0.41666666666667629</v>
      </c>
      <c r="G168" s="3349">
        <v>-1.0460251046025104</v>
      </c>
      <c r="H168" s="3349">
        <v>4.228329809725162</v>
      </c>
      <c r="I168" s="3349">
        <v>1.7241379310344751</v>
      </c>
      <c r="J168" s="3349">
        <v>-1.7946161515453585</v>
      </c>
      <c r="K168" s="3349">
        <v>-2.2335025380710638</v>
      </c>
      <c r="L168" s="3349">
        <v>-0.31152647975077885</v>
      </c>
      <c r="M168" s="3349">
        <v>4.1666666666666741</v>
      </c>
      <c r="N168" s="3349">
        <v>4.2000000000000037</v>
      </c>
      <c r="O168" s="3349">
        <v>3.6468330134356908</v>
      </c>
      <c r="P168" s="3349">
        <v>2.9629629629629672</v>
      </c>
      <c r="Q168" s="3349">
        <v>2.4280575539568305</v>
      </c>
      <c r="R168" s="3349">
        <v>-0.70237050043898686</v>
      </c>
      <c r="S168" s="3349">
        <v>-8.8417329796630639E-2</v>
      </c>
      <c r="T168" s="3349">
        <v>-1.5044247787610598</v>
      </c>
      <c r="U168" s="3349">
        <v>-4.6720575022461848</v>
      </c>
      <c r="W168" s="26"/>
      <c r="Y168"/>
      <c r="Z168"/>
      <c r="AA168"/>
      <c r="AB168" s="3340">
        <f>+RSQ($E$134:$U$134,E168:U168)</f>
        <v>0.85539786286602226</v>
      </c>
    </row>
    <row r="169" spans="1:28" ht="14.25">
      <c r="A169" s="3347" t="s">
        <v>2335</v>
      </c>
      <c r="B169" s="3347" t="s">
        <v>2426</v>
      </c>
      <c r="C169" s="3349">
        <v>11.368653421633557</v>
      </c>
      <c r="D169" s="3349">
        <v>-4.9554013875123921</v>
      </c>
      <c r="E169" s="3349">
        <v>0.83420229405630764</v>
      </c>
      <c r="F169" s="3349">
        <v>-0.41365046535677408</v>
      </c>
      <c r="G169" s="3349">
        <v>-0.93457943925232545</v>
      </c>
      <c r="H169" s="3349">
        <v>4.1928721174004258</v>
      </c>
      <c r="I169" s="3349">
        <v>1.5090543259557387</v>
      </c>
      <c r="J169" s="3349">
        <v>-1.9821605550049526</v>
      </c>
      <c r="K169" s="3349">
        <v>-2.4266936299292219</v>
      </c>
      <c r="L169" s="3349">
        <v>-0.20725388601036121</v>
      </c>
      <c r="M169" s="3349">
        <v>3.8421599169262688</v>
      </c>
      <c r="N169" s="3349">
        <v>3.6999999999999922</v>
      </c>
      <c r="O169" s="3349">
        <v>3.7608486017357778</v>
      </c>
      <c r="P169" s="3349">
        <v>2.1375464684014966</v>
      </c>
      <c r="Q169" s="3349">
        <v>2.7297543221109999</v>
      </c>
      <c r="R169" s="3349">
        <v>-1.3286093888396855</v>
      </c>
      <c r="S169" s="3349">
        <v>-0.44883303411130671</v>
      </c>
      <c r="T169" s="3349">
        <v>-0.81154192966637062</v>
      </c>
      <c r="U169" s="3349">
        <v>-4.0909090909090899</v>
      </c>
      <c r="W169" s="26"/>
      <c r="Y169"/>
      <c r="Z169"/>
      <c r="AA169"/>
      <c r="AB169" s="3329">
        <f>+RSQ($E$134:$U$134,E169:U169)</f>
        <v>0.79533219062580351</v>
      </c>
    </row>
    <row r="171" spans="1:28">
      <c r="A171" s="3350" t="s">
        <v>2429</v>
      </c>
    </row>
    <row r="172" spans="1:28" s="3348" customFormat="1" ht="14.25">
      <c r="A172" s="3347" t="s">
        <v>2422</v>
      </c>
      <c r="B172" s="3347" t="s">
        <v>2423</v>
      </c>
      <c r="C172" s="3349">
        <v>6.5359477124182996</v>
      </c>
      <c r="D172" s="3349">
        <v>-3.1901840490797473</v>
      </c>
      <c r="E172" s="3349">
        <v>1.6476552598225558</v>
      </c>
      <c r="F172" s="3349">
        <v>-0.99750623441395847</v>
      </c>
      <c r="G172" s="3349">
        <v>2.8967254408060361</v>
      </c>
      <c r="H172" s="3349">
        <v>8.2007343941248543</v>
      </c>
      <c r="I172" s="3349">
        <v>4.6380090497737392</v>
      </c>
      <c r="J172" s="3349">
        <v>0.21621621621621401</v>
      </c>
      <c r="K172" s="3349">
        <v>-1.8338727076591232</v>
      </c>
      <c r="L172" s="3349">
        <v>2.6373626373626502</v>
      </c>
      <c r="M172" s="3349">
        <v>7.0663811563169032</v>
      </c>
      <c r="N172" s="3349">
        <v>6.0999999999999943</v>
      </c>
      <c r="O172" s="3349">
        <v>2.2620169651272448</v>
      </c>
      <c r="P172" s="3349">
        <v>5.8986175115207429</v>
      </c>
      <c r="Q172" s="3349">
        <v>-1.1314186248912228</v>
      </c>
      <c r="R172" s="3349">
        <v>0.35211267605634866</v>
      </c>
      <c r="S172" s="3349">
        <v>1.4035087719298289</v>
      </c>
      <c r="T172" s="3349">
        <v>-1.2110726643598579</v>
      </c>
      <c r="U172" s="3349">
        <v>-4.028021015761829</v>
      </c>
      <c r="AB172" s="3329">
        <f>+RSQ($E$135:$U$135,E172:U172)</f>
        <v>0.91036887944986289</v>
      </c>
    </row>
    <row r="173" spans="1:28" s="3348" customFormat="1" ht="14.25">
      <c r="A173" s="3347" t="s">
        <v>2424</v>
      </c>
      <c r="B173" s="3347" t="s">
        <v>2425</v>
      </c>
      <c r="C173" s="3349">
        <v>6.6579634464752013</v>
      </c>
      <c r="D173" s="3349">
        <v>-3.4271725826193311</v>
      </c>
      <c r="E173" s="3349">
        <v>2.0278833967046772</v>
      </c>
      <c r="F173" s="3349">
        <v>-0.99378881987577383</v>
      </c>
      <c r="G173" s="3349">
        <v>2.6348808030112858</v>
      </c>
      <c r="H173" s="3349">
        <v>7.9462102689486613</v>
      </c>
      <c r="I173" s="3349">
        <v>4.6432616081540257</v>
      </c>
      <c r="J173" s="3349">
        <v>0.32467532467532756</v>
      </c>
      <c r="K173" s="3349">
        <v>-1.9417475728155331</v>
      </c>
      <c r="L173" s="3349">
        <v>2.5302530253025202</v>
      </c>
      <c r="M173" s="3349">
        <v>7.296137339055786</v>
      </c>
      <c r="N173" s="3349">
        <v>5.9000000000000163</v>
      </c>
      <c r="O173" s="3349">
        <v>2.455146364494798</v>
      </c>
      <c r="P173" s="3349">
        <v>5.9907834101382562</v>
      </c>
      <c r="Q173" s="3349">
        <v>-1.1304347826086913</v>
      </c>
      <c r="R173" s="3349">
        <v>0.43975373790676731</v>
      </c>
      <c r="S173" s="3349">
        <v>1.3134851138353776</v>
      </c>
      <c r="T173" s="3349">
        <v>-1.2964563526361328</v>
      </c>
      <c r="U173" s="3349">
        <v>-3.9404553415061327</v>
      </c>
      <c r="AB173" s="3340">
        <f>+RSQ($E$135:$U$135,E173:U173)</f>
        <v>0.91667420875777128</v>
      </c>
    </row>
    <row r="174" spans="1:28" s="3348" customFormat="1" ht="14.25">
      <c r="A174" s="3347" t="s">
        <v>2335</v>
      </c>
      <c r="B174" s="3347" t="s">
        <v>2426</v>
      </c>
      <c r="C174" s="3349">
        <v>6.8801897983392646</v>
      </c>
      <c r="D174" s="3349">
        <v>-4.2175360710321801</v>
      </c>
      <c r="E174" s="3349">
        <v>1.5063731170336103</v>
      </c>
      <c r="F174" s="3349">
        <v>0.34246575342467001</v>
      </c>
      <c r="G174" s="3349">
        <v>0.91012514220705221</v>
      </c>
      <c r="H174" s="3349">
        <v>3.7204058624577208</v>
      </c>
      <c r="I174" s="3349">
        <v>4.6739130434782616</v>
      </c>
      <c r="J174" s="3349">
        <v>0.10384215991694479</v>
      </c>
      <c r="K174" s="3349">
        <v>-1.9709543568464771</v>
      </c>
      <c r="L174" s="3349">
        <v>1.6931216931216797</v>
      </c>
      <c r="M174" s="3349">
        <v>4.058272632674309</v>
      </c>
      <c r="N174" s="3349">
        <v>3.8000000000000034</v>
      </c>
      <c r="O174" s="3349">
        <v>2.2157996146435321</v>
      </c>
      <c r="P174" s="3349">
        <v>3.7700282752120673</v>
      </c>
      <c r="Q174" s="3349">
        <v>2.4523160762942808</v>
      </c>
      <c r="R174" s="3349">
        <v>-1.8617021276595702</v>
      </c>
      <c r="S174" s="3349">
        <v>-0.54200542005420349</v>
      </c>
      <c r="T174" s="3349">
        <v>-1.5440508628519423</v>
      </c>
      <c r="U174" s="3349">
        <v>-3.5977859778597798</v>
      </c>
      <c r="Y174" s="3329"/>
      <c r="Z174" s="3329"/>
      <c r="AA174" s="3329"/>
      <c r="AB174" s="3329">
        <f>+RSQ($E$135:$U$135,E174:U174)</f>
        <v>0.82470848559821408</v>
      </c>
    </row>
    <row r="175" spans="1:28" s="3348" customFormat="1" ht="14.25">
      <c r="A175" s="3347"/>
      <c r="B175" s="3347"/>
      <c r="C175" s="3349"/>
      <c r="D175" s="3349"/>
      <c r="E175" s="3349"/>
      <c r="F175" s="3349"/>
      <c r="G175" s="3349"/>
      <c r="H175" s="3349"/>
      <c r="I175" s="3349"/>
      <c r="J175" s="3349"/>
      <c r="K175" s="3349"/>
      <c r="L175" s="3349"/>
      <c r="M175" s="3349"/>
      <c r="N175" s="3349"/>
      <c r="O175" s="3349"/>
      <c r="P175" s="3349"/>
      <c r="Q175" s="3349"/>
      <c r="R175" s="3349"/>
      <c r="S175" s="3349"/>
      <c r="T175" s="3349"/>
      <c r="U175" s="3349"/>
      <c r="Y175" s="3329"/>
      <c r="Z175" s="3329"/>
      <c r="AA175" s="3329"/>
      <c r="AB175" s="3329"/>
    </row>
    <row r="176" spans="1:28">
      <c r="A176" s="3353" t="s">
        <v>2435</v>
      </c>
      <c r="C176"/>
      <c r="W176" s="26"/>
      <c r="Y176" s="3329"/>
      <c r="Z176" s="3329"/>
      <c r="AA176" s="3329"/>
      <c r="AB176" s="3329"/>
    </row>
    <row r="177" spans="1:29" s="3351" customFormat="1" ht="14.25">
      <c r="A177" s="3351" t="s">
        <v>2430</v>
      </c>
      <c r="C177" s="3352">
        <v>1.0547307548347096</v>
      </c>
      <c r="D177" s="3352">
        <v>-8.9929046101794867</v>
      </c>
      <c r="E177" s="3352">
        <v>2.7289404999290223</v>
      </c>
      <c r="F177" s="3352">
        <v>3.4288673614779386</v>
      </c>
      <c r="G177" s="3352">
        <v>-1.2624406032872293</v>
      </c>
      <c r="H177" s="3352">
        <v>-4.1583527706369754</v>
      </c>
      <c r="I177" s="3352">
        <v>9.5382616568279843</v>
      </c>
      <c r="J177" s="3352">
        <v>-0.98890486881227924</v>
      </c>
      <c r="K177" s="3352">
        <v>-0.39273103025192491</v>
      </c>
      <c r="L177" s="3352">
        <v>2.3220806759938206E-2</v>
      </c>
      <c r="M177" s="3352">
        <v>1.6954599062754205</v>
      </c>
      <c r="N177" s="3352">
        <v>-0.29589449987885708</v>
      </c>
      <c r="O177" s="3352">
        <v>-2.0294142292032191E-2</v>
      </c>
      <c r="P177" s="3352">
        <v>3.9131420712046339</v>
      </c>
      <c r="Q177" s="3352">
        <v>10.483172040949217</v>
      </c>
      <c r="R177" s="3352">
        <v>-10.0870446559013</v>
      </c>
      <c r="S177" s="3352">
        <v>-5.4298642651575912</v>
      </c>
      <c r="T177" s="3352">
        <v>-3.5553175493569622</v>
      </c>
      <c r="U177" s="3352">
        <v>-0.68856332762906591</v>
      </c>
      <c r="V177" s="3352">
        <v>4.7847573854058911</v>
      </c>
      <c r="W177" s="3352">
        <v>-1.8033202050319885</v>
      </c>
      <c r="Y177" s="3329"/>
      <c r="Z177" s="3329"/>
      <c r="AA177" s="3329"/>
      <c r="AB177" s="3329"/>
    </row>
    <row r="178" spans="1:29" s="3351" customFormat="1" ht="14.25">
      <c r="A178" s="3351" t="s">
        <v>2431</v>
      </c>
      <c r="C178" s="3352">
        <v>1.6077858534155443</v>
      </c>
      <c r="D178" s="3352">
        <v>-10.772319277737029</v>
      </c>
      <c r="E178" s="3352">
        <v>3.2894448129163756</v>
      </c>
      <c r="F178" s="3352">
        <v>2.2076111669243614</v>
      </c>
      <c r="G178" s="3352">
        <v>0.88078974169858437</v>
      </c>
      <c r="H178" s="3352">
        <v>-0.62397657702861764</v>
      </c>
      <c r="I178" s="3352">
        <v>7.4516990101147318</v>
      </c>
      <c r="J178" s="3352">
        <v>-0.97089700144384894</v>
      </c>
      <c r="K178" s="3352">
        <v>-2.7839912485708163</v>
      </c>
      <c r="L178" s="3352">
        <v>-0.74702885411250808</v>
      </c>
      <c r="M178" s="3352">
        <v>1.7688615499592331</v>
      </c>
      <c r="N178" s="3352">
        <v>-0.88002008187472169</v>
      </c>
      <c r="O178" s="3352">
        <v>-0.86101995418570443</v>
      </c>
      <c r="P178" s="3352">
        <v>2.2204030690879506</v>
      </c>
      <c r="Q178" s="3352">
        <v>9.8135477002349489</v>
      </c>
      <c r="R178" s="3352">
        <v>-8.5084774953962494</v>
      </c>
      <c r="S178" s="3352">
        <v>-5.2636495563025631</v>
      </c>
      <c r="T178" s="3352">
        <v>-1.9761879659100923</v>
      </c>
      <c r="U178" s="3352">
        <v>-2.3666201164288525</v>
      </c>
      <c r="V178" s="3352">
        <v>4.4091002249773581</v>
      </c>
      <c r="W178" s="3352">
        <v>-1.4927737815621955</v>
      </c>
      <c r="Y178" s="3329"/>
      <c r="Z178" s="3329"/>
      <c r="AA178" s="3329"/>
      <c r="AB178" s="3329">
        <f>+RSQ($E$135:$U$135,E178:U178)</f>
        <v>0.12405832935233334</v>
      </c>
      <c r="AC178" s="3340">
        <f>+RSQ($E$172:$U$172,E178:U178)</f>
        <v>3.0467157594821104E-2</v>
      </c>
    </row>
    <row r="179" spans="1:29" s="3351" customFormat="1" ht="14.25">
      <c r="A179" s="3351" t="s">
        <v>2432</v>
      </c>
      <c r="C179" s="3352">
        <v>2.0163048287723084</v>
      </c>
      <c r="D179" s="3352">
        <v>-9.1730090540941944</v>
      </c>
      <c r="E179" s="3352">
        <v>3.8901001871732177</v>
      </c>
      <c r="F179" s="3352">
        <v>0.81474239027301554</v>
      </c>
      <c r="G179" s="3352">
        <v>1.4953420991503652</v>
      </c>
      <c r="H179" s="3352">
        <v>-5.9325397210574504E-2</v>
      </c>
      <c r="I179" s="3352">
        <v>9.8639241106214914</v>
      </c>
      <c r="J179" s="3352">
        <v>-2.7457341603496555</v>
      </c>
      <c r="K179" s="3352">
        <v>-5.8921049001039343</v>
      </c>
      <c r="L179" s="3352">
        <v>-2.0969446877035502</v>
      </c>
      <c r="M179" s="3352">
        <v>1.5464396121356527</v>
      </c>
      <c r="N179" s="3352">
        <v>-0.15997911457523717</v>
      </c>
      <c r="O179" s="3352">
        <v>-1.517365252237679</v>
      </c>
      <c r="P179" s="3352">
        <v>1.2872481111689815</v>
      </c>
      <c r="Q179" s="3352">
        <v>9.6816421527846419</v>
      </c>
      <c r="R179" s="3352">
        <v>-7.6062489301361502</v>
      </c>
      <c r="S179" s="3352">
        <v>-5.5876811001417508</v>
      </c>
      <c r="T179" s="3352">
        <v>-1.0453787447773921</v>
      </c>
      <c r="U179" s="3352">
        <v>-2.7358236466549113</v>
      </c>
      <c r="V179" s="3352">
        <v>3.8317178756481107</v>
      </c>
      <c r="W179" s="3352">
        <v>-1.2633486644483605</v>
      </c>
      <c r="Y179" s="3329"/>
      <c r="Z179" s="3329"/>
      <c r="AA179" s="3329"/>
      <c r="AB179" s="3329">
        <f>+RSQ($E$134:$U$134,E179:U179)</f>
        <v>0.19459386164858705</v>
      </c>
    </row>
    <row r="180" spans="1:29" s="3351" customFormat="1" ht="14.25">
      <c r="A180" s="3351" t="s">
        <v>2433</v>
      </c>
      <c r="C180" s="3352">
        <v>1.8544495286896945</v>
      </c>
      <c r="D180" s="3352">
        <v>-10.241337268307271</v>
      </c>
      <c r="E180" s="3352">
        <v>3.7781741348332121</v>
      </c>
      <c r="F180" s="3352">
        <v>1.6383237803965667</v>
      </c>
      <c r="G180" s="3352">
        <v>1.7478990030521668</v>
      </c>
      <c r="H180" s="3352">
        <v>0.34342330089247586</v>
      </c>
      <c r="I180" s="3352">
        <v>8.5677803203238589</v>
      </c>
      <c r="J180" s="3352">
        <v>-2.3798696074469383</v>
      </c>
      <c r="K180" s="3352">
        <v>-4.2916357772734059</v>
      </c>
      <c r="L180" s="3352">
        <v>-1.1772887267130439</v>
      </c>
      <c r="M180" s="3352">
        <v>1.7950687495814854</v>
      </c>
      <c r="N180" s="3352">
        <v>-0.62925787822109003</v>
      </c>
      <c r="O180" s="3352">
        <v>-1.4595637923857985</v>
      </c>
      <c r="P180" s="3352">
        <v>1.5303739213217149</v>
      </c>
      <c r="Q180" s="3352">
        <v>9.9952444393871289</v>
      </c>
      <c r="R180" s="3352">
        <v>-8.0267461540534875</v>
      </c>
      <c r="S180" s="3352">
        <v>-5.5066671322169247</v>
      </c>
      <c r="T180" s="3352">
        <v>-1.3132629629884374</v>
      </c>
      <c r="U180" s="3352">
        <v>-2.757287355516358</v>
      </c>
      <c r="V180" s="3352">
        <v>4.2939878692674016</v>
      </c>
      <c r="W180" s="3352">
        <v>-1.2910248301708616</v>
      </c>
      <c r="Y180" s="3329"/>
      <c r="Z180" s="3329"/>
      <c r="AA180" s="3329"/>
      <c r="AB180" s="3329"/>
    </row>
    <row r="181" spans="1:29" s="3351" customFormat="1" ht="14.25">
      <c r="A181" s="3351" t="s">
        <v>2434</v>
      </c>
      <c r="C181" s="3352">
        <v>-0.70971246468584104</v>
      </c>
      <c r="D181" s="3352">
        <v>-9.3935264463562049</v>
      </c>
      <c r="E181" s="3352">
        <v>3.5471470258505056</v>
      </c>
      <c r="F181" s="3352">
        <v>0.56128928416849799</v>
      </c>
      <c r="G181" s="3352">
        <v>-0.16543746682297078</v>
      </c>
      <c r="H181" s="3352">
        <v>0.12413609604380316</v>
      </c>
      <c r="I181" s="3352">
        <v>8.4520587252194588</v>
      </c>
      <c r="J181" s="3352">
        <v>-2.4433478307664958</v>
      </c>
      <c r="K181" s="3352">
        <v>-5.749409863208232</v>
      </c>
      <c r="L181" s="3352">
        <v>-1.9368463983207129</v>
      </c>
      <c r="M181" s="3352">
        <v>2.5666864143428114</v>
      </c>
      <c r="N181" s="3352">
        <v>-0.45284941427008452</v>
      </c>
      <c r="O181" s="3352">
        <v>-1.493594789822239</v>
      </c>
      <c r="P181" s="3352">
        <v>1.7023562264477432</v>
      </c>
      <c r="Q181" s="3352">
        <v>8.9653447733828209</v>
      </c>
      <c r="R181" s="3352">
        <v>-6.9792539503663047</v>
      </c>
      <c r="S181" s="3352">
        <v>-5.8157703881376417</v>
      </c>
      <c r="T181" s="3352">
        <v>-1.3662323086183203</v>
      </c>
      <c r="U181" s="3352">
        <v>-2.9632585338852158</v>
      </c>
      <c r="V181" s="3352">
        <v>3.1004098754734866</v>
      </c>
      <c r="W181" s="3352">
        <v>-0.91006552522598927</v>
      </c>
      <c r="Y181" s="3329"/>
      <c r="Z181" s="3329"/>
      <c r="AA181" s="3329"/>
      <c r="AB181" s="3329"/>
    </row>
    <row r="182" spans="1:29">
      <c r="Y182" s="3329"/>
      <c r="Z182" s="3329"/>
      <c r="AA182" s="3329"/>
      <c r="AB182" s="3329"/>
    </row>
  </sheetData>
  <conditionalFormatting sqref="AG3:BZ54">
    <cfRule type="top10" dxfId="121" priority="1" stopIfTrue="1" percent="1" rank="10"/>
  </conditionalFormatting>
  <hyperlinks>
    <hyperlink ref="A164" r:id="rId1" xr:uid="{00000000-0004-0000-0000-000000000000}"/>
    <hyperlink ref="A166" r:id="rId2" xr:uid="{00000000-0004-0000-0000-000001000000}"/>
    <hyperlink ref="A171" r:id="rId3" xr:uid="{00000000-0004-0000-0000-000002000000}"/>
    <hyperlink ref="A176" r:id="rId4" xr:uid="{00000000-0004-0000-0000-000003000000}"/>
  </hyperlinks>
  <pageMargins left="0.7" right="0.7" top="0.75" bottom="0.75" header="0.3" footer="0.3"/>
  <drawing r:id="rId5"/>
  <legacyDrawing r:id="rId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1">
    <tabColor indexed="44"/>
  </sheetPr>
  <dimension ref="B4:F28"/>
  <sheetViews>
    <sheetView workbookViewId="0"/>
  </sheetViews>
  <sheetFormatPr defaultColWidth="11.73046875" defaultRowHeight="12.75"/>
  <cols>
    <col min="1" max="1" width="4.86328125" customWidth="1"/>
  </cols>
  <sheetData>
    <row r="4" spans="2:5" ht="17.649999999999999">
      <c r="E4" s="887" t="s">
        <v>774</v>
      </c>
    </row>
    <row r="5" spans="2:5" ht="15.4">
      <c r="E5" s="888" t="s">
        <v>775</v>
      </c>
    </row>
    <row r="7" spans="2:5" ht="15">
      <c r="E7" s="889"/>
    </row>
    <row r="8" spans="2:5" ht="15">
      <c r="E8" s="889" t="s">
        <v>776</v>
      </c>
    </row>
    <row r="9" spans="2:5" ht="15.4">
      <c r="E9" s="888" t="s">
        <v>777</v>
      </c>
    </row>
    <row r="13" spans="2:5" ht="29.65">
      <c r="E13" s="890" t="s">
        <v>297</v>
      </c>
    </row>
    <row r="14" spans="2:5">
      <c r="B14" s="545"/>
    </row>
    <row r="15" spans="2:5">
      <c r="B15" s="545"/>
    </row>
    <row r="17" spans="2:6">
      <c r="E17" t="s">
        <v>778</v>
      </c>
    </row>
    <row r="18" spans="2:6">
      <c r="E18" t="s">
        <v>779</v>
      </c>
      <c r="F18" s="891" t="s">
        <v>348</v>
      </c>
    </row>
    <row r="25" spans="2:6">
      <c r="B25" s="892" t="s">
        <v>352</v>
      </c>
    </row>
    <row r="26" spans="2:6">
      <c r="B26" s="892" t="s">
        <v>780</v>
      </c>
    </row>
    <row r="27" spans="2:6">
      <c r="B27" s="892" t="s">
        <v>1905</v>
      </c>
    </row>
    <row r="28" spans="2:6">
      <c r="B28" s="892" t="s">
        <v>781</v>
      </c>
      <c r="C28" s="893" t="s">
        <v>43</v>
      </c>
      <c r="D28" s="893"/>
    </row>
  </sheetData>
  <phoneticPr fontId="67" type="noConversion"/>
  <hyperlinks>
    <hyperlink ref="C28" r:id="rId1" display="gerrit.bethuyne@cec.eu.int" xr:uid="{00000000-0004-0000-0100-000000000000}"/>
  </hyperlinks>
  <pageMargins left="0.75" right="0.75" top="1" bottom="1" header="0.5" footer="0.5"/>
  <pageSetup paperSize="9" orientation="landscape" r:id="rId2"/>
  <headerFooter alignWithMargins="0"/>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2">
    <tabColor indexed="44"/>
    <pageSetUpPr fitToPage="1"/>
  </sheetPr>
  <dimension ref="A1:Q267"/>
  <sheetViews>
    <sheetView workbookViewId="0"/>
  </sheetViews>
  <sheetFormatPr defaultColWidth="9.1328125" defaultRowHeight="13.5"/>
  <cols>
    <col min="1" max="3" width="4.1328125" style="1841" customWidth="1"/>
    <col min="4" max="4" width="4.1328125" style="1842" customWidth="1"/>
    <col min="5" max="5" width="10.265625" style="1842" customWidth="1"/>
    <col min="6" max="16" width="10.265625" style="1841" customWidth="1"/>
    <col min="17" max="16384" width="9.1328125" style="1841"/>
  </cols>
  <sheetData>
    <row r="1" spans="1:17">
      <c r="A1" s="1883"/>
      <c r="B1" s="1883"/>
      <c r="C1" s="1883"/>
      <c r="D1" s="1884"/>
      <c r="E1" s="1884"/>
      <c r="F1" s="1883"/>
      <c r="G1" s="1883"/>
      <c r="H1" s="1883"/>
      <c r="I1" s="1883"/>
      <c r="J1" s="1883"/>
      <c r="K1" s="1883"/>
      <c r="L1" s="1883"/>
      <c r="M1" s="1883"/>
      <c r="N1" s="1883"/>
      <c r="O1" s="1883"/>
      <c r="P1" s="1883"/>
      <c r="Q1" s="1883"/>
    </row>
    <row r="2" spans="1:17" ht="17.25">
      <c r="A2" s="1883"/>
      <c r="B2" s="1885" t="s">
        <v>1880</v>
      </c>
      <c r="C2" s="1883"/>
      <c r="D2" s="1884"/>
      <c r="E2" s="1884"/>
      <c r="F2" s="1883"/>
      <c r="G2" s="1883"/>
      <c r="H2" s="1883"/>
      <c r="I2" s="1883"/>
      <c r="J2" s="1883"/>
      <c r="K2" s="1883"/>
      <c r="L2" s="1883"/>
      <c r="M2" s="1883"/>
      <c r="N2" s="1883"/>
      <c r="O2" s="1883"/>
      <c r="P2" s="1883"/>
      <c r="Q2" s="1883"/>
    </row>
    <row r="3" spans="1:17" s="1882" customFormat="1" ht="12.75">
      <c r="A3" s="1553"/>
      <c r="B3" s="1886"/>
      <c r="C3" s="1553"/>
      <c r="D3" s="1887"/>
      <c r="E3" s="1887"/>
      <c r="F3" s="1553"/>
      <c r="G3" s="1553"/>
      <c r="H3" s="1553"/>
      <c r="I3" s="1553"/>
      <c r="J3" s="1553"/>
      <c r="K3" s="1553"/>
      <c r="L3" s="1553"/>
      <c r="M3" s="1553"/>
      <c r="N3" s="1553"/>
      <c r="O3" s="1553"/>
      <c r="P3" s="1553"/>
      <c r="Q3" s="1553"/>
    </row>
    <row r="4" spans="1:17" ht="13.9" thickBot="1"/>
    <row r="5" spans="1:17" ht="13.9">
      <c r="B5" s="1854"/>
      <c r="C5" s="1855" t="s">
        <v>1798</v>
      </c>
      <c r="D5" s="1856"/>
      <c r="E5" s="1856"/>
      <c r="F5" s="1855"/>
      <c r="G5" s="1855"/>
      <c r="H5" s="1855"/>
      <c r="I5" s="1855"/>
      <c r="J5" s="1855"/>
      <c r="K5" s="1855"/>
      <c r="L5" s="1855"/>
      <c r="M5" s="1855"/>
      <c r="N5" s="1855"/>
      <c r="O5" s="1855"/>
      <c r="P5" s="1857"/>
    </row>
    <row r="6" spans="1:17" ht="13.9">
      <c r="B6" s="1858"/>
      <c r="C6" s="1859" t="s">
        <v>1346</v>
      </c>
      <c r="D6" s="1860"/>
      <c r="E6" s="1859"/>
      <c r="F6" s="1861"/>
      <c r="G6" s="1861"/>
      <c r="H6" s="1861"/>
      <c r="I6" s="1861"/>
      <c r="J6" s="1861"/>
      <c r="K6" s="1861"/>
      <c r="L6" s="1861"/>
      <c r="M6" s="1861"/>
      <c r="N6" s="1861"/>
      <c r="O6" s="1861"/>
      <c r="P6" s="1862"/>
    </row>
    <row r="7" spans="1:17" ht="13.9">
      <c r="B7" s="1858"/>
      <c r="C7" s="1863" t="s">
        <v>1693</v>
      </c>
      <c r="D7" s="1864"/>
      <c r="E7" s="1864"/>
      <c r="F7" s="1863"/>
      <c r="G7" s="1863"/>
      <c r="H7" s="1863"/>
      <c r="I7" s="1863"/>
      <c r="J7" s="1863"/>
      <c r="K7" s="1863"/>
      <c r="L7" s="1863"/>
      <c r="M7" s="1863"/>
      <c r="N7" s="1863"/>
      <c r="O7" s="1863"/>
      <c r="P7" s="1862"/>
    </row>
    <row r="8" spans="1:17" ht="13.9">
      <c r="B8" s="1858"/>
      <c r="C8" s="1863" t="s">
        <v>1138</v>
      </c>
      <c r="D8" s="1864"/>
      <c r="E8" s="1864"/>
      <c r="F8" s="1863"/>
      <c r="G8" s="1863"/>
      <c r="H8" s="1863"/>
      <c r="I8" s="1863"/>
      <c r="J8" s="1863"/>
      <c r="K8" s="1863"/>
      <c r="L8" s="1863"/>
      <c r="M8" s="1863"/>
      <c r="N8" s="1863"/>
      <c r="O8" s="1863"/>
      <c r="P8" s="1862"/>
    </row>
    <row r="9" spans="1:17">
      <c r="B9" s="1858"/>
      <c r="C9" s="1865"/>
      <c r="D9" s="1864" t="s">
        <v>1775</v>
      </c>
      <c r="E9" s="1864"/>
      <c r="F9" s="1863"/>
      <c r="G9" s="1863"/>
      <c r="H9" s="1863"/>
      <c r="I9" s="1863"/>
      <c r="J9" s="1863"/>
      <c r="K9" s="1863"/>
      <c r="L9" s="1863"/>
      <c r="M9" s="1863"/>
      <c r="N9" s="1863"/>
      <c r="O9" s="1863"/>
      <c r="P9" s="1862"/>
    </row>
    <row r="10" spans="1:17">
      <c r="B10" s="1858"/>
      <c r="C10" s="1863"/>
      <c r="D10" s="1866" t="s">
        <v>1425</v>
      </c>
      <c r="E10" s="1864"/>
      <c r="F10" s="1863"/>
      <c r="G10" s="1863"/>
      <c r="H10" s="1863"/>
      <c r="I10" s="1863"/>
      <c r="J10" s="1863"/>
      <c r="K10" s="1863"/>
      <c r="L10" s="1863"/>
      <c r="M10" s="1863"/>
      <c r="N10" s="1863"/>
      <c r="O10" s="1863"/>
      <c r="P10" s="1862"/>
    </row>
    <row r="11" spans="1:17" ht="14.25" thickBot="1">
      <c r="B11" s="1867"/>
      <c r="C11" s="1868" t="s">
        <v>1626</v>
      </c>
      <c r="D11" s="1869"/>
      <c r="E11" s="1869"/>
      <c r="F11" s="1870"/>
      <c r="G11" s="1870"/>
      <c r="H11" s="1870"/>
      <c r="I11" s="1870"/>
      <c r="J11" s="1870"/>
      <c r="K11" s="1870"/>
      <c r="L11" s="1870"/>
      <c r="M11" s="1870"/>
      <c r="N11" s="1870"/>
      <c r="O11" s="1870"/>
      <c r="P11" s="1871"/>
    </row>
    <row r="13" spans="1:17">
      <c r="A13" s="1883"/>
      <c r="B13" s="1883"/>
      <c r="C13" s="1883"/>
      <c r="D13" s="1884"/>
      <c r="E13" s="1884"/>
      <c r="F13" s="1883"/>
      <c r="G13" s="1883"/>
      <c r="H13" s="1883"/>
      <c r="I13" s="1883"/>
      <c r="J13" s="1883"/>
      <c r="K13" s="1883"/>
      <c r="L13" s="1883"/>
      <c r="M13" s="1883"/>
      <c r="N13" s="1883"/>
      <c r="O13" s="1883"/>
      <c r="P13" s="1883"/>
      <c r="Q13" s="1883"/>
    </row>
    <row r="14" spans="1:17" ht="17.25">
      <c r="A14" s="1883"/>
      <c r="B14" s="1885" t="s">
        <v>1426</v>
      </c>
      <c r="C14" s="1883"/>
      <c r="D14" s="1884"/>
      <c r="E14" s="1884"/>
      <c r="F14" s="1883"/>
      <c r="G14" s="1883"/>
      <c r="H14" s="1883"/>
      <c r="I14" s="1883"/>
      <c r="J14" s="1883"/>
      <c r="K14" s="1883"/>
      <c r="L14" s="1883"/>
      <c r="M14" s="1883"/>
      <c r="N14" s="1883"/>
      <c r="O14" s="1883"/>
      <c r="P14" s="1883"/>
      <c r="Q14" s="1883"/>
    </row>
    <row r="15" spans="1:17">
      <c r="A15" s="1883"/>
      <c r="B15" s="1883"/>
      <c r="C15" s="1883"/>
      <c r="D15" s="1884"/>
      <c r="E15" s="1884"/>
      <c r="F15" s="1883"/>
      <c r="G15" s="1883"/>
      <c r="H15" s="1883"/>
      <c r="I15" s="1883"/>
      <c r="J15" s="1883"/>
      <c r="K15" s="1883"/>
      <c r="L15" s="1883"/>
      <c r="M15" s="1883"/>
      <c r="N15" s="1883"/>
      <c r="O15" s="1883"/>
      <c r="P15" s="1883"/>
      <c r="Q15" s="1883"/>
    </row>
    <row r="17" spans="1:17" s="1889" customFormat="1" ht="24" customHeight="1">
      <c r="A17" s="1888"/>
      <c r="B17" s="1894" t="s">
        <v>1758</v>
      </c>
      <c r="C17" s="1888"/>
      <c r="D17" s="1888"/>
      <c r="E17" s="1888"/>
      <c r="F17" s="1888"/>
      <c r="G17" s="1888"/>
      <c r="H17" s="1888"/>
      <c r="I17" s="1888"/>
      <c r="J17" s="1888"/>
      <c r="K17" s="1888"/>
      <c r="L17" s="1888"/>
      <c r="M17" s="1888"/>
      <c r="N17" s="1888"/>
      <c r="O17" s="1888"/>
      <c r="P17" s="1888"/>
      <c r="Q17" s="1888"/>
    </row>
    <row r="19" spans="1:17" ht="13.9">
      <c r="B19" s="1843">
        <v>11</v>
      </c>
      <c r="C19" s="1843">
        <v>23</v>
      </c>
      <c r="D19" s="1842" t="s">
        <v>497</v>
      </c>
    </row>
    <row r="21" spans="1:17">
      <c r="B21" s="1841" t="s">
        <v>1786</v>
      </c>
    </row>
    <row r="22" spans="1:17">
      <c r="B22" s="1841" t="s">
        <v>1787</v>
      </c>
    </row>
    <row r="24" spans="1:17" ht="13.9">
      <c r="C24" s="1844"/>
      <c r="D24" s="1860"/>
      <c r="E24" s="1842" t="s">
        <v>1342</v>
      </c>
    </row>
    <row r="26" spans="1:17">
      <c r="C26" s="1845"/>
      <c r="D26" s="1845"/>
      <c r="E26" s="1842" t="s">
        <v>1343</v>
      </c>
    </row>
    <row r="28" spans="1:17">
      <c r="B28" s="1841" t="s">
        <v>440</v>
      </c>
    </row>
    <row r="30" spans="1:17">
      <c r="C30" s="1846"/>
      <c r="D30" s="1872"/>
      <c r="E30" s="1842" t="s">
        <v>275</v>
      </c>
      <c r="J30" s="1847"/>
      <c r="K30" s="1842" t="s">
        <v>274</v>
      </c>
      <c r="M30" s="1842"/>
    </row>
    <row r="31" spans="1:17">
      <c r="D31" s="1873"/>
    </row>
    <row r="32" spans="1:17">
      <c r="C32" s="1848"/>
      <c r="D32" s="1874"/>
      <c r="E32" s="1842" t="s">
        <v>458</v>
      </c>
    </row>
    <row r="33" spans="1:17">
      <c r="D33" s="1873"/>
    </row>
    <row r="34" spans="1:17">
      <c r="C34" s="1849"/>
      <c r="D34" s="1875"/>
      <c r="E34" s="1842" t="s">
        <v>590</v>
      </c>
    </row>
    <row r="37" spans="1:17" s="1889" customFormat="1" ht="24" customHeight="1">
      <c r="A37" s="1888"/>
      <c r="B37" s="1894" t="s">
        <v>459</v>
      </c>
      <c r="C37" s="1888"/>
      <c r="D37" s="1888"/>
      <c r="E37" s="1888"/>
      <c r="F37" s="1888"/>
      <c r="G37" s="1888"/>
      <c r="H37" s="1888"/>
      <c r="I37" s="1888"/>
      <c r="J37" s="1888"/>
      <c r="K37" s="1888"/>
      <c r="L37" s="1888"/>
      <c r="M37" s="1888"/>
      <c r="N37" s="1888"/>
      <c r="O37" s="1888"/>
      <c r="P37" s="1888"/>
      <c r="Q37" s="1888"/>
    </row>
    <row r="39" spans="1:17" ht="13.9">
      <c r="B39" s="1899" t="s">
        <v>1633</v>
      </c>
      <c r="C39" s="1900"/>
      <c r="D39" s="1901"/>
      <c r="E39" s="1901"/>
      <c r="F39" s="1900"/>
      <c r="G39" s="1902"/>
    </row>
    <row r="40" spans="1:17" ht="13.9">
      <c r="B40" s="1850"/>
    </row>
    <row r="41" spans="1:17" ht="13.9">
      <c r="B41" s="1850"/>
      <c r="C41" s="1841" t="s">
        <v>551</v>
      </c>
    </row>
    <row r="42" spans="1:17" ht="13.9">
      <c r="B42" s="1850"/>
    </row>
    <row r="43" spans="1:17" ht="13.9">
      <c r="B43" s="1850"/>
      <c r="C43" s="1841" t="s">
        <v>1798</v>
      </c>
    </row>
    <row r="44" spans="1:17" ht="13.9">
      <c r="B44" s="1850"/>
    </row>
    <row r="45" spans="1:17" ht="13.9">
      <c r="C45" s="1841" t="s">
        <v>552</v>
      </c>
    </row>
    <row r="46" spans="1:17">
      <c r="D46" s="1841"/>
    </row>
    <row r="47" spans="1:17">
      <c r="D47" s="1842" t="s">
        <v>1688</v>
      </c>
    </row>
    <row r="48" spans="1:17">
      <c r="D48" s="1841" t="s">
        <v>1799</v>
      </c>
    </row>
    <row r="49" spans="2:7">
      <c r="D49" s="1842" t="s">
        <v>1800</v>
      </c>
    </row>
    <row r="51" spans="2:7">
      <c r="D51" s="1842" t="s">
        <v>1642</v>
      </c>
    </row>
    <row r="52" spans="2:7">
      <c r="D52" s="1842" t="s">
        <v>526</v>
      </c>
    </row>
    <row r="54" spans="2:7">
      <c r="C54" s="1841" t="s">
        <v>553</v>
      </c>
    </row>
    <row r="55" spans="2:7">
      <c r="D55" s="1841" t="s">
        <v>401</v>
      </c>
    </row>
    <row r="56" spans="2:7">
      <c r="D56" s="1842" t="s">
        <v>1556</v>
      </c>
    </row>
    <row r="57" spans="2:7">
      <c r="D57" s="1842" t="s">
        <v>1557</v>
      </c>
    </row>
    <row r="59" spans="2:7" ht="13.9">
      <c r="B59" s="1899" t="s">
        <v>302</v>
      </c>
      <c r="C59" s="1900"/>
      <c r="D59" s="1901"/>
      <c r="E59" s="1901"/>
      <c r="F59" s="1900"/>
      <c r="G59" s="1902"/>
    </row>
    <row r="61" spans="2:7">
      <c r="C61" s="1841" t="s">
        <v>378</v>
      </c>
    </row>
    <row r="62" spans="2:7" ht="13.9">
      <c r="D62" s="1876" t="s">
        <v>1338</v>
      </c>
    </row>
    <row r="63" spans="2:7" ht="13.9">
      <c r="D63" s="1876" t="s">
        <v>943</v>
      </c>
    </row>
    <row r="64" spans="2:7" ht="13.9">
      <c r="D64" s="1876" t="s">
        <v>944</v>
      </c>
    </row>
    <row r="65" spans="3:7" ht="13.9">
      <c r="D65" s="1876" t="s">
        <v>945</v>
      </c>
    </row>
    <row r="67" spans="3:7">
      <c r="C67" s="1841" t="s">
        <v>1970</v>
      </c>
    </row>
    <row r="68" spans="3:7">
      <c r="D68" s="1842" t="s">
        <v>1971</v>
      </c>
    </row>
    <row r="69" spans="3:7">
      <c r="D69" s="1842" t="s">
        <v>1972</v>
      </c>
    </row>
    <row r="70" spans="3:7" ht="13.9">
      <c r="D70" s="1877" t="s">
        <v>1789</v>
      </c>
    </row>
    <row r="72" spans="3:7">
      <c r="C72" s="1841" t="s">
        <v>295</v>
      </c>
    </row>
    <row r="73" spans="3:7" ht="13.9">
      <c r="C73" s="1878" t="s">
        <v>1776</v>
      </c>
    </row>
    <row r="75" spans="3:7" ht="13.9">
      <c r="C75" s="1895" t="s">
        <v>303</v>
      </c>
      <c r="D75" s="1896"/>
      <c r="E75" s="1896"/>
      <c r="F75" s="1897"/>
      <c r="G75" s="1898"/>
    </row>
    <row r="77" spans="3:7" ht="13.9">
      <c r="D77" s="1876" t="s">
        <v>1338</v>
      </c>
    </row>
    <row r="79" spans="3:7" ht="13.9">
      <c r="D79" s="1879" t="s">
        <v>968</v>
      </c>
      <c r="E79" s="1841"/>
    </row>
    <row r="80" spans="3:7">
      <c r="D80" s="1841"/>
      <c r="E80" s="1880" t="s">
        <v>1246</v>
      </c>
    </row>
    <row r="81" spans="4:5">
      <c r="D81" s="1841"/>
      <c r="E81" s="1880" t="s">
        <v>1247</v>
      </c>
    </row>
    <row r="82" spans="4:5">
      <c r="D82" s="1841"/>
      <c r="E82" s="1880" t="s">
        <v>1973</v>
      </c>
    </row>
    <row r="83" spans="4:5">
      <c r="D83" s="1841"/>
      <c r="E83" s="1880" t="s">
        <v>1248</v>
      </c>
    </row>
    <row r="84" spans="4:5">
      <c r="D84" s="1841"/>
      <c r="E84" s="1880" t="s">
        <v>393</v>
      </c>
    </row>
    <row r="85" spans="4:5">
      <c r="D85" s="1841"/>
      <c r="E85" s="1841"/>
    </row>
    <row r="86" spans="4:5" ht="13.9">
      <c r="D86" s="1879" t="s">
        <v>394</v>
      </c>
      <c r="E86" s="1841"/>
    </row>
    <row r="87" spans="4:5">
      <c r="D87" s="1841"/>
      <c r="E87" s="1841" t="s">
        <v>949</v>
      </c>
    </row>
    <row r="88" spans="4:5">
      <c r="D88" s="1841"/>
      <c r="E88" s="1841" t="s">
        <v>939</v>
      </c>
    </row>
    <row r="89" spans="4:5">
      <c r="D89" s="1841"/>
      <c r="E89" s="1841"/>
    </row>
    <row r="90" spans="4:5" ht="13.9">
      <c r="D90" s="1842" t="s">
        <v>1999</v>
      </c>
    </row>
    <row r="91" spans="4:5">
      <c r="D91" s="1841"/>
      <c r="E91" s="1841"/>
    </row>
    <row r="92" spans="4:5" ht="13.9">
      <c r="D92" s="1879" t="s">
        <v>39</v>
      </c>
      <c r="E92" s="1841"/>
    </row>
    <row r="93" spans="4:5">
      <c r="D93" s="1841"/>
      <c r="E93" s="1841"/>
    </row>
    <row r="94" spans="4:5">
      <c r="E94" s="1842" t="s">
        <v>2000</v>
      </c>
    </row>
    <row r="95" spans="4:5">
      <c r="E95" s="1842" t="s">
        <v>940</v>
      </c>
    </row>
    <row r="97" spans="3:7">
      <c r="E97" s="1842" t="s">
        <v>217</v>
      </c>
    </row>
    <row r="98" spans="3:7">
      <c r="E98" s="1842" t="s">
        <v>218</v>
      </c>
    </row>
    <row r="100" spans="3:7" ht="13.9">
      <c r="E100" s="1842" t="s">
        <v>1169</v>
      </c>
    </row>
    <row r="102" spans="3:7" ht="13.9">
      <c r="D102" s="1879" t="s">
        <v>2056</v>
      </c>
    </row>
    <row r="103" spans="3:7">
      <c r="D103" s="2132"/>
    </row>
    <row r="104" spans="3:7">
      <c r="D104" s="2132"/>
      <c r="E104" s="1842" t="s">
        <v>42</v>
      </c>
    </row>
    <row r="105" spans="3:7" ht="13.9">
      <c r="D105" s="1876"/>
      <c r="E105" s="1841" t="s">
        <v>92</v>
      </c>
    </row>
    <row r="106" spans="3:7" ht="13.9">
      <c r="D106" s="1876"/>
      <c r="E106" s="1841"/>
    </row>
    <row r="107" spans="3:7">
      <c r="E107" s="1841" t="s">
        <v>983</v>
      </c>
    </row>
    <row r="108" spans="3:7" ht="13.9">
      <c r="E108" s="1842" t="s">
        <v>615</v>
      </c>
    </row>
    <row r="109" spans="3:7">
      <c r="E109" s="1841" t="s">
        <v>38</v>
      </c>
    </row>
    <row r="111" spans="3:7" ht="13.9">
      <c r="C111" s="1895" t="s">
        <v>1379</v>
      </c>
      <c r="D111" s="1896"/>
      <c r="E111" s="1896"/>
      <c r="F111" s="1897"/>
      <c r="G111" s="1898"/>
    </row>
    <row r="113" spans="3:7" ht="13.9">
      <c r="D113" s="1876" t="s">
        <v>1170</v>
      </c>
    </row>
    <row r="115" spans="3:7" ht="13.9">
      <c r="D115" s="1842" t="s">
        <v>120</v>
      </c>
    </row>
    <row r="116" spans="3:7">
      <c r="D116" s="1842" t="s">
        <v>974</v>
      </c>
      <c r="E116" s="1842" t="s">
        <v>1078</v>
      </c>
    </row>
    <row r="117" spans="3:7">
      <c r="E117" s="1842" t="s">
        <v>220</v>
      </c>
    </row>
    <row r="119" spans="3:7" ht="13.9">
      <c r="C119" s="1895" t="s">
        <v>1380</v>
      </c>
      <c r="D119" s="1896"/>
      <c r="E119" s="1896"/>
      <c r="F119" s="1897"/>
      <c r="G119" s="1898"/>
    </row>
    <row r="121" spans="3:7" ht="13.9">
      <c r="D121" s="1842" t="s">
        <v>938</v>
      </c>
    </row>
    <row r="123" spans="3:7" ht="13.9">
      <c r="D123" s="1842" t="s">
        <v>1378</v>
      </c>
    </row>
    <row r="125" spans="3:7" ht="13.9">
      <c r="D125" s="1842" t="s">
        <v>1631</v>
      </c>
    </row>
    <row r="127" spans="3:7" ht="13.9">
      <c r="C127" s="1895" t="s">
        <v>505</v>
      </c>
      <c r="D127" s="1896"/>
      <c r="E127" s="1896"/>
      <c r="F127" s="1897"/>
      <c r="G127" s="1898"/>
    </row>
    <row r="129" spans="4:6" ht="13.9">
      <c r="D129" s="1851" t="s">
        <v>1319</v>
      </c>
      <c r="F129" s="1853"/>
    </row>
    <row r="131" spans="4:6" ht="13.9">
      <c r="D131" s="1842" t="s">
        <v>225</v>
      </c>
    </row>
    <row r="132" spans="4:6">
      <c r="E132" s="1842" t="s">
        <v>807</v>
      </c>
    </row>
    <row r="133" spans="4:6">
      <c r="E133" s="1842" t="s">
        <v>808</v>
      </c>
    </row>
    <row r="135" spans="4:6">
      <c r="D135" s="1842" t="s">
        <v>1000</v>
      </c>
    </row>
    <row r="136" spans="4:6">
      <c r="E136" s="1841" t="s">
        <v>2057</v>
      </c>
    </row>
    <row r="138" spans="4:6">
      <c r="E138" s="1842" t="s">
        <v>1115</v>
      </c>
    </row>
    <row r="139" spans="4:6">
      <c r="E139" s="1842" t="s">
        <v>2058</v>
      </c>
    </row>
    <row r="140" spans="4:6">
      <c r="E140" s="1842" t="s">
        <v>65</v>
      </c>
    </row>
    <row r="142" spans="4:6">
      <c r="E142" s="1842" t="s">
        <v>1136</v>
      </c>
    </row>
    <row r="144" spans="4:6">
      <c r="E144" s="1842" t="s">
        <v>66</v>
      </c>
    </row>
    <row r="145" spans="5:15">
      <c r="E145" s="1842" t="s">
        <v>185</v>
      </c>
    </row>
    <row r="146" spans="5:15">
      <c r="E146" s="1842" t="s">
        <v>1110</v>
      </c>
    </row>
    <row r="147" spans="5:15">
      <c r="E147" s="1842" t="s">
        <v>1111</v>
      </c>
    </row>
    <row r="148" spans="5:15">
      <c r="E148" s="1841"/>
    </row>
    <row r="149" spans="5:15">
      <c r="E149" s="1842" t="s">
        <v>1137</v>
      </c>
    </row>
    <row r="150" spans="5:15">
      <c r="E150" s="1841" t="s">
        <v>1112</v>
      </c>
    </row>
    <row r="151" spans="5:15">
      <c r="E151" s="1841" t="s">
        <v>1113</v>
      </c>
    </row>
    <row r="152" spans="5:15">
      <c r="E152" s="1841" t="s">
        <v>1114</v>
      </c>
    </row>
    <row r="154" spans="5:15">
      <c r="E154" s="3769" t="s">
        <v>1587</v>
      </c>
      <c r="F154" s="3770"/>
      <c r="G154" s="3770"/>
      <c r="H154" s="3770"/>
      <c r="I154" s="3770"/>
      <c r="J154" s="3770"/>
      <c r="K154" s="3770"/>
      <c r="L154" s="3770"/>
      <c r="M154" s="3770"/>
      <c r="N154" s="3770"/>
      <c r="O154" s="3771"/>
    </row>
    <row r="155" spans="5:15">
      <c r="E155" s="1841"/>
    </row>
    <row r="156" spans="5:15">
      <c r="E156" s="3769" t="s">
        <v>1116</v>
      </c>
      <c r="F156" s="3770"/>
      <c r="G156" s="3770"/>
      <c r="H156" s="3770"/>
      <c r="I156" s="3770"/>
      <c r="J156" s="3770"/>
      <c r="K156" s="3770"/>
      <c r="L156" s="3770"/>
      <c r="M156" s="3770"/>
      <c r="N156" s="3770"/>
      <c r="O156" s="3771"/>
    </row>
    <row r="157" spans="5:15">
      <c r="E157" s="1841"/>
    </row>
    <row r="158" spans="5:15">
      <c r="E158" s="3772" t="s">
        <v>1117</v>
      </c>
      <c r="F158" s="3773"/>
      <c r="G158" s="3773"/>
      <c r="H158" s="3773"/>
      <c r="I158" s="3773"/>
      <c r="J158" s="3773"/>
      <c r="K158" s="3773"/>
      <c r="L158" s="3773"/>
      <c r="M158" s="3773"/>
      <c r="N158" s="3773"/>
      <c r="O158" s="3774"/>
    </row>
    <row r="159" spans="5:15">
      <c r="E159" s="1841"/>
    </row>
    <row r="160" spans="5:15" ht="14.25" customHeight="1">
      <c r="E160" s="3775" t="s">
        <v>1126</v>
      </c>
      <c r="F160" s="3776"/>
      <c r="G160" s="3777"/>
      <c r="H160" s="3784" t="s">
        <v>1791</v>
      </c>
      <c r="I160" s="3775" t="s">
        <v>159</v>
      </c>
      <c r="J160" s="3776"/>
      <c r="K160" s="3777"/>
      <c r="L160" s="3784" t="s">
        <v>1791</v>
      </c>
      <c r="M160" s="3775" t="s">
        <v>1127</v>
      </c>
      <c r="N160" s="3776"/>
      <c r="O160" s="3777"/>
    </row>
    <row r="161" spans="4:15" ht="14.25" customHeight="1">
      <c r="E161" s="3778"/>
      <c r="F161" s="3779"/>
      <c r="G161" s="3780"/>
      <c r="H161" s="3784"/>
      <c r="I161" s="3778"/>
      <c r="J161" s="3779"/>
      <c r="K161" s="3780"/>
      <c r="L161" s="3784"/>
      <c r="M161" s="3778"/>
      <c r="N161" s="3779"/>
      <c r="O161" s="3780"/>
    </row>
    <row r="162" spans="4:15">
      <c r="E162" s="3781"/>
      <c r="F162" s="3782"/>
      <c r="G162" s="3783"/>
      <c r="H162" s="3784"/>
      <c r="I162" s="3781"/>
      <c r="J162" s="3782"/>
      <c r="K162" s="3783"/>
      <c r="L162" s="3784"/>
      <c r="M162" s="3781"/>
      <c r="N162" s="3782"/>
      <c r="O162" s="3783"/>
    </row>
    <row r="163" spans="4:15">
      <c r="E163" s="1841"/>
    </row>
    <row r="164" spans="4:15">
      <c r="E164" s="3769" t="s">
        <v>161</v>
      </c>
      <c r="F164" s="3770"/>
      <c r="G164" s="3771"/>
      <c r="I164" s="3769" t="s">
        <v>1131</v>
      </c>
      <c r="J164" s="3770"/>
      <c r="K164" s="3771"/>
      <c r="M164" s="3769" t="s">
        <v>1128</v>
      </c>
      <c r="N164" s="3770"/>
      <c r="O164" s="3771"/>
    </row>
    <row r="165" spans="4:15">
      <c r="E165" s="1841"/>
    </row>
    <row r="166" spans="4:15">
      <c r="E166" s="3769" t="s">
        <v>162</v>
      </c>
      <c r="F166" s="3770"/>
      <c r="G166" s="3771"/>
      <c r="I166" s="3769" t="s">
        <v>1132</v>
      </c>
      <c r="J166" s="3770"/>
      <c r="K166" s="3771"/>
      <c r="M166" s="3769" t="s">
        <v>1129</v>
      </c>
      <c r="N166" s="3770"/>
      <c r="O166" s="3771"/>
    </row>
    <row r="167" spans="4:15">
      <c r="E167" s="1841"/>
    </row>
    <row r="168" spans="4:15" ht="14.25" customHeight="1">
      <c r="E168" s="3769" t="s">
        <v>163</v>
      </c>
      <c r="F168" s="3770"/>
      <c r="G168" s="3771"/>
      <c r="I168" s="3775" t="s">
        <v>160</v>
      </c>
      <c r="J168" s="3776"/>
      <c r="K168" s="3777"/>
      <c r="M168" s="3769" t="s">
        <v>1130</v>
      </c>
      <c r="N168" s="3770"/>
      <c r="O168" s="3771"/>
    </row>
    <row r="169" spans="4:15">
      <c r="I169" s="3781"/>
      <c r="J169" s="3782"/>
      <c r="K169" s="3783"/>
    </row>
    <row r="173" spans="4:15" ht="13.9">
      <c r="D173" s="1876" t="s">
        <v>1244</v>
      </c>
    </row>
    <row r="174" spans="4:15">
      <c r="E174" s="1852" t="s">
        <v>343</v>
      </c>
    </row>
    <row r="175" spans="4:15">
      <c r="E175" s="1852" t="s">
        <v>502</v>
      </c>
    </row>
    <row r="176" spans="4:15">
      <c r="E176" s="1852" t="s">
        <v>503</v>
      </c>
    </row>
    <row r="177" spans="2:7">
      <c r="E177" s="1852" t="s">
        <v>504</v>
      </c>
    </row>
    <row r="179" spans="2:7" ht="13.9">
      <c r="D179" s="1842" t="s">
        <v>344</v>
      </c>
    </row>
    <row r="181" spans="2:7" ht="13.9">
      <c r="D181" s="1842" t="s">
        <v>298</v>
      </c>
    </row>
    <row r="182" spans="2:7" ht="13.9">
      <c r="D182" s="1842" t="s">
        <v>1632</v>
      </c>
    </row>
    <row r="183" spans="2:7">
      <c r="E183" s="1852" t="s">
        <v>500</v>
      </c>
    </row>
    <row r="184" spans="2:7">
      <c r="E184" s="1852" t="s">
        <v>501</v>
      </c>
    </row>
    <row r="186" spans="2:7" ht="13.9">
      <c r="B186" s="1899" t="s">
        <v>299</v>
      </c>
      <c r="C186" s="1900"/>
      <c r="D186" s="1901"/>
      <c r="E186" s="1901"/>
      <c r="F186" s="1900"/>
      <c r="G186" s="1902"/>
    </row>
    <row r="188" spans="2:7" ht="13.9">
      <c r="D188" s="1842" t="s">
        <v>1679</v>
      </c>
    </row>
    <row r="190" spans="2:7" ht="13.9">
      <c r="D190" s="1842" t="s">
        <v>2011</v>
      </c>
    </row>
    <row r="192" spans="2:7" ht="13.9">
      <c r="D192" s="1842" t="s">
        <v>1404</v>
      </c>
    </row>
    <row r="193" spans="1:17">
      <c r="E193" s="1842" t="s">
        <v>477</v>
      </c>
    </row>
    <row r="194" spans="1:17" ht="13.9">
      <c r="E194" s="1842" t="s">
        <v>478</v>
      </c>
    </row>
    <row r="195" spans="1:17">
      <c r="E195" s="1841" t="s">
        <v>1845</v>
      </c>
    </row>
    <row r="196" spans="1:17" ht="13.9">
      <c r="E196" s="1842" t="s">
        <v>314</v>
      </c>
    </row>
    <row r="198" spans="1:17" ht="13.9">
      <c r="D198" s="1842" t="s">
        <v>2010</v>
      </c>
    </row>
    <row r="199" spans="1:17">
      <c r="E199" s="1842" t="s">
        <v>975</v>
      </c>
    </row>
    <row r="200" spans="1:17">
      <c r="E200" s="1842" t="s">
        <v>1001</v>
      </c>
    </row>
    <row r="201" spans="1:17">
      <c r="E201" s="1842" t="s">
        <v>1002</v>
      </c>
    </row>
    <row r="203" spans="1:17" ht="13.9">
      <c r="D203" s="1842" t="s">
        <v>1846</v>
      </c>
    </row>
    <row r="204" spans="1:17">
      <c r="E204" s="1842" t="s">
        <v>93</v>
      </c>
    </row>
    <row r="205" spans="1:17">
      <c r="E205" s="1842" t="s">
        <v>1931</v>
      </c>
    </row>
    <row r="206" spans="1:17">
      <c r="E206" s="1842" t="s">
        <v>1843</v>
      </c>
    </row>
    <row r="208" spans="1:17" s="1889" customFormat="1" ht="24" customHeight="1">
      <c r="A208" s="1888"/>
      <c r="B208" s="1894" t="s">
        <v>892</v>
      </c>
      <c r="C208" s="1888"/>
      <c r="D208" s="1888"/>
      <c r="E208" s="1888"/>
      <c r="F208" s="1888"/>
      <c r="G208" s="1888"/>
      <c r="H208" s="1888"/>
      <c r="I208" s="1888"/>
      <c r="J208" s="1888"/>
      <c r="K208" s="1888"/>
      <c r="L208" s="1888"/>
      <c r="M208" s="1888"/>
      <c r="N208" s="1888"/>
      <c r="O208" s="1888"/>
      <c r="P208" s="1841"/>
      <c r="Q208" s="1841"/>
    </row>
    <row r="210" spans="2:4">
      <c r="B210" s="1841" t="s">
        <v>609</v>
      </c>
    </row>
    <row r="211" spans="2:4">
      <c r="B211" s="1841" t="s">
        <v>1844</v>
      </c>
    </row>
    <row r="213" spans="2:4" ht="13.9">
      <c r="B213" s="1841" t="s">
        <v>610</v>
      </c>
    </row>
    <row r="215" spans="2:4" ht="13.9">
      <c r="B215" s="1841" t="s">
        <v>611</v>
      </c>
    </row>
    <row r="217" spans="2:4" ht="13.9">
      <c r="C217" s="1841" t="s">
        <v>633</v>
      </c>
    </row>
    <row r="218" spans="2:4">
      <c r="C218" s="1841" t="s">
        <v>304</v>
      </c>
    </row>
    <row r="219" spans="2:4" ht="13.9">
      <c r="C219" s="1841" t="s">
        <v>430</v>
      </c>
    </row>
    <row r="221" spans="2:4" ht="17.25" customHeight="1">
      <c r="C221" s="1850" t="s">
        <v>614</v>
      </c>
    </row>
    <row r="222" spans="2:4" ht="17.25" customHeight="1">
      <c r="D222" s="1841" t="s">
        <v>562</v>
      </c>
    </row>
    <row r="223" spans="2:4" ht="17.25" customHeight="1">
      <c r="D223" s="1841" t="s">
        <v>1580</v>
      </c>
    </row>
    <row r="224" spans="2:4" ht="17.25" customHeight="1">
      <c r="D224" s="1841" t="s">
        <v>1454</v>
      </c>
    </row>
    <row r="225" spans="2:4" ht="17.25" customHeight="1">
      <c r="D225" s="1841" t="s">
        <v>32</v>
      </c>
    </row>
    <row r="226" spans="2:4" ht="17.25" customHeight="1">
      <c r="D226" s="1841" t="s">
        <v>33</v>
      </c>
    </row>
    <row r="227" spans="2:4" ht="17.25" customHeight="1">
      <c r="D227" s="1841" t="s">
        <v>2286</v>
      </c>
    </row>
    <row r="228" spans="2:4">
      <c r="D228" s="1841"/>
    </row>
    <row r="229" spans="2:4">
      <c r="D229" s="1841"/>
    </row>
    <row r="230" spans="2:4" ht="13.9">
      <c r="B230" s="1841" t="s">
        <v>216</v>
      </c>
    </row>
    <row r="232" spans="2:4" ht="13.9">
      <c r="C232" s="1841" t="s">
        <v>1221</v>
      </c>
    </row>
    <row r="233" spans="2:4">
      <c r="C233" s="1841" t="s">
        <v>27</v>
      </c>
    </row>
    <row r="235" spans="2:4" ht="13.9">
      <c r="C235" s="1879" t="s">
        <v>738</v>
      </c>
    </row>
    <row r="236" spans="2:4">
      <c r="D236" s="1841" t="s">
        <v>473</v>
      </c>
    </row>
    <row r="237" spans="2:4">
      <c r="D237" s="1841" t="s">
        <v>474</v>
      </c>
    </row>
    <row r="238" spans="2:4">
      <c r="D238" s="1841" t="s">
        <v>984</v>
      </c>
    </row>
    <row r="239" spans="2:4">
      <c r="D239" s="1841" t="s">
        <v>2054</v>
      </c>
    </row>
    <row r="240" spans="2:4">
      <c r="D240" s="1841"/>
    </row>
    <row r="241" spans="2:4" ht="13.9">
      <c r="C241" s="1841" t="s">
        <v>1172</v>
      </c>
    </row>
    <row r="242" spans="2:4">
      <c r="D242" s="1841" t="s">
        <v>116</v>
      </c>
    </row>
    <row r="243" spans="2:4">
      <c r="D243" s="1841" t="s">
        <v>1640</v>
      </c>
    </row>
    <row r="245" spans="2:4">
      <c r="C245" s="1841" t="s">
        <v>1243</v>
      </c>
      <c r="D245" s="1841"/>
    </row>
    <row r="247" spans="2:4" ht="13.9">
      <c r="B247" s="1841" t="s">
        <v>893</v>
      </c>
    </row>
    <row r="249" spans="2:4">
      <c r="C249" s="1841" t="s">
        <v>315</v>
      </c>
    </row>
    <row r="250" spans="2:4">
      <c r="C250" s="1841" t="s">
        <v>316</v>
      </c>
    </row>
    <row r="252" spans="2:4">
      <c r="C252" s="1841" t="s">
        <v>1906</v>
      </c>
    </row>
    <row r="253" spans="2:4">
      <c r="C253" s="1841" t="s">
        <v>1370</v>
      </c>
    </row>
    <row r="254" spans="2:4">
      <c r="C254" s="1842"/>
    </row>
    <row r="255" spans="2:4">
      <c r="C255" s="1841" t="s">
        <v>1371</v>
      </c>
    </row>
    <row r="256" spans="2:4">
      <c r="C256" s="1841" t="s">
        <v>1771</v>
      </c>
    </row>
    <row r="258" spans="2:5" ht="13.9">
      <c r="B258" s="1841" t="s">
        <v>637</v>
      </c>
      <c r="D258" s="1881"/>
    </row>
    <row r="259" spans="2:5">
      <c r="E259" s="1841"/>
    </row>
    <row r="260" spans="2:5">
      <c r="C260" s="1841" t="s">
        <v>894</v>
      </c>
      <c r="D260" s="1881"/>
    </row>
    <row r="261" spans="2:5">
      <c r="C261" s="1841" t="s">
        <v>895</v>
      </c>
    </row>
    <row r="262" spans="2:5">
      <c r="C262" s="1841" t="s">
        <v>1781</v>
      </c>
    </row>
    <row r="264" spans="2:5">
      <c r="D264" s="1841"/>
    </row>
    <row r="267" spans="2:5">
      <c r="D267" s="1881"/>
    </row>
  </sheetData>
  <mergeCells count="17">
    <mergeCell ref="M164:O164"/>
    <mergeCell ref="M166:O166"/>
    <mergeCell ref="M168:O168"/>
    <mergeCell ref="I168:K169"/>
    <mergeCell ref="E164:G164"/>
    <mergeCell ref="E166:G166"/>
    <mergeCell ref="E168:G168"/>
    <mergeCell ref="I164:K164"/>
    <mergeCell ref="I166:K166"/>
    <mergeCell ref="E154:O154"/>
    <mergeCell ref="E156:O156"/>
    <mergeCell ref="E158:O158"/>
    <mergeCell ref="E160:G162"/>
    <mergeCell ref="H160:H162"/>
    <mergeCell ref="L160:L162"/>
    <mergeCell ref="I160:K162"/>
    <mergeCell ref="M160:O162"/>
  </mergeCells>
  <phoneticPr fontId="67" type="noConversion"/>
  <pageMargins left="0.75" right="0.75" top="0.42" bottom="0.34" header="0.27" footer="0.21"/>
  <pageSetup paperSize="9" scale="10" fitToHeight="7" orientation="landscape" r:id="rId1"/>
  <headerFooter alignWithMargins="0"/>
  <rowBreaks count="1" manualBreakCount="1">
    <brk id="36" max="16383" man="1"/>
  </row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03">
    <tabColor indexed="44"/>
  </sheetPr>
  <dimension ref="A1:AH503"/>
  <sheetViews>
    <sheetView workbookViewId="0">
      <selection activeCell="AC4" sqref="AC4"/>
    </sheetView>
  </sheetViews>
  <sheetFormatPr defaultColWidth="9.1328125" defaultRowHeight="12.75"/>
  <cols>
    <col min="1" max="1" width="4.59765625" style="3" customWidth="1"/>
    <col min="2" max="2" width="5" style="2" customWidth="1"/>
    <col min="3" max="3" width="10.86328125" style="1" customWidth="1"/>
    <col min="4" max="4" width="10.1328125" style="1" bestFit="1" customWidth="1"/>
    <col min="5" max="5" width="6.59765625" style="1" customWidth="1"/>
    <col min="6" max="6" width="42.86328125" style="1" customWidth="1"/>
    <col min="7" max="32" width="9" style="541" customWidth="1"/>
    <col min="33" max="37" width="9" style="1" customWidth="1"/>
    <col min="38" max="16384" width="9.1328125" style="1"/>
  </cols>
  <sheetData>
    <row r="1" spans="1:34" ht="42" customHeight="1" thickBot="1">
      <c r="A1" s="3785" t="s">
        <v>1649</v>
      </c>
      <c r="B1" s="3786"/>
      <c r="C1" s="3786"/>
      <c r="D1" s="3786"/>
      <c r="E1" s="3786"/>
      <c r="F1" s="3786"/>
      <c r="G1" s="3604">
        <v>6</v>
      </c>
      <c r="H1" s="3604">
        <v>7</v>
      </c>
      <c r="I1" s="3604">
        <v>8</v>
      </c>
      <c r="J1" s="3604">
        <v>9</v>
      </c>
      <c r="K1" s="3604">
        <v>10</v>
      </c>
      <c r="L1" s="3604">
        <v>11</v>
      </c>
      <c r="M1" s="3604">
        <v>12</v>
      </c>
      <c r="N1" s="3604">
        <v>13</v>
      </c>
      <c r="O1" s="3604">
        <v>14</v>
      </c>
      <c r="P1" s="3604">
        <v>15</v>
      </c>
      <c r="Q1" s="3604">
        <v>16</v>
      </c>
      <c r="R1" s="3604">
        <v>17</v>
      </c>
      <c r="S1" s="3604">
        <v>18</v>
      </c>
      <c r="T1" s="3604">
        <v>19</v>
      </c>
      <c r="U1" s="3604">
        <v>20</v>
      </c>
      <c r="V1" s="3604">
        <v>21</v>
      </c>
      <c r="W1" s="3604">
        <v>22</v>
      </c>
      <c r="X1" s="3604">
        <v>23</v>
      </c>
      <c r="Y1" s="3604">
        <v>24</v>
      </c>
      <c r="Z1" s="3604">
        <v>25</v>
      </c>
      <c r="AA1" s="3604">
        <v>26</v>
      </c>
      <c r="AB1" s="3604">
        <v>27</v>
      </c>
      <c r="AC1" s="3604">
        <v>28</v>
      </c>
      <c r="AD1" s="3604">
        <v>29</v>
      </c>
      <c r="AE1" s="3604">
        <v>30</v>
      </c>
      <c r="AF1" s="3604">
        <v>31</v>
      </c>
    </row>
    <row r="2" spans="1:34" ht="12" customHeight="1">
      <c r="A2" s="8" t="s">
        <v>695</v>
      </c>
      <c r="B2" s="4"/>
      <c r="C2" s="4"/>
      <c r="D2" s="5"/>
      <c r="E2" s="6"/>
      <c r="F2" s="7"/>
      <c r="G2" s="520"/>
      <c r="H2" s="520"/>
      <c r="I2" s="520"/>
      <c r="J2" s="520"/>
      <c r="K2" s="520"/>
      <c r="L2" s="520"/>
      <c r="M2" s="520"/>
      <c r="N2" s="520"/>
      <c r="O2" s="520"/>
      <c r="P2" s="520"/>
      <c r="Q2" s="520"/>
      <c r="R2" s="520"/>
      <c r="S2" s="520"/>
      <c r="T2" s="520"/>
      <c r="U2" s="520"/>
      <c r="V2" s="520"/>
      <c r="W2" s="520"/>
      <c r="X2" s="520"/>
      <c r="Y2" s="520"/>
      <c r="Z2" s="520"/>
      <c r="AA2" s="520"/>
      <c r="AB2" s="520"/>
      <c r="AC2" s="520"/>
      <c r="AD2" s="520"/>
      <c r="AE2" s="520"/>
      <c r="AF2" s="520"/>
    </row>
    <row r="3" spans="1:34" s="527" customFormat="1" ht="24.75" customHeight="1">
      <c r="A3" s="521" t="s">
        <v>696</v>
      </c>
      <c r="B3" s="522" t="s">
        <v>1234</v>
      </c>
      <c r="C3" s="522" t="s">
        <v>697</v>
      </c>
      <c r="D3" s="523" t="s">
        <v>1079</v>
      </c>
      <c r="E3" s="524" t="s">
        <v>1080</v>
      </c>
      <c r="F3" s="525" t="s">
        <v>109</v>
      </c>
      <c r="G3" s="1904">
        <v>1995</v>
      </c>
      <c r="H3" s="526">
        <f>G3+1</f>
        <v>1996</v>
      </c>
      <c r="I3" s="526">
        <f t="shared" ref="I3:AF3" si="0">H3+1</f>
        <v>1997</v>
      </c>
      <c r="J3" s="526">
        <f t="shared" si="0"/>
        <v>1998</v>
      </c>
      <c r="K3" s="526">
        <f t="shared" si="0"/>
        <v>1999</v>
      </c>
      <c r="L3" s="526">
        <f t="shared" si="0"/>
        <v>2000</v>
      </c>
      <c r="M3" s="526">
        <f t="shared" si="0"/>
        <v>2001</v>
      </c>
      <c r="N3" s="526">
        <f t="shared" si="0"/>
        <v>2002</v>
      </c>
      <c r="O3" s="526">
        <f t="shared" si="0"/>
        <v>2003</v>
      </c>
      <c r="P3" s="526">
        <f t="shared" si="0"/>
        <v>2004</v>
      </c>
      <c r="Q3" s="526">
        <f t="shared" si="0"/>
        <v>2005</v>
      </c>
      <c r="R3" s="526">
        <f t="shared" si="0"/>
        <v>2006</v>
      </c>
      <c r="S3" s="526">
        <f t="shared" si="0"/>
        <v>2007</v>
      </c>
      <c r="T3" s="526">
        <f t="shared" si="0"/>
        <v>2008</v>
      </c>
      <c r="U3" s="526">
        <f t="shared" si="0"/>
        <v>2009</v>
      </c>
      <c r="V3" s="526">
        <f t="shared" si="0"/>
        <v>2010</v>
      </c>
      <c r="W3" s="526">
        <f t="shared" si="0"/>
        <v>2011</v>
      </c>
      <c r="X3" s="526">
        <f t="shared" si="0"/>
        <v>2012</v>
      </c>
      <c r="Y3" s="526">
        <f t="shared" si="0"/>
        <v>2013</v>
      </c>
      <c r="Z3" s="526">
        <f t="shared" si="0"/>
        <v>2014</v>
      </c>
      <c r="AA3" s="526">
        <f t="shared" si="0"/>
        <v>2015</v>
      </c>
      <c r="AB3" s="526">
        <f t="shared" si="0"/>
        <v>2016</v>
      </c>
      <c r="AC3" s="526">
        <f t="shared" si="0"/>
        <v>2017</v>
      </c>
      <c r="AD3" s="526">
        <f t="shared" si="0"/>
        <v>2018</v>
      </c>
      <c r="AE3" s="526">
        <f t="shared" si="0"/>
        <v>2019</v>
      </c>
      <c r="AF3" s="526">
        <f t="shared" si="0"/>
        <v>2020</v>
      </c>
      <c r="AG3" s="3696"/>
    </row>
    <row r="4" spans="1:34">
      <c r="A4" s="530">
        <v>75</v>
      </c>
      <c r="B4" s="531" t="s">
        <v>1235</v>
      </c>
      <c r="C4" s="532"/>
      <c r="D4" s="9" t="s">
        <v>1237</v>
      </c>
      <c r="E4" s="10">
        <v>10</v>
      </c>
      <c r="F4" s="11" t="s">
        <v>2619</v>
      </c>
      <c r="G4" s="542">
        <v>8826.9385000000002</v>
      </c>
      <c r="H4" s="542">
        <v>8840.9974999999995</v>
      </c>
      <c r="I4" s="542">
        <v>8846.0619999999999</v>
      </c>
      <c r="J4" s="542">
        <v>8850.9735000000001</v>
      </c>
      <c r="K4" s="542">
        <v>8857.8739999999998</v>
      </c>
      <c r="L4" s="542">
        <v>8872.1090000000004</v>
      </c>
      <c r="M4" s="542">
        <v>8895.9599999999991</v>
      </c>
      <c r="N4" s="542">
        <v>8924.9580000000005</v>
      </c>
      <c r="O4" s="542">
        <v>8958.2289999999994</v>
      </c>
      <c r="P4" s="542">
        <v>8993.5310000000009</v>
      </c>
      <c r="Q4" s="542">
        <v>9029.5720000000001</v>
      </c>
      <c r="R4" s="542">
        <v>9080.5044999999991</v>
      </c>
      <c r="S4" s="542">
        <v>9148.0920000000006</v>
      </c>
      <c r="T4" s="542">
        <v>9219.6370000000006</v>
      </c>
      <c r="U4" s="542">
        <v>9219.6370000000006</v>
      </c>
      <c r="V4" s="542">
        <v>9378.1260000000002</v>
      </c>
      <c r="W4" s="542">
        <v>9449.2124999999996</v>
      </c>
      <c r="X4" s="542">
        <v>9519.3739999999998</v>
      </c>
      <c r="Y4" s="542">
        <v>9600.3785000000007</v>
      </c>
      <c r="Z4" s="542">
        <v>9696.1095000000005</v>
      </c>
      <c r="AA4" s="542">
        <v>9799.1859999999997</v>
      </c>
      <c r="AB4" s="542">
        <v>9923.0849999999991</v>
      </c>
      <c r="AC4" s="3614">
        <v>10057.6975</v>
      </c>
      <c r="AD4" s="542" t="s">
        <v>2620</v>
      </c>
      <c r="AE4" s="542" t="s">
        <v>2620</v>
      </c>
      <c r="AF4" s="542" t="s">
        <v>2620</v>
      </c>
      <c r="AG4" s="3697"/>
    </row>
    <row r="5" spans="1:34">
      <c r="A5" s="533">
        <v>76</v>
      </c>
      <c r="B5" s="534" t="s">
        <v>1236</v>
      </c>
      <c r="C5" s="535"/>
      <c r="D5" s="12" t="s">
        <v>1237</v>
      </c>
      <c r="E5" s="13">
        <v>12</v>
      </c>
      <c r="F5" s="14" t="s">
        <v>2621</v>
      </c>
      <c r="G5" s="543">
        <v>5621.2015000000001</v>
      </c>
      <c r="H5" s="543">
        <v>5634.29</v>
      </c>
      <c r="I5" s="543">
        <v>5645.2884999999997</v>
      </c>
      <c r="J5" s="543">
        <v>5659.5015000000003</v>
      </c>
      <c r="K5" s="543">
        <v>5678.6869999999999</v>
      </c>
      <c r="L5" s="543">
        <v>5705.1385</v>
      </c>
      <c r="M5" s="543">
        <v>5738.9480000000003</v>
      </c>
      <c r="N5" s="543">
        <v>5775.9285</v>
      </c>
      <c r="O5" s="543">
        <v>5815.2470000000003</v>
      </c>
      <c r="P5" s="543">
        <v>5854.451</v>
      </c>
      <c r="Q5" s="543">
        <v>5897.5375000000004</v>
      </c>
      <c r="R5" s="543">
        <v>5951.9160000000002</v>
      </c>
      <c r="S5" s="543">
        <v>6007.5069999999996</v>
      </c>
      <c r="T5" s="543">
        <v>6050.8225000000002</v>
      </c>
      <c r="U5" s="543">
        <v>6084.6634999999997</v>
      </c>
      <c r="V5" s="543">
        <v>6106.9139999999998</v>
      </c>
      <c r="W5" s="543">
        <v>6113.6409999999996</v>
      </c>
      <c r="X5" s="543">
        <v>6114.8339999999998</v>
      </c>
      <c r="Y5" s="543">
        <v>6121.1535000000003</v>
      </c>
      <c r="Z5" s="543">
        <v>6139.4970000000003</v>
      </c>
      <c r="AA5" s="543">
        <v>6169.5424999999996</v>
      </c>
      <c r="AB5" s="543">
        <v>6221.9745000000003</v>
      </c>
      <c r="AC5" s="3614">
        <v>6288.3604999999998</v>
      </c>
      <c r="AD5" s="543" t="s">
        <v>2620</v>
      </c>
      <c r="AE5" s="3284" t="s">
        <v>2620</v>
      </c>
      <c r="AF5" s="543" t="s">
        <v>2620</v>
      </c>
      <c r="AG5" s="3697"/>
    </row>
    <row r="6" spans="1:34">
      <c r="A6" s="533">
        <v>77</v>
      </c>
      <c r="B6" s="534" t="s">
        <v>1236</v>
      </c>
      <c r="C6" s="535"/>
      <c r="D6" s="12" t="s">
        <v>1237</v>
      </c>
      <c r="E6" s="13">
        <v>14</v>
      </c>
      <c r="F6" s="14" t="s">
        <v>2622</v>
      </c>
      <c r="G6" s="543">
        <v>6429.143</v>
      </c>
      <c r="H6" s="543">
        <v>6424.7645000000002</v>
      </c>
      <c r="I6" s="543">
        <v>6422.0770000000002</v>
      </c>
      <c r="J6" s="543">
        <v>6423.9335000000001</v>
      </c>
      <c r="K6" s="543">
        <v>6431.1075000000001</v>
      </c>
      <c r="L6" s="543">
        <v>6448.8985000000002</v>
      </c>
      <c r="M6" s="543">
        <v>6478.4690000000001</v>
      </c>
      <c r="N6" s="543">
        <v>6515.7839999999997</v>
      </c>
      <c r="O6" s="543">
        <v>6558.7855</v>
      </c>
      <c r="P6" s="543">
        <v>6606.2084999999997</v>
      </c>
      <c r="Q6" s="543">
        <v>6659.3959999999997</v>
      </c>
      <c r="R6" s="543">
        <v>6725.7280000000001</v>
      </c>
      <c r="S6" s="543">
        <v>6802.3410000000003</v>
      </c>
      <c r="T6" s="543">
        <v>6878.4489999999996</v>
      </c>
      <c r="U6" s="543">
        <v>6954.2955000000002</v>
      </c>
      <c r="V6" s="543">
        <v>7021.7295000000004</v>
      </c>
      <c r="W6" s="543">
        <v>7072.2385000000004</v>
      </c>
      <c r="X6" s="543">
        <v>7114.0434999999998</v>
      </c>
      <c r="Y6" s="543">
        <v>7156.5084999999999</v>
      </c>
      <c r="Z6" s="543">
        <v>7204.7875000000004</v>
      </c>
      <c r="AA6" s="543">
        <v>7258.79</v>
      </c>
      <c r="AB6" s="543">
        <v>7328.6130000000003</v>
      </c>
      <c r="AC6" s="3614">
        <v>7403.3869999999997</v>
      </c>
      <c r="AD6" s="543" t="s">
        <v>2620</v>
      </c>
      <c r="AE6" s="543" t="s">
        <v>2620</v>
      </c>
      <c r="AF6" s="543" t="s">
        <v>2620</v>
      </c>
      <c r="AG6" s="3697"/>
      <c r="AH6" s="542"/>
    </row>
    <row r="7" spans="1:34">
      <c r="A7" s="533">
        <v>59</v>
      </c>
      <c r="B7" s="534" t="s">
        <v>784</v>
      </c>
      <c r="C7" s="535"/>
      <c r="D7" s="12" t="s">
        <v>1238</v>
      </c>
      <c r="E7" s="13">
        <v>10</v>
      </c>
      <c r="F7" s="14" t="s">
        <v>2623</v>
      </c>
      <c r="G7" s="543">
        <v>4128.8999999999996</v>
      </c>
      <c r="H7" s="543">
        <v>4095.9</v>
      </c>
      <c r="I7" s="543">
        <v>4043.2</v>
      </c>
      <c r="J7" s="543">
        <v>4111.3999999999996</v>
      </c>
      <c r="K7" s="543">
        <v>4197.7</v>
      </c>
      <c r="L7" s="543">
        <v>4300.6000000000004</v>
      </c>
      <c r="M7" s="543">
        <v>4391.1000000000004</v>
      </c>
      <c r="N7" s="543">
        <v>4393.2</v>
      </c>
      <c r="O7" s="543">
        <v>4367.8999999999996</v>
      </c>
      <c r="P7" s="543">
        <v>4337.2</v>
      </c>
      <c r="Q7" s="543">
        <v>4348.7</v>
      </c>
      <c r="R7" s="543">
        <v>4422.3999999999996</v>
      </c>
      <c r="S7" s="543">
        <v>4524.3999999999996</v>
      </c>
      <c r="T7" s="543">
        <v>4565.2</v>
      </c>
      <c r="U7" s="543">
        <v>4454.8</v>
      </c>
      <c r="V7" s="543">
        <v>4497.7</v>
      </c>
      <c r="W7" s="543">
        <v>4593.6000000000004</v>
      </c>
      <c r="X7" s="543">
        <v>4627.3999999999996</v>
      </c>
      <c r="Y7" s="543">
        <v>4671.8</v>
      </c>
      <c r="Z7" s="543">
        <v>4737.3999999999996</v>
      </c>
      <c r="AA7" s="543">
        <v>4807.3999999999996</v>
      </c>
      <c r="AB7" s="543">
        <v>4896.5</v>
      </c>
      <c r="AC7" s="543">
        <v>5011.3</v>
      </c>
      <c r="AD7" s="543" t="s">
        <v>2620</v>
      </c>
      <c r="AE7" s="543" t="s">
        <v>2620</v>
      </c>
      <c r="AF7" s="543" t="s">
        <v>2620</v>
      </c>
      <c r="AG7" s="29"/>
    </row>
    <row r="8" spans="1:34">
      <c r="A8" s="533">
        <v>63</v>
      </c>
      <c r="B8" s="534" t="s">
        <v>1850</v>
      </c>
      <c r="C8" s="535"/>
      <c r="D8" s="12" t="s">
        <v>1238</v>
      </c>
      <c r="E8" s="13">
        <v>20</v>
      </c>
      <c r="F8" s="14" t="s">
        <v>2624</v>
      </c>
      <c r="G8" s="543">
        <v>3847.8</v>
      </c>
      <c r="H8" s="543">
        <v>3819.2</v>
      </c>
      <c r="I8" s="543">
        <v>3768.1</v>
      </c>
      <c r="J8" s="543">
        <v>3836.4</v>
      </c>
      <c r="K8" s="543">
        <v>3917.7</v>
      </c>
      <c r="L8" s="543">
        <v>4022.9</v>
      </c>
      <c r="M8" s="543">
        <v>4123.6000000000004</v>
      </c>
      <c r="N8" s="543">
        <v>4134.2</v>
      </c>
      <c r="O8" s="543">
        <v>4127.7</v>
      </c>
      <c r="P8" s="543">
        <v>4091.2</v>
      </c>
      <c r="Q8" s="543">
        <v>4103.2</v>
      </c>
      <c r="R8" s="543">
        <v>4170.5</v>
      </c>
      <c r="S8" s="543">
        <v>4268.1000000000004</v>
      </c>
      <c r="T8" s="543">
        <v>4320.7</v>
      </c>
      <c r="U8" s="543">
        <v>4207.3</v>
      </c>
      <c r="V8" s="543">
        <v>4244.3</v>
      </c>
      <c r="W8" s="543">
        <v>4350.6000000000004</v>
      </c>
      <c r="X8" s="543">
        <v>4390.2</v>
      </c>
      <c r="Y8" s="543">
        <v>4436</v>
      </c>
      <c r="Z8" s="543">
        <v>4506.3</v>
      </c>
      <c r="AA8" s="543">
        <v>4582.3</v>
      </c>
      <c r="AB8" s="543">
        <v>4687.5</v>
      </c>
      <c r="AC8" s="543">
        <v>4806.3</v>
      </c>
      <c r="AD8" s="543" t="s">
        <v>2620</v>
      </c>
      <c r="AE8" s="543" t="s">
        <v>2620</v>
      </c>
      <c r="AF8" s="543" t="s">
        <v>2620</v>
      </c>
    </row>
    <row r="9" spans="1:34">
      <c r="A9" s="533">
        <v>79</v>
      </c>
      <c r="B9" s="534" t="s">
        <v>1718</v>
      </c>
      <c r="C9" s="535"/>
      <c r="D9" s="12" t="s">
        <v>1238</v>
      </c>
      <c r="E9" s="13">
        <v>30</v>
      </c>
      <c r="F9" s="14" t="s">
        <v>2625</v>
      </c>
      <c r="G9" s="543">
        <v>4007.7</v>
      </c>
      <c r="H9" s="543">
        <v>3984.5</v>
      </c>
      <c r="I9" s="543">
        <v>3946.3</v>
      </c>
      <c r="J9" s="543">
        <v>4010.4</v>
      </c>
      <c r="K9" s="543">
        <v>4099</v>
      </c>
      <c r="L9" s="543">
        <v>4188.3999999999996</v>
      </c>
      <c r="M9" s="543">
        <v>4347.3999999999996</v>
      </c>
      <c r="N9" s="543">
        <v>4361.5</v>
      </c>
      <c r="O9" s="543">
        <v>4350.5</v>
      </c>
      <c r="P9" s="543">
        <v>4332.6000000000004</v>
      </c>
      <c r="Q9" s="543">
        <v>4347.6000000000004</v>
      </c>
      <c r="R9" s="543">
        <v>4429.3999999999996</v>
      </c>
      <c r="S9" s="543">
        <v>4540.7</v>
      </c>
      <c r="T9" s="543">
        <v>4593</v>
      </c>
      <c r="U9" s="543">
        <v>4498.7</v>
      </c>
      <c r="V9" s="543">
        <v>4523.7</v>
      </c>
      <c r="W9" s="543">
        <v>4625.8999999999996</v>
      </c>
      <c r="X9" s="543">
        <v>4657.1000000000004</v>
      </c>
      <c r="Y9" s="543">
        <v>4704.7</v>
      </c>
      <c r="Z9" s="543">
        <v>4772.3</v>
      </c>
      <c r="AA9" s="543">
        <v>4837.2</v>
      </c>
      <c r="AB9" s="543">
        <v>4910.1000000000004</v>
      </c>
      <c r="AC9" s="543">
        <v>5021.8</v>
      </c>
      <c r="AD9" s="543" t="s">
        <v>2620</v>
      </c>
      <c r="AE9" s="543" t="s">
        <v>2620</v>
      </c>
      <c r="AF9" s="543" t="s">
        <v>2620</v>
      </c>
    </row>
    <row r="10" spans="1:34">
      <c r="A10" s="533">
        <v>64</v>
      </c>
      <c r="B10" s="534" t="s">
        <v>276</v>
      </c>
      <c r="C10" s="535"/>
      <c r="D10" s="12"/>
      <c r="E10" s="13"/>
      <c r="F10" s="14"/>
      <c r="G10" s="543"/>
      <c r="H10" s="543"/>
      <c r="I10" s="543"/>
      <c r="J10" s="543"/>
      <c r="K10" s="543"/>
      <c r="L10" s="543"/>
      <c r="M10" s="543"/>
      <c r="N10" s="543"/>
      <c r="O10" s="543"/>
      <c r="P10" s="543"/>
      <c r="Q10" s="543"/>
      <c r="R10" s="543"/>
      <c r="S10" s="543"/>
      <c r="T10" s="543"/>
      <c r="U10" s="543"/>
      <c r="V10" s="543"/>
      <c r="W10" s="543"/>
      <c r="X10" s="543"/>
      <c r="Y10" s="543"/>
      <c r="Z10" s="543"/>
      <c r="AA10" s="543"/>
      <c r="AB10" s="543"/>
      <c r="AC10" s="543"/>
      <c r="AD10" s="543"/>
      <c r="AE10" s="543"/>
      <c r="AF10" s="543"/>
    </row>
    <row r="11" spans="1:34">
      <c r="A11" s="535"/>
      <c r="B11" s="535"/>
      <c r="C11" s="535"/>
      <c r="D11" s="12"/>
      <c r="E11" s="13"/>
      <c r="F11" s="14"/>
      <c r="G11" s="543"/>
      <c r="H11" s="543"/>
      <c r="I11" s="543"/>
      <c r="J11" s="543"/>
      <c r="K11" s="543"/>
      <c r="L11" s="543"/>
      <c r="M11" s="543"/>
      <c r="N11" s="543"/>
      <c r="O11" s="543"/>
      <c r="P11" s="543"/>
      <c r="Q11" s="543"/>
      <c r="R11" s="543"/>
      <c r="S11" s="543"/>
      <c r="T11" s="543"/>
      <c r="U11" s="543"/>
      <c r="V11" s="543"/>
      <c r="W11" s="543"/>
      <c r="X11" s="543"/>
      <c r="Y11" s="543"/>
      <c r="Z11" s="543"/>
      <c r="AA11" s="543"/>
      <c r="AB11" s="543"/>
      <c r="AC11" s="543"/>
      <c r="AD11" s="543"/>
      <c r="AE11" s="543"/>
      <c r="AF11" s="543"/>
      <c r="AG11" s="3695"/>
    </row>
    <row r="12" spans="1:34">
      <c r="A12" s="533"/>
      <c r="B12" s="534"/>
      <c r="C12" s="535"/>
      <c r="D12" s="12"/>
      <c r="E12" s="13"/>
      <c r="F12" s="14"/>
      <c r="G12" s="543"/>
      <c r="H12" s="543"/>
      <c r="I12" s="543"/>
      <c r="J12" s="543"/>
      <c r="K12" s="543"/>
      <c r="L12" s="543"/>
      <c r="M12" s="543"/>
      <c r="N12" s="543"/>
      <c r="O12" s="543"/>
      <c r="P12" s="543"/>
      <c r="Q12" s="543"/>
      <c r="R12" s="543"/>
      <c r="S12" s="543"/>
      <c r="T12" s="543"/>
      <c r="U12" s="543"/>
      <c r="V12" s="543"/>
      <c r="W12" s="543"/>
      <c r="X12" s="543"/>
      <c r="Y12" s="543"/>
      <c r="Z12" s="543"/>
      <c r="AA12" s="543"/>
      <c r="AB12" s="543"/>
      <c r="AC12" s="543"/>
      <c r="AD12" s="543"/>
      <c r="AE12" s="543"/>
      <c r="AF12" s="543"/>
    </row>
    <row r="13" spans="1:34">
      <c r="A13" s="533"/>
      <c r="B13" s="534"/>
      <c r="C13" s="535"/>
      <c r="D13" s="12"/>
      <c r="E13" s="13"/>
      <c r="F13" s="14"/>
      <c r="G13" s="543"/>
      <c r="H13" s="543"/>
      <c r="I13" s="543"/>
      <c r="J13" s="543"/>
      <c r="K13" s="543"/>
      <c r="L13" s="543"/>
      <c r="M13" s="543"/>
      <c r="N13" s="543"/>
      <c r="O13" s="543"/>
      <c r="P13" s="543"/>
      <c r="Q13" s="543"/>
      <c r="R13" s="543"/>
      <c r="S13" s="543"/>
      <c r="T13" s="543"/>
      <c r="U13" s="543"/>
      <c r="V13" s="543"/>
      <c r="W13" s="543"/>
      <c r="X13" s="543"/>
      <c r="Y13" s="543"/>
      <c r="Z13" s="543"/>
      <c r="AA13" s="543"/>
      <c r="AB13" s="543"/>
      <c r="AC13" s="543"/>
      <c r="AD13" s="543"/>
      <c r="AE13" s="543"/>
      <c r="AF13" s="543"/>
    </row>
    <row r="14" spans="1:34">
      <c r="A14" s="533"/>
      <c r="B14" s="534"/>
      <c r="C14" s="535"/>
      <c r="D14" s="12"/>
      <c r="E14" s="13"/>
      <c r="F14" s="14"/>
      <c r="G14" s="543"/>
      <c r="H14" s="543"/>
      <c r="I14" s="543"/>
      <c r="J14" s="543"/>
      <c r="K14" s="543"/>
      <c r="L14" s="543"/>
      <c r="M14" s="543"/>
      <c r="N14" s="543"/>
      <c r="O14" s="543"/>
      <c r="P14" s="543"/>
      <c r="Q14" s="543"/>
      <c r="R14" s="543"/>
      <c r="S14" s="543"/>
      <c r="T14" s="543"/>
      <c r="U14" s="543"/>
      <c r="V14" s="543"/>
      <c r="W14" s="543"/>
      <c r="X14" s="543"/>
      <c r="Y14" s="543"/>
      <c r="Z14" s="543"/>
      <c r="AA14" s="543"/>
      <c r="AB14" s="543"/>
      <c r="AC14" s="543"/>
      <c r="AD14" s="543"/>
      <c r="AE14" s="543"/>
      <c r="AF14" s="543"/>
    </row>
    <row r="15" spans="1:34">
      <c r="A15" s="533"/>
      <c r="B15" s="534"/>
      <c r="C15" s="535"/>
      <c r="D15" s="12"/>
      <c r="E15" s="13"/>
      <c r="F15" s="14"/>
      <c r="G15" s="543"/>
      <c r="H15" s="543"/>
      <c r="I15" s="543"/>
      <c r="J15" s="543"/>
      <c r="K15" s="543"/>
      <c r="L15" s="543"/>
      <c r="M15" s="543"/>
      <c r="N15" s="543"/>
      <c r="O15" s="543"/>
      <c r="P15" s="543"/>
      <c r="Q15" s="543"/>
      <c r="R15" s="543"/>
      <c r="S15" s="543"/>
      <c r="T15" s="543"/>
      <c r="U15" s="543"/>
      <c r="V15" s="543"/>
      <c r="W15" s="543"/>
      <c r="X15" s="543"/>
      <c r="Y15" s="543"/>
      <c r="Z15" s="543"/>
      <c r="AA15" s="543"/>
      <c r="AB15" s="543"/>
      <c r="AC15" s="543"/>
      <c r="AD15" s="543"/>
      <c r="AE15" s="543"/>
      <c r="AF15" s="543"/>
    </row>
    <row r="16" spans="1:34">
      <c r="A16" s="535"/>
      <c r="B16" s="534"/>
      <c r="C16" s="535"/>
      <c r="D16" s="12"/>
      <c r="E16" s="13"/>
      <c r="F16" s="14"/>
      <c r="G16" s="543"/>
      <c r="H16" s="543"/>
      <c r="I16" s="543"/>
      <c r="J16" s="543"/>
      <c r="K16" s="543"/>
      <c r="L16" s="543"/>
      <c r="M16" s="543"/>
      <c r="N16" s="543"/>
      <c r="O16" s="543"/>
      <c r="P16" s="543"/>
      <c r="Q16" s="543"/>
      <c r="R16" s="543"/>
      <c r="S16" s="543"/>
      <c r="T16" s="543"/>
      <c r="U16" s="543"/>
      <c r="V16" s="543"/>
      <c r="W16" s="543"/>
      <c r="X16" s="543"/>
      <c r="Y16" s="543"/>
      <c r="Z16" s="543"/>
      <c r="AA16" s="543"/>
      <c r="AB16" s="543"/>
      <c r="AC16" s="543"/>
      <c r="AD16" s="543"/>
      <c r="AE16" s="543"/>
      <c r="AF16" s="543"/>
    </row>
    <row r="17" spans="1:33">
      <c r="A17" s="533">
        <v>74</v>
      </c>
      <c r="B17" s="534" t="s">
        <v>581</v>
      </c>
      <c r="C17" s="535"/>
      <c r="D17" s="12" t="s">
        <v>1238</v>
      </c>
      <c r="E17" s="13">
        <v>41</v>
      </c>
      <c r="F17" s="14" t="s">
        <v>2626</v>
      </c>
      <c r="G17" s="543">
        <v>444.2</v>
      </c>
      <c r="H17" s="543">
        <v>479.8</v>
      </c>
      <c r="I17" s="543">
        <v>487.2</v>
      </c>
      <c r="J17" s="543">
        <v>409.9</v>
      </c>
      <c r="K17" s="543">
        <v>353.9</v>
      </c>
      <c r="L17" s="543">
        <v>299</v>
      </c>
      <c r="M17" s="543">
        <v>270</v>
      </c>
      <c r="N17" s="543">
        <v>276.8</v>
      </c>
      <c r="O17" s="543">
        <v>306.3</v>
      </c>
      <c r="P17" s="543">
        <v>345.6</v>
      </c>
      <c r="Q17" s="543">
        <v>361</v>
      </c>
      <c r="R17" s="543">
        <v>336.3</v>
      </c>
      <c r="S17" s="543">
        <v>297.5</v>
      </c>
      <c r="T17" s="543">
        <v>304.7</v>
      </c>
      <c r="U17" s="543">
        <v>408.3</v>
      </c>
      <c r="V17" s="543">
        <v>425</v>
      </c>
      <c r="W17" s="543">
        <v>390</v>
      </c>
      <c r="X17" s="543">
        <v>403</v>
      </c>
      <c r="Y17" s="543">
        <v>411</v>
      </c>
      <c r="Z17" s="543">
        <v>411</v>
      </c>
      <c r="AA17" s="543">
        <v>387</v>
      </c>
      <c r="AB17" s="543">
        <v>366</v>
      </c>
      <c r="AC17" s="543">
        <v>358</v>
      </c>
      <c r="AD17" s="543" t="s">
        <v>2620</v>
      </c>
      <c r="AE17" s="543" t="s">
        <v>2620</v>
      </c>
      <c r="AF17" s="543" t="s">
        <v>2620</v>
      </c>
    </row>
    <row r="18" spans="1:33">
      <c r="A18" s="533"/>
      <c r="B18" s="534"/>
      <c r="C18" s="535"/>
      <c r="D18" s="12"/>
      <c r="E18" s="13"/>
      <c r="F18" s="14"/>
      <c r="G18" s="543"/>
      <c r="H18" s="543"/>
      <c r="I18" s="543"/>
      <c r="J18" s="543"/>
      <c r="K18" s="543"/>
      <c r="L18" s="543"/>
      <c r="M18" s="543"/>
      <c r="N18" s="543"/>
      <c r="O18" s="543"/>
      <c r="P18" s="543"/>
      <c r="Q18" s="543"/>
      <c r="R18" s="543"/>
      <c r="S18" s="543"/>
      <c r="T18" s="543"/>
      <c r="U18" s="543"/>
      <c r="V18" s="543"/>
      <c r="W18" s="543"/>
      <c r="X18" s="543"/>
      <c r="Y18" s="543"/>
      <c r="Z18" s="543"/>
      <c r="AA18" s="543"/>
      <c r="AB18" s="543"/>
      <c r="AC18" s="543"/>
      <c r="AD18" s="543"/>
      <c r="AE18" s="543"/>
      <c r="AF18" s="543"/>
    </row>
    <row r="19" spans="1:33">
      <c r="A19" s="533">
        <v>1</v>
      </c>
      <c r="B19" s="534" t="s">
        <v>1258</v>
      </c>
      <c r="C19" s="535" t="s">
        <v>290</v>
      </c>
      <c r="D19" s="12" t="s">
        <v>904</v>
      </c>
      <c r="E19" s="13">
        <v>200</v>
      </c>
      <c r="F19" s="14" t="s">
        <v>2627</v>
      </c>
      <c r="G19" s="543">
        <v>1109963.3799999999</v>
      </c>
      <c r="H19" s="543">
        <v>1130083.21</v>
      </c>
      <c r="I19" s="543">
        <v>1161860.19</v>
      </c>
      <c r="J19" s="543">
        <v>1200215.76</v>
      </c>
      <c r="K19" s="543">
        <v>1248577.8799999999</v>
      </c>
      <c r="L19" s="543">
        <v>1314106.47</v>
      </c>
      <c r="M19" s="543">
        <v>1323713.71</v>
      </c>
      <c r="N19" s="543">
        <v>1358224.86</v>
      </c>
      <c r="O19" s="543">
        <v>1389661.62</v>
      </c>
      <c r="P19" s="543">
        <v>1428423.17</v>
      </c>
      <c r="Q19" s="543">
        <v>1467953.8</v>
      </c>
      <c r="R19" s="543">
        <v>1507169.93</v>
      </c>
      <c r="S19" s="543">
        <v>1564363.54</v>
      </c>
      <c r="T19" s="543">
        <v>1567926.83</v>
      </c>
      <c r="U19" s="543">
        <v>1573427.57</v>
      </c>
      <c r="V19" s="543">
        <v>1634640</v>
      </c>
      <c r="W19" s="543">
        <v>1665152.34</v>
      </c>
      <c r="X19" s="543">
        <v>1678298.09</v>
      </c>
      <c r="Y19" s="543">
        <v>1709494.69</v>
      </c>
      <c r="Z19" s="543">
        <v>1745868.01</v>
      </c>
      <c r="AA19" s="543">
        <v>1800321.74</v>
      </c>
      <c r="AB19" s="543">
        <v>1851878.33</v>
      </c>
      <c r="AC19" s="543">
        <v>1892859.43</v>
      </c>
      <c r="AD19" s="543" t="s">
        <v>2620</v>
      </c>
      <c r="AE19" s="543" t="s">
        <v>2620</v>
      </c>
      <c r="AF19" s="543" t="s">
        <v>2620</v>
      </c>
    </row>
    <row r="20" spans="1:33">
      <c r="A20" s="533"/>
      <c r="B20" s="534"/>
      <c r="C20" s="535"/>
      <c r="D20" s="12"/>
      <c r="E20" s="13"/>
      <c r="F20" s="14"/>
      <c r="G20" s="543"/>
      <c r="H20" s="543"/>
      <c r="I20" s="543"/>
      <c r="J20" s="543"/>
      <c r="K20" s="543"/>
      <c r="L20" s="543"/>
      <c r="M20" s="543"/>
      <c r="N20" s="543"/>
      <c r="O20" s="543"/>
      <c r="P20" s="543"/>
      <c r="Q20" s="543"/>
      <c r="R20" s="543"/>
      <c r="S20" s="543"/>
      <c r="T20" s="543"/>
      <c r="U20" s="543"/>
      <c r="V20" s="543"/>
      <c r="W20" s="543"/>
      <c r="X20" s="543"/>
      <c r="Y20" s="543"/>
      <c r="Z20" s="543"/>
      <c r="AA20" s="543"/>
      <c r="AB20" s="543"/>
      <c r="AC20" s="543"/>
      <c r="AD20" s="543"/>
      <c r="AE20" s="543"/>
      <c r="AF20" s="543"/>
      <c r="AG20" s="3695"/>
    </row>
    <row r="21" spans="1:33">
      <c r="A21" s="533"/>
      <c r="B21" s="534"/>
      <c r="C21" s="535"/>
      <c r="D21" s="12"/>
      <c r="E21" s="13"/>
      <c r="F21" s="14"/>
      <c r="G21" s="543"/>
      <c r="H21" s="543"/>
      <c r="I21" s="543"/>
      <c r="J21" s="543"/>
      <c r="K21" s="543"/>
      <c r="L21" s="543"/>
      <c r="M21" s="543"/>
      <c r="N21" s="543"/>
      <c r="O21" s="543"/>
      <c r="P21" s="543"/>
      <c r="Q21" s="543"/>
      <c r="R21" s="543"/>
      <c r="S21" s="543"/>
      <c r="T21" s="543"/>
      <c r="U21" s="543"/>
      <c r="V21" s="543"/>
      <c r="W21" s="543"/>
      <c r="X21" s="543"/>
      <c r="Y21" s="543"/>
      <c r="Z21" s="543"/>
      <c r="AA21" s="543"/>
      <c r="AB21" s="543"/>
      <c r="AC21" s="543"/>
      <c r="AD21" s="543"/>
      <c r="AE21" s="543"/>
      <c r="AF21" s="543"/>
    </row>
    <row r="22" spans="1:33">
      <c r="A22" s="533">
        <v>2</v>
      </c>
      <c r="B22" s="534" t="s">
        <v>699</v>
      </c>
      <c r="C22" s="535" t="s">
        <v>293</v>
      </c>
      <c r="D22" s="12" t="s">
        <v>904</v>
      </c>
      <c r="E22" s="13">
        <v>100</v>
      </c>
      <c r="F22" s="14" t="s">
        <v>2628</v>
      </c>
      <c r="G22" s="543">
        <v>770733.63</v>
      </c>
      <c r="H22" s="543">
        <v>769761.69</v>
      </c>
      <c r="I22" s="543">
        <v>766216.29</v>
      </c>
      <c r="J22" s="543">
        <v>795291.37</v>
      </c>
      <c r="K22" s="543">
        <v>809200.65</v>
      </c>
      <c r="L22" s="543">
        <v>801860.3</v>
      </c>
      <c r="M22" s="543">
        <v>803238.53</v>
      </c>
      <c r="N22" s="543">
        <v>820100.42</v>
      </c>
      <c r="O22" s="543">
        <v>825601.09</v>
      </c>
      <c r="P22" s="543">
        <v>823702.73</v>
      </c>
      <c r="Q22" s="543">
        <v>826765.67</v>
      </c>
      <c r="R22" s="543">
        <v>840090.03</v>
      </c>
      <c r="S22" s="543">
        <v>844302.66</v>
      </c>
      <c r="T22" s="543">
        <v>855581.57</v>
      </c>
      <c r="U22" s="543">
        <v>874875.94</v>
      </c>
      <c r="V22" s="543">
        <v>886372</v>
      </c>
      <c r="W22" s="543">
        <v>893694.84</v>
      </c>
      <c r="X22" s="543">
        <v>903597.27</v>
      </c>
      <c r="Y22" s="543">
        <v>915257.95</v>
      </c>
      <c r="Z22" s="543">
        <v>929092.81</v>
      </c>
      <c r="AA22" s="543">
        <v>951479</v>
      </c>
      <c r="AB22" s="543">
        <v>985747.41</v>
      </c>
      <c r="AC22" s="543">
        <v>985720.27</v>
      </c>
      <c r="AD22" s="543" t="s">
        <v>2620</v>
      </c>
      <c r="AE22" s="543" t="s">
        <v>2620</v>
      </c>
      <c r="AF22" s="543" t="s">
        <v>2620</v>
      </c>
    </row>
    <row r="23" spans="1:33">
      <c r="A23" s="533"/>
      <c r="B23" s="534"/>
      <c r="C23" s="535"/>
      <c r="D23" s="12"/>
      <c r="E23" s="13"/>
      <c r="F23" s="14"/>
      <c r="G23" s="543"/>
      <c r="H23" s="543"/>
      <c r="I23" s="543"/>
      <c r="J23" s="543"/>
      <c r="K23" s="543"/>
      <c r="L23" s="543"/>
      <c r="M23" s="543"/>
      <c r="N23" s="543"/>
      <c r="O23" s="543"/>
      <c r="P23" s="543"/>
      <c r="Q23" s="543"/>
      <c r="R23" s="543"/>
      <c r="S23" s="543"/>
      <c r="T23" s="543"/>
      <c r="U23" s="543"/>
      <c r="V23" s="543"/>
      <c r="W23" s="543"/>
      <c r="X23" s="543"/>
      <c r="Y23" s="543"/>
      <c r="Z23" s="543"/>
      <c r="AA23" s="543"/>
      <c r="AB23" s="543"/>
      <c r="AC23" s="543"/>
      <c r="AD23" s="543"/>
      <c r="AE23" s="543"/>
      <c r="AF23" s="543"/>
    </row>
    <row r="24" spans="1:33">
      <c r="A24" s="533"/>
      <c r="B24" s="534" t="s">
        <v>277</v>
      </c>
      <c r="C24" s="535"/>
      <c r="D24" s="12"/>
      <c r="E24" s="13"/>
      <c r="F24" s="14"/>
      <c r="G24" s="543"/>
      <c r="H24" s="543"/>
      <c r="I24" s="543"/>
      <c r="J24" s="543"/>
      <c r="K24" s="543"/>
      <c r="L24" s="543"/>
      <c r="M24" s="543"/>
      <c r="N24" s="543"/>
      <c r="O24" s="543"/>
      <c r="P24" s="543"/>
      <c r="Q24" s="543"/>
      <c r="R24" s="543"/>
      <c r="S24" s="543"/>
      <c r="T24" s="543"/>
      <c r="U24" s="543"/>
      <c r="V24" s="543"/>
      <c r="W24" s="543"/>
      <c r="X24" s="543"/>
      <c r="Y24" s="543"/>
      <c r="Z24" s="543"/>
      <c r="AA24" s="543"/>
      <c r="AB24" s="543"/>
      <c r="AC24" s="543"/>
      <c r="AD24" s="543"/>
      <c r="AE24" s="543"/>
      <c r="AF24" s="543"/>
    </row>
    <row r="25" spans="1:33">
      <c r="A25" s="533"/>
      <c r="B25" s="534" t="s">
        <v>278</v>
      </c>
      <c r="C25" s="535"/>
      <c r="D25" s="12"/>
      <c r="E25" s="13"/>
      <c r="F25" s="14"/>
      <c r="G25" s="543"/>
      <c r="H25" s="543"/>
      <c r="I25" s="543"/>
      <c r="J25" s="543"/>
      <c r="K25" s="543"/>
      <c r="L25" s="543"/>
      <c r="M25" s="543"/>
      <c r="N25" s="543"/>
      <c r="O25" s="543"/>
      <c r="P25" s="543"/>
      <c r="Q25" s="543"/>
      <c r="R25" s="543"/>
      <c r="S25" s="543"/>
      <c r="T25" s="543"/>
      <c r="U25" s="543"/>
      <c r="V25" s="543"/>
      <c r="W25" s="543"/>
      <c r="X25" s="543"/>
      <c r="Y25" s="543"/>
      <c r="Z25" s="543"/>
      <c r="AA25" s="543"/>
      <c r="AB25" s="543"/>
      <c r="AC25" s="543"/>
      <c r="AD25" s="543"/>
      <c r="AE25" s="543"/>
      <c r="AF25" s="543"/>
    </row>
    <row r="26" spans="1:33">
      <c r="A26" s="533"/>
      <c r="B26" s="534" t="s">
        <v>279</v>
      </c>
      <c r="C26" s="535"/>
      <c r="D26" s="12" t="s">
        <v>904</v>
      </c>
      <c r="E26" s="13">
        <v>317</v>
      </c>
      <c r="F26" s="14" t="s">
        <v>2629</v>
      </c>
      <c r="G26" s="543">
        <v>147300.25</v>
      </c>
      <c r="H26" s="543">
        <v>145592.60999999999</v>
      </c>
      <c r="I26" s="543">
        <v>137861.51999999999</v>
      </c>
      <c r="J26" s="543">
        <v>141215.42000000001</v>
      </c>
      <c r="K26" s="543">
        <v>139080.87</v>
      </c>
      <c r="L26" s="543">
        <v>144540.91</v>
      </c>
      <c r="M26" s="543">
        <v>154625.5</v>
      </c>
      <c r="N26" s="543">
        <v>156665.69</v>
      </c>
      <c r="O26" s="543">
        <v>155047.82999999999</v>
      </c>
      <c r="P26" s="543">
        <v>163158.20000000001</v>
      </c>
      <c r="Q26" s="543">
        <v>158538.23000000001</v>
      </c>
      <c r="R26" s="543">
        <v>181248.71</v>
      </c>
      <c r="S26" s="543">
        <v>195224.95999999999</v>
      </c>
      <c r="T26" s="543">
        <v>205906.86</v>
      </c>
      <c r="U26" s="543">
        <v>188093.01</v>
      </c>
      <c r="V26" s="543">
        <v>184369</v>
      </c>
      <c r="W26" s="543">
        <v>177534.78</v>
      </c>
      <c r="X26" s="543">
        <v>192810.08</v>
      </c>
      <c r="Y26" s="543">
        <v>187692.66</v>
      </c>
      <c r="Z26" s="543">
        <v>197770.84</v>
      </c>
      <c r="AA26" s="543">
        <v>201103.67</v>
      </c>
      <c r="AB26" s="543">
        <v>210806.24</v>
      </c>
      <c r="AC26" s="543">
        <v>220747</v>
      </c>
      <c r="AD26" s="543" t="s">
        <v>2620</v>
      </c>
      <c r="AE26" s="543" t="s">
        <v>2620</v>
      </c>
      <c r="AF26" s="543" t="s">
        <v>2620</v>
      </c>
    </row>
    <row r="27" spans="1:33">
      <c r="A27" s="533">
        <v>31</v>
      </c>
      <c r="B27" s="534" t="s">
        <v>280</v>
      </c>
      <c r="C27" s="535"/>
      <c r="D27" s="12" t="s">
        <v>904</v>
      </c>
      <c r="E27" s="13">
        <v>316</v>
      </c>
      <c r="F27" s="14" t="s">
        <v>2630</v>
      </c>
      <c r="G27" s="543">
        <v>63215.1</v>
      </c>
      <c r="H27" s="543">
        <v>66477.570000000007</v>
      </c>
      <c r="I27" s="543">
        <v>62282.84</v>
      </c>
      <c r="J27" s="543">
        <v>67206.75</v>
      </c>
      <c r="K27" s="543">
        <v>74756.740000000005</v>
      </c>
      <c r="L27" s="543">
        <v>85184.05</v>
      </c>
      <c r="M27" s="543">
        <v>91163.64</v>
      </c>
      <c r="N27" s="543">
        <v>101017.59</v>
      </c>
      <c r="O27" s="543">
        <v>106238.24</v>
      </c>
      <c r="P27" s="543">
        <v>120037.44</v>
      </c>
      <c r="Q27" s="543">
        <v>131917.85</v>
      </c>
      <c r="R27" s="543">
        <v>151110.14000000001</v>
      </c>
      <c r="S27" s="543">
        <v>161357.13</v>
      </c>
      <c r="T27" s="543">
        <v>140007.94</v>
      </c>
      <c r="U27" s="543">
        <v>113342.68</v>
      </c>
      <c r="V27" s="543">
        <v>127752</v>
      </c>
      <c r="W27" s="543">
        <v>138029.62</v>
      </c>
      <c r="X27" s="543">
        <v>121680.49</v>
      </c>
      <c r="Y27" s="543">
        <v>122728.3</v>
      </c>
      <c r="Z27" s="543">
        <v>141931.1</v>
      </c>
      <c r="AA27" s="543">
        <v>167420.75</v>
      </c>
      <c r="AB27" s="543">
        <v>185666.79</v>
      </c>
      <c r="AC27" s="543">
        <v>207133.28</v>
      </c>
      <c r="AD27" s="543" t="s">
        <v>2620</v>
      </c>
      <c r="AE27" s="543" t="s">
        <v>2620</v>
      </c>
      <c r="AF27" s="543" t="s">
        <v>2620</v>
      </c>
    </row>
    <row r="28" spans="1:33">
      <c r="A28" s="533">
        <v>4</v>
      </c>
      <c r="B28" s="534" t="s">
        <v>702</v>
      </c>
      <c r="C28" s="535"/>
      <c r="D28" s="12" t="s">
        <v>904</v>
      </c>
      <c r="E28" s="13">
        <v>315</v>
      </c>
      <c r="F28" s="14" t="s">
        <v>2631</v>
      </c>
      <c r="G28" s="543">
        <v>212830.43450999999</v>
      </c>
      <c r="H28" s="543">
        <v>213903.1024</v>
      </c>
      <c r="I28" s="543">
        <v>201942.87729999999</v>
      </c>
      <c r="J28" s="543">
        <v>209982.96108000001</v>
      </c>
      <c r="K28" s="543">
        <v>214769.36149000001</v>
      </c>
      <c r="L28" s="543">
        <v>230200.01672000001</v>
      </c>
      <c r="M28" s="543">
        <v>246295.93463</v>
      </c>
      <c r="N28" s="543">
        <v>258054.19162999999</v>
      </c>
      <c r="O28" s="543">
        <v>261560.26014</v>
      </c>
      <c r="P28" s="543">
        <v>283276.69863</v>
      </c>
      <c r="Q28" s="543">
        <v>289992.40526999999</v>
      </c>
      <c r="R28" s="543">
        <v>331818.83575999999</v>
      </c>
      <c r="S28" s="543">
        <v>356028.89659000002</v>
      </c>
      <c r="T28" s="543">
        <v>345765.36952000001</v>
      </c>
      <c r="U28" s="543">
        <v>301526.72086</v>
      </c>
      <c r="V28" s="543">
        <v>312121</v>
      </c>
      <c r="W28" s="543">
        <v>315564.40000000002</v>
      </c>
      <c r="X28" s="543">
        <v>314689.12524000002</v>
      </c>
      <c r="Y28" s="543">
        <v>310570.10473000002</v>
      </c>
      <c r="Z28" s="543">
        <v>339891.64674</v>
      </c>
      <c r="AA28" s="543">
        <v>368995.57633000001</v>
      </c>
      <c r="AB28" s="543">
        <v>397233.22917000001</v>
      </c>
      <c r="AC28" s="543">
        <v>429367.10262000002</v>
      </c>
      <c r="AD28" s="543" t="s">
        <v>2620</v>
      </c>
      <c r="AE28" s="543" t="s">
        <v>2620</v>
      </c>
      <c r="AF28" s="543" t="s">
        <v>2620</v>
      </c>
      <c r="AG28" s="3695"/>
    </row>
    <row r="29" spans="1:33">
      <c r="A29" s="533"/>
      <c r="B29" s="534"/>
      <c r="C29" s="535"/>
      <c r="D29" s="12"/>
      <c r="E29" s="13"/>
      <c r="F29" s="14"/>
      <c r="G29" s="543"/>
      <c r="H29" s="543"/>
      <c r="I29" s="543"/>
      <c r="J29" s="543"/>
      <c r="K29" s="543"/>
      <c r="L29" s="543"/>
      <c r="M29" s="543"/>
      <c r="N29" s="543"/>
      <c r="O29" s="543"/>
      <c r="P29" s="543"/>
      <c r="Q29" s="543"/>
      <c r="R29" s="543"/>
      <c r="S29" s="543"/>
      <c r="T29" s="543"/>
      <c r="U29" s="543"/>
      <c r="V29" s="543"/>
      <c r="W29" s="543"/>
      <c r="X29" s="543"/>
      <c r="Y29" s="543"/>
      <c r="Z29" s="543"/>
      <c r="AA29" s="543"/>
      <c r="AB29" s="543"/>
      <c r="AC29" s="543"/>
      <c r="AD29" s="543"/>
      <c r="AE29" s="543"/>
      <c r="AF29" s="543"/>
    </row>
    <row r="30" spans="1:33">
      <c r="A30" s="533"/>
      <c r="B30" s="534" t="s">
        <v>281</v>
      </c>
      <c r="C30" s="535"/>
      <c r="D30" s="12"/>
      <c r="E30" s="13"/>
      <c r="F30" s="14"/>
      <c r="G30" s="543"/>
      <c r="H30" s="543"/>
      <c r="I30" s="543"/>
      <c r="J30" s="543"/>
      <c r="K30" s="543"/>
      <c r="L30" s="543"/>
      <c r="M30" s="543"/>
      <c r="N30" s="543"/>
      <c r="O30" s="543"/>
      <c r="P30" s="543"/>
      <c r="Q30" s="543"/>
      <c r="R30" s="543"/>
      <c r="S30" s="543"/>
      <c r="T30" s="543"/>
      <c r="U30" s="543"/>
      <c r="V30" s="543"/>
      <c r="W30" s="543"/>
      <c r="X30" s="543"/>
      <c r="Y30" s="543"/>
      <c r="Z30" s="543"/>
      <c r="AA30" s="543"/>
      <c r="AB30" s="543"/>
      <c r="AC30" s="543"/>
      <c r="AD30" s="543"/>
      <c r="AE30" s="543"/>
      <c r="AF30" s="543"/>
    </row>
    <row r="31" spans="1:33">
      <c r="A31" s="533"/>
      <c r="B31" s="534" t="s">
        <v>282</v>
      </c>
      <c r="C31" s="535"/>
      <c r="D31" s="12"/>
      <c r="E31" s="13"/>
      <c r="F31" s="14"/>
      <c r="G31" s="543"/>
      <c r="H31" s="543"/>
      <c r="I31" s="543"/>
      <c r="J31" s="543"/>
      <c r="K31" s="543"/>
      <c r="L31" s="543"/>
      <c r="M31" s="543"/>
      <c r="N31" s="543"/>
      <c r="O31" s="543"/>
      <c r="P31" s="543"/>
      <c r="Q31" s="543"/>
      <c r="R31" s="543"/>
      <c r="S31" s="543"/>
      <c r="T31" s="543"/>
      <c r="U31" s="543"/>
      <c r="V31" s="543"/>
      <c r="W31" s="543"/>
      <c r="X31" s="543"/>
      <c r="Y31" s="543"/>
      <c r="Z31" s="543"/>
      <c r="AA31" s="543"/>
      <c r="AB31" s="543"/>
      <c r="AC31" s="543"/>
      <c r="AD31" s="543"/>
      <c r="AE31" s="543"/>
      <c r="AF31" s="543"/>
    </row>
    <row r="32" spans="1:33">
      <c r="A32" s="533">
        <v>5</v>
      </c>
      <c r="B32" s="534" t="s">
        <v>283</v>
      </c>
      <c r="C32" s="535"/>
      <c r="D32" s="12" t="s">
        <v>904</v>
      </c>
      <c r="E32" s="13">
        <v>312</v>
      </c>
      <c r="F32" s="14" t="s">
        <v>2632</v>
      </c>
      <c r="G32" s="543">
        <v>135449.43</v>
      </c>
      <c r="H32" s="543">
        <v>152435.66</v>
      </c>
      <c r="I32" s="543">
        <v>158193.04</v>
      </c>
      <c r="J32" s="543">
        <v>173969.41</v>
      </c>
      <c r="K32" s="543">
        <v>194694.57</v>
      </c>
      <c r="L32" s="543">
        <v>199024.4</v>
      </c>
      <c r="M32" s="543">
        <v>197275.82</v>
      </c>
      <c r="N32" s="543">
        <v>189391.64</v>
      </c>
      <c r="O32" s="543">
        <v>199374.52</v>
      </c>
      <c r="P32" s="543">
        <v>206576.51</v>
      </c>
      <c r="Q32" s="543">
        <v>229571.92</v>
      </c>
      <c r="R32" s="543">
        <v>249697.17</v>
      </c>
      <c r="S32" s="543">
        <v>279335.8</v>
      </c>
      <c r="T32" s="543">
        <v>291014.08</v>
      </c>
      <c r="U32" s="543">
        <v>228098.22</v>
      </c>
      <c r="V32" s="543">
        <v>252775</v>
      </c>
      <c r="W32" s="543">
        <v>284177.25</v>
      </c>
      <c r="X32" s="543">
        <v>292134.65999999997</v>
      </c>
      <c r="Y32" s="543">
        <v>292321.25</v>
      </c>
      <c r="Z32" s="543">
        <v>288987.61</v>
      </c>
      <c r="AA32" s="543">
        <v>303678.51</v>
      </c>
      <c r="AB32" s="543">
        <v>319718.71999999997</v>
      </c>
      <c r="AC32" s="543">
        <v>338108.43</v>
      </c>
      <c r="AD32" s="543" t="s">
        <v>2620</v>
      </c>
      <c r="AE32" s="543" t="s">
        <v>2620</v>
      </c>
      <c r="AF32" s="543" t="s">
        <v>2620</v>
      </c>
    </row>
    <row r="33" spans="1:32">
      <c r="A33" s="533"/>
      <c r="B33" s="534"/>
      <c r="C33" s="535"/>
      <c r="D33" s="12"/>
      <c r="E33" s="13"/>
      <c r="F33" s="14"/>
      <c r="G33" s="543"/>
      <c r="H33" s="543"/>
      <c r="I33" s="543"/>
      <c r="J33" s="543"/>
      <c r="K33" s="543"/>
      <c r="L33" s="543"/>
      <c r="M33" s="543"/>
      <c r="N33" s="543"/>
      <c r="O33" s="543"/>
      <c r="P33" s="543"/>
      <c r="Q33" s="543"/>
      <c r="R33" s="543"/>
      <c r="S33" s="543"/>
      <c r="T33" s="543"/>
      <c r="U33" s="543"/>
      <c r="V33" s="543"/>
      <c r="W33" s="543"/>
      <c r="X33" s="543"/>
      <c r="Y33" s="543"/>
      <c r="Z33" s="543"/>
      <c r="AA33" s="543"/>
      <c r="AB33" s="543"/>
      <c r="AC33" s="543"/>
      <c r="AD33" s="543"/>
      <c r="AE33" s="543"/>
      <c r="AF33" s="543"/>
    </row>
    <row r="34" spans="1:32">
      <c r="A34" s="533"/>
      <c r="B34" s="534" t="s">
        <v>284</v>
      </c>
      <c r="C34" s="535"/>
      <c r="D34" s="12" t="s">
        <v>904</v>
      </c>
      <c r="E34" s="13">
        <v>311</v>
      </c>
      <c r="F34" s="14" t="s">
        <v>2633</v>
      </c>
      <c r="G34" s="543">
        <v>1678.08</v>
      </c>
      <c r="H34" s="543">
        <v>1893.34</v>
      </c>
      <c r="I34" s="543">
        <v>2003.78</v>
      </c>
      <c r="J34" s="543">
        <v>2234.0100000000002</v>
      </c>
      <c r="K34" s="543">
        <v>1930.78</v>
      </c>
      <c r="L34" s="543">
        <v>1764.19</v>
      </c>
      <c r="M34" s="543">
        <v>1973.83</v>
      </c>
      <c r="N34" s="543">
        <v>1676.21</v>
      </c>
      <c r="O34" s="543">
        <v>2036.54</v>
      </c>
      <c r="P34" s="543">
        <v>2021.56</v>
      </c>
      <c r="Q34" s="543">
        <v>1850.29</v>
      </c>
      <c r="R34" s="543">
        <v>2009.4</v>
      </c>
      <c r="S34" s="543">
        <v>1989.74</v>
      </c>
      <c r="T34" s="543">
        <v>2169.44</v>
      </c>
      <c r="U34" s="543">
        <v>2152.59</v>
      </c>
      <c r="V34" s="543">
        <v>2205</v>
      </c>
      <c r="W34" s="543">
        <v>2325.73</v>
      </c>
      <c r="X34" s="543">
        <v>2147.91</v>
      </c>
      <c r="Y34" s="543">
        <v>2265.83</v>
      </c>
      <c r="Z34" s="543">
        <v>1921.42</v>
      </c>
      <c r="AA34" s="543">
        <v>2156.33</v>
      </c>
      <c r="AB34" s="543">
        <v>2186.2800000000002</v>
      </c>
      <c r="AC34" s="543">
        <v>2195.64</v>
      </c>
      <c r="AD34" s="543" t="s">
        <v>2620</v>
      </c>
      <c r="AE34" s="543" t="s">
        <v>2620</v>
      </c>
      <c r="AF34" s="543" t="s">
        <v>2620</v>
      </c>
    </row>
    <row r="35" spans="1:32">
      <c r="A35" s="533"/>
      <c r="B35" s="534" t="s">
        <v>285</v>
      </c>
      <c r="C35" s="535"/>
      <c r="D35" s="12" t="s">
        <v>904</v>
      </c>
      <c r="E35" s="13">
        <v>318</v>
      </c>
      <c r="F35" s="14" t="s">
        <v>2634</v>
      </c>
      <c r="G35" s="543">
        <v>144214.46</v>
      </c>
      <c r="H35" s="543">
        <v>143816.9</v>
      </c>
      <c r="I35" s="543">
        <v>153414.43</v>
      </c>
      <c r="J35" s="543">
        <v>167377.59</v>
      </c>
      <c r="K35" s="543">
        <v>175163.78</v>
      </c>
      <c r="L35" s="543">
        <v>196869.49</v>
      </c>
      <c r="M35" s="543">
        <v>201653.55</v>
      </c>
      <c r="N35" s="543">
        <v>187257.72</v>
      </c>
      <c r="O35" s="543">
        <v>186963.58</v>
      </c>
      <c r="P35" s="543">
        <v>196921.67</v>
      </c>
      <c r="Q35" s="543">
        <v>200201.82</v>
      </c>
      <c r="R35" s="543">
        <v>207088.51</v>
      </c>
      <c r="S35" s="543">
        <v>216376.73</v>
      </c>
      <c r="T35" s="543">
        <v>218826.64</v>
      </c>
      <c r="U35" s="543">
        <v>211064.16</v>
      </c>
      <c r="V35" s="543">
        <v>220044</v>
      </c>
      <c r="W35" s="543">
        <v>229970.78</v>
      </c>
      <c r="X35" s="543">
        <v>221158.89</v>
      </c>
      <c r="Y35" s="543">
        <v>230219.38</v>
      </c>
      <c r="Z35" s="543">
        <v>247779.59</v>
      </c>
      <c r="AA35" s="543">
        <v>261522.62</v>
      </c>
      <c r="AB35" s="543">
        <v>255623.67</v>
      </c>
      <c r="AC35" s="543">
        <v>263386.14</v>
      </c>
      <c r="AD35" s="543" t="s">
        <v>2620</v>
      </c>
      <c r="AE35" s="543" t="s">
        <v>2620</v>
      </c>
      <c r="AF35" s="543" t="s">
        <v>2620</v>
      </c>
    </row>
    <row r="36" spans="1:32">
      <c r="A36" s="533">
        <v>6</v>
      </c>
      <c r="B36" s="534" t="s">
        <v>905</v>
      </c>
      <c r="C36" s="535"/>
      <c r="D36" s="12" t="s">
        <v>904</v>
      </c>
      <c r="E36" s="13">
        <v>319</v>
      </c>
      <c r="F36" s="14" t="s">
        <v>2635</v>
      </c>
      <c r="G36" s="543">
        <v>145882.68651999999</v>
      </c>
      <c r="H36" s="543">
        <v>145750.9596</v>
      </c>
      <c r="I36" s="543">
        <v>155458.67133000001</v>
      </c>
      <c r="J36" s="543">
        <v>169661.87065999999</v>
      </c>
      <c r="K36" s="543">
        <v>177129.02898999999</v>
      </c>
      <c r="L36" s="543">
        <v>198632.25675</v>
      </c>
      <c r="M36" s="543">
        <v>203626.74309</v>
      </c>
      <c r="N36" s="543">
        <v>188938.24241000001</v>
      </c>
      <c r="O36" s="543">
        <v>189003.96713</v>
      </c>
      <c r="P36" s="543">
        <v>198942.61730000001</v>
      </c>
      <c r="Q36" s="543">
        <v>202057.12132999999</v>
      </c>
      <c r="R36" s="543">
        <v>209098.42345999999</v>
      </c>
      <c r="S36" s="543">
        <v>218361.87831999999</v>
      </c>
      <c r="T36" s="543">
        <v>220994.08106999999</v>
      </c>
      <c r="U36" s="543">
        <v>213216.11791999999</v>
      </c>
      <c r="V36" s="543">
        <v>222249</v>
      </c>
      <c r="W36" s="543">
        <v>232296.51</v>
      </c>
      <c r="X36" s="543">
        <v>223303.67603</v>
      </c>
      <c r="Y36" s="543">
        <v>232483.73024999999</v>
      </c>
      <c r="Z36" s="543">
        <v>249686.30872999999</v>
      </c>
      <c r="AA36" s="543">
        <v>263669.34073</v>
      </c>
      <c r="AB36" s="543">
        <v>257801.6317</v>
      </c>
      <c r="AC36" s="543">
        <v>265573.80348</v>
      </c>
      <c r="AD36" s="543" t="s">
        <v>2620</v>
      </c>
      <c r="AE36" s="543" t="s">
        <v>2620</v>
      </c>
      <c r="AF36" s="543" t="s">
        <v>2620</v>
      </c>
    </row>
    <row r="37" spans="1:32">
      <c r="A37" s="533"/>
      <c r="B37" s="534"/>
      <c r="C37" s="535"/>
      <c r="D37" s="12"/>
      <c r="E37" s="13"/>
      <c r="F37" s="14"/>
      <c r="G37" s="543"/>
      <c r="H37" s="543"/>
      <c r="I37" s="543"/>
      <c r="J37" s="543"/>
      <c r="K37" s="543"/>
      <c r="L37" s="543"/>
      <c r="M37" s="543"/>
      <c r="N37" s="543"/>
      <c r="O37" s="543"/>
      <c r="P37" s="543"/>
      <c r="Q37" s="543"/>
      <c r="R37" s="543"/>
      <c r="S37" s="543"/>
      <c r="T37" s="543"/>
      <c r="U37" s="543"/>
      <c r="V37" s="543"/>
      <c r="W37" s="543"/>
      <c r="X37" s="543"/>
      <c r="Y37" s="543"/>
      <c r="Z37" s="543"/>
      <c r="AA37" s="543"/>
      <c r="AB37" s="543"/>
      <c r="AC37" s="543"/>
      <c r="AD37" s="543"/>
      <c r="AE37" s="543"/>
      <c r="AF37" s="543"/>
    </row>
    <row r="38" spans="1:32" s="220" customFormat="1">
      <c r="A38" s="533">
        <v>3</v>
      </c>
      <c r="B38" s="534" t="s">
        <v>1752</v>
      </c>
      <c r="C38" s="1391" t="s">
        <v>1519</v>
      </c>
      <c r="D38" s="1392" t="s">
        <v>904</v>
      </c>
      <c r="E38" s="1393">
        <v>310</v>
      </c>
      <c r="F38" s="14" t="s">
        <v>2636</v>
      </c>
      <c r="G38" s="543">
        <v>482906.54</v>
      </c>
      <c r="H38" s="543">
        <v>508088.04</v>
      </c>
      <c r="I38" s="543">
        <v>515358.5</v>
      </c>
      <c r="J38" s="543">
        <v>555989.03</v>
      </c>
      <c r="K38" s="543">
        <v>593796.79</v>
      </c>
      <c r="L38" s="543">
        <v>632607.32999999996</v>
      </c>
      <c r="M38" s="543">
        <v>648486.27</v>
      </c>
      <c r="N38" s="543">
        <v>634069.38</v>
      </c>
      <c r="O38" s="543">
        <v>648905.75</v>
      </c>
      <c r="P38" s="543">
        <v>686263.72</v>
      </c>
      <c r="Q38" s="543">
        <v>720893.6</v>
      </c>
      <c r="R38" s="543">
        <v>788440.39</v>
      </c>
      <c r="S38" s="543">
        <v>852261.98</v>
      </c>
      <c r="T38" s="543">
        <v>856983.34</v>
      </c>
      <c r="U38" s="543">
        <v>742354.64</v>
      </c>
      <c r="V38" s="543">
        <v>787145</v>
      </c>
      <c r="W38" s="543">
        <v>832038.57</v>
      </c>
      <c r="X38" s="543">
        <v>829679.79</v>
      </c>
      <c r="Y38" s="543">
        <v>834846.2</v>
      </c>
      <c r="Z38" s="543">
        <v>880246.37</v>
      </c>
      <c r="AA38" s="543">
        <v>938790.77</v>
      </c>
      <c r="AB38" s="543">
        <v>977840.88</v>
      </c>
      <c r="AC38" s="543">
        <v>1037045.29</v>
      </c>
      <c r="AD38" s="543" t="s">
        <v>2620</v>
      </c>
      <c r="AE38" s="543" t="s">
        <v>2620</v>
      </c>
      <c r="AF38" s="543" t="s">
        <v>2620</v>
      </c>
    </row>
    <row r="39" spans="1:32">
      <c r="A39" s="533">
        <v>7</v>
      </c>
      <c r="B39" s="534" t="s">
        <v>286</v>
      </c>
      <c r="C39" s="535" t="s">
        <v>1506</v>
      </c>
      <c r="D39" s="12" t="s">
        <v>904</v>
      </c>
      <c r="E39" s="13">
        <v>320</v>
      </c>
      <c r="F39" s="14" t="s">
        <v>2637</v>
      </c>
      <c r="G39" s="543">
        <v>-31858.893469999999</v>
      </c>
      <c r="H39" s="543">
        <v>-9318.0261599999994</v>
      </c>
      <c r="I39" s="543">
        <v>-12116.42684</v>
      </c>
      <c r="J39" s="543">
        <v>-20108.1643</v>
      </c>
      <c r="K39" s="543">
        <v>-8180.9770900000003</v>
      </c>
      <c r="L39" s="543">
        <v>-21970.039410000001</v>
      </c>
      <c r="M39" s="543">
        <v>-10917.09496</v>
      </c>
      <c r="N39" s="543">
        <v>-3538.2754</v>
      </c>
      <c r="O39" s="543">
        <v>-12484.896489999999</v>
      </c>
      <c r="P39" s="543">
        <v>-1285.6868400000001</v>
      </c>
      <c r="Q39" s="543">
        <v>-1748.1691800000001</v>
      </c>
      <c r="R39" s="543">
        <v>880.02853000000005</v>
      </c>
      <c r="S39" s="543">
        <v>22562.95074</v>
      </c>
      <c r="T39" s="543">
        <v>6693.4058100000002</v>
      </c>
      <c r="U39" s="543">
        <v>-45568.047989999999</v>
      </c>
      <c r="V39" s="543">
        <v>23210</v>
      </c>
      <c r="W39" s="543">
        <v>40950.92</v>
      </c>
      <c r="X39" s="543">
        <v>-368.51848000000001</v>
      </c>
      <c r="Y39" s="543">
        <v>2377.1615900000002</v>
      </c>
      <c r="Z39" s="543">
        <v>4787.4643999999998</v>
      </c>
      <c r="AA39" s="543">
        <v>11587.85548</v>
      </c>
      <c r="AB39" s="543">
        <v>9707.5544599999994</v>
      </c>
      <c r="AC39" s="543">
        <v>12027.01021</v>
      </c>
      <c r="AD39" s="543" t="s">
        <v>2620</v>
      </c>
      <c r="AE39" s="543" t="s">
        <v>2620</v>
      </c>
      <c r="AF39" s="543" t="s">
        <v>2620</v>
      </c>
    </row>
    <row r="40" spans="1:32">
      <c r="A40" s="533"/>
      <c r="B40" s="534"/>
      <c r="C40" s="535"/>
      <c r="D40" s="12"/>
      <c r="E40" s="13"/>
      <c r="F40" s="14"/>
      <c r="G40" s="543"/>
      <c r="H40" s="543"/>
      <c r="I40" s="543"/>
      <c r="J40" s="543"/>
      <c r="K40" s="543"/>
      <c r="L40" s="543"/>
      <c r="M40" s="543"/>
      <c r="N40" s="543"/>
      <c r="O40" s="543"/>
      <c r="P40" s="543"/>
      <c r="Q40" s="543"/>
      <c r="R40" s="543"/>
      <c r="S40" s="543"/>
      <c r="T40" s="543"/>
      <c r="U40" s="543"/>
      <c r="V40" s="543"/>
      <c r="W40" s="543"/>
      <c r="X40" s="543"/>
      <c r="Y40" s="543"/>
      <c r="Z40" s="543"/>
      <c r="AA40" s="543"/>
      <c r="AB40" s="543"/>
      <c r="AC40" s="543"/>
      <c r="AD40" s="543"/>
      <c r="AE40" s="543"/>
      <c r="AF40" s="543"/>
    </row>
    <row r="41" spans="1:32" ht="13.15">
      <c r="A41" s="1501"/>
      <c r="B41" s="534"/>
      <c r="C41" s="535"/>
      <c r="D41" s="12" t="s">
        <v>904</v>
      </c>
      <c r="E41" s="13">
        <v>401</v>
      </c>
      <c r="F41" s="14" t="s">
        <v>2638</v>
      </c>
      <c r="G41" s="543">
        <v>2347437.8476999998</v>
      </c>
      <c r="H41" s="543">
        <v>2394367.12524</v>
      </c>
      <c r="I41" s="543">
        <v>2432893.06599</v>
      </c>
      <c r="J41" s="543">
        <v>2540399.7095499998</v>
      </c>
      <c r="K41" s="543">
        <v>2642590.2447100002</v>
      </c>
      <c r="L41" s="543">
        <v>2744982.9693399998</v>
      </c>
      <c r="M41" s="543">
        <v>2772625.551</v>
      </c>
      <c r="N41" s="543">
        <v>2808842.5671399999</v>
      </c>
      <c r="O41" s="543">
        <v>2861474.8887800002</v>
      </c>
      <c r="P41" s="543">
        <v>2936966.3407700001</v>
      </c>
      <c r="Q41" s="543">
        <v>3014940.96056</v>
      </c>
      <c r="R41" s="543">
        <v>3135232.9059700002</v>
      </c>
      <c r="S41" s="543">
        <v>3260474.04238</v>
      </c>
      <c r="T41" s="543">
        <v>3280072.1635400001</v>
      </c>
      <c r="U41" s="543">
        <v>3190487.55161</v>
      </c>
      <c r="V41" s="543">
        <v>3308157</v>
      </c>
      <c r="W41" s="543">
        <v>3390885.2</v>
      </c>
      <c r="X41" s="543">
        <v>3411737.5115299998</v>
      </c>
      <c r="Y41" s="543">
        <v>3459800.6421400001</v>
      </c>
      <c r="Z41" s="543">
        <v>3554469.4775899998</v>
      </c>
      <c r="AA41" s="543">
        <v>3688854.4960400001</v>
      </c>
      <c r="AB41" s="543">
        <v>3813895.3319299999</v>
      </c>
      <c r="AC41" s="543">
        <v>3911817.8389499998</v>
      </c>
      <c r="AD41" s="543" t="s">
        <v>2620</v>
      </c>
      <c r="AE41" s="543" t="s">
        <v>2620</v>
      </c>
      <c r="AF41" s="543" t="s">
        <v>2620</v>
      </c>
    </row>
    <row r="42" spans="1:32">
      <c r="A42" s="533"/>
      <c r="B42" s="534"/>
      <c r="C42" s="535"/>
      <c r="D42" s="12" t="s">
        <v>904</v>
      </c>
      <c r="E42" s="13">
        <v>402</v>
      </c>
      <c r="F42" s="14" t="s">
        <v>2639</v>
      </c>
      <c r="G42" s="543">
        <v>2371911.7322999998</v>
      </c>
      <c r="H42" s="543">
        <v>2398248.7856600001</v>
      </c>
      <c r="I42" s="543">
        <v>2439595.7053100001</v>
      </c>
      <c r="J42" s="543">
        <v>2555089.1264300002</v>
      </c>
      <c r="K42" s="543">
        <v>2645197.38558</v>
      </c>
      <c r="L42" s="543">
        <v>2759365.3767200001</v>
      </c>
      <c r="M42" s="543">
        <v>2777272.0483900001</v>
      </c>
      <c r="N42" s="543">
        <v>2807760.5359100001</v>
      </c>
      <c r="O42" s="543">
        <v>2866964.7028299998</v>
      </c>
      <c r="P42" s="543">
        <v>2934044.5791500001</v>
      </c>
      <c r="Q42" s="543">
        <v>3011636.52936</v>
      </c>
      <c r="R42" s="543">
        <v>3138480.77305</v>
      </c>
      <c r="S42" s="543">
        <v>3286143.5926000001</v>
      </c>
      <c r="T42" s="543">
        <v>3287875.1941300002</v>
      </c>
      <c r="U42" s="543">
        <v>3143653.6155300001</v>
      </c>
      <c r="V42" s="543">
        <v>3331367</v>
      </c>
      <c r="W42" s="543">
        <v>3431836.12</v>
      </c>
      <c r="X42" s="543">
        <v>3411887.5893399999</v>
      </c>
      <c r="Y42" s="543">
        <v>3467403.5337399999</v>
      </c>
      <c r="Z42" s="543">
        <v>3567868.2586300001</v>
      </c>
      <c r="AA42" s="543">
        <v>3718207.9438700001</v>
      </c>
      <c r="AB42" s="543">
        <v>3838730.47107</v>
      </c>
      <c r="AC42" s="543">
        <v>3942258.4698899998</v>
      </c>
      <c r="AD42" s="543" t="s">
        <v>2620</v>
      </c>
      <c r="AE42" s="543" t="s">
        <v>2620</v>
      </c>
      <c r="AF42" s="543" t="s">
        <v>2620</v>
      </c>
    </row>
    <row r="43" spans="1:32">
      <c r="A43" s="533"/>
      <c r="B43" s="534"/>
      <c r="C43" s="535"/>
      <c r="D43" s="12" t="s">
        <v>904</v>
      </c>
      <c r="E43" s="13">
        <v>403</v>
      </c>
      <c r="F43" s="14" t="s">
        <v>2640</v>
      </c>
      <c r="G43" s="543">
        <v>3098367.0153299998</v>
      </c>
      <c r="H43" s="543">
        <v>3159732.69496</v>
      </c>
      <c r="I43" s="543">
        <v>3322377.6033399999</v>
      </c>
      <c r="J43" s="543">
        <v>3521626.4047699999</v>
      </c>
      <c r="K43" s="543">
        <v>3685356.2539900001</v>
      </c>
      <c r="L43" s="543">
        <v>3927062.7069299999</v>
      </c>
      <c r="M43" s="543">
        <v>3953144.1571</v>
      </c>
      <c r="N43" s="543">
        <v>3999300.3827300002</v>
      </c>
      <c r="O43" s="543">
        <v>4109044.7382100001</v>
      </c>
      <c r="P43" s="543">
        <v>4310551.2569599999</v>
      </c>
      <c r="Q43" s="543">
        <v>4479426.9087399999</v>
      </c>
      <c r="R43" s="543">
        <v>4733971.1159300003</v>
      </c>
      <c r="S43" s="543">
        <v>4953033.8645500001</v>
      </c>
      <c r="T43" s="543">
        <v>4988321.9456799999</v>
      </c>
      <c r="U43" s="543">
        <v>4594844.5562100001</v>
      </c>
      <c r="V43" s="543">
        <v>4957083</v>
      </c>
      <c r="W43" s="543">
        <v>5156742.96</v>
      </c>
      <c r="X43" s="543">
        <v>5153241.1721700002</v>
      </c>
      <c r="Y43" s="543">
        <v>5196607.2168800002</v>
      </c>
      <c r="Z43" s="543">
        <v>5385706.27996</v>
      </c>
      <c r="AA43" s="543">
        <v>5637978.57094</v>
      </c>
      <c r="AB43" s="543">
        <v>5815730.2751099998</v>
      </c>
      <c r="AC43" s="543">
        <v>5982484.0033900002</v>
      </c>
      <c r="AD43" s="543" t="s">
        <v>2620</v>
      </c>
      <c r="AE43" s="543" t="s">
        <v>2620</v>
      </c>
      <c r="AF43" s="543" t="s">
        <v>2620</v>
      </c>
    </row>
    <row r="44" spans="1:32">
      <c r="A44" s="533"/>
      <c r="B44" s="534"/>
      <c r="C44" s="535"/>
      <c r="D44" s="12"/>
      <c r="E44" s="13"/>
      <c r="F44" s="14"/>
      <c r="G44" s="543"/>
      <c r="H44" s="543"/>
      <c r="I44" s="543"/>
      <c r="J44" s="543"/>
      <c r="K44" s="543"/>
      <c r="L44" s="543"/>
      <c r="M44" s="543"/>
      <c r="N44" s="543"/>
      <c r="O44" s="543"/>
      <c r="P44" s="543"/>
      <c r="Q44" s="543"/>
      <c r="R44" s="543"/>
      <c r="S44" s="543"/>
      <c r="T44" s="543"/>
      <c r="U44" s="543"/>
      <c r="V44" s="543"/>
      <c r="W44" s="543"/>
      <c r="X44" s="543"/>
      <c r="Y44" s="543"/>
      <c r="Z44" s="543"/>
      <c r="AA44" s="543"/>
      <c r="AB44" s="543"/>
      <c r="AC44" s="543"/>
      <c r="AD44" s="543"/>
      <c r="AE44" s="543"/>
      <c r="AF44" s="543"/>
    </row>
    <row r="45" spans="1:32">
      <c r="A45" s="533">
        <v>8</v>
      </c>
      <c r="B45" s="534" t="s">
        <v>1638</v>
      </c>
      <c r="C45" s="535" t="s">
        <v>898</v>
      </c>
      <c r="D45" s="12" t="s">
        <v>904</v>
      </c>
      <c r="E45" s="13">
        <v>511</v>
      </c>
      <c r="F45" s="14" t="s">
        <v>2641</v>
      </c>
      <c r="G45" s="543">
        <v>600269.56000000006</v>
      </c>
      <c r="H45" s="543">
        <v>629109.54</v>
      </c>
      <c r="I45" s="543">
        <v>714253.54</v>
      </c>
      <c r="J45" s="543">
        <v>775622.33</v>
      </c>
      <c r="K45" s="543">
        <v>824810.94</v>
      </c>
      <c r="L45" s="543">
        <v>921709.36</v>
      </c>
      <c r="M45" s="543">
        <v>900960.69</v>
      </c>
      <c r="N45" s="543">
        <v>921579.78</v>
      </c>
      <c r="O45" s="543">
        <v>966472.84</v>
      </c>
      <c r="P45" s="543">
        <v>1074789.3899999999</v>
      </c>
      <c r="Q45" s="543">
        <v>1137004.54</v>
      </c>
      <c r="R45" s="543">
        <v>1233666.43</v>
      </c>
      <c r="S45" s="543">
        <v>1268892.68</v>
      </c>
      <c r="T45" s="543">
        <v>1278799.1000000001</v>
      </c>
      <c r="U45" s="543">
        <v>1039152.82</v>
      </c>
      <c r="V45" s="543">
        <v>1203180</v>
      </c>
      <c r="W45" s="543">
        <v>1285529.8700000001</v>
      </c>
      <c r="X45" s="543">
        <v>1288905.03</v>
      </c>
      <c r="Y45" s="543">
        <v>1251781.4099999999</v>
      </c>
      <c r="Z45" s="543">
        <v>1291130.45</v>
      </c>
      <c r="AA45" s="543">
        <v>1336567.52</v>
      </c>
      <c r="AB45" s="543">
        <v>1367473.53</v>
      </c>
      <c r="AC45" s="543">
        <v>1435223.44</v>
      </c>
      <c r="AD45" s="543" t="s">
        <v>2620</v>
      </c>
      <c r="AE45" s="543" t="s">
        <v>2620</v>
      </c>
      <c r="AF45" s="543" t="s">
        <v>2620</v>
      </c>
    </row>
    <row r="46" spans="1:32">
      <c r="A46" s="533">
        <v>9</v>
      </c>
      <c r="B46" s="534" t="s">
        <v>74</v>
      </c>
      <c r="C46" s="535" t="s">
        <v>899</v>
      </c>
      <c r="D46" s="12" t="s">
        <v>904</v>
      </c>
      <c r="E46" s="13">
        <v>512</v>
      </c>
      <c r="F46" s="14" t="s">
        <v>2642</v>
      </c>
      <c r="G46" s="543">
        <v>153591.78</v>
      </c>
      <c r="H46" s="543">
        <v>154702.43</v>
      </c>
      <c r="I46" s="543">
        <v>178814.83</v>
      </c>
      <c r="J46" s="543">
        <v>197746.08</v>
      </c>
      <c r="K46" s="543">
        <v>220013.08</v>
      </c>
      <c r="L46" s="543">
        <v>245282.52</v>
      </c>
      <c r="M46" s="543">
        <v>277140.12</v>
      </c>
      <c r="N46" s="543">
        <v>271158.89</v>
      </c>
      <c r="O46" s="543">
        <v>275494.5</v>
      </c>
      <c r="P46" s="543">
        <v>300372.90000000002</v>
      </c>
      <c r="Q46" s="543">
        <v>329309.48</v>
      </c>
      <c r="R46" s="543">
        <v>359666.33</v>
      </c>
      <c r="S46" s="543">
        <v>396115.19</v>
      </c>
      <c r="T46" s="543">
        <v>419399.1</v>
      </c>
      <c r="U46" s="543">
        <v>413568.42</v>
      </c>
      <c r="V46" s="543">
        <v>422536</v>
      </c>
      <c r="W46" s="543">
        <v>439376.61</v>
      </c>
      <c r="X46" s="543">
        <v>452742.3</v>
      </c>
      <c r="Y46" s="543">
        <v>475173.1</v>
      </c>
      <c r="Z46" s="543">
        <v>524823.84</v>
      </c>
      <c r="AA46" s="543">
        <v>580805.21</v>
      </c>
      <c r="AB46" s="543">
        <v>606103.05000000005</v>
      </c>
      <c r="AC46" s="543">
        <v>604313.51</v>
      </c>
      <c r="AD46" s="543" t="s">
        <v>2620</v>
      </c>
      <c r="AE46" s="543" t="s">
        <v>2620</v>
      </c>
      <c r="AF46" s="543" t="s">
        <v>2620</v>
      </c>
    </row>
    <row r="47" spans="1:32">
      <c r="A47" s="533"/>
      <c r="B47" s="534" t="s">
        <v>287</v>
      </c>
      <c r="C47" s="535" t="s">
        <v>900</v>
      </c>
      <c r="D47" s="12" t="s">
        <v>904</v>
      </c>
      <c r="E47" s="13">
        <v>510</v>
      </c>
      <c r="F47" s="14" t="s">
        <v>2643</v>
      </c>
      <c r="G47" s="543">
        <v>755633.09</v>
      </c>
      <c r="H47" s="543">
        <v>786817.35</v>
      </c>
      <c r="I47" s="543">
        <v>896018.03</v>
      </c>
      <c r="J47" s="543">
        <v>976084.66</v>
      </c>
      <c r="K47" s="543">
        <v>1046531.4</v>
      </c>
      <c r="L47" s="543">
        <v>1168956.92</v>
      </c>
      <c r="M47" s="543">
        <v>1177100.46</v>
      </c>
      <c r="N47" s="543">
        <v>1192607.67</v>
      </c>
      <c r="O47" s="543">
        <v>1242231.74</v>
      </c>
      <c r="P47" s="543">
        <v>1375583.66</v>
      </c>
      <c r="Q47" s="543">
        <v>1466769.65</v>
      </c>
      <c r="R47" s="543">
        <v>1593825.22</v>
      </c>
      <c r="S47" s="543">
        <v>1665208.62</v>
      </c>
      <c r="T47" s="543">
        <v>1698277.26</v>
      </c>
      <c r="U47" s="543">
        <v>1452278.5</v>
      </c>
      <c r="V47" s="543">
        <v>1625716</v>
      </c>
      <c r="W47" s="543">
        <v>1724906.84</v>
      </c>
      <c r="X47" s="543">
        <v>1741835.13</v>
      </c>
      <c r="Y47" s="543">
        <v>1728377.12</v>
      </c>
      <c r="Z47" s="543">
        <v>1819242.52</v>
      </c>
      <c r="AA47" s="543">
        <v>1922660.41</v>
      </c>
      <c r="AB47" s="543">
        <v>1979715.47</v>
      </c>
      <c r="AC47" s="543">
        <v>2043739.22</v>
      </c>
      <c r="AD47" s="543" t="s">
        <v>2620</v>
      </c>
      <c r="AE47" s="543" t="s">
        <v>2620</v>
      </c>
      <c r="AF47" s="543" t="s">
        <v>2620</v>
      </c>
    </row>
    <row r="48" spans="1:32">
      <c r="A48" s="533"/>
      <c r="B48" s="534"/>
      <c r="C48" s="535"/>
      <c r="D48" s="12"/>
      <c r="E48" s="13"/>
      <c r="F48" s="14"/>
      <c r="G48" s="543"/>
      <c r="H48" s="543"/>
      <c r="I48" s="543"/>
      <c r="J48" s="543"/>
      <c r="K48" s="543"/>
      <c r="L48" s="543"/>
      <c r="M48" s="543"/>
      <c r="N48" s="543"/>
      <c r="O48" s="543"/>
      <c r="P48" s="543"/>
      <c r="Q48" s="543"/>
      <c r="R48" s="543"/>
      <c r="S48" s="543"/>
      <c r="T48" s="543"/>
      <c r="U48" s="543"/>
      <c r="V48" s="543"/>
      <c r="W48" s="543"/>
      <c r="X48" s="543"/>
      <c r="Y48" s="543"/>
      <c r="Z48" s="543"/>
      <c r="AA48" s="543"/>
      <c r="AB48" s="543"/>
      <c r="AC48" s="543"/>
      <c r="AD48" s="543"/>
      <c r="AE48" s="543"/>
      <c r="AF48" s="543"/>
    </row>
    <row r="49" spans="1:32">
      <c r="A49" s="533">
        <v>10</v>
      </c>
      <c r="B49" s="534" t="s">
        <v>631</v>
      </c>
      <c r="C49" s="535" t="s">
        <v>901</v>
      </c>
      <c r="D49" s="12" t="s">
        <v>904</v>
      </c>
      <c r="E49" s="13">
        <v>521</v>
      </c>
      <c r="F49" s="14" t="s">
        <v>2644</v>
      </c>
      <c r="G49" s="543">
        <v>518590.81</v>
      </c>
      <c r="H49" s="543">
        <v>532179</v>
      </c>
      <c r="I49" s="543">
        <v>592951.86</v>
      </c>
      <c r="J49" s="543">
        <v>652881.30000000005</v>
      </c>
      <c r="K49" s="543">
        <v>680274.82</v>
      </c>
      <c r="L49" s="543">
        <v>762983.06</v>
      </c>
      <c r="M49" s="543">
        <v>729840.81</v>
      </c>
      <c r="N49" s="543">
        <v>726905.6</v>
      </c>
      <c r="O49" s="543">
        <v>770380.88</v>
      </c>
      <c r="P49" s="543">
        <v>830820.15</v>
      </c>
      <c r="Q49" s="543">
        <v>892858.15</v>
      </c>
      <c r="R49" s="543">
        <v>978612.79</v>
      </c>
      <c r="S49" s="543">
        <v>1046510.72</v>
      </c>
      <c r="T49" s="543">
        <v>1077081.78</v>
      </c>
      <c r="U49" s="543">
        <v>898522.95</v>
      </c>
      <c r="V49" s="543">
        <v>1053020</v>
      </c>
      <c r="W49" s="543">
        <v>1144304.1299999999</v>
      </c>
      <c r="X49" s="543">
        <v>1134599.48</v>
      </c>
      <c r="Y49" s="543">
        <v>1115481.81</v>
      </c>
      <c r="Z49" s="543">
        <v>1166902.5</v>
      </c>
      <c r="AA49" s="543">
        <v>1229950.72</v>
      </c>
      <c r="AB49" s="543">
        <v>1302129.77</v>
      </c>
      <c r="AC49" s="543">
        <v>1354505.09</v>
      </c>
      <c r="AD49" s="543" t="s">
        <v>2620</v>
      </c>
      <c r="AE49" s="543" t="s">
        <v>2620</v>
      </c>
      <c r="AF49" s="543" t="s">
        <v>2620</v>
      </c>
    </row>
    <row r="50" spans="1:32">
      <c r="A50" s="533">
        <v>11</v>
      </c>
      <c r="B50" s="534" t="s">
        <v>971</v>
      </c>
      <c r="C50" s="535" t="s">
        <v>902</v>
      </c>
      <c r="D50" s="12" t="s">
        <v>904</v>
      </c>
      <c r="E50" s="13">
        <v>522</v>
      </c>
      <c r="F50" s="14" t="s">
        <v>2645</v>
      </c>
      <c r="G50" s="543">
        <v>178363.04</v>
      </c>
      <c r="H50" s="543">
        <v>189273.49</v>
      </c>
      <c r="I50" s="543">
        <v>218757.45</v>
      </c>
      <c r="J50" s="543">
        <v>251193.22</v>
      </c>
      <c r="K50" s="543">
        <v>270525.01</v>
      </c>
      <c r="L50" s="543">
        <v>299344.90999999997</v>
      </c>
      <c r="M50" s="543">
        <v>315928.08</v>
      </c>
      <c r="N50" s="543">
        <v>305396.31</v>
      </c>
      <c r="O50" s="543">
        <v>300837.44</v>
      </c>
      <c r="P50" s="543">
        <v>311059.8</v>
      </c>
      <c r="Q50" s="543">
        <v>328866.73</v>
      </c>
      <c r="R50" s="543">
        <v>343368.12</v>
      </c>
      <c r="S50" s="543">
        <v>376692.39</v>
      </c>
      <c r="T50" s="543">
        <v>400338.3</v>
      </c>
      <c r="U50" s="543">
        <v>371753.92</v>
      </c>
      <c r="V50" s="543">
        <v>380239</v>
      </c>
      <c r="W50" s="543">
        <v>394203.77</v>
      </c>
      <c r="X50" s="543">
        <v>411285.69</v>
      </c>
      <c r="Y50" s="543">
        <v>428036.95</v>
      </c>
      <c r="Z50" s="543">
        <v>472402.81</v>
      </c>
      <c r="AA50" s="543">
        <v>495462.24</v>
      </c>
      <c r="AB50" s="543">
        <v>499866.87</v>
      </c>
      <c r="AC50" s="543">
        <v>531812.21</v>
      </c>
      <c r="AD50" s="543" t="s">
        <v>2620</v>
      </c>
      <c r="AE50" s="543" t="s">
        <v>2620</v>
      </c>
      <c r="AF50" s="543" t="s">
        <v>2620</v>
      </c>
    </row>
    <row r="51" spans="1:32">
      <c r="A51" s="533"/>
      <c r="B51" s="534" t="s">
        <v>288</v>
      </c>
      <c r="C51" s="535" t="s">
        <v>903</v>
      </c>
      <c r="D51" s="12" t="s">
        <v>904</v>
      </c>
      <c r="E51" s="13">
        <v>520</v>
      </c>
      <c r="F51" s="14" t="s">
        <v>2646</v>
      </c>
      <c r="G51" s="543">
        <v>699919.16</v>
      </c>
      <c r="H51" s="543">
        <v>724007.36</v>
      </c>
      <c r="I51" s="543">
        <v>814128.39</v>
      </c>
      <c r="J51" s="543">
        <v>906204.06</v>
      </c>
      <c r="K51" s="543">
        <v>952585.51</v>
      </c>
      <c r="L51" s="543">
        <v>1064504.58</v>
      </c>
      <c r="M51" s="543">
        <v>1046220.63</v>
      </c>
      <c r="N51" s="543">
        <v>1033088.05</v>
      </c>
      <c r="O51" s="543">
        <v>1072552.51</v>
      </c>
      <c r="P51" s="543">
        <v>1143400.1599999999</v>
      </c>
      <c r="Q51" s="543">
        <v>1223355.92</v>
      </c>
      <c r="R51" s="543">
        <v>1323980.8</v>
      </c>
      <c r="S51" s="543">
        <v>1425059.47</v>
      </c>
      <c r="T51" s="543">
        <v>1479088.63</v>
      </c>
      <c r="U51" s="543">
        <v>1270869.32</v>
      </c>
      <c r="V51" s="543">
        <v>1433259</v>
      </c>
      <c r="W51" s="543">
        <v>1538507.68</v>
      </c>
      <c r="X51" s="543">
        <v>1545925.96</v>
      </c>
      <c r="Y51" s="543">
        <v>1544098.68</v>
      </c>
      <c r="Z51" s="543">
        <v>1641080.11</v>
      </c>
      <c r="AA51" s="543">
        <v>1727131.2</v>
      </c>
      <c r="AB51" s="543">
        <v>1801489.89</v>
      </c>
      <c r="AC51" s="543">
        <v>1887084.16</v>
      </c>
      <c r="AD51" s="543" t="s">
        <v>2620</v>
      </c>
      <c r="AE51" s="543" t="s">
        <v>2620</v>
      </c>
      <c r="AF51" s="543" t="s">
        <v>2620</v>
      </c>
    </row>
    <row r="52" spans="1:32">
      <c r="A52" s="533"/>
      <c r="B52" s="534"/>
      <c r="C52" s="535"/>
      <c r="D52" s="12"/>
      <c r="E52" s="13"/>
      <c r="F52" s="14"/>
      <c r="G52" s="543"/>
      <c r="H52" s="543"/>
      <c r="I52" s="543"/>
      <c r="J52" s="543"/>
      <c r="K52" s="543"/>
      <c r="L52" s="543"/>
      <c r="M52" s="543"/>
      <c r="N52" s="543"/>
      <c r="O52" s="543"/>
      <c r="P52" s="543"/>
      <c r="Q52" s="543"/>
      <c r="R52" s="543"/>
      <c r="S52" s="543"/>
      <c r="T52" s="543"/>
      <c r="U52" s="543"/>
      <c r="V52" s="543"/>
      <c r="W52" s="543"/>
      <c r="X52" s="543"/>
      <c r="Y52" s="543"/>
      <c r="Z52" s="543"/>
      <c r="AA52" s="543"/>
      <c r="AB52" s="543"/>
      <c r="AC52" s="543"/>
      <c r="AD52" s="543"/>
      <c r="AE52" s="543"/>
      <c r="AF52" s="543"/>
    </row>
    <row r="53" spans="1:32">
      <c r="A53" s="533">
        <v>58</v>
      </c>
      <c r="B53" s="534" t="s">
        <v>289</v>
      </c>
      <c r="C53" s="535"/>
      <c r="D53" s="12" t="s">
        <v>904</v>
      </c>
      <c r="E53" s="13">
        <v>601</v>
      </c>
      <c r="F53" s="14" t="s">
        <v>2647</v>
      </c>
      <c r="G53" s="543">
        <v>2094683.57</v>
      </c>
      <c r="H53" s="543">
        <v>2129419.17</v>
      </c>
      <c r="I53" s="543">
        <v>2199180.21</v>
      </c>
      <c r="J53" s="543">
        <v>2291630.13</v>
      </c>
      <c r="K53" s="543">
        <v>2393232.14</v>
      </c>
      <c r="L53" s="543">
        <v>2520755.7999999998</v>
      </c>
      <c r="M53" s="543">
        <v>2556366.48</v>
      </c>
      <c r="N53" s="543">
        <v>2605689.5099999998</v>
      </c>
      <c r="O53" s="543">
        <v>2668299.4300000002</v>
      </c>
      <c r="P53" s="543">
        <v>2790692.46</v>
      </c>
      <c r="Q53" s="543">
        <v>2864772.22</v>
      </c>
      <c r="R53" s="543">
        <v>3002176.28</v>
      </c>
      <c r="S53" s="543">
        <v>3104540.04</v>
      </c>
      <c r="T53" s="543">
        <v>3095324.77</v>
      </c>
      <c r="U53" s="543">
        <v>2916711.2</v>
      </c>
      <c r="V53" s="543">
        <v>3098617</v>
      </c>
      <c r="W53" s="543">
        <v>3190398.06</v>
      </c>
      <c r="X53" s="543">
        <v>3186031.03</v>
      </c>
      <c r="Y53" s="543">
        <v>3228679.5</v>
      </c>
      <c r="Z53" s="543">
        <v>3314509.66</v>
      </c>
      <c r="AA53" s="543">
        <v>3457062</v>
      </c>
      <c r="AB53" s="543">
        <v>3545492.32</v>
      </c>
      <c r="AC53" s="543">
        <v>3621928.85</v>
      </c>
      <c r="AD53" s="543" t="s">
        <v>2620</v>
      </c>
      <c r="AE53" s="543" t="s">
        <v>2620</v>
      </c>
      <c r="AF53" s="543" t="s">
        <v>2620</v>
      </c>
    </row>
    <row r="54" spans="1:32">
      <c r="A54" s="533"/>
      <c r="B54" s="534"/>
      <c r="C54" s="535"/>
      <c r="D54" s="12"/>
      <c r="E54" s="13"/>
      <c r="F54" s="14"/>
      <c r="G54" s="543"/>
      <c r="H54" s="543"/>
      <c r="I54" s="543"/>
      <c r="J54" s="543"/>
      <c r="K54" s="543"/>
      <c r="L54" s="543"/>
      <c r="M54" s="543"/>
      <c r="N54" s="543"/>
      <c r="O54" s="543"/>
      <c r="P54" s="543"/>
      <c r="Q54" s="543"/>
      <c r="R54" s="543"/>
      <c r="S54" s="543"/>
      <c r="T54" s="543"/>
      <c r="U54" s="543"/>
      <c r="V54" s="543"/>
      <c r="W54" s="543"/>
      <c r="X54" s="543"/>
      <c r="Y54" s="543"/>
      <c r="Z54" s="543"/>
      <c r="AA54" s="543"/>
      <c r="AB54" s="543"/>
      <c r="AC54" s="543"/>
      <c r="AD54" s="543"/>
      <c r="AE54" s="543"/>
      <c r="AF54" s="543"/>
    </row>
    <row r="55" spans="1:32">
      <c r="A55" s="533">
        <v>12</v>
      </c>
      <c r="B55" s="534" t="s">
        <v>1838</v>
      </c>
      <c r="C55" s="535" t="s">
        <v>1587</v>
      </c>
      <c r="D55" s="12" t="s">
        <v>904</v>
      </c>
      <c r="E55" s="13">
        <v>600</v>
      </c>
      <c r="F55" s="14" t="s">
        <v>2648</v>
      </c>
      <c r="G55" s="543">
        <v>2400865.0299999998</v>
      </c>
      <c r="H55" s="543">
        <v>2437335</v>
      </c>
      <c r="I55" s="543">
        <v>2508317.67</v>
      </c>
      <c r="J55" s="543">
        <v>2614694.3199999998</v>
      </c>
      <c r="K55" s="543">
        <v>2732007.87</v>
      </c>
      <c r="L55" s="543">
        <v>2861658.49</v>
      </c>
      <c r="M55" s="543">
        <v>2906685.14</v>
      </c>
      <c r="N55" s="543">
        <v>2967007.6</v>
      </c>
      <c r="O55" s="543">
        <v>3037022.34</v>
      </c>
      <c r="P55" s="543">
        <v>3167941.79</v>
      </c>
      <c r="Q55" s="543">
        <v>3257172.49</v>
      </c>
      <c r="R55" s="543">
        <v>3410245.21</v>
      </c>
      <c r="S55" s="543">
        <v>3526469.72</v>
      </c>
      <c r="T55" s="543">
        <v>3506825.24</v>
      </c>
      <c r="U55" s="543">
        <v>3324614.18</v>
      </c>
      <c r="V55" s="543">
        <v>3523824</v>
      </c>
      <c r="W55" s="543">
        <v>3618235.28</v>
      </c>
      <c r="X55" s="543">
        <v>3607434.4</v>
      </c>
      <c r="Y55" s="543">
        <v>3652107.04</v>
      </c>
      <c r="Z55" s="543">
        <v>3747131.32</v>
      </c>
      <c r="AA55" s="543">
        <v>3914124.81</v>
      </c>
      <c r="AB55" s="543">
        <v>4019178.6</v>
      </c>
      <c r="AC55" s="543">
        <v>4104151.93</v>
      </c>
      <c r="AD55" s="543" t="s">
        <v>2620</v>
      </c>
      <c r="AE55" s="543" t="s">
        <v>2620</v>
      </c>
      <c r="AF55" s="543" t="s">
        <v>2620</v>
      </c>
    </row>
    <row r="56" spans="1:32">
      <c r="A56" s="533"/>
      <c r="B56" s="534"/>
      <c r="C56" s="535"/>
      <c r="D56" s="12"/>
      <c r="E56" s="13"/>
      <c r="F56" s="14"/>
      <c r="G56" s="543"/>
      <c r="H56" s="543"/>
      <c r="I56" s="543"/>
      <c r="J56" s="543"/>
      <c r="K56" s="543"/>
      <c r="L56" s="543"/>
      <c r="M56" s="543"/>
      <c r="N56" s="543"/>
      <c r="O56" s="543"/>
      <c r="P56" s="543"/>
      <c r="Q56" s="543"/>
      <c r="R56" s="543"/>
      <c r="S56" s="543"/>
      <c r="T56" s="543"/>
      <c r="U56" s="543"/>
      <c r="V56" s="543"/>
      <c r="W56" s="543"/>
      <c r="X56" s="543"/>
      <c r="Y56" s="543"/>
      <c r="Z56" s="543"/>
      <c r="AA56" s="543"/>
      <c r="AB56" s="543"/>
      <c r="AC56" s="543"/>
      <c r="AD56" s="543"/>
      <c r="AE56" s="543"/>
      <c r="AF56" s="543"/>
    </row>
    <row r="57" spans="1:32">
      <c r="A57" s="533"/>
      <c r="B57" s="534"/>
      <c r="C57" s="535"/>
      <c r="D57" s="12"/>
      <c r="E57" s="13"/>
      <c r="F57" s="14"/>
      <c r="G57" s="543"/>
      <c r="H57" s="543"/>
      <c r="I57" s="543"/>
      <c r="J57" s="543"/>
      <c r="K57" s="543"/>
      <c r="L57" s="543"/>
      <c r="M57" s="543"/>
      <c r="N57" s="543"/>
      <c r="O57" s="543"/>
      <c r="P57" s="543"/>
      <c r="Q57" s="543"/>
      <c r="R57" s="543"/>
      <c r="S57" s="543"/>
      <c r="T57" s="543"/>
      <c r="U57" s="543"/>
      <c r="V57" s="543"/>
      <c r="W57" s="543"/>
      <c r="X57" s="543"/>
      <c r="Y57" s="543"/>
      <c r="Z57" s="543"/>
      <c r="AA57" s="543"/>
      <c r="AB57" s="543"/>
      <c r="AC57" s="543"/>
      <c r="AD57" s="543"/>
      <c r="AE57" s="543"/>
      <c r="AF57" s="543"/>
    </row>
    <row r="58" spans="1:32">
      <c r="A58" s="533"/>
      <c r="B58" s="534"/>
      <c r="C58" s="535"/>
      <c r="D58" s="12"/>
      <c r="E58" s="13"/>
      <c r="F58" s="14"/>
      <c r="G58" s="543"/>
      <c r="H58" s="543"/>
      <c r="I58" s="543"/>
      <c r="J58" s="543"/>
      <c r="K58" s="543"/>
      <c r="L58" s="543"/>
      <c r="M58" s="543"/>
      <c r="N58" s="543"/>
      <c r="O58" s="543"/>
      <c r="P58" s="543"/>
      <c r="Q58" s="543"/>
      <c r="R58" s="543"/>
      <c r="S58" s="543"/>
      <c r="T58" s="543"/>
      <c r="U58" s="543"/>
      <c r="V58" s="543"/>
      <c r="W58" s="543"/>
      <c r="X58" s="543"/>
      <c r="Y58" s="543"/>
      <c r="Z58" s="543"/>
      <c r="AA58" s="543"/>
      <c r="AB58" s="543"/>
      <c r="AC58" s="543"/>
      <c r="AD58" s="543"/>
      <c r="AE58" s="543"/>
      <c r="AF58" s="543"/>
    </row>
    <row r="59" spans="1:32">
      <c r="A59" s="533"/>
      <c r="B59" s="534"/>
      <c r="C59" s="535"/>
      <c r="D59" s="12"/>
      <c r="E59" s="13"/>
      <c r="F59" s="14"/>
      <c r="G59" s="543"/>
      <c r="H59" s="543"/>
      <c r="I59" s="543"/>
      <c r="J59" s="543"/>
      <c r="K59" s="543"/>
      <c r="L59" s="543"/>
      <c r="M59" s="543"/>
      <c r="N59" s="543"/>
      <c r="O59" s="543"/>
      <c r="P59" s="543"/>
      <c r="Q59" s="543"/>
      <c r="R59" s="543"/>
      <c r="S59" s="543"/>
      <c r="T59" s="543"/>
      <c r="U59" s="543"/>
      <c r="V59" s="543"/>
      <c r="W59" s="543"/>
      <c r="X59" s="543"/>
      <c r="Y59" s="543"/>
      <c r="Z59" s="543"/>
      <c r="AA59" s="543"/>
      <c r="AB59" s="543"/>
      <c r="AC59" s="543"/>
      <c r="AD59" s="543"/>
      <c r="AE59" s="543"/>
      <c r="AF59" s="543"/>
    </row>
    <row r="60" spans="1:32">
      <c r="A60" s="533">
        <v>36</v>
      </c>
      <c r="B60" s="534" t="s">
        <v>2014</v>
      </c>
      <c r="C60" s="535" t="s">
        <v>290</v>
      </c>
      <c r="D60" s="12" t="s">
        <v>1505</v>
      </c>
      <c r="E60" s="13">
        <v>200</v>
      </c>
      <c r="F60" s="14" t="s">
        <v>2649</v>
      </c>
      <c r="G60" s="543">
        <v>893703</v>
      </c>
      <c r="H60" s="543">
        <v>918231</v>
      </c>
      <c r="I60" s="543">
        <v>957611</v>
      </c>
      <c r="J60" s="543">
        <v>993734</v>
      </c>
      <c r="K60" s="543">
        <v>1049034</v>
      </c>
      <c r="L60" s="543">
        <v>1114962</v>
      </c>
      <c r="M60" s="543">
        <v>1147283</v>
      </c>
      <c r="N60" s="543">
        <v>1194174</v>
      </c>
      <c r="O60" s="543">
        <v>1241623</v>
      </c>
      <c r="P60" s="543">
        <v>1286190</v>
      </c>
      <c r="Q60" s="543">
        <v>1336449</v>
      </c>
      <c r="R60" s="543">
        <v>1388676</v>
      </c>
      <c r="S60" s="543">
        <v>1462213</v>
      </c>
      <c r="T60" s="543">
        <v>1511303</v>
      </c>
      <c r="U60" s="543">
        <v>1550387</v>
      </c>
      <c r="V60" s="543">
        <v>1634640</v>
      </c>
      <c r="W60" s="543">
        <v>1692895</v>
      </c>
      <c r="X60" s="543">
        <v>1715028</v>
      </c>
      <c r="Y60" s="543">
        <v>1759307</v>
      </c>
      <c r="Z60" s="543">
        <v>1816179</v>
      </c>
      <c r="AA60" s="543">
        <v>1889101</v>
      </c>
      <c r="AB60" s="543">
        <v>1962610</v>
      </c>
      <c r="AC60" s="543">
        <v>2040802</v>
      </c>
      <c r="AD60" s="543" t="s">
        <v>2620</v>
      </c>
      <c r="AE60" s="543" t="s">
        <v>2620</v>
      </c>
      <c r="AF60" s="543" t="s">
        <v>2620</v>
      </c>
    </row>
    <row r="61" spans="1:32">
      <c r="A61" s="533">
        <v>119</v>
      </c>
      <c r="B61" s="534" t="s">
        <v>906</v>
      </c>
      <c r="C61" s="535" t="s">
        <v>291</v>
      </c>
      <c r="D61" s="12" t="s">
        <v>1505</v>
      </c>
      <c r="E61" s="13">
        <v>110</v>
      </c>
      <c r="F61" s="14" t="s">
        <v>2650</v>
      </c>
      <c r="G61" s="543">
        <v>333614</v>
      </c>
      <c r="H61" s="543">
        <v>350780</v>
      </c>
      <c r="I61" s="543">
        <v>357504</v>
      </c>
      <c r="J61" s="543">
        <v>380681</v>
      </c>
      <c r="K61" s="543">
        <v>397432</v>
      </c>
      <c r="L61" s="543">
        <v>405019</v>
      </c>
      <c r="M61" s="543">
        <v>440122</v>
      </c>
      <c r="N61" s="543">
        <v>473244</v>
      </c>
      <c r="O61" s="543">
        <v>499903</v>
      </c>
      <c r="P61" s="543">
        <v>508319</v>
      </c>
      <c r="Q61" s="543">
        <v>526249</v>
      </c>
      <c r="R61" s="543">
        <v>555073</v>
      </c>
      <c r="S61" s="543">
        <v>580893</v>
      </c>
      <c r="T61" s="543">
        <v>606573</v>
      </c>
      <c r="U61" s="543">
        <v>621862</v>
      </c>
      <c r="V61" s="543">
        <v>640002</v>
      </c>
      <c r="W61" s="543">
        <v>663514</v>
      </c>
      <c r="X61" s="543">
        <v>683657</v>
      </c>
      <c r="Y61" s="543">
        <v>709536</v>
      </c>
      <c r="Z61" s="543">
        <v>740256</v>
      </c>
      <c r="AA61" s="543">
        <v>786808</v>
      </c>
      <c r="AB61" s="543">
        <v>847622</v>
      </c>
      <c r="AC61" s="543">
        <v>881561</v>
      </c>
      <c r="AD61" s="543" t="s">
        <v>2620</v>
      </c>
      <c r="AE61" s="543" t="s">
        <v>2620</v>
      </c>
      <c r="AF61" s="543" t="s">
        <v>2620</v>
      </c>
    </row>
    <row r="62" spans="1:32">
      <c r="A62" s="533">
        <v>118</v>
      </c>
      <c r="B62" s="534" t="s">
        <v>907</v>
      </c>
      <c r="C62" s="535" t="s">
        <v>292</v>
      </c>
      <c r="D62" s="12" t="s">
        <v>1505</v>
      </c>
      <c r="E62" s="13">
        <v>120</v>
      </c>
      <c r="F62" s="14" t="s">
        <v>2651</v>
      </c>
      <c r="G62" s="543">
        <v>147077</v>
      </c>
      <c r="H62" s="543">
        <v>149419</v>
      </c>
      <c r="I62" s="543">
        <v>155593</v>
      </c>
      <c r="J62" s="543">
        <v>160216</v>
      </c>
      <c r="K62" s="543">
        <v>171640</v>
      </c>
      <c r="L62" s="543">
        <v>179055</v>
      </c>
      <c r="M62" s="543">
        <v>172517</v>
      </c>
      <c r="N62" s="543">
        <v>181414</v>
      </c>
      <c r="O62" s="543">
        <v>188521</v>
      </c>
      <c r="P62" s="543">
        <v>192701</v>
      </c>
      <c r="Q62" s="543">
        <v>196393</v>
      </c>
      <c r="R62" s="543">
        <v>206482</v>
      </c>
      <c r="S62" s="543">
        <v>212566</v>
      </c>
      <c r="T62" s="543">
        <v>226792</v>
      </c>
      <c r="U62" s="543">
        <v>238706</v>
      </c>
      <c r="V62" s="543">
        <v>246370</v>
      </c>
      <c r="W62" s="543">
        <v>257304</v>
      </c>
      <c r="X62" s="543">
        <v>271254</v>
      </c>
      <c r="Y62" s="543">
        <v>283095</v>
      </c>
      <c r="Z62" s="543">
        <v>291253</v>
      </c>
      <c r="AA62" s="543">
        <v>299822</v>
      </c>
      <c r="AB62" s="543">
        <v>305906</v>
      </c>
      <c r="AC62" s="543">
        <v>314088</v>
      </c>
      <c r="AD62" s="543" t="s">
        <v>2620</v>
      </c>
      <c r="AE62" s="543" t="s">
        <v>2620</v>
      </c>
      <c r="AF62" s="543" t="s">
        <v>2620</v>
      </c>
    </row>
    <row r="63" spans="1:32">
      <c r="A63" s="533">
        <v>37</v>
      </c>
      <c r="B63" s="534" t="s">
        <v>2016</v>
      </c>
      <c r="C63" s="535" t="s">
        <v>293</v>
      </c>
      <c r="D63" s="12" t="s">
        <v>1505</v>
      </c>
      <c r="E63" s="13">
        <v>100</v>
      </c>
      <c r="F63" s="14" t="s">
        <v>2652</v>
      </c>
      <c r="G63" s="543">
        <v>480691</v>
      </c>
      <c r="H63" s="543">
        <v>500199</v>
      </c>
      <c r="I63" s="543">
        <v>513097</v>
      </c>
      <c r="J63" s="543">
        <v>540897</v>
      </c>
      <c r="K63" s="543">
        <v>569072</v>
      </c>
      <c r="L63" s="543">
        <v>584074</v>
      </c>
      <c r="M63" s="543">
        <v>612639</v>
      </c>
      <c r="N63" s="543">
        <v>654658</v>
      </c>
      <c r="O63" s="543">
        <v>688424</v>
      </c>
      <c r="P63" s="543">
        <v>701020</v>
      </c>
      <c r="Q63" s="543">
        <v>722642</v>
      </c>
      <c r="R63" s="543">
        <v>761555</v>
      </c>
      <c r="S63" s="543">
        <v>793459</v>
      </c>
      <c r="T63" s="543">
        <v>833365</v>
      </c>
      <c r="U63" s="543">
        <v>860568</v>
      </c>
      <c r="V63" s="543">
        <v>886372</v>
      </c>
      <c r="W63" s="543">
        <v>920818</v>
      </c>
      <c r="X63" s="543">
        <v>954911</v>
      </c>
      <c r="Y63" s="543">
        <v>992631</v>
      </c>
      <c r="Z63" s="543">
        <v>1031509</v>
      </c>
      <c r="AA63" s="543">
        <v>1086630</v>
      </c>
      <c r="AB63" s="543">
        <v>1153528</v>
      </c>
      <c r="AC63" s="543">
        <v>1195649</v>
      </c>
      <c r="AD63" s="543" t="s">
        <v>2620</v>
      </c>
      <c r="AE63" s="543" t="s">
        <v>2620</v>
      </c>
      <c r="AF63" s="543" t="s">
        <v>2620</v>
      </c>
    </row>
    <row r="64" spans="1:32">
      <c r="A64" s="533"/>
      <c r="B64" s="534"/>
      <c r="C64" s="535"/>
      <c r="D64" s="12"/>
      <c r="E64" s="13"/>
      <c r="F64" s="14"/>
      <c r="G64" s="543"/>
      <c r="H64" s="543"/>
      <c r="I64" s="543"/>
      <c r="J64" s="543"/>
      <c r="K64" s="543"/>
      <c r="L64" s="543"/>
      <c r="M64" s="543"/>
      <c r="N64" s="543"/>
      <c r="O64" s="543"/>
      <c r="P64" s="543"/>
      <c r="Q64" s="543"/>
      <c r="R64" s="543"/>
      <c r="S64" s="543"/>
      <c r="T64" s="543"/>
      <c r="U64" s="543"/>
      <c r="V64" s="543"/>
      <c r="W64" s="543"/>
      <c r="X64" s="543"/>
      <c r="Y64" s="543"/>
      <c r="Z64" s="543"/>
      <c r="AA64" s="543"/>
      <c r="AB64" s="543"/>
      <c r="AC64" s="543"/>
      <c r="AD64" s="543"/>
      <c r="AE64" s="543"/>
      <c r="AF64" s="543"/>
    </row>
    <row r="65" spans="1:32">
      <c r="A65" s="533"/>
      <c r="B65" s="534" t="s">
        <v>908</v>
      </c>
      <c r="C65" s="535"/>
      <c r="D65" s="12"/>
      <c r="E65" s="13"/>
      <c r="F65" s="14"/>
      <c r="G65" s="543"/>
      <c r="H65" s="543"/>
      <c r="I65" s="543"/>
      <c r="J65" s="543"/>
      <c r="K65" s="543"/>
      <c r="L65" s="543"/>
      <c r="M65" s="543"/>
      <c r="N65" s="543"/>
      <c r="O65" s="543"/>
      <c r="P65" s="543"/>
      <c r="Q65" s="543"/>
      <c r="R65" s="543"/>
      <c r="S65" s="543"/>
      <c r="T65" s="543"/>
      <c r="U65" s="543"/>
      <c r="V65" s="543"/>
      <c r="W65" s="543"/>
      <c r="X65" s="543"/>
      <c r="Y65" s="543"/>
      <c r="Z65" s="543"/>
      <c r="AA65" s="543"/>
      <c r="AB65" s="543"/>
      <c r="AC65" s="543"/>
      <c r="AD65" s="543"/>
      <c r="AE65" s="543"/>
      <c r="AF65" s="543"/>
    </row>
    <row r="66" spans="1:32">
      <c r="A66" s="533"/>
      <c r="B66" s="534" t="s">
        <v>909</v>
      </c>
      <c r="C66" s="535"/>
      <c r="D66" s="12"/>
      <c r="E66" s="13"/>
      <c r="F66" s="14"/>
      <c r="G66" s="543"/>
      <c r="H66" s="543"/>
      <c r="I66" s="543"/>
      <c r="J66" s="543"/>
      <c r="K66" s="543"/>
      <c r="L66" s="543"/>
      <c r="M66" s="543"/>
      <c r="N66" s="543"/>
      <c r="O66" s="543"/>
      <c r="P66" s="543"/>
      <c r="Q66" s="543"/>
      <c r="R66" s="543"/>
      <c r="S66" s="543"/>
      <c r="T66" s="543"/>
      <c r="U66" s="543"/>
      <c r="V66" s="543"/>
      <c r="W66" s="543"/>
      <c r="X66" s="543"/>
      <c r="Y66" s="543"/>
      <c r="Z66" s="543"/>
      <c r="AA66" s="543"/>
      <c r="AB66" s="543"/>
      <c r="AC66" s="543"/>
      <c r="AD66" s="543"/>
      <c r="AE66" s="543"/>
      <c r="AF66" s="543"/>
    </row>
    <row r="67" spans="1:32">
      <c r="A67" s="533"/>
      <c r="B67" s="534" t="s">
        <v>910</v>
      </c>
      <c r="C67" s="535"/>
      <c r="D67" s="12" t="s">
        <v>1505</v>
      </c>
      <c r="E67" s="13">
        <v>317</v>
      </c>
      <c r="F67" s="14" t="s">
        <v>2653</v>
      </c>
      <c r="G67" s="543">
        <v>93424</v>
      </c>
      <c r="H67" s="543">
        <v>92168</v>
      </c>
      <c r="I67" s="543">
        <v>89077</v>
      </c>
      <c r="J67" s="543">
        <v>94093</v>
      </c>
      <c r="K67" s="543">
        <v>94602</v>
      </c>
      <c r="L67" s="543">
        <v>101303</v>
      </c>
      <c r="M67" s="543">
        <v>113217</v>
      </c>
      <c r="N67" s="543">
        <v>118712</v>
      </c>
      <c r="O67" s="543">
        <v>122412</v>
      </c>
      <c r="P67" s="543">
        <v>134937</v>
      </c>
      <c r="Q67" s="543">
        <v>134256</v>
      </c>
      <c r="R67" s="543">
        <v>156946</v>
      </c>
      <c r="S67" s="543">
        <v>177483</v>
      </c>
      <c r="T67" s="543">
        <v>199212</v>
      </c>
      <c r="U67" s="543">
        <v>182839</v>
      </c>
      <c r="V67" s="543">
        <v>184369</v>
      </c>
      <c r="W67" s="543">
        <v>184384</v>
      </c>
      <c r="X67" s="543">
        <v>204997</v>
      </c>
      <c r="Y67" s="543">
        <v>201002</v>
      </c>
      <c r="Z67" s="543">
        <v>214638</v>
      </c>
      <c r="AA67" s="543">
        <v>219518</v>
      </c>
      <c r="AB67" s="543">
        <v>231418</v>
      </c>
      <c r="AC67" s="543">
        <v>251464</v>
      </c>
      <c r="AD67" s="543" t="s">
        <v>2620</v>
      </c>
      <c r="AE67" s="543" t="s">
        <v>2620</v>
      </c>
      <c r="AF67" s="543" t="s">
        <v>2620</v>
      </c>
    </row>
    <row r="68" spans="1:32">
      <c r="A68" s="533"/>
      <c r="B68" s="534"/>
      <c r="C68" s="535"/>
      <c r="D68" s="12"/>
      <c r="E68" s="13"/>
      <c r="F68" s="14"/>
      <c r="G68" s="543"/>
      <c r="H68" s="543"/>
      <c r="I68" s="543"/>
      <c r="J68" s="543"/>
      <c r="K68" s="543"/>
      <c r="L68" s="543"/>
      <c r="M68" s="543"/>
      <c r="N68" s="543"/>
      <c r="O68" s="543"/>
      <c r="P68" s="543"/>
      <c r="Q68" s="543"/>
      <c r="R68" s="543"/>
      <c r="S68" s="543"/>
      <c r="T68" s="543"/>
      <c r="U68" s="543"/>
      <c r="V68" s="543"/>
      <c r="W68" s="543"/>
      <c r="X68" s="543"/>
      <c r="Y68" s="543"/>
      <c r="Z68" s="543"/>
      <c r="AA68" s="543"/>
      <c r="AB68" s="543"/>
      <c r="AC68" s="543"/>
      <c r="AD68" s="543"/>
      <c r="AE68" s="543"/>
      <c r="AF68" s="543"/>
    </row>
    <row r="69" spans="1:32">
      <c r="A69" s="533">
        <v>33</v>
      </c>
      <c r="B69" s="534" t="s">
        <v>911</v>
      </c>
      <c r="C69" s="535"/>
      <c r="D69" s="12" t="s">
        <v>1505</v>
      </c>
      <c r="E69" s="13">
        <v>316</v>
      </c>
      <c r="F69" s="14" t="s">
        <v>2654</v>
      </c>
      <c r="G69" s="543">
        <v>33368</v>
      </c>
      <c r="H69" s="543">
        <v>36086</v>
      </c>
      <c r="I69" s="543">
        <v>35150</v>
      </c>
      <c r="J69" s="543">
        <v>39835</v>
      </c>
      <c r="K69" s="543">
        <v>45583</v>
      </c>
      <c r="L69" s="543">
        <v>55929</v>
      </c>
      <c r="M69" s="543">
        <v>64808</v>
      </c>
      <c r="N69" s="543">
        <v>74521</v>
      </c>
      <c r="O69" s="543">
        <v>80239</v>
      </c>
      <c r="P69" s="543">
        <v>93268</v>
      </c>
      <c r="Q69" s="543">
        <v>105322</v>
      </c>
      <c r="R69" s="543">
        <v>126440</v>
      </c>
      <c r="S69" s="543">
        <v>143286</v>
      </c>
      <c r="T69" s="543">
        <v>132030</v>
      </c>
      <c r="U69" s="543">
        <v>109181</v>
      </c>
      <c r="V69" s="543">
        <v>127752</v>
      </c>
      <c r="W69" s="543">
        <v>141572</v>
      </c>
      <c r="X69" s="543">
        <v>127078</v>
      </c>
      <c r="Y69" s="543">
        <v>131888</v>
      </c>
      <c r="Z69" s="543">
        <v>157099</v>
      </c>
      <c r="AA69" s="543">
        <v>191259</v>
      </c>
      <c r="AB69" s="543">
        <v>224848</v>
      </c>
      <c r="AC69" s="543">
        <v>260475</v>
      </c>
      <c r="AD69" s="543" t="s">
        <v>2620</v>
      </c>
      <c r="AE69" s="543" t="s">
        <v>2620</v>
      </c>
      <c r="AF69" s="543" t="s">
        <v>2620</v>
      </c>
    </row>
    <row r="70" spans="1:32">
      <c r="A70" s="533"/>
      <c r="B70" s="534" t="s">
        <v>1499</v>
      </c>
      <c r="C70" s="535"/>
      <c r="D70" s="12"/>
      <c r="E70" s="13"/>
      <c r="F70" s="14"/>
      <c r="G70" s="543"/>
      <c r="H70" s="543"/>
      <c r="I70" s="543"/>
      <c r="J70" s="543"/>
      <c r="K70" s="543"/>
      <c r="L70" s="543"/>
      <c r="M70" s="543"/>
      <c r="N70" s="543"/>
      <c r="O70" s="543"/>
      <c r="P70" s="543"/>
      <c r="Q70" s="543"/>
      <c r="R70" s="543"/>
      <c r="S70" s="543"/>
      <c r="T70" s="543"/>
      <c r="U70" s="543"/>
      <c r="V70" s="543"/>
      <c r="W70" s="543"/>
      <c r="X70" s="543"/>
      <c r="Y70" s="543"/>
      <c r="Z70" s="543"/>
      <c r="AA70" s="543"/>
      <c r="AB70" s="543"/>
      <c r="AC70" s="543"/>
      <c r="AD70" s="543"/>
      <c r="AE70" s="543"/>
      <c r="AF70" s="543"/>
    </row>
    <row r="71" spans="1:32">
      <c r="A71" s="533"/>
      <c r="B71" s="534" t="s">
        <v>1500</v>
      </c>
      <c r="C71" s="535"/>
      <c r="D71" s="12"/>
      <c r="E71" s="13"/>
      <c r="F71" s="14"/>
      <c r="G71" s="543"/>
      <c r="H71" s="543"/>
      <c r="I71" s="543"/>
      <c r="J71" s="543"/>
      <c r="K71" s="543"/>
      <c r="L71" s="543"/>
      <c r="M71" s="543"/>
      <c r="N71" s="543"/>
      <c r="O71" s="543"/>
      <c r="P71" s="543"/>
      <c r="Q71" s="543"/>
      <c r="R71" s="543"/>
      <c r="S71" s="543"/>
      <c r="T71" s="543"/>
      <c r="U71" s="543"/>
      <c r="V71" s="543"/>
      <c r="W71" s="543"/>
      <c r="X71" s="543"/>
      <c r="Y71" s="543"/>
      <c r="Z71" s="543"/>
      <c r="AA71" s="543"/>
      <c r="AB71" s="543"/>
      <c r="AC71" s="543"/>
      <c r="AD71" s="543"/>
      <c r="AE71" s="543"/>
      <c r="AF71" s="543"/>
    </row>
    <row r="72" spans="1:32">
      <c r="A72" s="533">
        <v>14</v>
      </c>
      <c r="B72" s="534" t="s">
        <v>1501</v>
      </c>
      <c r="C72" s="535"/>
      <c r="D72" s="12" t="s">
        <v>1505</v>
      </c>
      <c r="E72" s="13">
        <v>312</v>
      </c>
      <c r="F72" s="14" t="s">
        <v>2655</v>
      </c>
      <c r="G72" s="543">
        <v>149230</v>
      </c>
      <c r="H72" s="543">
        <v>160987</v>
      </c>
      <c r="I72" s="543">
        <v>164700</v>
      </c>
      <c r="J72" s="543">
        <v>178444</v>
      </c>
      <c r="K72" s="543">
        <v>201811</v>
      </c>
      <c r="L72" s="543">
        <v>208207</v>
      </c>
      <c r="M72" s="543">
        <v>206140</v>
      </c>
      <c r="N72" s="543">
        <v>197908</v>
      </c>
      <c r="O72" s="543">
        <v>201179</v>
      </c>
      <c r="P72" s="543">
        <v>202308</v>
      </c>
      <c r="Q72" s="543">
        <v>224690</v>
      </c>
      <c r="R72" s="543">
        <v>243765</v>
      </c>
      <c r="S72" s="543">
        <v>267451</v>
      </c>
      <c r="T72" s="543">
        <v>281116</v>
      </c>
      <c r="U72" s="543">
        <v>233414</v>
      </c>
      <c r="V72" s="543">
        <v>252775</v>
      </c>
      <c r="W72" s="543">
        <v>273019</v>
      </c>
      <c r="X72" s="543">
        <v>277780</v>
      </c>
      <c r="Y72" s="543">
        <v>273925</v>
      </c>
      <c r="Z72" s="543">
        <v>277913</v>
      </c>
      <c r="AA72" s="543">
        <v>302709</v>
      </c>
      <c r="AB72" s="543">
        <v>319944</v>
      </c>
      <c r="AC72" s="543">
        <v>343588</v>
      </c>
      <c r="AD72" s="543" t="s">
        <v>2620</v>
      </c>
      <c r="AE72" s="543" t="s">
        <v>2620</v>
      </c>
      <c r="AF72" s="543" t="s">
        <v>2620</v>
      </c>
    </row>
    <row r="73" spans="1:32">
      <c r="A73" s="533">
        <v>39</v>
      </c>
      <c r="B73" s="534"/>
      <c r="C73" s="535"/>
      <c r="D73" s="12" t="s">
        <v>1505</v>
      </c>
      <c r="E73" s="13">
        <v>315</v>
      </c>
      <c r="F73" s="14" t="s">
        <v>2656</v>
      </c>
      <c r="G73" s="543">
        <v>126792</v>
      </c>
      <c r="H73" s="543">
        <v>128254</v>
      </c>
      <c r="I73" s="543">
        <v>124227</v>
      </c>
      <c r="J73" s="543">
        <v>133928</v>
      </c>
      <c r="K73" s="543">
        <v>140185</v>
      </c>
      <c r="L73" s="543">
        <v>157232</v>
      </c>
      <c r="M73" s="543">
        <v>178025</v>
      </c>
      <c r="N73" s="543">
        <v>193233</v>
      </c>
      <c r="O73" s="543">
        <v>202651</v>
      </c>
      <c r="P73" s="543">
        <v>228205</v>
      </c>
      <c r="Q73" s="543">
        <v>239578</v>
      </c>
      <c r="R73" s="543">
        <v>283386</v>
      </c>
      <c r="S73" s="543">
        <v>320769</v>
      </c>
      <c r="T73" s="543">
        <v>331242</v>
      </c>
      <c r="U73" s="543">
        <v>292020</v>
      </c>
      <c r="V73" s="543">
        <v>312121</v>
      </c>
      <c r="W73" s="543">
        <v>325956</v>
      </c>
      <c r="X73" s="543">
        <v>332075</v>
      </c>
      <c r="Y73" s="543">
        <v>332890</v>
      </c>
      <c r="Z73" s="543">
        <v>371737</v>
      </c>
      <c r="AA73" s="543">
        <v>410777</v>
      </c>
      <c r="AB73" s="543">
        <v>456266</v>
      </c>
      <c r="AC73" s="543">
        <v>511939</v>
      </c>
      <c r="AD73" s="543" t="s">
        <v>2620</v>
      </c>
      <c r="AE73" s="543" t="s">
        <v>2620</v>
      </c>
      <c r="AF73" s="543" t="s">
        <v>2620</v>
      </c>
    </row>
    <row r="74" spans="1:32">
      <c r="A74" s="533"/>
      <c r="B74" s="534" t="s">
        <v>1299</v>
      </c>
      <c r="C74" s="535"/>
      <c r="D74" s="12" t="s">
        <v>1505</v>
      </c>
      <c r="E74" s="13">
        <v>311</v>
      </c>
      <c r="F74" s="14" t="s">
        <v>2657</v>
      </c>
      <c r="G74" s="543">
        <v>1323</v>
      </c>
      <c r="H74" s="543">
        <v>1542</v>
      </c>
      <c r="I74" s="543">
        <v>1634</v>
      </c>
      <c r="J74" s="543">
        <v>1760</v>
      </c>
      <c r="K74" s="543">
        <v>1666</v>
      </c>
      <c r="L74" s="543">
        <v>1462</v>
      </c>
      <c r="M74" s="543">
        <v>1656</v>
      </c>
      <c r="N74" s="543">
        <v>1501</v>
      </c>
      <c r="O74" s="543">
        <v>1891</v>
      </c>
      <c r="P74" s="543">
        <v>1762</v>
      </c>
      <c r="Q74" s="543">
        <v>1591</v>
      </c>
      <c r="R74" s="543">
        <v>1905</v>
      </c>
      <c r="S74" s="543">
        <v>1884</v>
      </c>
      <c r="T74" s="543">
        <v>2162</v>
      </c>
      <c r="U74" s="543">
        <v>2104</v>
      </c>
      <c r="V74" s="543">
        <v>2205</v>
      </c>
      <c r="W74" s="543">
        <v>2438</v>
      </c>
      <c r="X74" s="543">
        <v>2327</v>
      </c>
      <c r="Y74" s="543">
        <v>2392</v>
      </c>
      <c r="Z74" s="543">
        <v>2108</v>
      </c>
      <c r="AA74" s="543">
        <v>2304</v>
      </c>
      <c r="AB74" s="543">
        <v>2296</v>
      </c>
      <c r="AC74" s="543">
        <v>2320</v>
      </c>
      <c r="AD74" s="543" t="s">
        <v>2620</v>
      </c>
      <c r="AE74" s="543" t="s">
        <v>2620</v>
      </c>
      <c r="AF74" s="543" t="s">
        <v>2620</v>
      </c>
    </row>
    <row r="75" spans="1:32">
      <c r="A75" s="533"/>
      <c r="B75" s="534" t="s">
        <v>1300</v>
      </c>
      <c r="C75" s="535"/>
      <c r="D75" s="12" t="s">
        <v>1505</v>
      </c>
      <c r="E75" s="13">
        <v>318</v>
      </c>
      <c r="F75" s="14" t="s">
        <v>2658</v>
      </c>
      <c r="G75" s="543">
        <v>92194</v>
      </c>
      <c r="H75" s="543">
        <v>98460</v>
      </c>
      <c r="I75" s="543">
        <v>110748</v>
      </c>
      <c r="J75" s="543">
        <v>126202</v>
      </c>
      <c r="K75" s="543">
        <v>137409</v>
      </c>
      <c r="L75" s="543">
        <v>162340</v>
      </c>
      <c r="M75" s="543">
        <v>174701</v>
      </c>
      <c r="N75" s="543">
        <v>167902</v>
      </c>
      <c r="O75" s="543">
        <v>167216</v>
      </c>
      <c r="P75" s="543">
        <v>176539</v>
      </c>
      <c r="Q75" s="543">
        <v>181088</v>
      </c>
      <c r="R75" s="543">
        <v>187483</v>
      </c>
      <c r="S75" s="543">
        <v>201452</v>
      </c>
      <c r="T75" s="543">
        <v>213426</v>
      </c>
      <c r="U75" s="543">
        <v>209865</v>
      </c>
      <c r="V75" s="543">
        <v>220044</v>
      </c>
      <c r="W75" s="543">
        <v>232788</v>
      </c>
      <c r="X75" s="543">
        <v>226069</v>
      </c>
      <c r="Y75" s="543">
        <v>236971</v>
      </c>
      <c r="Z75" s="543">
        <v>259770</v>
      </c>
      <c r="AA75" s="543">
        <v>275623</v>
      </c>
      <c r="AB75" s="543">
        <v>271295</v>
      </c>
      <c r="AC75" s="543">
        <v>284766</v>
      </c>
      <c r="AD75" s="543" t="s">
        <v>2620</v>
      </c>
      <c r="AE75" s="543" t="s">
        <v>2620</v>
      </c>
      <c r="AF75" s="543" t="s">
        <v>2620</v>
      </c>
    </row>
    <row r="76" spans="1:32">
      <c r="A76" s="533">
        <v>41</v>
      </c>
      <c r="B76" s="534" t="s">
        <v>594</v>
      </c>
      <c r="C76" s="535"/>
      <c r="D76" s="12" t="s">
        <v>1505</v>
      </c>
      <c r="E76" s="13">
        <v>319</v>
      </c>
      <c r="F76" s="14" t="s">
        <v>2635</v>
      </c>
      <c r="G76" s="543">
        <v>93517</v>
      </c>
      <c r="H76" s="543">
        <v>100002</v>
      </c>
      <c r="I76" s="543">
        <v>112382</v>
      </c>
      <c r="J76" s="543">
        <v>127962</v>
      </c>
      <c r="K76" s="543">
        <v>139075</v>
      </c>
      <c r="L76" s="543">
        <v>163802</v>
      </c>
      <c r="M76" s="543">
        <v>176357</v>
      </c>
      <c r="N76" s="543">
        <v>169403</v>
      </c>
      <c r="O76" s="543">
        <v>169107</v>
      </c>
      <c r="P76" s="543">
        <v>178301</v>
      </c>
      <c r="Q76" s="543">
        <v>182679</v>
      </c>
      <c r="R76" s="543">
        <v>189388</v>
      </c>
      <c r="S76" s="543">
        <v>203336</v>
      </c>
      <c r="T76" s="543">
        <v>215588</v>
      </c>
      <c r="U76" s="543">
        <v>211969</v>
      </c>
      <c r="V76" s="543">
        <v>222249</v>
      </c>
      <c r="W76" s="543">
        <v>235226</v>
      </c>
      <c r="X76" s="543">
        <v>228396</v>
      </c>
      <c r="Y76" s="543">
        <v>239363</v>
      </c>
      <c r="Z76" s="543">
        <v>261878</v>
      </c>
      <c r="AA76" s="543">
        <v>277927</v>
      </c>
      <c r="AB76" s="543">
        <v>273591</v>
      </c>
      <c r="AC76" s="543">
        <v>287086</v>
      </c>
      <c r="AD76" s="543" t="s">
        <v>2620</v>
      </c>
      <c r="AE76" s="543" t="s">
        <v>2620</v>
      </c>
      <c r="AF76" s="543" t="s">
        <v>2620</v>
      </c>
    </row>
    <row r="77" spans="1:32">
      <c r="A77" s="533">
        <v>38</v>
      </c>
      <c r="B77" s="534"/>
      <c r="C77" s="535" t="s">
        <v>1519</v>
      </c>
      <c r="D77" s="12" t="s">
        <v>1505</v>
      </c>
      <c r="E77" s="13">
        <v>310</v>
      </c>
      <c r="F77" s="14" t="s">
        <v>2659</v>
      </c>
      <c r="G77" s="543">
        <v>369539</v>
      </c>
      <c r="H77" s="543">
        <v>389243</v>
      </c>
      <c r="I77" s="543">
        <v>401309</v>
      </c>
      <c r="J77" s="543">
        <v>440334</v>
      </c>
      <c r="K77" s="543">
        <v>481071</v>
      </c>
      <c r="L77" s="543">
        <v>529241</v>
      </c>
      <c r="M77" s="543">
        <v>560522</v>
      </c>
      <c r="N77" s="543">
        <v>560544</v>
      </c>
      <c r="O77" s="543">
        <v>572937</v>
      </c>
      <c r="P77" s="543">
        <v>608814</v>
      </c>
      <c r="Q77" s="543">
        <v>646947</v>
      </c>
      <c r="R77" s="543">
        <v>716539</v>
      </c>
      <c r="S77" s="543">
        <v>791556</v>
      </c>
      <c r="T77" s="543">
        <v>827946</v>
      </c>
      <c r="U77" s="543">
        <v>737403</v>
      </c>
      <c r="V77" s="543">
        <v>787145</v>
      </c>
      <c r="W77" s="543">
        <v>834201</v>
      </c>
      <c r="X77" s="543">
        <v>838251</v>
      </c>
      <c r="Y77" s="543">
        <v>846178</v>
      </c>
      <c r="Z77" s="543">
        <v>911528</v>
      </c>
      <c r="AA77" s="543">
        <v>991413</v>
      </c>
      <c r="AB77" s="543">
        <v>1049801</v>
      </c>
      <c r="AC77" s="543">
        <v>1142613</v>
      </c>
      <c r="AD77" s="543" t="s">
        <v>2620</v>
      </c>
      <c r="AE77" s="543" t="s">
        <v>2620</v>
      </c>
      <c r="AF77" s="543" t="s">
        <v>2620</v>
      </c>
    </row>
    <row r="78" spans="1:32">
      <c r="A78" s="533">
        <v>42</v>
      </c>
      <c r="B78" s="534" t="s">
        <v>596</v>
      </c>
      <c r="C78" s="535" t="s">
        <v>1506</v>
      </c>
      <c r="D78" s="12" t="s">
        <v>1505</v>
      </c>
      <c r="E78" s="13">
        <v>320</v>
      </c>
      <c r="F78" s="14" t="s">
        <v>2660</v>
      </c>
      <c r="G78" s="543">
        <v>21569</v>
      </c>
      <c r="H78" s="543">
        <v>7345</v>
      </c>
      <c r="I78" s="543">
        <v>9639</v>
      </c>
      <c r="J78" s="543">
        <v>15588</v>
      </c>
      <c r="K78" s="543">
        <v>5641</v>
      </c>
      <c r="L78" s="543">
        <v>15658</v>
      </c>
      <c r="M78" s="543">
        <v>7042</v>
      </c>
      <c r="N78" s="543">
        <v>2256</v>
      </c>
      <c r="O78" s="543">
        <v>8116</v>
      </c>
      <c r="P78" s="543">
        <v>-810</v>
      </c>
      <c r="Q78" s="543">
        <v>-3886</v>
      </c>
      <c r="R78" s="543">
        <v>828</v>
      </c>
      <c r="S78" s="543">
        <v>23741</v>
      </c>
      <c r="T78" s="543">
        <v>6764</v>
      </c>
      <c r="U78" s="543">
        <v>-45810</v>
      </c>
      <c r="V78" s="543">
        <v>23210</v>
      </c>
      <c r="W78" s="543">
        <v>41114</v>
      </c>
      <c r="X78" s="543">
        <v>-1026</v>
      </c>
      <c r="Y78" s="543">
        <v>5887</v>
      </c>
      <c r="Z78" s="543">
        <v>11809</v>
      </c>
      <c r="AA78" s="543">
        <v>30216</v>
      </c>
      <c r="AB78" s="543">
        <v>25435</v>
      </c>
      <c r="AC78" s="543">
        <v>30757</v>
      </c>
      <c r="AD78" s="543" t="s">
        <v>2620</v>
      </c>
      <c r="AE78" s="543" t="s">
        <v>2620</v>
      </c>
      <c r="AF78" s="543" t="s">
        <v>2620</v>
      </c>
    </row>
    <row r="79" spans="1:32">
      <c r="A79" s="533"/>
      <c r="B79" s="534"/>
      <c r="C79" s="535"/>
      <c r="D79" s="12"/>
      <c r="E79" s="13"/>
      <c r="F79" s="14"/>
      <c r="G79" s="543"/>
      <c r="H79" s="543"/>
      <c r="I79" s="543"/>
      <c r="J79" s="543"/>
      <c r="K79" s="543"/>
      <c r="L79" s="543"/>
      <c r="M79" s="543"/>
      <c r="N79" s="543"/>
      <c r="O79" s="543"/>
      <c r="P79" s="543"/>
      <c r="Q79" s="543"/>
      <c r="R79" s="543"/>
      <c r="S79" s="543"/>
      <c r="T79" s="543"/>
      <c r="U79" s="543"/>
      <c r="V79" s="543"/>
      <c r="W79" s="543"/>
      <c r="X79" s="543"/>
      <c r="Y79" s="543"/>
      <c r="Z79" s="543"/>
      <c r="AA79" s="543"/>
      <c r="AB79" s="543"/>
      <c r="AC79" s="543"/>
      <c r="AD79" s="543"/>
      <c r="AE79" s="543"/>
      <c r="AF79" s="543"/>
    </row>
    <row r="80" spans="1:32">
      <c r="A80" s="533"/>
      <c r="B80" s="534"/>
      <c r="C80" s="535"/>
      <c r="D80" s="12" t="s">
        <v>1505</v>
      </c>
      <c r="E80" s="13">
        <v>401</v>
      </c>
      <c r="F80" s="14" t="s">
        <v>2661</v>
      </c>
      <c r="G80" s="543">
        <v>1743933</v>
      </c>
      <c r="H80" s="543">
        <v>1807673</v>
      </c>
      <c r="I80" s="543">
        <v>1872017</v>
      </c>
      <c r="J80" s="543">
        <v>1974965</v>
      </c>
      <c r="K80" s="543">
        <v>2099177</v>
      </c>
      <c r="L80" s="543">
        <v>2228277</v>
      </c>
      <c r="M80" s="543">
        <v>2320444</v>
      </c>
      <c r="N80" s="543">
        <v>2409376</v>
      </c>
      <c r="O80" s="543">
        <v>2502984</v>
      </c>
      <c r="P80" s="543">
        <v>2596024</v>
      </c>
      <c r="Q80" s="543">
        <v>2706038</v>
      </c>
      <c r="R80" s="543">
        <v>2866770</v>
      </c>
      <c r="S80" s="543">
        <v>3047228</v>
      </c>
      <c r="T80" s="543">
        <v>3172614</v>
      </c>
      <c r="U80" s="543">
        <v>3148358</v>
      </c>
      <c r="V80" s="543">
        <v>3308157</v>
      </c>
      <c r="W80" s="543">
        <v>3447914</v>
      </c>
      <c r="X80" s="543">
        <v>3508190</v>
      </c>
      <c r="Y80" s="543">
        <v>3598116</v>
      </c>
      <c r="Z80" s="543">
        <v>3759216</v>
      </c>
      <c r="AA80" s="543">
        <v>3967144</v>
      </c>
      <c r="AB80" s="543">
        <v>4165939</v>
      </c>
      <c r="AC80" s="543">
        <v>4379064</v>
      </c>
      <c r="AD80" s="543" t="s">
        <v>2620</v>
      </c>
      <c r="AE80" s="543" t="s">
        <v>2620</v>
      </c>
      <c r="AF80" s="543" t="s">
        <v>2620</v>
      </c>
    </row>
    <row r="81" spans="1:32">
      <c r="A81" s="533"/>
      <c r="B81" s="534"/>
      <c r="C81" s="535"/>
      <c r="D81" s="12" t="s">
        <v>1505</v>
      </c>
      <c r="E81" s="13">
        <v>402</v>
      </c>
      <c r="F81" s="14" t="s">
        <v>2662</v>
      </c>
      <c r="G81" s="543">
        <v>1765502</v>
      </c>
      <c r="H81" s="543">
        <v>1815018</v>
      </c>
      <c r="I81" s="543">
        <v>1881656</v>
      </c>
      <c r="J81" s="543">
        <v>1990553</v>
      </c>
      <c r="K81" s="543">
        <v>2104818</v>
      </c>
      <c r="L81" s="543">
        <v>2243935</v>
      </c>
      <c r="M81" s="543">
        <v>2327486</v>
      </c>
      <c r="N81" s="543">
        <v>2411632</v>
      </c>
      <c r="O81" s="543">
        <v>2511100</v>
      </c>
      <c r="P81" s="543">
        <v>2595214</v>
      </c>
      <c r="Q81" s="543">
        <v>2702152</v>
      </c>
      <c r="R81" s="543">
        <v>2867598</v>
      </c>
      <c r="S81" s="543">
        <v>3070969</v>
      </c>
      <c r="T81" s="543">
        <v>3179378</v>
      </c>
      <c r="U81" s="543">
        <v>3102548</v>
      </c>
      <c r="V81" s="543">
        <v>3331367</v>
      </c>
      <c r="W81" s="543">
        <v>3489028</v>
      </c>
      <c r="X81" s="543">
        <v>3507164</v>
      </c>
      <c r="Y81" s="543">
        <v>3604003</v>
      </c>
      <c r="Z81" s="543">
        <v>3771025</v>
      </c>
      <c r="AA81" s="543">
        <v>3997360</v>
      </c>
      <c r="AB81" s="543">
        <v>4191374</v>
      </c>
      <c r="AC81" s="543">
        <v>4409821</v>
      </c>
      <c r="AD81" s="543" t="s">
        <v>2620</v>
      </c>
      <c r="AE81" s="543" t="s">
        <v>2620</v>
      </c>
      <c r="AF81" s="543" t="s">
        <v>2620</v>
      </c>
    </row>
    <row r="82" spans="1:32">
      <c r="A82" s="533"/>
      <c r="B82" s="534"/>
      <c r="C82" s="535"/>
      <c r="D82" s="12" t="s">
        <v>1505</v>
      </c>
      <c r="E82" s="13">
        <v>403</v>
      </c>
      <c r="F82" s="14" t="s">
        <v>2663</v>
      </c>
      <c r="G82" s="543">
        <v>2481310</v>
      </c>
      <c r="H82" s="543">
        <v>2526648</v>
      </c>
      <c r="I82" s="543">
        <v>2690405</v>
      </c>
      <c r="J82" s="543">
        <v>2860757</v>
      </c>
      <c r="K82" s="543">
        <v>3023185</v>
      </c>
      <c r="L82" s="543">
        <v>3293624</v>
      </c>
      <c r="M82" s="543">
        <v>3411766</v>
      </c>
      <c r="N82" s="543">
        <v>3493294</v>
      </c>
      <c r="O82" s="543">
        <v>3615394</v>
      </c>
      <c r="P82" s="543">
        <v>3813950</v>
      </c>
      <c r="Q82" s="543">
        <v>4035849</v>
      </c>
      <c r="R82" s="543">
        <v>4361045</v>
      </c>
      <c r="S82" s="543">
        <v>4662063</v>
      </c>
      <c r="T82" s="543">
        <v>4866846</v>
      </c>
      <c r="U82" s="543">
        <v>4564366</v>
      </c>
      <c r="V82" s="543">
        <v>4957083</v>
      </c>
      <c r="W82" s="543">
        <v>5196024</v>
      </c>
      <c r="X82" s="543">
        <v>5214079</v>
      </c>
      <c r="Y82" s="543">
        <v>5255249</v>
      </c>
      <c r="Z82" s="543">
        <v>5543908</v>
      </c>
      <c r="AA82" s="543">
        <v>5910448</v>
      </c>
      <c r="AB82" s="543">
        <v>6138526</v>
      </c>
      <c r="AC82" s="543">
        <v>6486477</v>
      </c>
      <c r="AD82" s="543" t="s">
        <v>2620</v>
      </c>
      <c r="AE82" s="543" t="s">
        <v>2620</v>
      </c>
      <c r="AF82" s="543" t="s">
        <v>2620</v>
      </c>
    </row>
    <row r="83" spans="1:32">
      <c r="A83" s="533"/>
      <c r="B83" s="534"/>
      <c r="C83" s="535"/>
      <c r="D83" s="12"/>
      <c r="E83" s="13"/>
      <c r="F83" s="14"/>
      <c r="G83" s="543"/>
      <c r="H83" s="543"/>
      <c r="I83" s="543"/>
      <c r="J83" s="543"/>
      <c r="K83" s="543"/>
      <c r="L83" s="543"/>
      <c r="M83" s="543"/>
      <c r="N83" s="543"/>
      <c r="O83" s="543"/>
      <c r="P83" s="543"/>
      <c r="Q83" s="543"/>
      <c r="R83" s="543"/>
      <c r="S83" s="543"/>
      <c r="T83" s="543"/>
      <c r="U83" s="543"/>
      <c r="V83" s="543"/>
      <c r="W83" s="543"/>
      <c r="X83" s="543"/>
      <c r="Y83" s="543"/>
      <c r="Z83" s="543"/>
      <c r="AA83" s="543"/>
      <c r="AB83" s="543"/>
      <c r="AC83" s="543"/>
      <c r="AD83" s="543"/>
      <c r="AE83" s="543"/>
      <c r="AF83" s="543"/>
    </row>
    <row r="84" spans="1:32">
      <c r="A84" s="2015"/>
      <c r="B84" s="534"/>
      <c r="C84" s="535"/>
      <c r="D84" s="12" t="s">
        <v>1505</v>
      </c>
      <c r="E84" s="13">
        <v>500</v>
      </c>
      <c r="F84" s="14" t="s">
        <v>2664</v>
      </c>
      <c r="G84" s="543">
        <v>62815</v>
      </c>
      <c r="H84" s="543">
        <v>61283</v>
      </c>
      <c r="I84" s="543">
        <v>78936</v>
      </c>
      <c r="J84" s="543">
        <v>93331</v>
      </c>
      <c r="K84" s="543">
        <v>79412</v>
      </c>
      <c r="L84" s="543">
        <v>108500</v>
      </c>
      <c r="M84" s="543">
        <v>124521</v>
      </c>
      <c r="N84" s="543">
        <v>138159</v>
      </c>
      <c r="O84" s="543">
        <v>178245</v>
      </c>
      <c r="P84" s="543">
        <v>185361</v>
      </c>
      <c r="Q84" s="543">
        <v>203710</v>
      </c>
      <c r="R84" s="543">
        <v>248281</v>
      </c>
      <c r="S84" s="543">
        <v>276518</v>
      </c>
      <c r="T84" s="543">
        <v>264855</v>
      </c>
      <c r="U84" s="543">
        <v>210957</v>
      </c>
      <c r="V84" s="543">
        <v>223267</v>
      </c>
      <c r="W84" s="543">
        <v>182176</v>
      </c>
      <c r="X84" s="543">
        <v>198659</v>
      </c>
      <c r="Y84" s="543">
        <v>182683</v>
      </c>
      <c r="Z84" s="543">
        <v>181085</v>
      </c>
      <c r="AA84" s="543">
        <v>183627</v>
      </c>
      <c r="AB84" s="543">
        <v>183457</v>
      </c>
      <c r="AC84" s="543">
        <v>163201</v>
      </c>
      <c r="AD84" s="543" t="s">
        <v>2620</v>
      </c>
      <c r="AE84" s="543" t="s">
        <v>2620</v>
      </c>
      <c r="AF84" s="543" t="s">
        <v>2620</v>
      </c>
    </row>
    <row r="85" spans="1:32">
      <c r="A85" s="533"/>
      <c r="B85" s="534"/>
      <c r="C85" s="535"/>
      <c r="D85" s="12"/>
      <c r="E85" s="13"/>
      <c r="F85" s="14"/>
      <c r="G85" s="543"/>
      <c r="H85" s="543"/>
      <c r="I85" s="543"/>
      <c r="J85" s="543"/>
      <c r="K85" s="543"/>
      <c r="L85" s="543"/>
      <c r="M85" s="543"/>
      <c r="N85" s="543"/>
      <c r="O85" s="543"/>
      <c r="P85" s="543"/>
      <c r="Q85" s="543"/>
      <c r="R85" s="543"/>
      <c r="S85" s="543"/>
      <c r="T85" s="543"/>
      <c r="U85" s="543"/>
      <c r="V85" s="543"/>
      <c r="W85" s="543"/>
      <c r="X85" s="543"/>
      <c r="Y85" s="543"/>
      <c r="Z85" s="543"/>
      <c r="AA85" s="543"/>
      <c r="AB85" s="543"/>
      <c r="AC85" s="543"/>
      <c r="AD85" s="543"/>
      <c r="AE85" s="543"/>
      <c r="AF85" s="543"/>
    </row>
    <row r="86" spans="1:32">
      <c r="A86" s="533">
        <v>43</v>
      </c>
      <c r="B86" s="534" t="s">
        <v>632</v>
      </c>
      <c r="C86" s="535" t="s">
        <v>898</v>
      </c>
      <c r="D86" s="12" t="s">
        <v>1505</v>
      </c>
      <c r="E86" s="13">
        <v>511</v>
      </c>
      <c r="F86" s="14" t="s">
        <v>2665</v>
      </c>
      <c r="G86" s="543">
        <v>596992</v>
      </c>
      <c r="H86" s="543">
        <v>592074</v>
      </c>
      <c r="I86" s="543">
        <v>669369</v>
      </c>
      <c r="J86" s="543">
        <v>715314</v>
      </c>
      <c r="K86" s="543">
        <v>744570</v>
      </c>
      <c r="L86" s="543">
        <v>846643</v>
      </c>
      <c r="M86" s="543">
        <v>847460</v>
      </c>
      <c r="N86" s="543">
        <v>846886</v>
      </c>
      <c r="O86" s="543">
        <v>864581</v>
      </c>
      <c r="P86" s="543">
        <v>952375</v>
      </c>
      <c r="Q86" s="543">
        <v>1034552</v>
      </c>
      <c r="R86" s="543">
        <v>1160376</v>
      </c>
      <c r="S86" s="543">
        <v>1214914</v>
      </c>
      <c r="T86" s="543">
        <v>1273644</v>
      </c>
      <c r="U86" s="543">
        <v>1049324</v>
      </c>
      <c r="V86" s="543">
        <v>1203180</v>
      </c>
      <c r="W86" s="543">
        <v>1265493</v>
      </c>
      <c r="X86" s="543">
        <v>1247735</v>
      </c>
      <c r="Y86" s="543">
        <v>1173481</v>
      </c>
      <c r="Z86" s="543">
        <v>1235742</v>
      </c>
      <c r="AA86" s="543">
        <v>1299678</v>
      </c>
      <c r="AB86" s="543">
        <v>1309051</v>
      </c>
      <c r="AC86" s="543">
        <v>1430157</v>
      </c>
      <c r="AD86" s="543" t="s">
        <v>2620</v>
      </c>
      <c r="AE86" s="543" t="s">
        <v>2620</v>
      </c>
      <c r="AF86" s="543" t="s">
        <v>2620</v>
      </c>
    </row>
    <row r="87" spans="1:32">
      <c r="A87" s="533">
        <v>44</v>
      </c>
      <c r="B87" s="534" t="s">
        <v>599</v>
      </c>
      <c r="C87" s="535" t="s">
        <v>899</v>
      </c>
      <c r="D87" s="12" t="s">
        <v>1505</v>
      </c>
      <c r="E87" s="13">
        <v>512</v>
      </c>
      <c r="F87" s="14" t="s">
        <v>2642</v>
      </c>
      <c r="G87" s="543">
        <v>118816</v>
      </c>
      <c r="H87" s="543">
        <v>119556</v>
      </c>
      <c r="I87" s="543">
        <v>139380</v>
      </c>
      <c r="J87" s="543">
        <v>154890</v>
      </c>
      <c r="K87" s="543">
        <v>173797</v>
      </c>
      <c r="L87" s="543">
        <v>203046</v>
      </c>
      <c r="M87" s="543">
        <v>236820</v>
      </c>
      <c r="N87" s="543">
        <v>234776</v>
      </c>
      <c r="O87" s="543">
        <v>239713</v>
      </c>
      <c r="P87" s="543">
        <v>266361</v>
      </c>
      <c r="Q87" s="543">
        <v>299145</v>
      </c>
      <c r="R87" s="543">
        <v>333071</v>
      </c>
      <c r="S87" s="543">
        <v>376180</v>
      </c>
      <c r="T87" s="543">
        <v>413824</v>
      </c>
      <c r="U87" s="543">
        <v>412494</v>
      </c>
      <c r="V87" s="543">
        <v>422536</v>
      </c>
      <c r="W87" s="543">
        <v>441503</v>
      </c>
      <c r="X87" s="543">
        <v>459180</v>
      </c>
      <c r="Y87" s="543">
        <v>477765</v>
      </c>
      <c r="Z87" s="543">
        <v>537141</v>
      </c>
      <c r="AA87" s="543">
        <v>613410</v>
      </c>
      <c r="AB87" s="543">
        <v>638101</v>
      </c>
      <c r="AC87" s="543">
        <v>646499</v>
      </c>
      <c r="AD87" s="543" t="s">
        <v>2620</v>
      </c>
      <c r="AE87" s="543" t="s">
        <v>2620</v>
      </c>
      <c r="AF87" s="543" t="s">
        <v>2620</v>
      </c>
    </row>
    <row r="88" spans="1:32">
      <c r="A88" s="533"/>
      <c r="B88" s="534" t="s">
        <v>1502</v>
      </c>
      <c r="C88" s="535" t="s">
        <v>900</v>
      </c>
      <c r="D88" s="12" t="s">
        <v>1505</v>
      </c>
      <c r="E88" s="13">
        <v>510</v>
      </c>
      <c r="F88" s="14" t="s">
        <v>2666</v>
      </c>
      <c r="G88" s="543">
        <v>715808</v>
      </c>
      <c r="H88" s="543">
        <v>711630</v>
      </c>
      <c r="I88" s="543">
        <v>808749</v>
      </c>
      <c r="J88" s="543">
        <v>870204</v>
      </c>
      <c r="K88" s="543">
        <v>918367</v>
      </c>
      <c r="L88" s="543">
        <v>1049689</v>
      </c>
      <c r="M88" s="543">
        <v>1084280</v>
      </c>
      <c r="N88" s="543">
        <v>1081662</v>
      </c>
      <c r="O88" s="543">
        <v>1104294</v>
      </c>
      <c r="P88" s="543">
        <v>1218736</v>
      </c>
      <c r="Q88" s="543">
        <v>1333697</v>
      </c>
      <c r="R88" s="543">
        <v>1493447</v>
      </c>
      <c r="S88" s="543">
        <v>1591094</v>
      </c>
      <c r="T88" s="543">
        <v>1687468</v>
      </c>
      <c r="U88" s="543">
        <v>1461818</v>
      </c>
      <c r="V88" s="543">
        <v>1625716</v>
      </c>
      <c r="W88" s="543">
        <v>1706996</v>
      </c>
      <c r="X88" s="543">
        <v>1706915</v>
      </c>
      <c r="Y88" s="543">
        <v>1651246</v>
      </c>
      <c r="Z88" s="543">
        <v>1772883</v>
      </c>
      <c r="AA88" s="543">
        <v>1913088</v>
      </c>
      <c r="AB88" s="543">
        <v>1947152</v>
      </c>
      <c r="AC88" s="543">
        <v>2076656</v>
      </c>
      <c r="AD88" s="543" t="s">
        <v>2620</v>
      </c>
      <c r="AE88" s="543" t="s">
        <v>2620</v>
      </c>
      <c r="AF88" s="543" t="s">
        <v>2620</v>
      </c>
    </row>
    <row r="89" spans="1:32">
      <c r="A89" s="533"/>
      <c r="B89" s="534"/>
      <c r="C89" s="535"/>
      <c r="D89" s="12"/>
      <c r="E89" s="13"/>
      <c r="F89" s="14"/>
      <c r="G89" s="543"/>
      <c r="H89" s="543"/>
      <c r="I89" s="543"/>
      <c r="J89" s="543"/>
      <c r="K89" s="543"/>
      <c r="L89" s="543"/>
      <c r="M89" s="543"/>
      <c r="N89" s="543"/>
      <c r="O89" s="543"/>
      <c r="P89" s="543"/>
      <c r="Q89" s="543"/>
      <c r="R89" s="543"/>
      <c r="S89" s="543"/>
      <c r="T89" s="543"/>
      <c r="U89" s="543"/>
      <c r="V89" s="543"/>
      <c r="W89" s="543"/>
      <c r="X89" s="543"/>
      <c r="Y89" s="543"/>
      <c r="Z89" s="543"/>
      <c r="AA89" s="543"/>
      <c r="AB89" s="543"/>
      <c r="AC89" s="543"/>
      <c r="AD89" s="543"/>
      <c r="AE89" s="543"/>
      <c r="AF89" s="543"/>
    </row>
    <row r="90" spans="1:32">
      <c r="A90" s="533">
        <v>45</v>
      </c>
      <c r="B90" s="534" t="s">
        <v>1742</v>
      </c>
      <c r="C90" s="535" t="s">
        <v>901</v>
      </c>
      <c r="D90" s="12" t="s">
        <v>1505</v>
      </c>
      <c r="E90" s="13">
        <v>521</v>
      </c>
      <c r="F90" s="14" t="s">
        <v>2667</v>
      </c>
      <c r="G90" s="543">
        <v>455735</v>
      </c>
      <c r="H90" s="543">
        <v>445852</v>
      </c>
      <c r="I90" s="543">
        <v>498104</v>
      </c>
      <c r="J90" s="543">
        <v>542289</v>
      </c>
      <c r="K90" s="543">
        <v>569881</v>
      </c>
      <c r="L90" s="543">
        <v>668202</v>
      </c>
      <c r="M90" s="543">
        <v>659238</v>
      </c>
      <c r="N90" s="543">
        <v>653536</v>
      </c>
      <c r="O90" s="543">
        <v>674000</v>
      </c>
      <c r="P90" s="543">
        <v>731820</v>
      </c>
      <c r="Q90" s="543">
        <v>826442</v>
      </c>
      <c r="R90" s="543">
        <v>941564</v>
      </c>
      <c r="S90" s="543">
        <v>1008203</v>
      </c>
      <c r="T90" s="543">
        <v>1084331</v>
      </c>
      <c r="U90" s="543">
        <v>895507</v>
      </c>
      <c r="V90" s="543">
        <v>1053020</v>
      </c>
      <c r="W90" s="543">
        <v>1140901</v>
      </c>
      <c r="X90" s="543">
        <v>1110194</v>
      </c>
      <c r="Y90" s="543">
        <v>1051196</v>
      </c>
      <c r="Z90" s="543">
        <v>1113003</v>
      </c>
      <c r="AA90" s="543">
        <v>1172456</v>
      </c>
      <c r="AB90" s="543">
        <v>1213436</v>
      </c>
      <c r="AC90" s="543">
        <v>1321507</v>
      </c>
      <c r="AD90" s="543" t="s">
        <v>2620</v>
      </c>
      <c r="AE90" s="543" t="s">
        <v>2620</v>
      </c>
      <c r="AF90" s="543" t="s">
        <v>2620</v>
      </c>
    </row>
    <row r="91" spans="1:32">
      <c r="A91" s="533">
        <v>46</v>
      </c>
      <c r="B91" s="534" t="s">
        <v>602</v>
      </c>
      <c r="C91" s="535" t="s">
        <v>902</v>
      </c>
      <c r="D91" s="12" t="s">
        <v>1505</v>
      </c>
      <c r="E91" s="13">
        <v>522</v>
      </c>
      <c r="F91" s="14" t="s">
        <v>2645</v>
      </c>
      <c r="G91" s="543">
        <v>139927</v>
      </c>
      <c r="H91" s="543">
        <v>146418</v>
      </c>
      <c r="I91" s="543">
        <v>170323</v>
      </c>
      <c r="J91" s="543">
        <v>194062</v>
      </c>
      <c r="K91" s="543">
        <v>212731</v>
      </c>
      <c r="L91" s="543">
        <v>241796</v>
      </c>
      <c r="M91" s="543">
        <v>270612</v>
      </c>
      <c r="N91" s="543">
        <v>265799</v>
      </c>
      <c r="O91" s="543">
        <v>260531</v>
      </c>
      <c r="P91" s="543">
        <v>273727</v>
      </c>
      <c r="Q91" s="543">
        <v>298724</v>
      </c>
      <c r="R91" s="543">
        <v>316647</v>
      </c>
      <c r="S91" s="543">
        <v>352877</v>
      </c>
      <c r="T91" s="543">
        <v>390834</v>
      </c>
      <c r="U91" s="543">
        <v>376850</v>
      </c>
      <c r="V91" s="543">
        <v>380239</v>
      </c>
      <c r="W91" s="543">
        <v>394080</v>
      </c>
      <c r="X91" s="543">
        <v>415014</v>
      </c>
      <c r="Y91" s="543">
        <v>430114</v>
      </c>
      <c r="Z91" s="543">
        <v>489980</v>
      </c>
      <c r="AA91" s="543">
        <v>536449</v>
      </c>
      <c r="AB91" s="543">
        <v>539593</v>
      </c>
      <c r="AC91" s="543">
        <v>586071</v>
      </c>
      <c r="AD91" s="543" t="s">
        <v>2620</v>
      </c>
      <c r="AE91" s="543" t="s">
        <v>2620</v>
      </c>
      <c r="AF91" s="543" t="s">
        <v>2620</v>
      </c>
    </row>
    <row r="92" spans="1:32">
      <c r="A92" s="533"/>
      <c r="B92" s="534" t="s">
        <v>1503</v>
      </c>
      <c r="C92" s="535" t="s">
        <v>903</v>
      </c>
      <c r="D92" s="12" t="s">
        <v>1505</v>
      </c>
      <c r="E92" s="13">
        <v>520</v>
      </c>
      <c r="F92" s="14" t="s">
        <v>2668</v>
      </c>
      <c r="G92" s="543">
        <v>595662</v>
      </c>
      <c r="H92" s="543">
        <v>592270</v>
      </c>
      <c r="I92" s="543">
        <v>668427</v>
      </c>
      <c r="J92" s="543">
        <v>736351</v>
      </c>
      <c r="K92" s="543">
        <v>782612</v>
      </c>
      <c r="L92" s="543">
        <v>909998</v>
      </c>
      <c r="M92" s="543">
        <v>929850</v>
      </c>
      <c r="N92" s="543">
        <v>919335</v>
      </c>
      <c r="O92" s="543">
        <v>934531</v>
      </c>
      <c r="P92" s="543">
        <v>1005547</v>
      </c>
      <c r="Q92" s="543">
        <v>1125166</v>
      </c>
      <c r="R92" s="543">
        <v>1258211</v>
      </c>
      <c r="S92" s="543">
        <v>1361080</v>
      </c>
      <c r="T92" s="543">
        <v>1475165</v>
      </c>
      <c r="U92" s="543">
        <v>1272357</v>
      </c>
      <c r="V92" s="543">
        <v>1433259</v>
      </c>
      <c r="W92" s="543">
        <v>1534981</v>
      </c>
      <c r="X92" s="543">
        <v>1525208</v>
      </c>
      <c r="Y92" s="543">
        <v>1481310</v>
      </c>
      <c r="Z92" s="543">
        <v>1602983</v>
      </c>
      <c r="AA92" s="543">
        <v>1708905</v>
      </c>
      <c r="AB92" s="543">
        <v>1753029</v>
      </c>
      <c r="AC92" s="543">
        <v>1907578</v>
      </c>
      <c r="AD92" s="543" t="s">
        <v>2620</v>
      </c>
      <c r="AE92" s="543" t="s">
        <v>2620</v>
      </c>
      <c r="AF92" s="543" t="s">
        <v>2620</v>
      </c>
    </row>
    <row r="93" spans="1:32">
      <c r="A93" s="2015"/>
      <c r="B93" s="534"/>
      <c r="C93" s="535"/>
      <c r="D93" s="12" t="s">
        <v>1505</v>
      </c>
      <c r="E93" s="13">
        <v>530</v>
      </c>
      <c r="F93" s="14" t="s">
        <v>2669</v>
      </c>
      <c r="G93" s="543">
        <v>-30108</v>
      </c>
      <c r="H93" s="543">
        <v>-27571</v>
      </c>
      <c r="I93" s="543">
        <v>-25354</v>
      </c>
      <c r="J93" s="543">
        <v>-14137</v>
      </c>
      <c r="K93" s="543">
        <v>-3630</v>
      </c>
      <c r="L93" s="543">
        <v>1433</v>
      </c>
      <c r="M93" s="543">
        <v>1880</v>
      </c>
      <c r="N93" s="543">
        <v>7392</v>
      </c>
      <c r="O93" s="543">
        <v>45470</v>
      </c>
      <c r="P93" s="543">
        <v>15879</v>
      </c>
      <c r="Q93" s="543">
        <v>39801</v>
      </c>
      <c r="R93" s="543">
        <v>80878</v>
      </c>
      <c r="S93" s="543">
        <v>99378</v>
      </c>
      <c r="T93" s="543">
        <v>117539</v>
      </c>
      <c r="U93" s="543">
        <v>78226</v>
      </c>
      <c r="V93" s="543">
        <v>96921</v>
      </c>
      <c r="W93" s="543">
        <v>75922</v>
      </c>
      <c r="X93" s="543">
        <v>85532</v>
      </c>
      <c r="Y93" s="543">
        <v>86106</v>
      </c>
      <c r="Z93" s="543">
        <v>84115</v>
      </c>
      <c r="AA93" s="543">
        <v>54086</v>
      </c>
      <c r="AB93" s="543">
        <v>47865</v>
      </c>
      <c r="AC93" s="543">
        <v>64850</v>
      </c>
      <c r="AD93" s="543" t="s">
        <v>2620</v>
      </c>
      <c r="AE93" s="543" t="s">
        <v>2620</v>
      </c>
      <c r="AF93" s="543" t="s">
        <v>2620</v>
      </c>
    </row>
    <row r="94" spans="1:32">
      <c r="A94" s="2015"/>
      <c r="B94" s="534"/>
      <c r="C94" s="535"/>
      <c r="D94" s="12" t="s">
        <v>1505</v>
      </c>
      <c r="E94" s="13">
        <v>540</v>
      </c>
      <c r="F94" s="14" t="s">
        <v>2670</v>
      </c>
      <c r="G94" s="543">
        <v>-23716</v>
      </c>
      <c r="H94" s="543">
        <v>-21588</v>
      </c>
      <c r="I94" s="543">
        <v>-30385</v>
      </c>
      <c r="J94" s="543">
        <v>-26411</v>
      </c>
      <c r="K94" s="543">
        <v>-27733</v>
      </c>
      <c r="L94" s="543">
        <v>-28963</v>
      </c>
      <c r="M94" s="543">
        <v>-30234</v>
      </c>
      <c r="N94" s="543">
        <v>-28939</v>
      </c>
      <c r="O94" s="543">
        <v>-35858</v>
      </c>
      <c r="P94" s="543">
        <v>-41474</v>
      </c>
      <c r="Q94" s="543">
        <v>-43770</v>
      </c>
      <c r="R94" s="543">
        <v>-50268</v>
      </c>
      <c r="S94" s="543">
        <v>-50351</v>
      </c>
      <c r="T94" s="543">
        <v>-59856</v>
      </c>
      <c r="U94" s="543">
        <v>-52577</v>
      </c>
      <c r="V94" s="543">
        <v>-61295</v>
      </c>
      <c r="W94" s="543">
        <v>-59755</v>
      </c>
      <c r="X94" s="543">
        <v>-62806</v>
      </c>
      <c r="Y94" s="543">
        <v>-64253</v>
      </c>
      <c r="Z94" s="543">
        <v>-67506</v>
      </c>
      <c r="AA94" s="543">
        <v>-66540</v>
      </c>
      <c r="AB94" s="543">
        <v>-55830</v>
      </c>
      <c r="AC94" s="543">
        <v>-67844</v>
      </c>
      <c r="AD94" s="543" t="s">
        <v>2620</v>
      </c>
      <c r="AE94" s="543" t="s">
        <v>2620</v>
      </c>
      <c r="AF94" s="543" t="s">
        <v>2620</v>
      </c>
    </row>
    <row r="95" spans="1:32">
      <c r="A95" s="2015"/>
      <c r="B95" s="534"/>
      <c r="C95" s="535"/>
      <c r="D95" s="12" t="s">
        <v>1505</v>
      </c>
      <c r="E95" s="13">
        <v>550</v>
      </c>
      <c r="F95" s="14" t="s">
        <v>2671</v>
      </c>
      <c r="G95" s="543">
        <v>-3507</v>
      </c>
      <c r="H95" s="543">
        <v>-8918</v>
      </c>
      <c r="I95" s="543">
        <v>-5647</v>
      </c>
      <c r="J95" s="543">
        <v>26</v>
      </c>
      <c r="K95" s="543">
        <v>-24980</v>
      </c>
      <c r="L95" s="543">
        <v>-3661</v>
      </c>
      <c r="M95" s="543">
        <v>-1555</v>
      </c>
      <c r="N95" s="543">
        <v>-2621</v>
      </c>
      <c r="O95" s="543">
        <v>-1130</v>
      </c>
      <c r="P95" s="543">
        <v>-2233</v>
      </c>
      <c r="Q95" s="543">
        <v>-852</v>
      </c>
      <c r="R95" s="543">
        <v>-17565</v>
      </c>
      <c r="S95" s="543">
        <v>-2523</v>
      </c>
      <c r="T95" s="543">
        <v>-5131</v>
      </c>
      <c r="U95" s="543">
        <v>-4153</v>
      </c>
      <c r="V95" s="543">
        <v>-4816</v>
      </c>
      <c r="W95" s="543">
        <v>-6006</v>
      </c>
      <c r="X95" s="543">
        <v>-5774</v>
      </c>
      <c r="Y95" s="543">
        <v>-9106</v>
      </c>
      <c r="Z95" s="543">
        <v>-5424</v>
      </c>
      <c r="AA95" s="543">
        <v>-8102</v>
      </c>
      <c r="AB95" s="543">
        <v>-2701</v>
      </c>
      <c r="AC95" s="543">
        <v>-2883</v>
      </c>
      <c r="AD95" s="543" t="s">
        <v>2620</v>
      </c>
      <c r="AE95" s="543" t="s">
        <v>2620</v>
      </c>
      <c r="AF95" s="543" t="s">
        <v>2620</v>
      </c>
    </row>
    <row r="96" spans="1:32">
      <c r="A96" s="533"/>
      <c r="B96" s="534"/>
      <c r="C96" s="535"/>
      <c r="D96" s="12"/>
      <c r="E96" s="13"/>
      <c r="F96" s="14"/>
      <c r="G96" s="543"/>
      <c r="H96" s="543"/>
      <c r="I96" s="543"/>
      <c r="J96" s="543"/>
      <c r="K96" s="543"/>
      <c r="L96" s="543"/>
      <c r="M96" s="543"/>
      <c r="N96" s="543"/>
      <c r="O96" s="543"/>
      <c r="P96" s="543"/>
      <c r="Q96" s="543"/>
      <c r="R96" s="543"/>
      <c r="S96" s="543"/>
      <c r="T96" s="543"/>
      <c r="U96" s="543"/>
      <c r="V96" s="543"/>
      <c r="W96" s="543"/>
      <c r="X96" s="543"/>
      <c r="Y96" s="543"/>
      <c r="Z96" s="543"/>
      <c r="AA96" s="543"/>
      <c r="AB96" s="543"/>
      <c r="AC96" s="543"/>
      <c r="AD96" s="543"/>
      <c r="AE96" s="543"/>
      <c r="AF96" s="543"/>
    </row>
    <row r="97" spans="1:32">
      <c r="A97" s="533"/>
      <c r="B97" s="534" t="s">
        <v>2026</v>
      </c>
      <c r="C97" s="535" t="s">
        <v>1587</v>
      </c>
      <c r="D97" s="12" t="s">
        <v>1505</v>
      </c>
      <c r="E97" s="13">
        <v>600</v>
      </c>
      <c r="F97" s="14" t="s">
        <v>2672</v>
      </c>
      <c r="G97" s="543">
        <v>1885648</v>
      </c>
      <c r="H97" s="543">
        <v>1934378</v>
      </c>
      <c r="I97" s="543">
        <v>2021978</v>
      </c>
      <c r="J97" s="543">
        <v>2124406</v>
      </c>
      <c r="K97" s="543">
        <v>2240573</v>
      </c>
      <c r="L97" s="543">
        <v>2383626</v>
      </c>
      <c r="M97" s="543">
        <v>2481916</v>
      </c>
      <c r="N97" s="543">
        <v>2573959</v>
      </c>
      <c r="O97" s="543">
        <v>2680863</v>
      </c>
      <c r="P97" s="543">
        <v>2808403</v>
      </c>
      <c r="Q97" s="543">
        <v>2910683</v>
      </c>
      <c r="R97" s="543">
        <v>3102834</v>
      </c>
      <c r="S97" s="543">
        <v>3300983</v>
      </c>
      <c r="T97" s="543">
        <v>3391681</v>
      </c>
      <c r="U97" s="543">
        <v>3292009</v>
      </c>
      <c r="V97" s="543">
        <v>3523824</v>
      </c>
      <c r="W97" s="543">
        <v>3661043</v>
      </c>
      <c r="X97" s="543">
        <v>3688871</v>
      </c>
      <c r="Y97" s="543">
        <v>3773939</v>
      </c>
      <c r="Z97" s="543">
        <v>3940925</v>
      </c>
      <c r="AA97" s="543">
        <v>4201543</v>
      </c>
      <c r="AB97" s="543">
        <v>4385497</v>
      </c>
      <c r="AC97" s="543">
        <v>4578899</v>
      </c>
      <c r="AD97" s="543" t="s">
        <v>2620</v>
      </c>
      <c r="AE97" s="543" t="s">
        <v>2620</v>
      </c>
      <c r="AF97" s="543" t="s">
        <v>2620</v>
      </c>
    </row>
    <row r="98" spans="1:32">
      <c r="A98" s="533"/>
      <c r="B98" s="534"/>
      <c r="C98" s="535"/>
      <c r="D98" s="12"/>
      <c r="E98" s="13"/>
      <c r="F98" s="14"/>
      <c r="G98" s="543"/>
      <c r="H98" s="543"/>
      <c r="I98" s="543"/>
      <c r="J98" s="543"/>
      <c r="K98" s="543"/>
      <c r="L98" s="543"/>
      <c r="M98" s="543"/>
      <c r="N98" s="543"/>
      <c r="O98" s="543"/>
      <c r="P98" s="543"/>
      <c r="Q98" s="543"/>
      <c r="R98" s="543"/>
      <c r="S98" s="543"/>
      <c r="T98" s="543"/>
      <c r="U98" s="543"/>
      <c r="V98" s="543"/>
      <c r="W98" s="543"/>
      <c r="X98" s="543"/>
      <c r="Y98" s="543"/>
      <c r="Z98" s="543"/>
      <c r="AA98" s="543"/>
      <c r="AB98" s="543"/>
      <c r="AC98" s="543"/>
      <c r="AD98" s="543"/>
      <c r="AE98" s="543"/>
      <c r="AF98" s="543"/>
    </row>
    <row r="99" spans="1:32">
      <c r="A99" s="2015"/>
      <c r="B99" s="534"/>
      <c r="C99" s="535"/>
      <c r="D99" s="12" t="s">
        <v>1505</v>
      </c>
      <c r="E99" s="13">
        <v>601</v>
      </c>
      <c r="F99" s="14" t="s">
        <v>2673</v>
      </c>
      <c r="G99" s="543">
        <v>1649612</v>
      </c>
      <c r="H99" s="543">
        <v>1699938</v>
      </c>
      <c r="I99" s="543">
        <v>1782422</v>
      </c>
      <c r="J99" s="543">
        <v>1869823</v>
      </c>
      <c r="K99" s="543">
        <v>1971983</v>
      </c>
      <c r="L99" s="543">
        <v>2107045</v>
      </c>
      <c r="M99" s="543">
        <v>2191078</v>
      </c>
      <c r="N99" s="543">
        <v>2268873</v>
      </c>
      <c r="O99" s="543">
        <v>2363794</v>
      </c>
      <c r="P99" s="543">
        <v>2480239</v>
      </c>
      <c r="Q99" s="543">
        <v>2561764</v>
      </c>
      <c r="R99" s="543">
        <v>2734798</v>
      </c>
      <c r="S99" s="543">
        <v>2911743</v>
      </c>
      <c r="T99" s="543">
        <v>2996091</v>
      </c>
      <c r="U99" s="543">
        <v>2891285</v>
      </c>
      <c r="V99" s="543">
        <v>3098617</v>
      </c>
      <c r="W99" s="543">
        <v>3227397</v>
      </c>
      <c r="X99" s="543">
        <v>3258046</v>
      </c>
      <c r="Y99" s="543">
        <v>3337466</v>
      </c>
      <c r="Z99" s="543">
        <v>3490966</v>
      </c>
      <c r="AA99" s="543">
        <v>3721440</v>
      </c>
      <c r="AB99" s="543">
        <v>3876376</v>
      </c>
      <c r="AC99" s="543">
        <v>4049096</v>
      </c>
      <c r="AD99" s="543" t="s">
        <v>2620</v>
      </c>
      <c r="AE99" s="543" t="s">
        <v>2620</v>
      </c>
      <c r="AF99" s="543" t="s">
        <v>2620</v>
      </c>
    </row>
    <row r="100" spans="1:32">
      <c r="A100" s="2015"/>
      <c r="B100" s="534" t="s">
        <v>1504</v>
      </c>
      <c r="C100" s="535"/>
      <c r="D100" s="12" t="s">
        <v>1505</v>
      </c>
      <c r="E100" s="13">
        <v>610</v>
      </c>
      <c r="F100" s="14" t="s">
        <v>2674</v>
      </c>
      <c r="G100" s="543">
        <v>829754</v>
      </c>
      <c r="H100" s="543">
        <v>879897</v>
      </c>
      <c r="I100" s="543">
        <v>919868</v>
      </c>
      <c r="J100" s="543">
        <v>920920</v>
      </c>
      <c r="K100" s="543">
        <v>976678</v>
      </c>
      <c r="L100" s="543">
        <v>1071228</v>
      </c>
      <c r="M100" s="543">
        <v>1144523</v>
      </c>
      <c r="N100" s="543">
        <v>1184151</v>
      </c>
      <c r="O100" s="543">
        <v>1225725</v>
      </c>
      <c r="P100" s="543">
        <v>1266256</v>
      </c>
      <c r="Q100" s="543">
        <v>1308995</v>
      </c>
      <c r="R100" s="543">
        <v>1372162</v>
      </c>
      <c r="S100" s="543">
        <v>1479068</v>
      </c>
      <c r="T100" s="543">
        <v>1552003</v>
      </c>
      <c r="U100" s="543">
        <v>1552248</v>
      </c>
      <c r="V100" s="543">
        <v>1600603</v>
      </c>
      <c r="W100" s="543">
        <v>1692809</v>
      </c>
      <c r="X100" s="543">
        <v>1760363</v>
      </c>
      <c r="Y100" s="543">
        <v>1813304</v>
      </c>
      <c r="Z100" s="543">
        <v>1882976</v>
      </c>
      <c r="AA100" s="543">
        <v>1967078</v>
      </c>
      <c r="AB100" s="543">
        <v>2062757</v>
      </c>
      <c r="AC100" s="543">
        <v>2157222</v>
      </c>
      <c r="AD100" s="543" t="s">
        <v>2620</v>
      </c>
      <c r="AE100" s="543" t="s">
        <v>2620</v>
      </c>
      <c r="AF100" s="543" t="s">
        <v>2620</v>
      </c>
    </row>
    <row r="101" spans="1:32">
      <c r="A101" s="533">
        <v>62</v>
      </c>
      <c r="B101" s="534" t="s">
        <v>1717</v>
      </c>
      <c r="C101" s="535"/>
      <c r="D101" s="12" t="s">
        <v>1505</v>
      </c>
      <c r="E101" s="13">
        <v>611</v>
      </c>
      <c r="F101" s="14" t="s">
        <v>2675</v>
      </c>
      <c r="G101" s="543">
        <v>701793</v>
      </c>
      <c r="H101" s="543">
        <v>744233</v>
      </c>
      <c r="I101" s="543">
        <v>775043</v>
      </c>
      <c r="J101" s="543">
        <v>817816</v>
      </c>
      <c r="K101" s="543">
        <v>864819</v>
      </c>
      <c r="L101" s="543">
        <v>923342</v>
      </c>
      <c r="M101" s="543">
        <v>975830</v>
      </c>
      <c r="N101" s="543">
        <v>1007599</v>
      </c>
      <c r="O101" s="543">
        <v>1033049</v>
      </c>
      <c r="P101" s="543">
        <v>1059811</v>
      </c>
      <c r="Q101" s="543">
        <v>1098391</v>
      </c>
      <c r="R101" s="543">
        <v>1158718</v>
      </c>
      <c r="S101" s="543">
        <v>1237691</v>
      </c>
      <c r="T101" s="543">
        <v>1306463</v>
      </c>
      <c r="U101" s="543">
        <v>1307530</v>
      </c>
      <c r="V101" s="543">
        <v>1348429</v>
      </c>
      <c r="W101" s="543">
        <v>1423300</v>
      </c>
      <c r="X101" s="543">
        <v>1476496</v>
      </c>
      <c r="Y101" s="543">
        <v>1517038</v>
      </c>
      <c r="Z101" s="543">
        <v>1574530</v>
      </c>
      <c r="AA101" s="543">
        <v>1642875</v>
      </c>
      <c r="AB101" s="543">
        <v>1721615</v>
      </c>
      <c r="AC101" s="543">
        <v>1804124</v>
      </c>
      <c r="AD101" s="543" t="s">
        <v>2620</v>
      </c>
      <c r="AE101" s="543" t="s">
        <v>2620</v>
      </c>
      <c r="AF101" s="543" t="s">
        <v>2620</v>
      </c>
    </row>
    <row r="102" spans="1:32">
      <c r="A102" s="533"/>
      <c r="B102" s="534"/>
      <c r="C102" s="535"/>
      <c r="D102" s="12"/>
      <c r="E102" s="13"/>
      <c r="F102" s="14"/>
      <c r="G102" s="543"/>
      <c r="H102" s="543"/>
      <c r="I102" s="543"/>
      <c r="J102" s="543"/>
      <c r="K102" s="543"/>
      <c r="L102" s="543"/>
      <c r="M102" s="543"/>
      <c r="N102" s="543"/>
      <c r="O102" s="543"/>
      <c r="P102" s="543"/>
      <c r="Q102" s="543"/>
      <c r="R102" s="543"/>
      <c r="S102" s="543"/>
      <c r="T102" s="543"/>
      <c r="U102" s="543"/>
      <c r="V102" s="543"/>
      <c r="W102" s="543"/>
      <c r="X102" s="543"/>
      <c r="Y102" s="543"/>
      <c r="Z102" s="543"/>
      <c r="AA102" s="543"/>
      <c r="AB102" s="543"/>
      <c r="AC102" s="543"/>
      <c r="AD102" s="543"/>
      <c r="AE102" s="543"/>
      <c r="AF102" s="543"/>
    </row>
    <row r="103" spans="1:32">
      <c r="A103" s="533">
        <v>50</v>
      </c>
      <c r="B103" s="534" t="s">
        <v>605</v>
      </c>
      <c r="C103" s="535" t="s">
        <v>1229</v>
      </c>
      <c r="D103" s="12" t="s">
        <v>1505</v>
      </c>
      <c r="E103" s="13">
        <v>634</v>
      </c>
      <c r="F103" s="14" t="s">
        <v>2676</v>
      </c>
      <c r="G103" s="543">
        <v>246973</v>
      </c>
      <c r="H103" s="543">
        <v>245548</v>
      </c>
      <c r="I103" s="543">
        <v>250830</v>
      </c>
      <c r="J103" s="543">
        <v>265710</v>
      </c>
      <c r="K103" s="543">
        <v>279920</v>
      </c>
      <c r="L103" s="543">
        <v>289398</v>
      </c>
      <c r="M103" s="543">
        <v>304616</v>
      </c>
      <c r="N103" s="543">
        <v>319828</v>
      </c>
      <c r="O103" s="543">
        <v>333041</v>
      </c>
      <c r="P103" s="543">
        <v>344543</v>
      </c>
      <c r="Q103" s="543">
        <v>362312</v>
      </c>
      <c r="R103" s="543">
        <v>382398</v>
      </c>
      <c r="S103" s="543">
        <v>404447</v>
      </c>
      <c r="T103" s="543">
        <v>412385</v>
      </c>
      <c r="U103" s="543">
        <v>418181</v>
      </c>
      <c r="V103" s="543">
        <v>442720</v>
      </c>
      <c r="W103" s="543">
        <v>452010</v>
      </c>
      <c r="X103" s="543">
        <v>449365</v>
      </c>
      <c r="Y103" s="543">
        <v>455195</v>
      </c>
      <c r="Z103" s="543">
        <v>470573</v>
      </c>
      <c r="AA103" s="543">
        <v>502490</v>
      </c>
      <c r="AB103" s="543">
        <v>532404</v>
      </c>
      <c r="AC103" s="543">
        <v>554446</v>
      </c>
      <c r="AD103" s="543" t="s">
        <v>2620</v>
      </c>
      <c r="AE103" s="543" t="s">
        <v>2620</v>
      </c>
      <c r="AF103" s="543" t="s">
        <v>2620</v>
      </c>
    </row>
    <row r="104" spans="1:32">
      <c r="A104" s="533">
        <v>51</v>
      </c>
      <c r="B104" s="534" t="s">
        <v>1725</v>
      </c>
      <c r="C104" s="535" t="s">
        <v>1298</v>
      </c>
      <c r="D104" s="12" t="s">
        <v>1505</v>
      </c>
      <c r="E104" s="13">
        <v>635</v>
      </c>
      <c r="F104" s="14" t="s">
        <v>2677</v>
      </c>
      <c r="G104" s="543">
        <v>10937</v>
      </c>
      <c r="H104" s="543">
        <v>11108</v>
      </c>
      <c r="I104" s="543">
        <v>11274</v>
      </c>
      <c r="J104" s="543">
        <v>11127</v>
      </c>
      <c r="K104" s="543">
        <v>11330</v>
      </c>
      <c r="L104" s="543">
        <v>12817</v>
      </c>
      <c r="M104" s="543">
        <v>13778</v>
      </c>
      <c r="N104" s="543">
        <v>14742</v>
      </c>
      <c r="O104" s="543">
        <v>15972</v>
      </c>
      <c r="P104" s="543">
        <v>16379</v>
      </c>
      <c r="Q104" s="543">
        <v>13393</v>
      </c>
      <c r="R104" s="543">
        <v>14362</v>
      </c>
      <c r="S104" s="543">
        <v>15207</v>
      </c>
      <c r="T104" s="543">
        <v>16795</v>
      </c>
      <c r="U104" s="543">
        <v>17457</v>
      </c>
      <c r="V104" s="543">
        <v>17513</v>
      </c>
      <c r="W104" s="543">
        <v>18364</v>
      </c>
      <c r="X104" s="543">
        <v>18540</v>
      </c>
      <c r="Y104" s="543">
        <v>18722</v>
      </c>
      <c r="Z104" s="543">
        <v>20614</v>
      </c>
      <c r="AA104" s="543">
        <v>22387</v>
      </c>
      <c r="AB104" s="543">
        <v>23283</v>
      </c>
      <c r="AC104" s="543">
        <v>24643</v>
      </c>
      <c r="AD104" s="543" t="s">
        <v>2620</v>
      </c>
      <c r="AE104" s="543" t="s">
        <v>2620</v>
      </c>
      <c r="AF104" s="543" t="s">
        <v>2620</v>
      </c>
    </row>
    <row r="105" spans="1:32">
      <c r="A105" s="533"/>
      <c r="B105" s="534"/>
      <c r="C105" s="535"/>
      <c r="D105" s="12"/>
      <c r="E105" s="13"/>
      <c r="F105" s="14"/>
      <c r="G105" s="543"/>
      <c r="H105" s="543"/>
      <c r="I105" s="543"/>
      <c r="J105" s="543"/>
      <c r="K105" s="543"/>
      <c r="L105" s="543"/>
      <c r="M105" s="543"/>
      <c r="N105" s="543"/>
      <c r="O105" s="543"/>
      <c r="P105" s="543"/>
      <c r="Q105" s="543"/>
      <c r="R105" s="543"/>
      <c r="S105" s="543"/>
      <c r="T105" s="543"/>
      <c r="U105" s="543"/>
      <c r="V105" s="543"/>
      <c r="W105" s="543"/>
      <c r="X105" s="543"/>
      <c r="Y105" s="543"/>
      <c r="Z105" s="543"/>
      <c r="AA105" s="543"/>
      <c r="AB105" s="543"/>
      <c r="AC105" s="543"/>
      <c r="AD105" s="543"/>
      <c r="AE105" s="543"/>
      <c r="AF105" s="543"/>
    </row>
    <row r="106" spans="1:32">
      <c r="A106" s="2015"/>
      <c r="B106" s="534"/>
      <c r="C106" s="535"/>
      <c r="D106" s="12" t="s">
        <v>1505</v>
      </c>
      <c r="E106" s="13">
        <v>640</v>
      </c>
      <c r="F106" s="14" t="s">
        <v>2678</v>
      </c>
      <c r="G106" s="543">
        <v>716999</v>
      </c>
      <c r="H106" s="543">
        <v>683684</v>
      </c>
      <c r="I106" s="543">
        <v>713981</v>
      </c>
      <c r="J106" s="543">
        <v>735249</v>
      </c>
      <c r="K106" s="543">
        <v>770527</v>
      </c>
      <c r="L106" s="543">
        <v>814977</v>
      </c>
      <c r="M106" s="543">
        <v>814500</v>
      </c>
      <c r="N106" s="543">
        <v>844575</v>
      </c>
      <c r="O106" s="543">
        <v>891014</v>
      </c>
      <c r="P106" s="543">
        <v>960430</v>
      </c>
      <c r="Q106" s="543">
        <v>995551</v>
      </c>
      <c r="R106" s="543">
        <v>1100002</v>
      </c>
      <c r="S106" s="543">
        <v>1149733</v>
      </c>
      <c r="T106" s="543">
        <v>1137556</v>
      </c>
      <c r="U106" s="543">
        <v>1052171</v>
      </c>
      <c r="V106" s="543">
        <v>1202091</v>
      </c>
      <c r="W106" s="543">
        <v>1231553</v>
      </c>
      <c r="X106" s="543">
        <v>1178705</v>
      </c>
      <c r="Y106" s="543">
        <v>1193614</v>
      </c>
      <c r="Z106" s="543">
        <v>1269384</v>
      </c>
      <c r="AA106" s="543">
        <v>1386508</v>
      </c>
      <c r="AB106" s="543">
        <v>1406843</v>
      </c>
      <c r="AC106" s="543">
        <v>1463341</v>
      </c>
      <c r="AD106" s="543" t="s">
        <v>2620</v>
      </c>
      <c r="AE106" s="543" t="s">
        <v>2620</v>
      </c>
      <c r="AF106" s="543" t="s">
        <v>2620</v>
      </c>
    </row>
    <row r="107" spans="1:32">
      <c r="A107" s="533"/>
      <c r="B107" s="534"/>
      <c r="C107" s="535"/>
      <c r="D107" s="12"/>
      <c r="E107" s="13"/>
      <c r="F107" s="14"/>
      <c r="G107" s="543"/>
      <c r="H107" s="543"/>
      <c r="I107" s="543"/>
      <c r="J107" s="543"/>
      <c r="K107" s="543"/>
      <c r="L107" s="543"/>
      <c r="M107" s="543"/>
      <c r="N107" s="543"/>
      <c r="O107" s="543"/>
      <c r="P107" s="543"/>
      <c r="Q107" s="543"/>
      <c r="R107" s="543"/>
      <c r="S107" s="543"/>
      <c r="T107" s="543"/>
      <c r="U107" s="543"/>
      <c r="V107" s="543"/>
      <c r="W107" s="543"/>
      <c r="X107" s="543"/>
      <c r="Y107" s="543"/>
      <c r="Z107" s="543"/>
      <c r="AA107" s="543"/>
      <c r="AB107" s="543"/>
      <c r="AC107" s="543"/>
      <c r="AD107" s="543"/>
      <c r="AE107" s="543"/>
      <c r="AF107" s="543"/>
    </row>
    <row r="108" spans="1:32">
      <c r="A108" s="533"/>
      <c r="B108" s="534"/>
      <c r="C108" s="535"/>
      <c r="D108" s="12"/>
      <c r="E108" s="13"/>
      <c r="F108" s="14"/>
      <c r="G108" s="543"/>
      <c r="H108" s="543"/>
      <c r="I108" s="543"/>
      <c r="J108" s="543"/>
      <c r="K108" s="543"/>
      <c r="L108" s="543"/>
      <c r="M108" s="543"/>
      <c r="N108" s="543"/>
      <c r="O108" s="543"/>
      <c r="P108" s="543"/>
      <c r="Q108" s="543"/>
      <c r="R108" s="543"/>
      <c r="S108" s="543"/>
      <c r="T108" s="543"/>
      <c r="U108" s="543"/>
      <c r="V108" s="543"/>
      <c r="W108" s="543"/>
      <c r="X108" s="543"/>
      <c r="Y108" s="543"/>
      <c r="Z108" s="543"/>
      <c r="AA108" s="543"/>
      <c r="AB108" s="543"/>
      <c r="AC108" s="543"/>
      <c r="AD108" s="543"/>
      <c r="AE108" s="543"/>
      <c r="AF108" s="543"/>
    </row>
    <row r="109" spans="1:32">
      <c r="A109" s="533"/>
      <c r="B109" s="534"/>
      <c r="C109" s="535"/>
      <c r="D109" s="12"/>
      <c r="E109" s="13"/>
      <c r="F109" s="14"/>
      <c r="G109" s="543"/>
      <c r="H109" s="543"/>
      <c r="I109" s="543"/>
      <c r="J109" s="543"/>
      <c r="K109" s="543"/>
      <c r="L109" s="543"/>
      <c r="M109" s="543"/>
      <c r="N109" s="543"/>
      <c r="O109" s="543"/>
      <c r="P109" s="543"/>
      <c r="Q109" s="543"/>
      <c r="R109" s="543"/>
      <c r="S109" s="543"/>
      <c r="T109" s="543"/>
      <c r="U109" s="543"/>
      <c r="V109" s="543"/>
      <c r="W109" s="543"/>
      <c r="X109" s="543"/>
      <c r="Y109" s="543"/>
      <c r="Z109" s="543"/>
      <c r="AA109" s="543"/>
      <c r="AB109" s="543"/>
      <c r="AC109" s="543"/>
      <c r="AD109" s="543"/>
      <c r="AE109" s="543"/>
      <c r="AF109" s="543"/>
    </row>
    <row r="110" spans="1:32">
      <c r="A110" s="533"/>
      <c r="B110" s="534"/>
      <c r="C110" s="535"/>
      <c r="D110" s="12"/>
      <c r="E110" s="13"/>
      <c r="F110" s="14"/>
      <c r="G110" s="543"/>
      <c r="H110" s="543"/>
      <c r="I110" s="543"/>
      <c r="J110" s="543"/>
      <c r="K110" s="543"/>
      <c r="L110" s="543"/>
      <c r="M110" s="543"/>
      <c r="N110" s="543"/>
      <c r="O110" s="543"/>
      <c r="P110" s="543"/>
      <c r="Q110" s="543"/>
      <c r="R110" s="543"/>
      <c r="S110" s="543"/>
      <c r="T110" s="543"/>
      <c r="U110" s="543"/>
      <c r="V110" s="543"/>
      <c r="W110" s="543"/>
      <c r="X110" s="543"/>
      <c r="Y110" s="543"/>
      <c r="Z110" s="543"/>
      <c r="AA110" s="543"/>
      <c r="AB110" s="543"/>
      <c r="AC110" s="543"/>
      <c r="AD110" s="543"/>
      <c r="AE110" s="543"/>
      <c r="AF110" s="543"/>
    </row>
    <row r="111" spans="1:32">
      <c r="A111" s="533"/>
      <c r="B111" s="534"/>
      <c r="C111" s="535"/>
      <c r="D111" s="12"/>
      <c r="E111" s="13"/>
      <c r="F111" s="14"/>
      <c r="G111" s="543"/>
      <c r="H111" s="543"/>
      <c r="I111" s="543"/>
      <c r="J111" s="543"/>
      <c r="K111" s="543"/>
      <c r="L111" s="543"/>
      <c r="M111" s="543"/>
      <c r="N111" s="543"/>
      <c r="O111" s="543"/>
      <c r="P111" s="543"/>
      <c r="Q111" s="543"/>
      <c r="R111" s="543"/>
      <c r="S111" s="543"/>
      <c r="T111" s="543"/>
      <c r="U111" s="543"/>
      <c r="V111" s="543"/>
      <c r="W111" s="543"/>
      <c r="X111" s="543"/>
      <c r="Y111" s="543"/>
      <c r="Z111" s="543"/>
      <c r="AA111" s="543"/>
      <c r="AB111" s="543"/>
      <c r="AC111" s="543"/>
      <c r="AD111" s="543"/>
      <c r="AE111" s="543"/>
      <c r="AF111" s="543"/>
    </row>
    <row r="112" spans="1:32">
      <c r="A112" s="533"/>
      <c r="B112" s="534"/>
      <c r="C112" s="535"/>
      <c r="D112" s="12"/>
      <c r="E112" s="13"/>
      <c r="F112" s="14"/>
      <c r="G112" s="543"/>
      <c r="H112" s="543"/>
      <c r="I112" s="543"/>
      <c r="J112" s="543"/>
      <c r="K112" s="543"/>
      <c r="L112" s="543"/>
      <c r="M112" s="543"/>
      <c r="N112" s="543"/>
      <c r="O112" s="543"/>
      <c r="P112" s="543"/>
      <c r="Q112" s="543"/>
      <c r="R112" s="543"/>
      <c r="S112" s="543"/>
      <c r="T112" s="543"/>
      <c r="U112" s="543"/>
      <c r="V112" s="543"/>
      <c r="W112" s="543"/>
      <c r="X112" s="543"/>
      <c r="Y112" s="543"/>
      <c r="Z112" s="543"/>
      <c r="AA112" s="543"/>
      <c r="AB112" s="543"/>
      <c r="AC112" s="543"/>
      <c r="AD112" s="543"/>
      <c r="AE112" s="543"/>
      <c r="AF112" s="543"/>
    </row>
    <row r="113" spans="1:32">
      <c r="A113" s="533">
        <v>100</v>
      </c>
      <c r="B113" s="534" t="s">
        <v>1841</v>
      </c>
      <c r="C113" s="535" t="s">
        <v>1588</v>
      </c>
      <c r="D113" s="12" t="s">
        <v>1515</v>
      </c>
      <c r="E113" s="13">
        <v>3</v>
      </c>
      <c r="F113" s="14" t="s">
        <v>2679</v>
      </c>
      <c r="G113" s="543">
        <v>1112327</v>
      </c>
      <c r="H113" s="543">
        <v>1138105</v>
      </c>
      <c r="I113" s="543">
        <v>1208493</v>
      </c>
      <c r="J113" s="543">
        <v>1280313</v>
      </c>
      <c r="K113" s="543">
        <v>1361937</v>
      </c>
      <c r="L113" s="543">
        <v>1463901</v>
      </c>
      <c r="M113" s="543">
        <v>1516785</v>
      </c>
      <c r="N113" s="543">
        <v>1558423</v>
      </c>
      <c r="O113" s="543">
        <v>1618005</v>
      </c>
      <c r="P113" s="543">
        <v>1715352</v>
      </c>
      <c r="Q113" s="543">
        <v>1776571</v>
      </c>
      <c r="R113" s="543">
        <v>1913331</v>
      </c>
      <c r="S113" s="543">
        <v>2040806</v>
      </c>
      <c r="T113" s="543">
        <v>2108552</v>
      </c>
      <c r="U113" s="543">
        <v>2006301</v>
      </c>
      <c r="V113" s="543">
        <v>2186022</v>
      </c>
      <c r="W113" s="543">
        <v>2290650</v>
      </c>
      <c r="X113" s="543">
        <v>2302833</v>
      </c>
      <c r="Y113" s="543">
        <v>2357261</v>
      </c>
      <c r="Z113" s="543">
        <v>2477850</v>
      </c>
      <c r="AA113" s="543">
        <v>2673327</v>
      </c>
      <c r="AB113" s="543">
        <v>2777072</v>
      </c>
      <c r="AC113" s="543">
        <v>2894855</v>
      </c>
      <c r="AD113" s="543" t="s">
        <v>2620</v>
      </c>
      <c r="AE113" s="543" t="s">
        <v>2620</v>
      </c>
      <c r="AF113" s="543" t="s">
        <v>2620</v>
      </c>
    </row>
    <row r="114" spans="1:32">
      <c r="A114" s="533">
        <v>102</v>
      </c>
      <c r="B114" s="534" t="s">
        <v>467</v>
      </c>
      <c r="C114" s="535" t="s">
        <v>1589</v>
      </c>
      <c r="D114" s="12" t="s">
        <v>1515</v>
      </c>
      <c r="E114" s="13">
        <v>7</v>
      </c>
      <c r="F114" s="3358" t="s">
        <v>2680</v>
      </c>
      <c r="G114" s="3357">
        <v>99166</v>
      </c>
      <c r="H114" s="3357">
        <v>119445</v>
      </c>
      <c r="I114" s="3357">
        <v>122917</v>
      </c>
      <c r="J114" s="3357">
        <v>163887</v>
      </c>
      <c r="K114" s="3357">
        <v>173877</v>
      </c>
      <c r="L114" s="3357">
        <v>171147</v>
      </c>
      <c r="M114" s="3357">
        <v>180204</v>
      </c>
      <c r="N114" s="3357">
        <v>185694</v>
      </c>
      <c r="O114" s="3357">
        <v>187743</v>
      </c>
      <c r="P114" s="3357">
        <v>191063</v>
      </c>
      <c r="Q114" s="3357">
        <v>198849</v>
      </c>
      <c r="R114" s="3357">
        <v>207423</v>
      </c>
      <c r="S114" s="3357">
        <v>221443</v>
      </c>
      <c r="T114" s="3357">
        <v>236154</v>
      </c>
      <c r="U114" s="3357">
        <v>220395</v>
      </c>
      <c r="V114" s="3357">
        <v>230618</v>
      </c>
      <c r="W114" s="3357">
        <v>241350</v>
      </c>
      <c r="X114" s="3357">
        <v>252904</v>
      </c>
      <c r="Y114" s="3357">
        <v>260037</v>
      </c>
      <c r="Z114" s="543">
        <v>267209</v>
      </c>
      <c r="AA114" s="543">
        <v>284473</v>
      </c>
      <c r="AB114" s="543">
        <v>315466</v>
      </c>
      <c r="AC114" s="543">
        <v>331975</v>
      </c>
      <c r="AD114" s="543" t="s">
        <v>2620</v>
      </c>
      <c r="AE114" s="543" t="s">
        <v>2620</v>
      </c>
      <c r="AF114" s="543" t="s">
        <v>2620</v>
      </c>
    </row>
    <row r="115" spans="1:32">
      <c r="A115" s="533">
        <v>101</v>
      </c>
      <c r="B115" s="534" t="s">
        <v>415</v>
      </c>
      <c r="C115" s="535" t="s">
        <v>1522</v>
      </c>
      <c r="D115" s="12" t="s">
        <v>1515</v>
      </c>
      <c r="E115" s="13">
        <v>8</v>
      </c>
      <c r="F115" s="14" t="s">
        <v>2681</v>
      </c>
      <c r="G115" s="543">
        <v>46216</v>
      </c>
      <c r="H115" s="543">
        <v>41468</v>
      </c>
      <c r="I115" s="543">
        <v>37155</v>
      </c>
      <c r="J115" s="543">
        <v>30326</v>
      </c>
      <c r="K115" s="543">
        <v>28072</v>
      </c>
      <c r="L115" s="543">
        <v>24157</v>
      </c>
      <c r="M115" s="543">
        <v>22342</v>
      </c>
      <c r="N115" s="543">
        <v>24107</v>
      </c>
      <c r="O115" s="543">
        <v>24687</v>
      </c>
      <c r="P115" s="543">
        <v>23748</v>
      </c>
      <c r="Q115" s="543">
        <v>27552</v>
      </c>
      <c r="R115" s="543">
        <v>30430</v>
      </c>
      <c r="S115" s="543">
        <v>29704</v>
      </c>
      <c r="T115" s="543">
        <v>30592</v>
      </c>
      <c r="U115" s="543">
        <v>31598</v>
      </c>
      <c r="V115" s="543">
        <v>35071</v>
      </c>
      <c r="W115" s="543">
        <v>38467</v>
      </c>
      <c r="X115" s="543">
        <v>39876</v>
      </c>
      <c r="Y115" s="543">
        <v>40029</v>
      </c>
      <c r="Z115" s="543">
        <v>41901</v>
      </c>
      <c r="AA115" s="543">
        <v>40590</v>
      </c>
      <c r="AB115" s="543">
        <v>43303</v>
      </c>
      <c r="AC115" s="543">
        <v>43217</v>
      </c>
      <c r="AD115" s="543" t="s">
        <v>2620</v>
      </c>
      <c r="AE115" s="543" t="s">
        <v>2620</v>
      </c>
      <c r="AF115" s="543" t="s">
        <v>2620</v>
      </c>
    </row>
    <row r="116" spans="1:32">
      <c r="A116" s="533">
        <v>103</v>
      </c>
      <c r="B116" s="534" t="s">
        <v>1208</v>
      </c>
      <c r="C116" s="535" t="s">
        <v>1590</v>
      </c>
      <c r="D116" s="12" t="s">
        <v>1515</v>
      </c>
      <c r="E116" s="13">
        <v>6</v>
      </c>
      <c r="F116" s="14" t="s">
        <v>2682</v>
      </c>
      <c r="G116" s="543">
        <v>550091</v>
      </c>
      <c r="H116" s="543">
        <v>585364</v>
      </c>
      <c r="I116" s="543">
        <v>617692</v>
      </c>
      <c r="J116" s="543">
        <v>626202</v>
      </c>
      <c r="K116" s="543">
        <v>666690</v>
      </c>
      <c r="L116" s="543">
        <v>740719</v>
      </c>
      <c r="M116" s="543">
        <v>795725</v>
      </c>
      <c r="N116" s="543">
        <v>816688</v>
      </c>
      <c r="O116" s="543">
        <v>833903</v>
      </c>
      <c r="P116" s="543">
        <v>861695</v>
      </c>
      <c r="Q116" s="543">
        <v>893276</v>
      </c>
      <c r="R116" s="543">
        <v>937352</v>
      </c>
      <c r="S116" s="543">
        <v>1022751</v>
      </c>
      <c r="T116" s="543">
        <v>1078654</v>
      </c>
      <c r="U116" s="543">
        <v>1076034</v>
      </c>
      <c r="V116" s="543">
        <v>1113470</v>
      </c>
      <c r="W116" s="543">
        <v>1190889</v>
      </c>
      <c r="X116" s="543">
        <v>1238565</v>
      </c>
      <c r="Y116" s="543">
        <v>1273673</v>
      </c>
      <c r="Z116" s="543">
        <v>1323464</v>
      </c>
      <c r="AA116" s="543">
        <v>1383772</v>
      </c>
      <c r="AB116" s="543">
        <v>1449177</v>
      </c>
      <c r="AC116" s="543">
        <v>1514765</v>
      </c>
      <c r="AD116" s="543" t="s">
        <v>2620</v>
      </c>
      <c r="AE116" s="543" t="s">
        <v>2620</v>
      </c>
      <c r="AF116" s="543" t="s">
        <v>2620</v>
      </c>
    </row>
    <row r="117" spans="1:32">
      <c r="A117" s="533"/>
      <c r="B117" s="534" t="s">
        <v>1520</v>
      </c>
      <c r="C117" s="535" t="s">
        <v>1523</v>
      </c>
      <c r="D117" s="12" t="s">
        <v>1515</v>
      </c>
      <c r="E117" s="13">
        <v>10</v>
      </c>
      <c r="F117" s="14" t="s">
        <v>2683</v>
      </c>
      <c r="G117" s="543">
        <v>637897</v>
      </c>
      <c r="H117" s="543">
        <v>615685</v>
      </c>
      <c r="I117" s="543">
        <v>535971</v>
      </c>
      <c r="J117" s="543">
        <v>548177</v>
      </c>
      <c r="K117" s="543">
        <v>563292</v>
      </c>
      <c r="L117" s="543">
        <v>758454</v>
      </c>
      <c r="M117" s="543">
        <v>711909</v>
      </c>
      <c r="N117" s="543">
        <v>652302</v>
      </c>
      <c r="O117" s="543">
        <v>703609</v>
      </c>
      <c r="P117" s="543">
        <v>628260</v>
      </c>
      <c r="Q117" s="543">
        <v>770490</v>
      </c>
      <c r="R117" s="543">
        <v>884701</v>
      </c>
      <c r="S117" s="543">
        <v>1300513</v>
      </c>
      <c r="T117" s="543">
        <v>1247966</v>
      </c>
      <c r="U117" s="543">
        <v>862793</v>
      </c>
      <c r="V117" s="543">
        <v>840723</v>
      </c>
      <c r="W117" s="543">
        <v>1010012</v>
      </c>
      <c r="X117" s="543">
        <v>1023375</v>
      </c>
      <c r="Y117" s="543">
        <v>957578</v>
      </c>
      <c r="Z117" s="543">
        <v>1011399</v>
      </c>
      <c r="AA117" s="543">
        <v>1084562</v>
      </c>
      <c r="AB117" s="543">
        <v>1060824</v>
      </c>
      <c r="AC117" s="543">
        <v>1109917</v>
      </c>
      <c r="AD117" s="543" t="s">
        <v>2620</v>
      </c>
      <c r="AE117" s="543" t="s">
        <v>2620</v>
      </c>
      <c r="AF117" s="543" t="s">
        <v>2620</v>
      </c>
    </row>
    <row r="118" spans="1:32">
      <c r="A118" s="533"/>
      <c r="B118" s="534" t="s">
        <v>1521</v>
      </c>
      <c r="C118" s="535" t="s">
        <v>411</v>
      </c>
      <c r="D118" s="12" t="s">
        <v>1515</v>
      </c>
      <c r="E118" s="13">
        <v>11</v>
      </c>
      <c r="F118" s="14" t="s">
        <v>2684</v>
      </c>
      <c r="G118" s="543">
        <v>705466</v>
      </c>
      <c r="H118" s="543">
        <v>685057</v>
      </c>
      <c r="I118" s="543">
        <v>591938</v>
      </c>
      <c r="J118" s="543">
        <v>605421</v>
      </c>
      <c r="K118" s="543">
        <v>614829</v>
      </c>
      <c r="L118" s="543">
        <v>838711</v>
      </c>
      <c r="M118" s="543">
        <v>784879</v>
      </c>
      <c r="N118" s="543">
        <v>696637</v>
      </c>
      <c r="O118" s="543">
        <v>720458</v>
      </c>
      <c r="P118" s="543">
        <v>684351</v>
      </c>
      <c r="Q118" s="543">
        <v>829530</v>
      </c>
      <c r="R118" s="543">
        <v>942028</v>
      </c>
      <c r="S118" s="543">
        <v>1363132</v>
      </c>
      <c r="T118" s="543">
        <v>1328680</v>
      </c>
      <c r="U118" s="543">
        <v>970708</v>
      </c>
      <c r="V118" s="543">
        <v>985378</v>
      </c>
      <c r="W118" s="543">
        <v>1177628</v>
      </c>
      <c r="X118" s="543">
        <v>1189766</v>
      </c>
      <c r="Y118" s="543">
        <v>1133866</v>
      </c>
      <c r="Z118" s="543">
        <v>1232871</v>
      </c>
      <c r="AA118" s="543">
        <v>1349907</v>
      </c>
      <c r="AB118" s="543">
        <v>1378009</v>
      </c>
      <c r="AC118" s="543">
        <v>1397385</v>
      </c>
      <c r="AD118" s="543" t="s">
        <v>2620</v>
      </c>
      <c r="AE118" s="543" t="s">
        <v>2620</v>
      </c>
      <c r="AF118" s="543" t="s">
        <v>2620</v>
      </c>
    </row>
    <row r="119" spans="1:32" s="540" customFormat="1">
      <c r="A119" s="536">
        <v>105</v>
      </c>
      <c r="B119" s="537" t="s">
        <v>1212</v>
      </c>
      <c r="C119" s="538" t="s">
        <v>1303</v>
      </c>
      <c r="D119" s="528"/>
      <c r="E119" s="529"/>
      <c r="F119" s="539"/>
      <c r="G119" s="544">
        <f>+G117-G118</f>
        <v>-67569</v>
      </c>
      <c r="H119" s="544">
        <f t="shared" ref="H119:AF119" si="1">+H117-H118</f>
        <v>-69372</v>
      </c>
      <c r="I119" s="544">
        <f t="shared" si="1"/>
        <v>-55967</v>
      </c>
      <c r="J119" s="544">
        <f t="shared" si="1"/>
        <v>-57244</v>
      </c>
      <c r="K119" s="544">
        <f t="shared" si="1"/>
        <v>-51537</v>
      </c>
      <c r="L119" s="544">
        <f t="shared" si="1"/>
        <v>-80257</v>
      </c>
      <c r="M119" s="544">
        <f t="shared" si="1"/>
        <v>-72970</v>
      </c>
      <c r="N119" s="544">
        <f t="shared" si="1"/>
        <v>-44335</v>
      </c>
      <c r="O119" s="544">
        <f t="shared" si="1"/>
        <v>-16849</v>
      </c>
      <c r="P119" s="544">
        <f t="shared" si="1"/>
        <v>-56091</v>
      </c>
      <c r="Q119" s="544">
        <f t="shared" si="1"/>
        <v>-59040</v>
      </c>
      <c r="R119" s="544">
        <f t="shared" si="1"/>
        <v>-57327</v>
      </c>
      <c r="S119" s="544">
        <f t="shared" si="1"/>
        <v>-62619</v>
      </c>
      <c r="T119" s="544">
        <f t="shared" si="1"/>
        <v>-80714</v>
      </c>
      <c r="U119" s="544">
        <f t="shared" si="1"/>
        <v>-107915</v>
      </c>
      <c r="V119" s="544">
        <f t="shared" si="1"/>
        <v>-144655</v>
      </c>
      <c r="W119" s="544">
        <f t="shared" si="1"/>
        <v>-167616</v>
      </c>
      <c r="X119" s="544">
        <f t="shared" si="1"/>
        <v>-166391</v>
      </c>
      <c r="Y119" s="544">
        <f t="shared" si="1"/>
        <v>-176288</v>
      </c>
      <c r="Z119" s="544">
        <f t="shared" si="1"/>
        <v>-221472</v>
      </c>
      <c r="AA119" s="544">
        <f t="shared" si="1"/>
        <v>-265345</v>
      </c>
      <c r="AB119" s="544">
        <f t="shared" si="1"/>
        <v>-317185</v>
      </c>
      <c r="AC119" s="544">
        <f t="shared" si="1"/>
        <v>-287468</v>
      </c>
      <c r="AD119" s="544" t="e">
        <f t="shared" si="1"/>
        <v>#VALUE!</v>
      </c>
      <c r="AE119" s="544" t="e">
        <f t="shared" si="1"/>
        <v>#VALUE!</v>
      </c>
      <c r="AF119" s="544" t="e">
        <f t="shared" si="1"/>
        <v>#VALUE!</v>
      </c>
    </row>
    <row r="120" spans="1:32">
      <c r="A120" s="533"/>
      <c r="B120" s="534"/>
      <c r="C120" s="535"/>
      <c r="D120" s="12"/>
      <c r="E120" s="13"/>
      <c r="F120" s="14"/>
      <c r="G120" s="543"/>
      <c r="H120" s="543"/>
      <c r="I120" s="543"/>
      <c r="J120" s="543"/>
      <c r="K120" s="543"/>
      <c r="L120" s="543"/>
      <c r="M120" s="543"/>
      <c r="N120" s="543"/>
      <c r="O120" s="543"/>
      <c r="P120" s="543"/>
      <c r="Q120" s="543"/>
      <c r="R120" s="543"/>
      <c r="S120" s="543"/>
      <c r="T120" s="543"/>
      <c r="U120" s="543"/>
      <c r="V120" s="543"/>
      <c r="W120" s="543"/>
      <c r="X120" s="543"/>
      <c r="Y120" s="543"/>
      <c r="Z120" s="543"/>
      <c r="AA120" s="543"/>
      <c r="AB120" s="543"/>
      <c r="AC120" s="543"/>
      <c r="AD120" s="543"/>
      <c r="AE120" s="543"/>
      <c r="AF120" s="543"/>
    </row>
    <row r="121" spans="1:32">
      <c r="A121" s="533">
        <v>107</v>
      </c>
      <c r="B121" s="534" t="s">
        <v>1241</v>
      </c>
      <c r="C121" s="535" t="s">
        <v>1513</v>
      </c>
      <c r="D121" s="12" t="s">
        <v>1515</v>
      </c>
      <c r="E121" s="13">
        <v>16</v>
      </c>
      <c r="F121" s="14" t="s">
        <v>2685</v>
      </c>
      <c r="G121" s="543">
        <v>46326</v>
      </c>
      <c r="H121" s="543">
        <v>46036</v>
      </c>
      <c r="I121" s="543">
        <v>53538</v>
      </c>
      <c r="J121" s="543">
        <v>49536</v>
      </c>
      <c r="K121" s="543">
        <v>62483</v>
      </c>
      <c r="L121" s="543">
        <v>81980</v>
      </c>
      <c r="M121" s="543">
        <v>58795</v>
      </c>
      <c r="N121" s="543">
        <v>47158</v>
      </c>
      <c r="O121" s="543">
        <v>55013</v>
      </c>
      <c r="P121" s="543">
        <v>78112</v>
      </c>
      <c r="Q121" s="543">
        <v>99003</v>
      </c>
      <c r="R121" s="543">
        <v>107089</v>
      </c>
      <c r="S121" s="543">
        <v>117184</v>
      </c>
      <c r="T121" s="543">
        <v>89872</v>
      </c>
      <c r="U121" s="543">
        <v>89898</v>
      </c>
      <c r="V121" s="543">
        <v>113101</v>
      </c>
      <c r="W121" s="543">
        <v>109571</v>
      </c>
      <c r="X121" s="543">
        <v>93506</v>
      </c>
      <c r="Y121" s="543">
        <v>99924</v>
      </c>
      <c r="Z121" s="543">
        <v>102122</v>
      </c>
      <c r="AA121" s="543">
        <v>122020</v>
      </c>
      <c r="AB121" s="543">
        <v>123566</v>
      </c>
      <c r="AC121" s="543">
        <v>132320</v>
      </c>
      <c r="AD121" s="543" t="s">
        <v>2620</v>
      </c>
      <c r="AE121" s="543" t="s">
        <v>2620</v>
      </c>
      <c r="AF121" s="543" t="s">
        <v>2620</v>
      </c>
    </row>
    <row r="122" spans="1:32">
      <c r="A122" s="533"/>
      <c r="B122" s="534" t="s">
        <v>741</v>
      </c>
      <c r="C122" s="535" t="s">
        <v>1052</v>
      </c>
      <c r="D122" s="12" t="s">
        <v>1515</v>
      </c>
      <c r="E122" s="13">
        <v>14</v>
      </c>
      <c r="F122" s="14" t="s">
        <v>2686</v>
      </c>
      <c r="G122" s="543">
        <v>80711</v>
      </c>
      <c r="H122" s="543">
        <v>82444</v>
      </c>
      <c r="I122" s="543">
        <v>88131</v>
      </c>
      <c r="J122" s="543">
        <v>95128</v>
      </c>
      <c r="K122" s="543">
        <v>103747</v>
      </c>
      <c r="L122" s="543">
        <v>125321</v>
      </c>
      <c r="M122" s="543">
        <v>129495</v>
      </c>
      <c r="N122" s="543">
        <v>130235</v>
      </c>
      <c r="O122" s="543">
        <v>138891</v>
      </c>
      <c r="P122" s="543">
        <v>143647</v>
      </c>
      <c r="Q122" s="543">
        <v>147523</v>
      </c>
      <c r="R122" s="543">
        <v>159156</v>
      </c>
      <c r="S122" s="543">
        <v>185034</v>
      </c>
      <c r="T122" s="543">
        <v>199685</v>
      </c>
      <c r="U122" s="543">
        <v>171797</v>
      </c>
      <c r="V122" s="543">
        <v>218966</v>
      </c>
      <c r="W122" s="543">
        <v>227862</v>
      </c>
      <c r="X122" s="543">
        <v>225063</v>
      </c>
      <c r="Y122" s="543">
        <v>240676</v>
      </c>
      <c r="Z122" s="543">
        <v>273630</v>
      </c>
      <c r="AA122" s="543">
        <v>265036</v>
      </c>
      <c r="AB122" s="543">
        <v>283800</v>
      </c>
      <c r="AC122" s="543">
        <v>278366</v>
      </c>
      <c r="AD122" s="543" t="s">
        <v>2620</v>
      </c>
      <c r="AE122" s="543" t="s">
        <v>2620</v>
      </c>
      <c r="AF122" s="543" t="s">
        <v>2620</v>
      </c>
    </row>
    <row r="123" spans="1:32">
      <c r="A123" s="533"/>
      <c r="B123" s="534" t="s">
        <v>742</v>
      </c>
      <c r="C123" s="535" t="s">
        <v>1053</v>
      </c>
      <c r="D123" s="12" t="s">
        <v>1515</v>
      </c>
      <c r="E123" s="13">
        <v>17</v>
      </c>
      <c r="F123" s="14" t="s">
        <v>2687</v>
      </c>
      <c r="G123" s="543">
        <v>28404</v>
      </c>
      <c r="H123" s="543">
        <v>27810</v>
      </c>
      <c r="I123" s="543">
        <v>31445</v>
      </c>
      <c r="J123" s="543">
        <v>30323</v>
      </c>
      <c r="K123" s="543">
        <v>31167</v>
      </c>
      <c r="L123" s="543">
        <v>31995</v>
      </c>
      <c r="M123" s="543">
        <v>33801</v>
      </c>
      <c r="N123" s="543">
        <v>39265</v>
      </c>
      <c r="O123" s="543">
        <v>40702</v>
      </c>
      <c r="P123" s="543">
        <v>42103</v>
      </c>
      <c r="Q123" s="543">
        <v>49561</v>
      </c>
      <c r="R123" s="543">
        <v>51845</v>
      </c>
      <c r="S123" s="543">
        <v>55983</v>
      </c>
      <c r="T123" s="543">
        <v>69492</v>
      </c>
      <c r="U123" s="543">
        <v>74902</v>
      </c>
      <c r="V123" s="543">
        <v>79321</v>
      </c>
      <c r="W123" s="543">
        <v>92878</v>
      </c>
      <c r="X123" s="543">
        <v>94955</v>
      </c>
      <c r="Y123" s="543">
        <v>103650</v>
      </c>
      <c r="Z123" s="543">
        <v>108697</v>
      </c>
      <c r="AA123" s="543">
        <v>117974</v>
      </c>
      <c r="AB123" s="543">
        <v>121541</v>
      </c>
      <c r="AC123" s="543">
        <v>129874</v>
      </c>
      <c r="AD123" s="543" t="s">
        <v>2620</v>
      </c>
      <c r="AE123" s="543" t="s">
        <v>2620</v>
      </c>
      <c r="AF123" s="543" t="s">
        <v>2620</v>
      </c>
    </row>
    <row r="124" spans="1:32">
      <c r="A124" s="533"/>
      <c r="B124" s="534" t="s">
        <v>739</v>
      </c>
      <c r="C124" s="535" t="s">
        <v>1591</v>
      </c>
      <c r="D124" s="12" t="s">
        <v>1515</v>
      </c>
      <c r="E124" s="13">
        <v>15</v>
      </c>
      <c r="F124" s="14" t="s">
        <v>2688</v>
      </c>
      <c r="G124" s="543">
        <v>77447</v>
      </c>
      <c r="H124" s="543">
        <v>79944</v>
      </c>
      <c r="I124" s="543">
        <v>72351</v>
      </c>
      <c r="J124" s="543">
        <v>71884</v>
      </c>
      <c r="K124" s="543">
        <v>77661</v>
      </c>
      <c r="L124" s="543">
        <v>88879</v>
      </c>
      <c r="M124" s="543">
        <v>87590</v>
      </c>
      <c r="N124" s="543">
        <v>89098</v>
      </c>
      <c r="O124" s="543">
        <v>70972</v>
      </c>
      <c r="P124" s="543">
        <v>77784</v>
      </c>
      <c r="Q124" s="543">
        <v>79252</v>
      </c>
      <c r="R124" s="543">
        <v>84220</v>
      </c>
      <c r="S124" s="543">
        <v>82070</v>
      </c>
      <c r="T124" s="543">
        <v>75296</v>
      </c>
      <c r="U124" s="543">
        <v>81533</v>
      </c>
      <c r="V124" s="543">
        <v>76002</v>
      </c>
      <c r="W124" s="543">
        <v>80510</v>
      </c>
      <c r="X124" s="543">
        <v>69854</v>
      </c>
      <c r="Y124" s="543">
        <v>75548</v>
      </c>
      <c r="Z124" s="543">
        <v>77939</v>
      </c>
      <c r="AA124" s="543">
        <v>74897</v>
      </c>
      <c r="AB124" s="543">
        <v>70490</v>
      </c>
      <c r="AC124" s="543">
        <v>81121</v>
      </c>
      <c r="AD124" s="543" t="s">
        <v>2620</v>
      </c>
      <c r="AE124" s="543" t="s">
        <v>2620</v>
      </c>
      <c r="AF124" s="543" t="s">
        <v>2620</v>
      </c>
    </row>
    <row r="125" spans="1:32">
      <c r="A125" s="533"/>
      <c r="B125" s="534" t="s">
        <v>740</v>
      </c>
      <c r="C125" s="535" t="s">
        <v>1051</v>
      </c>
      <c r="D125" s="12" t="s">
        <v>1515</v>
      </c>
      <c r="E125" s="13">
        <v>18</v>
      </c>
      <c r="F125" s="14" t="s">
        <v>2689</v>
      </c>
      <c r="G125" s="543">
        <v>90004</v>
      </c>
      <c r="H125" s="543">
        <v>91202</v>
      </c>
      <c r="I125" s="543">
        <v>91411</v>
      </c>
      <c r="J125" s="543">
        <v>83803</v>
      </c>
      <c r="K125" s="543">
        <v>99588</v>
      </c>
      <c r="L125" s="543">
        <v>106987</v>
      </c>
      <c r="M125" s="543">
        <v>114763</v>
      </c>
      <c r="N125" s="543">
        <v>103261</v>
      </c>
      <c r="O125" s="543">
        <v>87086</v>
      </c>
      <c r="P125" s="543">
        <v>93610</v>
      </c>
      <c r="Q125" s="543">
        <v>92814</v>
      </c>
      <c r="R125" s="543">
        <v>99849</v>
      </c>
      <c r="S125" s="543">
        <v>97953</v>
      </c>
      <c r="T125" s="543">
        <v>94199</v>
      </c>
      <c r="U125" s="543">
        <v>98557</v>
      </c>
      <c r="V125" s="543">
        <v>96384</v>
      </c>
      <c r="W125" s="543">
        <v>109403</v>
      </c>
      <c r="X125" s="543">
        <v>100727</v>
      </c>
      <c r="Y125" s="543">
        <v>104823</v>
      </c>
      <c r="Z125" s="543">
        <v>112906</v>
      </c>
      <c r="AA125" s="543">
        <v>110329</v>
      </c>
      <c r="AB125" s="543">
        <v>113286</v>
      </c>
      <c r="AC125" s="543">
        <v>127219</v>
      </c>
      <c r="AD125" s="543" t="s">
        <v>2620</v>
      </c>
      <c r="AE125" s="543" t="s">
        <v>2620</v>
      </c>
      <c r="AF125" s="543" t="s">
        <v>2620</v>
      </c>
    </row>
    <row r="126" spans="1:32">
      <c r="A126" s="533"/>
      <c r="B126" s="534"/>
      <c r="C126" s="535"/>
      <c r="D126" s="12"/>
      <c r="E126" s="13"/>
      <c r="F126" s="14"/>
      <c r="G126" s="543"/>
      <c r="H126" s="543"/>
      <c r="I126" s="543"/>
      <c r="J126" s="543"/>
      <c r="K126" s="543"/>
      <c r="L126" s="543"/>
      <c r="M126" s="543"/>
      <c r="N126" s="543"/>
      <c r="O126" s="543"/>
      <c r="P126" s="543"/>
      <c r="Q126" s="543"/>
      <c r="R126" s="543"/>
      <c r="S126" s="543"/>
      <c r="T126" s="543"/>
      <c r="U126" s="543"/>
      <c r="V126" s="543"/>
      <c r="W126" s="543"/>
      <c r="X126" s="543"/>
      <c r="Y126" s="543"/>
      <c r="Z126" s="543"/>
      <c r="AA126" s="543"/>
      <c r="AB126" s="543"/>
      <c r="AC126" s="543"/>
      <c r="AD126" s="543"/>
      <c r="AE126" s="543"/>
      <c r="AF126" s="543"/>
    </row>
    <row r="127" spans="1:32">
      <c r="A127" s="533"/>
      <c r="B127" s="534" t="s">
        <v>1842</v>
      </c>
      <c r="C127" s="535" t="s">
        <v>370</v>
      </c>
      <c r="D127" s="12" t="s">
        <v>1515</v>
      </c>
      <c r="E127" s="13">
        <v>20</v>
      </c>
      <c r="F127" s="14" t="s">
        <v>2690</v>
      </c>
      <c r="G127" s="543">
        <v>52307</v>
      </c>
      <c r="H127" s="543">
        <v>54634</v>
      </c>
      <c r="I127" s="543">
        <v>56686</v>
      </c>
      <c r="J127" s="543">
        <v>64805</v>
      </c>
      <c r="K127" s="543">
        <v>72580</v>
      </c>
      <c r="L127" s="543">
        <v>93326</v>
      </c>
      <c r="M127" s="543">
        <v>95694</v>
      </c>
      <c r="N127" s="543">
        <v>90970</v>
      </c>
      <c r="O127" s="543">
        <v>98189</v>
      </c>
      <c r="P127" s="543">
        <v>101544</v>
      </c>
      <c r="Q127" s="543">
        <v>97962</v>
      </c>
      <c r="R127" s="543">
        <v>107311</v>
      </c>
      <c r="S127" s="543">
        <v>129051</v>
      </c>
      <c r="T127" s="543">
        <v>130193</v>
      </c>
      <c r="U127" s="543">
        <v>96895</v>
      </c>
      <c r="V127" s="543">
        <v>139645</v>
      </c>
      <c r="W127" s="543">
        <v>134984</v>
      </c>
      <c r="X127" s="543">
        <v>130108</v>
      </c>
      <c r="Y127" s="543">
        <v>137026</v>
      </c>
      <c r="Z127" s="543">
        <v>164933</v>
      </c>
      <c r="AA127" s="543">
        <v>147062</v>
      </c>
      <c r="AB127" s="543">
        <v>162259</v>
      </c>
      <c r="AC127" s="543">
        <v>148494</v>
      </c>
      <c r="AD127" s="543" t="s">
        <v>2620</v>
      </c>
      <c r="AE127" s="543" t="s">
        <v>2620</v>
      </c>
      <c r="AF127" s="543" t="s">
        <v>2620</v>
      </c>
    </row>
    <row r="128" spans="1:32">
      <c r="A128" s="533"/>
      <c r="B128" s="534" t="s">
        <v>1516</v>
      </c>
      <c r="C128" s="535" t="s">
        <v>1514</v>
      </c>
      <c r="D128" s="12" t="s">
        <v>1515</v>
      </c>
      <c r="E128" s="13">
        <v>22</v>
      </c>
      <c r="F128" s="14" t="s">
        <v>2691</v>
      </c>
      <c r="G128" s="543">
        <v>8141</v>
      </c>
      <c r="H128" s="543">
        <v>6983</v>
      </c>
      <c r="I128" s="543">
        <v>6982</v>
      </c>
      <c r="J128" s="543">
        <v>4510</v>
      </c>
      <c r="K128" s="543">
        <v>7526</v>
      </c>
      <c r="L128" s="543">
        <v>24324</v>
      </c>
      <c r="M128" s="543">
        <v>25604</v>
      </c>
      <c r="N128" s="543">
        <v>16991</v>
      </c>
      <c r="O128" s="543">
        <v>12309</v>
      </c>
      <c r="P128" s="543">
        <v>5907</v>
      </c>
      <c r="Q128" s="543">
        <v>9756</v>
      </c>
      <c r="R128" s="543">
        <v>3635</v>
      </c>
      <c r="S128" s="543">
        <v>4031</v>
      </c>
      <c r="T128" s="543">
        <v>5314</v>
      </c>
      <c r="U128" s="543">
        <v>3596</v>
      </c>
      <c r="V128" s="543">
        <v>3499</v>
      </c>
      <c r="W128" s="543">
        <v>5455</v>
      </c>
      <c r="X128" s="543">
        <v>11312</v>
      </c>
      <c r="Y128" s="543">
        <v>4089</v>
      </c>
      <c r="Z128" s="543">
        <v>12164</v>
      </c>
      <c r="AA128" s="543">
        <v>7825</v>
      </c>
      <c r="AB128" s="543">
        <v>12250</v>
      </c>
      <c r="AC128" s="543">
        <v>9004</v>
      </c>
      <c r="AD128" s="543" t="s">
        <v>2620</v>
      </c>
      <c r="AE128" s="543" t="s">
        <v>2620</v>
      </c>
      <c r="AF128" s="543" t="s">
        <v>2620</v>
      </c>
    </row>
    <row r="129" spans="1:32">
      <c r="A129" s="533"/>
      <c r="B129" s="534" t="s">
        <v>143</v>
      </c>
      <c r="C129" s="535" t="s">
        <v>1517</v>
      </c>
      <c r="D129" s="12" t="s">
        <v>1515</v>
      </c>
      <c r="E129" s="13">
        <v>23</v>
      </c>
      <c r="F129" s="14" t="s">
        <v>2692</v>
      </c>
      <c r="G129" s="543">
        <v>1934</v>
      </c>
      <c r="H129" s="543">
        <v>6363</v>
      </c>
      <c r="I129" s="543">
        <v>4150</v>
      </c>
      <c r="J129" s="543">
        <v>573</v>
      </c>
      <c r="K129" s="543">
        <v>155</v>
      </c>
      <c r="L129" s="543">
        <v>20411</v>
      </c>
      <c r="M129" s="543">
        <v>23210</v>
      </c>
      <c r="N129" s="543">
        <v>15360</v>
      </c>
      <c r="O129" s="543">
        <v>7055</v>
      </c>
      <c r="P129" s="543">
        <v>2790</v>
      </c>
      <c r="Q129" s="543">
        <v>1724</v>
      </c>
      <c r="R129" s="543">
        <v>1118</v>
      </c>
      <c r="S129" s="543">
        <v>1617</v>
      </c>
      <c r="T129" s="543">
        <v>1319</v>
      </c>
      <c r="U129" s="543">
        <v>1846</v>
      </c>
      <c r="V129" s="543">
        <v>1796</v>
      </c>
      <c r="W129" s="543">
        <v>2800</v>
      </c>
      <c r="X129" s="543">
        <v>19614</v>
      </c>
      <c r="Y129" s="543">
        <v>12456</v>
      </c>
      <c r="Z129" s="543">
        <v>10807</v>
      </c>
      <c r="AA129" s="543">
        <v>10514</v>
      </c>
      <c r="AB129" s="543">
        <v>4443</v>
      </c>
      <c r="AC129" s="543">
        <v>5721</v>
      </c>
      <c r="AD129" s="543" t="s">
        <v>2620</v>
      </c>
      <c r="AE129" s="543" t="s">
        <v>2620</v>
      </c>
      <c r="AF129" s="543" t="s">
        <v>2620</v>
      </c>
    </row>
    <row r="130" spans="1:32" s="540" customFormat="1">
      <c r="A130" s="536"/>
      <c r="B130" s="537" t="s">
        <v>1301</v>
      </c>
      <c r="C130" s="538" t="s">
        <v>1302</v>
      </c>
      <c r="D130" s="528"/>
      <c r="E130" s="529"/>
      <c r="F130" s="539"/>
      <c r="G130" s="544">
        <f>+G128-G129</f>
        <v>6207</v>
      </c>
      <c r="H130" s="544">
        <f t="shared" ref="H130:AF130" si="2">+H128-H129</f>
        <v>620</v>
      </c>
      <c r="I130" s="544">
        <f t="shared" si="2"/>
        <v>2832</v>
      </c>
      <c r="J130" s="544">
        <f t="shared" si="2"/>
        <v>3937</v>
      </c>
      <c r="K130" s="544">
        <f t="shared" si="2"/>
        <v>7371</v>
      </c>
      <c r="L130" s="544">
        <f t="shared" si="2"/>
        <v>3913</v>
      </c>
      <c r="M130" s="544">
        <f t="shared" si="2"/>
        <v>2394</v>
      </c>
      <c r="N130" s="544">
        <f t="shared" si="2"/>
        <v>1631</v>
      </c>
      <c r="O130" s="544">
        <f t="shared" si="2"/>
        <v>5254</v>
      </c>
      <c r="P130" s="544">
        <f t="shared" si="2"/>
        <v>3117</v>
      </c>
      <c r="Q130" s="544">
        <f t="shared" si="2"/>
        <v>8032</v>
      </c>
      <c r="R130" s="544">
        <f t="shared" si="2"/>
        <v>2517</v>
      </c>
      <c r="S130" s="544">
        <f t="shared" si="2"/>
        <v>2414</v>
      </c>
      <c r="T130" s="544">
        <f t="shared" si="2"/>
        <v>3995</v>
      </c>
      <c r="U130" s="544">
        <f t="shared" si="2"/>
        <v>1750</v>
      </c>
      <c r="V130" s="544">
        <f t="shared" si="2"/>
        <v>1703</v>
      </c>
      <c r="W130" s="544">
        <f t="shared" si="2"/>
        <v>2655</v>
      </c>
      <c r="X130" s="544">
        <f t="shared" si="2"/>
        <v>-8302</v>
      </c>
      <c r="Y130" s="544">
        <f t="shared" si="2"/>
        <v>-8367</v>
      </c>
      <c r="Z130" s="544">
        <f t="shared" si="2"/>
        <v>1357</v>
      </c>
      <c r="AA130" s="544">
        <f t="shared" si="2"/>
        <v>-2689</v>
      </c>
      <c r="AB130" s="544">
        <f t="shared" si="2"/>
        <v>7807</v>
      </c>
      <c r="AC130" s="544">
        <f t="shared" si="2"/>
        <v>3283</v>
      </c>
      <c r="AD130" s="544" t="e">
        <f t="shared" si="2"/>
        <v>#VALUE!</v>
      </c>
      <c r="AE130" s="544" t="e">
        <f t="shared" si="2"/>
        <v>#VALUE!</v>
      </c>
      <c r="AF130" s="544" t="e">
        <f t="shared" si="2"/>
        <v>#VALUE!</v>
      </c>
    </row>
    <row r="131" spans="1:32">
      <c r="A131" s="533"/>
      <c r="B131" s="534"/>
      <c r="C131" s="535"/>
      <c r="D131" s="12"/>
      <c r="E131" s="13"/>
      <c r="F131" s="14"/>
      <c r="G131" s="543"/>
      <c r="H131" s="543"/>
      <c r="I131" s="543"/>
      <c r="J131" s="543"/>
      <c r="K131" s="543"/>
      <c r="L131" s="543"/>
      <c r="M131" s="543"/>
      <c r="N131" s="543"/>
      <c r="O131" s="543"/>
      <c r="P131" s="543"/>
      <c r="Q131" s="543"/>
      <c r="R131" s="543"/>
      <c r="S131" s="543"/>
      <c r="T131" s="543"/>
      <c r="U131" s="543"/>
      <c r="V131" s="543"/>
      <c r="W131" s="543"/>
      <c r="X131" s="543"/>
      <c r="Y131" s="543"/>
      <c r="Z131" s="543"/>
      <c r="AA131" s="543"/>
      <c r="AB131" s="543"/>
      <c r="AC131" s="543"/>
      <c r="AD131" s="543"/>
      <c r="AE131" s="543"/>
      <c r="AF131" s="543"/>
    </row>
    <row r="132" spans="1:32">
      <c r="A132" s="533"/>
      <c r="B132" s="534" t="s">
        <v>743</v>
      </c>
      <c r="C132" s="535" t="s">
        <v>1518</v>
      </c>
      <c r="D132" s="12" t="s">
        <v>1515</v>
      </c>
      <c r="E132" s="13">
        <v>28</v>
      </c>
      <c r="F132" s="14" t="s">
        <v>2693</v>
      </c>
      <c r="G132" s="543">
        <v>16</v>
      </c>
      <c r="H132" s="543">
        <v>8223</v>
      </c>
      <c r="I132" s="543">
        <v>-2660</v>
      </c>
      <c r="J132" s="543">
        <v>17066</v>
      </c>
      <c r="K132" s="543">
        <v>27065</v>
      </c>
      <c r="L132" s="543">
        <v>5763</v>
      </c>
      <c r="M132" s="543">
        <v>1810</v>
      </c>
      <c r="N132" s="543">
        <v>-215</v>
      </c>
      <c r="O132" s="543">
        <v>430</v>
      </c>
      <c r="P132" s="543">
        <v>1439</v>
      </c>
      <c r="Q132" s="543">
        <v>2499</v>
      </c>
      <c r="R132" s="543">
        <v>16306</v>
      </c>
      <c r="S132" s="543">
        <v>-330</v>
      </c>
      <c r="T132" s="543">
        <v>2607</v>
      </c>
      <c r="U132" s="543">
        <v>2884</v>
      </c>
      <c r="V132" s="543">
        <v>2872</v>
      </c>
      <c r="W132" s="543">
        <v>-2720</v>
      </c>
      <c r="X132" s="543">
        <v>48</v>
      </c>
      <c r="Y132" s="543">
        <v>2654</v>
      </c>
      <c r="Z132" s="543">
        <v>-612</v>
      </c>
      <c r="AA132" s="543">
        <v>-1281</v>
      </c>
      <c r="AB132" s="543">
        <v>345</v>
      </c>
      <c r="AC132" s="543">
        <v>-188</v>
      </c>
      <c r="AD132" s="543" t="s">
        <v>2620</v>
      </c>
      <c r="AE132" s="543" t="s">
        <v>2620</v>
      </c>
      <c r="AF132" s="543" t="s">
        <v>2620</v>
      </c>
    </row>
    <row r="133" spans="1:32">
      <c r="A133" s="533"/>
      <c r="B133" s="534" t="s">
        <v>744</v>
      </c>
      <c r="C133" s="535" t="s">
        <v>1519</v>
      </c>
      <c r="D133" s="12" t="s">
        <v>1515</v>
      </c>
      <c r="E133" s="13">
        <v>25</v>
      </c>
      <c r="F133" s="14" t="s">
        <v>2694</v>
      </c>
      <c r="G133" s="543">
        <v>243673</v>
      </c>
      <c r="H133" s="543">
        <v>262856</v>
      </c>
      <c r="I133" s="543">
        <v>280278</v>
      </c>
      <c r="J133" s="543">
        <v>309811</v>
      </c>
      <c r="K133" s="543">
        <v>339967</v>
      </c>
      <c r="L133" s="543">
        <v>386094</v>
      </c>
      <c r="M133" s="543">
        <v>405019</v>
      </c>
      <c r="N133" s="543">
        <v>389387</v>
      </c>
      <c r="O133" s="543">
        <v>393785</v>
      </c>
      <c r="P133" s="543">
        <v>416029</v>
      </c>
      <c r="Q133" s="543">
        <v>444451</v>
      </c>
      <c r="R133" s="543">
        <v>493161</v>
      </c>
      <c r="S133" s="543">
        <v>549026</v>
      </c>
      <c r="T133" s="543">
        <v>579860</v>
      </c>
      <c r="U133" s="543">
        <v>497778</v>
      </c>
      <c r="V133" s="543">
        <v>522409</v>
      </c>
      <c r="W133" s="543">
        <v>568491</v>
      </c>
      <c r="X133" s="543">
        <v>580661</v>
      </c>
      <c r="Y133" s="543">
        <v>585903</v>
      </c>
      <c r="Z133" s="543">
        <v>642079</v>
      </c>
      <c r="AA133" s="543">
        <v>690823</v>
      </c>
      <c r="AB133" s="543">
        <v>715671</v>
      </c>
      <c r="AC133" s="543">
        <v>778362</v>
      </c>
      <c r="AD133" s="543" t="s">
        <v>2620</v>
      </c>
      <c r="AE133" s="543" t="s">
        <v>2620</v>
      </c>
      <c r="AF133" s="543" t="s">
        <v>2620</v>
      </c>
    </row>
    <row r="134" spans="1:32">
      <c r="A134" s="533"/>
      <c r="B134" s="534"/>
      <c r="C134" s="535" t="s">
        <v>412</v>
      </c>
      <c r="D134" s="12" t="s">
        <v>1515</v>
      </c>
      <c r="E134" s="13">
        <v>26</v>
      </c>
      <c r="F134" s="14" t="s">
        <v>2695</v>
      </c>
      <c r="G134" s="543">
        <v>20655</v>
      </c>
      <c r="H134" s="543">
        <v>6356</v>
      </c>
      <c r="I134" s="543">
        <v>8056</v>
      </c>
      <c r="J134" s="543">
        <v>12968</v>
      </c>
      <c r="K134" s="543">
        <v>3711</v>
      </c>
      <c r="L134" s="543">
        <v>13296</v>
      </c>
      <c r="M134" s="543">
        <v>4551</v>
      </c>
      <c r="N134" s="543">
        <v>100</v>
      </c>
      <c r="O134" s="543">
        <v>5528</v>
      </c>
      <c r="P134" s="543">
        <v>-3282</v>
      </c>
      <c r="Q134" s="543">
        <v>-3967</v>
      </c>
      <c r="R134" s="543">
        <v>-845</v>
      </c>
      <c r="S134" s="543">
        <v>21675</v>
      </c>
      <c r="T134" s="543">
        <v>3813</v>
      </c>
      <c r="U134" s="543">
        <v>-48816</v>
      </c>
      <c r="V134" s="543">
        <v>19767</v>
      </c>
      <c r="W134" s="543">
        <v>36888</v>
      </c>
      <c r="X134" s="543">
        <v>-5385</v>
      </c>
      <c r="Y134" s="543">
        <v>1492</v>
      </c>
      <c r="Z134" s="543">
        <v>6629</v>
      </c>
      <c r="AA134" s="543">
        <v>21728</v>
      </c>
      <c r="AB134" s="543">
        <v>19678</v>
      </c>
      <c r="AC134" s="543">
        <v>26016</v>
      </c>
      <c r="AD134" s="543" t="s">
        <v>2620</v>
      </c>
      <c r="AE134" s="543" t="s">
        <v>2620</v>
      </c>
      <c r="AF134" s="543" t="s">
        <v>2620</v>
      </c>
    </row>
    <row r="135" spans="1:32">
      <c r="A135" s="533"/>
      <c r="B135" s="534"/>
      <c r="C135" s="535" t="s">
        <v>413</v>
      </c>
      <c r="D135" s="12" t="s">
        <v>1515</v>
      </c>
      <c r="E135" s="13">
        <v>27</v>
      </c>
      <c r="F135" s="14" t="s">
        <v>2696</v>
      </c>
      <c r="G135" s="543">
        <v>0</v>
      </c>
      <c r="H135" s="543">
        <v>0</v>
      </c>
      <c r="I135" s="543">
        <v>0</v>
      </c>
      <c r="J135" s="543">
        <v>0</v>
      </c>
      <c r="K135" s="543">
        <v>0</v>
      </c>
      <c r="L135" s="543">
        <v>0</v>
      </c>
      <c r="M135" s="543">
        <v>0</v>
      </c>
      <c r="N135" s="543">
        <v>0</v>
      </c>
      <c r="O135" s="543">
        <v>0</v>
      </c>
      <c r="P135" s="543">
        <v>0</v>
      </c>
      <c r="Q135" s="543">
        <v>0</v>
      </c>
      <c r="R135" s="543">
        <v>0</v>
      </c>
      <c r="S135" s="543">
        <v>0</v>
      </c>
      <c r="T135" s="543">
        <v>0</v>
      </c>
      <c r="U135" s="543">
        <v>0</v>
      </c>
      <c r="V135" s="543">
        <v>0</v>
      </c>
      <c r="W135" s="543">
        <v>0</v>
      </c>
      <c r="X135" s="543">
        <v>0</v>
      </c>
      <c r="Y135" s="543">
        <v>0</v>
      </c>
      <c r="Z135" s="543">
        <v>0</v>
      </c>
      <c r="AA135" s="543">
        <v>0</v>
      </c>
      <c r="AB135" s="543">
        <v>0</v>
      </c>
      <c r="AC135" s="543">
        <v>0</v>
      </c>
      <c r="AD135" s="543" t="s">
        <v>2620</v>
      </c>
      <c r="AE135" s="543" t="s">
        <v>2620</v>
      </c>
      <c r="AF135" s="543" t="s">
        <v>2620</v>
      </c>
    </row>
    <row r="136" spans="1:32" s="540" customFormat="1">
      <c r="A136" s="536"/>
      <c r="B136" s="537" t="s">
        <v>414</v>
      </c>
      <c r="C136" s="538" t="s">
        <v>1506</v>
      </c>
      <c r="D136" s="528"/>
      <c r="E136" s="529"/>
      <c r="F136" s="539"/>
      <c r="G136" s="544">
        <f>+G134+G135</f>
        <v>20655</v>
      </c>
      <c r="H136" s="544">
        <f t="shared" ref="H136:AF136" si="3">+H134+H135</f>
        <v>6356</v>
      </c>
      <c r="I136" s="544">
        <f t="shared" si="3"/>
        <v>8056</v>
      </c>
      <c r="J136" s="544">
        <f t="shared" si="3"/>
        <v>12968</v>
      </c>
      <c r="K136" s="544">
        <f t="shared" si="3"/>
        <v>3711</v>
      </c>
      <c r="L136" s="544">
        <f t="shared" si="3"/>
        <v>13296</v>
      </c>
      <c r="M136" s="544">
        <f t="shared" si="3"/>
        <v>4551</v>
      </c>
      <c r="N136" s="544">
        <f t="shared" si="3"/>
        <v>100</v>
      </c>
      <c r="O136" s="544">
        <f t="shared" si="3"/>
        <v>5528</v>
      </c>
      <c r="P136" s="544">
        <f t="shared" si="3"/>
        <v>-3282</v>
      </c>
      <c r="Q136" s="544">
        <f t="shared" si="3"/>
        <v>-3967</v>
      </c>
      <c r="R136" s="544">
        <f t="shared" si="3"/>
        <v>-845</v>
      </c>
      <c r="S136" s="544">
        <f t="shared" si="3"/>
        <v>21675</v>
      </c>
      <c r="T136" s="544">
        <f t="shared" si="3"/>
        <v>3813</v>
      </c>
      <c r="U136" s="544">
        <f t="shared" si="3"/>
        <v>-48816</v>
      </c>
      <c r="V136" s="544">
        <f t="shared" si="3"/>
        <v>19767</v>
      </c>
      <c r="W136" s="544">
        <f t="shared" si="3"/>
        <v>36888</v>
      </c>
      <c r="X136" s="544">
        <f t="shared" si="3"/>
        <v>-5385</v>
      </c>
      <c r="Y136" s="544">
        <f t="shared" si="3"/>
        <v>1492</v>
      </c>
      <c r="Z136" s="544">
        <f t="shared" si="3"/>
        <v>6629</v>
      </c>
      <c r="AA136" s="544">
        <f t="shared" si="3"/>
        <v>21728</v>
      </c>
      <c r="AB136" s="544">
        <f t="shared" si="3"/>
        <v>19678</v>
      </c>
      <c r="AC136" s="544">
        <f t="shared" si="3"/>
        <v>26016</v>
      </c>
      <c r="AD136" s="544" t="e">
        <f t="shared" si="3"/>
        <v>#VALUE!</v>
      </c>
      <c r="AE136" s="544" t="e">
        <f t="shared" si="3"/>
        <v>#VALUE!</v>
      </c>
      <c r="AF136" s="544" t="e">
        <f t="shared" si="3"/>
        <v>#VALUE!</v>
      </c>
    </row>
    <row r="137" spans="1:32">
      <c r="A137" s="533"/>
      <c r="B137" s="534"/>
      <c r="C137" s="535"/>
      <c r="D137" s="12"/>
      <c r="E137" s="13"/>
      <c r="F137" s="14"/>
      <c r="G137" s="543"/>
      <c r="H137" s="543"/>
      <c r="I137" s="543"/>
      <c r="J137" s="543"/>
      <c r="K137" s="543"/>
      <c r="L137" s="543"/>
      <c r="M137" s="543"/>
      <c r="N137" s="543"/>
      <c r="O137" s="543"/>
      <c r="P137" s="543"/>
      <c r="Q137" s="543"/>
      <c r="R137" s="543"/>
      <c r="S137" s="543"/>
      <c r="T137" s="543"/>
      <c r="U137" s="543"/>
      <c r="V137" s="543"/>
      <c r="W137" s="543"/>
      <c r="X137" s="543"/>
      <c r="Y137" s="543"/>
      <c r="Z137" s="543"/>
      <c r="AA137" s="543"/>
      <c r="AB137" s="543"/>
      <c r="AC137" s="543"/>
      <c r="AD137" s="543"/>
      <c r="AE137" s="543"/>
      <c r="AF137" s="543"/>
    </row>
    <row r="138" spans="1:32">
      <c r="A138" s="533"/>
      <c r="B138" s="534"/>
      <c r="C138" s="535" t="s">
        <v>845</v>
      </c>
      <c r="D138" s="12" t="s">
        <v>1271</v>
      </c>
      <c r="E138" s="13">
        <v>2</v>
      </c>
      <c r="F138" s="14" t="s">
        <v>2697</v>
      </c>
      <c r="G138" s="543">
        <v>65339</v>
      </c>
      <c r="H138" s="543">
        <v>63129</v>
      </c>
      <c r="I138" s="543">
        <v>62705</v>
      </c>
      <c r="J138" s="543">
        <v>65004</v>
      </c>
      <c r="K138" s="543">
        <v>57962</v>
      </c>
      <c r="L138" s="543">
        <v>59653</v>
      </c>
      <c r="M138" s="543">
        <v>64864</v>
      </c>
      <c r="N138" s="543">
        <v>68735</v>
      </c>
      <c r="O138" s="543">
        <v>73125</v>
      </c>
      <c r="P138" s="543">
        <v>76305</v>
      </c>
      <c r="Q138" s="543">
        <v>76782</v>
      </c>
      <c r="R138" s="543">
        <v>78955</v>
      </c>
      <c r="S138" s="543">
        <v>82810</v>
      </c>
      <c r="T138" s="543">
        <v>89301</v>
      </c>
      <c r="U138" s="543">
        <v>88129</v>
      </c>
      <c r="V138" s="543">
        <v>91887</v>
      </c>
      <c r="W138" s="543">
        <v>93001</v>
      </c>
      <c r="X138" s="543">
        <v>94316</v>
      </c>
      <c r="Y138" s="543">
        <v>95084</v>
      </c>
      <c r="Z138" s="543">
        <v>97422</v>
      </c>
      <c r="AA138" s="543">
        <v>98284</v>
      </c>
      <c r="AB138" s="543">
        <v>100839</v>
      </c>
      <c r="AC138" s="543">
        <v>103679</v>
      </c>
      <c r="AD138" s="543" t="s">
        <v>2620</v>
      </c>
      <c r="AE138" s="543" t="s">
        <v>2620</v>
      </c>
      <c r="AF138" s="543" t="s">
        <v>2620</v>
      </c>
    </row>
    <row r="139" spans="1:32">
      <c r="A139" s="533"/>
      <c r="B139" s="534"/>
      <c r="C139" s="535" t="s">
        <v>846</v>
      </c>
      <c r="D139" s="12" t="s">
        <v>1271</v>
      </c>
      <c r="E139" s="13">
        <v>4</v>
      </c>
      <c r="F139" s="14" t="s">
        <v>2698</v>
      </c>
      <c r="G139" s="543">
        <v>34003</v>
      </c>
      <c r="H139" s="543">
        <v>35311</v>
      </c>
      <c r="I139" s="543">
        <v>34793</v>
      </c>
      <c r="J139" s="543">
        <v>37120</v>
      </c>
      <c r="K139" s="543">
        <v>39090</v>
      </c>
      <c r="L139" s="543">
        <v>41371</v>
      </c>
      <c r="M139" s="543">
        <v>44215</v>
      </c>
      <c r="N139" s="543">
        <v>42431</v>
      </c>
      <c r="O139" s="543">
        <v>42557</v>
      </c>
      <c r="P139" s="543">
        <v>45855</v>
      </c>
      <c r="Q139" s="543">
        <v>49054</v>
      </c>
      <c r="R139" s="543">
        <v>50735</v>
      </c>
      <c r="S139" s="543">
        <v>54537</v>
      </c>
      <c r="T139" s="543">
        <v>56423</v>
      </c>
      <c r="U139" s="543">
        <v>58549</v>
      </c>
      <c r="V139" s="543">
        <v>60174</v>
      </c>
      <c r="W139" s="543">
        <v>61527</v>
      </c>
      <c r="X139" s="543">
        <v>61893</v>
      </c>
      <c r="Y139" s="543">
        <v>62951</v>
      </c>
      <c r="Z139" s="543">
        <v>63744</v>
      </c>
      <c r="AA139" s="543">
        <v>65177</v>
      </c>
      <c r="AB139" s="543">
        <v>65855</v>
      </c>
      <c r="AC139" s="543">
        <v>67165</v>
      </c>
      <c r="AD139" s="543" t="s">
        <v>2620</v>
      </c>
      <c r="AE139" s="543" t="s">
        <v>2620</v>
      </c>
      <c r="AF139" s="543" t="s">
        <v>2620</v>
      </c>
    </row>
    <row r="140" spans="1:32" s="540" customFormat="1">
      <c r="A140" s="536"/>
      <c r="B140" s="537"/>
      <c r="C140" s="538" t="s">
        <v>847</v>
      </c>
      <c r="D140" s="528"/>
      <c r="E140" s="529"/>
      <c r="F140" s="539"/>
      <c r="G140" s="544">
        <f>+G138+G139</f>
        <v>99342</v>
      </c>
      <c r="H140" s="544">
        <f t="shared" ref="H140:AF140" si="4">+H138+H139</f>
        <v>98440</v>
      </c>
      <c r="I140" s="544">
        <f t="shared" si="4"/>
        <v>97498</v>
      </c>
      <c r="J140" s="544">
        <f t="shared" si="4"/>
        <v>102124</v>
      </c>
      <c r="K140" s="544">
        <f t="shared" si="4"/>
        <v>97052</v>
      </c>
      <c r="L140" s="544">
        <f t="shared" si="4"/>
        <v>101024</v>
      </c>
      <c r="M140" s="544">
        <f t="shared" si="4"/>
        <v>109079</v>
      </c>
      <c r="N140" s="544">
        <f t="shared" si="4"/>
        <v>111166</v>
      </c>
      <c r="O140" s="544">
        <f t="shared" si="4"/>
        <v>115682</v>
      </c>
      <c r="P140" s="544">
        <f t="shared" si="4"/>
        <v>122160</v>
      </c>
      <c r="Q140" s="544">
        <f t="shared" si="4"/>
        <v>125836</v>
      </c>
      <c r="R140" s="544">
        <f t="shared" si="4"/>
        <v>129690</v>
      </c>
      <c r="S140" s="544">
        <f t="shared" si="4"/>
        <v>137347</v>
      </c>
      <c r="T140" s="544">
        <f t="shared" si="4"/>
        <v>145724</v>
      </c>
      <c r="U140" s="544">
        <f t="shared" si="4"/>
        <v>146678</v>
      </c>
      <c r="V140" s="544">
        <f t="shared" si="4"/>
        <v>152061</v>
      </c>
      <c r="W140" s="544">
        <f t="shared" si="4"/>
        <v>154528</v>
      </c>
      <c r="X140" s="544">
        <f t="shared" si="4"/>
        <v>156209</v>
      </c>
      <c r="Y140" s="544">
        <f t="shared" si="4"/>
        <v>158035</v>
      </c>
      <c r="Z140" s="544">
        <f t="shared" si="4"/>
        <v>161166</v>
      </c>
      <c r="AA140" s="544">
        <f t="shared" si="4"/>
        <v>163461</v>
      </c>
      <c r="AB140" s="544">
        <f t="shared" si="4"/>
        <v>166694</v>
      </c>
      <c r="AC140" s="544">
        <f t="shared" si="4"/>
        <v>170844</v>
      </c>
      <c r="AD140" s="544" t="e">
        <f t="shared" si="4"/>
        <v>#VALUE!</v>
      </c>
      <c r="AE140" s="544" t="e">
        <f t="shared" si="4"/>
        <v>#VALUE!</v>
      </c>
      <c r="AF140" s="544" t="e">
        <f t="shared" si="4"/>
        <v>#VALUE!</v>
      </c>
    </row>
    <row r="141" spans="1:32">
      <c r="A141" s="533"/>
      <c r="B141" s="534"/>
      <c r="C141" s="535"/>
      <c r="D141" s="12"/>
      <c r="E141" s="13"/>
      <c r="F141" s="14"/>
      <c r="G141" s="543"/>
      <c r="H141" s="543"/>
      <c r="I141" s="543"/>
      <c r="J141" s="543"/>
      <c r="K141" s="543"/>
      <c r="L141" s="543"/>
      <c r="M141" s="543"/>
      <c r="N141" s="543"/>
      <c r="O141" s="543"/>
      <c r="P141" s="543"/>
      <c r="Q141" s="543"/>
      <c r="R141" s="543"/>
      <c r="S141" s="543"/>
      <c r="T141" s="543"/>
      <c r="U141" s="543"/>
      <c r="V141" s="543"/>
      <c r="W141" s="543"/>
      <c r="X141" s="543"/>
      <c r="Y141" s="543"/>
      <c r="Z141" s="543"/>
      <c r="AA141" s="543"/>
      <c r="AB141" s="543"/>
      <c r="AC141" s="543"/>
      <c r="AD141" s="543"/>
      <c r="AE141" s="543"/>
      <c r="AF141" s="543"/>
    </row>
    <row r="142" spans="1:32">
      <c r="A142" s="533">
        <v>145</v>
      </c>
      <c r="B142" s="534"/>
      <c r="C142" s="535" t="s">
        <v>841</v>
      </c>
      <c r="D142" s="12" t="s">
        <v>1271</v>
      </c>
      <c r="E142" s="13">
        <v>7</v>
      </c>
      <c r="F142" s="14" t="s">
        <v>2699</v>
      </c>
      <c r="G142" s="543">
        <v>177601</v>
      </c>
      <c r="H142" s="543">
        <v>173927</v>
      </c>
      <c r="I142" s="543">
        <v>178852</v>
      </c>
      <c r="J142" s="543">
        <v>194639</v>
      </c>
      <c r="K142" s="543">
        <v>195439</v>
      </c>
      <c r="L142" s="543">
        <v>195147</v>
      </c>
      <c r="M142" s="543">
        <v>203596</v>
      </c>
      <c r="N142" s="543">
        <v>214550</v>
      </c>
      <c r="O142" s="543">
        <v>220349</v>
      </c>
      <c r="P142" s="543">
        <v>223289</v>
      </c>
      <c r="Q142" s="543">
        <v>231651</v>
      </c>
      <c r="R142" s="543">
        <v>248117</v>
      </c>
      <c r="S142" s="543">
        <v>255988</v>
      </c>
      <c r="T142" s="543">
        <v>273160</v>
      </c>
      <c r="U142" s="543">
        <v>285930</v>
      </c>
      <c r="V142" s="543">
        <v>295009</v>
      </c>
      <c r="W142" s="543">
        <v>305983</v>
      </c>
      <c r="X142" s="543">
        <v>310635</v>
      </c>
      <c r="Y142" s="543">
        <v>320908</v>
      </c>
      <c r="Z142" s="543">
        <v>329140</v>
      </c>
      <c r="AA142" s="543">
        <v>340606</v>
      </c>
      <c r="AB142" s="543">
        <v>352547</v>
      </c>
      <c r="AC142" s="543">
        <v>358776</v>
      </c>
      <c r="AD142" s="543" t="s">
        <v>2620</v>
      </c>
      <c r="AE142" s="543" t="s">
        <v>2620</v>
      </c>
      <c r="AF142" s="543" t="s">
        <v>2620</v>
      </c>
    </row>
    <row r="143" spans="1:32">
      <c r="A143" s="533"/>
      <c r="B143" s="534" t="s">
        <v>752</v>
      </c>
      <c r="C143" s="535" t="s">
        <v>1587</v>
      </c>
      <c r="D143" s="12" t="s">
        <v>1271</v>
      </c>
      <c r="E143" s="13">
        <v>8</v>
      </c>
      <c r="F143" s="14" t="s">
        <v>2700</v>
      </c>
      <c r="G143" s="543">
        <v>364830</v>
      </c>
      <c r="H143" s="543">
        <v>383975</v>
      </c>
      <c r="I143" s="543">
        <v>393565</v>
      </c>
      <c r="J143" s="543">
        <v>404370</v>
      </c>
      <c r="K143" s="543">
        <v>422032</v>
      </c>
      <c r="L143" s="543">
        <v>433033</v>
      </c>
      <c r="M143" s="543">
        <v>456196</v>
      </c>
      <c r="N143" s="543">
        <v>480696</v>
      </c>
      <c r="O143" s="543">
        <v>509448</v>
      </c>
      <c r="P143" s="543">
        <v>526588</v>
      </c>
      <c r="Q143" s="543">
        <v>540690</v>
      </c>
      <c r="R143" s="543">
        <v>562376</v>
      </c>
      <c r="S143" s="543">
        <v>588724</v>
      </c>
      <c r="T143" s="543">
        <v>612984</v>
      </c>
      <c r="U143" s="543">
        <v>617831</v>
      </c>
      <c r="V143" s="543">
        <v>630164</v>
      </c>
      <c r="W143" s="543">
        <v>648997</v>
      </c>
      <c r="X143" s="543">
        <v>675872</v>
      </c>
      <c r="Y143" s="543">
        <v>697741</v>
      </c>
      <c r="Z143" s="543">
        <v>722353</v>
      </c>
      <c r="AA143" s="543">
        <v>755789</v>
      </c>
      <c r="AB143" s="543">
        <v>795767</v>
      </c>
      <c r="AC143" s="543">
        <v>834886</v>
      </c>
      <c r="AD143" s="543" t="s">
        <v>2620</v>
      </c>
      <c r="AE143" s="543" t="s">
        <v>2620</v>
      </c>
      <c r="AF143" s="543" t="s">
        <v>2620</v>
      </c>
    </row>
    <row r="144" spans="1:32">
      <c r="A144" s="533">
        <v>144</v>
      </c>
      <c r="B144" s="534"/>
      <c r="C144" s="535" t="s">
        <v>840</v>
      </c>
      <c r="D144" s="12" t="s">
        <v>1271</v>
      </c>
      <c r="E144" s="13">
        <v>9</v>
      </c>
      <c r="F144" s="14" t="s">
        <v>2701</v>
      </c>
      <c r="G144" s="543">
        <v>63676</v>
      </c>
      <c r="H144" s="543">
        <v>65768</v>
      </c>
      <c r="I144" s="543">
        <v>67626</v>
      </c>
      <c r="J144" s="543">
        <v>70009</v>
      </c>
      <c r="K144" s="543">
        <v>73400</v>
      </c>
      <c r="L144" s="543">
        <v>77603</v>
      </c>
      <c r="M144" s="543">
        <v>82168</v>
      </c>
      <c r="N144" s="543">
        <v>85898</v>
      </c>
      <c r="O144" s="543">
        <v>87984</v>
      </c>
      <c r="P144" s="543">
        <v>90686</v>
      </c>
      <c r="Q144" s="543">
        <v>94220</v>
      </c>
      <c r="R144" s="543">
        <v>98068</v>
      </c>
      <c r="S144" s="543">
        <v>102696</v>
      </c>
      <c r="T144" s="543">
        <v>109439</v>
      </c>
      <c r="U144" s="543">
        <v>113994</v>
      </c>
      <c r="V144" s="543">
        <v>116823</v>
      </c>
      <c r="W144" s="543">
        <v>120574</v>
      </c>
      <c r="X144" s="543">
        <v>125042</v>
      </c>
      <c r="Y144" s="543">
        <v>127065</v>
      </c>
      <c r="Z144" s="543">
        <v>130535</v>
      </c>
      <c r="AA144" s="543">
        <v>134073</v>
      </c>
      <c r="AB144" s="543">
        <v>137632</v>
      </c>
      <c r="AC144" s="543">
        <v>143655</v>
      </c>
      <c r="AD144" s="543" t="s">
        <v>2620</v>
      </c>
      <c r="AE144" s="543" t="s">
        <v>2620</v>
      </c>
      <c r="AF144" s="543" t="s">
        <v>2620</v>
      </c>
    </row>
    <row r="145" spans="1:33">
      <c r="A145" s="533">
        <v>120</v>
      </c>
      <c r="B145" s="534" t="s">
        <v>1596</v>
      </c>
      <c r="C145" s="535" t="s">
        <v>1267</v>
      </c>
      <c r="D145" s="12" t="s">
        <v>1271</v>
      </c>
      <c r="E145" s="13">
        <v>11</v>
      </c>
      <c r="F145" s="14" t="s">
        <v>2702</v>
      </c>
      <c r="G145" s="543">
        <v>254196</v>
      </c>
      <c r="H145" s="543">
        <v>268045</v>
      </c>
      <c r="I145" s="543">
        <v>274496</v>
      </c>
      <c r="J145" s="543">
        <v>266638</v>
      </c>
      <c r="K145" s="543">
        <v>280958</v>
      </c>
      <c r="L145" s="543">
        <v>294495</v>
      </c>
      <c r="M145" s="543">
        <v>311065</v>
      </c>
      <c r="N145" s="543">
        <v>327976</v>
      </c>
      <c r="O145" s="543">
        <v>350361</v>
      </c>
      <c r="P145" s="543">
        <v>361548</v>
      </c>
      <c r="Q145" s="543">
        <v>371099</v>
      </c>
      <c r="R145" s="543">
        <v>387877</v>
      </c>
      <c r="S145" s="543">
        <v>406662</v>
      </c>
      <c r="T145" s="543">
        <v>422371</v>
      </c>
      <c r="U145" s="543">
        <v>423756</v>
      </c>
      <c r="V145" s="543">
        <v>432760</v>
      </c>
      <c r="W145" s="543">
        <v>445547</v>
      </c>
      <c r="X145" s="543">
        <v>464607</v>
      </c>
      <c r="Y145" s="543">
        <v>481254</v>
      </c>
      <c r="Z145" s="543">
        <v>499613</v>
      </c>
      <c r="AA145" s="543">
        <v>522406</v>
      </c>
      <c r="AB145" s="543">
        <v>552310</v>
      </c>
      <c r="AC145" s="543">
        <v>580473</v>
      </c>
      <c r="AD145" s="543" t="s">
        <v>2620</v>
      </c>
      <c r="AE145" s="543" t="s">
        <v>2620</v>
      </c>
      <c r="AF145" s="543" t="s">
        <v>2620</v>
      </c>
    </row>
    <row r="146" spans="1:33">
      <c r="A146" s="533">
        <v>113</v>
      </c>
      <c r="B146" s="534" t="s">
        <v>149</v>
      </c>
      <c r="C146" s="535" t="s">
        <v>754</v>
      </c>
      <c r="D146" s="12" t="s">
        <v>1271</v>
      </c>
      <c r="E146" s="13">
        <v>15</v>
      </c>
      <c r="F146" s="14" t="s">
        <v>2703</v>
      </c>
      <c r="G146" s="543">
        <v>404960</v>
      </c>
      <c r="H146" s="543">
        <v>431982</v>
      </c>
      <c r="I146" s="543">
        <v>443032</v>
      </c>
      <c r="J146" s="543">
        <v>516150</v>
      </c>
      <c r="K146" s="543">
        <v>539942</v>
      </c>
      <c r="L146" s="543">
        <v>539380</v>
      </c>
      <c r="M146" s="543">
        <v>564162</v>
      </c>
      <c r="N146" s="543">
        <v>590830</v>
      </c>
      <c r="O146" s="543">
        <v>610884</v>
      </c>
      <c r="P146" s="543">
        <v>626782</v>
      </c>
      <c r="Q146" s="543">
        <v>654801</v>
      </c>
      <c r="R146" s="543">
        <v>683340</v>
      </c>
      <c r="S146" s="543">
        <v>724728</v>
      </c>
      <c r="T146" s="543">
        <v>756892</v>
      </c>
      <c r="U146" s="543">
        <v>744475</v>
      </c>
      <c r="V146" s="543">
        <v>781732</v>
      </c>
      <c r="W146" s="543">
        <v>801843</v>
      </c>
      <c r="X146" s="543">
        <v>817100</v>
      </c>
      <c r="Y146" s="543">
        <v>835007</v>
      </c>
      <c r="Z146" s="543">
        <v>859700</v>
      </c>
      <c r="AA146" s="543">
        <v>915924</v>
      </c>
      <c r="AB146" s="543">
        <v>987441</v>
      </c>
      <c r="AC146" s="543">
        <v>1031534</v>
      </c>
      <c r="AD146" s="543" t="s">
        <v>2620</v>
      </c>
      <c r="AE146" s="543" t="s">
        <v>2620</v>
      </c>
      <c r="AF146" s="543" t="s">
        <v>2620</v>
      </c>
    </row>
    <row r="147" spans="1:33">
      <c r="A147" s="533">
        <v>123</v>
      </c>
      <c r="B147" s="534" t="s">
        <v>2042</v>
      </c>
      <c r="C147" s="535" t="s">
        <v>1264</v>
      </c>
      <c r="D147" s="12" t="s">
        <v>1271</v>
      </c>
      <c r="E147" s="13">
        <v>17</v>
      </c>
      <c r="F147" s="14" t="s">
        <v>2704</v>
      </c>
      <c r="G147" s="543">
        <v>65780</v>
      </c>
      <c r="H147" s="543">
        <v>58389</v>
      </c>
      <c r="I147" s="543">
        <v>51037</v>
      </c>
      <c r="J147" s="543">
        <v>42825</v>
      </c>
      <c r="K147" s="543">
        <v>41739</v>
      </c>
      <c r="L147" s="543">
        <v>36072</v>
      </c>
      <c r="M147" s="543">
        <v>34488</v>
      </c>
      <c r="N147" s="543">
        <v>37428</v>
      </c>
      <c r="O147" s="543">
        <v>38990</v>
      </c>
      <c r="P147" s="543">
        <v>37920</v>
      </c>
      <c r="Q147" s="543">
        <v>40715</v>
      </c>
      <c r="R147" s="543">
        <v>45211</v>
      </c>
      <c r="S147" s="543">
        <v>46546</v>
      </c>
      <c r="T147" s="543">
        <v>49337</v>
      </c>
      <c r="U147" s="543">
        <v>50597</v>
      </c>
      <c r="V147" s="543">
        <v>55412</v>
      </c>
      <c r="W147" s="543">
        <v>59750</v>
      </c>
      <c r="X147" s="543">
        <v>61974</v>
      </c>
      <c r="Y147" s="543">
        <v>62900</v>
      </c>
      <c r="Z147" s="543">
        <v>66605</v>
      </c>
      <c r="AA147" s="543">
        <v>66426</v>
      </c>
      <c r="AB147" s="543">
        <v>69565</v>
      </c>
      <c r="AC147" s="543">
        <v>71600</v>
      </c>
      <c r="AD147" s="543" t="s">
        <v>2620</v>
      </c>
      <c r="AE147" s="543" t="s">
        <v>2620</v>
      </c>
      <c r="AF147" s="543" t="s">
        <v>2620</v>
      </c>
    </row>
    <row r="148" spans="1:33">
      <c r="A148" s="533"/>
      <c r="B148" s="534" t="s">
        <v>364</v>
      </c>
      <c r="C148" s="535" t="s">
        <v>365</v>
      </c>
      <c r="D148" s="12" t="s">
        <v>1271</v>
      </c>
      <c r="E148" s="13">
        <v>12</v>
      </c>
      <c r="F148" s="14" t="s">
        <v>2705</v>
      </c>
      <c r="G148" s="543">
        <v>49619</v>
      </c>
      <c r="H148" s="543">
        <v>53354</v>
      </c>
      <c r="I148" s="543">
        <v>54430</v>
      </c>
      <c r="J148" s="543">
        <v>71531</v>
      </c>
      <c r="K148" s="543">
        <v>74124</v>
      </c>
      <c r="L148" s="543">
        <v>66455</v>
      </c>
      <c r="M148" s="543">
        <v>68649</v>
      </c>
      <c r="N148" s="543">
        <v>72353</v>
      </c>
      <c r="O148" s="543">
        <v>76142</v>
      </c>
      <c r="P148" s="543">
        <v>78479</v>
      </c>
      <c r="Q148" s="543">
        <v>80484</v>
      </c>
      <c r="R148" s="543">
        <v>82684</v>
      </c>
      <c r="S148" s="543">
        <v>85827</v>
      </c>
      <c r="T148" s="543">
        <v>88693</v>
      </c>
      <c r="U148" s="543">
        <v>87157</v>
      </c>
      <c r="V148" s="543">
        <v>88272</v>
      </c>
      <c r="W148" s="543">
        <v>91541</v>
      </c>
      <c r="X148" s="543">
        <v>94083</v>
      </c>
      <c r="Y148" s="543">
        <v>96998</v>
      </c>
      <c r="Z148" s="543">
        <v>100304</v>
      </c>
      <c r="AA148" s="543">
        <v>105920</v>
      </c>
      <c r="AB148" s="543">
        <v>113646</v>
      </c>
      <c r="AC148" s="543">
        <v>119729</v>
      </c>
      <c r="AD148" s="543" t="s">
        <v>2620</v>
      </c>
      <c r="AE148" s="543" t="s">
        <v>2620</v>
      </c>
      <c r="AF148" s="543" t="s">
        <v>2620</v>
      </c>
    </row>
    <row r="149" spans="1:33">
      <c r="A149" s="533"/>
      <c r="B149" s="534" t="s">
        <v>367</v>
      </c>
      <c r="C149" s="535" t="s">
        <v>366</v>
      </c>
      <c r="D149" s="12" t="s">
        <v>1271</v>
      </c>
      <c r="E149" s="13">
        <v>13</v>
      </c>
      <c r="F149" s="14" t="s">
        <v>2706</v>
      </c>
      <c r="G149" s="543">
        <v>4478</v>
      </c>
      <c r="H149" s="543">
        <v>3883</v>
      </c>
      <c r="I149" s="543">
        <v>3611</v>
      </c>
      <c r="J149" s="543">
        <v>4234</v>
      </c>
      <c r="K149" s="543">
        <v>4766</v>
      </c>
      <c r="L149" s="543">
        <v>3133</v>
      </c>
      <c r="M149" s="543">
        <v>2938</v>
      </c>
      <c r="N149" s="543">
        <v>3836</v>
      </c>
      <c r="O149" s="543">
        <v>3505</v>
      </c>
      <c r="P149" s="543">
        <v>2831</v>
      </c>
      <c r="Q149" s="543">
        <v>2463</v>
      </c>
      <c r="R149" s="543">
        <v>2847</v>
      </c>
      <c r="S149" s="543">
        <v>2695</v>
      </c>
      <c r="T149" s="543">
        <v>2974</v>
      </c>
      <c r="U149" s="543">
        <v>2679</v>
      </c>
      <c r="V149" s="543">
        <v>3086</v>
      </c>
      <c r="W149" s="543">
        <v>3119</v>
      </c>
      <c r="X149" s="543">
        <v>3238</v>
      </c>
      <c r="Y149" s="543">
        <v>3477</v>
      </c>
      <c r="Z149" s="543">
        <v>3479</v>
      </c>
      <c r="AA149" s="543">
        <v>3340</v>
      </c>
      <c r="AB149" s="543">
        <v>3327</v>
      </c>
      <c r="AC149" s="543">
        <v>4177</v>
      </c>
      <c r="AD149" s="543" t="s">
        <v>2620</v>
      </c>
      <c r="AE149" s="543" t="s">
        <v>2620</v>
      </c>
      <c r="AF149" s="543" t="s">
        <v>2620</v>
      </c>
    </row>
    <row r="150" spans="1:33">
      <c r="A150" s="533"/>
      <c r="B150" s="534"/>
      <c r="C150" s="535"/>
      <c r="D150" s="12"/>
      <c r="E150" s="13"/>
      <c r="F150" s="14"/>
      <c r="G150" s="543"/>
      <c r="H150" s="543"/>
      <c r="I150" s="543"/>
      <c r="J150" s="543"/>
      <c r="K150" s="543"/>
      <c r="L150" s="543"/>
      <c r="M150" s="543"/>
      <c r="N150" s="543"/>
      <c r="O150" s="543"/>
      <c r="P150" s="543"/>
      <c r="Q150" s="543"/>
      <c r="R150" s="543"/>
      <c r="S150" s="543"/>
      <c r="T150" s="543"/>
      <c r="U150" s="543"/>
      <c r="V150" s="543"/>
      <c r="W150" s="543"/>
      <c r="X150" s="543"/>
      <c r="Y150" s="543"/>
      <c r="Z150" s="543"/>
      <c r="AA150" s="543"/>
      <c r="AB150" s="543"/>
      <c r="AC150" s="543"/>
      <c r="AD150" s="543"/>
      <c r="AE150" s="543"/>
      <c r="AF150" s="543"/>
    </row>
    <row r="151" spans="1:33">
      <c r="A151" s="533"/>
      <c r="B151" s="534" t="s">
        <v>1550</v>
      </c>
      <c r="C151" s="535" t="s">
        <v>757</v>
      </c>
      <c r="D151" s="12" t="s">
        <v>1271</v>
      </c>
      <c r="E151" s="13">
        <v>16</v>
      </c>
      <c r="F151" s="14" t="s">
        <v>2707</v>
      </c>
      <c r="G151" s="543">
        <v>71674</v>
      </c>
      <c r="H151" s="543">
        <v>70997</v>
      </c>
      <c r="I151" s="543">
        <v>64496</v>
      </c>
      <c r="J151" s="543">
        <v>64830</v>
      </c>
      <c r="K151" s="543">
        <v>57204</v>
      </c>
      <c r="L151" s="543">
        <v>54952</v>
      </c>
      <c r="M151" s="543">
        <v>47914</v>
      </c>
      <c r="N151" s="543">
        <v>48001</v>
      </c>
      <c r="O151" s="543">
        <v>50405</v>
      </c>
      <c r="P151" s="543">
        <v>49762</v>
      </c>
      <c r="Q151" s="543">
        <v>62478</v>
      </c>
      <c r="R151" s="543">
        <v>64611</v>
      </c>
      <c r="S151" s="543">
        <v>77773</v>
      </c>
      <c r="T151" s="543">
        <v>84338</v>
      </c>
      <c r="U151" s="543">
        <v>70828</v>
      </c>
      <c r="V151" s="543">
        <v>69532</v>
      </c>
      <c r="W151" s="543">
        <v>78678</v>
      </c>
      <c r="X151" s="543">
        <v>75327</v>
      </c>
      <c r="Y151" s="543">
        <v>76624</v>
      </c>
      <c r="Z151" s="543">
        <v>66649</v>
      </c>
      <c r="AA151" s="543">
        <v>65910</v>
      </c>
      <c r="AB151" s="543">
        <v>69638</v>
      </c>
      <c r="AC151" s="543">
        <v>69214</v>
      </c>
      <c r="AD151" s="543" t="s">
        <v>2620</v>
      </c>
      <c r="AE151" s="543" t="s">
        <v>2620</v>
      </c>
      <c r="AF151" s="543" t="s">
        <v>2620</v>
      </c>
    </row>
    <row r="152" spans="1:33">
      <c r="A152" s="533"/>
      <c r="B152" s="534" t="s">
        <v>683</v>
      </c>
      <c r="C152" s="535" t="s">
        <v>758</v>
      </c>
      <c r="D152" s="12" t="s">
        <v>1271</v>
      </c>
      <c r="E152" s="13">
        <v>18</v>
      </c>
      <c r="F152" s="14" t="s">
        <v>2708</v>
      </c>
      <c r="G152" s="543">
        <v>96966</v>
      </c>
      <c r="H152" s="543">
        <v>100645</v>
      </c>
      <c r="I152" s="543">
        <v>101673</v>
      </c>
      <c r="J152" s="543">
        <v>95089</v>
      </c>
      <c r="K152" s="543">
        <v>88626</v>
      </c>
      <c r="L152" s="543">
        <v>81662</v>
      </c>
      <c r="M152" s="543">
        <v>67614</v>
      </c>
      <c r="N152" s="543">
        <v>77231</v>
      </c>
      <c r="O152" s="543">
        <v>59321</v>
      </c>
      <c r="P152" s="543">
        <v>50907</v>
      </c>
      <c r="Q152" s="543">
        <v>54871</v>
      </c>
      <c r="R152" s="543">
        <v>54190</v>
      </c>
      <c r="S152" s="543">
        <v>58625</v>
      </c>
      <c r="T152" s="543">
        <v>57368</v>
      </c>
      <c r="U152" s="543">
        <v>42887</v>
      </c>
      <c r="V152" s="543">
        <v>41689</v>
      </c>
      <c r="W152" s="543">
        <v>46389</v>
      </c>
      <c r="X152" s="543">
        <v>39056</v>
      </c>
      <c r="Y152" s="543">
        <v>35919</v>
      </c>
      <c r="Z152" s="543">
        <v>32807</v>
      </c>
      <c r="AA152" s="543">
        <v>25558</v>
      </c>
      <c r="AB152" s="543">
        <v>25398</v>
      </c>
      <c r="AC152" s="543">
        <v>23684</v>
      </c>
      <c r="AD152" s="543" t="s">
        <v>2620</v>
      </c>
      <c r="AE152" s="543" t="s">
        <v>2620</v>
      </c>
      <c r="AF152" s="543" t="s">
        <v>2620</v>
      </c>
    </row>
    <row r="153" spans="1:33">
      <c r="A153" s="533">
        <v>122</v>
      </c>
      <c r="B153" s="534" t="s">
        <v>1154</v>
      </c>
      <c r="C153" s="535" t="s">
        <v>759</v>
      </c>
      <c r="D153" s="12" t="s">
        <v>1271</v>
      </c>
      <c r="E153" s="13">
        <v>19</v>
      </c>
      <c r="F153" s="14" t="s">
        <v>2709</v>
      </c>
      <c r="G153" s="543">
        <v>96672</v>
      </c>
      <c r="H153" s="543">
        <v>100435</v>
      </c>
      <c r="I153" s="543">
        <v>101459</v>
      </c>
      <c r="J153" s="543">
        <v>92585</v>
      </c>
      <c r="K153" s="543">
        <v>85979</v>
      </c>
      <c r="L153" s="543">
        <v>78954</v>
      </c>
      <c r="M153" s="543">
        <v>64692</v>
      </c>
      <c r="N153" s="543">
        <v>74092</v>
      </c>
      <c r="O153" s="543">
        <v>55999</v>
      </c>
      <c r="P153" s="543">
        <v>47375</v>
      </c>
      <c r="Q153" s="543">
        <v>50914</v>
      </c>
      <c r="R153" s="543">
        <v>50259</v>
      </c>
      <c r="S153" s="543">
        <v>54591</v>
      </c>
      <c r="T153" s="543">
        <v>53037</v>
      </c>
      <c r="U153" s="543">
        <v>38298</v>
      </c>
      <c r="V153" s="543">
        <v>36905</v>
      </c>
      <c r="W153" s="543">
        <v>41170</v>
      </c>
      <c r="X153" s="543">
        <v>33578</v>
      </c>
      <c r="Y153" s="543">
        <v>30331</v>
      </c>
      <c r="Z153" s="543">
        <v>26745</v>
      </c>
      <c r="AA153" s="543">
        <v>18783</v>
      </c>
      <c r="AB153" s="543">
        <v>18178</v>
      </c>
      <c r="AC153" s="543">
        <v>16094</v>
      </c>
      <c r="AD153" s="543" t="s">
        <v>2620</v>
      </c>
      <c r="AE153" s="543" t="s">
        <v>2620</v>
      </c>
      <c r="AF153" s="543" t="s">
        <v>2620</v>
      </c>
    </row>
    <row r="154" spans="1:33" s="540" customFormat="1">
      <c r="A154" s="536"/>
      <c r="B154" s="537" t="s">
        <v>1050</v>
      </c>
      <c r="C154" s="538" t="s">
        <v>1049</v>
      </c>
      <c r="D154" s="12"/>
      <c r="E154" s="529"/>
      <c r="F154" s="539"/>
      <c r="G154" s="544">
        <f>+G152-G153</f>
        <v>294</v>
      </c>
      <c r="H154" s="544">
        <f t="shared" ref="H154:AF154" si="5">+H152-H153</f>
        <v>210</v>
      </c>
      <c r="I154" s="544">
        <f t="shared" si="5"/>
        <v>214</v>
      </c>
      <c r="J154" s="544">
        <f t="shared" si="5"/>
        <v>2504</v>
      </c>
      <c r="K154" s="544">
        <f t="shared" si="5"/>
        <v>2647</v>
      </c>
      <c r="L154" s="544">
        <f t="shared" si="5"/>
        <v>2708</v>
      </c>
      <c r="M154" s="544">
        <f t="shared" si="5"/>
        <v>2922</v>
      </c>
      <c r="N154" s="544">
        <f t="shared" si="5"/>
        <v>3139</v>
      </c>
      <c r="O154" s="544">
        <f t="shared" si="5"/>
        <v>3322</v>
      </c>
      <c r="P154" s="544">
        <f t="shared" si="5"/>
        <v>3532</v>
      </c>
      <c r="Q154" s="544">
        <f t="shared" si="5"/>
        <v>3957</v>
      </c>
      <c r="R154" s="544">
        <f t="shared" si="5"/>
        <v>3931</v>
      </c>
      <c r="S154" s="544">
        <f t="shared" si="5"/>
        <v>4034</v>
      </c>
      <c r="T154" s="544">
        <f t="shared" si="5"/>
        <v>4331</v>
      </c>
      <c r="U154" s="544">
        <f t="shared" si="5"/>
        <v>4589</v>
      </c>
      <c r="V154" s="544">
        <f t="shared" si="5"/>
        <v>4784</v>
      </c>
      <c r="W154" s="544">
        <f t="shared" si="5"/>
        <v>5219</v>
      </c>
      <c r="X154" s="544">
        <f t="shared" si="5"/>
        <v>5478</v>
      </c>
      <c r="Y154" s="544">
        <f t="shared" si="5"/>
        <v>5588</v>
      </c>
      <c r="Z154" s="544">
        <f t="shared" si="5"/>
        <v>6062</v>
      </c>
      <c r="AA154" s="544">
        <f t="shared" si="5"/>
        <v>6775</v>
      </c>
      <c r="AB154" s="544">
        <f t="shared" si="5"/>
        <v>7220</v>
      </c>
      <c r="AC154" s="544">
        <f t="shared" si="5"/>
        <v>7590</v>
      </c>
      <c r="AD154" s="544" t="e">
        <f t="shared" si="5"/>
        <v>#VALUE!</v>
      </c>
      <c r="AE154" s="544" t="e">
        <f t="shared" si="5"/>
        <v>#VALUE!</v>
      </c>
      <c r="AF154" s="544" t="e">
        <f t="shared" si="5"/>
        <v>#VALUE!</v>
      </c>
    </row>
    <row r="155" spans="1:33">
      <c r="A155" s="533"/>
      <c r="B155" s="534"/>
      <c r="C155" s="535"/>
      <c r="D155" s="12"/>
      <c r="E155" s="13"/>
      <c r="F155" s="14"/>
      <c r="G155" s="543"/>
      <c r="H155" s="543"/>
      <c r="I155" s="543"/>
      <c r="J155" s="543"/>
      <c r="K155" s="543"/>
      <c r="L155" s="543"/>
      <c r="M155" s="543"/>
      <c r="N155" s="543"/>
      <c r="O155" s="543"/>
      <c r="P155" s="543"/>
      <c r="Q155" s="543"/>
      <c r="R155" s="543"/>
      <c r="S155" s="543"/>
      <c r="T155" s="543"/>
      <c r="U155" s="543"/>
      <c r="V155" s="543"/>
      <c r="W155" s="543"/>
      <c r="X155" s="543"/>
      <c r="Y155" s="543"/>
      <c r="Z155" s="543"/>
      <c r="AA155" s="543"/>
      <c r="AB155" s="543"/>
      <c r="AC155" s="543"/>
      <c r="AD155" s="543"/>
      <c r="AE155" s="543"/>
      <c r="AF155" s="543"/>
    </row>
    <row r="156" spans="1:33">
      <c r="A156" s="533">
        <v>114</v>
      </c>
      <c r="B156" s="534" t="s">
        <v>151</v>
      </c>
      <c r="C156" s="535" t="s">
        <v>755</v>
      </c>
      <c r="D156" s="12" t="s">
        <v>1271</v>
      </c>
      <c r="E156" s="13">
        <v>22</v>
      </c>
      <c r="F156" s="14" t="s">
        <v>2710</v>
      </c>
      <c r="G156" s="543">
        <v>355300</v>
      </c>
      <c r="H156" s="543">
        <v>381872</v>
      </c>
      <c r="I156" s="543">
        <v>406327</v>
      </c>
      <c r="J156" s="543">
        <v>422636</v>
      </c>
      <c r="K156" s="543">
        <v>461708</v>
      </c>
      <c r="L156" s="543">
        <v>508772</v>
      </c>
      <c r="M156" s="543">
        <v>485786</v>
      </c>
      <c r="N156" s="543">
        <v>474776</v>
      </c>
      <c r="O156" s="543">
        <v>510321</v>
      </c>
      <c r="P156" s="543">
        <v>554116</v>
      </c>
      <c r="Q156" s="543">
        <v>608397</v>
      </c>
      <c r="R156" s="543">
        <v>653792</v>
      </c>
      <c r="S156" s="543">
        <v>664215</v>
      </c>
      <c r="T156" s="543">
        <v>635040</v>
      </c>
      <c r="U156" s="543">
        <v>608343</v>
      </c>
      <c r="V156" s="543">
        <v>639571</v>
      </c>
      <c r="W156" s="543">
        <v>645039</v>
      </c>
      <c r="X156" s="543">
        <v>642230</v>
      </c>
      <c r="Y156" s="543">
        <v>670598</v>
      </c>
      <c r="Z156" s="543">
        <v>701287</v>
      </c>
      <c r="AA156" s="543">
        <v>771377</v>
      </c>
      <c r="AB156" s="543">
        <v>824664</v>
      </c>
      <c r="AC156" s="543">
        <v>867208</v>
      </c>
      <c r="AD156" s="543" t="s">
        <v>2620</v>
      </c>
      <c r="AE156" s="543" t="s">
        <v>2620</v>
      </c>
      <c r="AF156" s="543" t="s">
        <v>2620</v>
      </c>
      <c r="AG156" s="1102"/>
    </row>
    <row r="157" spans="1:33">
      <c r="A157" s="533"/>
      <c r="B157" s="534" t="s">
        <v>1547</v>
      </c>
      <c r="C157" s="535" t="s">
        <v>756</v>
      </c>
      <c r="D157" s="12" t="s">
        <v>1271</v>
      </c>
      <c r="E157" s="13">
        <v>27</v>
      </c>
      <c r="F157" s="14" t="s">
        <v>2711</v>
      </c>
      <c r="G157" s="543">
        <v>15</v>
      </c>
      <c r="H157" s="543">
        <v>4</v>
      </c>
      <c r="I157" s="543">
        <v>7</v>
      </c>
      <c r="J157" s="543">
        <v>7</v>
      </c>
      <c r="K157" s="543">
        <v>5</v>
      </c>
      <c r="L157" s="543">
        <v>111</v>
      </c>
      <c r="M157" s="543">
        <v>5</v>
      </c>
      <c r="N157" s="543">
        <v>15</v>
      </c>
      <c r="O157" s="543">
        <v>19</v>
      </c>
      <c r="P157" s="543">
        <v>11</v>
      </c>
      <c r="Q157" s="543">
        <v>5</v>
      </c>
      <c r="R157" s="543">
        <v>42</v>
      </c>
      <c r="S157" s="543">
        <v>45</v>
      </c>
      <c r="T157" s="543">
        <v>21</v>
      </c>
      <c r="U157" s="543">
        <v>348</v>
      </c>
      <c r="V157" s="543">
        <v>29</v>
      </c>
      <c r="W157" s="543">
        <v>11</v>
      </c>
      <c r="X157" s="543">
        <v>123</v>
      </c>
      <c r="Y157" s="543">
        <v>62</v>
      </c>
      <c r="Z157" s="543">
        <v>86</v>
      </c>
      <c r="AA157" s="543">
        <v>64</v>
      </c>
      <c r="AB157" s="543">
        <v>176</v>
      </c>
      <c r="AC157" s="543">
        <v>142</v>
      </c>
      <c r="AD157" s="543" t="s">
        <v>2620</v>
      </c>
      <c r="AE157" s="543" t="s">
        <v>2620</v>
      </c>
      <c r="AF157" s="543" t="s">
        <v>2620</v>
      </c>
    </row>
    <row r="158" spans="1:33">
      <c r="A158" s="533"/>
      <c r="B158" s="534" t="s">
        <v>1548</v>
      </c>
      <c r="C158" s="535" t="s">
        <v>1689</v>
      </c>
      <c r="D158" s="12" t="s">
        <v>1271</v>
      </c>
      <c r="E158" s="13">
        <v>25</v>
      </c>
      <c r="F158" s="14" t="s">
        <v>2712</v>
      </c>
      <c r="G158" s="543">
        <v>10297</v>
      </c>
      <c r="H158" s="543">
        <v>10627</v>
      </c>
      <c r="I158" s="543">
        <v>10040</v>
      </c>
      <c r="J158" s="543">
        <v>2382</v>
      </c>
      <c r="K158" s="543">
        <v>2647</v>
      </c>
      <c r="L158" s="543">
        <v>2638</v>
      </c>
      <c r="M158" s="543">
        <v>2842</v>
      </c>
      <c r="N158" s="543">
        <v>3069</v>
      </c>
      <c r="O158" s="543">
        <v>3249</v>
      </c>
      <c r="P158" s="543">
        <v>3398</v>
      </c>
      <c r="Q158" s="543">
        <v>3684</v>
      </c>
      <c r="R158" s="543">
        <v>3784</v>
      </c>
      <c r="S158" s="543">
        <v>3947</v>
      </c>
      <c r="T158" s="543">
        <v>4226</v>
      </c>
      <c r="U158" s="543">
        <v>4531</v>
      </c>
      <c r="V158" s="543">
        <v>4708</v>
      </c>
      <c r="W158" s="543">
        <v>5057</v>
      </c>
      <c r="X158" s="543">
        <v>5399</v>
      </c>
      <c r="Y158" s="543">
        <v>5505</v>
      </c>
      <c r="Z158" s="543">
        <v>5985</v>
      </c>
      <c r="AA158" s="543">
        <v>6693</v>
      </c>
      <c r="AB158" s="543">
        <v>7130</v>
      </c>
      <c r="AC158" s="543">
        <v>7498</v>
      </c>
      <c r="AD158" s="543" t="s">
        <v>2620</v>
      </c>
      <c r="AE158" s="543" t="s">
        <v>2620</v>
      </c>
      <c r="AF158" s="543" t="s">
        <v>2620</v>
      </c>
    </row>
    <row r="159" spans="1:33">
      <c r="A159" s="533">
        <v>116</v>
      </c>
      <c r="B159" s="534" t="s">
        <v>450</v>
      </c>
      <c r="C159" s="535" t="s">
        <v>763</v>
      </c>
      <c r="D159" s="12" t="s">
        <v>1271</v>
      </c>
      <c r="E159" s="13">
        <v>24</v>
      </c>
      <c r="F159" s="14" t="s">
        <v>2713</v>
      </c>
      <c r="G159" s="543">
        <v>101735</v>
      </c>
      <c r="H159" s="543">
        <v>114637</v>
      </c>
      <c r="I159" s="543">
        <v>126718</v>
      </c>
      <c r="J159" s="543">
        <v>98094</v>
      </c>
      <c r="K159" s="543">
        <v>98081</v>
      </c>
      <c r="L159" s="543">
        <v>119379</v>
      </c>
      <c r="M159" s="543">
        <v>112817</v>
      </c>
      <c r="N159" s="543">
        <v>98571</v>
      </c>
      <c r="O159" s="543">
        <v>101652</v>
      </c>
      <c r="P159" s="543">
        <v>104187</v>
      </c>
      <c r="Q159" s="543">
        <v>98633</v>
      </c>
      <c r="R159" s="543">
        <v>93984</v>
      </c>
      <c r="S159" s="543">
        <v>101757</v>
      </c>
      <c r="T159" s="543">
        <v>107465</v>
      </c>
      <c r="U159" s="543">
        <v>107113</v>
      </c>
      <c r="V159" s="543">
        <v>109208</v>
      </c>
      <c r="W159" s="543">
        <v>118418</v>
      </c>
      <c r="X159" s="543">
        <v>119142</v>
      </c>
      <c r="Y159" s="543">
        <v>122538</v>
      </c>
      <c r="Z159" s="543">
        <v>126099</v>
      </c>
      <c r="AA159" s="543">
        <v>132469</v>
      </c>
      <c r="AB159" s="543">
        <v>138552</v>
      </c>
      <c r="AC159" s="543">
        <v>145512</v>
      </c>
      <c r="AD159" s="543" t="s">
        <v>2620</v>
      </c>
      <c r="AE159" s="543" t="s">
        <v>2620</v>
      </c>
      <c r="AF159" s="543" t="s">
        <v>2620</v>
      </c>
    </row>
    <row r="160" spans="1:33">
      <c r="A160" s="533">
        <v>121</v>
      </c>
      <c r="B160" s="534" t="s">
        <v>1152</v>
      </c>
      <c r="C160" s="535" t="s">
        <v>1265</v>
      </c>
      <c r="D160" s="12" t="s">
        <v>1271</v>
      </c>
      <c r="E160" s="13">
        <v>28</v>
      </c>
      <c r="F160" s="14" t="s">
        <v>2714</v>
      </c>
      <c r="G160" s="543">
        <v>324352</v>
      </c>
      <c r="H160" s="543">
        <v>317474</v>
      </c>
      <c r="I160" s="543">
        <v>320112</v>
      </c>
      <c r="J160" s="543">
        <v>332703</v>
      </c>
      <c r="K160" s="543">
        <v>345290</v>
      </c>
      <c r="L160" s="543">
        <v>352716</v>
      </c>
      <c r="M160" s="543">
        <v>369436</v>
      </c>
      <c r="N160" s="543">
        <v>387928</v>
      </c>
      <c r="O160" s="543">
        <v>416367</v>
      </c>
      <c r="P160" s="543">
        <v>426306</v>
      </c>
      <c r="Q160" s="543">
        <v>435138</v>
      </c>
      <c r="R160" s="543">
        <v>446697</v>
      </c>
      <c r="S160" s="543">
        <v>448862</v>
      </c>
      <c r="T160" s="543">
        <v>462101</v>
      </c>
      <c r="U160" s="543">
        <v>488287</v>
      </c>
      <c r="V160" s="543">
        <v>491790</v>
      </c>
      <c r="W160" s="543">
        <v>491853</v>
      </c>
      <c r="X160" s="543">
        <v>515912</v>
      </c>
      <c r="Y160" s="543">
        <v>539419</v>
      </c>
      <c r="Z160" s="543">
        <v>545013</v>
      </c>
      <c r="AA160" s="543">
        <v>561066</v>
      </c>
      <c r="AB160" s="543">
        <v>577980</v>
      </c>
      <c r="AC160" s="543">
        <v>591447</v>
      </c>
      <c r="AD160" s="543" t="s">
        <v>2620</v>
      </c>
      <c r="AE160" s="543" t="s">
        <v>2620</v>
      </c>
      <c r="AF160" s="543" t="s">
        <v>2620</v>
      </c>
    </row>
    <row r="161" spans="1:32">
      <c r="A161" s="533"/>
      <c r="B161" s="534" t="s">
        <v>1592</v>
      </c>
      <c r="C161" s="535" t="s">
        <v>761</v>
      </c>
      <c r="D161" s="12" t="s">
        <v>1271</v>
      </c>
      <c r="E161" s="13">
        <v>26</v>
      </c>
      <c r="F161" s="14" t="s">
        <v>2715</v>
      </c>
      <c r="G161" s="543">
        <v>12303</v>
      </c>
      <c r="H161" s="543">
        <v>10952</v>
      </c>
      <c r="I161" s="543">
        <v>8919</v>
      </c>
      <c r="J161" s="543">
        <v>11776</v>
      </c>
      <c r="K161" s="543">
        <v>11147</v>
      </c>
      <c r="L161" s="543">
        <v>12624</v>
      </c>
      <c r="M161" s="543">
        <v>12324</v>
      </c>
      <c r="N161" s="543">
        <v>12850</v>
      </c>
      <c r="O161" s="543">
        <v>12043</v>
      </c>
      <c r="P161" s="543">
        <v>12339</v>
      </c>
      <c r="Q161" s="543">
        <v>13215</v>
      </c>
      <c r="R161" s="543">
        <v>14192</v>
      </c>
      <c r="S161" s="543">
        <v>21386</v>
      </c>
      <c r="T161" s="543">
        <v>20923</v>
      </c>
      <c r="U161" s="543">
        <v>23389</v>
      </c>
      <c r="V161" s="543">
        <v>24441</v>
      </c>
      <c r="W161" s="543">
        <v>21912</v>
      </c>
      <c r="X161" s="543">
        <v>24327</v>
      </c>
      <c r="Y161" s="543">
        <v>23655</v>
      </c>
      <c r="Z161" s="543">
        <v>22022</v>
      </c>
      <c r="AA161" s="543">
        <v>21925</v>
      </c>
      <c r="AB161" s="543">
        <v>23445</v>
      </c>
      <c r="AC161" s="543">
        <v>25209</v>
      </c>
      <c r="AD161" s="543" t="s">
        <v>2620</v>
      </c>
      <c r="AE161" s="543" t="s">
        <v>2620</v>
      </c>
      <c r="AF161" s="543" t="s">
        <v>2620</v>
      </c>
    </row>
    <row r="162" spans="1:32">
      <c r="A162" s="533"/>
      <c r="B162" s="534"/>
      <c r="C162" s="535" t="s">
        <v>848</v>
      </c>
      <c r="D162" s="12" t="s">
        <v>1271</v>
      </c>
      <c r="E162" s="13">
        <v>29</v>
      </c>
      <c r="F162" s="14" t="s">
        <v>2716</v>
      </c>
      <c r="G162" s="543">
        <v>37602</v>
      </c>
      <c r="H162" s="543">
        <v>40737</v>
      </c>
      <c r="I162" s="543">
        <v>38178</v>
      </c>
      <c r="J162" s="543">
        <v>44012</v>
      </c>
      <c r="K162" s="543">
        <v>48653</v>
      </c>
      <c r="L162" s="543">
        <v>56918</v>
      </c>
      <c r="M162" s="543">
        <v>61926</v>
      </c>
      <c r="N162" s="543">
        <v>70578</v>
      </c>
      <c r="O162" s="543">
        <v>74309</v>
      </c>
      <c r="P162" s="543">
        <v>73303</v>
      </c>
      <c r="Q162" s="543">
        <v>76137</v>
      </c>
      <c r="R162" s="543">
        <v>80752</v>
      </c>
      <c r="S162" s="543">
        <v>86094</v>
      </c>
      <c r="T162" s="543">
        <v>92945</v>
      </c>
      <c r="U162" s="543">
        <v>103485</v>
      </c>
      <c r="V162" s="543">
        <v>113260</v>
      </c>
      <c r="W162" s="543">
        <v>120366</v>
      </c>
      <c r="X162" s="543">
        <v>124613</v>
      </c>
      <c r="Y162" s="543">
        <v>132017</v>
      </c>
      <c r="Z162" s="543">
        <v>141182</v>
      </c>
      <c r="AA162" s="543">
        <v>153696</v>
      </c>
      <c r="AB162" s="543">
        <v>171908</v>
      </c>
      <c r="AC162" s="543">
        <v>172831</v>
      </c>
      <c r="AD162" s="543" t="s">
        <v>2620</v>
      </c>
      <c r="AE162" s="543" t="s">
        <v>2620</v>
      </c>
      <c r="AF162" s="543" t="s">
        <v>2620</v>
      </c>
    </row>
    <row r="163" spans="1:32">
      <c r="A163" s="533"/>
      <c r="B163" s="534" t="s">
        <v>1593</v>
      </c>
      <c r="C163" s="535" t="s">
        <v>762</v>
      </c>
      <c r="D163" s="12" t="s">
        <v>1271</v>
      </c>
      <c r="E163" s="13">
        <v>31</v>
      </c>
      <c r="F163" s="14" t="s">
        <v>2717</v>
      </c>
      <c r="G163" s="543">
        <v>83354</v>
      </c>
      <c r="H163" s="543">
        <v>77816</v>
      </c>
      <c r="I163" s="543">
        <v>77952</v>
      </c>
      <c r="J163" s="543">
        <v>79744</v>
      </c>
      <c r="K163" s="543">
        <v>81289</v>
      </c>
      <c r="L163" s="543">
        <v>86814</v>
      </c>
      <c r="M163" s="543">
        <v>80389</v>
      </c>
      <c r="N163" s="543">
        <v>75333</v>
      </c>
      <c r="O163" s="543">
        <v>85621</v>
      </c>
      <c r="P163" s="543">
        <v>94500</v>
      </c>
      <c r="Q163" s="543">
        <v>97948</v>
      </c>
      <c r="R163" s="543">
        <v>98804</v>
      </c>
      <c r="S163" s="543">
        <v>90624</v>
      </c>
      <c r="T163" s="543">
        <v>93447</v>
      </c>
      <c r="U163" s="543">
        <v>93223</v>
      </c>
      <c r="V163" s="543">
        <v>101063</v>
      </c>
      <c r="W163" s="543">
        <v>96658</v>
      </c>
      <c r="X163" s="543">
        <v>98604</v>
      </c>
      <c r="Y163" s="543">
        <v>106947</v>
      </c>
      <c r="Z163" s="543">
        <v>108028</v>
      </c>
      <c r="AA163" s="543">
        <v>110380</v>
      </c>
      <c r="AB163" s="543">
        <v>103102</v>
      </c>
      <c r="AC163" s="543">
        <v>113235</v>
      </c>
      <c r="AD163" s="543" t="s">
        <v>2620</v>
      </c>
      <c r="AE163" s="543" t="s">
        <v>2620</v>
      </c>
      <c r="AF163" s="543" t="s">
        <v>2620</v>
      </c>
    </row>
    <row r="164" spans="1:32">
      <c r="A164" s="533"/>
      <c r="B164" s="534"/>
      <c r="C164" s="535"/>
      <c r="D164" s="12"/>
      <c r="E164" s="13"/>
      <c r="F164" s="14"/>
      <c r="G164" s="543"/>
      <c r="H164" s="543"/>
      <c r="I164" s="543"/>
      <c r="J164" s="543"/>
      <c r="K164" s="543"/>
      <c r="L164" s="543"/>
      <c r="M164" s="543"/>
      <c r="N164" s="543"/>
      <c r="O164" s="543"/>
      <c r="P164" s="543"/>
      <c r="Q164" s="543"/>
      <c r="R164" s="543"/>
      <c r="S164" s="543"/>
      <c r="T164" s="543"/>
      <c r="U164" s="543"/>
      <c r="V164" s="543"/>
      <c r="W164" s="543"/>
      <c r="X164" s="543"/>
      <c r="Y164" s="543"/>
      <c r="Z164" s="543"/>
      <c r="AA164" s="543"/>
      <c r="AB164" s="543"/>
      <c r="AC164" s="543"/>
      <c r="AD164" s="543"/>
      <c r="AE164" s="543"/>
      <c r="AF164" s="543"/>
    </row>
    <row r="165" spans="1:32">
      <c r="A165" s="533"/>
      <c r="B165" s="534" t="s">
        <v>1549</v>
      </c>
      <c r="C165" s="535" t="s">
        <v>373</v>
      </c>
      <c r="D165" s="12" t="s">
        <v>1271</v>
      </c>
      <c r="E165" s="13">
        <v>36</v>
      </c>
      <c r="F165" s="14" t="s">
        <v>2718</v>
      </c>
      <c r="G165" s="543">
        <v>0</v>
      </c>
      <c r="H165" s="543">
        <v>0</v>
      </c>
      <c r="I165" s="543">
        <v>0</v>
      </c>
      <c r="J165" s="543">
        <v>1242</v>
      </c>
      <c r="K165" s="543">
        <v>668</v>
      </c>
      <c r="L165" s="543">
        <v>3807</v>
      </c>
      <c r="M165" s="543">
        <v>4358</v>
      </c>
      <c r="N165" s="543">
        <v>5240</v>
      </c>
      <c r="O165" s="543">
        <v>7245</v>
      </c>
      <c r="P165" s="543">
        <v>6760</v>
      </c>
      <c r="Q165" s="543">
        <v>7871</v>
      </c>
      <c r="R165" s="543">
        <v>7223</v>
      </c>
      <c r="S165" s="543">
        <v>8893</v>
      </c>
      <c r="T165" s="543">
        <v>8943</v>
      </c>
      <c r="U165" s="543">
        <v>8992</v>
      </c>
      <c r="V165" s="543">
        <v>8515</v>
      </c>
      <c r="W165" s="543">
        <v>9639</v>
      </c>
      <c r="X165" s="543">
        <v>7114</v>
      </c>
      <c r="Y165" s="543">
        <v>8135</v>
      </c>
      <c r="Z165" s="543">
        <v>8314</v>
      </c>
      <c r="AA165" s="543">
        <v>8615</v>
      </c>
      <c r="AB165" s="543">
        <v>9880</v>
      </c>
      <c r="AC165" s="543">
        <v>11094</v>
      </c>
      <c r="AD165" s="543" t="s">
        <v>2620</v>
      </c>
      <c r="AE165" s="543" t="s">
        <v>2620</v>
      </c>
      <c r="AF165" s="543" t="s">
        <v>2620</v>
      </c>
    </row>
    <row r="166" spans="1:32">
      <c r="A166" s="533"/>
      <c r="B166" s="534" t="s">
        <v>1203</v>
      </c>
      <c r="C166" s="535" t="s">
        <v>1204</v>
      </c>
      <c r="D166" s="12" t="s">
        <v>1271</v>
      </c>
      <c r="E166" s="13">
        <v>39</v>
      </c>
      <c r="F166" s="14" t="s">
        <v>2719</v>
      </c>
      <c r="G166" s="543">
        <v>4526</v>
      </c>
      <c r="H166" s="543">
        <v>4147</v>
      </c>
      <c r="I166" s="543">
        <v>4533</v>
      </c>
      <c r="J166" s="543">
        <v>4988</v>
      </c>
      <c r="K166" s="543">
        <v>4633</v>
      </c>
      <c r="L166" s="543">
        <v>4959</v>
      </c>
      <c r="M166" s="543">
        <v>5266</v>
      </c>
      <c r="N166" s="543">
        <v>5723</v>
      </c>
      <c r="O166" s="543">
        <v>5267</v>
      </c>
      <c r="P166" s="543">
        <v>5430</v>
      </c>
      <c r="Q166" s="543">
        <v>6456</v>
      </c>
      <c r="R166" s="543">
        <v>3962</v>
      </c>
      <c r="S166" s="543">
        <v>3544</v>
      </c>
      <c r="T166" s="543">
        <v>3102</v>
      </c>
      <c r="U166" s="543">
        <v>3321</v>
      </c>
      <c r="V166" s="543">
        <v>3154</v>
      </c>
      <c r="W166" s="543">
        <v>3767</v>
      </c>
      <c r="X166" s="543">
        <v>13965</v>
      </c>
      <c r="Y166" s="543">
        <v>13600</v>
      </c>
      <c r="Z166" s="543">
        <v>5338</v>
      </c>
      <c r="AA166" s="543">
        <v>11038</v>
      </c>
      <c r="AB166" s="543">
        <v>6883</v>
      </c>
      <c r="AC166" s="543">
        <v>7503</v>
      </c>
      <c r="AD166" s="543" t="s">
        <v>2620</v>
      </c>
      <c r="AE166" s="543" t="s">
        <v>2620</v>
      </c>
      <c r="AF166" s="543" t="s">
        <v>2620</v>
      </c>
    </row>
    <row r="167" spans="1:32">
      <c r="A167" s="533">
        <v>130</v>
      </c>
      <c r="B167" s="534" t="s">
        <v>1594</v>
      </c>
      <c r="C167" s="535" t="s">
        <v>1266</v>
      </c>
      <c r="D167" s="12" t="s">
        <v>1271</v>
      </c>
      <c r="E167" s="13">
        <v>40</v>
      </c>
      <c r="F167" s="14" t="s">
        <v>2720</v>
      </c>
      <c r="G167" s="543">
        <v>2173</v>
      </c>
      <c r="H167" s="543">
        <v>1553</v>
      </c>
      <c r="I167" s="543">
        <v>2016</v>
      </c>
      <c r="J167" s="543">
        <v>2149</v>
      </c>
      <c r="K167" s="543">
        <v>2381</v>
      </c>
      <c r="L167" s="543">
        <v>2787</v>
      </c>
      <c r="M167" s="543">
        <v>2786</v>
      </c>
      <c r="N167" s="543">
        <v>2975</v>
      </c>
      <c r="O167" s="543">
        <v>2490</v>
      </c>
      <c r="P167" s="543">
        <v>2551</v>
      </c>
      <c r="Q167" s="543">
        <v>1092</v>
      </c>
      <c r="R167" s="543">
        <v>120</v>
      </c>
      <c r="S167" s="543">
        <v>23</v>
      </c>
      <c r="T167" s="543">
        <v>16</v>
      </c>
      <c r="U167" s="543">
        <v>2</v>
      </c>
      <c r="V167" s="543">
        <v>10</v>
      </c>
      <c r="W167" s="543">
        <v>3</v>
      </c>
      <c r="X167" s="543">
        <v>-4</v>
      </c>
      <c r="Y167" s="543">
        <v>-4</v>
      </c>
      <c r="Z167" s="543">
        <v>2</v>
      </c>
      <c r="AA167" s="3457">
        <v>0</v>
      </c>
      <c r="AB167" s="3457">
        <v>0</v>
      </c>
      <c r="AC167" s="543">
        <v>0</v>
      </c>
      <c r="AD167" s="543" t="s">
        <v>2620</v>
      </c>
      <c r="AE167" s="543" t="s">
        <v>2620</v>
      </c>
      <c r="AF167" s="543" t="s">
        <v>2620</v>
      </c>
    </row>
    <row r="168" spans="1:32">
      <c r="A168" s="533"/>
      <c r="B168" s="534" t="s">
        <v>1225</v>
      </c>
      <c r="C168" s="535" t="s">
        <v>1268</v>
      </c>
      <c r="D168" s="12" t="s">
        <v>1271</v>
      </c>
      <c r="E168" s="13">
        <v>42</v>
      </c>
      <c r="F168" s="14" t="s">
        <v>2721</v>
      </c>
      <c r="G168" s="543">
        <v>13041</v>
      </c>
      <c r="H168" s="543">
        <v>12415</v>
      </c>
      <c r="I168" s="543">
        <v>11100</v>
      </c>
      <c r="J168" s="543">
        <v>8820</v>
      </c>
      <c r="K168" s="543">
        <v>12168</v>
      </c>
      <c r="L168" s="543">
        <v>8319</v>
      </c>
      <c r="M168" s="543">
        <v>8179</v>
      </c>
      <c r="N168" s="543">
        <v>8585</v>
      </c>
      <c r="O168" s="543">
        <v>9607</v>
      </c>
      <c r="P168" s="543">
        <v>7995</v>
      </c>
      <c r="Q168" s="543">
        <v>13879</v>
      </c>
      <c r="R168" s="543">
        <v>8251</v>
      </c>
      <c r="S168" s="543">
        <v>9282</v>
      </c>
      <c r="T168" s="543">
        <v>10691</v>
      </c>
      <c r="U168" s="543">
        <v>9125</v>
      </c>
      <c r="V168" s="543">
        <v>8712</v>
      </c>
      <c r="W168" s="543">
        <v>11388</v>
      </c>
      <c r="X168" s="543">
        <v>10596</v>
      </c>
      <c r="Y168" s="543">
        <v>9861</v>
      </c>
      <c r="Z168" s="543">
        <v>10602</v>
      </c>
      <c r="AA168" s="543">
        <v>12733</v>
      </c>
      <c r="AB168" s="543">
        <v>16074</v>
      </c>
      <c r="AC168" s="543">
        <v>10021</v>
      </c>
      <c r="AD168" s="543" t="s">
        <v>2620</v>
      </c>
      <c r="AE168" s="543" t="s">
        <v>2620</v>
      </c>
      <c r="AF168" s="543" t="s">
        <v>2620</v>
      </c>
    </row>
    <row r="169" spans="1:32">
      <c r="A169" s="533"/>
      <c r="B169" s="534"/>
      <c r="C169" s="535" t="s">
        <v>1205</v>
      </c>
      <c r="D169" s="12" t="s">
        <v>1271</v>
      </c>
      <c r="E169" s="13">
        <v>84</v>
      </c>
      <c r="F169" s="14" t="s">
        <v>2722</v>
      </c>
      <c r="G169" s="543">
        <v>0</v>
      </c>
      <c r="H169" s="543">
        <v>0</v>
      </c>
      <c r="I169" s="543">
        <v>0</v>
      </c>
      <c r="J169" s="543">
        <v>0</v>
      </c>
      <c r="K169" s="543">
        <v>0</v>
      </c>
      <c r="L169" s="543">
        <v>0</v>
      </c>
      <c r="M169" s="543">
        <v>0</v>
      </c>
      <c r="N169" s="543">
        <v>0</v>
      </c>
      <c r="O169" s="543">
        <v>0</v>
      </c>
      <c r="P169" s="543">
        <v>0</v>
      </c>
      <c r="Q169" s="543">
        <v>0</v>
      </c>
      <c r="R169" s="543">
        <v>0</v>
      </c>
      <c r="S169" s="543">
        <v>0</v>
      </c>
      <c r="T169" s="543">
        <v>0</v>
      </c>
      <c r="U169" s="543">
        <v>0</v>
      </c>
      <c r="V169" s="543">
        <v>0</v>
      </c>
      <c r="W169" s="543">
        <v>0</v>
      </c>
      <c r="X169" s="543">
        <v>0</v>
      </c>
      <c r="Y169" s="543">
        <v>0</v>
      </c>
      <c r="Z169" s="543">
        <v>0</v>
      </c>
      <c r="AA169" s="543">
        <v>0</v>
      </c>
      <c r="AB169" s="543">
        <v>0</v>
      </c>
      <c r="AC169" s="543">
        <v>0</v>
      </c>
      <c r="AD169" s="543" t="s">
        <v>2620</v>
      </c>
      <c r="AE169" s="543" t="s">
        <v>2620</v>
      </c>
      <c r="AF169" s="543" t="s">
        <v>2620</v>
      </c>
    </row>
    <row r="170" spans="1:32">
      <c r="A170" s="533"/>
      <c r="B170" s="534"/>
      <c r="C170" s="535"/>
      <c r="D170" s="12"/>
      <c r="E170" s="13"/>
      <c r="F170" s="14"/>
      <c r="G170" s="543"/>
      <c r="H170" s="543"/>
      <c r="I170" s="543"/>
      <c r="J170" s="543"/>
      <c r="K170" s="543"/>
      <c r="L170" s="543"/>
      <c r="M170" s="543"/>
      <c r="N170" s="543"/>
      <c r="O170" s="543"/>
      <c r="P170" s="543"/>
      <c r="Q170" s="543"/>
      <c r="R170" s="543"/>
      <c r="S170" s="543"/>
      <c r="T170" s="543"/>
      <c r="U170" s="543"/>
      <c r="V170" s="543"/>
      <c r="W170" s="543"/>
      <c r="X170" s="543"/>
      <c r="Y170" s="543"/>
      <c r="Z170" s="543"/>
      <c r="AA170" s="543"/>
      <c r="AB170" s="543"/>
      <c r="AC170" s="543"/>
      <c r="AD170" s="543"/>
      <c r="AE170" s="543"/>
      <c r="AF170" s="543"/>
    </row>
    <row r="171" spans="1:32">
      <c r="A171" s="533">
        <v>126</v>
      </c>
      <c r="B171" s="534" t="s">
        <v>1226</v>
      </c>
      <c r="C171" s="535" t="s">
        <v>1269</v>
      </c>
      <c r="D171" s="12" t="s">
        <v>1271</v>
      </c>
      <c r="E171" s="13">
        <v>44</v>
      </c>
      <c r="F171" s="14" t="s">
        <v>2723</v>
      </c>
      <c r="G171" s="543">
        <v>96528</v>
      </c>
      <c r="H171" s="543">
        <v>95433</v>
      </c>
      <c r="I171" s="543">
        <v>87947</v>
      </c>
      <c r="J171" s="543">
        <v>92037</v>
      </c>
      <c r="K171" s="543">
        <v>97268</v>
      </c>
      <c r="L171" s="543">
        <v>93669</v>
      </c>
      <c r="M171" s="543">
        <v>102957</v>
      </c>
      <c r="N171" s="543">
        <v>111725</v>
      </c>
      <c r="O171" s="543">
        <v>112456</v>
      </c>
      <c r="P171" s="543">
        <v>115195</v>
      </c>
      <c r="Q171" s="543">
        <v>119395</v>
      </c>
      <c r="R171" s="543">
        <v>127952</v>
      </c>
      <c r="S171" s="543">
        <v>135081</v>
      </c>
      <c r="T171" s="543">
        <v>144477</v>
      </c>
      <c r="U171" s="543">
        <v>147809</v>
      </c>
      <c r="V171" s="543">
        <v>158891</v>
      </c>
      <c r="W171" s="543">
        <v>162204</v>
      </c>
      <c r="X171" s="543">
        <v>167868</v>
      </c>
      <c r="Y171" s="543">
        <v>168192</v>
      </c>
      <c r="Z171" s="543">
        <v>173157</v>
      </c>
      <c r="AA171" s="543">
        <v>175769</v>
      </c>
      <c r="AB171" s="543">
        <v>192807</v>
      </c>
      <c r="AC171" s="543">
        <v>209737</v>
      </c>
      <c r="AD171" s="543" t="s">
        <v>2620</v>
      </c>
      <c r="AE171" s="543" t="s">
        <v>2620</v>
      </c>
      <c r="AF171" s="543" t="s">
        <v>2620</v>
      </c>
    </row>
    <row r="172" spans="1:32">
      <c r="A172" s="533"/>
      <c r="B172" s="534" t="s">
        <v>1227</v>
      </c>
      <c r="C172" s="535" t="s">
        <v>1691</v>
      </c>
      <c r="D172" s="12" t="s">
        <v>1271</v>
      </c>
      <c r="E172" s="13">
        <v>45</v>
      </c>
      <c r="F172" s="14" t="s">
        <v>2724</v>
      </c>
      <c r="G172" s="543">
        <v>-1183</v>
      </c>
      <c r="H172" s="543">
        <v>-1452</v>
      </c>
      <c r="I172" s="543">
        <v>-603</v>
      </c>
      <c r="J172" s="543">
        <v>-43</v>
      </c>
      <c r="K172" s="543">
        <v>-799</v>
      </c>
      <c r="L172" s="543">
        <v>-114</v>
      </c>
      <c r="M172" s="543">
        <v>46</v>
      </c>
      <c r="N172" s="543">
        <v>-112</v>
      </c>
      <c r="O172" s="543">
        <v>-67</v>
      </c>
      <c r="P172" s="543">
        <v>-21</v>
      </c>
      <c r="Q172" s="543">
        <v>146</v>
      </c>
      <c r="R172" s="543">
        <v>46</v>
      </c>
      <c r="S172" s="543">
        <v>243</v>
      </c>
      <c r="T172" s="543">
        <v>72</v>
      </c>
      <c r="U172" s="543">
        <v>177</v>
      </c>
      <c r="V172" s="543">
        <v>160</v>
      </c>
      <c r="W172" s="543">
        <v>-155</v>
      </c>
      <c r="X172" s="543">
        <v>353</v>
      </c>
      <c r="Y172" s="543">
        <v>183</v>
      </c>
      <c r="Z172" s="543">
        <v>1118</v>
      </c>
      <c r="AA172" s="543">
        <v>3777</v>
      </c>
      <c r="AB172" s="543">
        <v>813</v>
      </c>
      <c r="AC172" s="543">
        <v>667</v>
      </c>
      <c r="AD172" s="543" t="s">
        <v>2620</v>
      </c>
      <c r="AE172" s="543" t="s">
        <v>2620</v>
      </c>
      <c r="AF172" s="543" t="s">
        <v>2620</v>
      </c>
    </row>
    <row r="173" spans="1:32">
      <c r="A173" s="533"/>
      <c r="B173" s="534" t="s">
        <v>751</v>
      </c>
      <c r="C173" s="535" t="s">
        <v>1690</v>
      </c>
      <c r="D173" s="12" t="s">
        <v>1271</v>
      </c>
      <c r="E173" s="13">
        <v>46</v>
      </c>
      <c r="F173" s="14" t="s">
        <v>2725</v>
      </c>
      <c r="G173" s="543">
        <v>-872</v>
      </c>
      <c r="H173" s="543">
        <v>-9142</v>
      </c>
      <c r="I173" s="543">
        <v>1787</v>
      </c>
      <c r="J173" s="543">
        <v>-19822</v>
      </c>
      <c r="K173" s="543">
        <v>-5221</v>
      </c>
      <c r="L173" s="543">
        <v>-5976</v>
      </c>
      <c r="M173" s="543">
        <v>-4861</v>
      </c>
      <c r="N173" s="543">
        <v>-2674</v>
      </c>
      <c r="O173" s="543">
        <v>-3726</v>
      </c>
      <c r="P173" s="543">
        <v>-5168</v>
      </c>
      <c r="Q173" s="543">
        <v>-6709</v>
      </c>
      <c r="R173" s="543">
        <v>-6190</v>
      </c>
      <c r="S173" s="543">
        <v>-6095</v>
      </c>
      <c r="T173" s="543">
        <v>-7524</v>
      </c>
      <c r="U173" s="543">
        <v>-6865</v>
      </c>
      <c r="V173" s="543">
        <v>-6939</v>
      </c>
      <c r="W173" s="543">
        <v>-1401</v>
      </c>
      <c r="X173" s="543">
        <v>-3012</v>
      </c>
      <c r="Y173" s="543">
        <v>-2163</v>
      </c>
      <c r="Z173" s="543">
        <v>-3068</v>
      </c>
      <c r="AA173" s="543">
        <v>-1577</v>
      </c>
      <c r="AB173" s="543">
        <v>-7184</v>
      </c>
      <c r="AC173" s="543">
        <v>-5816</v>
      </c>
      <c r="AD173" s="543" t="s">
        <v>2620</v>
      </c>
      <c r="AE173" s="543" t="s">
        <v>2620</v>
      </c>
      <c r="AF173" s="543" t="s">
        <v>2620</v>
      </c>
    </row>
    <row r="174" spans="1:32">
      <c r="A174" s="533"/>
      <c r="B174" s="534"/>
      <c r="C174" s="535"/>
      <c r="D174" s="12"/>
      <c r="E174" s="13"/>
      <c r="F174" s="14"/>
      <c r="G174" s="543"/>
      <c r="H174" s="543"/>
      <c r="I174" s="543"/>
      <c r="J174" s="543"/>
      <c r="K174" s="543"/>
      <c r="L174" s="543"/>
      <c r="M174" s="543"/>
      <c r="N174" s="543"/>
      <c r="O174" s="543"/>
      <c r="P174" s="543"/>
      <c r="Q174" s="543"/>
      <c r="R174" s="543"/>
      <c r="S174" s="543"/>
      <c r="T174" s="543"/>
      <c r="U174" s="543"/>
      <c r="V174" s="543"/>
      <c r="W174" s="543"/>
      <c r="X174" s="543"/>
      <c r="Y174" s="543"/>
      <c r="Z174" s="543"/>
      <c r="AA174" s="543"/>
      <c r="AB174" s="543"/>
      <c r="AC174" s="543"/>
      <c r="AD174" s="543"/>
      <c r="AE174" s="543"/>
      <c r="AF174" s="543"/>
    </row>
    <row r="175" spans="1:32">
      <c r="A175" s="533">
        <v>128</v>
      </c>
      <c r="B175" s="534" t="s">
        <v>1224</v>
      </c>
      <c r="C175" s="535"/>
      <c r="D175" s="12" t="s">
        <v>1271</v>
      </c>
      <c r="E175" s="13">
        <v>900</v>
      </c>
      <c r="F175" s="14" t="s">
        <v>2726</v>
      </c>
      <c r="G175" s="543">
        <v>1309923</v>
      </c>
      <c r="H175" s="543">
        <v>1357209</v>
      </c>
      <c r="I175" s="543">
        <v>1370667</v>
      </c>
      <c r="J175" s="543">
        <v>1417041</v>
      </c>
      <c r="K175" s="543">
        <v>1376377</v>
      </c>
      <c r="L175" s="543">
        <v>1209595</v>
      </c>
      <c r="M175" s="543">
        <v>1296008</v>
      </c>
      <c r="N175" s="543">
        <v>1293116</v>
      </c>
      <c r="O175" s="543">
        <v>1332063</v>
      </c>
      <c r="P175" s="543">
        <v>1371971</v>
      </c>
      <c r="Q175" s="543">
        <v>1429434</v>
      </c>
      <c r="R175" s="543">
        <v>1363126</v>
      </c>
      <c r="S175" s="543">
        <v>1294142</v>
      </c>
      <c r="T175" s="543">
        <v>1279954</v>
      </c>
      <c r="U175" s="543">
        <v>1361160</v>
      </c>
      <c r="V175" s="543">
        <v>1360305</v>
      </c>
      <c r="W175" s="543">
        <v>1384883</v>
      </c>
      <c r="X175" s="543">
        <v>1404235</v>
      </c>
      <c r="Y175" s="543">
        <v>1535853</v>
      </c>
      <c r="Z175" s="543">
        <v>1791624</v>
      </c>
      <c r="AA175" s="543">
        <v>1856324</v>
      </c>
      <c r="AB175" s="543">
        <v>1857761</v>
      </c>
      <c r="AC175" s="543">
        <v>1869507</v>
      </c>
      <c r="AD175" s="543" t="s">
        <v>2620</v>
      </c>
      <c r="AE175" s="543" t="s">
        <v>2620</v>
      </c>
      <c r="AF175" s="543" t="s">
        <v>2620</v>
      </c>
    </row>
    <row r="176" spans="1:32">
      <c r="A176" s="533">
        <v>129</v>
      </c>
      <c r="B176" s="534" t="s">
        <v>1411</v>
      </c>
      <c r="C176" s="535"/>
      <c r="D176" s="12" t="s">
        <v>1271</v>
      </c>
      <c r="E176" s="13">
        <v>49</v>
      </c>
      <c r="F176" s="14" t="s">
        <v>2727</v>
      </c>
      <c r="G176" s="543">
        <v>1196999</v>
      </c>
      <c r="H176" s="543">
        <v>1187645</v>
      </c>
      <c r="I176" s="543">
        <v>1196968</v>
      </c>
      <c r="J176" s="543">
        <v>1209422</v>
      </c>
      <c r="K176" s="543">
        <v>1260207</v>
      </c>
      <c r="L176" s="543">
        <v>1270095</v>
      </c>
      <c r="M176" s="543">
        <v>1307847</v>
      </c>
      <c r="N176" s="543">
        <v>1386156</v>
      </c>
      <c r="O176" s="543">
        <v>1446994</v>
      </c>
      <c r="P176" s="543">
        <v>1471024</v>
      </c>
      <c r="Q176" s="543">
        <v>1522630</v>
      </c>
      <c r="R176" s="543">
        <v>1581656</v>
      </c>
      <c r="S176" s="543">
        <v>1626677</v>
      </c>
      <c r="T176" s="543">
        <v>1696102</v>
      </c>
      <c r="U176" s="543">
        <v>1734908</v>
      </c>
      <c r="V176" s="543">
        <v>1788623</v>
      </c>
      <c r="W176" s="543">
        <v>1839773</v>
      </c>
      <c r="X176" s="543">
        <v>1892526</v>
      </c>
      <c r="Y176" s="543">
        <v>1960632</v>
      </c>
      <c r="Z176" s="543">
        <v>2012901</v>
      </c>
      <c r="AA176" s="543">
        <v>2085439</v>
      </c>
      <c r="AB176" s="543">
        <v>2179022</v>
      </c>
      <c r="AC176" s="543">
        <v>2257620</v>
      </c>
      <c r="AD176" s="543" t="s">
        <v>2620</v>
      </c>
      <c r="AE176" s="543" t="s">
        <v>2620</v>
      </c>
      <c r="AF176" s="543" t="s">
        <v>2620</v>
      </c>
    </row>
    <row r="177" spans="1:32">
      <c r="A177" s="533"/>
      <c r="B177" s="534" t="s">
        <v>1978</v>
      </c>
      <c r="C177" s="535"/>
      <c r="D177" s="12" t="s">
        <v>1271</v>
      </c>
      <c r="E177" s="13">
        <v>50</v>
      </c>
      <c r="F177" s="14" t="s">
        <v>2728</v>
      </c>
      <c r="G177" s="543">
        <v>1064615</v>
      </c>
      <c r="H177" s="543">
        <v>1127537</v>
      </c>
      <c r="I177" s="543">
        <v>1165174</v>
      </c>
      <c r="J177" s="543">
        <v>1227214</v>
      </c>
      <c r="K177" s="543">
        <v>1277180</v>
      </c>
      <c r="L177" s="543">
        <v>1346861</v>
      </c>
      <c r="M177" s="543">
        <v>1343128</v>
      </c>
      <c r="N177" s="543">
        <v>1348822</v>
      </c>
      <c r="O177" s="543">
        <v>1413008</v>
      </c>
      <c r="P177" s="543">
        <v>1481005</v>
      </c>
      <c r="Q177" s="543">
        <v>1575963</v>
      </c>
      <c r="R177" s="543">
        <v>1650202</v>
      </c>
      <c r="S177" s="543">
        <v>1737392</v>
      </c>
      <c r="T177" s="543">
        <v>1760684</v>
      </c>
      <c r="U177" s="543">
        <v>1711357</v>
      </c>
      <c r="V177" s="543">
        <v>1787493</v>
      </c>
      <c r="W177" s="543">
        <v>1832361</v>
      </c>
      <c r="X177" s="543">
        <v>1856937</v>
      </c>
      <c r="Y177" s="543">
        <v>1909039</v>
      </c>
      <c r="Z177" s="543">
        <v>1951725</v>
      </c>
      <c r="AA177" s="543">
        <v>2092137</v>
      </c>
      <c r="AB177" s="543">
        <v>2227774</v>
      </c>
      <c r="AC177" s="543">
        <v>2328699</v>
      </c>
      <c r="AD177" s="543" t="s">
        <v>2620</v>
      </c>
      <c r="AE177" s="543" t="s">
        <v>2620</v>
      </c>
      <c r="AF177" s="543" t="s">
        <v>2620</v>
      </c>
    </row>
    <row r="178" spans="1:32">
      <c r="A178" s="533">
        <v>132</v>
      </c>
      <c r="B178" s="534" t="s">
        <v>753</v>
      </c>
      <c r="C178" s="535" t="s">
        <v>1270</v>
      </c>
      <c r="D178" s="12" t="s">
        <v>1271</v>
      </c>
      <c r="E178" s="13">
        <v>190</v>
      </c>
      <c r="F178" s="14" t="s">
        <v>2729</v>
      </c>
      <c r="G178" s="543">
        <v>96672</v>
      </c>
      <c r="H178" s="543">
        <v>100435</v>
      </c>
      <c r="I178" s="543">
        <v>101459</v>
      </c>
      <c r="J178" s="543">
        <v>92585</v>
      </c>
      <c r="K178" s="543">
        <v>85979</v>
      </c>
      <c r="L178" s="543">
        <v>78954</v>
      </c>
      <c r="M178" s="543">
        <v>64692</v>
      </c>
      <c r="N178" s="543">
        <v>74092</v>
      </c>
      <c r="O178" s="543">
        <v>55999</v>
      </c>
      <c r="P178" s="543">
        <v>47375</v>
      </c>
      <c r="Q178" s="543">
        <v>50914</v>
      </c>
      <c r="R178" s="543">
        <v>50259</v>
      </c>
      <c r="S178" s="543">
        <v>54591</v>
      </c>
      <c r="T178" s="543">
        <v>53037</v>
      </c>
      <c r="U178" s="543">
        <v>38298</v>
      </c>
      <c r="V178" s="543">
        <v>36905</v>
      </c>
      <c r="W178" s="543">
        <v>41170</v>
      </c>
      <c r="X178" s="543">
        <v>33578</v>
      </c>
      <c r="Y178" s="543">
        <v>30331</v>
      </c>
      <c r="Z178" s="543">
        <v>26745</v>
      </c>
      <c r="AA178" s="543">
        <v>18783</v>
      </c>
      <c r="AB178" s="543">
        <v>18178</v>
      </c>
      <c r="AC178" s="543">
        <v>16094</v>
      </c>
      <c r="AD178" s="543" t="s">
        <v>2620</v>
      </c>
      <c r="AE178" s="543" t="s">
        <v>2620</v>
      </c>
      <c r="AF178" s="543" t="s">
        <v>2620</v>
      </c>
    </row>
    <row r="179" spans="1:32">
      <c r="A179" s="533"/>
      <c r="B179" s="534"/>
      <c r="C179" s="535"/>
      <c r="D179" s="12"/>
      <c r="E179" s="13"/>
      <c r="F179" s="14"/>
      <c r="G179" s="543"/>
      <c r="H179" s="543"/>
      <c r="I179" s="543"/>
      <c r="J179" s="543"/>
      <c r="K179" s="543"/>
      <c r="L179" s="543"/>
      <c r="M179" s="543"/>
      <c r="N179" s="543"/>
      <c r="O179" s="543"/>
      <c r="P179" s="543"/>
      <c r="Q179" s="543"/>
      <c r="R179" s="543"/>
      <c r="S179" s="543"/>
      <c r="T179" s="543"/>
      <c r="U179" s="543"/>
      <c r="V179" s="543"/>
      <c r="W179" s="543"/>
      <c r="X179" s="543"/>
      <c r="Y179" s="543"/>
      <c r="Z179" s="543"/>
      <c r="AA179" s="543"/>
      <c r="AB179" s="543"/>
      <c r="AC179" s="543"/>
      <c r="AD179" s="543"/>
      <c r="AE179" s="543"/>
      <c r="AF179" s="543"/>
    </row>
    <row r="180" spans="1:32">
      <c r="A180" s="533"/>
      <c r="B180" s="534" t="s">
        <v>1272</v>
      </c>
      <c r="C180" s="535" t="s">
        <v>1286</v>
      </c>
      <c r="D180" s="12" t="s">
        <v>1273</v>
      </c>
      <c r="E180" s="13">
        <v>3</v>
      </c>
      <c r="F180" s="14" t="s">
        <v>2679</v>
      </c>
      <c r="G180" s="543">
        <v>172455</v>
      </c>
      <c r="H180" s="543">
        <v>177858</v>
      </c>
      <c r="I180" s="543">
        <v>180364</v>
      </c>
      <c r="J180" s="543">
        <v>185140</v>
      </c>
      <c r="K180" s="543">
        <v>188014</v>
      </c>
      <c r="L180" s="543">
        <v>210111</v>
      </c>
      <c r="M180" s="543">
        <v>218097</v>
      </c>
      <c r="N180" s="543">
        <v>229754</v>
      </c>
      <c r="O180" s="543">
        <v>236341</v>
      </c>
      <c r="P180" s="543">
        <v>238299</v>
      </c>
      <c r="Q180" s="543">
        <v>244503</v>
      </c>
      <c r="R180" s="543">
        <v>259091</v>
      </c>
      <c r="S180" s="543">
        <v>282213</v>
      </c>
      <c r="T180" s="543">
        <v>274555</v>
      </c>
      <c r="U180" s="543">
        <v>267153</v>
      </c>
      <c r="V180" s="543">
        <v>282431</v>
      </c>
      <c r="W180" s="543">
        <v>287750</v>
      </c>
      <c r="X180" s="543">
        <v>279341</v>
      </c>
      <c r="Y180" s="543">
        <v>282464</v>
      </c>
      <c r="Z180" s="543">
        <v>290763</v>
      </c>
      <c r="AA180" s="543">
        <v>292324</v>
      </c>
      <c r="AB180" s="543">
        <v>303537</v>
      </c>
      <c r="AC180" s="543">
        <v>319355</v>
      </c>
      <c r="AD180" s="543" t="s">
        <v>2620</v>
      </c>
      <c r="AE180" s="543" t="s">
        <v>2620</v>
      </c>
      <c r="AF180" s="543" t="s">
        <v>2620</v>
      </c>
    </row>
    <row r="181" spans="1:32">
      <c r="A181" s="533"/>
      <c r="B181" s="534" t="s">
        <v>1274</v>
      </c>
      <c r="C181" s="535" t="s">
        <v>1287</v>
      </c>
      <c r="D181" s="12" t="s">
        <v>1273</v>
      </c>
      <c r="E181" s="13">
        <v>7</v>
      </c>
      <c r="F181" s="14" t="s">
        <v>2680</v>
      </c>
      <c r="G181" s="543">
        <v>17229</v>
      </c>
      <c r="H181" s="543">
        <v>21801</v>
      </c>
      <c r="I181" s="543">
        <v>20967</v>
      </c>
      <c r="J181" s="543">
        <v>22070</v>
      </c>
      <c r="K181" s="543">
        <v>21638</v>
      </c>
      <c r="L181" s="543">
        <v>24342</v>
      </c>
      <c r="M181" s="543">
        <v>24820</v>
      </c>
      <c r="N181" s="543">
        <v>26602</v>
      </c>
      <c r="O181" s="543">
        <v>27922</v>
      </c>
      <c r="P181" s="543">
        <v>27985</v>
      </c>
      <c r="Q181" s="543">
        <v>29099</v>
      </c>
      <c r="R181" s="543">
        <v>29485</v>
      </c>
      <c r="S181" s="543">
        <v>31081</v>
      </c>
      <c r="T181" s="543">
        <v>28869</v>
      </c>
      <c r="U181" s="543">
        <v>29201</v>
      </c>
      <c r="V181" s="543">
        <v>28757</v>
      </c>
      <c r="W181" s="543">
        <v>29307</v>
      </c>
      <c r="X181" s="543">
        <v>30375</v>
      </c>
      <c r="Y181" s="543">
        <v>30772</v>
      </c>
      <c r="Z181" s="543">
        <v>30659</v>
      </c>
      <c r="AA181" s="543">
        <v>31413</v>
      </c>
      <c r="AB181" s="543">
        <v>32256</v>
      </c>
      <c r="AC181" s="543">
        <v>31292</v>
      </c>
      <c r="AD181" s="543" t="s">
        <v>2620</v>
      </c>
      <c r="AE181" s="543" t="s">
        <v>2620</v>
      </c>
      <c r="AF181" s="543" t="s">
        <v>2620</v>
      </c>
    </row>
    <row r="182" spans="1:32">
      <c r="A182" s="533"/>
      <c r="B182" s="534" t="s">
        <v>1275</v>
      </c>
      <c r="C182" s="535" t="s">
        <v>1288</v>
      </c>
      <c r="D182" s="12" t="s">
        <v>1273</v>
      </c>
      <c r="E182" s="13">
        <v>8</v>
      </c>
      <c r="F182" s="14" t="s">
        <v>2681</v>
      </c>
      <c r="G182" s="543">
        <v>9008</v>
      </c>
      <c r="H182" s="543">
        <v>8094</v>
      </c>
      <c r="I182" s="543">
        <v>6701</v>
      </c>
      <c r="J182" s="543">
        <v>5921</v>
      </c>
      <c r="K182" s="543">
        <v>5984</v>
      </c>
      <c r="L182" s="543">
        <v>5648</v>
      </c>
      <c r="M182" s="543">
        <v>5829</v>
      </c>
      <c r="N182" s="543">
        <v>6310</v>
      </c>
      <c r="O182" s="543">
        <v>6075</v>
      </c>
      <c r="P182" s="543">
        <v>5970</v>
      </c>
      <c r="Q182" s="543">
        <v>9921</v>
      </c>
      <c r="R182" s="543">
        <v>10191</v>
      </c>
      <c r="S182" s="543">
        <v>10823</v>
      </c>
      <c r="T182" s="543">
        <v>10283</v>
      </c>
      <c r="U182" s="543">
        <v>10302</v>
      </c>
      <c r="V182" s="543">
        <v>10606</v>
      </c>
      <c r="W182" s="543">
        <v>10872</v>
      </c>
      <c r="X182" s="543">
        <v>10898</v>
      </c>
      <c r="Y182" s="543">
        <v>10980</v>
      </c>
      <c r="Z182" s="543">
        <v>10947</v>
      </c>
      <c r="AA182" s="543">
        <v>7925</v>
      </c>
      <c r="AB182" s="543">
        <v>7707</v>
      </c>
      <c r="AC182" s="543">
        <v>7419</v>
      </c>
      <c r="AD182" s="543" t="s">
        <v>2620</v>
      </c>
      <c r="AE182" s="543" t="s">
        <v>2620</v>
      </c>
      <c r="AF182" s="543" t="s">
        <v>2620</v>
      </c>
    </row>
    <row r="183" spans="1:32">
      <c r="A183" s="533"/>
      <c r="B183" s="534"/>
      <c r="C183" s="535"/>
      <c r="D183" s="12"/>
      <c r="E183" s="13"/>
      <c r="F183" s="14"/>
      <c r="G183" s="543"/>
      <c r="H183" s="543"/>
      <c r="I183" s="543"/>
      <c r="J183" s="543"/>
      <c r="K183" s="543"/>
      <c r="L183" s="543"/>
      <c r="M183" s="543"/>
      <c r="N183" s="543"/>
      <c r="O183" s="543"/>
      <c r="P183" s="543"/>
      <c r="Q183" s="543"/>
      <c r="R183" s="3426">
        <f>(R185/Q185)-1</f>
        <v>5.6065096524117841E-2</v>
      </c>
      <c r="S183" s="3426">
        <f t="shared" ref="S183:AA183" si="6">(S185/R185)-1</f>
        <v>7.1603494843708315E-2</v>
      </c>
      <c r="T183" s="3426">
        <f t="shared" si="6"/>
        <v>5.8330560372685802E-2</v>
      </c>
      <c r="U183" s="3426">
        <f t="shared" si="6"/>
        <v>3.1857219193540676E-3</v>
      </c>
      <c r="V183" s="3426">
        <f t="shared" si="6"/>
        <v>2.995541344648478E-2</v>
      </c>
      <c r="W183" s="3426">
        <f t="shared" si="6"/>
        <v>5.3795500729299173E-2</v>
      </c>
      <c r="X183" s="3426">
        <f t="shared" si="6"/>
        <v>3.7135709367156045E-2</v>
      </c>
      <c r="Y183" s="3426">
        <f t="shared" si="6"/>
        <v>2.6901036472646522E-2</v>
      </c>
      <c r="Z183" s="3426">
        <f t="shared" si="6"/>
        <v>3.8087752126541252E-2</v>
      </c>
      <c r="AA183" s="3426">
        <f t="shared" si="6"/>
        <v>4.0566019374196793E-2</v>
      </c>
      <c r="AB183" s="3426">
        <f t="shared" ref="AB183" si="7">(AB185/AA185)-1</f>
        <v>4.4084284048974576E-2</v>
      </c>
      <c r="AC183" s="3426">
        <f t="shared" ref="AC183" si="8">(AC185/AB185)-1</f>
        <v>4.6596444428520067E-2</v>
      </c>
      <c r="AD183" s="543"/>
      <c r="AE183" s="543"/>
      <c r="AF183" s="543"/>
    </row>
    <row r="184" spans="1:32">
      <c r="A184" s="533">
        <v>87</v>
      </c>
      <c r="B184" s="534" t="s">
        <v>1558</v>
      </c>
      <c r="C184" s="535" t="s">
        <v>1289</v>
      </c>
      <c r="D184" s="12" t="s">
        <v>1273</v>
      </c>
      <c r="E184" s="13">
        <v>11</v>
      </c>
      <c r="F184" s="14" t="s">
        <v>2730</v>
      </c>
      <c r="G184" s="543">
        <v>830565</v>
      </c>
      <c r="H184" s="543">
        <v>880405</v>
      </c>
      <c r="I184" s="543">
        <v>921295</v>
      </c>
      <c r="J184" s="543">
        <v>922535</v>
      </c>
      <c r="K184" s="543">
        <v>979044</v>
      </c>
      <c r="L184" s="543">
        <v>1074156</v>
      </c>
      <c r="M184" s="543">
        <v>1148879</v>
      </c>
      <c r="N184" s="543">
        <v>1189511</v>
      </c>
      <c r="O184" s="543">
        <v>1230569</v>
      </c>
      <c r="P184" s="543">
        <v>1271700</v>
      </c>
      <c r="Q184" s="543">
        <v>1315777</v>
      </c>
      <c r="R184" s="543">
        <v>1380646</v>
      </c>
      <c r="S184" s="543">
        <v>1492403</v>
      </c>
      <c r="T184" s="543">
        <v>1569821</v>
      </c>
      <c r="U184" s="543">
        <v>1573395</v>
      </c>
      <c r="V184" s="543">
        <v>1620650</v>
      </c>
      <c r="W184" s="543">
        <v>1711476</v>
      </c>
      <c r="X184" s="543">
        <v>1779400</v>
      </c>
      <c r="Y184" s="543">
        <v>1831955</v>
      </c>
      <c r="Z184" s="543">
        <v>1902658</v>
      </c>
      <c r="AA184" s="543">
        <v>1982710</v>
      </c>
      <c r="AB184" s="543">
        <v>2072247</v>
      </c>
      <c r="AC184" s="543">
        <v>2164679</v>
      </c>
      <c r="AD184" s="543" t="s">
        <v>2620</v>
      </c>
      <c r="AE184" s="543" t="s">
        <v>2620</v>
      </c>
      <c r="AF184" s="543" t="s">
        <v>2620</v>
      </c>
    </row>
    <row r="185" spans="1:32">
      <c r="A185" s="533">
        <v>88</v>
      </c>
      <c r="B185" s="534" t="s">
        <v>1560</v>
      </c>
      <c r="C185" s="535" t="s">
        <v>1290</v>
      </c>
      <c r="D185" s="12" t="s">
        <v>1273</v>
      </c>
      <c r="E185" s="13">
        <v>12</v>
      </c>
      <c r="F185" s="14" t="s">
        <v>2731</v>
      </c>
      <c r="G185" s="543">
        <v>702539</v>
      </c>
      <c r="H185" s="543">
        <v>744696</v>
      </c>
      <c r="I185" s="543">
        <v>776357</v>
      </c>
      <c r="J185" s="543">
        <v>819241</v>
      </c>
      <c r="K185" s="543">
        <v>866915</v>
      </c>
      <c r="L185" s="543">
        <v>925963</v>
      </c>
      <c r="M185" s="543">
        <v>979759</v>
      </c>
      <c r="N185" s="543">
        <v>1012448</v>
      </c>
      <c r="O185" s="543">
        <v>1037474</v>
      </c>
      <c r="P185" s="543">
        <v>1064860</v>
      </c>
      <c r="Q185" s="543">
        <v>1104698</v>
      </c>
      <c r="R185" s="543">
        <v>1166633</v>
      </c>
      <c r="S185" s="543">
        <v>1250168</v>
      </c>
      <c r="T185" s="543">
        <v>1323091</v>
      </c>
      <c r="U185" s="543">
        <v>1327306</v>
      </c>
      <c r="V185" s="543">
        <v>1367066</v>
      </c>
      <c r="W185" s="543">
        <v>1440608</v>
      </c>
      <c r="X185" s="543">
        <v>1494106</v>
      </c>
      <c r="Y185" s="543">
        <v>1534299</v>
      </c>
      <c r="Z185" s="543">
        <v>1592737</v>
      </c>
      <c r="AA185" s="543">
        <v>1657348</v>
      </c>
      <c r="AB185" s="543">
        <v>1730411</v>
      </c>
      <c r="AC185" s="543">
        <v>1811042</v>
      </c>
      <c r="AD185" s="543" t="s">
        <v>2620</v>
      </c>
      <c r="AE185" s="543" t="s">
        <v>2620</v>
      </c>
      <c r="AF185" s="543" t="s">
        <v>2620</v>
      </c>
    </row>
    <row r="186" spans="1:32">
      <c r="A186" s="533"/>
      <c r="B186" s="534" t="s">
        <v>1276</v>
      </c>
      <c r="C186" s="535" t="s">
        <v>1291</v>
      </c>
      <c r="D186" s="12" t="s">
        <v>1273</v>
      </c>
      <c r="E186" s="13">
        <v>6</v>
      </c>
      <c r="F186" s="14" t="s">
        <v>2682</v>
      </c>
      <c r="G186" s="543">
        <v>25467</v>
      </c>
      <c r="H186" s="543">
        <v>26488</v>
      </c>
      <c r="I186" s="543">
        <v>27680</v>
      </c>
      <c r="J186" s="543">
        <v>28080</v>
      </c>
      <c r="K186" s="543">
        <v>29030</v>
      </c>
      <c r="L186" s="543">
        <v>36014</v>
      </c>
      <c r="M186" s="543">
        <v>37733</v>
      </c>
      <c r="N186" s="543">
        <v>39487</v>
      </c>
      <c r="O186" s="543">
        <v>41461</v>
      </c>
      <c r="P186" s="543">
        <v>43013</v>
      </c>
      <c r="Q186" s="543">
        <v>44620</v>
      </c>
      <c r="R186" s="543">
        <v>46933</v>
      </c>
      <c r="S186" s="543">
        <v>49655</v>
      </c>
      <c r="T186" s="543">
        <v>50978</v>
      </c>
      <c r="U186" s="543">
        <v>52458</v>
      </c>
      <c r="V186" s="543">
        <v>54373</v>
      </c>
      <c r="W186" s="543">
        <v>56373</v>
      </c>
      <c r="X186" s="543">
        <v>57191</v>
      </c>
      <c r="Y186" s="543">
        <v>58377</v>
      </c>
      <c r="Z186" s="543">
        <v>59899</v>
      </c>
      <c r="AA186" s="543">
        <v>60900</v>
      </c>
      <c r="AB186" s="543">
        <v>61270</v>
      </c>
      <c r="AC186" s="543">
        <v>61984</v>
      </c>
      <c r="AD186" s="543" t="s">
        <v>2620</v>
      </c>
      <c r="AE186" s="543" t="s">
        <v>2620</v>
      </c>
      <c r="AF186" s="543" t="s">
        <v>2620</v>
      </c>
    </row>
    <row r="187" spans="1:32">
      <c r="A187" s="533"/>
      <c r="B187" s="534" t="s">
        <v>617</v>
      </c>
      <c r="C187" s="535" t="s">
        <v>1292</v>
      </c>
      <c r="D187" s="12" t="s">
        <v>1273</v>
      </c>
      <c r="E187" s="13">
        <v>13</v>
      </c>
      <c r="F187" s="14" t="s">
        <v>2732</v>
      </c>
      <c r="G187" s="543">
        <v>130204</v>
      </c>
      <c r="H187" s="543">
        <v>124977</v>
      </c>
      <c r="I187" s="543">
        <v>104332</v>
      </c>
      <c r="J187" s="543">
        <v>109040</v>
      </c>
      <c r="K187" s="543">
        <v>109425</v>
      </c>
      <c r="L187" s="543">
        <v>151129</v>
      </c>
      <c r="M187" s="543">
        <v>132561</v>
      </c>
      <c r="N187" s="543">
        <v>123419</v>
      </c>
      <c r="O187" s="543">
        <v>112442</v>
      </c>
      <c r="P187" s="543">
        <v>105561</v>
      </c>
      <c r="Q187" s="543">
        <v>119813</v>
      </c>
      <c r="R187" s="543">
        <v>171707</v>
      </c>
      <c r="S187" s="543">
        <v>203513</v>
      </c>
      <c r="T187" s="543">
        <v>249209</v>
      </c>
      <c r="U187" s="543">
        <v>179622</v>
      </c>
      <c r="V187" s="543">
        <v>232791</v>
      </c>
      <c r="W187" s="543">
        <v>265246</v>
      </c>
      <c r="X187" s="543">
        <v>264340</v>
      </c>
      <c r="Y187" s="543">
        <v>258233</v>
      </c>
      <c r="Z187" s="543">
        <v>297507</v>
      </c>
      <c r="AA187" s="543">
        <v>289161</v>
      </c>
      <c r="AB187" s="543">
        <v>336004</v>
      </c>
      <c r="AC187" s="543">
        <v>328840</v>
      </c>
      <c r="AD187" s="543" t="s">
        <v>2620</v>
      </c>
      <c r="AE187" s="543" t="s">
        <v>2620</v>
      </c>
      <c r="AF187" s="543" t="s">
        <v>2620</v>
      </c>
    </row>
    <row r="188" spans="1:32">
      <c r="A188" s="533"/>
      <c r="B188" s="534" t="s">
        <v>662</v>
      </c>
      <c r="C188" s="535" t="s">
        <v>1293</v>
      </c>
      <c r="D188" s="12" t="s">
        <v>1273</v>
      </c>
      <c r="E188" s="13">
        <v>14</v>
      </c>
      <c r="F188" s="14" t="s">
        <v>2733</v>
      </c>
      <c r="G188" s="543">
        <v>68547</v>
      </c>
      <c r="H188" s="543">
        <v>56832</v>
      </c>
      <c r="I188" s="543">
        <v>41835</v>
      </c>
      <c r="J188" s="543">
        <v>42377</v>
      </c>
      <c r="K188" s="543">
        <v>37297</v>
      </c>
      <c r="L188" s="543">
        <v>51544</v>
      </c>
      <c r="M188" s="543">
        <v>49148</v>
      </c>
      <c r="N188" s="543">
        <v>55991</v>
      </c>
      <c r="O188" s="543">
        <v>53821</v>
      </c>
      <c r="P188" s="543">
        <v>45035</v>
      </c>
      <c r="Q188" s="543">
        <v>43310</v>
      </c>
      <c r="R188" s="543">
        <v>59866</v>
      </c>
      <c r="S188" s="543">
        <v>79999</v>
      </c>
      <c r="T188" s="543">
        <v>101177</v>
      </c>
      <c r="U188" s="543">
        <v>48857</v>
      </c>
      <c r="V188" s="543">
        <v>44295</v>
      </c>
      <c r="W188" s="543">
        <v>78076</v>
      </c>
      <c r="X188" s="543">
        <v>73048</v>
      </c>
      <c r="Y188" s="543">
        <v>60281</v>
      </c>
      <c r="Z188" s="543">
        <v>49974</v>
      </c>
      <c r="AA188" s="543">
        <v>27255</v>
      </c>
      <c r="AB188" s="543">
        <v>26663</v>
      </c>
      <c r="AC188" s="543">
        <v>31107</v>
      </c>
      <c r="AD188" s="543" t="s">
        <v>2620</v>
      </c>
      <c r="AE188" s="543" t="s">
        <v>2620</v>
      </c>
      <c r="AF188" s="543" t="s">
        <v>2620</v>
      </c>
    </row>
    <row r="189" spans="1:32" s="540" customFormat="1">
      <c r="A189" s="536"/>
      <c r="B189" s="537" t="s">
        <v>661</v>
      </c>
      <c r="C189" s="538" t="s">
        <v>660</v>
      </c>
      <c r="D189" s="528"/>
      <c r="E189" s="529"/>
      <c r="F189" s="539"/>
      <c r="G189" s="544">
        <f>+G187-G188</f>
        <v>61657</v>
      </c>
      <c r="H189" s="544">
        <f t="shared" ref="H189:AF189" si="9">+H187-H188</f>
        <v>68145</v>
      </c>
      <c r="I189" s="544">
        <f t="shared" si="9"/>
        <v>62497</v>
      </c>
      <c r="J189" s="544">
        <f t="shared" si="9"/>
        <v>66663</v>
      </c>
      <c r="K189" s="544">
        <f t="shared" si="9"/>
        <v>72128</v>
      </c>
      <c r="L189" s="544">
        <f t="shared" si="9"/>
        <v>99585</v>
      </c>
      <c r="M189" s="544">
        <f t="shared" si="9"/>
        <v>83413</v>
      </c>
      <c r="N189" s="544">
        <f t="shared" si="9"/>
        <v>67428</v>
      </c>
      <c r="O189" s="544">
        <f t="shared" si="9"/>
        <v>58621</v>
      </c>
      <c r="P189" s="544">
        <f t="shared" si="9"/>
        <v>60526</v>
      </c>
      <c r="Q189" s="544">
        <f t="shared" si="9"/>
        <v>76503</v>
      </c>
      <c r="R189" s="544">
        <f t="shared" si="9"/>
        <v>111841</v>
      </c>
      <c r="S189" s="544">
        <f t="shared" si="9"/>
        <v>123514</v>
      </c>
      <c r="T189" s="544">
        <f t="shared" si="9"/>
        <v>148032</v>
      </c>
      <c r="U189" s="544">
        <f t="shared" si="9"/>
        <v>130765</v>
      </c>
      <c r="V189" s="544">
        <f t="shared" si="9"/>
        <v>188496</v>
      </c>
      <c r="W189" s="544">
        <f t="shared" si="9"/>
        <v>187170</v>
      </c>
      <c r="X189" s="544">
        <f t="shared" si="9"/>
        <v>191292</v>
      </c>
      <c r="Y189" s="544">
        <f t="shared" si="9"/>
        <v>197952</v>
      </c>
      <c r="Z189" s="544">
        <f t="shared" si="9"/>
        <v>247533</v>
      </c>
      <c r="AA189" s="544">
        <f t="shared" si="9"/>
        <v>261906</v>
      </c>
      <c r="AB189" s="544">
        <f t="shared" si="9"/>
        <v>309341</v>
      </c>
      <c r="AC189" s="544">
        <f t="shared" si="9"/>
        <v>297733</v>
      </c>
      <c r="AD189" s="544" t="e">
        <f t="shared" si="9"/>
        <v>#VALUE!</v>
      </c>
      <c r="AE189" s="544" t="e">
        <f t="shared" si="9"/>
        <v>#VALUE!</v>
      </c>
      <c r="AF189" s="544" t="e">
        <f t="shared" si="9"/>
        <v>#VALUE!</v>
      </c>
    </row>
    <row r="190" spans="1:32">
      <c r="A190" s="533"/>
      <c r="B190" s="534"/>
      <c r="C190" s="535"/>
      <c r="D190" s="12"/>
      <c r="E190" s="13"/>
      <c r="F190" s="14"/>
      <c r="G190" s="543"/>
      <c r="H190" s="543"/>
      <c r="I190" s="543"/>
      <c r="J190" s="543"/>
      <c r="K190" s="543"/>
      <c r="L190" s="543"/>
      <c r="M190" s="543"/>
      <c r="N190" s="543"/>
      <c r="O190" s="543"/>
      <c r="P190" s="543"/>
      <c r="Q190" s="543"/>
      <c r="R190" s="543"/>
      <c r="S190" s="543"/>
      <c r="T190" s="543"/>
      <c r="U190" s="543"/>
      <c r="V190" s="543"/>
      <c r="W190" s="543"/>
      <c r="X190" s="543"/>
      <c r="Y190" s="543"/>
      <c r="Z190" s="543"/>
      <c r="AA190" s="543"/>
      <c r="AB190" s="543"/>
      <c r="AC190" s="543"/>
      <c r="AD190" s="543"/>
      <c r="AE190" s="543"/>
      <c r="AF190" s="543"/>
    </row>
    <row r="191" spans="1:32">
      <c r="A191" s="533">
        <v>92</v>
      </c>
      <c r="B191" s="534" t="s">
        <v>1565</v>
      </c>
      <c r="C191" s="535" t="s">
        <v>1706</v>
      </c>
      <c r="D191" s="12" t="s">
        <v>1273</v>
      </c>
      <c r="E191" s="13">
        <v>19</v>
      </c>
      <c r="F191" s="14" t="s">
        <v>2734</v>
      </c>
      <c r="G191" s="543">
        <v>308827</v>
      </c>
      <c r="H191" s="543">
        <v>335009</v>
      </c>
      <c r="I191" s="543">
        <v>352207</v>
      </c>
      <c r="J191" s="543">
        <v>370534</v>
      </c>
      <c r="K191" s="543">
        <v>397295</v>
      </c>
      <c r="L191" s="543">
        <v>424876</v>
      </c>
      <c r="M191" s="543">
        <v>425551</v>
      </c>
      <c r="N191" s="543">
        <v>426356</v>
      </c>
      <c r="O191" s="543">
        <v>455961</v>
      </c>
      <c r="P191" s="543">
        <v>478055</v>
      </c>
      <c r="Q191" s="543">
        <v>511209</v>
      </c>
      <c r="R191" s="543">
        <v>549892</v>
      </c>
      <c r="S191" s="543">
        <v>549126</v>
      </c>
      <c r="T191" s="543">
        <v>549436</v>
      </c>
      <c r="U191" s="543">
        <v>525364</v>
      </c>
      <c r="V191" s="543">
        <v>533442</v>
      </c>
      <c r="W191" s="543">
        <v>539279</v>
      </c>
      <c r="X191" s="543">
        <v>554357</v>
      </c>
      <c r="Y191" s="543">
        <v>573542</v>
      </c>
      <c r="Z191" s="543">
        <v>601962</v>
      </c>
      <c r="AA191" s="543">
        <v>650733</v>
      </c>
      <c r="AB191" s="543">
        <v>700552</v>
      </c>
      <c r="AC191" s="543">
        <v>735093</v>
      </c>
      <c r="AD191" s="543" t="s">
        <v>2620</v>
      </c>
      <c r="AE191" s="543" t="s">
        <v>2620</v>
      </c>
      <c r="AF191" s="543" t="s">
        <v>2620</v>
      </c>
    </row>
    <row r="192" spans="1:32">
      <c r="A192" s="533"/>
      <c r="B192" s="534" t="s">
        <v>1277</v>
      </c>
      <c r="C192" s="535" t="s">
        <v>1294</v>
      </c>
      <c r="D192" s="12" t="s">
        <v>1273</v>
      </c>
      <c r="E192" s="13">
        <v>16</v>
      </c>
      <c r="F192" s="14" t="s">
        <v>2735</v>
      </c>
      <c r="G192" s="543">
        <v>0</v>
      </c>
      <c r="H192" s="543">
        <v>0</v>
      </c>
      <c r="I192" s="543">
        <v>0</v>
      </c>
      <c r="J192" s="543">
        <v>0</v>
      </c>
      <c r="K192" s="543">
        <v>0</v>
      </c>
      <c r="L192" s="543">
        <v>0</v>
      </c>
      <c r="M192" s="543">
        <v>0</v>
      </c>
      <c r="N192" s="543">
        <v>0</v>
      </c>
      <c r="O192" s="543">
        <v>0</v>
      </c>
      <c r="P192" s="543">
        <v>0</v>
      </c>
      <c r="Q192" s="543">
        <v>0</v>
      </c>
      <c r="R192" s="543">
        <v>0</v>
      </c>
      <c r="S192" s="543">
        <v>0</v>
      </c>
      <c r="T192" s="543">
        <v>0</v>
      </c>
      <c r="U192" s="543">
        <v>0</v>
      </c>
      <c r="V192" s="543">
        <v>0</v>
      </c>
      <c r="W192" s="543">
        <v>0</v>
      </c>
      <c r="X192" s="543">
        <v>0</v>
      </c>
      <c r="Y192" s="543">
        <v>0</v>
      </c>
      <c r="Z192" s="543">
        <v>0</v>
      </c>
      <c r="AA192" s="543">
        <v>0</v>
      </c>
      <c r="AB192" s="543">
        <v>0</v>
      </c>
      <c r="AC192" s="543">
        <v>0</v>
      </c>
      <c r="AD192" s="543" t="s">
        <v>2620</v>
      </c>
      <c r="AE192" s="543" t="s">
        <v>2620</v>
      </c>
      <c r="AF192" s="543" t="s">
        <v>2620</v>
      </c>
    </row>
    <row r="193" spans="1:32">
      <c r="A193" s="533"/>
      <c r="B193" s="534" t="s">
        <v>1278</v>
      </c>
      <c r="C193" s="535" t="s">
        <v>1295</v>
      </c>
      <c r="D193" s="12" t="s">
        <v>1273</v>
      </c>
      <c r="E193" s="13">
        <v>17</v>
      </c>
      <c r="F193" s="14" t="s">
        <v>2736</v>
      </c>
      <c r="G193" s="543">
        <v>393064</v>
      </c>
      <c r="H193" s="543">
        <v>384529</v>
      </c>
      <c r="I193" s="543">
        <v>388721</v>
      </c>
      <c r="J193" s="543">
        <v>398200</v>
      </c>
      <c r="K193" s="543">
        <v>408937</v>
      </c>
      <c r="L193" s="543">
        <v>416436</v>
      </c>
      <c r="M193" s="543">
        <v>427118</v>
      </c>
      <c r="N193" s="543">
        <v>449992</v>
      </c>
      <c r="O193" s="543">
        <v>482873</v>
      </c>
      <c r="P193" s="543">
        <v>498270</v>
      </c>
      <c r="Q193" s="543">
        <v>512846</v>
      </c>
      <c r="R193" s="543">
        <v>522589</v>
      </c>
      <c r="S193" s="543">
        <v>521363</v>
      </c>
      <c r="T193" s="543">
        <v>541762</v>
      </c>
      <c r="U193" s="543">
        <v>578914</v>
      </c>
      <c r="V193" s="543">
        <v>585177</v>
      </c>
      <c r="W193" s="543">
        <v>594276</v>
      </c>
      <c r="X193" s="543">
        <v>620572</v>
      </c>
      <c r="Y193" s="543">
        <v>653563</v>
      </c>
      <c r="Z193" s="543">
        <v>661877</v>
      </c>
      <c r="AA193" s="543">
        <v>685909</v>
      </c>
      <c r="AB193" s="543">
        <v>705270</v>
      </c>
      <c r="AC193" s="543">
        <v>727448</v>
      </c>
      <c r="AD193" s="543" t="s">
        <v>2620</v>
      </c>
      <c r="AE193" s="543" t="s">
        <v>2620</v>
      </c>
      <c r="AF193" s="543" t="s">
        <v>2620</v>
      </c>
    </row>
    <row r="194" spans="1:32">
      <c r="A194" s="533"/>
      <c r="B194" s="534" t="s">
        <v>658</v>
      </c>
      <c r="C194" s="535" t="s">
        <v>1707</v>
      </c>
      <c r="D194" s="12" t="s">
        <v>1273</v>
      </c>
      <c r="E194" s="13">
        <v>20</v>
      </c>
      <c r="F194" s="14" t="s">
        <v>2737</v>
      </c>
      <c r="G194" s="543">
        <v>192808</v>
      </c>
      <c r="H194" s="543">
        <v>207753</v>
      </c>
      <c r="I194" s="543">
        <v>225002</v>
      </c>
      <c r="J194" s="543">
        <v>195794</v>
      </c>
      <c r="K194" s="543">
        <v>204745</v>
      </c>
      <c r="L194" s="543">
        <v>247645</v>
      </c>
      <c r="M194" s="543">
        <v>245581</v>
      </c>
      <c r="N194" s="543">
        <v>232386</v>
      </c>
      <c r="O194" s="543">
        <v>244211</v>
      </c>
      <c r="P194" s="543">
        <v>251627</v>
      </c>
      <c r="Q194" s="543">
        <v>250315</v>
      </c>
      <c r="R194" s="543">
        <v>257493</v>
      </c>
      <c r="S194" s="543">
        <v>291596</v>
      </c>
      <c r="T194" s="543">
        <v>312566</v>
      </c>
      <c r="U194" s="543">
        <v>284812</v>
      </c>
      <c r="V194" s="543">
        <v>334292</v>
      </c>
      <c r="W194" s="543">
        <v>352696</v>
      </c>
      <c r="X194" s="543">
        <v>351031</v>
      </c>
      <c r="Y194" s="543">
        <v>370109</v>
      </c>
      <c r="Z194" s="543">
        <v>407189</v>
      </c>
      <c r="AA194" s="543">
        <v>405357</v>
      </c>
      <c r="AB194" s="543">
        <v>430176</v>
      </c>
      <c r="AC194" s="543">
        <v>431915</v>
      </c>
      <c r="AD194" s="543" t="s">
        <v>2620</v>
      </c>
      <c r="AE194" s="543" t="s">
        <v>2620</v>
      </c>
      <c r="AF194" s="543" t="s">
        <v>2620</v>
      </c>
    </row>
    <row r="195" spans="1:32">
      <c r="A195" s="533"/>
      <c r="B195" s="534" t="s">
        <v>659</v>
      </c>
      <c r="C195" s="535" t="s">
        <v>1708</v>
      </c>
      <c r="D195" s="12" t="s">
        <v>1273</v>
      </c>
      <c r="E195" s="13">
        <v>21</v>
      </c>
      <c r="F195" s="14" t="s">
        <v>2738</v>
      </c>
      <c r="G195" s="543">
        <v>40308</v>
      </c>
      <c r="H195" s="543">
        <v>39245</v>
      </c>
      <c r="I195" s="543">
        <v>37164</v>
      </c>
      <c r="J195" s="543">
        <v>35169</v>
      </c>
      <c r="K195" s="543">
        <v>32468</v>
      </c>
      <c r="L195" s="543">
        <v>31708</v>
      </c>
      <c r="M195" s="543">
        <v>23864</v>
      </c>
      <c r="N195" s="543">
        <v>22781</v>
      </c>
      <c r="O195" s="543">
        <v>28256</v>
      </c>
      <c r="P195" s="543">
        <v>32534</v>
      </c>
      <c r="Q195" s="543">
        <v>31113</v>
      </c>
      <c r="R195" s="543">
        <v>27167</v>
      </c>
      <c r="S195" s="543">
        <v>19778</v>
      </c>
      <c r="T195" s="543">
        <v>13578</v>
      </c>
      <c r="U195" s="543">
        <v>19327</v>
      </c>
      <c r="V195" s="543">
        <v>17646</v>
      </c>
      <c r="W195" s="543">
        <v>13112</v>
      </c>
      <c r="X195" s="543">
        <v>13710</v>
      </c>
      <c r="Y195" s="543">
        <v>14633</v>
      </c>
      <c r="Z195" s="543">
        <v>13385</v>
      </c>
      <c r="AA195" s="543">
        <v>12738</v>
      </c>
      <c r="AB195" s="543">
        <v>12516</v>
      </c>
      <c r="AC195" s="543">
        <v>12245</v>
      </c>
      <c r="AD195" s="543" t="s">
        <v>2620</v>
      </c>
      <c r="AE195" s="543" t="s">
        <v>2620</v>
      </c>
      <c r="AF195" s="543" t="s">
        <v>2620</v>
      </c>
    </row>
    <row r="196" spans="1:32">
      <c r="A196" s="533"/>
      <c r="B196" s="534"/>
      <c r="C196" s="535"/>
      <c r="D196" s="12"/>
      <c r="E196" s="13"/>
      <c r="F196" s="14"/>
      <c r="G196" s="543"/>
      <c r="H196" s="543"/>
      <c r="I196" s="543"/>
      <c r="J196" s="543"/>
      <c r="K196" s="543"/>
      <c r="L196" s="543"/>
      <c r="M196" s="543"/>
      <c r="N196" s="543"/>
      <c r="O196" s="543"/>
      <c r="P196" s="543"/>
      <c r="Q196" s="543"/>
      <c r="R196" s="543"/>
      <c r="S196" s="543"/>
      <c r="T196" s="543"/>
      <c r="U196" s="543"/>
      <c r="V196" s="543"/>
      <c r="W196" s="543"/>
      <c r="X196" s="543"/>
      <c r="Y196" s="543"/>
      <c r="Z196" s="543"/>
      <c r="AA196" s="543"/>
      <c r="AB196" s="543"/>
      <c r="AC196" s="543"/>
      <c r="AD196" s="543"/>
      <c r="AE196" s="543"/>
      <c r="AF196" s="543"/>
    </row>
    <row r="197" spans="1:32">
      <c r="A197" s="533"/>
      <c r="B197" s="534" t="s">
        <v>1279</v>
      </c>
      <c r="C197" s="535" t="s">
        <v>1705</v>
      </c>
      <c r="D197" s="12" t="s">
        <v>1273</v>
      </c>
      <c r="E197" s="13">
        <v>18</v>
      </c>
      <c r="F197" s="14" t="s">
        <v>2739</v>
      </c>
      <c r="G197" s="543">
        <v>102539</v>
      </c>
      <c r="H197" s="543">
        <v>97631</v>
      </c>
      <c r="I197" s="543">
        <v>100682</v>
      </c>
      <c r="J197" s="543">
        <v>97371</v>
      </c>
      <c r="K197" s="543">
        <v>109091</v>
      </c>
      <c r="L197" s="543">
        <v>125325</v>
      </c>
      <c r="M197" s="543">
        <v>130386</v>
      </c>
      <c r="N197" s="543">
        <v>115483</v>
      </c>
      <c r="O197" s="543">
        <v>130259</v>
      </c>
      <c r="P197" s="543">
        <v>138995</v>
      </c>
      <c r="Q197" s="543">
        <v>143766</v>
      </c>
      <c r="R197" s="543">
        <v>143327</v>
      </c>
      <c r="S197" s="543">
        <v>144016</v>
      </c>
      <c r="T197" s="543">
        <v>146232</v>
      </c>
      <c r="U197" s="543">
        <v>148621</v>
      </c>
      <c r="V197" s="543">
        <v>148788</v>
      </c>
      <c r="W197" s="543">
        <v>147503</v>
      </c>
      <c r="X197" s="543">
        <v>153268</v>
      </c>
      <c r="Y197" s="543">
        <v>158094</v>
      </c>
      <c r="Z197" s="543">
        <v>159963</v>
      </c>
      <c r="AA197" s="543">
        <v>165229</v>
      </c>
      <c r="AB197" s="543">
        <v>175317</v>
      </c>
      <c r="AC197" s="543">
        <v>180054</v>
      </c>
      <c r="AD197" s="543" t="s">
        <v>2620</v>
      </c>
      <c r="AE197" s="543" t="s">
        <v>2620</v>
      </c>
      <c r="AF197" s="543" t="s">
        <v>2620</v>
      </c>
    </row>
    <row r="198" spans="1:32">
      <c r="A198" s="533"/>
      <c r="B198" s="534" t="s">
        <v>1281</v>
      </c>
      <c r="C198" s="535" t="s">
        <v>1709</v>
      </c>
      <c r="D198" s="12" t="s">
        <v>1273</v>
      </c>
      <c r="E198" s="13">
        <v>22</v>
      </c>
      <c r="F198" s="14" t="s">
        <v>2740</v>
      </c>
      <c r="G198" s="543">
        <v>42714</v>
      </c>
      <c r="H198" s="543">
        <v>41875</v>
      </c>
      <c r="I198" s="543">
        <v>43436</v>
      </c>
      <c r="J198" s="543">
        <v>46269</v>
      </c>
      <c r="K198" s="543">
        <v>46422</v>
      </c>
      <c r="L198" s="543">
        <v>63505</v>
      </c>
      <c r="M198" s="543">
        <v>66407</v>
      </c>
      <c r="N198" s="543">
        <v>68530</v>
      </c>
      <c r="O198" s="543">
        <v>72890</v>
      </c>
      <c r="P198" s="543">
        <v>77358</v>
      </c>
      <c r="Q198" s="543">
        <v>83991</v>
      </c>
      <c r="R198" s="543">
        <v>86443</v>
      </c>
      <c r="S198" s="543">
        <v>102998</v>
      </c>
      <c r="T198" s="543">
        <v>105783</v>
      </c>
      <c r="U198" s="543">
        <v>102112</v>
      </c>
      <c r="V198" s="543">
        <v>101100</v>
      </c>
      <c r="W198" s="543">
        <v>94881</v>
      </c>
      <c r="X198" s="543">
        <v>99748</v>
      </c>
      <c r="Y198" s="543">
        <v>101337</v>
      </c>
      <c r="Z198" s="543">
        <v>96943</v>
      </c>
      <c r="AA198" s="543">
        <v>99444</v>
      </c>
      <c r="AB198" s="543">
        <v>101645</v>
      </c>
      <c r="AC198" s="543">
        <v>106818</v>
      </c>
      <c r="AD198" s="543" t="s">
        <v>2620</v>
      </c>
      <c r="AE198" s="543" t="s">
        <v>2620</v>
      </c>
      <c r="AF198" s="543" t="s">
        <v>2620</v>
      </c>
    </row>
    <row r="199" spans="1:32">
      <c r="A199" s="533"/>
      <c r="B199" s="534"/>
      <c r="C199" s="535"/>
      <c r="D199" s="12"/>
      <c r="E199" s="13"/>
      <c r="F199" s="14"/>
      <c r="G199" s="543"/>
      <c r="H199" s="543"/>
      <c r="I199" s="543"/>
      <c r="J199" s="543"/>
      <c r="K199" s="543"/>
      <c r="L199" s="543"/>
      <c r="M199" s="543"/>
      <c r="N199" s="543"/>
      <c r="O199" s="543"/>
      <c r="P199" s="543"/>
      <c r="Q199" s="543"/>
      <c r="R199" s="543"/>
      <c r="S199" s="543"/>
      <c r="T199" s="543"/>
      <c r="U199" s="543"/>
      <c r="V199" s="543"/>
      <c r="W199" s="543"/>
      <c r="X199" s="543"/>
      <c r="Y199" s="543"/>
      <c r="Z199" s="543"/>
      <c r="AA199" s="543"/>
      <c r="AB199" s="543"/>
      <c r="AC199" s="543"/>
      <c r="AD199" s="543"/>
      <c r="AE199" s="543"/>
      <c r="AF199" s="543"/>
    </row>
    <row r="200" spans="1:32">
      <c r="A200" s="533">
        <v>94</v>
      </c>
      <c r="B200" s="534" t="s">
        <v>1282</v>
      </c>
      <c r="C200" s="535" t="s">
        <v>369</v>
      </c>
      <c r="D200" s="12" t="s">
        <v>1273</v>
      </c>
      <c r="E200" s="13">
        <v>24</v>
      </c>
      <c r="F200" s="14" t="s">
        <v>2741</v>
      </c>
      <c r="G200" s="543">
        <v>52307</v>
      </c>
      <c r="H200" s="543">
        <v>54634</v>
      </c>
      <c r="I200" s="543">
        <v>56686</v>
      </c>
      <c r="J200" s="543">
        <v>66047</v>
      </c>
      <c r="K200" s="543">
        <v>73248</v>
      </c>
      <c r="L200" s="543">
        <v>97133</v>
      </c>
      <c r="M200" s="543">
        <v>100052</v>
      </c>
      <c r="N200" s="543">
        <v>96210</v>
      </c>
      <c r="O200" s="543">
        <v>105442</v>
      </c>
      <c r="P200" s="543">
        <v>108310</v>
      </c>
      <c r="Q200" s="543">
        <v>105844</v>
      </c>
      <c r="R200" s="543">
        <v>114543</v>
      </c>
      <c r="S200" s="543">
        <v>137954</v>
      </c>
      <c r="T200" s="543">
        <v>139146</v>
      </c>
      <c r="U200" s="543">
        <v>105899</v>
      </c>
      <c r="V200" s="543">
        <v>148172</v>
      </c>
      <c r="W200" s="543">
        <v>144633</v>
      </c>
      <c r="X200" s="543">
        <v>137234</v>
      </c>
      <c r="Y200" s="543">
        <v>145177</v>
      </c>
      <c r="Z200" s="543">
        <v>173270</v>
      </c>
      <c r="AA200" s="543">
        <v>155707</v>
      </c>
      <c r="AB200" s="543">
        <v>172181</v>
      </c>
      <c r="AC200" s="543">
        <v>159636</v>
      </c>
      <c r="AD200" s="543" t="s">
        <v>2620</v>
      </c>
      <c r="AE200" s="543" t="s">
        <v>2620</v>
      </c>
      <c r="AF200" s="543" t="s">
        <v>2620</v>
      </c>
    </row>
    <row r="201" spans="1:32">
      <c r="A201" s="533"/>
      <c r="B201" s="534" t="s">
        <v>1283</v>
      </c>
      <c r="C201" s="535" t="s">
        <v>1710</v>
      </c>
      <c r="D201" s="12" t="s">
        <v>1273</v>
      </c>
      <c r="E201" s="13">
        <v>27</v>
      </c>
      <c r="F201" s="14" t="s">
        <v>2742</v>
      </c>
      <c r="G201" s="543">
        <v>1761</v>
      </c>
      <c r="H201" s="543">
        <v>1606</v>
      </c>
      <c r="I201" s="543">
        <v>1265</v>
      </c>
      <c r="J201" s="543">
        <v>1955</v>
      </c>
      <c r="K201" s="543">
        <v>2816</v>
      </c>
      <c r="L201" s="543">
        <v>1971</v>
      </c>
      <c r="M201" s="543">
        <v>2647</v>
      </c>
      <c r="N201" s="543">
        <v>2682</v>
      </c>
      <c r="O201" s="543">
        <v>1531</v>
      </c>
      <c r="P201" s="543">
        <v>1359</v>
      </c>
      <c r="Q201" s="543">
        <v>1528</v>
      </c>
      <c r="R201" s="543">
        <v>1422</v>
      </c>
      <c r="S201" s="543">
        <v>1714</v>
      </c>
      <c r="T201" s="543">
        <v>1775</v>
      </c>
      <c r="U201" s="543">
        <v>1972</v>
      </c>
      <c r="V201" s="543">
        <v>1786</v>
      </c>
      <c r="W201" s="543">
        <v>1798</v>
      </c>
      <c r="X201" s="543">
        <v>1611</v>
      </c>
      <c r="Y201" s="543">
        <v>1395</v>
      </c>
      <c r="Z201" s="543">
        <v>1399</v>
      </c>
      <c r="AA201" s="543">
        <v>1689</v>
      </c>
      <c r="AB201" s="543">
        <v>1993</v>
      </c>
      <c r="AC201" s="543">
        <v>1817</v>
      </c>
      <c r="AD201" s="543" t="s">
        <v>2620</v>
      </c>
      <c r="AE201" s="543" t="s">
        <v>2620</v>
      </c>
      <c r="AF201" s="543" t="s">
        <v>2620</v>
      </c>
    </row>
    <row r="202" spans="1:32">
      <c r="A202" s="533"/>
      <c r="B202" s="534" t="s">
        <v>1284</v>
      </c>
      <c r="C202" s="535" t="s">
        <v>1711</v>
      </c>
      <c r="D202" s="12" t="s">
        <v>1273</v>
      </c>
      <c r="E202" s="13">
        <v>28</v>
      </c>
      <c r="F202" s="14" t="s">
        <v>2743</v>
      </c>
      <c r="G202" s="543">
        <v>2960</v>
      </c>
      <c r="H202" s="543">
        <v>2876</v>
      </c>
      <c r="I202" s="543">
        <v>3177</v>
      </c>
      <c r="J202" s="543">
        <v>3622</v>
      </c>
      <c r="K202" s="543">
        <v>4270</v>
      </c>
      <c r="L202" s="543">
        <v>4225</v>
      </c>
      <c r="M202" s="543">
        <v>4304</v>
      </c>
      <c r="N202" s="543">
        <v>4637</v>
      </c>
      <c r="O202" s="543">
        <v>3862</v>
      </c>
      <c r="P202" s="543">
        <v>4041</v>
      </c>
      <c r="Q202" s="543">
        <v>2722</v>
      </c>
      <c r="R202" s="543">
        <v>1823</v>
      </c>
      <c r="S202" s="543">
        <v>1586</v>
      </c>
      <c r="T202" s="543">
        <v>1463</v>
      </c>
      <c r="U202" s="543">
        <v>1253</v>
      </c>
      <c r="V202" s="543">
        <v>1258</v>
      </c>
      <c r="W202" s="543">
        <v>985</v>
      </c>
      <c r="X202" s="543">
        <v>1008</v>
      </c>
      <c r="Y202" s="543">
        <v>949</v>
      </c>
      <c r="Z202" s="543">
        <v>1008</v>
      </c>
      <c r="AA202" s="543">
        <v>1091</v>
      </c>
      <c r="AB202" s="543">
        <v>1335</v>
      </c>
      <c r="AC202" s="543">
        <v>1399</v>
      </c>
      <c r="AD202" s="543" t="s">
        <v>2620</v>
      </c>
      <c r="AE202" s="543" t="s">
        <v>2620</v>
      </c>
      <c r="AF202" s="543" t="s">
        <v>2620</v>
      </c>
    </row>
    <row r="203" spans="1:32" s="540" customFormat="1">
      <c r="A203" s="536"/>
      <c r="B203" s="537" t="s">
        <v>657</v>
      </c>
      <c r="C203" s="538" t="s">
        <v>656</v>
      </c>
      <c r="D203" s="528"/>
      <c r="E203" s="529"/>
      <c r="F203" s="539"/>
      <c r="G203" s="544">
        <f t="shared" ref="G203:AF203" si="10">+G201-G202</f>
        <v>-1199</v>
      </c>
      <c r="H203" s="544">
        <f t="shared" si="10"/>
        <v>-1270</v>
      </c>
      <c r="I203" s="544">
        <f t="shared" si="10"/>
        <v>-1912</v>
      </c>
      <c r="J203" s="544">
        <f t="shared" si="10"/>
        <v>-1667</v>
      </c>
      <c r="K203" s="544">
        <f t="shared" si="10"/>
        <v>-1454</v>
      </c>
      <c r="L203" s="544">
        <f t="shared" si="10"/>
        <v>-2254</v>
      </c>
      <c r="M203" s="544">
        <f t="shared" si="10"/>
        <v>-1657</v>
      </c>
      <c r="N203" s="544">
        <f t="shared" si="10"/>
        <v>-1955</v>
      </c>
      <c r="O203" s="544">
        <f t="shared" si="10"/>
        <v>-2331</v>
      </c>
      <c r="P203" s="544">
        <f t="shared" si="10"/>
        <v>-2682</v>
      </c>
      <c r="Q203" s="544">
        <f t="shared" si="10"/>
        <v>-1194</v>
      </c>
      <c r="R203" s="544">
        <f t="shared" si="10"/>
        <v>-401</v>
      </c>
      <c r="S203" s="544">
        <f t="shared" si="10"/>
        <v>128</v>
      </c>
      <c r="T203" s="544">
        <f t="shared" si="10"/>
        <v>312</v>
      </c>
      <c r="U203" s="544">
        <f t="shared" si="10"/>
        <v>719</v>
      </c>
      <c r="V203" s="544">
        <f t="shared" si="10"/>
        <v>528</v>
      </c>
      <c r="W203" s="544">
        <f t="shared" si="10"/>
        <v>813</v>
      </c>
      <c r="X203" s="544">
        <f t="shared" si="10"/>
        <v>603</v>
      </c>
      <c r="Y203" s="544">
        <f t="shared" si="10"/>
        <v>446</v>
      </c>
      <c r="Z203" s="544">
        <f t="shared" si="10"/>
        <v>391</v>
      </c>
      <c r="AA203" s="544">
        <f t="shared" si="10"/>
        <v>598</v>
      </c>
      <c r="AB203" s="544">
        <f t="shared" si="10"/>
        <v>658</v>
      </c>
      <c r="AC203" s="544">
        <f t="shared" si="10"/>
        <v>418</v>
      </c>
      <c r="AD203" s="544" t="e">
        <f t="shared" si="10"/>
        <v>#VALUE!</v>
      </c>
      <c r="AE203" s="544" t="e">
        <f t="shared" si="10"/>
        <v>#VALUE!</v>
      </c>
      <c r="AF203" s="544" t="e">
        <f t="shared" si="10"/>
        <v>#VALUE!</v>
      </c>
    </row>
    <row r="204" spans="1:32">
      <c r="A204" s="533"/>
      <c r="B204" s="534"/>
      <c r="C204" s="535"/>
      <c r="D204" s="12"/>
      <c r="E204" s="13"/>
      <c r="F204" s="14"/>
      <c r="G204" s="543"/>
      <c r="H204" s="543"/>
      <c r="I204" s="543"/>
      <c r="J204" s="543"/>
      <c r="K204" s="543"/>
      <c r="L204" s="543"/>
      <c r="M204" s="543"/>
      <c r="N204" s="543"/>
      <c r="O204" s="543"/>
      <c r="P204" s="543"/>
      <c r="Q204" s="543"/>
      <c r="R204" s="543"/>
      <c r="S204" s="543"/>
      <c r="T204" s="543"/>
      <c r="U204" s="543"/>
      <c r="V204" s="543"/>
      <c r="W204" s="543"/>
      <c r="X204" s="543"/>
      <c r="Y204" s="543"/>
      <c r="Z204" s="543"/>
      <c r="AA204" s="543"/>
      <c r="AB204" s="543"/>
      <c r="AC204" s="543"/>
      <c r="AD204" s="543"/>
      <c r="AE204" s="543"/>
      <c r="AF204" s="543"/>
    </row>
    <row r="205" spans="1:32">
      <c r="A205" s="533"/>
      <c r="B205" s="534" t="s">
        <v>1285</v>
      </c>
      <c r="C205" s="535" t="s">
        <v>1713</v>
      </c>
      <c r="D205" s="12" t="s">
        <v>1273</v>
      </c>
      <c r="E205" s="13">
        <v>33</v>
      </c>
      <c r="F205" s="14" t="s">
        <v>2744</v>
      </c>
      <c r="G205" s="543">
        <v>856</v>
      </c>
      <c r="H205" s="543">
        <v>919</v>
      </c>
      <c r="I205" s="543">
        <v>873</v>
      </c>
      <c r="J205" s="543">
        <v>1168</v>
      </c>
      <c r="K205" s="543">
        <v>1518</v>
      </c>
      <c r="L205" s="543">
        <v>2173</v>
      </c>
      <c r="M205" s="543">
        <v>2430</v>
      </c>
      <c r="N205" s="543">
        <v>2324</v>
      </c>
      <c r="O205" s="543">
        <v>3009</v>
      </c>
      <c r="P205" s="543">
        <v>3832</v>
      </c>
      <c r="Q205" s="543">
        <v>4477</v>
      </c>
      <c r="R205" s="543">
        <v>5276</v>
      </c>
      <c r="S205" s="543">
        <v>5752</v>
      </c>
      <c r="T205" s="543">
        <v>6766</v>
      </c>
      <c r="U205" s="543">
        <v>4799</v>
      </c>
      <c r="V205" s="543">
        <v>5556</v>
      </c>
      <c r="W205" s="543">
        <v>5974</v>
      </c>
      <c r="X205" s="543">
        <v>4408</v>
      </c>
      <c r="Y205" s="543">
        <v>4433</v>
      </c>
      <c r="Z205" s="543">
        <v>5588</v>
      </c>
      <c r="AA205" s="543">
        <v>7174</v>
      </c>
      <c r="AB205" s="543">
        <v>8814</v>
      </c>
      <c r="AC205" s="543">
        <v>10070</v>
      </c>
      <c r="AD205" s="543" t="s">
        <v>2620</v>
      </c>
      <c r="AE205" s="543" t="s">
        <v>2620</v>
      </c>
      <c r="AF205" s="543" t="s">
        <v>2620</v>
      </c>
    </row>
    <row r="206" spans="1:32">
      <c r="A206" s="533"/>
      <c r="B206" s="534" t="s">
        <v>1571</v>
      </c>
      <c r="C206" s="535" t="s">
        <v>1712</v>
      </c>
      <c r="D206" s="12" t="s">
        <v>1273</v>
      </c>
      <c r="E206" s="13">
        <v>30</v>
      </c>
      <c r="F206" s="14" t="s">
        <v>2745</v>
      </c>
      <c r="G206" s="543">
        <v>29338</v>
      </c>
      <c r="H206" s="543">
        <v>30954</v>
      </c>
      <c r="I206" s="543">
        <v>33084</v>
      </c>
      <c r="J206" s="543">
        <v>38486</v>
      </c>
      <c r="K206" s="543">
        <v>43836</v>
      </c>
      <c r="L206" s="543">
        <v>49478</v>
      </c>
      <c r="M206" s="543">
        <v>52546</v>
      </c>
      <c r="N206" s="543">
        <v>59432</v>
      </c>
      <c r="O206" s="543">
        <v>66696</v>
      </c>
      <c r="P206" s="543">
        <v>77590</v>
      </c>
      <c r="Q206" s="543">
        <v>83101</v>
      </c>
      <c r="R206" s="543">
        <v>95426</v>
      </c>
      <c r="S206" s="543">
        <v>107449</v>
      </c>
      <c r="T206" s="543">
        <v>103609</v>
      </c>
      <c r="U206" s="543">
        <v>91816</v>
      </c>
      <c r="V206" s="543">
        <v>105845</v>
      </c>
      <c r="W206" s="543">
        <v>103506</v>
      </c>
      <c r="X206" s="543">
        <v>89722</v>
      </c>
      <c r="Y206" s="543">
        <v>92083</v>
      </c>
      <c r="Z206" s="543">
        <v>96292</v>
      </c>
      <c r="AA206" s="543">
        <v>124821</v>
      </c>
      <c r="AB206" s="543">
        <v>141323</v>
      </c>
      <c r="AC206" s="543">
        <v>154514</v>
      </c>
      <c r="AD206" s="543" t="s">
        <v>2620</v>
      </c>
      <c r="AE206" s="543" t="s">
        <v>2620</v>
      </c>
      <c r="AF206" s="543" t="s">
        <v>2620</v>
      </c>
    </row>
    <row r="207" spans="1:32">
      <c r="A207" s="533"/>
      <c r="B207" s="534"/>
      <c r="C207" s="535" t="s">
        <v>1714</v>
      </c>
      <c r="D207" s="12" t="s">
        <v>1273</v>
      </c>
      <c r="E207" s="13">
        <v>31</v>
      </c>
      <c r="F207" s="14" t="s">
        <v>2746</v>
      </c>
      <c r="G207" s="543">
        <v>1975</v>
      </c>
      <c r="H207" s="543">
        <v>2055</v>
      </c>
      <c r="I207" s="543">
        <v>1772</v>
      </c>
      <c r="J207" s="543">
        <v>2268</v>
      </c>
      <c r="K207" s="543">
        <v>2246</v>
      </c>
      <c r="L207" s="543">
        <v>1697</v>
      </c>
      <c r="M207" s="543">
        <v>1785</v>
      </c>
      <c r="N207" s="543">
        <v>1460</v>
      </c>
      <c r="O207" s="543">
        <v>1701</v>
      </c>
      <c r="P207" s="543">
        <v>1614</v>
      </c>
      <c r="Q207" s="543">
        <v>-853</v>
      </c>
      <c r="R207" s="543">
        <v>974</v>
      </c>
      <c r="S207" s="543">
        <v>1190</v>
      </c>
      <c r="T207" s="543">
        <v>1900</v>
      </c>
      <c r="U207" s="543">
        <v>1899</v>
      </c>
      <c r="V207" s="543">
        <v>2493</v>
      </c>
      <c r="W207" s="543">
        <v>3491</v>
      </c>
      <c r="X207" s="543">
        <v>3103</v>
      </c>
      <c r="Y207" s="543">
        <v>3363</v>
      </c>
      <c r="Z207" s="543">
        <v>3193</v>
      </c>
      <c r="AA207" s="543">
        <v>3649</v>
      </c>
      <c r="AB207" s="543">
        <v>3443</v>
      </c>
      <c r="AC207" s="543">
        <v>2522</v>
      </c>
      <c r="AD207" s="543" t="s">
        <v>2620</v>
      </c>
      <c r="AE207" s="543" t="s">
        <v>2620</v>
      </c>
      <c r="AF207" s="543" t="s">
        <v>2620</v>
      </c>
    </row>
    <row r="208" spans="1:32">
      <c r="A208" s="533"/>
      <c r="B208" s="534"/>
      <c r="C208" s="535" t="s">
        <v>1715</v>
      </c>
      <c r="D208" s="12" t="s">
        <v>1273</v>
      </c>
      <c r="E208" s="13">
        <v>32</v>
      </c>
      <c r="F208" s="14" t="s">
        <v>2747</v>
      </c>
      <c r="G208" s="543">
        <v>122</v>
      </c>
      <c r="H208" s="543">
        <v>386</v>
      </c>
      <c r="I208" s="543">
        <v>414</v>
      </c>
      <c r="J208" s="543">
        <v>395</v>
      </c>
      <c r="K208" s="543">
        <v>483</v>
      </c>
      <c r="L208" s="543">
        <v>779</v>
      </c>
      <c r="M208" s="543">
        <v>660</v>
      </c>
      <c r="N208" s="543">
        <v>808</v>
      </c>
      <c r="O208" s="543">
        <v>954</v>
      </c>
      <c r="P208" s="543">
        <v>879</v>
      </c>
      <c r="Q208" s="543">
        <v>788</v>
      </c>
      <c r="R208" s="543">
        <v>653</v>
      </c>
      <c r="S208" s="543">
        <v>633</v>
      </c>
      <c r="T208" s="543">
        <v>979</v>
      </c>
      <c r="U208" s="543">
        <v>930</v>
      </c>
      <c r="V208" s="543">
        <v>790</v>
      </c>
      <c r="W208" s="543">
        <v>890</v>
      </c>
      <c r="X208" s="543">
        <v>903</v>
      </c>
      <c r="Y208" s="543">
        <v>849</v>
      </c>
      <c r="Z208" s="543">
        <v>869</v>
      </c>
      <c r="AA208" s="543">
        <v>1062</v>
      </c>
      <c r="AB208" s="543">
        <v>1501</v>
      </c>
      <c r="AC208" s="543">
        <v>1552</v>
      </c>
      <c r="AD208" s="543" t="s">
        <v>2620</v>
      </c>
      <c r="AE208" s="543" t="s">
        <v>2620</v>
      </c>
      <c r="AF208" s="543" t="s">
        <v>2620</v>
      </c>
    </row>
    <row r="209" spans="1:32" s="540" customFormat="1">
      <c r="A209" s="536"/>
      <c r="B209" s="537" t="s">
        <v>1304</v>
      </c>
      <c r="C209" s="538" t="s">
        <v>1506</v>
      </c>
      <c r="D209" s="528"/>
      <c r="E209" s="529"/>
      <c r="F209" s="539"/>
      <c r="G209" s="544">
        <f t="shared" ref="G209:AF209" si="11">+G207+G208</f>
        <v>2097</v>
      </c>
      <c r="H209" s="544">
        <f t="shared" si="11"/>
        <v>2441</v>
      </c>
      <c r="I209" s="544">
        <f t="shared" si="11"/>
        <v>2186</v>
      </c>
      <c r="J209" s="544">
        <f t="shared" si="11"/>
        <v>2663</v>
      </c>
      <c r="K209" s="544">
        <f t="shared" si="11"/>
        <v>2729</v>
      </c>
      <c r="L209" s="544">
        <f t="shared" si="11"/>
        <v>2476</v>
      </c>
      <c r="M209" s="544">
        <f t="shared" si="11"/>
        <v>2445</v>
      </c>
      <c r="N209" s="544">
        <f t="shared" si="11"/>
        <v>2268</v>
      </c>
      <c r="O209" s="544">
        <f t="shared" si="11"/>
        <v>2655</v>
      </c>
      <c r="P209" s="544">
        <f t="shared" si="11"/>
        <v>2493</v>
      </c>
      <c r="Q209" s="544">
        <f t="shared" si="11"/>
        <v>-65</v>
      </c>
      <c r="R209" s="544">
        <f t="shared" si="11"/>
        <v>1627</v>
      </c>
      <c r="S209" s="544">
        <f t="shared" si="11"/>
        <v>1823</v>
      </c>
      <c r="T209" s="544">
        <f t="shared" si="11"/>
        <v>2879</v>
      </c>
      <c r="U209" s="544">
        <f t="shared" si="11"/>
        <v>2829</v>
      </c>
      <c r="V209" s="544">
        <f t="shared" si="11"/>
        <v>3283</v>
      </c>
      <c r="W209" s="544">
        <f t="shared" si="11"/>
        <v>4381</v>
      </c>
      <c r="X209" s="544">
        <f t="shared" si="11"/>
        <v>4006</v>
      </c>
      <c r="Y209" s="544">
        <f t="shared" si="11"/>
        <v>4212</v>
      </c>
      <c r="Z209" s="544">
        <f t="shared" si="11"/>
        <v>4062</v>
      </c>
      <c r="AA209" s="544">
        <f t="shared" si="11"/>
        <v>4711</v>
      </c>
      <c r="AB209" s="544">
        <f t="shared" si="11"/>
        <v>4944</v>
      </c>
      <c r="AC209" s="544">
        <f t="shared" si="11"/>
        <v>4074</v>
      </c>
      <c r="AD209" s="544" t="e">
        <f t="shared" si="11"/>
        <v>#VALUE!</v>
      </c>
      <c r="AE209" s="544" t="e">
        <f t="shared" si="11"/>
        <v>#VALUE!</v>
      </c>
      <c r="AF209" s="544" t="e">
        <f t="shared" si="11"/>
        <v>#VALUE!</v>
      </c>
    </row>
    <row r="210" spans="1:32">
      <c r="A210" s="533"/>
      <c r="B210" s="534"/>
      <c r="C210" s="535"/>
      <c r="D210" s="12"/>
      <c r="E210" s="13"/>
      <c r="F210" s="14"/>
      <c r="G210" s="543"/>
      <c r="H210" s="543"/>
      <c r="I210" s="543"/>
      <c r="J210" s="543"/>
      <c r="K210" s="543"/>
      <c r="L210" s="543"/>
      <c r="M210" s="543"/>
      <c r="N210" s="543"/>
      <c r="O210" s="543"/>
      <c r="P210" s="543"/>
      <c r="Q210" s="543"/>
      <c r="R210" s="543"/>
      <c r="S210" s="543"/>
      <c r="T210" s="543"/>
      <c r="U210" s="543"/>
      <c r="V210" s="543"/>
      <c r="W210" s="543"/>
      <c r="X210" s="543"/>
      <c r="Y210" s="543"/>
      <c r="Z210" s="543"/>
      <c r="AA210" s="543"/>
      <c r="AB210" s="543"/>
      <c r="AC210" s="543"/>
      <c r="AD210" s="543"/>
      <c r="AE210" s="543"/>
      <c r="AF210" s="543"/>
    </row>
    <row r="211" spans="1:32">
      <c r="A211" s="533"/>
      <c r="B211" s="534"/>
      <c r="C211" s="535"/>
      <c r="D211" s="12"/>
      <c r="E211" s="13"/>
      <c r="F211" s="14"/>
      <c r="G211" s="543"/>
      <c r="H211" s="543"/>
      <c r="I211" s="543"/>
      <c r="J211" s="543"/>
      <c r="K211" s="543"/>
      <c r="L211" s="543"/>
      <c r="M211" s="543"/>
      <c r="N211" s="543"/>
      <c r="O211" s="543"/>
      <c r="P211" s="543"/>
      <c r="Q211" s="543"/>
      <c r="R211" s="543"/>
      <c r="S211" s="543"/>
      <c r="T211" s="543"/>
      <c r="U211" s="543"/>
      <c r="V211" s="543"/>
      <c r="W211" s="543"/>
      <c r="X211" s="543"/>
      <c r="Y211" s="543"/>
      <c r="Z211" s="543"/>
      <c r="AA211" s="543"/>
      <c r="AB211" s="543"/>
      <c r="AC211" s="543"/>
      <c r="AD211" s="543"/>
      <c r="AE211" s="543"/>
      <c r="AF211" s="543"/>
    </row>
    <row r="212" spans="1:32">
      <c r="A212" s="533"/>
      <c r="B212" s="534"/>
      <c r="C212" s="535"/>
      <c r="D212" s="12"/>
      <c r="E212" s="13"/>
      <c r="F212" s="14"/>
      <c r="G212" s="543"/>
      <c r="H212" s="543"/>
      <c r="I212" s="543"/>
      <c r="J212" s="543"/>
      <c r="K212" s="543"/>
      <c r="L212" s="543"/>
      <c r="M212" s="543"/>
      <c r="N212" s="543"/>
      <c r="O212" s="543"/>
      <c r="P212" s="543"/>
      <c r="Q212" s="543"/>
      <c r="R212" s="543"/>
      <c r="S212" s="543"/>
      <c r="T212" s="543"/>
      <c r="U212" s="543"/>
      <c r="V212" s="543"/>
      <c r="W212" s="543"/>
      <c r="X212" s="543"/>
      <c r="Y212" s="543"/>
      <c r="Z212" s="543"/>
      <c r="AA212" s="543"/>
      <c r="AB212" s="543"/>
      <c r="AC212" s="543"/>
      <c r="AD212" s="543"/>
      <c r="AE212" s="543"/>
      <c r="AF212" s="543"/>
    </row>
    <row r="213" spans="1:32">
      <c r="A213" s="533"/>
      <c r="B213" s="534"/>
      <c r="C213" s="535"/>
      <c r="D213" s="12"/>
      <c r="E213" s="13"/>
      <c r="F213" s="14"/>
      <c r="G213" s="543"/>
      <c r="H213" s="543"/>
      <c r="I213" s="543"/>
      <c r="J213" s="543"/>
      <c r="K213" s="543"/>
      <c r="L213" s="543"/>
      <c r="M213" s="543"/>
      <c r="N213" s="543"/>
      <c r="O213" s="543"/>
      <c r="P213" s="543"/>
      <c r="Q213" s="543"/>
      <c r="R213" s="543"/>
      <c r="S213" s="543"/>
      <c r="T213" s="543"/>
      <c r="U213" s="543"/>
      <c r="V213" s="543"/>
      <c r="W213" s="543"/>
      <c r="X213" s="543"/>
      <c r="Y213" s="543"/>
      <c r="Z213" s="543"/>
      <c r="AA213" s="543"/>
      <c r="AB213" s="543"/>
      <c r="AC213" s="543"/>
      <c r="AD213" s="543"/>
      <c r="AE213" s="543"/>
      <c r="AF213" s="543"/>
    </row>
    <row r="214" spans="1:32">
      <c r="A214" s="533"/>
      <c r="B214" s="534"/>
      <c r="C214" s="535"/>
      <c r="D214" s="12"/>
      <c r="E214" s="13"/>
      <c r="F214" s="14"/>
      <c r="G214" s="543"/>
      <c r="H214" s="543"/>
      <c r="I214" s="543"/>
      <c r="J214" s="543"/>
      <c r="K214" s="543"/>
      <c r="L214" s="543"/>
      <c r="M214" s="543"/>
      <c r="N214" s="543"/>
      <c r="O214" s="543"/>
      <c r="P214" s="543"/>
      <c r="Q214" s="543"/>
      <c r="R214" s="543"/>
      <c r="S214" s="543"/>
      <c r="T214" s="543"/>
      <c r="U214" s="543"/>
      <c r="V214" s="543"/>
      <c r="W214" s="543"/>
      <c r="X214" s="543"/>
      <c r="Y214" s="543"/>
      <c r="Z214" s="543"/>
      <c r="AA214" s="543"/>
      <c r="AB214" s="543"/>
      <c r="AC214" s="543"/>
      <c r="AD214" s="543"/>
      <c r="AE214" s="543"/>
      <c r="AF214" s="543"/>
    </row>
    <row r="215" spans="1:32">
      <c r="A215" s="533"/>
      <c r="B215" s="534"/>
      <c r="C215" s="535"/>
      <c r="D215" s="12"/>
      <c r="E215" s="13"/>
      <c r="F215" s="14"/>
      <c r="G215" s="543"/>
      <c r="H215" s="543"/>
      <c r="I215" s="543"/>
      <c r="J215" s="543"/>
      <c r="K215" s="543"/>
      <c r="L215" s="543"/>
      <c r="M215" s="543"/>
      <c r="N215" s="543"/>
      <c r="O215" s="543"/>
      <c r="P215" s="543"/>
      <c r="Q215" s="543"/>
      <c r="R215" s="543"/>
      <c r="S215" s="543"/>
      <c r="T215" s="543"/>
      <c r="U215" s="543"/>
      <c r="V215" s="543"/>
      <c r="W215" s="543"/>
      <c r="X215" s="543"/>
      <c r="Y215" s="543"/>
      <c r="Z215" s="543"/>
      <c r="AA215" s="543"/>
      <c r="AB215" s="543"/>
      <c r="AC215" s="543"/>
      <c r="AD215" s="543"/>
      <c r="AE215" s="543"/>
      <c r="AF215" s="543"/>
    </row>
    <row r="216" spans="1:32">
      <c r="A216" s="533">
        <v>28</v>
      </c>
      <c r="B216" s="534" t="s">
        <v>112</v>
      </c>
      <c r="C216" s="535"/>
      <c r="D216" s="12" t="s">
        <v>1716</v>
      </c>
      <c r="E216" s="13">
        <v>2503</v>
      </c>
      <c r="F216" s="14" t="s">
        <v>2748</v>
      </c>
      <c r="G216" s="543">
        <v>124266.33922776612</v>
      </c>
      <c r="H216" s="543">
        <v>123837.39300809999</v>
      </c>
      <c r="I216" s="543">
        <v>113463.44976734924</v>
      </c>
      <c r="J216" s="543">
        <v>117687.22428649665</v>
      </c>
      <c r="K216" s="543">
        <v>122184.64233720291</v>
      </c>
      <c r="L216" s="543">
        <v>112777.87180063437</v>
      </c>
      <c r="M216" s="543">
        <v>119794.01038674083</v>
      </c>
      <c r="N216" s="543">
        <v>127397.0390197697</v>
      </c>
      <c r="O216" s="543">
        <v>126608.91475246879</v>
      </c>
      <c r="P216" s="543">
        <v>127137.79799171376</v>
      </c>
      <c r="Q216" s="543">
        <v>128378.83403634936</v>
      </c>
      <c r="R216" s="543">
        <v>135121.32410408897</v>
      </c>
      <c r="S216" s="543">
        <v>138850.20171713305</v>
      </c>
      <c r="T216" s="543">
        <v>140400.91003380978</v>
      </c>
      <c r="U216" s="543">
        <v>140253.43439915168</v>
      </c>
      <c r="V216" s="543">
        <v>150644</v>
      </c>
      <c r="W216" s="543">
        <v>150382.51899999997</v>
      </c>
      <c r="X216" s="543">
        <v>153021.30214520096</v>
      </c>
      <c r="Y216" s="543">
        <v>152625.63277822552</v>
      </c>
      <c r="Z216" s="543">
        <v>155158.07630540978</v>
      </c>
      <c r="AA216" s="543">
        <v>155681.03186309728</v>
      </c>
      <c r="AB216" s="543">
        <v>168151.00163028727</v>
      </c>
      <c r="AC216" s="543">
        <v>177286.29442996997</v>
      </c>
      <c r="AD216" s="543" t="s">
        <v>2620</v>
      </c>
      <c r="AE216" s="543" t="s">
        <v>2620</v>
      </c>
      <c r="AF216" s="543" t="s">
        <v>2620</v>
      </c>
    </row>
    <row r="217" spans="1:32">
      <c r="A217" s="533"/>
      <c r="B217" s="534"/>
      <c r="C217" s="535"/>
      <c r="D217" s="12"/>
      <c r="E217" s="13"/>
      <c r="F217" s="14"/>
      <c r="G217" s="3183"/>
      <c r="H217" s="3183"/>
      <c r="I217" s="3183"/>
      <c r="J217" s="3183"/>
      <c r="K217" s="3183"/>
      <c r="L217" s="3183"/>
      <c r="M217" s="3183"/>
      <c r="N217" s="3183"/>
      <c r="O217" s="3183"/>
      <c r="P217" s="3183"/>
      <c r="Q217" s="3183"/>
      <c r="R217" s="3183"/>
      <c r="S217" s="3183"/>
      <c r="T217" s="3183"/>
      <c r="U217" s="3183"/>
      <c r="V217" s="3183"/>
      <c r="W217" s="543"/>
      <c r="X217" s="543"/>
      <c r="Y217" s="543"/>
      <c r="Z217" s="543"/>
      <c r="AA217" s="543"/>
      <c r="AB217" s="543"/>
      <c r="AC217" s="543"/>
      <c r="AD217" s="543"/>
      <c r="AE217" s="543"/>
      <c r="AF217" s="543"/>
    </row>
    <row r="218" spans="1:32">
      <c r="A218" s="533"/>
      <c r="B218" s="534"/>
      <c r="C218" s="535"/>
      <c r="D218" s="12"/>
      <c r="E218" s="13"/>
      <c r="F218" s="14"/>
      <c r="G218" s="543"/>
      <c r="H218" s="543"/>
      <c r="I218" s="543"/>
      <c r="J218" s="543"/>
      <c r="K218" s="543"/>
      <c r="L218" s="543"/>
      <c r="M218" s="543"/>
      <c r="N218" s="543"/>
      <c r="O218" s="543"/>
      <c r="P218" s="543"/>
      <c r="Q218" s="543"/>
      <c r="R218" s="543"/>
      <c r="S218" s="543"/>
      <c r="T218" s="543"/>
      <c r="U218" s="543"/>
      <c r="V218" s="543"/>
      <c r="W218" s="543"/>
      <c r="X218" s="543"/>
      <c r="Y218" s="543"/>
      <c r="Z218" s="543"/>
      <c r="AA218" s="543"/>
      <c r="AB218" s="543"/>
      <c r="AC218" s="543"/>
      <c r="AD218" s="543"/>
      <c r="AE218" s="543"/>
      <c r="AF218" s="543"/>
    </row>
    <row r="219" spans="1:32">
      <c r="A219" s="533"/>
      <c r="B219" s="534"/>
      <c r="C219" s="535"/>
      <c r="D219" s="12"/>
      <c r="E219" s="13"/>
      <c r="F219" s="14"/>
      <c r="G219" s="543"/>
      <c r="H219" s="543"/>
      <c r="I219" s="543"/>
      <c r="J219" s="543"/>
      <c r="K219" s="543"/>
      <c r="L219" s="543"/>
      <c r="M219" s="543"/>
      <c r="N219" s="543"/>
      <c r="O219" s="543"/>
      <c r="P219" s="543"/>
      <c r="Q219" s="543"/>
      <c r="R219" s="543"/>
      <c r="S219" s="543"/>
      <c r="T219" s="543"/>
      <c r="U219" s="543"/>
      <c r="V219" s="543"/>
      <c r="W219" s="543"/>
      <c r="X219" s="543"/>
      <c r="Y219" s="543"/>
      <c r="Z219" s="543"/>
      <c r="AA219" s="543"/>
      <c r="AB219" s="543"/>
      <c r="AC219" s="543"/>
      <c r="AD219" s="543"/>
      <c r="AE219" s="543"/>
      <c r="AF219" s="543"/>
    </row>
    <row r="220" spans="1:32">
      <c r="A220" s="533"/>
      <c r="B220" s="534"/>
      <c r="C220" s="535"/>
      <c r="D220" s="12"/>
      <c r="E220" s="13"/>
      <c r="F220" s="14"/>
      <c r="G220" s="543"/>
      <c r="H220" s="543"/>
      <c r="I220" s="543"/>
      <c r="J220" s="543"/>
      <c r="K220" s="543"/>
      <c r="L220" s="543"/>
      <c r="M220" s="543"/>
      <c r="N220" s="543"/>
      <c r="O220" s="543"/>
      <c r="P220" s="543"/>
      <c r="Q220" s="543"/>
      <c r="R220" s="543"/>
      <c r="S220" s="543"/>
      <c r="T220" s="543"/>
      <c r="U220" s="543"/>
      <c r="V220" s="3183"/>
      <c r="W220" s="3183"/>
      <c r="X220" s="3183"/>
      <c r="Y220" s="543"/>
      <c r="Z220" s="543"/>
      <c r="AA220" s="543"/>
      <c r="AB220" s="543"/>
      <c r="AC220" s="543"/>
      <c r="AD220" s="543"/>
      <c r="AE220" s="543"/>
      <c r="AF220" s="543"/>
    </row>
    <row r="221" spans="1:32">
      <c r="A221" s="533"/>
      <c r="B221" s="534"/>
      <c r="C221" s="535"/>
      <c r="D221" s="12"/>
      <c r="E221" s="13"/>
      <c r="F221" s="14"/>
      <c r="G221" s="543"/>
      <c r="H221" s="543"/>
      <c r="I221" s="543"/>
      <c r="J221" s="543"/>
      <c r="K221" s="543"/>
      <c r="L221" s="543"/>
      <c r="M221" s="543"/>
      <c r="N221" s="543"/>
      <c r="O221" s="543"/>
      <c r="P221" s="543"/>
      <c r="Q221" s="543"/>
      <c r="R221" s="543"/>
      <c r="S221" s="543"/>
      <c r="T221" s="543"/>
      <c r="U221" s="543"/>
      <c r="V221" s="543"/>
      <c r="W221" s="543"/>
      <c r="X221" s="543"/>
      <c r="Y221" s="543"/>
      <c r="Z221" s="543"/>
      <c r="AA221" s="543"/>
      <c r="AB221" s="543"/>
      <c r="AC221" s="543"/>
      <c r="AD221" s="543"/>
      <c r="AE221" s="543"/>
      <c r="AF221" s="543"/>
    </row>
    <row r="222" spans="1:32" s="3191" customFormat="1">
      <c r="A222" s="3185">
        <v>79</v>
      </c>
      <c r="B222" s="3186" t="s">
        <v>1718</v>
      </c>
      <c r="C222" s="3187"/>
      <c r="D222" s="3188" t="s">
        <v>1716</v>
      </c>
      <c r="E222" s="3189">
        <v>2401</v>
      </c>
      <c r="F222" s="3184" t="s">
        <v>2749</v>
      </c>
      <c r="G222" s="3190">
        <v>4007.7</v>
      </c>
      <c r="H222" s="3190">
        <v>3984.5</v>
      </c>
      <c r="I222" s="3190">
        <v>3946.3</v>
      </c>
      <c r="J222" s="3190">
        <v>4010.4</v>
      </c>
      <c r="K222" s="3190">
        <v>4099</v>
      </c>
      <c r="L222" s="3190">
        <v>4188.3999999999996</v>
      </c>
      <c r="M222" s="3190">
        <v>4347.3999999999996</v>
      </c>
      <c r="N222" s="3190">
        <v>4361.5</v>
      </c>
      <c r="O222" s="3190">
        <v>4350.5</v>
      </c>
      <c r="P222" s="3190">
        <v>4332.6000000000004</v>
      </c>
      <c r="Q222" s="3190">
        <v>4347.6000000000004</v>
      </c>
      <c r="R222" s="3190">
        <v>4429.3999999999996</v>
      </c>
      <c r="S222" s="3190">
        <v>4540.7</v>
      </c>
      <c r="T222" s="3190">
        <v>4593</v>
      </c>
      <c r="U222" s="3190">
        <v>4498.7</v>
      </c>
      <c r="V222" s="3190">
        <v>4523.7</v>
      </c>
      <c r="W222" s="3190">
        <v>4625.8999999999996</v>
      </c>
      <c r="X222" s="3190">
        <v>4657.1000000000004</v>
      </c>
      <c r="Y222" s="3190">
        <v>4704.7</v>
      </c>
      <c r="Z222" s="3190">
        <v>4772.3</v>
      </c>
      <c r="AA222" s="3190">
        <v>4837.2</v>
      </c>
      <c r="AB222" s="3190">
        <v>4910.1000000000004</v>
      </c>
      <c r="AC222" s="3190">
        <v>5021.8</v>
      </c>
      <c r="AD222" s="3190" t="s">
        <v>2620</v>
      </c>
      <c r="AE222" s="3190" t="s">
        <v>2620</v>
      </c>
      <c r="AF222" s="3190" t="s">
        <v>2620</v>
      </c>
    </row>
    <row r="223" spans="1:32">
      <c r="A223" s="533">
        <v>78</v>
      </c>
      <c r="B223" s="534" t="s">
        <v>1875</v>
      </c>
      <c r="C223" s="535"/>
      <c r="D223" s="12" t="s">
        <v>1716</v>
      </c>
      <c r="E223" s="13">
        <v>2402</v>
      </c>
      <c r="F223" s="14" t="s">
        <v>2750</v>
      </c>
      <c r="G223" s="543">
        <v>444.2</v>
      </c>
      <c r="H223" s="543">
        <v>479.8</v>
      </c>
      <c r="I223" s="543">
        <v>487.2</v>
      </c>
      <c r="J223" s="543">
        <v>409.9</v>
      </c>
      <c r="K223" s="543">
        <v>353.9</v>
      </c>
      <c r="L223" s="543">
        <v>299</v>
      </c>
      <c r="M223" s="543">
        <v>270</v>
      </c>
      <c r="N223" s="543">
        <v>276.8</v>
      </c>
      <c r="O223" s="543">
        <v>306.3</v>
      </c>
      <c r="P223" s="543">
        <v>345.6</v>
      </c>
      <c r="Q223" s="543">
        <v>361</v>
      </c>
      <c r="R223" s="543">
        <v>336.3</v>
      </c>
      <c r="S223" s="543">
        <v>297.5</v>
      </c>
      <c r="T223" s="543">
        <v>304.7</v>
      </c>
      <c r="U223" s="543">
        <v>408.3</v>
      </c>
      <c r="V223" s="543">
        <v>425</v>
      </c>
      <c r="W223" s="543">
        <v>390</v>
      </c>
      <c r="X223" s="543">
        <v>403</v>
      </c>
      <c r="Y223" s="543">
        <v>411</v>
      </c>
      <c r="Z223" s="543">
        <v>411</v>
      </c>
      <c r="AA223" s="543">
        <v>387</v>
      </c>
      <c r="AB223" s="543">
        <v>366</v>
      </c>
      <c r="AC223" s="543">
        <v>358</v>
      </c>
      <c r="AD223" s="543" t="s">
        <v>2620</v>
      </c>
      <c r="AE223" s="543" t="s">
        <v>2620</v>
      </c>
      <c r="AF223" s="543" t="s">
        <v>2620</v>
      </c>
    </row>
    <row r="224" spans="1:32">
      <c r="A224" s="533">
        <v>85</v>
      </c>
      <c r="B224" s="534" t="s">
        <v>1726</v>
      </c>
      <c r="C224" s="535"/>
      <c r="D224" s="12" t="s">
        <v>1716</v>
      </c>
      <c r="E224" s="13">
        <v>2403</v>
      </c>
      <c r="F224" s="14" t="s">
        <v>2751</v>
      </c>
      <c r="G224" s="543">
        <v>1640.3448860471312</v>
      </c>
      <c r="H224" s="543">
        <v>1653.0408457237727</v>
      </c>
      <c r="I224" s="543">
        <v>1657.9689354966365</v>
      </c>
      <c r="J224" s="543">
        <v>1656.3190154205381</v>
      </c>
      <c r="K224" s="543">
        <v>1664.8116825880841</v>
      </c>
      <c r="L224" s="543">
        <v>1642.082500116263</v>
      </c>
      <c r="M224" s="543">
        <v>1618.207282913165</v>
      </c>
      <c r="N224" s="543">
        <v>1594.8738960211238</v>
      </c>
      <c r="O224" s="543">
        <v>1581.5632226012503</v>
      </c>
      <c r="P224" s="543">
        <v>1605.5104675827722</v>
      </c>
      <c r="Q224" s="543">
        <v>1605.063582219974</v>
      </c>
      <c r="R224" s="543">
        <v>1599.1271707670046</v>
      </c>
      <c r="S224" s="543">
        <v>1611.4954469100878</v>
      </c>
      <c r="T224" s="543">
        <v>1616.8645404363447</v>
      </c>
      <c r="U224" s="543">
        <v>1609.1474364730179</v>
      </c>
      <c r="V224" s="543">
        <v>1635.0067812437469</v>
      </c>
      <c r="W224" s="543">
        <v>1632.5169801462905</v>
      </c>
      <c r="X224" s="543">
        <v>1618.3753295587155</v>
      </c>
      <c r="Y224" s="543">
        <v>1608.7182670491031</v>
      </c>
      <c r="Z224" s="543">
        <v>1609.422890192933</v>
      </c>
      <c r="AA224" s="543">
        <v>1610.0719723759207</v>
      </c>
      <c r="AB224" s="543">
        <v>1622.2873481057898</v>
      </c>
      <c r="AC224" s="543">
        <v>1608.6883642966893</v>
      </c>
      <c r="AD224" s="543" t="s">
        <v>2620</v>
      </c>
      <c r="AE224" s="543" t="s">
        <v>2620</v>
      </c>
      <c r="AF224" s="543" t="s">
        <v>2620</v>
      </c>
    </row>
    <row r="225" spans="1:32">
      <c r="A225" s="533"/>
      <c r="B225" s="534"/>
      <c r="C225" s="535"/>
      <c r="D225" s="12"/>
      <c r="E225" s="13"/>
      <c r="F225" s="14"/>
      <c r="G225" s="543"/>
      <c r="H225" s="543"/>
      <c r="I225" s="543"/>
      <c r="J225" s="543"/>
      <c r="K225" s="543"/>
      <c r="L225" s="543"/>
      <c r="M225" s="543"/>
      <c r="N225" s="543"/>
      <c r="O225" s="543"/>
      <c r="P225" s="543"/>
      <c r="Q225" s="543"/>
      <c r="R225" s="543"/>
      <c r="S225" s="543"/>
      <c r="T225" s="543"/>
      <c r="U225" s="543"/>
      <c r="V225" s="543"/>
      <c r="W225" s="543"/>
      <c r="X225" s="543"/>
      <c r="Y225" s="543"/>
      <c r="Z225" s="543"/>
      <c r="AA225" s="543"/>
      <c r="AB225" s="543"/>
      <c r="AC225" s="543"/>
      <c r="AD225" s="543"/>
      <c r="AE225" s="543"/>
      <c r="AF225" s="543"/>
    </row>
    <row r="226" spans="1:32">
      <c r="A226" s="533"/>
      <c r="B226" s="534"/>
      <c r="C226" s="535"/>
      <c r="D226" s="12"/>
      <c r="E226" s="13"/>
      <c r="F226" s="14"/>
      <c r="G226" s="543"/>
      <c r="H226" s="543"/>
      <c r="I226" s="543"/>
      <c r="J226" s="543"/>
      <c r="K226" s="543"/>
      <c r="L226" s="543"/>
      <c r="M226" s="543"/>
      <c r="N226" s="543"/>
      <c r="O226" s="543"/>
      <c r="P226" s="543"/>
      <c r="Q226" s="543"/>
      <c r="R226" s="543"/>
      <c r="S226" s="543"/>
      <c r="T226" s="543"/>
      <c r="U226" s="543"/>
      <c r="V226" s="543"/>
      <c r="W226" s="543"/>
      <c r="X226" s="543"/>
      <c r="Y226" s="543"/>
      <c r="Z226" s="543"/>
      <c r="AA226" s="543"/>
      <c r="AB226" s="543"/>
      <c r="AC226" s="543"/>
      <c r="AD226" s="543"/>
      <c r="AE226" s="543"/>
      <c r="AF226" s="543"/>
    </row>
    <row r="227" spans="1:32">
      <c r="A227" s="533"/>
      <c r="B227" s="534"/>
      <c r="C227" s="535"/>
      <c r="D227" s="12"/>
      <c r="E227" s="13"/>
      <c r="F227" s="14"/>
      <c r="G227" s="543"/>
      <c r="H227" s="543"/>
      <c r="I227" s="543"/>
      <c r="J227" s="543"/>
      <c r="K227" s="543"/>
      <c r="L227" s="543"/>
      <c r="M227" s="543"/>
      <c r="N227" s="543"/>
      <c r="O227" s="543"/>
      <c r="P227" s="543"/>
      <c r="Q227" s="543"/>
      <c r="R227" s="543"/>
      <c r="S227" s="543"/>
      <c r="T227" s="543"/>
      <c r="U227" s="543"/>
      <c r="V227" s="543"/>
      <c r="W227" s="543"/>
      <c r="X227" s="543"/>
      <c r="Y227" s="543"/>
      <c r="Z227" s="543"/>
      <c r="AA227" s="543"/>
      <c r="AB227" s="543"/>
      <c r="AC227" s="543"/>
      <c r="AD227" s="543"/>
      <c r="AE227" s="543"/>
      <c r="AF227" s="543"/>
    </row>
    <row r="228" spans="1:32" s="3191" customFormat="1">
      <c r="A228" s="3185"/>
      <c r="B228" s="3186" t="s">
        <v>1717</v>
      </c>
      <c r="C228" s="3187"/>
      <c r="D228" s="3188" t="s">
        <v>1716</v>
      </c>
      <c r="E228" s="3189">
        <v>2701</v>
      </c>
      <c r="F228" s="3184" t="e">
        <v>#N/A</v>
      </c>
      <c r="G228" s="3190">
        <v>702539</v>
      </c>
      <c r="H228" s="3190">
        <v>744696</v>
      </c>
      <c r="I228" s="3190">
        <v>776357</v>
      </c>
      <c r="J228" s="3190">
        <v>819241</v>
      </c>
      <c r="K228" s="3190">
        <v>866915</v>
      </c>
      <c r="L228" s="3190">
        <v>925963</v>
      </c>
      <c r="M228" s="3190">
        <v>979759</v>
      </c>
      <c r="N228" s="3190">
        <v>1012448</v>
      </c>
      <c r="O228" s="3190">
        <v>1037474</v>
      </c>
      <c r="P228" s="3190">
        <v>1064860</v>
      </c>
      <c r="Q228" s="3190">
        <v>1104698</v>
      </c>
      <c r="R228" s="3190">
        <v>1166633</v>
      </c>
      <c r="S228" s="3190">
        <v>1250168</v>
      </c>
      <c r="T228" s="3190">
        <v>1323091</v>
      </c>
      <c r="U228" s="3190">
        <v>1327306</v>
      </c>
      <c r="V228" s="3190">
        <v>1367066</v>
      </c>
      <c r="W228" s="3190">
        <v>1440608</v>
      </c>
      <c r="X228" s="3190">
        <v>1494106</v>
      </c>
      <c r="Y228" s="3190">
        <v>1534299</v>
      </c>
      <c r="Z228" s="3190">
        <v>1592737</v>
      </c>
      <c r="AA228" s="3190">
        <v>1657348</v>
      </c>
      <c r="AB228" s="3190">
        <v>1730411</v>
      </c>
      <c r="AC228" s="3190">
        <v>1811042</v>
      </c>
      <c r="AD228" s="3190" t="s">
        <v>2620</v>
      </c>
      <c r="AE228" s="3190" t="s">
        <v>2620</v>
      </c>
      <c r="AF228" s="3190" t="s">
        <v>2620</v>
      </c>
    </row>
    <row r="229" spans="1:32">
      <c r="A229" s="2015"/>
      <c r="B229" s="534" t="s">
        <v>1719</v>
      </c>
      <c r="C229" s="535" t="s">
        <v>1727</v>
      </c>
      <c r="D229" s="12" t="s">
        <v>1716</v>
      </c>
      <c r="E229" s="13">
        <v>2702</v>
      </c>
      <c r="F229" s="14" t="s">
        <v>2752</v>
      </c>
      <c r="G229" s="543">
        <v>2235</v>
      </c>
      <c r="H229" s="543">
        <v>2203</v>
      </c>
      <c r="I229" s="543">
        <v>3295</v>
      </c>
      <c r="J229" s="543">
        <v>4248</v>
      </c>
      <c r="K229" s="543">
        <v>5008</v>
      </c>
      <c r="L229" s="543">
        <v>6048</v>
      </c>
      <c r="M229" s="543">
        <v>7789</v>
      </c>
      <c r="N229" s="543">
        <v>9172</v>
      </c>
      <c r="O229" s="543">
        <v>9090</v>
      </c>
      <c r="P229" s="543">
        <v>9701</v>
      </c>
      <c r="Q229" s="543">
        <v>11418</v>
      </c>
      <c r="R229" s="543">
        <v>14274</v>
      </c>
      <c r="S229" s="543">
        <v>19152</v>
      </c>
      <c r="T229" s="543">
        <v>24251</v>
      </c>
      <c r="U229" s="543">
        <v>27500</v>
      </c>
      <c r="V229" s="543">
        <v>26366</v>
      </c>
      <c r="W229" s="543">
        <v>25433</v>
      </c>
      <c r="X229" s="543">
        <v>25915</v>
      </c>
      <c r="Y229" s="543">
        <v>25795</v>
      </c>
      <c r="Z229" s="543">
        <v>27232</v>
      </c>
      <c r="AA229" s="543">
        <v>24611</v>
      </c>
      <c r="AB229" s="543">
        <v>20280</v>
      </c>
      <c r="AC229" s="543">
        <v>21045</v>
      </c>
      <c r="AD229" s="543" t="s">
        <v>2620</v>
      </c>
      <c r="AE229" s="543" t="s">
        <v>2620</v>
      </c>
      <c r="AF229" s="543" t="s">
        <v>2620</v>
      </c>
    </row>
    <row r="230" spans="1:32">
      <c r="A230" s="2015"/>
      <c r="B230" s="534" t="s">
        <v>1720</v>
      </c>
      <c r="C230" s="535" t="s">
        <v>1728</v>
      </c>
      <c r="D230" s="12" t="s">
        <v>1716</v>
      </c>
      <c r="E230" s="13">
        <v>2703</v>
      </c>
      <c r="F230" s="14" t="s">
        <v>2753</v>
      </c>
      <c r="G230" s="543">
        <v>1424</v>
      </c>
      <c r="H230" s="543">
        <v>1695</v>
      </c>
      <c r="I230" s="543">
        <v>1868</v>
      </c>
      <c r="J230" s="543">
        <v>2633</v>
      </c>
      <c r="K230" s="543">
        <v>2642</v>
      </c>
      <c r="L230" s="543">
        <v>3120</v>
      </c>
      <c r="M230" s="543">
        <v>3433</v>
      </c>
      <c r="N230" s="543">
        <v>3812</v>
      </c>
      <c r="O230" s="543">
        <v>4246</v>
      </c>
      <c r="P230" s="543">
        <v>4257</v>
      </c>
      <c r="Q230" s="543">
        <v>4636</v>
      </c>
      <c r="R230" s="543">
        <v>5790</v>
      </c>
      <c r="S230" s="543">
        <v>5817</v>
      </c>
      <c r="T230" s="543">
        <v>6433</v>
      </c>
      <c r="U230" s="543">
        <v>6353</v>
      </c>
      <c r="V230" s="543">
        <v>6319</v>
      </c>
      <c r="W230" s="543">
        <v>6766</v>
      </c>
      <c r="X230" s="543">
        <v>6878</v>
      </c>
      <c r="Y230" s="543">
        <v>7144</v>
      </c>
      <c r="Z230" s="543">
        <v>7550</v>
      </c>
      <c r="AA230" s="543">
        <v>8979</v>
      </c>
      <c r="AB230" s="543">
        <v>10790</v>
      </c>
      <c r="AC230" s="543">
        <v>13588</v>
      </c>
      <c r="AD230" s="543" t="s">
        <v>2620</v>
      </c>
      <c r="AE230" s="543" t="s">
        <v>2620</v>
      </c>
      <c r="AF230" s="543" t="s">
        <v>2620</v>
      </c>
    </row>
    <row r="231" spans="1:32" s="540" customFormat="1">
      <c r="A231" s="2015"/>
      <c r="B231" s="537" t="s">
        <v>1815</v>
      </c>
      <c r="C231" s="538" t="s">
        <v>1816</v>
      </c>
      <c r="D231" s="528"/>
      <c r="E231" s="529"/>
      <c r="F231" s="539"/>
      <c r="G231" s="544">
        <f t="shared" ref="G231:AF231" si="12">+G229-G230</f>
        <v>811</v>
      </c>
      <c r="H231" s="544">
        <f t="shared" si="12"/>
        <v>508</v>
      </c>
      <c r="I231" s="544">
        <f t="shared" si="12"/>
        <v>1427</v>
      </c>
      <c r="J231" s="544">
        <f t="shared" si="12"/>
        <v>1615</v>
      </c>
      <c r="K231" s="544">
        <f t="shared" si="12"/>
        <v>2366</v>
      </c>
      <c r="L231" s="544">
        <f t="shared" si="12"/>
        <v>2928</v>
      </c>
      <c r="M231" s="544">
        <f t="shared" si="12"/>
        <v>4356</v>
      </c>
      <c r="N231" s="544">
        <f t="shared" si="12"/>
        <v>5360</v>
      </c>
      <c r="O231" s="544">
        <f t="shared" si="12"/>
        <v>4844</v>
      </c>
      <c r="P231" s="544">
        <f t="shared" si="12"/>
        <v>5444</v>
      </c>
      <c r="Q231" s="544">
        <f t="shared" si="12"/>
        <v>6782</v>
      </c>
      <c r="R231" s="544">
        <f t="shared" si="12"/>
        <v>8484</v>
      </c>
      <c r="S231" s="544">
        <f t="shared" si="12"/>
        <v>13335</v>
      </c>
      <c r="T231" s="544">
        <f t="shared" si="12"/>
        <v>17818</v>
      </c>
      <c r="U231" s="544">
        <f t="shared" si="12"/>
        <v>21147</v>
      </c>
      <c r="V231" s="544">
        <f t="shared" si="12"/>
        <v>20047</v>
      </c>
      <c r="W231" s="544">
        <f t="shared" si="12"/>
        <v>18667</v>
      </c>
      <c r="X231" s="544">
        <f t="shared" si="12"/>
        <v>19037</v>
      </c>
      <c r="Y231" s="544">
        <f t="shared" si="12"/>
        <v>18651</v>
      </c>
      <c r="Z231" s="544">
        <f t="shared" si="12"/>
        <v>19682</v>
      </c>
      <c r="AA231" s="544">
        <f t="shared" si="12"/>
        <v>15632</v>
      </c>
      <c r="AB231" s="544">
        <f t="shared" si="12"/>
        <v>9490</v>
      </c>
      <c r="AC231" s="544">
        <f t="shared" si="12"/>
        <v>7457</v>
      </c>
      <c r="AD231" s="544" t="e">
        <f t="shared" si="12"/>
        <v>#VALUE!</v>
      </c>
      <c r="AE231" s="544" t="e">
        <f t="shared" si="12"/>
        <v>#VALUE!</v>
      </c>
      <c r="AF231" s="544" t="e">
        <f t="shared" si="12"/>
        <v>#VALUE!</v>
      </c>
    </row>
    <row r="232" spans="1:32">
      <c r="A232" s="533"/>
      <c r="B232" s="534"/>
      <c r="C232" s="535"/>
      <c r="D232" s="12"/>
      <c r="E232" s="13"/>
      <c r="F232" s="14"/>
      <c r="G232" s="543"/>
      <c r="H232" s="543"/>
      <c r="I232" s="543"/>
      <c r="J232" s="543"/>
      <c r="K232" s="543"/>
      <c r="L232" s="543"/>
      <c r="M232" s="543"/>
      <c r="N232" s="543"/>
      <c r="O232" s="543"/>
      <c r="P232" s="543"/>
      <c r="Q232" s="543"/>
      <c r="R232" s="543"/>
      <c r="S232" s="543"/>
      <c r="T232" s="543"/>
      <c r="U232" s="543"/>
      <c r="V232" s="543"/>
      <c r="W232" s="543"/>
      <c r="X232" s="543"/>
      <c r="Y232" s="543"/>
      <c r="Z232" s="543"/>
      <c r="AA232" s="543"/>
      <c r="AB232" s="543"/>
      <c r="AC232" s="543"/>
      <c r="AD232" s="543"/>
      <c r="AE232" s="543"/>
      <c r="AF232" s="543"/>
    </row>
    <row r="233" spans="1:32">
      <c r="A233" s="2015">
        <v>131</v>
      </c>
      <c r="B233" s="534" t="s">
        <v>2040</v>
      </c>
      <c r="C233" s="535" t="s">
        <v>979</v>
      </c>
      <c r="D233" s="12" t="s">
        <v>1716</v>
      </c>
      <c r="E233" s="13">
        <v>2602</v>
      </c>
      <c r="F233" s="14" t="s">
        <v>2754</v>
      </c>
      <c r="G233" s="543">
        <v>4574</v>
      </c>
      <c r="H233" s="543">
        <v>3368</v>
      </c>
      <c r="I233" s="543">
        <v>3838</v>
      </c>
      <c r="J233" s="543">
        <v>3695</v>
      </c>
      <c r="K233" s="543">
        <v>3578</v>
      </c>
      <c r="L233" s="543">
        <v>3796</v>
      </c>
      <c r="M233" s="543">
        <v>3618</v>
      </c>
      <c r="N233" s="543">
        <v>3398</v>
      </c>
      <c r="O233" s="543">
        <v>3479</v>
      </c>
      <c r="P233" s="543">
        <v>3863</v>
      </c>
      <c r="Q233" s="543">
        <v>4665</v>
      </c>
      <c r="R233" s="543">
        <v>5160</v>
      </c>
      <c r="S233" s="543">
        <v>5883</v>
      </c>
      <c r="T233" s="543">
        <v>5874</v>
      </c>
      <c r="U233" s="543">
        <v>5151</v>
      </c>
      <c r="V233" s="543">
        <v>5674</v>
      </c>
      <c r="W233" s="543">
        <v>5660</v>
      </c>
      <c r="X233" s="543">
        <v>5255</v>
      </c>
      <c r="Y233" s="543">
        <v>5222</v>
      </c>
      <c r="Z233" s="543">
        <v>5806</v>
      </c>
      <c r="AA233" s="543">
        <v>6275</v>
      </c>
      <c r="AB233" s="543">
        <v>6076</v>
      </c>
      <c r="AC233" s="543">
        <v>6258</v>
      </c>
      <c r="AD233" s="543" t="s">
        <v>2620</v>
      </c>
      <c r="AE233" s="543" t="s">
        <v>2620</v>
      </c>
      <c r="AF233" s="543" t="s">
        <v>2620</v>
      </c>
    </row>
    <row r="234" spans="1:32">
      <c r="A234" s="533"/>
      <c r="B234" s="534"/>
      <c r="C234" s="535"/>
      <c r="D234" s="12"/>
      <c r="E234" s="13"/>
      <c r="F234" s="14"/>
      <c r="G234" s="543"/>
      <c r="H234" s="543"/>
      <c r="I234" s="543"/>
      <c r="J234" s="543"/>
      <c r="K234" s="543"/>
      <c r="L234" s="543"/>
      <c r="M234" s="543"/>
      <c r="N234" s="543"/>
      <c r="O234" s="543"/>
      <c r="P234" s="543"/>
      <c r="Q234" s="543"/>
      <c r="R234" s="543"/>
      <c r="S234" s="543"/>
      <c r="T234" s="543"/>
      <c r="U234" s="543"/>
      <c r="V234" s="543"/>
      <c r="W234" s="543"/>
      <c r="X234" s="543"/>
      <c r="Y234" s="543"/>
      <c r="Z234" s="543"/>
      <c r="AA234" s="543"/>
      <c r="AB234" s="543"/>
      <c r="AC234" s="543"/>
      <c r="AD234" s="543"/>
      <c r="AE234" s="543"/>
      <c r="AF234" s="543"/>
    </row>
    <row r="235" spans="1:32">
      <c r="A235" s="2015">
        <v>133</v>
      </c>
      <c r="B235" s="534" t="s">
        <v>2043</v>
      </c>
      <c r="C235" s="535" t="s">
        <v>980</v>
      </c>
      <c r="D235" s="12" t="s">
        <v>1716</v>
      </c>
      <c r="E235" s="13">
        <v>2612</v>
      </c>
      <c r="F235" s="14" t="s">
        <v>2755</v>
      </c>
      <c r="G235" s="543">
        <v>852</v>
      </c>
      <c r="H235" s="543">
        <v>1059</v>
      </c>
      <c r="I235" s="543">
        <v>1396</v>
      </c>
      <c r="J235" s="543">
        <v>1217</v>
      </c>
      <c r="K235" s="543">
        <v>1389</v>
      </c>
      <c r="L235" s="543">
        <v>4760</v>
      </c>
      <c r="M235" s="543">
        <v>5268</v>
      </c>
      <c r="N235" s="543">
        <v>5325</v>
      </c>
      <c r="O235" s="543">
        <v>5253</v>
      </c>
      <c r="P235" s="543">
        <v>5844</v>
      </c>
      <c r="Q235" s="543">
        <v>1665</v>
      </c>
      <c r="R235" s="543">
        <v>1770</v>
      </c>
      <c r="S235" s="543">
        <v>824</v>
      </c>
      <c r="T235" s="543">
        <v>874</v>
      </c>
      <c r="U235" s="543">
        <v>1018</v>
      </c>
      <c r="V235" s="543">
        <v>630</v>
      </c>
      <c r="W235" s="543">
        <v>542</v>
      </c>
      <c r="X235" s="543">
        <v>184</v>
      </c>
      <c r="Y235" s="543">
        <v>102</v>
      </c>
      <c r="Z235" s="543">
        <v>150</v>
      </c>
      <c r="AA235" s="543">
        <v>1064</v>
      </c>
      <c r="AB235" s="543">
        <v>1076</v>
      </c>
      <c r="AC235" s="543">
        <v>1074</v>
      </c>
      <c r="AD235" s="543" t="s">
        <v>2620</v>
      </c>
      <c r="AE235" s="543" t="s">
        <v>2620</v>
      </c>
      <c r="AF235" s="543" t="s">
        <v>2620</v>
      </c>
    </row>
    <row r="236" spans="1:32">
      <c r="A236" s="533"/>
      <c r="B236" s="534"/>
      <c r="C236" s="535"/>
      <c r="D236" s="12"/>
      <c r="E236" s="13"/>
      <c r="F236" s="14"/>
      <c r="G236" s="543"/>
      <c r="H236" s="543"/>
      <c r="I236" s="543"/>
      <c r="J236" s="543"/>
      <c r="K236" s="543"/>
      <c r="L236" s="543"/>
      <c r="M236" s="543"/>
      <c r="N236" s="543"/>
      <c r="O236" s="543"/>
      <c r="P236" s="543"/>
      <c r="Q236" s="543"/>
      <c r="R236" s="543"/>
      <c r="S236" s="543"/>
      <c r="T236" s="543"/>
      <c r="U236" s="543"/>
      <c r="V236" s="543"/>
      <c r="W236" s="543"/>
      <c r="X236" s="543"/>
      <c r="Y236" s="543"/>
      <c r="Z236" s="543"/>
      <c r="AA236" s="543"/>
      <c r="AB236" s="543"/>
      <c r="AC236" s="543"/>
      <c r="AD236" s="543"/>
      <c r="AE236" s="543"/>
      <c r="AF236" s="543"/>
    </row>
    <row r="237" spans="1:32">
      <c r="A237" s="533"/>
      <c r="B237" s="534"/>
      <c r="C237" s="535"/>
      <c r="D237" s="12"/>
      <c r="E237" s="13"/>
      <c r="F237" s="14"/>
      <c r="G237" s="543"/>
      <c r="H237" s="543"/>
      <c r="I237" s="543"/>
      <c r="J237" s="543"/>
      <c r="K237" s="543"/>
      <c r="L237" s="543"/>
      <c r="M237" s="543"/>
      <c r="N237" s="543"/>
      <c r="O237" s="543"/>
      <c r="P237" s="543"/>
      <c r="Q237" s="543"/>
      <c r="R237" s="543"/>
      <c r="S237" s="543"/>
      <c r="T237" s="543"/>
      <c r="U237" s="543"/>
      <c r="V237" s="543"/>
      <c r="W237" s="543"/>
      <c r="X237" s="543"/>
      <c r="Y237" s="543"/>
      <c r="Z237" s="543"/>
      <c r="AA237" s="543"/>
      <c r="AB237" s="543"/>
      <c r="AC237" s="543"/>
      <c r="AD237" s="543"/>
      <c r="AE237" s="543"/>
      <c r="AF237" s="543"/>
    </row>
    <row r="238" spans="1:32">
      <c r="A238" s="2015"/>
      <c r="B238" s="534" t="s">
        <v>1722</v>
      </c>
      <c r="C238" s="535" t="s">
        <v>1733</v>
      </c>
      <c r="D238" s="12" t="s">
        <v>1716</v>
      </c>
      <c r="E238" s="13">
        <v>2704</v>
      </c>
      <c r="F238" s="14" t="s">
        <v>2756</v>
      </c>
      <c r="G238" s="543">
        <v>-31204</v>
      </c>
      <c r="H238" s="543">
        <v>-30875</v>
      </c>
      <c r="I238" s="543">
        <v>-30647</v>
      </c>
      <c r="J238" s="543">
        <v>-20840</v>
      </c>
      <c r="K238" s="543">
        <v>-10831</v>
      </c>
      <c r="L238" s="543">
        <v>-7382</v>
      </c>
      <c r="M238" s="543">
        <v>-9257</v>
      </c>
      <c r="N238" s="543">
        <v>-6137</v>
      </c>
      <c r="O238" s="543">
        <v>32856</v>
      </c>
      <c r="P238" s="543">
        <v>3290</v>
      </c>
      <c r="Q238" s="543">
        <v>25070</v>
      </c>
      <c r="R238" s="543">
        <v>64935</v>
      </c>
      <c r="S238" s="543">
        <v>80043</v>
      </c>
      <c r="T238" s="543">
        <v>94288</v>
      </c>
      <c r="U238" s="543">
        <v>50791</v>
      </c>
      <c r="V238" s="543">
        <v>71684</v>
      </c>
      <c r="W238" s="543">
        <v>51843</v>
      </c>
      <c r="X238" s="543">
        <v>61172</v>
      </c>
      <c r="Y238" s="543">
        <v>62369</v>
      </c>
      <c r="Z238" s="543">
        <v>59903</v>
      </c>
      <c r="AA238" s="543">
        <v>36913</v>
      </c>
      <c r="AB238" s="543">
        <v>36396</v>
      </c>
      <c r="AC238" s="543">
        <v>55795</v>
      </c>
      <c r="AD238" s="543" t="s">
        <v>2620</v>
      </c>
      <c r="AE238" s="543" t="s">
        <v>2620</v>
      </c>
      <c r="AF238" s="543" t="s">
        <v>2620</v>
      </c>
    </row>
    <row r="239" spans="1:32">
      <c r="A239" s="533"/>
      <c r="B239" s="534"/>
      <c r="C239" s="535"/>
      <c r="D239" s="12"/>
      <c r="E239" s="13"/>
      <c r="F239" s="14"/>
      <c r="G239" s="543"/>
      <c r="H239" s="543"/>
      <c r="I239" s="543"/>
      <c r="J239" s="543"/>
      <c r="K239" s="543"/>
      <c r="L239" s="543"/>
      <c r="M239" s="543"/>
      <c r="N239" s="543"/>
      <c r="O239" s="543"/>
      <c r="P239" s="543"/>
      <c r="Q239" s="543"/>
      <c r="R239" s="543"/>
      <c r="S239" s="3345"/>
      <c r="T239" s="3346">
        <f>+T238/S238-1</f>
        <v>0.17796684282198316</v>
      </c>
      <c r="U239" s="3346">
        <f>+U238/T238-1</f>
        <v>-0.46132063465128115</v>
      </c>
      <c r="V239" s="3346">
        <f>+V238/U238-1</f>
        <v>0.41135240495363345</v>
      </c>
      <c r="W239" s="3346">
        <f>+W238/V238-1</f>
        <v>-0.27678421963060096</v>
      </c>
      <c r="X239" s="3346">
        <f>+X238/W238-1</f>
        <v>0.17994714812028634</v>
      </c>
      <c r="Y239" s="3346">
        <v>0.1</v>
      </c>
      <c r="Z239" s="3345"/>
      <c r="AA239" s="543"/>
      <c r="AB239" s="543"/>
      <c r="AC239" s="543"/>
      <c r="AD239" s="543"/>
      <c r="AE239" s="543"/>
      <c r="AF239" s="543"/>
    </row>
    <row r="240" spans="1:32">
      <c r="A240" s="2015"/>
      <c r="B240" s="534" t="s">
        <v>1730</v>
      </c>
      <c r="C240" s="535" t="s">
        <v>1734</v>
      </c>
      <c r="D240" s="12" t="s">
        <v>1716</v>
      </c>
      <c r="E240" s="13">
        <v>2906</v>
      </c>
      <c r="F240" s="14" t="s">
        <v>2757</v>
      </c>
      <c r="G240" s="543">
        <v>1282</v>
      </c>
      <c r="H240" s="543">
        <v>1932</v>
      </c>
      <c r="I240" s="543">
        <v>2278</v>
      </c>
      <c r="J240" s="543">
        <v>4155</v>
      </c>
      <c r="K240" s="543">
        <v>3717</v>
      </c>
      <c r="L240" s="543">
        <v>4281</v>
      </c>
      <c r="M240" s="543">
        <v>4791</v>
      </c>
      <c r="N240" s="543">
        <v>4140</v>
      </c>
      <c r="O240" s="543">
        <v>3242</v>
      </c>
      <c r="P240" s="543">
        <v>3687</v>
      </c>
      <c r="Q240" s="543">
        <v>5034</v>
      </c>
      <c r="R240" s="543">
        <v>7452</v>
      </c>
      <c r="S240" s="543">
        <v>8576</v>
      </c>
      <c r="T240" s="543">
        <v>8783</v>
      </c>
      <c r="U240" s="543">
        <v>5057</v>
      </c>
      <c r="V240" s="543">
        <v>5065</v>
      </c>
      <c r="W240" s="543">
        <v>8362</v>
      </c>
      <c r="X240" s="543">
        <v>8635</v>
      </c>
      <c r="Y240" s="543">
        <v>10332</v>
      </c>
      <c r="Z240" s="543">
        <v>11695</v>
      </c>
      <c r="AA240" s="543">
        <v>13230</v>
      </c>
      <c r="AB240" s="543">
        <v>15134</v>
      </c>
      <c r="AC240" s="543">
        <v>15801</v>
      </c>
      <c r="AD240" s="543" t="s">
        <v>2620</v>
      </c>
      <c r="AE240" s="543" t="s">
        <v>2620</v>
      </c>
      <c r="AF240" s="543" t="s">
        <v>2620</v>
      </c>
    </row>
    <row r="241" spans="1:32">
      <c r="A241" s="2015"/>
      <c r="B241" s="534" t="s">
        <v>1730</v>
      </c>
      <c r="C241" s="535" t="s">
        <v>1738</v>
      </c>
      <c r="D241" s="12" t="s">
        <v>1716</v>
      </c>
      <c r="E241" s="13">
        <v>2901</v>
      </c>
      <c r="F241" s="14" t="s">
        <v>2758</v>
      </c>
      <c r="G241" s="543">
        <v>1150</v>
      </c>
      <c r="H241" s="543">
        <v>1109</v>
      </c>
      <c r="I241" s="543">
        <v>1703</v>
      </c>
      <c r="J241" s="543">
        <v>1596</v>
      </c>
      <c r="K241" s="543">
        <v>1792</v>
      </c>
      <c r="L241" s="543">
        <v>2476</v>
      </c>
      <c r="M241" s="543">
        <v>3356</v>
      </c>
      <c r="N241" s="543">
        <v>2893</v>
      </c>
      <c r="O241" s="543">
        <v>3914</v>
      </c>
      <c r="P241" s="543">
        <v>5749</v>
      </c>
      <c r="Q241" s="543">
        <v>6854</v>
      </c>
      <c r="R241" s="543">
        <v>10683</v>
      </c>
      <c r="S241" s="543">
        <v>10716</v>
      </c>
      <c r="T241" s="543">
        <v>13072</v>
      </c>
      <c r="U241" s="543">
        <v>12324</v>
      </c>
      <c r="V241" s="543">
        <v>12066</v>
      </c>
      <c r="W241" s="543">
        <v>12184</v>
      </c>
      <c r="X241" s="543">
        <v>14391</v>
      </c>
      <c r="Y241" s="543">
        <v>13262</v>
      </c>
      <c r="Z241" s="543">
        <v>14578</v>
      </c>
      <c r="AA241" s="543">
        <v>14670</v>
      </c>
      <c r="AB241" s="543">
        <v>14764</v>
      </c>
      <c r="AC241" s="543">
        <v>16148</v>
      </c>
      <c r="AD241" s="543" t="s">
        <v>2620</v>
      </c>
      <c r="AE241" s="543" t="s">
        <v>2620</v>
      </c>
      <c r="AF241" s="543" t="s">
        <v>2620</v>
      </c>
    </row>
    <row r="242" spans="1:32" s="540" customFormat="1">
      <c r="A242" s="2015"/>
      <c r="B242" s="537" t="s">
        <v>1810</v>
      </c>
      <c r="C242" s="538" t="s">
        <v>1811</v>
      </c>
      <c r="D242" s="528"/>
      <c r="E242" s="529"/>
      <c r="F242" s="539"/>
      <c r="G242" s="544">
        <f>+G240-G241</f>
        <v>132</v>
      </c>
      <c r="H242" s="544">
        <f t="shared" ref="H242:R242" si="13">+H240-H241</f>
        <v>823</v>
      </c>
      <c r="I242" s="544">
        <f t="shared" si="13"/>
        <v>575</v>
      </c>
      <c r="J242" s="544">
        <f t="shared" si="13"/>
        <v>2559</v>
      </c>
      <c r="K242" s="544">
        <f t="shared" si="13"/>
        <v>1925</v>
      </c>
      <c r="L242" s="544">
        <f t="shared" si="13"/>
        <v>1805</v>
      </c>
      <c r="M242" s="544">
        <f t="shared" si="13"/>
        <v>1435</v>
      </c>
      <c r="N242" s="544">
        <f t="shared" si="13"/>
        <v>1247</v>
      </c>
      <c r="O242" s="544">
        <f t="shared" si="13"/>
        <v>-672</v>
      </c>
      <c r="P242" s="544">
        <f t="shared" si="13"/>
        <v>-2062</v>
      </c>
      <c r="Q242" s="544">
        <f t="shared" si="13"/>
        <v>-1820</v>
      </c>
      <c r="R242" s="544">
        <f t="shared" si="13"/>
        <v>-3231</v>
      </c>
      <c r="S242" s="544">
        <f t="shared" ref="S242:AF242" si="14">+S240-S241</f>
        <v>-2140</v>
      </c>
      <c r="T242" s="544">
        <f t="shared" si="14"/>
        <v>-4289</v>
      </c>
      <c r="U242" s="544">
        <f t="shared" si="14"/>
        <v>-7267</v>
      </c>
      <c r="V242" s="544">
        <f t="shared" si="14"/>
        <v>-7001</v>
      </c>
      <c r="W242" s="544">
        <f t="shared" si="14"/>
        <v>-3822</v>
      </c>
      <c r="X242" s="544">
        <f t="shared" si="14"/>
        <v>-5756</v>
      </c>
      <c r="Y242" s="544">
        <f t="shared" si="14"/>
        <v>-2930</v>
      </c>
      <c r="Z242" s="544">
        <f t="shared" si="14"/>
        <v>-2883</v>
      </c>
      <c r="AA242" s="544">
        <f t="shared" si="14"/>
        <v>-1440</v>
      </c>
      <c r="AB242" s="544">
        <f t="shared" si="14"/>
        <v>370</v>
      </c>
      <c r="AC242" s="544">
        <f t="shared" si="14"/>
        <v>-347</v>
      </c>
      <c r="AD242" s="544" t="e">
        <f t="shared" si="14"/>
        <v>#VALUE!</v>
      </c>
      <c r="AE242" s="544" t="e">
        <f t="shared" si="14"/>
        <v>#VALUE!</v>
      </c>
      <c r="AF242" s="544" t="e">
        <f t="shared" si="14"/>
        <v>#VALUE!</v>
      </c>
    </row>
    <row r="243" spans="1:32">
      <c r="A243" s="533"/>
      <c r="B243" s="534"/>
      <c r="C243" s="535"/>
      <c r="D243" s="12"/>
      <c r="E243" s="13"/>
      <c r="F243" s="14"/>
      <c r="G243" s="543"/>
      <c r="H243" s="543"/>
      <c r="I243" s="543"/>
      <c r="J243" s="543"/>
      <c r="K243" s="543"/>
      <c r="L243" s="543"/>
      <c r="M243" s="543"/>
      <c r="N243" s="543"/>
      <c r="O243" s="543"/>
      <c r="P243" s="543"/>
      <c r="Q243" s="543"/>
      <c r="R243" s="543"/>
      <c r="S243" s="543"/>
      <c r="T243" s="543"/>
      <c r="U243" s="543"/>
      <c r="V243" s="543"/>
      <c r="W243" s="543"/>
      <c r="X243" s="543"/>
      <c r="Y243" s="543"/>
      <c r="Z243" s="543"/>
      <c r="AA243" s="543"/>
      <c r="AB243" s="543"/>
      <c r="AC243" s="543"/>
      <c r="AD243" s="543"/>
      <c r="AE243" s="543"/>
      <c r="AF243" s="543"/>
    </row>
    <row r="244" spans="1:32">
      <c r="A244" s="2015"/>
      <c r="B244" s="534"/>
      <c r="C244" s="535" t="s">
        <v>1735</v>
      </c>
      <c r="D244" s="12" t="s">
        <v>1716</v>
      </c>
      <c r="E244" s="13">
        <v>2902</v>
      </c>
      <c r="F244" s="14" t="s">
        <v>2759</v>
      </c>
      <c r="G244" s="543">
        <v>167</v>
      </c>
      <c r="H244" s="543">
        <v>166</v>
      </c>
      <c r="I244" s="543">
        <v>249</v>
      </c>
      <c r="J244" s="543">
        <v>329</v>
      </c>
      <c r="K244" s="543">
        <v>413</v>
      </c>
      <c r="L244" s="543">
        <v>508</v>
      </c>
      <c r="M244" s="543">
        <v>662</v>
      </c>
      <c r="N244" s="543">
        <v>775</v>
      </c>
      <c r="O244" s="543">
        <v>728</v>
      </c>
      <c r="P244" s="543">
        <v>716</v>
      </c>
      <c r="Q244" s="543">
        <v>820</v>
      </c>
      <c r="R244" s="543">
        <v>987</v>
      </c>
      <c r="S244" s="543">
        <v>1296</v>
      </c>
      <c r="T244" s="543">
        <v>1661</v>
      </c>
      <c r="U244" s="543">
        <v>1835</v>
      </c>
      <c r="V244" s="543">
        <v>1871</v>
      </c>
      <c r="W244" s="543">
        <v>1858</v>
      </c>
      <c r="X244" s="543">
        <v>1940</v>
      </c>
      <c r="Y244" s="543">
        <v>1930</v>
      </c>
      <c r="Z244" s="543">
        <v>2039</v>
      </c>
      <c r="AA244" s="543">
        <v>1842</v>
      </c>
      <c r="AB244" s="543">
        <v>1518</v>
      </c>
      <c r="AC244" s="543">
        <v>1576</v>
      </c>
      <c r="AD244" s="543" t="s">
        <v>2620</v>
      </c>
      <c r="AE244" s="543" t="s">
        <v>2620</v>
      </c>
      <c r="AF244" s="543" t="s">
        <v>2620</v>
      </c>
    </row>
    <row r="245" spans="1:32">
      <c r="A245" s="2015"/>
      <c r="B245" s="534"/>
      <c r="C245" s="535" t="s">
        <v>1739</v>
      </c>
      <c r="D245" s="12" t="s">
        <v>1716</v>
      </c>
      <c r="E245" s="13">
        <v>2907</v>
      </c>
      <c r="F245" s="14" t="s">
        <v>2760</v>
      </c>
      <c r="G245" s="543">
        <v>102</v>
      </c>
      <c r="H245" s="543">
        <v>121</v>
      </c>
      <c r="I245" s="543">
        <v>136</v>
      </c>
      <c r="J245" s="543">
        <v>139</v>
      </c>
      <c r="K245" s="543">
        <v>143</v>
      </c>
      <c r="L245" s="543">
        <v>201</v>
      </c>
      <c r="M245" s="543">
        <v>235</v>
      </c>
      <c r="N245" s="543">
        <v>264</v>
      </c>
      <c r="O245" s="543">
        <v>309</v>
      </c>
      <c r="P245" s="543">
        <v>321</v>
      </c>
      <c r="Q245" s="543">
        <v>345</v>
      </c>
      <c r="R245" s="543">
        <v>418</v>
      </c>
      <c r="S245" s="543">
        <v>438</v>
      </c>
      <c r="T245" s="543">
        <v>471</v>
      </c>
      <c r="U245" s="543">
        <v>464</v>
      </c>
      <c r="V245" s="543">
        <v>461</v>
      </c>
      <c r="W245" s="543">
        <v>499</v>
      </c>
      <c r="X245" s="543">
        <v>513</v>
      </c>
      <c r="Y245" s="543">
        <v>540</v>
      </c>
      <c r="Z245" s="543">
        <v>564</v>
      </c>
      <c r="AA245" s="543">
        <v>683</v>
      </c>
      <c r="AB245" s="543">
        <v>824</v>
      </c>
      <c r="AC245" s="543">
        <v>1037</v>
      </c>
      <c r="AD245" s="543" t="s">
        <v>2620</v>
      </c>
      <c r="AE245" s="543" t="s">
        <v>2620</v>
      </c>
      <c r="AF245" s="543" t="s">
        <v>2620</v>
      </c>
    </row>
    <row r="246" spans="1:32" s="540" customFormat="1">
      <c r="A246" s="2015"/>
      <c r="B246" s="537"/>
      <c r="C246" s="538" t="s">
        <v>1812</v>
      </c>
      <c r="D246" s="528"/>
      <c r="E246" s="529"/>
      <c r="F246" s="539"/>
      <c r="G246" s="544">
        <f t="shared" ref="G246:AF246" si="15">+G244-G245</f>
        <v>65</v>
      </c>
      <c r="H246" s="544">
        <f t="shared" si="15"/>
        <v>45</v>
      </c>
      <c r="I246" s="544">
        <f t="shared" si="15"/>
        <v>113</v>
      </c>
      <c r="J246" s="544">
        <f t="shared" si="15"/>
        <v>190</v>
      </c>
      <c r="K246" s="544">
        <f t="shared" si="15"/>
        <v>270</v>
      </c>
      <c r="L246" s="544">
        <f t="shared" si="15"/>
        <v>307</v>
      </c>
      <c r="M246" s="544">
        <f t="shared" si="15"/>
        <v>427</v>
      </c>
      <c r="N246" s="544">
        <f t="shared" si="15"/>
        <v>511</v>
      </c>
      <c r="O246" s="544">
        <f t="shared" si="15"/>
        <v>419</v>
      </c>
      <c r="P246" s="544">
        <f t="shared" si="15"/>
        <v>395</v>
      </c>
      <c r="Q246" s="544">
        <f t="shared" si="15"/>
        <v>475</v>
      </c>
      <c r="R246" s="544">
        <f t="shared" si="15"/>
        <v>569</v>
      </c>
      <c r="S246" s="544">
        <f t="shared" si="15"/>
        <v>858</v>
      </c>
      <c r="T246" s="544">
        <f t="shared" si="15"/>
        <v>1190</v>
      </c>
      <c r="U246" s="544">
        <f t="shared" si="15"/>
        <v>1371</v>
      </c>
      <c r="V246" s="544">
        <f t="shared" si="15"/>
        <v>1410</v>
      </c>
      <c r="W246" s="544">
        <f t="shared" si="15"/>
        <v>1359</v>
      </c>
      <c r="X246" s="544">
        <f t="shared" si="15"/>
        <v>1427</v>
      </c>
      <c r="Y246" s="544">
        <f t="shared" si="15"/>
        <v>1390</v>
      </c>
      <c r="Z246" s="544">
        <f t="shared" si="15"/>
        <v>1475</v>
      </c>
      <c r="AA246" s="544">
        <f t="shared" si="15"/>
        <v>1159</v>
      </c>
      <c r="AB246" s="544">
        <f t="shared" si="15"/>
        <v>694</v>
      </c>
      <c r="AC246" s="544">
        <f t="shared" si="15"/>
        <v>539</v>
      </c>
      <c r="AD246" s="544" t="e">
        <f t="shared" si="15"/>
        <v>#VALUE!</v>
      </c>
      <c r="AE246" s="544" t="e">
        <f t="shared" si="15"/>
        <v>#VALUE!</v>
      </c>
      <c r="AF246" s="544" t="e">
        <f t="shared" si="15"/>
        <v>#VALUE!</v>
      </c>
    </row>
    <row r="247" spans="1:32">
      <c r="A247" s="533"/>
      <c r="B247" s="534"/>
      <c r="C247" s="535"/>
      <c r="D247" s="12"/>
      <c r="E247" s="13"/>
      <c r="F247" s="14"/>
      <c r="G247" s="543"/>
      <c r="H247" s="543"/>
      <c r="I247" s="543"/>
      <c r="J247" s="543"/>
      <c r="K247" s="543"/>
      <c r="L247" s="543"/>
      <c r="M247" s="543"/>
      <c r="N247" s="543"/>
      <c r="O247" s="543"/>
      <c r="P247" s="543"/>
      <c r="Q247" s="543"/>
      <c r="R247" s="543"/>
      <c r="S247" s="543"/>
      <c r="T247" s="543"/>
      <c r="U247" s="543"/>
      <c r="V247" s="543"/>
      <c r="W247" s="543"/>
      <c r="X247" s="543"/>
      <c r="Y247" s="543"/>
      <c r="Z247" s="543"/>
      <c r="AA247" s="543"/>
      <c r="AB247" s="543"/>
      <c r="AC247" s="543"/>
      <c r="AD247" s="543"/>
      <c r="AE247" s="543"/>
      <c r="AF247" s="543"/>
    </row>
    <row r="248" spans="1:32">
      <c r="A248" s="2015"/>
      <c r="B248" s="534"/>
      <c r="C248" s="535" t="s">
        <v>1736</v>
      </c>
      <c r="D248" s="12" t="s">
        <v>1716</v>
      </c>
      <c r="E248" s="13">
        <v>2903</v>
      </c>
      <c r="F248" s="14" t="s">
        <v>2761</v>
      </c>
      <c r="G248" s="543">
        <v>0</v>
      </c>
      <c r="H248" s="543">
        <v>0</v>
      </c>
      <c r="I248" s="543">
        <v>0</v>
      </c>
      <c r="J248" s="543">
        <v>0</v>
      </c>
      <c r="K248" s="543">
        <v>0</v>
      </c>
      <c r="L248" s="543">
        <v>0</v>
      </c>
      <c r="M248" s="543">
        <v>0</v>
      </c>
      <c r="N248" s="543">
        <v>0</v>
      </c>
      <c r="O248" s="543">
        <v>2468</v>
      </c>
      <c r="P248" s="543">
        <v>2698</v>
      </c>
      <c r="Q248" s="543">
        <v>2994</v>
      </c>
      <c r="R248" s="543">
        <v>3158</v>
      </c>
      <c r="S248" s="543">
        <v>3314</v>
      </c>
      <c r="T248" s="543">
        <v>3475</v>
      </c>
      <c r="U248" s="543">
        <v>3670</v>
      </c>
      <c r="V248" s="543">
        <v>3730</v>
      </c>
      <c r="W248" s="543">
        <v>3744</v>
      </c>
      <c r="X248" s="543">
        <v>4203</v>
      </c>
      <c r="Y248" s="543">
        <v>4363</v>
      </c>
      <c r="Z248" s="543">
        <v>4412</v>
      </c>
      <c r="AA248" s="543">
        <v>4470</v>
      </c>
      <c r="AB248" s="543">
        <v>4681</v>
      </c>
      <c r="AC248" s="543">
        <v>4885</v>
      </c>
      <c r="AD248" s="543" t="s">
        <v>2620</v>
      </c>
      <c r="AE248" s="543" t="s">
        <v>2620</v>
      </c>
      <c r="AF248" s="543" t="s">
        <v>2620</v>
      </c>
    </row>
    <row r="249" spans="1:32">
      <c r="A249" s="2015"/>
      <c r="B249" s="534"/>
      <c r="C249" s="535" t="s">
        <v>1740</v>
      </c>
      <c r="D249" s="12" t="s">
        <v>1716</v>
      </c>
      <c r="E249" s="13">
        <v>2908</v>
      </c>
      <c r="F249" s="14" t="s">
        <v>2762</v>
      </c>
      <c r="G249" s="543">
        <v>0</v>
      </c>
      <c r="H249" s="543">
        <v>0</v>
      </c>
      <c r="I249" s="543">
        <v>0</v>
      </c>
      <c r="J249" s="543">
        <v>5</v>
      </c>
      <c r="K249" s="543">
        <v>12</v>
      </c>
      <c r="L249" s="543">
        <v>17</v>
      </c>
      <c r="M249" s="543">
        <v>17</v>
      </c>
      <c r="N249" s="543">
        <v>18</v>
      </c>
      <c r="O249" s="543">
        <v>24</v>
      </c>
      <c r="P249" s="543">
        <v>31</v>
      </c>
      <c r="Q249" s="543">
        <v>39</v>
      </c>
      <c r="R249" s="543">
        <v>47</v>
      </c>
      <c r="S249" s="543">
        <v>64</v>
      </c>
      <c r="T249" s="543">
        <v>76</v>
      </c>
      <c r="U249" s="543">
        <v>80</v>
      </c>
      <c r="V249" s="543">
        <v>162</v>
      </c>
      <c r="W249" s="543">
        <v>187</v>
      </c>
      <c r="X249" s="543">
        <v>210</v>
      </c>
      <c r="Y249" s="543">
        <v>240</v>
      </c>
      <c r="Z249" s="543">
        <v>276</v>
      </c>
      <c r="AA249" s="543">
        <v>294</v>
      </c>
      <c r="AB249" s="543">
        <v>296</v>
      </c>
      <c r="AC249" s="543">
        <v>292</v>
      </c>
      <c r="AD249" s="543" t="s">
        <v>2620</v>
      </c>
      <c r="AE249" s="543" t="s">
        <v>2620</v>
      </c>
      <c r="AF249" s="543" t="s">
        <v>2620</v>
      </c>
    </row>
    <row r="250" spans="1:32" s="540" customFormat="1">
      <c r="A250" s="2015"/>
      <c r="B250" s="537"/>
      <c r="C250" s="538" t="s">
        <v>1813</v>
      </c>
      <c r="D250" s="528"/>
      <c r="E250" s="529"/>
      <c r="F250" s="539"/>
      <c r="G250" s="544">
        <f t="shared" ref="G250:AF250" si="16">+G248-G249</f>
        <v>0</v>
      </c>
      <c r="H250" s="544">
        <f t="shared" si="16"/>
        <v>0</v>
      </c>
      <c r="I250" s="544">
        <f t="shared" si="16"/>
        <v>0</v>
      </c>
      <c r="J250" s="544">
        <f t="shared" si="16"/>
        <v>-5</v>
      </c>
      <c r="K250" s="544">
        <f t="shared" si="16"/>
        <v>-12</v>
      </c>
      <c r="L250" s="544">
        <f t="shared" si="16"/>
        <v>-17</v>
      </c>
      <c r="M250" s="544">
        <f t="shared" si="16"/>
        <v>-17</v>
      </c>
      <c r="N250" s="544">
        <f t="shared" si="16"/>
        <v>-18</v>
      </c>
      <c r="O250" s="544">
        <f t="shared" si="16"/>
        <v>2444</v>
      </c>
      <c r="P250" s="544">
        <f t="shared" si="16"/>
        <v>2667</v>
      </c>
      <c r="Q250" s="544">
        <f t="shared" si="16"/>
        <v>2955</v>
      </c>
      <c r="R250" s="544">
        <f t="shared" si="16"/>
        <v>3111</v>
      </c>
      <c r="S250" s="544">
        <f t="shared" si="16"/>
        <v>3250</v>
      </c>
      <c r="T250" s="544">
        <f t="shared" si="16"/>
        <v>3399</v>
      </c>
      <c r="U250" s="544">
        <f t="shared" si="16"/>
        <v>3590</v>
      </c>
      <c r="V250" s="544">
        <f t="shared" si="16"/>
        <v>3568</v>
      </c>
      <c r="W250" s="544">
        <f t="shared" si="16"/>
        <v>3557</v>
      </c>
      <c r="X250" s="544">
        <f t="shared" si="16"/>
        <v>3993</v>
      </c>
      <c r="Y250" s="544">
        <f t="shared" si="16"/>
        <v>4123</v>
      </c>
      <c r="Z250" s="544">
        <f t="shared" si="16"/>
        <v>4136</v>
      </c>
      <c r="AA250" s="544">
        <f t="shared" si="16"/>
        <v>4176</v>
      </c>
      <c r="AB250" s="544">
        <f t="shared" si="16"/>
        <v>4385</v>
      </c>
      <c r="AC250" s="544">
        <f t="shared" si="16"/>
        <v>4593</v>
      </c>
      <c r="AD250" s="544" t="e">
        <f t="shared" si="16"/>
        <v>#VALUE!</v>
      </c>
      <c r="AE250" s="544" t="e">
        <f t="shared" si="16"/>
        <v>#VALUE!</v>
      </c>
      <c r="AF250" s="544" t="e">
        <f t="shared" si="16"/>
        <v>#VALUE!</v>
      </c>
    </row>
    <row r="251" spans="1:32">
      <c r="A251" s="533"/>
      <c r="B251" s="534"/>
      <c r="C251" s="535"/>
      <c r="D251" s="12"/>
      <c r="E251" s="13"/>
      <c r="F251" s="14"/>
      <c r="G251" s="543"/>
      <c r="H251" s="543"/>
      <c r="I251" s="543"/>
      <c r="J251" s="543"/>
      <c r="K251" s="543"/>
      <c r="L251" s="543"/>
      <c r="M251" s="543"/>
      <c r="N251" s="543"/>
      <c r="O251" s="543"/>
      <c r="P251" s="543"/>
      <c r="Q251" s="543"/>
      <c r="R251" s="543"/>
      <c r="S251" s="543"/>
      <c r="T251" s="543"/>
      <c r="U251" s="543"/>
      <c r="V251" s="543"/>
      <c r="W251" s="543"/>
      <c r="X251" s="543"/>
      <c r="Y251" s="543"/>
      <c r="Z251" s="543"/>
      <c r="AA251" s="543"/>
      <c r="AB251" s="543"/>
      <c r="AC251" s="543"/>
      <c r="AD251" s="543"/>
      <c r="AE251" s="543"/>
      <c r="AF251" s="543"/>
    </row>
    <row r="252" spans="1:32">
      <c r="A252" s="2015"/>
      <c r="B252" s="534" t="s">
        <v>1732</v>
      </c>
      <c r="C252" s="535" t="s">
        <v>1737</v>
      </c>
      <c r="D252" s="12" t="s">
        <v>1716</v>
      </c>
      <c r="E252" s="13">
        <v>2905</v>
      </c>
      <c r="F252" s="14" t="s">
        <v>2763</v>
      </c>
      <c r="G252" s="543">
        <v>37707</v>
      </c>
      <c r="H252" s="543">
        <v>42464</v>
      </c>
      <c r="I252" s="543">
        <v>46498</v>
      </c>
      <c r="J252" s="543">
        <v>38825</v>
      </c>
      <c r="K252" s="543">
        <v>41670</v>
      </c>
      <c r="L252" s="543">
        <v>44494</v>
      </c>
      <c r="M252" s="543">
        <v>47931</v>
      </c>
      <c r="N252" s="543">
        <v>45827</v>
      </c>
      <c r="O252" s="543">
        <v>51266</v>
      </c>
      <c r="P252" s="543">
        <v>54794</v>
      </c>
      <c r="Q252" s="543">
        <v>61687</v>
      </c>
      <c r="R252" s="543">
        <v>66742</v>
      </c>
      <c r="S252" s="543">
        <v>65178</v>
      </c>
      <c r="T252" s="543">
        <v>75323</v>
      </c>
      <c r="U252" s="543">
        <v>66059</v>
      </c>
      <c r="V252" s="543">
        <v>72886</v>
      </c>
      <c r="W252" s="543">
        <v>73506</v>
      </c>
      <c r="X252" s="543">
        <v>77172</v>
      </c>
      <c r="Y252" s="543">
        <v>82911</v>
      </c>
      <c r="Z252" s="543">
        <v>86756</v>
      </c>
      <c r="AA252" s="543">
        <v>87965</v>
      </c>
      <c r="AB252" s="543">
        <v>80279</v>
      </c>
      <c r="AC252" s="543">
        <v>98579</v>
      </c>
      <c r="AD252" s="543" t="s">
        <v>2620</v>
      </c>
      <c r="AE252" s="543" t="s">
        <v>2620</v>
      </c>
      <c r="AF252" s="543" t="s">
        <v>2620</v>
      </c>
    </row>
    <row r="253" spans="1:32">
      <c r="A253" s="2015"/>
      <c r="B253" s="534" t="s">
        <v>1731</v>
      </c>
      <c r="C253" s="535" t="s">
        <v>1741</v>
      </c>
      <c r="D253" s="12" t="s">
        <v>1716</v>
      </c>
      <c r="E253" s="13">
        <v>2910</v>
      </c>
      <c r="F253" s="14" t="s">
        <v>2764</v>
      </c>
      <c r="G253" s="543">
        <v>13924</v>
      </c>
      <c r="H253" s="543">
        <v>20098</v>
      </c>
      <c r="I253" s="543">
        <v>15651</v>
      </c>
      <c r="J253" s="543">
        <v>10040</v>
      </c>
      <c r="K253" s="543">
        <v>12270</v>
      </c>
      <c r="L253" s="543">
        <v>14016</v>
      </c>
      <c r="M253" s="543">
        <v>16672</v>
      </c>
      <c r="N253" s="543">
        <v>16134</v>
      </c>
      <c r="O253" s="543">
        <v>18943</v>
      </c>
      <c r="P253" s="543">
        <v>18444</v>
      </c>
      <c r="Q253" s="543">
        <v>23167</v>
      </c>
      <c r="R253" s="543">
        <v>23385</v>
      </c>
      <c r="S253" s="543">
        <v>21075</v>
      </c>
      <c r="T253" s="543">
        <v>24345</v>
      </c>
      <c r="U253" s="543">
        <v>25710</v>
      </c>
      <c r="V253" s="543">
        <v>23570</v>
      </c>
      <c r="W253" s="543">
        <v>22489</v>
      </c>
      <c r="X253" s="543">
        <v>25542</v>
      </c>
      <c r="Y253" s="543">
        <v>27101</v>
      </c>
      <c r="Z253" s="543">
        <v>28803</v>
      </c>
      <c r="AA253" s="543">
        <v>29863</v>
      </c>
      <c r="AB253" s="543">
        <v>31498</v>
      </c>
      <c r="AC253" s="543">
        <v>37691</v>
      </c>
      <c r="AD253" s="543" t="s">
        <v>2620</v>
      </c>
      <c r="AE253" s="543" t="s">
        <v>2620</v>
      </c>
      <c r="AF253" s="543" t="s">
        <v>2620</v>
      </c>
    </row>
    <row r="254" spans="1:32" s="540" customFormat="1">
      <c r="A254" s="2015"/>
      <c r="B254" s="537"/>
      <c r="C254" s="538" t="s">
        <v>1814</v>
      </c>
      <c r="D254" s="528"/>
      <c r="E254" s="529"/>
      <c r="F254" s="539"/>
      <c r="G254" s="544">
        <f t="shared" ref="G254:AF254" si="17">+G252-G253</f>
        <v>23783</v>
      </c>
      <c r="H254" s="544">
        <f t="shared" si="17"/>
        <v>22366</v>
      </c>
      <c r="I254" s="544">
        <f t="shared" si="17"/>
        <v>30847</v>
      </c>
      <c r="J254" s="544">
        <f t="shared" si="17"/>
        <v>28785</v>
      </c>
      <c r="K254" s="544">
        <f t="shared" si="17"/>
        <v>29400</v>
      </c>
      <c r="L254" s="544">
        <f t="shared" si="17"/>
        <v>30478</v>
      </c>
      <c r="M254" s="544">
        <f t="shared" si="17"/>
        <v>31259</v>
      </c>
      <c r="N254" s="544">
        <f t="shared" si="17"/>
        <v>29693</v>
      </c>
      <c r="O254" s="544">
        <f t="shared" si="17"/>
        <v>32323</v>
      </c>
      <c r="P254" s="544">
        <f t="shared" si="17"/>
        <v>36350</v>
      </c>
      <c r="Q254" s="544">
        <f t="shared" si="17"/>
        <v>38520</v>
      </c>
      <c r="R254" s="544">
        <f t="shared" si="17"/>
        <v>43357</v>
      </c>
      <c r="S254" s="544">
        <f t="shared" si="17"/>
        <v>44103</v>
      </c>
      <c r="T254" s="544">
        <f t="shared" si="17"/>
        <v>50978</v>
      </c>
      <c r="U254" s="544">
        <f t="shared" si="17"/>
        <v>40349</v>
      </c>
      <c r="V254" s="544">
        <f t="shared" si="17"/>
        <v>49316</v>
      </c>
      <c r="W254" s="544">
        <f t="shared" si="17"/>
        <v>51017</v>
      </c>
      <c r="X254" s="544">
        <f t="shared" si="17"/>
        <v>51630</v>
      </c>
      <c r="Y254" s="544">
        <f t="shared" si="17"/>
        <v>55810</v>
      </c>
      <c r="Z254" s="544">
        <f t="shared" si="17"/>
        <v>57953</v>
      </c>
      <c r="AA254" s="544">
        <f t="shared" si="17"/>
        <v>58102</v>
      </c>
      <c r="AB254" s="544">
        <f t="shared" si="17"/>
        <v>48781</v>
      </c>
      <c r="AC254" s="544">
        <f t="shared" si="17"/>
        <v>60888</v>
      </c>
      <c r="AD254" s="544" t="e">
        <f t="shared" si="17"/>
        <v>#VALUE!</v>
      </c>
      <c r="AE254" s="544" t="e">
        <f t="shared" si="17"/>
        <v>#VALUE!</v>
      </c>
      <c r="AF254" s="544" t="e">
        <f t="shared" si="17"/>
        <v>#VALUE!</v>
      </c>
    </row>
    <row r="255" spans="1:32">
      <c r="A255" s="533"/>
      <c r="B255" s="534"/>
      <c r="C255" s="535"/>
      <c r="D255" s="12"/>
      <c r="E255" s="13"/>
      <c r="F255" s="14"/>
      <c r="G255" s="543"/>
      <c r="H255" s="543"/>
      <c r="I255" s="543"/>
      <c r="J255" s="543"/>
      <c r="K255" s="543"/>
      <c r="L255" s="543"/>
      <c r="M255" s="543"/>
      <c r="N255" s="543"/>
      <c r="O255" s="543"/>
      <c r="P255" s="543"/>
      <c r="Q255" s="543"/>
      <c r="R255" s="543"/>
      <c r="S255" s="543"/>
      <c r="T255" s="543"/>
      <c r="U255" s="543"/>
      <c r="V255" s="543"/>
      <c r="W255" s="543"/>
      <c r="X255" s="543"/>
      <c r="Y255" s="543"/>
      <c r="Z255" s="543"/>
      <c r="AA255" s="543"/>
      <c r="AB255" s="543"/>
      <c r="AC255" s="543"/>
      <c r="AD255" s="543"/>
      <c r="AE255" s="543"/>
      <c r="AF255" s="543"/>
    </row>
    <row r="256" spans="1:32">
      <c r="A256" s="2015"/>
      <c r="B256" s="534" t="s">
        <v>1723</v>
      </c>
      <c r="C256" s="535" t="s">
        <v>1692</v>
      </c>
      <c r="D256" s="12" t="s">
        <v>1716</v>
      </c>
      <c r="E256" s="13">
        <v>2925</v>
      </c>
      <c r="F256" s="14" t="s">
        <v>2765</v>
      </c>
      <c r="G256" s="543">
        <v>-3507</v>
      </c>
      <c r="H256" s="543">
        <v>-8918</v>
      </c>
      <c r="I256" s="543">
        <v>-5647</v>
      </c>
      <c r="J256" s="543">
        <v>-1562</v>
      </c>
      <c r="K256" s="543">
        <v>-1618</v>
      </c>
      <c r="L256" s="543">
        <v>-1701</v>
      </c>
      <c r="M256" s="543">
        <v>-2176</v>
      </c>
      <c r="N256" s="543">
        <v>-3186</v>
      </c>
      <c r="O256" s="543">
        <v>-1417</v>
      </c>
      <c r="P256" s="543">
        <v>-2130</v>
      </c>
      <c r="Q256" s="543">
        <v>-585</v>
      </c>
      <c r="R256" s="543">
        <v>-2173</v>
      </c>
      <c r="S256" s="543">
        <v>-3196</v>
      </c>
      <c r="T256" s="543">
        <v>-3282</v>
      </c>
      <c r="U256" s="543">
        <v>-3335</v>
      </c>
      <c r="V256" s="543">
        <v>-3327</v>
      </c>
      <c r="W256" s="543">
        <v>-4153</v>
      </c>
      <c r="X256" s="543">
        <v>-4330</v>
      </c>
      <c r="Y256" s="543">
        <v>-4182</v>
      </c>
      <c r="Z256" s="543">
        <v>-3516</v>
      </c>
      <c r="AA256" s="543">
        <v>-3786</v>
      </c>
      <c r="AB256" s="543">
        <v>-726</v>
      </c>
      <c r="AC256" s="543">
        <v>1183</v>
      </c>
      <c r="AD256" s="543" t="s">
        <v>2620</v>
      </c>
      <c r="AE256" s="543" t="s">
        <v>2620</v>
      </c>
      <c r="AF256" s="543" t="s">
        <v>2620</v>
      </c>
    </row>
    <row r="257" spans="1:32" ht="14.65">
      <c r="A257" s="2015"/>
      <c r="B257" s="534" t="s">
        <v>1724</v>
      </c>
      <c r="C257" s="1391" t="s">
        <v>2436</v>
      </c>
      <c r="D257" s="12" t="s">
        <v>1716</v>
      </c>
      <c r="E257" s="13">
        <v>2926</v>
      </c>
      <c r="F257" s="14" t="s">
        <v>2766</v>
      </c>
      <c r="G257" s="543">
        <v>0</v>
      </c>
      <c r="H257" s="543">
        <v>0</v>
      </c>
      <c r="I257" s="543">
        <v>0</v>
      </c>
      <c r="J257" s="543">
        <v>1588</v>
      </c>
      <c r="K257" s="543">
        <v>-23362</v>
      </c>
      <c r="L257" s="543">
        <v>-1960</v>
      </c>
      <c r="M257" s="543">
        <v>621</v>
      </c>
      <c r="N257" s="543">
        <v>565</v>
      </c>
      <c r="O257" s="543">
        <v>287</v>
      </c>
      <c r="P257" s="543">
        <v>-103</v>
      </c>
      <c r="Q257" s="543">
        <v>-267</v>
      </c>
      <c r="R257" s="543">
        <v>-15392</v>
      </c>
      <c r="S257" s="543">
        <v>673</v>
      </c>
      <c r="T257" s="543">
        <v>-1849</v>
      </c>
      <c r="U257" s="543">
        <v>-818</v>
      </c>
      <c r="V257" s="543">
        <v>-1489</v>
      </c>
      <c r="W257" s="543">
        <v>-1853</v>
      </c>
      <c r="X257" s="543">
        <v>-1444</v>
      </c>
      <c r="Y257" s="543">
        <v>-4924</v>
      </c>
      <c r="Z257" s="543">
        <v>-1908</v>
      </c>
      <c r="AA257" s="543">
        <v>-4316</v>
      </c>
      <c r="AB257" s="543">
        <v>-1975</v>
      </c>
      <c r="AC257" s="543">
        <v>-4066</v>
      </c>
      <c r="AD257" s="543" t="s">
        <v>2620</v>
      </c>
      <c r="AE257" s="543" t="s">
        <v>2620</v>
      </c>
      <c r="AF257" s="543" t="s">
        <v>2620</v>
      </c>
    </row>
    <row r="258" spans="1:32">
      <c r="A258" s="533"/>
      <c r="B258" s="534"/>
      <c r="C258" s="535"/>
      <c r="D258" s="12"/>
      <c r="E258" s="13"/>
      <c r="F258" s="14"/>
      <c r="G258" s="543"/>
      <c r="H258" s="543"/>
      <c r="I258" s="543"/>
      <c r="J258" s="543"/>
      <c r="K258" s="543"/>
      <c r="L258" s="543"/>
      <c r="M258" s="543"/>
      <c r="N258" s="543"/>
      <c r="O258" s="543"/>
      <c r="P258" s="543"/>
      <c r="Q258" s="543"/>
      <c r="R258" s="543"/>
      <c r="S258" s="543"/>
      <c r="T258" s="543"/>
      <c r="U258" s="543"/>
      <c r="V258" s="543"/>
      <c r="W258" s="543"/>
      <c r="X258" s="543"/>
      <c r="Y258" s="543"/>
      <c r="Z258" s="543"/>
      <c r="AA258" s="543"/>
      <c r="AB258" s="543"/>
      <c r="AC258" s="543"/>
      <c r="AD258" s="543"/>
      <c r="AE258" s="543"/>
      <c r="AF258" s="543"/>
    </row>
    <row r="259" spans="1:32">
      <c r="A259" s="533">
        <v>147</v>
      </c>
      <c r="B259" s="534" t="s">
        <v>1474</v>
      </c>
      <c r="C259" s="535"/>
      <c r="D259" s="12" t="s">
        <v>1716</v>
      </c>
      <c r="E259" s="13">
        <v>2221</v>
      </c>
      <c r="F259" s="14" t="s">
        <v>2767</v>
      </c>
      <c r="G259" s="543">
        <v>341.81329852800002</v>
      </c>
      <c r="H259" s="543">
        <v>325.22909659200002</v>
      </c>
      <c r="I259" s="543">
        <v>350.79715744700002</v>
      </c>
      <c r="J259" s="543">
        <v>390.64968976400002</v>
      </c>
      <c r="K259" s="543">
        <v>440.18409642022561</v>
      </c>
      <c r="L259" s="543">
        <v>481.39430880911704</v>
      </c>
      <c r="M259" s="543">
        <v>461.69397031073913</v>
      </c>
      <c r="N259" s="543">
        <v>463.06559079816827</v>
      </c>
      <c r="O259" s="543">
        <v>484.54479441903516</v>
      </c>
      <c r="P259" s="543">
        <v>535.03717180924968</v>
      </c>
      <c r="Q259" s="543">
        <v>577.97340728445647</v>
      </c>
      <c r="R259" s="543">
        <v>656.57929981164921</v>
      </c>
      <c r="S259" s="543">
        <v>698.34703713144108</v>
      </c>
      <c r="T259" s="543">
        <v>721.34184791625</v>
      </c>
      <c r="U259" s="543">
        <v>582.27566633733011</v>
      </c>
      <c r="V259" s="543">
        <v>652.18015087417928</v>
      </c>
      <c r="W259" s="543">
        <v>680.47013745995127</v>
      </c>
      <c r="X259" s="543">
        <v>664.96540183095385</v>
      </c>
      <c r="Y259" s="543">
        <v>629.63555079701314</v>
      </c>
      <c r="Z259" s="543">
        <v>659.16806977592148</v>
      </c>
      <c r="AA259" s="543">
        <v>690.53141321015619</v>
      </c>
      <c r="AB259" s="543">
        <v>704.95398159727733</v>
      </c>
      <c r="AC259" s="543">
        <v>772.37506491564704</v>
      </c>
      <c r="AD259" s="543" t="s">
        <v>2620</v>
      </c>
      <c r="AE259" s="543" t="s">
        <v>2620</v>
      </c>
      <c r="AF259" s="543" t="s">
        <v>2620</v>
      </c>
    </row>
    <row r="260" spans="1:32">
      <c r="A260" s="533">
        <v>149</v>
      </c>
      <c r="B260" s="534" t="s">
        <v>1476</v>
      </c>
      <c r="C260" s="535"/>
      <c r="D260" s="12" t="s">
        <v>1716</v>
      </c>
      <c r="E260" s="13">
        <v>2222</v>
      </c>
      <c r="F260" s="14" t="s">
        <v>2768</v>
      </c>
      <c r="G260" s="543">
        <v>191.490065208</v>
      </c>
      <c r="H260" s="543">
        <v>196.25578128000006</v>
      </c>
      <c r="I260" s="543">
        <v>280.52283842000008</v>
      </c>
      <c r="J260" s="543">
        <v>283.49893461700003</v>
      </c>
      <c r="K260" s="543">
        <v>261.32270098616323</v>
      </c>
      <c r="L260" s="543">
        <v>315.32559379960662</v>
      </c>
      <c r="M260" s="543">
        <v>320.01951331988778</v>
      </c>
      <c r="N260" s="543">
        <v>326.50608037654371</v>
      </c>
      <c r="O260" s="543">
        <v>339.02341572971875</v>
      </c>
      <c r="P260" s="543">
        <v>369.16017365405719</v>
      </c>
      <c r="Q260" s="543">
        <v>399.12967445830736</v>
      </c>
      <c r="R260" s="543">
        <v>432.7267916009198</v>
      </c>
      <c r="S260" s="543">
        <v>441.07379859677786</v>
      </c>
      <c r="T260" s="543">
        <v>477.14558417625</v>
      </c>
      <c r="U260" s="543">
        <v>413.39872199357012</v>
      </c>
      <c r="V260" s="543">
        <v>488.44628415460801</v>
      </c>
      <c r="W260" s="543">
        <v>532.35178810596108</v>
      </c>
      <c r="X260" s="543">
        <v>502.61106965431037</v>
      </c>
      <c r="Y260" s="543">
        <v>461.82167505815403</v>
      </c>
      <c r="Z260" s="543">
        <v>468.32470259066656</v>
      </c>
      <c r="AA260" s="543">
        <v>490.41972852890615</v>
      </c>
      <c r="AB260" s="543">
        <v>487.1938828404675</v>
      </c>
      <c r="AC260" s="543">
        <v>533.40548978858828</v>
      </c>
      <c r="AD260" s="543" t="s">
        <v>2620</v>
      </c>
      <c r="AE260" s="543" t="s">
        <v>2620</v>
      </c>
      <c r="AF260" s="543" t="s">
        <v>2620</v>
      </c>
    </row>
    <row r="261" spans="1:32">
      <c r="A261" s="533">
        <v>150</v>
      </c>
      <c r="B261" s="534" t="s">
        <v>1478</v>
      </c>
      <c r="C261" s="535"/>
      <c r="D261" s="12" t="s">
        <v>1716</v>
      </c>
      <c r="E261" s="13">
        <v>2223</v>
      </c>
      <c r="F261" s="14" t="s">
        <v>2769</v>
      </c>
      <c r="G261" s="543">
        <v>318.45736915200001</v>
      </c>
      <c r="H261" s="543">
        <v>307.53295401600008</v>
      </c>
      <c r="I261" s="543">
        <v>338.95284060000006</v>
      </c>
      <c r="J261" s="543">
        <v>376.53398938800001</v>
      </c>
      <c r="K261" s="543">
        <v>404.03538384279125</v>
      </c>
      <c r="L261" s="543">
        <v>455.98104837235502</v>
      </c>
      <c r="M261" s="543">
        <v>457.295941739363</v>
      </c>
      <c r="N261" s="543">
        <v>461.32865166584747</v>
      </c>
      <c r="O261" s="543">
        <v>484.84224420837927</v>
      </c>
      <c r="P261" s="543">
        <v>532.67122835495798</v>
      </c>
      <c r="Q261" s="543">
        <v>587.14514256817495</v>
      </c>
      <c r="R261" s="543">
        <v>655.64368131961567</v>
      </c>
      <c r="S261" s="543">
        <v>735.49916869763751</v>
      </c>
      <c r="T261" s="543">
        <v>762.09891663124995</v>
      </c>
      <c r="U261" s="543">
        <v>620.4532903566901</v>
      </c>
      <c r="V261" s="543">
        <v>718.70162403802885</v>
      </c>
      <c r="W261" s="543">
        <v>783.08800211828338</v>
      </c>
      <c r="X261" s="543">
        <v>749.86921378402576</v>
      </c>
      <c r="Y261" s="543">
        <v>720.36076548604331</v>
      </c>
      <c r="Z261" s="543">
        <v>764.15321227470588</v>
      </c>
      <c r="AA261" s="543">
        <v>817.08748107890619</v>
      </c>
      <c r="AB261" s="543">
        <v>857.80855307976776</v>
      </c>
      <c r="AC261" s="543">
        <v>932.3927614641176</v>
      </c>
      <c r="AD261" s="543" t="s">
        <v>2620</v>
      </c>
      <c r="AE261" s="543" t="s">
        <v>2620</v>
      </c>
      <c r="AF261" s="543" t="s">
        <v>2620</v>
      </c>
    </row>
    <row r="262" spans="1:32">
      <c r="A262" s="533">
        <v>152</v>
      </c>
      <c r="B262" s="534" t="s">
        <v>1480</v>
      </c>
      <c r="C262" s="535"/>
      <c r="D262" s="12" t="s">
        <v>1716</v>
      </c>
      <c r="E262" s="13">
        <v>2224</v>
      </c>
      <c r="F262" s="14" t="s">
        <v>2770</v>
      </c>
      <c r="G262" s="543">
        <v>115.80259485600001</v>
      </c>
      <c r="H262" s="543">
        <v>107.50174588799997</v>
      </c>
      <c r="I262" s="543">
        <v>161.45678570999999</v>
      </c>
      <c r="J262" s="543">
        <v>167.47058796900001</v>
      </c>
      <c r="K262" s="543">
        <v>162.69695029278003</v>
      </c>
      <c r="L262" s="543">
        <v>210.415242950319</v>
      </c>
      <c r="M262" s="543">
        <v>195.80759906572098</v>
      </c>
      <c r="N262" s="543">
        <v>187.33932904216348</v>
      </c>
      <c r="O262" s="543">
        <v>188.99101937623777</v>
      </c>
      <c r="P262" s="543">
        <v>204.03228447532962</v>
      </c>
      <c r="Q262" s="543">
        <v>246.22038994984857</v>
      </c>
      <c r="R262" s="543">
        <v>284.439126842245</v>
      </c>
      <c r="S262" s="543">
        <v>298.69244466800563</v>
      </c>
      <c r="T262" s="543">
        <v>339.47172908000005</v>
      </c>
      <c r="U262" s="543">
        <v>292.20026955137979</v>
      </c>
      <c r="V262" s="543">
        <v>352.83304477358092</v>
      </c>
      <c r="W262" s="543">
        <v>365.26895881432114</v>
      </c>
      <c r="X262" s="543">
        <v>364.12502730674237</v>
      </c>
      <c r="Y262" s="543">
        <v>325.88006401084317</v>
      </c>
      <c r="Z262" s="543">
        <v>347.07230847137259</v>
      </c>
      <c r="AA262" s="543">
        <v>350.29085349374986</v>
      </c>
      <c r="AB262" s="543">
        <v>349.12026547276315</v>
      </c>
      <c r="AC262" s="543">
        <v>380.87907800188225</v>
      </c>
      <c r="AD262" s="543" t="s">
        <v>2620</v>
      </c>
      <c r="AE262" s="543" t="s">
        <v>2620</v>
      </c>
      <c r="AF262" s="543" t="s">
        <v>2620</v>
      </c>
    </row>
    <row r="263" spans="1:32">
      <c r="A263" s="533"/>
      <c r="B263" s="534"/>
      <c r="C263" s="535"/>
      <c r="D263" s="12"/>
      <c r="E263" s="13"/>
      <c r="F263" s="14"/>
      <c r="G263" s="543"/>
      <c r="H263" s="543"/>
      <c r="I263" s="543"/>
      <c r="J263" s="543"/>
      <c r="K263" s="543"/>
      <c r="L263" s="543"/>
      <c r="M263" s="543"/>
      <c r="N263" s="543"/>
      <c r="O263" s="543"/>
      <c r="P263" s="543"/>
      <c r="Q263" s="543"/>
      <c r="R263" s="543"/>
      <c r="S263" s="543"/>
      <c r="T263" s="543"/>
      <c r="U263" s="543"/>
      <c r="V263" s="543"/>
      <c r="W263" s="543"/>
      <c r="X263" s="543"/>
      <c r="Y263" s="543"/>
      <c r="Z263" s="543"/>
      <c r="AA263" s="543"/>
      <c r="AB263" s="543"/>
      <c r="AC263" s="543"/>
      <c r="AD263" s="543"/>
      <c r="AE263" s="543"/>
      <c r="AF263" s="543"/>
    </row>
    <row r="264" spans="1:32">
      <c r="A264" s="533"/>
      <c r="B264" s="534"/>
      <c r="C264" s="535"/>
      <c r="D264" s="12"/>
      <c r="E264" s="13"/>
      <c r="F264" s="14"/>
      <c r="G264" s="543"/>
      <c r="H264" s="543"/>
      <c r="I264" s="543"/>
      <c r="J264" s="543"/>
      <c r="K264" s="543"/>
      <c r="L264" s="543"/>
      <c r="M264" s="543"/>
      <c r="N264" s="543"/>
      <c r="O264" s="543"/>
      <c r="P264" s="543"/>
      <c r="Q264" s="543"/>
      <c r="R264" s="543"/>
      <c r="S264" s="543"/>
      <c r="T264" s="543"/>
      <c r="U264" s="543"/>
      <c r="V264" s="543"/>
      <c r="W264" s="543"/>
      <c r="X264" s="543"/>
      <c r="Y264" s="543"/>
      <c r="Z264" s="543"/>
      <c r="AA264" s="543"/>
      <c r="AB264" s="543"/>
      <c r="AC264" s="543"/>
      <c r="AD264" s="543"/>
      <c r="AE264" s="543"/>
      <c r="AF264" s="543"/>
    </row>
    <row r="265" spans="1:32">
      <c r="A265" s="533"/>
      <c r="B265" s="534"/>
      <c r="C265" s="535"/>
      <c r="D265" s="12"/>
      <c r="E265" s="13"/>
      <c r="F265" s="14"/>
      <c r="G265" s="543"/>
      <c r="H265" s="543"/>
      <c r="I265" s="543"/>
      <c r="J265" s="543"/>
      <c r="K265" s="543"/>
      <c r="L265" s="543"/>
      <c r="M265" s="543"/>
      <c r="N265" s="543"/>
      <c r="O265" s="543"/>
      <c r="P265" s="543"/>
      <c r="Q265" s="543"/>
      <c r="R265" s="543"/>
      <c r="S265" s="543"/>
      <c r="T265" s="543"/>
      <c r="U265" s="543"/>
      <c r="V265" s="543"/>
      <c r="W265" s="543"/>
      <c r="X265" s="543"/>
      <c r="Y265" s="543"/>
      <c r="Z265" s="543"/>
      <c r="AA265" s="543"/>
      <c r="AB265" s="543"/>
      <c r="AC265" s="543"/>
      <c r="AD265" s="543"/>
      <c r="AE265" s="543"/>
      <c r="AF265" s="543"/>
    </row>
    <row r="266" spans="1:32">
      <c r="A266" s="533">
        <v>55</v>
      </c>
      <c r="B266" s="534" t="s">
        <v>782</v>
      </c>
      <c r="C266" s="535"/>
      <c r="D266" s="12" t="s">
        <v>1716</v>
      </c>
      <c r="E266" s="13">
        <v>2301</v>
      </c>
      <c r="F266" s="14" t="s">
        <v>2771</v>
      </c>
      <c r="G266" s="543">
        <v>90.8701854437235</v>
      </c>
      <c r="H266" s="543">
        <v>91.298145517118655</v>
      </c>
      <c r="I266" s="543">
        <v>91.761768925392545</v>
      </c>
      <c r="J266" s="543">
        <v>91.65477886590611</v>
      </c>
      <c r="K266" s="543">
        <v>92.047075604422517</v>
      </c>
      <c r="L266" s="543">
        <v>92.974322396576753</v>
      </c>
      <c r="M266" s="543">
        <v>95.256776034237049</v>
      </c>
      <c r="N266" s="543">
        <v>97.289586305278391</v>
      </c>
      <c r="O266" s="543">
        <v>99.179743223965971</v>
      </c>
      <c r="P266" s="543">
        <v>99.572039942938702</v>
      </c>
      <c r="Q266" s="543">
        <v>100</v>
      </c>
      <c r="R266" s="543">
        <v>101.36021468627699</v>
      </c>
      <c r="S266" s="543">
        <v>103.60247376601488</v>
      </c>
      <c r="T266" s="543">
        <v>107.16334166441324</v>
      </c>
      <c r="U266" s="543">
        <v>106.63346122184541</v>
      </c>
      <c r="V266" s="543">
        <v>107.86826393573693</v>
      </c>
      <c r="W266" s="543">
        <v>111.06240582957605</v>
      </c>
      <c r="X266" s="543">
        <v>112.04905926161555</v>
      </c>
      <c r="Y266" s="543">
        <v>111.99942940524403</v>
      </c>
      <c r="Z266" s="543">
        <v>111.79823531684407</v>
      </c>
      <c r="AA266" s="543">
        <v>111.74593079755535</v>
      </c>
      <c r="AB266" s="543">
        <v>112.84581162646261</v>
      </c>
      <c r="AC266" s="543">
        <v>114.8708286402906</v>
      </c>
      <c r="AD266" s="543" t="s">
        <v>2620</v>
      </c>
      <c r="AE266" s="543" t="s">
        <v>2620</v>
      </c>
      <c r="AF266" s="543" t="s">
        <v>2620</v>
      </c>
    </row>
    <row r="267" spans="1:32">
      <c r="A267" s="533">
        <v>54</v>
      </c>
      <c r="B267" s="534" t="s">
        <v>1628</v>
      </c>
      <c r="C267" s="535"/>
      <c r="D267" s="12" t="s">
        <v>1716</v>
      </c>
      <c r="E267" s="13">
        <v>2300</v>
      </c>
      <c r="F267" s="14" t="s">
        <v>2772</v>
      </c>
      <c r="G267" s="543">
        <v>75.43471759152591</v>
      </c>
      <c r="H267" s="543">
        <v>76.158333333333303</v>
      </c>
      <c r="I267" s="543">
        <v>77.539166666666702</v>
      </c>
      <c r="J267" s="543">
        <v>78.317499999999995</v>
      </c>
      <c r="K267" s="543">
        <v>78.759166666666701</v>
      </c>
      <c r="L267" s="543">
        <v>79.778333333333407</v>
      </c>
      <c r="M267" s="543">
        <v>81.9166666666667</v>
      </c>
      <c r="N267" s="543">
        <v>83.504999999999995</v>
      </c>
      <c r="O267" s="543">
        <v>85.441666666666706</v>
      </c>
      <c r="P267" s="543">
        <v>86.314999999999998</v>
      </c>
      <c r="Q267" s="543">
        <v>87.034166666666593</v>
      </c>
      <c r="R267" s="543">
        <v>88.336666666666702</v>
      </c>
      <c r="S267" s="543">
        <v>89.817499999999995</v>
      </c>
      <c r="T267" s="543">
        <v>92.825000000000003</v>
      </c>
      <c r="U267" s="543">
        <v>94.626666666666694</v>
      </c>
      <c r="V267" s="543">
        <v>96.430833333333297</v>
      </c>
      <c r="W267" s="543">
        <v>97.746666666666698</v>
      </c>
      <c r="X267" s="543">
        <v>98.663333333333298</v>
      </c>
      <c r="Y267" s="543">
        <v>99.098333333333301</v>
      </c>
      <c r="Z267" s="543">
        <v>99.302499999999995</v>
      </c>
      <c r="AA267" s="543">
        <v>100</v>
      </c>
      <c r="AB267" s="543">
        <v>101.135833333333</v>
      </c>
      <c r="AC267" s="543">
        <v>103.023333333333</v>
      </c>
      <c r="AD267" s="543" t="s">
        <v>2620</v>
      </c>
      <c r="AE267" s="543" t="s">
        <v>2620</v>
      </c>
      <c r="AF267" s="543" t="s">
        <v>2620</v>
      </c>
    </row>
    <row r="268" spans="1:32">
      <c r="A268" s="884">
        <v>136</v>
      </c>
      <c r="B268" s="534" t="s">
        <v>1721</v>
      </c>
      <c r="C268" s="535" t="s">
        <v>1729</v>
      </c>
      <c r="D268" s="12" t="s">
        <v>1716</v>
      </c>
      <c r="E268" s="13">
        <v>2920</v>
      </c>
      <c r="F268" s="14" t="s">
        <v>2773</v>
      </c>
      <c r="G268" s="543">
        <v>1885.6479999999999</v>
      </c>
      <c r="H268" s="543">
        <v>1934.3779999999999</v>
      </c>
      <c r="I268" s="543">
        <v>2021.9780000000001</v>
      </c>
      <c r="J268" s="543">
        <v>2124.4059999999999</v>
      </c>
      <c r="K268" s="543">
        <v>2240.5729999999999</v>
      </c>
      <c r="L268" s="543">
        <v>2383.6260000000002</v>
      </c>
      <c r="M268" s="543">
        <v>2481.9160000000002</v>
      </c>
      <c r="N268" s="543">
        <v>2573.9589999999998</v>
      </c>
      <c r="O268" s="543">
        <v>2680.8629999999998</v>
      </c>
      <c r="P268" s="543">
        <v>2808.4029999999998</v>
      </c>
      <c r="Q268" s="543">
        <v>2910.683</v>
      </c>
      <c r="R268" s="543">
        <v>3102.8339999999998</v>
      </c>
      <c r="S268" s="543">
        <v>3300.9830000000002</v>
      </c>
      <c r="T268" s="543">
        <v>3391.681</v>
      </c>
      <c r="U268" s="543">
        <v>3292.009</v>
      </c>
      <c r="V268" s="543">
        <v>3523.8240000000001</v>
      </c>
      <c r="W268" s="543">
        <v>3661.0430000000001</v>
      </c>
      <c r="X268" s="543">
        <v>3688.8710000000001</v>
      </c>
      <c r="Y268" s="543">
        <v>3773.9389999999999</v>
      </c>
      <c r="Z268" s="543">
        <v>3940.9250000000002</v>
      </c>
      <c r="AA268" s="543">
        <v>4201.5429999999997</v>
      </c>
      <c r="AB268" s="543">
        <v>4385.4970000000003</v>
      </c>
      <c r="AC268" s="543">
        <v>4578.8990000000003</v>
      </c>
      <c r="AD268" s="543" t="s">
        <v>2620</v>
      </c>
      <c r="AE268" s="543" t="s">
        <v>2620</v>
      </c>
      <c r="AF268" s="543" t="s">
        <v>2620</v>
      </c>
    </row>
    <row r="269" spans="1:32">
      <c r="A269" s="533"/>
      <c r="B269" s="534"/>
      <c r="C269" s="535"/>
      <c r="D269" s="12"/>
      <c r="E269" s="13"/>
      <c r="F269" s="14"/>
      <c r="G269" s="543"/>
      <c r="H269" s="543"/>
      <c r="I269" s="543"/>
      <c r="J269" s="543"/>
      <c r="K269" s="543"/>
      <c r="L269" s="543"/>
      <c r="M269" s="543"/>
      <c r="N269" s="543"/>
      <c r="O269" s="543"/>
      <c r="P269" s="543"/>
      <c r="Q269" s="543"/>
      <c r="R269" s="543"/>
      <c r="S269" s="543"/>
      <c r="T269" s="543"/>
      <c r="U269" s="543"/>
      <c r="V269" s="543"/>
      <c r="W269" s="543"/>
      <c r="X269" s="543"/>
      <c r="Y269" s="543"/>
      <c r="Z269" s="543"/>
      <c r="AA269" s="543"/>
      <c r="AB269" s="543"/>
      <c r="AC269" s="543"/>
      <c r="AD269" s="543"/>
      <c r="AE269" s="543"/>
      <c r="AF269" s="543"/>
    </row>
    <row r="270" spans="1:32">
      <c r="A270" s="533"/>
      <c r="B270" s="534" t="s">
        <v>573</v>
      </c>
      <c r="C270" s="535"/>
      <c r="D270" s="12" t="s">
        <v>1716</v>
      </c>
      <c r="E270" s="13">
        <v>2351</v>
      </c>
      <c r="F270" s="14" t="s">
        <v>2774</v>
      </c>
      <c r="G270" s="543">
        <v>0</v>
      </c>
      <c r="H270" s="543">
        <v>289.51</v>
      </c>
      <c r="I270" s="543">
        <v>284.02</v>
      </c>
      <c r="J270" s="543">
        <v>287.75</v>
      </c>
      <c r="K270" s="543">
        <v>299.40000000000003</v>
      </c>
      <c r="L270" s="543">
        <v>296.05</v>
      </c>
      <c r="M270" s="543">
        <v>300.08</v>
      </c>
      <c r="N270" s="543">
        <v>289.69</v>
      </c>
      <c r="O270" s="543">
        <v>295.95999999999998</v>
      </c>
      <c r="P270" s="543">
        <v>293.8</v>
      </c>
      <c r="Q270" s="543">
        <v>290.76</v>
      </c>
      <c r="R270" s="543">
        <v>286.68</v>
      </c>
      <c r="S270" s="543">
        <v>290.74</v>
      </c>
      <c r="T270" s="543">
        <v>291.77999999999997</v>
      </c>
      <c r="U270" s="543">
        <v>291.61</v>
      </c>
      <c r="V270" s="543">
        <v>285.77</v>
      </c>
      <c r="W270" s="543">
        <v>277.3</v>
      </c>
      <c r="X270" s="543">
        <v>284</v>
      </c>
      <c r="Y270" s="543">
        <v>280.81</v>
      </c>
      <c r="Z270" s="543">
        <v>277.39999999999998</v>
      </c>
      <c r="AA270" s="543">
        <v>276.72000000000003</v>
      </c>
      <c r="AB270" s="543">
        <v>286.07</v>
      </c>
      <c r="AC270" s="543">
        <v>291.72000000000003</v>
      </c>
      <c r="AD270" s="543">
        <v>290.10000000000002</v>
      </c>
      <c r="AE270" s="543" t="s">
        <v>2620</v>
      </c>
      <c r="AF270" s="543" t="s">
        <v>2620</v>
      </c>
    </row>
    <row r="271" spans="1:32">
      <c r="A271" s="533"/>
      <c r="B271" s="534" t="s">
        <v>1686</v>
      </c>
      <c r="C271" s="535"/>
      <c r="D271" s="12" t="s">
        <v>1716</v>
      </c>
      <c r="E271" s="13">
        <v>2352</v>
      </c>
      <c r="F271" s="14" t="s">
        <v>2775</v>
      </c>
      <c r="G271" s="543">
        <v>0</v>
      </c>
      <c r="H271" s="543">
        <v>123.93</v>
      </c>
      <c r="I271" s="543">
        <v>126.76</v>
      </c>
      <c r="J271" s="543">
        <v>121.05</v>
      </c>
      <c r="K271" s="543">
        <v>113.52</v>
      </c>
      <c r="L271" s="543">
        <v>118.1</v>
      </c>
      <c r="M271" s="543">
        <v>111.07</v>
      </c>
      <c r="N271" s="543">
        <v>115.41</v>
      </c>
      <c r="O271" s="543">
        <v>115.9</v>
      </c>
      <c r="P271" s="543">
        <v>122.96</v>
      </c>
      <c r="Q271" s="543">
        <v>117.64</v>
      </c>
      <c r="R271" s="543">
        <v>126.07</v>
      </c>
      <c r="S271" s="543">
        <v>122.91</v>
      </c>
      <c r="T271" s="543">
        <v>114.62</v>
      </c>
      <c r="U271" s="543">
        <v>110.87</v>
      </c>
      <c r="V271" s="543">
        <v>109.94</v>
      </c>
      <c r="W271" s="543">
        <v>119.88</v>
      </c>
      <c r="X271" s="543">
        <v>116.8</v>
      </c>
      <c r="Y271" s="543">
        <v>110.13</v>
      </c>
      <c r="Z271" s="543">
        <v>106.88</v>
      </c>
      <c r="AA271" s="543">
        <v>96.35</v>
      </c>
      <c r="AB271" s="543">
        <v>86.62</v>
      </c>
      <c r="AC271" s="543">
        <v>88.08</v>
      </c>
      <c r="AD271" s="543">
        <v>89.18</v>
      </c>
      <c r="AE271" s="543" t="s">
        <v>2620</v>
      </c>
      <c r="AF271" s="543" t="s">
        <v>2620</v>
      </c>
    </row>
    <row r="272" spans="1:32">
      <c r="A272" s="533"/>
      <c r="B272" s="534" t="s">
        <v>1687</v>
      </c>
      <c r="C272" s="535"/>
      <c r="D272" s="12" t="s">
        <v>1716</v>
      </c>
      <c r="E272" s="13">
        <v>2353</v>
      </c>
      <c r="F272" s="14" t="s">
        <v>2776</v>
      </c>
      <c r="G272" s="543">
        <v>0</v>
      </c>
      <c r="H272" s="543">
        <v>76.820000000000007</v>
      </c>
      <c r="I272" s="543">
        <v>75.12</v>
      </c>
      <c r="J272" s="543">
        <v>74.460000000000008</v>
      </c>
      <c r="K272" s="543">
        <v>75.89</v>
      </c>
      <c r="L272" s="543">
        <v>65.25</v>
      </c>
      <c r="M272" s="543">
        <v>64.42</v>
      </c>
      <c r="N272" s="543">
        <v>62.93</v>
      </c>
      <c r="O272" s="543">
        <v>58.58</v>
      </c>
      <c r="P272" s="543">
        <v>58.94</v>
      </c>
      <c r="Q272" s="543">
        <v>59.97</v>
      </c>
      <c r="R272" s="543">
        <v>60.19</v>
      </c>
      <c r="S272" s="543">
        <v>60.93</v>
      </c>
      <c r="T272" s="543">
        <v>62.59</v>
      </c>
      <c r="U272" s="543">
        <v>66.05</v>
      </c>
      <c r="V272" s="543">
        <v>63.14</v>
      </c>
      <c r="W272" s="543">
        <v>61.58</v>
      </c>
      <c r="X272" s="543">
        <v>58.13</v>
      </c>
      <c r="Y272" s="543">
        <v>63.47</v>
      </c>
      <c r="Z272" s="543">
        <v>59.63</v>
      </c>
      <c r="AA272" s="543">
        <v>59.62</v>
      </c>
      <c r="AB272" s="543">
        <v>62.79</v>
      </c>
      <c r="AC272" s="543">
        <v>61.52</v>
      </c>
      <c r="AD272" s="543">
        <v>60.79</v>
      </c>
      <c r="AE272" s="543" t="s">
        <v>2620</v>
      </c>
      <c r="AF272" s="543" t="s">
        <v>2620</v>
      </c>
    </row>
    <row r="273" spans="1:32">
      <c r="A273" s="533"/>
      <c r="B273" s="534" t="s">
        <v>585</v>
      </c>
      <c r="C273" s="535"/>
      <c r="D273" s="12" t="s">
        <v>1716</v>
      </c>
      <c r="E273" s="13">
        <v>2354</v>
      </c>
      <c r="F273" s="14" t="s">
        <v>2777</v>
      </c>
      <c r="G273" s="543">
        <v>0</v>
      </c>
      <c r="H273" s="543">
        <v>166.84</v>
      </c>
      <c r="I273" s="543">
        <v>159.5</v>
      </c>
      <c r="J273" s="543">
        <v>162.08000000000001</v>
      </c>
      <c r="K273" s="543">
        <v>151.28</v>
      </c>
      <c r="L273" s="543">
        <v>144.69999999999999</v>
      </c>
      <c r="M273" s="543">
        <v>142.63999999999999</v>
      </c>
      <c r="N273" s="543">
        <v>144.35</v>
      </c>
      <c r="O273" s="543">
        <v>142.57</v>
      </c>
      <c r="P273" s="543">
        <v>135.78</v>
      </c>
      <c r="Q273" s="543">
        <v>136.49</v>
      </c>
      <c r="R273" s="543">
        <v>132.52000000000001</v>
      </c>
      <c r="S273" s="543">
        <v>128.94999999999999</v>
      </c>
      <c r="T273" s="543">
        <v>131.15</v>
      </c>
      <c r="U273" s="543">
        <v>136.58000000000001</v>
      </c>
      <c r="V273" s="543">
        <v>135.16</v>
      </c>
      <c r="W273" s="543">
        <v>135.9</v>
      </c>
      <c r="X273" s="543">
        <v>135.49</v>
      </c>
      <c r="Y273" s="543">
        <v>135.56</v>
      </c>
      <c r="Z273" s="543">
        <v>139.54</v>
      </c>
      <c r="AA273" s="543">
        <v>141.59</v>
      </c>
      <c r="AB273" s="543">
        <v>140.88999999999999</v>
      </c>
      <c r="AC273" s="543">
        <v>138.11000000000001</v>
      </c>
      <c r="AD273" s="543">
        <v>137.08000000000001</v>
      </c>
      <c r="AE273" s="543" t="s">
        <v>2620</v>
      </c>
      <c r="AF273" s="543" t="s">
        <v>2620</v>
      </c>
    </row>
    <row r="274" spans="1:32">
      <c r="A274" s="533"/>
      <c r="B274" s="534" t="s">
        <v>586</v>
      </c>
      <c r="C274" s="535"/>
      <c r="D274" s="12" t="s">
        <v>1716</v>
      </c>
      <c r="E274" s="13">
        <v>2355</v>
      </c>
      <c r="F274" s="14" t="s">
        <v>2778</v>
      </c>
      <c r="G274" s="543">
        <v>0</v>
      </c>
      <c r="H274" s="543">
        <v>335.82</v>
      </c>
      <c r="I274" s="543">
        <v>347.40000000000003</v>
      </c>
      <c r="J274" s="543">
        <v>348.02</v>
      </c>
      <c r="K274" s="543">
        <v>356.13</v>
      </c>
      <c r="L274" s="543">
        <v>375.9</v>
      </c>
      <c r="M274" s="543">
        <v>381.79</v>
      </c>
      <c r="N274" s="543">
        <v>387.62</v>
      </c>
      <c r="O274" s="543">
        <v>386.98</v>
      </c>
      <c r="P274" s="543">
        <v>388.52</v>
      </c>
      <c r="Q274" s="543">
        <v>395.14</v>
      </c>
      <c r="R274" s="543">
        <v>394.55</v>
      </c>
      <c r="S274" s="543">
        <v>396.47</v>
      </c>
      <c r="T274" s="543">
        <v>399.86</v>
      </c>
      <c r="U274" s="543">
        <v>394.89</v>
      </c>
      <c r="V274" s="543">
        <v>406</v>
      </c>
      <c r="W274" s="543">
        <v>405.34</v>
      </c>
      <c r="X274" s="543">
        <v>405.57</v>
      </c>
      <c r="Y274" s="543">
        <v>410.03</v>
      </c>
      <c r="Z274" s="543">
        <v>416.55</v>
      </c>
      <c r="AA274" s="543">
        <v>425.72</v>
      </c>
      <c r="AB274" s="543">
        <v>423.63</v>
      </c>
      <c r="AC274" s="543">
        <v>420.57</v>
      </c>
      <c r="AD274" s="543">
        <v>422.85</v>
      </c>
      <c r="AE274" s="543" t="s">
        <v>2620</v>
      </c>
      <c r="AF274" s="543" t="s">
        <v>2620</v>
      </c>
    </row>
    <row r="275" spans="1:32">
      <c r="A275" s="533"/>
      <c r="B275" s="534"/>
      <c r="C275" s="535"/>
      <c r="D275" s="12"/>
      <c r="E275" s="13"/>
      <c r="F275" s="14"/>
      <c r="G275" s="543"/>
      <c r="H275" s="543"/>
      <c r="I275" s="543"/>
      <c r="J275" s="543"/>
      <c r="K275" s="543"/>
      <c r="L275" s="543"/>
      <c r="M275" s="543"/>
      <c r="N275" s="543"/>
      <c r="O275" s="543"/>
      <c r="P275" s="543"/>
      <c r="Q275" s="543"/>
      <c r="R275" s="543"/>
      <c r="S275" s="543"/>
      <c r="T275" s="543"/>
      <c r="U275" s="543"/>
      <c r="V275" s="543"/>
      <c r="W275" s="543"/>
      <c r="X275" s="543"/>
      <c r="Y275" s="543"/>
      <c r="Z275" s="543"/>
      <c r="AA275" s="543"/>
      <c r="AB275" s="543"/>
      <c r="AC275" s="543"/>
      <c r="AD275" s="543"/>
      <c r="AE275" s="543"/>
      <c r="AF275" s="543"/>
    </row>
    <row r="276" spans="1:32">
      <c r="A276" s="533">
        <v>138</v>
      </c>
      <c r="B276" s="534" t="s">
        <v>1084</v>
      </c>
      <c r="C276" s="535"/>
      <c r="D276" s="12" t="s">
        <v>1716</v>
      </c>
      <c r="E276" s="13">
        <v>3001</v>
      </c>
      <c r="F276" s="14" t="s">
        <v>2779</v>
      </c>
      <c r="G276" s="543">
        <v>0</v>
      </c>
      <c r="H276" s="543">
        <v>0</v>
      </c>
      <c r="I276" s="543">
        <v>0</v>
      </c>
      <c r="J276" s="543">
        <v>0</v>
      </c>
      <c r="K276" s="543">
        <v>0</v>
      </c>
      <c r="L276" s="543">
        <v>0</v>
      </c>
      <c r="M276" s="543">
        <v>0</v>
      </c>
      <c r="N276" s="543">
        <v>0</v>
      </c>
      <c r="O276" s="543">
        <v>0</v>
      </c>
      <c r="P276" s="543">
        <v>0</v>
      </c>
      <c r="Q276" s="543">
        <v>0</v>
      </c>
      <c r="R276" s="543">
        <v>0</v>
      </c>
      <c r="S276" s="543">
        <v>0</v>
      </c>
      <c r="T276" s="543">
        <v>0</v>
      </c>
      <c r="U276" s="543">
        <v>0</v>
      </c>
      <c r="V276" s="543">
        <v>0</v>
      </c>
      <c r="W276" s="543">
        <v>0</v>
      </c>
      <c r="X276" s="543">
        <v>0</v>
      </c>
      <c r="Y276" s="543">
        <v>0</v>
      </c>
      <c r="Z276" s="543">
        <v>0</v>
      </c>
      <c r="AA276" s="543">
        <v>0</v>
      </c>
      <c r="AB276" s="543">
        <v>0</v>
      </c>
      <c r="AC276" s="543">
        <v>0</v>
      </c>
      <c r="AD276" s="543" t="s">
        <v>2620</v>
      </c>
      <c r="AE276" s="543" t="s">
        <v>2620</v>
      </c>
      <c r="AF276" s="543" t="s">
        <v>2620</v>
      </c>
    </row>
    <row r="277" spans="1:32">
      <c r="A277" s="533">
        <v>139</v>
      </c>
      <c r="B277" s="534" t="s">
        <v>1085</v>
      </c>
      <c r="C277" s="535"/>
      <c r="D277" s="12" t="s">
        <v>1716</v>
      </c>
      <c r="E277" s="13">
        <v>3002</v>
      </c>
      <c r="F277" s="14" t="s">
        <v>2780</v>
      </c>
      <c r="G277" s="543">
        <v>0</v>
      </c>
      <c r="H277" s="543">
        <v>0</v>
      </c>
      <c r="I277" s="543">
        <v>0</v>
      </c>
      <c r="J277" s="543">
        <v>0</v>
      </c>
      <c r="K277" s="543">
        <v>0</v>
      </c>
      <c r="L277" s="543">
        <v>0</v>
      </c>
      <c r="M277" s="543">
        <v>0</v>
      </c>
      <c r="N277" s="543">
        <v>0</v>
      </c>
      <c r="O277" s="543">
        <v>0</v>
      </c>
      <c r="P277" s="543">
        <v>0</v>
      </c>
      <c r="Q277" s="543">
        <v>0</v>
      </c>
      <c r="R277" s="543">
        <v>0</v>
      </c>
      <c r="S277" s="543">
        <v>0</v>
      </c>
      <c r="T277" s="543">
        <v>0</v>
      </c>
      <c r="U277" s="543">
        <v>0</v>
      </c>
      <c r="V277" s="543">
        <v>0</v>
      </c>
      <c r="W277" s="543">
        <v>0</v>
      </c>
      <c r="X277" s="543">
        <v>0</v>
      </c>
      <c r="Y277" s="543">
        <v>0</v>
      </c>
      <c r="Z277" s="543">
        <v>0</v>
      </c>
      <c r="AA277" s="543">
        <v>0</v>
      </c>
      <c r="AB277" s="543">
        <v>0</v>
      </c>
      <c r="AC277" s="543">
        <v>0</v>
      </c>
      <c r="AD277" s="543" t="s">
        <v>2620</v>
      </c>
      <c r="AE277" s="543" t="s">
        <v>2620</v>
      </c>
      <c r="AF277" s="543" t="s">
        <v>2620</v>
      </c>
    </row>
    <row r="278" spans="1:32">
      <c r="A278" s="533"/>
      <c r="B278" s="534" t="s">
        <v>1935</v>
      </c>
      <c r="C278" s="535"/>
      <c r="D278" s="12" t="s">
        <v>1716</v>
      </c>
      <c r="E278" s="13">
        <v>3011</v>
      </c>
      <c r="F278" s="14" t="s">
        <v>2781</v>
      </c>
      <c r="G278" s="543">
        <v>1349</v>
      </c>
      <c r="H278" s="543">
        <v>1326</v>
      </c>
      <c r="I278" s="543">
        <v>1304</v>
      </c>
      <c r="J278" s="543">
        <v>1301</v>
      </c>
      <c r="K278" s="543">
        <v>1319</v>
      </c>
      <c r="L278" s="543">
        <v>1294</v>
      </c>
      <c r="M278" s="543">
        <v>1307</v>
      </c>
      <c r="N278" s="543">
        <v>1326</v>
      </c>
      <c r="O278" s="543">
        <v>1340</v>
      </c>
      <c r="P278" s="543">
        <v>1346</v>
      </c>
      <c r="Q278" s="543">
        <v>1342</v>
      </c>
      <c r="R278" s="543">
        <v>1357</v>
      </c>
      <c r="S278" s="543">
        <v>1356</v>
      </c>
      <c r="T278" s="543">
        <v>1329</v>
      </c>
      <c r="U278" s="543">
        <v>1302</v>
      </c>
      <c r="V278" s="543">
        <v>1296</v>
      </c>
      <c r="W278" s="543">
        <v>1301</v>
      </c>
      <c r="X278" s="543">
        <v>1311</v>
      </c>
      <c r="Y278" s="543">
        <v>1324</v>
      </c>
      <c r="Z278" s="543">
        <v>1341</v>
      </c>
      <c r="AA278" s="543">
        <v>1371</v>
      </c>
      <c r="AB278" s="543">
        <v>1409</v>
      </c>
      <c r="AC278" s="543">
        <v>1437</v>
      </c>
      <c r="AD278" s="543" t="s">
        <v>2620</v>
      </c>
      <c r="AE278" s="543" t="s">
        <v>2620</v>
      </c>
      <c r="AF278" s="543" t="s">
        <v>2620</v>
      </c>
    </row>
    <row r="279" spans="1:32">
      <c r="A279" s="533"/>
      <c r="B279" s="534"/>
      <c r="C279" s="535"/>
      <c r="D279" s="12" t="s">
        <v>1716</v>
      </c>
      <c r="E279" s="13">
        <v>3012</v>
      </c>
      <c r="F279" s="14" t="s">
        <v>2782</v>
      </c>
      <c r="G279" s="543">
        <v>218733</v>
      </c>
      <c r="H279" s="543">
        <v>230212</v>
      </c>
      <c r="I279" s="543">
        <v>235546</v>
      </c>
      <c r="J279" s="543">
        <v>241469</v>
      </c>
      <c r="K279" s="543">
        <v>252003</v>
      </c>
      <c r="L279" s="543">
        <v>253418</v>
      </c>
      <c r="M279" s="543">
        <v>265043</v>
      </c>
      <c r="N279" s="543">
        <v>279815</v>
      </c>
      <c r="O279" s="543">
        <v>293849</v>
      </c>
      <c r="P279" s="543">
        <v>303173</v>
      </c>
      <c r="Q279" s="543">
        <v>310976</v>
      </c>
      <c r="R279" s="543">
        <v>325400</v>
      </c>
      <c r="S279" s="543">
        <v>338391</v>
      </c>
      <c r="T279" s="543">
        <v>351822</v>
      </c>
      <c r="U279" s="543">
        <v>357874</v>
      </c>
      <c r="V279" s="543">
        <v>365809</v>
      </c>
      <c r="W279" s="543">
        <v>377027</v>
      </c>
      <c r="X279" s="543">
        <v>391900</v>
      </c>
      <c r="Y279" s="543">
        <v>406101</v>
      </c>
      <c r="Z279" s="543">
        <v>421588</v>
      </c>
      <c r="AA279" s="543">
        <v>440477</v>
      </c>
      <c r="AB279" s="543">
        <v>465008</v>
      </c>
      <c r="AC279" s="543">
        <v>488384</v>
      </c>
      <c r="AD279" s="543" t="s">
        <v>2620</v>
      </c>
      <c r="AE279" s="543" t="s">
        <v>2620</v>
      </c>
      <c r="AF279" s="543" t="s">
        <v>2620</v>
      </c>
    </row>
    <row r="280" spans="1:32">
      <c r="A280" s="533"/>
      <c r="B280" s="534"/>
      <c r="C280" s="535"/>
      <c r="D280" s="12"/>
      <c r="E280" s="13"/>
      <c r="F280" s="14"/>
      <c r="G280" s="543"/>
      <c r="H280" s="543"/>
      <c r="I280" s="543"/>
      <c r="J280" s="543"/>
      <c r="K280" s="543"/>
      <c r="L280" s="543"/>
      <c r="M280" s="543"/>
      <c r="N280" s="543"/>
      <c r="O280" s="543"/>
      <c r="P280" s="543"/>
      <c r="Q280" s="543"/>
      <c r="R280" s="543"/>
      <c r="S280" s="543"/>
      <c r="T280" s="543"/>
      <c r="U280" s="543"/>
      <c r="V280" s="543"/>
      <c r="W280" s="543"/>
      <c r="X280" s="543"/>
      <c r="Y280" s="543"/>
      <c r="Z280" s="543"/>
      <c r="AA280" s="543"/>
      <c r="AB280" s="543"/>
      <c r="AC280" s="543"/>
      <c r="AD280" s="543"/>
      <c r="AE280" s="543"/>
      <c r="AF280" s="543"/>
    </row>
    <row r="281" spans="1:32">
      <c r="A281" s="533"/>
      <c r="B281" s="534"/>
      <c r="C281" s="535"/>
      <c r="D281" s="12"/>
      <c r="E281" s="13"/>
      <c r="F281" s="14"/>
      <c r="G281" s="543"/>
      <c r="H281" s="543"/>
      <c r="I281" s="543"/>
      <c r="J281" s="543"/>
      <c r="K281" s="543"/>
      <c r="L281" s="543"/>
      <c r="M281" s="543"/>
      <c r="N281" s="543"/>
      <c r="O281" s="543"/>
      <c r="P281" s="543"/>
      <c r="Q281" s="543"/>
      <c r="R281" s="543"/>
      <c r="S281" s="543"/>
      <c r="T281" s="543"/>
      <c r="U281" s="543"/>
      <c r="V281" s="543"/>
      <c r="W281" s="543"/>
      <c r="X281" s="543"/>
      <c r="Y281" s="543"/>
      <c r="Z281" s="543"/>
      <c r="AA281" s="543"/>
      <c r="AB281" s="543"/>
      <c r="AC281" s="543"/>
      <c r="AD281" s="543"/>
      <c r="AE281" s="543"/>
      <c r="AF281" s="543"/>
    </row>
    <row r="282" spans="1:32">
      <c r="A282" s="533"/>
      <c r="B282" s="534"/>
      <c r="C282" s="535"/>
      <c r="D282" s="12"/>
      <c r="E282" s="13"/>
      <c r="F282" s="14"/>
      <c r="G282" s="543"/>
      <c r="H282" s="543"/>
      <c r="I282" s="543"/>
      <c r="J282" s="543"/>
      <c r="K282" s="543"/>
      <c r="L282" s="543"/>
      <c r="M282" s="543"/>
      <c r="N282" s="543"/>
      <c r="O282" s="543"/>
      <c r="P282" s="543"/>
      <c r="Q282" s="543"/>
      <c r="R282" s="543"/>
      <c r="S282" s="543"/>
      <c r="T282" s="543"/>
      <c r="U282" s="543"/>
      <c r="V282" s="543"/>
      <c r="W282" s="543"/>
      <c r="X282" s="543"/>
      <c r="Y282" s="543"/>
      <c r="Z282" s="543"/>
      <c r="AA282" s="543"/>
      <c r="AB282" s="543"/>
      <c r="AC282" s="543"/>
      <c r="AD282" s="543"/>
      <c r="AE282" s="543"/>
      <c r="AF282" s="543"/>
    </row>
    <row r="283" spans="1:32">
      <c r="A283" s="533"/>
      <c r="B283" s="534"/>
      <c r="C283" s="535"/>
      <c r="D283" s="12"/>
      <c r="E283" s="13"/>
      <c r="F283" s="14"/>
      <c r="G283" s="543"/>
      <c r="H283" s="543"/>
      <c r="I283" s="543"/>
      <c r="J283" s="543"/>
      <c r="K283" s="543"/>
      <c r="L283" s="543"/>
      <c r="M283" s="543"/>
      <c r="N283" s="543"/>
      <c r="O283" s="543"/>
      <c r="P283" s="543"/>
      <c r="Q283" s="543"/>
      <c r="R283" s="543"/>
      <c r="S283" s="543"/>
      <c r="T283" s="543"/>
      <c r="U283" s="543"/>
      <c r="V283" s="543"/>
      <c r="W283" s="543"/>
      <c r="X283" s="543"/>
      <c r="Y283" s="543"/>
      <c r="Z283" s="543"/>
      <c r="AA283" s="543"/>
      <c r="AB283" s="543"/>
      <c r="AC283" s="543"/>
      <c r="AD283" s="543"/>
      <c r="AE283" s="543"/>
      <c r="AF283" s="543"/>
    </row>
    <row r="284" spans="1:32">
      <c r="A284" s="533"/>
      <c r="B284" s="534"/>
      <c r="C284" s="535"/>
      <c r="D284" s="12"/>
      <c r="E284" s="13"/>
      <c r="F284" s="14"/>
      <c r="G284" s="543"/>
      <c r="H284" s="543"/>
      <c r="I284" s="543"/>
      <c r="J284" s="543"/>
      <c r="K284" s="543"/>
      <c r="L284" s="543"/>
      <c r="M284" s="543"/>
      <c r="N284" s="543"/>
      <c r="O284" s="543"/>
      <c r="P284" s="543"/>
      <c r="Q284" s="543"/>
      <c r="R284" s="543"/>
      <c r="S284" s="543"/>
      <c r="T284" s="543"/>
      <c r="U284" s="543"/>
      <c r="V284" s="543"/>
      <c r="W284" s="543"/>
      <c r="X284" s="543"/>
      <c r="Y284" s="543"/>
      <c r="Z284" s="543"/>
      <c r="AA284" s="543"/>
      <c r="AB284" s="543"/>
      <c r="AC284" s="543"/>
      <c r="AD284" s="543"/>
      <c r="AE284" s="543"/>
      <c r="AF284" s="543"/>
    </row>
    <row r="285" spans="1:32">
      <c r="A285" s="533"/>
      <c r="B285" s="534"/>
      <c r="C285" s="535"/>
      <c r="D285" s="12"/>
      <c r="E285" s="13"/>
      <c r="F285" s="14"/>
      <c r="G285" s="543"/>
      <c r="H285" s="543"/>
      <c r="I285" s="543"/>
      <c r="J285" s="543"/>
      <c r="K285" s="543"/>
      <c r="L285" s="543"/>
      <c r="M285" s="543"/>
      <c r="N285" s="543"/>
      <c r="O285" s="543"/>
      <c r="P285" s="543"/>
      <c r="Q285" s="543"/>
      <c r="R285" s="543"/>
      <c r="S285" s="543"/>
      <c r="T285" s="543"/>
      <c r="U285" s="543"/>
      <c r="V285" s="543"/>
      <c r="W285" s="543"/>
      <c r="X285" s="543"/>
      <c r="Y285" s="543"/>
      <c r="Z285" s="543"/>
      <c r="AA285" s="543"/>
      <c r="AB285" s="543"/>
      <c r="AC285" s="543"/>
      <c r="AD285" s="543"/>
      <c r="AE285" s="543"/>
      <c r="AF285" s="543"/>
    </row>
    <row r="286" spans="1:32">
      <c r="A286" s="533"/>
      <c r="B286" s="534"/>
      <c r="C286" s="535"/>
      <c r="D286" s="12"/>
      <c r="E286" s="13"/>
      <c r="F286" s="14"/>
      <c r="G286" s="543"/>
      <c r="H286" s="543"/>
      <c r="I286" s="543"/>
      <c r="J286" s="543"/>
      <c r="K286" s="543"/>
      <c r="L286" s="543"/>
      <c r="M286" s="543"/>
      <c r="N286" s="543"/>
      <c r="O286" s="543"/>
      <c r="P286" s="543"/>
      <c r="Q286" s="543"/>
      <c r="R286" s="543"/>
      <c r="S286" s="543"/>
      <c r="T286" s="543"/>
      <c r="U286" s="543"/>
      <c r="V286" s="543"/>
      <c r="W286" s="543"/>
      <c r="X286" s="543"/>
      <c r="Y286" s="543"/>
      <c r="Z286" s="543"/>
      <c r="AA286" s="543"/>
      <c r="AB286" s="543"/>
      <c r="AC286" s="543"/>
      <c r="AD286" s="543"/>
      <c r="AE286" s="543"/>
      <c r="AF286" s="543"/>
    </row>
    <row r="287" spans="1:32">
      <c r="A287" s="533"/>
      <c r="B287" s="534"/>
      <c r="C287" s="535"/>
      <c r="D287" s="12"/>
      <c r="E287" s="13"/>
      <c r="F287" s="14"/>
      <c r="G287" s="543"/>
      <c r="H287" s="543"/>
      <c r="I287" s="543"/>
      <c r="J287" s="543"/>
      <c r="K287" s="543"/>
      <c r="L287" s="543"/>
      <c r="M287" s="543"/>
      <c r="N287" s="543"/>
      <c r="O287" s="543"/>
      <c r="P287" s="543"/>
      <c r="Q287" s="543"/>
      <c r="R287" s="543"/>
      <c r="S287" s="543"/>
      <c r="T287" s="543"/>
      <c r="U287" s="543"/>
      <c r="V287" s="543"/>
      <c r="W287" s="543"/>
      <c r="X287" s="543"/>
      <c r="Y287" s="543"/>
      <c r="Z287" s="543"/>
      <c r="AA287" s="543"/>
      <c r="AB287" s="543"/>
      <c r="AC287" s="543"/>
      <c r="AD287" s="543"/>
      <c r="AE287" s="543"/>
      <c r="AF287" s="543"/>
    </row>
    <row r="288" spans="1:32">
      <c r="A288" s="533"/>
      <c r="B288" s="534"/>
      <c r="C288" s="535"/>
      <c r="D288" s="12"/>
      <c r="E288" s="13"/>
      <c r="F288" s="14"/>
      <c r="G288" s="543"/>
      <c r="H288" s="543"/>
      <c r="I288" s="543"/>
      <c r="J288" s="543"/>
      <c r="K288" s="543"/>
      <c r="L288" s="543"/>
      <c r="M288" s="543"/>
      <c r="N288" s="543"/>
      <c r="O288" s="543"/>
      <c r="P288" s="543"/>
      <c r="Q288" s="543"/>
      <c r="R288" s="543"/>
      <c r="S288" s="543"/>
      <c r="T288" s="543"/>
      <c r="U288" s="543"/>
      <c r="V288" s="543"/>
      <c r="W288" s="543"/>
      <c r="X288" s="543"/>
      <c r="Y288" s="543"/>
      <c r="Z288" s="543"/>
      <c r="AA288" s="543"/>
      <c r="AB288" s="543"/>
      <c r="AC288" s="543"/>
      <c r="AD288" s="543"/>
      <c r="AE288" s="543"/>
      <c r="AF288" s="543"/>
    </row>
    <row r="289" spans="1:32">
      <c r="A289" s="533"/>
      <c r="B289" s="534"/>
      <c r="C289" s="535"/>
      <c r="D289" s="12"/>
      <c r="E289" s="13"/>
      <c r="F289" s="14"/>
      <c r="G289" s="543"/>
      <c r="H289" s="543"/>
      <c r="I289" s="543"/>
      <c r="J289" s="543"/>
      <c r="K289" s="543"/>
      <c r="L289" s="543"/>
      <c r="M289" s="543"/>
      <c r="N289" s="543"/>
      <c r="O289" s="543"/>
      <c r="P289" s="543"/>
      <c r="Q289" s="543"/>
      <c r="R289" s="543"/>
      <c r="S289" s="543"/>
      <c r="T289" s="543"/>
      <c r="U289" s="543"/>
      <c r="V289" s="543"/>
      <c r="W289" s="543"/>
      <c r="X289" s="543"/>
      <c r="Y289" s="543"/>
      <c r="Z289" s="543"/>
      <c r="AA289" s="543"/>
      <c r="AB289" s="543"/>
      <c r="AC289" s="543"/>
      <c r="AD289" s="543"/>
      <c r="AE289" s="543"/>
      <c r="AF289" s="543"/>
    </row>
    <row r="290" spans="1:32">
      <c r="A290" s="533"/>
      <c r="B290" s="534"/>
      <c r="C290" s="535"/>
      <c r="D290" s="12"/>
      <c r="E290" s="13"/>
      <c r="F290" s="14"/>
      <c r="G290" s="543"/>
      <c r="H290" s="543"/>
      <c r="I290" s="543"/>
      <c r="J290" s="543"/>
      <c r="K290" s="543"/>
      <c r="L290" s="543"/>
      <c r="M290" s="543"/>
      <c r="N290" s="543"/>
      <c r="O290" s="543"/>
      <c r="P290" s="543"/>
      <c r="Q290" s="543"/>
      <c r="R290" s="543"/>
      <c r="S290" s="543"/>
      <c r="T290" s="543"/>
      <c r="U290" s="543"/>
      <c r="V290" s="543"/>
      <c r="W290" s="543"/>
      <c r="X290" s="543"/>
      <c r="Y290" s="543"/>
      <c r="Z290" s="543"/>
      <c r="AA290" s="543"/>
      <c r="AB290" s="543"/>
      <c r="AC290" s="543"/>
      <c r="AD290" s="543"/>
      <c r="AE290" s="543"/>
      <c r="AF290" s="543"/>
    </row>
    <row r="291" spans="1:32">
      <c r="A291" s="533"/>
      <c r="B291" s="534"/>
      <c r="C291" s="535"/>
      <c r="D291" s="12"/>
      <c r="E291" s="13"/>
      <c r="F291" s="14"/>
      <c r="G291" s="543"/>
      <c r="H291" s="543"/>
      <c r="I291" s="543"/>
      <c r="J291" s="543"/>
      <c r="K291" s="543"/>
      <c r="L291" s="543"/>
      <c r="M291" s="543"/>
      <c r="N291" s="543"/>
      <c r="O291" s="543"/>
      <c r="P291" s="543"/>
      <c r="Q291" s="543"/>
      <c r="R291" s="543"/>
      <c r="S291" s="543"/>
      <c r="T291" s="543"/>
      <c r="U291" s="543"/>
      <c r="V291" s="543"/>
      <c r="W291" s="543"/>
      <c r="X291" s="543"/>
      <c r="Y291" s="543"/>
      <c r="Z291" s="543"/>
      <c r="AA291" s="543"/>
      <c r="AB291" s="543"/>
      <c r="AC291" s="543"/>
      <c r="AD291" s="543"/>
      <c r="AE291" s="543"/>
      <c r="AF291" s="543"/>
    </row>
    <row r="292" spans="1:32">
      <c r="A292" s="533"/>
      <c r="B292" s="534"/>
      <c r="C292" s="535"/>
      <c r="D292" s="12"/>
      <c r="E292" s="13"/>
      <c r="F292" s="14"/>
      <c r="G292" s="543"/>
      <c r="H292" s="543"/>
      <c r="I292" s="543"/>
      <c r="J292" s="543"/>
      <c r="K292" s="543"/>
      <c r="L292" s="543"/>
      <c r="M292" s="543"/>
      <c r="N292" s="543"/>
      <c r="O292" s="543"/>
      <c r="P292" s="543"/>
      <c r="Q292" s="543"/>
      <c r="R292" s="543"/>
      <c r="S292" s="543"/>
      <c r="T292" s="543"/>
      <c r="U292" s="543"/>
      <c r="V292" s="543"/>
      <c r="W292" s="543"/>
      <c r="X292" s="543"/>
      <c r="Y292" s="543"/>
      <c r="Z292" s="543"/>
      <c r="AA292" s="543"/>
      <c r="AB292" s="543"/>
      <c r="AC292" s="543"/>
      <c r="AD292" s="543"/>
      <c r="AE292" s="543"/>
      <c r="AF292" s="543"/>
    </row>
    <row r="293" spans="1:32">
      <c r="A293" s="533"/>
      <c r="B293" s="534"/>
      <c r="C293" s="535"/>
      <c r="D293" s="12"/>
      <c r="E293" s="13"/>
      <c r="F293" s="14"/>
      <c r="G293" s="543"/>
      <c r="H293" s="543"/>
      <c r="I293" s="543"/>
      <c r="J293" s="543"/>
      <c r="K293" s="543"/>
      <c r="L293" s="543"/>
      <c r="M293" s="543"/>
      <c r="N293" s="543"/>
      <c r="O293" s="543"/>
      <c r="P293" s="543"/>
      <c r="Q293" s="543"/>
      <c r="R293" s="543"/>
      <c r="S293" s="543"/>
      <c r="T293" s="543"/>
      <c r="U293" s="543"/>
      <c r="V293" s="543"/>
      <c r="W293" s="543"/>
      <c r="X293" s="543"/>
      <c r="Y293" s="543"/>
      <c r="Z293" s="543"/>
      <c r="AA293" s="543"/>
      <c r="AB293" s="543"/>
      <c r="AC293" s="543"/>
      <c r="AD293" s="543"/>
      <c r="AE293" s="543"/>
      <c r="AF293" s="543"/>
    </row>
    <row r="294" spans="1:32">
      <c r="A294" s="533"/>
      <c r="B294" s="534"/>
      <c r="C294" s="535"/>
      <c r="D294" s="12"/>
      <c r="E294" s="13"/>
      <c r="F294" s="14"/>
      <c r="G294" s="543"/>
      <c r="H294" s="543"/>
      <c r="I294" s="543"/>
      <c r="J294" s="543"/>
      <c r="K294" s="543"/>
      <c r="L294" s="543"/>
      <c r="M294" s="543"/>
      <c r="N294" s="543"/>
      <c r="O294" s="543"/>
      <c r="P294" s="543"/>
      <c r="Q294" s="543"/>
      <c r="R294" s="543"/>
      <c r="S294" s="543"/>
      <c r="T294" s="543"/>
      <c r="U294" s="543"/>
      <c r="V294" s="543"/>
      <c r="W294" s="543"/>
      <c r="X294" s="543"/>
      <c r="Y294" s="543"/>
      <c r="Z294" s="543"/>
      <c r="AA294" s="543"/>
      <c r="AB294" s="543"/>
      <c r="AC294" s="543"/>
      <c r="AD294" s="543"/>
      <c r="AE294" s="543"/>
      <c r="AF294" s="543"/>
    </row>
    <row r="295" spans="1:32">
      <c r="A295" s="533"/>
      <c r="B295" s="534"/>
      <c r="C295" s="535"/>
      <c r="D295" s="12"/>
      <c r="E295" s="13"/>
      <c r="F295" s="14"/>
      <c r="G295" s="543"/>
      <c r="H295" s="543"/>
      <c r="I295" s="543"/>
      <c r="J295" s="543"/>
      <c r="K295" s="543"/>
      <c r="L295" s="543"/>
      <c r="M295" s="543"/>
      <c r="N295" s="543"/>
      <c r="O295" s="543"/>
      <c r="P295" s="543"/>
      <c r="Q295" s="543"/>
      <c r="R295" s="543"/>
      <c r="S295" s="543"/>
      <c r="T295" s="543"/>
      <c r="U295" s="543"/>
      <c r="V295" s="543"/>
      <c r="W295" s="543"/>
      <c r="X295" s="543"/>
      <c r="Y295" s="543"/>
      <c r="Z295" s="543"/>
      <c r="AA295" s="543"/>
      <c r="AB295" s="543"/>
      <c r="AC295" s="543"/>
      <c r="AD295" s="543"/>
      <c r="AE295" s="543"/>
      <c r="AF295" s="543"/>
    </row>
    <row r="296" spans="1:32">
      <c r="A296" s="533"/>
      <c r="B296" s="534"/>
      <c r="C296" s="535"/>
      <c r="D296" s="12"/>
      <c r="E296" s="13"/>
      <c r="F296" s="14"/>
      <c r="G296" s="543"/>
      <c r="H296" s="543"/>
      <c r="I296" s="543"/>
      <c r="J296" s="543"/>
      <c r="K296" s="543"/>
      <c r="L296" s="543"/>
      <c r="M296" s="543"/>
      <c r="N296" s="543"/>
      <c r="O296" s="543"/>
      <c r="P296" s="543"/>
      <c r="Q296" s="543"/>
      <c r="R296" s="543"/>
      <c r="S296" s="543"/>
      <c r="T296" s="543"/>
      <c r="U296" s="543"/>
      <c r="V296" s="543"/>
      <c r="W296" s="543"/>
      <c r="X296" s="543"/>
      <c r="Y296" s="543"/>
      <c r="Z296" s="543"/>
      <c r="AA296" s="543"/>
      <c r="AB296" s="543"/>
      <c r="AC296" s="543"/>
      <c r="AD296" s="543"/>
      <c r="AE296" s="543"/>
      <c r="AF296" s="543"/>
    </row>
    <row r="297" spans="1:32">
      <c r="A297" s="533"/>
      <c r="B297" s="534"/>
      <c r="C297" s="535"/>
      <c r="D297" s="12"/>
      <c r="E297" s="13"/>
      <c r="F297" s="14"/>
      <c r="G297" s="543"/>
      <c r="H297" s="543"/>
      <c r="I297" s="543"/>
      <c r="J297" s="543"/>
      <c r="K297" s="543"/>
      <c r="L297" s="543"/>
      <c r="M297" s="543"/>
      <c r="N297" s="543"/>
      <c r="O297" s="543"/>
      <c r="P297" s="543"/>
      <c r="Q297" s="543"/>
      <c r="R297" s="543"/>
      <c r="S297" s="543"/>
      <c r="T297" s="543"/>
      <c r="U297" s="543"/>
      <c r="V297" s="543"/>
      <c r="W297" s="543"/>
      <c r="X297" s="543"/>
      <c r="Y297" s="543"/>
      <c r="Z297" s="543"/>
      <c r="AA297" s="543"/>
      <c r="AB297" s="543"/>
      <c r="AC297" s="543"/>
      <c r="AD297" s="543"/>
      <c r="AE297" s="543"/>
      <c r="AF297" s="543"/>
    </row>
    <row r="298" spans="1:32">
      <c r="A298" s="533"/>
      <c r="B298" s="534"/>
      <c r="C298" s="535"/>
      <c r="D298" s="12"/>
      <c r="E298" s="13"/>
      <c r="F298" s="14"/>
      <c r="G298" s="543"/>
      <c r="H298" s="543"/>
      <c r="I298" s="543"/>
      <c r="J298" s="543"/>
      <c r="K298" s="543"/>
      <c r="L298" s="543"/>
      <c r="M298" s="543"/>
      <c r="N298" s="543"/>
      <c r="O298" s="543"/>
      <c r="P298" s="543"/>
      <c r="Q298" s="543"/>
      <c r="R298" s="543"/>
      <c r="S298" s="543"/>
      <c r="T298" s="543"/>
      <c r="U298" s="543"/>
      <c r="V298" s="543"/>
      <c r="W298" s="543"/>
      <c r="X298" s="543"/>
      <c r="Y298" s="543"/>
      <c r="Z298" s="543"/>
      <c r="AA298" s="543"/>
      <c r="AB298" s="543"/>
      <c r="AC298" s="543"/>
      <c r="AD298" s="543"/>
      <c r="AE298" s="543"/>
      <c r="AF298" s="543"/>
    </row>
    <row r="299" spans="1:32">
      <c r="A299" s="533"/>
      <c r="B299" s="534"/>
      <c r="C299" s="535"/>
      <c r="D299" s="12"/>
      <c r="E299" s="13"/>
      <c r="F299" s="14"/>
      <c r="G299" s="543"/>
      <c r="H299" s="543"/>
      <c r="I299" s="543"/>
      <c r="J299" s="543"/>
      <c r="K299" s="543"/>
      <c r="L299" s="543"/>
      <c r="M299" s="543"/>
      <c r="N299" s="543"/>
      <c r="O299" s="543"/>
      <c r="P299" s="543"/>
      <c r="Q299" s="543"/>
      <c r="R299" s="543"/>
      <c r="S299" s="543"/>
      <c r="T299" s="543"/>
      <c r="U299" s="543"/>
      <c r="V299" s="543"/>
      <c r="W299" s="543"/>
      <c r="X299" s="543"/>
      <c r="Y299" s="543"/>
      <c r="Z299" s="543"/>
      <c r="AA299" s="543"/>
      <c r="AB299" s="543"/>
      <c r="AC299" s="543"/>
      <c r="AD299" s="543"/>
      <c r="AE299" s="543"/>
      <c r="AF299" s="543"/>
    </row>
    <row r="300" spans="1:32">
      <c r="A300" s="533"/>
      <c r="B300" s="534"/>
      <c r="C300" s="535"/>
      <c r="D300" s="12"/>
      <c r="E300" s="13"/>
      <c r="F300" s="14"/>
      <c r="G300" s="543"/>
      <c r="H300" s="543"/>
      <c r="I300" s="543"/>
      <c r="J300" s="543"/>
      <c r="K300" s="543"/>
      <c r="L300" s="543"/>
      <c r="M300" s="543"/>
      <c r="N300" s="543"/>
      <c r="O300" s="543"/>
      <c r="P300" s="543"/>
      <c r="Q300" s="543"/>
      <c r="R300" s="543"/>
      <c r="S300" s="543"/>
      <c r="T300" s="543"/>
      <c r="U300" s="543"/>
      <c r="V300" s="543"/>
      <c r="W300" s="543"/>
      <c r="X300" s="543"/>
      <c r="Y300" s="543"/>
      <c r="Z300" s="543"/>
      <c r="AA300" s="543"/>
      <c r="AB300" s="543"/>
      <c r="AC300" s="543"/>
      <c r="AD300" s="543"/>
      <c r="AE300" s="543"/>
      <c r="AF300" s="543"/>
    </row>
    <row r="301" spans="1:32">
      <c r="A301" s="533"/>
      <c r="B301" s="534"/>
      <c r="C301" s="535"/>
      <c r="D301" s="12"/>
      <c r="E301" s="13"/>
      <c r="F301" s="14"/>
      <c r="G301" s="543"/>
      <c r="H301" s="543"/>
      <c r="I301" s="543"/>
      <c r="J301" s="543"/>
      <c r="K301" s="543"/>
      <c r="L301" s="543"/>
      <c r="M301" s="543"/>
      <c r="N301" s="543"/>
      <c r="O301" s="543"/>
      <c r="P301" s="543"/>
      <c r="Q301" s="543"/>
      <c r="R301" s="543"/>
      <c r="S301" s="543"/>
      <c r="T301" s="543"/>
      <c r="U301" s="543"/>
      <c r="V301" s="543"/>
      <c r="W301" s="543"/>
      <c r="X301" s="543"/>
      <c r="Y301" s="543"/>
      <c r="Z301" s="543"/>
      <c r="AA301" s="543"/>
      <c r="AB301" s="543"/>
      <c r="AC301" s="543"/>
      <c r="AD301" s="543"/>
      <c r="AE301" s="543"/>
      <c r="AF301" s="543"/>
    </row>
    <row r="302" spans="1:32">
      <c r="A302" s="533"/>
      <c r="B302" s="534"/>
      <c r="C302" s="535"/>
      <c r="D302" s="12"/>
      <c r="E302" s="13"/>
      <c r="F302" s="14"/>
      <c r="G302" s="543"/>
      <c r="H302" s="543"/>
      <c r="I302" s="543"/>
      <c r="J302" s="543"/>
      <c r="K302" s="543"/>
      <c r="L302" s="543"/>
      <c r="M302" s="543"/>
      <c r="N302" s="543"/>
      <c r="O302" s="543"/>
      <c r="P302" s="543"/>
      <c r="Q302" s="543"/>
      <c r="R302" s="543"/>
      <c r="S302" s="543"/>
      <c r="T302" s="543"/>
      <c r="U302" s="543"/>
      <c r="V302" s="543"/>
      <c r="W302" s="543"/>
      <c r="X302" s="543"/>
      <c r="Y302" s="543"/>
      <c r="Z302" s="543"/>
      <c r="AA302" s="543"/>
      <c r="AB302" s="543"/>
      <c r="AC302" s="543"/>
      <c r="AD302" s="543"/>
      <c r="AE302" s="543"/>
      <c r="AF302" s="543"/>
    </row>
    <row r="303" spans="1:32">
      <c r="A303" s="533"/>
      <c r="B303" s="534"/>
      <c r="C303" s="535"/>
      <c r="D303" s="12"/>
      <c r="E303" s="13"/>
      <c r="F303" s="14"/>
      <c r="G303" s="543"/>
      <c r="H303" s="543"/>
      <c r="I303" s="543"/>
      <c r="J303" s="543"/>
      <c r="K303" s="543"/>
      <c r="L303" s="543"/>
      <c r="M303" s="543"/>
      <c r="N303" s="543"/>
      <c r="O303" s="543"/>
      <c r="P303" s="543"/>
      <c r="Q303" s="543"/>
      <c r="R303" s="543"/>
      <c r="S303" s="543"/>
      <c r="T303" s="543"/>
      <c r="U303" s="543"/>
      <c r="V303" s="543"/>
      <c r="W303" s="543"/>
      <c r="X303" s="543"/>
      <c r="Y303" s="543"/>
      <c r="Z303" s="543"/>
      <c r="AA303" s="543"/>
      <c r="AB303" s="543"/>
      <c r="AC303" s="543"/>
      <c r="AD303" s="543"/>
      <c r="AE303" s="543"/>
      <c r="AF303" s="543"/>
    </row>
    <row r="304" spans="1:32">
      <c r="A304" s="533"/>
      <c r="B304" s="534"/>
      <c r="C304" s="535"/>
      <c r="D304" s="12"/>
      <c r="E304" s="13"/>
      <c r="F304" s="14"/>
      <c r="G304" s="543"/>
      <c r="H304" s="543"/>
      <c r="I304" s="543"/>
      <c r="J304" s="543"/>
      <c r="K304" s="543"/>
      <c r="L304" s="543"/>
      <c r="M304" s="543"/>
      <c r="N304" s="543"/>
      <c r="O304" s="543"/>
      <c r="P304" s="543"/>
      <c r="Q304" s="543"/>
      <c r="R304" s="543"/>
      <c r="S304" s="543"/>
      <c r="T304" s="543"/>
      <c r="U304" s="543"/>
      <c r="V304" s="543"/>
      <c r="W304" s="543"/>
      <c r="X304" s="543"/>
      <c r="Y304" s="543"/>
      <c r="Z304" s="543"/>
      <c r="AA304" s="543"/>
      <c r="AB304" s="543"/>
      <c r="AC304" s="543"/>
      <c r="AD304" s="543"/>
      <c r="AE304" s="543"/>
      <c r="AF304" s="543"/>
    </row>
    <row r="305" spans="1:32">
      <c r="A305" s="533"/>
      <c r="B305" s="534"/>
      <c r="C305" s="535"/>
      <c r="D305" s="12"/>
      <c r="E305" s="13"/>
      <c r="F305" s="14"/>
      <c r="G305" s="543"/>
      <c r="H305" s="543"/>
      <c r="I305" s="543"/>
      <c r="J305" s="543"/>
      <c r="K305" s="543"/>
      <c r="L305" s="543"/>
      <c r="M305" s="543"/>
      <c r="N305" s="543"/>
      <c r="O305" s="543"/>
      <c r="P305" s="543"/>
      <c r="Q305" s="543"/>
      <c r="R305" s="543"/>
      <c r="S305" s="543"/>
      <c r="T305" s="543"/>
      <c r="U305" s="543"/>
      <c r="V305" s="543"/>
      <c r="W305" s="543"/>
      <c r="X305" s="543"/>
      <c r="Y305" s="543"/>
      <c r="Z305" s="543"/>
      <c r="AA305" s="543"/>
      <c r="AB305" s="543"/>
      <c r="AC305" s="543"/>
      <c r="AD305" s="543"/>
      <c r="AE305" s="543"/>
      <c r="AF305" s="543"/>
    </row>
    <row r="306" spans="1:32">
      <c r="A306" s="533"/>
      <c r="B306" s="534"/>
      <c r="C306" s="535"/>
      <c r="D306" s="12"/>
      <c r="E306" s="13"/>
      <c r="F306" s="14"/>
      <c r="G306" s="543"/>
      <c r="H306" s="543"/>
      <c r="I306" s="543"/>
      <c r="J306" s="543"/>
      <c r="K306" s="543"/>
      <c r="L306" s="543"/>
      <c r="M306" s="543"/>
      <c r="N306" s="543"/>
      <c r="O306" s="543"/>
      <c r="P306" s="543"/>
      <c r="Q306" s="543"/>
      <c r="R306" s="543"/>
      <c r="S306" s="543"/>
      <c r="T306" s="543"/>
      <c r="U306" s="543"/>
      <c r="V306" s="543"/>
      <c r="W306" s="543"/>
      <c r="X306" s="543"/>
      <c r="Y306" s="543"/>
      <c r="Z306" s="543"/>
      <c r="AA306" s="543"/>
      <c r="AB306" s="543"/>
      <c r="AC306" s="543"/>
      <c r="AD306" s="543"/>
      <c r="AE306" s="543"/>
      <c r="AF306" s="543"/>
    </row>
    <row r="307" spans="1:32">
      <c r="A307" s="533"/>
      <c r="B307" s="534"/>
      <c r="C307" s="535"/>
      <c r="D307" s="12"/>
      <c r="E307" s="13"/>
      <c r="F307" s="14"/>
      <c r="G307" s="543"/>
      <c r="H307" s="543"/>
      <c r="I307" s="543"/>
      <c r="J307" s="543"/>
      <c r="K307" s="543"/>
      <c r="L307" s="543"/>
      <c r="M307" s="543"/>
      <c r="N307" s="543"/>
      <c r="O307" s="543"/>
      <c r="P307" s="543"/>
      <c r="Q307" s="543"/>
      <c r="R307" s="543"/>
      <c r="S307" s="543"/>
      <c r="T307" s="543"/>
      <c r="U307" s="543"/>
      <c r="V307" s="543"/>
      <c r="W307" s="543"/>
      <c r="X307" s="543"/>
      <c r="Y307" s="543"/>
      <c r="Z307" s="543"/>
      <c r="AA307" s="543"/>
      <c r="AB307" s="543"/>
      <c r="AC307" s="543"/>
      <c r="AD307" s="543"/>
      <c r="AE307" s="543"/>
      <c r="AF307" s="543"/>
    </row>
    <row r="308" spans="1:32">
      <c r="A308" s="533"/>
      <c r="B308" s="534"/>
      <c r="C308" s="535"/>
      <c r="D308" s="12"/>
      <c r="E308" s="13"/>
      <c r="F308" s="14"/>
      <c r="G308" s="543"/>
      <c r="H308" s="543"/>
      <c r="I308" s="543"/>
      <c r="J308" s="543"/>
      <c r="K308" s="543"/>
      <c r="L308" s="543"/>
      <c r="M308" s="543"/>
      <c r="N308" s="543"/>
      <c r="O308" s="543"/>
      <c r="P308" s="543"/>
      <c r="Q308" s="543"/>
      <c r="R308" s="543"/>
      <c r="S308" s="543"/>
      <c r="T308" s="543"/>
      <c r="U308" s="543"/>
      <c r="V308" s="543"/>
      <c r="W308" s="543"/>
      <c r="X308" s="543"/>
      <c r="Y308" s="543"/>
      <c r="Z308" s="543"/>
      <c r="AA308" s="543"/>
      <c r="AB308" s="543"/>
      <c r="AC308" s="543"/>
      <c r="AD308" s="543"/>
      <c r="AE308" s="543"/>
      <c r="AF308" s="543"/>
    </row>
    <row r="309" spans="1:32">
      <c r="A309" s="533"/>
      <c r="B309" s="534"/>
      <c r="C309" s="535"/>
      <c r="D309" s="12"/>
      <c r="E309" s="13"/>
      <c r="F309" s="14"/>
      <c r="G309" s="543"/>
      <c r="H309" s="543"/>
      <c r="I309" s="543"/>
      <c r="J309" s="543"/>
      <c r="K309" s="543"/>
      <c r="L309" s="543"/>
      <c r="M309" s="543"/>
      <c r="N309" s="543"/>
      <c r="O309" s="543"/>
      <c r="P309" s="543"/>
      <c r="Q309" s="543"/>
      <c r="R309" s="543"/>
      <c r="S309" s="543"/>
      <c r="T309" s="543"/>
      <c r="U309" s="543"/>
      <c r="V309" s="543"/>
      <c r="W309" s="543"/>
      <c r="X309" s="543"/>
      <c r="Y309" s="543"/>
      <c r="Z309" s="543"/>
      <c r="AA309" s="543"/>
      <c r="AB309" s="543"/>
      <c r="AC309" s="543"/>
      <c r="AD309" s="543"/>
      <c r="AE309" s="543"/>
      <c r="AF309" s="543"/>
    </row>
    <row r="310" spans="1:32">
      <c r="A310" s="533"/>
      <c r="B310" s="534"/>
      <c r="C310" s="535"/>
      <c r="D310" s="12"/>
      <c r="E310" s="13"/>
      <c r="F310" s="14"/>
      <c r="G310" s="543"/>
      <c r="H310" s="543"/>
      <c r="I310" s="543"/>
      <c r="J310" s="543"/>
      <c r="K310" s="543"/>
      <c r="L310" s="543"/>
      <c r="M310" s="543"/>
      <c r="N310" s="543"/>
      <c r="O310" s="543"/>
      <c r="P310" s="543"/>
      <c r="Q310" s="543"/>
      <c r="R310" s="543"/>
      <c r="S310" s="543"/>
      <c r="T310" s="543"/>
      <c r="U310" s="543"/>
      <c r="V310" s="543"/>
      <c r="W310" s="543"/>
      <c r="X310" s="543"/>
      <c r="Y310" s="543"/>
      <c r="Z310" s="543"/>
      <c r="AA310" s="543"/>
      <c r="AB310" s="543"/>
      <c r="AC310" s="543"/>
      <c r="AD310" s="543"/>
      <c r="AE310" s="543"/>
      <c r="AF310" s="543"/>
    </row>
    <row r="311" spans="1:32">
      <c r="A311" s="533"/>
      <c r="B311" s="534"/>
      <c r="C311" s="535"/>
      <c r="D311" s="12"/>
      <c r="E311" s="13"/>
      <c r="F311" s="14"/>
      <c r="G311" s="543"/>
      <c r="H311" s="543"/>
      <c r="I311" s="543"/>
      <c r="J311" s="543"/>
      <c r="K311" s="543"/>
      <c r="L311" s="543"/>
      <c r="M311" s="543"/>
      <c r="N311" s="543"/>
      <c r="O311" s="543"/>
      <c r="P311" s="543"/>
      <c r="Q311" s="543"/>
      <c r="R311" s="543"/>
      <c r="S311" s="543"/>
      <c r="T311" s="543"/>
      <c r="U311" s="543"/>
      <c r="V311" s="543"/>
      <c r="W311" s="543"/>
      <c r="X311" s="543"/>
      <c r="Y311" s="543"/>
      <c r="Z311" s="543"/>
      <c r="AA311" s="543"/>
      <c r="AB311" s="543"/>
      <c r="AC311" s="543"/>
      <c r="AD311" s="543"/>
      <c r="AE311" s="543"/>
      <c r="AF311" s="543"/>
    </row>
    <row r="312" spans="1:32">
      <c r="A312" s="533"/>
      <c r="B312" s="534"/>
      <c r="C312" s="535"/>
      <c r="D312" s="12"/>
      <c r="E312" s="13"/>
      <c r="F312" s="14"/>
      <c r="G312" s="543"/>
      <c r="H312" s="543"/>
      <c r="I312" s="543"/>
      <c r="J312" s="543"/>
      <c r="K312" s="543"/>
      <c r="L312" s="543"/>
      <c r="M312" s="543"/>
      <c r="N312" s="543"/>
      <c r="O312" s="543"/>
      <c r="P312" s="543"/>
      <c r="Q312" s="543"/>
      <c r="R312" s="543"/>
      <c r="S312" s="543"/>
      <c r="T312" s="543"/>
      <c r="U312" s="543"/>
      <c r="V312" s="543"/>
      <c r="W312" s="543"/>
      <c r="X312" s="543"/>
      <c r="Y312" s="543"/>
      <c r="Z312" s="543"/>
      <c r="AA312" s="543"/>
      <c r="AB312" s="543"/>
      <c r="AC312" s="543"/>
      <c r="AD312" s="543"/>
      <c r="AE312" s="543"/>
      <c r="AF312" s="543"/>
    </row>
    <row r="313" spans="1:32">
      <c r="A313" s="533"/>
      <c r="B313" s="534"/>
      <c r="C313" s="535"/>
      <c r="D313" s="12"/>
      <c r="E313" s="13"/>
      <c r="F313" s="14"/>
      <c r="G313" s="543"/>
      <c r="H313" s="543"/>
      <c r="I313" s="543"/>
      <c r="J313" s="543"/>
      <c r="K313" s="543"/>
      <c r="L313" s="543"/>
      <c r="M313" s="543"/>
      <c r="N313" s="543"/>
      <c r="O313" s="543"/>
      <c r="P313" s="543"/>
      <c r="Q313" s="543"/>
      <c r="R313" s="543"/>
      <c r="S313" s="543"/>
      <c r="T313" s="543"/>
      <c r="U313" s="543"/>
      <c r="V313" s="543"/>
      <c r="W313" s="543"/>
      <c r="X313" s="543"/>
      <c r="Y313" s="543"/>
      <c r="Z313" s="543"/>
      <c r="AA313" s="543"/>
      <c r="AB313" s="543"/>
      <c r="AC313" s="543"/>
      <c r="AD313" s="543"/>
      <c r="AE313" s="543"/>
      <c r="AF313" s="543"/>
    </row>
    <row r="314" spans="1:32">
      <c r="A314" s="533"/>
      <c r="B314" s="534"/>
      <c r="C314" s="535"/>
      <c r="D314" s="12"/>
      <c r="E314" s="13"/>
      <c r="F314" s="14"/>
      <c r="G314" s="543"/>
      <c r="H314" s="543"/>
      <c r="I314" s="543"/>
      <c r="J314" s="543"/>
      <c r="K314" s="543"/>
      <c r="L314" s="543"/>
      <c r="M314" s="543"/>
      <c r="N314" s="543"/>
      <c r="O314" s="543"/>
      <c r="P314" s="543"/>
      <c r="Q314" s="543"/>
      <c r="R314" s="543"/>
      <c r="S314" s="543"/>
      <c r="T314" s="543"/>
      <c r="U314" s="543"/>
      <c r="V314" s="543"/>
      <c r="W314" s="543"/>
      <c r="X314" s="543"/>
      <c r="Y314" s="543"/>
      <c r="Z314" s="543"/>
      <c r="AA314" s="543"/>
      <c r="AB314" s="543"/>
      <c r="AC314" s="543"/>
      <c r="AD314" s="543"/>
      <c r="AE314" s="543"/>
      <c r="AF314" s="543"/>
    </row>
    <row r="315" spans="1:32">
      <c r="A315" s="533"/>
      <c r="B315" s="534"/>
      <c r="C315" s="535"/>
      <c r="D315" s="12"/>
      <c r="E315" s="13"/>
      <c r="F315" s="14"/>
      <c r="G315" s="543"/>
      <c r="H315" s="543"/>
      <c r="I315" s="543"/>
      <c r="J315" s="543"/>
      <c r="K315" s="543"/>
      <c r="L315" s="543"/>
      <c r="M315" s="543"/>
      <c r="N315" s="543"/>
      <c r="O315" s="543"/>
      <c r="P315" s="543"/>
      <c r="Q315" s="543"/>
      <c r="R315" s="543"/>
      <c r="S315" s="543"/>
      <c r="T315" s="543"/>
      <c r="U315" s="543"/>
      <c r="V315" s="543"/>
      <c r="W315" s="543"/>
      <c r="X315" s="543"/>
      <c r="Y315" s="543"/>
      <c r="Z315" s="543"/>
      <c r="AA315" s="543"/>
      <c r="AB315" s="543"/>
      <c r="AC315" s="543"/>
      <c r="AD315" s="543"/>
      <c r="AE315" s="543"/>
      <c r="AF315" s="543"/>
    </row>
    <row r="316" spans="1:32">
      <c r="A316" s="533"/>
      <c r="B316" s="534"/>
      <c r="C316" s="535"/>
      <c r="D316" s="12"/>
      <c r="E316" s="13"/>
      <c r="F316" s="14"/>
      <c r="G316" s="543"/>
      <c r="H316" s="543"/>
      <c r="I316" s="543"/>
      <c r="J316" s="543"/>
      <c r="K316" s="543"/>
      <c r="L316" s="543"/>
      <c r="M316" s="543"/>
      <c r="N316" s="543"/>
      <c r="O316" s="543"/>
      <c r="P316" s="543"/>
      <c r="Q316" s="543"/>
      <c r="R316" s="543"/>
      <c r="S316" s="543"/>
      <c r="T316" s="543"/>
      <c r="U316" s="543"/>
      <c r="V316" s="543"/>
      <c r="W316" s="543"/>
      <c r="X316" s="543"/>
      <c r="Y316" s="543"/>
      <c r="Z316" s="543"/>
      <c r="AA316" s="543"/>
      <c r="AB316" s="543"/>
      <c r="AC316" s="543"/>
      <c r="AD316" s="543"/>
      <c r="AE316" s="543"/>
      <c r="AF316" s="543"/>
    </row>
    <row r="317" spans="1:32">
      <c r="A317" s="533"/>
      <c r="B317" s="534"/>
      <c r="C317" s="535"/>
      <c r="D317" s="12"/>
      <c r="E317" s="13"/>
      <c r="F317" s="14"/>
      <c r="G317" s="543"/>
      <c r="H317" s="543"/>
      <c r="I317" s="543"/>
      <c r="J317" s="543"/>
      <c r="K317" s="543"/>
      <c r="L317" s="543"/>
      <c r="M317" s="543"/>
      <c r="N317" s="543"/>
      <c r="O317" s="543"/>
      <c r="P317" s="543"/>
      <c r="Q317" s="543"/>
      <c r="R317" s="543"/>
      <c r="S317" s="543"/>
      <c r="T317" s="543"/>
      <c r="U317" s="543"/>
      <c r="V317" s="543"/>
      <c r="W317" s="543"/>
      <c r="X317" s="543"/>
      <c r="Y317" s="543"/>
      <c r="Z317" s="543"/>
      <c r="AA317" s="543"/>
      <c r="AB317" s="543"/>
      <c r="AC317" s="543"/>
      <c r="AD317" s="543"/>
      <c r="AE317" s="543"/>
      <c r="AF317" s="543"/>
    </row>
    <row r="318" spans="1:32">
      <c r="A318" s="533"/>
      <c r="B318" s="534"/>
      <c r="C318" s="535"/>
      <c r="D318" s="12"/>
      <c r="E318" s="13"/>
      <c r="F318" s="14"/>
      <c r="G318" s="543"/>
      <c r="H318" s="543"/>
      <c r="I318" s="543"/>
      <c r="J318" s="543"/>
      <c r="K318" s="543"/>
      <c r="L318" s="543"/>
      <c r="M318" s="543"/>
      <c r="N318" s="543"/>
      <c r="O318" s="543"/>
      <c r="P318" s="543"/>
      <c r="Q318" s="543"/>
      <c r="R318" s="543"/>
      <c r="S318" s="543"/>
      <c r="T318" s="543"/>
      <c r="U318" s="543"/>
      <c r="V318" s="543"/>
      <c r="W318" s="543"/>
      <c r="X318" s="543"/>
      <c r="Y318" s="543"/>
      <c r="Z318" s="543"/>
      <c r="AA318" s="543"/>
      <c r="AB318" s="543"/>
      <c r="AC318" s="543"/>
      <c r="AD318" s="543"/>
      <c r="AE318" s="543"/>
      <c r="AF318" s="543"/>
    </row>
    <row r="319" spans="1:32">
      <c r="A319" s="533"/>
      <c r="B319" s="534"/>
      <c r="C319" s="535"/>
      <c r="D319" s="12"/>
      <c r="E319" s="13"/>
      <c r="F319" s="14"/>
      <c r="G319" s="543"/>
      <c r="H319" s="543"/>
      <c r="I319" s="543"/>
      <c r="J319" s="543"/>
      <c r="K319" s="543"/>
      <c r="L319" s="543"/>
      <c r="M319" s="543"/>
      <c r="N319" s="543"/>
      <c r="O319" s="543"/>
      <c r="P319" s="543"/>
      <c r="Q319" s="543"/>
      <c r="R319" s="543"/>
      <c r="S319" s="543"/>
      <c r="T319" s="543"/>
      <c r="U319" s="543"/>
      <c r="V319" s="543"/>
      <c r="W319" s="543"/>
      <c r="X319" s="543"/>
      <c r="Y319" s="543"/>
      <c r="Z319" s="543"/>
      <c r="AA319" s="543"/>
      <c r="AB319" s="543"/>
      <c r="AC319" s="543"/>
      <c r="AD319" s="543"/>
      <c r="AE319" s="543"/>
      <c r="AF319" s="543"/>
    </row>
    <row r="320" spans="1:32">
      <c r="A320" s="533"/>
      <c r="B320" s="534"/>
      <c r="C320" s="535"/>
      <c r="D320" s="12"/>
      <c r="E320" s="13"/>
      <c r="F320" s="14"/>
      <c r="G320" s="543"/>
      <c r="H320" s="543"/>
      <c r="I320" s="543"/>
      <c r="J320" s="543"/>
      <c r="K320" s="543"/>
      <c r="L320" s="543"/>
      <c r="M320" s="543"/>
      <c r="N320" s="543"/>
      <c r="O320" s="543"/>
      <c r="P320" s="543"/>
      <c r="Q320" s="543"/>
      <c r="R320" s="543"/>
      <c r="S320" s="543"/>
      <c r="T320" s="543"/>
      <c r="U320" s="543"/>
      <c r="V320" s="543"/>
      <c r="W320" s="543"/>
      <c r="X320" s="543"/>
      <c r="Y320" s="543"/>
      <c r="Z320" s="543"/>
      <c r="AA320" s="543"/>
      <c r="AB320" s="543"/>
      <c r="AC320" s="543"/>
      <c r="AD320" s="543"/>
      <c r="AE320" s="543"/>
      <c r="AF320" s="543"/>
    </row>
    <row r="321" spans="1:32">
      <c r="A321" s="533"/>
      <c r="B321" s="534"/>
      <c r="C321" s="535"/>
      <c r="D321" s="12"/>
      <c r="E321" s="13"/>
      <c r="F321" s="14"/>
      <c r="G321" s="543"/>
      <c r="H321" s="543"/>
      <c r="I321" s="543"/>
      <c r="J321" s="543"/>
      <c r="K321" s="543"/>
      <c r="L321" s="543"/>
      <c r="M321" s="543"/>
      <c r="N321" s="543"/>
      <c r="O321" s="543"/>
      <c r="P321" s="543"/>
      <c r="Q321" s="543"/>
      <c r="R321" s="543"/>
      <c r="S321" s="543"/>
      <c r="T321" s="543"/>
      <c r="U321" s="543"/>
      <c r="V321" s="543"/>
      <c r="W321" s="543"/>
      <c r="X321" s="543"/>
      <c r="Y321" s="543"/>
      <c r="Z321" s="543"/>
      <c r="AA321" s="543"/>
      <c r="AB321" s="543"/>
      <c r="AC321" s="543"/>
      <c r="AD321" s="543"/>
      <c r="AE321" s="543"/>
      <c r="AF321" s="543"/>
    </row>
    <row r="322" spans="1:32">
      <c r="A322" s="533"/>
      <c r="B322" s="534"/>
      <c r="C322" s="535"/>
      <c r="D322" s="12"/>
      <c r="E322" s="13"/>
      <c r="F322" s="14"/>
      <c r="G322" s="543"/>
      <c r="H322" s="543"/>
      <c r="I322" s="543"/>
      <c r="J322" s="543"/>
      <c r="K322" s="543"/>
      <c r="L322" s="543"/>
      <c r="M322" s="543"/>
      <c r="N322" s="543"/>
      <c r="O322" s="543"/>
      <c r="P322" s="543"/>
      <c r="Q322" s="543"/>
      <c r="R322" s="543"/>
      <c r="S322" s="543"/>
      <c r="T322" s="543"/>
      <c r="U322" s="543"/>
      <c r="V322" s="543"/>
      <c r="W322" s="543"/>
      <c r="X322" s="543"/>
      <c r="Y322" s="543"/>
      <c r="Z322" s="543"/>
      <c r="AA322" s="543"/>
      <c r="AB322" s="543"/>
      <c r="AC322" s="543"/>
      <c r="AD322" s="543"/>
      <c r="AE322" s="543"/>
      <c r="AF322" s="543"/>
    </row>
    <row r="323" spans="1:32">
      <c r="A323" s="533"/>
      <c r="B323" s="534"/>
      <c r="C323" s="535"/>
      <c r="D323" s="12"/>
      <c r="E323" s="13"/>
      <c r="F323" s="14"/>
      <c r="G323" s="543"/>
      <c r="H323" s="543"/>
      <c r="I323" s="543"/>
      <c r="J323" s="543"/>
      <c r="K323" s="543"/>
      <c r="L323" s="543"/>
      <c r="M323" s="543"/>
      <c r="N323" s="543"/>
      <c r="O323" s="543"/>
      <c r="P323" s="543"/>
      <c r="Q323" s="543"/>
      <c r="R323" s="543"/>
      <c r="S323" s="543"/>
      <c r="T323" s="543"/>
      <c r="U323" s="543"/>
      <c r="V323" s="543"/>
      <c r="W323" s="543"/>
      <c r="X323" s="543"/>
      <c r="Y323" s="543"/>
      <c r="Z323" s="543"/>
      <c r="AA323" s="543"/>
      <c r="AB323" s="543"/>
      <c r="AC323" s="543"/>
      <c r="AD323" s="543"/>
      <c r="AE323" s="543"/>
      <c r="AF323" s="543"/>
    </row>
    <row r="324" spans="1:32">
      <c r="A324" s="533"/>
      <c r="B324" s="534"/>
      <c r="C324" s="535"/>
      <c r="D324" s="12"/>
      <c r="E324" s="13"/>
      <c r="F324" s="14"/>
      <c r="G324" s="543"/>
      <c r="H324" s="543"/>
      <c r="I324" s="543"/>
      <c r="J324" s="543"/>
      <c r="K324" s="543"/>
      <c r="L324" s="543"/>
      <c r="M324" s="543"/>
      <c r="N324" s="543"/>
      <c r="O324" s="543"/>
      <c r="P324" s="543"/>
      <c r="Q324" s="543"/>
      <c r="R324" s="543"/>
      <c r="S324" s="543"/>
      <c r="T324" s="543"/>
      <c r="U324" s="543"/>
      <c r="V324" s="543"/>
      <c r="W324" s="543"/>
      <c r="X324" s="543"/>
      <c r="Y324" s="543"/>
      <c r="Z324" s="543"/>
      <c r="AA324" s="543"/>
      <c r="AB324" s="543"/>
      <c r="AC324" s="543"/>
      <c r="AD324" s="543"/>
      <c r="AE324" s="543"/>
      <c r="AF324" s="543"/>
    </row>
    <row r="325" spans="1:32">
      <c r="A325" s="533"/>
      <c r="B325" s="534"/>
      <c r="C325" s="535"/>
      <c r="D325" s="12"/>
      <c r="E325" s="13"/>
      <c r="F325" s="14"/>
      <c r="G325" s="543"/>
      <c r="H325" s="543"/>
      <c r="I325" s="543"/>
      <c r="J325" s="543"/>
      <c r="K325" s="543"/>
      <c r="L325" s="543"/>
      <c r="M325" s="543"/>
      <c r="N325" s="543"/>
      <c r="O325" s="543"/>
      <c r="P325" s="543"/>
      <c r="Q325" s="543"/>
      <c r="R325" s="543"/>
      <c r="S325" s="543"/>
      <c r="T325" s="543"/>
      <c r="U325" s="543"/>
      <c r="V325" s="543"/>
      <c r="W325" s="543"/>
      <c r="X325" s="543"/>
      <c r="Y325" s="543"/>
      <c r="Z325" s="543"/>
      <c r="AA325" s="543"/>
      <c r="AB325" s="543"/>
      <c r="AC325" s="543"/>
      <c r="AD325" s="543"/>
      <c r="AE325" s="543"/>
      <c r="AF325" s="543"/>
    </row>
    <row r="326" spans="1:32">
      <c r="A326" s="533"/>
      <c r="B326" s="534"/>
      <c r="C326" s="535"/>
      <c r="D326" s="12"/>
      <c r="E326" s="13"/>
      <c r="F326" s="14"/>
      <c r="G326" s="543"/>
      <c r="H326" s="543"/>
      <c r="I326" s="543"/>
      <c r="J326" s="543"/>
      <c r="K326" s="543"/>
      <c r="L326" s="543"/>
      <c r="M326" s="543"/>
      <c r="N326" s="543"/>
      <c r="O326" s="543"/>
      <c r="P326" s="543"/>
      <c r="Q326" s="543"/>
      <c r="R326" s="543"/>
      <c r="S326" s="543"/>
      <c r="T326" s="543"/>
      <c r="U326" s="543"/>
      <c r="V326" s="543"/>
      <c r="W326" s="543"/>
      <c r="X326" s="543"/>
      <c r="Y326" s="543"/>
      <c r="Z326" s="543"/>
      <c r="AA326" s="543"/>
      <c r="AB326" s="543"/>
      <c r="AC326" s="543"/>
      <c r="AD326" s="543"/>
      <c r="AE326" s="543"/>
      <c r="AF326" s="543"/>
    </row>
    <row r="327" spans="1:32">
      <c r="A327" s="533"/>
      <c r="B327" s="534"/>
      <c r="C327" s="535"/>
      <c r="D327" s="12"/>
      <c r="E327" s="13"/>
      <c r="F327" s="14"/>
      <c r="G327" s="543"/>
      <c r="H327" s="543"/>
      <c r="I327" s="543"/>
      <c r="J327" s="543"/>
      <c r="K327" s="543"/>
      <c r="L327" s="543"/>
      <c r="M327" s="543"/>
      <c r="N327" s="543"/>
      <c r="O327" s="543"/>
      <c r="P327" s="543"/>
      <c r="Q327" s="543"/>
      <c r="R327" s="543"/>
      <c r="S327" s="543"/>
      <c r="T327" s="543"/>
      <c r="U327" s="543"/>
      <c r="V327" s="543"/>
      <c r="W327" s="543"/>
      <c r="X327" s="543"/>
      <c r="Y327" s="543"/>
      <c r="Z327" s="543"/>
      <c r="AA327" s="543"/>
      <c r="AB327" s="543"/>
      <c r="AC327" s="543"/>
      <c r="AD327" s="543"/>
      <c r="AE327" s="543"/>
      <c r="AF327" s="543"/>
    </row>
    <row r="328" spans="1:32">
      <c r="A328" s="533"/>
      <c r="B328" s="534"/>
      <c r="C328" s="535"/>
      <c r="D328" s="12"/>
      <c r="E328" s="13"/>
      <c r="F328" s="14"/>
      <c r="G328" s="543"/>
      <c r="H328" s="543"/>
      <c r="I328" s="543"/>
      <c r="J328" s="543"/>
      <c r="K328" s="543"/>
      <c r="L328" s="543"/>
      <c r="M328" s="543"/>
      <c r="N328" s="543"/>
      <c r="O328" s="543"/>
      <c r="P328" s="543"/>
      <c r="Q328" s="543"/>
      <c r="R328" s="543"/>
      <c r="S328" s="543"/>
      <c r="T328" s="543"/>
      <c r="U328" s="543"/>
      <c r="V328" s="543"/>
      <c r="W328" s="543"/>
      <c r="X328" s="543"/>
      <c r="Y328" s="543"/>
      <c r="Z328" s="543"/>
      <c r="AA328" s="543"/>
      <c r="AB328" s="543"/>
      <c r="AC328" s="543"/>
      <c r="AD328" s="543"/>
      <c r="AE328" s="543"/>
      <c r="AF328" s="543"/>
    </row>
    <row r="329" spans="1:32">
      <c r="A329" s="533"/>
      <c r="B329" s="534"/>
      <c r="C329" s="535"/>
      <c r="D329" s="12"/>
      <c r="E329" s="13"/>
      <c r="F329" s="14"/>
      <c r="G329" s="543"/>
      <c r="H329" s="543"/>
      <c r="I329" s="543"/>
      <c r="J329" s="543"/>
      <c r="K329" s="543"/>
      <c r="L329" s="543"/>
      <c r="M329" s="543"/>
      <c r="N329" s="543"/>
      <c r="O329" s="543"/>
      <c r="P329" s="543"/>
      <c r="Q329" s="543"/>
      <c r="R329" s="543"/>
      <c r="S329" s="543"/>
      <c r="T329" s="543"/>
      <c r="U329" s="543"/>
      <c r="V329" s="543"/>
      <c r="W329" s="543"/>
      <c r="X329" s="543"/>
      <c r="Y329" s="543"/>
      <c r="Z329" s="543"/>
      <c r="AA329" s="543"/>
      <c r="AB329" s="543"/>
      <c r="AC329" s="543"/>
      <c r="AD329" s="543"/>
      <c r="AE329" s="543"/>
      <c r="AF329" s="543"/>
    </row>
    <row r="330" spans="1:32">
      <c r="A330" s="533"/>
      <c r="B330" s="534"/>
      <c r="C330" s="535"/>
      <c r="D330" s="12"/>
      <c r="E330" s="13"/>
      <c r="F330" s="14"/>
      <c r="G330" s="543"/>
      <c r="H330" s="543"/>
      <c r="I330" s="543"/>
      <c r="J330" s="543"/>
      <c r="K330" s="543"/>
      <c r="L330" s="543"/>
      <c r="M330" s="543"/>
      <c r="N330" s="543"/>
      <c r="O330" s="543"/>
      <c r="P330" s="543"/>
      <c r="Q330" s="543"/>
      <c r="R330" s="543"/>
      <c r="S330" s="543"/>
      <c r="T330" s="543"/>
      <c r="U330" s="543"/>
      <c r="V330" s="543"/>
      <c r="W330" s="543"/>
      <c r="X330" s="543"/>
      <c r="Y330" s="543"/>
      <c r="Z330" s="543"/>
      <c r="AA330" s="543"/>
      <c r="AB330" s="543"/>
      <c r="AC330" s="543"/>
      <c r="AD330" s="543"/>
      <c r="AE330" s="543"/>
      <c r="AF330" s="543"/>
    </row>
    <row r="331" spans="1:32">
      <c r="A331" s="533"/>
      <c r="B331" s="534"/>
      <c r="C331" s="535"/>
      <c r="D331" s="12"/>
      <c r="E331" s="13"/>
      <c r="F331" s="14"/>
      <c r="G331" s="543"/>
      <c r="H331" s="543"/>
      <c r="I331" s="543"/>
      <c r="J331" s="543"/>
      <c r="K331" s="543"/>
      <c r="L331" s="543"/>
      <c r="M331" s="543"/>
      <c r="N331" s="543"/>
      <c r="O331" s="543"/>
      <c r="P331" s="543"/>
      <c r="Q331" s="543"/>
      <c r="R331" s="543"/>
      <c r="S331" s="543"/>
      <c r="T331" s="543"/>
      <c r="U331" s="543"/>
      <c r="V331" s="543"/>
      <c r="W331" s="543"/>
      <c r="X331" s="543"/>
      <c r="Y331" s="543"/>
      <c r="Z331" s="543"/>
      <c r="AA331" s="543"/>
      <c r="AB331" s="543"/>
      <c r="AC331" s="543"/>
      <c r="AD331" s="543"/>
      <c r="AE331" s="543"/>
      <c r="AF331" s="543"/>
    </row>
    <row r="332" spans="1:32">
      <c r="A332" s="533"/>
      <c r="B332" s="534"/>
      <c r="C332" s="535"/>
      <c r="D332" s="12"/>
      <c r="E332" s="13"/>
      <c r="F332" s="14"/>
      <c r="G332" s="543"/>
      <c r="H332" s="543"/>
      <c r="I332" s="543"/>
      <c r="J332" s="543"/>
      <c r="K332" s="543"/>
      <c r="L332" s="543"/>
      <c r="M332" s="543"/>
      <c r="N332" s="543"/>
      <c r="O332" s="543"/>
      <c r="P332" s="543"/>
      <c r="Q332" s="543"/>
      <c r="R332" s="543"/>
      <c r="S332" s="543"/>
      <c r="T332" s="543"/>
      <c r="U332" s="543"/>
      <c r="V332" s="543"/>
      <c r="W332" s="543"/>
      <c r="X332" s="543"/>
      <c r="Y332" s="543"/>
      <c r="Z332" s="543"/>
      <c r="AA332" s="543"/>
      <c r="AB332" s="543"/>
      <c r="AC332" s="543"/>
      <c r="AD332" s="543"/>
      <c r="AE332" s="543"/>
      <c r="AF332" s="543"/>
    </row>
    <row r="333" spans="1:32">
      <c r="A333" s="533"/>
      <c r="B333" s="534"/>
      <c r="C333" s="535"/>
      <c r="D333" s="12"/>
      <c r="E333" s="13"/>
      <c r="F333" s="14"/>
      <c r="G333" s="543"/>
      <c r="H333" s="543"/>
      <c r="I333" s="543"/>
      <c r="J333" s="543"/>
      <c r="K333" s="543"/>
      <c r="L333" s="543"/>
      <c r="M333" s="543"/>
      <c r="N333" s="543"/>
      <c r="O333" s="543"/>
      <c r="P333" s="543"/>
      <c r="Q333" s="543"/>
      <c r="R333" s="543"/>
      <c r="S333" s="543"/>
      <c r="T333" s="543"/>
      <c r="U333" s="543"/>
      <c r="V333" s="543"/>
      <c r="W333" s="543"/>
      <c r="X333" s="543"/>
      <c r="Y333" s="543"/>
      <c r="Z333" s="543"/>
      <c r="AA333" s="543"/>
      <c r="AB333" s="543"/>
      <c r="AC333" s="543"/>
      <c r="AD333" s="543"/>
      <c r="AE333" s="543"/>
      <c r="AF333" s="543"/>
    </row>
    <row r="334" spans="1:32">
      <c r="A334" s="533"/>
      <c r="B334" s="534"/>
      <c r="C334" s="535"/>
      <c r="D334" s="12"/>
      <c r="E334" s="13"/>
      <c r="F334" s="14"/>
      <c r="G334" s="543"/>
      <c r="H334" s="543"/>
      <c r="I334" s="543"/>
      <c r="J334" s="543"/>
      <c r="K334" s="543"/>
      <c r="L334" s="543"/>
      <c r="M334" s="543"/>
      <c r="N334" s="543"/>
      <c r="O334" s="543"/>
      <c r="P334" s="543"/>
      <c r="Q334" s="543"/>
      <c r="R334" s="543"/>
      <c r="S334" s="543"/>
      <c r="T334" s="543"/>
      <c r="U334" s="543"/>
      <c r="V334" s="543"/>
      <c r="W334" s="543"/>
      <c r="X334" s="543"/>
      <c r="Y334" s="543"/>
      <c r="Z334" s="543"/>
      <c r="AA334" s="543"/>
      <c r="AB334" s="543"/>
      <c r="AC334" s="543"/>
      <c r="AD334" s="543"/>
      <c r="AE334" s="543"/>
      <c r="AF334" s="543"/>
    </row>
    <row r="335" spans="1:32">
      <c r="A335" s="533"/>
      <c r="B335" s="534"/>
      <c r="C335" s="535"/>
      <c r="D335" s="12"/>
      <c r="E335" s="13"/>
      <c r="F335" s="14"/>
      <c r="G335" s="543"/>
      <c r="H335" s="543"/>
      <c r="I335" s="543"/>
      <c r="J335" s="543"/>
      <c r="K335" s="543"/>
      <c r="L335" s="543"/>
      <c r="M335" s="543"/>
      <c r="N335" s="543"/>
      <c r="O335" s="543"/>
      <c r="P335" s="543"/>
      <c r="Q335" s="543"/>
      <c r="R335" s="543"/>
      <c r="S335" s="543"/>
      <c r="T335" s="543"/>
      <c r="U335" s="543"/>
      <c r="V335" s="543"/>
      <c r="W335" s="543"/>
      <c r="X335" s="543"/>
      <c r="Y335" s="543"/>
      <c r="Z335" s="543"/>
      <c r="AA335" s="543"/>
      <c r="AB335" s="543"/>
      <c r="AC335" s="543"/>
      <c r="AD335" s="543"/>
      <c r="AE335" s="543"/>
      <c r="AF335" s="543"/>
    </row>
    <row r="336" spans="1:32">
      <c r="A336" s="533"/>
      <c r="B336" s="534"/>
      <c r="C336" s="535"/>
      <c r="D336" s="12"/>
      <c r="E336" s="13"/>
      <c r="F336" s="14"/>
      <c r="G336" s="543"/>
      <c r="H336" s="543"/>
      <c r="I336" s="543"/>
      <c r="J336" s="543"/>
      <c r="K336" s="543"/>
      <c r="L336" s="543"/>
      <c r="M336" s="543"/>
      <c r="N336" s="543"/>
      <c r="O336" s="543"/>
      <c r="P336" s="543"/>
      <c r="Q336" s="543"/>
      <c r="R336" s="543"/>
      <c r="S336" s="543"/>
      <c r="T336" s="543"/>
      <c r="U336" s="543"/>
      <c r="V336" s="543"/>
      <c r="W336" s="543"/>
      <c r="X336" s="543"/>
      <c r="Y336" s="543"/>
      <c r="Z336" s="543"/>
      <c r="AA336" s="543"/>
      <c r="AB336" s="543"/>
      <c r="AC336" s="543"/>
      <c r="AD336" s="543"/>
      <c r="AE336" s="543"/>
      <c r="AF336" s="543"/>
    </row>
    <row r="337" spans="1:32">
      <c r="A337" s="533"/>
      <c r="B337" s="534"/>
      <c r="C337" s="535"/>
      <c r="D337" s="12"/>
      <c r="E337" s="13"/>
      <c r="F337" s="14"/>
      <c r="G337" s="543"/>
      <c r="H337" s="543"/>
      <c r="I337" s="543"/>
      <c r="J337" s="543"/>
      <c r="K337" s="543"/>
      <c r="L337" s="543"/>
      <c r="M337" s="543"/>
      <c r="N337" s="543"/>
      <c r="O337" s="543"/>
      <c r="P337" s="543"/>
      <c r="Q337" s="543"/>
      <c r="R337" s="543"/>
      <c r="S337" s="543"/>
      <c r="T337" s="543"/>
      <c r="U337" s="543"/>
      <c r="V337" s="543"/>
      <c r="W337" s="543"/>
      <c r="X337" s="543"/>
      <c r="Y337" s="543"/>
      <c r="Z337" s="543"/>
      <c r="AA337" s="543"/>
      <c r="AB337" s="543"/>
      <c r="AC337" s="543"/>
      <c r="AD337" s="543"/>
      <c r="AE337" s="543"/>
      <c r="AF337" s="543"/>
    </row>
    <row r="338" spans="1:32">
      <c r="A338" s="533"/>
      <c r="B338" s="534"/>
      <c r="C338" s="535"/>
      <c r="D338" s="12"/>
      <c r="E338" s="13"/>
      <c r="F338" s="14"/>
      <c r="G338" s="543"/>
      <c r="H338" s="543"/>
      <c r="I338" s="543"/>
      <c r="J338" s="543"/>
      <c r="K338" s="543"/>
      <c r="L338" s="543"/>
      <c r="M338" s="543"/>
      <c r="N338" s="543"/>
      <c r="O338" s="543"/>
      <c r="P338" s="543"/>
      <c r="Q338" s="543"/>
      <c r="R338" s="543"/>
      <c r="S338" s="543"/>
      <c r="T338" s="543"/>
      <c r="U338" s="543"/>
      <c r="V338" s="543"/>
      <c r="W338" s="543"/>
      <c r="X338" s="543"/>
      <c r="Y338" s="543"/>
      <c r="Z338" s="543"/>
      <c r="AA338" s="543"/>
      <c r="AB338" s="543"/>
      <c r="AC338" s="543"/>
      <c r="AD338" s="543"/>
      <c r="AE338" s="543"/>
      <c r="AF338" s="543"/>
    </row>
    <row r="339" spans="1:32">
      <c r="A339" s="533"/>
      <c r="B339" s="534"/>
      <c r="C339" s="535"/>
      <c r="D339" s="12"/>
      <c r="E339" s="13"/>
      <c r="F339" s="14"/>
      <c r="G339" s="543"/>
      <c r="H339" s="543"/>
      <c r="I339" s="543"/>
      <c r="J339" s="543"/>
      <c r="K339" s="543"/>
      <c r="L339" s="543"/>
      <c r="M339" s="543"/>
      <c r="N339" s="543"/>
      <c r="O339" s="543"/>
      <c r="P339" s="543"/>
      <c r="Q339" s="543"/>
      <c r="R339" s="543"/>
      <c r="S339" s="543"/>
      <c r="T339" s="543"/>
      <c r="U339" s="543"/>
      <c r="V339" s="543"/>
      <c r="W339" s="543"/>
      <c r="X339" s="543"/>
      <c r="Y339" s="543"/>
      <c r="Z339" s="543"/>
      <c r="AA339" s="543"/>
      <c r="AB339" s="543"/>
      <c r="AC339" s="543"/>
      <c r="AD339" s="543"/>
      <c r="AE339" s="543"/>
      <c r="AF339" s="543"/>
    </row>
    <row r="340" spans="1:32">
      <c r="A340" s="533"/>
      <c r="B340" s="534"/>
      <c r="C340" s="535"/>
      <c r="D340" s="12"/>
      <c r="E340" s="13"/>
      <c r="F340" s="14"/>
      <c r="G340" s="543"/>
      <c r="H340" s="543"/>
      <c r="I340" s="543"/>
      <c r="J340" s="543"/>
      <c r="K340" s="543"/>
      <c r="L340" s="543"/>
      <c r="M340" s="543"/>
      <c r="N340" s="543"/>
      <c r="O340" s="543"/>
      <c r="P340" s="543"/>
      <c r="Q340" s="543"/>
      <c r="R340" s="543"/>
      <c r="S340" s="543"/>
      <c r="T340" s="543"/>
      <c r="U340" s="543"/>
      <c r="V340" s="543"/>
      <c r="W340" s="543"/>
      <c r="X340" s="543"/>
      <c r="Y340" s="543"/>
      <c r="Z340" s="543"/>
      <c r="AA340" s="543"/>
      <c r="AB340" s="543"/>
      <c r="AC340" s="543"/>
      <c r="AD340" s="543"/>
      <c r="AE340" s="543"/>
      <c r="AF340" s="543"/>
    </row>
    <row r="341" spans="1:32">
      <c r="A341" s="533"/>
      <c r="B341" s="534"/>
      <c r="C341" s="535"/>
      <c r="D341" s="12"/>
      <c r="E341" s="13"/>
      <c r="F341" s="14"/>
      <c r="G341" s="543"/>
      <c r="H341" s="543"/>
      <c r="I341" s="543"/>
      <c r="J341" s="543"/>
      <c r="K341" s="543"/>
      <c r="L341" s="543"/>
      <c r="M341" s="543"/>
      <c r="N341" s="543"/>
      <c r="O341" s="543"/>
      <c r="P341" s="543"/>
      <c r="Q341" s="543"/>
      <c r="R341" s="543"/>
      <c r="S341" s="543"/>
      <c r="T341" s="543"/>
      <c r="U341" s="543"/>
      <c r="V341" s="543"/>
      <c r="W341" s="543"/>
      <c r="X341" s="543"/>
      <c r="Y341" s="543"/>
      <c r="Z341" s="543"/>
      <c r="AA341" s="543"/>
      <c r="AB341" s="543"/>
      <c r="AC341" s="543"/>
      <c r="AD341" s="543"/>
      <c r="AE341" s="543"/>
      <c r="AF341" s="543"/>
    </row>
    <row r="342" spans="1:32">
      <c r="A342" s="533"/>
      <c r="B342" s="534"/>
      <c r="C342" s="535"/>
      <c r="D342" s="12"/>
      <c r="E342" s="13"/>
      <c r="F342" s="14"/>
      <c r="G342" s="543"/>
      <c r="H342" s="543"/>
      <c r="I342" s="543"/>
      <c r="J342" s="543"/>
      <c r="K342" s="543"/>
      <c r="L342" s="543"/>
      <c r="M342" s="543"/>
      <c r="N342" s="543"/>
      <c r="O342" s="543"/>
      <c r="P342" s="543"/>
      <c r="Q342" s="543"/>
      <c r="R342" s="543"/>
      <c r="S342" s="543"/>
      <c r="T342" s="543"/>
      <c r="U342" s="543"/>
      <c r="V342" s="543"/>
      <c r="W342" s="543"/>
      <c r="X342" s="543"/>
      <c r="Y342" s="543"/>
      <c r="Z342" s="543"/>
      <c r="AA342" s="543"/>
      <c r="AB342" s="543"/>
      <c r="AC342" s="543"/>
      <c r="AD342" s="543"/>
      <c r="AE342" s="543"/>
      <c r="AF342" s="543"/>
    </row>
    <row r="343" spans="1:32">
      <c r="A343" s="533"/>
      <c r="B343" s="534"/>
      <c r="C343" s="535"/>
      <c r="D343" s="12"/>
      <c r="E343" s="13"/>
      <c r="F343" s="14"/>
      <c r="G343" s="543"/>
      <c r="H343" s="543"/>
      <c r="I343" s="543"/>
      <c r="J343" s="543"/>
      <c r="K343" s="543"/>
      <c r="L343" s="543"/>
      <c r="M343" s="543"/>
      <c r="N343" s="543"/>
      <c r="O343" s="543"/>
      <c r="P343" s="543"/>
      <c r="Q343" s="543"/>
      <c r="R343" s="543"/>
      <c r="S343" s="543"/>
      <c r="T343" s="543"/>
      <c r="U343" s="543"/>
      <c r="V343" s="543"/>
      <c r="W343" s="543"/>
      <c r="X343" s="543"/>
      <c r="Y343" s="543"/>
      <c r="Z343" s="543"/>
      <c r="AA343" s="543"/>
      <c r="AB343" s="543"/>
      <c r="AC343" s="543"/>
      <c r="AD343" s="543"/>
      <c r="AE343" s="543"/>
      <c r="AF343" s="543"/>
    </row>
    <row r="344" spans="1:32">
      <c r="A344" s="533"/>
      <c r="B344" s="534"/>
      <c r="C344" s="535"/>
      <c r="D344" s="12"/>
      <c r="E344" s="13"/>
      <c r="F344" s="14"/>
      <c r="G344" s="543"/>
      <c r="H344" s="543"/>
      <c r="I344" s="543"/>
      <c r="J344" s="543"/>
      <c r="K344" s="543"/>
      <c r="L344" s="543"/>
      <c r="M344" s="543"/>
      <c r="N344" s="543"/>
      <c r="O344" s="543"/>
      <c r="P344" s="543"/>
      <c r="Q344" s="543"/>
      <c r="R344" s="543"/>
      <c r="S344" s="543"/>
      <c r="T344" s="543"/>
      <c r="U344" s="543"/>
      <c r="V344" s="543"/>
      <c r="W344" s="543"/>
      <c r="X344" s="543"/>
      <c r="Y344" s="543"/>
      <c r="Z344" s="543"/>
      <c r="AA344" s="543"/>
      <c r="AB344" s="543"/>
      <c r="AC344" s="543"/>
      <c r="AD344" s="543"/>
      <c r="AE344" s="543"/>
      <c r="AF344" s="543"/>
    </row>
    <row r="345" spans="1:32">
      <c r="A345" s="533"/>
      <c r="B345" s="534"/>
      <c r="C345" s="535"/>
      <c r="D345" s="12"/>
      <c r="E345" s="13"/>
      <c r="F345" s="14"/>
      <c r="G345" s="543"/>
      <c r="H345" s="543"/>
      <c r="I345" s="543"/>
      <c r="J345" s="543"/>
      <c r="K345" s="543"/>
      <c r="L345" s="543"/>
      <c r="M345" s="543"/>
      <c r="N345" s="543"/>
      <c r="O345" s="543"/>
      <c r="P345" s="543"/>
      <c r="Q345" s="543"/>
      <c r="R345" s="543"/>
      <c r="S345" s="543"/>
      <c r="T345" s="543"/>
      <c r="U345" s="543"/>
      <c r="V345" s="543"/>
      <c r="W345" s="543"/>
      <c r="X345" s="543"/>
      <c r="Y345" s="543"/>
      <c r="Z345" s="543"/>
      <c r="AA345" s="543"/>
      <c r="AB345" s="543"/>
      <c r="AC345" s="543"/>
      <c r="AD345" s="543"/>
      <c r="AE345" s="543"/>
      <c r="AF345" s="543"/>
    </row>
    <row r="346" spans="1:32">
      <c r="A346" s="533"/>
      <c r="B346" s="534"/>
      <c r="C346" s="535"/>
      <c r="D346" s="12"/>
      <c r="E346" s="13"/>
      <c r="F346" s="14"/>
      <c r="G346" s="543"/>
      <c r="H346" s="543"/>
      <c r="I346" s="543"/>
      <c r="J346" s="543"/>
      <c r="K346" s="543"/>
      <c r="L346" s="543"/>
      <c r="M346" s="543"/>
      <c r="N346" s="543"/>
      <c r="O346" s="543"/>
      <c r="P346" s="543"/>
      <c r="Q346" s="543"/>
      <c r="R346" s="543"/>
      <c r="S346" s="543"/>
      <c r="T346" s="543"/>
      <c r="U346" s="543"/>
      <c r="V346" s="543"/>
      <c r="W346" s="543"/>
      <c r="X346" s="543"/>
      <c r="Y346" s="543"/>
      <c r="Z346" s="543"/>
      <c r="AA346" s="543"/>
      <c r="AB346" s="543"/>
      <c r="AC346" s="543"/>
      <c r="AD346" s="543"/>
      <c r="AE346" s="543"/>
      <c r="AF346" s="543"/>
    </row>
    <row r="347" spans="1:32">
      <c r="A347" s="533"/>
      <c r="B347" s="534"/>
      <c r="C347" s="535"/>
      <c r="D347" s="12"/>
      <c r="E347" s="13"/>
      <c r="F347" s="14"/>
      <c r="G347" s="543"/>
      <c r="H347" s="543"/>
      <c r="I347" s="543"/>
      <c r="J347" s="543"/>
      <c r="K347" s="543"/>
      <c r="L347" s="543"/>
      <c r="M347" s="543"/>
      <c r="N347" s="543"/>
      <c r="O347" s="543"/>
      <c r="P347" s="543"/>
      <c r="Q347" s="543"/>
      <c r="R347" s="543"/>
      <c r="S347" s="543"/>
      <c r="T347" s="543"/>
      <c r="U347" s="543"/>
      <c r="V347" s="543"/>
      <c r="W347" s="543"/>
      <c r="X347" s="543"/>
      <c r="Y347" s="543"/>
      <c r="Z347" s="543"/>
      <c r="AA347" s="543"/>
      <c r="AB347" s="543"/>
      <c r="AC347" s="543"/>
      <c r="AD347" s="543"/>
      <c r="AE347" s="543"/>
      <c r="AF347" s="543"/>
    </row>
    <row r="348" spans="1:32">
      <c r="A348" s="533"/>
      <c r="B348" s="534"/>
      <c r="C348" s="535"/>
      <c r="D348" s="12"/>
      <c r="E348" s="13"/>
      <c r="F348" s="14"/>
      <c r="G348" s="543"/>
      <c r="H348" s="543"/>
      <c r="I348" s="543"/>
      <c r="J348" s="543"/>
      <c r="K348" s="543"/>
      <c r="L348" s="543"/>
      <c r="M348" s="543"/>
      <c r="N348" s="543"/>
      <c r="O348" s="543"/>
      <c r="P348" s="543"/>
      <c r="Q348" s="543"/>
      <c r="R348" s="543"/>
      <c r="S348" s="543"/>
      <c r="T348" s="543"/>
      <c r="U348" s="543"/>
      <c r="V348" s="543"/>
      <c r="W348" s="543"/>
      <c r="X348" s="543"/>
      <c r="Y348" s="543"/>
      <c r="Z348" s="543"/>
      <c r="AA348" s="543"/>
      <c r="AB348" s="543"/>
      <c r="AC348" s="543"/>
      <c r="AD348" s="543"/>
      <c r="AE348" s="543"/>
      <c r="AF348" s="543"/>
    </row>
    <row r="349" spans="1:32">
      <c r="A349" s="533"/>
      <c r="B349" s="534"/>
      <c r="C349" s="535"/>
      <c r="D349" s="12"/>
      <c r="E349" s="13"/>
      <c r="F349" s="14"/>
      <c r="G349" s="543"/>
      <c r="H349" s="543"/>
      <c r="I349" s="543"/>
      <c r="J349" s="543"/>
      <c r="K349" s="543"/>
      <c r="L349" s="543"/>
      <c r="M349" s="543"/>
      <c r="N349" s="543"/>
      <c r="O349" s="543"/>
      <c r="P349" s="543"/>
      <c r="Q349" s="543"/>
      <c r="R349" s="543"/>
      <c r="S349" s="543"/>
      <c r="T349" s="543"/>
      <c r="U349" s="543"/>
      <c r="V349" s="543"/>
      <c r="W349" s="543"/>
      <c r="X349" s="543"/>
      <c r="Y349" s="543"/>
      <c r="Z349" s="543"/>
      <c r="AA349" s="543"/>
      <c r="AB349" s="543"/>
      <c r="AC349" s="543"/>
      <c r="AD349" s="543"/>
      <c r="AE349" s="543"/>
      <c r="AF349" s="543"/>
    </row>
    <row r="350" spans="1:32">
      <c r="A350" s="533"/>
      <c r="B350" s="534"/>
      <c r="C350" s="535"/>
      <c r="D350" s="12"/>
      <c r="E350" s="13"/>
      <c r="F350" s="14"/>
      <c r="G350" s="543"/>
      <c r="H350" s="543"/>
      <c r="I350" s="543"/>
      <c r="J350" s="543"/>
      <c r="K350" s="543"/>
      <c r="L350" s="543"/>
      <c r="M350" s="543"/>
      <c r="N350" s="543"/>
      <c r="O350" s="543"/>
      <c r="P350" s="543"/>
      <c r="Q350" s="543"/>
      <c r="R350" s="543"/>
      <c r="S350" s="543"/>
      <c r="T350" s="543"/>
      <c r="U350" s="543"/>
      <c r="V350" s="543"/>
      <c r="W350" s="543"/>
      <c r="X350" s="543"/>
      <c r="Y350" s="543"/>
      <c r="Z350" s="543"/>
      <c r="AA350" s="543"/>
      <c r="AB350" s="543"/>
      <c r="AC350" s="543"/>
      <c r="AD350" s="543"/>
      <c r="AE350" s="543"/>
      <c r="AF350" s="543"/>
    </row>
    <row r="351" spans="1:32">
      <c r="A351" s="533"/>
      <c r="B351" s="534"/>
      <c r="C351" s="535"/>
      <c r="D351" s="12"/>
      <c r="E351" s="13"/>
      <c r="F351" s="14"/>
      <c r="G351" s="543"/>
      <c r="H351" s="543"/>
      <c r="I351" s="543"/>
      <c r="J351" s="543"/>
      <c r="K351" s="543"/>
      <c r="L351" s="543"/>
      <c r="M351" s="543"/>
      <c r="N351" s="543"/>
      <c r="O351" s="543"/>
      <c r="P351" s="543"/>
      <c r="Q351" s="543"/>
      <c r="R351" s="543"/>
      <c r="S351" s="543"/>
      <c r="T351" s="543"/>
      <c r="U351" s="543"/>
      <c r="V351" s="543"/>
      <c r="W351" s="543"/>
      <c r="X351" s="543"/>
      <c r="Y351" s="543"/>
      <c r="Z351" s="543"/>
      <c r="AA351" s="543"/>
      <c r="AB351" s="543"/>
      <c r="AC351" s="543"/>
      <c r="AD351" s="543"/>
      <c r="AE351" s="543"/>
      <c r="AF351" s="543"/>
    </row>
    <row r="352" spans="1:32">
      <c r="A352" s="533"/>
      <c r="B352" s="534"/>
      <c r="C352" s="535"/>
      <c r="D352" s="12"/>
      <c r="E352" s="13"/>
      <c r="F352" s="14"/>
      <c r="G352" s="543"/>
      <c r="H352" s="543"/>
      <c r="I352" s="543"/>
      <c r="J352" s="543"/>
      <c r="K352" s="543"/>
      <c r="L352" s="543"/>
      <c r="M352" s="543"/>
      <c r="N352" s="543"/>
      <c r="O352" s="543"/>
      <c r="P352" s="543"/>
      <c r="Q352" s="543"/>
      <c r="R352" s="543"/>
      <c r="S352" s="543"/>
      <c r="T352" s="543"/>
      <c r="U352" s="543"/>
      <c r="V352" s="543"/>
      <c r="W352" s="543"/>
      <c r="X352" s="543"/>
      <c r="Y352" s="543"/>
      <c r="Z352" s="543"/>
      <c r="AA352" s="543"/>
      <c r="AB352" s="543"/>
      <c r="AC352" s="543"/>
      <c r="AD352" s="543"/>
      <c r="AE352" s="543"/>
      <c r="AF352" s="543"/>
    </row>
    <row r="353" spans="1:32">
      <c r="A353" s="533"/>
      <c r="B353" s="534"/>
      <c r="C353" s="535"/>
      <c r="D353" s="12"/>
      <c r="E353" s="13"/>
      <c r="F353" s="14"/>
      <c r="G353" s="543"/>
      <c r="H353" s="543"/>
      <c r="I353" s="543"/>
      <c r="J353" s="543"/>
      <c r="K353" s="543"/>
      <c r="L353" s="543"/>
      <c r="M353" s="543"/>
      <c r="N353" s="543"/>
      <c r="O353" s="543"/>
      <c r="P353" s="543"/>
      <c r="Q353" s="543"/>
      <c r="R353" s="543"/>
      <c r="S353" s="543"/>
      <c r="T353" s="543"/>
      <c r="U353" s="543"/>
      <c r="V353" s="543"/>
      <c r="W353" s="543"/>
      <c r="X353" s="543"/>
      <c r="Y353" s="543"/>
      <c r="Z353" s="543"/>
      <c r="AA353" s="543"/>
      <c r="AB353" s="543"/>
      <c r="AC353" s="543"/>
      <c r="AD353" s="543"/>
      <c r="AE353" s="543"/>
      <c r="AF353" s="543"/>
    </row>
    <row r="354" spans="1:32">
      <c r="A354" s="533"/>
      <c r="B354" s="534"/>
      <c r="C354" s="535"/>
      <c r="D354" s="12"/>
      <c r="E354" s="13"/>
      <c r="F354" s="14"/>
      <c r="G354" s="543"/>
      <c r="H354" s="543"/>
      <c r="I354" s="543"/>
      <c r="J354" s="543"/>
      <c r="K354" s="543"/>
      <c r="L354" s="543"/>
      <c r="M354" s="543"/>
      <c r="N354" s="543"/>
      <c r="O354" s="543"/>
      <c r="P354" s="543"/>
      <c r="Q354" s="543"/>
      <c r="R354" s="543"/>
      <c r="S354" s="543"/>
      <c r="T354" s="543"/>
      <c r="U354" s="543"/>
      <c r="V354" s="543"/>
      <c r="W354" s="543"/>
      <c r="X354" s="543"/>
      <c r="Y354" s="543"/>
      <c r="Z354" s="543"/>
      <c r="AA354" s="543"/>
      <c r="AB354" s="543"/>
      <c r="AC354" s="543"/>
      <c r="AD354" s="543"/>
      <c r="AE354" s="543"/>
      <c r="AF354" s="543"/>
    </row>
    <row r="355" spans="1:32">
      <c r="A355" s="533"/>
      <c r="B355" s="534"/>
      <c r="C355" s="535"/>
      <c r="D355" s="12"/>
      <c r="E355" s="13"/>
      <c r="F355" s="14"/>
      <c r="G355" s="543"/>
      <c r="H355" s="543"/>
      <c r="I355" s="543"/>
      <c r="J355" s="543"/>
      <c r="K355" s="543"/>
      <c r="L355" s="543"/>
      <c r="M355" s="543"/>
      <c r="N355" s="543"/>
      <c r="O355" s="543"/>
      <c r="P355" s="543"/>
      <c r="Q355" s="543"/>
      <c r="R355" s="543"/>
      <c r="S355" s="543"/>
      <c r="T355" s="543"/>
      <c r="U355" s="543"/>
      <c r="V355" s="543"/>
      <c r="W355" s="543"/>
      <c r="X355" s="543"/>
      <c r="Y355" s="543"/>
      <c r="Z355" s="543"/>
      <c r="AA355" s="543"/>
      <c r="AB355" s="543"/>
      <c r="AC355" s="543"/>
      <c r="AD355" s="543"/>
      <c r="AE355" s="543"/>
      <c r="AF355" s="543"/>
    </row>
    <row r="356" spans="1:32">
      <c r="A356" s="533"/>
      <c r="B356" s="534"/>
      <c r="C356" s="535"/>
      <c r="D356" s="12"/>
      <c r="E356" s="13"/>
      <c r="F356" s="14"/>
      <c r="G356" s="543"/>
      <c r="H356" s="543"/>
      <c r="I356" s="543"/>
      <c r="J356" s="543"/>
      <c r="K356" s="543"/>
      <c r="L356" s="543"/>
      <c r="M356" s="543"/>
      <c r="N356" s="543"/>
      <c r="O356" s="543"/>
      <c r="P356" s="543"/>
      <c r="Q356" s="543"/>
      <c r="R356" s="543"/>
      <c r="S356" s="543"/>
      <c r="T356" s="543"/>
      <c r="U356" s="543"/>
      <c r="V356" s="543"/>
      <c r="W356" s="543"/>
      <c r="X356" s="543"/>
      <c r="Y356" s="543"/>
      <c r="Z356" s="543"/>
      <c r="AA356" s="543"/>
      <c r="AB356" s="543"/>
      <c r="AC356" s="543"/>
      <c r="AD356" s="543"/>
      <c r="AE356" s="543"/>
      <c r="AF356" s="543"/>
    </row>
    <row r="357" spans="1:32">
      <c r="A357" s="533"/>
      <c r="B357" s="534"/>
      <c r="C357" s="535"/>
      <c r="D357" s="12"/>
      <c r="E357" s="13"/>
      <c r="F357" s="14"/>
      <c r="G357" s="543"/>
      <c r="H357" s="543"/>
      <c r="I357" s="543"/>
      <c r="J357" s="543"/>
      <c r="K357" s="543"/>
      <c r="L357" s="543"/>
      <c r="M357" s="543"/>
      <c r="N357" s="543"/>
      <c r="O357" s="543"/>
      <c r="P357" s="543"/>
      <c r="Q357" s="543"/>
      <c r="R357" s="543"/>
      <c r="S357" s="543"/>
      <c r="T357" s="543"/>
      <c r="U357" s="543"/>
      <c r="V357" s="543"/>
      <c r="W357" s="543"/>
      <c r="X357" s="543"/>
      <c r="Y357" s="543"/>
      <c r="Z357" s="543"/>
      <c r="AA357" s="543"/>
      <c r="AB357" s="543"/>
      <c r="AC357" s="543"/>
      <c r="AD357" s="543"/>
      <c r="AE357" s="543"/>
      <c r="AF357" s="543"/>
    </row>
    <row r="358" spans="1:32">
      <c r="A358" s="533"/>
      <c r="B358" s="534"/>
      <c r="C358" s="535"/>
      <c r="D358" s="12"/>
      <c r="E358" s="13"/>
      <c r="F358" s="14"/>
      <c r="G358" s="543"/>
      <c r="H358" s="543"/>
      <c r="I358" s="543"/>
      <c r="J358" s="543"/>
      <c r="K358" s="543"/>
      <c r="L358" s="543"/>
      <c r="M358" s="543"/>
      <c r="N358" s="543"/>
      <c r="O358" s="543"/>
      <c r="P358" s="543"/>
      <c r="Q358" s="543"/>
      <c r="R358" s="543"/>
      <c r="S358" s="543"/>
      <c r="T358" s="543"/>
      <c r="U358" s="543"/>
      <c r="V358" s="543"/>
      <c r="W358" s="543"/>
      <c r="X358" s="543"/>
      <c r="Y358" s="543"/>
      <c r="Z358" s="543"/>
      <c r="AA358" s="543"/>
      <c r="AB358" s="543"/>
      <c r="AC358" s="543"/>
      <c r="AD358" s="543"/>
      <c r="AE358" s="543"/>
      <c r="AF358" s="543"/>
    </row>
    <row r="359" spans="1:32">
      <c r="A359" s="533"/>
      <c r="B359" s="534"/>
      <c r="C359" s="535"/>
      <c r="D359" s="12"/>
      <c r="E359" s="13"/>
      <c r="F359" s="14"/>
      <c r="G359" s="543"/>
      <c r="H359" s="543"/>
      <c r="I359" s="543"/>
      <c r="J359" s="543"/>
      <c r="K359" s="543"/>
      <c r="L359" s="543"/>
      <c r="M359" s="543"/>
      <c r="N359" s="543"/>
      <c r="O359" s="543"/>
      <c r="P359" s="543"/>
      <c r="Q359" s="543"/>
      <c r="R359" s="543"/>
      <c r="S359" s="543"/>
      <c r="T359" s="543"/>
      <c r="U359" s="543"/>
      <c r="V359" s="543"/>
      <c r="W359" s="543"/>
      <c r="X359" s="543"/>
      <c r="Y359" s="543"/>
      <c r="Z359" s="543"/>
      <c r="AA359" s="543"/>
      <c r="AB359" s="543"/>
      <c r="AC359" s="543"/>
      <c r="AD359" s="543"/>
      <c r="AE359" s="543"/>
      <c r="AF359" s="543"/>
    </row>
    <row r="360" spans="1:32">
      <c r="A360" s="533"/>
      <c r="B360" s="534"/>
      <c r="C360" s="535"/>
      <c r="D360" s="12"/>
      <c r="E360" s="13"/>
      <c r="F360" s="14"/>
      <c r="G360" s="543"/>
      <c r="H360" s="543"/>
      <c r="I360" s="543"/>
      <c r="J360" s="543"/>
      <c r="K360" s="543"/>
      <c r="L360" s="543"/>
      <c r="M360" s="543"/>
      <c r="N360" s="543"/>
      <c r="O360" s="543"/>
      <c r="P360" s="543"/>
      <c r="Q360" s="543"/>
      <c r="R360" s="543"/>
      <c r="S360" s="543"/>
      <c r="T360" s="543"/>
      <c r="U360" s="543"/>
      <c r="V360" s="543"/>
      <c r="W360" s="543"/>
      <c r="X360" s="543"/>
      <c r="Y360" s="543"/>
      <c r="Z360" s="543"/>
      <c r="AA360" s="543"/>
      <c r="AB360" s="543"/>
      <c r="AC360" s="543"/>
      <c r="AD360" s="543"/>
      <c r="AE360" s="543"/>
      <c r="AF360" s="543"/>
    </row>
    <row r="361" spans="1:32">
      <c r="A361" s="533"/>
      <c r="B361" s="534"/>
      <c r="C361" s="535"/>
      <c r="D361" s="12"/>
      <c r="E361" s="13"/>
      <c r="F361" s="14"/>
      <c r="G361" s="543"/>
      <c r="H361" s="543"/>
      <c r="I361" s="543"/>
      <c r="J361" s="543"/>
      <c r="K361" s="543"/>
      <c r="L361" s="543"/>
      <c r="M361" s="543"/>
      <c r="N361" s="543"/>
      <c r="O361" s="543"/>
      <c r="P361" s="543"/>
      <c r="Q361" s="543"/>
      <c r="R361" s="543"/>
      <c r="S361" s="543"/>
      <c r="T361" s="543"/>
      <c r="U361" s="543"/>
      <c r="V361" s="543"/>
      <c r="W361" s="543"/>
      <c r="X361" s="543"/>
      <c r="Y361" s="543"/>
      <c r="Z361" s="543"/>
      <c r="AA361" s="543"/>
      <c r="AB361" s="543"/>
      <c r="AC361" s="543"/>
      <c r="AD361" s="543"/>
      <c r="AE361" s="543"/>
      <c r="AF361" s="543"/>
    </row>
    <row r="362" spans="1:32">
      <c r="A362" s="533"/>
      <c r="B362" s="534"/>
      <c r="C362" s="535"/>
      <c r="D362" s="12"/>
      <c r="E362" s="13"/>
      <c r="F362" s="14"/>
      <c r="G362" s="543"/>
      <c r="H362" s="543"/>
      <c r="I362" s="543"/>
      <c r="J362" s="543"/>
      <c r="K362" s="543"/>
      <c r="L362" s="543"/>
      <c r="M362" s="543"/>
      <c r="N362" s="543"/>
      <c r="O362" s="543"/>
      <c r="P362" s="543"/>
      <c r="Q362" s="543"/>
      <c r="R362" s="543"/>
      <c r="S362" s="543"/>
      <c r="T362" s="543"/>
      <c r="U362" s="543"/>
      <c r="V362" s="543"/>
      <c r="W362" s="543"/>
      <c r="X362" s="543"/>
      <c r="Y362" s="543"/>
      <c r="Z362" s="543"/>
      <c r="AA362" s="543"/>
      <c r="AB362" s="543"/>
      <c r="AC362" s="543"/>
      <c r="AD362" s="543"/>
      <c r="AE362" s="543"/>
      <c r="AF362" s="543"/>
    </row>
    <row r="363" spans="1:32">
      <c r="A363" s="533"/>
      <c r="B363" s="534"/>
      <c r="C363" s="535"/>
      <c r="D363" s="12"/>
      <c r="E363" s="13"/>
      <c r="F363" s="14"/>
      <c r="G363" s="543"/>
      <c r="H363" s="543"/>
      <c r="I363" s="543"/>
      <c r="J363" s="543"/>
      <c r="K363" s="543"/>
      <c r="L363" s="543"/>
      <c r="M363" s="543"/>
      <c r="N363" s="543"/>
      <c r="O363" s="543"/>
      <c r="P363" s="543"/>
      <c r="Q363" s="543"/>
      <c r="R363" s="543"/>
      <c r="S363" s="543"/>
      <c r="T363" s="543"/>
      <c r="U363" s="543"/>
      <c r="V363" s="543"/>
      <c r="W363" s="543"/>
      <c r="X363" s="543"/>
      <c r="Y363" s="543"/>
      <c r="Z363" s="543"/>
      <c r="AA363" s="543"/>
      <c r="AB363" s="543"/>
      <c r="AC363" s="543"/>
      <c r="AD363" s="543"/>
      <c r="AE363" s="543"/>
      <c r="AF363" s="543"/>
    </row>
    <row r="364" spans="1:32">
      <c r="A364" s="533"/>
      <c r="B364" s="534"/>
      <c r="C364" s="535"/>
      <c r="D364" s="12"/>
      <c r="E364" s="13"/>
      <c r="F364" s="14"/>
      <c r="G364" s="543"/>
      <c r="H364" s="543"/>
      <c r="I364" s="543"/>
      <c r="J364" s="543"/>
      <c r="K364" s="543"/>
      <c r="L364" s="543"/>
      <c r="M364" s="543"/>
      <c r="N364" s="543"/>
      <c r="O364" s="543"/>
      <c r="P364" s="543"/>
      <c r="Q364" s="543"/>
      <c r="R364" s="543"/>
      <c r="S364" s="543"/>
      <c r="T364" s="543"/>
      <c r="U364" s="543"/>
      <c r="V364" s="543"/>
      <c r="W364" s="543"/>
      <c r="X364" s="543"/>
      <c r="Y364" s="543"/>
      <c r="Z364" s="543"/>
      <c r="AA364" s="543"/>
      <c r="AB364" s="543"/>
      <c r="AC364" s="543"/>
      <c r="AD364" s="543"/>
      <c r="AE364" s="543"/>
      <c r="AF364" s="543"/>
    </row>
    <row r="365" spans="1:32">
      <c r="A365" s="533"/>
      <c r="B365" s="534"/>
      <c r="C365" s="535"/>
      <c r="D365" s="12"/>
      <c r="E365" s="13"/>
      <c r="F365" s="14"/>
      <c r="G365" s="543"/>
      <c r="H365" s="543"/>
      <c r="I365" s="543"/>
      <c r="J365" s="543"/>
      <c r="K365" s="543"/>
      <c r="L365" s="543"/>
      <c r="M365" s="543"/>
      <c r="N365" s="543"/>
      <c r="O365" s="543"/>
      <c r="P365" s="543"/>
      <c r="Q365" s="543"/>
      <c r="R365" s="543"/>
      <c r="S365" s="543"/>
      <c r="T365" s="543"/>
      <c r="U365" s="543"/>
      <c r="V365" s="543"/>
      <c r="W365" s="543"/>
      <c r="X365" s="543"/>
      <c r="Y365" s="543"/>
      <c r="Z365" s="543"/>
      <c r="AA365" s="543"/>
      <c r="AB365" s="543"/>
      <c r="AC365" s="543"/>
      <c r="AD365" s="543"/>
      <c r="AE365" s="543"/>
      <c r="AF365" s="543"/>
    </row>
    <row r="366" spans="1:32">
      <c r="A366" s="533"/>
      <c r="B366" s="534"/>
      <c r="C366" s="535"/>
      <c r="D366" s="12"/>
      <c r="E366" s="13"/>
      <c r="F366" s="14"/>
      <c r="G366" s="543"/>
      <c r="H366" s="543"/>
      <c r="I366" s="543"/>
      <c r="J366" s="543"/>
      <c r="K366" s="543"/>
      <c r="L366" s="543"/>
      <c r="M366" s="543"/>
      <c r="N366" s="543"/>
      <c r="O366" s="543"/>
      <c r="P366" s="543"/>
      <c r="Q366" s="543"/>
      <c r="R366" s="543"/>
      <c r="S366" s="543"/>
      <c r="T366" s="543"/>
      <c r="U366" s="543"/>
      <c r="V366" s="543"/>
      <c r="W366" s="543"/>
      <c r="X366" s="543"/>
      <c r="Y366" s="543"/>
      <c r="Z366" s="543"/>
      <c r="AA366" s="543"/>
      <c r="AB366" s="543"/>
      <c r="AC366" s="543"/>
      <c r="AD366" s="543"/>
      <c r="AE366" s="543"/>
      <c r="AF366" s="543"/>
    </row>
    <row r="367" spans="1:32">
      <c r="A367" s="533"/>
      <c r="B367" s="534"/>
      <c r="C367" s="535"/>
      <c r="D367" s="12"/>
      <c r="E367" s="13"/>
      <c r="F367" s="14"/>
      <c r="G367" s="543"/>
      <c r="H367" s="543"/>
      <c r="I367" s="543"/>
      <c r="J367" s="543"/>
      <c r="K367" s="543"/>
      <c r="L367" s="543"/>
      <c r="M367" s="543"/>
      <c r="N367" s="543"/>
      <c r="O367" s="543"/>
      <c r="P367" s="543"/>
      <c r="Q367" s="543"/>
      <c r="R367" s="543"/>
      <c r="S367" s="543"/>
      <c r="T367" s="543"/>
      <c r="U367" s="543"/>
      <c r="V367" s="543"/>
      <c r="W367" s="543"/>
      <c r="X367" s="543"/>
      <c r="Y367" s="543"/>
      <c r="Z367" s="543"/>
      <c r="AA367" s="543"/>
      <c r="AB367" s="543"/>
      <c r="AC367" s="543"/>
      <c r="AD367" s="543"/>
      <c r="AE367" s="543"/>
      <c r="AF367" s="543"/>
    </row>
    <row r="368" spans="1:32">
      <c r="A368" s="533"/>
      <c r="B368" s="534"/>
      <c r="C368" s="535"/>
      <c r="D368" s="12"/>
      <c r="E368" s="13"/>
      <c r="F368" s="14"/>
      <c r="G368" s="543"/>
      <c r="H368" s="543"/>
      <c r="I368" s="543"/>
      <c r="J368" s="543"/>
      <c r="K368" s="543"/>
      <c r="L368" s="543"/>
      <c r="M368" s="543"/>
      <c r="N368" s="543"/>
      <c r="O368" s="543"/>
      <c r="P368" s="543"/>
      <c r="Q368" s="543"/>
      <c r="R368" s="543"/>
      <c r="S368" s="543"/>
      <c r="T368" s="543"/>
      <c r="U368" s="543"/>
      <c r="V368" s="543"/>
      <c r="W368" s="543"/>
      <c r="X368" s="543"/>
      <c r="Y368" s="543"/>
      <c r="Z368" s="543"/>
      <c r="AA368" s="543"/>
      <c r="AB368" s="543"/>
      <c r="AC368" s="543"/>
      <c r="AD368" s="543"/>
      <c r="AE368" s="543"/>
      <c r="AF368" s="543"/>
    </row>
    <row r="369" spans="1:32">
      <c r="A369" s="533"/>
      <c r="B369" s="534"/>
      <c r="C369" s="535"/>
      <c r="D369" s="12"/>
      <c r="E369" s="13"/>
      <c r="F369" s="14"/>
      <c r="G369" s="543"/>
      <c r="H369" s="543"/>
      <c r="I369" s="543"/>
      <c r="J369" s="543"/>
      <c r="K369" s="543"/>
      <c r="L369" s="543"/>
      <c r="M369" s="543"/>
      <c r="N369" s="543"/>
      <c r="O369" s="543"/>
      <c r="P369" s="543"/>
      <c r="Q369" s="543"/>
      <c r="R369" s="543"/>
      <c r="S369" s="543"/>
      <c r="T369" s="543"/>
      <c r="U369" s="543"/>
      <c r="V369" s="543"/>
      <c r="W369" s="543"/>
      <c r="X369" s="543"/>
      <c r="Y369" s="543"/>
      <c r="Z369" s="543"/>
      <c r="AA369" s="543"/>
      <c r="AB369" s="543"/>
      <c r="AC369" s="543"/>
      <c r="AD369" s="543"/>
      <c r="AE369" s="543"/>
      <c r="AF369" s="543"/>
    </row>
    <row r="370" spans="1:32">
      <c r="A370" s="533"/>
      <c r="B370" s="534"/>
      <c r="C370" s="535"/>
      <c r="D370" s="12"/>
      <c r="E370" s="13"/>
      <c r="F370" s="14"/>
      <c r="G370" s="543"/>
      <c r="H370" s="543"/>
      <c r="I370" s="543"/>
      <c r="J370" s="543"/>
      <c r="K370" s="543"/>
      <c r="L370" s="543"/>
      <c r="M370" s="543"/>
      <c r="N370" s="543"/>
      <c r="O370" s="543"/>
      <c r="P370" s="543"/>
      <c r="Q370" s="543"/>
      <c r="R370" s="543"/>
      <c r="S370" s="543"/>
      <c r="T370" s="543"/>
      <c r="U370" s="543"/>
      <c r="V370" s="543"/>
      <c r="W370" s="543"/>
      <c r="X370" s="543"/>
      <c r="Y370" s="543"/>
      <c r="Z370" s="543"/>
      <c r="AA370" s="543"/>
      <c r="AB370" s="543"/>
      <c r="AC370" s="543"/>
      <c r="AD370" s="543"/>
      <c r="AE370" s="543"/>
      <c r="AF370" s="543"/>
    </row>
    <row r="371" spans="1:32">
      <c r="A371" s="533"/>
      <c r="B371" s="534"/>
      <c r="C371" s="535"/>
      <c r="D371" s="12"/>
      <c r="E371" s="13"/>
      <c r="F371" s="14"/>
      <c r="G371" s="543"/>
      <c r="H371" s="543"/>
      <c r="I371" s="543"/>
      <c r="J371" s="543"/>
      <c r="K371" s="543"/>
      <c r="L371" s="543"/>
      <c r="M371" s="543"/>
      <c r="N371" s="543"/>
      <c r="O371" s="543"/>
      <c r="P371" s="543"/>
      <c r="Q371" s="543"/>
      <c r="R371" s="543"/>
      <c r="S371" s="543"/>
      <c r="T371" s="543"/>
      <c r="U371" s="543"/>
      <c r="V371" s="543"/>
      <c r="W371" s="543"/>
      <c r="X371" s="543"/>
      <c r="Y371" s="543"/>
      <c r="Z371" s="543"/>
      <c r="AA371" s="543"/>
      <c r="AB371" s="543"/>
      <c r="AC371" s="543"/>
      <c r="AD371" s="543"/>
      <c r="AE371" s="543"/>
      <c r="AF371" s="543"/>
    </row>
    <row r="372" spans="1:32">
      <c r="A372" s="533"/>
      <c r="B372" s="534"/>
      <c r="C372" s="535"/>
      <c r="D372" s="12"/>
      <c r="E372" s="13"/>
      <c r="F372" s="14"/>
      <c r="G372" s="543"/>
      <c r="H372" s="543"/>
      <c r="I372" s="543"/>
      <c r="J372" s="543"/>
      <c r="K372" s="543"/>
      <c r="L372" s="543"/>
      <c r="M372" s="543"/>
      <c r="N372" s="543"/>
      <c r="O372" s="543"/>
      <c r="P372" s="543"/>
      <c r="Q372" s="543"/>
      <c r="R372" s="543"/>
      <c r="S372" s="543"/>
      <c r="T372" s="543"/>
      <c r="U372" s="543"/>
      <c r="V372" s="543"/>
      <c r="W372" s="543"/>
      <c r="X372" s="543"/>
      <c r="Y372" s="543"/>
      <c r="Z372" s="543"/>
      <c r="AA372" s="543"/>
      <c r="AB372" s="543"/>
      <c r="AC372" s="543"/>
      <c r="AD372" s="543"/>
      <c r="AE372" s="543"/>
      <c r="AF372" s="543"/>
    </row>
    <row r="373" spans="1:32">
      <c r="A373" s="533"/>
      <c r="B373" s="534"/>
      <c r="C373" s="535"/>
      <c r="D373" s="12"/>
      <c r="E373" s="13"/>
      <c r="F373" s="14"/>
      <c r="G373" s="543"/>
      <c r="H373" s="543"/>
      <c r="I373" s="543"/>
      <c r="J373" s="543"/>
      <c r="K373" s="543"/>
      <c r="L373" s="543"/>
      <c r="M373" s="543"/>
      <c r="N373" s="543"/>
      <c r="O373" s="543"/>
      <c r="P373" s="543"/>
      <c r="Q373" s="543"/>
      <c r="R373" s="543"/>
      <c r="S373" s="543"/>
      <c r="T373" s="543"/>
      <c r="U373" s="543"/>
      <c r="V373" s="543"/>
      <c r="W373" s="543"/>
      <c r="X373" s="543"/>
      <c r="Y373" s="543"/>
      <c r="Z373" s="543"/>
      <c r="AA373" s="543"/>
      <c r="AB373" s="543"/>
      <c r="AC373" s="543"/>
      <c r="AD373" s="543"/>
      <c r="AE373" s="543"/>
      <c r="AF373" s="543"/>
    </row>
    <row r="374" spans="1:32">
      <c r="A374" s="533"/>
      <c r="B374" s="534"/>
      <c r="C374" s="535"/>
      <c r="D374" s="12"/>
      <c r="E374" s="13"/>
      <c r="F374" s="14"/>
      <c r="G374" s="543"/>
      <c r="H374" s="543"/>
      <c r="I374" s="543"/>
      <c r="J374" s="543"/>
      <c r="K374" s="543"/>
      <c r="L374" s="543"/>
      <c r="M374" s="543"/>
      <c r="N374" s="543"/>
      <c r="O374" s="543"/>
      <c r="P374" s="543"/>
      <c r="Q374" s="543"/>
      <c r="R374" s="543"/>
      <c r="S374" s="543"/>
      <c r="T374" s="543"/>
      <c r="U374" s="543"/>
      <c r="V374" s="543"/>
      <c r="W374" s="543"/>
      <c r="X374" s="543"/>
      <c r="Y374" s="543"/>
      <c r="Z374" s="543"/>
      <c r="AA374" s="543"/>
      <c r="AB374" s="543"/>
      <c r="AC374" s="543"/>
      <c r="AD374" s="543"/>
      <c r="AE374" s="543"/>
      <c r="AF374" s="543"/>
    </row>
    <row r="375" spans="1:32">
      <c r="A375" s="533"/>
      <c r="B375" s="534"/>
      <c r="C375" s="535"/>
      <c r="D375" s="12"/>
      <c r="E375" s="13"/>
      <c r="F375" s="14"/>
      <c r="G375" s="543"/>
      <c r="H375" s="543"/>
      <c r="I375" s="543"/>
      <c r="J375" s="543"/>
      <c r="K375" s="543"/>
      <c r="L375" s="543"/>
      <c r="M375" s="543"/>
      <c r="N375" s="543"/>
      <c r="O375" s="543"/>
      <c r="P375" s="543"/>
      <c r="Q375" s="543"/>
      <c r="R375" s="543"/>
      <c r="S375" s="543"/>
      <c r="T375" s="543"/>
      <c r="U375" s="543"/>
      <c r="V375" s="543"/>
      <c r="W375" s="543"/>
      <c r="X375" s="543"/>
      <c r="Y375" s="543"/>
      <c r="Z375" s="543"/>
      <c r="AA375" s="543"/>
      <c r="AB375" s="543"/>
      <c r="AC375" s="543"/>
      <c r="AD375" s="543"/>
      <c r="AE375" s="543"/>
      <c r="AF375" s="543"/>
    </row>
    <row r="376" spans="1:32">
      <c r="A376" s="533"/>
      <c r="B376" s="534"/>
      <c r="C376" s="535"/>
      <c r="D376" s="12"/>
      <c r="E376" s="13"/>
      <c r="F376" s="14"/>
      <c r="G376" s="543"/>
      <c r="H376" s="543"/>
      <c r="I376" s="543"/>
      <c r="J376" s="543"/>
      <c r="K376" s="543"/>
      <c r="L376" s="543"/>
      <c r="M376" s="543"/>
      <c r="N376" s="543"/>
      <c r="O376" s="543"/>
      <c r="P376" s="543"/>
      <c r="Q376" s="543"/>
      <c r="R376" s="543"/>
      <c r="S376" s="543"/>
      <c r="T376" s="543"/>
      <c r="U376" s="543"/>
      <c r="V376" s="543"/>
      <c r="W376" s="543"/>
      <c r="X376" s="543"/>
      <c r="Y376" s="543"/>
      <c r="Z376" s="543"/>
      <c r="AA376" s="543"/>
      <c r="AB376" s="543"/>
      <c r="AC376" s="543"/>
      <c r="AD376" s="543"/>
      <c r="AE376" s="543"/>
      <c r="AF376" s="543"/>
    </row>
    <row r="377" spans="1:32">
      <c r="A377" s="533"/>
      <c r="B377" s="534"/>
      <c r="C377" s="535"/>
      <c r="D377" s="12"/>
      <c r="E377" s="13"/>
      <c r="F377" s="14"/>
      <c r="G377" s="543"/>
      <c r="H377" s="543"/>
      <c r="I377" s="543"/>
      <c r="J377" s="543"/>
      <c r="K377" s="543"/>
      <c r="L377" s="543"/>
      <c r="M377" s="543"/>
      <c r="N377" s="543"/>
      <c r="O377" s="543"/>
      <c r="P377" s="543"/>
      <c r="Q377" s="543"/>
      <c r="R377" s="543"/>
      <c r="S377" s="543"/>
      <c r="T377" s="543"/>
      <c r="U377" s="543"/>
      <c r="V377" s="543"/>
      <c r="W377" s="543"/>
      <c r="X377" s="543"/>
      <c r="Y377" s="543"/>
      <c r="Z377" s="543"/>
      <c r="AA377" s="543"/>
      <c r="AB377" s="543"/>
      <c r="AC377" s="543"/>
      <c r="AD377" s="543"/>
      <c r="AE377" s="543"/>
      <c r="AF377" s="543"/>
    </row>
    <row r="378" spans="1:32">
      <c r="A378" s="533"/>
      <c r="B378" s="534"/>
      <c r="C378" s="535"/>
      <c r="D378" s="12"/>
      <c r="E378" s="13"/>
      <c r="F378" s="14"/>
      <c r="G378" s="543"/>
      <c r="H378" s="543"/>
      <c r="I378" s="543"/>
      <c r="J378" s="543"/>
      <c r="K378" s="543"/>
      <c r="L378" s="543"/>
      <c r="M378" s="543"/>
      <c r="N378" s="543"/>
      <c r="O378" s="543"/>
      <c r="P378" s="543"/>
      <c r="Q378" s="543"/>
      <c r="R378" s="543"/>
      <c r="S378" s="543"/>
      <c r="T378" s="543"/>
      <c r="U378" s="543"/>
      <c r="V378" s="543"/>
      <c r="W378" s="543"/>
      <c r="X378" s="543"/>
      <c r="Y378" s="543"/>
      <c r="Z378" s="543"/>
      <c r="AA378" s="543"/>
      <c r="AB378" s="543"/>
      <c r="AC378" s="543"/>
      <c r="AD378" s="543"/>
      <c r="AE378" s="543"/>
      <c r="AF378" s="543"/>
    </row>
    <row r="379" spans="1:32">
      <c r="A379" s="533"/>
      <c r="B379" s="534"/>
      <c r="C379" s="535"/>
      <c r="D379" s="12"/>
      <c r="E379" s="13"/>
      <c r="F379" s="14"/>
      <c r="G379" s="543"/>
      <c r="H379" s="543"/>
      <c r="I379" s="543"/>
      <c r="J379" s="543"/>
      <c r="K379" s="543"/>
      <c r="L379" s="543"/>
      <c r="M379" s="543"/>
      <c r="N379" s="543"/>
      <c r="O379" s="543"/>
      <c r="P379" s="543"/>
      <c r="Q379" s="543"/>
      <c r="R379" s="543"/>
      <c r="S379" s="543"/>
      <c r="T379" s="543"/>
      <c r="U379" s="543"/>
      <c r="V379" s="543"/>
      <c r="W379" s="543"/>
      <c r="X379" s="543"/>
      <c r="Y379" s="543"/>
      <c r="Z379" s="543"/>
      <c r="AA379" s="543"/>
      <c r="AB379" s="543"/>
      <c r="AC379" s="543"/>
      <c r="AD379" s="543"/>
      <c r="AE379" s="543"/>
      <c r="AF379" s="543"/>
    </row>
    <row r="380" spans="1:32">
      <c r="A380" s="533"/>
      <c r="B380" s="534"/>
      <c r="C380" s="535"/>
      <c r="D380" s="12"/>
      <c r="E380" s="13"/>
      <c r="F380" s="14"/>
      <c r="G380" s="543"/>
      <c r="H380" s="543"/>
      <c r="I380" s="543"/>
      <c r="J380" s="543"/>
      <c r="K380" s="543"/>
      <c r="L380" s="543"/>
      <c r="M380" s="543"/>
      <c r="N380" s="543"/>
      <c r="O380" s="543"/>
      <c r="P380" s="543"/>
      <c r="Q380" s="543"/>
      <c r="R380" s="543"/>
      <c r="S380" s="543"/>
      <c r="T380" s="543"/>
      <c r="U380" s="543"/>
      <c r="V380" s="543"/>
      <c r="W380" s="543"/>
      <c r="X380" s="543"/>
      <c r="Y380" s="543"/>
      <c r="Z380" s="543"/>
      <c r="AA380" s="543"/>
      <c r="AB380" s="543"/>
      <c r="AC380" s="543"/>
      <c r="AD380" s="543"/>
      <c r="AE380" s="543"/>
      <c r="AF380" s="543"/>
    </row>
    <row r="381" spans="1:32">
      <c r="A381" s="533"/>
      <c r="B381" s="534"/>
      <c r="C381" s="535"/>
      <c r="D381" s="12"/>
      <c r="E381" s="13"/>
      <c r="F381" s="14"/>
      <c r="G381" s="543"/>
      <c r="H381" s="543"/>
      <c r="I381" s="543"/>
      <c r="J381" s="543"/>
      <c r="K381" s="543"/>
      <c r="L381" s="543"/>
      <c r="M381" s="543"/>
      <c r="N381" s="543"/>
      <c r="O381" s="543"/>
      <c r="P381" s="543"/>
      <c r="Q381" s="543"/>
      <c r="R381" s="543"/>
      <c r="S381" s="543"/>
      <c r="T381" s="543"/>
      <c r="U381" s="543"/>
      <c r="V381" s="543"/>
      <c r="W381" s="543"/>
      <c r="X381" s="543"/>
      <c r="Y381" s="543"/>
      <c r="Z381" s="543"/>
      <c r="AA381" s="543"/>
      <c r="AB381" s="543"/>
      <c r="AC381" s="543"/>
      <c r="AD381" s="543"/>
      <c r="AE381" s="543"/>
      <c r="AF381" s="543"/>
    </row>
    <row r="382" spans="1:32">
      <c r="A382" s="533"/>
      <c r="B382" s="534"/>
      <c r="C382" s="535"/>
      <c r="D382" s="12"/>
      <c r="E382" s="13"/>
      <c r="F382" s="14"/>
      <c r="G382" s="543"/>
      <c r="H382" s="543"/>
      <c r="I382" s="543"/>
      <c r="J382" s="543"/>
      <c r="K382" s="543"/>
      <c r="L382" s="543"/>
      <c r="M382" s="543"/>
      <c r="N382" s="543"/>
      <c r="O382" s="543"/>
      <c r="P382" s="543"/>
      <c r="Q382" s="543"/>
      <c r="R382" s="543"/>
      <c r="S382" s="543"/>
      <c r="T382" s="543"/>
      <c r="U382" s="543"/>
      <c r="V382" s="543"/>
      <c r="W382" s="543"/>
      <c r="X382" s="543"/>
      <c r="Y382" s="543"/>
      <c r="Z382" s="543"/>
      <c r="AA382" s="543"/>
      <c r="AB382" s="543"/>
      <c r="AC382" s="543"/>
      <c r="AD382" s="543"/>
      <c r="AE382" s="543"/>
      <c r="AF382" s="543"/>
    </row>
    <row r="383" spans="1:32">
      <c r="A383" s="533"/>
      <c r="B383" s="534"/>
      <c r="C383" s="535"/>
      <c r="D383" s="12"/>
      <c r="E383" s="13"/>
      <c r="F383" s="14"/>
      <c r="G383" s="543"/>
      <c r="H383" s="543"/>
      <c r="I383" s="543"/>
      <c r="J383" s="543"/>
      <c r="K383" s="543"/>
      <c r="L383" s="543"/>
      <c r="M383" s="543"/>
      <c r="N383" s="543"/>
      <c r="O383" s="543"/>
      <c r="P383" s="543"/>
      <c r="Q383" s="543"/>
      <c r="R383" s="543"/>
      <c r="S383" s="543"/>
      <c r="T383" s="543"/>
      <c r="U383" s="543"/>
      <c r="V383" s="543"/>
      <c r="W383" s="543"/>
      <c r="X383" s="543"/>
      <c r="Y383" s="543"/>
      <c r="Z383" s="543"/>
      <c r="AA383" s="543"/>
      <c r="AB383" s="543"/>
      <c r="AC383" s="543"/>
      <c r="AD383" s="543"/>
      <c r="AE383" s="543"/>
      <c r="AF383" s="543"/>
    </row>
    <row r="384" spans="1:32">
      <c r="A384" s="533"/>
      <c r="B384" s="534"/>
      <c r="C384" s="535"/>
      <c r="D384" s="12"/>
      <c r="E384" s="13"/>
      <c r="F384" s="14"/>
      <c r="G384" s="543"/>
      <c r="H384" s="543"/>
      <c r="I384" s="543"/>
      <c r="J384" s="543"/>
      <c r="K384" s="543"/>
      <c r="L384" s="543"/>
      <c r="M384" s="543"/>
      <c r="N384" s="543"/>
      <c r="O384" s="543"/>
      <c r="P384" s="543"/>
      <c r="Q384" s="543"/>
      <c r="R384" s="543"/>
      <c r="S384" s="543"/>
      <c r="T384" s="543"/>
      <c r="U384" s="543"/>
      <c r="V384" s="543"/>
      <c r="W384" s="543"/>
      <c r="X384" s="543"/>
      <c r="Y384" s="543"/>
      <c r="Z384" s="543"/>
      <c r="AA384" s="543"/>
      <c r="AB384" s="543"/>
      <c r="AC384" s="543"/>
      <c r="AD384" s="543"/>
      <c r="AE384" s="543"/>
      <c r="AF384" s="543"/>
    </row>
    <row r="385" spans="1:32">
      <c r="A385" s="533"/>
      <c r="B385" s="534"/>
      <c r="C385" s="535"/>
      <c r="D385" s="12"/>
      <c r="E385" s="13"/>
      <c r="F385" s="14"/>
      <c r="G385" s="543"/>
      <c r="H385" s="543"/>
      <c r="I385" s="543"/>
      <c r="J385" s="543"/>
      <c r="K385" s="543"/>
      <c r="L385" s="543"/>
      <c r="M385" s="543"/>
      <c r="N385" s="543"/>
      <c r="O385" s="543"/>
      <c r="P385" s="543"/>
      <c r="Q385" s="543"/>
      <c r="R385" s="543"/>
      <c r="S385" s="543"/>
      <c r="T385" s="543"/>
      <c r="U385" s="543"/>
      <c r="V385" s="543"/>
      <c r="W385" s="543"/>
      <c r="X385" s="543"/>
      <c r="Y385" s="543"/>
      <c r="Z385" s="543"/>
      <c r="AA385" s="543"/>
      <c r="AB385" s="543"/>
      <c r="AC385" s="543"/>
      <c r="AD385" s="543"/>
      <c r="AE385" s="543"/>
      <c r="AF385" s="543"/>
    </row>
    <row r="386" spans="1:32">
      <c r="A386" s="533"/>
      <c r="B386" s="534"/>
      <c r="C386" s="535"/>
      <c r="D386" s="12"/>
      <c r="E386" s="13"/>
      <c r="F386" s="14"/>
      <c r="G386" s="543"/>
      <c r="H386" s="543"/>
      <c r="I386" s="543"/>
      <c r="J386" s="543"/>
      <c r="K386" s="543"/>
      <c r="L386" s="543"/>
      <c r="M386" s="543"/>
      <c r="N386" s="543"/>
      <c r="O386" s="543"/>
      <c r="P386" s="543"/>
      <c r="Q386" s="543"/>
      <c r="R386" s="543"/>
      <c r="S386" s="543"/>
      <c r="T386" s="543"/>
      <c r="U386" s="543"/>
      <c r="V386" s="543"/>
      <c r="W386" s="543"/>
      <c r="X386" s="543"/>
      <c r="Y386" s="543"/>
      <c r="Z386" s="543"/>
      <c r="AA386" s="543"/>
      <c r="AB386" s="543"/>
      <c r="AC386" s="543"/>
      <c r="AD386" s="543"/>
      <c r="AE386" s="543"/>
      <c r="AF386" s="543"/>
    </row>
    <row r="387" spans="1:32">
      <c r="A387" s="533"/>
      <c r="B387" s="534"/>
      <c r="C387" s="535"/>
      <c r="D387" s="12"/>
      <c r="E387" s="13"/>
      <c r="F387" s="14"/>
      <c r="G387" s="543"/>
      <c r="H387" s="543"/>
      <c r="I387" s="543"/>
      <c r="J387" s="543"/>
      <c r="K387" s="543"/>
      <c r="L387" s="543"/>
      <c r="M387" s="543"/>
      <c r="N387" s="543"/>
      <c r="O387" s="543"/>
      <c r="P387" s="543"/>
      <c r="Q387" s="543"/>
      <c r="R387" s="543"/>
      <c r="S387" s="543"/>
      <c r="T387" s="543"/>
      <c r="U387" s="543"/>
      <c r="V387" s="543"/>
      <c r="W387" s="543"/>
      <c r="X387" s="543"/>
      <c r="Y387" s="543"/>
      <c r="Z387" s="543"/>
      <c r="AA387" s="543"/>
      <c r="AB387" s="543"/>
      <c r="AC387" s="543"/>
      <c r="AD387" s="543"/>
      <c r="AE387" s="543"/>
      <c r="AF387" s="543"/>
    </row>
    <row r="388" spans="1:32">
      <c r="A388" s="533"/>
      <c r="B388" s="534"/>
      <c r="C388" s="535"/>
      <c r="D388" s="12"/>
      <c r="E388" s="13"/>
      <c r="F388" s="14"/>
      <c r="G388" s="543"/>
      <c r="H388" s="543"/>
      <c r="I388" s="543"/>
      <c r="J388" s="543"/>
      <c r="K388" s="543"/>
      <c r="L388" s="543"/>
      <c r="M388" s="543"/>
      <c r="N388" s="543"/>
      <c r="O388" s="543"/>
      <c r="P388" s="543"/>
      <c r="Q388" s="543"/>
      <c r="R388" s="543"/>
      <c r="S388" s="543"/>
      <c r="T388" s="543"/>
      <c r="U388" s="543"/>
      <c r="V388" s="543"/>
      <c r="W388" s="543"/>
      <c r="X388" s="543"/>
      <c r="Y388" s="543"/>
      <c r="Z388" s="543"/>
      <c r="AA388" s="543"/>
      <c r="AB388" s="543"/>
      <c r="AC388" s="543"/>
      <c r="AD388" s="543"/>
      <c r="AE388" s="543"/>
      <c r="AF388" s="543"/>
    </row>
    <row r="389" spans="1:32">
      <c r="A389" s="533"/>
      <c r="B389" s="534"/>
      <c r="C389" s="535"/>
      <c r="D389" s="12"/>
      <c r="E389" s="13"/>
      <c r="F389" s="14"/>
      <c r="G389" s="543"/>
      <c r="H389" s="543"/>
      <c r="I389" s="543"/>
      <c r="J389" s="543"/>
      <c r="K389" s="543"/>
      <c r="L389" s="543"/>
      <c r="M389" s="543"/>
      <c r="N389" s="543"/>
      <c r="O389" s="543"/>
      <c r="P389" s="543"/>
      <c r="Q389" s="543"/>
      <c r="R389" s="543"/>
      <c r="S389" s="543"/>
      <c r="T389" s="543"/>
      <c r="U389" s="543"/>
      <c r="V389" s="543"/>
      <c r="W389" s="543"/>
      <c r="X389" s="543"/>
      <c r="Y389" s="543"/>
      <c r="Z389" s="543"/>
      <c r="AA389" s="543"/>
      <c r="AB389" s="543"/>
      <c r="AC389" s="543"/>
      <c r="AD389" s="543"/>
      <c r="AE389" s="543"/>
      <c r="AF389" s="543"/>
    </row>
    <row r="390" spans="1:32">
      <c r="A390" s="533"/>
      <c r="B390" s="534"/>
      <c r="C390" s="535"/>
      <c r="D390" s="12"/>
      <c r="E390" s="13"/>
      <c r="F390" s="14"/>
      <c r="G390" s="543"/>
      <c r="H390" s="543"/>
      <c r="I390" s="543"/>
      <c r="J390" s="543"/>
      <c r="K390" s="543"/>
      <c r="L390" s="543"/>
      <c r="M390" s="543"/>
      <c r="N390" s="543"/>
      <c r="O390" s="543"/>
      <c r="P390" s="543"/>
      <c r="Q390" s="543"/>
      <c r="R390" s="543"/>
      <c r="S390" s="543"/>
      <c r="T390" s="543"/>
      <c r="U390" s="543"/>
      <c r="V390" s="543"/>
      <c r="W390" s="543"/>
      <c r="X390" s="543"/>
      <c r="Y390" s="543"/>
      <c r="Z390" s="543"/>
      <c r="AA390" s="543"/>
      <c r="AB390" s="543"/>
      <c r="AC390" s="543"/>
      <c r="AD390" s="543"/>
      <c r="AE390" s="543"/>
      <c r="AF390" s="543"/>
    </row>
    <row r="391" spans="1:32">
      <c r="A391" s="533"/>
      <c r="B391" s="534"/>
      <c r="C391" s="535"/>
      <c r="D391" s="12"/>
      <c r="E391" s="13"/>
      <c r="F391" s="14"/>
      <c r="G391" s="543"/>
      <c r="H391" s="543"/>
      <c r="I391" s="543"/>
      <c r="J391" s="543"/>
      <c r="K391" s="543"/>
      <c r="L391" s="543"/>
      <c r="M391" s="543"/>
      <c r="N391" s="543"/>
      <c r="O391" s="543"/>
      <c r="P391" s="543"/>
      <c r="Q391" s="543"/>
      <c r="R391" s="543"/>
      <c r="S391" s="543"/>
      <c r="T391" s="543"/>
      <c r="U391" s="543"/>
      <c r="V391" s="543"/>
      <c r="W391" s="543"/>
      <c r="X391" s="543"/>
      <c r="Y391" s="543"/>
      <c r="Z391" s="543"/>
      <c r="AA391" s="543"/>
      <c r="AB391" s="543"/>
      <c r="AC391" s="543"/>
      <c r="AD391" s="543"/>
      <c r="AE391" s="543"/>
      <c r="AF391" s="543"/>
    </row>
    <row r="392" spans="1:32">
      <c r="A392" s="533"/>
      <c r="B392" s="534"/>
      <c r="C392" s="535"/>
      <c r="D392" s="12"/>
      <c r="E392" s="13"/>
      <c r="F392" s="14"/>
      <c r="G392" s="543"/>
      <c r="H392" s="543"/>
      <c r="I392" s="543"/>
      <c r="J392" s="543"/>
      <c r="K392" s="543"/>
      <c r="L392" s="543"/>
      <c r="M392" s="543"/>
      <c r="N392" s="543"/>
      <c r="O392" s="543"/>
      <c r="P392" s="543"/>
      <c r="Q392" s="543"/>
      <c r="R392" s="543"/>
      <c r="S392" s="543"/>
      <c r="T392" s="543"/>
      <c r="U392" s="543"/>
      <c r="V392" s="543"/>
      <c r="W392" s="543"/>
      <c r="X392" s="543"/>
      <c r="Y392" s="543"/>
      <c r="Z392" s="543"/>
      <c r="AA392" s="543"/>
      <c r="AB392" s="543"/>
      <c r="AC392" s="543"/>
      <c r="AD392" s="543"/>
      <c r="AE392" s="543"/>
      <c r="AF392" s="543"/>
    </row>
    <row r="393" spans="1:32">
      <c r="A393" s="533"/>
      <c r="B393" s="534"/>
      <c r="C393" s="535"/>
      <c r="D393" s="12"/>
      <c r="E393" s="13"/>
      <c r="F393" s="14"/>
      <c r="G393" s="543"/>
      <c r="H393" s="543"/>
      <c r="I393" s="543"/>
      <c r="J393" s="543"/>
      <c r="K393" s="543"/>
      <c r="L393" s="543"/>
      <c r="M393" s="543"/>
      <c r="N393" s="543"/>
      <c r="O393" s="543"/>
      <c r="P393" s="543"/>
      <c r="Q393" s="543"/>
      <c r="R393" s="543"/>
      <c r="S393" s="543"/>
      <c r="T393" s="543"/>
      <c r="U393" s="543"/>
      <c r="V393" s="543"/>
      <c r="W393" s="543"/>
      <c r="X393" s="543"/>
      <c r="Y393" s="543"/>
      <c r="Z393" s="543"/>
      <c r="AA393" s="543"/>
      <c r="AB393" s="543"/>
      <c r="AC393" s="543"/>
      <c r="AD393" s="543"/>
      <c r="AE393" s="543"/>
      <c r="AF393" s="543"/>
    </row>
    <row r="394" spans="1:32">
      <c r="A394" s="533"/>
      <c r="B394" s="534"/>
      <c r="C394" s="535"/>
      <c r="D394" s="12"/>
      <c r="E394" s="13"/>
      <c r="F394" s="14"/>
      <c r="G394" s="543"/>
      <c r="H394" s="543"/>
      <c r="I394" s="543"/>
      <c r="J394" s="543"/>
      <c r="K394" s="543"/>
      <c r="L394" s="543"/>
      <c r="M394" s="543"/>
      <c r="N394" s="543"/>
      <c r="O394" s="543"/>
      <c r="P394" s="543"/>
      <c r="Q394" s="543"/>
      <c r="R394" s="543"/>
      <c r="S394" s="543"/>
      <c r="T394" s="543"/>
      <c r="U394" s="543"/>
      <c r="V394" s="543"/>
      <c r="W394" s="543"/>
      <c r="X394" s="543"/>
      <c r="Y394" s="543"/>
      <c r="Z394" s="543"/>
      <c r="AA394" s="543"/>
      <c r="AB394" s="543"/>
      <c r="AC394" s="543"/>
      <c r="AD394" s="543"/>
      <c r="AE394" s="543"/>
      <c r="AF394" s="543"/>
    </row>
    <row r="395" spans="1:32">
      <c r="A395" s="533"/>
      <c r="B395" s="534"/>
      <c r="C395" s="535"/>
      <c r="D395" s="12"/>
      <c r="E395" s="13"/>
      <c r="F395" s="14"/>
      <c r="G395" s="543"/>
      <c r="H395" s="543"/>
      <c r="I395" s="543"/>
      <c r="J395" s="543"/>
      <c r="K395" s="543"/>
      <c r="L395" s="543"/>
      <c r="M395" s="543"/>
      <c r="N395" s="543"/>
      <c r="O395" s="543"/>
      <c r="P395" s="543"/>
      <c r="Q395" s="543"/>
      <c r="R395" s="543"/>
      <c r="S395" s="543"/>
      <c r="T395" s="543"/>
      <c r="U395" s="543"/>
      <c r="V395" s="543"/>
      <c r="W395" s="543"/>
      <c r="X395" s="543"/>
      <c r="Y395" s="543"/>
      <c r="Z395" s="543"/>
      <c r="AA395" s="543"/>
      <c r="AB395" s="543"/>
      <c r="AC395" s="543"/>
      <c r="AD395" s="543"/>
      <c r="AE395" s="543"/>
      <c r="AF395" s="543"/>
    </row>
    <row r="396" spans="1:32">
      <c r="A396" s="533"/>
      <c r="B396" s="534"/>
      <c r="C396" s="535"/>
      <c r="D396" s="12"/>
      <c r="E396" s="13"/>
      <c r="F396" s="14"/>
      <c r="G396" s="543"/>
      <c r="H396" s="543"/>
      <c r="I396" s="543"/>
      <c r="J396" s="543"/>
      <c r="K396" s="543"/>
      <c r="L396" s="543"/>
      <c r="M396" s="543"/>
      <c r="N396" s="543"/>
      <c r="O396" s="543"/>
      <c r="P396" s="543"/>
      <c r="Q396" s="543"/>
      <c r="R396" s="543"/>
      <c r="S396" s="543"/>
      <c r="T396" s="543"/>
      <c r="U396" s="543"/>
      <c r="V396" s="543"/>
      <c r="W396" s="543"/>
      <c r="X396" s="543"/>
      <c r="Y396" s="543"/>
      <c r="Z396" s="543"/>
      <c r="AA396" s="543"/>
      <c r="AB396" s="543"/>
      <c r="AC396" s="543"/>
      <c r="AD396" s="543"/>
      <c r="AE396" s="543"/>
      <c r="AF396" s="543"/>
    </row>
    <row r="397" spans="1:32">
      <c r="A397" s="533"/>
      <c r="B397" s="534"/>
      <c r="C397" s="535"/>
      <c r="D397" s="12"/>
      <c r="E397" s="13"/>
      <c r="F397" s="14"/>
      <c r="G397" s="543"/>
      <c r="H397" s="543"/>
      <c r="I397" s="543"/>
      <c r="J397" s="543"/>
      <c r="K397" s="543"/>
      <c r="L397" s="543"/>
      <c r="M397" s="543"/>
      <c r="N397" s="543"/>
      <c r="O397" s="543"/>
      <c r="P397" s="543"/>
      <c r="Q397" s="543"/>
      <c r="R397" s="543"/>
      <c r="S397" s="543"/>
      <c r="T397" s="543"/>
      <c r="U397" s="543"/>
      <c r="V397" s="543"/>
      <c r="W397" s="543"/>
      <c r="X397" s="543"/>
      <c r="Y397" s="543"/>
      <c r="Z397" s="543"/>
      <c r="AA397" s="543"/>
      <c r="AB397" s="543"/>
      <c r="AC397" s="543"/>
      <c r="AD397" s="543"/>
      <c r="AE397" s="543"/>
      <c r="AF397" s="543"/>
    </row>
    <row r="398" spans="1:32">
      <c r="A398" s="533"/>
      <c r="B398" s="534"/>
      <c r="C398" s="535"/>
      <c r="D398" s="12"/>
      <c r="E398" s="13"/>
      <c r="F398" s="14"/>
      <c r="G398" s="543"/>
      <c r="H398" s="543"/>
      <c r="I398" s="543"/>
      <c r="J398" s="543"/>
      <c r="K398" s="543"/>
      <c r="L398" s="543"/>
      <c r="M398" s="543"/>
      <c r="N398" s="543"/>
      <c r="O398" s="543"/>
      <c r="P398" s="543"/>
      <c r="Q398" s="543"/>
      <c r="R398" s="543"/>
      <c r="S398" s="543"/>
      <c r="T398" s="543"/>
      <c r="U398" s="543"/>
      <c r="V398" s="543"/>
      <c r="W398" s="543"/>
      <c r="X398" s="543"/>
      <c r="Y398" s="543"/>
      <c r="Z398" s="543"/>
      <c r="AA398" s="543"/>
      <c r="AB398" s="543"/>
      <c r="AC398" s="543"/>
      <c r="AD398" s="543"/>
      <c r="AE398" s="543"/>
      <c r="AF398" s="543"/>
    </row>
    <row r="399" spans="1:32">
      <c r="A399" s="533"/>
      <c r="B399" s="534"/>
      <c r="C399" s="535"/>
      <c r="D399" s="12"/>
      <c r="E399" s="13"/>
      <c r="F399" s="14"/>
      <c r="G399" s="543"/>
      <c r="H399" s="543"/>
      <c r="I399" s="543"/>
      <c r="J399" s="543"/>
      <c r="K399" s="543"/>
      <c r="L399" s="543"/>
      <c r="M399" s="543"/>
      <c r="N399" s="543"/>
      <c r="O399" s="543"/>
      <c r="P399" s="543"/>
      <c r="Q399" s="543"/>
      <c r="R399" s="543"/>
      <c r="S399" s="543"/>
      <c r="T399" s="543"/>
      <c r="U399" s="543"/>
      <c r="V399" s="543"/>
      <c r="W399" s="543"/>
      <c r="X399" s="543"/>
      <c r="Y399" s="543"/>
      <c r="Z399" s="543"/>
      <c r="AA399" s="543"/>
      <c r="AB399" s="543"/>
      <c r="AC399" s="543"/>
      <c r="AD399" s="543"/>
      <c r="AE399" s="543"/>
      <c r="AF399" s="543"/>
    </row>
    <row r="400" spans="1:32">
      <c r="A400" s="533"/>
      <c r="B400" s="534"/>
      <c r="C400" s="535"/>
      <c r="D400" s="12"/>
      <c r="E400" s="13"/>
      <c r="F400" s="14"/>
      <c r="G400" s="543"/>
      <c r="H400" s="543"/>
      <c r="I400" s="543"/>
      <c r="J400" s="543"/>
      <c r="K400" s="543"/>
      <c r="L400" s="543"/>
      <c r="M400" s="543"/>
      <c r="N400" s="543"/>
      <c r="O400" s="543"/>
      <c r="P400" s="543"/>
      <c r="Q400" s="543"/>
      <c r="R400" s="543"/>
      <c r="S400" s="543"/>
      <c r="T400" s="543"/>
      <c r="U400" s="543"/>
      <c r="V400" s="543"/>
      <c r="W400" s="543"/>
      <c r="X400" s="543"/>
      <c r="Y400" s="543"/>
      <c r="Z400" s="543"/>
      <c r="AA400" s="543"/>
      <c r="AB400" s="543"/>
      <c r="AC400" s="543"/>
      <c r="AD400" s="543"/>
      <c r="AE400" s="543"/>
      <c r="AF400" s="543"/>
    </row>
    <row r="401" spans="1:32">
      <c r="A401" s="533"/>
      <c r="B401" s="534"/>
      <c r="C401" s="535"/>
      <c r="D401" s="12"/>
      <c r="E401" s="13"/>
      <c r="F401" s="14"/>
      <c r="G401" s="543"/>
      <c r="H401" s="543"/>
      <c r="I401" s="543"/>
      <c r="J401" s="543"/>
      <c r="K401" s="543"/>
      <c r="L401" s="543"/>
      <c r="M401" s="543"/>
      <c r="N401" s="543"/>
      <c r="O401" s="543"/>
      <c r="P401" s="543"/>
      <c r="Q401" s="543"/>
      <c r="R401" s="543"/>
      <c r="S401" s="543"/>
      <c r="T401" s="543"/>
      <c r="U401" s="543"/>
      <c r="V401" s="543"/>
      <c r="W401" s="543"/>
      <c r="X401" s="543"/>
      <c r="Y401" s="543"/>
      <c r="Z401" s="543"/>
      <c r="AA401" s="543"/>
      <c r="AB401" s="543"/>
      <c r="AC401" s="543"/>
      <c r="AD401" s="543"/>
      <c r="AE401" s="543"/>
      <c r="AF401" s="543"/>
    </row>
    <row r="402" spans="1:32">
      <c r="A402" s="533"/>
      <c r="B402" s="534"/>
      <c r="C402" s="535"/>
      <c r="D402" s="12"/>
      <c r="E402" s="13"/>
      <c r="F402" s="14"/>
      <c r="G402" s="543"/>
      <c r="H402" s="543"/>
      <c r="I402" s="543"/>
      <c r="J402" s="543"/>
      <c r="K402" s="543"/>
      <c r="L402" s="543"/>
      <c r="M402" s="543"/>
      <c r="N402" s="543"/>
      <c r="O402" s="543"/>
      <c r="P402" s="543"/>
      <c r="Q402" s="543"/>
      <c r="R402" s="543"/>
      <c r="S402" s="543"/>
      <c r="T402" s="543"/>
      <c r="U402" s="543"/>
      <c r="V402" s="543"/>
      <c r="W402" s="543"/>
      <c r="X402" s="543"/>
      <c r="Y402" s="543"/>
      <c r="Z402" s="543"/>
      <c r="AA402" s="543"/>
      <c r="AB402" s="543"/>
      <c r="AC402" s="543"/>
      <c r="AD402" s="543"/>
      <c r="AE402" s="543"/>
      <c r="AF402" s="543"/>
    </row>
    <row r="403" spans="1:32">
      <c r="A403" s="533"/>
      <c r="B403" s="534"/>
      <c r="C403" s="535"/>
      <c r="D403" s="12"/>
      <c r="E403" s="13"/>
      <c r="F403" s="14"/>
      <c r="G403" s="543"/>
      <c r="H403" s="543"/>
      <c r="I403" s="543"/>
      <c r="J403" s="543"/>
      <c r="K403" s="543"/>
      <c r="L403" s="543"/>
      <c r="M403" s="543"/>
      <c r="N403" s="543"/>
      <c r="O403" s="543"/>
      <c r="P403" s="543"/>
      <c r="Q403" s="543"/>
      <c r="R403" s="543"/>
      <c r="S403" s="543"/>
      <c r="T403" s="543"/>
      <c r="U403" s="543"/>
      <c r="V403" s="543"/>
      <c r="W403" s="543"/>
      <c r="X403" s="543"/>
      <c r="Y403" s="543"/>
      <c r="Z403" s="543"/>
      <c r="AA403" s="543"/>
      <c r="AB403" s="543"/>
      <c r="AC403" s="543"/>
      <c r="AD403" s="543"/>
      <c r="AE403" s="543"/>
      <c r="AF403" s="543"/>
    </row>
    <row r="404" spans="1:32">
      <c r="A404" s="533"/>
      <c r="B404" s="534"/>
      <c r="C404" s="535"/>
      <c r="D404" s="12"/>
      <c r="E404" s="13"/>
      <c r="F404" s="14"/>
      <c r="G404" s="543"/>
      <c r="H404" s="543"/>
      <c r="I404" s="543"/>
      <c r="J404" s="543"/>
      <c r="K404" s="543"/>
      <c r="L404" s="543"/>
      <c r="M404" s="543"/>
      <c r="N404" s="543"/>
      <c r="O404" s="543"/>
      <c r="P404" s="543"/>
      <c r="Q404" s="543"/>
      <c r="R404" s="543"/>
      <c r="S404" s="543"/>
      <c r="T404" s="543"/>
      <c r="U404" s="543"/>
      <c r="V404" s="543"/>
      <c r="W404" s="543"/>
      <c r="X404" s="543"/>
      <c r="Y404" s="543"/>
      <c r="Z404" s="543"/>
      <c r="AA404" s="543"/>
      <c r="AB404" s="543"/>
      <c r="AC404" s="543"/>
      <c r="AD404" s="543"/>
      <c r="AE404" s="543"/>
      <c r="AF404" s="543"/>
    </row>
    <row r="405" spans="1:32">
      <c r="A405" s="533"/>
      <c r="B405" s="534"/>
      <c r="C405" s="535"/>
      <c r="D405" s="12"/>
      <c r="E405" s="13"/>
      <c r="F405" s="14"/>
      <c r="G405" s="543"/>
      <c r="H405" s="543"/>
      <c r="I405" s="543"/>
      <c r="J405" s="543"/>
      <c r="K405" s="543"/>
      <c r="L405" s="543"/>
      <c r="M405" s="543"/>
      <c r="N405" s="543"/>
      <c r="O405" s="543"/>
      <c r="P405" s="543"/>
      <c r="Q405" s="543"/>
      <c r="R405" s="543"/>
      <c r="S405" s="543"/>
      <c r="T405" s="543"/>
      <c r="U405" s="543"/>
      <c r="V405" s="543"/>
      <c r="W405" s="543"/>
      <c r="X405" s="543"/>
      <c r="Y405" s="543"/>
      <c r="Z405" s="543"/>
      <c r="AA405" s="543"/>
      <c r="AB405" s="543"/>
      <c r="AC405" s="543"/>
      <c r="AD405" s="543"/>
      <c r="AE405" s="543"/>
      <c r="AF405" s="543"/>
    </row>
    <row r="406" spans="1:32">
      <c r="A406" s="533"/>
      <c r="B406" s="534"/>
      <c r="C406" s="535"/>
      <c r="D406" s="12"/>
      <c r="E406" s="13"/>
      <c r="F406" s="14"/>
      <c r="G406" s="543"/>
      <c r="H406" s="543"/>
      <c r="I406" s="543"/>
      <c r="J406" s="543"/>
      <c r="K406" s="543"/>
      <c r="L406" s="543"/>
      <c r="M406" s="543"/>
      <c r="N406" s="543"/>
      <c r="O406" s="543"/>
      <c r="P406" s="543"/>
      <c r="Q406" s="543"/>
      <c r="R406" s="543"/>
      <c r="S406" s="543"/>
      <c r="T406" s="543"/>
      <c r="U406" s="543"/>
      <c r="V406" s="543"/>
      <c r="W406" s="543"/>
      <c r="X406" s="543"/>
      <c r="Y406" s="543"/>
      <c r="Z406" s="543"/>
      <c r="AA406" s="543"/>
      <c r="AB406" s="543"/>
      <c r="AC406" s="543"/>
      <c r="AD406" s="543"/>
      <c r="AE406" s="543"/>
      <c r="AF406" s="543"/>
    </row>
    <row r="407" spans="1:32">
      <c r="A407" s="533"/>
      <c r="B407" s="534"/>
      <c r="C407" s="535"/>
      <c r="D407" s="12"/>
      <c r="E407" s="13"/>
      <c r="F407" s="14"/>
      <c r="G407" s="543"/>
      <c r="H407" s="543"/>
      <c r="I407" s="543"/>
      <c r="J407" s="543"/>
      <c r="K407" s="543"/>
      <c r="L407" s="543"/>
      <c r="M407" s="543"/>
      <c r="N407" s="543"/>
      <c r="O407" s="543"/>
      <c r="P407" s="543"/>
      <c r="Q407" s="543"/>
      <c r="R407" s="543"/>
      <c r="S407" s="543"/>
      <c r="T407" s="543"/>
      <c r="U407" s="543"/>
      <c r="V407" s="543"/>
      <c r="W407" s="543"/>
      <c r="X407" s="543"/>
      <c r="Y407" s="543"/>
      <c r="Z407" s="543"/>
      <c r="AA407" s="543"/>
      <c r="AB407" s="543"/>
      <c r="AC407" s="543"/>
      <c r="AD407" s="543"/>
      <c r="AE407" s="543"/>
      <c r="AF407" s="543"/>
    </row>
    <row r="408" spans="1:32">
      <c r="A408" s="533"/>
      <c r="B408" s="534"/>
      <c r="C408" s="535"/>
      <c r="D408" s="12"/>
      <c r="E408" s="13"/>
      <c r="F408" s="14"/>
      <c r="G408" s="543"/>
      <c r="H408" s="543"/>
      <c r="I408" s="543"/>
      <c r="J408" s="543"/>
      <c r="K408" s="543"/>
      <c r="L408" s="543"/>
      <c r="M408" s="543"/>
      <c r="N408" s="543"/>
      <c r="O408" s="543"/>
      <c r="P408" s="543"/>
      <c r="Q408" s="543"/>
      <c r="R408" s="543"/>
      <c r="S408" s="543"/>
      <c r="T408" s="543"/>
      <c r="U408" s="543"/>
      <c r="V408" s="543"/>
      <c r="W408" s="543"/>
      <c r="X408" s="543"/>
      <c r="Y408" s="543"/>
      <c r="Z408" s="543"/>
      <c r="AA408" s="543"/>
      <c r="AB408" s="543"/>
      <c r="AC408" s="543"/>
      <c r="AD408" s="543"/>
      <c r="AE408" s="543"/>
      <c r="AF408" s="543"/>
    </row>
    <row r="409" spans="1:32">
      <c r="A409" s="533"/>
      <c r="B409" s="534"/>
      <c r="C409" s="535"/>
      <c r="D409" s="12"/>
      <c r="E409" s="13"/>
      <c r="F409" s="14"/>
      <c r="G409" s="543"/>
      <c r="H409" s="543"/>
      <c r="I409" s="543"/>
      <c r="J409" s="543"/>
      <c r="K409" s="543"/>
      <c r="L409" s="543"/>
      <c r="M409" s="543"/>
      <c r="N409" s="543"/>
      <c r="O409" s="543"/>
      <c r="P409" s="543"/>
      <c r="Q409" s="543"/>
      <c r="R409" s="543"/>
      <c r="S409" s="543"/>
      <c r="T409" s="543"/>
      <c r="U409" s="543"/>
      <c r="V409" s="543"/>
      <c r="W409" s="543"/>
      <c r="X409" s="543"/>
      <c r="Y409" s="543"/>
      <c r="Z409" s="543"/>
      <c r="AA409" s="543"/>
      <c r="AB409" s="543"/>
      <c r="AC409" s="543"/>
      <c r="AD409" s="543"/>
      <c r="AE409" s="543"/>
      <c r="AF409" s="543"/>
    </row>
    <row r="410" spans="1:32">
      <c r="A410" s="533"/>
      <c r="B410" s="534"/>
      <c r="C410" s="535"/>
      <c r="D410" s="12"/>
      <c r="E410" s="13"/>
      <c r="F410" s="14"/>
      <c r="G410" s="543"/>
      <c r="H410" s="543"/>
      <c r="I410" s="543"/>
      <c r="J410" s="543"/>
      <c r="K410" s="543"/>
      <c r="L410" s="543"/>
      <c r="M410" s="543"/>
      <c r="N410" s="543"/>
      <c r="O410" s="543"/>
      <c r="P410" s="543"/>
      <c r="Q410" s="543"/>
      <c r="R410" s="543"/>
      <c r="S410" s="543"/>
      <c r="T410" s="543"/>
      <c r="U410" s="543"/>
      <c r="V410" s="543"/>
      <c r="W410" s="543"/>
      <c r="X410" s="543"/>
      <c r="Y410" s="543"/>
      <c r="Z410" s="543"/>
      <c r="AA410" s="543"/>
      <c r="AB410" s="543"/>
      <c r="AC410" s="543"/>
      <c r="AD410" s="543"/>
      <c r="AE410" s="543"/>
      <c r="AF410" s="543"/>
    </row>
    <row r="411" spans="1:32">
      <c r="A411" s="533"/>
      <c r="B411" s="534"/>
      <c r="C411" s="535"/>
      <c r="D411" s="12"/>
      <c r="E411" s="13"/>
      <c r="F411" s="14"/>
      <c r="G411" s="543"/>
      <c r="H411" s="543"/>
      <c r="I411" s="543"/>
      <c r="J411" s="543"/>
      <c r="K411" s="543"/>
      <c r="L411" s="543"/>
      <c r="M411" s="543"/>
      <c r="N411" s="543"/>
      <c r="O411" s="543"/>
      <c r="P411" s="543"/>
      <c r="Q411" s="543"/>
      <c r="R411" s="543"/>
      <c r="S411" s="543"/>
      <c r="T411" s="543"/>
      <c r="U411" s="543"/>
      <c r="V411" s="543"/>
      <c r="W411" s="543"/>
      <c r="X411" s="543"/>
      <c r="Y411" s="543"/>
      <c r="Z411" s="543"/>
      <c r="AA411" s="543"/>
      <c r="AB411" s="543"/>
      <c r="AC411" s="543"/>
      <c r="AD411" s="543"/>
      <c r="AE411" s="543"/>
      <c r="AF411" s="543"/>
    </row>
    <row r="412" spans="1:32">
      <c r="A412" s="533"/>
      <c r="B412" s="534"/>
      <c r="C412" s="535"/>
      <c r="D412" s="12"/>
      <c r="E412" s="13"/>
      <c r="F412" s="14"/>
      <c r="G412" s="543"/>
      <c r="H412" s="543"/>
      <c r="I412" s="543"/>
      <c r="J412" s="543"/>
      <c r="K412" s="543"/>
      <c r="L412" s="543"/>
      <c r="M412" s="543"/>
      <c r="N412" s="543"/>
      <c r="O412" s="543"/>
      <c r="P412" s="543"/>
      <c r="Q412" s="543"/>
      <c r="R412" s="543"/>
      <c r="S412" s="543"/>
      <c r="T412" s="543"/>
      <c r="U412" s="543"/>
      <c r="V412" s="543"/>
      <c r="W412" s="543"/>
      <c r="X412" s="543"/>
      <c r="Y412" s="543"/>
      <c r="Z412" s="543"/>
      <c r="AA412" s="543"/>
      <c r="AB412" s="543"/>
      <c r="AC412" s="543"/>
      <c r="AD412" s="543"/>
      <c r="AE412" s="543"/>
      <c r="AF412" s="543"/>
    </row>
    <row r="413" spans="1:32">
      <c r="A413" s="533"/>
      <c r="B413" s="534"/>
      <c r="C413" s="535"/>
      <c r="D413" s="12"/>
      <c r="E413" s="13"/>
      <c r="F413" s="14"/>
      <c r="G413" s="543"/>
      <c r="H413" s="543"/>
      <c r="I413" s="543"/>
      <c r="J413" s="543"/>
      <c r="K413" s="543"/>
      <c r="L413" s="543"/>
      <c r="M413" s="543"/>
      <c r="N413" s="543"/>
      <c r="O413" s="543"/>
      <c r="P413" s="543"/>
      <c r="Q413" s="543"/>
      <c r="R413" s="543"/>
      <c r="S413" s="543"/>
      <c r="T413" s="543"/>
      <c r="U413" s="543"/>
      <c r="V413" s="543"/>
      <c r="W413" s="543"/>
      <c r="X413" s="543"/>
      <c r="Y413" s="543"/>
      <c r="Z413" s="543"/>
      <c r="AA413" s="543"/>
      <c r="AB413" s="543"/>
      <c r="AC413" s="543"/>
      <c r="AD413" s="543"/>
      <c r="AE413" s="543"/>
      <c r="AF413" s="543"/>
    </row>
    <row r="414" spans="1:32">
      <c r="A414" s="533"/>
      <c r="B414" s="534"/>
      <c r="C414" s="535"/>
      <c r="D414" s="12"/>
      <c r="E414" s="13"/>
      <c r="F414" s="14"/>
      <c r="G414" s="543"/>
      <c r="H414" s="543"/>
      <c r="I414" s="543"/>
      <c r="J414" s="543"/>
      <c r="K414" s="543"/>
      <c r="L414" s="543"/>
      <c r="M414" s="543"/>
      <c r="N414" s="543"/>
      <c r="O414" s="543"/>
      <c r="P414" s="543"/>
      <c r="Q414" s="543"/>
      <c r="R414" s="543"/>
      <c r="S414" s="543"/>
      <c r="T414" s="543"/>
      <c r="U414" s="543"/>
      <c r="V414" s="543"/>
      <c r="W414" s="543"/>
      <c r="X414" s="543"/>
      <c r="Y414" s="543"/>
      <c r="Z414" s="543"/>
      <c r="AA414" s="543"/>
      <c r="AB414" s="543"/>
      <c r="AC414" s="543"/>
      <c r="AD414" s="543"/>
      <c r="AE414" s="543"/>
      <c r="AF414" s="543"/>
    </row>
    <row r="415" spans="1:32">
      <c r="A415" s="533"/>
      <c r="B415" s="534"/>
      <c r="C415" s="535"/>
      <c r="D415" s="12"/>
      <c r="E415" s="13"/>
      <c r="F415" s="14"/>
      <c r="G415" s="543"/>
      <c r="H415" s="543"/>
      <c r="I415" s="543"/>
      <c r="J415" s="543"/>
      <c r="K415" s="543"/>
      <c r="L415" s="543"/>
      <c r="M415" s="543"/>
      <c r="N415" s="543"/>
      <c r="O415" s="543"/>
      <c r="P415" s="543"/>
      <c r="Q415" s="543"/>
      <c r="R415" s="543"/>
      <c r="S415" s="543"/>
      <c r="T415" s="543"/>
      <c r="U415" s="543"/>
      <c r="V415" s="543"/>
      <c r="W415" s="543"/>
      <c r="X415" s="543"/>
      <c r="Y415" s="543"/>
      <c r="Z415" s="543"/>
      <c r="AA415" s="543"/>
      <c r="AB415" s="543"/>
      <c r="AC415" s="543"/>
      <c r="AD415" s="543"/>
      <c r="AE415" s="543"/>
      <c r="AF415" s="543"/>
    </row>
    <row r="416" spans="1:32">
      <c r="A416" s="533"/>
      <c r="B416" s="534"/>
      <c r="C416" s="535"/>
      <c r="D416" s="12"/>
      <c r="E416" s="13"/>
      <c r="F416" s="14"/>
      <c r="G416" s="543"/>
      <c r="H416" s="543"/>
      <c r="I416" s="543"/>
      <c r="J416" s="543"/>
      <c r="K416" s="543"/>
      <c r="L416" s="543"/>
      <c r="M416" s="543"/>
      <c r="N416" s="543"/>
      <c r="O416" s="543"/>
      <c r="P416" s="543"/>
      <c r="Q416" s="543"/>
      <c r="R416" s="543"/>
      <c r="S416" s="543"/>
      <c r="T416" s="543"/>
      <c r="U416" s="543"/>
      <c r="V416" s="543"/>
      <c r="W416" s="543"/>
      <c r="X416" s="543"/>
      <c r="Y416" s="543"/>
      <c r="Z416" s="543"/>
      <c r="AA416" s="543"/>
      <c r="AB416" s="543"/>
      <c r="AC416" s="543"/>
      <c r="AD416" s="543"/>
      <c r="AE416" s="543"/>
      <c r="AF416" s="543"/>
    </row>
    <row r="417" spans="1:32">
      <c r="A417" s="533"/>
      <c r="B417" s="534"/>
      <c r="C417" s="535"/>
      <c r="D417" s="12"/>
      <c r="E417" s="13"/>
      <c r="F417" s="14"/>
      <c r="G417" s="543"/>
      <c r="H417" s="543"/>
      <c r="I417" s="543"/>
      <c r="J417" s="543"/>
      <c r="K417" s="543"/>
      <c r="L417" s="543"/>
      <c r="M417" s="543"/>
      <c r="N417" s="543"/>
      <c r="O417" s="543"/>
      <c r="P417" s="543"/>
      <c r="Q417" s="543"/>
      <c r="R417" s="543"/>
      <c r="S417" s="543"/>
      <c r="T417" s="543"/>
      <c r="U417" s="543"/>
      <c r="V417" s="543"/>
      <c r="W417" s="543"/>
      <c r="X417" s="543"/>
      <c r="Y417" s="543"/>
      <c r="Z417" s="543"/>
      <c r="AA417" s="543"/>
      <c r="AB417" s="543"/>
      <c r="AC417" s="543"/>
      <c r="AD417" s="543"/>
      <c r="AE417" s="543"/>
      <c r="AF417" s="543"/>
    </row>
    <row r="418" spans="1:32">
      <c r="A418" s="533"/>
      <c r="B418" s="534"/>
      <c r="C418" s="535"/>
      <c r="D418" s="12"/>
      <c r="E418" s="13"/>
      <c r="F418" s="14"/>
      <c r="G418" s="543"/>
      <c r="H418" s="543"/>
      <c r="I418" s="543"/>
      <c r="J418" s="543"/>
      <c r="K418" s="543"/>
      <c r="L418" s="543"/>
      <c r="M418" s="543"/>
      <c r="N418" s="543"/>
      <c r="O418" s="543"/>
      <c r="P418" s="543"/>
      <c r="Q418" s="543"/>
      <c r="R418" s="543"/>
      <c r="S418" s="543"/>
      <c r="T418" s="543"/>
      <c r="U418" s="543"/>
      <c r="V418" s="543"/>
      <c r="W418" s="543"/>
      <c r="X418" s="543"/>
      <c r="Y418" s="543"/>
      <c r="Z418" s="543"/>
      <c r="AA418" s="543"/>
      <c r="AB418" s="543"/>
      <c r="AC418" s="543"/>
      <c r="AD418" s="543"/>
      <c r="AE418" s="543"/>
      <c r="AF418" s="543"/>
    </row>
    <row r="419" spans="1:32">
      <c r="A419" s="533"/>
      <c r="B419" s="534"/>
      <c r="C419" s="535"/>
      <c r="D419" s="12"/>
      <c r="E419" s="13"/>
      <c r="F419" s="14"/>
      <c r="G419" s="543"/>
      <c r="H419" s="543"/>
      <c r="I419" s="543"/>
      <c r="J419" s="543"/>
      <c r="K419" s="543"/>
      <c r="L419" s="543"/>
      <c r="M419" s="543"/>
      <c r="N419" s="543"/>
      <c r="O419" s="543"/>
      <c r="P419" s="543"/>
      <c r="Q419" s="543"/>
      <c r="R419" s="543"/>
      <c r="S419" s="543"/>
      <c r="T419" s="543"/>
      <c r="U419" s="543"/>
      <c r="V419" s="543"/>
      <c r="W419" s="543"/>
      <c r="X419" s="543"/>
      <c r="Y419" s="543"/>
      <c r="Z419" s="543"/>
      <c r="AA419" s="543"/>
      <c r="AB419" s="543"/>
      <c r="AC419" s="543"/>
      <c r="AD419" s="543"/>
      <c r="AE419" s="543"/>
      <c r="AF419" s="543"/>
    </row>
    <row r="420" spans="1:32">
      <c r="A420" s="533"/>
      <c r="B420" s="534"/>
      <c r="C420" s="535"/>
      <c r="D420" s="12"/>
      <c r="E420" s="13"/>
      <c r="F420" s="14"/>
      <c r="G420" s="543"/>
      <c r="H420" s="543"/>
      <c r="I420" s="543"/>
      <c r="J420" s="543"/>
      <c r="K420" s="543"/>
      <c r="L420" s="543"/>
      <c r="M420" s="543"/>
      <c r="N420" s="543"/>
      <c r="O420" s="543"/>
      <c r="P420" s="543"/>
      <c r="Q420" s="543"/>
      <c r="R420" s="543"/>
      <c r="S420" s="543"/>
      <c r="T420" s="543"/>
      <c r="U420" s="543"/>
      <c r="V420" s="543"/>
      <c r="W420" s="543"/>
      <c r="X420" s="543"/>
      <c r="Y420" s="543"/>
      <c r="Z420" s="543"/>
      <c r="AA420" s="543"/>
      <c r="AB420" s="543"/>
      <c r="AC420" s="543"/>
      <c r="AD420" s="543"/>
      <c r="AE420" s="543"/>
      <c r="AF420" s="543"/>
    </row>
    <row r="421" spans="1:32">
      <c r="A421" s="533"/>
      <c r="B421" s="534"/>
      <c r="C421" s="535"/>
      <c r="D421" s="12"/>
      <c r="E421" s="13"/>
      <c r="F421" s="14"/>
      <c r="G421" s="543"/>
      <c r="H421" s="543"/>
      <c r="I421" s="543"/>
      <c r="J421" s="543"/>
      <c r="K421" s="543"/>
      <c r="L421" s="543"/>
      <c r="M421" s="543"/>
      <c r="N421" s="543"/>
      <c r="O421" s="543"/>
      <c r="P421" s="543"/>
      <c r="Q421" s="543"/>
      <c r="R421" s="543"/>
      <c r="S421" s="543"/>
      <c r="T421" s="543"/>
      <c r="U421" s="543"/>
      <c r="V421" s="543"/>
      <c r="W421" s="543"/>
      <c r="X421" s="543"/>
      <c r="Y421" s="543"/>
      <c r="Z421" s="543"/>
      <c r="AA421" s="543"/>
      <c r="AB421" s="543"/>
      <c r="AC421" s="543"/>
      <c r="AD421" s="543"/>
      <c r="AE421" s="543"/>
      <c r="AF421" s="543"/>
    </row>
    <row r="422" spans="1:32">
      <c r="A422" s="533"/>
      <c r="B422" s="534"/>
      <c r="C422" s="535"/>
      <c r="D422" s="12"/>
      <c r="E422" s="13"/>
      <c r="F422" s="14"/>
      <c r="G422" s="543"/>
      <c r="H422" s="543"/>
      <c r="I422" s="543"/>
      <c r="J422" s="543"/>
      <c r="K422" s="543"/>
      <c r="L422" s="543"/>
      <c r="M422" s="543"/>
      <c r="N422" s="543"/>
      <c r="O422" s="543"/>
      <c r="P422" s="543"/>
      <c r="Q422" s="543"/>
      <c r="R422" s="543"/>
      <c r="S422" s="543"/>
      <c r="T422" s="543"/>
      <c r="U422" s="543"/>
      <c r="V422" s="543"/>
      <c r="W422" s="543"/>
      <c r="X422" s="543"/>
      <c r="Y422" s="543"/>
      <c r="Z422" s="543"/>
      <c r="AA422" s="543"/>
      <c r="AB422" s="543"/>
      <c r="AC422" s="543"/>
      <c r="AD422" s="543"/>
      <c r="AE422" s="543"/>
      <c r="AF422" s="543"/>
    </row>
    <row r="423" spans="1:32">
      <c r="A423" s="533"/>
      <c r="B423" s="534"/>
      <c r="C423" s="535"/>
      <c r="D423" s="12"/>
      <c r="E423" s="13"/>
      <c r="F423" s="14"/>
      <c r="G423" s="543"/>
      <c r="H423" s="543"/>
      <c r="I423" s="543"/>
      <c r="J423" s="543"/>
      <c r="K423" s="543"/>
      <c r="L423" s="543"/>
      <c r="M423" s="543"/>
      <c r="N423" s="543"/>
      <c r="O423" s="543"/>
      <c r="P423" s="543"/>
      <c r="Q423" s="543"/>
      <c r="R423" s="543"/>
      <c r="S423" s="543"/>
      <c r="T423" s="543"/>
      <c r="U423" s="543"/>
      <c r="V423" s="543"/>
      <c r="W423" s="543"/>
      <c r="X423" s="543"/>
      <c r="Y423" s="543"/>
      <c r="Z423" s="543"/>
      <c r="AA423" s="543"/>
      <c r="AB423" s="543"/>
      <c r="AC423" s="543"/>
      <c r="AD423" s="543"/>
      <c r="AE423" s="543"/>
      <c r="AF423" s="543"/>
    </row>
    <row r="424" spans="1:32">
      <c r="A424" s="533"/>
      <c r="B424" s="534"/>
      <c r="C424" s="535"/>
      <c r="D424" s="12"/>
      <c r="E424" s="13"/>
      <c r="F424" s="14"/>
      <c r="G424" s="543"/>
      <c r="H424" s="543"/>
      <c r="I424" s="543"/>
      <c r="J424" s="543"/>
      <c r="K424" s="543"/>
      <c r="L424" s="543"/>
      <c r="M424" s="543"/>
      <c r="N424" s="543"/>
      <c r="O424" s="543"/>
      <c r="P424" s="543"/>
      <c r="Q424" s="543"/>
      <c r="R424" s="543"/>
      <c r="S424" s="543"/>
      <c r="T424" s="543"/>
      <c r="U424" s="543"/>
      <c r="V424" s="543"/>
      <c r="W424" s="543"/>
      <c r="X424" s="543"/>
      <c r="Y424" s="543"/>
      <c r="Z424" s="543"/>
      <c r="AA424" s="543"/>
      <c r="AB424" s="543"/>
      <c r="AC424" s="543"/>
      <c r="AD424" s="543"/>
      <c r="AE424" s="543"/>
      <c r="AF424" s="543"/>
    </row>
    <row r="425" spans="1:32">
      <c r="A425" s="533"/>
      <c r="B425" s="534"/>
      <c r="C425" s="535"/>
      <c r="D425" s="12"/>
      <c r="E425" s="13"/>
      <c r="F425" s="14"/>
      <c r="G425" s="543"/>
      <c r="H425" s="543"/>
      <c r="I425" s="543"/>
      <c r="J425" s="543"/>
      <c r="K425" s="543"/>
      <c r="L425" s="543"/>
      <c r="M425" s="543"/>
      <c r="N425" s="543"/>
      <c r="O425" s="543"/>
      <c r="P425" s="543"/>
      <c r="Q425" s="543"/>
      <c r="R425" s="543"/>
      <c r="S425" s="543"/>
      <c r="T425" s="543"/>
      <c r="U425" s="543"/>
      <c r="V425" s="543"/>
      <c r="W425" s="543"/>
      <c r="X425" s="543"/>
      <c r="Y425" s="543"/>
      <c r="Z425" s="543"/>
      <c r="AA425" s="543"/>
      <c r="AB425" s="543"/>
      <c r="AC425" s="543"/>
      <c r="AD425" s="543"/>
      <c r="AE425" s="543"/>
      <c r="AF425" s="543"/>
    </row>
    <row r="426" spans="1:32">
      <c r="A426" s="533"/>
      <c r="B426" s="534"/>
      <c r="C426" s="535"/>
      <c r="D426" s="12"/>
      <c r="E426" s="13"/>
      <c r="F426" s="14"/>
      <c r="G426" s="543"/>
      <c r="H426" s="543"/>
      <c r="I426" s="543"/>
      <c r="J426" s="543"/>
      <c r="K426" s="543"/>
      <c r="L426" s="543"/>
      <c r="M426" s="543"/>
      <c r="N426" s="543"/>
      <c r="O426" s="543"/>
      <c r="P426" s="543"/>
      <c r="Q426" s="543"/>
      <c r="R426" s="543"/>
      <c r="S426" s="543"/>
      <c r="T426" s="543"/>
      <c r="U426" s="543"/>
      <c r="V426" s="543"/>
      <c r="W426" s="543"/>
      <c r="X426" s="543"/>
      <c r="Y426" s="543"/>
      <c r="Z426" s="543"/>
      <c r="AA426" s="543"/>
      <c r="AB426" s="543"/>
      <c r="AC426" s="543"/>
      <c r="AD426" s="543"/>
      <c r="AE426" s="543"/>
      <c r="AF426" s="543"/>
    </row>
    <row r="427" spans="1:32">
      <c r="A427" s="533"/>
      <c r="B427" s="534"/>
      <c r="C427" s="535"/>
      <c r="D427" s="12"/>
      <c r="E427" s="13"/>
      <c r="F427" s="14"/>
      <c r="G427" s="543"/>
      <c r="H427" s="543"/>
      <c r="I427" s="543"/>
      <c r="J427" s="543"/>
      <c r="K427" s="543"/>
      <c r="L427" s="543"/>
      <c r="M427" s="543"/>
      <c r="N427" s="543"/>
      <c r="O427" s="543"/>
      <c r="P427" s="543"/>
      <c r="Q427" s="543"/>
      <c r="R427" s="543"/>
      <c r="S427" s="543"/>
      <c r="T427" s="543"/>
      <c r="U427" s="543"/>
      <c r="V427" s="543"/>
      <c r="W427" s="543"/>
      <c r="X427" s="543"/>
      <c r="Y427" s="543"/>
      <c r="Z427" s="543"/>
      <c r="AA427" s="543"/>
      <c r="AB427" s="543"/>
      <c r="AC427" s="543"/>
      <c r="AD427" s="543"/>
      <c r="AE427" s="543"/>
      <c r="AF427" s="543"/>
    </row>
    <row r="428" spans="1:32">
      <c r="A428" s="533"/>
      <c r="B428" s="534"/>
      <c r="C428" s="535"/>
      <c r="D428" s="12"/>
      <c r="E428" s="13"/>
      <c r="F428" s="14"/>
      <c r="G428" s="543"/>
      <c r="H428" s="543"/>
      <c r="I428" s="543"/>
      <c r="J428" s="543"/>
      <c r="K428" s="543"/>
      <c r="L428" s="543"/>
      <c r="M428" s="543"/>
      <c r="N428" s="543"/>
      <c r="O428" s="543"/>
      <c r="P428" s="543"/>
      <c r="Q428" s="543"/>
      <c r="R428" s="543"/>
      <c r="S428" s="543"/>
      <c r="T428" s="543"/>
      <c r="U428" s="543"/>
      <c r="V428" s="543"/>
      <c r="W428" s="543"/>
      <c r="X428" s="543"/>
      <c r="Y428" s="543"/>
      <c r="Z428" s="543"/>
      <c r="AA428" s="543"/>
      <c r="AB428" s="543"/>
      <c r="AC428" s="543"/>
      <c r="AD428" s="543"/>
      <c r="AE428" s="543"/>
      <c r="AF428" s="543"/>
    </row>
    <row r="429" spans="1:32">
      <c r="A429" s="533"/>
      <c r="B429" s="534"/>
      <c r="C429" s="535"/>
      <c r="D429" s="12"/>
      <c r="E429" s="13"/>
      <c r="F429" s="14"/>
      <c r="G429" s="543"/>
      <c r="H429" s="543"/>
      <c r="I429" s="543"/>
      <c r="J429" s="543"/>
      <c r="K429" s="543"/>
      <c r="L429" s="543"/>
      <c r="M429" s="543"/>
      <c r="N429" s="543"/>
      <c r="O429" s="543"/>
      <c r="P429" s="543"/>
      <c r="Q429" s="543"/>
      <c r="R429" s="543"/>
      <c r="S429" s="543"/>
      <c r="T429" s="543"/>
      <c r="U429" s="543"/>
      <c r="V429" s="543"/>
      <c r="W429" s="543"/>
      <c r="X429" s="543"/>
      <c r="Y429" s="543"/>
      <c r="Z429" s="543"/>
      <c r="AA429" s="543"/>
      <c r="AB429" s="543"/>
      <c r="AC429" s="543"/>
      <c r="AD429" s="543"/>
      <c r="AE429" s="543"/>
      <c r="AF429" s="543"/>
    </row>
    <row r="430" spans="1:32">
      <c r="A430" s="533"/>
      <c r="B430" s="534"/>
      <c r="C430" s="535"/>
      <c r="D430" s="12"/>
      <c r="E430" s="13"/>
      <c r="F430" s="14"/>
      <c r="G430" s="543"/>
      <c r="H430" s="543"/>
      <c r="I430" s="543"/>
      <c r="J430" s="543"/>
      <c r="K430" s="543"/>
      <c r="L430" s="543"/>
      <c r="M430" s="543"/>
      <c r="N430" s="543"/>
      <c r="O430" s="543"/>
      <c r="P430" s="543"/>
      <c r="Q430" s="543"/>
      <c r="R430" s="543"/>
      <c r="S430" s="543"/>
      <c r="T430" s="543"/>
      <c r="U430" s="543"/>
      <c r="V430" s="543"/>
      <c r="W430" s="543"/>
      <c r="X430" s="543"/>
      <c r="Y430" s="543"/>
      <c r="Z430" s="543"/>
      <c r="AA430" s="543"/>
      <c r="AB430" s="543"/>
      <c r="AC430" s="543"/>
      <c r="AD430" s="543"/>
      <c r="AE430" s="543"/>
      <c r="AF430" s="543"/>
    </row>
    <row r="431" spans="1:32">
      <c r="A431" s="533"/>
      <c r="B431" s="534"/>
      <c r="C431" s="535"/>
      <c r="D431" s="12"/>
      <c r="E431" s="13"/>
      <c r="F431" s="14"/>
      <c r="G431" s="543"/>
      <c r="H431" s="543"/>
      <c r="I431" s="543"/>
      <c r="J431" s="543"/>
      <c r="K431" s="543"/>
      <c r="L431" s="543"/>
      <c r="M431" s="543"/>
      <c r="N431" s="543"/>
      <c r="O431" s="543"/>
      <c r="P431" s="543"/>
      <c r="Q431" s="543"/>
      <c r="R431" s="543"/>
      <c r="S431" s="543"/>
      <c r="T431" s="543"/>
      <c r="U431" s="543"/>
      <c r="V431" s="543"/>
      <c r="W431" s="543"/>
      <c r="X431" s="543"/>
      <c r="Y431" s="543"/>
      <c r="Z431" s="543"/>
      <c r="AA431" s="543"/>
      <c r="AB431" s="543"/>
      <c r="AC431" s="543"/>
      <c r="AD431" s="543"/>
      <c r="AE431" s="543"/>
      <c r="AF431" s="543"/>
    </row>
    <row r="432" spans="1:32">
      <c r="A432" s="533"/>
      <c r="B432" s="534"/>
      <c r="C432" s="535"/>
      <c r="D432" s="12"/>
      <c r="E432" s="13"/>
      <c r="F432" s="14"/>
      <c r="G432" s="543"/>
      <c r="H432" s="543"/>
      <c r="I432" s="543"/>
      <c r="J432" s="543"/>
      <c r="K432" s="543"/>
      <c r="L432" s="543"/>
      <c r="M432" s="543"/>
      <c r="N432" s="543"/>
      <c r="O432" s="543"/>
      <c r="P432" s="543"/>
      <c r="Q432" s="543"/>
      <c r="R432" s="543"/>
      <c r="S432" s="543"/>
      <c r="T432" s="543"/>
      <c r="U432" s="543"/>
      <c r="V432" s="543"/>
      <c r="W432" s="543"/>
      <c r="X432" s="543"/>
      <c r="Y432" s="543"/>
      <c r="Z432" s="543"/>
      <c r="AA432" s="543"/>
      <c r="AB432" s="543"/>
      <c r="AC432" s="543"/>
      <c r="AD432" s="543"/>
      <c r="AE432" s="543"/>
      <c r="AF432" s="543"/>
    </row>
    <row r="433" spans="1:32">
      <c r="A433" s="533"/>
      <c r="B433" s="534"/>
      <c r="C433" s="535"/>
      <c r="D433" s="12"/>
      <c r="E433" s="13"/>
      <c r="F433" s="14"/>
      <c r="G433" s="543"/>
      <c r="H433" s="543"/>
      <c r="I433" s="543"/>
      <c r="J433" s="543"/>
      <c r="K433" s="543"/>
      <c r="L433" s="543"/>
      <c r="M433" s="543"/>
      <c r="N433" s="543"/>
      <c r="O433" s="543"/>
      <c r="P433" s="543"/>
      <c r="Q433" s="543"/>
      <c r="R433" s="543"/>
      <c r="S433" s="543"/>
      <c r="T433" s="543"/>
      <c r="U433" s="543"/>
      <c r="V433" s="543"/>
      <c r="W433" s="543"/>
      <c r="X433" s="543"/>
      <c r="Y433" s="543"/>
      <c r="Z433" s="543"/>
      <c r="AA433" s="543"/>
      <c r="AB433" s="543"/>
      <c r="AC433" s="543"/>
      <c r="AD433" s="543"/>
      <c r="AE433" s="543"/>
      <c r="AF433" s="543"/>
    </row>
    <row r="434" spans="1:32">
      <c r="A434" s="533"/>
      <c r="B434" s="534"/>
      <c r="C434" s="535"/>
      <c r="D434" s="12"/>
      <c r="E434" s="13"/>
      <c r="F434" s="14"/>
      <c r="G434" s="543"/>
      <c r="H434" s="543"/>
      <c r="I434" s="543"/>
      <c r="J434" s="543"/>
      <c r="K434" s="543"/>
      <c r="L434" s="543"/>
      <c r="M434" s="543"/>
      <c r="N434" s="543"/>
      <c r="O434" s="543"/>
      <c r="P434" s="543"/>
      <c r="Q434" s="543"/>
      <c r="R434" s="543"/>
      <c r="S434" s="543"/>
      <c r="T434" s="543"/>
      <c r="U434" s="543"/>
      <c r="V434" s="543"/>
      <c r="W434" s="543"/>
      <c r="X434" s="543"/>
      <c r="Y434" s="543"/>
      <c r="Z434" s="543"/>
      <c r="AA434" s="543"/>
      <c r="AB434" s="543"/>
      <c r="AC434" s="543"/>
      <c r="AD434" s="543"/>
      <c r="AE434" s="543"/>
      <c r="AF434" s="543"/>
    </row>
    <row r="435" spans="1:32">
      <c r="A435" s="533"/>
      <c r="B435" s="534"/>
      <c r="C435" s="535"/>
      <c r="D435" s="12"/>
      <c r="E435" s="13"/>
      <c r="F435" s="14"/>
      <c r="G435" s="543"/>
      <c r="H435" s="543"/>
      <c r="I435" s="543"/>
      <c r="J435" s="543"/>
      <c r="K435" s="543"/>
      <c r="L435" s="543"/>
      <c r="M435" s="543"/>
      <c r="N435" s="543"/>
      <c r="O435" s="543"/>
      <c r="P435" s="543"/>
      <c r="Q435" s="543"/>
      <c r="R435" s="543"/>
      <c r="S435" s="543"/>
      <c r="T435" s="543"/>
      <c r="U435" s="543"/>
      <c r="V435" s="543"/>
      <c r="W435" s="543"/>
      <c r="X435" s="543"/>
      <c r="Y435" s="543"/>
      <c r="Z435" s="543"/>
      <c r="AA435" s="543"/>
      <c r="AB435" s="543"/>
      <c r="AC435" s="543"/>
      <c r="AD435" s="543"/>
      <c r="AE435" s="543"/>
      <c r="AF435" s="543"/>
    </row>
    <row r="436" spans="1:32">
      <c r="A436" s="533"/>
      <c r="B436" s="534"/>
      <c r="C436" s="535"/>
      <c r="D436" s="12"/>
      <c r="E436" s="13"/>
      <c r="F436" s="14"/>
      <c r="G436" s="543"/>
      <c r="H436" s="543"/>
      <c r="I436" s="543"/>
      <c r="J436" s="543"/>
      <c r="K436" s="543"/>
      <c r="L436" s="543"/>
      <c r="M436" s="543"/>
      <c r="N436" s="543"/>
      <c r="O436" s="543"/>
      <c r="P436" s="543"/>
      <c r="Q436" s="543"/>
      <c r="R436" s="543"/>
      <c r="S436" s="543"/>
      <c r="T436" s="543"/>
      <c r="U436" s="543"/>
      <c r="V436" s="543"/>
      <c r="W436" s="543"/>
      <c r="X436" s="543"/>
      <c r="Y436" s="543"/>
      <c r="Z436" s="543"/>
      <c r="AA436" s="543"/>
      <c r="AB436" s="543"/>
      <c r="AC436" s="543"/>
      <c r="AD436" s="543"/>
      <c r="AE436" s="543"/>
      <c r="AF436" s="543"/>
    </row>
    <row r="437" spans="1:32">
      <c r="A437" s="533"/>
      <c r="B437" s="534"/>
      <c r="C437" s="535"/>
      <c r="D437" s="12"/>
      <c r="E437" s="13"/>
      <c r="F437" s="14"/>
      <c r="G437" s="543"/>
      <c r="H437" s="543"/>
      <c r="I437" s="543"/>
      <c r="J437" s="543"/>
      <c r="K437" s="543"/>
      <c r="L437" s="543"/>
      <c r="M437" s="543"/>
      <c r="N437" s="543"/>
      <c r="O437" s="543"/>
      <c r="P437" s="543"/>
      <c r="Q437" s="543"/>
      <c r="R437" s="543"/>
      <c r="S437" s="543"/>
      <c r="T437" s="543"/>
      <c r="U437" s="543"/>
      <c r="V437" s="543"/>
      <c r="W437" s="543"/>
      <c r="X437" s="543"/>
      <c r="Y437" s="543"/>
      <c r="Z437" s="543"/>
      <c r="AA437" s="543"/>
      <c r="AB437" s="543"/>
      <c r="AC437" s="543"/>
      <c r="AD437" s="543"/>
      <c r="AE437" s="543"/>
      <c r="AF437" s="543"/>
    </row>
    <row r="438" spans="1:32">
      <c r="A438" s="533"/>
      <c r="B438" s="534"/>
      <c r="C438" s="535"/>
      <c r="D438" s="12"/>
      <c r="E438" s="13"/>
      <c r="F438" s="14"/>
      <c r="G438" s="543"/>
      <c r="H438" s="543"/>
      <c r="I438" s="543"/>
      <c r="J438" s="543"/>
      <c r="K438" s="543"/>
      <c r="L438" s="543"/>
      <c r="M438" s="543"/>
      <c r="N438" s="543"/>
      <c r="O438" s="543"/>
      <c r="P438" s="543"/>
      <c r="Q438" s="543"/>
      <c r="R438" s="543"/>
      <c r="S438" s="543"/>
      <c r="T438" s="543"/>
      <c r="U438" s="543"/>
      <c r="V438" s="543"/>
      <c r="W438" s="543"/>
      <c r="X438" s="543"/>
      <c r="Y438" s="543"/>
      <c r="Z438" s="543"/>
      <c r="AA438" s="543"/>
      <c r="AB438" s="543"/>
      <c r="AC438" s="543"/>
      <c r="AD438" s="543"/>
      <c r="AE438" s="543"/>
      <c r="AF438" s="543"/>
    </row>
    <row r="439" spans="1:32">
      <c r="A439" s="533"/>
      <c r="B439" s="534"/>
      <c r="C439" s="535"/>
      <c r="D439" s="12"/>
      <c r="E439" s="13"/>
      <c r="F439" s="14"/>
      <c r="G439" s="543"/>
      <c r="H439" s="543"/>
      <c r="I439" s="543"/>
      <c r="J439" s="543"/>
      <c r="K439" s="543"/>
      <c r="L439" s="543"/>
      <c r="M439" s="543"/>
      <c r="N439" s="543"/>
      <c r="O439" s="543"/>
      <c r="P439" s="543"/>
      <c r="Q439" s="543"/>
      <c r="R439" s="543"/>
      <c r="S439" s="543"/>
      <c r="T439" s="543"/>
      <c r="U439" s="543"/>
      <c r="V439" s="543"/>
      <c r="W439" s="543"/>
      <c r="X439" s="543"/>
      <c r="Y439" s="543"/>
      <c r="Z439" s="543"/>
      <c r="AA439" s="543"/>
      <c r="AB439" s="543"/>
      <c r="AC439" s="543"/>
      <c r="AD439" s="543"/>
      <c r="AE439" s="543"/>
      <c r="AF439" s="543"/>
    </row>
    <row r="440" spans="1:32">
      <c r="A440" s="533"/>
      <c r="B440" s="534"/>
      <c r="C440" s="535"/>
      <c r="D440" s="12"/>
      <c r="E440" s="13"/>
      <c r="F440" s="14"/>
      <c r="G440" s="543"/>
      <c r="H440" s="543"/>
      <c r="I440" s="543"/>
      <c r="J440" s="543"/>
      <c r="K440" s="543"/>
      <c r="L440" s="543"/>
      <c r="M440" s="543"/>
      <c r="N440" s="543"/>
      <c r="O440" s="543"/>
      <c r="P440" s="543"/>
      <c r="Q440" s="543"/>
      <c r="R440" s="543"/>
      <c r="S440" s="543"/>
      <c r="T440" s="543"/>
      <c r="U440" s="543"/>
      <c r="V440" s="543"/>
      <c r="W440" s="543"/>
      <c r="X440" s="543"/>
      <c r="Y440" s="543"/>
      <c r="Z440" s="543"/>
      <c r="AA440" s="543"/>
      <c r="AB440" s="543"/>
      <c r="AC440" s="543"/>
      <c r="AD440" s="543"/>
      <c r="AE440" s="543"/>
      <c r="AF440" s="543"/>
    </row>
    <row r="441" spans="1:32">
      <c r="A441" s="533"/>
      <c r="B441" s="534"/>
      <c r="C441" s="535"/>
      <c r="D441" s="12"/>
      <c r="E441" s="13"/>
      <c r="F441" s="14"/>
      <c r="G441" s="543"/>
      <c r="H441" s="543"/>
      <c r="I441" s="543"/>
      <c r="J441" s="543"/>
      <c r="K441" s="543"/>
      <c r="L441" s="543"/>
      <c r="M441" s="543"/>
      <c r="N441" s="543"/>
      <c r="O441" s="543"/>
      <c r="P441" s="543"/>
      <c r="Q441" s="543"/>
      <c r="R441" s="543"/>
      <c r="S441" s="543"/>
      <c r="T441" s="543"/>
      <c r="U441" s="543"/>
      <c r="V441" s="543"/>
      <c r="W441" s="543"/>
      <c r="X441" s="543"/>
      <c r="Y441" s="543"/>
      <c r="Z441" s="543"/>
      <c r="AA441" s="543"/>
      <c r="AB441" s="543"/>
      <c r="AC441" s="543"/>
      <c r="AD441" s="543"/>
      <c r="AE441" s="543"/>
      <c r="AF441" s="543"/>
    </row>
    <row r="442" spans="1:32">
      <c r="A442" s="533"/>
      <c r="B442" s="534"/>
      <c r="C442" s="535"/>
      <c r="D442" s="12"/>
      <c r="E442" s="13"/>
      <c r="F442" s="14"/>
      <c r="G442" s="543"/>
      <c r="H442" s="543"/>
      <c r="I442" s="543"/>
      <c r="J442" s="543"/>
      <c r="K442" s="543"/>
      <c r="L442" s="543"/>
      <c r="M442" s="543"/>
      <c r="N442" s="543"/>
      <c r="O442" s="543"/>
      <c r="P442" s="543"/>
      <c r="Q442" s="543"/>
      <c r="R442" s="543"/>
      <c r="S442" s="543"/>
      <c r="T442" s="543"/>
      <c r="U442" s="543"/>
      <c r="V442" s="543"/>
      <c r="W442" s="543"/>
      <c r="X442" s="543"/>
      <c r="Y442" s="543"/>
      <c r="Z442" s="543"/>
      <c r="AA442" s="543"/>
      <c r="AB442" s="543"/>
      <c r="AC442" s="543"/>
      <c r="AD442" s="543"/>
      <c r="AE442" s="543"/>
      <c r="AF442" s="543"/>
    </row>
    <row r="443" spans="1:32">
      <c r="A443" s="533"/>
      <c r="B443" s="534"/>
      <c r="C443" s="535"/>
      <c r="D443" s="12"/>
      <c r="E443" s="13"/>
      <c r="F443" s="14"/>
      <c r="G443" s="543"/>
      <c r="H443" s="543"/>
      <c r="I443" s="543"/>
      <c r="J443" s="543"/>
      <c r="K443" s="543"/>
      <c r="L443" s="543"/>
      <c r="M443" s="543"/>
      <c r="N443" s="543"/>
      <c r="O443" s="543"/>
      <c r="P443" s="543"/>
      <c r="Q443" s="543"/>
      <c r="R443" s="543"/>
      <c r="S443" s="543"/>
      <c r="T443" s="543"/>
      <c r="U443" s="543"/>
      <c r="V443" s="543"/>
      <c r="W443" s="543"/>
      <c r="X443" s="543"/>
      <c r="Y443" s="543"/>
      <c r="Z443" s="543"/>
      <c r="AA443" s="543"/>
      <c r="AB443" s="543"/>
      <c r="AC443" s="543"/>
      <c r="AD443" s="543"/>
      <c r="AE443" s="543"/>
      <c r="AF443" s="543"/>
    </row>
    <row r="444" spans="1:32">
      <c r="A444" s="533"/>
      <c r="B444" s="534"/>
      <c r="C444" s="535"/>
      <c r="D444" s="12"/>
      <c r="E444" s="13"/>
      <c r="F444" s="14"/>
      <c r="G444" s="543"/>
      <c r="H444" s="543"/>
      <c r="I444" s="543"/>
      <c r="J444" s="543"/>
      <c r="K444" s="543"/>
      <c r="L444" s="543"/>
      <c r="M444" s="543"/>
      <c r="N444" s="543"/>
      <c r="O444" s="543"/>
      <c r="P444" s="543"/>
      <c r="Q444" s="543"/>
      <c r="R444" s="543"/>
      <c r="S444" s="543"/>
      <c r="T444" s="543"/>
      <c r="U444" s="543"/>
      <c r="V444" s="543"/>
      <c r="W444" s="543"/>
      <c r="X444" s="543"/>
      <c r="Y444" s="543"/>
      <c r="Z444" s="543"/>
      <c r="AA444" s="543"/>
      <c r="AB444" s="543"/>
      <c r="AC444" s="543"/>
      <c r="AD444" s="543"/>
      <c r="AE444" s="543"/>
      <c r="AF444" s="543"/>
    </row>
    <row r="445" spans="1:32">
      <c r="A445" s="533"/>
      <c r="B445" s="534"/>
      <c r="C445" s="535"/>
      <c r="D445" s="12"/>
      <c r="E445" s="13"/>
      <c r="F445" s="14"/>
      <c r="G445" s="543"/>
      <c r="H445" s="543"/>
      <c r="I445" s="543"/>
      <c r="J445" s="543"/>
      <c r="K445" s="543"/>
      <c r="L445" s="543"/>
      <c r="M445" s="543"/>
      <c r="N445" s="543"/>
      <c r="O445" s="543"/>
      <c r="P445" s="543"/>
      <c r="Q445" s="543"/>
      <c r="R445" s="543"/>
      <c r="S445" s="543"/>
      <c r="T445" s="543"/>
      <c r="U445" s="543"/>
      <c r="V445" s="543"/>
      <c r="W445" s="543"/>
      <c r="X445" s="543"/>
      <c r="Y445" s="543"/>
      <c r="Z445" s="543"/>
      <c r="AA445" s="543"/>
      <c r="AB445" s="543"/>
      <c r="AC445" s="543"/>
      <c r="AD445" s="543"/>
      <c r="AE445" s="543"/>
      <c r="AF445" s="543"/>
    </row>
    <row r="446" spans="1:32">
      <c r="A446" s="533"/>
      <c r="B446" s="534"/>
      <c r="C446" s="535"/>
      <c r="D446" s="12"/>
      <c r="E446" s="13"/>
      <c r="F446" s="14"/>
      <c r="G446" s="543"/>
      <c r="H446" s="543"/>
      <c r="I446" s="543"/>
      <c r="J446" s="543"/>
      <c r="K446" s="543"/>
      <c r="L446" s="543"/>
      <c r="M446" s="543"/>
      <c r="N446" s="543"/>
      <c r="O446" s="543"/>
      <c r="P446" s="543"/>
      <c r="Q446" s="543"/>
      <c r="R446" s="543"/>
      <c r="S446" s="543"/>
      <c r="T446" s="543"/>
      <c r="U446" s="543"/>
      <c r="V446" s="543"/>
      <c r="W446" s="543"/>
      <c r="X446" s="543"/>
      <c r="Y446" s="543"/>
      <c r="Z446" s="543"/>
      <c r="AA446" s="543"/>
      <c r="AB446" s="543"/>
      <c r="AC446" s="543"/>
      <c r="AD446" s="543"/>
      <c r="AE446" s="543"/>
      <c r="AF446" s="543"/>
    </row>
    <row r="447" spans="1:32">
      <c r="A447" s="533"/>
      <c r="B447" s="534"/>
      <c r="C447" s="535"/>
      <c r="D447" s="12"/>
      <c r="E447" s="13"/>
      <c r="F447" s="14"/>
      <c r="G447" s="543"/>
      <c r="H447" s="543"/>
      <c r="I447" s="543"/>
      <c r="J447" s="543"/>
      <c r="K447" s="543"/>
      <c r="L447" s="543"/>
      <c r="M447" s="543"/>
      <c r="N447" s="543"/>
      <c r="O447" s="543"/>
      <c r="P447" s="543"/>
      <c r="Q447" s="543"/>
      <c r="R447" s="543"/>
      <c r="S447" s="543"/>
      <c r="T447" s="543"/>
      <c r="U447" s="543"/>
      <c r="V447" s="543"/>
      <c r="W447" s="543"/>
      <c r="X447" s="543"/>
      <c r="Y447" s="543"/>
      <c r="Z447" s="543"/>
      <c r="AA447" s="543"/>
      <c r="AB447" s="543"/>
      <c r="AC447" s="543"/>
      <c r="AD447" s="543"/>
      <c r="AE447" s="543"/>
      <c r="AF447" s="543"/>
    </row>
    <row r="448" spans="1:32">
      <c r="A448" s="533"/>
      <c r="B448" s="534"/>
      <c r="C448" s="535"/>
      <c r="D448" s="12"/>
      <c r="E448" s="13"/>
      <c r="F448" s="14"/>
      <c r="G448" s="543"/>
      <c r="H448" s="543"/>
      <c r="I448" s="543"/>
      <c r="J448" s="543"/>
      <c r="K448" s="543"/>
      <c r="L448" s="543"/>
      <c r="M448" s="543"/>
      <c r="N448" s="543"/>
      <c r="O448" s="543"/>
      <c r="P448" s="543"/>
      <c r="Q448" s="543"/>
      <c r="R448" s="543"/>
      <c r="S448" s="543"/>
      <c r="T448" s="543"/>
      <c r="U448" s="543"/>
      <c r="V448" s="543"/>
      <c r="W448" s="543"/>
      <c r="X448" s="543"/>
      <c r="Y448" s="543"/>
      <c r="Z448" s="543"/>
      <c r="AA448" s="543"/>
      <c r="AB448" s="543"/>
      <c r="AC448" s="543"/>
      <c r="AD448" s="543"/>
      <c r="AE448" s="543"/>
      <c r="AF448" s="543"/>
    </row>
    <row r="449" spans="1:32">
      <c r="A449" s="533"/>
      <c r="B449" s="534"/>
      <c r="C449" s="535"/>
      <c r="D449" s="12"/>
      <c r="E449" s="13"/>
      <c r="F449" s="14"/>
      <c r="G449" s="543"/>
      <c r="H449" s="543"/>
      <c r="I449" s="543"/>
      <c r="J449" s="543"/>
      <c r="K449" s="543"/>
      <c r="L449" s="543"/>
      <c r="M449" s="543"/>
      <c r="N449" s="543"/>
      <c r="O449" s="543"/>
      <c r="P449" s="543"/>
      <c r="Q449" s="543"/>
      <c r="R449" s="543"/>
      <c r="S449" s="543"/>
      <c r="T449" s="543"/>
      <c r="U449" s="543"/>
      <c r="V449" s="543"/>
      <c r="W449" s="543"/>
      <c r="X449" s="543"/>
      <c r="Y449" s="543"/>
      <c r="Z449" s="543"/>
      <c r="AA449" s="543"/>
      <c r="AB449" s="543"/>
      <c r="AC449" s="543"/>
      <c r="AD449" s="543"/>
      <c r="AE449" s="543"/>
      <c r="AF449" s="543"/>
    </row>
    <row r="450" spans="1:32">
      <c r="A450" s="533"/>
      <c r="B450" s="534"/>
      <c r="C450" s="535"/>
      <c r="D450" s="12"/>
      <c r="E450" s="13"/>
      <c r="F450" s="14"/>
      <c r="G450" s="543"/>
      <c r="H450" s="543"/>
      <c r="I450" s="543"/>
      <c r="J450" s="543"/>
      <c r="K450" s="543"/>
      <c r="L450" s="543"/>
      <c r="M450" s="543"/>
      <c r="N450" s="543"/>
      <c r="O450" s="543"/>
      <c r="P450" s="543"/>
      <c r="Q450" s="543"/>
      <c r="R450" s="543"/>
      <c r="S450" s="543"/>
      <c r="T450" s="543"/>
      <c r="U450" s="543"/>
      <c r="V450" s="543"/>
      <c r="W450" s="543"/>
      <c r="X450" s="543"/>
      <c r="Y450" s="543"/>
      <c r="Z450" s="543"/>
      <c r="AA450" s="543"/>
      <c r="AB450" s="543"/>
      <c r="AC450" s="543"/>
      <c r="AD450" s="543"/>
      <c r="AE450" s="543"/>
      <c r="AF450" s="543"/>
    </row>
    <row r="451" spans="1:32">
      <c r="A451" s="533"/>
      <c r="B451" s="534"/>
      <c r="C451" s="535"/>
      <c r="D451" s="12"/>
      <c r="E451" s="13"/>
      <c r="F451" s="14"/>
      <c r="G451" s="543"/>
      <c r="H451" s="543"/>
      <c r="I451" s="543"/>
      <c r="J451" s="543"/>
      <c r="K451" s="543"/>
      <c r="L451" s="543"/>
      <c r="M451" s="543"/>
      <c r="N451" s="543"/>
      <c r="O451" s="543"/>
      <c r="P451" s="543"/>
      <c r="Q451" s="543"/>
      <c r="R451" s="543"/>
      <c r="S451" s="543"/>
      <c r="T451" s="543"/>
      <c r="U451" s="543"/>
      <c r="V451" s="543"/>
      <c r="W451" s="543"/>
      <c r="X451" s="543"/>
      <c r="Y451" s="543"/>
      <c r="Z451" s="543"/>
      <c r="AA451" s="543"/>
      <c r="AB451" s="543"/>
      <c r="AC451" s="543"/>
      <c r="AD451" s="543"/>
      <c r="AE451" s="543"/>
      <c r="AF451" s="543"/>
    </row>
    <row r="452" spans="1:32">
      <c r="A452" s="533"/>
      <c r="B452" s="534"/>
      <c r="C452" s="535"/>
      <c r="D452" s="12"/>
      <c r="E452" s="13"/>
      <c r="F452" s="14"/>
      <c r="G452" s="543"/>
      <c r="H452" s="543"/>
      <c r="I452" s="543"/>
      <c r="J452" s="543"/>
      <c r="K452" s="543"/>
      <c r="L452" s="543"/>
      <c r="M452" s="543"/>
      <c r="N452" s="543"/>
      <c r="O452" s="543"/>
      <c r="P452" s="543"/>
      <c r="Q452" s="543"/>
      <c r="R452" s="543"/>
      <c r="S452" s="543"/>
      <c r="T452" s="543"/>
      <c r="U452" s="543"/>
      <c r="V452" s="543"/>
      <c r="W452" s="543"/>
      <c r="X452" s="543"/>
      <c r="Y452" s="543"/>
      <c r="Z452" s="543"/>
      <c r="AA452" s="543"/>
      <c r="AB452" s="543"/>
      <c r="AC452" s="543"/>
      <c r="AD452" s="543"/>
      <c r="AE452" s="543"/>
      <c r="AF452" s="543"/>
    </row>
    <row r="453" spans="1:32">
      <c r="A453" s="533"/>
      <c r="B453" s="534"/>
      <c r="C453" s="535"/>
      <c r="D453" s="12"/>
      <c r="E453" s="13"/>
      <c r="F453" s="14"/>
      <c r="G453" s="543"/>
      <c r="H453" s="543"/>
      <c r="I453" s="543"/>
      <c r="J453" s="543"/>
      <c r="K453" s="543"/>
      <c r="L453" s="543"/>
      <c r="M453" s="543"/>
      <c r="N453" s="543"/>
      <c r="O453" s="543"/>
      <c r="P453" s="543"/>
      <c r="Q453" s="543"/>
      <c r="R453" s="543"/>
      <c r="S453" s="543"/>
      <c r="T453" s="543"/>
      <c r="U453" s="543"/>
      <c r="V453" s="543"/>
      <c r="W453" s="543"/>
      <c r="X453" s="543"/>
      <c r="Y453" s="543"/>
      <c r="Z453" s="543"/>
      <c r="AA453" s="543"/>
      <c r="AB453" s="543"/>
      <c r="AC453" s="543"/>
      <c r="AD453" s="543"/>
      <c r="AE453" s="543"/>
      <c r="AF453" s="543"/>
    </row>
    <row r="454" spans="1:32">
      <c r="A454" s="533"/>
      <c r="B454" s="534"/>
      <c r="C454" s="535"/>
      <c r="D454" s="12"/>
      <c r="E454" s="13"/>
      <c r="F454" s="14"/>
      <c r="G454" s="543"/>
      <c r="H454" s="543"/>
      <c r="I454" s="543"/>
      <c r="J454" s="543"/>
      <c r="K454" s="543"/>
      <c r="L454" s="543"/>
      <c r="M454" s="543"/>
      <c r="N454" s="543"/>
      <c r="O454" s="543"/>
      <c r="P454" s="543"/>
      <c r="Q454" s="543"/>
      <c r="R454" s="543"/>
      <c r="S454" s="543"/>
      <c r="T454" s="543"/>
      <c r="U454" s="543"/>
      <c r="V454" s="543"/>
      <c r="W454" s="543"/>
      <c r="X454" s="543"/>
      <c r="Y454" s="543"/>
      <c r="Z454" s="543"/>
      <c r="AA454" s="543"/>
      <c r="AB454" s="543"/>
      <c r="AC454" s="543"/>
      <c r="AD454" s="543"/>
      <c r="AE454" s="543"/>
      <c r="AF454" s="543"/>
    </row>
    <row r="455" spans="1:32">
      <c r="A455" s="533"/>
      <c r="B455" s="534"/>
      <c r="C455" s="535"/>
      <c r="D455" s="12"/>
      <c r="E455" s="13"/>
      <c r="F455" s="14"/>
      <c r="G455" s="543"/>
      <c r="H455" s="543"/>
      <c r="I455" s="543"/>
      <c r="J455" s="543"/>
      <c r="K455" s="543"/>
      <c r="L455" s="543"/>
      <c r="M455" s="543"/>
      <c r="N455" s="543"/>
      <c r="O455" s="543"/>
      <c r="P455" s="543"/>
      <c r="Q455" s="543"/>
      <c r="R455" s="543"/>
      <c r="S455" s="543"/>
      <c r="T455" s="543"/>
      <c r="U455" s="543"/>
      <c r="V455" s="543"/>
      <c r="W455" s="543"/>
      <c r="X455" s="543"/>
      <c r="Y455" s="543"/>
      <c r="Z455" s="543"/>
      <c r="AA455" s="543"/>
      <c r="AB455" s="543"/>
      <c r="AC455" s="543"/>
      <c r="AD455" s="543"/>
      <c r="AE455" s="543"/>
      <c r="AF455" s="543"/>
    </row>
    <row r="456" spans="1:32">
      <c r="A456" s="533"/>
      <c r="B456" s="534"/>
      <c r="C456" s="535"/>
      <c r="D456" s="12"/>
      <c r="E456" s="13"/>
      <c r="F456" s="14"/>
      <c r="G456" s="543"/>
      <c r="H456" s="543"/>
      <c r="I456" s="543"/>
      <c r="J456" s="543"/>
      <c r="K456" s="543"/>
      <c r="L456" s="543"/>
      <c r="M456" s="543"/>
      <c r="N456" s="543"/>
      <c r="O456" s="543"/>
      <c r="P456" s="543"/>
      <c r="Q456" s="543"/>
      <c r="R456" s="543"/>
      <c r="S456" s="543"/>
      <c r="T456" s="543"/>
      <c r="U456" s="543"/>
      <c r="V456" s="543"/>
      <c r="W456" s="543"/>
      <c r="X456" s="543"/>
      <c r="Y456" s="543"/>
      <c r="Z456" s="543"/>
      <c r="AA456" s="543"/>
      <c r="AB456" s="543"/>
      <c r="AC456" s="543"/>
      <c r="AD456" s="543"/>
      <c r="AE456" s="543"/>
      <c r="AF456" s="543"/>
    </row>
    <row r="457" spans="1:32">
      <c r="A457" s="533"/>
      <c r="B457" s="534"/>
      <c r="C457" s="535"/>
      <c r="D457" s="12"/>
      <c r="E457" s="13"/>
      <c r="F457" s="14"/>
      <c r="G457" s="543"/>
      <c r="H457" s="543"/>
      <c r="I457" s="543"/>
      <c r="J457" s="543"/>
      <c r="K457" s="543"/>
      <c r="L457" s="543"/>
      <c r="M457" s="543"/>
      <c r="N457" s="543"/>
      <c r="O457" s="543"/>
      <c r="P457" s="543"/>
      <c r="Q457" s="543"/>
      <c r="R457" s="543"/>
      <c r="S457" s="543"/>
      <c r="T457" s="543"/>
      <c r="U457" s="543"/>
      <c r="V457" s="543"/>
      <c r="W457" s="543"/>
      <c r="X457" s="543"/>
      <c r="Y457" s="543"/>
      <c r="Z457" s="543"/>
      <c r="AA457" s="543"/>
      <c r="AB457" s="543"/>
      <c r="AC457" s="543"/>
      <c r="AD457" s="543"/>
      <c r="AE457" s="543"/>
      <c r="AF457" s="543"/>
    </row>
    <row r="458" spans="1:32">
      <c r="A458" s="533"/>
      <c r="B458" s="534"/>
      <c r="C458" s="535"/>
      <c r="D458" s="12"/>
      <c r="E458" s="13"/>
      <c r="F458" s="14"/>
      <c r="G458" s="543"/>
      <c r="H458" s="543"/>
      <c r="I458" s="543"/>
      <c r="J458" s="543"/>
      <c r="K458" s="543"/>
      <c r="L458" s="543"/>
      <c r="M458" s="543"/>
      <c r="N458" s="543"/>
      <c r="O458" s="543"/>
      <c r="P458" s="543"/>
      <c r="Q458" s="543"/>
      <c r="R458" s="543"/>
      <c r="S458" s="543"/>
      <c r="T458" s="543"/>
      <c r="U458" s="543"/>
      <c r="V458" s="543"/>
      <c r="W458" s="543"/>
      <c r="X458" s="543"/>
      <c r="Y458" s="543"/>
      <c r="Z458" s="543"/>
      <c r="AA458" s="543"/>
      <c r="AB458" s="543"/>
      <c r="AC458" s="543"/>
      <c r="AD458" s="543"/>
      <c r="AE458" s="543"/>
      <c r="AF458" s="543"/>
    </row>
    <row r="459" spans="1:32">
      <c r="A459" s="533"/>
      <c r="B459" s="534"/>
      <c r="C459" s="535"/>
      <c r="D459" s="12"/>
      <c r="E459" s="13"/>
      <c r="F459" s="14"/>
      <c r="G459" s="543"/>
      <c r="H459" s="543"/>
      <c r="I459" s="543"/>
      <c r="J459" s="543"/>
      <c r="K459" s="543"/>
      <c r="L459" s="543"/>
      <c r="M459" s="543"/>
      <c r="N459" s="543"/>
      <c r="O459" s="543"/>
      <c r="P459" s="543"/>
      <c r="Q459" s="543"/>
      <c r="R459" s="543"/>
      <c r="S459" s="543"/>
      <c r="T459" s="543"/>
      <c r="U459" s="543"/>
      <c r="V459" s="543"/>
      <c r="W459" s="543"/>
      <c r="X459" s="543"/>
      <c r="Y459" s="543"/>
      <c r="Z459" s="543"/>
      <c r="AA459" s="543"/>
      <c r="AB459" s="543"/>
      <c r="AC459" s="543"/>
      <c r="AD459" s="543"/>
      <c r="AE459" s="543"/>
      <c r="AF459" s="543"/>
    </row>
    <row r="460" spans="1:32">
      <c r="A460" s="533"/>
      <c r="B460" s="534"/>
      <c r="C460" s="535"/>
      <c r="D460" s="12"/>
      <c r="E460" s="13"/>
      <c r="F460" s="14"/>
      <c r="G460" s="543"/>
      <c r="H460" s="543"/>
      <c r="I460" s="543"/>
      <c r="J460" s="543"/>
      <c r="K460" s="543"/>
      <c r="L460" s="543"/>
      <c r="M460" s="543"/>
      <c r="N460" s="543"/>
      <c r="O460" s="543"/>
      <c r="P460" s="543"/>
      <c r="Q460" s="543"/>
      <c r="R460" s="543"/>
      <c r="S460" s="543"/>
      <c r="T460" s="543"/>
      <c r="U460" s="543"/>
      <c r="V460" s="543"/>
      <c r="W460" s="543"/>
      <c r="X460" s="543"/>
      <c r="Y460" s="543"/>
      <c r="Z460" s="543"/>
      <c r="AA460" s="543"/>
      <c r="AB460" s="543"/>
      <c r="AC460" s="543"/>
      <c r="AD460" s="543"/>
      <c r="AE460" s="543"/>
      <c r="AF460" s="543"/>
    </row>
    <row r="461" spans="1:32">
      <c r="A461" s="533"/>
      <c r="B461" s="534"/>
      <c r="C461" s="535"/>
      <c r="D461" s="12"/>
      <c r="E461" s="13"/>
      <c r="F461" s="14"/>
      <c r="G461" s="543"/>
      <c r="H461" s="543"/>
      <c r="I461" s="543"/>
      <c r="J461" s="543"/>
      <c r="K461" s="543"/>
      <c r="L461" s="543"/>
      <c r="M461" s="543"/>
      <c r="N461" s="543"/>
      <c r="O461" s="543"/>
      <c r="P461" s="543"/>
      <c r="Q461" s="543"/>
      <c r="R461" s="543"/>
      <c r="S461" s="543"/>
      <c r="T461" s="543"/>
      <c r="U461" s="543"/>
      <c r="V461" s="543"/>
      <c r="W461" s="543"/>
      <c r="X461" s="543"/>
      <c r="Y461" s="543"/>
      <c r="Z461" s="543"/>
      <c r="AA461" s="543"/>
      <c r="AB461" s="543"/>
      <c r="AC461" s="543"/>
      <c r="AD461" s="543"/>
      <c r="AE461" s="543"/>
      <c r="AF461" s="543"/>
    </row>
    <row r="462" spans="1:32">
      <c r="A462" s="533"/>
      <c r="B462" s="534"/>
      <c r="C462" s="535"/>
      <c r="D462" s="12"/>
      <c r="E462" s="13"/>
      <c r="F462" s="14"/>
      <c r="G462" s="543"/>
      <c r="H462" s="543"/>
      <c r="I462" s="543"/>
      <c r="J462" s="543"/>
      <c r="K462" s="543"/>
      <c r="L462" s="543"/>
      <c r="M462" s="543"/>
      <c r="N462" s="543"/>
      <c r="O462" s="543"/>
      <c r="P462" s="543"/>
      <c r="Q462" s="543"/>
      <c r="R462" s="543"/>
      <c r="S462" s="543"/>
      <c r="T462" s="543"/>
      <c r="U462" s="543"/>
      <c r="V462" s="543"/>
      <c r="W462" s="543"/>
      <c r="X462" s="543"/>
      <c r="Y462" s="543"/>
      <c r="Z462" s="543"/>
      <c r="AA462" s="543"/>
      <c r="AB462" s="543"/>
      <c r="AC462" s="543"/>
      <c r="AD462" s="543"/>
      <c r="AE462" s="543"/>
      <c r="AF462" s="543"/>
    </row>
    <row r="463" spans="1:32">
      <c r="A463" s="533"/>
      <c r="B463" s="534"/>
      <c r="C463" s="535"/>
      <c r="D463" s="12"/>
      <c r="E463" s="13"/>
      <c r="F463" s="14"/>
      <c r="G463" s="543"/>
      <c r="H463" s="543"/>
      <c r="I463" s="543"/>
      <c r="J463" s="543"/>
      <c r="K463" s="543"/>
      <c r="L463" s="543"/>
      <c r="M463" s="543"/>
      <c r="N463" s="543"/>
      <c r="O463" s="543"/>
      <c r="P463" s="543"/>
      <c r="Q463" s="543"/>
      <c r="R463" s="543"/>
      <c r="S463" s="543"/>
      <c r="T463" s="543"/>
      <c r="U463" s="543"/>
      <c r="V463" s="543"/>
      <c r="W463" s="543"/>
      <c r="X463" s="543"/>
      <c r="Y463" s="543"/>
      <c r="Z463" s="543"/>
      <c r="AA463" s="543"/>
      <c r="AB463" s="543"/>
      <c r="AC463" s="543"/>
      <c r="AD463" s="543"/>
      <c r="AE463" s="543"/>
      <c r="AF463" s="543"/>
    </row>
    <row r="464" spans="1:32">
      <c r="A464" s="533"/>
      <c r="B464" s="534"/>
      <c r="C464" s="535"/>
      <c r="D464" s="12"/>
      <c r="E464" s="13"/>
      <c r="F464" s="14"/>
      <c r="G464" s="543"/>
      <c r="H464" s="543"/>
      <c r="I464" s="543"/>
      <c r="J464" s="543"/>
      <c r="K464" s="543"/>
      <c r="L464" s="543"/>
      <c r="M464" s="543"/>
      <c r="N464" s="543"/>
      <c r="O464" s="543"/>
      <c r="P464" s="543"/>
      <c r="Q464" s="543"/>
      <c r="R464" s="543"/>
      <c r="S464" s="543"/>
      <c r="T464" s="543"/>
      <c r="U464" s="543"/>
      <c r="V464" s="543"/>
      <c r="W464" s="543"/>
      <c r="X464" s="543"/>
      <c r="Y464" s="543"/>
      <c r="Z464" s="543"/>
      <c r="AA464" s="543"/>
      <c r="AB464" s="543"/>
      <c r="AC464" s="543"/>
      <c r="AD464" s="543"/>
      <c r="AE464" s="543"/>
      <c r="AF464" s="543"/>
    </row>
    <row r="465" spans="1:32">
      <c r="A465" s="533"/>
      <c r="B465" s="534"/>
      <c r="C465" s="535"/>
      <c r="D465" s="12"/>
      <c r="E465" s="13"/>
      <c r="F465" s="14"/>
      <c r="G465" s="543"/>
      <c r="H465" s="543"/>
      <c r="I465" s="543"/>
      <c r="J465" s="543"/>
      <c r="K465" s="543"/>
      <c r="L465" s="543"/>
      <c r="M465" s="543"/>
      <c r="N465" s="543"/>
      <c r="O465" s="543"/>
      <c r="P465" s="543"/>
      <c r="Q465" s="543"/>
      <c r="R465" s="543"/>
      <c r="S465" s="543"/>
      <c r="T465" s="543"/>
      <c r="U465" s="543"/>
      <c r="V465" s="543"/>
      <c r="W465" s="543"/>
      <c r="X465" s="543"/>
      <c r="Y465" s="543"/>
      <c r="Z465" s="543"/>
      <c r="AA465" s="543"/>
      <c r="AB465" s="543"/>
      <c r="AC465" s="543"/>
      <c r="AD465" s="543"/>
      <c r="AE465" s="543"/>
      <c r="AF465" s="543"/>
    </row>
    <row r="466" spans="1:32">
      <c r="A466" s="533"/>
      <c r="B466" s="534"/>
      <c r="C466" s="535"/>
      <c r="D466" s="12"/>
      <c r="E466" s="13"/>
      <c r="F466" s="14"/>
      <c r="G466" s="543"/>
      <c r="H466" s="543"/>
      <c r="I466" s="543"/>
      <c r="J466" s="543"/>
      <c r="K466" s="543"/>
      <c r="L466" s="543"/>
      <c r="M466" s="543"/>
      <c r="N466" s="543"/>
      <c r="O466" s="543"/>
      <c r="P466" s="543"/>
      <c r="Q466" s="543"/>
      <c r="R466" s="543"/>
      <c r="S466" s="543"/>
      <c r="T466" s="543"/>
      <c r="U466" s="543"/>
      <c r="V466" s="543"/>
      <c r="W466" s="543"/>
      <c r="X466" s="543"/>
      <c r="Y466" s="543"/>
      <c r="Z466" s="543"/>
      <c r="AA466" s="543"/>
      <c r="AB466" s="543"/>
      <c r="AC466" s="543"/>
      <c r="AD466" s="543"/>
      <c r="AE466" s="543"/>
      <c r="AF466" s="543"/>
    </row>
    <row r="467" spans="1:32">
      <c r="A467" s="533"/>
      <c r="B467" s="534"/>
      <c r="C467" s="535"/>
      <c r="D467" s="12"/>
      <c r="E467" s="13"/>
      <c r="F467" s="14"/>
      <c r="G467" s="543"/>
      <c r="H467" s="543"/>
      <c r="I467" s="543"/>
      <c r="J467" s="543"/>
      <c r="K467" s="543"/>
      <c r="L467" s="543"/>
      <c r="M467" s="543"/>
      <c r="N467" s="543"/>
      <c r="O467" s="543"/>
      <c r="P467" s="543"/>
      <c r="Q467" s="543"/>
      <c r="R467" s="543"/>
      <c r="S467" s="543"/>
      <c r="T467" s="543"/>
      <c r="U467" s="543"/>
      <c r="V467" s="543"/>
      <c r="W467" s="543"/>
      <c r="X467" s="543"/>
      <c r="Y467" s="543"/>
      <c r="Z467" s="543"/>
      <c r="AA467" s="543"/>
      <c r="AB467" s="543"/>
      <c r="AC467" s="543"/>
      <c r="AD467" s="543"/>
      <c r="AE467" s="543"/>
      <c r="AF467" s="543"/>
    </row>
    <row r="468" spans="1:32">
      <c r="A468" s="533"/>
      <c r="B468" s="534"/>
      <c r="C468" s="535"/>
      <c r="D468" s="12"/>
      <c r="E468" s="13"/>
      <c r="F468" s="14"/>
      <c r="G468" s="543"/>
      <c r="H468" s="543"/>
      <c r="I468" s="543"/>
      <c r="J468" s="543"/>
      <c r="K468" s="543"/>
      <c r="L468" s="543"/>
      <c r="M468" s="543"/>
      <c r="N468" s="543"/>
      <c r="O468" s="543"/>
      <c r="P468" s="543"/>
      <c r="Q468" s="543"/>
      <c r="R468" s="543"/>
      <c r="S468" s="543"/>
      <c r="T468" s="543"/>
      <c r="U468" s="543"/>
      <c r="V468" s="543"/>
      <c r="W468" s="543"/>
      <c r="X468" s="543"/>
      <c r="Y468" s="543"/>
      <c r="Z468" s="543"/>
      <c r="AA468" s="543"/>
      <c r="AB468" s="543"/>
      <c r="AC468" s="543"/>
      <c r="AD468" s="543"/>
      <c r="AE468" s="543"/>
      <c r="AF468" s="543"/>
    </row>
    <row r="469" spans="1:32">
      <c r="A469" s="533"/>
      <c r="B469" s="534"/>
      <c r="C469" s="535"/>
      <c r="D469" s="12"/>
      <c r="E469" s="13"/>
      <c r="F469" s="14"/>
      <c r="G469" s="543"/>
      <c r="H469" s="543"/>
      <c r="I469" s="543"/>
      <c r="J469" s="543"/>
      <c r="K469" s="543"/>
      <c r="L469" s="543"/>
      <c r="M469" s="543"/>
      <c r="N469" s="543"/>
      <c r="O469" s="543"/>
      <c r="P469" s="543"/>
      <c r="Q469" s="543"/>
      <c r="R469" s="543"/>
      <c r="S469" s="543"/>
      <c r="T469" s="543"/>
      <c r="U469" s="543"/>
      <c r="V469" s="543"/>
      <c r="W469" s="543"/>
      <c r="X469" s="543"/>
      <c r="Y469" s="543"/>
      <c r="Z469" s="543"/>
      <c r="AA469" s="543"/>
      <c r="AB469" s="543"/>
      <c r="AC469" s="543"/>
      <c r="AD469" s="543"/>
      <c r="AE469" s="543"/>
      <c r="AF469" s="543"/>
    </row>
    <row r="470" spans="1:32">
      <c r="A470" s="533"/>
      <c r="B470" s="534"/>
      <c r="C470" s="535"/>
      <c r="D470" s="12"/>
      <c r="E470" s="13"/>
      <c r="F470" s="14"/>
      <c r="G470" s="543"/>
      <c r="H470" s="543"/>
      <c r="I470" s="543"/>
      <c r="J470" s="543"/>
      <c r="K470" s="543"/>
      <c r="L470" s="543"/>
      <c r="M470" s="543"/>
      <c r="N470" s="543"/>
      <c r="O470" s="543"/>
      <c r="P470" s="543"/>
      <c r="Q470" s="543"/>
      <c r="R470" s="543"/>
      <c r="S470" s="543"/>
      <c r="T470" s="543"/>
      <c r="U470" s="543"/>
      <c r="V470" s="543"/>
      <c r="W470" s="543"/>
      <c r="X470" s="543"/>
      <c r="Y470" s="543"/>
      <c r="Z470" s="543"/>
      <c r="AA470" s="543"/>
      <c r="AB470" s="543"/>
      <c r="AC470" s="543"/>
      <c r="AD470" s="543"/>
      <c r="AE470" s="543"/>
      <c r="AF470" s="543"/>
    </row>
    <row r="471" spans="1:32">
      <c r="A471" s="533"/>
      <c r="B471" s="534"/>
      <c r="C471" s="535"/>
      <c r="D471" s="12"/>
      <c r="E471" s="13"/>
      <c r="F471" s="14"/>
      <c r="G471" s="543"/>
      <c r="H471" s="543"/>
      <c r="I471" s="543"/>
      <c r="J471" s="543"/>
      <c r="K471" s="543"/>
      <c r="L471" s="543"/>
      <c r="M471" s="543"/>
      <c r="N471" s="543"/>
      <c r="O471" s="543"/>
      <c r="P471" s="543"/>
      <c r="Q471" s="543"/>
      <c r="R471" s="543"/>
      <c r="S471" s="543"/>
      <c r="T471" s="543"/>
      <c r="U471" s="543"/>
      <c r="V471" s="543"/>
      <c r="W471" s="543"/>
      <c r="X471" s="543"/>
      <c r="Y471" s="543"/>
      <c r="Z471" s="543"/>
      <c r="AA471" s="543"/>
      <c r="AB471" s="543"/>
      <c r="AC471" s="543"/>
      <c r="AD471" s="543"/>
      <c r="AE471" s="543"/>
      <c r="AF471" s="543"/>
    </row>
    <row r="472" spans="1:32">
      <c r="A472" s="533"/>
      <c r="B472" s="534"/>
      <c r="C472" s="535"/>
      <c r="D472" s="12"/>
      <c r="E472" s="13"/>
      <c r="F472" s="14"/>
      <c r="G472" s="543"/>
      <c r="H472" s="543"/>
      <c r="I472" s="543"/>
      <c r="J472" s="543"/>
      <c r="K472" s="543"/>
      <c r="L472" s="543"/>
      <c r="M472" s="543"/>
      <c r="N472" s="543"/>
      <c r="O472" s="543"/>
      <c r="P472" s="543"/>
      <c r="Q472" s="543"/>
      <c r="R472" s="543"/>
      <c r="S472" s="543"/>
      <c r="T472" s="543"/>
      <c r="U472" s="543"/>
      <c r="V472" s="543"/>
      <c r="W472" s="543"/>
      <c r="X472" s="543"/>
      <c r="Y472" s="543"/>
      <c r="Z472" s="543"/>
      <c r="AA472" s="543"/>
      <c r="AB472" s="543"/>
      <c r="AC472" s="543"/>
      <c r="AD472" s="543"/>
      <c r="AE472" s="543"/>
      <c r="AF472" s="543"/>
    </row>
    <row r="473" spans="1:32">
      <c r="A473" s="533"/>
      <c r="B473" s="534"/>
      <c r="C473" s="535"/>
      <c r="D473" s="12"/>
      <c r="E473" s="13"/>
      <c r="F473" s="14"/>
      <c r="G473" s="543"/>
      <c r="H473" s="543"/>
      <c r="I473" s="543"/>
      <c r="J473" s="543"/>
      <c r="K473" s="543"/>
      <c r="L473" s="543"/>
      <c r="M473" s="543"/>
      <c r="N473" s="543"/>
      <c r="O473" s="543"/>
      <c r="P473" s="543"/>
      <c r="Q473" s="543"/>
      <c r="R473" s="543"/>
      <c r="S473" s="543"/>
      <c r="T473" s="543"/>
      <c r="U473" s="543"/>
      <c r="V473" s="543"/>
      <c r="W473" s="543"/>
      <c r="X473" s="543"/>
      <c r="Y473" s="543"/>
      <c r="Z473" s="543"/>
      <c r="AA473" s="543"/>
      <c r="AB473" s="543"/>
      <c r="AC473" s="543"/>
      <c r="AD473" s="543"/>
      <c r="AE473" s="543"/>
      <c r="AF473" s="543"/>
    </row>
    <row r="474" spans="1:32">
      <c r="A474" s="533"/>
      <c r="B474" s="534"/>
      <c r="C474" s="535"/>
      <c r="D474" s="12"/>
      <c r="E474" s="13"/>
      <c r="F474" s="14"/>
      <c r="G474" s="543"/>
      <c r="H474" s="543"/>
      <c r="I474" s="543"/>
      <c r="J474" s="543"/>
      <c r="K474" s="543"/>
      <c r="L474" s="543"/>
      <c r="M474" s="543"/>
      <c r="N474" s="543"/>
      <c r="O474" s="543"/>
      <c r="P474" s="543"/>
      <c r="Q474" s="543"/>
      <c r="R474" s="543"/>
      <c r="S474" s="543"/>
      <c r="T474" s="543"/>
      <c r="U474" s="543"/>
      <c r="V474" s="543"/>
      <c r="W474" s="543"/>
      <c r="X474" s="543"/>
      <c r="Y474" s="543"/>
      <c r="Z474" s="543"/>
      <c r="AA474" s="543"/>
      <c r="AB474" s="543"/>
      <c r="AC474" s="543"/>
      <c r="AD474" s="543"/>
      <c r="AE474" s="543"/>
      <c r="AF474" s="543"/>
    </row>
    <row r="475" spans="1:32">
      <c r="A475" s="533"/>
      <c r="B475" s="534"/>
      <c r="C475" s="535"/>
      <c r="D475" s="12"/>
      <c r="E475" s="13"/>
      <c r="F475" s="14"/>
      <c r="G475" s="543"/>
      <c r="H475" s="543"/>
      <c r="I475" s="543"/>
      <c r="J475" s="543"/>
      <c r="K475" s="543"/>
      <c r="L475" s="543"/>
      <c r="M475" s="543"/>
      <c r="N475" s="543"/>
      <c r="O475" s="543"/>
      <c r="P475" s="543"/>
      <c r="Q475" s="543"/>
      <c r="R475" s="543"/>
      <c r="S475" s="543"/>
      <c r="T475" s="543"/>
      <c r="U475" s="543"/>
      <c r="V475" s="543"/>
      <c r="W475" s="543"/>
      <c r="X475" s="543"/>
      <c r="Y475" s="543"/>
      <c r="Z475" s="543"/>
      <c r="AA475" s="543"/>
      <c r="AB475" s="543"/>
      <c r="AC475" s="543"/>
      <c r="AD475" s="543"/>
      <c r="AE475" s="543"/>
      <c r="AF475" s="543"/>
    </row>
    <row r="476" spans="1:32">
      <c r="A476" s="533"/>
      <c r="B476" s="534"/>
      <c r="C476" s="535"/>
      <c r="D476" s="12"/>
      <c r="E476" s="13"/>
      <c r="F476" s="14"/>
      <c r="G476" s="543"/>
      <c r="H476" s="543"/>
      <c r="I476" s="543"/>
      <c r="J476" s="543"/>
      <c r="K476" s="543"/>
      <c r="L476" s="543"/>
      <c r="M476" s="543"/>
      <c r="N476" s="543"/>
      <c r="O476" s="543"/>
      <c r="P476" s="543"/>
      <c r="Q476" s="543"/>
      <c r="R476" s="543"/>
      <c r="S476" s="543"/>
      <c r="T476" s="543"/>
      <c r="U476" s="543"/>
      <c r="V476" s="543"/>
      <c r="W476" s="543"/>
      <c r="X476" s="543"/>
      <c r="Y476" s="543"/>
      <c r="Z476" s="543"/>
      <c r="AA476" s="543"/>
      <c r="AB476" s="543"/>
      <c r="AC476" s="543"/>
      <c r="AD476" s="543"/>
      <c r="AE476" s="543"/>
      <c r="AF476" s="543"/>
    </row>
    <row r="477" spans="1:32">
      <c r="A477" s="533"/>
      <c r="B477" s="534"/>
      <c r="C477" s="535"/>
      <c r="D477" s="12"/>
      <c r="E477" s="13"/>
      <c r="F477" s="14"/>
      <c r="G477" s="543"/>
      <c r="H477" s="543"/>
      <c r="I477" s="543"/>
      <c r="J477" s="543"/>
      <c r="K477" s="543"/>
      <c r="L477" s="543"/>
      <c r="M477" s="543"/>
      <c r="N477" s="543"/>
      <c r="O477" s="543"/>
      <c r="P477" s="543"/>
      <c r="Q477" s="543"/>
      <c r="R477" s="543"/>
      <c r="S477" s="543"/>
      <c r="T477" s="543"/>
      <c r="U477" s="543"/>
      <c r="V477" s="543"/>
      <c r="W477" s="543"/>
      <c r="X477" s="543"/>
      <c r="Y477" s="543"/>
      <c r="Z477" s="543"/>
      <c r="AA477" s="543"/>
      <c r="AB477" s="543"/>
      <c r="AC477" s="543"/>
      <c r="AD477" s="543"/>
      <c r="AE477" s="543"/>
      <c r="AF477" s="543"/>
    </row>
    <row r="478" spans="1:32">
      <c r="A478" s="533"/>
      <c r="B478" s="534"/>
      <c r="C478" s="535"/>
      <c r="D478" s="12"/>
      <c r="E478" s="13"/>
      <c r="F478" s="14"/>
      <c r="G478" s="543"/>
      <c r="H478" s="543"/>
      <c r="I478" s="543"/>
      <c r="J478" s="543"/>
      <c r="K478" s="543"/>
      <c r="L478" s="543"/>
      <c r="M478" s="543"/>
      <c r="N478" s="543"/>
      <c r="O478" s="543"/>
      <c r="P478" s="543"/>
      <c r="Q478" s="543"/>
      <c r="R478" s="543"/>
      <c r="S478" s="543"/>
      <c r="T478" s="543"/>
      <c r="U478" s="543"/>
      <c r="V478" s="543"/>
      <c r="W478" s="543"/>
      <c r="X478" s="543"/>
      <c r="Y478" s="543"/>
      <c r="Z478" s="543"/>
      <c r="AA478" s="543"/>
      <c r="AB478" s="543"/>
      <c r="AC478" s="543"/>
      <c r="AD478" s="543"/>
      <c r="AE478" s="543"/>
      <c r="AF478" s="543"/>
    </row>
    <row r="479" spans="1:32">
      <c r="A479" s="533"/>
      <c r="B479" s="534"/>
      <c r="C479" s="535"/>
      <c r="D479" s="12"/>
      <c r="E479" s="13"/>
      <c r="F479" s="14"/>
      <c r="G479" s="543"/>
      <c r="H479" s="543"/>
      <c r="I479" s="543"/>
      <c r="J479" s="543"/>
      <c r="K479" s="543"/>
      <c r="L479" s="543"/>
      <c r="M479" s="543"/>
      <c r="N479" s="543"/>
      <c r="O479" s="543"/>
      <c r="P479" s="543"/>
      <c r="Q479" s="543"/>
      <c r="R479" s="543"/>
      <c r="S479" s="543"/>
      <c r="T479" s="543"/>
      <c r="U479" s="543"/>
      <c r="V479" s="543"/>
      <c r="W479" s="543"/>
      <c r="X479" s="543"/>
      <c r="Y479" s="543"/>
      <c r="Z479" s="543"/>
      <c r="AA479" s="543"/>
      <c r="AB479" s="543"/>
      <c r="AC479" s="543"/>
      <c r="AD479" s="543"/>
      <c r="AE479" s="543"/>
      <c r="AF479" s="543"/>
    </row>
    <row r="480" spans="1:32">
      <c r="A480" s="533"/>
      <c r="B480" s="534"/>
      <c r="C480" s="535"/>
      <c r="D480" s="12"/>
      <c r="E480" s="13"/>
      <c r="F480" s="14"/>
      <c r="G480" s="543"/>
      <c r="H480" s="543"/>
      <c r="I480" s="543"/>
      <c r="J480" s="543"/>
      <c r="K480" s="543"/>
      <c r="L480" s="543"/>
      <c r="M480" s="543"/>
      <c r="N480" s="543"/>
      <c r="O480" s="543"/>
      <c r="P480" s="543"/>
      <c r="Q480" s="543"/>
      <c r="R480" s="543"/>
      <c r="S480" s="543"/>
      <c r="T480" s="543"/>
      <c r="U480" s="543"/>
      <c r="V480" s="543"/>
      <c r="W480" s="543"/>
      <c r="X480" s="543"/>
      <c r="Y480" s="543"/>
      <c r="Z480" s="543"/>
      <c r="AA480" s="543"/>
      <c r="AB480" s="543"/>
      <c r="AC480" s="543"/>
      <c r="AD480" s="543"/>
      <c r="AE480" s="543"/>
      <c r="AF480" s="543"/>
    </row>
    <row r="481" spans="1:32">
      <c r="A481" s="533"/>
      <c r="B481" s="534"/>
      <c r="C481" s="535"/>
      <c r="D481" s="12"/>
      <c r="E481" s="13"/>
      <c r="F481" s="14"/>
      <c r="G481" s="543"/>
      <c r="H481" s="543"/>
      <c r="I481" s="543"/>
      <c r="J481" s="543"/>
      <c r="K481" s="543"/>
      <c r="L481" s="543"/>
      <c r="M481" s="543"/>
      <c r="N481" s="543"/>
      <c r="O481" s="543"/>
      <c r="P481" s="543"/>
      <c r="Q481" s="543"/>
      <c r="R481" s="543"/>
      <c r="S481" s="543"/>
      <c r="T481" s="543"/>
      <c r="U481" s="543"/>
      <c r="V481" s="543"/>
      <c r="W481" s="543"/>
      <c r="X481" s="543"/>
      <c r="Y481" s="543"/>
      <c r="Z481" s="543"/>
      <c r="AA481" s="543"/>
      <c r="AB481" s="543"/>
      <c r="AC481" s="543"/>
      <c r="AD481" s="543"/>
      <c r="AE481" s="543"/>
      <c r="AF481" s="543"/>
    </row>
    <row r="482" spans="1:32">
      <c r="A482" s="533"/>
      <c r="B482" s="534"/>
      <c r="C482" s="535"/>
      <c r="D482" s="12"/>
      <c r="E482" s="13"/>
      <c r="F482" s="14"/>
      <c r="G482" s="543"/>
      <c r="H482" s="543"/>
      <c r="I482" s="543"/>
      <c r="J482" s="543"/>
      <c r="K482" s="543"/>
      <c r="L482" s="543"/>
      <c r="M482" s="543"/>
      <c r="N482" s="543"/>
      <c r="O482" s="543"/>
      <c r="P482" s="543"/>
      <c r="Q482" s="543"/>
      <c r="R482" s="543"/>
      <c r="S482" s="543"/>
      <c r="T482" s="543"/>
      <c r="U482" s="543"/>
      <c r="V482" s="543"/>
      <c r="W482" s="543"/>
      <c r="X482" s="543"/>
      <c r="Y482" s="543"/>
      <c r="Z482" s="543"/>
      <c r="AA482" s="543"/>
      <c r="AB482" s="543"/>
      <c r="AC482" s="543"/>
      <c r="AD482" s="543"/>
      <c r="AE482" s="543"/>
      <c r="AF482" s="543"/>
    </row>
    <row r="483" spans="1:32">
      <c r="A483" s="533"/>
      <c r="B483" s="534"/>
      <c r="C483" s="535"/>
      <c r="D483" s="12"/>
      <c r="E483" s="13"/>
      <c r="F483" s="14"/>
      <c r="G483" s="543"/>
      <c r="H483" s="543"/>
      <c r="I483" s="543"/>
      <c r="J483" s="543"/>
      <c r="K483" s="543"/>
      <c r="L483" s="543"/>
      <c r="M483" s="543"/>
      <c r="N483" s="543"/>
      <c r="O483" s="543"/>
      <c r="P483" s="543"/>
      <c r="Q483" s="543"/>
      <c r="R483" s="543"/>
      <c r="S483" s="543"/>
      <c r="T483" s="543"/>
      <c r="U483" s="543"/>
      <c r="V483" s="543"/>
      <c r="W483" s="543"/>
      <c r="X483" s="543"/>
      <c r="Y483" s="543"/>
      <c r="Z483" s="543"/>
      <c r="AA483" s="543"/>
      <c r="AB483" s="543"/>
      <c r="AC483" s="543"/>
      <c r="AD483" s="543"/>
      <c r="AE483" s="543"/>
      <c r="AF483" s="543"/>
    </row>
    <row r="484" spans="1:32">
      <c r="A484" s="533"/>
      <c r="B484" s="534"/>
      <c r="C484" s="535"/>
      <c r="D484" s="12"/>
      <c r="E484" s="13"/>
      <c r="F484" s="14"/>
      <c r="G484" s="543"/>
      <c r="H484" s="543"/>
      <c r="I484" s="543"/>
      <c r="J484" s="543"/>
      <c r="K484" s="543"/>
      <c r="L484" s="543"/>
      <c r="M484" s="543"/>
      <c r="N484" s="543"/>
      <c r="O484" s="543"/>
      <c r="P484" s="543"/>
      <c r="Q484" s="543"/>
      <c r="R484" s="543"/>
      <c r="S484" s="543"/>
      <c r="T484" s="543"/>
      <c r="U484" s="543"/>
      <c r="V484" s="543"/>
      <c r="W484" s="543"/>
      <c r="X484" s="543"/>
      <c r="Y484" s="543"/>
      <c r="Z484" s="543"/>
      <c r="AA484" s="543"/>
      <c r="AB484" s="543"/>
      <c r="AC484" s="543"/>
      <c r="AD484" s="543"/>
      <c r="AE484" s="543"/>
      <c r="AF484" s="543"/>
    </row>
    <row r="485" spans="1:32">
      <c r="A485" s="533"/>
      <c r="B485" s="534"/>
      <c r="C485" s="535"/>
      <c r="D485" s="12"/>
      <c r="E485" s="13"/>
      <c r="F485" s="14"/>
      <c r="G485" s="543"/>
      <c r="H485" s="543"/>
      <c r="I485" s="543"/>
      <c r="J485" s="543"/>
      <c r="K485" s="543"/>
      <c r="L485" s="543"/>
      <c r="M485" s="543"/>
      <c r="N485" s="543"/>
      <c r="O485" s="543"/>
      <c r="P485" s="543"/>
      <c r="Q485" s="543"/>
      <c r="R485" s="543"/>
      <c r="S485" s="543"/>
      <c r="T485" s="543"/>
      <c r="U485" s="543"/>
      <c r="V485" s="543"/>
      <c r="W485" s="543"/>
      <c r="X485" s="543"/>
      <c r="Y485" s="543"/>
      <c r="Z485" s="543"/>
      <c r="AA485" s="543"/>
      <c r="AB485" s="543"/>
      <c r="AC485" s="543"/>
      <c r="AD485" s="543"/>
      <c r="AE485" s="543"/>
      <c r="AF485" s="543"/>
    </row>
    <row r="486" spans="1:32">
      <c r="A486" s="533"/>
      <c r="B486" s="534"/>
      <c r="C486" s="535"/>
      <c r="D486" s="12"/>
      <c r="E486" s="13"/>
      <c r="F486" s="14"/>
      <c r="G486" s="543"/>
      <c r="H486" s="543"/>
      <c r="I486" s="543"/>
      <c r="J486" s="543"/>
      <c r="K486" s="543"/>
      <c r="L486" s="543"/>
      <c r="M486" s="543"/>
      <c r="N486" s="543"/>
      <c r="O486" s="543"/>
      <c r="P486" s="543"/>
      <c r="Q486" s="543"/>
      <c r="R486" s="543"/>
      <c r="S486" s="543"/>
      <c r="T486" s="543"/>
      <c r="U486" s="543"/>
      <c r="V486" s="543"/>
      <c r="W486" s="543"/>
      <c r="X486" s="543"/>
      <c r="Y486" s="543"/>
      <c r="Z486" s="543"/>
      <c r="AA486" s="543"/>
      <c r="AB486" s="543"/>
      <c r="AC486" s="543"/>
      <c r="AD486" s="543"/>
      <c r="AE486" s="543"/>
      <c r="AF486" s="543"/>
    </row>
    <row r="487" spans="1:32">
      <c r="A487" s="533"/>
      <c r="B487" s="534"/>
      <c r="C487" s="535"/>
      <c r="D487" s="12"/>
      <c r="E487" s="13"/>
      <c r="F487" s="14"/>
      <c r="G487" s="543"/>
      <c r="H487" s="543"/>
      <c r="I487" s="543"/>
      <c r="J487" s="543"/>
      <c r="K487" s="543"/>
      <c r="L487" s="543"/>
      <c r="M487" s="543"/>
      <c r="N487" s="543"/>
      <c r="O487" s="543"/>
      <c r="P487" s="543"/>
      <c r="Q487" s="543"/>
      <c r="R487" s="543"/>
      <c r="S487" s="543"/>
      <c r="T487" s="543"/>
      <c r="U487" s="543"/>
      <c r="V487" s="543"/>
      <c r="W487" s="543"/>
      <c r="X487" s="543"/>
      <c r="Y487" s="543"/>
      <c r="Z487" s="543"/>
      <c r="AA487" s="543"/>
      <c r="AB487" s="543"/>
      <c r="AC487" s="543"/>
      <c r="AD487" s="543"/>
      <c r="AE487" s="543"/>
      <c r="AF487" s="543"/>
    </row>
    <row r="488" spans="1:32">
      <c r="A488" s="533"/>
      <c r="B488" s="534"/>
      <c r="C488" s="535"/>
      <c r="D488" s="12"/>
      <c r="E488" s="13"/>
      <c r="F488" s="14"/>
      <c r="G488" s="543"/>
      <c r="H488" s="543"/>
      <c r="I488" s="543"/>
      <c r="J488" s="543"/>
      <c r="K488" s="543"/>
      <c r="L488" s="543"/>
      <c r="M488" s="543"/>
      <c r="N488" s="543"/>
      <c r="O488" s="543"/>
      <c r="P488" s="543"/>
      <c r="Q488" s="543"/>
      <c r="R488" s="543"/>
      <c r="S488" s="543"/>
      <c r="T488" s="543"/>
      <c r="U488" s="543"/>
      <c r="V488" s="543"/>
      <c r="W488" s="543"/>
      <c r="X488" s="543"/>
      <c r="Y488" s="543"/>
      <c r="Z488" s="543"/>
      <c r="AA488" s="543"/>
      <c r="AB488" s="543"/>
      <c r="AC488" s="543"/>
      <c r="AD488" s="543"/>
      <c r="AE488" s="543"/>
      <c r="AF488" s="543"/>
    </row>
    <row r="489" spans="1:32">
      <c r="A489" s="533"/>
      <c r="B489" s="534"/>
      <c r="C489" s="535"/>
      <c r="D489" s="12"/>
      <c r="E489" s="13"/>
      <c r="F489" s="14"/>
      <c r="G489" s="543"/>
      <c r="H489" s="543"/>
      <c r="I489" s="543"/>
      <c r="J489" s="543"/>
      <c r="K489" s="543"/>
      <c r="L489" s="543"/>
      <c r="M489" s="543"/>
      <c r="N489" s="543"/>
      <c r="O489" s="543"/>
      <c r="P489" s="543"/>
      <c r="Q489" s="543"/>
      <c r="R489" s="543"/>
      <c r="S489" s="543"/>
      <c r="T489" s="543"/>
      <c r="U489" s="543"/>
      <c r="V489" s="543"/>
      <c r="W489" s="543"/>
      <c r="X489" s="543"/>
      <c r="Y489" s="543"/>
      <c r="Z489" s="543"/>
      <c r="AA489" s="543"/>
      <c r="AB489" s="543"/>
      <c r="AC489" s="543"/>
      <c r="AD489" s="543"/>
      <c r="AE489" s="543"/>
      <c r="AF489" s="543"/>
    </row>
    <row r="490" spans="1:32">
      <c r="A490" s="533"/>
      <c r="B490" s="534"/>
      <c r="C490" s="535"/>
      <c r="D490" s="12"/>
      <c r="E490" s="13"/>
      <c r="F490" s="14"/>
      <c r="G490" s="543"/>
      <c r="H490" s="543"/>
      <c r="I490" s="543"/>
      <c r="J490" s="543"/>
      <c r="K490" s="543"/>
      <c r="L490" s="543"/>
      <c r="M490" s="543"/>
      <c r="N490" s="543"/>
      <c r="O490" s="543"/>
      <c r="P490" s="543"/>
      <c r="Q490" s="543"/>
      <c r="R490" s="543"/>
      <c r="S490" s="543"/>
      <c r="T490" s="543"/>
      <c r="U490" s="543"/>
      <c r="V490" s="543"/>
      <c r="W490" s="543"/>
      <c r="X490" s="543"/>
      <c r="Y490" s="543"/>
      <c r="Z490" s="543"/>
      <c r="AA490" s="543"/>
      <c r="AB490" s="543"/>
      <c r="AC490" s="543"/>
      <c r="AD490" s="543"/>
      <c r="AE490" s="543"/>
      <c r="AF490" s="543"/>
    </row>
    <row r="491" spans="1:32">
      <c r="A491" s="533"/>
      <c r="B491" s="534"/>
      <c r="C491" s="535"/>
      <c r="D491" s="12"/>
      <c r="E491" s="13"/>
      <c r="F491" s="14"/>
      <c r="G491" s="543"/>
      <c r="H491" s="543"/>
      <c r="I491" s="543"/>
      <c r="J491" s="543"/>
      <c r="K491" s="543"/>
      <c r="L491" s="543"/>
      <c r="M491" s="543"/>
      <c r="N491" s="543"/>
      <c r="O491" s="543"/>
      <c r="P491" s="543"/>
      <c r="Q491" s="543"/>
      <c r="R491" s="543"/>
      <c r="S491" s="543"/>
      <c r="T491" s="543"/>
      <c r="U491" s="543"/>
      <c r="V491" s="543"/>
      <c r="W491" s="543"/>
      <c r="X491" s="543"/>
      <c r="Y491" s="543"/>
      <c r="Z491" s="543"/>
      <c r="AA491" s="543"/>
      <c r="AB491" s="543"/>
      <c r="AC491" s="543"/>
      <c r="AD491" s="543"/>
      <c r="AE491" s="543"/>
      <c r="AF491" s="543"/>
    </row>
    <row r="492" spans="1:32">
      <c r="A492" s="533"/>
      <c r="B492" s="534"/>
      <c r="C492" s="535"/>
      <c r="D492" s="12"/>
      <c r="E492" s="13"/>
      <c r="F492" s="14"/>
      <c r="G492" s="543"/>
      <c r="H492" s="543"/>
      <c r="I492" s="543"/>
      <c r="J492" s="543"/>
      <c r="K492" s="543"/>
      <c r="L492" s="543"/>
      <c r="M492" s="543"/>
      <c r="N492" s="543"/>
      <c r="O492" s="543"/>
      <c r="P492" s="543"/>
      <c r="Q492" s="543"/>
      <c r="R492" s="543"/>
      <c r="S492" s="543"/>
      <c r="T492" s="543"/>
      <c r="U492" s="543"/>
      <c r="V492" s="543"/>
      <c r="W492" s="543"/>
      <c r="X492" s="543"/>
      <c r="Y492" s="543"/>
      <c r="Z492" s="543"/>
      <c r="AA492" s="543"/>
      <c r="AB492" s="543"/>
      <c r="AC492" s="543"/>
      <c r="AD492" s="543"/>
      <c r="AE492" s="543"/>
      <c r="AF492" s="543"/>
    </row>
    <row r="493" spans="1:32">
      <c r="A493" s="533"/>
      <c r="B493" s="534"/>
      <c r="C493" s="535"/>
      <c r="D493" s="12"/>
      <c r="E493" s="13"/>
      <c r="F493" s="14"/>
      <c r="G493" s="543"/>
      <c r="H493" s="543"/>
      <c r="I493" s="543"/>
      <c r="J493" s="543"/>
      <c r="K493" s="543"/>
      <c r="L493" s="543"/>
      <c r="M493" s="543"/>
      <c r="N493" s="543"/>
      <c r="O493" s="543"/>
      <c r="P493" s="543"/>
      <c r="Q493" s="543"/>
      <c r="R493" s="543"/>
      <c r="S493" s="543"/>
      <c r="T493" s="543"/>
      <c r="U493" s="543"/>
      <c r="V493" s="543"/>
      <c r="W493" s="543"/>
      <c r="X493" s="543"/>
      <c r="Y493" s="543"/>
      <c r="Z493" s="543"/>
      <c r="AA493" s="543"/>
      <c r="AB493" s="543"/>
      <c r="AC493" s="543"/>
      <c r="AD493" s="543"/>
      <c r="AE493" s="543"/>
      <c r="AF493" s="543"/>
    </row>
    <row r="494" spans="1:32">
      <c r="A494" s="533"/>
      <c r="B494" s="534"/>
      <c r="C494" s="535"/>
      <c r="D494" s="12"/>
      <c r="E494" s="13"/>
      <c r="F494" s="14"/>
      <c r="G494" s="543"/>
      <c r="H494" s="543"/>
      <c r="I494" s="543"/>
      <c r="J494" s="543"/>
      <c r="K494" s="543"/>
      <c r="L494" s="543"/>
      <c r="M494" s="543"/>
      <c r="N494" s="543"/>
      <c r="O494" s="543"/>
      <c r="P494" s="543"/>
      <c r="Q494" s="543"/>
      <c r="R494" s="543"/>
      <c r="S494" s="543"/>
      <c r="T494" s="543"/>
      <c r="U494" s="543"/>
      <c r="V494" s="543"/>
      <c r="W494" s="543"/>
      <c r="X494" s="543"/>
      <c r="Y494" s="543"/>
      <c r="Z494" s="543"/>
      <c r="AA494" s="543"/>
      <c r="AB494" s="543"/>
      <c r="AC494" s="543"/>
      <c r="AD494" s="543"/>
      <c r="AE494" s="543"/>
      <c r="AF494" s="543"/>
    </row>
    <row r="495" spans="1:32">
      <c r="A495" s="533"/>
      <c r="B495" s="534"/>
      <c r="C495" s="535"/>
      <c r="D495" s="12"/>
      <c r="E495" s="13"/>
      <c r="F495" s="14"/>
      <c r="G495" s="543"/>
      <c r="H495" s="543"/>
      <c r="I495" s="543"/>
      <c r="J495" s="543"/>
      <c r="K495" s="543"/>
      <c r="L495" s="543"/>
      <c r="M495" s="543"/>
      <c r="N495" s="543"/>
      <c r="O495" s="543"/>
      <c r="P495" s="543"/>
      <c r="Q495" s="543"/>
      <c r="R495" s="543"/>
      <c r="S495" s="543"/>
      <c r="T495" s="543"/>
      <c r="U495" s="543"/>
      <c r="V495" s="543"/>
      <c r="W495" s="543"/>
      <c r="X495" s="543"/>
      <c r="Y495" s="543"/>
      <c r="Z495" s="543"/>
      <c r="AA495" s="543"/>
      <c r="AB495" s="543"/>
      <c r="AC495" s="543"/>
      <c r="AD495" s="543"/>
      <c r="AE495" s="543"/>
      <c r="AF495" s="543"/>
    </row>
    <row r="496" spans="1:32">
      <c r="A496" s="533"/>
      <c r="B496" s="534"/>
      <c r="C496" s="535"/>
      <c r="D496" s="12"/>
      <c r="E496" s="13"/>
      <c r="F496" s="14"/>
      <c r="G496" s="543"/>
      <c r="H496" s="543"/>
      <c r="I496" s="543"/>
      <c r="J496" s="543"/>
      <c r="K496" s="543"/>
      <c r="L496" s="543"/>
      <c r="M496" s="543"/>
      <c r="N496" s="543"/>
      <c r="O496" s="543"/>
      <c r="P496" s="543"/>
      <c r="Q496" s="543"/>
      <c r="R496" s="543"/>
      <c r="S496" s="543"/>
      <c r="T496" s="543"/>
      <c r="U496" s="543"/>
      <c r="V496" s="543"/>
      <c r="W496" s="543"/>
      <c r="X496" s="543"/>
      <c r="Y496" s="543"/>
      <c r="Z496" s="543"/>
      <c r="AA496" s="543"/>
      <c r="AB496" s="543"/>
      <c r="AC496" s="543"/>
      <c r="AD496" s="543"/>
      <c r="AE496" s="543"/>
      <c r="AF496" s="543"/>
    </row>
    <row r="497" spans="1:32">
      <c r="A497" s="533"/>
      <c r="B497" s="534"/>
      <c r="C497" s="535"/>
      <c r="D497" s="12"/>
      <c r="E497" s="13"/>
      <c r="F497" s="14"/>
      <c r="G497" s="543"/>
      <c r="H497" s="543"/>
      <c r="I497" s="543"/>
      <c r="J497" s="543"/>
      <c r="K497" s="543"/>
      <c r="L497" s="543"/>
      <c r="M497" s="543"/>
      <c r="N497" s="543"/>
      <c r="O497" s="543"/>
      <c r="P497" s="543"/>
      <c r="Q497" s="543"/>
      <c r="R497" s="543"/>
      <c r="S497" s="543"/>
      <c r="T497" s="543"/>
      <c r="U497" s="543"/>
      <c r="V497" s="543"/>
      <c r="W497" s="543"/>
      <c r="X497" s="543"/>
      <c r="Y497" s="543"/>
      <c r="Z497" s="543"/>
      <c r="AA497" s="543"/>
      <c r="AB497" s="543"/>
      <c r="AC497" s="543"/>
      <c r="AD497" s="543"/>
      <c r="AE497" s="543"/>
      <c r="AF497" s="543"/>
    </row>
    <row r="498" spans="1:32">
      <c r="A498" s="533"/>
      <c r="B498" s="534"/>
      <c r="C498" s="535"/>
      <c r="D498" s="12"/>
      <c r="E498" s="13"/>
      <c r="F498" s="14"/>
      <c r="G498" s="543"/>
      <c r="H498" s="543"/>
      <c r="I498" s="543"/>
      <c r="J498" s="543"/>
      <c r="K498" s="543"/>
      <c r="L498" s="543"/>
      <c r="M498" s="543"/>
      <c r="N498" s="543"/>
      <c r="O498" s="543"/>
      <c r="P498" s="543"/>
      <c r="Q498" s="543"/>
      <c r="R498" s="543"/>
      <c r="S498" s="543"/>
      <c r="T498" s="543"/>
      <c r="U498" s="543"/>
      <c r="V498" s="543"/>
      <c r="W498" s="543"/>
      <c r="X498" s="543"/>
      <c r="Y498" s="543"/>
      <c r="Z498" s="543"/>
      <c r="AA498" s="543"/>
      <c r="AB498" s="543"/>
      <c r="AC498" s="543"/>
      <c r="AD498" s="543"/>
      <c r="AE498" s="543"/>
      <c r="AF498" s="543"/>
    </row>
    <row r="499" spans="1:32">
      <c r="A499" s="533"/>
      <c r="B499" s="534"/>
      <c r="C499" s="535"/>
      <c r="D499" s="12"/>
      <c r="E499" s="13"/>
      <c r="F499" s="14"/>
      <c r="G499" s="543"/>
      <c r="H499" s="543"/>
      <c r="I499" s="543"/>
      <c r="J499" s="543"/>
      <c r="K499" s="543"/>
      <c r="L499" s="543"/>
      <c r="M499" s="543"/>
      <c r="N499" s="543"/>
      <c r="O499" s="543"/>
      <c r="P499" s="543"/>
      <c r="Q499" s="543"/>
      <c r="R499" s="543"/>
      <c r="S499" s="543"/>
      <c r="T499" s="543"/>
      <c r="U499" s="543"/>
      <c r="V499" s="543"/>
      <c r="W499" s="543"/>
      <c r="X499" s="543"/>
      <c r="Y499" s="543"/>
      <c r="Z499" s="543"/>
      <c r="AA499" s="543"/>
      <c r="AB499" s="543"/>
      <c r="AC499" s="543"/>
      <c r="AD499" s="543"/>
      <c r="AE499" s="543"/>
      <c r="AF499" s="543"/>
    </row>
    <row r="500" spans="1:32">
      <c r="A500" s="533"/>
      <c r="B500" s="534"/>
      <c r="C500" s="535"/>
      <c r="D500" s="12"/>
      <c r="E500" s="13"/>
      <c r="F500" s="14"/>
      <c r="G500" s="543"/>
      <c r="H500" s="543"/>
      <c r="I500" s="543"/>
      <c r="J500" s="543"/>
      <c r="K500" s="543"/>
      <c r="L500" s="543"/>
      <c r="M500" s="543"/>
      <c r="N500" s="543"/>
      <c r="O500" s="543"/>
      <c r="P500" s="543"/>
      <c r="Q500" s="543"/>
      <c r="R500" s="543"/>
      <c r="S500" s="543"/>
      <c r="T500" s="543"/>
      <c r="U500" s="543"/>
      <c r="V500" s="543"/>
      <c r="W500" s="543"/>
      <c r="X500" s="543"/>
      <c r="Y500" s="543"/>
      <c r="Z500" s="543"/>
      <c r="AA500" s="543"/>
      <c r="AB500" s="543"/>
      <c r="AC500" s="543"/>
      <c r="AD500" s="543"/>
      <c r="AE500" s="543"/>
      <c r="AF500" s="543"/>
    </row>
    <row r="501" spans="1:32">
      <c r="A501" s="533"/>
      <c r="B501" s="534"/>
      <c r="C501" s="535"/>
      <c r="D501" s="12"/>
      <c r="E501" s="13"/>
      <c r="F501" s="14"/>
      <c r="G501" s="543"/>
      <c r="H501" s="543"/>
      <c r="I501" s="543"/>
      <c r="J501" s="543"/>
      <c r="K501" s="543"/>
      <c r="L501" s="543"/>
      <c r="M501" s="543"/>
      <c r="N501" s="543"/>
      <c r="O501" s="543"/>
      <c r="P501" s="543"/>
      <c r="Q501" s="543"/>
      <c r="R501" s="543"/>
      <c r="S501" s="543"/>
      <c r="T501" s="543"/>
      <c r="U501" s="543"/>
      <c r="V501" s="543"/>
      <c r="W501" s="543"/>
      <c r="X501" s="543"/>
      <c r="Y501" s="543"/>
      <c r="Z501" s="543"/>
      <c r="AA501" s="543"/>
      <c r="AB501" s="543"/>
      <c r="AC501" s="543"/>
      <c r="AD501" s="543"/>
      <c r="AE501" s="543"/>
      <c r="AF501" s="543"/>
    </row>
    <row r="502" spans="1:32">
      <c r="A502" s="533"/>
      <c r="B502" s="534"/>
      <c r="C502" s="535"/>
      <c r="D502" s="12"/>
      <c r="E502" s="13"/>
      <c r="F502" s="14"/>
      <c r="G502" s="543"/>
      <c r="H502" s="543"/>
      <c r="I502" s="543"/>
      <c r="J502" s="543"/>
      <c r="K502" s="543"/>
      <c r="L502" s="543"/>
      <c r="M502" s="543"/>
      <c r="N502" s="543"/>
      <c r="O502" s="543"/>
      <c r="P502" s="543"/>
      <c r="Q502" s="543"/>
      <c r="R502" s="543"/>
      <c r="S502" s="543"/>
      <c r="T502" s="543"/>
      <c r="U502" s="543"/>
      <c r="V502" s="543"/>
      <c r="W502" s="543"/>
      <c r="X502" s="543"/>
      <c r="Y502" s="543"/>
      <c r="Z502" s="543"/>
      <c r="AA502" s="543"/>
      <c r="AB502" s="543"/>
      <c r="AC502" s="543"/>
      <c r="AD502" s="543"/>
      <c r="AE502" s="543"/>
      <c r="AF502" s="543"/>
    </row>
    <row r="503" spans="1:32">
      <c r="A503" s="533"/>
      <c r="B503" s="534"/>
      <c r="C503" s="535"/>
      <c r="D503" s="12"/>
      <c r="E503" s="13"/>
      <c r="F503" s="14"/>
      <c r="G503" s="543"/>
      <c r="H503" s="543"/>
      <c r="I503" s="543"/>
      <c r="J503" s="543"/>
      <c r="K503" s="543"/>
      <c r="L503" s="543"/>
      <c r="M503" s="543"/>
      <c r="N503" s="543"/>
      <c r="O503" s="543"/>
      <c r="P503" s="543"/>
      <c r="Q503" s="543"/>
      <c r="R503" s="543"/>
      <c r="S503" s="543"/>
      <c r="T503" s="543"/>
      <c r="U503" s="543"/>
      <c r="V503" s="543"/>
      <c r="W503" s="543"/>
      <c r="X503" s="543"/>
      <c r="Y503" s="543"/>
      <c r="Z503" s="543"/>
      <c r="AA503" s="543"/>
      <c r="AB503" s="543"/>
      <c r="AC503" s="543"/>
      <c r="AD503" s="543"/>
      <c r="AE503" s="543"/>
      <c r="AF503" s="543"/>
    </row>
  </sheetData>
  <autoFilter ref="D3:E503" xr:uid="{00000000-0009-0000-0000-000003000000}"/>
  <mergeCells count="1">
    <mergeCell ref="A1:F1"/>
  </mergeCells>
  <phoneticPr fontId="0" type="noConversion"/>
  <printOptions horizontalCentered="1" headings="1"/>
  <pageMargins left="0.23622047244094491" right="0.23622047244094491" top="0.98425196850393704" bottom="0.98425196850393704" header="0.51181102362204722" footer="0.51181102362204722"/>
  <pageSetup orientation="portrait" horizontalDpi="1200" verticalDpi="120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04">
    <tabColor indexed="44"/>
  </sheetPr>
  <dimension ref="A1:DF87"/>
  <sheetViews>
    <sheetView topLeftCell="CL1" workbookViewId="0">
      <selection activeCell="CW17" sqref="CW17"/>
    </sheetView>
  </sheetViews>
  <sheetFormatPr defaultColWidth="9.1328125" defaultRowHeight="12.75"/>
  <cols>
    <col min="1" max="1" width="4.59765625" style="3" customWidth="1"/>
    <col min="2" max="2" width="5.59765625" style="2" customWidth="1"/>
    <col min="3" max="3" width="17" style="1" customWidth="1"/>
    <col min="4" max="4" width="7.265625" style="1" bestFit="1" customWidth="1"/>
    <col min="5" max="5" width="4.265625" style="1" bestFit="1" customWidth="1"/>
    <col min="6" max="6" width="36.86328125" style="1" customWidth="1"/>
    <col min="7" max="107" width="9" style="541" customWidth="1"/>
    <col min="108" max="16384" width="9.1328125" style="1"/>
  </cols>
  <sheetData>
    <row r="1" spans="1:110" ht="42" customHeight="1" thickBot="1">
      <c r="A1" s="3785" t="s">
        <v>525</v>
      </c>
      <c r="B1" s="3786"/>
      <c r="C1" s="3786"/>
      <c r="D1" s="3786"/>
      <c r="E1" s="3786"/>
      <c r="F1" s="3786"/>
    </row>
    <row r="2" spans="1:110" s="1703" customFormat="1" ht="12" customHeight="1">
      <c r="A2" s="1698" t="s">
        <v>695</v>
      </c>
      <c r="B2" s="1699"/>
      <c r="C2" s="1699"/>
      <c r="D2" s="1700"/>
      <c r="E2" s="1701"/>
      <c r="F2" s="1702"/>
      <c r="G2" s="1697">
        <f>+InputY!G3</f>
        <v>1995</v>
      </c>
      <c r="H2" s="1697"/>
      <c r="I2" s="1697"/>
      <c r="J2" s="1697"/>
      <c r="K2" s="1697">
        <f>+G2+1</f>
        <v>1996</v>
      </c>
      <c r="L2" s="1697"/>
      <c r="M2" s="1697"/>
      <c r="N2" s="1697"/>
      <c r="O2" s="1697">
        <f>+K2+1</f>
        <v>1997</v>
      </c>
      <c r="P2" s="1697"/>
      <c r="Q2" s="1697"/>
      <c r="R2" s="1697"/>
      <c r="S2" s="1697">
        <f>+O2+1</f>
        <v>1998</v>
      </c>
      <c r="T2" s="1697"/>
      <c r="U2" s="1697"/>
      <c r="V2" s="1697"/>
      <c r="W2" s="1697">
        <f>+S2+1</f>
        <v>1999</v>
      </c>
      <c r="X2" s="1697"/>
      <c r="Y2" s="1697"/>
      <c r="Z2" s="1697"/>
      <c r="AA2" s="1697">
        <f>+W2+1</f>
        <v>2000</v>
      </c>
      <c r="AB2" s="1697"/>
      <c r="AC2" s="1697"/>
      <c r="AD2" s="1697"/>
      <c r="AE2" s="1697">
        <f>+AA2+1</f>
        <v>2001</v>
      </c>
      <c r="AF2" s="1697"/>
      <c r="AG2" s="1697"/>
      <c r="AH2" s="1697"/>
      <c r="AI2" s="1697">
        <f>+AE2+1</f>
        <v>2002</v>
      </c>
      <c r="AJ2" s="1697"/>
      <c r="AK2" s="1697"/>
      <c r="AL2" s="1697"/>
      <c r="AM2" s="1697">
        <f>+AI2+1</f>
        <v>2003</v>
      </c>
      <c r="AN2" s="1697"/>
      <c r="AO2" s="1697"/>
      <c r="AP2" s="1697"/>
      <c r="AQ2" s="1697">
        <f>+AM2+1</f>
        <v>2004</v>
      </c>
      <c r="AR2" s="1697"/>
      <c r="AS2" s="1697"/>
      <c r="AT2" s="1697"/>
      <c r="AU2" s="1697">
        <f>+AQ2+1</f>
        <v>2005</v>
      </c>
      <c r="AV2" s="1697"/>
      <c r="AW2" s="1697"/>
      <c r="AX2" s="1697"/>
      <c r="AY2" s="1697">
        <f>+AU2+1</f>
        <v>2006</v>
      </c>
      <c r="AZ2" s="1697"/>
      <c r="BA2" s="1697"/>
      <c r="BB2" s="1697"/>
      <c r="BC2" s="1697">
        <f>+AY2+1</f>
        <v>2007</v>
      </c>
      <c r="BD2" s="1697"/>
      <c r="BE2" s="1697"/>
      <c r="BF2" s="1697"/>
      <c r="BG2" s="1697">
        <f>+BC2+1</f>
        <v>2008</v>
      </c>
      <c r="BH2" s="1697"/>
      <c r="BI2" s="1697"/>
      <c r="BJ2" s="1697"/>
      <c r="BK2" s="1697">
        <f>+BG2+1</f>
        <v>2009</v>
      </c>
      <c r="BL2" s="1697"/>
      <c r="BM2" s="1697"/>
      <c r="BN2" s="1697"/>
      <c r="BO2" s="1697">
        <f>+BK2+1</f>
        <v>2010</v>
      </c>
      <c r="BP2" s="1697"/>
      <c r="BQ2" s="1697"/>
      <c r="BR2" s="1697"/>
      <c r="BS2" s="1697">
        <f>+BO2+1</f>
        <v>2011</v>
      </c>
      <c r="BT2" s="1697"/>
      <c r="BU2" s="1697"/>
      <c r="BV2" s="1697"/>
      <c r="BW2" s="1697">
        <f>+BS2+1</f>
        <v>2012</v>
      </c>
      <c r="BX2" s="1697"/>
      <c r="BY2" s="1697"/>
      <c r="BZ2" s="1697"/>
      <c r="CA2" s="1697">
        <f>+BW2+1</f>
        <v>2013</v>
      </c>
      <c r="CB2" s="1697"/>
      <c r="CC2" s="1697"/>
      <c r="CD2" s="1697"/>
      <c r="CE2" s="1697">
        <f>+CA2+1</f>
        <v>2014</v>
      </c>
      <c r="CF2" s="1697"/>
      <c r="CG2" s="1697"/>
      <c r="CH2" s="1697"/>
      <c r="CI2" s="1697">
        <f>+CE2+1</f>
        <v>2015</v>
      </c>
      <c r="CJ2" s="1697"/>
      <c r="CK2" s="1697"/>
      <c r="CL2" s="1697"/>
      <c r="CM2" s="1697">
        <f>+CI2+1</f>
        <v>2016</v>
      </c>
      <c r="CN2" s="1697"/>
      <c r="CO2" s="1697"/>
      <c r="CP2" s="1697"/>
      <c r="CQ2" s="1697">
        <f>+CM2+1</f>
        <v>2017</v>
      </c>
      <c r="CR2" s="1697"/>
      <c r="CS2" s="1697"/>
      <c r="CT2" s="1697"/>
      <c r="CU2" s="1697">
        <f>+CQ2+1</f>
        <v>2018</v>
      </c>
      <c r="CV2" s="1697">
        <f>+CR2+1</f>
        <v>1</v>
      </c>
      <c r="CW2" s="1697"/>
      <c r="CX2" s="1697"/>
      <c r="CY2" s="1697">
        <f>+CU2+1</f>
        <v>2019</v>
      </c>
      <c r="CZ2" s="1697"/>
      <c r="DA2" s="1697"/>
      <c r="DB2" s="1697"/>
      <c r="DC2" s="1697">
        <f>+CY2+1</f>
        <v>2020</v>
      </c>
      <c r="DD2" s="1"/>
      <c r="DE2" s="1"/>
      <c r="DF2" s="1"/>
    </row>
    <row r="3" spans="1:110" s="527" customFormat="1" ht="24.75" customHeight="1">
      <c r="A3" s="521" t="s">
        <v>696</v>
      </c>
      <c r="B3" s="522" t="s">
        <v>1234</v>
      </c>
      <c r="C3" s="522" t="s">
        <v>697</v>
      </c>
      <c r="D3" s="523" t="s">
        <v>1079</v>
      </c>
      <c r="E3" s="524" t="s">
        <v>1080</v>
      </c>
      <c r="F3" s="525" t="s">
        <v>109</v>
      </c>
      <c r="G3" s="526" t="str">
        <f>G2&amp;"Q1"</f>
        <v>1995Q1</v>
      </c>
      <c r="H3" s="526" t="str">
        <f>G2&amp;"Q2"</f>
        <v>1995Q2</v>
      </c>
      <c r="I3" s="526" t="str">
        <f>G2&amp;"Q3"</f>
        <v>1995Q3</v>
      </c>
      <c r="J3" s="526" t="str">
        <f>G2&amp;"Q4"</f>
        <v>1995Q4</v>
      </c>
      <c r="K3" s="526" t="str">
        <f>K2&amp;"Q1"</f>
        <v>1996Q1</v>
      </c>
      <c r="L3" s="526" t="str">
        <f>K2&amp;"Q2"</f>
        <v>1996Q2</v>
      </c>
      <c r="M3" s="526" t="str">
        <f>K2&amp;"Q3"</f>
        <v>1996Q3</v>
      </c>
      <c r="N3" s="526" t="str">
        <f>K2&amp;"Q4"</f>
        <v>1996Q4</v>
      </c>
      <c r="O3" s="526" t="str">
        <f>O2&amp;"Q1"</f>
        <v>1997Q1</v>
      </c>
      <c r="P3" s="526" t="str">
        <f>O2&amp;"Q2"</f>
        <v>1997Q2</v>
      </c>
      <c r="Q3" s="526" t="str">
        <f>O2&amp;"Q3"</f>
        <v>1997Q3</v>
      </c>
      <c r="R3" s="526" t="str">
        <f>O2&amp;"Q4"</f>
        <v>1997Q4</v>
      </c>
      <c r="S3" s="526" t="str">
        <f>S2&amp;"Q1"</f>
        <v>1998Q1</v>
      </c>
      <c r="T3" s="526" t="str">
        <f>S2&amp;"Q2"</f>
        <v>1998Q2</v>
      </c>
      <c r="U3" s="526" t="str">
        <f>S2&amp;"Q3"</f>
        <v>1998Q3</v>
      </c>
      <c r="V3" s="526" t="str">
        <f>S2&amp;"Q4"</f>
        <v>1998Q4</v>
      </c>
      <c r="W3" s="526" t="str">
        <f>W2&amp;"Q1"</f>
        <v>1999Q1</v>
      </c>
      <c r="X3" s="526" t="str">
        <f>W2&amp;"Q2"</f>
        <v>1999Q2</v>
      </c>
      <c r="Y3" s="526" t="str">
        <f>W2&amp;"Q3"</f>
        <v>1999Q3</v>
      </c>
      <c r="Z3" s="526" t="str">
        <f>W2&amp;"Q4"</f>
        <v>1999Q4</v>
      </c>
      <c r="AA3" s="526" t="str">
        <f>AA2&amp;"Q1"</f>
        <v>2000Q1</v>
      </c>
      <c r="AB3" s="526" t="str">
        <f>AA2&amp;"Q2"</f>
        <v>2000Q2</v>
      </c>
      <c r="AC3" s="526" t="str">
        <f>AA2&amp;"Q3"</f>
        <v>2000Q3</v>
      </c>
      <c r="AD3" s="526" t="str">
        <f>AA2&amp;"Q4"</f>
        <v>2000Q4</v>
      </c>
      <c r="AE3" s="526" t="str">
        <f>AE2&amp;"Q1"</f>
        <v>2001Q1</v>
      </c>
      <c r="AF3" s="526" t="str">
        <f>AE2&amp;"Q2"</f>
        <v>2001Q2</v>
      </c>
      <c r="AG3" s="526" t="str">
        <f>AE2&amp;"Q3"</f>
        <v>2001Q3</v>
      </c>
      <c r="AH3" s="526" t="str">
        <f>AE2&amp;"Q4"</f>
        <v>2001Q4</v>
      </c>
      <c r="AI3" s="526" t="str">
        <f>AI2&amp;"Q1"</f>
        <v>2002Q1</v>
      </c>
      <c r="AJ3" s="526" t="str">
        <f>AI2&amp;"Q2"</f>
        <v>2002Q2</v>
      </c>
      <c r="AK3" s="526" t="str">
        <f>AI2&amp;"Q3"</f>
        <v>2002Q3</v>
      </c>
      <c r="AL3" s="526" t="str">
        <f>AI2&amp;"Q4"</f>
        <v>2002Q4</v>
      </c>
      <c r="AM3" s="526" t="str">
        <f>AM2&amp;"Q1"</f>
        <v>2003Q1</v>
      </c>
      <c r="AN3" s="526" t="str">
        <f>AM2&amp;"Q2"</f>
        <v>2003Q2</v>
      </c>
      <c r="AO3" s="526" t="str">
        <f>AM2&amp;"Q3"</f>
        <v>2003Q3</v>
      </c>
      <c r="AP3" s="526" t="str">
        <f>AM2&amp;"Q4"</f>
        <v>2003Q4</v>
      </c>
      <c r="AQ3" s="526" t="str">
        <f>AQ2&amp;"Q1"</f>
        <v>2004Q1</v>
      </c>
      <c r="AR3" s="526" t="str">
        <f>AQ2&amp;"Q2"</f>
        <v>2004Q2</v>
      </c>
      <c r="AS3" s="526" t="str">
        <f>AQ2&amp;"Q3"</f>
        <v>2004Q3</v>
      </c>
      <c r="AT3" s="526" t="str">
        <f>AQ2&amp;"Q4"</f>
        <v>2004Q4</v>
      </c>
      <c r="AU3" s="526" t="str">
        <f>AU2&amp;"Q1"</f>
        <v>2005Q1</v>
      </c>
      <c r="AV3" s="526" t="str">
        <f>AU2&amp;"Q2"</f>
        <v>2005Q2</v>
      </c>
      <c r="AW3" s="526" t="str">
        <f>AU2&amp;"Q3"</f>
        <v>2005Q3</v>
      </c>
      <c r="AX3" s="526" t="str">
        <f>AU2&amp;"Q4"</f>
        <v>2005Q4</v>
      </c>
      <c r="AY3" s="526" t="str">
        <f>AY2&amp;"Q1"</f>
        <v>2006Q1</v>
      </c>
      <c r="AZ3" s="526" t="str">
        <f>AY2&amp;"Q2"</f>
        <v>2006Q2</v>
      </c>
      <c r="BA3" s="526" t="str">
        <f>AY2&amp;"Q3"</f>
        <v>2006Q3</v>
      </c>
      <c r="BB3" s="526" t="str">
        <f>AY2&amp;"Q4"</f>
        <v>2006Q4</v>
      </c>
      <c r="BC3" s="526" t="str">
        <f>BC2&amp;"Q1"</f>
        <v>2007Q1</v>
      </c>
      <c r="BD3" s="526" t="str">
        <f>BC2&amp;"Q2"</f>
        <v>2007Q2</v>
      </c>
      <c r="BE3" s="526" t="str">
        <f>BC2&amp;"Q3"</f>
        <v>2007Q3</v>
      </c>
      <c r="BF3" s="526" t="str">
        <f>BC2&amp;"Q4"</f>
        <v>2007Q4</v>
      </c>
      <c r="BG3" s="526" t="str">
        <f>BG2&amp;"Q1"</f>
        <v>2008Q1</v>
      </c>
      <c r="BH3" s="526" t="str">
        <f>BG2&amp;"Q2"</f>
        <v>2008Q2</v>
      </c>
      <c r="BI3" s="526" t="str">
        <f>BG2&amp;"Q3"</f>
        <v>2008Q3</v>
      </c>
      <c r="BJ3" s="526" t="str">
        <f>BG2&amp;"Q4"</f>
        <v>2008Q4</v>
      </c>
      <c r="BK3" s="526" t="str">
        <f>BK2&amp;"Q1"</f>
        <v>2009Q1</v>
      </c>
      <c r="BL3" s="526" t="str">
        <f>BK2&amp;"Q2"</f>
        <v>2009Q2</v>
      </c>
      <c r="BM3" s="526" t="str">
        <f>BK2&amp;"Q3"</f>
        <v>2009Q3</v>
      </c>
      <c r="BN3" s="526" t="str">
        <f>BK2&amp;"Q4"</f>
        <v>2009Q4</v>
      </c>
      <c r="BO3" s="526" t="str">
        <f>BO2&amp;"Q1"</f>
        <v>2010Q1</v>
      </c>
      <c r="BP3" s="526" t="str">
        <f>BO2&amp;"Q2"</f>
        <v>2010Q2</v>
      </c>
      <c r="BQ3" s="526" t="str">
        <f>BO2&amp;"Q3"</f>
        <v>2010Q3</v>
      </c>
      <c r="BR3" s="526" t="str">
        <f>BO2&amp;"Q4"</f>
        <v>2010Q4</v>
      </c>
      <c r="BS3" s="526" t="str">
        <f>BS2&amp;"Q1"</f>
        <v>2011Q1</v>
      </c>
      <c r="BT3" s="526" t="str">
        <f>BS2&amp;"Q2"</f>
        <v>2011Q2</v>
      </c>
      <c r="BU3" s="526" t="str">
        <f>BS2&amp;"Q3"</f>
        <v>2011Q3</v>
      </c>
      <c r="BV3" s="526" t="str">
        <f>BS2&amp;"Q4"</f>
        <v>2011Q4</v>
      </c>
      <c r="BW3" s="526" t="str">
        <f>BW2&amp;"Q1"</f>
        <v>2012Q1</v>
      </c>
      <c r="BX3" s="526" t="str">
        <f>BW2&amp;"Q2"</f>
        <v>2012Q2</v>
      </c>
      <c r="BY3" s="526" t="str">
        <f>BW2&amp;"Q3"</f>
        <v>2012Q3</v>
      </c>
      <c r="BZ3" s="526" t="str">
        <f>BW2&amp;"Q4"</f>
        <v>2012Q4</v>
      </c>
      <c r="CA3" s="526" t="str">
        <f>CA2&amp;"Q1"</f>
        <v>2013Q1</v>
      </c>
      <c r="CB3" s="526" t="str">
        <f>CA2&amp;"Q2"</f>
        <v>2013Q2</v>
      </c>
      <c r="CC3" s="526" t="str">
        <f>CA2&amp;"Q3"</f>
        <v>2013Q3</v>
      </c>
      <c r="CD3" s="526" t="str">
        <f>CA2&amp;"Q4"</f>
        <v>2013Q4</v>
      </c>
      <c r="CE3" s="526" t="str">
        <f>CE2&amp;"Q1"</f>
        <v>2014Q1</v>
      </c>
      <c r="CF3" s="526" t="str">
        <f>CE2&amp;"Q2"</f>
        <v>2014Q2</v>
      </c>
      <c r="CG3" s="526" t="str">
        <f>CE2&amp;"Q3"</f>
        <v>2014Q3</v>
      </c>
      <c r="CH3" s="526" t="str">
        <f>CE2&amp;"Q4"</f>
        <v>2014Q4</v>
      </c>
      <c r="CI3" s="526" t="str">
        <f>CI2&amp;"Q1"</f>
        <v>2015Q1</v>
      </c>
      <c r="CJ3" s="526" t="str">
        <f>CI2&amp;"Q2"</f>
        <v>2015Q2</v>
      </c>
      <c r="CK3" s="526" t="str">
        <f>CI2&amp;"Q3"</f>
        <v>2015Q3</v>
      </c>
      <c r="CL3" s="526" t="str">
        <f>CI2&amp;"Q4"</f>
        <v>2015Q4</v>
      </c>
      <c r="CM3" s="526" t="str">
        <f>CM2&amp;"Q1"</f>
        <v>2016Q1</v>
      </c>
      <c r="CN3" s="526" t="str">
        <f>CM2&amp;"Q2"</f>
        <v>2016Q2</v>
      </c>
      <c r="CO3" s="526" t="str">
        <f>CM2&amp;"Q3"</f>
        <v>2016Q3</v>
      </c>
      <c r="CP3" s="526" t="str">
        <f>CM2&amp;"Q4"</f>
        <v>2016Q4</v>
      </c>
      <c r="CQ3" s="526" t="str">
        <f>CQ2&amp;"Q1"</f>
        <v>2017Q1</v>
      </c>
      <c r="CR3" s="526" t="str">
        <f>CQ2&amp;"Q2"</f>
        <v>2017Q2</v>
      </c>
      <c r="CS3" s="526" t="str">
        <f>CQ2&amp;"Q3"</f>
        <v>2017Q3</v>
      </c>
      <c r="CT3" s="526" t="str">
        <f>CQ2&amp;"Q4"</f>
        <v>2017Q4</v>
      </c>
      <c r="CU3" s="526" t="str">
        <f>CU2&amp;"Q1"</f>
        <v>2018Q1</v>
      </c>
      <c r="CV3" s="526" t="str">
        <f>CV2&amp;"Q1"</f>
        <v>1Q1</v>
      </c>
      <c r="CW3" s="526" t="str">
        <f>CU2&amp;"Q3"</f>
        <v>2018Q3</v>
      </c>
      <c r="CX3" s="526" t="str">
        <f>CU2&amp;"Q4"</f>
        <v>2018Q4</v>
      </c>
      <c r="CY3" s="526" t="str">
        <f>CY2&amp;"Q1"</f>
        <v>2019Q1</v>
      </c>
      <c r="CZ3" s="526" t="str">
        <f>CY2&amp;"Q2"</f>
        <v>2019Q2</v>
      </c>
      <c r="DA3" s="526" t="str">
        <f>CY2&amp;"Q3"</f>
        <v>2019Q3</v>
      </c>
      <c r="DB3" s="526" t="str">
        <f>CY2&amp;"Q4"</f>
        <v>2019Q4</v>
      </c>
      <c r="DC3" s="526" t="str">
        <f>DC2&amp;"Q1"</f>
        <v>2020Q1</v>
      </c>
      <c r="DD3" s="1"/>
      <c r="DE3" s="1"/>
      <c r="DF3" s="1"/>
    </row>
    <row r="4" spans="1:110">
      <c r="A4" s="530"/>
      <c r="B4" s="531"/>
      <c r="C4" s="532"/>
      <c r="D4" s="9"/>
      <c r="E4" s="10"/>
      <c r="F4" s="11"/>
      <c r="G4" s="542"/>
      <c r="H4" s="542"/>
      <c r="I4" s="542"/>
      <c r="J4" s="542"/>
      <c r="K4" s="542"/>
      <c r="L4" s="542"/>
      <c r="M4" s="542"/>
      <c r="N4" s="542"/>
      <c r="O4" s="542"/>
      <c r="P4" s="542"/>
      <c r="Q4" s="542"/>
      <c r="R4" s="542"/>
      <c r="S4" s="542"/>
      <c r="T4" s="542"/>
      <c r="U4" s="542"/>
      <c r="V4" s="542"/>
      <c r="W4" s="542"/>
      <c r="X4" s="542"/>
      <c r="Y4" s="542"/>
      <c r="Z4" s="542"/>
      <c r="AA4" s="542"/>
      <c r="AB4" s="542"/>
      <c r="AC4" s="542"/>
      <c r="AD4" s="542"/>
      <c r="AE4" s="542"/>
      <c r="AF4" s="542"/>
      <c r="AG4" s="542"/>
      <c r="AH4" s="542"/>
      <c r="AI4" s="542"/>
      <c r="AJ4" s="542"/>
      <c r="AK4" s="542"/>
      <c r="AL4" s="542"/>
      <c r="AM4" s="542"/>
      <c r="AN4" s="542"/>
      <c r="AO4" s="542"/>
      <c r="AP4" s="542"/>
      <c r="AQ4" s="542"/>
      <c r="AR4" s="542"/>
      <c r="AS4" s="542"/>
      <c r="AT4" s="542"/>
      <c r="AU4" s="542"/>
      <c r="AV4" s="542"/>
      <c r="AW4" s="542"/>
      <c r="AX4" s="542"/>
      <c r="AY4" s="542"/>
      <c r="AZ4" s="542"/>
      <c r="BA4" s="542"/>
      <c r="BB4" s="542"/>
      <c r="BC4" s="542"/>
      <c r="BD4" s="542"/>
      <c r="BE4" s="542"/>
      <c r="BF4" s="542"/>
      <c r="BG4" s="542"/>
      <c r="BH4" s="542"/>
      <c r="BI4" s="542"/>
      <c r="BJ4" s="542"/>
      <c r="BK4" s="542"/>
      <c r="BL4" s="542"/>
      <c r="BM4" s="542"/>
      <c r="BN4" s="542"/>
      <c r="BO4" s="542"/>
      <c r="BP4" s="542"/>
      <c r="BQ4" s="542"/>
      <c r="BR4" s="542"/>
      <c r="BS4" s="542"/>
      <c r="BT4" s="542"/>
      <c r="BU4" s="542"/>
      <c r="BV4" s="542"/>
      <c r="BW4" s="542"/>
      <c r="BX4" s="542"/>
      <c r="BY4" s="542"/>
      <c r="BZ4" s="542"/>
      <c r="CA4" s="542"/>
      <c r="CB4" s="542"/>
      <c r="CC4" s="542"/>
      <c r="CD4" s="542"/>
      <c r="CE4" s="542"/>
      <c r="CF4" s="542"/>
      <c r="CG4" s="542"/>
      <c r="CH4" s="542"/>
      <c r="CI4" s="542"/>
      <c r="CJ4" s="542"/>
      <c r="CK4" s="542"/>
      <c r="CL4" s="542"/>
      <c r="CM4" s="542"/>
      <c r="CN4" s="542"/>
      <c r="CO4" s="542"/>
      <c r="CP4" s="542"/>
      <c r="CQ4" s="542"/>
      <c r="CR4" s="542"/>
      <c r="CS4" s="542"/>
      <c r="CT4" s="542"/>
      <c r="CU4" s="542"/>
      <c r="CV4" s="542"/>
      <c r="CW4" s="542"/>
      <c r="CX4" s="542"/>
      <c r="CY4" s="542"/>
      <c r="CZ4" s="542"/>
      <c r="DA4" s="542"/>
      <c r="DB4" s="542"/>
      <c r="DC4" s="542"/>
    </row>
    <row r="5" spans="1:110">
      <c r="A5" s="1596">
        <v>15</v>
      </c>
      <c r="B5" s="534" t="s">
        <v>1258</v>
      </c>
      <c r="C5" s="535" t="s">
        <v>290</v>
      </c>
      <c r="D5" s="1597" t="s">
        <v>130</v>
      </c>
      <c r="E5" s="1598">
        <v>65</v>
      </c>
      <c r="F5" s="1599" t="s">
        <v>2783</v>
      </c>
      <c r="G5" s="1600">
        <v>275943.7</v>
      </c>
      <c r="H5" s="1600">
        <v>278128</v>
      </c>
      <c r="I5" s="1600">
        <v>277552</v>
      </c>
      <c r="J5" s="1600">
        <v>278058.5</v>
      </c>
      <c r="K5" s="1600">
        <v>279947.8</v>
      </c>
      <c r="L5" s="1600">
        <v>280164.90000000002</v>
      </c>
      <c r="M5" s="1600">
        <v>284783</v>
      </c>
      <c r="N5" s="1600">
        <v>284942.59999999998</v>
      </c>
      <c r="O5" s="1600">
        <v>287190.90000000002</v>
      </c>
      <c r="P5" s="1600">
        <v>291835</v>
      </c>
      <c r="Q5" s="1600">
        <v>290471.59999999998</v>
      </c>
      <c r="R5" s="1600">
        <v>292754.2</v>
      </c>
      <c r="S5" s="1600">
        <v>294970.09999999998</v>
      </c>
      <c r="T5" s="1600">
        <v>298590.2</v>
      </c>
      <c r="U5" s="1600">
        <v>301258.7</v>
      </c>
      <c r="V5" s="1600">
        <v>305204.5</v>
      </c>
      <c r="W5" s="1600">
        <v>306436.2</v>
      </c>
      <c r="X5" s="1600">
        <v>307840.5</v>
      </c>
      <c r="Y5" s="1600">
        <v>312021.8</v>
      </c>
      <c r="Z5" s="1600">
        <v>321163.5</v>
      </c>
      <c r="AA5" s="1600">
        <v>323857.09999999998</v>
      </c>
      <c r="AB5" s="1600">
        <v>329310.90000000002</v>
      </c>
      <c r="AC5" s="1600">
        <v>330680.90000000002</v>
      </c>
      <c r="AD5" s="1600">
        <v>330113.3</v>
      </c>
      <c r="AE5" s="1600">
        <v>330381.3</v>
      </c>
      <c r="AF5" s="1600">
        <v>331650.2</v>
      </c>
      <c r="AG5" s="1600">
        <v>331831</v>
      </c>
      <c r="AH5" s="1600">
        <v>330513</v>
      </c>
      <c r="AI5" s="1600">
        <v>335947.4</v>
      </c>
      <c r="AJ5" s="1600">
        <v>338443.4</v>
      </c>
      <c r="AK5" s="1600">
        <v>339474.8</v>
      </c>
      <c r="AL5" s="1600">
        <v>344472.3</v>
      </c>
      <c r="AM5" s="1600">
        <v>344569.7</v>
      </c>
      <c r="AN5" s="1600">
        <v>345325.7</v>
      </c>
      <c r="AO5" s="1600">
        <v>349620.1</v>
      </c>
      <c r="AP5" s="1600">
        <v>351140.3</v>
      </c>
      <c r="AQ5" s="1600">
        <v>355435.7</v>
      </c>
      <c r="AR5" s="1600">
        <v>353947</v>
      </c>
      <c r="AS5" s="1600">
        <v>357826.9</v>
      </c>
      <c r="AT5" s="1600">
        <v>359860</v>
      </c>
      <c r="AU5" s="1600">
        <v>361948.8</v>
      </c>
      <c r="AV5" s="1600">
        <v>364294.6</v>
      </c>
      <c r="AW5" s="1600">
        <v>369090.8</v>
      </c>
      <c r="AX5" s="1600">
        <v>371069.2</v>
      </c>
      <c r="AY5" s="1600">
        <v>371692.5</v>
      </c>
      <c r="AZ5" s="1600">
        <v>376352.4</v>
      </c>
      <c r="BA5" s="1600">
        <v>377090.8</v>
      </c>
      <c r="BB5" s="1600">
        <v>381976.1</v>
      </c>
      <c r="BC5" s="1600">
        <v>384810.6</v>
      </c>
      <c r="BD5" s="1600">
        <v>387586.7</v>
      </c>
      <c r="BE5" s="1600">
        <v>394252.79999999999</v>
      </c>
      <c r="BF5" s="1600">
        <v>398650.3</v>
      </c>
      <c r="BG5" s="1600">
        <v>394538.5</v>
      </c>
      <c r="BH5" s="1600">
        <v>394534.8</v>
      </c>
      <c r="BI5" s="1600">
        <v>391773.6</v>
      </c>
      <c r="BJ5" s="1600">
        <v>387457.8</v>
      </c>
      <c r="BK5" s="1600">
        <v>388769.3</v>
      </c>
      <c r="BL5" s="1600">
        <v>393894.8</v>
      </c>
      <c r="BM5" s="1600">
        <v>395157.2</v>
      </c>
      <c r="BN5" s="1600">
        <v>396143.1</v>
      </c>
      <c r="BO5" s="1600">
        <v>405009.4</v>
      </c>
      <c r="BP5" s="1600">
        <v>405295.1</v>
      </c>
      <c r="BQ5" s="1600">
        <v>410378.9</v>
      </c>
      <c r="BR5" s="1600">
        <v>412902.7</v>
      </c>
      <c r="BS5" s="1600">
        <v>414009.2</v>
      </c>
      <c r="BT5" s="1600">
        <v>417957.7</v>
      </c>
      <c r="BU5" s="1600">
        <v>416267.7</v>
      </c>
      <c r="BV5" s="1600">
        <v>415769.7</v>
      </c>
      <c r="BW5" s="1600">
        <v>417879.8</v>
      </c>
      <c r="BX5" s="1600">
        <v>418822.2</v>
      </c>
      <c r="BY5" s="1600">
        <v>420504.7</v>
      </c>
      <c r="BZ5" s="1600">
        <v>422046.3</v>
      </c>
      <c r="CA5" s="1600">
        <v>423866.1</v>
      </c>
      <c r="CB5" s="1600">
        <v>425492</v>
      </c>
      <c r="CC5" s="1600">
        <v>429582.4</v>
      </c>
      <c r="CD5" s="1600">
        <v>431503.3</v>
      </c>
      <c r="CE5" s="1600">
        <v>431743.6</v>
      </c>
      <c r="CF5" s="1600">
        <v>437921.8</v>
      </c>
      <c r="CG5" s="1600">
        <v>437119.5</v>
      </c>
      <c r="CH5" s="1600">
        <v>440812</v>
      </c>
      <c r="CI5" s="1600">
        <v>444807.8</v>
      </c>
      <c r="CJ5" s="1600">
        <v>447827.9</v>
      </c>
      <c r="CK5" s="1600">
        <v>451663.2</v>
      </c>
      <c r="CL5" s="1600">
        <v>456263.7</v>
      </c>
      <c r="CM5" s="1600">
        <v>460895.8</v>
      </c>
      <c r="CN5" s="1600">
        <v>460400.5</v>
      </c>
      <c r="CO5" s="1600">
        <v>463709.9</v>
      </c>
      <c r="CP5" s="1600">
        <v>465552.9</v>
      </c>
      <c r="CQ5" s="1600">
        <v>469420.7</v>
      </c>
      <c r="CR5" s="1600">
        <v>471787.8</v>
      </c>
      <c r="CS5" s="1600">
        <v>473995.3</v>
      </c>
      <c r="CT5" s="1600">
        <v>477571.9</v>
      </c>
      <c r="CU5" s="1600">
        <v>479915.7</v>
      </c>
      <c r="CV5" s="1600">
        <v>484015.4</v>
      </c>
      <c r="CW5" s="1600" t="s">
        <v>2620</v>
      </c>
      <c r="CX5" s="1600" t="s">
        <v>2620</v>
      </c>
      <c r="CY5" s="1600" t="s">
        <v>2620</v>
      </c>
      <c r="CZ5" s="1600" t="s">
        <v>2620</v>
      </c>
      <c r="DA5" s="1600" t="s">
        <v>2620</v>
      </c>
      <c r="DB5" s="1600" t="s">
        <v>2620</v>
      </c>
      <c r="DC5" s="1600" t="s">
        <v>2620</v>
      </c>
    </row>
    <row r="6" spans="1:110">
      <c r="A6" s="1596">
        <v>16</v>
      </c>
      <c r="B6" s="534" t="s">
        <v>699</v>
      </c>
      <c r="C6" s="535" t="s">
        <v>293</v>
      </c>
      <c r="D6" s="1597" t="s">
        <v>130</v>
      </c>
      <c r="E6" s="1598">
        <v>66</v>
      </c>
      <c r="F6" s="1599" t="s">
        <v>2784</v>
      </c>
      <c r="G6" s="1600">
        <v>192907.2</v>
      </c>
      <c r="H6" s="1600">
        <v>192829.5</v>
      </c>
      <c r="I6" s="1600">
        <v>193063.5</v>
      </c>
      <c r="J6" s="1600">
        <v>193298.2</v>
      </c>
      <c r="K6" s="1600">
        <v>192274.8</v>
      </c>
      <c r="L6" s="1600">
        <v>192371.6</v>
      </c>
      <c r="M6" s="1600">
        <v>192097.1</v>
      </c>
      <c r="N6" s="1600">
        <v>195136.7</v>
      </c>
      <c r="O6" s="1600">
        <v>189346</v>
      </c>
      <c r="P6" s="1600">
        <v>191822.7</v>
      </c>
      <c r="Q6" s="1600">
        <v>195540.1</v>
      </c>
      <c r="R6" s="1600">
        <v>194988.7</v>
      </c>
      <c r="S6" s="1600">
        <v>197329</v>
      </c>
      <c r="T6" s="1600">
        <v>198258.1</v>
      </c>
      <c r="U6" s="1600">
        <v>201798.7</v>
      </c>
      <c r="V6" s="1600">
        <v>202300.5</v>
      </c>
      <c r="W6" s="1600">
        <v>203000.6</v>
      </c>
      <c r="X6" s="1600">
        <v>203261</v>
      </c>
      <c r="Y6" s="1600">
        <v>202191.4</v>
      </c>
      <c r="Z6" s="1600">
        <v>202369.1</v>
      </c>
      <c r="AA6" s="1600">
        <v>201067.9</v>
      </c>
      <c r="AB6" s="1600">
        <v>200999.3</v>
      </c>
      <c r="AC6" s="1600">
        <v>202006.2</v>
      </c>
      <c r="AD6" s="1600">
        <v>200904.3</v>
      </c>
      <c r="AE6" s="1600">
        <v>201149.8</v>
      </c>
      <c r="AF6" s="1600">
        <v>201151.4</v>
      </c>
      <c r="AG6" s="1600">
        <v>201545.7</v>
      </c>
      <c r="AH6" s="1600">
        <v>203617.3</v>
      </c>
      <c r="AI6" s="1600">
        <v>204991.2</v>
      </c>
      <c r="AJ6" s="1600">
        <v>206025.4</v>
      </c>
      <c r="AK6" s="1600">
        <v>206092.3</v>
      </c>
      <c r="AL6" s="1600">
        <v>207243</v>
      </c>
      <c r="AM6" s="1600">
        <v>207491.8</v>
      </c>
      <c r="AN6" s="1600">
        <v>207525.7</v>
      </c>
      <c r="AO6" s="1600">
        <v>208611.9</v>
      </c>
      <c r="AP6" s="1600">
        <v>207863</v>
      </c>
      <c r="AQ6" s="1600">
        <v>206776.8</v>
      </c>
      <c r="AR6" s="1600">
        <v>206572.6</v>
      </c>
      <c r="AS6" s="1600">
        <v>205506.2</v>
      </c>
      <c r="AT6" s="1600">
        <v>205209.5</v>
      </c>
      <c r="AU6" s="1600">
        <v>206519.7</v>
      </c>
      <c r="AV6" s="1600">
        <v>207033</v>
      </c>
      <c r="AW6" s="1600">
        <v>205951.8</v>
      </c>
      <c r="AX6" s="1600">
        <v>206666.8</v>
      </c>
      <c r="AY6" s="1600">
        <v>209158.39999999999</v>
      </c>
      <c r="AZ6" s="1600">
        <v>209312.9</v>
      </c>
      <c r="BA6" s="1600">
        <v>211402.7</v>
      </c>
      <c r="BB6" s="1600">
        <v>211693.7</v>
      </c>
      <c r="BC6" s="1600">
        <v>210452.9</v>
      </c>
      <c r="BD6" s="1600">
        <v>211959.1</v>
      </c>
      <c r="BE6" s="1600">
        <v>211742.5</v>
      </c>
      <c r="BF6" s="1600">
        <v>213596.7</v>
      </c>
      <c r="BG6" s="1600">
        <v>212646.8</v>
      </c>
      <c r="BH6" s="1600">
        <v>214380.3</v>
      </c>
      <c r="BI6" s="1600">
        <v>215144.1</v>
      </c>
      <c r="BJ6" s="1600">
        <v>215024.3</v>
      </c>
      <c r="BK6" s="1600">
        <v>219404.7</v>
      </c>
      <c r="BL6" s="1600">
        <v>217742.3</v>
      </c>
      <c r="BM6" s="1600">
        <v>219291.5</v>
      </c>
      <c r="BN6" s="1600">
        <v>220222.3</v>
      </c>
      <c r="BO6" s="1600">
        <v>220042.1</v>
      </c>
      <c r="BP6" s="1600">
        <v>221442.4</v>
      </c>
      <c r="BQ6" s="1600">
        <v>220922.4</v>
      </c>
      <c r="BR6" s="1600">
        <v>222755.1</v>
      </c>
      <c r="BS6" s="1600">
        <v>222402.1</v>
      </c>
      <c r="BT6" s="1600">
        <v>223228</v>
      </c>
      <c r="BU6" s="1600">
        <v>223657.8</v>
      </c>
      <c r="BV6" s="1600">
        <v>223784.3</v>
      </c>
      <c r="BW6" s="1600">
        <v>224996.2</v>
      </c>
      <c r="BX6" s="1600">
        <v>226098.1</v>
      </c>
      <c r="BY6" s="1600">
        <v>228015.9</v>
      </c>
      <c r="BZ6" s="1600">
        <v>228284.6</v>
      </c>
      <c r="CA6" s="1600">
        <v>229234.4</v>
      </c>
      <c r="CB6" s="1600">
        <v>229639.5</v>
      </c>
      <c r="CC6" s="1600">
        <v>229737.8</v>
      </c>
      <c r="CD6" s="1600">
        <v>230527.3</v>
      </c>
      <c r="CE6" s="1600">
        <v>231280.4</v>
      </c>
      <c r="CF6" s="1600">
        <v>232820.4</v>
      </c>
      <c r="CG6" s="1600">
        <v>234794.5</v>
      </c>
      <c r="CH6" s="1600">
        <v>235780.7</v>
      </c>
      <c r="CI6" s="1600">
        <v>237063.6</v>
      </c>
      <c r="CJ6" s="1600">
        <v>236365.1</v>
      </c>
      <c r="CK6" s="1600">
        <v>238874.8</v>
      </c>
      <c r="CL6" s="1600">
        <v>241764.8</v>
      </c>
      <c r="CM6" s="1600">
        <v>244196</v>
      </c>
      <c r="CN6" s="1600">
        <v>247438.9</v>
      </c>
      <c r="CO6" s="1600">
        <v>246289.9</v>
      </c>
      <c r="CP6" s="1600">
        <v>246651.9</v>
      </c>
      <c r="CQ6" s="1600">
        <v>246040.2</v>
      </c>
      <c r="CR6" s="1600">
        <v>246626.3</v>
      </c>
      <c r="CS6" s="1600">
        <v>247714.2</v>
      </c>
      <c r="CT6" s="1600">
        <v>248193.6</v>
      </c>
      <c r="CU6" s="1600">
        <v>248661.5</v>
      </c>
      <c r="CV6" s="1600">
        <v>249435.3</v>
      </c>
      <c r="CW6" s="1600" t="s">
        <v>2620</v>
      </c>
      <c r="CX6" s="1600" t="s">
        <v>2620</v>
      </c>
      <c r="CY6" s="1600" t="s">
        <v>2620</v>
      </c>
      <c r="CZ6" s="1600" t="s">
        <v>2620</v>
      </c>
      <c r="DA6" s="1600" t="s">
        <v>2620</v>
      </c>
      <c r="DB6" s="1600" t="s">
        <v>2620</v>
      </c>
      <c r="DC6" s="1600" t="s">
        <v>2620</v>
      </c>
    </row>
    <row r="7" spans="1:110">
      <c r="A7" s="1596">
        <v>17</v>
      </c>
      <c r="B7" s="534" t="s">
        <v>1752</v>
      </c>
      <c r="C7" s="1391" t="s">
        <v>1519</v>
      </c>
      <c r="D7" s="1597" t="s">
        <v>130</v>
      </c>
      <c r="E7" s="1598">
        <v>67</v>
      </c>
      <c r="F7" s="1599" t="s">
        <v>2785</v>
      </c>
      <c r="G7" s="1600">
        <v>116834.2</v>
      </c>
      <c r="H7" s="1600">
        <v>117454.9</v>
      </c>
      <c r="I7" s="1600">
        <v>122844</v>
      </c>
      <c r="J7" s="1600">
        <v>125457.4</v>
      </c>
      <c r="K7" s="1600">
        <v>124732.4</v>
      </c>
      <c r="L7" s="1600">
        <v>125489.1</v>
      </c>
      <c r="M7" s="1600">
        <v>129553.5</v>
      </c>
      <c r="N7" s="1600">
        <v>128581.6</v>
      </c>
      <c r="O7" s="1600">
        <v>126636.1</v>
      </c>
      <c r="P7" s="1600">
        <v>130137.8</v>
      </c>
      <c r="Q7" s="1600">
        <v>127826.7</v>
      </c>
      <c r="R7" s="1600">
        <v>131825.60000000001</v>
      </c>
      <c r="S7" s="1600">
        <v>134713</v>
      </c>
      <c r="T7" s="1600">
        <v>138305.5</v>
      </c>
      <c r="U7" s="1600">
        <v>140641.20000000001</v>
      </c>
      <c r="V7" s="1600">
        <v>142759.1</v>
      </c>
      <c r="W7" s="1600">
        <v>146565.70000000001</v>
      </c>
      <c r="X7" s="1600">
        <v>145522.20000000001</v>
      </c>
      <c r="Y7" s="1600">
        <v>151789.70000000001</v>
      </c>
      <c r="Z7" s="1600">
        <v>149035.70000000001</v>
      </c>
      <c r="AA7" s="1600">
        <v>150887.70000000001</v>
      </c>
      <c r="AB7" s="1600">
        <v>158352.1</v>
      </c>
      <c r="AC7" s="1600">
        <v>160265.79999999999</v>
      </c>
      <c r="AD7" s="1600">
        <v>162284.79999999999</v>
      </c>
      <c r="AE7" s="1600">
        <v>159402</v>
      </c>
      <c r="AF7" s="1600">
        <v>161008.1</v>
      </c>
      <c r="AG7" s="1600">
        <v>161974.5</v>
      </c>
      <c r="AH7" s="1600">
        <v>166780.20000000001</v>
      </c>
      <c r="AI7" s="1600">
        <v>152184.4</v>
      </c>
      <c r="AJ7" s="1600">
        <v>161848.4</v>
      </c>
      <c r="AK7" s="1600">
        <v>159678.70000000001</v>
      </c>
      <c r="AL7" s="1600">
        <v>160788.5</v>
      </c>
      <c r="AM7" s="1600">
        <v>163884.6</v>
      </c>
      <c r="AN7" s="1600">
        <v>160593.4</v>
      </c>
      <c r="AO7" s="1600">
        <v>162120.6</v>
      </c>
      <c r="AP7" s="1600">
        <v>164407.29999999999</v>
      </c>
      <c r="AQ7" s="1600">
        <v>164578.79999999999</v>
      </c>
      <c r="AR7" s="1600">
        <v>168606.8</v>
      </c>
      <c r="AS7" s="1600">
        <v>172932.4</v>
      </c>
      <c r="AT7" s="1600">
        <v>177398.7</v>
      </c>
      <c r="AU7" s="1600">
        <v>175152.9</v>
      </c>
      <c r="AV7" s="1600">
        <v>179067.5</v>
      </c>
      <c r="AW7" s="1600">
        <v>183961.2</v>
      </c>
      <c r="AX7" s="1600">
        <v>180454</v>
      </c>
      <c r="AY7" s="1600">
        <v>187945.60000000001</v>
      </c>
      <c r="AZ7" s="1600">
        <v>197325.6</v>
      </c>
      <c r="BA7" s="1600">
        <v>199011.5</v>
      </c>
      <c r="BB7" s="1600">
        <v>203314.5</v>
      </c>
      <c r="BC7" s="1600">
        <v>210064.8</v>
      </c>
      <c r="BD7" s="1600">
        <v>212550.2</v>
      </c>
      <c r="BE7" s="1600">
        <v>211981.2</v>
      </c>
      <c r="BF7" s="1600">
        <v>218268.7</v>
      </c>
      <c r="BG7" s="1600">
        <v>219131.7</v>
      </c>
      <c r="BH7" s="1600">
        <v>214523.8</v>
      </c>
      <c r="BI7" s="1600">
        <v>211729</v>
      </c>
      <c r="BJ7" s="1600">
        <v>210167.3</v>
      </c>
      <c r="BK7" s="1600">
        <v>187913</v>
      </c>
      <c r="BL7" s="1600">
        <v>185069.1</v>
      </c>
      <c r="BM7" s="1600">
        <v>183140.9</v>
      </c>
      <c r="BN7" s="1600">
        <v>185608.1</v>
      </c>
      <c r="BO7" s="1600">
        <v>183419.4</v>
      </c>
      <c r="BP7" s="1600">
        <v>191731.4</v>
      </c>
      <c r="BQ7" s="1600">
        <v>202311.8</v>
      </c>
      <c r="BR7" s="1600">
        <v>205687.4</v>
      </c>
      <c r="BS7" s="1600">
        <v>202008.7</v>
      </c>
      <c r="BT7" s="1600">
        <v>212544.7</v>
      </c>
      <c r="BU7" s="1600">
        <v>210841.5</v>
      </c>
      <c r="BV7" s="1600">
        <v>203918.8</v>
      </c>
      <c r="BW7" s="1600">
        <v>212757.1</v>
      </c>
      <c r="BX7" s="1600">
        <v>207703.7</v>
      </c>
      <c r="BY7" s="1600">
        <v>202281</v>
      </c>
      <c r="BZ7" s="1600">
        <v>207958.7</v>
      </c>
      <c r="CA7" s="1600">
        <v>204925.2</v>
      </c>
      <c r="CB7" s="1600">
        <v>206636.6</v>
      </c>
      <c r="CC7" s="1600">
        <v>212071.1</v>
      </c>
      <c r="CD7" s="1600">
        <v>212067.4</v>
      </c>
      <c r="CE7" s="1600">
        <v>216786</v>
      </c>
      <c r="CF7" s="1600">
        <v>217426.6</v>
      </c>
      <c r="CG7" s="1600">
        <v>220341.2</v>
      </c>
      <c r="CH7" s="1600">
        <v>227636</v>
      </c>
      <c r="CI7" s="1600">
        <v>229274.7</v>
      </c>
      <c r="CJ7" s="1600">
        <v>233153</v>
      </c>
      <c r="CK7" s="1600">
        <v>233339.1</v>
      </c>
      <c r="CL7" s="1600">
        <v>241874.2</v>
      </c>
      <c r="CM7" s="1600">
        <v>240257.2</v>
      </c>
      <c r="CN7" s="1600">
        <v>243529.3</v>
      </c>
      <c r="CO7" s="1600">
        <v>244316.1</v>
      </c>
      <c r="CP7" s="1600">
        <v>246120.9</v>
      </c>
      <c r="CQ7" s="1600">
        <v>252402</v>
      </c>
      <c r="CR7" s="1600">
        <v>257338.4</v>
      </c>
      <c r="CS7" s="1600">
        <v>265429.8</v>
      </c>
      <c r="CT7" s="1600">
        <v>262178.5</v>
      </c>
      <c r="CU7" s="1600">
        <v>268628.40000000002</v>
      </c>
      <c r="CV7" s="1600">
        <v>267250.09999999998</v>
      </c>
      <c r="CW7" s="1600" t="s">
        <v>2620</v>
      </c>
      <c r="CX7" s="1600" t="s">
        <v>2620</v>
      </c>
      <c r="CY7" s="1600" t="s">
        <v>2620</v>
      </c>
      <c r="CZ7" s="1600" t="s">
        <v>2620</v>
      </c>
      <c r="DA7" s="1600" t="s">
        <v>2620</v>
      </c>
      <c r="DB7" s="1600" t="s">
        <v>2620</v>
      </c>
      <c r="DC7" s="1600" t="s">
        <v>2620</v>
      </c>
    </row>
    <row r="8" spans="1:110">
      <c r="A8" s="1596">
        <v>18</v>
      </c>
      <c r="B8" s="534" t="s">
        <v>286</v>
      </c>
      <c r="C8" s="535" t="s">
        <v>1506</v>
      </c>
      <c r="D8" s="1597" t="s">
        <v>130</v>
      </c>
      <c r="E8" s="1598">
        <v>68</v>
      </c>
      <c r="F8" s="1599" t="s">
        <v>2786</v>
      </c>
      <c r="G8" s="1600">
        <v>3119.1000000000058</v>
      </c>
      <c r="H8" s="1600">
        <v>4218.2000000000116</v>
      </c>
      <c r="I8" s="1600">
        <v>8057.1000000000058</v>
      </c>
      <c r="J8" s="1600">
        <v>9987.6000000000058</v>
      </c>
      <c r="K8" s="1600">
        <v>8682.3999999999942</v>
      </c>
      <c r="L8" s="1600">
        <v>-1314.2000000000116</v>
      </c>
      <c r="M8" s="1600">
        <v>-1883.5</v>
      </c>
      <c r="N8" s="1600">
        <v>-293.40000000000873</v>
      </c>
      <c r="O8" s="1600">
        <v>3990.0999999999913</v>
      </c>
      <c r="P8" s="1600">
        <v>-4611.8000000000029</v>
      </c>
      <c r="Q8" s="1600">
        <v>2577.3000000000029</v>
      </c>
      <c r="R8" s="1600">
        <v>8180.6000000000058</v>
      </c>
      <c r="S8" s="1600">
        <v>8492.3999999999942</v>
      </c>
      <c r="T8" s="1600">
        <v>12438.200000000012</v>
      </c>
      <c r="U8" s="1600">
        <v>-899.90000000002328</v>
      </c>
      <c r="V8" s="1600">
        <v>-3389.3000000000175</v>
      </c>
      <c r="W8" s="1600">
        <v>3640.8999999999942</v>
      </c>
      <c r="X8" s="1600">
        <v>956.19999999998254</v>
      </c>
      <c r="Y8" s="1600">
        <v>-5645.4000000000233</v>
      </c>
      <c r="Z8" s="1600">
        <v>3732.7999999999884</v>
      </c>
      <c r="AA8" s="1600">
        <v>5113.6999999999825</v>
      </c>
      <c r="AB8" s="1600">
        <v>6793.5</v>
      </c>
      <c r="AC8" s="1600">
        <v>4943.6000000000058</v>
      </c>
      <c r="AD8" s="1600">
        <v>-1695.7999999999884</v>
      </c>
      <c r="AE8" s="1600">
        <v>7570.8999999999942</v>
      </c>
      <c r="AF8" s="1600">
        <v>4505.2999999999884</v>
      </c>
      <c r="AG8" s="1600">
        <v>-1958.2000000000116</v>
      </c>
      <c r="AH8" s="1600">
        <v>-4535.2000000000116</v>
      </c>
      <c r="AI8" s="1600">
        <v>2683.5</v>
      </c>
      <c r="AJ8" s="1600">
        <v>-4318.3999999999942</v>
      </c>
      <c r="AK8" s="1600">
        <v>2818.5</v>
      </c>
      <c r="AL8" s="1600">
        <v>-699.29999999998836</v>
      </c>
      <c r="AM8" s="1600">
        <v>4274.5</v>
      </c>
      <c r="AN8" s="1600">
        <v>479</v>
      </c>
      <c r="AO8" s="1600">
        <v>417.60000000000582</v>
      </c>
      <c r="AP8" s="1600">
        <v>1550.4000000000233</v>
      </c>
      <c r="AQ8" s="1600">
        <v>-1859.3999999999942</v>
      </c>
      <c r="AR8" s="1600">
        <v>-3688.7999999999884</v>
      </c>
      <c r="AS8" s="1600">
        <v>424.30000000001746</v>
      </c>
      <c r="AT8" s="1600">
        <v>2536.6999999999825</v>
      </c>
      <c r="AU8" s="1600">
        <v>1228.2000000000116</v>
      </c>
      <c r="AV8" s="1600">
        <v>-694.39999999999418</v>
      </c>
      <c r="AW8" s="1600">
        <v>-9596.6000000000058</v>
      </c>
      <c r="AX8" s="1600">
        <v>5932.6000000000058</v>
      </c>
      <c r="AY8" s="1600">
        <v>-2306.3999999999942</v>
      </c>
      <c r="AZ8" s="1600">
        <v>2433.2999999999884</v>
      </c>
      <c r="BA8" s="1600">
        <v>3106.2999999999884</v>
      </c>
      <c r="BB8" s="1600">
        <v>1854.1000000000058</v>
      </c>
      <c r="BC8" s="1600">
        <v>6270.1000000000058</v>
      </c>
      <c r="BD8" s="1600">
        <v>2571.0999999999767</v>
      </c>
      <c r="BE8" s="1600">
        <v>9107</v>
      </c>
      <c r="BF8" s="1600">
        <v>10032.799999999988</v>
      </c>
      <c r="BG8" s="1600">
        <v>678.29999999998836</v>
      </c>
      <c r="BH8" s="1600">
        <v>11252.200000000012</v>
      </c>
      <c r="BI8" s="1600">
        <v>6423.1000000000058</v>
      </c>
      <c r="BJ8" s="1600">
        <v>-9347.7999999999884</v>
      </c>
      <c r="BK8" s="1600">
        <v>-8856.1000000000058</v>
      </c>
      <c r="BL8" s="1600">
        <v>-17389.800000000017</v>
      </c>
      <c r="BM8" s="1600">
        <v>-10670.899999999994</v>
      </c>
      <c r="BN8" s="1600">
        <v>-7391.6000000000058</v>
      </c>
      <c r="BO8" s="1600">
        <v>4919.2000000000116</v>
      </c>
      <c r="BP8" s="1600">
        <v>9862</v>
      </c>
      <c r="BQ8" s="1600">
        <v>7968.8000000000175</v>
      </c>
      <c r="BR8" s="1600">
        <v>2573</v>
      </c>
      <c r="BS8" s="1600">
        <v>19563.899999999994</v>
      </c>
      <c r="BT8" s="1600">
        <v>8583.5999999999767</v>
      </c>
      <c r="BU8" s="1600">
        <v>5303.1000000000058</v>
      </c>
      <c r="BV8" s="1600">
        <v>8082.5</v>
      </c>
      <c r="BW8" s="1600">
        <v>-3829.3999999999942</v>
      </c>
      <c r="BX8" s="1600">
        <v>-630.5</v>
      </c>
      <c r="BY8" s="1600">
        <v>10067.200000000012</v>
      </c>
      <c r="BZ8" s="1600">
        <v>-4861.3000000000175</v>
      </c>
      <c r="CA8" s="1600">
        <v>5817</v>
      </c>
      <c r="CB8" s="1600">
        <v>330.10000000000582</v>
      </c>
      <c r="CC8" s="1600">
        <v>-3285.3999999999942</v>
      </c>
      <c r="CD8" s="1600">
        <v>5590.3999999999942</v>
      </c>
      <c r="CE8" s="1600">
        <v>1431.7000000000116</v>
      </c>
      <c r="CF8" s="1600">
        <v>5153.7999999999884</v>
      </c>
      <c r="CG8" s="1600">
        <v>1631.8999999999942</v>
      </c>
      <c r="CH8" s="1600">
        <v>6697</v>
      </c>
      <c r="CI8" s="1600">
        <v>6446.6999999999825</v>
      </c>
      <c r="CJ8" s="1600">
        <v>2861.6000000000058</v>
      </c>
      <c r="CK8" s="1600">
        <v>11582.100000000006</v>
      </c>
      <c r="CL8" s="1600">
        <v>10648.099999999977</v>
      </c>
      <c r="CM8" s="1600">
        <v>8513.1999999999825</v>
      </c>
      <c r="CN8" s="1600">
        <v>8166.3000000000175</v>
      </c>
      <c r="CO8" s="1600">
        <v>5200</v>
      </c>
      <c r="CP8" s="1600">
        <v>4716.2000000000116</v>
      </c>
      <c r="CQ8" s="1600">
        <v>7695.8999999999942</v>
      </c>
      <c r="CR8" s="1600">
        <v>10063.800000000017</v>
      </c>
      <c r="CS8" s="1600">
        <v>5388.2999999999884</v>
      </c>
      <c r="CT8" s="1600">
        <v>7990.5</v>
      </c>
      <c r="CU8" s="1600">
        <v>6473.1999999999534</v>
      </c>
      <c r="CV8" s="3680">
        <v>16241</v>
      </c>
      <c r="CW8" s="1600" t="s">
        <v>2620</v>
      </c>
      <c r="CX8" s="1600" t="s">
        <v>2620</v>
      </c>
      <c r="CY8" s="1600" t="s">
        <v>2620</v>
      </c>
      <c r="CZ8" s="1600" t="s">
        <v>2620</v>
      </c>
      <c r="DA8" s="1600" t="s">
        <v>2620</v>
      </c>
      <c r="DB8" s="1600" t="s">
        <v>2620</v>
      </c>
      <c r="DC8" s="1600" t="s">
        <v>2620</v>
      </c>
    </row>
    <row r="9" spans="1:110">
      <c r="A9" s="1596">
        <v>19</v>
      </c>
      <c r="B9" s="534" t="s">
        <v>287</v>
      </c>
      <c r="C9" s="535" t="s">
        <v>900</v>
      </c>
      <c r="D9" s="1597" t="s">
        <v>130</v>
      </c>
      <c r="E9" s="1598">
        <v>69</v>
      </c>
      <c r="F9" s="1599" t="s">
        <v>2787</v>
      </c>
      <c r="G9" s="1600">
        <v>187716.9</v>
      </c>
      <c r="H9" s="1600">
        <v>191602.4</v>
      </c>
      <c r="I9" s="1600">
        <v>186305.2</v>
      </c>
      <c r="J9" s="1600">
        <v>190177</v>
      </c>
      <c r="K9" s="1600">
        <v>190905.5</v>
      </c>
      <c r="L9" s="1600">
        <v>198757.3</v>
      </c>
      <c r="M9" s="1600">
        <v>193810.5</v>
      </c>
      <c r="N9" s="1600">
        <v>203547.5</v>
      </c>
      <c r="O9" s="1600">
        <v>212440.8</v>
      </c>
      <c r="P9" s="1600">
        <v>225535.7</v>
      </c>
      <c r="Q9" s="1600">
        <v>225942.3</v>
      </c>
      <c r="R9" s="1600">
        <v>235284.5</v>
      </c>
      <c r="S9" s="1600">
        <v>236950.2</v>
      </c>
      <c r="T9" s="1600">
        <v>240993.2</v>
      </c>
      <c r="U9" s="1600">
        <v>245928.2</v>
      </c>
      <c r="V9" s="1600">
        <v>254252.5</v>
      </c>
      <c r="W9" s="1600">
        <v>251528.6</v>
      </c>
      <c r="X9" s="1600">
        <v>258893.1</v>
      </c>
      <c r="Y9" s="1600">
        <v>265501.59999999998</v>
      </c>
      <c r="Z9" s="1600">
        <v>268789.59999999998</v>
      </c>
      <c r="AA9" s="1600">
        <v>275730.8</v>
      </c>
      <c r="AB9" s="1600">
        <v>289491.09999999998</v>
      </c>
      <c r="AC9" s="1600">
        <v>299335.40000000002</v>
      </c>
      <c r="AD9" s="1600">
        <v>305004.79999999999</v>
      </c>
      <c r="AE9" s="1600">
        <v>295617.2</v>
      </c>
      <c r="AF9" s="1600">
        <v>291706.09999999998</v>
      </c>
      <c r="AG9" s="1600">
        <v>294436.90000000002</v>
      </c>
      <c r="AH9" s="1600">
        <v>298624.7</v>
      </c>
      <c r="AI9" s="1600">
        <v>300762.8</v>
      </c>
      <c r="AJ9" s="1600">
        <v>303101.90000000002</v>
      </c>
      <c r="AK9" s="1600">
        <v>293435.7</v>
      </c>
      <c r="AL9" s="1600">
        <v>298312.59999999998</v>
      </c>
      <c r="AM9" s="1600">
        <v>306525.7</v>
      </c>
      <c r="AN9" s="1600">
        <v>308958.2</v>
      </c>
      <c r="AO9" s="1600">
        <v>312856.59999999998</v>
      </c>
      <c r="AP9" s="1600">
        <v>319616.59999999998</v>
      </c>
      <c r="AQ9" s="1600">
        <v>330565.5</v>
      </c>
      <c r="AR9" s="1600">
        <v>347116.7</v>
      </c>
      <c r="AS9" s="1600">
        <v>343946.8</v>
      </c>
      <c r="AT9" s="1600">
        <v>348818.7</v>
      </c>
      <c r="AU9" s="1600">
        <v>350132</v>
      </c>
      <c r="AV9" s="1600">
        <v>361069</v>
      </c>
      <c r="AW9" s="1600">
        <v>373174.5</v>
      </c>
      <c r="AX9" s="1600">
        <v>376797.2</v>
      </c>
      <c r="AY9" s="1600">
        <v>390650.1</v>
      </c>
      <c r="AZ9" s="1600">
        <v>390014.2</v>
      </c>
      <c r="BA9" s="1600">
        <v>399039.4</v>
      </c>
      <c r="BB9" s="1600">
        <v>414745</v>
      </c>
      <c r="BC9" s="1600">
        <v>407675.8</v>
      </c>
      <c r="BD9" s="1600">
        <v>414007.7</v>
      </c>
      <c r="BE9" s="1600">
        <v>417688.4</v>
      </c>
      <c r="BF9" s="1600">
        <v>430343.3</v>
      </c>
      <c r="BG9" s="1600">
        <v>438966.9</v>
      </c>
      <c r="BH9" s="1600">
        <v>430365.9</v>
      </c>
      <c r="BI9" s="1600">
        <v>426504</v>
      </c>
      <c r="BJ9" s="1600">
        <v>400534.8</v>
      </c>
      <c r="BK9" s="1600">
        <v>365645.6</v>
      </c>
      <c r="BL9" s="1600">
        <v>355560.1</v>
      </c>
      <c r="BM9" s="1600">
        <v>364004.6</v>
      </c>
      <c r="BN9" s="1600">
        <v>367979.7</v>
      </c>
      <c r="BO9" s="1600">
        <v>381036.2</v>
      </c>
      <c r="BP9" s="1600">
        <v>400216.8</v>
      </c>
      <c r="BQ9" s="1600">
        <v>410925.4</v>
      </c>
      <c r="BR9" s="1600">
        <v>426843.6</v>
      </c>
      <c r="BS9" s="1600">
        <v>426256.9</v>
      </c>
      <c r="BT9" s="1600">
        <v>427255.1</v>
      </c>
      <c r="BU9" s="1600">
        <v>440566.6</v>
      </c>
      <c r="BV9" s="1600">
        <v>425628.8</v>
      </c>
      <c r="BW9" s="1600">
        <v>437756</v>
      </c>
      <c r="BX9" s="1600">
        <v>443825</v>
      </c>
      <c r="BY9" s="1600">
        <v>435235.9</v>
      </c>
      <c r="BZ9" s="1600">
        <v>429467.1</v>
      </c>
      <c r="CA9" s="1600">
        <v>428984.8</v>
      </c>
      <c r="CB9" s="1600">
        <v>435188.6</v>
      </c>
      <c r="CC9" s="1600">
        <v>436056.9</v>
      </c>
      <c r="CD9" s="1600">
        <v>432257</v>
      </c>
      <c r="CE9" s="1600">
        <v>450102.7</v>
      </c>
      <c r="CF9" s="1600">
        <v>455360.6</v>
      </c>
      <c r="CG9" s="1600">
        <v>457945.7</v>
      </c>
      <c r="CH9" s="1600">
        <v>463382.7</v>
      </c>
      <c r="CI9" s="1600">
        <v>468050.9</v>
      </c>
      <c r="CJ9" s="1600">
        <v>473561.7</v>
      </c>
      <c r="CK9" s="1600">
        <v>487474.6</v>
      </c>
      <c r="CL9" s="1600">
        <v>493396</v>
      </c>
      <c r="CM9" s="1600">
        <v>488848.9</v>
      </c>
      <c r="CN9" s="1600">
        <v>484764.5</v>
      </c>
      <c r="CO9" s="1600">
        <v>495907.3</v>
      </c>
      <c r="CP9" s="1600">
        <v>502278.5</v>
      </c>
      <c r="CQ9" s="1600">
        <v>498824.1</v>
      </c>
      <c r="CR9" s="1600">
        <v>511567.6</v>
      </c>
      <c r="CS9" s="1600">
        <v>511177.7</v>
      </c>
      <c r="CT9" s="1600">
        <v>522845.2</v>
      </c>
      <c r="CU9" s="1600">
        <v>522932.8</v>
      </c>
      <c r="CV9" s="1600">
        <v>525038.5</v>
      </c>
      <c r="CW9" s="1600" t="s">
        <v>2620</v>
      </c>
      <c r="CX9" s="1600" t="s">
        <v>2620</v>
      </c>
      <c r="CY9" s="1600" t="s">
        <v>2620</v>
      </c>
      <c r="CZ9" s="1600" t="s">
        <v>2620</v>
      </c>
      <c r="DA9" s="1600" t="s">
        <v>2620</v>
      </c>
      <c r="DB9" s="1600" t="s">
        <v>2620</v>
      </c>
      <c r="DC9" s="1600" t="s">
        <v>2620</v>
      </c>
    </row>
    <row r="10" spans="1:110">
      <c r="A10" s="1596">
        <v>20</v>
      </c>
      <c r="B10" s="534" t="s">
        <v>288</v>
      </c>
      <c r="C10" s="535" t="s">
        <v>903</v>
      </c>
      <c r="D10" s="1597" t="s">
        <v>130</v>
      </c>
      <c r="E10" s="1598">
        <v>70</v>
      </c>
      <c r="F10" s="1599" t="s">
        <v>2788</v>
      </c>
      <c r="G10" s="1600">
        <v>171604.1</v>
      </c>
      <c r="H10" s="1600">
        <v>174011</v>
      </c>
      <c r="I10" s="1600">
        <v>177229.6</v>
      </c>
      <c r="J10" s="1600">
        <v>176999.2</v>
      </c>
      <c r="K10" s="1600">
        <v>176177.5</v>
      </c>
      <c r="L10" s="1600">
        <v>178570.4</v>
      </c>
      <c r="M10" s="1600">
        <v>181229.4</v>
      </c>
      <c r="N10" s="1600">
        <v>187942.5</v>
      </c>
      <c r="O10" s="1600">
        <v>194089.1</v>
      </c>
      <c r="P10" s="1600">
        <v>203114.1</v>
      </c>
      <c r="Q10" s="1600">
        <v>206308</v>
      </c>
      <c r="R10" s="1600">
        <v>213031.1</v>
      </c>
      <c r="S10" s="1600">
        <v>223179.4</v>
      </c>
      <c r="T10" s="1600">
        <v>226316</v>
      </c>
      <c r="U10" s="1600">
        <v>227556</v>
      </c>
      <c r="V10" s="1600">
        <v>230510.6</v>
      </c>
      <c r="W10" s="1600">
        <v>231691.3</v>
      </c>
      <c r="X10" s="1600">
        <v>233621.5</v>
      </c>
      <c r="Y10" s="1600">
        <v>240250.6</v>
      </c>
      <c r="Z10" s="1600">
        <v>244839.7</v>
      </c>
      <c r="AA10" s="1600">
        <v>254246.39999999999</v>
      </c>
      <c r="AB10" s="1600">
        <v>265185.8</v>
      </c>
      <c r="AC10" s="1600">
        <v>275474.59999999998</v>
      </c>
      <c r="AD10" s="1600">
        <v>269667.20000000001</v>
      </c>
      <c r="AE10" s="1600">
        <v>271746.7</v>
      </c>
      <c r="AF10" s="1600">
        <v>261463.9</v>
      </c>
      <c r="AG10" s="1600">
        <v>256769.9</v>
      </c>
      <c r="AH10" s="1600">
        <v>257810.2</v>
      </c>
      <c r="AI10" s="1600">
        <v>261520.2</v>
      </c>
      <c r="AJ10" s="1600">
        <v>259038.3</v>
      </c>
      <c r="AK10" s="1600">
        <v>254394.7</v>
      </c>
      <c r="AL10" s="1600">
        <v>259388.3</v>
      </c>
      <c r="AM10" s="1600">
        <v>267713.3</v>
      </c>
      <c r="AN10" s="1600">
        <v>265880</v>
      </c>
      <c r="AO10" s="1600">
        <v>267593.59999999998</v>
      </c>
      <c r="AP10" s="1600">
        <v>274288</v>
      </c>
      <c r="AQ10" s="1600">
        <v>273370.40000000002</v>
      </c>
      <c r="AR10" s="1600">
        <v>284644</v>
      </c>
      <c r="AS10" s="1600">
        <v>287126.90000000002</v>
      </c>
      <c r="AT10" s="1600">
        <v>292969.90000000002</v>
      </c>
      <c r="AU10" s="1600">
        <v>292647.5</v>
      </c>
      <c r="AV10" s="1600">
        <v>301510.40000000002</v>
      </c>
      <c r="AW10" s="1600">
        <v>306207.3</v>
      </c>
      <c r="AX10" s="1600">
        <v>317012.3</v>
      </c>
      <c r="AY10" s="1600">
        <v>318141.5</v>
      </c>
      <c r="AZ10" s="1600">
        <v>326051.09999999998</v>
      </c>
      <c r="BA10" s="1600">
        <v>332579.40000000002</v>
      </c>
      <c r="BB10" s="1600">
        <v>346152</v>
      </c>
      <c r="BC10" s="1600">
        <v>345594.3</v>
      </c>
      <c r="BD10" s="1600">
        <v>349167</v>
      </c>
      <c r="BE10" s="1600">
        <v>363630.6</v>
      </c>
      <c r="BF10" s="1600">
        <v>369087.9</v>
      </c>
      <c r="BG10" s="1600">
        <v>379102.7</v>
      </c>
      <c r="BH10" s="1600">
        <v>377266.5</v>
      </c>
      <c r="BI10" s="1600">
        <v>371766.6</v>
      </c>
      <c r="BJ10" s="1600">
        <v>349132.4</v>
      </c>
      <c r="BK10" s="1600">
        <v>321089.2</v>
      </c>
      <c r="BL10" s="1600">
        <v>302903.7</v>
      </c>
      <c r="BM10" s="1600">
        <v>319639.59999999998</v>
      </c>
      <c r="BN10" s="1600">
        <v>326953</v>
      </c>
      <c r="BO10" s="1600">
        <v>337373.2</v>
      </c>
      <c r="BP10" s="1600">
        <v>352928.5</v>
      </c>
      <c r="BQ10" s="1600">
        <v>368234.5</v>
      </c>
      <c r="BR10" s="1600">
        <v>368744.8</v>
      </c>
      <c r="BS10" s="1600">
        <v>382834.6</v>
      </c>
      <c r="BT10" s="1600">
        <v>384664.9</v>
      </c>
      <c r="BU10" s="1600">
        <v>385246.3</v>
      </c>
      <c r="BV10" s="1600">
        <v>380214.2</v>
      </c>
      <c r="BW10" s="1600">
        <v>388253.4</v>
      </c>
      <c r="BX10" s="1600">
        <v>388002.2</v>
      </c>
      <c r="BY10" s="1600">
        <v>389537.8</v>
      </c>
      <c r="BZ10" s="1600">
        <v>382693.2</v>
      </c>
      <c r="CA10" s="1600">
        <v>379556.6</v>
      </c>
      <c r="CB10" s="1600">
        <v>387947.8</v>
      </c>
      <c r="CC10" s="1600">
        <v>387971.5</v>
      </c>
      <c r="CD10" s="1600">
        <v>390551.4</v>
      </c>
      <c r="CE10" s="1600">
        <v>401058.7</v>
      </c>
      <c r="CF10" s="1600">
        <v>411978.3</v>
      </c>
      <c r="CG10" s="1600">
        <v>410459.5</v>
      </c>
      <c r="CH10" s="1600">
        <v>422129.6</v>
      </c>
      <c r="CI10" s="1600">
        <v>422945.4</v>
      </c>
      <c r="CJ10" s="1600">
        <v>421054.8</v>
      </c>
      <c r="CK10" s="1600">
        <v>435839.7</v>
      </c>
      <c r="CL10" s="1600">
        <v>445875.3</v>
      </c>
      <c r="CM10" s="1600">
        <v>445731.9</v>
      </c>
      <c r="CN10" s="1600">
        <v>444592.8</v>
      </c>
      <c r="CO10" s="1600">
        <v>449090</v>
      </c>
      <c r="CP10" s="1600">
        <v>454526.6</v>
      </c>
      <c r="CQ10" s="1600">
        <v>460405.2</v>
      </c>
      <c r="CR10" s="1600">
        <v>469720.9</v>
      </c>
      <c r="CS10" s="1600">
        <v>475398.8</v>
      </c>
      <c r="CT10" s="1600">
        <v>480338.9</v>
      </c>
      <c r="CU10" s="1600">
        <v>484576.1</v>
      </c>
      <c r="CV10" s="1600">
        <v>488405.8</v>
      </c>
      <c r="CW10" s="1600" t="s">
        <v>2620</v>
      </c>
      <c r="CX10" s="1600" t="s">
        <v>2620</v>
      </c>
      <c r="CY10" s="1600" t="s">
        <v>2620</v>
      </c>
      <c r="CZ10" s="1600" t="s">
        <v>2620</v>
      </c>
      <c r="DA10" s="1600" t="s">
        <v>2620</v>
      </c>
      <c r="DB10" s="1600" t="s">
        <v>2620</v>
      </c>
      <c r="DC10" s="1600" t="s">
        <v>2620</v>
      </c>
    </row>
    <row r="11" spans="1:110">
      <c r="A11" s="1596">
        <v>21</v>
      </c>
      <c r="B11" s="1601"/>
      <c r="C11" s="1602"/>
      <c r="D11" s="1597" t="s">
        <v>130</v>
      </c>
      <c r="E11" s="1598">
        <v>71</v>
      </c>
      <c r="F11" s="1599" t="s">
        <v>2789</v>
      </c>
      <c r="G11" s="1600">
        <v>585081.9</v>
      </c>
      <c r="H11" s="1600">
        <v>588918.4</v>
      </c>
      <c r="I11" s="1600">
        <v>597383</v>
      </c>
      <c r="J11" s="1600">
        <v>603664.6</v>
      </c>
      <c r="K11" s="1600">
        <v>602134.39999999991</v>
      </c>
      <c r="L11" s="1600">
        <v>592912.30000000005</v>
      </c>
      <c r="M11" s="1600">
        <v>601575.1</v>
      </c>
      <c r="N11" s="1600">
        <v>605563.69999999995</v>
      </c>
      <c r="O11" s="1600">
        <v>605081.19999999995</v>
      </c>
      <c r="P11" s="1600">
        <v>605816</v>
      </c>
      <c r="Q11" s="1600">
        <v>613932.69999999995</v>
      </c>
      <c r="R11" s="1600">
        <v>625167.60000000009</v>
      </c>
      <c r="S11" s="1600">
        <v>632665.19999999995</v>
      </c>
      <c r="T11" s="1600">
        <v>643931.60000000009</v>
      </c>
      <c r="U11" s="1600">
        <v>640396</v>
      </c>
      <c r="V11" s="1600">
        <v>644562.19999999995</v>
      </c>
      <c r="W11" s="1600">
        <v>656905.4</v>
      </c>
      <c r="X11" s="1600">
        <v>654005.5</v>
      </c>
      <c r="Y11" s="1600">
        <v>658500.1</v>
      </c>
      <c r="Z11" s="1600">
        <v>674957</v>
      </c>
      <c r="AA11" s="1600">
        <v>678989.8</v>
      </c>
      <c r="AB11" s="1600">
        <v>693937.79999999993</v>
      </c>
      <c r="AC11" s="1600">
        <v>697945</v>
      </c>
      <c r="AD11" s="1600">
        <v>690892</v>
      </c>
      <c r="AE11" s="1600">
        <v>697326.70000000007</v>
      </c>
      <c r="AF11" s="1600">
        <v>697130.6</v>
      </c>
      <c r="AG11" s="1600">
        <v>692776</v>
      </c>
      <c r="AH11" s="1600">
        <v>695666.6</v>
      </c>
      <c r="AI11" s="1600">
        <v>695319.5</v>
      </c>
      <c r="AJ11" s="1600">
        <v>700804.8</v>
      </c>
      <c r="AK11" s="1600">
        <v>706845</v>
      </c>
      <c r="AL11" s="1600">
        <v>711359.3</v>
      </c>
      <c r="AM11" s="1600">
        <v>720028.9</v>
      </c>
      <c r="AN11" s="1600">
        <v>713065</v>
      </c>
      <c r="AO11" s="1600">
        <v>719726</v>
      </c>
      <c r="AP11" s="1600">
        <v>724592.3</v>
      </c>
      <c r="AQ11" s="1600">
        <v>724968.20000000007</v>
      </c>
      <c r="AR11" s="1600">
        <v>725121.2</v>
      </c>
      <c r="AS11" s="1600">
        <v>735992.5</v>
      </c>
      <c r="AT11" s="1600">
        <v>744163</v>
      </c>
      <c r="AU11" s="1600">
        <v>745434.7</v>
      </c>
      <c r="AV11" s="1600">
        <v>749642.2</v>
      </c>
      <c r="AW11" s="1600">
        <v>749216.7</v>
      </c>
      <c r="AX11" s="1600">
        <v>763376.79999999993</v>
      </c>
      <c r="AY11" s="1600">
        <v>766461.60000000009</v>
      </c>
      <c r="AZ11" s="1600">
        <v>785752.5</v>
      </c>
      <c r="BA11" s="1600">
        <v>790661.5</v>
      </c>
      <c r="BB11" s="1600">
        <v>798904.9</v>
      </c>
      <c r="BC11" s="1600">
        <v>810877.3</v>
      </c>
      <c r="BD11" s="1600">
        <v>815082.3</v>
      </c>
      <c r="BE11" s="1600">
        <v>827571.10000000009</v>
      </c>
      <c r="BF11" s="1600">
        <v>840762.6</v>
      </c>
      <c r="BG11" s="1600">
        <v>826991.3</v>
      </c>
      <c r="BH11" s="1600">
        <v>834658.5</v>
      </c>
      <c r="BI11" s="1600">
        <v>824506</v>
      </c>
      <c r="BJ11" s="1600">
        <v>802982.6</v>
      </c>
      <c r="BK11" s="1600">
        <v>788531.1</v>
      </c>
      <c r="BL11" s="1600">
        <v>779491.8</v>
      </c>
      <c r="BM11" s="1600">
        <v>786113.6</v>
      </c>
      <c r="BN11" s="1600">
        <v>794412.8</v>
      </c>
      <c r="BO11" s="1600">
        <v>813751.9</v>
      </c>
      <c r="BP11" s="1600">
        <v>828630.5</v>
      </c>
      <c r="BQ11" s="1600">
        <v>841579.6</v>
      </c>
      <c r="BR11" s="1600">
        <v>843436.1</v>
      </c>
      <c r="BS11" s="1600">
        <v>857829.29999999993</v>
      </c>
      <c r="BT11" s="1600">
        <v>862729.8</v>
      </c>
      <c r="BU11" s="1600">
        <v>856508.4</v>
      </c>
      <c r="BV11" s="1600">
        <v>850794.7</v>
      </c>
      <c r="BW11" s="1600">
        <v>851417.10000000009</v>
      </c>
      <c r="BX11" s="1600">
        <v>852344.89999999991</v>
      </c>
      <c r="BY11" s="1600">
        <v>861545.5</v>
      </c>
      <c r="BZ11" s="1600">
        <v>853145.3</v>
      </c>
      <c r="CA11" s="1600">
        <v>863891.8</v>
      </c>
      <c r="CB11" s="1600">
        <v>862087.10000000009</v>
      </c>
      <c r="CC11" s="1600">
        <v>868368.2</v>
      </c>
      <c r="CD11" s="1600">
        <v>879559</v>
      </c>
      <c r="CE11" s="1600">
        <v>881256.89999999991</v>
      </c>
      <c r="CF11" s="1600">
        <v>893063.3</v>
      </c>
      <c r="CG11" s="1600">
        <v>893784.4</v>
      </c>
      <c r="CH11" s="1600">
        <v>911227.4</v>
      </c>
      <c r="CI11" s="1600">
        <v>917849.4</v>
      </c>
      <c r="CJ11" s="1600">
        <v>919585.7</v>
      </c>
      <c r="CK11" s="1600">
        <v>934952</v>
      </c>
      <c r="CL11" s="1600">
        <v>950516.39999999991</v>
      </c>
      <c r="CM11" s="1600">
        <v>953971.5</v>
      </c>
      <c r="CN11" s="1600">
        <v>959692.29999999993</v>
      </c>
      <c r="CO11" s="1600">
        <v>958817.1</v>
      </c>
      <c r="CP11" s="1600">
        <v>962966.7</v>
      </c>
      <c r="CQ11" s="1600">
        <v>974714.3</v>
      </c>
      <c r="CR11" s="1600">
        <v>985205.7</v>
      </c>
      <c r="CS11" s="1600">
        <v>992369.29999999993</v>
      </c>
      <c r="CT11" s="1600">
        <v>995700</v>
      </c>
      <c r="CU11" s="1600">
        <v>1002758.2999999999</v>
      </c>
      <c r="CV11" s="1600">
        <v>1015663.2999999999</v>
      </c>
      <c r="CW11" s="1600" t="s">
        <v>2620</v>
      </c>
      <c r="CX11" s="1600" t="s">
        <v>2620</v>
      </c>
      <c r="CY11" s="1600" t="s">
        <v>2620</v>
      </c>
      <c r="CZ11" s="1600" t="s">
        <v>2620</v>
      </c>
      <c r="DA11" s="1600" t="s">
        <v>2620</v>
      </c>
      <c r="DB11" s="1600" t="s">
        <v>2620</v>
      </c>
      <c r="DC11" s="1600" t="s">
        <v>2620</v>
      </c>
    </row>
    <row r="12" spans="1:110">
      <c r="A12" s="1596">
        <v>22</v>
      </c>
      <c r="B12" s="1601"/>
      <c r="C12" s="1602"/>
      <c r="D12" s="1597" t="s">
        <v>130</v>
      </c>
      <c r="E12" s="1598">
        <v>72</v>
      </c>
      <c r="F12" s="1599" t="s">
        <v>2790</v>
      </c>
      <c r="G12" s="1600">
        <v>581962.79999999993</v>
      </c>
      <c r="H12" s="1600">
        <v>584700.19999999995</v>
      </c>
      <c r="I12" s="1600">
        <v>589325.9</v>
      </c>
      <c r="J12" s="1600">
        <v>593677</v>
      </c>
      <c r="K12" s="1600">
        <v>593452</v>
      </c>
      <c r="L12" s="1600">
        <v>594226.5</v>
      </c>
      <c r="M12" s="1600">
        <v>603458.6</v>
      </c>
      <c r="N12" s="1600">
        <v>605857.1</v>
      </c>
      <c r="O12" s="1600">
        <v>601091.1</v>
      </c>
      <c r="P12" s="1600">
        <v>610427.80000000005</v>
      </c>
      <c r="Q12" s="1600">
        <v>611355.4</v>
      </c>
      <c r="R12" s="1600">
        <v>616987</v>
      </c>
      <c r="S12" s="1600">
        <v>624172.80000000005</v>
      </c>
      <c r="T12" s="1600">
        <v>631493.4</v>
      </c>
      <c r="U12" s="1600">
        <v>641295.9</v>
      </c>
      <c r="V12" s="1600">
        <v>647951.5</v>
      </c>
      <c r="W12" s="1600">
        <v>653264.5</v>
      </c>
      <c r="X12" s="1600">
        <v>653049.30000000005</v>
      </c>
      <c r="Y12" s="1600">
        <v>664145.5</v>
      </c>
      <c r="Z12" s="1600">
        <v>671224.2</v>
      </c>
      <c r="AA12" s="1600">
        <v>673876.10000000009</v>
      </c>
      <c r="AB12" s="1600">
        <v>687144.29999999993</v>
      </c>
      <c r="AC12" s="1600">
        <v>693001.39999999991</v>
      </c>
      <c r="AD12" s="1600">
        <v>692587.8</v>
      </c>
      <c r="AE12" s="1600">
        <v>689755.8</v>
      </c>
      <c r="AF12" s="1600">
        <v>692625.29999999993</v>
      </c>
      <c r="AG12" s="1600">
        <v>694734.2</v>
      </c>
      <c r="AH12" s="1600">
        <v>700201.8</v>
      </c>
      <c r="AI12" s="1600">
        <v>692636</v>
      </c>
      <c r="AJ12" s="1600">
        <v>705123.20000000007</v>
      </c>
      <c r="AK12" s="1600">
        <v>704026.5</v>
      </c>
      <c r="AL12" s="1600">
        <v>712058.6</v>
      </c>
      <c r="AM12" s="1600">
        <v>715754.4</v>
      </c>
      <c r="AN12" s="1600">
        <v>712586</v>
      </c>
      <c r="AO12" s="1600">
        <v>719308.4</v>
      </c>
      <c r="AP12" s="1600">
        <v>723041.89999999991</v>
      </c>
      <c r="AQ12" s="1600">
        <v>726827.60000000009</v>
      </c>
      <c r="AR12" s="1600">
        <v>728810</v>
      </c>
      <c r="AS12" s="1600">
        <v>735568.20000000007</v>
      </c>
      <c r="AT12" s="1600">
        <v>741626.3</v>
      </c>
      <c r="AU12" s="1600">
        <v>744206.5</v>
      </c>
      <c r="AV12" s="1600">
        <v>750336.6</v>
      </c>
      <c r="AW12" s="1600">
        <v>758813.3</v>
      </c>
      <c r="AX12" s="1600">
        <v>757444.2</v>
      </c>
      <c r="AY12" s="1600">
        <v>768768</v>
      </c>
      <c r="AZ12" s="1600">
        <v>783319.2</v>
      </c>
      <c r="BA12" s="1600">
        <v>787555.2</v>
      </c>
      <c r="BB12" s="1600">
        <v>797050.8</v>
      </c>
      <c r="BC12" s="1600">
        <v>804607.2</v>
      </c>
      <c r="BD12" s="1600">
        <v>812511.2</v>
      </c>
      <c r="BE12" s="1600">
        <v>818464.10000000009</v>
      </c>
      <c r="BF12" s="1600">
        <v>830729.8</v>
      </c>
      <c r="BG12" s="1600">
        <v>826313</v>
      </c>
      <c r="BH12" s="1600">
        <v>823406.3</v>
      </c>
      <c r="BI12" s="1600">
        <v>818082.9</v>
      </c>
      <c r="BJ12" s="1600">
        <v>812330.39999999991</v>
      </c>
      <c r="BK12" s="1600">
        <v>797387.2</v>
      </c>
      <c r="BL12" s="1600">
        <v>796881.6</v>
      </c>
      <c r="BM12" s="1600">
        <v>796784.5</v>
      </c>
      <c r="BN12" s="1600">
        <v>801804.4</v>
      </c>
      <c r="BO12" s="1600">
        <v>808832.70000000007</v>
      </c>
      <c r="BP12" s="1600">
        <v>818768.5</v>
      </c>
      <c r="BQ12" s="1600">
        <v>833610.8</v>
      </c>
      <c r="BR12" s="1600">
        <v>840863.1</v>
      </c>
      <c r="BS12" s="1600">
        <v>838265.39999999991</v>
      </c>
      <c r="BT12" s="1600">
        <v>854146.2</v>
      </c>
      <c r="BU12" s="1600">
        <v>851205.3</v>
      </c>
      <c r="BV12" s="1600">
        <v>842712.2</v>
      </c>
      <c r="BW12" s="1600">
        <v>855246.5</v>
      </c>
      <c r="BX12" s="1600">
        <v>852975.39999999991</v>
      </c>
      <c r="BY12" s="1600">
        <v>851478.3</v>
      </c>
      <c r="BZ12" s="1600">
        <v>858006.60000000009</v>
      </c>
      <c r="CA12" s="1600">
        <v>858074.8</v>
      </c>
      <c r="CB12" s="1600">
        <v>861757</v>
      </c>
      <c r="CC12" s="1600">
        <v>871653.6</v>
      </c>
      <c r="CD12" s="1600">
        <v>873968.6</v>
      </c>
      <c r="CE12" s="1600">
        <v>879825.2</v>
      </c>
      <c r="CF12" s="1600">
        <v>887909.5</v>
      </c>
      <c r="CG12" s="1600">
        <v>892152.5</v>
      </c>
      <c r="CH12" s="1600">
        <v>904530.4</v>
      </c>
      <c r="CI12" s="1600">
        <v>911402.7</v>
      </c>
      <c r="CJ12" s="1600">
        <v>916724.1</v>
      </c>
      <c r="CK12" s="1600">
        <v>923369.9</v>
      </c>
      <c r="CL12" s="1600">
        <v>939868.3</v>
      </c>
      <c r="CM12" s="1600">
        <v>945458.3</v>
      </c>
      <c r="CN12" s="1600">
        <v>951526</v>
      </c>
      <c r="CO12" s="1600">
        <v>953617.1</v>
      </c>
      <c r="CP12" s="1600">
        <v>958250.5</v>
      </c>
      <c r="CQ12" s="1600">
        <v>967018.4</v>
      </c>
      <c r="CR12" s="1600">
        <v>975141.9</v>
      </c>
      <c r="CS12" s="1600">
        <v>986981</v>
      </c>
      <c r="CT12" s="1600">
        <v>987709.5</v>
      </c>
      <c r="CU12" s="1600">
        <v>996285.1</v>
      </c>
      <c r="CV12" s="1600">
        <v>999422.29999999993</v>
      </c>
      <c r="CW12" s="1600" t="s">
        <v>2620</v>
      </c>
      <c r="CX12" s="1600" t="s">
        <v>2620</v>
      </c>
      <c r="CY12" s="1600" t="s">
        <v>2620</v>
      </c>
      <c r="CZ12" s="1600" t="s">
        <v>2620</v>
      </c>
      <c r="DA12" s="1600" t="s">
        <v>2620</v>
      </c>
      <c r="DB12" s="1600" t="s">
        <v>2620</v>
      </c>
      <c r="DC12" s="1600" t="s">
        <v>2620</v>
      </c>
    </row>
    <row r="13" spans="1:110">
      <c r="A13" s="1596">
        <v>23</v>
      </c>
      <c r="B13" s="1601"/>
      <c r="C13" s="1602"/>
      <c r="D13" s="1597" t="s">
        <v>130</v>
      </c>
      <c r="E13" s="1598">
        <v>73</v>
      </c>
      <c r="F13" s="1599" t="s">
        <v>2791</v>
      </c>
      <c r="G13" s="1600">
        <v>769679.7</v>
      </c>
      <c r="H13" s="1600">
        <v>776302.6</v>
      </c>
      <c r="I13" s="1600">
        <v>775631.10000000009</v>
      </c>
      <c r="J13" s="1600">
        <v>783854</v>
      </c>
      <c r="K13" s="1600">
        <v>784357.5</v>
      </c>
      <c r="L13" s="1600">
        <v>792983.8</v>
      </c>
      <c r="M13" s="1600">
        <v>797269.1</v>
      </c>
      <c r="N13" s="1600">
        <v>809404.6</v>
      </c>
      <c r="O13" s="1600">
        <v>813531.89999999991</v>
      </c>
      <c r="P13" s="1600">
        <v>835963.5</v>
      </c>
      <c r="Q13" s="1600">
        <v>837297.7</v>
      </c>
      <c r="R13" s="1600">
        <v>852271.5</v>
      </c>
      <c r="S13" s="1600">
        <v>861123</v>
      </c>
      <c r="T13" s="1600">
        <v>872486.60000000009</v>
      </c>
      <c r="U13" s="1600">
        <v>887224.10000000009</v>
      </c>
      <c r="V13" s="1600">
        <v>902204</v>
      </c>
      <c r="W13" s="1600">
        <v>904793.1</v>
      </c>
      <c r="X13" s="1600">
        <v>911942.4</v>
      </c>
      <c r="Y13" s="1600">
        <v>929647.1</v>
      </c>
      <c r="Z13" s="1600">
        <v>940013.79999999993</v>
      </c>
      <c r="AA13" s="1600">
        <v>949606.90000000014</v>
      </c>
      <c r="AB13" s="1600">
        <v>976635.39999999991</v>
      </c>
      <c r="AC13" s="1600">
        <v>992336.79999999993</v>
      </c>
      <c r="AD13" s="1600">
        <v>997592.60000000009</v>
      </c>
      <c r="AE13" s="1600">
        <v>985373</v>
      </c>
      <c r="AF13" s="1600">
        <v>984331.39999999991</v>
      </c>
      <c r="AG13" s="1600">
        <v>989171.1</v>
      </c>
      <c r="AH13" s="1600">
        <v>998826.5</v>
      </c>
      <c r="AI13" s="1600">
        <v>993398.8</v>
      </c>
      <c r="AJ13" s="1600">
        <v>1008225.1000000001</v>
      </c>
      <c r="AK13" s="1600">
        <v>997462.2</v>
      </c>
      <c r="AL13" s="1600">
        <v>1010371.2</v>
      </c>
      <c r="AM13" s="1600">
        <v>1022280.1000000001</v>
      </c>
      <c r="AN13" s="1600">
        <v>1021544.2</v>
      </c>
      <c r="AO13" s="1600">
        <v>1032165</v>
      </c>
      <c r="AP13" s="1600">
        <v>1042658.4999999999</v>
      </c>
      <c r="AQ13" s="1600">
        <v>1057393.1000000001</v>
      </c>
      <c r="AR13" s="1600">
        <v>1075926.7</v>
      </c>
      <c r="AS13" s="1600">
        <v>1079515</v>
      </c>
      <c r="AT13" s="1600">
        <v>1090445</v>
      </c>
      <c r="AU13" s="1600">
        <v>1094338.5</v>
      </c>
      <c r="AV13" s="1600">
        <v>1111405.6000000001</v>
      </c>
      <c r="AW13" s="1600">
        <v>1131987.8</v>
      </c>
      <c r="AX13" s="1600">
        <v>1134241.3999999999</v>
      </c>
      <c r="AY13" s="1600">
        <v>1159418.1000000001</v>
      </c>
      <c r="AZ13" s="1600">
        <v>1173333.3999999999</v>
      </c>
      <c r="BA13" s="1600">
        <v>1186594.6000000001</v>
      </c>
      <c r="BB13" s="1600">
        <v>1211795.8</v>
      </c>
      <c r="BC13" s="1600">
        <v>1212283</v>
      </c>
      <c r="BD13" s="1600">
        <v>1226518.8999999999</v>
      </c>
      <c r="BE13" s="1600">
        <v>1236152.5</v>
      </c>
      <c r="BF13" s="1600">
        <v>1261073.1000000001</v>
      </c>
      <c r="BG13" s="1600">
        <v>1265279.8999999999</v>
      </c>
      <c r="BH13" s="1600">
        <v>1253772.2000000002</v>
      </c>
      <c r="BI13" s="1600">
        <v>1244586.8999999999</v>
      </c>
      <c r="BJ13" s="1600">
        <v>1212865.2</v>
      </c>
      <c r="BK13" s="1600">
        <v>1163032.7999999998</v>
      </c>
      <c r="BL13" s="1600">
        <v>1152441.7</v>
      </c>
      <c r="BM13" s="1600">
        <v>1160789.1000000001</v>
      </c>
      <c r="BN13" s="1600">
        <v>1169784.1000000001</v>
      </c>
      <c r="BO13" s="1600">
        <v>1189868.9000000001</v>
      </c>
      <c r="BP13" s="1600">
        <v>1218985.3</v>
      </c>
      <c r="BQ13" s="1600">
        <v>1244536.2000000002</v>
      </c>
      <c r="BR13" s="1600">
        <v>1267706.7</v>
      </c>
      <c r="BS13" s="1600">
        <v>1264522.2999999998</v>
      </c>
      <c r="BT13" s="1600">
        <v>1281401.2999999998</v>
      </c>
      <c r="BU13" s="1600">
        <v>1291771.8999999999</v>
      </c>
      <c r="BV13" s="1600">
        <v>1268341</v>
      </c>
      <c r="BW13" s="1600">
        <v>1293002.5</v>
      </c>
      <c r="BX13" s="1600">
        <v>1296800.3999999999</v>
      </c>
      <c r="BY13" s="1600">
        <v>1286714.2000000002</v>
      </c>
      <c r="BZ13" s="1600">
        <v>1287473.7000000002</v>
      </c>
      <c r="CA13" s="1600">
        <v>1287059.6000000001</v>
      </c>
      <c r="CB13" s="1600">
        <v>1296945.6000000001</v>
      </c>
      <c r="CC13" s="1600">
        <v>1307710.5</v>
      </c>
      <c r="CD13" s="1600">
        <v>1306225.6000000001</v>
      </c>
      <c r="CE13" s="1600">
        <v>1329927.8999999999</v>
      </c>
      <c r="CF13" s="1600">
        <v>1343270.1</v>
      </c>
      <c r="CG13" s="1600">
        <v>1350098.2</v>
      </c>
      <c r="CH13" s="1600">
        <v>1367913.1</v>
      </c>
      <c r="CI13" s="1600">
        <v>1379453.6</v>
      </c>
      <c r="CJ13" s="1600">
        <v>1390285.8</v>
      </c>
      <c r="CK13" s="1600">
        <v>1410844.5</v>
      </c>
      <c r="CL13" s="1600">
        <v>1433264.3</v>
      </c>
      <c r="CM13" s="1600">
        <v>1434307.2000000002</v>
      </c>
      <c r="CN13" s="1600">
        <v>1436290.5</v>
      </c>
      <c r="CO13" s="1600">
        <v>1449524.4</v>
      </c>
      <c r="CP13" s="1600">
        <v>1460529</v>
      </c>
      <c r="CQ13" s="1600">
        <v>1465842.5</v>
      </c>
      <c r="CR13" s="1600">
        <v>1486709.5</v>
      </c>
      <c r="CS13" s="1600">
        <v>1498158.7</v>
      </c>
      <c r="CT13" s="1600">
        <v>1510554.7</v>
      </c>
      <c r="CU13" s="1600">
        <v>1519217.9</v>
      </c>
      <c r="CV13" s="1600">
        <v>1524460.7999999998</v>
      </c>
      <c r="CW13" s="1600" t="s">
        <v>2620</v>
      </c>
      <c r="CX13" s="1600" t="s">
        <v>2620</v>
      </c>
      <c r="CY13" s="1600" t="s">
        <v>2620</v>
      </c>
      <c r="CZ13" s="1600" t="s">
        <v>2620</v>
      </c>
      <c r="DA13" s="1600" t="s">
        <v>2620</v>
      </c>
      <c r="DB13" s="1600" t="s">
        <v>2620</v>
      </c>
      <c r="DC13" s="1600" t="s">
        <v>2620</v>
      </c>
    </row>
    <row r="14" spans="1:110">
      <c r="A14" s="1601"/>
      <c r="B14" s="1601"/>
      <c r="C14" s="1602"/>
      <c r="D14" s="1597"/>
      <c r="E14" s="1598"/>
      <c r="F14" s="1599"/>
      <c r="G14" s="1600"/>
      <c r="H14" s="1600"/>
      <c r="I14" s="1600"/>
      <c r="J14" s="1600"/>
      <c r="K14" s="1600"/>
      <c r="L14" s="1600"/>
      <c r="M14" s="1600"/>
      <c r="N14" s="1600"/>
      <c r="O14" s="1600"/>
      <c r="P14" s="1600"/>
      <c r="Q14" s="1600"/>
      <c r="R14" s="1600"/>
      <c r="S14" s="1600"/>
      <c r="T14" s="1600"/>
      <c r="U14" s="1600"/>
      <c r="V14" s="1600"/>
      <c r="W14" s="1600"/>
      <c r="X14" s="1600"/>
      <c r="Y14" s="1600"/>
      <c r="Z14" s="1600"/>
      <c r="AA14" s="1600"/>
      <c r="AB14" s="1600"/>
      <c r="AC14" s="1600"/>
      <c r="AD14" s="1600"/>
      <c r="AE14" s="1600"/>
      <c r="AF14" s="1600"/>
      <c r="AG14" s="1600"/>
      <c r="AH14" s="1600"/>
      <c r="AI14" s="1600"/>
      <c r="AJ14" s="1600"/>
      <c r="AK14" s="1600"/>
      <c r="AL14" s="1600"/>
      <c r="AM14" s="1600"/>
      <c r="AN14" s="1600"/>
      <c r="AO14" s="1600"/>
      <c r="AP14" s="1600"/>
      <c r="AQ14" s="1600"/>
      <c r="AR14" s="1600"/>
      <c r="AS14" s="1600"/>
      <c r="AT14" s="1600"/>
      <c r="AU14" s="1600"/>
      <c r="AV14" s="1600"/>
      <c r="AW14" s="1600"/>
      <c r="AX14" s="1600"/>
      <c r="AY14" s="1600"/>
      <c r="AZ14" s="1600"/>
      <c r="BA14" s="1600"/>
      <c r="BB14" s="1600"/>
      <c r="BC14" s="1600"/>
      <c r="BD14" s="1600"/>
      <c r="BE14" s="1600"/>
      <c r="BF14" s="1600"/>
      <c r="BG14" s="1600"/>
      <c r="BH14" s="1600"/>
      <c r="BI14" s="1600"/>
      <c r="BJ14" s="1600"/>
      <c r="BK14" s="1600"/>
      <c r="BL14" s="1600"/>
      <c r="BM14" s="1600"/>
      <c r="BN14" s="1600"/>
      <c r="BO14" s="1600"/>
      <c r="BP14" s="1600"/>
      <c r="BQ14" s="1600"/>
      <c r="BR14" s="1600"/>
      <c r="BS14" s="1600"/>
      <c r="BT14" s="1600"/>
      <c r="BU14" s="1600"/>
      <c r="BV14" s="1600"/>
      <c r="BW14" s="1600"/>
      <c r="BX14" s="1600"/>
      <c r="BY14" s="1600"/>
      <c r="BZ14" s="1600"/>
      <c r="CA14" s="1600"/>
      <c r="CB14" s="1600"/>
      <c r="CC14" s="1600"/>
      <c r="CD14" s="1600"/>
      <c r="CE14" s="1600"/>
      <c r="CF14" s="1600"/>
      <c r="CG14" s="1600"/>
      <c r="CH14" s="1600"/>
      <c r="CI14" s="1600"/>
      <c r="CJ14" s="1600"/>
      <c r="CK14" s="1600"/>
      <c r="CL14" s="1600"/>
      <c r="CM14" s="1600"/>
      <c r="CN14" s="1600"/>
      <c r="CO14" s="1600"/>
      <c r="CP14" s="1600"/>
      <c r="CQ14" s="1600"/>
      <c r="CR14" s="1600"/>
      <c r="CS14" s="1600"/>
      <c r="CT14" s="1600"/>
      <c r="CU14" s="1600"/>
      <c r="CV14" s="1600"/>
      <c r="CW14" s="1600"/>
      <c r="CX14" s="1600"/>
      <c r="CY14" s="1600"/>
      <c r="CZ14" s="1600"/>
      <c r="DA14" s="1600"/>
      <c r="DB14" s="1600"/>
      <c r="DC14" s="1600"/>
    </row>
    <row r="15" spans="1:110">
      <c r="A15" s="1596">
        <v>24</v>
      </c>
      <c r="B15" s="534" t="s">
        <v>1838</v>
      </c>
      <c r="C15" s="535" t="s">
        <v>1587</v>
      </c>
      <c r="D15" s="1597" t="s">
        <v>130</v>
      </c>
      <c r="E15" s="1598">
        <v>64</v>
      </c>
      <c r="F15" s="1599" t="s">
        <v>2792</v>
      </c>
      <c r="G15" s="1600">
        <v>594683.30000000005</v>
      </c>
      <c r="H15" s="1600">
        <v>597836.80000000005</v>
      </c>
      <c r="I15" s="1600">
        <v>599984.19999999995</v>
      </c>
      <c r="J15" s="1600">
        <v>608001.1</v>
      </c>
      <c r="K15" s="1600">
        <v>610251.69999999995</v>
      </c>
      <c r="L15" s="1600">
        <v>605660.9</v>
      </c>
      <c r="M15" s="1600">
        <v>608548.1</v>
      </c>
      <c r="N15" s="1600">
        <v>613086.9</v>
      </c>
      <c r="O15" s="1600">
        <v>616703</v>
      </c>
      <c r="P15" s="1600">
        <v>624639.19999999995</v>
      </c>
      <c r="Q15" s="1600">
        <v>630869</v>
      </c>
      <c r="R15" s="1600">
        <v>641497.80000000005</v>
      </c>
      <c r="S15" s="1600">
        <v>643136.9</v>
      </c>
      <c r="T15" s="1600">
        <v>653546</v>
      </c>
      <c r="U15" s="1600">
        <v>656985.5</v>
      </c>
      <c r="V15" s="1600">
        <v>664254.5</v>
      </c>
      <c r="W15" s="1600">
        <v>674091.6</v>
      </c>
      <c r="X15" s="1600">
        <v>676231.9</v>
      </c>
      <c r="Y15" s="1600">
        <v>682973.7</v>
      </c>
      <c r="Z15" s="1600">
        <v>695466.6</v>
      </c>
      <c r="AA15" s="1600">
        <v>700517.4</v>
      </c>
      <c r="AB15" s="1600">
        <v>715754.9</v>
      </c>
      <c r="AC15" s="1600">
        <v>721978.4</v>
      </c>
      <c r="AD15" s="1600">
        <v>724003.1</v>
      </c>
      <c r="AE15" s="1600">
        <v>722224.1</v>
      </c>
      <c r="AF15" s="1600">
        <v>725365.1</v>
      </c>
      <c r="AG15" s="1600">
        <v>729803.4</v>
      </c>
      <c r="AH15" s="1600">
        <v>734201.5</v>
      </c>
      <c r="AI15" s="1600">
        <v>733940.5</v>
      </c>
      <c r="AJ15" s="1600">
        <v>744095</v>
      </c>
      <c r="AK15" s="1600">
        <v>745486.6</v>
      </c>
      <c r="AL15" s="1600">
        <v>748784.4</v>
      </c>
      <c r="AM15" s="1600">
        <v>757718.5</v>
      </c>
      <c r="AN15" s="1600">
        <v>754520.2</v>
      </c>
      <c r="AO15" s="1600">
        <v>764762.5</v>
      </c>
      <c r="AP15" s="1600">
        <v>769395.5</v>
      </c>
      <c r="AQ15" s="1600">
        <v>781333.4</v>
      </c>
      <c r="AR15" s="1600">
        <v>786925.7</v>
      </c>
      <c r="AS15" s="1600">
        <v>793724.9</v>
      </c>
      <c r="AT15" s="1600">
        <v>800282.1</v>
      </c>
      <c r="AU15" s="1600">
        <v>801124.9</v>
      </c>
      <c r="AV15" s="1600">
        <v>809767.6</v>
      </c>
      <c r="AW15" s="1600">
        <v>817399.8</v>
      </c>
      <c r="AX15" s="1600">
        <v>822870.2</v>
      </c>
      <c r="AY15" s="1600">
        <v>838957.7</v>
      </c>
      <c r="AZ15" s="1600">
        <v>848562.6</v>
      </c>
      <c r="BA15" s="1600">
        <v>859744.6</v>
      </c>
      <c r="BB15" s="1600">
        <v>864720</v>
      </c>
      <c r="BC15" s="1600">
        <v>872186.3</v>
      </c>
      <c r="BD15" s="1600">
        <v>878460.1</v>
      </c>
      <c r="BE15" s="1600">
        <v>885228</v>
      </c>
      <c r="BF15" s="1600">
        <v>896648.5</v>
      </c>
      <c r="BG15" s="1600">
        <v>884682.8</v>
      </c>
      <c r="BH15" s="1600">
        <v>886534.4</v>
      </c>
      <c r="BI15" s="1600">
        <v>884552.8</v>
      </c>
      <c r="BJ15" s="1600">
        <v>851469.5</v>
      </c>
      <c r="BK15" s="1600">
        <v>830046</v>
      </c>
      <c r="BL15" s="1600">
        <v>830434.3</v>
      </c>
      <c r="BM15" s="1600">
        <v>831064.6</v>
      </c>
      <c r="BN15" s="1600">
        <v>835773.8</v>
      </c>
      <c r="BO15" s="1600">
        <v>855569.8</v>
      </c>
      <c r="BP15" s="1600">
        <v>874268.3</v>
      </c>
      <c r="BQ15" s="1600">
        <v>885488.9</v>
      </c>
      <c r="BR15" s="1600">
        <v>901754</v>
      </c>
      <c r="BS15" s="1600">
        <v>900855.5</v>
      </c>
      <c r="BT15" s="1600">
        <v>903516.8</v>
      </c>
      <c r="BU15" s="1600">
        <v>912311</v>
      </c>
      <c r="BV15" s="1600">
        <v>897036.7</v>
      </c>
      <c r="BW15" s="1600">
        <v>900757.8</v>
      </c>
      <c r="BX15" s="1600">
        <v>906516.9</v>
      </c>
      <c r="BY15" s="1600">
        <v>905794.2</v>
      </c>
      <c r="BZ15" s="1600">
        <v>901451.8</v>
      </c>
      <c r="CA15" s="1600">
        <v>912129</v>
      </c>
      <c r="CB15" s="1600">
        <v>908836.5</v>
      </c>
      <c r="CC15" s="1600">
        <v>915169.5</v>
      </c>
      <c r="CD15" s="1600">
        <v>922403.6</v>
      </c>
      <c r="CE15" s="1600">
        <v>928993</v>
      </c>
      <c r="CF15" s="1600">
        <v>935950.9</v>
      </c>
      <c r="CG15" s="1600">
        <v>940019.9</v>
      </c>
      <c r="CH15" s="1600">
        <v>952545</v>
      </c>
      <c r="CI15" s="1600">
        <v>962611.6</v>
      </c>
      <c r="CJ15" s="1600">
        <v>971122.5</v>
      </c>
      <c r="CK15" s="1600">
        <v>985528</v>
      </c>
      <c r="CL15" s="1600">
        <v>996491.2</v>
      </c>
      <c r="CM15" s="1600">
        <v>997349.3</v>
      </c>
      <c r="CN15" s="1600">
        <v>999859.9</v>
      </c>
      <c r="CO15" s="1600">
        <v>1004760.9</v>
      </c>
      <c r="CP15" s="1600">
        <v>1009919.3</v>
      </c>
      <c r="CQ15" s="1600">
        <v>1014001.7</v>
      </c>
      <c r="CR15" s="1600">
        <v>1025619.5</v>
      </c>
      <c r="CS15" s="1600">
        <v>1029936.8</v>
      </c>
      <c r="CT15" s="1600">
        <v>1037025.6</v>
      </c>
      <c r="CU15" s="1600">
        <v>1042722</v>
      </c>
      <c r="CV15" s="1600">
        <v>1050697.6000000001</v>
      </c>
      <c r="CW15" s="1600" t="s">
        <v>2620</v>
      </c>
      <c r="CX15" s="1600" t="s">
        <v>2620</v>
      </c>
      <c r="CY15" s="1600" t="s">
        <v>2620</v>
      </c>
      <c r="CZ15" s="1600" t="s">
        <v>2620</v>
      </c>
      <c r="DA15" s="1600" t="s">
        <v>2620</v>
      </c>
      <c r="DB15" s="1600" t="s">
        <v>2620</v>
      </c>
      <c r="DC15" s="1600" t="s">
        <v>2620</v>
      </c>
    </row>
    <row r="16" spans="1:110">
      <c r="A16" s="1596"/>
      <c r="B16" s="1601"/>
      <c r="C16" s="1602"/>
      <c r="D16" s="1597"/>
      <c r="E16" s="1598"/>
      <c r="F16" s="1599"/>
      <c r="G16" s="1600"/>
      <c r="H16" s="1600"/>
      <c r="I16" s="1600"/>
      <c r="J16" s="1600"/>
      <c r="K16" s="1600"/>
      <c r="L16" s="1600"/>
      <c r="M16" s="1600"/>
      <c r="N16" s="1600"/>
      <c r="O16" s="1600"/>
      <c r="P16" s="1600"/>
      <c r="Q16" s="1600"/>
      <c r="R16" s="1600"/>
      <c r="S16" s="1600"/>
      <c r="T16" s="1600"/>
      <c r="U16" s="1600"/>
      <c r="V16" s="1600"/>
      <c r="W16" s="1600"/>
      <c r="X16" s="1600"/>
      <c r="Y16" s="1600"/>
      <c r="Z16" s="1600"/>
      <c r="AA16" s="1600"/>
      <c r="AB16" s="1600"/>
      <c r="AC16" s="1600"/>
      <c r="AD16" s="1600"/>
      <c r="AE16" s="1600"/>
      <c r="AF16" s="1600"/>
      <c r="AG16" s="1600"/>
      <c r="AH16" s="1600"/>
      <c r="AI16" s="1600"/>
      <c r="AJ16" s="1600"/>
      <c r="AK16" s="1600"/>
      <c r="AL16" s="1600"/>
      <c r="AM16" s="1600"/>
      <c r="AN16" s="1600"/>
      <c r="AO16" s="1600"/>
      <c r="AP16" s="1600"/>
      <c r="AQ16" s="1600"/>
      <c r="AR16" s="1600"/>
      <c r="AS16" s="1600"/>
      <c r="AT16" s="1600"/>
      <c r="AU16" s="1600"/>
      <c r="AV16" s="1600"/>
      <c r="AW16" s="1600"/>
      <c r="AX16" s="1600"/>
      <c r="AY16" s="1600"/>
      <c r="AZ16" s="1600"/>
      <c r="BA16" s="1600"/>
      <c r="BB16" s="1600"/>
      <c r="BC16" s="1600"/>
      <c r="BD16" s="1600"/>
      <c r="BE16" s="1600"/>
      <c r="BF16" s="1600"/>
      <c r="BG16" s="1600"/>
      <c r="BH16" s="1600"/>
      <c r="BI16" s="1600"/>
      <c r="BJ16" s="1600"/>
      <c r="BK16" s="1600"/>
      <c r="BL16" s="1600"/>
      <c r="BM16" s="1600"/>
      <c r="BN16" s="1600"/>
      <c r="BO16" s="1600"/>
      <c r="BP16" s="1600"/>
      <c r="BQ16" s="1600"/>
      <c r="BR16" s="1600"/>
      <c r="BS16" s="1600"/>
      <c r="BT16" s="1600"/>
      <c r="BU16" s="1600"/>
      <c r="BV16" s="1600"/>
      <c r="BW16" s="1600"/>
      <c r="BX16" s="1600"/>
      <c r="BY16" s="1600"/>
      <c r="BZ16" s="1600"/>
      <c r="CA16" s="1600"/>
      <c r="CB16" s="1600"/>
      <c r="CC16" s="1600"/>
      <c r="CD16" s="1600"/>
      <c r="CE16" s="1600"/>
      <c r="CF16" s="1600"/>
      <c r="CG16" s="1600"/>
      <c r="CH16" s="1600"/>
      <c r="CI16" s="1600"/>
      <c r="CJ16" s="1600"/>
      <c r="CK16" s="1600"/>
      <c r="CL16" s="1600"/>
      <c r="CM16" s="1600"/>
      <c r="CN16" s="3407"/>
      <c r="CO16" s="1600"/>
      <c r="CP16" s="1600"/>
      <c r="CQ16" s="1600"/>
      <c r="CR16" s="1600"/>
      <c r="CS16" s="1600"/>
      <c r="CT16" s="1600"/>
      <c r="CU16" s="1600"/>
      <c r="CV16" s="1600"/>
      <c r="CW16" s="1600"/>
      <c r="CX16" s="1600"/>
      <c r="CY16" s="1600"/>
      <c r="CZ16" s="1600"/>
      <c r="DA16" s="1600"/>
      <c r="DB16" s="1600"/>
      <c r="DC16" s="1600"/>
    </row>
    <row r="17" spans="1:107">
      <c r="A17" s="1596">
        <v>25</v>
      </c>
      <c r="B17" s="1601" t="s">
        <v>564</v>
      </c>
      <c r="C17" s="1602"/>
      <c r="D17" s="1597" t="s">
        <v>130</v>
      </c>
      <c r="E17" s="1598">
        <v>90</v>
      </c>
      <c r="F17" s="1599" t="s">
        <v>2793</v>
      </c>
      <c r="G17" s="3180" t="s">
        <v>2620</v>
      </c>
      <c r="H17" s="3180" t="s">
        <v>2620</v>
      </c>
      <c r="I17" s="3180" t="s">
        <v>2620</v>
      </c>
      <c r="J17" s="3180" t="s">
        <v>2620</v>
      </c>
      <c r="K17" s="3180">
        <v>75.716666666666654</v>
      </c>
      <c r="L17" s="3180">
        <v>76.443333333333342</v>
      </c>
      <c r="M17" s="3180">
        <v>76.13666666666667</v>
      </c>
      <c r="N17" s="3180">
        <v>76.336666666666673</v>
      </c>
      <c r="O17" s="3180">
        <v>76.593333333333334</v>
      </c>
      <c r="P17" s="3180">
        <v>77.446666666666673</v>
      </c>
      <c r="Q17" s="3180">
        <v>77.736666666666665</v>
      </c>
      <c r="R17" s="3180">
        <v>78.38</v>
      </c>
      <c r="S17" s="3180">
        <v>78.066666666666663</v>
      </c>
      <c r="T17" s="3180">
        <v>78.566666666666663</v>
      </c>
      <c r="U17" s="3180">
        <v>78.190000000000012</v>
      </c>
      <c r="V17" s="3180">
        <v>78.446666666666658</v>
      </c>
      <c r="W17" s="3180">
        <v>78.25333333333333</v>
      </c>
      <c r="X17" s="3180">
        <v>78.853333333333339</v>
      </c>
      <c r="Y17" s="3180">
        <v>78.726666666666674</v>
      </c>
      <c r="Z17" s="3180">
        <v>79.203333333333333</v>
      </c>
      <c r="AA17" s="3180">
        <v>79.206666666666663</v>
      </c>
      <c r="AB17" s="3180">
        <v>79.793333333333337</v>
      </c>
      <c r="AC17" s="3180">
        <v>79.73</v>
      </c>
      <c r="AD17" s="3180">
        <v>80.38333333333334</v>
      </c>
      <c r="AE17" s="3180">
        <v>80.476666666666674</v>
      </c>
      <c r="AF17" s="3180">
        <v>82.176666666666662</v>
      </c>
      <c r="AG17" s="3180">
        <v>82.2</v>
      </c>
      <c r="AH17" s="3180">
        <v>82.813333333333333</v>
      </c>
      <c r="AI17" s="3180">
        <v>82.763333333333335</v>
      </c>
      <c r="AJ17" s="3180">
        <v>83.703333333333333</v>
      </c>
      <c r="AK17" s="3180">
        <v>83.42</v>
      </c>
      <c r="AL17" s="3180">
        <v>84.133333333333326</v>
      </c>
      <c r="AM17" s="3180">
        <v>85.226666666666674</v>
      </c>
      <c r="AN17" s="3180">
        <v>85.443333333333328</v>
      </c>
      <c r="AO17" s="3180">
        <v>85.346666666666678</v>
      </c>
      <c r="AP17" s="3180">
        <v>85.75</v>
      </c>
      <c r="AQ17" s="3180">
        <v>85.73</v>
      </c>
      <c r="AR17" s="3180">
        <v>86.48</v>
      </c>
      <c r="AS17" s="3180">
        <v>86.32</v>
      </c>
      <c r="AT17" s="3180">
        <v>86.73</v>
      </c>
      <c r="AU17" s="3180">
        <v>86.386666666666656</v>
      </c>
      <c r="AV17" s="3180">
        <v>86.913333333333341</v>
      </c>
      <c r="AW17" s="3180">
        <v>87.14</v>
      </c>
      <c r="AX17" s="3180">
        <v>87.696666666666673</v>
      </c>
      <c r="AY17" s="3180">
        <v>87.443333333333342</v>
      </c>
      <c r="AZ17" s="3180">
        <v>88.530000000000015</v>
      </c>
      <c r="BA17" s="3180">
        <v>88.453333333333333</v>
      </c>
      <c r="BB17" s="3180">
        <v>88.92</v>
      </c>
      <c r="BC17" s="3180">
        <v>88.899999999999991</v>
      </c>
      <c r="BD17" s="3180">
        <v>89.74666666666667</v>
      </c>
      <c r="BE17" s="3180">
        <v>89.676666666666662</v>
      </c>
      <c r="BF17" s="3180">
        <v>90.946666666666673</v>
      </c>
      <c r="BG17" s="3180">
        <v>91.646666666666661</v>
      </c>
      <c r="BH17" s="3180">
        <v>93.009999999999991</v>
      </c>
      <c r="BI17" s="3180">
        <v>93.283333333333346</v>
      </c>
      <c r="BJ17" s="3180">
        <v>93.360000000000014</v>
      </c>
      <c r="BK17" s="3180">
        <v>93.530000000000015</v>
      </c>
      <c r="BL17" s="3180">
        <v>94.586666666666659</v>
      </c>
      <c r="BM17" s="3180">
        <v>94.853333333333339</v>
      </c>
      <c r="BN17" s="3180">
        <v>95.536666666666676</v>
      </c>
      <c r="BO17" s="3180">
        <v>96.006666666666661</v>
      </c>
      <c r="BP17" s="3180">
        <v>96.333333333333329</v>
      </c>
      <c r="BQ17" s="3180">
        <v>96.123333333333335</v>
      </c>
      <c r="BR17" s="3180">
        <v>97.259999999999991</v>
      </c>
      <c r="BS17" s="3180">
        <v>97.286666666666676</v>
      </c>
      <c r="BT17" s="3180">
        <v>97.94</v>
      </c>
      <c r="BU17" s="3180">
        <v>97.65666666666668</v>
      </c>
      <c r="BV17" s="3180">
        <v>98.103333333333353</v>
      </c>
      <c r="BW17" s="3180">
        <v>98.196666666666673</v>
      </c>
      <c r="BX17" s="3180">
        <v>98.86</v>
      </c>
      <c r="BY17" s="3180">
        <v>98.513333333333335</v>
      </c>
      <c r="BZ17" s="3180">
        <v>99.083333333333329</v>
      </c>
      <c r="CA17" s="3180">
        <v>98.736666666666665</v>
      </c>
      <c r="CB17" s="3180">
        <v>99.116666666666674</v>
      </c>
      <c r="CC17" s="3180">
        <v>99.19</v>
      </c>
      <c r="CD17" s="3180">
        <v>99.34999999999998</v>
      </c>
      <c r="CE17" s="3180">
        <v>98.716666666666654</v>
      </c>
      <c r="CF17" s="3180">
        <v>99.429999999999993</v>
      </c>
      <c r="CG17" s="3180">
        <v>99.410000000000011</v>
      </c>
      <c r="CH17" s="3180">
        <v>99.65333333333335</v>
      </c>
      <c r="CI17" s="3180">
        <v>99.303333333333327</v>
      </c>
      <c r="CJ17" s="3180">
        <v>100.02666666666666</v>
      </c>
      <c r="CK17" s="3180">
        <v>100.17999999999999</v>
      </c>
      <c r="CL17" s="3180">
        <v>100.49000000000001</v>
      </c>
      <c r="CM17" s="3180">
        <v>100.37</v>
      </c>
      <c r="CN17" s="3180">
        <v>101.04333333333334</v>
      </c>
      <c r="CO17" s="3180">
        <v>101.23</v>
      </c>
      <c r="CP17" s="3180">
        <v>101.90000000000002</v>
      </c>
      <c r="CQ17" s="3180">
        <v>102</v>
      </c>
      <c r="CR17" s="3180">
        <v>102.91000000000001</v>
      </c>
      <c r="CS17" s="3180">
        <v>103.49000000000001</v>
      </c>
      <c r="CT17" s="3180">
        <v>103.69333333333333</v>
      </c>
      <c r="CU17" s="3180">
        <v>103.75999999999999</v>
      </c>
      <c r="CV17" s="3180">
        <v>104.94</v>
      </c>
      <c r="CW17" s="3180">
        <v>105.8</v>
      </c>
      <c r="CX17" s="3180" t="s">
        <v>2620</v>
      </c>
      <c r="CY17" s="3180" t="s">
        <v>2620</v>
      </c>
      <c r="CZ17" s="3180" t="s">
        <v>2620</v>
      </c>
      <c r="DA17" s="3180" t="s">
        <v>2620</v>
      </c>
      <c r="DB17" s="3180" t="s">
        <v>2620</v>
      </c>
      <c r="DC17" s="3180" t="s">
        <v>2620</v>
      </c>
    </row>
    <row r="18" spans="1:107">
      <c r="A18" s="1596">
        <v>167</v>
      </c>
      <c r="B18" s="1601" t="s">
        <v>568</v>
      </c>
      <c r="C18" s="1602"/>
      <c r="D18" s="1597" t="s">
        <v>130</v>
      </c>
      <c r="E18" s="1598">
        <v>91</v>
      </c>
      <c r="F18" s="1599" t="s">
        <v>2794</v>
      </c>
      <c r="G18" s="3180" t="s">
        <v>2620</v>
      </c>
      <c r="H18" s="3180" t="s">
        <v>2620</v>
      </c>
      <c r="I18" s="3180" t="s">
        <v>2620</v>
      </c>
      <c r="J18" s="3180" t="s">
        <v>2620</v>
      </c>
      <c r="K18" s="3180">
        <v>102.74000000000001</v>
      </c>
      <c r="L18" s="3180">
        <v>103.94666666666666</v>
      </c>
      <c r="M18" s="3180">
        <v>101.95</v>
      </c>
      <c r="N18" s="3180">
        <v>103.44666666666667</v>
      </c>
      <c r="O18" s="3180">
        <v>101.04666666666667</v>
      </c>
      <c r="P18" s="3180">
        <v>102</v>
      </c>
      <c r="Q18" s="3180">
        <v>100.88333333333333</v>
      </c>
      <c r="R18" s="3180">
        <v>103.04333333333334</v>
      </c>
      <c r="S18" s="3180">
        <v>100.18333333333334</v>
      </c>
      <c r="T18" s="3180">
        <v>101.03333333333335</v>
      </c>
      <c r="U18" s="3180">
        <v>100.17333333333333</v>
      </c>
      <c r="V18" s="3180">
        <v>102.22000000000001</v>
      </c>
      <c r="W18" s="3180">
        <v>99.860000000000014</v>
      </c>
      <c r="X18" s="3180">
        <v>100.93333333333334</v>
      </c>
      <c r="Y18" s="3180">
        <v>99.893333333333317</v>
      </c>
      <c r="Z18" s="3180">
        <v>101.97333333333334</v>
      </c>
      <c r="AA18" s="3180">
        <v>99.603333333333339</v>
      </c>
      <c r="AB18" s="3180">
        <v>100.95</v>
      </c>
      <c r="AC18" s="3180">
        <v>100.40666666666668</v>
      </c>
      <c r="AD18" s="3180">
        <v>102.06</v>
      </c>
      <c r="AE18" s="3180">
        <v>99.600000000000009</v>
      </c>
      <c r="AF18" s="3180">
        <v>101.66333333333334</v>
      </c>
      <c r="AG18" s="3180">
        <v>101.03333333333335</v>
      </c>
      <c r="AH18" s="3180">
        <v>103.93666666666667</v>
      </c>
      <c r="AI18" s="3180">
        <v>101.22666666666667</v>
      </c>
      <c r="AJ18" s="3180">
        <v>102.61333333333334</v>
      </c>
      <c r="AK18" s="3180">
        <v>101.58666666666666</v>
      </c>
      <c r="AL18" s="3180">
        <v>104.06333333333333</v>
      </c>
      <c r="AM18" s="3180">
        <v>101.68666666666667</v>
      </c>
      <c r="AN18" s="3180">
        <v>102.87666666666667</v>
      </c>
      <c r="AO18" s="3180">
        <v>101.39</v>
      </c>
      <c r="AP18" s="3180">
        <v>103.16333333333334</v>
      </c>
      <c r="AQ18" s="3180">
        <v>100.33</v>
      </c>
      <c r="AR18" s="3180">
        <v>101.66666666666667</v>
      </c>
      <c r="AS18" s="3180">
        <v>99.96</v>
      </c>
      <c r="AT18" s="3180">
        <v>102.35000000000001</v>
      </c>
      <c r="AU18" s="3180">
        <v>99.106666666666669</v>
      </c>
      <c r="AV18" s="3180">
        <v>99.893333333333331</v>
      </c>
      <c r="AW18" s="3180">
        <v>98.83</v>
      </c>
      <c r="AX18" s="3180">
        <v>101.17333333333333</v>
      </c>
      <c r="AY18" s="3180">
        <v>98.416666666666671</v>
      </c>
      <c r="AZ18" s="3180">
        <v>99.783333333333346</v>
      </c>
      <c r="BA18" s="3180">
        <v>98.556666666666672</v>
      </c>
      <c r="BB18" s="3180">
        <v>100.74</v>
      </c>
      <c r="BC18" s="3180">
        <v>98.71</v>
      </c>
      <c r="BD18" s="3180">
        <v>100.39999999999999</v>
      </c>
      <c r="BE18" s="3180">
        <v>99.04</v>
      </c>
      <c r="BF18" s="3180">
        <v>101.64666666666666</v>
      </c>
      <c r="BG18" s="3180">
        <v>98.956666666666663</v>
      </c>
      <c r="BH18" s="3180">
        <v>100.33666666666666</v>
      </c>
      <c r="BI18" s="3180">
        <v>99.160000000000011</v>
      </c>
      <c r="BJ18" s="3180">
        <v>101.09666666666665</v>
      </c>
      <c r="BK18" s="3180">
        <v>99.483333333333334</v>
      </c>
      <c r="BL18" s="3180">
        <v>101.00999999999999</v>
      </c>
      <c r="BM18" s="3180">
        <v>101.41333333333334</v>
      </c>
      <c r="BN18" s="3180">
        <v>103.70333333333333</v>
      </c>
      <c r="BO18" s="3180">
        <v>101.73666666666666</v>
      </c>
      <c r="BP18" s="3180">
        <v>102.57000000000001</v>
      </c>
      <c r="BQ18" s="3180">
        <v>101.36333333333334</v>
      </c>
      <c r="BR18" s="3180">
        <v>103.57333333333334</v>
      </c>
      <c r="BS18" s="3180">
        <v>101.08666666666666</v>
      </c>
      <c r="BT18" s="3180">
        <v>102.02999999999999</v>
      </c>
      <c r="BU18" s="3180">
        <v>101.18666666666667</v>
      </c>
      <c r="BV18" s="3180">
        <v>102.99333333333334</v>
      </c>
      <c r="BW18" s="3180">
        <v>99.98</v>
      </c>
      <c r="BX18" s="3180">
        <v>101.42666666666668</v>
      </c>
      <c r="BY18" s="3180">
        <v>100.14</v>
      </c>
      <c r="BZ18" s="3180">
        <v>101.73666666666668</v>
      </c>
      <c r="CA18" s="3180">
        <v>99.336666666666659</v>
      </c>
      <c r="CB18" s="3180">
        <v>100.26333333333334</v>
      </c>
      <c r="CC18" s="3180">
        <v>99.353333333333339</v>
      </c>
      <c r="CD18" s="3180">
        <v>101.22666666666665</v>
      </c>
      <c r="CE18" s="3180">
        <v>99.043333333333337</v>
      </c>
      <c r="CF18" s="3180">
        <v>99.956666666666663</v>
      </c>
      <c r="CG18" s="3180">
        <v>98.883333333333326</v>
      </c>
      <c r="CH18" s="3180">
        <v>100.74666666666667</v>
      </c>
      <c r="CI18" s="3180">
        <v>98.903333333333322</v>
      </c>
      <c r="CJ18" s="3180">
        <v>99.733333333333334</v>
      </c>
      <c r="CK18" s="3180">
        <v>99.723333333333343</v>
      </c>
      <c r="CL18" s="3180">
        <v>101.64333333333333</v>
      </c>
      <c r="CM18" s="3180">
        <v>100.10333333333331</v>
      </c>
      <c r="CN18" s="3180">
        <v>101.21666666666665</v>
      </c>
      <c r="CO18" s="3180">
        <v>100.72666666666667</v>
      </c>
      <c r="CP18" s="3180">
        <v>102.31</v>
      </c>
      <c r="CQ18" s="3180">
        <v>100.48333333333333</v>
      </c>
      <c r="CR18" s="3180">
        <v>101.47666666666667</v>
      </c>
      <c r="CS18" s="3180">
        <v>100.69666666666666</v>
      </c>
      <c r="CT18" s="3180">
        <v>102.10333333333334</v>
      </c>
      <c r="CU18" s="3180">
        <v>100.63</v>
      </c>
      <c r="CV18" s="3180">
        <v>101.57333333333334</v>
      </c>
      <c r="CW18" s="3180">
        <v>100.75999999999999</v>
      </c>
      <c r="CX18" s="3180" t="s">
        <v>2620</v>
      </c>
      <c r="CY18" s="3180" t="s">
        <v>2620</v>
      </c>
      <c r="CZ18" s="3180" t="s">
        <v>2620</v>
      </c>
      <c r="DA18" s="3180" t="s">
        <v>2620</v>
      </c>
      <c r="DB18" s="3180" t="s">
        <v>2620</v>
      </c>
      <c r="DC18" s="3180" t="s">
        <v>2620</v>
      </c>
    </row>
    <row r="19" spans="1:107">
      <c r="A19" s="1596">
        <v>168</v>
      </c>
      <c r="B19" s="1601" t="s">
        <v>567</v>
      </c>
      <c r="C19" s="1602"/>
      <c r="D19" s="1597" t="s">
        <v>130</v>
      </c>
      <c r="E19" s="1598">
        <v>92</v>
      </c>
      <c r="F19" s="1599" t="s">
        <v>2795</v>
      </c>
      <c r="G19" s="3180" t="s">
        <v>2620</v>
      </c>
      <c r="H19" s="3180" t="s">
        <v>2620</v>
      </c>
      <c r="I19" s="3180" t="s">
        <v>2620</v>
      </c>
      <c r="J19" s="3180" t="s">
        <v>2620</v>
      </c>
      <c r="K19" s="3180">
        <v>56.18</v>
      </c>
      <c r="L19" s="3180">
        <v>57.243333333333339</v>
      </c>
      <c r="M19" s="3180">
        <v>57.640000000000008</v>
      </c>
      <c r="N19" s="3180">
        <v>58.963333333333331</v>
      </c>
      <c r="O19" s="3180">
        <v>59.49</v>
      </c>
      <c r="P19" s="3180">
        <v>59.49666666666667</v>
      </c>
      <c r="Q19" s="3180">
        <v>61.316666666666663</v>
      </c>
      <c r="R19" s="3180">
        <v>60.836666666666673</v>
      </c>
      <c r="S19" s="3180">
        <v>60.826666666666661</v>
      </c>
      <c r="T19" s="3180">
        <v>60.51</v>
      </c>
      <c r="U19" s="3180">
        <v>60.336666666666666</v>
      </c>
      <c r="V19" s="3180">
        <v>59.576666666666675</v>
      </c>
      <c r="W19" s="3180">
        <v>58.81</v>
      </c>
      <c r="X19" s="3180">
        <v>59.603333333333332</v>
      </c>
      <c r="Y19" s="3180">
        <v>61.109999999999992</v>
      </c>
      <c r="Z19" s="3180">
        <v>61.263333333333343</v>
      </c>
      <c r="AA19" s="3180">
        <v>62.956666666666671</v>
      </c>
      <c r="AB19" s="3180">
        <v>63.71</v>
      </c>
      <c r="AC19" s="3180">
        <v>64.73</v>
      </c>
      <c r="AD19" s="3180">
        <v>64.99666666666667</v>
      </c>
      <c r="AE19" s="3180">
        <v>66.323333333333338</v>
      </c>
      <c r="AF19" s="3180">
        <v>69.883333333333326</v>
      </c>
      <c r="AG19" s="3180">
        <v>69.339999999999989</v>
      </c>
      <c r="AH19" s="3180">
        <v>67.056666666666672</v>
      </c>
      <c r="AI19" s="3180">
        <v>68.266666666666666</v>
      </c>
      <c r="AJ19" s="3180">
        <v>69.646666666666661</v>
      </c>
      <c r="AK19" s="3180">
        <v>69.596666666666678</v>
      </c>
      <c r="AL19" s="3180">
        <v>69.876666666666665</v>
      </c>
      <c r="AM19" s="3180">
        <v>78.47</v>
      </c>
      <c r="AN19" s="3180">
        <v>76.260000000000005</v>
      </c>
      <c r="AO19" s="3180">
        <v>76.38333333333334</v>
      </c>
      <c r="AP19" s="3180">
        <v>76.276666666666685</v>
      </c>
      <c r="AQ19" s="3180">
        <v>78.306666666666672</v>
      </c>
      <c r="AR19" s="3180">
        <v>79.423333333333332</v>
      </c>
      <c r="AS19" s="3180">
        <v>80.11333333333333</v>
      </c>
      <c r="AT19" s="3180">
        <v>79.58</v>
      </c>
      <c r="AU19" s="3180">
        <v>80.383333333333326</v>
      </c>
      <c r="AV19" s="3180">
        <v>82.59333333333332</v>
      </c>
      <c r="AW19" s="3180">
        <v>86.456666666666663</v>
      </c>
      <c r="AX19" s="3180">
        <v>85.626666666666665</v>
      </c>
      <c r="AY19" s="3180">
        <v>86.763333333333321</v>
      </c>
      <c r="AZ19" s="3180">
        <v>90.48</v>
      </c>
      <c r="BA19" s="3180">
        <v>91.113333333333344</v>
      </c>
      <c r="BB19" s="3180">
        <v>89.889999999999986</v>
      </c>
      <c r="BC19" s="3180">
        <v>89.373333333333335</v>
      </c>
      <c r="BD19" s="3180">
        <v>90.12</v>
      </c>
      <c r="BE19" s="3180">
        <v>88.983333333333334</v>
      </c>
      <c r="BF19" s="3180">
        <v>91.516666666666666</v>
      </c>
      <c r="BG19" s="3180">
        <v>95.52</v>
      </c>
      <c r="BH19" s="3180">
        <v>99.24666666666667</v>
      </c>
      <c r="BI19" s="3180">
        <v>102.85000000000001</v>
      </c>
      <c r="BJ19" s="3180">
        <v>96.486666666666679</v>
      </c>
      <c r="BK19" s="3180">
        <v>96.226666666666674</v>
      </c>
      <c r="BL19" s="3180">
        <v>98.63</v>
      </c>
      <c r="BM19" s="3180">
        <v>98.089999999999989</v>
      </c>
      <c r="BN19" s="3180">
        <v>97.86333333333333</v>
      </c>
      <c r="BO19" s="3180">
        <v>103.73666666666666</v>
      </c>
      <c r="BP19" s="3180">
        <v>102.37333333333333</v>
      </c>
      <c r="BQ19" s="3180">
        <v>101.45</v>
      </c>
      <c r="BR19" s="3180">
        <v>104.68666666666667</v>
      </c>
      <c r="BS19" s="3180">
        <v>108.71333333333332</v>
      </c>
      <c r="BT19" s="3180">
        <v>109.11</v>
      </c>
      <c r="BU19" s="3180">
        <v>107.27999999999999</v>
      </c>
      <c r="BV19" s="3180">
        <v>106.75999999999999</v>
      </c>
      <c r="BW19" s="3180">
        <v>110.33333333333333</v>
      </c>
      <c r="BX19" s="3180">
        <v>108.81666666666666</v>
      </c>
      <c r="BY19" s="3180">
        <v>107.64666666666666</v>
      </c>
      <c r="BZ19" s="3180">
        <v>107.42333333333333</v>
      </c>
      <c r="CA19" s="3180">
        <v>108.37</v>
      </c>
      <c r="CB19" s="3180">
        <v>106.28666666666668</v>
      </c>
      <c r="CC19" s="3180">
        <v>107.33666666666666</v>
      </c>
      <c r="CD19" s="3180">
        <v>106.35666666666667</v>
      </c>
      <c r="CE19" s="3180">
        <v>105.34333333333332</v>
      </c>
      <c r="CF19" s="3180">
        <v>105.81666666666668</v>
      </c>
      <c r="CG19" s="3180">
        <v>105.76666666666665</v>
      </c>
      <c r="CH19" s="3180">
        <v>102.64999999999999</v>
      </c>
      <c r="CI19" s="3180">
        <v>101.01666666666665</v>
      </c>
      <c r="CJ19" s="3180">
        <v>101.78333333333335</v>
      </c>
      <c r="CK19" s="3180">
        <v>98.969999999999985</v>
      </c>
      <c r="CL19" s="3180">
        <v>98.236666666666665</v>
      </c>
      <c r="CM19" s="3180">
        <v>98.88666666666667</v>
      </c>
      <c r="CN19" s="3180">
        <v>100.03333333333335</v>
      </c>
      <c r="CO19" s="3180">
        <v>100.66666666666667</v>
      </c>
      <c r="CP19" s="3180">
        <v>104.60000000000001</v>
      </c>
      <c r="CQ19" s="3180">
        <v>106.75</v>
      </c>
      <c r="CR19" s="3180">
        <v>104.47333333333334</v>
      </c>
      <c r="CS19" s="3180">
        <v>106.20666666666666</v>
      </c>
      <c r="CT19" s="3180">
        <v>108.18666666666665</v>
      </c>
      <c r="CU19" s="3180">
        <v>112.30666666666667</v>
      </c>
      <c r="CV19" s="3180">
        <v>114.29666666666667</v>
      </c>
      <c r="CW19" s="3180">
        <v>120.05333333333333</v>
      </c>
      <c r="CX19" s="3180" t="s">
        <v>2620</v>
      </c>
      <c r="CY19" s="3180" t="s">
        <v>2620</v>
      </c>
      <c r="CZ19" s="3180" t="s">
        <v>2620</v>
      </c>
      <c r="DA19" s="3180" t="s">
        <v>2620</v>
      </c>
      <c r="DB19" s="3180" t="s">
        <v>2620</v>
      </c>
      <c r="DC19" s="3180" t="s">
        <v>2620</v>
      </c>
    </row>
    <row r="20" spans="1:107">
      <c r="A20" s="1596">
        <v>169</v>
      </c>
      <c r="B20" s="1601" t="s">
        <v>565</v>
      </c>
      <c r="C20" s="1602"/>
      <c r="D20" s="1597" t="s">
        <v>130</v>
      </c>
      <c r="E20" s="1598">
        <v>93</v>
      </c>
      <c r="F20" s="1599" t="s">
        <v>2796</v>
      </c>
      <c r="G20" s="3180" t="s">
        <v>2620</v>
      </c>
      <c r="H20" s="3180" t="s">
        <v>2620</v>
      </c>
      <c r="I20" s="3180" t="s">
        <v>2620</v>
      </c>
      <c r="J20" s="3180" t="s">
        <v>2620</v>
      </c>
      <c r="K20" s="3180">
        <v>70.566666666666677</v>
      </c>
      <c r="L20" s="3180">
        <v>72.100000000000009</v>
      </c>
      <c r="M20" s="3180">
        <v>71.00333333333333</v>
      </c>
      <c r="N20" s="3180">
        <v>67.106666666666669</v>
      </c>
      <c r="O20" s="3180">
        <v>68.823333333333323</v>
      </c>
      <c r="P20" s="3180">
        <v>70.790000000000006</v>
      </c>
      <c r="Q20" s="3180">
        <v>70.933333333333337</v>
      </c>
      <c r="R20" s="3180">
        <v>68.903333333333322</v>
      </c>
      <c r="S20" s="3180">
        <v>69.546666666666667</v>
      </c>
      <c r="T20" s="3180">
        <v>71.56</v>
      </c>
      <c r="U20" s="3180">
        <v>71.58</v>
      </c>
      <c r="V20" s="3180">
        <v>70.413333333333341</v>
      </c>
      <c r="W20" s="3180">
        <v>72.63333333333334</v>
      </c>
      <c r="X20" s="3180">
        <v>73.529999999999987</v>
      </c>
      <c r="Y20" s="3180">
        <v>71.486666666666665</v>
      </c>
      <c r="Z20" s="3180">
        <v>71.2</v>
      </c>
      <c r="AA20" s="3180">
        <v>71.916666666666671</v>
      </c>
      <c r="AB20" s="3180">
        <v>72.913333333333341</v>
      </c>
      <c r="AC20" s="3180">
        <v>71.983333333333334</v>
      </c>
      <c r="AD20" s="3180">
        <v>71.513333333333321</v>
      </c>
      <c r="AE20" s="3180">
        <v>73.356666666666669</v>
      </c>
      <c r="AF20" s="3180">
        <v>78.483333333333334</v>
      </c>
      <c r="AG20" s="3180">
        <v>77.806666666666672</v>
      </c>
      <c r="AH20" s="3180">
        <v>78.206666666666663</v>
      </c>
      <c r="AI20" s="3180">
        <v>82.503333333333345</v>
      </c>
      <c r="AJ20" s="3180">
        <v>81.093333333333348</v>
      </c>
      <c r="AK20" s="3180">
        <v>80.043333333333337</v>
      </c>
      <c r="AL20" s="3180">
        <v>78.176666666666662</v>
      </c>
      <c r="AM20" s="3180">
        <v>80.466666666666654</v>
      </c>
      <c r="AN20" s="3180">
        <v>80.176666666666662</v>
      </c>
      <c r="AO20" s="3180">
        <v>80.850000000000009</v>
      </c>
      <c r="AP20" s="3180">
        <v>79.596666666666678</v>
      </c>
      <c r="AQ20" s="3180">
        <v>80.443333333333342</v>
      </c>
      <c r="AR20" s="3180">
        <v>80.570000000000007</v>
      </c>
      <c r="AS20" s="3180">
        <v>79.713333333333324</v>
      </c>
      <c r="AT20" s="3180">
        <v>78.53</v>
      </c>
      <c r="AU20" s="3180">
        <v>80.75</v>
      </c>
      <c r="AV20" s="3180">
        <v>80.95</v>
      </c>
      <c r="AW20" s="3180">
        <v>79.296666666666667</v>
      </c>
      <c r="AX20" s="3180">
        <v>78.913333333333341</v>
      </c>
      <c r="AY20" s="3180">
        <v>80.823333333333338</v>
      </c>
      <c r="AZ20" s="3180">
        <v>82.516666666666666</v>
      </c>
      <c r="BA20" s="3180">
        <v>82.93</v>
      </c>
      <c r="BB20" s="3180">
        <v>81.876666666666665</v>
      </c>
      <c r="BC20" s="3180">
        <v>83.153333333333322</v>
      </c>
      <c r="BD20" s="3180">
        <v>83.596666666666664</v>
      </c>
      <c r="BE20" s="3180">
        <v>83.600000000000009</v>
      </c>
      <c r="BF20" s="3180">
        <v>84.969999999999985</v>
      </c>
      <c r="BG20" s="3180">
        <v>87.476666666666674</v>
      </c>
      <c r="BH20" s="3180">
        <v>89.453333333333333</v>
      </c>
      <c r="BI20" s="3180">
        <v>89.509999999999991</v>
      </c>
      <c r="BJ20" s="3180">
        <v>90.58</v>
      </c>
      <c r="BK20" s="3180">
        <v>93.96</v>
      </c>
      <c r="BL20" s="3180">
        <v>93.103333333333339</v>
      </c>
      <c r="BM20" s="3180">
        <v>91.23</v>
      </c>
      <c r="BN20" s="3180">
        <v>90.339999999999989</v>
      </c>
      <c r="BO20" s="3180">
        <v>94.11</v>
      </c>
      <c r="BP20" s="3180">
        <v>93.566666666666677</v>
      </c>
      <c r="BQ20" s="3180">
        <v>92.259999999999991</v>
      </c>
      <c r="BR20" s="3180">
        <v>92.009999999999991</v>
      </c>
      <c r="BS20" s="3180">
        <v>93</v>
      </c>
      <c r="BT20" s="3180">
        <v>91.726666666666674</v>
      </c>
      <c r="BU20" s="3180">
        <v>90.62</v>
      </c>
      <c r="BV20" s="3180">
        <v>90.053333333333342</v>
      </c>
      <c r="BW20" s="3180">
        <v>92.173333333333332</v>
      </c>
      <c r="BX20" s="3180">
        <v>93.133333333333326</v>
      </c>
      <c r="BY20" s="3180">
        <v>92.61333333333333</v>
      </c>
      <c r="BZ20" s="3180">
        <v>93.443333333333342</v>
      </c>
      <c r="CA20" s="3180">
        <v>95.286666666666676</v>
      </c>
      <c r="CB20" s="3180">
        <v>97.683333333333323</v>
      </c>
      <c r="CC20" s="3180">
        <v>96.81</v>
      </c>
      <c r="CD20" s="3180">
        <v>94.54</v>
      </c>
      <c r="CE20" s="3180">
        <v>95.853333333333339</v>
      </c>
      <c r="CF20" s="3180">
        <v>96.29</v>
      </c>
      <c r="CG20" s="3180">
        <v>96.033333333333317</v>
      </c>
      <c r="CH20" s="3180">
        <v>96.089999999999989</v>
      </c>
      <c r="CI20" s="3180">
        <v>97.823333333333338</v>
      </c>
      <c r="CJ20" s="3180">
        <v>99.936666666666667</v>
      </c>
      <c r="CK20" s="3180">
        <v>101.23333333333335</v>
      </c>
      <c r="CL20" s="3180">
        <v>101.00666666666666</v>
      </c>
      <c r="CM20" s="3180">
        <v>101.92333333333333</v>
      </c>
      <c r="CN20" s="3180">
        <v>102.56333333333333</v>
      </c>
      <c r="CO20" s="3180">
        <v>102.85333333333334</v>
      </c>
      <c r="CP20" s="3180">
        <v>103.03333333333335</v>
      </c>
      <c r="CQ20" s="3180">
        <v>105.15333333333332</v>
      </c>
      <c r="CR20" s="3180">
        <v>104.36333333333334</v>
      </c>
      <c r="CS20" s="3180">
        <v>105.18</v>
      </c>
      <c r="CT20" s="3180">
        <v>104.90666666666668</v>
      </c>
      <c r="CU20" s="3180">
        <v>106.3</v>
      </c>
      <c r="CV20" s="3180">
        <v>108.51333333333334</v>
      </c>
      <c r="CW20" s="3180">
        <v>110.08</v>
      </c>
      <c r="CX20" s="3180" t="s">
        <v>2620</v>
      </c>
      <c r="CY20" s="3180" t="s">
        <v>2620</v>
      </c>
      <c r="CZ20" s="3180" t="s">
        <v>2620</v>
      </c>
      <c r="DA20" s="3180" t="s">
        <v>2620</v>
      </c>
      <c r="DB20" s="3180" t="s">
        <v>2620</v>
      </c>
      <c r="DC20" s="3180" t="s">
        <v>2620</v>
      </c>
    </row>
    <row r="21" spans="1:107">
      <c r="A21" s="1596">
        <v>170</v>
      </c>
      <c r="B21" s="1601" t="s">
        <v>566</v>
      </c>
      <c r="C21" s="1602"/>
      <c r="D21" s="1597" t="s">
        <v>130</v>
      </c>
      <c r="E21" s="1598">
        <v>94</v>
      </c>
      <c r="F21" s="1599" t="s">
        <v>2797</v>
      </c>
      <c r="G21" s="3180" t="s">
        <v>2620</v>
      </c>
      <c r="H21" s="3180" t="s">
        <v>2620</v>
      </c>
      <c r="I21" s="3180" t="s">
        <v>2620</v>
      </c>
      <c r="J21" s="3180" t="s">
        <v>2620</v>
      </c>
      <c r="K21" s="3180">
        <v>68.63</v>
      </c>
      <c r="L21" s="3180">
        <v>69.08</v>
      </c>
      <c r="M21" s="3180">
        <v>69.566666666666677</v>
      </c>
      <c r="N21" s="3180">
        <v>69.423333333333332</v>
      </c>
      <c r="O21" s="3180">
        <v>69.97</v>
      </c>
      <c r="P21" s="3180">
        <v>71.623333333333335</v>
      </c>
      <c r="Q21" s="3180">
        <v>73.12</v>
      </c>
      <c r="R21" s="3180">
        <v>74.706666666666663</v>
      </c>
      <c r="S21" s="3180">
        <v>75.073333333333338</v>
      </c>
      <c r="T21" s="3180">
        <v>75.47</v>
      </c>
      <c r="U21" s="3180">
        <v>74.190000000000012</v>
      </c>
      <c r="V21" s="3180">
        <v>73.346666666666678</v>
      </c>
      <c r="W21" s="3180">
        <v>73.760000000000005</v>
      </c>
      <c r="X21" s="3180">
        <v>73.933333333333337</v>
      </c>
      <c r="Y21" s="3180">
        <v>74.206666666666663</v>
      </c>
      <c r="Z21" s="3180">
        <v>74.226666666666674</v>
      </c>
      <c r="AA21" s="3180">
        <v>74.533333333333346</v>
      </c>
      <c r="AB21" s="3180">
        <v>74.75</v>
      </c>
      <c r="AC21" s="3180">
        <v>75.13666666666667</v>
      </c>
      <c r="AD21" s="3180">
        <v>75.13666666666667</v>
      </c>
      <c r="AE21" s="3180">
        <v>75.143333333333331</v>
      </c>
      <c r="AF21" s="3180">
        <v>75.233333333333334</v>
      </c>
      <c r="AG21" s="3180">
        <v>75.916666666666671</v>
      </c>
      <c r="AH21" s="3180">
        <v>76.25333333333333</v>
      </c>
      <c r="AI21" s="3180">
        <v>76.493333333333339</v>
      </c>
      <c r="AJ21" s="3180">
        <v>77.183333333333323</v>
      </c>
      <c r="AK21" s="3180">
        <v>77.526666666666671</v>
      </c>
      <c r="AL21" s="3180">
        <v>77.516666666666666</v>
      </c>
      <c r="AM21" s="3180">
        <v>77.8</v>
      </c>
      <c r="AN21" s="3180">
        <v>78.133333333333326</v>
      </c>
      <c r="AO21" s="3180">
        <v>78.47</v>
      </c>
      <c r="AP21" s="3180">
        <v>78.42</v>
      </c>
      <c r="AQ21" s="3180">
        <v>78.513333333333335</v>
      </c>
      <c r="AR21" s="3180">
        <v>78.52</v>
      </c>
      <c r="AS21" s="3180">
        <v>78.55</v>
      </c>
      <c r="AT21" s="3180">
        <v>78.213333333333324</v>
      </c>
      <c r="AU21" s="3180">
        <v>78.11999999999999</v>
      </c>
      <c r="AV21" s="3180">
        <v>77.783333333333346</v>
      </c>
      <c r="AW21" s="3180">
        <v>77.89</v>
      </c>
      <c r="AX21" s="3180">
        <v>77.690000000000012</v>
      </c>
      <c r="AY21" s="3180">
        <v>77.753333333333345</v>
      </c>
      <c r="AZ21" s="3180">
        <v>77.806666666666672</v>
      </c>
      <c r="BA21" s="3180">
        <v>78.063333333333333</v>
      </c>
      <c r="BB21" s="3180">
        <v>78.323333333333338</v>
      </c>
      <c r="BC21" s="3180">
        <v>79.973333333333315</v>
      </c>
      <c r="BD21" s="3180">
        <v>80.42</v>
      </c>
      <c r="BE21" s="3180">
        <v>80.840000000000018</v>
      </c>
      <c r="BF21" s="3180">
        <v>82.286666666666676</v>
      </c>
      <c r="BG21" s="3180">
        <v>85.643333333333331</v>
      </c>
      <c r="BH21" s="3180">
        <v>86.883333333333326</v>
      </c>
      <c r="BI21" s="3180">
        <v>87.61333333333333</v>
      </c>
      <c r="BJ21" s="3180">
        <v>87.966666666666654</v>
      </c>
      <c r="BK21" s="3180">
        <v>88.36</v>
      </c>
      <c r="BL21" s="3180">
        <v>89.046666666666667</v>
      </c>
      <c r="BM21" s="3180">
        <v>89.850000000000009</v>
      </c>
      <c r="BN21" s="3180">
        <v>90.29</v>
      </c>
      <c r="BO21" s="3180">
        <v>90.313333333333333</v>
      </c>
      <c r="BP21" s="3180">
        <v>90.63</v>
      </c>
      <c r="BQ21" s="3180">
        <v>91.126666666666665</v>
      </c>
      <c r="BR21" s="3180">
        <v>91.883333333333326</v>
      </c>
      <c r="BS21" s="3180">
        <v>92.616666666666674</v>
      </c>
      <c r="BT21" s="3180">
        <v>93.273333333333326</v>
      </c>
      <c r="BU21" s="3180">
        <v>93.973333333333315</v>
      </c>
      <c r="BV21" s="3180">
        <v>94</v>
      </c>
      <c r="BW21" s="3180">
        <v>95.266666666666666</v>
      </c>
      <c r="BX21" s="3180">
        <v>95.686666666666667</v>
      </c>
      <c r="BY21" s="3180">
        <v>95.969999999999985</v>
      </c>
      <c r="BZ21" s="3180">
        <v>95.83</v>
      </c>
      <c r="CA21" s="3180">
        <v>96.616666666666674</v>
      </c>
      <c r="CB21" s="3180">
        <v>96.756666666666661</v>
      </c>
      <c r="CC21" s="3180">
        <v>97.25</v>
      </c>
      <c r="CD21" s="3180">
        <v>97.186666666666667</v>
      </c>
      <c r="CE21" s="3180">
        <v>97.469999999999985</v>
      </c>
      <c r="CF21" s="3180">
        <v>97.616666666666674</v>
      </c>
      <c r="CG21" s="3180">
        <v>98.410000000000011</v>
      </c>
      <c r="CH21" s="3180">
        <v>98.346666666666678</v>
      </c>
      <c r="CI21" s="3180">
        <v>99.433333333333323</v>
      </c>
      <c r="CJ21" s="3180">
        <v>99.98</v>
      </c>
      <c r="CK21" s="3180">
        <v>100.34666666666668</v>
      </c>
      <c r="CL21" s="3180">
        <v>100.24333333333333</v>
      </c>
      <c r="CM21" s="3180">
        <v>100.32333333333334</v>
      </c>
      <c r="CN21" s="3180">
        <v>100.39999999999999</v>
      </c>
      <c r="CO21" s="3180">
        <v>100.60666666666667</v>
      </c>
      <c r="CP21" s="3180">
        <v>100.70333333333333</v>
      </c>
      <c r="CQ21" s="3180">
        <v>101.57333333333334</v>
      </c>
      <c r="CR21" s="3180">
        <v>102.26</v>
      </c>
      <c r="CS21" s="3180">
        <v>103.01333333333334</v>
      </c>
      <c r="CT21" s="3180">
        <v>103.53000000000002</v>
      </c>
      <c r="CU21" s="3180">
        <v>103.95333333333333</v>
      </c>
      <c r="CV21" s="3180">
        <v>104.12</v>
      </c>
      <c r="CW21" s="3180">
        <v>104.54</v>
      </c>
      <c r="CX21" s="3180" t="s">
        <v>2620</v>
      </c>
      <c r="CY21" s="3180" t="s">
        <v>2620</v>
      </c>
      <c r="CZ21" s="3180" t="s">
        <v>2620</v>
      </c>
      <c r="DA21" s="3180" t="s">
        <v>2620</v>
      </c>
      <c r="DB21" s="3180" t="s">
        <v>2620</v>
      </c>
      <c r="DC21" s="3180" t="s">
        <v>2620</v>
      </c>
    </row>
    <row r="22" spans="1:107">
      <c r="A22" s="1596">
        <v>171</v>
      </c>
      <c r="B22" s="1601" t="s">
        <v>563</v>
      </c>
      <c r="C22" s="1602"/>
      <c r="D22" s="1597" t="s">
        <v>130</v>
      </c>
      <c r="E22" s="1598">
        <v>95</v>
      </c>
      <c r="F22" s="1599" t="s">
        <v>2798</v>
      </c>
      <c r="G22" s="3180" t="s">
        <v>2620</v>
      </c>
      <c r="H22" s="3180" t="s">
        <v>2620</v>
      </c>
      <c r="I22" s="3180" t="s">
        <v>2620</v>
      </c>
      <c r="J22" s="3180" t="s">
        <v>2620</v>
      </c>
      <c r="K22" s="3180">
        <v>69.736666666666665</v>
      </c>
      <c r="L22" s="3180">
        <v>69.959999999999994</v>
      </c>
      <c r="M22" s="3180">
        <v>70.11333333333333</v>
      </c>
      <c r="N22" s="3180">
        <v>70.146666666666661</v>
      </c>
      <c r="O22" s="3180">
        <v>71.286666666666648</v>
      </c>
      <c r="P22" s="3180">
        <v>71.800000000000011</v>
      </c>
      <c r="Q22" s="3180">
        <v>71.660000000000011</v>
      </c>
      <c r="R22" s="3180">
        <v>72.11666666666666</v>
      </c>
      <c r="S22" s="3180">
        <v>72.61333333333333</v>
      </c>
      <c r="T22" s="3180">
        <v>72.94</v>
      </c>
      <c r="U22" s="3180">
        <v>73.08</v>
      </c>
      <c r="V22" s="3180">
        <v>73.526666666666671</v>
      </c>
      <c r="W22" s="3180">
        <v>74.076666666666668</v>
      </c>
      <c r="X22" s="3180">
        <v>74.413333333333341</v>
      </c>
      <c r="Y22" s="3180">
        <v>74.443333333333328</v>
      </c>
      <c r="Z22" s="3180">
        <v>74.426666666666662</v>
      </c>
      <c r="AA22" s="3180">
        <v>74.930000000000007</v>
      </c>
      <c r="AB22" s="3180">
        <v>75.063333333333333</v>
      </c>
      <c r="AC22" s="3180">
        <v>74.850000000000009</v>
      </c>
      <c r="AD22" s="3180">
        <v>75.526666666666671</v>
      </c>
      <c r="AE22" s="3180">
        <v>76.430000000000007</v>
      </c>
      <c r="AF22" s="3180">
        <v>77.256666666666661</v>
      </c>
      <c r="AG22" s="3180">
        <v>77.733333333333334</v>
      </c>
      <c r="AH22" s="3180">
        <v>78.143333333333331</v>
      </c>
      <c r="AI22" s="3180">
        <v>78.303333333333342</v>
      </c>
      <c r="AJ22" s="3180">
        <v>79.3</v>
      </c>
      <c r="AK22" s="3180">
        <v>79.23</v>
      </c>
      <c r="AL22" s="3180">
        <v>79.783333333333346</v>
      </c>
      <c r="AM22" s="3180">
        <v>80.476666666666674</v>
      </c>
      <c r="AN22" s="3180">
        <v>80.98</v>
      </c>
      <c r="AO22" s="3180">
        <v>81.34333333333332</v>
      </c>
      <c r="AP22" s="3180">
        <v>81.536666666666676</v>
      </c>
      <c r="AQ22" s="3180">
        <v>82.336666666666659</v>
      </c>
      <c r="AR22" s="3180">
        <v>82.969999999999985</v>
      </c>
      <c r="AS22" s="3180">
        <v>83.49</v>
      </c>
      <c r="AT22" s="3180">
        <v>83.546666666666667</v>
      </c>
      <c r="AU22" s="3180">
        <v>84.11</v>
      </c>
      <c r="AV22" s="3180">
        <v>84.31</v>
      </c>
      <c r="AW22" s="3180">
        <v>84.51</v>
      </c>
      <c r="AX22" s="3180">
        <v>84.856666666666669</v>
      </c>
      <c r="AY22" s="3180">
        <v>85.143333333333331</v>
      </c>
      <c r="AZ22" s="3180">
        <v>85.490000000000009</v>
      </c>
      <c r="BA22" s="3180">
        <v>85.693333333333328</v>
      </c>
      <c r="BB22" s="3180">
        <v>85.976666666666674</v>
      </c>
      <c r="BC22" s="3180">
        <v>86.559999999999988</v>
      </c>
      <c r="BD22" s="3180">
        <v>87.106666666666669</v>
      </c>
      <c r="BE22" s="3180">
        <v>87.98</v>
      </c>
      <c r="BF22" s="3180">
        <v>87.953333333333333</v>
      </c>
      <c r="BG22" s="3180">
        <v>88.649999999999991</v>
      </c>
      <c r="BH22" s="3180">
        <v>89.306666666666658</v>
      </c>
      <c r="BI22" s="3180">
        <v>89.466666666666654</v>
      </c>
      <c r="BJ22" s="3180">
        <v>89.856666666666669</v>
      </c>
      <c r="BK22" s="3180">
        <v>90.723333333333315</v>
      </c>
      <c r="BL22" s="3180">
        <v>91.553333333333327</v>
      </c>
      <c r="BM22" s="3180">
        <v>92.11333333333333</v>
      </c>
      <c r="BN22" s="3180">
        <v>92.336666666666659</v>
      </c>
      <c r="BO22" s="3180">
        <v>92.586666666666659</v>
      </c>
      <c r="BP22" s="3180">
        <v>93.160000000000011</v>
      </c>
      <c r="BQ22" s="3180">
        <v>93.686666666666667</v>
      </c>
      <c r="BR22" s="3180">
        <v>93.969999999999985</v>
      </c>
      <c r="BS22" s="3180">
        <v>94.149999999999991</v>
      </c>
      <c r="BT22" s="3180">
        <v>94.986666666666679</v>
      </c>
      <c r="BU22" s="3180">
        <v>95.24</v>
      </c>
      <c r="BV22" s="3180">
        <v>95.38666666666667</v>
      </c>
      <c r="BW22" s="3180">
        <v>95.886666666666656</v>
      </c>
      <c r="BX22" s="3180">
        <v>96.63666666666667</v>
      </c>
      <c r="BY22" s="3180">
        <v>96.933333333333337</v>
      </c>
      <c r="BZ22" s="3180">
        <v>97.263333333333335</v>
      </c>
      <c r="CA22" s="3180">
        <v>97.286666666666676</v>
      </c>
      <c r="CB22" s="3180">
        <v>97.666666666666671</v>
      </c>
      <c r="CC22" s="3180">
        <v>98.15333333333335</v>
      </c>
      <c r="CD22" s="3180">
        <v>97.926666666666662</v>
      </c>
      <c r="CE22" s="3180">
        <v>97.783333333333346</v>
      </c>
      <c r="CF22" s="3180">
        <v>98.660000000000011</v>
      </c>
      <c r="CG22" s="3180">
        <v>99.086666666666659</v>
      </c>
      <c r="CH22" s="3180">
        <v>99.213333333333324</v>
      </c>
      <c r="CI22" s="3180">
        <v>99.34999999999998</v>
      </c>
      <c r="CJ22" s="3180">
        <v>99.853333333333339</v>
      </c>
      <c r="CK22" s="3180">
        <v>100.53666666666668</v>
      </c>
      <c r="CL22" s="3180">
        <v>100.25666666666666</v>
      </c>
      <c r="CM22" s="3180">
        <v>100.72333333333334</v>
      </c>
      <c r="CN22" s="3180">
        <v>101.2</v>
      </c>
      <c r="CO22" s="3180">
        <v>101.72666666666667</v>
      </c>
      <c r="CP22" s="3180">
        <v>101.35000000000001</v>
      </c>
      <c r="CQ22" s="3180">
        <v>101.81</v>
      </c>
      <c r="CR22" s="3180">
        <v>103.62666666666667</v>
      </c>
      <c r="CS22" s="3180">
        <v>104.82333333333334</v>
      </c>
      <c r="CT22" s="3180">
        <v>103.79666666666667</v>
      </c>
      <c r="CU22" s="3180">
        <v>103.82000000000001</v>
      </c>
      <c r="CV22" s="3180">
        <v>105.19</v>
      </c>
      <c r="CW22" s="3180">
        <v>106.27</v>
      </c>
      <c r="CX22" s="3180" t="s">
        <v>2620</v>
      </c>
      <c r="CY22" s="3180" t="s">
        <v>2620</v>
      </c>
      <c r="CZ22" s="3180" t="s">
        <v>2620</v>
      </c>
      <c r="DA22" s="3180" t="s">
        <v>2620</v>
      </c>
      <c r="DB22" s="3180" t="s">
        <v>2620</v>
      </c>
      <c r="DC22" s="3180" t="s">
        <v>2620</v>
      </c>
    </row>
    <row r="23" spans="1:107">
      <c r="A23" s="1596"/>
      <c r="B23" s="1601" t="s">
        <v>1947</v>
      </c>
      <c r="C23" s="1602"/>
      <c r="D23" s="1597" t="s">
        <v>130</v>
      </c>
      <c r="E23" s="1598">
        <v>96</v>
      </c>
      <c r="F23" s="1599" t="s">
        <v>2799</v>
      </c>
      <c r="G23" s="3180" t="s">
        <v>2620</v>
      </c>
      <c r="H23" s="3180" t="s">
        <v>2620</v>
      </c>
      <c r="I23" s="3180" t="s">
        <v>2620</v>
      </c>
      <c r="J23" s="3180" t="s">
        <v>2620</v>
      </c>
      <c r="K23" s="3180">
        <v>79.626666666666665</v>
      </c>
      <c r="L23" s="3180">
        <v>80.186666666666653</v>
      </c>
      <c r="M23" s="3180">
        <v>79.816666666666663</v>
      </c>
      <c r="N23" s="3180">
        <v>80.216666666666669</v>
      </c>
      <c r="O23" s="3180">
        <v>80.24666666666667</v>
      </c>
      <c r="P23" s="3180">
        <v>81.15333333333335</v>
      </c>
      <c r="Q23" s="3180">
        <v>81.123333333333335</v>
      </c>
      <c r="R23" s="3180">
        <v>82.323333333333338</v>
      </c>
      <c r="S23" s="3180">
        <v>81.833333333333329</v>
      </c>
      <c r="T23" s="3180">
        <v>82.326666666666668</v>
      </c>
      <c r="U23" s="3180">
        <v>81.863333333333344</v>
      </c>
      <c r="V23" s="3180">
        <v>82.486666666666665</v>
      </c>
      <c r="W23" s="3180">
        <v>82.14</v>
      </c>
      <c r="X23" s="3180">
        <v>82.666666666666671</v>
      </c>
      <c r="Y23" s="3180">
        <v>82.426666666666662</v>
      </c>
      <c r="Z23" s="3180">
        <v>83.043333333333337</v>
      </c>
      <c r="AA23" s="3180">
        <v>82.660000000000011</v>
      </c>
      <c r="AB23" s="3180">
        <v>83.166666666666671</v>
      </c>
      <c r="AC23" s="3180">
        <v>82.976666666666674</v>
      </c>
      <c r="AD23" s="3180">
        <v>83.806666666666672</v>
      </c>
      <c r="AE23" s="3180">
        <v>83.543333333333337</v>
      </c>
      <c r="AF23" s="3180">
        <v>84.596666666666664</v>
      </c>
      <c r="AG23" s="3180">
        <v>84.79</v>
      </c>
      <c r="AH23" s="3180">
        <v>85.926666666666677</v>
      </c>
      <c r="AI23" s="3180">
        <v>85.28</v>
      </c>
      <c r="AJ23" s="3180">
        <v>86.333333333333329</v>
      </c>
      <c r="AK23" s="3180">
        <v>86.073333333333338</v>
      </c>
      <c r="AL23" s="3180">
        <v>87.076666666666668</v>
      </c>
      <c r="AM23" s="3180">
        <v>86.773333333333326</v>
      </c>
      <c r="AN23" s="3180">
        <v>87.45</v>
      </c>
      <c r="AO23" s="3180">
        <v>87.25333333333333</v>
      </c>
      <c r="AP23" s="3180">
        <v>87.876666666666665</v>
      </c>
      <c r="AQ23" s="3180">
        <v>87.433333333333337</v>
      </c>
      <c r="AR23" s="3180">
        <v>88.173333333333346</v>
      </c>
      <c r="AS23" s="3180">
        <v>87.92</v>
      </c>
      <c r="AT23" s="3180">
        <v>88.62</v>
      </c>
      <c r="AU23" s="3180">
        <v>87.896666666666661</v>
      </c>
      <c r="AV23" s="3180">
        <v>88.17</v>
      </c>
      <c r="AW23" s="3180">
        <v>87.966666666666654</v>
      </c>
      <c r="AX23" s="3180">
        <v>88.826666666666668</v>
      </c>
      <c r="AY23" s="3180">
        <v>88.126666666666665</v>
      </c>
      <c r="AZ23" s="3180">
        <v>88.736666666666665</v>
      </c>
      <c r="BA23" s="3180">
        <v>88.506666666666661</v>
      </c>
      <c r="BB23" s="3180">
        <v>89.38</v>
      </c>
      <c r="BC23" s="3180">
        <v>89.326666666666668</v>
      </c>
      <c r="BD23" s="3180">
        <v>90.216666666666683</v>
      </c>
      <c r="BE23" s="3180">
        <v>90.303333333333327</v>
      </c>
      <c r="BF23" s="3180">
        <v>91.376666666666665</v>
      </c>
      <c r="BG23" s="3180">
        <v>91.463333333333324</v>
      </c>
      <c r="BH23" s="3180">
        <v>92.453333333333333</v>
      </c>
      <c r="BI23" s="3180">
        <v>92.286666666666676</v>
      </c>
      <c r="BJ23" s="3180">
        <v>93.166666666666671</v>
      </c>
      <c r="BK23" s="3180">
        <v>93.139999999999986</v>
      </c>
      <c r="BL23" s="3180">
        <v>94.17</v>
      </c>
      <c r="BM23" s="3180">
        <v>94.719999999999985</v>
      </c>
      <c r="BN23" s="3180">
        <v>95.660000000000011</v>
      </c>
      <c r="BO23" s="3180">
        <v>95.163333333333341</v>
      </c>
      <c r="BP23" s="3180">
        <v>95.776666666666685</v>
      </c>
      <c r="BQ23" s="3180">
        <v>95.743333333333339</v>
      </c>
      <c r="BR23" s="3180">
        <v>96.723333333333343</v>
      </c>
      <c r="BS23" s="3180">
        <v>96.15666666666668</v>
      </c>
      <c r="BT23" s="3180">
        <v>96.99666666666667</v>
      </c>
      <c r="BU23" s="3180">
        <v>96.98</v>
      </c>
      <c r="BV23" s="3180">
        <v>97.63</v>
      </c>
      <c r="BW23" s="3180">
        <v>97.12</v>
      </c>
      <c r="BX23" s="3180">
        <v>98.04</v>
      </c>
      <c r="BY23" s="3180">
        <v>97.820000000000007</v>
      </c>
      <c r="BZ23" s="3180">
        <v>98.48</v>
      </c>
      <c r="CA23" s="3180">
        <v>97.833333333333329</v>
      </c>
      <c r="CB23" s="3180">
        <v>98.356666666666669</v>
      </c>
      <c r="CC23" s="3180">
        <v>98.38</v>
      </c>
      <c r="CD23" s="3180">
        <v>98.873333333333335</v>
      </c>
      <c r="CE23" s="3180">
        <v>98.14</v>
      </c>
      <c r="CF23" s="3180">
        <v>98.90333333333335</v>
      </c>
      <c r="CG23" s="3180">
        <v>98.90666666666668</v>
      </c>
      <c r="CH23" s="3180">
        <v>99.563333333333333</v>
      </c>
      <c r="CI23" s="3180">
        <v>99.219999999999985</v>
      </c>
      <c r="CJ23" s="3180">
        <v>99.833333333333329</v>
      </c>
      <c r="CK23" s="3180">
        <v>100.23666666666666</v>
      </c>
      <c r="CL23" s="3180">
        <v>100.70333333333333</v>
      </c>
      <c r="CM23" s="3180">
        <v>100.44000000000001</v>
      </c>
      <c r="CN23" s="3180">
        <v>101.05666666666666</v>
      </c>
      <c r="CO23" s="3180">
        <v>101.19333333333333</v>
      </c>
      <c r="CP23" s="3180">
        <v>101.55333333333334</v>
      </c>
      <c r="CQ23" s="3180">
        <v>101.3</v>
      </c>
      <c r="CR23" s="3180">
        <v>102.64999999999999</v>
      </c>
      <c r="CS23" s="3180">
        <v>103.10333333333334</v>
      </c>
      <c r="CT23" s="3180">
        <v>103.15666666666668</v>
      </c>
      <c r="CU23" s="3180">
        <v>102.73</v>
      </c>
      <c r="CV23" s="3180">
        <v>103.75666666666666</v>
      </c>
      <c r="CW23" s="3180">
        <v>104.07666666666667</v>
      </c>
      <c r="CX23" s="3180" t="s">
        <v>2620</v>
      </c>
      <c r="CY23" s="3180" t="s">
        <v>2620</v>
      </c>
      <c r="CZ23" s="3180" t="s">
        <v>2620</v>
      </c>
      <c r="DA23" s="3180" t="s">
        <v>2620</v>
      </c>
      <c r="DB23" s="3180" t="s">
        <v>2620</v>
      </c>
      <c r="DC23" s="3180" t="s">
        <v>2620</v>
      </c>
    </row>
    <row r="24" spans="1:107">
      <c r="A24" s="1596"/>
      <c r="B24" s="1601"/>
      <c r="C24" s="1602"/>
      <c r="D24" s="1597"/>
      <c r="E24" s="1598"/>
      <c r="F24" s="1599"/>
      <c r="G24" s="1600"/>
      <c r="H24" s="1600"/>
      <c r="I24" s="1600"/>
      <c r="J24" s="1600"/>
      <c r="K24" s="1600"/>
      <c r="L24" s="1600"/>
      <c r="M24" s="1600"/>
      <c r="N24" s="1600"/>
      <c r="O24" s="1600"/>
      <c r="P24" s="1600"/>
      <c r="Q24" s="1600"/>
      <c r="R24" s="1600"/>
      <c r="S24" s="1600"/>
      <c r="T24" s="1600"/>
      <c r="U24" s="1600"/>
      <c r="V24" s="1600"/>
      <c r="W24" s="1600"/>
      <c r="X24" s="1600"/>
      <c r="Y24" s="1600"/>
      <c r="Z24" s="1600"/>
      <c r="AA24" s="1600"/>
      <c r="AB24" s="1600"/>
      <c r="AC24" s="1600"/>
      <c r="AD24" s="1600"/>
      <c r="AE24" s="1600"/>
      <c r="AF24" s="1600"/>
      <c r="AG24" s="1600"/>
      <c r="AH24" s="1600"/>
      <c r="AI24" s="1600"/>
      <c r="AJ24" s="1600"/>
      <c r="AK24" s="1600"/>
      <c r="AL24" s="1600"/>
      <c r="AM24" s="1600"/>
      <c r="AN24" s="1600"/>
      <c r="AO24" s="1600"/>
      <c r="AP24" s="1600"/>
      <c r="AQ24" s="1600"/>
      <c r="AR24" s="1600"/>
      <c r="AS24" s="1600"/>
      <c r="AT24" s="1600"/>
      <c r="AU24" s="1600"/>
      <c r="AV24" s="1600"/>
      <c r="AW24" s="1600"/>
      <c r="AX24" s="1600"/>
      <c r="AY24" s="1600"/>
      <c r="AZ24" s="1600"/>
      <c r="BA24" s="1600"/>
      <c r="BB24" s="1600"/>
      <c r="BC24" s="1600"/>
      <c r="BD24" s="1600"/>
      <c r="BE24" s="1600"/>
      <c r="BF24" s="1600"/>
      <c r="BG24" s="1600"/>
      <c r="BH24" s="1600"/>
      <c r="BI24" s="1600"/>
      <c r="BJ24" s="1600"/>
      <c r="BK24" s="1600"/>
      <c r="BL24" s="1600"/>
      <c r="BM24" s="1600"/>
      <c r="BN24" s="1600"/>
      <c r="BO24" s="1600"/>
      <c r="BP24" s="1600"/>
      <c r="BQ24" s="1600"/>
      <c r="BR24" s="1600"/>
      <c r="BS24" s="1600"/>
      <c r="BT24" s="1600"/>
      <c r="BU24" s="1600"/>
      <c r="BV24" s="1600"/>
      <c r="BW24" s="1600"/>
      <c r="BX24" s="1600"/>
      <c r="BY24" s="1600"/>
      <c r="BZ24" s="1600"/>
      <c r="CA24" s="1600"/>
      <c r="CB24" s="1600"/>
      <c r="CC24" s="1600"/>
      <c r="CD24" s="1600"/>
      <c r="CE24" s="1600"/>
      <c r="CF24" s="1600"/>
      <c r="CG24" s="1600"/>
      <c r="CH24" s="1600"/>
      <c r="CI24" s="1600"/>
      <c r="CJ24" s="1600"/>
      <c r="CK24" s="1600"/>
      <c r="CL24" s="1600"/>
      <c r="CM24" s="1600"/>
      <c r="CN24" s="1600"/>
      <c r="CO24" s="1600"/>
      <c r="CP24" s="1600"/>
      <c r="CQ24" s="1600"/>
      <c r="CR24" s="1600"/>
      <c r="CS24" s="1600"/>
      <c r="CT24" s="1600"/>
      <c r="CU24" s="1600"/>
      <c r="CV24" s="1600"/>
      <c r="CW24" s="1600"/>
      <c r="CX24" s="1600"/>
      <c r="CY24" s="1600"/>
      <c r="CZ24" s="1600"/>
      <c r="DA24" s="1600"/>
      <c r="DB24" s="1600"/>
      <c r="DC24" s="1600"/>
    </row>
    <row r="25" spans="1:107">
      <c r="A25" s="2015"/>
      <c r="B25" s="534"/>
      <c r="C25" s="535"/>
      <c r="D25" s="12" t="s">
        <v>130</v>
      </c>
      <c r="E25" s="13">
        <v>80</v>
      </c>
      <c r="F25" s="14" t="s">
        <v>2800</v>
      </c>
      <c r="G25" s="543">
        <v>31931.200000000001</v>
      </c>
      <c r="H25" s="543">
        <v>32455.4</v>
      </c>
      <c r="I25" s="543">
        <v>34991.800000000003</v>
      </c>
      <c r="J25" s="543">
        <v>35808.1</v>
      </c>
      <c r="K25" s="543">
        <v>36637.199999999997</v>
      </c>
      <c r="L25" s="543">
        <v>37304</v>
      </c>
      <c r="M25" s="543">
        <v>39752.9</v>
      </c>
      <c r="N25" s="543">
        <v>38674</v>
      </c>
      <c r="O25" s="543">
        <v>38002.300000000003</v>
      </c>
      <c r="P25" s="543">
        <v>39726.400000000001</v>
      </c>
      <c r="Q25" s="543">
        <v>39378.199999999997</v>
      </c>
      <c r="R25" s="543">
        <v>41327.5</v>
      </c>
      <c r="S25" s="543">
        <v>41658</v>
      </c>
      <c r="T25" s="543">
        <v>43633.8</v>
      </c>
      <c r="U25" s="543">
        <v>43442</v>
      </c>
      <c r="V25" s="543">
        <v>45320.5</v>
      </c>
      <c r="W25" s="543">
        <v>48664.4</v>
      </c>
      <c r="X25" s="543">
        <v>47395.7</v>
      </c>
      <c r="Y25" s="543">
        <v>50196.7</v>
      </c>
      <c r="Z25" s="543">
        <v>47925.8</v>
      </c>
      <c r="AA25" s="543">
        <v>47391.8</v>
      </c>
      <c r="AB25" s="543">
        <v>49405</v>
      </c>
      <c r="AC25" s="543">
        <v>51154.6</v>
      </c>
      <c r="AD25" s="543">
        <v>50500.6</v>
      </c>
      <c r="AE25" s="543">
        <v>49484.6</v>
      </c>
      <c r="AF25" s="543">
        <v>48626.1</v>
      </c>
      <c r="AG25" s="543">
        <v>48875.9</v>
      </c>
      <c r="AH25" s="543">
        <v>50483.9</v>
      </c>
      <c r="AI25" s="543">
        <v>45489.7</v>
      </c>
      <c r="AJ25" s="543">
        <v>49724.6</v>
      </c>
      <c r="AK25" s="543">
        <v>47334.7</v>
      </c>
      <c r="AL25" s="543">
        <v>47541.3</v>
      </c>
      <c r="AM25" s="543">
        <v>51688.7</v>
      </c>
      <c r="AN25" s="543">
        <v>48318.2</v>
      </c>
      <c r="AO25" s="543">
        <v>49548.6</v>
      </c>
      <c r="AP25" s="543">
        <v>50827.1</v>
      </c>
      <c r="AQ25" s="543">
        <v>49596.800000000003</v>
      </c>
      <c r="AR25" s="543">
        <v>50398.3</v>
      </c>
      <c r="AS25" s="543">
        <v>52305.3</v>
      </c>
      <c r="AT25" s="543">
        <v>54094.3</v>
      </c>
      <c r="AU25" s="543">
        <v>56125.2</v>
      </c>
      <c r="AV25" s="543">
        <v>57266.1</v>
      </c>
      <c r="AW25" s="543">
        <v>58251.5</v>
      </c>
      <c r="AX25" s="543">
        <v>57778.5</v>
      </c>
      <c r="AY25" s="543">
        <v>58483.6</v>
      </c>
      <c r="AZ25" s="543">
        <v>62639.9</v>
      </c>
      <c r="BA25" s="543">
        <v>63549.599999999999</v>
      </c>
      <c r="BB25" s="543">
        <v>65327.8</v>
      </c>
      <c r="BC25" s="543">
        <v>68690.399999999994</v>
      </c>
      <c r="BD25" s="543">
        <v>70195.100000000006</v>
      </c>
      <c r="BE25" s="543">
        <v>68974.600000000006</v>
      </c>
      <c r="BF25" s="543">
        <v>71853.3</v>
      </c>
      <c r="BG25" s="543">
        <v>75032</v>
      </c>
      <c r="BH25" s="543">
        <v>71243.5</v>
      </c>
      <c r="BI25" s="543">
        <v>73066.899999999994</v>
      </c>
      <c r="BJ25" s="543">
        <v>71277</v>
      </c>
      <c r="BK25" s="543">
        <v>56166.5</v>
      </c>
      <c r="BL25" s="543">
        <v>54544.7</v>
      </c>
      <c r="BM25" s="543">
        <v>56957.3</v>
      </c>
      <c r="BN25" s="543">
        <v>59365.8</v>
      </c>
      <c r="BO25" s="543">
        <v>56722.2</v>
      </c>
      <c r="BP25" s="543">
        <v>61731.1</v>
      </c>
      <c r="BQ25" s="543">
        <v>65530.400000000001</v>
      </c>
      <c r="BR25" s="543">
        <v>67267.3</v>
      </c>
      <c r="BS25" s="543">
        <v>66804</v>
      </c>
      <c r="BT25" s="543">
        <v>73607.899999999994</v>
      </c>
      <c r="BU25" s="543">
        <v>71873</v>
      </c>
      <c r="BV25" s="543">
        <v>70815.7</v>
      </c>
      <c r="BW25" s="543">
        <v>75291.600000000006</v>
      </c>
      <c r="BX25" s="543">
        <v>72731.600000000006</v>
      </c>
      <c r="BY25" s="543">
        <v>69909.899999999994</v>
      </c>
      <c r="BZ25" s="543">
        <v>73508.5</v>
      </c>
      <c r="CA25" s="543">
        <v>71108.800000000003</v>
      </c>
      <c r="CB25" s="543">
        <v>71554.3</v>
      </c>
      <c r="CC25" s="543">
        <v>74250.100000000006</v>
      </c>
      <c r="CD25" s="543">
        <v>75605.3</v>
      </c>
      <c r="CE25" s="543">
        <v>74002.2</v>
      </c>
      <c r="CF25" s="543">
        <v>72496.5</v>
      </c>
      <c r="CG25" s="543">
        <v>72536.800000000003</v>
      </c>
      <c r="CH25" s="543">
        <v>71477.600000000006</v>
      </c>
      <c r="CI25" s="543">
        <v>76406.899999999994</v>
      </c>
      <c r="CJ25" s="543">
        <v>75187.399999999994</v>
      </c>
      <c r="CK25" s="543">
        <v>74458.600000000006</v>
      </c>
      <c r="CL25" s="543">
        <v>76892.7</v>
      </c>
      <c r="CM25" s="543">
        <v>76938</v>
      </c>
      <c r="CN25" s="543">
        <v>79788.2</v>
      </c>
      <c r="CO25" s="543">
        <v>80308.399999999994</v>
      </c>
      <c r="CP25" s="543">
        <v>81007.7</v>
      </c>
      <c r="CQ25" s="543">
        <v>82484.899999999994</v>
      </c>
      <c r="CR25" s="543">
        <v>84147</v>
      </c>
      <c r="CS25" s="543">
        <v>86686.399999999994</v>
      </c>
      <c r="CT25" s="543">
        <v>84523.7</v>
      </c>
      <c r="CU25" s="543">
        <v>85098.1</v>
      </c>
      <c r="CV25" s="543">
        <v>84395.8</v>
      </c>
      <c r="CW25" s="543" t="s">
        <v>2620</v>
      </c>
      <c r="CX25" s="543" t="s">
        <v>2620</v>
      </c>
      <c r="CY25" s="543" t="s">
        <v>2620</v>
      </c>
      <c r="CZ25" s="543" t="s">
        <v>2620</v>
      </c>
      <c r="DA25" s="543" t="s">
        <v>2620</v>
      </c>
      <c r="DB25" s="543" t="s">
        <v>2620</v>
      </c>
      <c r="DC25" s="543" t="s">
        <v>2620</v>
      </c>
    </row>
    <row r="26" spans="1:107">
      <c r="A26" s="2015"/>
      <c r="B26" s="534"/>
      <c r="C26" s="535"/>
      <c r="D26" s="12" t="s">
        <v>130</v>
      </c>
      <c r="E26" s="13">
        <v>81</v>
      </c>
      <c r="F26" s="14" t="s">
        <v>2801</v>
      </c>
      <c r="G26" s="543">
        <v>51676</v>
      </c>
      <c r="H26" s="543">
        <v>51864.4</v>
      </c>
      <c r="I26" s="543">
        <v>53911.9</v>
      </c>
      <c r="J26" s="543">
        <v>55486.1</v>
      </c>
      <c r="K26" s="543">
        <v>54160.800000000003</v>
      </c>
      <c r="L26" s="543">
        <v>52641</v>
      </c>
      <c r="M26" s="543">
        <v>53833.9</v>
      </c>
      <c r="N26" s="543">
        <v>53633.599999999999</v>
      </c>
      <c r="O26" s="543">
        <v>52616.800000000003</v>
      </c>
      <c r="P26" s="543">
        <v>52186</v>
      </c>
      <c r="Q26" s="543">
        <v>49197.3</v>
      </c>
      <c r="R26" s="543">
        <v>48849.1</v>
      </c>
      <c r="S26" s="543">
        <v>51528.7</v>
      </c>
      <c r="T26" s="543">
        <v>51000.3</v>
      </c>
      <c r="U26" s="543">
        <v>53979.7</v>
      </c>
      <c r="V26" s="543">
        <v>53435</v>
      </c>
      <c r="W26" s="543">
        <v>51072</v>
      </c>
      <c r="X26" s="543">
        <v>52917.1</v>
      </c>
      <c r="Y26" s="543">
        <v>54825.7</v>
      </c>
      <c r="Z26" s="543">
        <v>54892.3</v>
      </c>
      <c r="AA26" s="543">
        <v>56005.1</v>
      </c>
      <c r="AB26" s="543">
        <v>57965.8</v>
      </c>
      <c r="AC26" s="543">
        <v>56609.8</v>
      </c>
      <c r="AD26" s="543">
        <v>58912.3</v>
      </c>
      <c r="AE26" s="543">
        <v>60171.1</v>
      </c>
      <c r="AF26" s="543">
        <v>60593.599999999999</v>
      </c>
      <c r="AG26" s="543">
        <v>61144.4</v>
      </c>
      <c r="AH26" s="543">
        <v>63647.4</v>
      </c>
      <c r="AI26" s="543">
        <v>62247.3</v>
      </c>
      <c r="AJ26" s="543">
        <v>63669</v>
      </c>
      <c r="AK26" s="543">
        <v>64781.9</v>
      </c>
      <c r="AL26" s="543">
        <v>66369.100000000006</v>
      </c>
      <c r="AM26" s="543">
        <v>65681.5</v>
      </c>
      <c r="AN26" s="543">
        <v>65399.199999999997</v>
      </c>
      <c r="AO26" s="543">
        <v>65004.7</v>
      </c>
      <c r="AP26" s="543">
        <v>65749.100000000006</v>
      </c>
      <c r="AQ26" s="543">
        <v>67904.600000000006</v>
      </c>
      <c r="AR26" s="543">
        <v>69366.399999999994</v>
      </c>
      <c r="AS26" s="543">
        <v>70918.100000000006</v>
      </c>
      <c r="AT26" s="543">
        <v>72937.100000000006</v>
      </c>
      <c r="AU26" s="543">
        <v>69296.899999999994</v>
      </c>
      <c r="AV26" s="543">
        <v>71597.899999999994</v>
      </c>
      <c r="AW26" s="543">
        <v>74411.8</v>
      </c>
      <c r="AX26" s="543">
        <v>73232.2</v>
      </c>
      <c r="AY26" s="543">
        <v>79199.199999999997</v>
      </c>
      <c r="AZ26" s="543">
        <v>82780.7</v>
      </c>
      <c r="BA26" s="543">
        <v>82558.7</v>
      </c>
      <c r="BB26" s="543">
        <v>85693.4</v>
      </c>
      <c r="BC26" s="543">
        <v>88023</v>
      </c>
      <c r="BD26" s="543">
        <v>87680.9</v>
      </c>
      <c r="BE26" s="543">
        <v>88202.3</v>
      </c>
      <c r="BF26" s="543">
        <v>91076</v>
      </c>
      <c r="BG26" s="543">
        <v>89031.6</v>
      </c>
      <c r="BH26" s="543">
        <v>88397</v>
      </c>
      <c r="BI26" s="543">
        <v>82789.899999999994</v>
      </c>
      <c r="BJ26" s="543">
        <v>83355.100000000006</v>
      </c>
      <c r="BK26" s="543">
        <v>78664.600000000006</v>
      </c>
      <c r="BL26" s="543">
        <v>77141.399999999994</v>
      </c>
      <c r="BM26" s="543">
        <v>73181.399999999994</v>
      </c>
      <c r="BN26" s="543">
        <v>72988.600000000006</v>
      </c>
      <c r="BO26" s="543">
        <v>74596.2</v>
      </c>
      <c r="BP26" s="543">
        <v>75395.899999999994</v>
      </c>
      <c r="BQ26" s="543">
        <v>80545</v>
      </c>
      <c r="BR26" s="543">
        <v>80096.899999999994</v>
      </c>
      <c r="BS26" s="543">
        <v>76820</v>
      </c>
      <c r="BT26" s="543">
        <v>79295.199999999997</v>
      </c>
      <c r="BU26" s="543">
        <v>80676.5</v>
      </c>
      <c r="BV26" s="543">
        <v>77426</v>
      </c>
      <c r="BW26" s="543">
        <v>80849.3</v>
      </c>
      <c r="BX26" s="543">
        <v>78219.5</v>
      </c>
      <c r="BY26" s="543">
        <v>77242.399999999994</v>
      </c>
      <c r="BZ26" s="543">
        <v>78818.7</v>
      </c>
      <c r="CA26" s="543">
        <v>75922.100000000006</v>
      </c>
      <c r="CB26" s="543">
        <v>78605.600000000006</v>
      </c>
      <c r="CC26" s="543">
        <v>78867.8</v>
      </c>
      <c r="CD26" s="543">
        <v>77835.5</v>
      </c>
      <c r="CE26" s="543">
        <v>83562.8</v>
      </c>
      <c r="CF26" s="543">
        <v>84393.5</v>
      </c>
      <c r="CG26" s="543">
        <v>86512.7</v>
      </c>
      <c r="CH26" s="543">
        <v>86325.5</v>
      </c>
      <c r="CI26" s="543">
        <v>88680.8</v>
      </c>
      <c r="CJ26" s="543">
        <v>92158.6</v>
      </c>
      <c r="CK26" s="543">
        <v>92665.1</v>
      </c>
      <c r="CL26" s="543">
        <v>95230.3</v>
      </c>
      <c r="CM26" s="543">
        <v>97740.800000000003</v>
      </c>
      <c r="CN26" s="543">
        <v>96335.8</v>
      </c>
      <c r="CO26" s="543">
        <v>99631.9</v>
      </c>
      <c r="CP26" s="543">
        <v>102008.1</v>
      </c>
      <c r="CQ26" s="543">
        <v>103261.4</v>
      </c>
      <c r="CR26" s="543">
        <v>107130.7</v>
      </c>
      <c r="CS26" s="543">
        <v>109571.8</v>
      </c>
      <c r="CT26" s="543">
        <v>108999.6</v>
      </c>
      <c r="CU26" s="543">
        <v>112198.7</v>
      </c>
      <c r="CV26" s="543">
        <v>111111.6</v>
      </c>
      <c r="CW26" s="543" t="s">
        <v>2620</v>
      </c>
      <c r="CX26" s="543" t="s">
        <v>2620</v>
      </c>
      <c r="CY26" s="543" t="s">
        <v>2620</v>
      </c>
      <c r="CZ26" s="543" t="s">
        <v>2620</v>
      </c>
      <c r="DA26" s="543" t="s">
        <v>2620</v>
      </c>
      <c r="DB26" s="543" t="s">
        <v>2620</v>
      </c>
      <c r="DC26" s="543" t="s">
        <v>2620</v>
      </c>
    </row>
    <row r="27" spans="1:107">
      <c r="A27" s="2015"/>
      <c r="B27" s="534"/>
      <c r="C27" s="535"/>
      <c r="D27" s="12" t="s">
        <v>130</v>
      </c>
      <c r="E27" s="13">
        <v>82</v>
      </c>
      <c r="F27" s="14" t="s">
        <v>2802</v>
      </c>
      <c r="G27" s="543">
        <v>25937.599999999999</v>
      </c>
      <c r="H27" s="543">
        <v>26882.3</v>
      </c>
      <c r="I27" s="543">
        <v>28369.4</v>
      </c>
      <c r="J27" s="543">
        <v>27738.7</v>
      </c>
      <c r="K27" s="543">
        <v>28739.1</v>
      </c>
      <c r="L27" s="543">
        <v>28296.9</v>
      </c>
      <c r="M27" s="543">
        <v>34490.6</v>
      </c>
      <c r="N27" s="543">
        <v>30339.5</v>
      </c>
      <c r="O27" s="543">
        <v>29523</v>
      </c>
      <c r="P27" s="543">
        <v>30415.7</v>
      </c>
      <c r="Q27" s="543">
        <v>30742.6</v>
      </c>
      <c r="R27" s="543">
        <v>30423.1</v>
      </c>
      <c r="S27" s="543">
        <v>30586.6</v>
      </c>
      <c r="T27" s="543">
        <v>31295.3</v>
      </c>
      <c r="U27" s="543">
        <v>31022.2</v>
      </c>
      <c r="V27" s="543">
        <v>32175.9</v>
      </c>
      <c r="W27" s="543">
        <v>32840</v>
      </c>
      <c r="X27" s="543">
        <v>32389.5</v>
      </c>
      <c r="Y27" s="543">
        <v>33569.1</v>
      </c>
      <c r="Z27" s="543">
        <v>31131.8</v>
      </c>
      <c r="AA27" s="543">
        <v>30906.1</v>
      </c>
      <c r="AB27" s="543">
        <v>31108.6</v>
      </c>
      <c r="AC27" s="543">
        <v>32196.3</v>
      </c>
      <c r="AD27" s="543">
        <v>32927.300000000003</v>
      </c>
      <c r="AE27" s="543">
        <v>33266.300000000003</v>
      </c>
      <c r="AF27" s="543">
        <v>33053.599999999999</v>
      </c>
      <c r="AG27" s="543">
        <v>32531.599999999999</v>
      </c>
      <c r="AH27" s="543">
        <v>33457.699999999997</v>
      </c>
      <c r="AI27" s="543">
        <v>32987.699999999997</v>
      </c>
      <c r="AJ27" s="543">
        <v>33997.4</v>
      </c>
      <c r="AK27" s="543">
        <v>32951.5</v>
      </c>
      <c r="AL27" s="543">
        <v>32322.6</v>
      </c>
      <c r="AM27" s="543">
        <v>33639.699999999997</v>
      </c>
      <c r="AN27" s="543">
        <v>33147.4</v>
      </c>
      <c r="AO27" s="543">
        <v>34029.9</v>
      </c>
      <c r="AP27" s="543">
        <v>34420.9</v>
      </c>
      <c r="AQ27" s="543">
        <v>33359.199999999997</v>
      </c>
      <c r="AR27" s="543">
        <v>33156.699999999997</v>
      </c>
      <c r="AS27" s="543">
        <v>34409.800000000003</v>
      </c>
      <c r="AT27" s="543">
        <v>35446.400000000001</v>
      </c>
      <c r="AU27" s="543">
        <v>35928.5</v>
      </c>
      <c r="AV27" s="543">
        <v>37637.599999999999</v>
      </c>
      <c r="AW27" s="543">
        <v>37608.800000000003</v>
      </c>
      <c r="AX27" s="543">
        <v>37867</v>
      </c>
      <c r="AY27" s="543">
        <v>36974.400000000001</v>
      </c>
      <c r="AZ27" s="543">
        <v>39457.199999999997</v>
      </c>
      <c r="BA27" s="543">
        <v>39256.6</v>
      </c>
      <c r="BB27" s="543">
        <v>40424.199999999997</v>
      </c>
      <c r="BC27" s="543">
        <v>41989.3</v>
      </c>
      <c r="BD27" s="543">
        <v>43070.5</v>
      </c>
      <c r="BE27" s="543">
        <v>43076.1</v>
      </c>
      <c r="BF27" s="543">
        <v>44658.9</v>
      </c>
      <c r="BG27" s="543">
        <v>46002</v>
      </c>
      <c r="BH27" s="543">
        <v>43952.9</v>
      </c>
      <c r="BI27" s="543">
        <v>45494.8</v>
      </c>
      <c r="BJ27" s="543">
        <v>44928.2</v>
      </c>
      <c r="BK27" s="543">
        <v>36022.300000000003</v>
      </c>
      <c r="BL27" s="543">
        <v>36131.9</v>
      </c>
      <c r="BM27" s="543">
        <v>37116.5</v>
      </c>
      <c r="BN27" s="543">
        <v>37929.199999999997</v>
      </c>
      <c r="BO27" s="543">
        <v>34367</v>
      </c>
      <c r="BP27" s="543">
        <v>40240.300000000003</v>
      </c>
      <c r="BQ27" s="543">
        <v>42515</v>
      </c>
      <c r="BR27" s="543">
        <v>44491.7</v>
      </c>
      <c r="BS27" s="543">
        <v>43084.4</v>
      </c>
      <c r="BT27" s="543">
        <v>46615</v>
      </c>
      <c r="BU27" s="543">
        <v>46071.7</v>
      </c>
      <c r="BV27" s="543">
        <v>45073.1</v>
      </c>
      <c r="BW27" s="543">
        <v>47550.400000000001</v>
      </c>
      <c r="BX27" s="543">
        <v>46535.199999999997</v>
      </c>
      <c r="BY27" s="543">
        <v>46131.1</v>
      </c>
      <c r="BZ27" s="543">
        <v>46890.9</v>
      </c>
      <c r="CA27" s="543">
        <v>46284.4</v>
      </c>
      <c r="CB27" s="543">
        <v>46351.199999999997</v>
      </c>
      <c r="CC27" s="543">
        <v>46150.6</v>
      </c>
      <c r="CD27" s="543">
        <v>47575.5</v>
      </c>
      <c r="CE27" s="543">
        <v>44746.2</v>
      </c>
      <c r="CF27" s="543">
        <v>44503.7</v>
      </c>
      <c r="CG27" s="543">
        <v>44448</v>
      </c>
      <c r="CH27" s="543">
        <v>43112.3</v>
      </c>
      <c r="CI27" s="543">
        <v>46565.8</v>
      </c>
      <c r="CJ27" s="543">
        <v>45609.1</v>
      </c>
      <c r="CK27" s="543">
        <v>45640.7</v>
      </c>
      <c r="CL27" s="543">
        <v>46262.1</v>
      </c>
      <c r="CM27" s="543">
        <v>46441.3</v>
      </c>
      <c r="CN27" s="543">
        <v>48311.199999999997</v>
      </c>
      <c r="CO27" s="543">
        <v>47959.1</v>
      </c>
      <c r="CP27" s="543">
        <v>49740.7</v>
      </c>
      <c r="CQ27" s="543">
        <v>49645</v>
      </c>
      <c r="CR27" s="543">
        <v>51610.5</v>
      </c>
      <c r="CS27" s="543">
        <v>52823.6</v>
      </c>
      <c r="CT27" s="543">
        <v>50790.3</v>
      </c>
      <c r="CU27" s="543">
        <v>50356.5</v>
      </c>
      <c r="CV27" s="543">
        <v>48228.5</v>
      </c>
      <c r="CW27" s="543" t="s">
        <v>2620</v>
      </c>
      <c r="CX27" s="543" t="s">
        <v>2620</v>
      </c>
      <c r="CY27" s="543" t="s">
        <v>2620</v>
      </c>
      <c r="CZ27" s="543" t="s">
        <v>2620</v>
      </c>
      <c r="DA27" s="543" t="s">
        <v>2620</v>
      </c>
      <c r="DB27" s="543" t="s">
        <v>2620</v>
      </c>
      <c r="DC27" s="543" t="s">
        <v>2620</v>
      </c>
    </row>
    <row r="28" spans="1:107">
      <c r="A28" s="2015"/>
      <c r="B28" s="534"/>
      <c r="C28" s="535"/>
      <c r="D28" s="12" t="s">
        <v>130</v>
      </c>
      <c r="E28" s="13">
        <v>83</v>
      </c>
      <c r="F28" s="14" t="s">
        <v>2803</v>
      </c>
      <c r="G28" s="543">
        <v>119953.3</v>
      </c>
      <c r="H28" s="543">
        <v>121673.1</v>
      </c>
      <c r="I28" s="543">
        <v>130901.1</v>
      </c>
      <c r="J28" s="543">
        <v>135445</v>
      </c>
      <c r="K28" s="543">
        <v>133414.79999999999</v>
      </c>
      <c r="L28" s="543">
        <v>124174.9</v>
      </c>
      <c r="M28" s="543">
        <v>127670</v>
      </c>
      <c r="N28" s="543">
        <v>128288.2</v>
      </c>
      <c r="O28" s="543">
        <v>130626.2</v>
      </c>
      <c r="P28" s="543">
        <v>125526</v>
      </c>
      <c r="Q28" s="543">
        <v>130404</v>
      </c>
      <c r="R28" s="543">
        <v>140006.20000000001</v>
      </c>
      <c r="S28" s="543">
        <v>143205.4</v>
      </c>
      <c r="T28" s="543">
        <v>150743.70000000001</v>
      </c>
      <c r="U28" s="543">
        <v>139741.29999999999</v>
      </c>
      <c r="V28" s="543">
        <v>139369.79999999999</v>
      </c>
      <c r="W28" s="543">
        <v>150206.6</v>
      </c>
      <c r="X28" s="543">
        <v>146478.39999999999</v>
      </c>
      <c r="Y28" s="543">
        <v>146144.29999999999</v>
      </c>
      <c r="Z28" s="543">
        <v>152768.5</v>
      </c>
      <c r="AA28" s="543">
        <v>156001.4</v>
      </c>
      <c r="AB28" s="543">
        <v>165145.60000000001</v>
      </c>
      <c r="AC28" s="543">
        <v>165209.4</v>
      </c>
      <c r="AD28" s="543">
        <v>160589</v>
      </c>
      <c r="AE28" s="543">
        <v>166972.9</v>
      </c>
      <c r="AF28" s="543">
        <v>165513.4</v>
      </c>
      <c r="AG28" s="543">
        <v>160016.29999999999</v>
      </c>
      <c r="AH28" s="543">
        <v>162245</v>
      </c>
      <c r="AI28" s="543">
        <v>154867.9</v>
      </c>
      <c r="AJ28" s="543">
        <v>157530</v>
      </c>
      <c r="AK28" s="543">
        <v>162497.20000000001</v>
      </c>
      <c r="AL28" s="543">
        <v>160089.20000000001</v>
      </c>
      <c r="AM28" s="543">
        <v>168159.1</v>
      </c>
      <c r="AN28" s="543">
        <v>161072.4</v>
      </c>
      <c r="AO28" s="543">
        <v>162538.20000000001</v>
      </c>
      <c r="AP28" s="543">
        <v>165957.70000000001</v>
      </c>
      <c r="AQ28" s="543">
        <v>162719.4</v>
      </c>
      <c r="AR28" s="543">
        <v>164918</v>
      </c>
      <c r="AS28" s="543">
        <v>173356.7</v>
      </c>
      <c r="AT28" s="543">
        <v>179935.4</v>
      </c>
      <c r="AU28" s="543">
        <v>176381.1</v>
      </c>
      <c r="AV28" s="543">
        <v>178373.1</v>
      </c>
      <c r="AW28" s="543">
        <v>174364.6</v>
      </c>
      <c r="AX28" s="543">
        <v>186386.6</v>
      </c>
      <c r="AY28" s="543">
        <v>185639.2</v>
      </c>
      <c r="AZ28" s="543">
        <v>199758.9</v>
      </c>
      <c r="BA28" s="543">
        <v>202117.8</v>
      </c>
      <c r="BB28" s="543">
        <v>205168.6</v>
      </c>
      <c r="BC28" s="543">
        <v>216334.9</v>
      </c>
      <c r="BD28" s="543">
        <v>215121.3</v>
      </c>
      <c r="BE28" s="543">
        <v>221088.2</v>
      </c>
      <c r="BF28" s="543">
        <v>228301.5</v>
      </c>
      <c r="BG28" s="543">
        <v>219810</v>
      </c>
      <c r="BH28" s="543">
        <v>225776</v>
      </c>
      <c r="BI28" s="543">
        <v>218152.1</v>
      </c>
      <c r="BJ28" s="543">
        <v>200819.5</v>
      </c>
      <c r="BK28" s="543">
        <v>179056.9</v>
      </c>
      <c r="BL28" s="543">
        <v>167679.29999999999</v>
      </c>
      <c r="BM28" s="543">
        <v>172470</v>
      </c>
      <c r="BN28" s="543">
        <v>178216.5</v>
      </c>
      <c r="BO28" s="543">
        <v>188338.6</v>
      </c>
      <c r="BP28" s="543">
        <v>201593.4</v>
      </c>
      <c r="BQ28" s="543">
        <v>210280.6</v>
      </c>
      <c r="BR28" s="543">
        <v>208260.4</v>
      </c>
      <c r="BS28" s="543">
        <v>221572.6</v>
      </c>
      <c r="BT28" s="543">
        <v>221128.3</v>
      </c>
      <c r="BU28" s="543">
        <v>216144.6</v>
      </c>
      <c r="BV28" s="543">
        <v>212001.3</v>
      </c>
      <c r="BW28" s="543">
        <v>208927.7</v>
      </c>
      <c r="BX28" s="543">
        <v>207073.2</v>
      </c>
      <c r="BY28" s="543">
        <v>212348.2</v>
      </c>
      <c r="BZ28" s="543">
        <v>203097.4</v>
      </c>
      <c r="CA28" s="543">
        <v>210742.2</v>
      </c>
      <c r="CB28" s="543">
        <v>206966.7</v>
      </c>
      <c r="CC28" s="543">
        <v>208785.7</v>
      </c>
      <c r="CD28" s="543">
        <v>217657.8</v>
      </c>
      <c r="CE28" s="543">
        <v>218217.7</v>
      </c>
      <c r="CF28" s="543">
        <v>222580.4</v>
      </c>
      <c r="CG28" s="543">
        <v>221973.1</v>
      </c>
      <c r="CH28" s="543">
        <v>234333</v>
      </c>
      <c r="CI28" s="543">
        <v>235721.4</v>
      </c>
      <c r="CJ28" s="543">
        <v>236014.6</v>
      </c>
      <c r="CK28" s="543">
        <v>244921.2</v>
      </c>
      <c r="CL28" s="543">
        <v>252522.3</v>
      </c>
      <c r="CM28" s="543">
        <v>248770.4</v>
      </c>
      <c r="CN28" s="543">
        <v>251695.6</v>
      </c>
      <c r="CO28" s="543">
        <v>249516.1</v>
      </c>
      <c r="CP28" s="543">
        <v>250837.1</v>
      </c>
      <c r="CQ28" s="543">
        <v>260097.9</v>
      </c>
      <c r="CR28" s="543">
        <v>267402.2</v>
      </c>
      <c r="CS28" s="543">
        <v>270818.09999999998</v>
      </c>
      <c r="CT28" s="543">
        <v>270169</v>
      </c>
      <c r="CU28" s="543">
        <v>275101.59999999998</v>
      </c>
      <c r="CV28" s="543">
        <v>283491.09999999998</v>
      </c>
      <c r="CW28" s="543" t="s">
        <v>2620</v>
      </c>
      <c r="CX28" s="543" t="s">
        <v>2620</v>
      </c>
      <c r="CY28" s="543" t="s">
        <v>2620</v>
      </c>
      <c r="CZ28" s="543" t="s">
        <v>2620</v>
      </c>
      <c r="DA28" s="543" t="s">
        <v>2620</v>
      </c>
      <c r="DB28" s="543" t="s">
        <v>2620</v>
      </c>
      <c r="DC28" s="543" t="s">
        <v>2620</v>
      </c>
    </row>
    <row r="29" spans="1:107">
      <c r="A29" s="2015"/>
      <c r="B29" s="534"/>
      <c r="C29" s="535"/>
      <c r="D29" s="12" t="s">
        <v>130</v>
      </c>
      <c r="E29" s="13">
        <v>84</v>
      </c>
      <c r="F29" s="14" t="s">
        <v>2804</v>
      </c>
      <c r="G29" s="543">
        <v>149987</v>
      </c>
      <c r="H29" s="543">
        <v>149233.4</v>
      </c>
      <c r="I29" s="543">
        <v>148642.4</v>
      </c>
      <c r="J29" s="543">
        <v>151853.5</v>
      </c>
      <c r="K29" s="543">
        <v>151704.9</v>
      </c>
      <c r="L29" s="543">
        <v>157880.29999999999</v>
      </c>
      <c r="M29" s="543">
        <v>156382.1</v>
      </c>
      <c r="N29" s="543">
        <v>162810.29999999999</v>
      </c>
      <c r="O29" s="543">
        <v>169838.6</v>
      </c>
      <c r="P29" s="543">
        <v>178260.7</v>
      </c>
      <c r="Q29" s="543">
        <v>181328.2</v>
      </c>
      <c r="R29" s="543">
        <v>187199.5</v>
      </c>
      <c r="S29" s="543">
        <v>189529.60000000001</v>
      </c>
      <c r="T29" s="543">
        <v>190939.4</v>
      </c>
      <c r="U29" s="543">
        <v>195254.3</v>
      </c>
      <c r="V29" s="543">
        <v>201160.7</v>
      </c>
      <c r="W29" s="543">
        <v>198830.7</v>
      </c>
      <c r="X29" s="543">
        <v>202147.20000000001</v>
      </c>
      <c r="Y29" s="543">
        <v>210160.8</v>
      </c>
      <c r="Z29" s="543">
        <v>211927.9</v>
      </c>
      <c r="AA29" s="543">
        <v>218285.9</v>
      </c>
      <c r="AB29" s="543">
        <v>228663.7</v>
      </c>
      <c r="AC29" s="543">
        <v>237797.3</v>
      </c>
      <c r="AD29" s="543">
        <v>237383.8</v>
      </c>
      <c r="AE29" s="543">
        <v>228091.8</v>
      </c>
      <c r="AF29" s="543">
        <v>223487.9</v>
      </c>
      <c r="AG29" s="543">
        <v>224035.7</v>
      </c>
      <c r="AH29" s="543">
        <v>227383.3</v>
      </c>
      <c r="AI29" s="543">
        <v>231335</v>
      </c>
      <c r="AJ29" s="543">
        <v>233607.8</v>
      </c>
      <c r="AK29" s="543">
        <v>225809.9</v>
      </c>
      <c r="AL29" s="543">
        <v>232620.4</v>
      </c>
      <c r="AM29" s="543">
        <v>236471.7</v>
      </c>
      <c r="AN29" s="543">
        <v>240363.1</v>
      </c>
      <c r="AO29" s="543">
        <v>245677.5</v>
      </c>
      <c r="AP29" s="543">
        <v>248475.2</v>
      </c>
      <c r="AQ29" s="543">
        <v>258639.3</v>
      </c>
      <c r="AR29" s="543">
        <v>271283.90000000002</v>
      </c>
      <c r="AS29" s="543">
        <v>268768.2</v>
      </c>
      <c r="AT29" s="543">
        <v>271661.2</v>
      </c>
      <c r="AU29" s="543">
        <v>273294.90000000002</v>
      </c>
      <c r="AV29" s="543">
        <v>282910.09999999998</v>
      </c>
      <c r="AW29" s="543">
        <v>290386.90000000002</v>
      </c>
      <c r="AX29" s="543">
        <v>285871.3</v>
      </c>
      <c r="AY29" s="543">
        <v>301637.8</v>
      </c>
      <c r="AZ29" s="543">
        <v>300124.5</v>
      </c>
      <c r="BA29" s="543">
        <v>309892.3</v>
      </c>
      <c r="BB29" s="543">
        <v>322075.3</v>
      </c>
      <c r="BC29" s="543">
        <v>310561.59999999998</v>
      </c>
      <c r="BD29" s="543">
        <v>313970.40000000002</v>
      </c>
      <c r="BE29" s="543">
        <v>319490.40000000002</v>
      </c>
      <c r="BF29" s="543">
        <v>328149.3</v>
      </c>
      <c r="BG29" s="543">
        <v>332366.90000000002</v>
      </c>
      <c r="BH29" s="543">
        <v>329016.3</v>
      </c>
      <c r="BI29" s="543">
        <v>324656.3</v>
      </c>
      <c r="BJ29" s="543">
        <v>291153.59999999998</v>
      </c>
      <c r="BK29" s="543">
        <v>260149.5</v>
      </c>
      <c r="BL29" s="543">
        <v>251229.7</v>
      </c>
      <c r="BM29" s="543">
        <v>262152.40000000002</v>
      </c>
      <c r="BN29" s="543">
        <v>266381</v>
      </c>
      <c r="BO29" s="543">
        <v>277266.59999999998</v>
      </c>
      <c r="BP29" s="543">
        <v>298003.20000000001</v>
      </c>
      <c r="BQ29" s="543">
        <v>306119.2</v>
      </c>
      <c r="BR29" s="543">
        <v>317044</v>
      </c>
      <c r="BS29" s="543">
        <v>319570.7</v>
      </c>
      <c r="BT29" s="543">
        <v>317919</v>
      </c>
      <c r="BU29" s="543">
        <v>330576.7</v>
      </c>
      <c r="BV29" s="543">
        <v>313693.40000000002</v>
      </c>
      <c r="BW29" s="543">
        <v>324767.59999999998</v>
      </c>
      <c r="BX29" s="543">
        <v>328399.2</v>
      </c>
      <c r="BY29" s="543">
        <v>323823.40000000002</v>
      </c>
      <c r="BZ29" s="543">
        <v>315221.7</v>
      </c>
      <c r="CA29" s="543">
        <v>309161.7</v>
      </c>
      <c r="CB29" s="543">
        <v>315441.40000000002</v>
      </c>
      <c r="CC29" s="543">
        <v>316199</v>
      </c>
      <c r="CD29" s="543">
        <v>314214.2</v>
      </c>
      <c r="CE29" s="543">
        <v>322056.3</v>
      </c>
      <c r="CF29" s="543">
        <v>324266.90000000002</v>
      </c>
      <c r="CG29" s="543">
        <v>325516.2</v>
      </c>
      <c r="CH29" s="543">
        <v>325393.8</v>
      </c>
      <c r="CI29" s="543">
        <v>326506.59999999998</v>
      </c>
      <c r="CJ29" s="543">
        <v>331853.09999999998</v>
      </c>
      <c r="CK29" s="543">
        <v>337432.4</v>
      </c>
      <c r="CL29" s="543">
        <v>341284.7</v>
      </c>
      <c r="CM29" s="543">
        <v>341238.5</v>
      </c>
      <c r="CN29" s="543">
        <v>336132.9</v>
      </c>
      <c r="CO29" s="543">
        <v>339083.1</v>
      </c>
      <c r="CP29" s="543">
        <v>345738.1</v>
      </c>
      <c r="CQ29" s="543">
        <v>349772</v>
      </c>
      <c r="CR29" s="543">
        <v>356933.7</v>
      </c>
      <c r="CS29" s="543">
        <v>358786.1</v>
      </c>
      <c r="CT29" s="543">
        <v>370104.2</v>
      </c>
      <c r="CU29" s="543">
        <v>369470</v>
      </c>
      <c r="CV29" s="543">
        <v>373135.7</v>
      </c>
      <c r="CW29" s="543" t="s">
        <v>2620</v>
      </c>
      <c r="CX29" s="543" t="s">
        <v>2620</v>
      </c>
      <c r="CY29" s="543" t="s">
        <v>2620</v>
      </c>
      <c r="CZ29" s="543" t="s">
        <v>2620</v>
      </c>
      <c r="DA29" s="543" t="s">
        <v>2620</v>
      </c>
      <c r="DB29" s="543" t="s">
        <v>2620</v>
      </c>
      <c r="DC29" s="543" t="s">
        <v>2620</v>
      </c>
    </row>
    <row r="30" spans="1:107">
      <c r="A30" s="2015"/>
      <c r="B30" s="534"/>
      <c r="C30" s="535"/>
      <c r="D30" s="12" t="s">
        <v>130</v>
      </c>
      <c r="E30" s="13">
        <v>85</v>
      </c>
      <c r="F30" s="14" t="s">
        <v>2805</v>
      </c>
      <c r="G30" s="543">
        <v>37424.1</v>
      </c>
      <c r="H30" s="543">
        <v>39826.199999999997</v>
      </c>
      <c r="I30" s="543">
        <v>39028.300000000003</v>
      </c>
      <c r="J30" s="543">
        <v>37068.1</v>
      </c>
      <c r="K30" s="543">
        <v>38980.699999999997</v>
      </c>
      <c r="L30" s="543">
        <v>37984.699999999997</v>
      </c>
      <c r="M30" s="543">
        <v>38440.6</v>
      </c>
      <c r="N30" s="543">
        <v>39254.400000000001</v>
      </c>
      <c r="O30" s="543">
        <v>41734.199999999997</v>
      </c>
      <c r="P30" s="543">
        <v>44911.9</v>
      </c>
      <c r="Q30" s="543">
        <v>45146.400000000001</v>
      </c>
      <c r="R30" s="543">
        <v>46772.1</v>
      </c>
      <c r="S30" s="543">
        <v>46649.7</v>
      </c>
      <c r="T30" s="543">
        <v>47762.5</v>
      </c>
      <c r="U30" s="543">
        <v>51051.4</v>
      </c>
      <c r="V30" s="543">
        <v>52014.7</v>
      </c>
      <c r="W30" s="543">
        <v>52458.5</v>
      </c>
      <c r="X30" s="543">
        <v>55418.5</v>
      </c>
      <c r="Y30" s="543">
        <v>55608.2</v>
      </c>
      <c r="Z30" s="543">
        <v>55930.5</v>
      </c>
      <c r="AA30" s="543">
        <v>57208.7</v>
      </c>
      <c r="AB30" s="543">
        <v>59226.9</v>
      </c>
      <c r="AC30" s="543">
        <v>61645.9</v>
      </c>
      <c r="AD30" s="543">
        <v>66969.8</v>
      </c>
      <c r="AE30" s="543">
        <v>68139.600000000006</v>
      </c>
      <c r="AF30" s="543">
        <v>67772.399999999994</v>
      </c>
      <c r="AG30" s="543">
        <v>70498.8</v>
      </c>
      <c r="AH30" s="543">
        <v>71158.399999999994</v>
      </c>
      <c r="AI30" s="543">
        <v>69464.5</v>
      </c>
      <c r="AJ30" s="543">
        <v>69146.8</v>
      </c>
      <c r="AK30" s="543">
        <v>68104.100000000006</v>
      </c>
      <c r="AL30" s="543">
        <v>65072.1</v>
      </c>
      <c r="AM30" s="543">
        <v>69851.3</v>
      </c>
      <c r="AN30" s="543">
        <v>67880.7</v>
      </c>
      <c r="AO30" s="543">
        <v>67851.8</v>
      </c>
      <c r="AP30" s="543">
        <v>70556.7</v>
      </c>
      <c r="AQ30" s="543">
        <v>71528.399999999994</v>
      </c>
      <c r="AR30" s="543">
        <v>75384.399999999994</v>
      </c>
      <c r="AS30" s="543">
        <v>75842.3</v>
      </c>
      <c r="AT30" s="543">
        <v>76572.899999999994</v>
      </c>
      <c r="AU30" s="543">
        <v>76145.899999999994</v>
      </c>
      <c r="AV30" s="543">
        <v>78405.2</v>
      </c>
      <c r="AW30" s="543">
        <v>83650.5</v>
      </c>
      <c r="AX30" s="543">
        <v>89911.5</v>
      </c>
      <c r="AY30" s="543">
        <v>88667</v>
      </c>
      <c r="AZ30" s="543">
        <v>89725.6</v>
      </c>
      <c r="BA30" s="543">
        <v>90323.6</v>
      </c>
      <c r="BB30" s="543">
        <v>91359.8</v>
      </c>
      <c r="BC30" s="543">
        <v>96441.7</v>
      </c>
      <c r="BD30" s="543">
        <v>100102.39999999999</v>
      </c>
      <c r="BE30" s="543">
        <v>99755.8</v>
      </c>
      <c r="BF30" s="543">
        <v>100312.6</v>
      </c>
      <c r="BG30" s="543">
        <v>105151.6</v>
      </c>
      <c r="BH30" s="543">
        <v>102361.60000000001</v>
      </c>
      <c r="BI30" s="543">
        <v>104076.1</v>
      </c>
      <c r="BJ30" s="543">
        <v>107366.9</v>
      </c>
      <c r="BK30" s="543">
        <v>105147.8</v>
      </c>
      <c r="BL30" s="543">
        <v>105129.1</v>
      </c>
      <c r="BM30" s="543">
        <v>102948.4</v>
      </c>
      <c r="BN30" s="543">
        <v>100471.5</v>
      </c>
      <c r="BO30" s="543">
        <v>103193.2</v>
      </c>
      <c r="BP30" s="543">
        <v>102702.7</v>
      </c>
      <c r="BQ30" s="543">
        <v>105949.5</v>
      </c>
      <c r="BR30" s="543">
        <v>109362.6</v>
      </c>
      <c r="BS30" s="543">
        <v>105888.8</v>
      </c>
      <c r="BT30" s="543">
        <v>109224.4</v>
      </c>
      <c r="BU30" s="543">
        <v>111206.1</v>
      </c>
      <c r="BV30" s="543">
        <v>111985.3</v>
      </c>
      <c r="BW30" s="543">
        <v>112557.2</v>
      </c>
      <c r="BX30" s="543">
        <v>114667.8</v>
      </c>
      <c r="BY30" s="543">
        <v>111959.2</v>
      </c>
      <c r="BZ30" s="543">
        <v>114216.5</v>
      </c>
      <c r="CA30" s="543">
        <v>118701.4</v>
      </c>
      <c r="CB30" s="543">
        <v>119002.2</v>
      </c>
      <c r="CC30" s="543">
        <v>119788.9</v>
      </c>
      <c r="CD30" s="543">
        <v>117952</v>
      </c>
      <c r="CE30" s="543">
        <v>126961.9</v>
      </c>
      <c r="CF30" s="543">
        <v>129788.3</v>
      </c>
      <c r="CG30" s="543">
        <v>131176.70000000001</v>
      </c>
      <c r="CH30" s="543">
        <v>136519.20000000001</v>
      </c>
      <c r="CI30" s="543">
        <v>140667.70000000001</v>
      </c>
      <c r="CJ30" s="543">
        <v>140793.79999999999</v>
      </c>
      <c r="CK30" s="543">
        <v>147288.4</v>
      </c>
      <c r="CL30" s="543">
        <v>150096.1</v>
      </c>
      <c r="CM30" s="543">
        <v>146897.9</v>
      </c>
      <c r="CN30" s="543">
        <v>148555.4</v>
      </c>
      <c r="CO30" s="543">
        <v>153050.5</v>
      </c>
      <c r="CP30" s="543">
        <v>154692.20000000001</v>
      </c>
      <c r="CQ30" s="543">
        <v>147765.9</v>
      </c>
      <c r="CR30" s="543">
        <v>153192.5</v>
      </c>
      <c r="CS30" s="543">
        <v>151097.70000000001</v>
      </c>
      <c r="CT30" s="543">
        <v>151633.1</v>
      </c>
      <c r="CU30" s="543">
        <v>152306.79999999999</v>
      </c>
      <c r="CV30" s="543">
        <v>150892.20000000001</v>
      </c>
      <c r="CW30" s="543" t="s">
        <v>2620</v>
      </c>
      <c r="CX30" s="543" t="s">
        <v>2620</v>
      </c>
      <c r="CY30" s="543" t="s">
        <v>2620</v>
      </c>
      <c r="CZ30" s="543" t="s">
        <v>2620</v>
      </c>
      <c r="DA30" s="543" t="s">
        <v>2620</v>
      </c>
      <c r="DB30" s="543" t="s">
        <v>2620</v>
      </c>
      <c r="DC30" s="543" t="s">
        <v>2620</v>
      </c>
    </row>
    <row r="31" spans="1:107">
      <c r="A31" s="2015"/>
      <c r="B31" s="534"/>
      <c r="C31" s="535"/>
      <c r="D31" s="12" t="s">
        <v>130</v>
      </c>
      <c r="E31" s="13">
        <v>86</v>
      </c>
      <c r="F31" s="14" t="s">
        <v>2806</v>
      </c>
      <c r="G31" s="543">
        <v>127182.6</v>
      </c>
      <c r="H31" s="543">
        <v>128102.7</v>
      </c>
      <c r="I31" s="543">
        <v>130767.9</v>
      </c>
      <c r="J31" s="543">
        <v>132175.79999999999</v>
      </c>
      <c r="K31" s="543">
        <v>129589.5</v>
      </c>
      <c r="L31" s="543">
        <v>130996.4</v>
      </c>
      <c r="M31" s="543">
        <v>132669.70000000001</v>
      </c>
      <c r="N31" s="543">
        <v>138709.1</v>
      </c>
      <c r="O31" s="543">
        <v>142464.5</v>
      </c>
      <c r="P31" s="543">
        <v>148064.4</v>
      </c>
      <c r="Q31" s="543">
        <v>148796</v>
      </c>
      <c r="R31" s="543">
        <v>155676.70000000001</v>
      </c>
      <c r="S31" s="543">
        <v>161440.5</v>
      </c>
      <c r="T31" s="543">
        <v>162535.9</v>
      </c>
      <c r="U31" s="543">
        <v>164457.1</v>
      </c>
      <c r="V31" s="543">
        <v>165681.60000000001</v>
      </c>
      <c r="W31" s="543">
        <v>165143.70000000001</v>
      </c>
      <c r="X31" s="543">
        <v>166123.29999999999</v>
      </c>
      <c r="Y31" s="543">
        <v>171410.6</v>
      </c>
      <c r="Z31" s="543">
        <v>175678.3</v>
      </c>
      <c r="AA31" s="543">
        <v>180659.3</v>
      </c>
      <c r="AB31" s="543">
        <v>190458.2</v>
      </c>
      <c r="AC31" s="543">
        <v>199230.5</v>
      </c>
      <c r="AD31" s="543">
        <v>193068.1</v>
      </c>
      <c r="AE31" s="543">
        <v>190561.7</v>
      </c>
      <c r="AF31" s="543">
        <v>182233.2</v>
      </c>
      <c r="AG31" s="543">
        <v>178581.2</v>
      </c>
      <c r="AH31" s="543">
        <v>179964.5</v>
      </c>
      <c r="AI31" s="543">
        <v>182124.6</v>
      </c>
      <c r="AJ31" s="543">
        <v>181514.9</v>
      </c>
      <c r="AK31" s="543">
        <v>179488.1</v>
      </c>
      <c r="AL31" s="543">
        <v>185134</v>
      </c>
      <c r="AM31" s="543">
        <v>192630.5</v>
      </c>
      <c r="AN31" s="543">
        <v>191335.4</v>
      </c>
      <c r="AO31" s="543">
        <v>192012.7</v>
      </c>
      <c r="AP31" s="543">
        <v>197444.5</v>
      </c>
      <c r="AQ31" s="543">
        <v>199221.3</v>
      </c>
      <c r="AR31" s="543">
        <v>205242.2</v>
      </c>
      <c r="AS31" s="543">
        <v>211034.7</v>
      </c>
      <c r="AT31" s="543">
        <v>211354.4</v>
      </c>
      <c r="AU31" s="543">
        <v>214254.2</v>
      </c>
      <c r="AV31" s="543">
        <v>220843.9</v>
      </c>
      <c r="AW31" s="543">
        <v>222475.2</v>
      </c>
      <c r="AX31" s="543">
        <v>230425.7</v>
      </c>
      <c r="AY31" s="543">
        <v>233740.5</v>
      </c>
      <c r="AZ31" s="543">
        <v>240123.2</v>
      </c>
      <c r="BA31" s="543">
        <v>246993.6</v>
      </c>
      <c r="BB31" s="543">
        <v>257303.9</v>
      </c>
      <c r="BC31" s="543">
        <v>255992.3</v>
      </c>
      <c r="BD31" s="543">
        <v>255534.3</v>
      </c>
      <c r="BE31" s="543">
        <v>268201.3</v>
      </c>
      <c r="BF31" s="543">
        <v>269681.90000000002</v>
      </c>
      <c r="BG31" s="543">
        <v>277291.2</v>
      </c>
      <c r="BH31" s="543">
        <v>276806.5</v>
      </c>
      <c r="BI31" s="543">
        <v>271437.2</v>
      </c>
      <c r="BJ31" s="543">
        <v>250083</v>
      </c>
      <c r="BK31" s="543">
        <v>226001.1</v>
      </c>
      <c r="BL31" s="543">
        <v>209499.8</v>
      </c>
      <c r="BM31" s="543">
        <v>226228.6</v>
      </c>
      <c r="BN31" s="543">
        <v>236795</v>
      </c>
      <c r="BO31" s="543">
        <v>244613.3</v>
      </c>
      <c r="BP31" s="543">
        <v>260396.3</v>
      </c>
      <c r="BQ31" s="543">
        <v>270342.90000000002</v>
      </c>
      <c r="BR31" s="543">
        <v>272819.5</v>
      </c>
      <c r="BS31" s="543">
        <v>284948.59999999998</v>
      </c>
      <c r="BT31" s="543">
        <v>287484.59999999998</v>
      </c>
      <c r="BU31" s="543">
        <v>285764.2</v>
      </c>
      <c r="BV31" s="543">
        <v>281411.40000000002</v>
      </c>
      <c r="BW31" s="543">
        <v>284589.90000000002</v>
      </c>
      <c r="BX31" s="543">
        <v>285138.09999999998</v>
      </c>
      <c r="BY31" s="543">
        <v>287054.3</v>
      </c>
      <c r="BZ31" s="543">
        <v>280616.2</v>
      </c>
      <c r="CA31" s="543">
        <v>275871</v>
      </c>
      <c r="CB31" s="543">
        <v>279451.2</v>
      </c>
      <c r="CC31" s="543">
        <v>279693</v>
      </c>
      <c r="CD31" s="543">
        <v>282964.8</v>
      </c>
      <c r="CE31" s="543">
        <v>286249.90000000002</v>
      </c>
      <c r="CF31" s="543">
        <v>294560</v>
      </c>
      <c r="CG31" s="543">
        <v>295508.90000000002</v>
      </c>
      <c r="CH31" s="543">
        <v>295887</v>
      </c>
      <c r="CI31" s="543">
        <v>300990.90000000002</v>
      </c>
      <c r="CJ31" s="543">
        <v>299483.59999999998</v>
      </c>
      <c r="CK31" s="543">
        <v>313141.5</v>
      </c>
      <c r="CL31" s="543">
        <v>316255.40000000002</v>
      </c>
      <c r="CM31" s="543">
        <v>321485.40000000002</v>
      </c>
      <c r="CN31" s="543">
        <v>321046.8</v>
      </c>
      <c r="CO31" s="543">
        <v>324687.5</v>
      </c>
      <c r="CP31" s="543">
        <v>328821</v>
      </c>
      <c r="CQ31" s="543">
        <v>331001.5</v>
      </c>
      <c r="CR31" s="543">
        <v>335571.6</v>
      </c>
      <c r="CS31" s="543">
        <v>340006.40000000002</v>
      </c>
      <c r="CT31" s="543">
        <v>347790.8</v>
      </c>
      <c r="CU31" s="543">
        <v>352705.1</v>
      </c>
      <c r="CV31" s="543">
        <v>358381.8</v>
      </c>
      <c r="CW31" s="543" t="s">
        <v>2620</v>
      </c>
      <c r="CX31" s="543" t="s">
        <v>2620</v>
      </c>
      <c r="CY31" s="543" t="s">
        <v>2620</v>
      </c>
      <c r="CZ31" s="543" t="s">
        <v>2620</v>
      </c>
      <c r="DA31" s="543" t="s">
        <v>2620</v>
      </c>
      <c r="DB31" s="543" t="s">
        <v>2620</v>
      </c>
      <c r="DC31" s="543" t="s">
        <v>2620</v>
      </c>
    </row>
    <row r="32" spans="1:107">
      <c r="A32" s="2015"/>
      <c r="B32" s="534"/>
      <c r="C32" s="535"/>
      <c r="D32" s="12" t="s">
        <v>130</v>
      </c>
      <c r="E32" s="13">
        <v>87</v>
      </c>
      <c r="F32" s="14" t="s">
        <v>2807</v>
      </c>
      <c r="G32" s="543">
        <v>43942.1</v>
      </c>
      <c r="H32" s="543">
        <v>44416.4</v>
      </c>
      <c r="I32" s="543">
        <v>45146.400000000001</v>
      </c>
      <c r="J32" s="543">
        <v>44945.1</v>
      </c>
      <c r="K32" s="543">
        <v>46015.199999999997</v>
      </c>
      <c r="L32" s="543">
        <v>46312.6</v>
      </c>
      <c r="M32" s="543">
        <v>47655.7</v>
      </c>
      <c r="N32" s="543">
        <v>49383.199999999997</v>
      </c>
      <c r="O32" s="543">
        <v>50899.5</v>
      </c>
      <c r="P32" s="543">
        <v>53770.7</v>
      </c>
      <c r="Q32" s="543">
        <v>56617.3</v>
      </c>
      <c r="R32" s="543">
        <v>57699.199999999997</v>
      </c>
      <c r="S32" s="543">
        <v>60811.5</v>
      </c>
      <c r="T32" s="543">
        <v>62628.9</v>
      </c>
      <c r="U32" s="543">
        <v>62647.9</v>
      </c>
      <c r="V32" s="543">
        <v>65262.400000000001</v>
      </c>
      <c r="W32" s="543">
        <v>65562.600000000006</v>
      </c>
      <c r="X32" s="543">
        <v>66776</v>
      </c>
      <c r="Y32" s="543">
        <v>68519.899999999994</v>
      </c>
      <c r="Z32" s="543">
        <v>69683.399999999994</v>
      </c>
      <c r="AA32" s="543">
        <v>72293.3</v>
      </c>
      <c r="AB32" s="543">
        <v>73896.7</v>
      </c>
      <c r="AC32" s="543">
        <v>76036.899999999994</v>
      </c>
      <c r="AD32" s="543">
        <v>77091.600000000006</v>
      </c>
      <c r="AE32" s="543">
        <v>79782.2</v>
      </c>
      <c r="AF32" s="543">
        <v>78928</v>
      </c>
      <c r="AG32" s="543">
        <v>78496.3</v>
      </c>
      <c r="AH32" s="543">
        <v>78452.800000000003</v>
      </c>
      <c r="AI32" s="543">
        <v>78409.2</v>
      </c>
      <c r="AJ32" s="543">
        <v>77088.800000000003</v>
      </c>
      <c r="AK32" s="543">
        <v>75201.7</v>
      </c>
      <c r="AL32" s="543">
        <v>74065.399999999994</v>
      </c>
      <c r="AM32" s="543">
        <v>74628.5</v>
      </c>
      <c r="AN32" s="543">
        <v>73792.399999999994</v>
      </c>
      <c r="AO32" s="543">
        <v>75699.5</v>
      </c>
      <c r="AP32" s="543">
        <v>75792</v>
      </c>
      <c r="AQ32" s="543">
        <v>74689.3</v>
      </c>
      <c r="AR32" s="543">
        <v>78493.600000000006</v>
      </c>
      <c r="AS32" s="543">
        <v>76467.600000000006</v>
      </c>
      <c r="AT32" s="543">
        <v>79961.8</v>
      </c>
      <c r="AU32" s="543">
        <v>79122</v>
      </c>
      <c r="AV32" s="543">
        <v>80291.899999999994</v>
      </c>
      <c r="AW32" s="543">
        <v>83689.899999999994</v>
      </c>
      <c r="AX32" s="543">
        <v>84820.800000000003</v>
      </c>
      <c r="AY32" s="543">
        <v>84854.3</v>
      </c>
      <c r="AZ32" s="543">
        <v>85432.9</v>
      </c>
      <c r="BA32" s="543">
        <v>85711.3</v>
      </c>
      <c r="BB32" s="543">
        <v>87398.1</v>
      </c>
      <c r="BC32" s="543">
        <v>89451.199999999997</v>
      </c>
      <c r="BD32" s="543">
        <v>93229.2</v>
      </c>
      <c r="BE32" s="543">
        <v>95393.9</v>
      </c>
      <c r="BF32" s="543">
        <v>98499</v>
      </c>
      <c r="BG32" s="543">
        <v>101391.9</v>
      </c>
      <c r="BH32" s="543">
        <v>100290.9</v>
      </c>
      <c r="BI32" s="543">
        <v>99787.6</v>
      </c>
      <c r="BJ32" s="543">
        <v>98740.2</v>
      </c>
      <c r="BK32" s="543">
        <v>95237</v>
      </c>
      <c r="BL32" s="543">
        <v>94018.2</v>
      </c>
      <c r="BM32" s="543">
        <v>92314.2</v>
      </c>
      <c r="BN32" s="543">
        <v>90545.8</v>
      </c>
      <c r="BO32" s="543">
        <v>92626.1</v>
      </c>
      <c r="BP32" s="543">
        <v>93106.8</v>
      </c>
      <c r="BQ32" s="543">
        <v>96851.199999999997</v>
      </c>
      <c r="BR32" s="543">
        <v>96931.9</v>
      </c>
      <c r="BS32" s="543">
        <v>97340</v>
      </c>
      <c r="BT32" s="543">
        <v>97437.9</v>
      </c>
      <c r="BU32" s="543">
        <v>99200.9</v>
      </c>
      <c r="BV32" s="543">
        <v>100009.8</v>
      </c>
      <c r="BW32" s="543">
        <v>103010.6</v>
      </c>
      <c r="BX32" s="543">
        <v>102473.8</v>
      </c>
      <c r="BY32" s="543">
        <v>102623.4</v>
      </c>
      <c r="BZ32" s="543">
        <v>103084.1</v>
      </c>
      <c r="CA32" s="543">
        <v>103314.4</v>
      </c>
      <c r="CB32" s="543">
        <v>107561.3</v>
      </c>
      <c r="CC32" s="543">
        <v>108657.7</v>
      </c>
      <c r="CD32" s="543">
        <v>107864.2</v>
      </c>
      <c r="CE32" s="543">
        <v>114233.1</v>
      </c>
      <c r="CF32" s="543">
        <v>116561.9</v>
      </c>
      <c r="CG32" s="543">
        <v>116115.7</v>
      </c>
      <c r="CH32" s="543">
        <v>123844</v>
      </c>
      <c r="CI32" s="543">
        <v>121741.9</v>
      </c>
      <c r="CJ32" s="543">
        <v>121643</v>
      </c>
      <c r="CK32" s="543">
        <v>123678</v>
      </c>
      <c r="CL32" s="543">
        <v>127287.4</v>
      </c>
      <c r="CM32" s="543">
        <v>124557.7</v>
      </c>
      <c r="CN32" s="543">
        <v>124262.1</v>
      </c>
      <c r="CO32" s="543">
        <v>124948.6</v>
      </c>
      <c r="CP32" s="543">
        <v>125618.7</v>
      </c>
      <c r="CQ32" s="543">
        <v>129297</v>
      </c>
      <c r="CR32" s="543">
        <v>133795.9</v>
      </c>
      <c r="CS32" s="543">
        <v>135078.20000000001</v>
      </c>
      <c r="CT32" s="543">
        <v>132719.5</v>
      </c>
      <c r="CU32" s="543">
        <v>132256.1</v>
      </c>
      <c r="CV32" s="543">
        <v>130744.3</v>
      </c>
      <c r="CW32" s="543" t="s">
        <v>2620</v>
      </c>
      <c r="CX32" s="543" t="s">
        <v>2620</v>
      </c>
      <c r="CY32" s="543" t="s">
        <v>2620</v>
      </c>
      <c r="CZ32" s="543" t="s">
        <v>2620</v>
      </c>
      <c r="DA32" s="543" t="s">
        <v>2620</v>
      </c>
      <c r="DB32" s="543" t="s">
        <v>2620</v>
      </c>
      <c r="DC32" s="543" t="s">
        <v>2620</v>
      </c>
    </row>
    <row r="33" spans="1:107">
      <c r="A33" s="533"/>
      <c r="B33" s="534"/>
      <c r="C33" s="535"/>
      <c r="D33" s="12"/>
      <c r="E33" s="13"/>
      <c r="F33" s="14"/>
      <c r="G33" s="543"/>
      <c r="H33" s="543"/>
      <c r="I33" s="543"/>
      <c r="J33" s="543"/>
      <c r="K33" s="543"/>
      <c r="L33" s="543"/>
      <c r="M33" s="543"/>
      <c r="N33" s="543"/>
      <c r="O33" s="543"/>
      <c r="P33" s="543"/>
      <c r="Q33" s="543"/>
      <c r="R33" s="543"/>
      <c r="S33" s="543"/>
      <c r="T33" s="543"/>
      <c r="U33" s="543"/>
      <c r="V33" s="543"/>
      <c r="W33" s="543"/>
      <c r="X33" s="543"/>
      <c r="Y33" s="543"/>
      <c r="Z33" s="543"/>
      <c r="AA33" s="543"/>
      <c r="AB33" s="543"/>
      <c r="AC33" s="543"/>
      <c r="AD33" s="543"/>
      <c r="AE33" s="543"/>
      <c r="AF33" s="543"/>
      <c r="AG33" s="543"/>
      <c r="AH33" s="543"/>
      <c r="AI33" s="543"/>
      <c r="AJ33" s="543"/>
      <c r="AK33" s="543"/>
      <c r="AL33" s="543"/>
      <c r="AM33" s="543"/>
      <c r="AN33" s="543"/>
      <c r="AO33" s="543"/>
      <c r="AP33" s="543"/>
      <c r="AQ33" s="543"/>
      <c r="AR33" s="543"/>
      <c r="AS33" s="543"/>
      <c r="AT33" s="543"/>
      <c r="AU33" s="543"/>
      <c r="AV33" s="543"/>
      <c r="AW33" s="543"/>
      <c r="AX33" s="543"/>
      <c r="AY33" s="543"/>
      <c r="AZ33" s="543"/>
      <c r="BA33" s="543"/>
      <c r="BB33" s="543"/>
      <c r="BC33" s="543"/>
      <c r="BD33" s="543"/>
      <c r="BE33" s="543"/>
      <c r="BF33" s="543"/>
      <c r="BG33" s="543"/>
      <c r="BH33" s="543"/>
      <c r="BI33" s="543"/>
      <c r="BJ33" s="543"/>
      <c r="BK33" s="543"/>
      <c r="BL33" s="543"/>
      <c r="BM33" s="543"/>
      <c r="BN33" s="543"/>
      <c r="BO33" s="543"/>
      <c r="BP33" s="543"/>
      <c r="BQ33" s="543"/>
      <c r="BR33" s="543"/>
      <c r="BS33" s="543"/>
      <c r="BT33" s="543"/>
      <c r="BU33" s="543"/>
      <c r="BV33" s="543"/>
      <c r="BW33" s="543"/>
      <c r="BX33" s="543"/>
      <c r="BY33" s="543"/>
      <c r="BZ33" s="543"/>
      <c r="CA33" s="543"/>
      <c r="CB33" s="543"/>
      <c r="CC33" s="543"/>
      <c r="CD33" s="543"/>
      <c r="CE33" s="543"/>
      <c r="CF33" s="543"/>
      <c r="CG33" s="543"/>
      <c r="CH33" s="543"/>
      <c r="CI33" s="543"/>
      <c r="CJ33" s="543"/>
      <c r="CK33" s="543"/>
      <c r="CL33" s="543"/>
      <c r="CM33" s="543"/>
      <c r="CN33" s="543"/>
      <c r="CO33" s="543"/>
      <c r="CP33" s="543"/>
      <c r="CQ33" s="543"/>
      <c r="CR33" s="543"/>
      <c r="CS33" s="543"/>
      <c r="CT33" s="543"/>
      <c r="CU33" s="543"/>
      <c r="CV33" s="543"/>
      <c r="CW33" s="543"/>
      <c r="CX33" s="543"/>
      <c r="CY33" s="543"/>
      <c r="CZ33" s="543"/>
      <c r="DA33" s="543"/>
      <c r="DB33" s="543"/>
      <c r="DC33" s="543"/>
    </row>
    <row r="34" spans="1:107">
      <c r="A34" s="2015"/>
      <c r="B34" s="534"/>
      <c r="C34" s="535"/>
      <c r="D34" s="12" t="s">
        <v>130</v>
      </c>
      <c r="E34" s="13">
        <v>100</v>
      </c>
      <c r="F34" s="14" t="s">
        <v>2808</v>
      </c>
      <c r="G34" s="543" t="s">
        <v>2620</v>
      </c>
      <c r="H34" s="543" t="s">
        <v>2620</v>
      </c>
      <c r="I34" s="543" t="s">
        <v>2620</v>
      </c>
      <c r="J34" s="543" t="s">
        <v>2620</v>
      </c>
      <c r="K34" s="543" t="s">
        <v>2620</v>
      </c>
      <c r="L34" s="543" t="s">
        <v>2620</v>
      </c>
      <c r="M34" s="543" t="s">
        <v>2620</v>
      </c>
      <c r="N34" s="543" t="s">
        <v>2620</v>
      </c>
      <c r="O34" s="543" t="s">
        <v>2620</v>
      </c>
      <c r="P34" s="543" t="s">
        <v>2620</v>
      </c>
      <c r="Q34" s="543" t="s">
        <v>2620</v>
      </c>
      <c r="R34" s="543" t="s">
        <v>2620</v>
      </c>
      <c r="S34" s="543" t="s">
        <v>2620</v>
      </c>
      <c r="T34" s="543" t="s">
        <v>2620</v>
      </c>
      <c r="U34" s="543" t="s">
        <v>2620</v>
      </c>
      <c r="V34" s="543" t="s">
        <v>2620</v>
      </c>
      <c r="W34" s="543" t="s">
        <v>2620</v>
      </c>
      <c r="X34" s="543" t="s">
        <v>2620</v>
      </c>
      <c r="Y34" s="543" t="s">
        <v>2620</v>
      </c>
      <c r="Z34" s="543" t="s">
        <v>2620</v>
      </c>
      <c r="AA34" s="543" t="s">
        <v>2620</v>
      </c>
      <c r="AB34" s="543" t="s">
        <v>2620</v>
      </c>
      <c r="AC34" s="543" t="s">
        <v>2620</v>
      </c>
      <c r="AD34" s="543" t="s">
        <v>2620</v>
      </c>
      <c r="AE34" s="543" t="s">
        <v>2620</v>
      </c>
      <c r="AF34" s="543" t="s">
        <v>2620</v>
      </c>
      <c r="AG34" s="543" t="s">
        <v>2620</v>
      </c>
      <c r="AH34" s="543" t="s">
        <v>2620</v>
      </c>
      <c r="AI34" s="543" t="s">
        <v>2620</v>
      </c>
      <c r="AJ34" s="543" t="s">
        <v>2620</v>
      </c>
      <c r="AK34" s="543" t="s">
        <v>2620</v>
      </c>
      <c r="AL34" s="543" t="s">
        <v>2620</v>
      </c>
      <c r="AM34" s="543" t="s">
        <v>2620</v>
      </c>
      <c r="AN34" s="543" t="s">
        <v>2620</v>
      </c>
      <c r="AO34" s="543" t="s">
        <v>2620</v>
      </c>
      <c r="AP34" s="543" t="s">
        <v>2620</v>
      </c>
      <c r="AQ34" s="543" t="s">
        <v>2620</v>
      </c>
      <c r="AR34" s="543" t="s">
        <v>2620</v>
      </c>
      <c r="AS34" s="543" t="s">
        <v>2620</v>
      </c>
      <c r="AT34" s="543" t="s">
        <v>2620</v>
      </c>
      <c r="AU34" s="543" t="s">
        <v>2620</v>
      </c>
      <c r="AV34" s="543" t="s">
        <v>2620</v>
      </c>
      <c r="AW34" s="543" t="s">
        <v>2620</v>
      </c>
      <c r="AX34" s="543" t="s">
        <v>2620</v>
      </c>
      <c r="AY34" s="543" t="s">
        <v>2620</v>
      </c>
      <c r="AZ34" s="543" t="s">
        <v>2620</v>
      </c>
      <c r="BA34" s="543" t="s">
        <v>2620</v>
      </c>
      <c r="BB34" s="543" t="s">
        <v>2620</v>
      </c>
      <c r="BC34" s="543" t="s">
        <v>2620</v>
      </c>
      <c r="BD34" s="543" t="s">
        <v>2620</v>
      </c>
      <c r="BE34" s="543" t="s">
        <v>2620</v>
      </c>
      <c r="BF34" s="543" t="s">
        <v>2620</v>
      </c>
      <c r="BG34" s="543" t="s">
        <v>2620</v>
      </c>
      <c r="BH34" s="543" t="s">
        <v>2620</v>
      </c>
      <c r="BI34" s="543" t="s">
        <v>2620</v>
      </c>
      <c r="BJ34" s="543" t="s">
        <v>2620</v>
      </c>
      <c r="BK34" s="543" t="s">
        <v>2620</v>
      </c>
      <c r="BL34" s="543" t="s">
        <v>2620</v>
      </c>
      <c r="BM34" s="543" t="s">
        <v>2620</v>
      </c>
      <c r="BN34" s="543" t="s">
        <v>2620</v>
      </c>
      <c r="BO34" s="543" t="s">
        <v>2620</v>
      </c>
      <c r="BP34" s="543" t="s">
        <v>2620</v>
      </c>
      <c r="BQ34" s="543" t="s">
        <v>2620</v>
      </c>
      <c r="BR34" s="543" t="s">
        <v>2620</v>
      </c>
      <c r="BS34" s="543" t="s">
        <v>2620</v>
      </c>
      <c r="BT34" s="543" t="s">
        <v>2620</v>
      </c>
      <c r="BU34" s="543" t="s">
        <v>2620</v>
      </c>
      <c r="BV34" s="543" t="s">
        <v>2620</v>
      </c>
      <c r="BW34" s="543" t="s">
        <v>2620</v>
      </c>
      <c r="BX34" s="543" t="s">
        <v>2620</v>
      </c>
      <c r="BY34" s="543" t="s">
        <v>2620</v>
      </c>
      <c r="BZ34" s="543" t="s">
        <v>2620</v>
      </c>
      <c r="CA34" s="543" t="s">
        <v>2620</v>
      </c>
      <c r="CB34" s="543" t="s">
        <v>2620</v>
      </c>
      <c r="CC34" s="543" t="s">
        <v>2620</v>
      </c>
      <c r="CD34" s="543" t="s">
        <v>2620</v>
      </c>
      <c r="CE34" s="543" t="s">
        <v>2620</v>
      </c>
      <c r="CF34" s="543" t="s">
        <v>2620</v>
      </c>
      <c r="CG34" s="543" t="s">
        <v>2620</v>
      </c>
      <c r="CH34" s="543" t="s">
        <v>2620</v>
      </c>
      <c r="CI34" s="543" t="s">
        <v>2620</v>
      </c>
      <c r="CJ34" s="543" t="s">
        <v>2620</v>
      </c>
      <c r="CK34" s="543" t="s">
        <v>2620</v>
      </c>
      <c r="CL34" s="543" t="s">
        <v>2620</v>
      </c>
      <c r="CM34" s="543" t="s">
        <v>2620</v>
      </c>
      <c r="CN34" s="543" t="s">
        <v>2620</v>
      </c>
      <c r="CO34" s="543" t="s">
        <v>2620</v>
      </c>
      <c r="CP34" s="543" t="s">
        <v>2620</v>
      </c>
      <c r="CQ34" s="543" t="s">
        <v>2620</v>
      </c>
      <c r="CR34" s="543" t="s">
        <v>2620</v>
      </c>
      <c r="CS34" s="543" t="s">
        <v>2620</v>
      </c>
      <c r="CT34" s="543" t="s">
        <v>2620</v>
      </c>
      <c r="CU34" s="543" t="s">
        <v>2620</v>
      </c>
      <c r="CV34" s="543" t="s">
        <v>2620</v>
      </c>
      <c r="CW34" s="543" t="s">
        <v>2620</v>
      </c>
      <c r="CX34" s="543" t="s">
        <v>2620</v>
      </c>
      <c r="CY34" s="543" t="s">
        <v>2620</v>
      </c>
      <c r="CZ34" s="543" t="s">
        <v>2620</v>
      </c>
      <c r="DA34" s="543" t="s">
        <v>2620</v>
      </c>
      <c r="DB34" s="543" t="s">
        <v>2620</v>
      </c>
      <c r="DC34" s="543" t="s">
        <v>2620</v>
      </c>
    </row>
    <row r="35" spans="1:107">
      <c r="A35" s="2015"/>
      <c r="B35" s="534"/>
      <c r="C35" s="535"/>
      <c r="D35" s="12" t="s">
        <v>130</v>
      </c>
      <c r="E35" s="13">
        <v>101</v>
      </c>
      <c r="F35" s="14" t="s">
        <v>2809</v>
      </c>
      <c r="G35" s="543" t="s">
        <v>2620</v>
      </c>
      <c r="H35" s="543" t="s">
        <v>2620</v>
      </c>
      <c r="I35" s="543" t="s">
        <v>2620</v>
      </c>
      <c r="J35" s="543" t="s">
        <v>2620</v>
      </c>
      <c r="K35" s="543" t="s">
        <v>2620</v>
      </c>
      <c r="L35" s="543" t="s">
        <v>2620</v>
      </c>
      <c r="M35" s="543" t="s">
        <v>2620</v>
      </c>
      <c r="N35" s="543" t="s">
        <v>2620</v>
      </c>
      <c r="O35" s="543" t="s">
        <v>2620</v>
      </c>
      <c r="P35" s="543" t="s">
        <v>2620</v>
      </c>
      <c r="Q35" s="543" t="s">
        <v>2620</v>
      </c>
      <c r="R35" s="543" t="s">
        <v>2620</v>
      </c>
      <c r="S35" s="543" t="s">
        <v>2620</v>
      </c>
      <c r="T35" s="543" t="s">
        <v>2620</v>
      </c>
      <c r="U35" s="543" t="s">
        <v>2620</v>
      </c>
      <c r="V35" s="543" t="s">
        <v>2620</v>
      </c>
      <c r="W35" s="543" t="s">
        <v>2620</v>
      </c>
      <c r="X35" s="543" t="s">
        <v>2620</v>
      </c>
      <c r="Y35" s="543" t="s">
        <v>2620</v>
      </c>
      <c r="Z35" s="543" t="s">
        <v>2620</v>
      </c>
      <c r="AA35" s="543" t="s">
        <v>2620</v>
      </c>
      <c r="AB35" s="543" t="s">
        <v>2620</v>
      </c>
      <c r="AC35" s="543" t="s">
        <v>2620</v>
      </c>
      <c r="AD35" s="543" t="s">
        <v>2620</v>
      </c>
      <c r="AE35" s="543" t="s">
        <v>2620</v>
      </c>
      <c r="AF35" s="543" t="s">
        <v>2620</v>
      </c>
      <c r="AG35" s="543" t="s">
        <v>2620</v>
      </c>
      <c r="AH35" s="543" t="s">
        <v>2620</v>
      </c>
      <c r="AI35" s="543" t="s">
        <v>2620</v>
      </c>
      <c r="AJ35" s="543" t="s">
        <v>2620</v>
      </c>
      <c r="AK35" s="543" t="s">
        <v>2620</v>
      </c>
      <c r="AL35" s="543" t="s">
        <v>2620</v>
      </c>
      <c r="AM35" s="543" t="s">
        <v>2620</v>
      </c>
      <c r="AN35" s="543" t="s">
        <v>2620</v>
      </c>
      <c r="AO35" s="543" t="s">
        <v>2620</v>
      </c>
      <c r="AP35" s="543" t="s">
        <v>2620</v>
      </c>
      <c r="AQ35" s="543" t="s">
        <v>2620</v>
      </c>
      <c r="AR35" s="543" t="s">
        <v>2620</v>
      </c>
      <c r="AS35" s="543" t="s">
        <v>2620</v>
      </c>
      <c r="AT35" s="543" t="s">
        <v>2620</v>
      </c>
      <c r="AU35" s="543" t="s">
        <v>2620</v>
      </c>
      <c r="AV35" s="543" t="s">
        <v>2620</v>
      </c>
      <c r="AW35" s="543" t="s">
        <v>2620</v>
      </c>
      <c r="AX35" s="543" t="s">
        <v>2620</v>
      </c>
      <c r="AY35" s="543" t="s">
        <v>2620</v>
      </c>
      <c r="AZ35" s="543" t="s">
        <v>2620</v>
      </c>
      <c r="BA35" s="543" t="s">
        <v>2620</v>
      </c>
      <c r="BB35" s="543" t="s">
        <v>2620</v>
      </c>
      <c r="BC35" s="543" t="s">
        <v>2620</v>
      </c>
      <c r="BD35" s="543" t="s">
        <v>2620</v>
      </c>
      <c r="BE35" s="543" t="s">
        <v>2620</v>
      </c>
      <c r="BF35" s="543" t="s">
        <v>2620</v>
      </c>
      <c r="BG35" s="543" t="s">
        <v>2620</v>
      </c>
      <c r="BH35" s="543" t="s">
        <v>2620</v>
      </c>
      <c r="BI35" s="543" t="s">
        <v>2620</v>
      </c>
      <c r="BJ35" s="543" t="s">
        <v>2620</v>
      </c>
      <c r="BK35" s="543" t="s">
        <v>2620</v>
      </c>
      <c r="BL35" s="543" t="s">
        <v>2620</v>
      </c>
      <c r="BM35" s="543" t="s">
        <v>2620</v>
      </c>
      <c r="BN35" s="543" t="s">
        <v>2620</v>
      </c>
      <c r="BO35" s="543" t="s">
        <v>2620</v>
      </c>
      <c r="BP35" s="543" t="s">
        <v>2620</v>
      </c>
      <c r="BQ35" s="543" t="s">
        <v>2620</v>
      </c>
      <c r="BR35" s="543" t="s">
        <v>2620</v>
      </c>
      <c r="BS35" s="543" t="s">
        <v>2620</v>
      </c>
      <c r="BT35" s="543" t="s">
        <v>2620</v>
      </c>
      <c r="BU35" s="543" t="s">
        <v>2620</v>
      </c>
      <c r="BV35" s="543" t="s">
        <v>2620</v>
      </c>
      <c r="BW35" s="543" t="s">
        <v>2620</v>
      </c>
      <c r="BX35" s="543" t="s">
        <v>2620</v>
      </c>
      <c r="BY35" s="543" t="s">
        <v>2620</v>
      </c>
      <c r="BZ35" s="543" t="s">
        <v>2620</v>
      </c>
      <c r="CA35" s="543" t="s">
        <v>2620</v>
      </c>
      <c r="CB35" s="543" t="s">
        <v>2620</v>
      </c>
      <c r="CC35" s="543" t="s">
        <v>2620</v>
      </c>
      <c r="CD35" s="543" t="s">
        <v>2620</v>
      </c>
      <c r="CE35" s="543" t="s">
        <v>2620</v>
      </c>
      <c r="CF35" s="543" t="s">
        <v>2620</v>
      </c>
      <c r="CG35" s="543" t="s">
        <v>2620</v>
      </c>
      <c r="CH35" s="543" t="s">
        <v>2620</v>
      </c>
      <c r="CI35" s="543" t="s">
        <v>2620</v>
      </c>
      <c r="CJ35" s="543" t="s">
        <v>2620</v>
      </c>
      <c r="CK35" s="543" t="s">
        <v>2620</v>
      </c>
      <c r="CL35" s="543" t="s">
        <v>2620</v>
      </c>
      <c r="CM35" s="543" t="s">
        <v>2620</v>
      </c>
      <c r="CN35" s="543" t="s">
        <v>2620</v>
      </c>
      <c r="CO35" s="543" t="s">
        <v>2620</v>
      </c>
      <c r="CP35" s="543" t="s">
        <v>2620</v>
      </c>
      <c r="CQ35" s="543" t="s">
        <v>2620</v>
      </c>
      <c r="CR35" s="543" t="s">
        <v>2620</v>
      </c>
      <c r="CS35" s="543" t="s">
        <v>2620</v>
      </c>
      <c r="CT35" s="543" t="s">
        <v>2620</v>
      </c>
      <c r="CU35" s="543" t="s">
        <v>2620</v>
      </c>
      <c r="CV35" s="543" t="s">
        <v>2620</v>
      </c>
      <c r="CW35" s="543" t="s">
        <v>2620</v>
      </c>
      <c r="CX35" s="543" t="s">
        <v>2620</v>
      </c>
      <c r="CY35" s="543" t="s">
        <v>2620</v>
      </c>
      <c r="CZ35" s="543" t="s">
        <v>2620</v>
      </c>
      <c r="DA35" s="543" t="s">
        <v>2620</v>
      </c>
      <c r="DB35" s="543" t="s">
        <v>2620</v>
      </c>
      <c r="DC35" s="543" t="s">
        <v>2620</v>
      </c>
    </row>
    <row r="36" spans="1:107">
      <c r="A36" s="2015"/>
      <c r="B36" s="534"/>
      <c r="C36" s="535"/>
      <c r="D36" s="12" t="s">
        <v>130</v>
      </c>
      <c r="E36" s="13">
        <v>102</v>
      </c>
      <c r="F36" s="14" t="s">
        <v>2810</v>
      </c>
      <c r="G36" s="543" t="s">
        <v>2620</v>
      </c>
      <c r="H36" s="543" t="s">
        <v>2620</v>
      </c>
      <c r="I36" s="543" t="s">
        <v>2620</v>
      </c>
      <c r="J36" s="543" t="s">
        <v>2620</v>
      </c>
      <c r="K36" s="543" t="s">
        <v>2620</v>
      </c>
      <c r="L36" s="543" t="s">
        <v>2620</v>
      </c>
      <c r="M36" s="543" t="s">
        <v>2620</v>
      </c>
      <c r="N36" s="543" t="s">
        <v>2620</v>
      </c>
      <c r="O36" s="543" t="s">
        <v>2620</v>
      </c>
      <c r="P36" s="543" t="s">
        <v>2620</v>
      </c>
      <c r="Q36" s="543" t="s">
        <v>2620</v>
      </c>
      <c r="R36" s="543" t="s">
        <v>2620</v>
      </c>
      <c r="S36" s="543" t="s">
        <v>2620</v>
      </c>
      <c r="T36" s="543" t="s">
        <v>2620</v>
      </c>
      <c r="U36" s="543" t="s">
        <v>2620</v>
      </c>
      <c r="V36" s="543" t="s">
        <v>2620</v>
      </c>
      <c r="W36" s="543" t="s">
        <v>2620</v>
      </c>
      <c r="X36" s="543" t="s">
        <v>2620</v>
      </c>
      <c r="Y36" s="543" t="s">
        <v>2620</v>
      </c>
      <c r="Z36" s="543" t="s">
        <v>2620</v>
      </c>
      <c r="AA36" s="543" t="s">
        <v>2620</v>
      </c>
      <c r="AB36" s="543" t="s">
        <v>2620</v>
      </c>
      <c r="AC36" s="543" t="s">
        <v>2620</v>
      </c>
      <c r="AD36" s="543" t="s">
        <v>2620</v>
      </c>
      <c r="AE36" s="543" t="s">
        <v>2620</v>
      </c>
      <c r="AF36" s="543" t="s">
        <v>2620</v>
      </c>
      <c r="AG36" s="543" t="s">
        <v>2620</v>
      </c>
      <c r="AH36" s="543" t="s">
        <v>2620</v>
      </c>
      <c r="AI36" s="543" t="s">
        <v>2620</v>
      </c>
      <c r="AJ36" s="543" t="s">
        <v>2620</v>
      </c>
      <c r="AK36" s="543" t="s">
        <v>2620</v>
      </c>
      <c r="AL36" s="543" t="s">
        <v>2620</v>
      </c>
      <c r="AM36" s="543" t="s">
        <v>2620</v>
      </c>
      <c r="AN36" s="543" t="s">
        <v>2620</v>
      </c>
      <c r="AO36" s="543" t="s">
        <v>2620</v>
      </c>
      <c r="AP36" s="543" t="s">
        <v>2620</v>
      </c>
      <c r="AQ36" s="543" t="s">
        <v>2620</v>
      </c>
      <c r="AR36" s="543" t="s">
        <v>2620</v>
      </c>
      <c r="AS36" s="543" t="s">
        <v>2620</v>
      </c>
      <c r="AT36" s="543" t="s">
        <v>2620</v>
      </c>
      <c r="AU36" s="543" t="s">
        <v>2620</v>
      </c>
      <c r="AV36" s="543" t="s">
        <v>2620</v>
      </c>
      <c r="AW36" s="543" t="s">
        <v>2620</v>
      </c>
      <c r="AX36" s="543" t="s">
        <v>2620</v>
      </c>
      <c r="AY36" s="543" t="s">
        <v>2620</v>
      </c>
      <c r="AZ36" s="543" t="s">
        <v>2620</v>
      </c>
      <c r="BA36" s="543" t="s">
        <v>2620</v>
      </c>
      <c r="BB36" s="543" t="s">
        <v>2620</v>
      </c>
      <c r="BC36" s="543" t="s">
        <v>2620</v>
      </c>
      <c r="BD36" s="543" t="s">
        <v>2620</v>
      </c>
      <c r="BE36" s="543" t="s">
        <v>2620</v>
      </c>
      <c r="BF36" s="543" t="s">
        <v>2620</v>
      </c>
      <c r="BG36" s="543" t="s">
        <v>2620</v>
      </c>
      <c r="BH36" s="543" t="s">
        <v>2620</v>
      </c>
      <c r="BI36" s="543" t="s">
        <v>2620</v>
      </c>
      <c r="BJ36" s="543" t="s">
        <v>2620</v>
      </c>
      <c r="BK36" s="543" t="s">
        <v>2620</v>
      </c>
      <c r="BL36" s="543" t="s">
        <v>2620</v>
      </c>
      <c r="BM36" s="543" t="s">
        <v>2620</v>
      </c>
      <c r="BN36" s="543" t="s">
        <v>2620</v>
      </c>
      <c r="BO36" s="543" t="s">
        <v>2620</v>
      </c>
      <c r="BP36" s="543" t="s">
        <v>2620</v>
      </c>
      <c r="BQ36" s="543" t="s">
        <v>2620</v>
      </c>
      <c r="BR36" s="543" t="s">
        <v>2620</v>
      </c>
      <c r="BS36" s="543" t="s">
        <v>2620</v>
      </c>
      <c r="BT36" s="543" t="s">
        <v>2620</v>
      </c>
      <c r="BU36" s="543" t="s">
        <v>2620</v>
      </c>
      <c r="BV36" s="543" t="s">
        <v>2620</v>
      </c>
      <c r="BW36" s="543" t="s">
        <v>2620</v>
      </c>
      <c r="BX36" s="543" t="s">
        <v>2620</v>
      </c>
      <c r="BY36" s="543" t="s">
        <v>2620</v>
      </c>
      <c r="BZ36" s="543" t="s">
        <v>2620</v>
      </c>
      <c r="CA36" s="543" t="s">
        <v>2620</v>
      </c>
      <c r="CB36" s="543" t="s">
        <v>2620</v>
      </c>
      <c r="CC36" s="543" t="s">
        <v>2620</v>
      </c>
      <c r="CD36" s="543" t="s">
        <v>2620</v>
      </c>
      <c r="CE36" s="543" t="s">
        <v>2620</v>
      </c>
      <c r="CF36" s="543" t="s">
        <v>2620</v>
      </c>
      <c r="CG36" s="543" t="s">
        <v>2620</v>
      </c>
      <c r="CH36" s="543" t="s">
        <v>2620</v>
      </c>
      <c r="CI36" s="543" t="s">
        <v>2620</v>
      </c>
      <c r="CJ36" s="543" t="s">
        <v>2620</v>
      </c>
      <c r="CK36" s="543" t="s">
        <v>2620</v>
      </c>
      <c r="CL36" s="543" t="s">
        <v>2620</v>
      </c>
      <c r="CM36" s="543" t="s">
        <v>2620</v>
      </c>
      <c r="CN36" s="543" t="s">
        <v>2620</v>
      </c>
      <c r="CO36" s="543" t="s">
        <v>2620</v>
      </c>
      <c r="CP36" s="543" t="s">
        <v>2620</v>
      </c>
      <c r="CQ36" s="543" t="s">
        <v>2620</v>
      </c>
      <c r="CR36" s="543" t="s">
        <v>2620</v>
      </c>
      <c r="CS36" s="543" t="s">
        <v>2620</v>
      </c>
      <c r="CT36" s="543" t="s">
        <v>2620</v>
      </c>
      <c r="CU36" s="543" t="s">
        <v>2620</v>
      </c>
      <c r="CV36" s="543" t="s">
        <v>2620</v>
      </c>
      <c r="CW36" s="543" t="s">
        <v>2620</v>
      </c>
      <c r="CX36" s="543" t="s">
        <v>2620</v>
      </c>
      <c r="CY36" s="543" t="s">
        <v>2620</v>
      </c>
      <c r="CZ36" s="543" t="s">
        <v>2620</v>
      </c>
      <c r="DA36" s="543" t="s">
        <v>2620</v>
      </c>
      <c r="DB36" s="543" t="s">
        <v>2620</v>
      </c>
      <c r="DC36" s="543" t="s">
        <v>2620</v>
      </c>
    </row>
    <row r="37" spans="1:107">
      <c r="A37" s="2015"/>
      <c r="B37" s="534"/>
      <c r="C37" s="535"/>
      <c r="D37" s="12" t="s">
        <v>130</v>
      </c>
      <c r="E37" s="13">
        <v>103</v>
      </c>
      <c r="F37" s="14" t="s">
        <v>2811</v>
      </c>
      <c r="G37" s="543" t="s">
        <v>2620</v>
      </c>
      <c r="H37" s="543" t="s">
        <v>2620</v>
      </c>
      <c r="I37" s="543" t="s">
        <v>2620</v>
      </c>
      <c r="J37" s="543" t="s">
        <v>2620</v>
      </c>
      <c r="K37" s="543" t="s">
        <v>2620</v>
      </c>
      <c r="L37" s="543" t="s">
        <v>2620</v>
      </c>
      <c r="M37" s="543" t="s">
        <v>2620</v>
      </c>
      <c r="N37" s="543" t="s">
        <v>2620</v>
      </c>
      <c r="O37" s="543" t="s">
        <v>2620</v>
      </c>
      <c r="P37" s="543" t="s">
        <v>2620</v>
      </c>
      <c r="Q37" s="543" t="s">
        <v>2620</v>
      </c>
      <c r="R37" s="543" t="s">
        <v>2620</v>
      </c>
      <c r="S37" s="543" t="s">
        <v>2620</v>
      </c>
      <c r="T37" s="543" t="s">
        <v>2620</v>
      </c>
      <c r="U37" s="543" t="s">
        <v>2620</v>
      </c>
      <c r="V37" s="543" t="s">
        <v>2620</v>
      </c>
      <c r="W37" s="543" t="s">
        <v>2620</v>
      </c>
      <c r="X37" s="543" t="s">
        <v>2620</v>
      </c>
      <c r="Y37" s="543" t="s">
        <v>2620</v>
      </c>
      <c r="Z37" s="543" t="s">
        <v>2620</v>
      </c>
      <c r="AA37" s="543" t="s">
        <v>2620</v>
      </c>
      <c r="AB37" s="543" t="s">
        <v>2620</v>
      </c>
      <c r="AC37" s="543" t="s">
        <v>2620</v>
      </c>
      <c r="AD37" s="543" t="s">
        <v>2620</v>
      </c>
      <c r="AE37" s="543" t="s">
        <v>2620</v>
      </c>
      <c r="AF37" s="543" t="s">
        <v>2620</v>
      </c>
      <c r="AG37" s="543" t="s">
        <v>2620</v>
      </c>
      <c r="AH37" s="543" t="s">
        <v>2620</v>
      </c>
      <c r="AI37" s="543" t="s">
        <v>2620</v>
      </c>
      <c r="AJ37" s="543" t="s">
        <v>2620</v>
      </c>
      <c r="AK37" s="543" t="s">
        <v>2620</v>
      </c>
      <c r="AL37" s="543" t="s">
        <v>2620</v>
      </c>
      <c r="AM37" s="543" t="s">
        <v>2620</v>
      </c>
      <c r="AN37" s="543" t="s">
        <v>2620</v>
      </c>
      <c r="AO37" s="543" t="s">
        <v>2620</v>
      </c>
      <c r="AP37" s="543" t="s">
        <v>2620</v>
      </c>
      <c r="AQ37" s="543" t="s">
        <v>2620</v>
      </c>
      <c r="AR37" s="543" t="s">
        <v>2620</v>
      </c>
      <c r="AS37" s="543" t="s">
        <v>2620</v>
      </c>
      <c r="AT37" s="543" t="s">
        <v>2620</v>
      </c>
      <c r="AU37" s="543" t="s">
        <v>2620</v>
      </c>
      <c r="AV37" s="543" t="s">
        <v>2620</v>
      </c>
      <c r="AW37" s="543" t="s">
        <v>2620</v>
      </c>
      <c r="AX37" s="543" t="s">
        <v>2620</v>
      </c>
      <c r="AY37" s="543" t="s">
        <v>2620</v>
      </c>
      <c r="AZ37" s="543" t="s">
        <v>2620</v>
      </c>
      <c r="BA37" s="543" t="s">
        <v>2620</v>
      </c>
      <c r="BB37" s="543" t="s">
        <v>2620</v>
      </c>
      <c r="BC37" s="543" t="s">
        <v>2620</v>
      </c>
      <c r="BD37" s="543" t="s">
        <v>2620</v>
      </c>
      <c r="BE37" s="543" t="s">
        <v>2620</v>
      </c>
      <c r="BF37" s="543" t="s">
        <v>2620</v>
      </c>
      <c r="BG37" s="543" t="s">
        <v>2620</v>
      </c>
      <c r="BH37" s="543" t="s">
        <v>2620</v>
      </c>
      <c r="BI37" s="543" t="s">
        <v>2620</v>
      </c>
      <c r="BJ37" s="543" t="s">
        <v>2620</v>
      </c>
      <c r="BK37" s="543" t="s">
        <v>2620</v>
      </c>
      <c r="BL37" s="543" t="s">
        <v>2620</v>
      </c>
      <c r="BM37" s="543" t="s">
        <v>2620</v>
      </c>
      <c r="BN37" s="543" t="s">
        <v>2620</v>
      </c>
      <c r="BO37" s="543" t="s">
        <v>2620</v>
      </c>
      <c r="BP37" s="543" t="s">
        <v>2620</v>
      </c>
      <c r="BQ37" s="543" t="s">
        <v>2620</v>
      </c>
      <c r="BR37" s="543" t="s">
        <v>2620</v>
      </c>
      <c r="BS37" s="543" t="s">
        <v>2620</v>
      </c>
      <c r="BT37" s="543" t="s">
        <v>2620</v>
      </c>
      <c r="BU37" s="543" t="s">
        <v>2620</v>
      </c>
      <c r="BV37" s="543" t="s">
        <v>2620</v>
      </c>
      <c r="BW37" s="543" t="s">
        <v>2620</v>
      </c>
      <c r="BX37" s="543" t="s">
        <v>2620</v>
      </c>
      <c r="BY37" s="543" t="s">
        <v>2620</v>
      </c>
      <c r="BZ37" s="543" t="s">
        <v>2620</v>
      </c>
      <c r="CA37" s="543" t="s">
        <v>2620</v>
      </c>
      <c r="CB37" s="543" t="s">
        <v>2620</v>
      </c>
      <c r="CC37" s="543" t="s">
        <v>2620</v>
      </c>
      <c r="CD37" s="543" t="s">
        <v>2620</v>
      </c>
      <c r="CE37" s="543" t="s">
        <v>2620</v>
      </c>
      <c r="CF37" s="543" t="s">
        <v>2620</v>
      </c>
      <c r="CG37" s="543" t="s">
        <v>2620</v>
      </c>
      <c r="CH37" s="543" t="s">
        <v>2620</v>
      </c>
      <c r="CI37" s="543" t="s">
        <v>2620</v>
      </c>
      <c r="CJ37" s="543" t="s">
        <v>2620</v>
      </c>
      <c r="CK37" s="543" t="s">
        <v>2620</v>
      </c>
      <c r="CL37" s="543" t="s">
        <v>2620</v>
      </c>
      <c r="CM37" s="543" t="s">
        <v>2620</v>
      </c>
      <c r="CN37" s="543" t="s">
        <v>2620</v>
      </c>
      <c r="CO37" s="543" t="s">
        <v>2620</v>
      </c>
      <c r="CP37" s="543" t="s">
        <v>2620</v>
      </c>
      <c r="CQ37" s="543" t="s">
        <v>2620</v>
      </c>
      <c r="CR37" s="543" t="s">
        <v>2620</v>
      </c>
      <c r="CS37" s="543" t="s">
        <v>2620</v>
      </c>
      <c r="CT37" s="543" t="s">
        <v>2620</v>
      </c>
      <c r="CU37" s="543" t="s">
        <v>2620</v>
      </c>
      <c r="CV37" s="543" t="s">
        <v>2620</v>
      </c>
      <c r="CW37" s="543" t="s">
        <v>2620</v>
      </c>
      <c r="CX37" s="543" t="s">
        <v>2620</v>
      </c>
      <c r="CY37" s="543" t="s">
        <v>2620</v>
      </c>
      <c r="CZ37" s="543" t="s">
        <v>2620</v>
      </c>
      <c r="DA37" s="543" t="s">
        <v>2620</v>
      </c>
      <c r="DB37" s="543" t="s">
        <v>2620</v>
      </c>
      <c r="DC37" s="543" t="s">
        <v>2620</v>
      </c>
    </row>
    <row r="38" spans="1:107">
      <c r="A38" s="2015"/>
      <c r="B38" s="534"/>
      <c r="C38" s="535"/>
      <c r="D38" s="12" t="s">
        <v>130</v>
      </c>
      <c r="E38" s="13">
        <v>104</v>
      </c>
      <c r="F38" s="14" t="s">
        <v>2812</v>
      </c>
      <c r="G38" s="543" t="s">
        <v>2620</v>
      </c>
      <c r="H38" s="543" t="s">
        <v>2620</v>
      </c>
      <c r="I38" s="543" t="s">
        <v>2620</v>
      </c>
      <c r="J38" s="543" t="s">
        <v>2620</v>
      </c>
      <c r="K38" s="543" t="s">
        <v>2620</v>
      </c>
      <c r="L38" s="543" t="s">
        <v>2620</v>
      </c>
      <c r="M38" s="543" t="s">
        <v>2620</v>
      </c>
      <c r="N38" s="543" t="s">
        <v>2620</v>
      </c>
      <c r="O38" s="543" t="s">
        <v>2620</v>
      </c>
      <c r="P38" s="543" t="s">
        <v>2620</v>
      </c>
      <c r="Q38" s="543" t="s">
        <v>2620</v>
      </c>
      <c r="R38" s="543" t="s">
        <v>2620</v>
      </c>
      <c r="S38" s="543" t="s">
        <v>2620</v>
      </c>
      <c r="T38" s="543" t="s">
        <v>2620</v>
      </c>
      <c r="U38" s="543" t="s">
        <v>2620</v>
      </c>
      <c r="V38" s="543" t="s">
        <v>2620</v>
      </c>
      <c r="W38" s="543" t="s">
        <v>2620</v>
      </c>
      <c r="X38" s="543" t="s">
        <v>2620</v>
      </c>
      <c r="Y38" s="543" t="s">
        <v>2620</v>
      </c>
      <c r="Z38" s="543" t="s">
        <v>2620</v>
      </c>
      <c r="AA38" s="543" t="s">
        <v>2620</v>
      </c>
      <c r="AB38" s="543" t="s">
        <v>2620</v>
      </c>
      <c r="AC38" s="543" t="s">
        <v>2620</v>
      </c>
      <c r="AD38" s="543" t="s">
        <v>2620</v>
      </c>
      <c r="AE38" s="543" t="s">
        <v>2620</v>
      </c>
      <c r="AF38" s="543" t="s">
        <v>2620</v>
      </c>
      <c r="AG38" s="543" t="s">
        <v>2620</v>
      </c>
      <c r="AH38" s="543" t="s">
        <v>2620</v>
      </c>
      <c r="AI38" s="543" t="s">
        <v>2620</v>
      </c>
      <c r="AJ38" s="543" t="s">
        <v>2620</v>
      </c>
      <c r="AK38" s="543" t="s">
        <v>2620</v>
      </c>
      <c r="AL38" s="543" t="s">
        <v>2620</v>
      </c>
      <c r="AM38" s="543" t="s">
        <v>2620</v>
      </c>
      <c r="AN38" s="543" t="s">
        <v>2620</v>
      </c>
      <c r="AO38" s="543" t="s">
        <v>2620</v>
      </c>
      <c r="AP38" s="543" t="s">
        <v>2620</v>
      </c>
      <c r="AQ38" s="543" t="s">
        <v>2620</v>
      </c>
      <c r="AR38" s="543" t="s">
        <v>2620</v>
      </c>
      <c r="AS38" s="543" t="s">
        <v>2620</v>
      </c>
      <c r="AT38" s="543" t="s">
        <v>2620</v>
      </c>
      <c r="AU38" s="543" t="s">
        <v>2620</v>
      </c>
      <c r="AV38" s="543" t="s">
        <v>2620</v>
      </c>
      <c r="AW38" s="543" t="s">
        <v>2620</v>
      </c>
      <c r="AX38" s="543" t="s">
        <v>2620</v>
      </c>
      <c r="AY38" s="543" t="s">
        <v>2620</v>
      </c>
      <c r="AZ38" s="543" t="s">
        <v>2620</v>
      </c>
      <c r="BA38" s="543" t="s">
        <v>2620</v>
      </c>
      <c r="BB38" s="543" t="s">
        <v>2620</v>
      </c>
      <c r="BC38" s="543" t="s">
        <v>2620</v>
      </c>
      <c r="BD38" s="543" t="s">
        <v>2620</v>
      </c>
      <c r="BE38" s="543" t="s">
        <v>2620</v>
      </c>
      <c r="BF38" s="543" t="s">
        <v>2620</v>
      </c>
      <c r="BG38" s="543" t="s">
        <v>2620</v>
      </c>
      <c r="BH38" s="543" t="s">
        <v>2620</v>
      </c>
      <c r="BI38" s="543" t="s">
        <v>2620</v>
      </c>
      <c r="BJ38" s="543" t="s">
        <v>2620</v>
      </c>
      <c r="BK38" s="543" t="s">
        <v>2620</v>
      </c>
      <c r="BL38" s="543" t="s">
        <v>2620</v>
      </c>
      <c r="BM38" s="543" t="s">
        <v>2620</v>
      </c>
      <c r="BN38" s="543" t="s">
        <v>2620</v>
      </c>
      <c r="BO38" s="543" t="s">
        <v>2620</v>
      </c>
      <c r="BP38" s="543" t="s">
        <v>2620</v>
      </c>
      <c r="BQ38" s="543" t="s">
        <v>2620</v>
      </c>
      <c r="BR38" s="543" t="s">
        <v>2620</v>
      </c>
      <c r="BS38" s="543" t="s">
        <v>2620</v>
      </c>
      <c r="BT38" s="543" t="s">
        <v>2620</v>
      </c>
      <c r="BU38" s="543" t="s">
        <v>2620</v>
      </c>
      <c r="BV38" s="543" t="s">
        <v>2620</v>
      </c>
      <c r="BW38" s="543" t="s">
        <v>2620</v>
      </c>
      <c r="BX38" s="543" t="s">
        <v>2620</v>
      </c>
      <c r="BY38" s="543" t="s">
        <v>2620</v>
      </c>
      <c r="BZ38" s="543" t="s">
        <v>2620</v>
      </c>
      <c r="CA38" s="543" t="s">
        <v>2620</v>
      </c>
      <c r="CB38" s="543" t="s">
        <v>2620</v>
      </c>
      <c r="CC38" s="543" t="s">
        <v>2620</v>
      </c>
      <c r="CD38" s="543" t="s">
        <v>2620</v>
      </c>
      <c r="CE38" s="543" t="s">
        <v>2620</v>
      </c>
      <c r="CF38" s="543" t="s">
        <v>2620</v>
      </c>
      <c r="CG38" s="543" t="s">
        <v>2620</v>
      </c>
      <c r="CH38" s="543" t="s">
        <v>2620</v>
      </c>
      <c r="CI38" s="543" t="s">
        <v>2620</v>
      </c>
      <c r="CJ38" s="543" t="s">
        <v>2620</v>
      </c>
      <c r="CK38" s="543" t="s">
        <v>2620</v>
      </c>
      <c r="CL38" s="543" t="s">
        <v>2620</v>
      </c>
      <c r="CM38" s="543" t="s">
        <v>2620</v>
      </c>
      <c r="CN38" s="543" t="s">
        <v>2620</v>
      </c>
      <c r="CO38" s="543" t="s">
        <v>2620</v>
      </c>
      <c r="CP38" s="543" t="s">
        <v>2620</v>
      </c>
      <c r="CQ38" s="543" t="s">
        <v>2620</v>
      </c>
      <c r="CR38" s="543" t="s">
        <v>2620</v>
      </c>
      <c r="CS38" s="543" t="s">
        <v>2620</v>
      </c>
      <c r="CT38" s="543" t="s">
        <v>2620</v>
      </c>
      <c r="CU38" s="543" t="s">
        <v>2620</v>
      </c>
      <c r="CV38" s="543" t="s">
        <v>2620</v>
      </c>
      <c r="CW38" s="543" t="s">
        <v>2620</v>
      </c>
      <c r="CX38" s="543" t="s">
        <v>2620</v>
      </c>
      <c r="CY38" s="543" t="s">
        <v>2620</v>
      </c>
      <c r="CZ38" s="543" t="s">
        <v>2620</v>
      </c>
      <c r="DA38" s="543" t="s">
        <v>2620</v>
      </c>
      <c r="DB38" s="543" t="s">
        <v>2620</v>
      </c>
      <c r="DC38" s="543" t="s">
        <v>2620</v>
      </c>
    </row>
    <row r="39" spans="1:107">
      <c r="A39" s="2015"/>
      <c r="B39" s="534"/>
      <c r="C39" s="535"/>
      <c r="D39" s="12" t="s">
        <v>130</v>
      </c>
      <c r="E39" s="13">
        <v>105</v>
      </c>
      <c r="F39" s="14" t="s">
        <v>2813</v>
      </c>
      <c r="G39" s="543" t="s">
        <v>2620</v>
      </c>
      <c r="H39" s="543" t="s">
        <v>2620</v>
      </c>
      <c r="I39" s="543" t="s">
        <v>2620</v>
      </c>
      <c r="J39" s="543" t="s">
        <v>2620</v>
      </c>
      <c r="K39" s="543" t="s">
        <v>2620</v>
      </c>
      <c r="L39" s="543" t="s">
        <v>2620</v>
      </c>
      <c r="M39" s="543" t="s">
        <v>2620</v>
      </c>
      <c r="N39" s="543" t="s">
        <v>2620</v>
      </c>
      <c r="O39" s="543" t="s">
        <v>2620</v>
      </c>
      <c r="P39" s="543" t="s">
        <v>2620</v>
      </c>
      <c r="Q39" s="543" t="s">
        <v>2620</v>
      </c>
      <c r="R39" s="543" t="s">
        <v>2620</v>
      </c>
      <c r="S39" s="543" t="s">
        <v>2620</v>
      </c>
      <c r="T39" s="543" t="s">
        <v>2620</v>
      </c>
      <c r="U39" s="543" t="s">
        <v>2620</v>
      </c>
      <c r="V39" s="543" t="s">
        <v>2620</v>
      </c>
      <c r="W39" s="543" t="s">
        <v>2620</v>
      </c>
      <c r="X39" s="543" t="s">
        <v>2620</v>
      </c>
      <c r="Y39" s="543" t="s">
        <v>2620</v>
      </c>
      <c r="Z39" s="543" t="s">
        <v>2620</v>
      </c>
      <c r="AA39" s="543" t="s">
        <v>2620</v>
      </c>
      <c r="AB39" s="543" t="s">
        <v>2620</v>
      </c>
      <c r="AC39" s="543" t="s">
        <v>2620</v>
      </c>
      <c r="AD39" s="543" t="s">
        <v>2620</v>
      </c>
      <c r="AE39" s="543" t="s">
        <v>2620</v>
      </c>
      <c r="AF39" s="543" t="s">
        <v>2620</v>
      </c>
      <c r="AG39" s="543" t="s">
        <v>2620</v>
      </c>
      <c r="AH39" s="543" t="s">
        <v>2620</v>
      </c>
      <c r="AI39" s="543" t="s">
        <v>2620</v>
      </c>
      <c r="AJ39" s="543" t="s">
        <v>2620</v>
      </c>
      <c r="AK39" s="543" t="s">
        <v>2620</v>
      </c>
      <c r="AL39" s="543" t="s">
        <v>2620</v>
      </c>
      <c r="AM39" s="543" t="s">
        <v>2620</v>
      </c>
      <c r="AN39" s="543" t="s">
        <v>2620</v>
      </c>
      <c r="AO39" s="543" t="s">
        <v>2620</v>
      </c>
      <c r="AP39" s="543" t="s">
        <v>2620</v>
      </c>
      <c r="AQ39" s="543" t="s">
        <v>2620</v>
      </c>
      <c r="AR39" s="543" t="s">
        <v>2620</v>
      </c>
      <c r="AS39" s="543" t="s">
        <v>2620</v>
      </c>
      <c r="AT39" s="543" t="s">
        <v>2620</v>
      </c>
      <c r="AU39" s="543" t="s">
        <v>2620</v>
      </c>
      <c r="AV39" s="543" t="s">
        <v>2620</v>
      </c>
      <c r="AW39" s="543" t="s">
        <v>2620</v>
      </c>
      <c r="AX39" s="543" t="s">
        <v>2620</v>
      </c>
      <c r="AY39" s="543" t="s">
        <v>2620</v>
      </c>
      <c r="AZ39" s="543" t="s">
        <v>2620</v>
      </c>
      <c r="BA39" s="543" t="s">
        <v>2620</v>
      </c>
      <c r="BB39" s="543" t="s">
        <v>2620</v>
      </c>
      <c r="BC39" s="543" t="s">
        <v>2620</v>
      </c>
      <c r="BD39" s="543" t="s">
        <v>2620</v>
      </c>
      <c r="BE39" s="543" t="s">
        <v>2620</v>
      </c>
      <c r="BF39" s="543" t="s">
        <v>2620</v>
      </c>
      <c r="BG39" s="543" t="s">
        <v>2620</v>
      </c>
      <c r="BH39" s="543" t="s">
        <v>2620</v>
      </c>
      <c r="BI39" s="543" t="s">
        <v>2620</v>
      </c>
      <c r="BJ39" s="543" t="s">
        <v>2620</v>
      </c>
      <c r="BK39" s="543" t="s">
        <v>2620</v>
      </c>
      <c r="BL39" s="543" t="s">
        <v>2620</v>
      </c>
      <c r="BM39" s="543" t="s">
        <v>2620</v>
      </c>
      <c r="BN39" s="543" t="s">
        <v>2620</v>
      </c>
      <c r="BO39" s="543" t="s">
        <v>2620</v>
      </c>
      <c r="BP39" s="543" t="s">
        <v>2620</v>
      </c>
      <c r="BQ39" s="543" t="s">
        <v>2620</v>
      </c>
      <c r="BR39" s="543" t="s">
        <v>2620</v>
      </c>
      <c r="BS39" s="543" t="s">
        <v>2620</v>
      </c>
      <c r="BT39" s="543" t="s">
        <v>2620</v>
      </c>
      <c r="BU39" s="543" t="s">
        <v>2620</v>
      </c>
      <c r="BV39" s="543" t="s">
        <v>2620</v>
      </c>
      <c r="BW39" s="543" t="s">
        <v>2620</v>
      </c>
      <c r="BX39" s="543" t="s">
        <v>2620</v>
      </c>
      <c r="BY39" s="543" t="s">
        <v>2620</v>
      </c>
      <c r="BZ39" s="543" t="s">
        <v>2620</v>
      </c>
      <c r="CA39" s="543" t="s">
        <v>2620</v>
      </c>
      <c r="CB39" s="543" t="s">
        <v>2620</v>
      </c>
      <c r="CC39" s="543" t="s">
        <v>2620</v>
      </c>
      <c r="CD39" s="543" t="s">
        <v>2620</v>
      </c>
      <c r="CE39" s="543" t="s">
        <v>2620</v>
      </c>
      <c r="CF39" s="543" t="s">
        <v>2620</v>
      </c>
      <c r="CG39" s="543" t="s">
        <v>2620</v>
      </c>
      <c r="CH39" s="543" t="s">
        <v>2620</v>
      </c>
      <c r="CI39" s="543" t="s">
        <v>2620</v>
      </c>
      <c r="CJ39" s="543" t="s">
        <v>2620</v>
      </c>
      <c r="CK39" s="543" t="s">
        <v>2620</v>
      </c>
      <c r="CL39" s="543" t="s">
        <v>2620</v>
      </c>
      <c r="CM39" s="543" t="s">
        <v>2620</v>
      </c>
      <c r="CN39" s="543" t="s">
        <v>2620</v>
      </c>
      <c r="CO39" s="543" t="s">
        <v>2620</v>
      </c>
      <c r="CP39" s="543" t="s">
        <v>2620</v>
      </c>
      <c r="CQ39" s="543" t="s">
        <v>2620</v>
      </c>
      <c r="CR39" s="543" t="s">
        <v>2620</v>
      </c>
      <c r="CS39" s="543" t="s">
        <v>2620</v>
      </c>
      <c r="CT39" s="543" t="s">
        <v>2620</v>
      </c>
      <c r="CU39" s="543" t="s">
        <v>2620</v>
      </c>
      <c r="CV39" s="543" t="s">
        <v>2620</v>
      </c>
      <c r="CW39" s="543" t="s">
        <v>2620</v>
      </c>
      <c r="CX39" s="543" t="s">
        <v>2620</v>
      </c>
      <c r="CY39" s="543" t="s">
        <v>2620</v>
      </c>
      <c r="CZ39" s="543" t="s">
        <v>2620</v>
      </c>
      <c r="DA39" s="543" t="s">
        <v>2620</v>
      </c>
      <c r="DB39" s="543" t="s">
        <v>2620</v>
      </c>
      <c r="DC39" s="543" t="s">
        <v>2620</v>
      </c>
    </row>
    <row r="40" spans="1:107">
      <c r="A40" s="2015"/>
      <c r="B40" s="534"/>
      <c r="C40" s="535"/>
      <c r="D40" s="12" t="s">
        <v>130</v>
      </c>
      <c r="E40" s="13">
        <v>106</v>
      </c>
      <c r="F40" s="14" t="s">
        <v>2814</v>
      </c>
      <c r="G40" s="543" t="s">
        <v>2620</v>
      </c>
      <c r="H40" s="543" t="s">
        <v>2620</v>
      </c>
      <c r="I40" s="543" t="s">
        <v>2620</v>
      </c>
      <c r="J40" s="543" t="s">
        <v>2620</v>
      </c>
      <c r="K40" s="543" t="s">
        <v>2620</v>
      </c>
      <c r="L40" s="543" t="s">
        <v>2620</v>
      </c>
      <c r="M40" s="543" t="s">
        <v>2620</v>
      </c>
      <c r="N40" s="543" t="s">
        <v>2620</v>
      </c>
      <c r="O40" s="543" t="s">
        <v>2620</v>
      </c>
      <c r="P40" s="543" t="s">
        <v>2620</v>
      </c>
      <c r="Q40" s="543" t="s">
        <v>2620</v>
      </c>
      <c r="R40" s="543" t="s">
        <v>2620</v>
      </c>
      <c r="S40" s="543" t="s">
        <v>2620</v>
      </c>
      <c r="T40" s="543" t="s">
        <v>2620</v>
      </c>
      <c r="U40" s="543" t="s">
        <v>2620</v>
      </c>
      <c r="V40" s="543" t="s">
        <v>2620</v>
      </c>
      <c r="W40" s="543" t="s">
        <v>2620</v>
      </c>
      <c r="X40" s="543" t="s">
        <v>2620</v>
      </c>
      <c r="Y40" s="543" t="s">
        <v>2620</v>
      </c>
      <c r="Z40" s="543" t="s">
        <v>2620</v>
      </c>
      <c r="AA40" s="543" t="s">
        <v>2620</v>
      </c>
      <c r="AB40" s="543" t="s">
        <v>2620</v>
      </c>
      <c r="AC40" s="543" t="s">
        <v>2620</v>
      </c>
      <c r="AD40" s="543" t="s">
        <v>2620</v>
      </c>
      <c r="AE40" s="543" t="s">
        <v>2620</v>
      </c>
      <c r="AF40" s="543" t="s">
        <v>2620</v>
      </c>
      <c r="AG40" s="543" t="s">
        <v>2620</v>
      </c>
      <c r="AH40" s="543" t="s">
        <v>2620</v>
      </c>
      <c r="AI40" s="543" t="s">
        <v>2620</v>
      </c>
      <c r="AJ40" s="543" t="s">
        <v>2620</v>
      </c>
      <c r="AK40" s="543" t="s">
        <v>2620</v>
      </c>
      <c r="AL40" s="543" t="s">
        <v>2620</v>
      </c>
      <c r="AM40" s="543" t="s">
        <v>2620</v>
      </c>
      <c r="AN40" s="543" t="s">
        <v>2620</v>
      </c>
      <c r="AO40" s="543" t="s">
        <v>2620</v>
      </c>
      <c r="AP40" s="543" t="s">
        <v>2620</v>
      </c>
      <c r="AQ40" s="543" t="s">
        <v>2620</v>
      </c>
      <c r="AR40" s="543" t="s">
        <v>2620</v>
      </c>
      <c r="AS40" s="543" t="s">
        <v>2620</v>
      </c>
      <c r="AT40" s="543" t="s">
        <v>2620</v>
      </c>
      <c r="AU40" s="543" t="s">
        <v>2620</v>
      </c>
      <c r="AV40" s="543" t="s">
        <v>2620</v>
      </c>
      <c r="AW40" s="543" t="s">
        <v>2620</v>
      </c>
      <c r="AX40" s="543" t="s">
        <v>2620</v>
      </c>
      <c r="AY40" s="543" t="s">
        <v>2620</v>
      </c>
      <c r="AZ40" s="543" t="s">
        <v>2620</v>
      </c>
      <c r="BA40" s="543" t="s">
        <v>2620</v>
      </c>
      <c r="BB40" s="543" t="s">
        <v>2620</v>
      </c>
      <c r="BC40" s="543" t="s">
        <v>2620</v>
      </c>
      <c r="BD40" s="543" t="s">
        <v>2620</v>
      </c>
      <c r="BE40" s="543" t="s">
        <v>2620</v>
      </c>
      <c r="BF40" s="543" t="s">
        <v>2620</v>
      </c>
      <c r="BG40" s="543" t="s">
        <v>2620</v>
      </c>
      <c r="BH40" s="543" t="s">
        <v>2620</v>
      </c>
      <c r="BI40" s="543" t="s">
        <v>2620</v>
      </c>
      <c r="BJ40" s="543" t="s">
        <v>2620</v>
      </c>
      <c r="BK40" s="543" t="s">
        <v>2620</v>
      </c>
      <c r="BL40" s="543" t="s">
        <v>2620</v>
      </c>
      <c r="BM40" s="543" t="s">
        <v>2620</v>
      </c>
      <c r="BN40" s="543" t="s">
        <v>2620</v>
      </c>
      <c r="BO40" s="543" t="s">
        <v>2620</v>
      </c>
      <c r="BP40" s="543" t="s">
        <v>2620</v>
      </c>
      <c r="BQ40" s="543" t="s">
        <v>2620</v>
      </c>
      <c r="BR40" s="543" t="s">
        <v>2620</v>
      </c>
      <c r="BS40" s="543" t="s">
        <v>2620</v>
      </c>
      <c r="BT40" s="543" t="s">
        <v>2620</v>
      </c>
      <c r="BU40" s="543" t="s">
        <v>2620</v>
      </c>
      <c r="BV40" s="543" t="s">
        <v>2620</v>
      </c>
      <c r="BW40" s="543" t="s">
        <v>2620</v>
      </c>
      <c r="BX40" s="543" t="s">
        <v>2620</v>
      </c>
      <c r="BY40" s="543" t="s">
        <v>2620</v>
      </c>
      <c r="BZ40" s="543" t="s">
        <v>2620</v>
      </c>
      <c r="CA40" s="543" t="s">
        <v>2620</v>
      </c>
      <c r="CB40" s="543" t="s">
        <v>2620</v>
      </c>
      <c r="CC40" s="543" t="s">
        <v>2620</v>
      </c>
      <c r="CD40" s="543" t="s">
        <v>2620</v>
      </c>
      <c r="CE40" s="543" t="s">
        <v>2620</v>
      </c>
      <c r="CF40" s="543" t="s">
        <v>2620</v>
      </c>
      <c r="CG40" s="543" t="s">
        <v>2620</v>
      </c>
      <c r="CH40" s="543" t="s">
        <v>2620</v>
      </c>
      <c r="CI40" s="543" t="s">
        <v>2620</v>
      </c>
      <c r="CJ40" s="543" t="s">
        <v>2620</v>
      </c>
      <c r="CK40" s="543" t="s">
        <v>2620</v>
      </c>
      <c r="CL40" s="543" t="s">
        <v>2620</v>
      </c>
      <c r="CM40" s="543" t="s">
        <v>2620</v>
      </c>
      <c r="CN40" s="543" t="s">
        <v>2620</v>
      </c>
      <c r="CO40" s="543" t="s">
        <v>2620</v>
      </c>
      <c r="CP40" s="543" t="s">
        <v>2620</v>
      </c>
      <c r="CQ40" s="543" t="s">
        <v>2620</v>
      </c>
      <c r="CR40" s="543" t="s">
        <v>2620</v>
      </c>
      <c r="CS40" s="543" t="s">
        <v>2620</v>
      </c>
      <c r="CT40" s="543" t="s">
        <v>2620</v>
      </c>
      <c r="CU40" s="543" t="s">
        <v>2620</v>
      </c>
      <c r="CV40" s="543" t="s">
        <v>2620</v>
      </c>
      <c r="CW40" s="543" t="s">
        <v>2620</v>
      </c>
      <c r="CX40" s="543" t="s">
        <v>2620</v>
      </c>
      <c r="CY40" s="543" t="s">
        <v>2620</v>
      </c>
      <c r="CZ40" s="543" t="s">
        <v>2620</v>
      </c>
      <c r="DA40" s="543" t="s">
        <v>2620</v>
      </c>
      <c r="DB40" s="543" t="s">
        <v>2620</v>
      </c>
      <c r="DC40" s="543" t="s">
        <v>2620</v>
      </c>
    </row>
    <row r="41" spans="1:107">
      <c r="A41" s="2015"/>
      <c r="B41" s="534"/>
      <c r="C41" s="535"/>
      <c r="D41" s="12" t="s">
        <v>130</v>
      </c>
      <c r="E41" s="13">
        <v>107</v>
      </c>
      <c r="F41" s="14" t="s">
        <v>2815</v>
      </c>
      <c r="G41" s="543" t="s">
        <v>2620</v>
      </c>
      <c r="H41" s="543" t="s">
        <v>2620</v>
      </c>
      <c r="I41" s="543" t="s">
        <v>2620</v>
      </c>
      <c r="J41" s="543" t="s">
        <v>2620</v>
      </c>
      <c r="K41" s="543" t="s">
        <v>2620</v>
      </c>
      <c r="L41" s="543" t="s">
        <v>2620</v>
      </c>
      <c r="M41" s="543" t="s">
        <v>2620</v>
      </c>
      <c r="N41" s="543" t="s">
        <v>2620</v>
      </c>
      <c r="O41" s="543" t="s">
        <v>2620</v>
      </c>
      <c r="P41" s="543" t="s">
        <v>2620</v>
      </c>
      <c r="Q41" s="543" t="s">
        <v>2620</v>
      </c>
      <c r="R41" s="543" t="s">
        <v>2620</v>
      </c>
      <c r="S41" s="543" t="s">
        <v>2620</v>
      </c>
      <c r="T41" s="543" t="s">
        <v>2620</v>
      </c>
      <c r="U41" s="543" t="s">
        <v>2620</v>
      </c>
      <c r="V41" s="543" t="s">
        <v>2620</v>
      </c>
      <c r="W41" s="543" t="s">
        <v>2620</v>
      </c>
      <c r="X41" s="543" t="s">
        <v>2620</v>
      </c>
      <c r="Y41" s="543" t="s">
        <v>2620</v>
      </c>
      <c r="Z41" s="543" t="s">
        <v>2620</v>
      </c>
      <c r="AA41" s="543" t="s">
        <v>2620</v>
      </c>
      <c r="AB41" s="543" t="s">
        <v>2620</v>
      </c>
      <c r="AC41" s="543" t="s">
        <v>2620</v>
      </c>
      <c r="AD41" s="543" t="s">
        <v>2620</v>
      </c>
      <c r="AE41" s="543" t="s">
        <v>2620</v>
      </c>
      <c r="AF41" s="543" t="s">
        <v>2620</v>
      </c>
      <c r="AG41" s="543" t="s">
        <v>2620</v>
      </c>
      <c r="AH41" s="543" t="s">
        <v>2620</v>
      </c>
      <c r="AI41" s="543" t="s">
        <v>2620</v>
      </c>
      <c r="AJ41" s="543" t="s">
        <v>2620</v>
      </c>
      <c r="AK41" s="543" t="s">
        <v>2620</v>
      </c>
      <c r="AL41" s="543" t="s">
        <v>2620</v>
      </c>
      <c r="AM41" s="543" t="s">
        <v>2620</v>
      </c>
      <c r="AN41" s="543" t="s">
        <v>2620</v>
      </c>
      <c r="AO41" s="543" t="s">
        <v>2620</v>
      </c>
      <c r="AP41" s="543" t="s">
        <v>2620</v>
      </c>
      <c r="AQ41" s="543" t="s">
        <v>2620</v>
      </c>
      <c r="AR41" s="543" t="s">
        <v>2620</v>
      </c>
      <c r="AS41" s="543" t="s">
        <v>2620</v>
      </c>
      <c r="AT41" s="543" t="s">
        <v>2620</v>
      </c>
      <c r="AU41" s="543" t="s">
        <v>2620</v>
      </c>
      <c r="AV41" s="543" t="s">
        <v>2620</v>
      </c>
      <c r="AW41" s="543" t="s">
        <v>2620</v>
      </c>
      <c r="AX41" s="543" t="s">
        <v>2620</v>
      </c>
      <c r="AY41" s="543" t="s">
        <v>2620</v>
      </c>
      <c r="AZ41" s="543" t="s">
        <v>2620</v>
      </c>
      <c r="BA41" s="543" t="s">
        <v>2620</v>
      </c>
      <c r="BB41" s="543" t="s">
        <v>2620</v>
      </c>
      <c r="BC41" s="543" t="s">
        <v>2620</v>
      </c>
      <c r="BD41" s="543" t="s">
        <v>2620</v>
      </c>
      <c r="BE41" s="543" t="s">
        <v>2620</v>
      </c>
      <c r="BF41" s="543" t="s">
        <v>2620</v>
      </c>
      <c r="BG41" s="543" t="s">
        <v>2620</v>
      </c>
      <c r="BH41" s="543" t="s">
        <v>2620</v>
      </c>
      <c r="BI41" s="543" t="s">
        <v>2620</v>
      </c>
      <c r="BJ41" s="543" t="s">
        <v>2620</v>
      </c>
      <c r="BK41" s="543" t="s">
        <v>2620</v>
      </c>
      <c r="BL41" s="543" t="s">
        <v>2620</v>
      </c>
      <c r="BM41" s="543" t="s">
        <v>2620</v>
      </c>
      <c r="BN41" s="543" t="s">
        <v>2620</v>
      </c>
      <c r="BO41" s="543" t="s">
        <v>2620</v>
      </c>
      <c r="BP41" s="543" t="s">
        <v>2620</v>
      </c>
      <c r="BQ41" s="543" t="s">
        <v>2620</v>
      </c>
      <c r="BR41" s="543" t="s">
        <v>2620</v>
      </c>
      <c r="BS41" s="543" t="s">
        <v>2620</v>
      </c>
      <c r="BT41" s="543" t="s">
        <v>2620</v>
      </c>
      <c r="BU41" s="543" t="s">
        <v>2620</v>
      </c>
      <c r="BV41" s="543" t="s">
        <v>2620</v>
      </c>
      <c r="BW41" s="543" t="s">
        <v>2620</v>
      </c>
      <c r="BX41" s="543" t="s">
        <v>2620</v>
      </c>
      <c r="BY41" s="543" t="s">
        <v>2620</v>
      </c>
      <c r="BZ41" s="543" t="s">
        <v>2620</v>
      </c>
      <c r="CA41" s="543" t="s">
        <v>2620</v>
      </c>
      <c r="CB41" s="543" t="s">
        <v>2620</v>
      </c>
      <c r="CC41" s="543" t="s">
        <v>2620</v>
      </c>
      <c r="CD41" s="543" t="s">
        <v>2620</v>
      </c>
      <c r="CE41" s="543" t="s">
        <v>2620</v>
      </c>
      <c r="CF41" s="543" t="s">
        <v>2620</v>
      </c>
      <c r="CG41" s="543" t="s">
        <v>2620</v>
      </c>
      <c r="CH41" s="543" t="s">
        <v>2620</v>
      </c>
      <c r="CI41" s="543" t="s">
        <v>2620</v>
      </c>
      <c r="CJ41" s="543" t="s">
        <v>2620</v>
      </c>
      <c r="CK41" s="543" t="s">
        <v>2620</v>
      </c>
      <c r="CL41" s="543" t="s">
        <v>2620</v>
      </c>
      <c r="CM41" s="543" t="s">
        <v>2620</v>
      </c>
      <c r="CN41" s="543" t="s">
        <v>2620</v>
      </c>
      <c r="CO41" s="543" t="s">
        <v>2620</v>
      </c>
      <c r="CP41" s="543" t="s">
        <v>2620</v>
      </c>
      <c r="CQ41" s="543" t="s">
        <v>2620</v>
      </c>
      <c r="CR41" s="543" t="s">
        <v>2620</v>
      </c>
      <c r="CS41" s="543" t="s">
        <v>2620</v>
      </c>
      <c r="CT41" s="543" t="s">
        <v>2620</v>
      </c>
      <c r="CU41" s="543" t="s">
        <v>2620</v>
      </c>
      <c r="CV41" s="543" t="s">
        <v>2620</v>
      </c>
      <c r="CW41" s="543" t="s">
        <v>2620</v>
      </c>
      <c r="CX41" s="543" t="s">
        <v>2620</v>
      </c>
      <c r="CY41" s="543" t="s">
        <v>2620</v>
      </c>
      <c r="CZ41" s="543" t="s">
        <v>2620</v>
      </c>
      <c r="DA41" s="543" t="s">
        <v>2620</v>
      </c>
      <c r="DB41" s="543" t="s">
        <v>2620</v>
      </c>
      <c r="DC41" s="543" t="s">
        <v>2620</v>
      </c>
    </row>
    <row r="42" spans="1:107">
      <c r="A42" s="2015"/>
      <c r="B42" s="534"/>
      <c r="C42" s="535"/>
      <c r="D42" s="12" t="s">
        <v>130</v>
      </c>
      <c r="E42" s="13">
        <v>108</v>
      </c>
      <c r="F42" s="14" t="s">
        <v>2816</v>
      </c>
      <c r="G42" s="543" t="s">
        <v>2620</v>
      </c>
      <c r="H42" s="543" t="s">
        <v>2620</v>
      </c>
      <c r="I42" s="543" t="s">
        <v>2620</v>
      </c>
      <c r="J42" s="543" t="s">
        <v>2620</v>
      </c>
      <c r="K42" s="543" t="s">
        <v>2620</v>
      </c>
      <c r="L42" s="543" t="s">
        <v>2620</v>
      </c>
      <c r="M42" s="543" t="s">
        <v>2620</v>
      </c>
      <c r="N42" s="543" t="s">
        <v>2620</v>
      </c>
      <c r="O42" s="543" t="s">
        <v>2620</v>
      </c>
      <c r="P42" s="543" t="s">
        <v>2620</v>
      </c>
      <c r="Q42" s="543" t="s">
        <v>2620</v>
      </c>
      <c r="R42" s="543" t="s">
        <v>2620</v>
      </c>
      <c r="S42" s="543" t="s">
        <v>2620</v>
      </c>
      <c r="T42" s="543" t="s">
        <v>2620</v>
      </c>
      <c r="U42" s="543" t="s">
        <v>2620</v>
      </c>
      <c r="V42" s="543" t="s">
        <v>2620</v>
      </c>
      <c r="W42" s="543" t="s">
        <v>2620</v>
      </c>
      <c r="X42" s="543" t="s">
        <v>2620</v>
      </c>
      <c r="Y42" s="543" t="s">
        <v>2620</v>
      </c>
      <c r="Z42" s="543" t="s">
        <v>2620</v>
      </c>
      <c r="AA42" s="543" t="s">
        <v>2620</v>
      </c>
      <c r="AB42" s="543" t="s">
        <v>2620</v>
      </c>
      <c r="AC42" s="543" t="s">
        <v>2620</v>
      </c>
      <c r="AD42" s="543" t="s">
        <v>2620</v>
      </c>
      <c r="AE42" s="543" t="s">
        <v>2620</v>
      </c>
      <c r="AF42" s="543" t="s">
        <v>2620</v>
      </c>
      <c r="AG42" s="543" t="s">
        <v>2620</v>
      </c>
      <c r="AH42" s="543" t="s">
        <v>2620</v>
      </c>
      <c r="AI42" s="543" t="s">
        <v>2620</v>
      </c>
      <c r="AJ42" s="543" t="s">
        <v>2620</v>
      </c>
      <c r="AK42" s="543" t="s">
        <v>2620</v>
      </c>
      <c r="AL42" s="543" t="s">
        <v>2620</v>
      </c>
      <c r="AM42" s="543" t="s">
        <v>2620</v>
      </c>
      <c r="AN42" s="543" t="s">
        <v>2620</v>
      </c>
      <c r="AO42" s="543" t="s">
        <v>2620</v>
      </c>
      <c r="AP42" s="543" t="s">
        <v>2620</v>
      </c>
      <c r="AQ42" s="543" t="s">
        <v>2620</v>
      </c>
      <c r="AR42" s="543" t="s">
        <v>2620</v>
      </c>
      <c r="AS42" s="543" t="s">
        <v>2620</v>
      </c>
      <c r="AT42" s="543" t="s">
        <v>2620</v>
      </c>
      <c r="AU42" s="543" t="s">
        <v>2620</v>
      </c>
      <c r="AV42" s="543" t="s">
        <v>2620</v>
      </c>
      <c r="AW42" s="543" t="s">
        <v>2620</v>
      </c>
      <c r="AX42" s="543" t="s">
        <v>2620</v>
      </c>
      <c r="AY42" s="543" t="s">
        <v>2620</v>
      </c>
      <c r="AZ42" s="543" t="s">
        <v>2620</v>
      </c>
      <c r="BA42" s="543" t="s">
        <v>2620</v>
      </c>
      <c r="BB42" s="543" t="s">
        <v>2620</v>
      </c>
      <c r="BC42" s="543" t="s">
        <v>2620</v>
      </c>
      <c r="BD42" s="543" t="s">
        <v>2620</v>
      </c>
      <c r="BE42" s="543" t="s">
        <v>2620</v>
      </c>
      <c r="BF42" s="543" t="s">
        <v>2620</v>
      </c>
      <c r="BG42" s="543" t="s">
        <v>2620</v>
      </c>
      <c r="BH42" s="543" t="s">
        <v>2620</v>
      </c>
      <c r="BI42" s="543" t="s">
        <v>2620</v>
      </c>
      <c r="BJ42" s="543" t="s">
        <v>2620</v>
      </c>
      <c r="BK42" s="543" t="s">
        <v>2620</v>
      </c>
      <c r="BL42" s="543" t="s">
        <v>2620</v>
      </c>
      <c r="BM42" s="543" t="s">
        <v>2620</v>
      </c>
      <c r="BN42" s="543" t="s">
        <v>2620</v>
      </c>
      <c r="BO42" s="543" t="s">
        <v>2620</v>
      </c>
      <c r="BP42" s="543" t="s">
        <v>2620</v>
      </c>
      <c r="BQ42" s="543" t="s">
        <v>2620</v>
      </c>
      <c r="BR42" s="543" t="s">
        <v>2620</v>
      </c>
      <c r="BS42" s="543" t="s">
        <v>2620</v>
      </c>
      <c r="BT42" s="543" t="s">
        <v>2620</v>
      </c>
      <c r="BU42" s="543" t="s">
        <v>2620</v>
      </c>
      <c r="BV42" s="543" t="s">
        <v>2620</v>
      </c>
      <c r="BW42" s="543" t="s">
        <v>2620</v>
      </c>
      <c r="BX42" s="543" t="s">
        <v>2620</v>
      </c>
      <c r="BY42" s="543" t="s">
        <v>2620</v>
      </c>
      <c r="BZ42" s="543" t="s">
        <v>2620</v>
      </c>
      <c r="CA42" s="543" t="s">
        <v>2620</v>
      </c>
      <c r="CB42" s="543" t="s">
        <v>2620</v>
      </c>
      <c r="CC42" s="543" t="s">
        <v>2620</v>
      </c>
      <c r="CD42" s="543" t="s">
        <v>2620</v>
      </c>
      <c r="CE42" s="543" t="s">
        <v>2620</v>
      </c>
      <c r="CF42" s="543" t="s">
        <v>2620</v>
      </c>
      <c r="CG42" s="543" t="s">
        <v>2620</v>
      </c>
      <c r="CH42" s="543" t="s">
        <v>2620</v>
      </c>
      <c r="CI42" s="543" t="s">
        <v>2620</v>
      </c>
      <c r="CJ42" s="543" t="s">
        <v>2620</v>
      </c>
      <c r="CK42" s="543" t="s">
        <v>2620</v>
      </c>
      <c r="CL42" s="543" t="s">
        <v>2620</v>
      </c>
      <c r="CM42" s="543" t="s">
        <v>2620</v>
      </c>
      <c r="CN42" s="543" t="s">
        <v>2620</v>
      </c>
      <c r="CO42" s="543" t="s">
        <v>2620</v>
      </c>
      <c r="CP42" s="543" t="s">
        <v>2620</v>
      </c>
      <c r="CQ42" s="543" t="s">
        <v>2620</v>
      </c>
      <c r="CR42" s="543" t="s">
        <v>2620</v>
      </c>
      <c r="CS42" s="543" t="s">
        <v>2620</v>
      </c>
      <c r="CT42" s="543" t="s">
        <v>2620</v>
      </c>
      <c r="CU42" s="543" t="s">
        <v>2620</v>
      </c>
      <c r="CV42" s="543" t="s">
        <v>2620</v>
      </c>
      <c r="CW42" s="543" t="s">
        <v>2620</v>
      </c>
      <c r="CX42" s="543" t="s">
        <v>2620</v>
      </c>
      <c r="CY42" s="543" t="s">
        <v>2620</v>
      </c>
      <c r="CZ42" s="543" t="s">
        <v>2620</v>
      </c>
      <c r="DA42" s="543" t="s">
        <v>2620</v>
      </c>
      <c r="DB42" s="543" t="s">
        <v>2620</v>
      </c>
      <c r="DC42" s="543" t="s">
        <v>2620</v>
      </c>
    </row>
    <row r="43" spans="1:107">
      <c r="A43" s="2015"/>
      <c r="B43" s="534"/>
      <c r="C43" s="535"/>
      <c r="D43" s="12" t="s">
        <v>130</v>
      </c>
      <c r="E43" s="13">
        <v>109</v>
      </c>
      <c r="F43" s="14" t="s">
        <v>2817</v>
      </c>
      <c r="G43" s="543" t="s">
        <v>2620</v>
      </c>
      <c r="H43" s="543" t="s">
        <v>2620</v>
      </c>
      <c r="I43" s="543" t="s">
        <v>2620</v>
      </c>
      <c r="J43" s="543" t="s">
        <v>2620</v>
      </c>
      <c r="K43" s="543" t="s">
        <v>2620</v>
      </c>
      <c r="L43" s="543" t="s">
        <v>2620</v>
      </c>
      <c r="M43" s="543" t="s">
        <v>2620</v>
      </c>
      <c r="N43" s="543" t="s">
        <v>2620</v>
      </c>
      <c r="O43" s="543" t="s">
        <v>2620</v>
      </c>
      <c r="P43" s="543" t="s">
        <v>2620</v>
      </c>
      <c r="Q43" s="543" t="s">
        <v>2620</v>
      </c>
      <c r="R43" s="543" t="s">
        <v>2620</v>
      </c>
      <c r="S43" s="543" t="s">
        <v>2620</v>
      </c>
      <c r="T43" s="543" t="s">
        <v>2620</v>
      </c>
      <c r="U43" s="543" t="s">
        <v>2620</v>
      </c>
      <c r="V43" s="543" t="s">
        <v>2620</v>
      </c>
      <c r="W43" s="543" t="s">
        <v>2620</v>
      </c>
      <c r="X43" s="543" t="s">
        <v>2620</v>
      </c>
      <c r="Y43" s="543" t="s">
        <v>2620</v>
      </c>
      <c r="Z43" s="543" t="s">
        <v>2620</v>
      </c>
      <c r="AA43" s="543" t="s">
        <v>2620</v>
      </c>
      <c r="AB43" s="543" t="s">
        <v>2620</v>
      </c>
      <c r="AC43" s="543" t="s">
        <v>2620</v>
      </c>
      <c r="AD43" s="543" t="s">
        <v>2620</v>
      </c>
      <c r="AE43" s="543" t="s">
        <v>2620</v>
      </c>
      <c r="AF43" s="543" t="s">
        <v>2620</v>
      </c>
      <c r="AG43" s="543" t="s">
        <v>2620</v>
      </c>
      <c r="AH43" s="543" t="s">
        <v>2620</v>
      </c>
      <c r="AI43" s="543" t="s">
        <v>2620</v>
      </c>
      <c r="AJ43" s="543" t="s">
        <v>2620</v>
      </c>
      <c r="AK43" s="543" t="s">
        <v>2620</v>
      </c>
      <c r="AL43" s="543" t="s">
        <v>2620</v>
      </c>
      <c r="AM43" s="543" t="s">
        <v>2620</v>
      </c>
      <c r="AN43" s="543" t="s">
        <v>2620</v>
      </c>
      <c r="AO43" s="543" t="s">
        <v>2620</v>
      </c>
      <c r="AP43" s="543" t="s">
        <v>2620</v>
      </c>
      <c r="AQ43" s="543" t="s">
        <v>2620</v>
      </c>
      <c r="AR43" s="543" t="s">
        <v>2620</v>
      </c>
      <c r="AS43" s="543" t="s">
        <v>2620</v>
      </c>
      <c r="AT43" s="543" t="s">
        <v>2620</v>
      </c>
      <c r="AU43" s="543" t="s">
        <v>2620</v>
      </c>
      <c r="AV43" s="543" t="s">
        <v>2620</v>
      </c>
      <c r="AW43" s="543" t="s">
        <v>2620</v>
      </c>
      <c r="AX43" s="543" t="s">
        <v>2620</v>
      </c>
      <c r="AY43" s="543" t="s">
        <v>2620</v>
      </c>
      <c r="AZ43" s="543" t="s">
        <v>2620</v>
      </c>
      <c r="BA43" s="543" t="s">
        <v>2620</v>
      </c>
      <c r="BB43" s="543" t="s">
        <v>2620</v>
      </c>
      <c r="BC43" s="543" t="s">
        <v>2620</v>
      </c>
      <c r="BD43" s="543" t="s">
        <v>2620</v>
      </c>
      <c r="BE43" s="543" t="s">
        <v>2620</v>
      </c>
      <c r="BF43" s="543" t="s">
        <v>2620</v>
      </c>
      <c r="BG43" s="543" t="s">
        <v>2620</v>
      </c>
      <c r="BH43" s="543" t="s">
        <v>2620</v>
      </c>
      <c r="BI43" s="543" t="s">
        <v>2620</v>
      </c>
      <c r="BJ43" s="543" t="s">
        <v>2620</v>
      </c>
      <c r="BK43" s="543" t="s">
        <v>2620</v>
      </c>
      <c r="BL43" s="543" t="s">
        <v>2620</v>
      </c>
      <c r="BM43" s="543" t="s">
        <v>2620</v>
      </c>
      <c r="BN43" s="543" t="s">
        <v>2620</v>
      </c>
      <c r="BO43" s="543" t="s">
        <v>2620</v>
      </c>
      <c r="BP43" s="543" t="s">
        <v>2620</v>
      </c>
      <c r="BQ43" s="543" t="s">
        <v>2620</v>
      </c>
      <c r="BR43" s="543" t="s">
        <v>2620</v>
      </c>
      <c r="BS43" s="543" t="s">
        <v>2620</v>
      </c>
      <c r="BT43" s="543" t="s">
        <v>2620</v>
      </c>
      <c r="BU43" s="543" t="s">
        <v>2620</v>
      </c>
      <c r="BV43" s="543" t="s">
        <v>2620</v>
      </c>
      <c r="BW43" s="543" t="s">
        <v>2620</v>
      </c>
      <c r="BX43" s="543" t="s">
        <v>2620</v>
      </c>
      <c r="BY43" s="543" t="s">
        <v>2620</v>
      </c>
      <c r="BZ43" s="543" t="s">
        <v>2620</v>
      </c>
      <c r="CA43" s="543" t="s">
        <v>2620</v>
      </c>
      <c r="CB43" s="543" t="s">
        <v>2620</v>
      </c>
      <c r="CC43" s="543" t="s">
        <v>2620</v>
      </c>
      <c r="CD43" s="543" t="s">
        <v>2620</v>
      </c>
      <c r="CE43" s="543" t="s">
        <v>2620</v>
      </c>
      <c r="CF43" s="543" t="s">
        <v>2620</v>
      </c>
      <c r="CG43" s="543" t="s">
        <v>2620</v>
      </c>
      <c r="CH43" s="543" t="s">
        <v>2620</v>
      </c>
      <c r="CI43" s="543" t="s">
        <v>2620</v>
      </c>
      <c r="CJ43" s="543" t="s">
        <v>2620</v>
      </c>
      <c r="CK43" s="543" t="s">
        <v>2620</v>
      </c>
      <c r="CL43" s="543" t="s">
        <v>2620</v>
      </c>
      <c r="CM43" s="543" t="s">
        <v>2620</v>
      </c>
      <c r="CN43" s="543" t="s">
        <v>2620</v>
      </c>
      <c r="CO43" s="543" t="s">
        <v>2620</v>
      </c>
      <c r="CP43" s="543" t="s">
        <v>2620</v>
      </c>
      <c r="CQ43" s="543" t="s">
        <v>2620</v>
      </c>
      <c r="CR43" s="543" t="s">
        <v>2620</v>
      </c>
      <c r="CS43" s="543" t="s">
        <v>2620</v>
      </c>
      <c r="CT43" s="543" t="s">
        <v>2620</v>
      </c>
      <c r="CU43" s="543" t="s">
        <v>2620</v>
      </c>
      <c r="CV43" s="543" t="s">
        <v>2620</v>
      </c>
      <c r="CW43" s="543" t="s">
        <v>2620</v>
      </c>
      <c r="CX43" s="543" t="s">
        <v>2620</v>
      </c>
      <c r="CY43" s="543" t="s">
        <v>2620</v>
      </c>
      <c r="CZ43" s="543" t="s">
        <v>2620</v>
      </c>
      <c r="DA43" s="543" t="s">
        <v>2620</v>
      </c>
      <c r="DB43" s="543" t="s">
        <v>2620</v>
      </c>
      <c r="DC43" s="543" t="s">
        <v>2620</v>
      </c>
    </row>
    <row r="44" spans="1:107">
      <c r="A44" s="2015"/>
      <c r="B44" s="534"/>
      <c r="C44" s="535"/>
      <c r="D44" s="12" t="s">
        <v>130</v>
      </c>
      <c r="E44" s="13">
        <v>110</v>
      </c>
      <c r="F44" s="14" t="s">
        <v>2818</v>
      </c>
      <c r="G44" s="543" t="s">
        <v>2620</v>
      </c>
      <c r="H44" s="543" t="s">
        <v>2620</v>
      </c>
      <c r="I44" s="543" t="s">
        <v>2620</v>
      </c>
      <c r="J44" s="543" t="s">
        <v>2620</v>
      </c>
      <c r="K44" s="543" t="s">
        <v>2620</v>
      </c>
      <c r="L44" s="543" t="s">
        <v>2620</v>
      </c>
      <c r="M44" s="543" t="s">
        <v>2620</v>
      </c>
      <c r="N44" s="543" t="s">
        <v>2620</v>
      </c>
      <c r="O44" s="543" t="s">
        <v>2620</v>
      </c>
      <c r="P44" s="543" t="s">
        <v>2620</v>
      </c>
      <c r="Q44" s="543" t="s">
        <v>2620</v>
      </c>
      <c r="R44" s="543" t="s">
        <v>2620</v>
      </c>
      <c r="S44" s="543" t="s">
        <v>2620</v>
      </c>
      <c r="T44" s="543" t="s">
        <v>2620</v>
      </c>
      <c r="U44" s="543" t="s">
        <v>2620</v>
      </c>
      <c r="V44" s="543" t="s">
        <v>2620</v>
      </c>
      <c r="W44" s="543" t="s">
        <v>2620</v>
      </c>
      <c r="X44" s="543" t="s">
        <v>2620</v>
      </c>
      <c r="Y44" s="543" t="s">
        <v>2620</v>
      </c>
      <c r="Z44" s="543" t="s">
        <v>2620</v>
      </c>
      <c r="AA44" s="543" t="s">
        <v>2620</v>
      </c>
      <c r="AB44" s="543" t="s">
        <v>2620</v>
      </c>
      <c r="AC44" s="543" t="s">
        <v>2620</v>
      </c>
      <c r="AD44" s="543" t="s">
        <v>2620</v>
      </c>
      <c r="AE44" s="543" t="s">
        <v>2620</v>
      </c>
      <c r="AF44" s="543" t="s">
        <v>2620</v>
      </c>
      <c r="AG44" s="543" t="s">
        <v>2620</v>
      </c>
      <c r="AH44" s="543" t="s">
        <v>2620</v>
      </c>
      <c r="AI44" s="543" t="s">
        <v>2620</v>
      </c>
      <c r="AJ44" s="543" t="s">
        <v>2620</v>
      </c>
      <c r="AK44" s="543" t="s">
        <v>2620</v>
      </c>
      <c r="AL44" s="543" t="s">
        <v>2620</v>
      </c>
      <c r="AM44" s="543" t="s">
        <v>2620</v>
      </c>
      <c r="AN44" s="543" t="s">
        <v>2620</v>
      </c>
      <c r="AO44" s="543" t="s">
        <v>2620</v>
      </c>
      <c r="AP44" s="543" t="s">
        <v>2620</v>
      </c>
      <c r="AQ44" s="543" t="s">
        <v>2620</v>
      </c>
      <c r="AR44" s="543" t="s">
        <v>2620</v>
      </c>
      <c r="AS44" s="543" t="s">
        <v>2620</v>
      </c>
      <c r="AT44" s="543" t="s">
        <v>2620</v>
      </c>
      <c r="AU44" s="543" t="s">
        <v>2620</v>
      </c>
      <c r="AV44" s="543" t="s">
        <v>2620</v>
      </c>
      <c r="AW44" s="543" t="s">
        <v>2620</v>
      </c>
      <c r="AX44" s="543" t="s">
        <v>2620</v>
      </c>
      <c r="AY44" s="543" t="s">
        <v>2620</v>
      </c>
      <c r="AZ44" s="543" t="s">
        <v>2620</v>
      </c>
      <c r="BA44" s="543" t="s">
        <v>2620</v>
      </c>
      <c r="BB44" s="543" t="s">
        <v>2620</v>
      </c>
      <c r="BC44" s="543" t="s">
        <v>2620</v>
      </c>
      <c r="BD44" s="543" t="s">
        <v>2620</v>
      </c>
      <c r="BE44" s="543" t="s">
        <v>2620</v>
      </c>
      <c r="BF44" s="543" t="s">
        <v>2620</v>
      </c>
      <c r="BG44" s="543" t="s">
        <v>2620</v>
      </c>
      <c r="BH44" s="543" t="s">
        <v>2620</v>
      </c>
      <c r="BI44" s="543" t="s">
        <v>2620</v>
      </c>
      <c r="BJ44" s="543" t="s">
        <v>2620</v>
      </c>
      <c r="BK44" s="543" t="s">
        <v>2620</v>
      </c>
      <c r="BL44" s="543" t="s">
        <v>2620</v>
      </c>
      <c r="BM44" s="543" t="s">
        <v>2620</v>
      </c>
      <c r="BN44" s="543" t="s">
        <v>2620</v>
      </c>
      <c r="BO44" s="543" t="s">
        <v>2620</v>
      </c>
      <c r="BP44" s="543" t="s">
        <v>2620</v>
      </c>
      <c r="BQ44" s="543" t="s">
        <v>2620</v>
      </c>
      <c r="BR44" s="543" t="s">
        <v>2620</v>
      </c>
      <c r="BS44" s="543" t="s">
        <v>2620</v>
      </c>
      <c r="BT44" s="543" t="s">
        <v>2620</v>
      </c>
      <c r="BU44" s="543" t="s">
        <v>2620</v>
      </c>
      <c r="BV44" s="543" t="s">
        <v>2620</v>
      </c>
      <c r="BW44" s="543" t="s">
        <v>2620</v>
      </c>
      <c r="BX44" s="543" t="s">
        <v>2620</v>
      </c>
      <c r="BY44" s="543" t="s">
        <v>2620</v>
      </c>
      <c r="BZ44" s="543" t="s">
        <v>2620</v>
      </c>
      <c r="CA44" s="543" t="s">
        <v>2620</v>
      </c>
      <c r="CB44" s="543" t="s">
        <v>2620</v>
      </c>
      <c r="CC44" s="543" t="s">
        <v>2620</v>
      </c>
      <c r="CD44" s="543" t="s">
        <v>2620</v>
      </c>
      <c r="CE44" s="543" t="s">
        <v>2620</v>
      </c>
      <c r="CF44" s="543" t="s">
        <v>2620</v>
      </c>
      <c r="CG44" s="543" t="s">
        <v>2620</v>
      </c>
      <c r="CH44" s="543" t="s">
        <v>2620</v>
      </c>
      <c r="CI44" s="543" t="s">
        <v>2620</v>
      </c>
      <c r="CJ44" s="543" t="s">
        <v>2620</v>
      </c>
      <c r="CK44" s="543" t="s">
        <v>2620</v>
      </c>
      <c r="CL44" s="543" t="s">
        <v>2620</v>
      </c>
      <c r="CM44" s="543" t="s">
        <v>2620</v>
      </c>
      <c r="CN44" s="543" t="s">
        <v>2620</v>
      </c>
      <c r="CO44" s="543" t="s">
        <v>2620</v>
      </c>
      <c r="CP44" s="543" t="s">
        <v>2620</v>
      </c>
      <c r="CQ44" s="543" t="s">
        <v>2620</v>
      </c>
      <c r="CR44" s="543" t="s">
        <v>2620</v>
      </c>
      <c r="CS44" s="543" t="s">
        <v>2620</v>
      </c>
      <c r="CT44" s="543" t="s">
        <v>2620</v>
      </c>
      <c r="CU44" s="543" t="s">
        <v>2620</v>
      </c>
      <c r="CV44" s="543" t="s">
        <v>2620</v>
      </c>
      <c r="CW44" s="543" t="s">
        <v>2620</v>
      </c>
      <c r="CX44" s="543" t="s">
        <v>2620</v>
      </c>
      <c r="CY44" s="543" t="s">
        <v>2620</v>
      </c>
      <c r="CZ44" s="543" t="s">
        <v>2620</v>
      </c>
      <c r="DA44" s="543" t="s">
        <v>2620</v>
      </c>
      <c r="DB44" s="543" t="s">
        <v>2620</v>
      </c>
      <c r="DC44" s="543" t="s">
        <v>2620</v>
      </c>
    </row>
    <row r="45" spans="1:107">
      <c r="A45" s="2015"/>
      <c r="B45" s="534"/>
      <c r="C45" s="535"/>
      <c r="D45" s="12" t="s">
        <v>130</v>
      </c>
      <c r="E45" s="13">
        <v>111</v>
      </c>
      <c r="F45" s="14" t="s">
        <v>2819</v>
      </c>
      <c r="G45" s="543" t="s">
        <v>2620</v>
      </c>
      <c r="H45" s="543" t="s">
        <v>2620</v>
      </c>
      <c r="I45" s="543" t="s">
        <v>2620</v>
      </c>
      <c r="J45" s="543" t="s">
        <v>2620</v>
      </c>
      <c r="K45" s="543" t="s">
        <v>2620</v>
      </c>
      <c r="L45" s="543" t="s">
        <v>2620</v>
      </c>
      <c r="M45" s="543" t="s">
        <v>2620</v>
      </c>
      <c r="N45" s="543" t="s">
        <v>2620</v>
      </c>
      <c r="O45" s="543" t="s">
        <v>2620</v>
      </c>
      <c r="P45" s="543" t="s">
        <v>2620</v>
      </c>
      <c r="Q45" s="543" t="s">
        <v>2620</v>
      </c>
      <c r="R45" s="543" t="s">
        <v>2620</v>
      </c>
      <c r="S45" s="543" t="s">
        <v>2620</v>
      </c>
      <c r="T45" s="543" t="s">
        <v>2620</v>
      </c>
      <c r="U45" s="543" t="s">
        <v>2620</v>
      </c>
      <c r="V45" s="543" t="s">
        <v>2620</v>
      </c>
      <c r="W45" s="543" t="s">
        <v>2620</v>
      </c>
      <c r="X45" s="543" t="s">
        <v>2620</v>
      </c>
      <c r="Y45" s="543" t="s">
        <v>2620</v>
      </c>
      <c r="Z45" s="543" t="s">
        <v>2620</v>
      </c>
      <c r="AA45" s="543" t="s">
        <v>2620</v>
      </c>
      <c r="AB45" s="543" t="s">
        <v>2620</v>
      </c>
      <c r="AC45" s="543" t="s">
        <v>2620</v>
      </c>
      <c r="AD45" s="543" t="s">
        <v>2620</v>
      </c>
      <c r="AE45" s="543" t="s">
        <v>2620</v>
      </c>
      <c r="AF45" s="543" t="s">
        <v>2620</v>
      </c>
      <c r="AG45" s="543" t="s">
        <v>2620</v>
      </c>
      <c r="AH45" s="543" t="s">
        <v>2620</v>
      </c>
      <c r="AI45" s="543" t="s">
        <v>2620</v>
      </c>
      <c r="AJ45" s="543" t="s">
        <v>2620</v>
      </c>
      <c r="AK45" s="543" t="s">
        <v>2620</v>
      </c>
      <c r="AL45" s="543" t="s">
        <v>2620</v>
      </c>
      <c r="AM45" s="543" t="s">
        <v>2620</v>
      </c>
      <c r="AN45" s="543" t="s">
        <v>2620</v>
      </c>
      <c r="AO45" s="543" t="s">
        <v>2620</v>
      </c>
      <c r="AP45" s="543" t="s">
        <v>2620</v>
      </c>
      <c r="AQ45" s="543" t="s">
        <v>2620</v>
      </c>
      <c r="AR45" s="543" t="s">
        <v>2620</v>
      </c>
      <c r="AS45" s="543" t="s">
        <v>2620</v>
      </c>
      <c r="AT45" s="543" t="s">
        <v>2620</v>
      </c>
      <c r="AU45" s="543" t="s">
        <v>2620</v>
      </c>
      <c r="AV45" s="543" t="s">
        <v>2620</v>
      </c>
      <c r="AW45" s="543" t="s">
        <v>2620</v>
      </c>
      <c r="AX45" s="543" t="s">
        <v>2620</v>
      </c>
      <c r="AY45" s="543" t="s">
        <v>2620</v>
      </c>
      <c r="AZ45" s="543" t="s">
        <v>2620</v>
      </c>
      <c r="BA45" s="543" t="s">
        <v>2620</v>
      </c>
      <c r="BB45" s="543" t="s">
        <v>2620</v>
      </c>
      <c r="BC45" s="543" t="s">
        <v>2620</v>
      </c>
      <c r="BD45" s="543" t="s">
        <v>2620</v>
      </c>
      <c r="BE45" s="543" t="s">
        <v>2620</v>
      </c>
      <c r="BF45" s="543" t="s">
        <v>2620</v>
      </c>
      <c r="BG45" s="543" t="s">
        <v>2620</v>
      </c>
      <c r="BH45" s="543" t="s">
        <v>2620</v>
      </c>
      <c r="BI45" s="543" t="s">
        <v>2620</v>
      </c>
      <c r="BJ45" s="543" t="s">
        <v>2620</v>
      </c>
      <c r="BK45" s="543" t="s">
        <v>2620</v>
      </c>
      <c r="BL45" s="543" t="s">
        <v>2620</v>
      </c>
      <c r="BM45" s="543" t="s">
        <v>2620</v>
      </c>
      <c r="BN45" s="543" t="s">
        <v>2620</v>
      </c>
      <c r="BO45" s="543" t="s">
        <v>2620</v>
      </c>
      <c r="BP45" s="543" t="s">
        <v>2620</v>
      </c>
      <c r="BQ45" s="543" t="s">
        <v>2620</v>
      </c>
      <c r="BR45" s="543" t="s">
        <v>2620</v>
      </c>
      <c r="BS45" s="543" t="s">
        <v>2620</v>
      </c>
      <c r="BT45" s="543" t="s">
        <v>2620</v>
      </c>
      <c r="BU45" s="543" t="s">
        <v>2620</v>
      </c>
      <c r="BV45" s="543" t="s">
        <v>2620</v>
      </c>
      <c r="BW45" s="543" t="s">
        <v>2620</v>
      </c>
      <c r="BX45" s="543" t="s">
        <v>2620</v>
      </c>
      <c r="BY45" s="543" t="s">
        <v>2620</v>
      </c>
      <c r="BZ45" s="543" t="s">
        <v>2620</v>
      </c>
      <c r="CA45" s="543" t="s">
        <v>2620</v>
      </c>
      <c r="CB45" s="543" t="s">
        <v>2620</v>
      </c>
      <c r="CC45" s="543" t="s">
        <v>2620</v>
      </c>
      <c r="CD45" s="543" t="s">
        <v>2620</v>
      </c>
      <c r="CE45" s="543" t="s">
        <v>2620</v>
      </c>
      <c r="CF45" s="543" t="s">
        <v>2620</v>
      </c>
      <c r="CG45" s="543" t="s">
        <v>2620</v>
      </c>
      <c r="CH45" s="543" t="s">
        <v>2620</v>
      </c>
      <c r="CI45" s="543" t="s">
        <v>2620</v>
      </c>
      <c r="CJ45" s="543" t="s">
        <v>2620</v>
      </c>
      <c r="CK45" s="543" t="s">
        <v>2620</v>
      </c>
      <c r="CL45" s="543" t="s">
        <v>2620</v>
      </c>
      <c r="CM45" s="543" t="s">
        <v>2620</v>
      </c>
      <c r="CN45" s="543" t="s">
        <v>2620</v>
      </c>
      <c r="CO45" s="543" t="s">
        <v>2620</v>
      </c>
      <c r="CP45" s="543" t="s">
        <v>2620</v>
      </c>
      <c r="CQ45" s="543" t="s">
        <v>2620</v>
      </c>
      <c r="CR45" s="543" t="s">
        <v>2620</v>
      </c>
      <c r="CS45" s="543" t="s">
        <v>2620</v>
      </c>
      <c r="CT45" s="543" t="s">
        <v>2620</v>
      </c>
      <c r="CU45" s="543" t="s">
        <v>2620</v>
      </c>
      <c r="CV45" s="543" t="s">
        <v>2620</v>
      </c>
      <c r="CW45" s="543" t="s">
        <v>2620</v>
      </c>
      <c r="CX45" s="543" t="s">
        <v>2620</v>
      </c>
      <c r="CY45" s="543" t="s">
        <v>2620</v>
      </c>
      <c r="CZ45" s="543" t="s">
        <v>2620</v>
      </c>
      <c r="DA45" s="543" t="s">
        <v>2620</v>
      </c>
      <c r="DB45" s="543" t="s">
        <v>2620</v>
      </c>
      <c r="DC45" s="543" t="s">
        <v>2620</v>
      </c>
    </row>
    <row r="46" spans="1:107">
      <c r="A46" s="2015"/>
      <c r="B46" s="534"/>
      <c r="C46" s="535"/>
      <c r="D46" s="12" t="s">
        <v>130</v>
      </c>
      <c r="E46" s="13">
        <v>112</v>
      </c>
      <c r="F46" s="14" t="s">
        <v>2820</v>
      </c>
      <c r="G46" s="543" t="s">
        <v>2620</v>
      </c>
      <c r="H46" s="543" t="s">
        <v>2620</v>
      </c>
      <c r="I46" s="543" t="s">
        <v>2620</v>
      </c>
      <c r="J46" s="543" t="s">
        <v>2620</v>
      </c>
      <c r="K46" s="543" t="s">
        <v>2620</v>
      </c>
      <c r="L46" s="543" t="s">
        <v>2620</v>
      </c>
      <c r="M46" s="543" t="s">
        <v>2620</v>
      </c>
      <c r="N46" s="543" t="s">
        <v>2620</v>
      </c>
      <c r="O46" s="543" t="s">
        <v>2620</v>
      </c>
      <c r="P46" s="543" t="s">
        <v>2620</v>
      </c>
      <c r="Q46" s="543" t="s">
        <v>2620</v>
      </c>
      <c r="R46" s="543" t="s">
        <v>2620</v>
      </c>
      <c r="S46" s="543" t="s">
        <v>2620</v>
      </c>
      <c r="T46" s="543" t="s">
        <v>2620</v>
      </c>
      <c r="U46" s="543" t="s">
        <v>2620</v>
      </c>
      <c r="V46" s="543" t="s">
        <v>2620</v>
      </c>
      <c r="W46" s="543" t="s">
        <v>2620</v>
      </c>
      <c r="X46" s="543" t="s">
        <v>2620</v>
      </c>
      <c r="Y46" s="543" t="s">
        <v>2620</v>
      </c>
      <c r="Z46" s="543" t="s">
        <v>2620</v>
      </c>
      <c r="AA46" s="543" t="s">
        <v>2620</v>
      </c>
      <c r="AB46" s="543" t="s">
        <v>2620</v>
      </c>
      <c r="AC46" s="543" t="s">
        <v>2620</v>
      </c>
      <c r="AD46" s="543" t="s">
        <v>2620</v>
      </c>
      <c r="AE46" s="543" t="s">
        <v>2620</v>
      </c>
      <c r="AF46" s="543" t="s">
        <v>2620</v>
      </c>
      <c r="AG46" s="543" t="s">
        <v>2620</v>
      </c>
      <c r="AH46" s="543" t="s">
        <v>2620</v>
      </c>
      <c r="AI46" s="543" t="s">
        <v>2620</v>
      </c>
      <c r="AJ46" s="543" t="s">
        <v>2620</v>
      </c>
      <c r="AK46" s="543" t="s">
        <v>2620</v>
      </c>
      <c r="AL46" s="543" t="s">
        <v>2620</v>
      </c>
      <c r="AM46" s="543" t="s">
        <v>2620</v>
      </c>
      <c r="AN46" s="543" t="s">
        <v>2620</v>
      </c>
      <c r="AO46" s="543" t="s">
        <v>2620</v>
      </c>
      <c r="AP46" s="543" t="s">
        <v>2620</v>
      </c>
      <c r="AQ46" s="543" t="s">
        <v>2620</v>
      </c>
      <c r="AR46" s="543" t="s">
        <v>2620</v>
      </c>
      <c r="AS46" s="543" t="s">
        <v>2620</v>
      </c>
      <c r="AT46" s="543" t="s">
        <v>2620</v>
      </c>
      <c r="AU46" s="543" t="s">
        <v>2620</v>
      </c>
      <c r="AV46" s="543" t="s">
        <v>2620</v>
      </c>
      <c r="AW46" s="543" t="s">
        <v>2620</v>
      </c>
      <c r="AX46" s="543" t="s">
        <v>2620</v>
      </c>
      <c r="AY46" s="543" t="s">
        <v>2620</v>
      </c>
      <c r="AZ46" s="543" t="s">
        <v>2620</v>
      </c>
      <c r="BA46" s="543" t="s">
        <v>2620</v>
      </c>
      <c r="BB46" s="543" t="s">
        <v>2620</v>
      </c>
      <c r="BC46" s="543" t="s">
        <v>2620</v>
      </c>
      <c r="BD46" s="543" t="s">
        <v>2620</v>
      </c>
      <c r="BE46" s="543" t="s">
        <v>2620</v>
      </c>
      <c r="BF46" s="543" t="s">
        <v>2620</v>
      </c>
      <c r="BG46" s="543" t="s">
        <v>2620</v>
      </c>
      <c r="BH46" s="543" t="s">
        <v>2620</v>
      </c>
      <c r="BI46" s="543" t="s">
        <v>2620</v>
      </c>
      <c r="BJ46" s="543" t="s">
        <v>2620</v>
      </c>
      <c r="BK46" s="543" t="s">
        <v>2620</v>
      </c>
      <c r="BL46" s="543" t="s">
        <v>2620</v>
      </c>
      <c r="BM46" s="543" t="s">
        <v>2620</v>
      </c>
      <c r="BN46" s="543" t="s">
        <v>2620</v>
      </c>
      <c r="BO46" s="543" t="s">
        <v>2620</v>
      </c>
      <c r="BP46" s="543" t="s">
        <v>2620</v>
      </c>
      <c r="BQ46" s="543" t="s">
        <v>2620</v>
      </c>
      <c r="BR46" s="543" t="s">
        <v>2620</v>
      </c>
      <c r="BS46" s="543" t="s">
        <v>2620</v>
      </c>
      <c r="BT46" s="543" t="s">
        <v>2620</v>
      </c>
      <c r="BU46" s="543" t="s">
        <v>2620</v>
      </c>
      <c r="BV46" s="543" t="s">
        <v>2620</v>
      </c>
      <c r="BW46" s="543" t="s">
        <v>2620</v>
      </c>
      <c r="BX46" s="543" t="s">
        <v>2620</v>
      </c>
      <c r="BY46" s="543" t="s">
        <v>2620</v>
      </c>
      <c r="BZ46" s="543" t="s">
        <v>2620</v>
      </c>
      <c r="CA46" s="543" t="s">
        <v>2620</v>
      </c>
      <c r="CB46" s="543" t="s">
        <v>2620</v>
      </c>
      <c r="CC46" s="543" t="s">
        <v>2620</v>
      </c>
      <c r="CD46" s="543" t="s">
        <v>2620</v>
      </c>
      <c r="CE46" s="543" t="s">
        <v>2620</v>
      </c>
      <c r="CF46" s="543" t="s">
        <v>2620</v>
      </c>
      <c r="CG46" s="543" t="s">
        <v>2620</v>
      </c>
      <c r="CH46" s="543" t="s">
        <v>2620</v>
      </c>
      <c r="CI46" s="543" t="s">
        <v>2620</v>
      </c>
      <c r="CJ46" s="543" t="s">
        <v>2620</v>
      </c>
      <c r="CK46" s="543" t="s">
        <v>2620</v>
      </c>
      <c r="CL46" s="543" t="s">
        <v>2620</v>
      </c>
      <c r="CM46" s="543" t="s">
        <v>2620</v>
      </c>
      <c r="CN46" s="543" t="s">
        <v>2620</v>
      </c>
      <c r="CO46" s="543" t="s">
        <v>2620</v>
      </c>
      <c r="CP46" s="543" t="s">
        <v>2620</v>
      </c>
      <c r="CQ46" s="543" t="s">
        <v>2620</v>
      </c>
      <c r="CR46" s="543" t="s">
        <v>2620</v>
      </c>
      <c r="CS46" s="543" t="s">
        <v>2620</v>
      </c>
      <c r="CT46" s="543" t="s">
        <v>2620</v>
      </c>
      <c r="CU46" s="543" t="s">
        <v>2620</v>
      </c>
      <c r="CV46" s="543" t="s">
        <v>2620</v>
      </c>
      <c r="CW46" s="543" t="s">
        <v>2620</v>
      </c>
      <c r="CX46" s="543" t="s">
        <v>2620</v>
      </c>
      <c r="CY46" s="543" t="s">
        <v>2620</v>
      </c>
      <c r="CZ46" s="543" t="s">
        <v>2620</v>
      </c>
      <c r="DA46" s="543" t="s">
        <v>2620</v>
      </c>
      <c r="DB46" s="543" t="s">
        <v>2620</v>
      </c>
      <c r="DC46" s="543" t="s">
        <v>2620</v>
      </c>
    </row>
    <row r="47" spans="1:107">
      <c r="A47" s="2015"/>
      <c r="B47" s="534"/>
      <c r="C47" s="535"/>
      <c r="D47" s="12" t="s">
        <v>130</v>
      </c>
      <c r="E47" s="13">
        <v>113</v>
      </c>
      <c r="F47" s="14" t="s">
        <v>2821</v>
      </c>
      <c r="G47" s="543" t="s">
        <v>2620</v>
      </c>
      <c r="H47" s="543" t="s">
        <v>2620</v>
      </c>
      <c r="I47" s="543" t="s">
        <v>2620</v>
      </c>
      <c r="J47" s="543" t="s">
        <v>2620</v>
      </c>
      <c r="K47" s="543" t="s">
        <v>2620</v>
      </c>
      <c r="L47" s="543" t="s">
        <v>2620</v>
      </c>
      <c r="M47" s="543" t="s">
        <v>2620</v>
      </c>
      <c r="N47" s="543" t="s">
        <v>2620</v>
      </c>
      <c r="O47" s="543" t="s">
        <v>2620</v>
      </c>
      <c r="P47" s="543" t="s">
        <v>2620</v>
      </c>
      <c r="Q47" s="543" t="s">
        <v>2620</v>
      </c>
      <c r="R47" s="543" t="s">
        <v>2620</v>
      </c>
      <c r="S47" s="543" t="s">
        <v>2620</v>
      </c>
      <c r="T47" s="543" t="s">
        <v>2620</v>
      </c>
      <c r="U47" s="543" t="s">
        <v>2620</v>
      </c>
      <c r="V47" s="543" t="s">
        <v>2620</v>
      </c>
      <c r="W47" s="543" t="s">
        <v>2620</v>
      </c>
      <c r="X47" s="543" t="s">
        <v>2620</v>
      </c>
      <c r="Y47" s="543" t="s">
        <v>2620</v>
      </c>
      <c r="Z47" s="543" t="s">
        <v>2620</v>
      </c>
      <c r="AA47" s="543" t="s">
        <v>2620</v>
      </c>
      <c r="AB47" s="543" t="s">
        <v>2620</v>
      </c>
      <c r="AC47" s="543" t="s">
        <v>2620</v>
      </c>
      <c r="AD47" s="543" t="s">
        <v>2620</v>
      </c>
      <c r="AE47" s="543" t="s">
        <v>2620</v>
      </c>
      <c r="AF47" s="543" t="s">
        <v>2620</v>
      </c>
      <c r="AG47" s="543" t="s">
        <v>2620</v>
      </c>
      <c r="AH47" s="543" t="s">
        <v>2620</v>
      </c>
      <c r="AI47" s="543" t="s">
        <v>2620</v>
      </c>
      <c r="AJ47" s="543" t="s">
        <v>2620</v>
      </c>
      <c r="AK47" s="543" t="s">
        <v>2620</v>
      </c>
      <c r="AL47" s="543" t="s">
        <v>2620</v>
      </c>
      <c r="AM47" s="543" t="s">
        <v>2620</v>
      </c>
      <c r="AN47" s="543" t="s">
        <v>2620</v>
      </c>
      <c r="AO47" s="543" t="s">
        <v>2620</v>
      </c>
      <c r="AP47" s="543" t="s">
        <v>2620</v>
      </c>
      <c r="AQ47" s="543" t="s">
        <v>2620</v>
      </c>
      <c r="AR47" s="543" t="s">
        <v>2620</v>
      </c>
      <c r="AS47" s="543" t="s">
        <v>2620</v>
      </c>
      <c r="AT47" s="543" t="s">
        <v>2620</v>
      </c>
      <c r="AU47" s="543" t="s">
        <v>2620</v>
      </c>
      <c r="AV47" s="543" t="s">
        <v>2620</v>
      </c>
      <c r="AW47" s="543" t="s">
        <v>2620</v>
      </c>
      <c r="AX47" s="543" t="s">
        <v>2620</v>
      </c>
      <c r="AY47" s="543" t="s">
        <v>2620</v>
      </c>
      <c r="AZ47" s="543" t="s">
        <v>2620</v>
      </c>
      <c r="BA47" s="543" t="s">
        <v>2620</v>
      </c>
      <c r="BB47" s="543" t="s">
        <v>2620</v>
      </c>
      <c r="BC47" s="543" t="s">
        <v>2620</v>
      </c>
      <c r="BD47" s="543" t="s">
        <v>2620</v>
      </c>
      <c r="BE47" s="543" t="s">
        <v>2620</v>
      </c>
      <c r="BF47" s="543" t="s">
        <v>2620</v>
      </c>
      <c r="BG47" s="543" t="s">
        <v>2620</v>
      </c>
      <c r="BH47" s="543" t="s">
        <v>2620</v>
      </c>
      <c r="BI47" s="543" t="s">
        <v>2620</v>
      </c>
      <c r="BJ47" s="543" t="s">
        <v>2620</v>
      </c>
      <c r="BK47" s="543" t="s">
        <v>2620</v>
      </c>
      <c r="BL47" s="543" t="s">
        <v>2620</v>
      </c>
      <c r="BM47" s="543" t="s">
        <v>2620</v>
      </c>
      <c r="BN47" s="543" t="s">
        <v>2620</v>
      </c>
      <c r="BO47" s="543" t="s">
        <v>2620</v>
      </c>
      <c r="BP47" s="543" t="s">
        <v>2620</v>
      </c>
      <c r="BQ47" s="543" t="s">
        <v>2620</v>
      </c>
      <c r="BR47" s="543" t="s">
        <v>2620</v>
      </c>
      <c r="BS47" s="543" t="s">
        <v>2620</v>
      </c>
      <c r="BT47" s="543" t="s">
        <v>2620</v>
      </c>
      <c r="BU47" s="543" t="s">
        <v>2620</v>
      </c>
      <c r="BV47" s="543" t="s">
        <v>2620</v>
      </c>
      <c r="BW47" s="543" t="s">
        <v>2620</v>
      </c>
      <c r="BX47" s="543" t="s">
        <v>2620</v>
      </c>
      <c r="BY47" s="543" t="s">
        <v>2620</v>
      </c>
      <c r="BZ47" s="543" t="s">
        <v>2620</v>
      </c>
      <c r="CA47" s="543" t="s">
        <v>2620</v>
      </c>
      <c r="CB47" s="543" t="s">
        <v>2620</v>
      </c>
      <c r="CC47" s="543" t="s">
        <v>2620</v>
      </c>
      <c r="CD47" s="543" t="s">
        <v>2620</v>
      </c>
      <c r="CE47" s="543" t="s">
        <v>2620</v>
      </c>
      <c r="CF47" s="543" t="s">
        <v>2620</v>
      </c>
      <c r="CG47" s="543" t="s">
        <v>2620</v>
      </c>
      <c r="CH47" s="543" t="s">
        <v>2620</v>
      </c>
      <c r="CI47" s="543" t="s">
        <v>2620</v>
      </c>
      <c r="CJ47" s="543" t="s">
        <v>2620</v>
      </c>
      <c r="CK47" s="543" t="s">
        <v>2620</v>
      </c>
      <c r="CL47" s="543" t="s">
        <v>2620</v>
      </c>
      <c r="CM47" s="543" t="s">
        <v>2620</v>
      </c>
      <c r="CN47" s="543" t="s">
        <v>2620</v>
      </c>
      <c r="CO47" s="543" t="s">
        <v>2620</v>
      </c>
      <c r="CP47" s="543" t="s">
        <v>2620</v>
      </c>
      <c r="CQ47" s="543" t="s">
        <v>2620</v>
      </c>
      <c r="CR47" s="543" t="s">
        <v>2620</v>
      </c>
      <c r="CS47" s="543" t="s">
        <v>2620</v>
      </c>
      <c r="CT47" s="543" t="s">
        <v>2620</v>
      </c>
      <c r="CU47" s="543" t="s">
        <v>2620</v>
      </c>
      <c r="CV47" s="543" t="s">
        <v>2620</v>
      </c>
      <c r="CW47" s="543" t="s">
        <v>2620</v>
      </c>
      <c r="CX47" s="543" t="s">
        <v>2620</v>
      </c>
      <c r="CY47" s="543" t="s">
        <v>2620</v>
      </c>
      <c r="CZ47" s="543" t="s">
        <v>2620</v>
      </c>
      <c r="DA47" s="543" t="s">
        <v>2620</v>
      </c>
      <c r="DB47" s="543" t="s">
        <v>2620</v>
      </c>
      <c r="DC47" s="543" t="s">
        <v>2620</v>
      </c>
    </row>
    <row r="48" spans="1:107">
      <c r="A48" s="2015"/>
      <c r="B48" s="534"/>
      <c r="C48" s="535"/>
      <c r="D48" s="12" t="s">
        <v>130</v>
      </c>
      <c r="E48" s="13">
        <v>114</v>
      </c>
      <c r="F48" s="14" t="s">
        <v>2822</v>
      </c>
      <c r="G48" s="543" t="s">
        <v>2620</v>
      </c>
      <c r="H48" s="543" t="s">
        <v>2620</v>
      </c>
      <c r="I48" s="543" t="s">
        <v>2620</v>
      </c>
      <c r="J48" s="543" t="s">
        <v>2620</v>
      </c>
      <c r="K48" s="543" t="s">
        <v>2620</v>
      </c>
      <c r="L48" s="543" t="s">
        <v>2620</v>
      </c>
      <c r="M48" s="543" t="s">
        <v>2620</v>
      </c>
      <c r="N48" s="543" t="s">
        <v>2620</v>
      </c>
      <c r="O48" s="543" t="s">
        <v>2620</v>
      </c>
      <c r="P48" s="543" t="s">
        <v>2620</v>
      </c>
      <c r="Q48" s="543" t="s">
        <v>2620</v>
      </c>
      <c r="R48" s="543" t="s">
        <v>2620</v>
      </c>
      <c r="S48" s="543" t="s">
        <v>2620</v>
      </c>
      <c r="T48" s="543" t="s">
        <v>2620</v>
      </c>
      <c r="U48" s="543" t="s">
        <v>2620</v>
      </c>
      <c r="V48" s="543" t="s">
        <v>2620</v>
      </c>
      <c r="W48" s="543" t="s">
        <v>2620</v>
      </c>
      <c r="X48" s="543" t="s">
        <v>2620</v>
      </c>
      <c r="Y48" s="543" t="s">
        <v>2620</v>
      </c>
      <c r="Z48" s="543" t="s">
        <v>2620</v>
      </c>
      <c r="AA48" s="543" t="s">
        <v>2620</v>
      </c>
      <c r="AB48" s="543" t="s">
        <v>2620</v>
      </c>
      <c r="AC48" s="543" t="s">
        <v>2620</v>
      </c>
      <c r="AD48" s="543" t="s">
        <v>2620</v>
      </c>
      <c r="AE48" s="543" t="s">
        <v>2620</v>
      </c>
      <c r="AF48" s="543" t="s">
        <v>2620</v>
      </c>
      <c r="AG48" s="543" t="s">
        <v>2620</v>
      </c>
      <c r="AH48" s="543" t="s">
        <v>2620</v>
      </c>
      <c r="AI48" s="543" t="s">
        <v>2620</v>
      </c>
      <c r="AJ48" s="543" t="s">
        <v>2620</v>
      </c>
      <c r="AK48" s="543" t="s">
        <v>2620</v>
      </c>
      <c r="AL48" s="543" t="s">
        <v>2620</v>
      </c>
      <c r="AM48" s="543" t="s">
        <v>2620</v>
      </c>
      <c r="AN48" s="543" t="s">
        <v>2620</v>
      </c>
      <c r="AO48" s="543" t="s">
        <v>2620</v>
      </c>
      <c r="AP48" s="543" t="s">
        <v>2620</v>
      </c>
      <c r="AQ48" s="543" t="s">
        <v>2620</v>
      </c>
      <c r="AR48" s="543" t="s">
        <v>2620</v>
      </c>
      <c r="AS48" s="543" t="s">
        <v>2620</v>
      </c>
      <c r="AT48" s="543" t="s">
        <v>2620</v>
      </c>
      <c r="AU48" s="543" t="s">
        <v>2620</v>
      </c>
      <c r="AV48" s="543" t="s">
        <v>2620</v>
      </c>
      <c r="AW48" s="543" t="s">
        <v>2620</v>
      </c>
      <c r="AX48" s="543" t="s">
        <v>2620</v>
      </c>
      <c r="AY48" s="543" t="s">
        <v>2620</v>
      </c>
      <c r="AZ48" s="543" t="s">
        <v>2620</v>
      </c>
      <c r="BA48" s="543" t="s">
        <v>2620</v>
      </c>
      <c r="BB48" s="543" t="s">
        <v>2620</v>
      </c>
      <c r="BC48" s="543" t="s">
        <v>2620</v>
      </c>
      <c r="BD48" s="543" t="s">
        <v>2620</v>
      </c>
      <c r="BE48" s="543" t="s">
        <v>2620</v>
      </c>
      <c r="BF48" s="543" t="s">
        <v>2620</v>
      </c>
      <c r="BG48" s="543" t="s">
        <v>2620</v>
      </c>
      <c r="BH48" s="543" t="s">
        <v>2620</v>
      </c>
      <c r="BI48" s="543" t="s">
        <v>2620</v>
      </c>
      <c r="BJ48" s="543" t="s">
        <v>2620</v>
      </c>
      <c r="BK48" s="543" t="s">
        <v>2620</v>
      </c>
      <c r="BL48" s="543" t="s">
        <v>2620</v>
      </c>
      <c r="BM48" s="543" t="s">
        <v>2620</v>
      </c>
      <c r="BN48" s="543" t="s">
        <v>2620</v>
      </c>
      <c r="BO48" s="543" t="s">
        <v>2620</v>
      </c>
      <c r="BP48" s="543" t="s">
        <v>2620</v>
      </c>
      <c r="BQ48" s="543" t="s">
        <v>2620</v>
      </c>
      <c r="BR48" s="543" t="s">
        <v>2620</v>
      </c>
      <c r="BS48" s="543" t="s">
        <v>2620</v>
      </c>
      <c r="BT48" s="543" t="s">
        <v>2620</v>
      </c>
      <c r="BU48" s="543" t="s">
        <v>2620</v>
      </c>
      <c r="BV48" s="543" t="s">
        <v>2620</v>
      </c>
      <c r="BW48" s="543" t="s">
        <v>2620</v>
      </c>
      <c r="BX48" s="543" t="s">
        <v>2620</v>
      </c>
      <c r="BY48" s="543" t="s">
        <v>2620</v>
      </c>
      <c r="BZ48" s="543" t="s">
        <v>2620</v>
      </c>
      <c r="CA48" s="543" t="s">
        <v>2620</v>
      </c>
      <c r="CB48" s="543" t="s">
        <v>2620</v>
      </c>
      <c r="CC48" s="543" t="s">
        <v>2620</v>
      </c>
      <c r="CD48" s="543" t="s">
        <v>2620</v>
      </c>
      <c r="CE48" s="543" t="s">
        <v>2620</v>
      </c>
      <c r="CF48" s="543" t="s">
        <v>2620</v>
      </c>
      <c r="CG48" s="543" t="s">
        <v>2620</v>
      </c>
      <c r="CH48" s="543" t="s">
        <v>2620</v>
      </c>
      <c r="CI48" s="543" t="s">
        <v>2620</v>
      </c>
      <c r="CJ48" s="543" t="s">
        <v>2620</v>
      </c>
      <c r="CK48" s="543" t="s">
        <v>2620</v>
      </c>
      <c r="CL48" s="543" t="s">
        <v>2620</v>
      </c>
      <c r="CM48" s="543" t="s">
        <v>2620</v>
      </c>
      <c r="CN48" s="543" t="s">
        <v>2620</v>
      </c>
      <c r="CO48" s="543" t="s">
        <v>2620</v>
      </c>
      <c r="CP48" s="543" t="s">
        <v>2620</v>
      </c>
      <c r="CQ48" s="543" t="s">
        <v>2620</v>
      </c>
      <c r="CR48" s="543" t="s">
        <v>2620</v>
      </c>
      <c r="CS48" s="543" t="s">
        <v>2620</v>
      </c>
      <c r="CT48" s="543" t="s">
        <v>2620</v>
      </c>
      <c r="CU48" s="543" t="s">
        <v>2620</v>
      </c>
      <c r="CV48" s="543" t="s">
        <v>2620</v>
      </c>
      <c r="CW48" s="543" t="s">
        <v>2620</v>
      </c>
      <c r="CX48" s="543" t="s">
        <v>2620</v>
      </c>
      <c r="CY48" s="543" t="s">
        <v>2620</v>
      </c>
      <c r="CZ48" s="543" t="s">
        <v>2620</v>
      </c>
      <c r="DA48" s="543" t="s">
        <v>2620</v>
      </c>
      <c r="DB48" s="543" t="s">
        <v>2620</v>
      </c>
      <c r="DC48" s="543" t="s">
        <v>2620</v>
      </c>
    </row>
    <row r="49" spans="1:107">
      <c r="A49" s="2015"/>
      <c r="B49" s="534"/>
      <c r="C49" s="535"/>
      <c r="D49" s="12" t="s">
        <v>130</v>
      </c>
      <c r="E49" s="13">
        <v>115</v>
      </c>
      <c r="F49" s="14" t="s">
        <v>2823</v>
      </c>
      <c r="G49" s="543" t="s">
        <v>2620</v>
      </c>
      <c r="H49" s="543" t="s">
        <v>2620</v>
      </c>
      <c r="I49" s="543" t="s">
        <v>2620</v>
      </c>
      <c r="J49" s="543" t="s">
        <v>2620</v>
      </c>
      <c r="K49" s="543" t="s">
        <v>2620</v>
      </c>
      <c r="L49" s="543" t="s">
        <v>2620</v>
      </c>
      <c r="M49" s="543" t="s">
        <v>2620</v>
      </c>
      <c r="N49" s="543" t="s">
        <v>2620</v>
      </c>
      <c r="O49" s="543" t="s">
        <v>2620</v>
      </c>
      <c r="P49" s="543" t="s">
        <v>2620</v>
      </c>
      <c r="Q49" s="543" t="s">
        <v>2620</v>
      </c>
      <c r="R49" s="543" t="s">
        <v>2620</v>
      </c>
      <c r="S49" s="543" t="s">
        <v>2620</v>
      </c>
      <c r="T49" s="543" t="s">
        <v>2620</v>
      </c>
      <c r="U49" s="543" t="s">
        <v>2620</v>
      </c>
      <c r="V49" s="543" t="s">
        <v>2620</v>
      </c>
      <c r="W49" s="543" t="s">
        <v>2620</v>
      </c>
      <c r="X49" s="543" t="s">
        <v>2620</v>
      </c>
      <c r="Y49" s="543" t="s">
        <v>2620</v>
      </c>
      <c r="Z49" s="543" t="s">
        <v>2620</v>
      </c>
      <c r="AA49" s="543" t="s">
        <v>2620</v>
      </c>
      <c r="AB49" s="543" t="s">
        <v>2620</v>
      </c>
      <c r="AC49" s="543" t="s">
        <v>2620</v>
      </c>
      <c r="AD49" s="543" t="s">
        <v>2620</v>
      </c>
      <c r="AE49" s="543" t="s">
        <v>2620</v>
      </c>
      <c r="AF49" s="543" t="s">
        <v>2620</v>
      </c>
      <c r="AG49" s="543" t="s">
        <v>2620</v>
      </c>
      <c r="AH49" s="543" t="s">
        <v>2620</v>
      </c>
      <c r="AI49" s="543" t="s">
        <v>2620</v>
      </c>
      <c r="AJ49" s="543" t="s">
        <v>2620</v>
      </c>
      <c r="AK49" s="543" t="s">
        <v>2620</v>
      </c>
      <c r="AL49" s="543" t="s">
        <v>2620</v>
      </c>
      <c r="AM49" s="543" t="s">
        <v>2620</v>
      </c>
      <c r="AN49" s="543" t="s">
        <v>2620</v>
      </c>
      <c r="AO49" s="543" t="s">
        <v>2620</v>
      </c>
      <c r="AP49" s="543" t="s">
        <v>2620</v>
      </c>
      <c r="AQ49" s="543" t="s">
        <v>2620</v>
      </c>
      <c r="AR49" s="543" t="s">
        <v>2620</v>
      </c>
      <c r="AS49" s="543" t="s">
        <v>2620</v>
      </c>
      <c r="AT49" s="543" t="s">
        <v>2620</v>
      </c>
      <c r="AU49" s="543" t="s">
        <v>2620</v>
      </c>
      <c r="AV49" s="543" t="s">
        <v>2620</v>
      </c>
      <c r="AW49" s="543" t="s">
        <v>2620</v>
      </c>
      <c r="AX49" s="543" t="s">
        <v>2620</v>
      </c>
      <c r="AY49" s="543" t="s">
        <v>2620</v>
      </c>
      <c r="AZ49" s="543" t="s">
        <v>2620</v>
      </c>
      <c r="BA49" s="543" t="s">
        <v>2620</v>
      </c>
      <c r="BB49" s="543" t="s">
        <v>2620</v>
      </c>
      <c r="BC49" s="543" t="s">
        <v>2620</v>
      </c>
      <c r="BD49" s="543" t="s">
        <v>2620</v>
      </c>
      <c r="BE49" s="543" t="s">
        <v>2620</v>
      </c>
      <c r="BF49" s="543" t="s">
        <v>2620</v>
      </c>
      <c r="BG49" s="543" t="s">
        <v>2620</v>
      </c>
      <c r="BH49" s="543" t="s">
        <v>2620</v>
      </c>
      <c r="BI49" s="543" t="s">
        <v>2620</v>
      </c>
      <c r="BJ49" s="543" t="s">
        <v>2620</v>
      </c>
      <c r="BK49" s="543" t="s">
        <v>2620</v>
      </c>
      <c r="BL49" s="543" t="s">
        <v>2620</v>
      </c>
      <c r="BM49" s="543" t="s">
        <v>2620</v>
      </c>
      <c r="BN49" s="543" t="s">
        <v>2620</v>
      </c>
      <c r="BO49" s="543" t="s">
        <v>2620</v>
      </c>
      <c r="BP49" s="543" t="s">
        <v>2620</v>
      </c>
      <c r="BQ49" s="543" t="s">
        <v>2620</v>
      </c>
      <c r="BR49" s="543" t="s">
        <v>2620</v>
      </c>
      <c r="BS49" s="543" t="s">
        <v>2620</v>
      </c>
      <c r="BT49" s="543" t="s">
        <v>2620</v>
      </c>
      <c r="BU49" s="543" t="s">
        <v>2620</v>
      </c>
      <c r="BV49" s="543" t="s">
        <v>2620</v>
      </c>
      <c r="BW49" s="543" t="s">
        <v>2620</v>
      </c>
      <c r="BX49" s="543" t="s">
        <v>2620</v>
      </c>
      <c r="BY49" s="543" t="s">
        <v>2620</v>
      </c>
      <c r="BZ49" s="543" t="s">
        <v>2620</v>
      </c>
      <c r="CA49" s="543" t="s">
        <v>2620</v>
      </c>
      <c r="CB49" s="543" t="s">
        <v>2620</v>
      </c>
      <c r="CC49" s="543" t="s">
        <v>2620</v>
      </c>
      <c r="CD49" s="543" t="s">
        <v>2620</v>
      </c>
      <c r="CE49" s="543" t="s">
        <v>2620</v>
      </c>
      <c r="CF49" s="543" t="s">
        <v>2620</v>
      </c>
      <c r="CG49" s="543" t="s">
        <v>2620</v>
      </c>
      <c r="CH49" s="543" t="s">
        <v>2620</v>
      </c>
      <c r="CI49" s="543" t="s">
        <v>2620</v>
      </c>
      <c r="CJ49" s="543" t="s">
        <v>2620</v>
      </c>
      <c r="CK49" s="543" t="s">
        <v>2620</v>
      </c>
      <c r="CL49" s="543" t="s">
        <v>2620</v>
      </c>
      <c r="CM49" s="543" t="s">
        <v>2620</v>
      </c>
      <c r="CN49" s="543" t="s">
        <v>2620</v>
      </c>
      <c r="CO49" s="543" t="s">
        <v>2620</v>
      </c>
      <c r="CP49" s="543" t="s">
        <v>2620</v>
      </c>
      <c r="CQ49" s="543" t="s">
        <v>2620</v>
      </c>
      <c r="CR49" s="543" t="s">
        <v>2620</v>
      </c>
      <c r="CS49" s="543" t="s">
        <v>2620</v>
      </c>
      <c r="CT49" s="543" t="s">
        <v>2620</v>
      </c>
      <c r="CU49" s="543" t="s">
        <v>2620</v>
      </c>
      <c r="CV49" s="543" t="s">
        <v>2620</v>
      </c>
      <c r="CW49" s="543" t="s">
        <v>2620</v>
      </c>
      <c r="CX49" s="543" t="s">
        <v>2620</v>
      </c>
      <c r="CY49" s="543" t="s">
        <v>2620</v>
      </c>
      <c r="CZ49" s="543" t="s">
        <v>2620</v>
      </c>
      <c r="DA49" s="543" t="s">
        <v>2620</v>
      </c>
      <c r="DB49" s="543" t="s">
        <v>2620</v>
      </c>
      <c r="DC49" s="543" t="s">
        <v>2620</v>
      </c>
    </row>
    <row r="50" spans="1:107">
      <c r="A50" s="2015"/>
      <c r="B50" s="534"/>
      <c r="C50" s="535"/>
      <c r="D50" s="12" t="s">
        <v>130</v>
      </c>
      <c r="E50" s="13">
        <v>116</v>
      </c>
      <c r="F50" s="14" t="s">
        <v>2824</v>
      </c>
      <c r="G50" s="543" t="s">
        <v>2620</v>
      </c>
      <c r="H50" s="543" t="s">
        <v>2620</v>
      </c>
      <c r="I50" s="543" t="s">
        <v>2620</v>
      </c>
      <c r="J50" s="543" t="s">
        <v>2620</v>
      </c>
      <c r="K50" s="543" t="s">
        <v>2620</v>
      </c>
      <c r="L50" s="543" t="s">
        <v>2620</v>
      </c>
      <c r="M50" s="543" t="s">
        <v>2620</v>
      </c>
      <c r="N50" s="543" t="s">
        <v>2620</v>
      </c>
      <c r="O50" s="543" t="s">
        <v>2620</v>
      </c>
      <c r="P50" s="543" t="s">
        <v>2620</v>
      </c>
      <c r="Q50" s="543" t="s">
        <v>2620</v>
      </c>
      <c r="R50" s="543" t="s">
        <v>2620</v>
      </c>
      <c r="S50" s="543" t="s">
        <v>2620</v>
      </c>
      <c r="T50" s="543" t="s">
        <v>2620</v>
      </c>
      <c r="U50" s="543" t="s">
        <v>2620</v>
      </c>
      <c r="V50" s="543" t="s">
        <v>2620</v>
      </c>
      <c r="W50" s="543" t="s">
        <v>2620</v>
      </c>
      <c r="X50" s="543" t="s">
        <v>2620</v>
      </c>
      <c r="Y50" s="543" t="s">
        <v>2620</v>
      </c>
      <c r="Z50" s="543" t="s">
        <v>2620</v>
      </c>
      <c r="AA50" s="543" t="s">
        <v>2620</v>
      </c>
      <c r="AB50" s="543" t="s">
        <v>2620</v>
      </c>
      <c r="AC50" s="543" t="s">
        <v>2620</v>
      </c>
      <c r="AD50" s="543" t="s">
        <v>2620</v>
      </c>
      <c r="AE50" s="543" t="s">
        <v>2620</v>
      </c>
      <c r="AF50" s="543" t="s">
        <v>2620</v>
      </c>
      <c r="AG50" s="543" t="s">
        <v>2620</v>
      </c>
      <c r="AH50" s="543" t="s">
        <v>2620</v>
      </c>
      <c r="AI50" s="543" t="s">
        <v>2620</v>
      </c>
      <c r="AJ50" s="543" t="s">
        <v>2620</v>
      </c>
      <c r="AK50" s="543" t="s">
        <v>2620</v>
      </c>
      <c r="AL50" s="543" t="s">
        <v>2620</v>
      </c>
      <c r="AM50" s="543" t="s">
        <v>2620</v>
      </c>
      <c r="AN50" s="543" t="s">
        <v>2620</v>
      </c>
      <c r="AO50" s="543" t="s">
        <v>2620</v>
      </c>
      <c r="AP50" s="543" t="s">
        <v>2620</v>
      </c>
      <c r="AQ50" s="543" t="s">
        <v>2620</v>
      </c>
      <c r="AR50" s="543" t="s">
        <v>2620</v>
      </c>
      <c r="AS50" s="543" t="s">
        <v>2620</v>
      </c>
      <c r="AT50" s="543" t="s">
        <v>2620</v>
      </c>
      <c r="AU50" s="543" t="s">
        <v>2620</v>
      </c>
      <c r="AV50" s="543" t="s">
        <v>2620</v>
      </c>
      <c r="AW50" s="543" t="s">
        <v>2620</v>
      </c>
      <c r="AX50" s="543" t="s">
        <v>2620</v>
      </c>
      <c r="AY50" s="543" t="s">
        <v>2620</v>
      </c>
      <c r="AZ50" s="543" t="s">
        <v>2620</v>
      </c>
      <c r="BA50" s="543" t="s">
        <v>2620</v>
      </c>
      <c r="BB50" s="543" t="s">
        <v>2620</v>
      </c>
      <c r="BC50" s="543" t="s">
        <v>2620</v>
      </c>
      <c r="BD50" s="543" t="s">
        <v>2620</v>
      </c>
      <c r="BE50" s="543" t="s">
        <v>2620</v>
      </c>
      <c r="BF50" s="543" t="s">
        <v>2620</v>
      </c>
      <c r="BG50" s="543" t="s">
        <v>2620</v>
      </c>
      <c r="BH50" s="543" t="s">
        <v>2620</v>
      </c>
      <c r="BI50" s="543" t="s">
        <v>2620</v>
      </c>
      <c r="BJ50" s="543" t="s">
        <v>2620</v>
      </c>
      <c r="BK50" s="543" t="s">
        <v>2620</v>
      </c>
      <c r="BL50" s="543" t="s">
        <v>2620</v>
      </c>
      <c r="BM50" s="543" t="s">
        <v>2620</v>
      </c>
      <c r="BN50" s="543" t="s">
        <v>2620</v>
      </c>
      <c r="BO50" s="543" t="s">
        <v>2620</v>
      </c>
      <c r="BP50" s="543" t="s">
        <v>2620</v>
      </c>
      <c r="BQ50" s="543" t="s">
        <v>2620</v>
      </c>
      <c r="BR50" s="543" t="s">
        <v>2620</v>
      </c>
      <c r="BS50" s="543" t="s">
        <v>2620</v>
      </c>
      <c r="BT50" s="543" t="s">
        <v>2620</v>
      </c>
      <c r="BU50" s="543" t="s">
        <v>2620</v>
      </c>
      <c r="BV50" s="543" t="s">
        <v>2620</v>
      </c>
      <c r="BW50" s="543" t="s">
        <v>2620</v>
      </c>
      <c r="BX50" s="543" t="s">
        <v>2620</v>
      </c>
      <c r="BY50" s="543" t="s">
        <v>2620</v>
      </c>
      <c r="BZ50" s="543" t="s">
        <v>2620</v>
      </c>
      <c r="CA50" s="543" t="s">
        <v>2620</v>
      </c>
      <c r="CB50" s="543" t="s">
        <v>2620</v>
      </c>
      <c r="CC50" s="543" t="s">
        <v>2620</v>
      </c>
      <c r="CD50" s="543" t="s">
        <v>2620</v>
      </c>
      <c r="CE50" s="543" t="s">
        <v>2620</v>
      </c>
      <c r="CF50" s="543" t="s">
        <v>2620</v>
      </c>
      <c r="CG50" s="543" t="s">
        <v>2620</v>
      </c>
      <c r="CH50" s="543" t="s">
        <v>2620</v>
      </c>
      <c r="CI50" s="543" t="s">
        <v>2620</v>
      </c>
      <c r="CJ50" s="543" t="s">
        <v>2620</v>
      </c>
      <c r="CK50" s="543" t="s">
        <v>2620</v>
      </c>
      <c r="CL50" s="543" t="s">
        <v>2620</v>
      </c>
      <c r="CM50" s="543" t="s">
        <v>2620</v>
      </c>
      <c r="CN50" s="543" t="s">
        <v>2620</v>
      </c>
      <c r="CO50" s="543" t="s">
        <v>2620</v>
      </c>
      <c r="CP50" s="543" t="s">
        <v>2620</v>
      </c>
      <c r="CQ50" s="543" t="s">
        <v>2620</v>
      </c>
      <c r="CR50" s="543" t="s">
        <v>2620</v>
      </c>
      <c r="CS50" s="543" t="s">
        <v>2620</v>
      </c>
      <c r="CT50" s="543" t="s">
        <v>2620</v>
      </c>
      <c r="CU50" s="543" t="s">
        <v>2620</v>
      </c>
      <c r="CV50" s="543" t="s">
        <v>2620</v>
      </c>
      <c r="CW50" s="543" t="s">
        <v>2620</v>
      </c>
      <c r="CX50" s="543" t="s">
        <v>2620</v>
      </c>
      <c r="CY50" s="543" t="s">
        <v>2620</v>
      </c>
      <c r="CZ50" s="543" t="s">
        <v>2620</v>
      </c>
      <c r="DA50" s="543" t="s">
        <v>2620</v>
      </c>
      <c r="DB50" s="543" t="s">
        <v>2620</v>
      </c>
      <c r="DC50" s="543" t="s">
        <v>2620</v>
      </c>
    </row>
    <row r="51" spans="1:107">
      <c r="A51" s="2015"/>
      <c r="B51" s="534"/>
      <c r="C51" s="535"/>
      <c r="D51" s="12" t="s">
        <v>130</v>
      </c>
      <c r="E51" s="13">
        <v>117</v>
      </c>
      <c r="F51" s="14" t="s">
        <v>2825</v>
      </c>
      <c r="G51" s="543" t="s">
        <v>2620</v>
      </c>
      <c r="H51" s="543" t="s">
        <v>2620</v>
      </c>
      <c r="I51" s="543" t="s">
        <v>2620</v>
      </c>
      <c r="J51" s="543" t="s">
        <v>2620</v>
      </c>
      <c r="K51" s="543" t="s">
        <v>2620</v>
      </c>
      <c r="L51" s="543" t="s">
        <v>2620</v>
      </c>
      <c r="M51" s="543" t="s">
        <v>2620</v>
      </c>
      <c r="N51" s="543" t="s">
        <v>2620</v>
      </c>
      <c r="O51" s="543" t="s">
        <v>2620</v>
      </c>
      <c r="P51" s="543" t="s">
        <v>2620</v>
      </c>
      <c r="Q51" s="543" t="s">
        <v>2620</v>
      </c>
      <c r="R51" s="543" t="s">
        <v>2620</v>
      </c>
      <c r="S51" s="543" t="s">
        <v>2620</v>
      </c>
      <c r="T51" s="543" t="s">
        <v>2620</v>
      </c>
      <c r="U51" s="543" t="s">
        <v>2620</v>
      </c>
      <c r="V51" s="543" t="s">
        <v>2620</v>
      </c>
      <c r="W51" s="543" t="s">
        <v>2620</v>
      </c>
      <c r="X51" s="543" t="s">
        <v>2620</v>
      </c>
      <c r="Y51" s="543" t="s">
        <v>2620</v>
      </c>
      <c r="Z51" s="543" t="s">
        <v>2620</v>
      </c>
      <c r="AA51" s="543" t="s">
        <v>2620</v>
      </c>
      <c r="AB51" s="543" t="s">
        <v>2620</v>
      </c>
      <c r="AC51" s="543" t="s">
        <v>2620</v>
      </c>
      <c r="AD51" s="543" t="s">
        <v>2620</v>
      </c>
      <c r="AE51" s="543" t="s">
        <v>2620</v>
      </c>
      <c r="AF51" s="543" t="s">
        <v>2620</v>
      </c>
      <c r="AG51" s="543" t="s">
        <v>2620</v>
      </c>
      <c r="AH51" s="543" t="s">
        <v>2620</v>
      </c>
      <c r="AI51" s="543" t="s">
        <v>2620</v>
      </c>
      <c r="AJ51" s="543" t="s">
        <v>2620</v>
      </c>
      <c r="AK51" s="543" t="s">
        <v>2620</v>
      </c>
      <c r="AL51" s="543" t="s">
        <v>2620</v>
      </c>
      <c r="AM51" s="543" t="s">
        <v>2620</v>
      </c>
      <c r="AN51" s="543" t="s">
        <v>2620</v>
      </c>
      <c r="AO51" s="543" t="s">
        <v>2620</v>
      </c>
      <c r="AP51" s="543" t="s">
        <v>2620</v>
      </c>
      <c r="AQ51" s="543" t="s">
        <v>2620</v>
      </c>
      <c r="AR51" s="543" t="s">
        <v>2620</v>
      </c>
      <c r="AS51" s="543" t="s">
        <v>2620</v>
      </c>
      <c r="AT51" s="543" t="s">
        <v>2620</v>
      </c>
      <c r="AU51" s="543" t="s">
        <v>2620</v>
      </c>
      <c r="AV51" s="543" t="s">
        <v>2620</v>
      </c>
      <c r="AW51" s="543" t="s">
        <v>2620</v>
      </c>
      <c r="AX51" s="543" t="s">
        <v>2620</v>
      </c>
      <c r="AY51" s="543" t="s">
        <v>2620</v>
      </c>
      <c r="AZ51" s="543" t="s">
        <v>2620</v>
      </c>
      <c r="BA51" s="543" t="s">
        <v>2620</v>
      </c>
      <c r="BB51" s="543" t="s">
        <v>2620</v>
      </c>
      <c r="BC51" s="543" t="s">
        <v>2620</v>
      </c>
      <c r="BD51" s="543" t="s">
        <v>2620</v>
      </c>
      <c r="BE51" s="543" t="s">
        <v>2620</v>
      </c>
      <c r="BF51" s="543" t="s">
        <v>2620</v>
      </c>
      <c r="BG51" s="543" t="s">
        <v>2620</v>
      </c>
      <c r="BH51" s="543" t="s">
        <v>2620</v>
      </c>
      <c r="BI51" s="543" t="s">
        <v>2620</v>
      </c>
      <c r="BJ51" s="543" t="s">
        <v>2620</v>
      </c>
      <c r="BK51" s="543" t="s">
        <v>2620</v>
      </c>
      <c r="BL51" s="543" t="s">
        <v>2620</v>
      </c>
      <c r="BM51" s="543" t="s">
        <v>2620</v>
      </c>
      <c r="BN51" s="543" t="s">
        <v>2620</v>
      </c>
      <c r="BO51" s="543" t="s">
        <v>2620</v>
      </c>
      <c r="BP51" s="543" t="s">
        <v>2620</v>
      </c>
      <c r="BQ51" s="543" t="s">
        <v>2620</v>
      </c>
      <c r="BR51" s="543" t="s">
        <v>2620</v>
      </c>
      <c r="BS51" s="543" t="s">
        <v>2620</v>
      </c>
      <c r="BT51" s="543" t="s">
        <v>2620</v>
      </c>
      <c r="BU51" s="543" t="s">
        <v>2620</v>
      </c>
      <c r="BV51" s="543" t="s">
        <v>2620</v>
      </c>
      <c r="BW51" s="543" t="s">
        <v>2620</v>
      </c>
      <c r="BX51" s="543" t="s">
        <v>2620</v>
      </c>
      <c r="BY51" s="543" t="s">
        <v>2620</v>
      </c>
      <c r="BZ51" s="543" t="s">
        <v>2620</v>
      </c>
      <c r="CA51" s="543" t="s">
        <v>2620</v>
      </c>
      <c r="CB51" s="543" t="s">
        <v>2620</v>
      </c>
      <c r="CC51" s="543" t="s">
        <v>2620</v>
      </c>
      <c r="CD51" s="543" t="s">
        <v>2620</v>
      </c>
      <c r="CE51" s="543" t="s">
        <v>2620</v>
      </c>
      <c r="CF51" s="543" t="s">
        <v>2620</v>
      </c>
      <c r="CG51" s="543" t="s">
        <v>2620</v>
      </c>
      <c r="CH51" s="543" t="s">
        <v>2620</v>
      </c>
      <c r="CI51" s="543" t="s">
        <v>2620</v>
      </c>
      <c r="CJ51" s="543" t="s">
        <v>2620</v>
      </c>
      <c r="CK51" s="543" t="s">
        <v>2620</v>
      </c>
      <c r="CL51" s="543" t="s">
        <v>2620</v>
      </c>
      <c r="CM51" s="543" t="s">
        <v>2620</v>
      </c>
      <c r="CN51" s="543" t="s">
        <v>2620</v>
      </c>
      <c r="CO51" s="543" t="s">
        <v>2620</v>
      </c>
      <c r="CP51" s="543" t="s">
        <v>2620</v>
      </c>
      <c r="CQ51" s="543" t="s">
        <v>2620</v>
      </c>
      <c r="CR51" s="543" t="s">
        <v>2620</v>
      </c>
      <c r="CS51" s="543" t="s">
        <v>2620</v>
      </c>
      <c r="CT51" s="543" t="s">
        <v>2620</v>
      </c>
      <c r="CU51" s="543" t="s">
        <v>2620</v>
      </c>
      <c r="CV51" s="543" t="s">
        <v>2620</v>
      </c>
      <c r="CW51" s="543" t="s">
        <v>2620</v>
      </c>
      <c r="CX51" s="543" t="s">
        <v>2620</v>
      </c>
      <c r="CY51" s="543" t="s">
        <v>2620</v>
      </c>
      <c r="CZ51" s="543" t="s">
        <v>2620</v>
      </c>
      <c r="DA51" s="543" t="s">
        <v>2620</v>
      </c>
      <c r="DB51" s="543" t="s">
        <v>2620</v>
      </c>
      <c r="DC51" s="543" t="s">
        <v>2620</v>
      </c>
    </row>
    <row r="52" spans="1:107">
      <c r="A52" s="533"/>
      <c r="B52" s="534"/>
      <c r="C52" s="535"/>
      <c r="D52" s="12"/>
      <c r="E52" s="13"/>
      <c r="F52" s="14"/>
      <c r="G52" s="543"/>
      <c r="H52" s="543"/>
      <c r="I52" s="543"/>
      <c r="J52" s="543"/>
      <c r="K52" s="543"/>
      <c r="L52" s="543"/>
      <c r="M52" s="543"/>
      <c r="N52" s="543"/>
      <c r="O52" s="543"/>
      <c r="P52" s="543"/>
      <c r="Q52" s="543"/>
      <c r="R52" s="543"/>
      <c r="S52" s="543"/>
      <c r="T52" s="543"/>
      <c r="U52" s="543"/>
      <c r="V52" s="543"/>
      <c r="W52" s="543"/>
      <c r="X52" s="543"/>
      <c r="Y52" s="543"/>
      <c r="Z52" s="543"/>
      <c r="AA52" s="543"/>
      <c r="AB52" s="543"/>
      <c r="AC52" s="543"/>
      <c r="AD52" s="543"/>
      <c r="AE52" s="543"/>
      <c r="AF52" s="543"/>
      <c r="AG52" s="543"/>
      <c r="AH52" s="543"/>
      <c r="AI52" s="543"/>
      <c r="AJ52" s="543"/>
      <c r="AK52" s="543"/>
      <c r="AL52" s="543"/>
      <c r="AM52" s="543"/>
      <c r="AN52" s="543"/>
      <c r="AO52" s="543"/>
      <c r="AP52" s="543"/>
      <c r="AQ52" s="543"/>
      <c r="AR52" s="543"/>
      <c r="AS52" s="543"/>
      <c r="AT52" s="543"/>
      <c r="AU52" s="543"/>
      <c r="AV52" s="543"/>
      <c r="AW52" s="543"/>
      <c r="AX52" s="543"/>
      <c r="AY52" s="543"/>
      <c r="AZ52" s="543"/>
      <c r="BA52" s="543"/>
      <c r="BB52" s="543"/>
      <c r="BC52" s="543"/>
      <c r="BD52" s="543"/>
      <c r="BE52" s="543"/>
      <c r="BF52" s="543"/>
      <c r="BG52" s="543"/>
      <c r="BH52" s="543"/>
      <c r="BI52" s="543"/>
      <c r="BJ52" s="543"/>
      <c r="BK52" s="543"/>
      <c r="BL52" s="543"/>
      <c r="BM52" s="543"/>
      <c r="BN52" s="543"/>
      <c r="BO52" s="543"/>
      <c r="BP52" s="543"/>
      <c r="BQ52" s="543"/>
      <c r="BR52" s="543"/>
      <c r="BS52" s="543"/>
      <c r="BT52" s="543"/>
      <c r="BU52" s="543"/>
      <c r="BV52" s="543"/>
      <c r="BW52" s="543"/>
      <c r="BX52" s="543"/>
      <c r="BY52" s="543"/>
      <c r="BZ52" s="543"/>
      <c r="CA52" s="543"/>
      <c r="CB52" s="543"/>
      <c r="CC52" s="543"/>
      <c r="CD52" s="543"/>
      <c r="CE52" s="543"/>
      <c r="CF52" s="543"/>
      <c r="CG52" s="543"/>
      <c r="CH52" s="543"/>
      <c r="CI52" s="543"/>
      <c r="CJ52" s="543"/>
      <c r="CK52" s="543"/>
      <c r="CL52" s="543"/>
      <c r="CM52" s="543"/>
      <c r="CN52" s="543"/>
      <c r="CO52" s="543"/>
      <c r="CP52" s="543"/>
      <c r="CQ52" s="543"/>
      <c r="CR52" s="543"/>
      <c r="CS52" s="543"/>
      <c r="CT52" s="543"/>
      <c r="CU52" s="543"/>
      <c r="CV52" s="543"/>
      <c r="CW52" s="543"/>
      <c r="CX52" s="543"/>
      <c r="CY52" s="543"/>
      <c r="CZ52" s="543"/>
      <c r="DA52" s="543"/>
      <c r="DB52" s="543"/>
      <c r="DC52" s="543"/>
    </row>
    <row r="53" spans="1:107">
      <c r="A53" s="2015"/>
      <c r="B53" s="534"/>
      <c r="C53" s="535"/>
      <c r="D53" s="12" t="s">
        <v>130</v>
      </c>
      <c r="E53" s="13">
        <v>120</v>
      </c>
      <c r="F53" s="14" t="s">
        <v>2826</v>
      </c>
      <c r="G53" s="543" t="s">
        <v>2620</v>
      </c>
      <c r="H53" s="543" t="s">
        <v>2620</v>
      </c>
      <c r="I53" s="543" t="s">
        <v>2620</v>
      </c>
      <c r="J53" s="543" t="s">
        <v>2620</v>
      </c>
      <c r="K53" s="543" t="s">
        <v>2620</v>
      </c>
      <c r="L53" s="543" t="s">
        <v>2620</v>
      </c>
      <c r="M53" s="543" t="s">
        <v>2620</v>
      </c>
      <c r="N53" s="543" t="s">
        <v>2620</v>
      </c>
      <c r="O53" s="543" t="s">
        <v>2620</v>
      </c>
      <c r="P53" s="543" t="s">
        <v>2620</v>
      </c>
      <c r="Q53" s="543" t="s">
        <v>2620</v>
      </c>
      <c r="R53" s="543" t="s">
        <v>2620</v>
      </c>
      <c r="S53" s="543" t="s">
        <v>2620</v>
      </c>
      <c r="T53" s="543" t="s">
        <v>2620</v>
      </c>
      <c r="U53" s="543" t="s">
        <v>2620</v>
      </c>
      <c r="V53" s="543" t="s">
        <v>2620</v>
      </c>
      <c r="W53" s="543" t="s">
        <v>2620</v>
      </c>
      <c r="X53" s="543" t="s">
        <v>2620</v>
      </c>
      <c r="Y53" s="543" t="s">
        <v>2620</v>
      </c>
      <c r="Z53" s="543" t="s">
        <v>2620</v>
      </c>
      <c r="AA53" s="543" t="s">
        <v>2620</v>
      </c>
      <c r="AB53" s="543" t="s">
        <v>2620</v>
      </c>
      <c r="AC53" s="543" t="s">
        <v>2620</v>
      </c>
      <c r="AD53" s="543" t="s">
        <v>2620</v>
      </c>
      <c r="AE53" s="543" t="s">
        <v>2620</v>
      </c>
      <c r="AF53" s="543" t="s">
        <v>2620</v>
      </c>
      <c r="AG53" s="543" t="s">
        <v>2620</v>
      </c>
      <c r="AH53" s="543" t="s">
        <v>2620</v>
      </c>
      <c r="AI53" s="543" t="s">
        <v>2620</v>
      </c>
      <c r="AJ53" s="543" t="s">
        <v>2620</v>
      </c>
      <c r="AK53" s="543" t="s">
        <v>2620</v>
      </c>
      <c r="AL53" s="543" t="s">
        <v>2620</v>
      </c>
      <c r="AM53" s="543" t="s">
        <v>2620</v>
      </c>
      <c r="AN53" s="543" t="s">
        <v>2620</v>
      </c>
      <c r="AO53" s="543" t="s">
        <v>2620</v>
      </c>
      <c r="AP53" s="543" t="s">
        <v>2620</v>
      </c>
      <c r="AQ53" s="543" t="s">
        <v>2620</v>
      </c>
      <c r="AR53" s="543" t="s">
        <v>2620</v>
      </c>
      <c r="AS53" s="543" t="s">
        <v>2620</v>
      </c>
      <c r="AT53" s="543" t="s">
        <v>2620</v>
      </c>
      <c r="AU53" s="543" t="s">
        <v>2620</v>
      </c>
      <c r="AV53" s="543" t="s">
        <v>2620</v>
      </c>
      <c r="AW53" s="543" t="s">
        <v>2620</v>
      </c>
      <c r="AX53" s="543" t="s">
        <v>2620</v>
      </c>
      <c r="AY53" s="543" t="s">
        <v>2620</v>
      </c>
      <c r="AZ53" s="543" t="s">
        <v>2620</v>
      </c>
      <c r="BA53" s="543" t="s">
        <v>2620</v>
      </c>
      <c r="BB53" s="543" t="s">
        <v>2620</v>
      </c>
      <c r="BC53" s="543" t="s">
        <v>2620</v>
      </c>
      <c r="BD53" s="543" t="s">
        <v>2620</v>
      </c>
      <c r="BE53" s="543" t="s">
        <v>2620</v>
      </c>
      <c r="BF53" s="543" t="s">
        <v>2620</v>
      </c>
      <c r="BG53" s="543" t="s">
        <v>2620</v>
      </c>
      <c r="BH53" s="543" t="s">
        <v>2620</v>
      </c>
      <c r="BI53" s="543" t="s">
        <v>2620</v>
      </c>
      <c r="BJ53" s="543" t="s">
        <v>2620</v>
      </c>
      <c r="BK53" s="543" t="s">
        <v>2620</v>
      </c>
      <c r="BL53" s="543" t="s">
        <v>2620</v>
      </c>
      <c r="BM53" s="543" t="s">
        <v>2620</v>
      </c>
      <c r="BN53" s="543" t="s">
        <v>2620</v>
      </c>
      <c r="BO53" s="543" t="s">
        <v>2620</v>
      </c>
      <c r="BP53" s="543" t="s">
        <v>2620</v>
      </c>
      <c r="BQ53" s="543" t="s">
        <v>2620</v>
      </c>
      <c r="BR53" s="543" t="s">
        <v>2620</v>
      </c>
      <c r="BS53" s="543" t="s">
        <v>2620</v>
      </c>
      <c r="BT53" s="543" t="s">
        <v>2620</v>
      </c>
      <c r="BU53" s="543" t="s">
        <v>2620</v>
      </c>
      <c r="BV53" s="543" t="s">
        <v>2620</v>
      </c>
      <c r="BW53" s="543" t="s">
        <v>2620</v>
      </c>
      <c r="BX53" s="543" t="s">
        <v>2620</v>
      </c>
      <c r="BY53" s="543" t="s">
        <v>2620</v>
      </c>
      <c r="BZ53" s="543" t="s">
        <v>2620</v>
      </c>
      <c r="CA53" s="543" t="s">
        <v>2620</v>
      </c>
      <c r="CB53" s="543" t="s">
        <v>2620</v>
      </c>
      <c r="CC53" s="543" t="s">
        <v>2620</v>
      </c>
      <c r="CD53" s="543" t="s">
        <v>2620</v>
      </c>
      <c r="CE53" s="543" t="s">
        <v>2620</v>
      </c>
      <c r="CF53" s="543" t="s">
        <v>2620</v>
      </c>
      <c r="CG53" s="543" t="s">
        <v>2620</v>
      </c>
      <c r="CH53" s="543" t="s">
        <v>2620</v>
      </c>
      <c r="CI53" s="543" t="s">
        <v>2620</v>
      </c>
      <c r="CJ53" s="543" t="s">
        <v>2620</v>
      </c>
      <c r="CK53" s="543" t="s">
        <v>2620</v>
      </c>
      <c r="CL53" s="543" t="s">
        <v>2620</v>
      </c>
      <c r="CM53" s="543" t="s">
        <v>2620</v>
      </c>
      <c r="CN53" s="543" t="s">
        <v>2620</v>
      </c>
      <c r="CO53" s="543" t="s">
        <v>2620</v>
      </c>
      <c r="CP53" s="543" t="s">
        <v>2620</v>
      </c>
      <c r="CQ53" s="543" t="s">
        <v>2620</v>
      </c>
      <c r="CR53" s="543" t="s">
        <v>2620</v>
      </c>
      <c r="CS53" s="543" t="s">
        <v>2620</v>
      </c>
      <c r="CT53" s="543" t="s">
        <v>2620</v>
      </c>
      <c r="CU53" s="543" t="s">
        <v>2620</v>
      </c>
      <c r="CV53" s="543" t="s">
        <v>2620</v>
      </c>
      <c r="CW53" s="543" t="s">
        <v>2620</v>
      </c>
      <c r="CX53" s="543" t="s">
        <v>2620</v>
      </c>
      <c r="CY53" s="543" t="s">
        <v>2620</v>
      </c>
      <c r="CZ53" s="543" t="s">
        <v>2620</v>
      </c>
      <c r="DA53" s="543" t="s">
        <v>2620</v>
      </c>
      <c r="DB53" s="543" t="s">
        <v>2620</v>
      </c>
      <c r="DC53" s="543" t="s">
        <v>2620</v>
      </c>
    </row>
    <row r="54" spans="1:107">
      <c r="A54" s="2015"/>
      <c r="B54" s="534"/>
      <c r="C54" s="535"/>
      <c r="D54" s="12" t="s">
        <v>130</v>
      </c>
      <c r="E54" s="13">
        <v>121</v>
      </c>
      <c r="F54" s="14" t="s">
        <v>2827</v>
      </c>
      <c r="G54" s="543" t="s">
        <v>2620</v>
      </c>
      <c r="H54" s="543" t="s">
        <v>2620</v>
      </c>
      <c r="I54" s="543" t="s">
        <v>2620</v>
      </c>
      <c r="J54" s="543" t="s">
        <v>2620</v>
      </c>
      <c r="K54" s="543" t="s">
        <v>2620</v>
      </c>
      <c r="L54" s="543" t="s">
        <v>2620</v>
      </c>
      <c r="M54" s="543" t="s">
        <v>2620</v>
      </c>
      <c r="N54" s="543" t="s">
        <v>2620</v>
      </c>
      <c r="O54" s="543" t="s">
        <v>2620</v>
      </c>
      <c r="P54" s="543" t="s">
        <v>2620</v>
      </c>
      <c r="Q54" s="543" t="s">
        <v>2620</v>
      </c>
      <c r="R54" s="543" t="s">
        <v>2620</v>
      </c>
      <c r="S54" s="543" t="s">
        <v>2620</v>
      </c>
      <c r="T54" s="543" t="s">
        <v>2620</v>
      </c>
      <c r="U54" s="543" t="s">
        <v>2620</v>
      </c>
      <c r="V54" s="543" t="s">
        <v>2620</v>
      </c>
      <c r="W54" s="543" t="s">
        <v>2620</v>
      </c>
      <c r="X54" s="543" t="s">
        <v>2620</v>
      </c>
      <c r="Y54" s="543" t="s">
        <v>2620</v>
      </c>
      <c r="Z54" s="543" t="s">
        <v>2620</v>
      </c>
      <c r="AA54" s="543" t="s">
        <v>2620</v>
      </c>
      <c r="AB54" s="543" t="s">
        <v>2620</v>
      </c>
      <c r="AC54" s="543" t="s">
        <v>2620</v>
      </c>
      <c r="AD54" s="543" t="s">
        <v>2620</v>
      </c>
      <c r="AE54" s="543" t="s">
        <v>2620</v>
      </c>
      <c r="AF54" s="543" t="s">
        <v>2620</v>
      </c>
      <c r="AG54" s="543" t="s">
        <v>2620</v>
      </c>
      <c r="AH54" s="543" t="s">
        <v>2620</v>
      </c>
      <c r="AI54" s="543" t="s">
        <v>2620</v>
      </c>
      <c r="AJ54" s="543" t="s">
        <v>2620</v>
      </c>
      <c r="AK54" s="543" t="s">
        <v>2620</v>
      </c>
      <c r="AL54" s="543" t="s">
        <v>2620</v>
      </c>
      <c r="AM54" s="543" t="s">
        <v>2620</v>
      </c>
      <c r="AN54" s="543" t="s">
        <v>2620</v>
      </c>
      <c r="AO54" s="543" t="s">
        <v>2620</v>
      </c>
      <c r="AP54" s="543" t="s">
        <v>2620</v>
      </c>
      <c r="AQ54" s="543" t="s">
        <v>2620</v>
      </c>
      <c r="AR54" s="543" t="s">
        <v>2620</v>
      </c>
      <c r="AS54" s="543" t="s">
        <v>2620</v>
      </c>
      <c r="AT54" s="543" t="s">
        <v>2620</v>
      </c>
      <c r="AU54" s="543" t="s">
        <v>2620</v>
      </c>
      <c r="AV54" s="543" t="s">
        <v>2620</v>
      </c>
      <c r="AW54" s="543" t="s">
        <v>2620</v>
      </c>
      <c r="AX54" s="543" t="s">
        <v>2620</v>
      </c>
      <c r="AY54" s="543" t="s">
        <v>2620</v>
      </c>
      <c r="AZ54" s="543" t="s">
        <v>2620</v>
      </c>
      <c r="BA54" s="543" t="s">
        <v>2620</v>
      </c>
      <c r="BB54" s="543" t="s">
        <v>2620</v>
      </c>
      <c r="BC54" s="543" t="s">
        <v>2620</v>
      </c>
      <c r="BD54" s="543" t="s">
        <v>2620</v>
      </c>
      <c r="BE54" s="543" t="s">
        <v>2620</v>
      </c>
      <c r="BF54" s="543" t="s">
        <v>2620</v>
      </c>
      <c r="BG54" s="543" t="s">
        <v>2620</v>
      </c>
      <c r="BH54" s="543" t="s">
        <v>2620</v>
      </c>
      <c r="BI54" s="543" t="s">
        <v>2620</v>
      </c>
      <c r="BJ54" s="543" t="s">
        <v>2620</v>
      </c>
      <c r="BK54" s="543" t="s">
        <v>2620</v>
      </c>
      <c r="BL54" s="543" t="s">
        <v>2620</v>
      </c>
      <c r="BM54" s="543" t="s">
        <v>2620</v>
      </c>
      <c r="BN54" s="543" t="s">
        <v>2620</v>
      </c>
      <c r="BO54" s="543" t="s">
        <v>2620</v>
      </c>
      <c r="BP54" s="543" t="s">
        <v>2620</v>
      </c>
      <c r="BQ54" s="543" t="s">
        <v>2620</v>
      </c>
      <c r="BR54" s="543" t="s">
        <v>2620</v>
      </c>
      <c r="BS54" s="543" t="s">
        <v>2620</v>
      </c>
      <c r="BT54" s="543" t="s">
        <v>2620</v>
      </c>
      <c r="BU54" s="543" t="s">
        <v>2620</v>
      </c>
      <c r="BV54" s="543" t="s">
        <v>2620</v>
      </c>
      <c r="BW54" s="543" t="s">
        <v>2620</v>
      </c>
      <c r="BX54" s="543" t="s">
        <v>2620</v>
      </c>
      <c r="BY54" s="543" t="s">
        <v>2620</v>
      </c>
      <c r="BZ54" s="543" t="s">
        <v>2620</v>
      </c>
      <c r="CA54" s="543" t="s">
        <v>2620</v>
      </c>
      <c r="CB54" s="543" t="s">
        <v>2620</v>
      </c>
      <c r="CC54" s="543" t="s">
        <v>2620</v>
      </c>
      <c r="CD54" s="543" t="s">
        <v>2620</v>
      </c>
      <c r="CE54" s="543" t="s">
        <v>2620</v>
      </c>
      <c r="CF54" s="543" t="s">
        <v>2620</v>
      </c>
      <c r="CG54" s="543" t="s">
        <v>2620</v>
      </c>
      <c r="CH54" s="543" t="s">
        <v>2620</v>
      </c>
      <c r="CI54" s="543" t="s">
        <v>2620</v>
      </c>
      <c r="CJ54" s="543" t="s">
        <v>2620</v>
      </c>
      <c r="CK54" s="543" t="s">
        <v>2620</v>
      </c>
      <c r="CL54" s="543" t="s">
        <v>2620</v>
      </c>
      <c r="CM54" s="543" t="s">
        <v>2620</v>
      </c>
      <c r="CN54" s="543" t="s">
        <v>2620</v>
      </c>
      <c r="CO54" s="543" t="s">
        <v>2620</v>
      </c>
      <c r="CP54" s="543" t="s">
        <v>2620</v>
      </c>
      <c r="CQ54" s="543" t="s">
        <v>2620</v>
      </c>
      <c r="CR54" s="543" t="s">
        <v>2620</v>
      </c>
      <c r="CS54" s="543" t="s">
        <v>2620</v>
      </c>
      <c r="CT54" s="543" t="s">
        <v>2620</v>
      </c>
      <c r="CU54" s="543" t="s">
        <v>2620</v>
      </c>
      <c r="CV54" s="543" t="s">
        <v>2620</v>
      </c>
      <c r="CW54" s="543" t="s">
        <v>2620</v>
      </c>
      <c r="CX54" s="543" t="s">
        <v>2620</v>
      </c>
      <c r="CY54" s="543" t="s">
        <v>2620</v>
      </c>
      <c r="CZ54" s="543" t="s">
        <v>2620</v>
      </c>
      <c r="DA54" s="543" t="s">
        <v>2620</v>
      </c>
      <c r="DB54" s="543" t="s">
        <v>2620</v>
      </c>
      <c r="DC54" s="543" t="s">
        <v>2620</v>
      </c>
    </row>
    <row r="55" spans="1:107">
      <c r="A55" s="2015"/>
      <c r="B55" s="534"/>
      <c r="C55" s="535"/>
      <c r="D55" s="12" t="s">
        <v>130</v>
      </c>
      <c r="E55" s="13">
        <v>122</v>
      </c>
      <c r="F55" s="14" t="s">
        <v>2828</v>
      </c>
      <c r="G55" s="543" t="s">
        <v>2620</v>
      </c>
      <c r="H55" s="543" t="s">
        <v>2620</v>
      </c>
      <c r="I55" s="543" t="s">
        <v>2620</v>
      </c>
      <c r="J55" s="543" t="s">
        <v>2620</v>
      </c>
      <c r="K55" s="543" t="s">
        <v>2620</v>
      </c>
      <c r="L55" s="543" t="s">
        <v>2620</v>
      </c>
      <c r="M55" s="543" t="s">
        <v>2620</v>
      </c>
      <c r="N55" s="543" t="s">
        <v>2620</v>
      </c>
      <c r="O55" s="543" t="s">
        <v>2620</v>
      </c>
      <c r="P55" s="543" t="s">
        <v>2620</v>
      </c>
      <c r="Q55" s="543" t="s">
        <v>2620</v>
      </c>
      <c r="R55" s="543" t="s">
        <v>2620</v>
      </c>
      <c r="S55" s="543" t="s">
        <v>2620</v>
      </c>
      <c r="T55" s="543" t="s">
        <v>2620</v>
      </c>
      <c r="U55" s="543" t="s">
        <v>2620</v>
      </c>
      <c r="V55" s="543" t="s">
        <v>2620</v>
      </c>
      <c r="W55" s="543" t="s">
        <v>2620</v>
      </c>
      <c r="X55" s="543" t="s">
        <v>2620</v>
      </c>
      <c r="Y55" s="543" t="s">
        <v>2620</v>
      </c>
      <c r="Z55" s="543" t="s">
        <v>2620</v>
      </c>
      <c r="AA55" s="543" t="s">
        <v>2620</v>
      </c>
      <c r="AB55" s="543" t="s">
        <v>2620</v>
      </c>
      <c r="AC55" s="543" t="s">
        <v>2620</v>
      </c>
      <c r="AD55" s="543" t="s">
        <v>2620</v>
      </c>
      <c r="AE55" s="543" t="s">
        <v>2620</v>
      </c>
      <c r="AF55" s="543" t="s">
        <v>2620</v>
      </c>
      <c r="AG55" s="543" t="s">
        <v>2620</v>
      </c>
      <c r="AH55" s="543" t="s">
        <v>2620</v>
      </c>
      <c r="AI55" s="543" t="s">
        <v>2620</v>
      </c>
      <c r="AJ55" s="543" t="s">
        <v>2620</v>
      </c>
      <c r="AK55" s="543" t="s">
        <v>2620</v>
      </c>
      <c r="AL55" s="543" t="s">
        <v>2620</v>
      </c>
      <c r="AM55" s="543" t="s">
        <v>2620</v>
      </c>
      <c r="AN55" s="543" t="s">
        <v>2620</v>
      </c>
      <c r="AO55" s="543" t="s">
        <v>2620</v>
      </c>
      <c r="AP55" s="543" t="s">
        <v>2620</v>
      </c>
      <c r="AQ55" s="543" t="s">
        <v>2620</v>
      </c>
      <c r="AR55" s="543" t="s">
        <v>2620</v>
      </c>
      <c r="AS55" s="543" t="s">
        <v>2620</v>
      </c>
      <c r="AT55" s="543" t="s">
        <v>2620</v>
      </c>
      <c r="AU55" s="543" t="s">
        <v>2620</v>
      </c>
      <c r="AV55" s="543" t="s">
        <v>2620</v>
      </c>
      <c r="AW55" s="543" t="s">
        <v>2620</v>
      </c>
      <c r="AX55" s="543" t="s">
        <v>2620</v>
      </c>
      <c r="AY55" s="543" t="s">
        <v>2620</v>
      </c>
      <c r="AZ55" s="543" t="s">
        <v>2620</v>
      </c>
      <c r="BA55" s="543" t="s">
        <v>2620</v>
      </c>
      <c r="BB55" s="543" t="s">
        <v>2620</v>
      </c>
      <c r="BC55" s="543" t="s">
        <v>2620</v>
      </c>
      <c r="BD55" s="543" t="s">
        <v>2620</v>
      </c>
      <c r="BE55" s="543" t="s">
        <v>2620</v>
      </c>
      <c r="BF55" s="543" t="s">
        <v>2620</v>
      </c>
      <c r="BG55" s="543" t="s">
        <v>2620</v>
      </c>
      <c r="BH55" s="543" t="s">
        <v>2620</v>
      </c>
      <c r="BI55" s="543" t="s">
        <v>2620</v>
      </c>
      <c r="BJ55" s="543" t="s">
        <v>2620</v>
      </c>
      <c r="BK55" s="543" t="s">
        <v>2620</v>
      </c>
      <c r="BL55" s="543" t="s">
        <v>2620</v>
      </c>
      <c r="BM55" s="543" t="s">
        <v>2620</v>
      </c>
      <c r="BN55" s="543" t="s">
        <v>2620</v>
      </c>
      <c r="BO55" s="543" t="s">
        <v>2620</v>
      </c>
      <c r="BP55" s="543" t="s">
        <v>2620</v>
      </c>
      <c r="BQ55" s="543" t="s">
        <v>2620</v>
      </c>
      <c r="BR55" s="543" t="s">
        <v>2620</v>
      </c>
      <c r="BS55" s="543" t="s">
        <v>2620</v>
      </c>
      <c r="BT55" s="543" t="s">
        <v>2620</v>
      </c>
      <c r="BU55" s="543" t="s">
        <v>2620</v>
      </c>
      <c r="BV55" s="543" t="s">
        <v>2620</v>
      </c>
      <c r="BW55" s="543" t="s">
        <v>2620</v>
      </c>
      <c r="BX55" s="543" t="s">
        <v>2620</v>
      </c>
      <c r="BY55" s="543" t="s">
        <v>2620</v>
      </c>
      <c r="BZ55" s="543" t="s">
        <v>2620</v>
      </c>
      <c r="CA55" s="543" t="s">
        <v>2620</v>
      </c>
      <c r="CB55" s="543" t="s">
        <v>2620</v>
      </c>
      <c r="CC55" s="543" t="s">
        <v>2620</v>
      </c>
      <c r="CD55" s="543" t="s">
        <v>2620</v>
      </c>
      <c r="CE55" s="543" t="s">
        <v>2620</v>
      </c>
      <c r="CF55" s="543" t="s">
        <v>2620</v>
      </c>
      <c r="CG55" s="543" t="s">
        <v>2620</v>
      </c>
      <c r="CH55" s="543" t="s">
        <v>2620</v>
      </c>
      <c r="CI55" s="543" t="s">
        <v>2620</v>
      </c>
      <c r="CJ55" s="543" t="s">
        <v>2620</v>
      </c>
      <c r="CK55" s="543" t="s">
        <v>2620</v>
      </c>
      <c r="CL55" s="543" t="s">
        <v>2620</v>
      </c>
      <c r="CM55" s="543" t="s">
        <v>2620</v>
      </c>
      <c r="CN55" s="543" t="s">
        <v>2620</v>
      </c>
      <c r="CO55" s="543" t="s">
        <v>2620</v>
      </c>
      <c r="CP55" s="543" t="s">
        <v>2620</v>
      </c>
      <c r="CQ55" s="543" t="s">
        <v>2620</v>
      </c>
      <c r="CR55" s="543" t="s">
        <v>2620</v>
      </c>
      <c r="CS55" s="543" t="s">
        <v>2620</v>
      </c>
      <c r="CT55" s="543" t="s">
        <v>2620</v>
      </c>
      <c r="CU55" s="543" t="s">
        <v>2620</v>
      </c>
      <c r="CV55" s="543" t="s">
        <v>2620</v>
      </c>
      <c r="CW55" s="543" t="s">
        <v>2620</v>
      </c>
      <c r="CX55" s="543" t="s">
        <v>2620</v>
      </c>
      <c r="CY55" s="543" t="s">
        <v>2620</v>
      </c>
      <c r="CZ55" s="543" t="s">
        <v>2620</v>
      </c>
      <c r="DA55" s="543" t="s">
        <v>2620</v>
      </c>
      <c r="DB55" s="543" t="s">
        <v>2620</v>
      </c>
      <c r="DC55" s="543" t="s">
        <v>2620</v>
      </c>
    </row>
    <row r="56" spans="1:107">
      <c r="A56" s="2015"/>
      <c r="B56" s="534"/>
      <c r="C56" s="535"/>
      <c r="D56" s="12" t="s">
        <v>130</v>
      </c>
      <c r="E56" s="13">
        <v>123</v>
      </c>
      <c r="F56" s="14" t="s">
        <v>2829</v>
      </c>
      <c r="G56" s="543" t="s">
        <v>2620</v>
      </c>
      <c r="H56" s="543" t="s">
        <v>2620</v>
      </c>
      <c r="I56" s="543" t="s">
        <v>2620</v>
      </c>
      <c r="J56" s="543" t="s">
        <v>2620</v>
      </c>
      <c r="K56" s="543" t="s">
        <v>2620</v>
      </c>
      <c r="L56" s="543" t="s">
        <v>2620</v>
      </c>
      <c r="M56" s="543" t="s">
        <v>2620</v>
      </c>
      <c r="N56" s="543" t="s">
        <v>2620</v>
      </c>
      <c r="O56" s="543" t="s">
        <v>2620</v>
      </c>
      <c r="P56" s="543" t="s">
        <v>2620</v>
      </c>
      <c r="Q56" s="543" t="s">
        <v>2620</v>
      </c>
      <c r="R56" s="543" t="s">
        <v>2620</v>
      </c>
      <c r="S56" s="543" t="s">
        <v>2620</v>
      </c>
      <c r="T56" s="543" t="s">
        <v>2620</v>
      </c>
      <c r="U56" s="543" t="s">
        <v>2620</v>
      </c>
      <c r="V56" s="543" t="s">
        <v>2620</v>
      </c>
      <c r="W56" s="543" t="s">
        <v>2620</v>
      </c>
      <c r="X56" s="543" t="s">
        <v>2620</v>
      </c>
      <c r="Y56" s="543" t="s">
        <v>2620</v>
      </c>
      <c r="Z56" s="543" t="s">
        <v>2620</v>
      </c>
      <c r="AA56" s="543" t="s">
        <v>2620</v>
      </c>
      <c r="AB56" s="543" t="s">
        <v>2620</v>
      </c>
      <c r="AC56" s="543" t="s">
        <v>2620</v>
      </c>
      <c r="AD56" s="543" t="s">
        <v>2620</v>
      </c>
      <c r="AE56" s="543" t="s">
        <v>2620</v>
      </c>
      <c r="AF56" s="543" t="s">
        <v>2620</v>
      </c>
      <c r="AG56" s="543" t="s">
        <v>2620</v>
      </c>
      <c r="AH56" s="543" t="s">
        <v>2620</v>
      </c>
      <c r="AI56" s="543" t="s">
        <v>2620</v>
      </c>
      <c r="AJ56" s="543" t="s">
        <v>2620</v>
      </c>
      <c r="AK56" s="543" t="s">
        <v>2620</v>
      </c>
      <c r="AL56" s="543" t="s">
        <v>2620</v>
      </c>
      <c r="AM56" s="543" t="s">
        <v>2620</v>
      </c>
      <c r="AN56" s="543" t="s">
        <v>2620</v>
      </c>
      <c r="AO56" s="543" t="s">
        <v>2620</v>
      </c>
      <c r="AP56" s="543" t="s">
        <v>2620</v>
      </c>
      <c r="AQ56" s="543" t="s">
        <v>2620</v>
      </c>
      <c r="AR56" s="543" t="s">
        <v>2620</v>
      </c>
      <c r="AS56" s="543" t="s">
        <v>2620</v>
      </c>
      <c r="AT56" s="543" t="s">
        <v>2620</v>
      </c>
      <c r="AU56" s="543" t="s">
        <v>2620</v>
      </c>
      <c r="AV56" s="543" t="s">
        <v>2620</v>
      </c>
      <c r="AW56" s="543" t="s">
        <v>2620</v>
      </c>
      <c r="AX56" s="543" t="s">
        <v>2620</v>
      </c>
      <c r="AY56" s="543" t="s">
        <v>2620</v>
      </c>
      <c r="AZ56" s="543" t="s">
        <v>2620</v>
      </c>
      <c r="BA56" s="543" t="s">
        <v>2620</v>
      </c>
      <c r="BB56" s="543" t="s">
        <v>2620</v>
      </c>
      <c r="BC56" s="543" t="s">
        <v>2620</v>
      </c>
      <c r="BD56" s="543" t="s">
        <v>2620</v>
      </c>
      <c r="BE56" s="543" t="s">
        <v>2620</v>
      </c>
      <c r="BF56" s="543" t="s">
        <v>2620</v>
      </c>
      <c r="BG56" s="543" t="s">
        <v>2620</v>
      </c>
      <c r="BH56" s="543" t="s">
        <v>2620</v>
      </c>
      <c r="BI56" s="543" t="s">
        <v>2620</v>
      </c>
      <c r="BJ56" s="543" t="s">
        <v>2620</v>
      </c>
      <c r="BK56" s="543" t="s">
        <v>2620</v>
      </c>
      <c r="BL56" s="543" t="s">
        <v>2620</v>
      </c>
      <c r="BM56" s="543" t="s">
        <v>2620</v>
      </c>
      <c r="BN56" s="543" t="s">
        <v>2620</v>
      </c>
      <c r="BO56" s="543" t="s">
        <v>2620</v>
      </c>
      <c r="BP56" s="543" t="s">
        <v>2620</v>
      </c>
      <c r="BQ56" s="543" t="s">
        <v>2620</v>
      </c>
      <c r="BR56" s="543" t="s">
        <v>2620</v>
      </c>
      <c r="BS56" s="543" t="s">
        <v>2620</v>
      </c>
      <c r="BT56" s="543" t="s">
        <v>2620</v>
      </c>
      <c r="BU56" s="543" t="s">
        <v>2620</v>
      </c>
      <c r="BV56" s="543" t="s">
        <v>2620</v>
      </c>
      <c r="BW56" s="543" t="s">
        <v>2620</v>
      </c>
      <c r="BX56" s="543" t="s">
        <v>2620</v>
      </c>
      <c r="BY56" s="543" t="s">
        <v>2620</v>
      </c>
      <c r="BZ56" s="543" t="s">
        <v>2620</v>
      </c>
      <c r="CA56" s="543" t="s">
        <v>2620</v>
      </c>
      <c r="CB56" s="543" t="s">
        <v>2620</v>
      </c>
      <c r="CC56" s="543" t="s">
        <v>2620</v>
      </c>
      <c r="CD56" s="543" t="s">
        <v>2620</v>
      </c>
      <c r="CE56" s="543" t="s">
        <v>2620</v>
      </c>
      <c r="CF56" s="543" t="s">
        <v>2620</v>
      </c>
      <c r="CG56" s="543" t="s">
        <v>2620</v>
      </c>
      <c r="CH56" s="543" t="s">
        <v>2620</v>
      </c>
      <c r="CI56" s="543" t="s">
        <v>2620</v>
      </c>
      <c r="CJ56" s="543" t="s">
        <v>2620</v>
      </c>
      <c r="CK56" s="543" t="s">
        <v>2620</v>
      </c>
      <c r="CL56" s="543" t="s">
        <v>2620</v>
      </c>
      <c r="CM56" s="543" t="s">
        <v>2620</v>
      </c>
      <c r="CN56" s="543" t="s">
        <v>2620</v>
      </c>
      <c r="CO56" s="543" t="s">
        <v>2620</v>
      </c>
      <c r="CP56" s="543" t="s">
        <v>2620</v>
      </c>
      <c r="CQ56" s="543" t="s">
        <v>2620</v>
      </c>
      <c r="CR56" s="543" t="s">
        <v>2620</v>
      </c>
      <c r="CS56" s="543" t="s">
        <v>2620</v>
      </c>
      <c r="CT56" s="543" t="s">
        <v>2620</v>
      </c>
      <c r="CU56" s="543" t="s">
        <v>2620</v>
      </c>
      <c r="CV56" s="543" t="s">
        <v>2620</v>
      </c>
      <c r="CW56" s="543" t="s">
        <v>2620</v>
      </c>
      <c r="CX56" s="543" t="s">
        <v>2620</v>
      </c>
      <c r="CY56" s="543" t="s">
        <v>2620</v>
      </c>
      <c r="CZ56" s="543" t="s">
        <v>2620</v>
      </c>
      <c r="DA56" s="543" t="s">
        <v>2620</v>
      </c>
      <c r="DB56" s="543" t="s">
        <v>2620</v>
      </c>
      <c r="DC56" s="543" t="s">
        <v>2620</v>
      </c>
    </row>
    <row r="57" spans="1:107">
      <c r="A57" s="2015"/>
      <c r="B57" s="534"/>
      <c r="C57" s="535"/>
      <c r="D57" s="12" t="s">
        <v>130</v>
      </c>
      <c r="E57" s="13">
        <v>124</v>
      </c>
      <c r="F57" s="14" t="s">
        <v>2830</v>
      </c>
      <c r="G57" s="543" t="s">
        <v>2620</v>
      </c>
      <c r="H57" s="543" t="s">
        <v>2620</v>
      </c>
      <c r="I57" s="543" t="s">
        <v>2620</v>
      </c>
      <c r="J57" s="543" t="s">
        <v>2620</v>
      </c>
      <c r="K57" s="543" t="s">
        <v>2620</v>
      </c>
      <c r="L57" s="543" t="s">
        <v>2620</v>
      </c>
      <c r="M57" s="543" t="s">
        <v>2620</v>
      </c>
      <c r="N57" s="543" t="s">
        <v>2620</v>
      </c>
      <c r="O57" s="543" t="s">
        <v>2620</v>
      </c>
      <c r="P57" s="543" t="s">
        <v>2620</v>
      </c>
      <c r="Q57" s="543" t="s">
        <v>2620</v>
      </c>
      <c r="R57" s="543" t="s">
        <v>2620</v>
      </c>
      <c r="S57" s="543" t="s">
        <v>2620</v>
      </c>
      <c r="T57" s="543" t="s">
        <v>2620</v>
      </c>
      <c r="U57" s="543" t="s">
        <v>2620</v>
      </c>
      <c r="V57" s="543" t="s">
        <v>2620</v>
      </c>
      <c r="W57" s="543" t="s">
        <v>2620</v>
      </c>
      <c r="X57" s="543" t="s">
        <v>2620</v>
      </c>
      <c r="Y57" s="543" t="s">
        <v>2620</v>
      </c>
      <c r="Z57" s="543" t="s">
        <v>2620</v>
      </c>
      <c r="AA57" s="543" t="s">
        <v>2620</v>
      </c>
      <c r="AB57" s="543" t="s">
        <v>2620</v>
      </c>
      <c r="AC57" s="543" t="s">
        <v>2620</v>
      </c>
      <c r="AD57" s="543" t="s">
        <v>2620</v>
      </c>
      <c r="AE57" s="543" t="s">
        <v>2620</v>
      </c>
      <c r="AF57" s="543" t="s">
        <v>2620</v>
      </c>
      <c r="AG57" s="543" t="s">
        <v>2620</v>
      </c>
      <c r="AH57" s="543" t="s">
        <v>2620</v>
      </c>
      <c r="AI57" s="543" t="s">
        <v>2620</v>
      </c>
      <c r="AJ57" s="543" t="s">
        <v>2620</v>
      </c>
      <c r="AK57" s="543" t="s">
        <v>2620</v>
      </c>
      <c r="AL57" s="543" t="s">
        <v>2620</v>
      </c>
      <c r="AM57" s="543" t="s">
        <v>2620</v>
      </c>
      <c r="AN57" s="543" t="s">
        <v>2620</v>
      </c>
      <c r="AO57" s="543" t="s">
        <v>2620</v>
      </c>
      <c r="AP57" s="543" t="s">
        <v>2620</v>
      </c>
      <c r="AQ57" s="543" t="s">
        <v>2620</v>
      </c>
      <c r="AR57" s="543" t="s">
        <v>2620</v>
      </c>
      <c r="AS57" s="543" t="s">
        <v>2620</v>
      </c>
      <c r="AT57" s="543" t="s">
        <v>2620</v>
      </c>
      <c r="AU57" s="543" t="s">
        <v>2620</v>
      </c>
      <c r="AV57" s="543" t="s">
        <v>2620</v>
      </c>
      <c r="AW57" s="543" t="s">
        <v>2620</v>
      </c>
      <c r="AX57" s="543" t="s">
        <v>2620</v>
      </c>
      <c r="AY57" s="543" t="s">
        <v>2620</v>
      </c>
      <c r="AZ57" s="543" t="s">
        <v>2620</v>
      </c>
      <c r="BA57" s="543" t="s">
        <v>2620</v>
      </c>
      <c r="BB57" s="543" t="s">
        <v>2620</v>
      </c>
      <c r="BC57" s="543" t="s">
        <v>2620</v>
      </c>
      <c r="BD57" s="543" t="s">
        <v>2620</v>
      </c>
      <c r="BE57" s="543" t="s">
        <v>2620</v>
      </c>
      <c r="BF57" s="543" t="s">
        <v>2620</v>
      </c>
      <c r="BG57" s="543" t="s">
        <v>2620</v>
      </c>
      <c r="BH57" s="543" t="s">
        <v>2620</v>
      </c>
      <c r="BI57" s="543" t="s">
        <v>2620</v>
      </c>
      <c r="BJ57" s="543" t="s">
        <v>2620</v>
      </c>
      <c r="BK57" s="543" t="s">
        <v>2620</v>
      </c>
      <c r="BL57" s="543" t="s">
        <v>2620</v>
      </c>
      <c r="BM57" s="543" t="s">
        <v>2620</v>
      </c>
      <c r="BN57" s="543" t="s">
        <v>2620</v>
      </c>
      <c r="BO57" s="543" t="s">
        <v>2620</v>
      </c>
      <c r="BP57" s="543" t="s">
        <v>2620</v>
      </c>
      <c r="BQ57" s="543" t="s">
        <v>2620</v>
      </c>
      <c r="BR57" s="543" t="s">
        <v>2620</v>
      </c>
      <c r="BS57" s="543" t="s">
        <v>2620</v>
      </c>
      <c r="BT57" s="543" t="s">
        <v>2620</v>
      </c>
      <c r="BU57" s="543" t="s">
        <v>2620</v>
      </c>
      <c r="BV57" s="543" t="s">
        <v>2620</v>
      </c>
      <c r="BW57" s="543" t="s">
        <v>2620</v>
      </c>
      <c r="BX57" s="543" t="s">
        <v>2620</v>
      </c>
      <c r="BY57" s="543" t="s">
        <v>2620</v>
      </c>
      <c r="BZ57" s="543" t="s">
        <v>2620</v>
      </c>
      <c r="CA57" s="543" t="s">
        <v>2620</v>
      </c>
      <c r="CB57" s="543" t="s">
        <v>2620</v>
      </c>
      <c r="CC57" s="543" t="s">
        <v>2620</v>
      </c>
      <c r="CD57" s="543" t="s">
        <v>2620</v>
      </c>
      <c r="CE57" s="543" t="s">
        <v>2620</v>
      </c>
      <c r="CF57" s="543" t="s">
        <v>2620</v>
      </c>
      <c r="CG57" s="543" t="s">
        <v>2620</v>
      </c>
      <c r="CH57" s="543" t="s">
        <v>2620</v>
      </c>
      <c r="CI57" s="543" t="s">
        <v>2620</v>
      </c>
      <c r="CJ57" s="543" t="s">
        <v>2620</v>
      </c>
      <c r="CK57" s="543" t="s">
        <v>2620</v>
      </c>
      <c r="CL57" s="543" t="s">
        <v>2620</v>
      </c>
      <c r="CM57" s="543" t="s">
        <v>2620</v>
      </c>
      <c r="CN57" s="543" t="s">
        <v>2620</v>
      </c>
      <c r="CO57" s="543" t="s">
        <v>2620</v>
      </c>
      <c r="CP57" s="543" t="s">
        <v>2620</v>
      </c>
      <c r="CQ57" s="543" t="s">
        <v>2620</v>
      </c>
      <c r="CR57" s="543" t="s">
        <v>2620</v>
      </c>
      <c r="CS57" s="543" t="s">
        <v>2620</v>
      </c>
      <c r="CT57" s="543" t="s">
        <v>2620</v>
      </c>
      <c r="CU57" s="543" t="s">
        <v>2620</v>
      </c>
      <c r="CV57" s="543" t="s">
        <v>2620</v>
      </c>
      <c r="CW57" s="543" t="s">
        <v>2620</v>
      </c>
      <c r="CX57" s="543" t="s">
        <v>2620</v>
      </c>
      <c r="CY57" s="543" t="s">
        <v>2620</v>
      </c>
      <c r="CZ57" s="543" t="s">
        <v>2620</v>
      </c>
      <c r="DA57" s="543" t="s">
        <v>2620</v>
      </c>
      <c r="DB57" s="543" t="s">
        <v>2620</v>
      </c>
      <c r="DC57" s="543" t="s">
        <v>2620</v>
      </c>
    </row>
    <row r="58" spans="1:107">
      <c r="A58" s="2015"/>
      <c r="B58" s="534"/>
      <c r="C58" s="535"/>
      <c r="D58" s="12" t="s">
        <v>130</v>
      </c>
      <c r="E58" s="13">
        <v>125</v>
      </c>
      <c r="F58" s="14" t="s">
        <v>2831</v>
      </c>
      <c r="G58" s="543" t="s">
        <v>2620</v>
      </c>
      <c r="H58" s="543" t="s">
        <v>2620</v>
      </c>
      <c r="I58" s="543" t="s">
        <v>2620</v>
      </c>
      <c r="J58" s="543" t="s">
        <v>2620</v>
      </c>
      <c r="K58" s="543" t="s">
        <v>2620</v>
      </c>
      <c r="L58" s="543" t="s">
        <v>2620</v>
      </c>
      <c r="M58" s="543" t="s">
        <v>2620</v>
      </c>
      <c r="N58" s="543" t="s">
        <v>2620</v>
      </c>
      <c r="O58" s="543" t="s">
        <v>2620</v>
      </c>
      <c r="P58" s="543" t="s">
        <v>2620</v>
      </c>
      <c r="Q58" s="543" t="s">
        <v>2620</v>
      </c>
      <c r="R58" s="543" t="s">
        <v>2620</v>
      </c>
      <c r="S58" s="543" t="s">
        <v>2620</v>
      </c>
      <c r="T58" s="543" t="s">
        <v>2620</v>
      </c>
      <c r="U58" s="543" t="s">
        <v>2620</v>
      </c>
      <c r="V58" s="543" t="s">
        <v>2620</v>
      </c>
      <c r="W58" s="543" t="s">
        <v>2620</v>
      </c>
      <c r="X58" s="543" t="s">
        <v>2620</v>
      </c>
      <c r="Y58" s="543" t="s">
        <v>2620</v>
      </c>
      <c r="Z58" s="543" t="s">
        <v>2620</v>
      </c>
      <c r="AA58" s="543" t="s">
        <v>2620</v>
      </c>
      <c r="AB58" s="543" t="s">
        <v>2620</v>
      </c>
      <c r="AC58" s="543" t="s">
        <v>2620</v>
      </c>
      <c r="AD58" s="543" t="s">
        <v>2620</v>
      </c>
      <c r="AE58" s="543" t="s">
        <v>2620</v>
      </c>
      <c r="AF58" s="543" t="s">
        <v>2620</v>
      </c>
      <c r="AG58" s="543" t="s">
        <v>2620</v>
      </c>
      <c r="AH58" s="543" t="s">
        <v>2620</v>
      </c>
      <c r="AI58" s="543" t="s">
        <v>2620</v>
      </c>
      <c r="AJ58" s="543" t="s">
        <v>2620</v>
      </c>
      <c r="AK58" s="543" t="s">
        <v>2620</v>
      </c>
      <c r="AL58" s="543" t="s">
        <v>2620</v>
      </c>
      <c r="AM58" s="543" t="s">
        <v>2620</v>
      </c>
      <c r="AN58" s="543" t="s">
        <v>2620</v>
      </c>
      <c r="AO58" s="543" t="s">
        <v>2620</v>
      </c>
      <c r="AP58" s="543" t="s">
        <v>2620</v>
      </c>
      <c r="AQ58" s="543" t="s">
        <v>2620</v>
      </c>
      <c r="AR58" s="543" t="s">
        <v>2620</v>
      </c>
      <c r="AS58" s="543" t="s">
        <v>2620</v>
      </c>
      <c r="AT58" s="543" t="s">
        <v>2620</v>
      </c>
      <c r="AU58" s="543" t="s">
        <v>2620</v>
      </c>
      <c r="AV58" s="543" t="s">
        <v>2620</v>
      </c>
      <c r="AW58" s="543" t="s">
        <v>2620</v>
      </c>
      <c r="AX58" s="543" t="s">
        <v>2620</v>
      </c>
      <c r="AY58" s="543" t="s">
        <v>2620</v>
      </c>
      <c r="AZ58" s="543" t="s">
        <v>2620</v>
      </c>
      <c r="BA58" s="543" t="s">
        <v>2620</v>
      </c>
      <c r="BB58" s="543" t="s">
        <v>2620</v>
      </c>
      <c r="BC58" s="543" t="s">
        <v>2620</v>
      </c>
      <c r="BD58" s="543" t="s">
        <v>2620</v>
      </c>
      <c r="BE58" s="543" t="s">
        <v>2620</v>
      </c>
      <c r="BF58" s="543" t="s">
        <v>2620</v>
      </c>
      <c r="BG58" s="543" t="s">
        <v>2620</v>
      </c>
      <c r="BH58" s="543" t="s">
        <v>2620</v>
      </c>
      <c r="BI58" s="543" t="s">
        <v>2620</v>
      </c>
      <c r="BJ58" s="543" t="s">
        <v>2620</v>
      </c>
      <c r="BK58" s="543" t="s">
        <v>2620</v>
      </c>
      <c r="BL58" s="543" t="s">
        <v>2620</v>
      </c>
      <c r="BM58" s="543" t="s">
        <v>2620</v>
      </c>
      <c r="BN58" s="543" t="s">
        <v>2620</v>
      </c>
      <c r="BO58" s="543" t="s">
        <v>2620</v>
      </c>
      <c r="BP58" s="543" t="s">
        <v>2620</v>
      </c>
      <c r="BQ58" s="543" t="s">
        <v>2620</v>
      </c>
      <c r="BR58" s="543" t="s">
        <v>2620</v>
      </c>
      <c r="BS58" s="543" t="s">
        <v>2620</v>
      </c>
      <c r="BT58" s="543" t="s">
        <v>2620</v>
      </c>
      <c r="BU58" s="543" t="s">
        <v>2620</v>
      </c>
      <c r="BV58" s="543" t="s">
        <v>2620</v>
      </c>
      <c r="BW58" s="543" t="s">
        <v>2620</v>
      </c>
      <c r="BX58" s="543" t="s">
        <v>2620</v>
      </c>
      <c r="BY58" s="543" t="s">
        <v>2620</v>
      </c>
      <c r="BZ58" s="543" t="s">
        <v>2620</v>
      </c>
      <c r="CA58" s="543" t="s">
        <v>2620</v>
      </c>
      <c r="CB58" s="543" t="s">
        <v>2620</v>
      </c>
      <c r="CC58" s="543" t="s">
        <v>2620</v>
      </c>
      <c r="CD58" s="543" t="s">
        <v>2620</v>
      </c>
      <c r="CE58" s="543" t="s">
        <v>2620</v>
      </c>
      <c r="CF58" s="543" t="s">
        <v>2620</v>
      </c>
      <c r="CG58" s="543" t="s">
        <v>2620</v>
      </c>
      <c r="CH58" s="543" t="s">
        <v>2620</v>
      </c>
      <c r="CI58" s="543" t="s">
        <v>2620</v>
      </c>
      <c r="CJ58" s="543" t="s">
        <v>2620</v>
      </c>
      <c r="CK58" s="543" t="s">
        <v>2620</v>
      </c>
      <c r="CL58" s="543" t="s">
        <v>2620</v>
      </c>
      <c r="CM58" s="543" t="s">
        <v>2620</v>
      </c>
      <c r="CN58" s="543" t="s">
        <v>2620</v>
      </c>
      <c r="CO58" s="543" t="s">
        <v>2620</v>
      </c>
      <c r="CP58" s="543" t="s">
        <v>2620</v>
      </c>
      <c r="CQ58" s="543" t="s">
        <v>2620</v>
      </c>
      <c r="CR58" s="543" t="s">
        <v>2620</v>
      </c>
      <c r="CS58" s="543" t="s">
        <v>2620</v>
      </c>
      <c r="CT58" s="543" t="s">
        <v>2620</v>
      </c>
      <c r="CU58" s="543" t="s">
        <v>2620</v>
      </c>
      <c r="CV58" s="543" t="s">
        <v>2620</v>
      </c>
      <c r="CW58" s="543" t="s">
        <v>2620</v>
      </c>
      <c r="CX58" s="543" t="s">
        <v>2620</v>
      </c>
      <c r="CY58" s="543" t="s">
        <v>2620</v>
      </c>
      <c r="CZ58" s="543" t="s">
        <v>2620</v>
      </c>
      <c r="DA58" s="543" t="s">
        <v>2620</v>
      </c>
      <c r="DB58" s="543" t="s">
        <v>2620</v>
      </c>
      <c r="DC58" s="543" t="s">
        <v>2620</v>
      </c>
    </row>
    <row r="59" spans="1:107">
      <c r="A59" s="2015"/>
      <c r="B59" s="534"/>
      <c r="C59" s="535"/>
      <c r="D59" s="12" t="s">
        <v>130</v>
      </c>
      <c r="E59" s="13">
        <v>126</v>
      </c>
      <c r="F59" s="14" t="s">
        <v>2832</v>
      </c>
      <c r="G59" s="543" t="s">
        <v>2620</v>
      </c>
      <c r="H59" s="543" t="s">
        <v>2620</v>
      </c>
      <c r="I59" s="543" t="s">
        <v>2620</v>
      </c>
      <c r="J59" s="543" t="s">
        <v>2620</v>
      </c>
      <c r="K59" s="543" t="s">
        <v>2620</v>
      </c>
      <c r="L59" s="543" t="s">
        <v>2620</v>
      </c>
      <c r="M59" s="543" t="s">
        <v>2620</v>
      </c>
      <c r="N59" s="543" t="s">
        <v>2620</v>
      </c>
      <c r="O59" s="543" t="s">
        <v>2620</v>
      </c>
      <c r="P59" s="543" t="s">
        <v>2620</v>
      </c>
      <c r="Q59" s="543" t="s">
        <v>2620</v>
      </c>
      <c r="R59" s="543" t="s">
        <v>2620</v>
      </c>
      <c r="S59" s="543" t="s">
        <v>2620</v>
      </c>
      <c r="T59" s="543" t="s">
        <v>2620</v>
      </c>
      <c r="U59" s="543" t="s">
        <v>2620</v>
      </c>
      <c r="V59" s="543" t="s">
        <v>2620</v>
      </c>
      <c r="W59" s="543" t="s">
        <v>2620</v>
      </c>
      <c r="X59" s="543" t="s">
        <v>2620</v>
      </c>
      <c r="Y59" s="543" t="s">
        <v>2620</v>
      </c>
      <c r="Z59" s="543" t="s">
        <v>2620</v>
      </c>
      <c r="AA59" s="543" t="s">
        <v>2620</v>
      </c>
      <c r="AB59" s="543" t="s">
        <v>2620</v>
      </c>
      <c r="AC59" s="543" t="s">
        <v>2620</v>
      </c>
      <c r="AD59" s="543" t="s">
        <v>2620</v>
      </c>
      <c r="AE59" s="543" t="s">
        <v>2620</v>
      </c>
      <c r="AF59" s="543" t="s">
        <v>2620</v>
      </c>
      <c r="AG59" s="543" t="s">
        <v>2620</v>
      </c>
      <c r="AH59" s="543" t="s">
        <v>2620</v>
      </c>
      <c r="AI59" s="543" t="s">
        <v>2620</v>
      </c>
      <c r="AJ59" s="543" t="s">
        <v>2620</v>
      </c>
      <c r="AK59" s="543" t="s">
        <v>2620</v>
      </c>
      <c r="AL59" s="543" t="s">
        <v>2620</v>
      </c>
      <c r="AM59" s="543" t="s">
        <v>2620</v>
      </c>
      <c r="AN59" s="543" t="s">
        <v>2620</v>
      </c>
      <c r="AO59" s="543" t="s">
        <v>2620</v>
      </c>
      <c r="AP59" s="543" t="s">
        <v>2620</v>
      </c>
      <c r="AQ59" s="543" t="s">
        <v>2620</v>
      </c>
      <c r="AR59" s="543" t="s">
        <v>2620</v>
      </c>
      <c r="AS59" s="543" t="s">
        <v>2620</v>
      </c>
      <c r="AT59" s="543" t="s">
        <v>2620</v>
      </c>
      <c r="AU59" s="543" t="s">
        <v>2620</v>
      </c>
      <c r="AV59" s="543" t="s">
        <v>2620</v>
      </c>
      <c r="AW59" s="543" t="s">
        <v>2620</v>
      </c>
      <c r="AX59" s="543" t="s">
        <v>2620</v>
      </c>
      <c r="AY59" s="543" t="s">
        <v>2620</v>
      </c>
      <c r="AZ59" s="543" t="s">
        <v>2620</v>
      </c>
      <c r="BA59" s="543" t="s">
        <v>2620</v>
      </c>
      <c r="BB59" s="543" t="s">
        <v>2620</v>
      </c>
      <c r="BC59" s="543" t="s">
        <v>2620</v>
      </c>
      <c r="BD59" s="543" t="s">
        <v>2620</v>
      </c>
      <c r="BE59" s="543" t="s">
        <v>2620</v>
      </c>
      <c r="BF59" s="543" t="s">
        <v>2620</v>
      </c>
      <c r="BG59" s="543" t="s">
        <v>2620</v>
      </c>
      <c r="BH59" s="543" t="s">
        <v>2620</v>
      </c>
      <c r="BI59" s="543" t="s">
        <v>2620</v>
      </c>
      <c r="BJ59" s="543" t="s">
        <v>2620</v>
      </c>
      <c r="BK59" s="543" t="s">
        <v>2620</v>
      </c>
      <c r="BL59" s="543" t="s">
        <v>2620</v>
      </c>
      <c r="BM59" s="543" t="s">
        <v>2620</v>
      </c>
      <c r="BN59" s="543" t="s">
        <v>2620</v>
      </c>
      <c r="BO59" s="543" t="s">
        <v>2620</v>
      </c>
      <c r="BP59" s="543" t="s">
        <v>2620</v>
      </c>
      <c r="BQ59" s="543" t="s">
        <v>2620</v>
      </c>
      <c r="BR59" s="543" t="s">
        <v>2620</v>
      </c>
      <c r="BS59" s="543" t="s">
        <v>2620</v>
      </c>
      <c r="BT59" s="543" t="s">
        <v>2620</v>
      </c>
      <c r="BU59" s="543" t="s">
        <v>2620</v>
      </c>
      <c r="BV59" s="543" t="s">
        <v>2620</v>
      </c>
      <c r="BW59" s="543" t="s">
        <v>2620</v>
      </c>
      <c r="BX59" s="543" t="s">
        <v>2620</v>
      </c>
      <c r="BY59" s="543" t="s">
        <v>2620</v>
      </c>
      <c r="BZ59" s="543" t="s">
        <v>2620</v>
      </c>
      <c r="CA59" s="543" t="s">
        <v>2620</v>
      </c>
      <c r="CB59" s="543" t="s">
        <v>2620</v>
      </c>
      <c r="CC59" s="543" t="s">
        <v>2620</v>
      </c>
      <c r="CD59" s="543" t="s">
        <v>2620</v>
      </c>
      <c r="CE59" s="543" t="s">
        <v>2620</v>
      </c>
      <c r="CF59" s="543" t="s">
        <v>2620</v>
      </c>
      <c r="CG59" s="543" t="s">
        <v>2620</v>
      </c>
      <c r="CH59" s="543" t="s">
        <v>2620</v>
      </c>
      <c r="CI59" s="543" t="s">
        <v>2620</v>
      </c>
      <c r="CJ59" s="543" t="s">
        <v>2620</v>
      </c>
      <c r="CK59" s="543" t="s">
        <v>2620</v>
      </c>
      <c r="CL59" s="543" t="s">
        <v>2620</v>
      </c>
      <c r="CM59" s="543" t="s">
        <v>2620</v>
      </c>
      <c r="CN59" s="543" t="s">
        <v>2620</v>
      </c>
      <c r="CO59" s="543" t="s">
        <v>2620</v>
      </c>
      <c r="CP59" s="543" t="s">
        <v>2620</v>
      </c>
      <c r="CQ59" s="543" t="s">
        <v>2620</v>
      </c>
      <c r="CR59" s="543" t="s">
        <v>2620</v>
      </c>
      <c r="CS59" s="543" t="s">
        <v>2620</v>
      </c>
      <c r="CT59" s="543" t="s">
        <v>2620</v>
      </c>
      <c r="CU59" s="543" t="s">
        <v>2620</v>
      </c>
      <c r="CV59" s="543" t="s">
        <v>2620</v>
      </c>
      <c r="CW59" s="543" t="s">
        <v>2620</v>
      </c>
      <c r="CX59" s="543" t="s">
        <v>2620</v>
      </c>
      <c r="CY59" s="543" t="s">
        <v>2620</v>
      </c>
      <c r="CZ59" s="543" t="s">
        <v>2620</v>
      </c>
      <c r="DA59" s="543" t="s">
        <v>2620</v>
      </c>
      <c r="DB59" s="543" t="s">
        <v>2620</v>
      </c>
      <c r="DC59" s="543" t="s">
        <v>2620</v>
      </c>
    </row>
    <row r="60" spans="1:107">
      <c r="A60" s="2015"/>
      <c r="B60" s="534"/>
      <c r="C60" s="535"/>
      <c r="D60" s="12" t="s">
        <v>130</v>
      </c>
      <c r="E60" s="13">
        <v>127</v>
      </c>
      <c r="F60" s="14" t="s">
        <v>2833</v>
      </c>
      <c r="G60" s="543" t="s">
        <v>2620</v>
      </c>
      <c r="H60" s="543" t="s">
        <v>2620</v>
      </c>
      <c r="I60" s="543" t="s">
        <v>2620</v>
      </c>
      <c r="J60" s="543" t="s">
        <v>2620</v>
      </c>
      <c r="K60" s="543" t="s">
        <v>2620</v>
      </c>
      <c r="L60" s="543" t="s">
        <v>2620</v>
      </c>
      <c r="M60" s="543" t="s">
        <v>2620</v>
      </c>
      <c r="N60" s="543" t="s">
        <v>2620</v>
      </c>
      <c r="O60" s="543" t="s">
        <v>2620</v>
      </c>
      <c r="P60" s="543" t="s">
        <v>2620</v>
      </c>
      <c r="Q60" s="543" t="s">
        <v>2620</v>
      </c>
      <c r="R60" s="543" t="s">
        <v>2620</v>
      </c>
      <c r="S60" s="543" t="s">
        <v>2620</v>
      </c>
      <c r="T60" s="543" t="s">
        <v>2620</v>
      </c>
      <c r="U60" s="543" t="s">
        <v>2620</v>
      </c>
      <c r="V60" s="543" t="s">
        <v>2620</v>
      </c>
      <c r="W60" s="543" t="s">
        <v>2620</v>
      </c>
      <c r="X60" s="543" t="s">
        <v>2620</v>
      </c>
      <c r="Y60" s="543" t="s">
        <v>2620</v>
      </c>
      <c r="Z60" s="543" t="s">
        <v>2620</v>
      </c>
      <c r="AA60" s="543" t="s">
        <v>2620</v>
      </c>
      <c r="AB60" s="543" t="s">
        <v>2620</v>
      </c>
      <c r="AC60" s="543" t="s">
        <v>2620</v>
      </c>
      <c r="AD60" s="543" t="s">
        <v>2620</v>
      </c>
      <c r="AE60" s="543" t="s">
        <v>2620</v>
      </c>
      <c r="AF60" s="543" t="s">
        <v>2620</v>
      </c>
      <c r="AG60" s="543" t="s">
        <v>2620</v>
      </c>
      <c r="AH60" s="543" t="s">
        <v>2620</v>
      </c>
      <c r="AI60" s="543" t="s">
        <v>2620</v>
      </c>
      <c r="AJ60" s="543" t="s">
        <v>2620</v>
      </c>
      <c r="AK60" s="543" t="s">
        <v>2620</v>
      </c>
      <c r="AL60" s="543" t="s">
        <v>2620</v>
      </c>
      <c r="AM60" s="543" t="s">
        <v>2620</v>
      </c>
      <c r="AN60" s="543" t="s">
        <v>2620</v>
      </c>
      <c r="AO60" s="543" t="s">
        <v>2620</v>
      </c>
      <c r="AP60" s="543" t="s">
        <v>2620</v>
      </c>
      <c r="AQ60" s="543" t="s">
        <v>2620</v>
      </c>
      <c r="AR60" s="543" t="s">
        <v>2620</v>
      </c>
      <c r="AS60" s="543" t="s">
        <v>2620</v>
      </c>
      <c r="AT60" s="543" t="s">
        <v>2620</v>
      </c>
      <c r="AU60" s="543" t="s">
        <v>2620</v>
      </c>
      <c r="AV60" s="543" t="s">
        <v>2620</v>
      </c>
      <c r="AW60" s="543" t="s">
        <v>2620</v>
      </c>
      <c r="AX60" s="543" t="s">
        <v>2620</v>
      </c>
      <c r="AY60" s="543" t="s">
        <v>2620</v>
      </c>
      <c r="AZ60" s="543" t="s">
        <v>2620</v>
      </c>
      <c r="BA60" s="543" t="s">
        <v>2620</v>
      </c>
      <c r="BB60" s="543" t="s">
        <v>2620</v>
      </c>
      <c r="BC60" s="543" t="s">
        <v>2620</v>
      </c>
      <c r="BD60" s="543" t="s">
        <v>2620</v>
      </c>
      <c r="BE60" s="543" t="s">
        <v>2620</v>
      </c>
      <c r="BF60" s="543" t="s">
        <v>2620</v>
      </c>
      <c r="BG60" s="543" t="s">
        <v>2620</v>
      </c>
      <c r="BH60" s="543" t="s">
        <v>2620</v>
      </c>
      <c r="BI60" s="543" t="s">
        <v>2620</v>
      </c>
      <c r="BJ60" s="543" t="s">
        <v>2620</v>
      </c>
      <c r="BK60" s="543" t="s">
        <v>2620</v>
      </c>
      <c r="BL60" s="543" t="s">
        <v>2620</v>
      </c>
      <c r="BM60" s="543" t="s">
        <v>2620</v>
      </c>
      <c r="BN60" s="543" t="s">
        <v>2620</v>
      </c>
      <c r="BO60" s="543" t="s">
        <v>2620</v>
      </c>
      <c r="BP60" s="543" t="s">
        <v>2620</v>
      </c>
      <c r="BQ60" s="543" t="s">
        <v>2620</v>
      </c>
      <c r="BR60" s="543" t="s">
        <v>2620</v>
      </c>
      <c r="BS60" s="543" t="s">
        <v>2620</v>
      </c>
      <c r="BT60" s="543" t="s">
        <v>2620</v>
      </c>
      <c r="BU60" s="543" t="s">
        <v>2620</v>
      </c>
      <c r="BV60" s="543" t="s">
        <v>2620</v>
      </c>
      <c r="BW60" s="543" t="s">
        <v>2620</v>
      </c>
      <c r="BX60" s="543" t="s">
        <v>2620</v>
      </c>
      <c r="BY60" s="543" t="s">
        <v>2620</v>
      </c>
      <c r="BZ60" s="543" t="s">
        <v>2620</v>
      </c>
      <c r="CA60" s="543" t="s">
        <v>2620</v>
      </c>
      <c r="CB60" s="543" t="s">
        <v>2620</v>
      </c>
      <c r="CC60" s="543" t="s">
        <v>2620</v>
      </c>
      <c r="CD60" s="543" t="s">
        <v>2620</v>
      </c>
      <c r="CE60" s="543" t="s">
        <v>2620</v>
      </c>
      <c r="CF60" s="543" t="s">
        <v>2620</v>
      </c>
      <c r="CG60" s="543" t="s">
        <v>2620</v>
      </c>
      <c r="CH60" s="543" t="s">
        <v>2620</v>
      </c>
      <c r="CI60" s="543" t="s">
        <v>2620</v>
      </c>
      <c r="CJ60" s="543" t="s">
        <v>2620</v>
      </c>
      <c r="CK60" s="543" t="s">
        <v>2620</v>
      </c>
      <c r="CL60" s="543" t="s">
        <v>2620</v>
      </c>
      <c r="CM60" s="543" t="s">
        <v>2620</v>
      </c>
      <c r="CN60" s="543" t="s">
        <v>2620</v>
      </c>
      <c r="CO60" s="543" t="s">
        <v>2620</v>
      </c>
      <c r="CP60" s="543" t="s">
        <v>2620</v>
      </c>
      <c r="CQ60" s="543" t="s">
        <v>2620</v>
      </c>
      <c r="CR60" s="543" t="s">
        <v>2620</v>
      </c>
      <c r="CS60" s="543" t="s">
        <v>2620</v>
      </c>
      <c r="CT60" s="543" t="s">
        <v>2620</v>
      </c>
      <c r="CU60" s="543" t="s">
        <v>2620</v>
      </c>
      <c r="CV60" s="543" t="s">
        <v>2620</v>
      </c>
      <c r="CW60" s="543" t="s">
        <v>2620</v>
      </c>
      <c r="CX60" s="543" t="s">
        <v>2620</v>
      </c>
      <c r="CY60" s="543" t="s">
        <v>2620</v>
      </c>
      <c r="CZ60" s="543" t="s">
        <v>2620</v>
      </c>
      <c r="DA60" s="543" t="s">
        <v>2620</v>
      </c>
      <c r="DB60" s="543" t="s">
        <v>2620</v>
      </c>
      <c r="DC60" s="543" t="s">
        <v>2620</v>
      </c>
    </row>
    <row r="61" spans="1:107">
      <c r="A61" s="2015"/>
      <c r="B61" s="534"/>
      <c r="C61" s="535"/>
      <c r="D61" s="12" t="s">
        <v>130</v>
      </c>
      <c r="E61" s="13">
        <v>128</v>
      </c>
      <c r="F61" s="14" t="s">
        <v>2834</v>
      </c>
      <c r="G61" s="543" t="s">
        <v>2620</v>
      </c>
      <c r="H61" s="543" t="s">
        <v>2620</v>
      </c>
      <c r="I61" s="543" t="s">
        <v>2620</v>
      </c>
      <c r="J61" s="543" t="s">
        <v>2620</v>
      </c>
      <c r="K61" s="543" t="s">
        <v>2620</v>
      </c>
      <c r="L61" s="543" t="s">
        <v>2620</v>
      </c>
      <c r="M61" s="543" t="s">
        <v>2620</v>
      </c>
      <c r="N61" s="543" t="s">
        <v>2620</v>
      </c>
      <c r="O61" s="543" t="s">
        <v>2620</v>
      </c>
      <c r="P61" s="543" t="s">
        <v>2620</v>
      </c>
      <c r="Q61" s="543" t="s">
        <v>2620</v>
      </c>
      <c r="R61" s="543" t="s">
        <v>2620</v>
      </c>
      <c r="S61" s="543" t="s">
        <v>2620</v>
      </c>
      <c r="T61" s="543" t="s">
        <v>2620</v>
      </c>
      <c r="U61" s="543" t="s">
        <v>2620</v>
      </c>
      <c r="V61" s="543" t="s">
        <v>2620</v>
      </c>
      <c r="W61" s="543" t="s">
        <v>2620</v>
      </c>
      <c r="X61" s="543" t="s">
        <v>2620</v>
      </c>
      <c r="Y61" s="543" t="s">
        <v>2620</v>
      </c>
      <c r="Z61" s="543" t="s">
        <v>2620</v>
      </c>
      <c r="AA61" s="543" t="s">
        <v>2620</v>
      </c>
      <c r="AB61" s="543" t="s">
        <v>2620</v>
      </c>
      <c r="AC61" s="543" t="s">
        <v>2620</v>
      </c>
      <c r="AD61" s="543" t="s">
        <v>2620</v>
      </c>
      <c r="AE61" s="543" t="s">
        <v>2620</v>
      </c>
      <c r="AF61" s="543" t="s">
        <v>2620</v>
      </c>
      <c r="AG61" s="543" t="s">
        <v>2620</v>
      </c>
      <c r="AH61" s="543" t="s">
        <v>2620</v>
      </c>
      <c r="AI61" s="543" t="s">
        <v>2620</v>
      </c>
      <c r="AJ61" s="543" t="s">
        <v>2620</v>
      </c>
      <c r="AK61" s="543" t="s">
        <v>2620</v>
      </c>
      <c r="AL61" s="543" t="s">
        <v>2620</v>
      </c>
      <c r="AM61" s="543" t="s">
        <v>2620</v>
      </c>
      <c r="AN61" s="543" t="s">
        <v>2620</v>
      </c>
      <c r="AO61" s="543" t="s">
        <v>2620</v>
      </c>
      <c r="AP61" s="543" t="s">
        <v>2620</v>
      </c>
      <c r="AQ61" s="543" t="s">
        <v>2620</v>
      </c>
      <c r="AR61" s="543" t="s">
        <v>2620</v>
      </c>
      <c r="AS61" s="543" t="s">
        <v>2620</v>
      </c>
      <c r="AT61" s="543" t="s">
        <v>2620</v>
      </c>
      <c r="AU61" s="543" t="s">
        <v>2620</v>
      </c>
      <c r="AV61" s="543" t="s">
        <v>2620</v>
      </c>
      <c r="AW61" s="543" t="s">
        <v>2620</v>
      </c>
      <c r="AX61" s="543" t="s">
        <v>2620</v>
      </c>
      <c r="AY61" s="543" t="s">
        <v>2620</v>
      </c>
      <c r="AZ61" s="543" t="s">
        <v>2620</v>
      </c>
      <c r="BA61" s="543" t="s">
        <v>2620</v>
      </c>
      <c r="BB61" s="543" t="s">
        <v>2620</v>
      </c>
      <c r="BC61" s="543" t="s">
        <v>2620</v>
      </c>
      <c r="BD61" s="543" t="s">
        <v>2620</v>
      </c>
      <c r="BE61" s="543" t="s">
        <v>2620</v>
      </c>
      <c r="BF61" s="543" t="s">
        <v>2620</v>
      </c>
      <c r="BG61" s="543" t="s">
        <v>2620</v>
      </c>
      <c r="BH61" s="543" t="s">
        <v>2620</v>
      </c>
      <c r="BI61" s="543" t="s">
        <v>2620</v>
      </c>
      <c r="BJ61" s="543" t="s">
        <v>2620</v>
      </c>
      <c r="BK61" s="543" t="s">
        <v>2620</v>
      </c>
      <c r="BL61" s="543" t="s">
        <v>2620</v>
      </c>
      <c r="BM61" s="543" t="s">
        <v>2620</v>
      </c>
      <c r="BN61" s="543" t="s">
        <v>2620</v>
      </c>
      <c r="BO61" s="543" t="s">
        <v>2620</v>
      </c>
      <c r="BP61" s="543" t="s">
        <v>2620</v>
      </c>
      <c r="BQ61" s="543" t="s">
        <v>2620</v>
      </c>
      <c r="BR61" s="543" t="s">
        <v>2620</v>
      </c>
      <c r="BS61" s="543" t="s">
        <v>2620</v>
      </c>
      <c r="BT61" s="543" t="s">
        <v>2620</v>
      </c>
      <c r="BU61" s="543" t="s">
        <v>2620</v>
      </c>
      <c r="BV61" s="543" t="s">
        <v>2620</v>
      </c>
      <c r="BW61" s="543" t="s">
        <v>2620</v>
      </c>
      <c r="BX61" s="543" t="s">
        <v>2620</v>
      </c>
      <c r="BY61" s="543" t="s">
        <v>2620</v>
      </c>
      <c r="BZ61" s="543" t="s">
        <v>2620</v>
      </c>
      <c r="CA61" s="543" t="s">
        <v>2620</v>
      </c>
      <c r="CB61" s="543" t="s">
        <v>2620</v>
      </c>
      <c r="CC61" s="543" t="s">
        <v>2620</v>
      </c>
      <c r="CD61" s="543" t="s">
        <v>2620</v>
      </c>
      <c r="CE61" s="543" t="s">
        <v>2620</v>
      </c>
      <c r="CF61" s="543" t="s">
        <v>2620</v>
      </c>
      <c r="CG61" s="543" t="s">
        <v>2620</v>
      </c>
      <c r="CH61" s="543" t="s">
        <v>2620</v>
      </c>
      <c r="CI61" s="543" t="s">
        <v>2620</v>
      </c>
      <c r="CJ61" s="543" t="s">
        <v>2620</v>
      </c>
      <c r="CK61" s="543" t="s">
        <v>2620</v>
      </c>
      <c r="CL61" s="543" t="s">
        <v>2620</v>
      </c>
      <c r="CM61" s="543" t="s">
        <v>2620</v>
      </c>
      <c r="CN61" s="543" t="s">
        <v>2620</v>
      </c>
      <c r="CO61" s="543" t="s">
        <v>2620</v>
      </c>
      <c r="CP61" s="543" t="s">
        <v>2620</v>
      </c>
      <c r="CQ61" s="543" t="s">
        <v>2620</v>
      </c>
      <c r="CR61" s="543" t="s">
        <v>2620</v>
      </c>
      <c r="CS61" s="543" t="s">
        <v>2620</v>
      </c>
      <c r="CT61" s="543" t="s">
        <v>2620</v>
      </c>
      <c r="CU61" s="543" t="s">
        <v>2620</v>
      </c>
      <c r="CV61" s="543" t="s">
        <v>2620</v>
      </c>
      <c r="CW61" s="543" t="s">
        <v>2620</v>
      </c>
      <c r="CX61" s="543" t="s">
        <v>2620</v>
      </c>
      <c r="CY61" s="543" t="s">
        <v>2620</v>
      </c>
      <c r="CZ61" s="543" t="s">
        <v>2620</v>
      </c>
      <c r="DA61" s="543" t="s">
        <v>2620</v>
      </c>
      <c r="DB61" s="543" t="s">
        <v>2620</v>
      </c>
      <c r="DC61" s="543" t="s">
        <v>2620</v>
      </c>
    </row>
    <row r="62" spans="1:107">
      <c r="A62" s="2015"/>
      <c r="B62" s="534"/>
      <c r="C62" s="535"/>
      <c r="D62" s="12" t="s">
        <v>130</v>
      </c>
      <c r="E62" s="13">
        <v>129</v>
      </c>
      <c r="F62" s="14" t="s">
        <v>2835</v>
      </c>
      <c r="G62" s="543" t="s">
        <v>2620</v>
      </c>
      <c r="H62" s="543" t="s">
        <v>2620</v>
      </c>
      <c r="I62" s="543" t="s">
        <v>2620</v>
      </c>
      <c r="J62" s="543" t="s">
        <v>2620</v>
      </c>
      <c r="K62" s="543" t="s">
        <v>2620</v>
      </c>
      <c r="L62" s="543" t="s">
        <v>2620</v>
      </c>
      <c r="M62" s="543" t="s">
        <v>2620</v>
      </c>
      <c r="N62" s="543" t="s">
        <v>2620</v>
      </c>
      <c r="O62" s="543" t="s">
        <v>2620</v>
      </c>
      <c r="P62" s="543" t="s">
        <v>2620</v>
      </c>
      <c r="Q62" s="543" t="s">
        <v>2620</v>
      </c>
      <c r="R62" s="543" t="s">
        <v>2620</v>
      </c>
      <c r="S62" s="543" t="s">
        <v>2620</v>
      </c>
      <c r="T62" s="543" t="s">
        <v>2620</v>
      </c>
      <c r="U62" s="543" t="s">
        <v>2620</v>
      </c>
      <c r="V62" s="543" t="s">
        <v>2620</v>
      </c>
      <c r="W62" s="543" t="s">
        <v>2620</v>
      </c>
      <c r="X62" s="543" t="s">
        <v>2620</v>
      </c>
      <c r="Y62" s="543" t="s">
        <v>2620</v>
      </c>
      <c r="Z62" s="543" t="s">
        <v>2620</v>
      </c>
      <c r="AA62" s="543" t="s">
        <v>2620</v>
      </c>
      <c r="AB62" s="543" t="s">
        <v>2620</v>
      </c>
      <c r="AC62" s="543" t="s">
        <v>2620</v>
      </c>
      <c r="AD62" s="543" t="s">
        <v>2620</v>
      </c>
      <c r="AE62" s="543" t="s">
        <v>2620</v>
      </c>
      <c r="AF62" s="543" t="s">
        <v>2620</v>
      </c>
      <c r="AG62" s="543" t="s">
        <v>2620</v>
      </c>
      <c r="AH62" s="543" t="s">
        <v>2620</v>
      </c>
      <c r="AI62" s="543" t="s">
        <v>2620</v>
      </c>
      <c r="AJ62" s="543" t="s">
        <v>2620</v>
      </c>
      <c r="AK62" s="543" t="s">
        <v>2620</v>
      </c>
      <c r="AL62" s="543" t="s">
        <v>2620</v>
      </c>
      <c r="AM62" s="543" t="s">
        <v>2620</v>
      </c>
      <c r="AN62" s="543" t="s">
        <v>2620</v>
      </c>
      <c r="AO62" s="543" t="s">
        <v>2620</v>
      </c>
      <c r="AP62" s="543" t="s">
        <v>2620</v>
      </c>
      <c r="AQ62" s="543" t="s">
        <v>2620</v>
      </c>
      <c r="AR62" s="543" t="s">
        <v>2620</v>
      </c>
      <c r="AS62" s="543" t="s">
        <v>2620</v>
      </c>
      <c r="AT62" s="543" t="s">
        <v>2620</v>
      </c>
      <c r="AU62" s="543" t="s">
        <v>2620</v>
      </c>
      <c r="AV62" s="543" t="s">
        <v>2620</v>
      </c>
      <c r="AW62" s="543" t="s">
        <v>2620</v>
      </c>
      <c r="AX62" s="543" t="s">
        <v>2620</v>
      </c>
      <c r="AY62" s="543" t="s">
        <v>2620</v>
      </c>
      <c r="AZ62" s="543" t="s">
        <v>2620</v>
      </c>
      <c r="BA62" s="543" t="s">
        <v>2620</v>
      </c>
      <c r="BB62" s="543" t="s">
        <v>2620</v>
      </c>
      <c r="BC62" s="543" t="s">
        <v>2620</v>
      </c>
      <c r="BD62" s="543" t="s">
        <v>2620</v>
      </c>
      <c r="BE62" s="543" t="s">
        <v>2620</v>
      </c>
      <c r="BF62" s="543" t="s">
        <v>2620</v>
      </c>
      <c r="BG62" s="543" t="s">
        <v>2620</v>
      </c>
      <c r="BH62" s="543" t="s">
        <v>2620</v>
      </c>
      <c r="BI62" s="543" t="s">
        <v>2620</v>
      </c>
      <c r="BJ62" s="543" t="s">
        <v>2620</v>
      </c>
      <c r="BK62" s="543" t="s">
        <v>2620</v>
      </c>
      <c r="BL62" s="543" t="s">
        <v>2620</v>
      </c>
      <c r="BM62" s="543" t="s">
        <v>2620</v>
      </c>
      <c r="BN62" s="543" t="s">
        <v>2620</v>
      </c>
      <c r="BO62" s="543" t="s">
        <v>2620</v>
      </c>
      <c r="BP62" s="543" t="s">
        <v>2620</v>
      </c>
      <c r="BQ62" s="543" t="s">
        <v>2620</v>
      </c>
      <c r="BR62" s="543" t="s">
        <v>2620</v>
      </c>
      <c r="BS62" s="543" t="s">
        <v>2620</v>
      </c>
      <c r="BT62" s="543" t="s">
        <v>2620</v>
      </c>
      <c r="BU62" s="543" t="s">
        <v>2620</v>
      </c>
      <c r="BV62" s="543" t="s">
        <v>2620</v>
      </c>
      <c r="BW62" s="543" t="s">
        <v>2620</v>
      </c>
      <c r="BX62" s="543" t="s">
        <v>2620</v>
      </c>
      <c r="BY62" s="543" t="s">
        <v>2620</v>
      </c>
      <c r="BZ62" s="543" t="s">
        <v>2620</v>
      </c>
      <c r="CA62" s="543" t="s">
        <v>2620</v>
      </c>
      <c r="CB62" s="543" t="s">
        <v>2620</v>
      </c>
      <c r="CC62" s="543" t="s">
        <v>2620</v>
      </c>
      <c r="CD62" s="543" t="s">
        <v>2620</v>
      </c>
      <c r="CE62" s="543" t="s">
        <v>2620</v>
      </c>
      <c r="CF62" s="543" t="s">
        <v>2620</v>
      </c>
      <c r="CG62" s="543" t="s">
        <v>2620</v>
      </c>
      <c r="CH62" s="543" t="s">
        <v>2620</v>
      </c>
      <c r="CI62" s="543" t="s">
        <v>2620</v>
      </c>
      <c r="CJ62" s="543" t="s">
        <v>2620</v>
      </c>
      <c r="CK62" s="543" t="s">
        <v>2620</v>
      </c>
      <c r="CL62" s="543" t="s">
        <v>2620</v>
      </c>
      <c r="CM62" s="543" t="s">
        <v>2620</v>
      </c>
      <c r="CN62" s="543" t="s">
        <v>2620</v>
      </c>
      <c r="CO62" s="543" t="s">
        <v>2620</v>
      </c>
      <c r="CP62" s="543" t="s">
        <v>2620</v>
      </c>
      <c r="CQ62" s="543" t="s">
        <v>2620</v>
      </c>
      <c r="CR62" s="543" t="s">
        <v>2620</v>
      </c>
      <c r="CS62" s="543" t="s">
        <v>2620</v>
      </c>
      <c r="CT62" s="543" t="s">
        <v>2620</v>
      </c>
      <c r="CU62" s="543" t="s">
        <v>2620</v>
      </c>
      <c r="CV62" s="543" t="s">
        <v>2620</v>
      </c>
      <c r="CW62" s="543" t="s">
        <v>2620</v>
      </c>
      <c r="CX62" s="543" t="s">
        <v>2620</v>
      </c>
      <c r="CY62" s="543" t="s">
        <v>2620</v>
      </c>
      <c r="CZ62" s="543" t="s">
        <v>2620</v>
      </c>
      <c r="DA62" s="543" t="s">
        <v>2620</v>
      </c>
      <c r="DB62" s="543" t="s">
        <v>2620</v>
      </c>
      <c r="DC62" s="543" t="s">
        <v>2620</v>
      </c>
    </row>
    <row r="63" spans="1:107">
      <c r="A63" s="2015"/>
      <c r="B63" s="534"/>
      <c r="C63" s="535"/>
      <c r="D63" s="12" t="s">
        <v>130</v>
      </c>
      <c r="E63" s="13">
        <v>130</v>
      </c>
      <c r="F63" s="14" t="s">
        <v>2836</v>
      </c>
      <c r="G63" s="543" t="s">
        <v>2620</v>
      </c>
      <c r="H63" s="543" t="s">
        <v>2620</v>
      </c>
      <c r="I63" s="543" t="s">
        <v>2620</v>
      </c>
      <c r="J63" s="543" t="s">
        <v>2620</v>
      </c>
      <c r="K63" s="543" t="s">
        <v>2620</v>
      </c>
      <c r="L63" s="543" t="s">
        <v>2620</v>
      </c>
      <c r="M63" s="543" t="s">
        <v>2620</v>
      </c>
      <c r="N63" s="543" t="s">
        <v>2620</v>
      </c>
      <c r="O63" s="543" t="s">
        <v>2620</v>
      </c>
      <c r="P63" s="543" t="s">
        <v>2620</v>
      </c>
      <c r="Q63" s="543" t="s">
        <v>2620</v>
      </c>
      <c r="R63" s="543" t="s">
        <v>2620</v>
      </c>
      <c r="S63" s="543" t="s">
        <v>2620</v>
      </c>
      <c r="T63" s="543" t="s">
        <v>2620</v>
      </c>
      <c r="U63" s="543" t="s">
        <v>2620</v>
      </c>
      <c r="V63" s="543" t="s">
        <v>2620</v>
      </c>
      <c r="W63" s="543" t="s">
        <v>2620</v>
      </c>
      <c r="X63" s="543" t="s">
        <v>2620</v>
      </c>
      <c r="Y63" s="543" t="s">
        <v>2620</v>
      </c>
      <c r="Z63" s="543" t="s">
        <v>2620</v>
      </c>
      <c r="AA63" s="543" t="s">
        <v>2620</v>
      </c>
      <c r="AB63" s="543" t="s">
        <v>2620</v>
      </c>
      <c r="AC63" s="543" t="s">
        <v>2620</v>
      </c>
      <c r="AD63" s="543" t="s">
        <v>2620</v>
      </c>
      <c r="AE63" s="543" t="s">
        <v>2620</v>
      </c>
      <c r="AF63" s="543" t="s">
        <v>2620</v>
      </c>
      <c r="AG63" s="543" t="s">
        <v>2620</v>
      </c>
      <c r="AH63" s="543" t="s">
        <v>2620</v>
      </c>
      <c r="AI63" s="543" t="s">
        <v>2620</v>
      </c>
      <c r="AJ63" s="543" t="s">
        <v>2620</v>
      </c>
      <c r="AK63" s="543" t="s">
        <v>2620</v>
      </c>
      <c r="AL63" s="543" t="s">
        <v>2620</v>
      </c>
      <c r="AM63" s="543" t="s">
        <v>2620</v>
      </c>
      <c r="AN63" s="543" t="s">
        <v>2620</v>
      </c>
      <c r="AO63" s="543" t="s">
        <v>2620</v>
      </c>
      <c r="AP63" s="543" t="s">
        <v>2620</v>
      </c>
      <c r="AQ63" s="543" t="s">
        <v>2620</v>
      </c>
      <c r="AR63" s="543" t="s">
        <v>2620</v>
      </c>
      <c r="AS63" s="543" t="s">
        <v>2620</v>
      </c>
      <c r="AT63" s="543" t="s">
        <v>2620</v>
      </c>
      <c r="AU63" s="543" t="s">
        <v>2620</v>
      </c>
      <c r="AV63" s="543" t="s">
        <v>2620</v>
      </c>
      <c r="AW63" s="543" t="s">
        <v>2620</v>
      </c>
      <c r="AX63" s="543" t="s">
        <v>2620</v>
      </c>
      <c r="AY63" s="543" t="s">
        <v>2620</v>
      </c>
      <c r="AZ63" s="543" t="s">
        <v>2620</v>
      </c>
      <c r="BA63" s="543" t="s">
        <v>2620</v>
      </c>
      <c r="BB63" s="543" t="s">
        <v>2620</v>
      </c>
      <c r="BC63" s="543" t="s">
        <v>2620</v>
      </c>
      <c r="BD63" s="543" t="s">
        <v>2620</v>
      </c>
      <c r="BE63" s="543" t="s">
        <v>2620</v>
      </c>
      <c r="BF63" s="543" t="s">
        <v>2620</v>
      </c>
      <c r="BG63" s="543" t="s">
        <v>2620</v>
      </c>
      <c r="BH63" s="543" t="s">
        <v>2620</v>
      </c>
      <c r="BI63" s="543" t="s">
        <v>2620</v>
      </c>
      <c r="BJ63" s="543" t="s">
        <v>2620</v>
      </c>
      <c r="BK63" s="543" t="s">
        <v>2620</v>
      </c>
      <c r="BL63" s="543" t="s">
        <v>2620</v>
      </c>
      <c r="BM63" s="543" t="s">
        <v>2620</v>
      </c>
      <c r="BN63" s="543" t="s">
        <v>2620</v>
      </c>
      <c r="BO63" s="543" t="s">
        <v>2620</v>
      </c>
      <c r="BP63" s="543" t="s">
        <v>2620</v>
      </c>
      <c r="BQ63" s="543" t="s">
        <v>2620</v>
      </c>
      <c r="BR63" s="543" t="s">
        <v>2620</v>
      </c>
      <c r="BS63" s="543" t="s">
        <v>2620</v>
      </c>
      <c r="BT63" s="543" t="s">
        <v>2620</v>
      </c>
      <c r="BU63" s="543" t="s">
        <v>2620</v>
      </c>
      <c r="BV63" s="543" t="s">
        <v>2620</v>
      </c>
      <c r="BW63" s="543" t="s">
        <v>2620</v>
      </c>
      <c r="BX63" s="543" t="s">
        <v>2620</v>
      </c>
      <c r="BY63" s="543" t="s">
        <v>2620</v>
      </c>
      <c r="BZ63" s="543" t="s">
        <v>2620</v>
      </c>
      <c r="CA63" s="543" t="s">
        <v>2620</v>
      </c>
      <c r="CB63" s="543" t="s">
        <v>2620</v>
      </c>
      <c r="CC63" s="543" t="s">
        <v>2620</v>
      </c>
      <c r="CD63" s="543" t="s">
        <v>2620</v>
      </c>
      <c r="CE63" s="543" t="s">
        <v>2620</v>
      </c>
      <c r="CF63" s="543" t="s">
        <v>2620</v>
      </c>
      <c r="CG63" s="543" t="s">
        <v>2620</v>
      </c>
      <c r="CH63" s="543" t="s">
        <v>2620</v>
      </c>
      <c r="CI63" s="543" t="s">
        <v>2620</v>
      </c>
      <c r="CJ63" s="543" t="s">
        <v>2620</v>
      </c>
      <c r="CK63" s="543" t="s">
        <v>2620</v>
      </c>
      <c r="CL63" s="543" t="s">
        <v>2620</v>
      </c>
      <c r="CM63" s="543" t="s">
        <v>2620</v>
      </c>
      <c r="CN63" s="543" t="s">
        <v>2620</v>
      </c>
      <c r="CO63" s="543" t="s">
        <v>2620</v>
      </c>
      <c r="CP63" s="543" t="s">
        <v>2620</v>
      </c>
      <c r="CQ63" s="543" t="s">
        <v>2620</v>
      </c>
      <c r="CR63" s="543" t="s">
        <v>2620</v>
      </c>
      <c r="CS63" s="543" t="s">
        <v>2620</v>
      </c>
      <c r="CT63" s="543" t="s">
        <v>2620</v>
      </c>
      <c r="CU63" s="543" t="s">
        <v>2620</v>
      </c>
      <c r="CV63" s="543" t="s">
        <v>2620</v>
      </c>
      <c r="CW63" s="543" t="s">
        <v>2620</v>
      </c>
      <c r="CX63" s="543" t="s">
        <v>2620</v>
      </c>
      <c r="CY63" s="543" t="s">
        <v>2620</v>
      </c>
      <c r="CZ63" s="543" t="s">
        <v>2620</v>
      </c>
      <c r="DA63" s="543" t="s">
        <v>2620</v>
      </c>
      <c r="DB63" s="543" t="s">
        <v>2620</v>
      </c>
      <c r="DC63" s="543" t="s">
        <v>2620</v>
      </c>
    </row>
    <row r="64" spans="1:107">
      <c r="A64" s="2015"/>
      <c r="B64" s="534"/>
      <c r="C64" s="535"/>
      <c r="D64" s="12" t="s">
        <v>130</v>
      </c>
      <c r="E64" s="13">
        <v>131</v>
      </c>
      <c r="F64" s="14" t="s">
        <v>2837</v>
      </c>
      <c r="G64" s="543" t="s">
        <v>2620</v>
      </c>
      <c r="H64" s="543" t="s">
        <v>2620</v>
      </c>
      <c r="I64" s="543" t="s">
        <v>2620</v>
      </c>
      <c r="J64" s="543" t="s">
        <v>2620</v>
      </c>
      <c r="K64" s="543" t="s">
        <v>2620</v>
      </c>
      <c r="L64" s="543" t="s">
        <v>2620</v>
      </c>
      <c r="M64" s="543" t="s">
        <v>2620</v>
      </c>
      <c r="N64" s="543" t="s">
        <v>2620</v>
      </c>
      <c r="O64" s="543" t="s">
        <v>2620</v>
      </c>
      <c r="P64" s="543" t="s">
        <v>2620</v>
      </c>
      <c r="Q64" s="543" t="s">
        <v>2620</v>
      </c>
      <c r="R64" s="543" t="s">
        <v>2620</v>
      </c>
      <c r="S64" s="543" t="s">
        <v>2620</v>
      </c>
      <c r="T64" s="543" t="s">
        <v>2620</v>
      </c>
      <c r="U64" s="543" t="s">
        <v>2620</v>
      </c>
      <c r="V64" s="543" t="s">
        <v>2620</v>
      </c>
      <c r="W64" s="543" t="s">
        <v>2620</v>
      </c>
      <c r="X64" s="543" t="s">
        <v>2620</v>
      </c>
      <c r="Y64" s="543" t="s">
        <v>2620</v>
      </c>
      <c r="Z64" s="543" t="s">
        <v>2620</v>
      </c>
      <c r="AA64" s="543" t="s">
        <v>2620</v>
      </c>
      <c r="AB64" s="543" t="s">
        <v>2620</v>
      </c>
      <c r="AC64" s="543" t="s">
        <v>2620</v>
      </c>
      <c r="AD64" s="543" t="s">
        <v>2620</v>
      </c>
      <c r="AE64" s="543" t="s">
        <v>2620</v>
      </c>
      <c r="AF64" s="543" t="s">
        <v>2620</v>
      </c>
      <c r="AG64" s="543" t="s">
        <v>2620</v>
      </c>
      <c r="AH64" s="543" t="s">
        <v>2620</v>
      </c>
      <c r="AI64" s="543" t="s">
        <v>2620</v>
      </c>
      <c r="AJ64" s="543" t="s">
        <v>2620</v>
      </c>
      <c r="AK64" s="543" t="s">
        <v>2620</v>
      </c>
      <c r="AL64" s="543" t="s">
        <v>2620</v>
      </c>
      <c r="AM64" s="543" t="s">
        <v>2620</v>
      </c>
      <c r="AN64" s="543" t="s">
        <v>2620</v>
      </c>
      <c r="AO64" s="543" t="s">
        <v>2620</v>
      </c>
      <c r="AP64" s="543" t="s">
        <v>2620</v>
      </c>
      <c r="AQ64" s="543" t="s">
        <v>2620</v>
      </c>
      <c r="AR64" s="543" t="s">
        <v>2620</v>
      </c>
      <c r="AS64" s="543" t="s">
        <v>2620</v>
      </c>
      <c r="AT64" s="543" t="s">
        <v>2620</v>
      </c>
      <c r="AU64" s="543" t="s">
        <v>2620</v>
      </c>
      <c r="AV64" s="543" t="s">
        <v>2620</v>
      </c>
      <c r="AW64" s="543" t="s">
        <v>2620</v>
      </c>
      <c r="AX64" s="543" t="s">
        <v>2620</v>
      </c>
      <c r="AY64" s="543" t="s">
        <v>2620</v>
      </c>
      <c r="AZ64" s="543" t="s">
        <v>2620</v>
      </c>
      <c r="BA64" s="543" t="s">
        <v>2620</v>
      </c>
      <c r="BB64" s="543" t="s">
        <v>2620</v>
      </c>
      <c r="BC64" s="543" t="s">
        <v>2620</v>
      </c>
      <c r="BD64" s="543" t="s">
        <v>2620</v>
      </c>
      <c r="BE64" s="543" t="s">
        <v>2620</v>
      </c>
      <c r="BF64" s="543" t="s">
        <v>2620</v>
      </c>
      <c r="BG64" s="543" t="s">
        <v>2620</v>
      </c>
      <c r="BH64" s="543" t="s">
        <v>2620</v>
      </c>
      <c r="BI64" s="543" t="s">
        <v>2620</v>
      </c>
      <c r="BJ64" s="543" t="s">
        <v>2620</v>
      </c>
      <c r="BK64" s="543" t="s">
        <v>2620</v>
      </c>
      <c r="BL64" s="543" t="s">
        <v>2620</v>
      </c>
      <c r="BM64" s="543" t="s">
        <v>2620</v>
      </c>
      <c r="BN64" s="543" t="s">
        <v>2620</v>
      </c>
      <c r="BO64" s="543" t="s">
        <v>2620</v>
      </c>
      <c r="BP64" s="543" t="s">
        <v>2620</v>
      </c>
      <c r="BQ64" s="543" t="s">
        <v>2620</v>
      </c>
      <c r="BR64" s="543" t="s">
        <v>2620</v>
      </c>
      <c r="BS64" s="543" t="s">
        <v>2620</v>
      </c>
      <c r="BT64" s="543" t="s">
        <v>2620</v>
      </c>
      <c r="BU64" s="543" t="s">
        <v>2620</v>
      </c>
      <c r="BV64" s="543" t="s">
        <v>2620</v>
      </c>
      <c r="BW64" s="543" t="s">
        <v>2620</v>
      </c>
      <c r="BX64" s="543" t="s">
        <v>2620</v>
      </c>
      <c r="BY64" s="543" t="s">
        <v>2620</v>
      </c>
      <c r="BZ64" s="543" t="s">
        <v>2620</v>
      </c>
      <c r="CA64" s="543" t="s">
        <v>2620</v>
      </c>
      <c r="CB64" s="543" t="s">
        <v>2620</v>
      </c>
      <c r="CC64" s="543" t="s">
        <v>2620</v>
      </c>
      <c r="CD64" s="543" t="s">
        <v>2620</v>
      </c>
      <c r="CE64" s="543" t="s">
        <v>2620</v>
      </c>
      <c r="CF64" s="543" t="s">
        <v>2620</v>
      </c>
      <c r="CG64" s="543" t="s">
        <v>2620</v>
      </c>
      <c r="CH64" s="543" t="s">
        <v>2620</v>
      </c>
      <c r="CI64" s="543" t="s">
        <v>2620</v>
      </c>
      <c r="CJ64" s="543" t="s">
        <v>2620</v>
      </c>
      <c r="CK64" s="543" t="s">
        <v>2620</v>
      </c>
      <c r="CL64" s="543" t="s">
        <v>2620</v>
      </c>
      <c r="CM64" s="543" t="s">
        <v>2620</v>
      </c>
      <c r="CN64" s="543" t="s">
        <v>2620</v>
      </c>
      <c r="CO64" s="543" t="s">
        <v>2620</v>
      </c>
      <c r="CP64" s="543" t="s">
        <v>2620</v>
      </c>
      <c r="CQ64" s="543" t="s">
        <v>2620</v>
      </c>
      <c r="CR64" s="543" t="s">
        <v>2620</v>
      </c>
      <c r="CS64" s="543" t="s">
        <v>2620</v>
      </c>
      <c r="CT64" s="543" t="s">
        <v>2620</v>
      </c>
      <c r="CU64" s="543" t="s">
        <v>2620</v>
      </c>
      <c r="CV64" s="543" t="s">
        <v>2620</v>
      </c>
      <c r="CW64" s="543" t="s">
        <v>2620</v>
      </c>
      <c r="CX64" s="543" t="s">
        <v>2620</v>
      </c>
      <c r="CY64" s="543" t="s">
        <v>2620</v>
      </c>
      <c r="CZ64" s="543" t="s">
        <v>2620</v>
      </c>
      <c r="DA64" s="543" t="s">
        <v>2620</v>
      </c>
      <c r="DB64" s="543" t="s">
        <v>2620</v>
      </c>
      <c r="DC64" s="543" t="s">
        <v>2620</v>
      </c>
    </row>
    <row r="65" spans="1:107">
      <c r="A65" s="2015"/>
      <c r="B65" s="534"/>
      <c r="C65" s="535"/>
      <c r="D65" s="12" t="s">
        <v>130</v>
      </c>
      <c r="E65" s="13">
        <v>132</v>
      </c>
      <c r="F65" s="14" t="s">
        <v>2838</v>
      </c>
      <c r="G65" s="543" t="s">
        <v>2620</v>
      </c>
      <c r="H65" s="543" t="s">
        <v>2620</v>
      </c>
      <c r="I65" s="543" t="s">
        <v>2620</v>
      </c>
      <c r="J65" s="543" t="s">
        <v>2620</v>
      </c>
      <c r="K65" s="543" t="s">
        <v>2620</v>
      </c>
      <c r="L65" s="543" t="s">
        <v>2620</v>
      </c>
      <c r="M65" s="543" t="s">
        <v>2620</v>
      </c>
      <c r="N65" s="543" t="s">
        <v>2620</v>
      </c>
      <c r="O65" s="543" t="s">
        <v>2620</v>
      </c>
      <c r="P65" s="543" t="s">
        <v>2620</v>
      </c>
      <c r="Q65" s="543" t="s">
        <v>2620</v>
      </c>
      <c r="R65" s="543" t="s">
        <v>2620</v>
      </c>
      <c r="S65" s="543" t="s">
        <v>2620</v>
      </c>
      <c r="T65" s="543" t="s">
        <v>2620</v>
      </c>
      <c r="U65" s="543" t="s">
        <v>2620</v>
      </c>
      <c r="V65" s="543" t="s">
        <v>2620</v>
      </c>
      <c r="W65" s="543" t="s">
        <v>2620</v>
      </c>
      <c r="X65" s="543" t="s">
        <v>2620</v>
      </c>
      <c r="Y65" s="543" t="s">
        <v>2620</v>
      </c>
      <c r="Z65" s="543" t="s">
        <v>2620</v>
      </c>
      <c r="AA65" s="543" t="s">
        <v>2620</v>
      </c>
      <c r="AB65" s="543" t="s">
        <v>2620</v>
      </c>
      <c r="AC65" s="543" t="s">
        <v>2620</v>
      </c>
      <c r="AD65" s="543" t="s">
        <v>2620</v>
      </c>
      <c r="AE65" s="543" t="s">
        <v>2620</v>
      </c>
      <c r="AF65" s="543" t="s">
        <v>2620</v>
      </c>
      <c r="AG65" s="543" t="s">
        <v>2620</v>
      </c>
      <c r="AH65" s="543" t="s">
        <v>2620</v>
      </c>
      <c r="AI65" s="543" t="s">
        <v>2620</v>
      </c>
      <c r="AJ65" s="543" t="s">
        <v>2620</v>
      </c>
      <c r="AK65" s="543" t="s">
        <v>2620</v>
      </c>
      <c r="AL65" s="543" t="s">
        <v>2620</v>
      </c>
      <c r="AM65" s="543" t="s">
        <v>2620</v>
      </c>
      <c r="AN65" s="543" t="s">
        <v>2620</v>
      </c>
      <c r="AO65" s="543" t="s">
        <v>2620</v>
      </c>
      <c r="AP65" s="543" t="s">
        <v>2620</v>
      </c>
      <c r="AQ65" s="543" t="s">
        <v>2620</v>
      </c>
      <c r="AR65" s="543" t="s">
        <v>2620</v>
      </c>
      <c r="AS65" s="543" t="s">
        <v>2620</v>
      </c>
      <c r="AT65" s="543" t="s">
        <v>2620</v>
      </c>
      <c r="AU65" s="543" t="s">
        <v>2620</v>
      </c>
      <c r="AV65" s="543" t="s">
        <v>2620</v>
      </c>
      <c r="AW65" s="543" t="s">
        <v>2620</v>
      </c>
      <c r="AX65" s="543" t="s">
        <v>2620</v>
      </c>
      <c r="AY65" s="543" t="s">
        <v>2620</v>
      </c>
      <c r="AZ65" s="543" t="s">
        <v>2620</v>
      </c>
      <c r="BA65" s="543" t="s">
        <v>2620</v>
      </c>
      <c r="BB65" s="543" t="s">
        <v>2620</v>
      </c>
      <c r="BC65" s="543" t="s">
        <v>2620</v>
      </c>
      <c r="BD65" s="543" t="s">
        <v>2620</v>
      </c>
      <c r="BE65" s="543" t="s">
        <v>2620</v>
      </c>
      <c r="BF65" s="543" t="s">
        <v>2620</v>
      </c>
      <c r="BG65" s="543" t="s">
        <v>2620</v>
      </c>
      <c r="BH65" s="543" t="s">
        <v>2620</v>
      </c>
      <c r="BI65" s="543" t="s">
        <v>2620</v>
      </c>
      <c r="BJ65" s="543" t="s">
        <v>2620</v>
      </c>
      <c r="BK65" s="543" t="s">
        <v>2620</v>
      </c>
      <c r="BL65" s="543" t="s">
        <v>2620</v>
      </c>
      <c r="BM65" s="543" t="s">
        <v>2620</v>
      </c>
      <c r="BN65" s="543" t="s">
        <v>2620</v>
      </c>
      <c r="BO65" s="543" t="s">
        <v>2620</v>
      </c>
      <c r="BP65" s="543" t="s">
        <v>2620</v>
      </c>
      <c r="BQ65" s="543" t="s">
        <v>2620</v>
      </c>
      <c r="BR65" s="543" t="s">
        <v>2620</v>
      </c>
      <c r="BS65" s="543" t="s">
        <v>2620</v>
      </c>
      <c r="BT65" s="543" t="s">
        <v>2620</v>
      </c>
      <c r="BU65" s="543" t="s">
        <v>2620</v>
      </c>
      <c r="BV65" s="543" t="s">
        <v>2620</v>
      </c>
      <c r="BW65" s="543" t="s">
        <v>2620</v>
      </c>
      <c r="BX65" s="543" t="s">
        <v>2620</v>
      </c>
      <c r="BY65" s="543" t="s">
        <v>2620</v>
      </c>
      <c r="BZ65" s="543" t="s">
        <v>2620</v>
      </c>
      <c r="CA65" s="543" t="s">
        <v>2620</v>
      </c>
      <c r="CB65" s="543" t="s">
        <v>2620</v>
      </c>
      <c r="CC65" s="543" t="s">
        <v>2620</v>
      </c>
      <c r="CD65" s="543" t="s">
        <v>2620</v>
      </c>
      <c r="CE65" s="543" t="s">
        <v>2620</v>
      </c>
      <c r="CF65" s="543" t="s">
        <v>2620</v>
      </c>
      <c r="CG65" s="543" t="s">
        <v>2620</v>
      </c>
      <c r="CH65" s="543" t="s">
        <v>2620</v>
      </c>
      <c r="CI65" s="543" t="s">
        <v>2620</v>
      </c>
      <c r="CJ65" s="543" t="s">
        <v>2620</v>
      </c>
      <c r="CK65" s="543" t="s">
        <v>2620</v>
      </c>
      <c r="CL65" s="543" t="s">
        <v>2620</v>
      </c>
      <c r="CM65" s="543" t="s">
        <v>2620</v>
      </c>
      <c r="CN65" s="543" t="s">
        <v>2620</v>
      </c>
      <c r="CO65" s="543" t="s">
        <v>2620</v>
      </c>
      <c r="CP65" s="543" t="s">
        <v>2620</v>
      </c>
      <c r="CQ65" s="543" t="s">
        <v>2620</v>
      </c>
      <c r="CR65" s="543" t="s">
        <v>2620</v>
      </c>
      <c r="CS65" s="543" t="s">
        <v>2620</v>
      </c>
      <c r="CT65" s="543" t="s">
        <v>2620</v>
      </c>
      <c r="CU65" s="543" t="s">
        <v>2620</v>
      </c>
      <c r="CV65" s="543" t="s">
        <v>2620</v>
      </c>
      <c r="CW65" s="543" t="s">
        <v>2620</v>
      </c>
      <c r="CX65" s="543" t="s">
        <v>2620</v>
      </c>
      <c r="CY65" s="543" t="s">
        <v>2620</v>
      </c>
      <c r="CZ65" s="543" t="s">
        <v>2620</v>
      </c>
      <c r="DA65" s="543" t="s">
        <v>2620</v>
      </c>
      <c r="DB65" s="543" t="s">
        <v>2620</v>
      </c>
      <c r="DC65" s="543" t="s">
        <v>2620</v>
      </c>
    </row>
    <row r="66" spans="1:107">
      <c r="A66" s="2015"/>
      <c r="B66" s="534"/>
      <c r="C66" s="535"/>
      <c r="D66" s="12" t="s">
        <v>130</v>
      </c>
      <c r="E66" s="13">
        <v>133</v>
      </c>
      <c r="F66" s="14" t="s">
        <v>2839</v>
      </c>
      <c r="G66" s="543" t="s">
        <v>2620</v>
      </c>
      <c r="H66" s="543" t="s">
        <v>2620</v>
      </c>
      <c r="I66" s="543" t="s">
        <v>2620</v>
      </c>
      <c r="J66" s="543" t="s">
        <v>2620</v>
      </c>
      <c r="K66" s="543" t="s">
        <v>2620</v>
      </c>
      <c r="L66" s="543" t="s">
        <v>2620</v>
      </c>
      <c r="M66" s="543" t="s">
        <v>2620</v>
      </c>
      <c r="N66" s="543" t="s">
        <v>2620</v>
      </c>
      <c r="O66" s="543" t="s">
        <v>2620</v>
      </c>
      <c r="P66" s="543" t="s">
        <v>2620</v>
      </c>
      <c r="Q66" s="543" t="s">
        <v>2620</v>
      </c>
      <c r="R66" s="543" t="s">
        <v>2620</v>
      </c>
      <c r="S66" s="543" t="s">
        <v>2620</v>
      </c>
      <c r="T66" s="543" t="s">
        <v>2620</v>
      </c>
      <c r="U66" s="543" t="s">
        <v>2620</v>
      </c>
      <c r="V66" s="543" t="s">
        <v>2620</v>
      </c>
      <c r="W66" s="543" t="s">
        <v>2620</v>
      </c>
      <c r="X66" s="543" t="s">
        <v>2620</v>
      </c>
      <c r="Y66" s="543" t="s">
        <v>2620</v>
      </c>
      <c r="Z66" s="543" t="s">
        <v>2620</v>
      </c>
      <c r="AA66" s="543" t="s">
        <v>2620</v>
      </c>
      <c r="AB66" s="543" t="s">
        <v>2620</v>
      </c>
      <c r="AC66" s="543" t="s">
        <v>2620</v>
      </c>
      <c r="AD66" s="543" t="s">
        <v>2620</v>
      </c>
      <c r="AE66" s="543" t="s">
        <v>2620</v>
      </c>
      <c r="AF66" s="543" t="s">
        <v>2620</v>
      </c>
      <c r="AG66" s="543" t="s">
        <v>2620</v>
      </c>
      <c r="AH66" s="543" t="s">
        <v>2620</v>
      </c>
      <c r="AI66" s="543" t="s">
        <v>2620</v>
      </c>
      <c r="AJ66" s="543" t="s">
        <v>2620</v>
      </c>
      <c r="AK66" s="543" t="s">
        <v>2620</v>
      </c>
      <c r="AL66" s="543" t="s">
        <v>2620</v>
      </c>
      <c r="AM66" s="543" t="s">
        <v>2620</v>
      </c>
      <c r="AN66" s="543" t="s">
        <v>2620</v>
      </c>
      <c r="AO66" s="543" t="s">
        <v>2620</v>
      </c>
      <c r="AP66" s="543" t="s">
        <v>2620</v>
      </c>
      <c r="AQ66" s="543" t="s">
        <v>2620</v>
      </c>
      <c r="AR66" s="543" t="s">
        <v>2620</v>
      </c>
      <c r="AS66" s="543" t="s">
        <v>2620</v>
      </c>
      <c r="AT66" s="543" t="s">
        <v>2620</v>
      </c>
      <c r="AU66" s="543" t="s">
        <v>2620</v>
      </c>
      <c r="AV66" s="543" t="s">
        <v>2620</v>
      </c>
      <c r="AW66" s="543" t="s">
        <v>2620</v>
      </c>
      <c r="AX66" s="543" t="s">
        <v>2620</v>
      </c>
      <c r="AY66" s="543" t="s">
        <v>2620</v>
      </c>
      <c r="AZ66" s="543" t="s">
        <v>2620</v>
      </c>
      <c r="BA66" s="543" t="s">
        <v>2620</v>
      </c>
      <c r="BB66" s="543" t="s">
        <v>2620</v>
      </c>
      <c r="BC66" s="543" t="s">
        <v>2620</v>
      </c>
      <c r="BD66" s="543" t="s">
        <v>2620</v>
      </c>
      <c r="BE66" s="543" t="s">
        <v>2620</v>
      </c>
      <c r="BF66" s="543" t="s">
        <v>2620</v>
      </c>
      <c r="BG66" s="543" t="s">
        <v>2620</v>
      </c>
      <c r="BH66" s="543" t="s">
        <v>2620</v>
      </c>
      <c r="BI66" s="543" t="s">
        <v>2620</v>
      </c>
      <c r="BJ66" s="543" t="s">
        <v>2620</v>
      </c>
      <c r="BK66" s="543" t="s">
        <v>2620</v>
      </c>
      <c r="BL66" s="543" t="s">
        <v>2620</v>
      </c>
      <c r="BM66" s="543" t="s">
        <v>2620</v>
      </c>
      <c r="BN66" s="543" t="s">
        <v>2620</v>
      </c>
      <c r="BO66" s="543" t="s">
        <v>2620</v>
      </c>
      <c r="BP66" s="543" t="s">
        <v>2620</v>
      </c>
      <c r="BQ66" s="543" t="s">
        <v>2620</v>
      </c>
      <c r="BR66" s="543" t="s">
        <v>2620</v>
      </c>
      <c r="BS66" s="543" t="s">
        <v>2620</v>
      </c>
      <c r="BT66" s="543" t="s">
        <v>2620</v>
      </c>
      <c r="BU66" s="543" t="s">
        <v>2620</v>
      </c>
      <c r="BV66" s="543" t="s">
        <v>2620</v>
      </c>
      <c r="BW66" s="543" t="s">
        <v>2620</v>
      </c>
      <c r="BX66" s="543" t="s">
        <v>2620</v>
      </c>
      <c r="BY66" s="543" t="s">
        <v>2620</v>
      </c>
      <c r="BZ66" s="543" t="s">
        <v>2620</v>
      </c>
      <c r="CA66" s="543" t="s">
        <v>2620</v>
      </c>
      <c r="CB66" s="543" t="s">
        <v>2620</v>
      </c>
      <c r="CC66" s="543" t="s">
        <v>2620</v>
      </c>
      <c r="CD66" s="543" t="s">
        <v>2620</v>
      </c>
      <c r="CE66" s="543" t="s">
        <v>2620</v>
      </c>
      <c r="CF66" s="543" t="s">
        <v>2620</v>
      </c>
      <c r="CG66" s="543" t="s">
        <v>2620</v>
      </c>
      <c r="CH66" s="543" t="s">
        <v>2620</v>
      </c>
      <c r="CI66" s="543" t="s">
        <v>2620</v>
      </c>
      <c r="CJ66" s="543" t="s">
        <v>2620</v>
      </c>
      <c r="CK66" s="543" t="s">
        <v>2620</v>
      </c>
      <c r="CL66" s="543" t="s">
        <v>2620</v>
      </c>
      <c r="CM66" s="543" t="s">
        <v>2620</v>
      </c>
      <c r="CN66" s="543" t="s">
        <v>2620</v>
      </c>
      <c r="CO66" s="543" t="s">
        <v>2620</v>
      </c>
      <c r="CP66" s="543" t="s">
        <v>2620</v>
      </c>
      <c r="CQ66" s="543" t="s">
        <v>2620</v>
      </c>
      <c r="CR66" s="543" t="s">
        <v>2620</v>
      </c>
      <c r="CS66" s="543" t="s">
        <v>2620</v>
      </c>
      <c r="CT66" s="543" t="s">
        <v>2620</v>
      </c>
      <c r="CU66" s="543" t="s">
        <v>2620</v>
      </c>
      <c r="CV66" s="543" t="s">
        <v>2620</v>
      </c>
      <c r="CW66" s="543" t="s">
        <v>2620</v>
      </c>
      <c r="CX66" s="543" t="s">
        <v>2620</v>
      </c>
      <c r="CY66" s="543" t="s">
        <v>2620</v>
      </c>
      <c r="CZ66" s="543" t="s">
        <v>2620</v>
      </c>
      <c r="DA66" s="543" t="s">
        <v>2620</v>
      </c>
      <c r="DB66" s="543" t="s">
        <v>2620</v>
      </c>
      <c r="DC66" s="543" t="s">
        <v>2620</v>
      </c>
    </row>
    <row r="67" spans="1:107">
      <c r="A67" s="2015"/>
      <c r="B67" s="534"/>
      <c r="C67" s="535"/>
      <c r="D67" s="12" t="s">
        <v>130</v>
      </c>
      <c r="E67" s="13">
        <v>134</v>
      </c>
      <c r="F67" s="14" t="s">
        <v>2840</v>
      </c>
      <c r="G67" s="543" t="s">
        <v>2620</v>
      </c>
      <c r="H67" s="543" t="s">
        <v>2620</v>
      </c>
      <c r="I67" s="543" t="s">
        <v>2620</v>
      </c>
      <c r="J67" s="543" t="s">
        <v>2620</v>
      </c>
      <c r="K67" s="543" t="s">
        <v>2620</v>
      </c>
      <c r="L67" s="543" t="s">
        <v>2620</v>
      </c>
      <c r="M67" s="543" t="s">
        <v>2620</v>
      </c>
      <c r="N67" s="543" t="s">
        <v>2620</v>
      </c>
      <c r="O67" s="543" t="s">
        <v>2620</v>
      </c>
      <c r="P67" s="543" t="s">
        <v>2620</v>
      </c>
      <c r="Q67" s="543" t="s">
        <v>2620</v>
      </c>
      <c r="R67" s="543" t="s">
        <v>2620</v>
      </c>
      <c r="S67" s="543" t="s">
        <v>2620</v>
      </c>
      <c r="T67" s="543" t="s">
        <v>2620</v>
      </c>
      <c r="U67" s="543" t="s">
        <v>2620</v>
      </c>
      <c r="V67" s="543" t="s">
        <v>2620</v>
      </c>
      <c r="W67" s="543" t="s">
        <v>2620</v>
      </c>
      <c r="X67" s="543" t="s">
        <v>2620</v>
      </c>
      <c r="Y67" s="543" t="s">
        <v>2620</v>
      </c>
      <c r="Z67" s="543" t="s">
        <v>2620</v>
      </c>
      <c r="AA67" s="543" t="s">
        <v>2620</v>
      </c>
      <c r="AB67" s="543" t="s">
        <v>2620</v>
      </c>
      <c r="AC67" s="543" t="s">
        <v>2620</v>
      </c>
      <c r="AD67" s="543" t="s">
        <v>2620</v>
      </c>
      <c r="AE67" s="543" t="s">
        <v>2620</v>
      </c>
      <c r="AF67" s="543" t="s">
        <v>2620</v>
      </c>
      <c r="AG67" s="543" t="s">
        <v>2620</v>
      </c>
      <c r="AH67" s="543" t="s">
        <v>2620</v>
      </c>
      <c r="AI67" s="543" t="s">
        <v>2620</v>
      </c>
      <c r="AJ67" s="543" t="s">
        <v>2620</v>
      </c>
      <c r="AK67" s="543" t="s">
        <v>2620</v>
      </c>
      <c r="AL67" s="543" t="s">
        <v>2620</v>
      </c>
      <c r="AM67" s="543" t="s">
        <v>2620</v>
      </c>
      <c r="AN67" s="543" t="s">
        <v>2620</v>
      </c>
      <c r="AO67" s="543" t="s">
        <v>2620</v>
      </c>
      <c r="AP67" s="543" t="s">
        <v>2620</v>
      </c>
      <c r="AQ67" s="543" t="s">
        <v>2620</v>
      </c>
      <c r="AR67" s="543" t="s">
        <v>2620</v>
      </c>
      <c r="AS67" s="543" t="s">
        <v>2620</v>
      </c>
      <c r="AT67" s="543" t="s">
        <v>2620</v>
      </c>
      <c r="AU67" s="543" t="s">
        <v>2620</v>
      </c>
      <c r="AV67" s="543" t="s">
        <v>2620</v>
      </c>
      <c r="AW67" s="543" t="s">
        <v>2620</v>
      </c>
      <c r="AX67" s="543" t="s">
        <v>2620</v>
      </c>
      <c r="AY67" s="543" t="s">
        <v>2620</v>
      </c>
      <c r="AZ67" s="543" t="s">
        <v>2620</v>
      </c>
      <c r="BA67" s="543" t="s">
        <v>2620</v>
      </c>
      <c r="BB67" s="543" t="s">
        <v>2620</v>
      </c>
      <c r="BC67" s="543" t="s">
        <v>2620</v>
      </c>
      <c r="BD67" s="543" t="s">
        <v>2620</v>
      </c>
      <c r="BE67" s="543" t="s">
        <v>2620</v>
      </c>
      <c r="BF67" s="543" t="s">
        <v>2620</v>
      </c>
      <c r="BG67" s="543" t="s">
        <v>2620</v>
      </c>
      <c r="BH67" s="543" t="s">
        <v>2620</v>
      </c>
      <c r="BI67" s="543" t="s">
        <v>2620</v>
      </c>
      <c r="BJ67" s="543" t="s">
        <v>2620</v>
      </c>
      <c r="BK67" s="543" t="s">
        <v>2620</v>
      </c>
      <c r="BL67" s="543" t="s">
        <v>2620</v>
      </c>
      <c r="BM67" s="543" t="s">
        <v>2620</v>
      </c>
      <c r="BN67" s="543" t="s">
        <v>2620</v>
      </c>
      <c r="BO67" s="543" t="s">
        <v>2620</v>
      </c>
      <c r="BP67" s="543" t="s">
        <v>2620</v>
      </c>
      <c r="BQ67" s="543" t="s">
        <v>2620</v>
      </c>
      <c r="BR67" s="543" t="s">
        <v>2620</v>
      </c>
      <c r="BS67" s="543" t="s">
        <v>2620</v>
      </c>
      <c r="BT67" s="543" t="s">
        <v>2620</v>
      </c>
      <c r="BU67" s="543" t="s">
        <v>2620</v>
      </c>
      <c r="BV67" s="543" t="s">
        <v>2620</v>
      </c>
      <c r="BW67" s="543" t="s">
        <v>2620</v>
      </c>
      <c r="BX67" s="543" t="s">
        <v>2620</v>
      </c>
      <c r="BY67" s="543" t="s">
        <v>2620</v>
      </c>
      <c r="BZ67" s="543" t="s">
        <v>2620</v>
      </c>
      <c r="CA67" s="543" t="s">
        <v>2620</v>
      </c>
      <c r="CB67" s="543" t="s">
        <v>2620</v>
      </c>
      <c r="CC67" s="543" t="s">
        <v>2620</v>
      </c>
      <c r="CD67" s="543" t="s">
        <v>2620</v>
      </c>
      <c r="CE67" s="543" t="s">
        <v>2620</v>
      </c>
      <c r="CF67" s="543" t="s">
        <v>2620</v>
      </c>
      <c r="CG67" s="543" t="s">
        <v>2620</v>
      </c>
      <c r="CH67" s="543" t="s">
        <v>2620</v>
      </c>
      <c r="CI67" s="543" t="s">
        <v>2620</v>
      </c>
      <c r="CJ67" s="543" t="s">
        <v>2620</v>
      </c>
      <c r="CK67" s="543" t="s">
        <v>2620</v>
      </c>
      <c r="CL67" s="543" t="s">
        <v>2620</v>
      </c>
      <c r="CM67" s="543" t="s">
        <v>2620</v>
      </c>
      <c r="CN67" s="543" t="s">
        <v>2620</v>
      </c>
      <c r="CO67" s="543" t="s">
        <v>2620</v>
      </c>
      <c r="CP67" s="543" t="s">
        <v>2620</v>
      </c>
      <c r="CQ67" s="543" t="s">
        <v>2620</v>
      </c>
      <c r="CR67" s="543" t="s">
        <v>2620</v>
      </c>
      <c r="CS67" s="543" t="s">
        <v>2620</v>
      </c>
      <c r="CT67" s="543" t="s">
        <v>2620</v>
      </c>
      <c r="CU67" s="543" t="s">
        <v>2620</v>
      </c>
      <c r="CV67" s="543" t="s">
        <v>2620</v>
      </c>
      <c r="CW67" s="543" t="s">
        <v>2620</v>
      </c>
      <c r="CX67" s="543" t="s">
        <v>2620</v>
      </c>
      <c r="CY67" s="543" t="s">
        <v>2620</v>
      </c>
      <c r="CZ67" s="543" t="s">
        <v>2620</v>
      </c>
      <c r="DA67" s="543" t="s">
        <v>2620</v>
      </c>
      <c r="DB67" s="543" t="s">
        <v>2620</v>
      </c>
      <c r="DC67" s="543" t="s">
        <v>2620</v>
      </c>
    </row>
    <row r="68" spans="1:107">
      <c r="A68" s="2015"/>
      <c r="B68" s="534"/>
      <c r="C68" s="535"/>
      <c r="D68" s="12" t="s">
        <v>130</v>
      </c>
      <c r="E68" s="13">
        <v>135</v>
      </c>
      <c r="F68" s="14" t="s">
        <v>2841</v>
      </c>
      <c r="G68" s="543" t="s">
        <v>2620</v>
      </c>
      <c r="H68" s="543" t="s">
        <v>2620</v>
      </c>
      <c r="I68" s="543" t="s">
        <v>2620</v>
      </c>
      <c r="J68" s="543" t="s">
        <v>2620</v>
      </c>
      <c r="K68" s="543" t="s">
        <v>2620</v>
      </c>
      <c r="L68" s="543" t="s">
        <v>2620</v>
      </c>
      <c r="M68" s="543" t="s">
        <v>2620</v>
      </c>
      <c r="N68" s="543" t="s">
        <v>2620</v>
      </c>
      <c r="O68" s="543" t="s">
        <v>2620</v>
      </c>
      <c r="P68" s="543" t="s">
        <v>2620</v>
      </c>
      <c r="Q68" s="543" t="s">
        <v>2620</v>
      </c>
      <c r="R68" s="543" t="s">
        <v>2620</v>
      </c>
      <c r="S68" s="543" t="s">
        <v>2620</v>
      </c>
      <c r="T68" s="543" t="s">
        <v>2620</v>
      </c>
      <c r="U68" s="543" t="s">
        <v>2620</v>
      </c>
      <c r="V68" s="543" t="s">
        <v>2620</v>
      </c>
      <c r="W68" s="543" t="s">
        <v>2620</v>
      </c>
      <c r="X68" s="543" t="s">
        <v>2620</v>
      </c>
      <c r="Y68" s="543" t="s">
        <v>2620</v>
      </c>
      <c r="Z68" s="543" t="s">
        <v>2620</v>
      </c>
      <c r="AA68" s="543" t="s">
        <v>2620</v>
      </c>
      <c r="AB68" s="543" t="s">
        <v>2620</v>
      </c>
      <c r="AC68" s="543" t="s">
        <v>2620</v>
      </c>
      <c r="AD68" s="543" t="s">
        <v>2620</v>
      </c>
      <c r="AE68" s="543" t="s">
        <v>2620</v>
      </c>
      <c r="AF68" s="543" t="s">
        <v>2620</v>
      </c>
      <c r="AG68" s="543" t="s">
        <v>2620</v>
      </c>
      <c r="AH68" s="543" t="s">
        <v>2620</v>
      </c>
      <c r="AI68" s="543" t="s">
        <v>2620</v>
      </c>
      <c r="AJ68" s="543" t="s">
        <v>2620</v>
      </c>
      <c r="AK68" s="543" t="s">
        <v>2620</v>
      </c>
      <c r="AL68" s="543" t="s">
        <v>2620</v>
      </c>
      <c r="AM68" s="543" t="s">
        <v>2620</v>
      </c>
      <c r="AN68" s="543" t="s">
        <v>2620</v>
      </c>
      <c r="AO68" s="543" t="s">
        <v>2620</v>
      </c>
      <c r="AP68" s="543" t="s">
        <v>2620</v>
      </c>
      <c r="AQ68" s="543" t="s">
        <v>2620</v>
      </c>
      <c r="AR68" s="543" t="s">
        <v>2620</v>
      </c>
      <c r="AS68" s="543" t="s">
        <v>2620</v>
      </c>
      <c r="AT68" s="543" t="s">
        <v>2620</v>
      </c>
      <c r="AU68" s="543" t="s">
        <v>2620</v>
      </c>
      <c r="AV68" s="543" t="s">
        <v>2620</v>
      </c>
      <c r="AW68" s="543" t="s">
        <v>2620</v>
      </c>
      <c r="AX68" s="543" t="s">
        <v>2620</v>
      </c>
      <c r="AY68" s="543" t="s">
        <v>2620</v>
      </c>
      <c r="AZ68" s="543" t="s">
        <v>2620</v>
      </c>
      <c r="BA68" s="543" t="s">
        <v>2620</v>
      </c>
      <c r="BB68" s="543" t="s">
        <v>2620</v>
      </c>
      <c r="BC68" s="543" t="s">
        <v>2620</v>
      </c>
      <c r="BD68" s="543" t="s">
        <v>2620</v>
      </c>
      <c r="BE68" s="543" t="s">
        <v>2620</v>
      </c>
      <c r="BF68" s="543" t="s">
        <v>2620</v>
      </c>
      <c r="BG68" s="543" t="s">
        <v>2620</v>
      </c>
      <c r="BH68" s="543" t="s">
        <v>2620</v>
      </c>
      <c r="BI68" s="543" t="s">
        <v>2620</v>
      </c>
      <c r="BJ68" s="543" t="s">
        <v>2620</v>
      </c>
      <c r="BK68" s="543" t="s">
        <v>2620</v>
      </c>
      <c r="BL68" s="543" t="s">
        <v>2620</v>
      </c>
      <c r="BM68" s="543" t="s">
        <v>2620</v>
      </c>
      <c r="BN68" s="543" t="s">
        <v>2620</v>
      </c>
      <c r="BO68" s="543" t="s">
        <v>2620</v>
      </c>
      <c r="BP68" s="543" t="s">
        <v>2620</v>
      </c>
      <c r="BQ68" s="543" t="s">
        <v>2620</v>
      </c>
      <c r="BR68" s="543" t="s">
        <v>2620</v>
      </c>
      <c r="BS68" s="543" t="s">
        <v>2620</v>
      </c>
      <c r="BT68" s="543" t="s">
        <v>2620</v>
      </c>
      <c r="BU68" s="543" t="s">
        <v>2620</v>
      </c>
      <c r="BV68" s="543" t="s">
        <v>2620</v>
      </c>
      <c r="BW68" s="543" t="s">
        <v>2620</v>
      </c>
      <c r="BX68" s="543" t="s">
        <v>2620</v>
      </c>
      <c r="BY68" s="543" t="s">
        <v>2620</v>
      </c>
      <c r="BZ68" s="543" t="s">
        <v>2620</v>
      </c>
      <c r="CA68" s="543" t="s">
        <v>2620</v>
      </c>
      <c r="CB68" s="543" t="s">
        <v>2620</v>
      </c>
      <c r="CC68" s="543" t="s">
        <v>2620</v>
      </c>
      <c r="CD68" s="543" t="s">
        <v>2620</v>
      </c>
      <c r="CE68" s="543" t="s">
        <v>2620</v>
      </c>
      <c r="CF68" s="543" t="s">
        <v>2620</v>
      </c>
      <c r="CG68" s="543" t="s">
        <v>2620</v>
      </c>
      <c r="CH68" s="543" t="s">
        <v>2620</v>
      </c>
      <c r="CI68" s="543" t="s">
        <v>2620</v>
      </c>
      <c r="CJ68" s="543" t="s">
        <v>2620</v>
      </c>
      <c r="CK68" s="543" t="s">
        <v>2620</v>
      </c>
      <c r="CL68" s="543" t="s">
        <v>2620</v>
      </c>
      <c r="CM68" s="543" t="s">
        <v>2620</v>
      </c>
      <c r="CN68" s="543" t="s">
        <v>2620</v>
      </c>
      <c r="CO68" s="543" t="s">
        <v>2620</v>
      </c>
      <c r="CP68" s="543" t="s">
        <v>2620</v>
      </c>
      <c r="CQ68" s="543" t="s">
        <v>2620</v>
      </c>
      <c r="CR68" s="543" t="s">
        <v>2620</v>
      </c>
      <c r="CS68" s="543" t="s">
        <v>2620</v>
      </c>
      <c r="CT68" s="543" t="s">
        <v>2620</v>
      </c>
      <c r="CU68" s="543" t="s">
        <v>2620</v>
      </c>
      <c r="CV68" s="543" t="s">
        <v>2620</v>
      </c>
      <c r="CW68" s="543" t="s">
        <v>2620</v>
      </c>
      <c r="CX68" s="543" t="s">
        <v>2620</v>
      </c>
      <c r="CY68" s="543" t="s">
        <v>2620</v>
      </c>
      <c r="CZ68" s="543" t="s">
        <v>2620</v>
      </c>
      <c r="DA68" s="543" t="s">
        <v>2620</v>
      </c>
      <c r="DB68" s="543" t="s">
        <v>2620</v>
      </c>
      <c r="DC68" s="543" t="s">
        <v>2620</v>
      </c>
    </row>
    <row r="69" spans="1:107">
      <c r="A69" s="2015"/>
      <c r="B69" s="534"/>
      <c r="C69" s="535"/>
      <c r="D69" s="12" t="s">
        <v>130</v>
      </c>
      <c r="E69" s="13">
        <v>136</v>
      </c>
      <c r="F69" s="14" t="s">
        <v>2842</v>
      </c>
      <c r="G69" s="543" t="s">
        <v>2620</v>
      </c>
      <c r="H69" s="543" t="s">
        <v>2620</v>
      </c>
      <c r="I69" s="543" t="s">
        <v>2620</v>
      </c>
      <c r="J69" s="543" t="s">
        <v>2620</v>
      </c>
      <c r="K69" s="543" t="s">
        <v>2620</v>
      </c>
      <c r="L69" s="543" t="s">
        <v>2620</v>
      </c>
      <c r="M69" s="543" t="s">
        <v>2620</v>
      </c>
      <c r="N69" s="543" t="s">
        <v>2620</v>
      </c>
      <c r="O69" s="543" t="s">
        <v>2620</v>
      </c>
      <c r="P69" s="543" t="s">
        <v>2620</v>
      </c>
      <c r="Q69" s="543" t="s">
        <v>2620</v>
      </c>
      <c r="R69" s="543" t="s">
        <v>2620</v>
      </c>
      <c r="S69" s="543" t="s">
        <v>2620</v>
      </c>
      <c r="T69" s="543" t="s">
        <v>2620</v>
      </c>
      <c r="U69" s="543" t="s">
        <v>2620</v>
      </c>
      <c r="V69" s="543" t="s">
        <v>2620</v>
      </c>
      <c r="W69" s="543" t="s">
        <v>2620</v>
      </c>
      <c r="X69" s="543" t="s">
        <v>2620</v>
      </c>
      <c r="Y69" s="543" t="s">
        <v>2620</v>
      </c>
      <c r="Z69" s="543" t="s">
        <v>2620</v>
      </c>
      <c r="AA69" s="543" t="s">
        <v>2620</v>
      </c>
      <c r="AB69" s="543" t="s">
        <v>2620</v>
      </c>
      <c r="AC69" s="543" t="s">
        <v>2620</v>
      </c>
      <c r="AD69" s="543" t="s">
        <v>2620</v>
      </c>
      <c r="AE69" s="543" t="s">
        <v>2620</v>
      </c>
      <c r="AF69" s="543" t="s">
        <v>2620</v>
      </c>
      <c r="AG69" s="543" t="s">
        <v>2620</v>
      </c>
      <c r="AH69" s="543" t="s">
        <v>2620</v>
      </c>
      <c r="AI69" s="543" t="s">
        <v>2620</v>
      </c>
      <c r="AJ69" s="543" t="s">
        <v>2620</v>
      </c>
      <c r="AK69" s="543" t="s">
        <v>2620</v>
      </c>
      <c r="AL69" s="543" t="s">
        <v>2620</v>
      </c>
      <c r="AM69" s="543" t="s">
        <v>2620</v>
      </c>
      <c r="AN69" s="543" t="s">
        <v>2620</v>
      </c>
      <c r="AO69" s="543" t="s">
        <v>2620</v>
      </c>
      <c r="AP69" s="543" t="s">
        <v>2620</v>
      </c>
      <c r="AQ69" s="543" t="s">
        <v>2620</v>
      </c>
      <c r="AR69" s="543" t="s">
        <v>2620</v>
      </c>
      <c r="AS69" s="543" t="s">
        <v>2620</v>
      </c>
      <c r="AT69" s="543" t="s">
        <v>2620</v>
      </c>
      <c r="AU69" s="543" t="s">
        <v>2620</v>
      </c>
      <c r="AV69" s="543" t="s">
        <v>2620</v>
      </c>
      <c r="AW69" s="543" t="s">
        <v>2620</v>
      </c>
      <c r="AX69" s="543" t="s">
        <v>2620</v>
      </c>
      <c r="AY69" s="543" t="s">
        <v>2620</v>
      </c>
      <c r="AZ69" s="543" t="s">
        <v>2620</v>
      </c>
      <c r="BA69" s="543" t="s">
        <v>2620</v>
      </c>
      <c r="BB69" s="543" t="s">
        <v>2620</v>
      </c>
      <c r="BC69" s="543" t="s">
        <v>2620</v>
      </c>
      <c r="BD69" s="543" t="s">
        <v>2620</v>
      </c>
      <c r="BE69" s="543" t="s">
        <v>2620</v>
      </c>
      <c r="BF69" s="543" t="s">
        <v>2620</v>
      </c>
      <c r="BG69" s="543" t="s">
        <v>2620</v>
      </c>
      <c r="BH69" s="543" t="s">
        <v>2620</v>
      </c>
      <c r="BI69" s="543" t="s">
        <v>2620</v>
      </c>
      <c r="BJ69" s="543" t="s">
        <v>2620</v>
      </c>
      <c r="BK69" s="543" t="s">
        <v>2620</v>
      </c>
      <c r="BL69" s="543" t="s">
        <v>2620</v>
      </c>
      <c r="BM69" s="543" t="s">
        <v>2620</v>
      </c>
      <c r="BN69" s="543" t="s">
        <v>2620</v>
      </c>
      <c r="BO69" s="543" t="s">
        <v>2620</v>
      </c>
      <c r="BP69" s="543" t="s">
        <v>2620</v>
      </c>
      <c r="BQ69" s="543" t="s">
        <v>2620</v>
      </c>
      <c r="BR69" s="543" t="s">
        <v>2620</v>
      </c>
      <c r="BS69" s="543" t="s">
        <v>2620</v>
      </c>
      <c r="BT69" s="543" t="s">
        <v>2620</v>
      </c>
      <c r="BU69" s="543" t="s">
        <v>2620</v>
      </c>
      <c r="BV69" s="543" t="s">
        <v>2620</v>
      </c>
      <c r="BW69" s="543" t="s">
        <v>2620</v>
      </c>
      <c r="BX69" s="543" t="s">
        <v>2620</v>
      </c>
      <c r="BY69" s="543" t="s">
        <v>2620</v>
      </c>
      <c r="BZ69" s="543" t="s">
        <v>2620</v>
      </c>
      <c r="CA69" s="543" t="s">
        <v>2620</v>
      </c>
      <c r="CB69" s="543" t="s">
        <v>2620</v>
      </c>
      <c r="CC69" s="543" t="s">
        <v>2620</v>
      </c>
      <c r="CD69" s="543" t="s">
        <v>2620</v>
      </c>
      <c r="CE69" s="543" t="s">
        <v>2620</v>
      </c>
      <c r="CF69" s="543" t="s">
        <v>2620</v>
      </c>
      <c r="CG69" s="543" t="s">
        <v>2620</v>
      </c>
      <c r="CH69" s="543" t="s">
        <v>2620</v>
      </c>
      <c r="CI69" s="543" t="s">
        <v>2620</v>
      </c>
      <c r="CJ69" s="543" t="s">
        <v>2620</v>
      </c>
      <c r="CK69" s="543" t="s">
        <v>2620</v>
      </c>
      <c r="CL69" s="543" t="s">
        <v>2620</v>
      </c>
      <c r="CM69" s="543" t="s">
        <v>2620</v>
      </c>
      <c r="CN69" s="543" t="s">
        <v>2620</v>
      </c>
      <c r="CO69" s="543" t="s">
        <v>2620</v>
      </c>
      <c r="CP69" s="543" t="s">
        <v>2620</v>
      </c>
      <c r="CQ69" s="543" t="s">
        <v>2620</v>
      </c>
      <c r="CR69" s="543" t="s">
        <v>2620</v>
      </c>
      <c r="CS69" s="543" t="s">
        <v>2620</v>
      </c>
      <c r="CT69" s="543" t="s">
        <v>2620</v>
      </c>
      <c r="CU69" s="543" t="s">
        <v>2620</v>
      </c>
      <c r="CV69" s="543" t="s">
        <v>2620</v>
      </c>
      <c r="CW69" s="543" t="s">
        <v>2620</v>
      </c>
      <c r="CX69" s="543" t="s">
        <v>2620</v>
      </c>
      <c r="CY69" s="543" t="s">
        <v>2620</v>
      </c>
      <c r="CZ69" s="543" t="s">
        <v>2620</v>
      </c>
      <c r="DA69" s="543" t="s">
        <v>2620</v>
      </c>
      <c r="DB69" s="543" t="s">
        <v>2620</v>
      </c>
      <c r="DC69" s="543" t="s">
        <v>2620</v>
      </c>
    </row>
    <row r="70" spans="1:107">
      <c r="A70" s="2015"/>
      <c r="B70" s="534"/>
      <c r="C70" s="535"/>
      <c r="D70" s="12" t="s">
        <v>130</v>
      </c>
      <c r="E70" s="13">
        <v>137</v>
      </c>
      <c r="F70" s="14" t="s">
        <v>2843</v>
      </c>
      <c r="G70" s="543" t="s">
        <v>2620</v>
      </c>
      <c r="H70" s="543" t="s">
        <v>2620</v>
      </c>
      <c r="I70" s="543" t="s">
        <v>2620</v>
      </c>
      <c r="J70" s="543" t="s">
        <v>2620</v>
      </c>
      <c r="K70" s="543" t="s">
        <v>2620</v>
      </c>
      <c r="L70" s="543" t="s">
        <v>2620</v>
      </c>
      <c r="M70" s="543" t="s">
        <v>2620</v>
      </c>
      <c r="N70" s="543" t="s">
        <v>2620</v>
      </c>
      <c r="O70" s="543" t="s">
        <v>2620</v>
      </c>
      <c r="P70" s="543" t="s">
        <v>2620</v>
      </c>
      <c r="Q70" s="543" t="s">
        <v>2620</v>
      </c>
      <c r="R70" s="543" t="s">
        <v>2620</v>
      </c>
      <c r="S70" s="543" t="s">
        <v>2620</v>
      </c>
      <c r="T70" s="543" t="s">
        <v>2620</v>
      </c>
      <c r="U70" s="543" t="s">
        <v>2620</v>
      </c>
      <c r="V70" s="543" t="s">
        <v>2620</v>
      </c>
      <c r="W70" s="543" t="s">
        <v>2620</v>
      </c>
      <c r="X70" s="543" t="s">
        <v>2620</v>
      </c>
      <c r="Y70" s="543" t="s">
        <v>2620</v>
      </c>
      <c r="Z70" s="543" t="s">
        <v>2620</v>
      </c>
      <c r="AA70" s="543" t="s">
        <v>2620</v>
      </c>
      <c r="AB70" s="543" t="s">
        <v>2620</v>
      </c>
      <c r="AC70" s="543" t="s">
        <v>2620</v>
      </c>
      <c r="AD70" s="543" t="s">
        <v>2620</v>
      </c>
      <c r="AE70" s="543" t="s">
        <v>2620</v>
      </c>
      <c r="AF70" s="543" t="s">
        <v>2620</v>
      </c>
      <c r="AG70" s="543" t="s">
        <v>2620</v>
      </c>
      <c r="AH70" s="543" t="s">
        <v>2620</v>
      </c>
      <c r="AI70" s="543" t="s">
        <v>2620</v>
      </c>
      <c r="AJ70" s="543" t="s">
        <v>2620</v>
      </c>
      <c r="AK70" s="543" t="s">
        <v>2620</v>
      </c>
      <c r="AL70" s="543" t="s">
        <v>2620</v>
      </c>
      <c r="AM70" s="543" t="s">
        <v>2620</v>
      </c>
      <c r="AN70" s="543" t="s">
        <v>2620</v>
      </c>
      <c r="AO70" s="543" t="s">
        <v>2620</v>
      </c>
      <c r="AP70" s="543" t="s">
        <v>2620</v>
      </c>
      <c r="AQ70" s="543" t="s">
        <v>2620</v>
      </c>
      <c r="AR70" s="543" t="s">
        <v>2620</v>
      </c>
      <c r="AS70" s="543" t="s">
        <v>2620</v>
      </c>
      <c r="AT70" s="543" t="s">
        <v>2620</v>
      </c>
      <c r="AU70" s="543" t="s">
        <v>2620</v>
      </c>
      <c r="AV70" s="543" t="s">
        <v>2620</v>
      </c>
      <c r="AW70" s="543" t="s">
        <v>2620</v>
      </c>
      <c r="AX70" s="543" t="s">
        <v>2620</v>
      </c>
      <c r="AY70" s="543" t="s">
        <v>2620</v>
      </c>
      <c r="AZ70" s="543" t="s">
        <v>2620</v>
      </c>
      <c r="BA70" s="543" t="s">
        <v>2620</v>
      </c>
      <c r="BB70" s="543" t="s">
        <v>2620</v>
      </c>
      <c r="BC70" s="543" t="s">
        <v>2620</v>
      </c>
      <c r="BD70" s="543" t="s">
        <v>2620</v>
      </c>
      <c r="BE70" s="543" t="s">
        <v>2620</v>
      </c>
      <c r="BF70" s="543" t="s">
        <v>2620</v>
      </c>
      <c r="BG70" s="543" t="s">
        <v>2620</v>
      </c>
      <c r="BH70" s="543" t="s">
        <v>2620</v>
      </c>
      <c r="BI70" s="543" t="s">
        <v>2620</v>
      </c>
      <c r="BJ70" s="543" t="s">
        <v>2620</v>
      </c>
      <c r="BK70" s="543" t="s">
        <v>2620</v>
      </c>
      <c r="BL70" s="543" t="s">
        <v>2620</v>
      </c>
      <c r="BM70" s="543" t="s">
        <v>2620</v>
      </c>
      <c r="BN70" s="543" t="s">
        <v>2620</v>
      </c>
      <c r="BO70" s="543" t="s">
        <v>2620</v>
      </c>
      <c r="BP70" s="543" t="s">
        <v>2620</v>
      </c>
      <c r="BQ70" s="543" t="s">
        <v>2620</v>
      </c>
      <c r="BR70" s="543" t="s">
        <v>2620</v>
      </c>
      <c r="BS70" s="543" t="s">
        <v>2620</v>
      </c>
      <c r="BT70" s="543" t="s">
        <v>2620</v>
      </c>
      <c r="BU70" s="543" t="s">
        <v>2620</v>
      </c>
      <c r="BV70" s="543" t="s">
        <v>2620</v>
      </c>
      <c r="BW70" s="543" t="s">
        <v>2620</v>
      </c>
      <c r="BX70" s="543" t="s">
        <v>2620</v>
      </c>
      <c r="BY70" s="543" t="s">
        <v>2620</v>
      </c>
      <c r="BZ70" s="543" t="s">
        <v>2620</v>
      </c>
      <c r="CA70" s="543" t="s">
        <v>2620</v>
      </c>
      <c r="CB70" s="543" t="s">
        <v>2620</v>
      </c>
      <c r="CC70" s="543" t="s">
        <v>2620</v>
      </c>
      <c r="CD70" s="543" t="s">
        <v>2620</v>
      </c>
      <c r="CE70" s="543" t="s">
        <v>2620</v>
      </c>
      <c r="CF70" s="543" t="s">
        <v>2620</v>
      </c>
      <c r="CG70" s="543" t="s">
        <v>2620</v>
      </c>
      <c r="CH70" s="543" t="s">
        <v>2620</v>
      </c>
      <c r="CI70" s="543" t="s">
        <v>2620</v>
      </c>
      <c r="CJ70" s="543" t="s">
        <v>2620</v>
      </c>
      <c r="CK70" s="543" t="s">
        <v>2620</v>
      </c>
      <c r="CL70" s="543" t="s">
        <v>2620</v>
      </c>
      <c r="CM70" s="543" t="s">
        <v>2620</v>
      </c>
      <c r="CN70" s="543" t="s">
        <v>2620</v>
      </c>
      <c r="CO70" s="543" t="s">
        <v>2620</v>
      </c>
      <c r="CP70" s="543" t="s">
        <v>2620</v>
      </c>
      <c r="CQ70" s="543" t="s">
        <v>2620</v>
      </c>
      <c r="CR70" s="543" t="s">
        <v>2620</v>
      </c>
      <c r="CS70" s="543" t="s">
        <v>2620</v>
      </c>
      <c r="CT70" s="543" t="s">
        <v>2620</v>
      </c>
      <c r="CU70" s="543" t="s">
        <v>2620</v>
      </c>
      <c r="CV70" s="543" t="s">
        <v>2620</v>
      </c>
      <c r="CW70" s="543" t="s">
        <v>2620</v>
      </c>
      <c r="CX70" s="543" t="s">
        <v>2620</v>
      </c>
      <c r="CY70" s="543" t="s">
        <v>2620</v>
      </c>
      <c r="CZ70" s="543" t="s">
        <v>2620</v>
      </c>
      <c r="DA70" s="543" t="s">
        <v>2620</v>
      </c>
      <c r="DB70" s="543" t="s">
        <v>2620</v>
      </c>
      <c r="DC70" s="543" t="s">
        <v>2620</v>
      </c>
    </row>
    <row r="71" spans="1:107">
      <c r="A71" s="533"/>
      <c r="B71" s="534"/>
      <c r="C71" s="535"/>
      <c r="D71" s="12"/>
      <c r="E71" s="13"/>
      <c r="F71" s="14"/>
      <c r="G71" s="543"/>
      <c r="H71" s="543"/>
      <c r="I71" s="543"/>
      <c r="J71" s="543"/>
      <c r="K71" s="543"/>
      <c r="L71" s="543"/>
      <c r="M71" s="543"/>
      <c r="N71" s="543"/>
      <c r="O71" s="543"/>
      <c r="P71" s="543"/>
      <c r="Q71" s="543"/>
      <c r="R71" s="543"/>
      <c r="S71" s="543"/>
      <c r="T71" s="543"/>
      <c r="U71" s="543"/>
      <c r="V71" s="543"/>
      <c r="W71" s="543"/>
      <c r="X71" s="543"/>
      <c r="Y71" s="543"/>
      <c r="Z71" s="543"/>
      <c r="AA71" s="543"/>
      <c r="AB71" s="543"/>
      <c r="AC71" s="543"/>
      <c r="AD71" s="543"/>
      <c r="AE71" s="543"/>
      <c r="AF71" s="543"/>
      <c r="AG71" s="543"/>
      <c r="AH71" s="543"/>
      <c r="AI71" s="543"/>
      <c r="AJ71" s="543"/>
      <c r="AK71" s="543"/>
      <c r="AL71" s="543"/>
      <c r="AM71" s="543"/>
      <c r="AN71" s="543"/>
      <c r="AO71" s="543"/>
      <c r="AP71" s="543"/>
      <c r="AQ71" s="543"/>
      <c r="AR71" s="543"/>
      <c r="AS71" s="543"/>
      <c r="AT71" s="543"/>
      <c r="AU71" s="543"/>
      <c r="AV71" s="543"/>
      <c r="AW71" s="543"/>
      <c r="AX71" s="543"/>
      <c r="AY71" s="543"/>
      <c r="AZ71" s="543"/>
      <c r="BA71" s="543"/>
      <c r="BB71" s="543"/>
      <c r="BC71" s="543"/>
      <c r="BD71" s="543"/>
      <c r="BE71" s="543"/>
      <c r="BF71" s="543"/>
      <c r="BG71" s="543"/>
      <c r="BH71" s="543"/>
      <c r="BI71" s="543"/>
      <c r="BJ71" s="543"/>
      <c r="BK71" s="543"/>
      <c r="BL71" s="543"/>
      <c r="BM71" s="543"/>
      <c r="BN71" s="543"/>
      <c r="BO71" s="543"/>
      <c r="BP71" s="543"/>
      <c r="BQ71" s="543"/>
      <c r="BR71" s="543"/>
      <c r="BS71" s="543"/>
      <c r="BT71" s="543"/>
      <c r="BU71" s="543"/>
      <c r="BV71" s="543"/>
      <c r="BW71" s="543"/>
      <c r="BX71" s="543"/>
      <c r="BY71" s="543"/>
      <c r="BZ71" s="543"/>
      <c r="CA71" s="543"/>
      <c r="CB71" s="543"/>
      <c r="CC71" s="543"/>
      <c r="CD71" s="543"/>
      <c r="CE71" s="543"/>
      <c r="CF71" s="543"/>
      <c r="CG71" s="543"/>
      <c r="CH71" s="543"/>
      <c r="CI71" s="543"/>
      <c r="CJ71" s="543"/>
      <c r="CK71" s="543"/>
      <c r="CL71" s="543"/>
      <c r="CM71" s="543"/>
      <c r="CN71" s="543"/>
      <c r="CO71" s="543"/>
      <c r="CP71" s="543"/>
      <c r="CQ71" s="543"/>
      <c r="CR71" s="543"/>
      <c r="CS71" s="543"/>
      <c r="CT71" s="543"/>
      <c r="CU71" s="543"/>
      <c r="CV71" s="543"/>
      <c r="CW71" s="543"/>
      <c r="CX71" s="543"/>
      <c r="CY71" s="543"/>
      <c r="CZ71" s="543"/>
      <c r="DA71" s="543"/>
      <c r="DB71" s="543"/>
      <c r="DC71" s="543"/>
    </row>
    <row r="72" spans="1:107">
      <c r="A72" s="533"/>
      <c r="B72" s="534"/>
      <c r="C72" s="535"/>
      <c r="D72" s="12"/>
      <c r="E72" s="13"/>
      <c r="F72" s="14"/>
      <c r="G72" s="543"/>
      <c r="H72" s="543"/>
      <c r="I72" s="543"/>
      <c r="J72" s="543"/>
      <c r="K72" s="543"/>
      <c r="L72" s="543"/>
      <c r="M72" s="543"/>
      <c r="N72" s="543"/>
      <c r="O72" s="543"/>
      <c r="P72" s="543"/>
      <c r="Q72" s="543"/>
      <c r="R72" s="543"/>
      <c r="S72" s="543"/>
      <c r="T72" s="543"/>
      <c r="U72" s="543"/>
      <c r="V72" s="543"/>
      <c r="W72" s="543"/>
      <c r="X72" s="543"/>
      <c r="Y72" s="543"/>
      <c r="Z72" s="543"/>
      <c r="AA72" s="543"/>
      <c r="AB72" s="543"/>
      <c r="AC72" s="543"/>
      <c r="AD72" s="543"/>
      <c r="AE72" s="543"/>
      <c r="AF72" s="543"/>
      <c r="AG72" s="543"/>
      <c r="AH72" s="543"/>
      <c r="AI72" s="543"/>
      <c r="AJ72" s="543"/>
      <c r="AK72" s="543"/>
      <c r="AL72" s="543"/>
      <c r="AM72" s="543"/>
      <c r="AN72" s="543"/>
      <c r="AO72" s="543"/>
      <c r="AP72" s="543"/>
      <c r="AQ72" s="543"/>
      <c r="AR72" s="543"/>
      <c r="AS72" s="543"/>
      <c r="AT72" s="543"/>
      <c r="AU72" s="543"/>
      <c r="AV72" s="543"/>
      <c r="AW72" s="543"/>
      <c r="AX72" s="543"/>
      <c r="AY72" s="543"/>
      <c r="AZ72" s="543"/>
      <c r="BA72" s="543"/>
      <c r="BB72" s="543"/>
      <c r="BC72" s="543"/>
      <c r="BD72" s="543"/>
      <c r="BE72" s="543"/>
      <c r="BF72" s="543"/>
      <c r="BG72" s="543"/>
      <c r="BH72" s="543"/>
      <c r="BI72" s="543"/>
      <c r="BJ72" s="543"/>
      <c r="BK72" s="543"/>
      <c r="BL72" s="543"/>
      <c r="BM72" s="543"/>
      <c r="BN72" s="543"/>
      <c r="BO72" s="543"/>
      <c r="BP72" s="543"/>
      <c r="BQ72" s="543"/>
      <c r="BR72" s="543"/>
      <c r="BS72" s="543"/>
      <c r="BT72" s="543"/>
      <c r="BU72" s="543"/>
      <c r="BV72" s="543"/>
      <c r="BW72" s="543"/>
      <c r="BX72" s="543"/>
      <c r="BY72" s="543"/>
      <c r="BZ72" s="543"/>
      <c r="CA72" s="543"/>
      <c r="CB72" s="543"/>
      <c r="CC72" s="543"/>
      <c r="CD72" s="543"/>
      <c r="CE72" s="543"/>
      <c r="CF72" s="543"/>
      <c r="CG72" s="543"/>
      <c r="CH72" s="543"/>
      <c r="CI72" s="543"/>
      <c r="CJ72" s="543"/>
      <c r="CK72" s="543"/>
      <c r="CL72" s="543"/>
      <c r="CM72" s="543"/>
      <c r="CN72" s="543"/>
      <c r="CO72" s="543"/>
      <c r="CP72" s="543"/>
      <c r="CQ72" s="543"/>
      <c r="CR72" s="543"/>
      <c r="CS72" s="543"/>
      <c r="CT72" s="543"/>
      <c r="CU72" s="543"/>
      <c r="CV72" s="543"/>
      <c r="CW72" s="543"/>
      <c r="CX72" s="543"/>
      <c r="CY72" s="543"/>
      <c r="CZ72" s="543"/>
      <c r="DA72" s="543"/>
      <c r="DB72" s="543"/>
      <c r="DC72" s="543"/>
    </row>
    <row r="73" spans="1:107">
      <c r="A73" s="533"/>
      <c r="B73" s="534"/>
      <c r="C73" s="535"/>
      <c r="D73" s="12"/>
      <c r="E73" s="13"/>
      <c r="F73" s="14"/>
      <c r="G73" s="543"/>
      <c r="H73" s="543"/>
      <c r="I73" s="543"/>
      <c r="J73" s="543"/>
      <c r="K73" s="543"/>
      <c r="L73" s="543"/>
      <c r="M73" s="543"/>
      <c r="N73" s="543"/>
      <c r="O73" s="543"/>
      <c r="P73" s="543"/>
      <c r="Q73" s="543"/>
      <c r="R73" s="543"/>
      <c r="S73" s="543"/>
      <c r="T73" s="543"/>
      <c r="U73" s="543"/>
      <c r="V73" s="543"/>
      <c r="W73" s="543"/>
      <c r="X73" s="543"/>
      <c r="Y73" s="543"/>
      <c r="Z73" s="543"/>
      <c r="AA73" s="543"/>
      <c r="AB73" s="543"/>
      <c r="AC73" s="543"/>
      <c r="AD73" s="543"/>
      <c r="AE73" s="543"/>
      <c r="AF73" s="543"/>
      <c r="AG73" s="543"/>
      <c r="AH73" s="543"/>
      <c r="AI73" s="543"/>
      <c r="AJ73" s="543"/>
      <c r="AK73" s="543"/>
      <c r="AL73" s="543"/>
      <c r="AM73" s="543"/>
      <c r="AN73" s="543"/>
      <c r="AO73" s="543"/>
      <c r="AP73" s="543"/>
      <c r="AQ73" s="543"/>
      <c r="AR73" s="543"/>
      <c r="AS73" s="543"/>
      <c r="AT73" s="543"/>
      <c r="AU73" s="543"/>
      <c r="AV73" s="543"/>
      <c r="AW73" s="543"/>
      <c r="AX73" s="543"/>
      <c r="AY73" s="543"/>
      <c r="AZ73" s="543"/>
      <c r="BA73" s="543"/>
      <c r="BB73" s="543"/>
      <c r="BC73" s="543"/>
      <c r="BD73" s="543"/>
      <c r="BE73" s="543"/>
      <c r="BF73" s="543"/>
      <c r="BG73" s="543"/>
      <c r="BH73" s="543"/>
      <c r="BI73" s="543"/>
      <c r="BJ73" s="543"/>
      <c r="BK73" s="543"/>
      <c r="BL73" s="543"/>
      <c r="BM73" s="543"/>
      <c r="BN73" s="543"/>
      <c r="BO73" s="543"/>
      <c r="BP73" s="543"/>
      <c r="BQ73" s="543"/>
      <c r="BR73" s="543"/>
      <c r="BS73" s="543"/>
      <c r="BT73" s="543"/>
      <c r="BU73" s="543"/>
      <c r="BV73" s="543"/>
      <c r="BW73" s="543"/>
      <c r="BX73" s="543"/>
      <c r="BY73" s="543"/>
      <c r="BZ73" s="543"/>
      <c r="CA73" s="543"/>
      <c r="CB73" s="543"/>
      <c r="CC73" s="543"/>
      <c r="CD73" s="543"/>
      <c r="CE73" s="543"/>
      <c r="CF73" s="543"/>
      <c r="CG73" s="543"/>
      <c r="CH73" s="543"/>
      <c r="CI73" s="543"/>
      <c r="CJ73" s="543"/>
      <c r="CK73" s="543"/>
      <c r="CL73" s="543"/>
      <c r="CM73" s="543"/>
      <c r="CN73" s="543"/>
      <c r="CO73" s="543"/>
      <c r="CP73" s="543"/>
      <c r="CQ73" s="543"/>
      <c r="CR73" s="543"/>
      <c r="CS73" s="543"/>
      <c r="CT73" s="543"/>
      <c r="CU73" s="543"/>
      <c r="CV73" s="543"/>
      <c r="CW73" s="543"/>
      <c r="CX73" s="543"/>
      <c r="CY73" s="543"/>
      <c r="CZ73" s="543"/>
      <c r="DA73" s="543"/>
      <c r="DB73" s="543"/>
      <c r="DC73" s="543"/>
    </row>
    <row r="74" spans="1:107">
      <c r="A74" s="533"/>
      <c r="B74" s="534"/>
      <c r="C74" s="535"/>
      <c r="D74" s="12"/>
      <c r="E74" s="13"/>
      <c r="F74" s="14"/>
      <c r="G74" s="543"/>
      <c r="H74" s="543"/>
      <c r="I74" s="543"/>
      <c r="J74" s="543"/>
      <c r="K74" s="543"/>
      <c r="L74" s="543"/>
      <c r="M74" s="543"/>
      <c r="N74" s="543"/>
      <c r="O74" s="543"/>
      <c r="P74" s="543"/>
      <c r="Q74" s="543"/>
      <c r="R74" s="543"/>
      <c r="S74" s="543"/>
      <c r="T74" s="543"/>
      <c r="U74" s="543"/>
      <c r="V74" s="543"/>
      <c r="W74" s="543"/>
      <c r="X74" s="543"/>
      <c r="Y74" s="543"/>
      <c r="Z74" s="543"/>
      <c r="AA74" s="543"/>
      <c r="AB74" s="543"/>
      <c r="AC74" s="543"/>
      <c r="AD74" s="543"/>
      <c r="AE74" s="543"/>
      <c r="AF74" s="543"/>
      <c r="AG74" s="543"/>
      <c r="AH74" s="543"/>
      <c r="AI74" s="543"/>
      <c r="AJ74" s="543"/>
      <c r="AK74" s="543"/>
      <c r="AL74" s="543"/>
      <c r="AM74" s="543"/>
      <c r="AN74" s="543"/>
      <c r="AO74" s="543"/>
      <c r="AP74" s="543"/>
      <c r="AQ74" s="543"/>
      <c r="AR74" s="543"/>
      <c r="AS74" s="543"/>
      <c r="AT74" s="543"/>
      <c r="AU74" s="543"/>
      <c r="AV74" s="543"/>
      <c r="AW74" s="543"/>
      <c r="AX74" s="543"/>
      <c r="AY74" s="543"/>
      <c r="AZ74" s="543"/>
      <c r="BA74" s="543"/>
      <c r="BB74" s="543"/>
      <c r="BC74" s="543"/>
      <c r="BD74" s="543"/>
      <c r="BE74" s="543"/>
      <c r="BF74" s="543"/>
      <c r="BG74" s="543"/>
      <c r="BH74" s="543"/>
      <c r="BI74" s="543"/>
      <c r="BJ74" s="543"/>
      <c r="BK74" s="543"/>
      <c r="BL74" s="543"/>
      <c r="BM74" s="543"/>
      <c r="BN74" s="543"/>
      <c r="BO74" s="543"/>
      <c r="BP74" s="543"/>
      <c r="BQ74" s="543"/>
      <c r="BR74" s="543"/>
      <c r="BS74" s="543"/>
      <c r="BT74" s="543"/>
      <c r="BU74" s="543"/>
      <c r="BV74" s="543"/>
      <c r="BW74" s="543"/>
      <c r="BX74" s="543"/>
      <c r="BY74" s="543"/>
      <c r="BZ74" s="543"/>
      <c r="CA74" s="543"/>
      <c r="CB74" s="543"/>
      <c r="CC74" s="543"/>
      <c r="CD74" s="543"/>
      <c r="CE74" s="543"/>
      <c r="CF74" s="543"/>
      <c r="CG74" s="543"/>
      <c r="CH74" s="543"/>
      <c r="CI74" s="543"/>
      <c r="CJ74" s="543"/>
      <c r="CK74" s="543"/>
      <c r="CL74" s="543"/>
      <c r="CM74" s="543"/>
      <c r="CN74" s="543"/>
      <c r="CO74" s="543"/>
      <c r="CP74" s="543"/>
      <c r="CQ74" s="543"/>
      <c r="CR74" s="543"/>
      <c r="CS74" s="543"/>
      <c r="CT74" s="543"/>
      <c r="CU74" s="543"/>
      <c r="CV74" s="543"/>
      <c r="CW74" s="543"/>
      <c r="CX74" s="543"/>
      <c r="CY74" s="543"/>
      <c r="CZ74" s="543"/>
      <c r="DA74" s="543"/>
      <c r="DB74" s="543"/>
      <c r="DC74" s="543"/>
    </row>
    <row r="75" spans="1:107">
      <c r="A75" s="533"/>
      <c r="B75" s="534"/>
      <c r="C75" s="535"/>
      <c r="D75" s="12"/>
      <c r="E75" s="13"/>
      <c r="F75" s="14"/>
      <c r="G75" s="543"/>
      <c r="H75" s="543"/>
      <c r="I75" s="543"/>
      <c r="J75" s="543"/>
      <c r="K75" s="543"/>
      <c r="L75" s="543"/>
      <c r="M75" s="543"/>
      <c r="N75" s="543"/>
      <c r="O75" s="543"/>
      <c r="P75" s="543"/>
      <c r="Q75" s="543"/>
      <c r="R75" s="543"/>
      <c r="S75" s="543"/>
      <c r="T75" s="543"/>
      <c r="U75" s="543"/>
      <c r="V75" s="543"/>
      <c r="W75" s="543"/>
      <c r="X75" s="543"/>
      <c r="Y75" s="543"/>
      <c r="Z75" s="543"/>
      <c r="AA75" s="543"/>
      <c r="AB75" s="543"/>
      <c r="AC75" s="543"/>
      <c r="AD75" s="543"/>
      <c r="AE75" s="543"/>
      <c r="AF75" s="543"/>
      <c r="AG75" s="543"/>
      <c r="AH75" s="543"/>
      <c r="AI75" s="543"/>
      <c r="AJ75" s="543"/>
      <c r="AK75" s="543"/>
      <c r="AL75" s="543"/>
      <c r="AM75" s="543"/>
      <c r="AN75" s="543"/>
      <c r="AO75" s="543"/>
      <c r="AP75" s="543"/>
      <c r="AQ75" s="543"/>
      <c r="AR75" s="543"/>
      <c r="AS75" s="543"/>
      <c r="AT75" s="543"/>
      <c r="AU75" s="543"/>
      <c r="AV75" s="543"/>
      <c r="AW75" s="543"/>
      <c r="AX75" s="543"/>
      <c r="AY75" s="543"/>
      <c r="AZ75" s="543"/>
      <c r="BA75" s="543"/>
      <c r="BB75" s="543"/>
      <c r="BC75" s="543"/>
      <c r="BD75" s="543"/>
      <c r="BE75" s="543"/>
      <c r="BF75" s="543"/>
      <c r="BG75" s="543"/>
      <c r="BH75" s="543"/>
      <c r="BI75" s="543"/>
      <c r="BJ75" s="543"/>
      <c r="BK75" s="543"/>
      <c r="BL75" s="543"/>
      <c r="BM75" s="543"/>
      <c r="BN75" s="543"/>
      <c r="BO75" s="543"/>
      <c r="BP75" s="543"/>
      <c r="BQ75" s="543"/>
      <c r="BR75" s="543"/>
      <c r="BS75" s="543"/>
      <c r="BT75" s="543"/>
      <c r="BU75" s="543"/>
      <c r="BV75" s="543"/>
      <c r="BW75" s="543"/>
      <c r="BX75" s="543"/>
      <c r="BY75" s="543"/>
      <c r="BZ75" s="543"/>
      <c r="CA75" s="543"/>
      <c r="CB75" s="543"/>
      <c r="CC75" s="543"/>
      <c r="CD75" s="543"/>
      <c r="CE75" s="543"/>
      <c r="CF75" s="543"/>
      <c r="CG75" s="543"/>
      <c r="CH75" s="543"/>
      <c r="CI75" s="543"/>
      <c r="CJ75" s="543"/>
      <c r="CK75" s="543"/>
      <c r="CL75" s="543"/>
      <c r="CM75" s="543"/>
      <c r="CN75" s="543"/>
      <c r="CO75" s="543"/>
      <c r="CP75" s="543"/>
      <c r="CQ75" s="543"/>
      <c r="CR75" s="543"/>
      <c r="CS75" s="543"/>
      <c r="CT75" s="543"/>
      <c r="CU75" s="543"/>
      <c r="CV75" s="543"/>
      <c r="CW75" s="543"/>
      <c r="CX75" s="543"/>
      <c r="CY75" s="543"/>
      <c r="CZ75" s="543"/>
      <c r="DA75" s="543"/>
      <c r="DB75" s="543"/>
      <c r="DC75" s="543"/>
    </row>
    <row r="76" spans="1:107">
      <c r="A76" s="533"/>
      <c r="B76" s="534"/>
      <c r="C76" s="535"/>
      <c r="D76" s="12"/>
      <c r="E76" s="13"/>
      <c r="F76" s="14"/>
      <c r="G76" s="543"/>
      <c r="H76" s="543"/>
      <c r="I76" s="543"/>
      <c r="J76" s="543"/>
      <c r="K76" s="543"/>
      <c r="L76" s="543"/>
      <c r="M76" s="543"/>
      <c r="N76" s="543"/>
      <c r="O76" s="543"/>
      <c r="P76" s="543"/>
      <c r="Q76" s="543"/>
      <c r="R76" s="543"/>
      <c r="S76" s="543"/>
      <c r="T76" s="543"/>
      <c r="U76" s="543"/>
      <c r="V76" s="543"/>
      <c r="W76" s="543"/>
      <c r="X76" s="543"/>
      <c r="Y76" s="543"/>
      <c r="Z76" s="543"/>
      <c r="AA76" s="543"/>
      <c r="AB76" s="543"/>
      <c r="AC76" s="543"/>
      <c r="AD76" s="543"/>
      <c r="AE76" s="543"/>
      <c r="AF76" s="543"/>
      <c r="AG76" s="543"/>
      <c r="AH76" s="543"/>
      <c r="AI76" s="543"/>
      <c r="AJ76" s="543"/>
      <c r="AK76" s="543"/>
      <c r="AL76" s="543"/>
      <c r="AM76" s="543"/>
      <c r="AN76" s="543"/>
      <c r="AO76" s="543"/>
      <c r="AP76" s="543"/>
      <c r="AQ76" s="543"/>
      <c r="AR76" s="543"/>
      <c r="AS76" s="543"/>
      <c r="AT76" s="543"/>
      <c r="AU76" s="543"/>
      <c r="AV76" s="543"/>
      <c r="AW76" s="543"/>
      <c r="AX76" s="543"/>
      <c r="AY76" s="543"/>
      <c r="AZ76" s="543"/>
      <c r="BA76" s="543"/>
      <c r="BB76" s="543"/>
      <c r="BC76" s="543"/>
      <c r="BD76" s="543"/>
      <c r="BE76" s="543"/>
      <c r="BF76" s="543"/>
      <c r="BG76" s="543"/>
      <c r="BH76" s="543"/>
      <c r="BI76" s="543"/>
      <c r="BJ76" s="543"/>
      <c r="BK76" s="543"/>
      <c r="BL76" s="543"/>
      <c r="BM76" s="543"/>
      <c r="BN76" s="543"/>
      <c r="BO76" s="543"/>
      <c r="BP76" s="543"/>
      <c r="BQ76" s="543"/>
      <c r="BR76" s="543"/>
      <c r="BS76" s="543"/>
      <c r="BT76" s="543"/>
      <c r="BU76" s="543"/>
      <c r="BV76" s="543"/>
      <c r="BW76" s="543"/>
      <c r="BX76" s="543"/>
      <c r="BY76" s="543"/>
      <c r="BZ76" s="543"/>
      <c r="CA76" s="543"/>
      <c r="CB76" s="543"/>
      <c r="CC76" s="543"/>
      <c r="CD76" s="543"/>
      <c r="CE76" s="543"/>
      <c r="CF76" s="543"/>
      <c r="CG76" s="543"/>
      <c r="CH76" s="543"/>
      <c r="CI76" s="543"/>
      <c r="CJ76" s="543"/>
      <c r="CK76" s="543"/>
      <c r="CL76" s="543"/>
      <c r="CM76" s="543"/>
      <c r="CN76" s="543"/>
      <c r="CO76" s="543"/>
      <c r="CP76" s="543"/>
      <c r="CQ76" s="543"/>
      <c r="CR76" s="543"/>
      <c r="CS76" s="543"/>
      <c r="CT76" s="543"/>
      <c r="CU76" s="543"/>
      <c r="CV76" s="543"/>
      <c r="CW76" s="543"/>
      <c r="CX76" s="543"/>
      <c r="CY76" s="543"/>
      <c r="CZ76" s="543"/>
      <c r="DA76" s="543"/>
      <c r="DB76" s="543"/>
      <c r="DC76" s="543"/>
    </row>
    <row r="77" spans="1:107">
      <c r="A77" s="533"/>
      <c r="B77" s="534"/>
      <c r="C77" s="535"/>
      <c r="D77" s="12"/>
      <c r="E77" s="13"/>
      <c r="F77" s="14"/>
      <c r="G77" s="543"/>
      <c r="H77" s="543"/>
      <c r="I77" s="543"/>
      <c r="J77" s="543"/>
      <c r="K77" s="543"/>
      <c r="L77" s="543"/>
      <c r="M77" s="543"/>
      <c r="N77" s="543"/>
      <c r="O77" s="543"/>
      <c r="P77" s="543"/>
      <c r="Q77" s="543"/>
      <c r="R77" s="543"/>
      <c r="S77" s="543"/>
      <c r="T77" s="543"/>
      <c r="U77" s="543"/>
      <c r="V77" s="543"/>
      <c r="W77" s="543"/>
      <c r="X77" s="543"/>
      <c r="Y77" s="543"/>
      <c r="Z77" s="543"/>
      <c r="AA77" s="543"/>
      <c r="AB77" s="543"/>
      <c r="AC77" s="543"/>
      <c r="AD77" s="543"/>
      <c r="AE77" s="543"/>
      <c r="AF77" s="543"/>
      <c r="AG77" s="543"/>
      <c r="AH77" s="543"/>
      <c r="AI77" s="543"/>
      <c r="AJ77" s="543"/>
      <c r="AK77" s="543"/>
      <c r="AL77" s="543"/>
      <c r="AM77" s="543"/>
      <c r="AN77" s="543"/>
      <c r="AO77" s="543"/>
      <c r="AP77" s="543"/>
      <c r="AQ77" s="543"/>
      <c r="AR77" s="543"/>
      <c r="AS77" s="543"/>
      <c r="AT77" s="543"/>
      <c r="AU77" s="543"/>
      <c r="AV77" s="543"/>
      <c r="AW77" s="543"/>
      <c r="AX77" s="543"/>
      <c r="AY77" s="543"/>
      <c r="AZ77" s="543"/>
      <c r="BA77" s="543"/>
      <c r="BB77" s="543"/>
      <c r="BC77" s="543"/>
      <c r="BD77" s="543"/>
      <c r="BE77" s="543"/>
      <c r="BF77" s="543"/>
      <c r="BG77" s="543"/>
      <c r="BH77" s="543"/>
      <c r="BI77" s="543"/>
      <c r="BJ77" s="543"/>
      <c r="BK77" s="543"/>
      <c r="BL77" s="543"/>
      <c r="BM77" s="543"/>
      <c r="BN77" s="543"/>
      <c r="BO77" s="543"/>
      <c r="BP77" s="543"/>
      <c r="BQ77" s="543"/>
      <c r="BR77" s="543"/>
      <c r="BS77" s="543"/>
      <c r="BT77" s="543"/>
      <c r="BU77" s="543"/>
      <c r="BV77" s="543"/>
      <c r="BW77" s="543"/>
      <c r="BX77" s="543"/>
      <c r="BY77" s="543"/>
      <c r="BZ77" s="543"/>
      <c r="CA77" s="543"/>
      <c r="CB77" s="543"/>
      <c r="CC77" s="543"/>
      <c r="CD77" s="543"/>
      <c r="CE77" s="543"/>
      <c r="CF77" s="543"/>
      <c r="CG77" s="543"/>
      <c r="CH77" s="543"/>
      <c r="CI77" s="543"/>
      <c r="CJ77" s="543"/>
      <c r="CK77" s="543"/>
      <c r="CL77" s="543"/>
      <c r="CM77" s="543"/>
      <c r="CN77" s="543"/>
      <c r="CO77" s="543"/>
      <c r="CP77" s="543"/>
      <c r="CQ77" s="543"/>
      <c r="CR77" s="543"/>
      <c r="CS77" s="543"/>
      <c r="CT77" s="543"/>
      <c r="CU77" s="543"/>
      <c r="CV77" s="543"/>
      <c r="CW77" s="543"/>
      <c r="CX77" s="543"/>
      <c r="CY77" s="543"/>
      <c r="CZ77" s="543"/>
      <c r="DA77" s="543"/>
      <c r="DB77" s="543"/>
      <c r="DC77" s="543"/>
    </row>
    <row r="78" spans="1:107">
      <c r="A78" s="533"/>
      <c r="B78" s="534"/>
      <c r="C78" s="535"/>
      <c r="D78" s="12"/>
      <c r="E78" s="13"/>
      <c r="F78" s="14"/>
      <c r="G78" s="543"/>
      <c r="H78" s="543"/>
      <c r="I78" s="543"/>
      <c r="J78" s="543"/>
      <c r="K78" s="543"/>
      <c r="L78" s="543"/>
      <c r="M78" s="543"/>
      <c r="N78" s="543"/>
      <c r="O78" s="543"/>
      <c r="P78" s="543"/>
      <c r="Q78" s="543"/>
      <c r="R78" s="543"/>
      <c r="S78" s="543"/>
      <c r="T78" s="543"/>
      <c r="U78" s="543"/>
      <c r="V78" s="543"/>
      <c r="W78" s="543"/>
      <c r="X78" s="543"/>
      <c r="Y78" s="543"/>
      <c r="Z78" s="543"/>
      <c r="AA78" s="543"/>
      <c r="AB78" s="543"/>
      <c r="AC78" s="543"/>
      <c r="AD78" s="543"/>
      <c r="AE78" s="543"/>
      <c r="AF78" s="543"/>
      <c r="AG78" s="543"/>
      <c r="AH78" s="543"/>
      <c r="AI78" s="543"/>
      <c r="AJ78" s="543"/>
      <c r="AK78" s="543"/>
      <c r="AL78" s="543"/>
      <c r="AM78" s="543"/>
      <c r="AN78" s="543"/>
      <c r="AO78" s="543"/>
      <c r="AP78" s="543"/>
      <c r="AQ78" s="543"/>
      <c r="AR78" s="543"/>
      <c r="AS78" s="543"/>
      <c r="AT78" s="543"/>
      <c r="AU78" s="543"/>
      <c r="AV78" s="543"/>
      <c r="AW78" s="543"/>
      <c r="AX78" s="543"/>
      <c r="AY78" s="543"/>
      <c r="AZ78" s="543"/>
      <c r="BA78" s="543"/>
      <c r="BB78" s="543"/>
      <c r="BC78" s="543"/>
      <c r="BD78" s="543"/>
      <c r="BE78" s="543"/>
      <c r="BF78" s="543"/>
      <c r="BG78" s="543"/>
      <c r="BH78" s="543"/>
      <c r="BI78" s="543"/>
      <c r="BJ78" s="543"/>
      <c r="BK78" s="543"/>
      <c r="BL78" s="543"/>
      <c r="BM78" s="543"/>
      <c r="BN78" s="543"/>
      <c r="BO78" s="543"/>
      <c r="BP78" s="543"/>
      <c r="BQ78" s="543"/>
      <c r="BR78" s="543"/>
      <c r="BS78" s="543"/>
      <c r="BT78" s="543"/>
      <c r="BU78" s="543"/>
      <c r="BV78" s="543"/>
      <c r="BW78" s="543"/>
      <c r="BX78" s="543"/>
      <c r="BY78" s="543"/>
      <c r="BZ78" s="543"/>
      <c r="CA78" s="543"/>
      <c r="CB78" s="543"/>
      <c r="CC78" s="543"/>
      <c r="CD78" s="543"/>
      <c r="CE78" s="543"/>
      <c r="CF78" s="543"/>
      <c r="CG78" s="543"/>
      <c r="CH78" s="543"/>
      <c r="CI78" s="543"/>
      <c r="CJ78" s="543"/>
      <c r="CK78" s="543"/>
      <c r="CL78" s="543"/>
      <c r="CM78" s="543"/>
      <c r="CN78" s="543"/>
      <c r="CO78" s="543"/>
      <c r="CP78" s="543"/>
      <c r="CQ78" s="543"/>
      <c r="CR78" s="543"/>
      <c r="CS78" s="543"/>
      <c r="CT78" s="543"/>
      <c r="CU78" s="543"/>
      <c r="CV78" s="543"/>
      <c r="CW78" s="543"/>
      <c r="CX78" s="543"/>
      <c r="CY78" s="543"/>
      <c r="CZ78" s="543"/>
      <c r="DA78" s="543"/>
      <c r="DB78" s="543"/>
      <c r="DC78" s="543"/>
    </row>
    <row r="79" spans="1:107">
      <c r="A79" s="533"/>
      <c r="B79" s="534"/>
      <c r="C79" s="535"/>
      <c r="D79" s="12"/>
      <c r="E79" s="13"/>
      <c r="F79" s="14"/>
      <c r="G79" s="543"/>
      <c r="H79" s="543"/>
      <c r="I79" s="543"/>
      <c r="J79" s="543"/>
      <c r="K79" s="543"/>
      <c r="L79" s="543"/>
      <c r="M79" s="543"/>
      <c r="N79" s="543"/>
      <c r="O79" s="543"/>
      <c r="P79" s="543"/>
      <c r="Q79" s="543"/>
      <c r="R79" s="543"/>
      <c r="S79" s="543"/>
      <c r="T79" s="543"/>
      <c r="U79" s="543"/>
      <c r="V79" s="543"/>
      <c r="W79" s="543"/>
      <c r="X79" s="543"/>
      <c r="Y79" s="543"/>
      <c r="Z79" s="543"/>
      <c r="AA79" s="543"/>
      <c r="AB79" s="543"/>
      <c r="AC79" s="543"/>
      <c r="AD79" s="543"/>
      <c r="AE79" s="543"/>
      <c r="AF79" s="543"/>
      <c r="AG79" s="543"/>
      <c r="AH79" s="543"/>
      <c r="AI79" s="543"/>
      <c r="AJ79" s="543"/>
      <c r="AK79" s="543"/>
      <c r="AL79" s="543"/>
      <c r="AM79" s="543"/>
      <c r="AN79" s="543"/>
      <c r="AO79" s="543"/>
      <c r="AP79" s="543"/>
      <c r="AQ79" s="543"/>
      <c r="AR79" s="543"/>
      <c r="AS79" s="543"/>
      <c r="AT79" s="543"/>
      <c r="AU79" s="543"/>
      <c r="AV79" s="543"/>
      <c r="AW79" s="543"/>
      <c r="AX79" s="543"/>
      <c r="AY79" s="543"/>
      <c r="AZ79" s="543"/>
      <c r="BA79" s="543"/>
      <c r="BB79" s="543"/>
      <c r="BC79" s="543"/>
      <c r="BD79" s="543"/>
      <c r="BE79" s="543"/>
      <c r="BF79" s="543"/>
      <c r="BG79" s="543"/>
      <c r="BH79" s="543"/>
      <c r="BI79" s="543"/>
      <c r="BJ79" s="543"/>
      <c r="BK79" s="543"/>
      <c r="BL79" s="543"/>
      <c r="BM79" s="543"/>
      <c r="BN79" s="543"/>
      <c r="BO79" s="543"/>
      <c r="BP79" s="543"/>
      <c r="BQ79" s="543"/>
      <c r="BR79" s="543"/>
      <c r="BS79" s="543"/>
      <c r="BT79" s="543"/>
      <c r="BU79" s="543"/>
      <c r="BV79" s="543"/>
      <c r="BW79" s="543"/>
      <c r="BX79" s="543"/>
      <c r="BY79" s="543"/>
      <c r="BZ79" s="543"/>
      <c r="CA79" s="543"/>
      <c r="CB79" s="543"/>
      <c r="CC79" s="543"/>
      <c r="CD79" s="543"/>
      <c r="CE79" s="543"/>
      <c r="CF79" s="543"/>
      <c r="CG79" s="543"/>
      <c r="CH79" s="543"/>
      <c r="CI79" s="543"/>
      <c r="CJ79" s="543"/>
      <c r="CK79" s="543"/>
      <c r="CL79" s="543"/>
      <c r="CM79" s="543"/>
      <c r="CN79" s="543"/>
      <c r="CO79" s="543"/>
      <c r="CP79" s="543"/>
      <c r="CQ79" s="543"/>
      <c r="CR79" s="543"/>
      <c r="CS79" s="543"/>
      <c r="CT79" s="543"/>
      <c r="CU79" s="543"/>
      <c r="CV79" s="543"/>
      <c r="CW79" s="543"/>
      <c r="CX79" s="543"/>
      <c r="CY79" s="543"/>
      <c r="CZ79" s="543"/>
      <c r="DA79" s="543"/>
      <c r="DB79" s="543"/>
      <c r="DC79" s="543"/>
    </row>
    <row r="80" spans="1:107">
      <c r="A80" s="533"/>
      <c r="B80" s="534"/>
      <c r="C80" s="535"/>
      <c r="D80" s="12"/>
      <c r="E80" s="13"/>
      <c r="F80" s="14"/>
      <c r="G80" s="543"/>
      <c r="H80" s="543"/>
      <c r="I80" s="543"/>
      <c r="J80" s="543"/>
      <c r="K80" s="543"/>
      <c r="L80" s="543"/>
      <c r="M80" s="543"/>
      <c r="N80" s="543"/>
      <c r="O80" s="543"/>
      <c r="P80" s="543"/>
      <c r="Q80" s="543"/>
      <c r="R80" s="543"/>
      <c r="S80" s="543"/>
      <c r="T80" s="543"/>
      <c r="U80" s="543"/>
      <c r="V80" s="543"/>
      <c r="W80" s="543"/>
      <c r="X80" s="543"/>
      <c r="Y80" s="543"/>
      <c r="Z80" s="543"/>
      <c r="AA80" s="543"/>
      <c r="AB80" s="543"/>
      <c r="AC80" s="543"/>
      <c r="AD80" s="543"/>
      <c r="AE80" s="543"/>
      <c r="AF80" s="543"/>
      <c r="AG80" s="543"/>
      <c r="AH80" s="543"/>
      <c r="AI80" s="543"/>
      <c r="AJ80" s="543"/>
      <c r="AK80" s="543"/>
      <c r="AL80" s="543"/>
      <c r="AM80" s="543"/>
      <c r="AN80" s="543"/>
      <c r="AO80" s="543"/>
      <c r="AP80" s="543"/>
      <c r="AQ80" s="543"/>
      <c r="AR80" s="543"/>
      <c r="AS80" s="543"/>
      <c r="AT80" s="543"/>
      <c r="AU80" s="543"/>
      <c r="AV80" s="543"/>
      <c r="AW80" s="543"/>
      <c r="AX80" s="543"/>
      <c r="AY80" s="543"/>
      <c r="AZ80" s="543"/>
      <c r="BA80" s="543"/>
      <c r="BB80" s="543"/>
      <c r="BC80" s="543"/>
      <c r="BD80" s="543"/>
      <c r="BE80" s="543"/>
      <c r="BF80" s="543"/>
      <c r="BG80" s="543"/>
      <c r="BH80" s="543"/>
      <c r="BI80" s="543"/>
      <c r="BJ80" s="543"/>
      <c r="BK80" s="543"/>
      <c r="BL80" s="543"/>
      <c r="BM80" s="543"/>
      <c r="BN80" s="543"/>
      <c r="BO80" s="543"/>
      <c r="BP80" s="543"/>
      <c r="BQ80" s="543"/>
      <c r="BR80" s="543"/>
      <c r="BS80" s="543"/>
      <c r="BT80" s="543"/>
      <c r="BU80" s="543"/>
      <c r="BV80" s="543"/>
      <c r="BW80" s="543"/>
      <c r="BX80" s="543"/>
      <c r="BY80" s="543"/>
      <c r="BZ80" s="543"/>
      <c r="CA80" s="543"/>
      <c r="CB80" s="543"/>
      <c r="CC80" s="543"/>
      <c r="CD80" s="543"/>
      <c r="CE80" s="543"/>
      <c r="CF80" s="543"/>
      <c r="CG80" s="543"/>
      <c r="CH80" s="543"/>
      <c r="CI80" s="543"/>
      <c r="CJ80" s="543"/>
      <c r="CK80" s="543"/>
      <c r="CL80" s="543"/>
      <c r="CM80" s="543"/>
      <c r="CN80" s="543"/>
      <c r="CO80" s="543"/>
      <c r="CP80" s="543"/>
      <c r="CQ80" s="543"/>
      <c r="CR80" s="543"/>
      <c r="CS80" s="543"/>
      <c r="CT80" s="543"/>
      <c r="CU80" s="543"/>
      <c r="CV80" s="543"/>
      <c r="CW80" s="543"/>
      <c r="CX80" s="543"/>
      <c r="CY80" s="543"/>
      <c r="CZ80" s="543"/>
      <c r="DA80" s="543"/>
      <c r="DB80" s="543"/>
      <c r="DC80" s="543"/>
    </row>
    <row r="81" spans="1:107">
      <c r="A81" s="533"/>
      <c r="B81" s="534"/>
      <c r="C81" s="535"/>
      <c r="D81" s="12"/>
      <c r="E81" s="13"/>
      <c r="F81" s="14"/>
      <c r="G81" s="543"/>
      <c r="H81" s="543"/>
      <c r="I81" s="543"/>
      <c r="J81" s="543"/>
      <c r="K81" s="543"/>
      <c r="L81" s="543"/>
      <c r="M81" s="543"/>
      <c r="N81" s="543"/>
      <c r="O81" s="543"/>
      <c r="P81" s="543"/>
      <c r="Q81" s="543"/>
      <c r="R81" s="543"/>
      <c r="S81" s="543"/>
      <c r="T81" s="543"/>
      <c r="U81" s="543"/>
      <c r="V81" s="543"/>
      <c r="W81" s="543"/>
      <c r="X81" s="543"/>
      <c r="Y81" s="543"/>
      <c r="Z81" s="543"/>
      <c r="AA81" s="543"/>
      <c r="AB81" s="543"/>
      <c r="AC81" s="543"/>
      <c r="AD81" s="543"/>
      <c r="AE81" s="543"/>
      <c r="AF81" s="543"/>
      <c r="AG81" s="543"/>
      <c r="AH81" s="543"/>
      <c r="AI81" s="543"/>
      <c r="AJ81" s="543"/>
      <c r="AK81" s="543"/>
      <c r="AL81" s="543"/>
      <c r="AM81" s="543"/>
      <c r="AN81" s="543"/>
      <c r="AO81" s="543"/>
      <c r="AP81" s="543"/>
      <c r="AQ81" s="543"/>
      <c r="AR81" s="543"/>
      <c r="AS81" s="543"/>
      <c r="AT81" s="543"/>
      <c r="AU81" s="543"/>
      <c r="AV81" s="543"/>
      <c r="AW81" s="543"/>
      <c r="AX81" s="543"/>
      <c r="AY81" s="543"/>
      <c r="AZ81" s="543"/>
      <c r="BA81" s="543"/>
      <c r="BB81" s="543"/>
      <c r="BC81" s="543"/>
      <c r="BD81" s="543"/>
      <c r="BE81" s="543"/>
      <c r="BF81" s="543"/>
      <c r="BG81" s="543"/>
      <c r="BH81" s="543"/>
      <c r="BI81" s="543"/>
      <c r="BJ81" s="543"/>
      <c r="BK81" s="543"/>
      <c r="BL81" s="543"/>
      <c r="BM81" s="543"/>
      <c r="BN81" s="543"/>
      <c r="BO81" s="543"/>
      <c r="BP81" s="543"/>
      <c r="BQ81" s="543"/>
      <c r="BR81" s="543"/>
      <c r="BS81" s="543"/>
      <c r="BT81" s="543"/>
      <c r="BU81" s="543"/>
      <c r="BV81" s="543"/>
      <c r="BW81" s="543"/>
      <c r="BX81" s="543"/>
      <c r="BY81" s="543"/>
      <c r="BZ81" s="543"/>
      <c r="CA81" s="543"/>
      <c r="CB81" s="543"/>
      <c r="CC81" s="543"/>
      <c r="CD81" s="543"/>
      <c r="CE81" s="543"/>
      <c r="CF81" s="543"/>
      <c r="CG81" s="543"/>
      <c r="CH81" s="543"/>
      <c r="CI81" s="543"/>
      <c r="CJ81" s="543"/>
      <c r="CK81" s="543"/>
      <c r="CL81" s="543"/>
      <c r="CM81" s="543"/>
      <c r="CN81" s="543"/>
      <c r="CO81" s="543"/>
      <c r="CP81" s="543"/>
      <c r="CQ81" s="543"/>
      <c r="CR81" s="543"/>
      <c r="CS81" s="543"/>
      <c r="CT81" s="543"/>
      <c r="CU81" s="543"/>
      <c r="CV81" s="543"/>
      <c r="CW81" s="543"/>
      <c r="CX81" s="543"/>
      <c r="CY81" s="543"/>
      <c r="CZ81" s="543"/>
      <c r="DA81" s="543"/>
      <c r="DB81" s="543"/>
      <c r="DC81" s="543"/>
    </row>
    <row r="82" spans="1:107">
      <c r="A82" s="533"/>
      <c r="B82" s="534"/>
      <c r="C82" s="535"/>
      <c r="D82" s="12"/>
      <c r="E82" s="13"/>
      <c r="F82" s="14"/>
      <c r="G82" s="543"/>
      <c r="H82" s="543"/>
      <c r="I82" s="543"/>
      <c r="J82" s="543"/>
      <c r="K82" s="543"/>
      <c r="L82" s="543"/>
      <c r="M82" s="543"/>
      <c r="N82" s="543"/>
      <c r="O82" s="543"/>
      <c r="P82" s="543"/>
      <c r="Q82" s="543"/>
      <c r="R82" s="543"/>
      <c r="S82" s="543"/>
      <c r="T82" s="543"/>
      <c r="U82" s="543"/>
      <c r="V82" s="543"/>
      <c r="W82" s="543"/>
      <c r="X82" s="543"/>
      <c r="Y82" s="543"/>
      <c r="Z82" s="543"/>
      <c r="AA82" s="543"/>
      <c r="AB82" s="543"/>
      <c r="AC82" s="543"/>
      <c r="AD82" s="543"/>
      <c r="AE82" s="543"/>
      <c r="AF82" s="543"/>
      <c r="AG82" s="543"/>
      <c r="AH82" s="543"/>
      <c r="AI82" s="543"/>
      <c r="AJ82" s="543"/>
      <c r="AK82" s="543"/>
      <c r="AL82" s="543"/>
      <c r="AM82" s="543"/>
      <c r="AN82" s="543"/>
      <c r="AO82" s="543"/>
      <c r="AP82" s="543"/>
      <c r="AQ82" s="543"/>
      <c r="AR82" s="543"/>
      <c r="AS82" s="543"/>
      <c r="AT82" s="543"/>
      <c r="AU82" s="543"/>
      <c r="AV82" s="543"/>
      <c r="AW82" s="543"/>
      <c r="AX82" s="543"/>
      <c r="AY82" s="543"/>
      <c r="AZ82" s="543"/>
      <c r="BA82" s="543"/>
      <c r="BB82" s="543"/>
      <c r="BC82" s="543"/>
      <c r="BD82" s="543"/>
      <c r="BE82" s="543"/>
      <c r="BF82" s="543"/>
      <c r="BG82" s="543"/>
      <c r="BH82" s="543"/>
      <c r="BI82" s="543"/>
      <c r="BJ82" s="543"/>
      <c r="BK82" s="543"/>
      <c r="BL82" s="543"/>
      <c r="BM82" s="543"/>
      <c r="BN82" s="543"/>
      <c r="BO82" s="543"/>
      <c r="BP82" s="543"/>
      <c r="BQ82" s="543"/>
      <c r="BR82" s="543"/>
      <c r="BS82" s="543"/>
      <c r="BT82" s="543"/>
      <c r="BU82" s="543"/>
      <c r="BV82" s="543"/>
      <c r="BW82" s="543"/>
      <c r="BX82" s="543"/>
      <c r="BY82" s="543"/>
      <c r="BZ82" s="543"/>
      <c r="CA82" s="543"/>
      <c r="CB82" s="543"/>
      <c r="CC82" s="543"/>
      <c r="CD82" s="543"/>
      <c r="CE82" s="543"/>
      <c r="CF82" s="543"/>
      <c r="CG82" s="543"/>
      <c r="CH82" s="543"/>
      <c r="CI82" s="543"/>
      <c r="CJ82" s="543"/>
      <c r="CK82" s="543"/>
      <c r="CL82" s="543"/>
      <c r="CM82" s="543"/>
      <c r="CN82" s="543"/>
      <c r="CO82" s="543"/>
      <c r="CP82" s="543"/>
      <c r="CQ82" s="543"/>
      <c r="CR82" s="543"/>
      <c r="CS82" s="543"/>
      <c r="CT82" s="543"/>
      <c r="CU82" s="543"/>
      <c r="CV82" s="543"/>
      <c r="CW82" s="543"/>
      <c r="CX82" s="543"/>
      <c r="CY82" s="543"/>
      <c r="CZ82" s="543"/>
      <c r="DA82" s="543"/>
      <c r="DB82" s="543"/>
      <c r="DC82" s="543"/>
    </row>
    <row r="83" spans="1:107">
      <c r="A83" s="533"/>
      <c r="B83" s="534"/>
      <c r="C83" s="535"/>
      <c r="D83" s="12"/>
      <c r="E83" s="13"/>
      <c r="F83" s="14"/>
      <c r="G83" s="543"/>
      <c r="H83" s="543"/>
      <c r="I83" s="543"/>
      <c r="J83" s="543"/>
      <c r="K83" s="543"/>
      <c r="L83" s="543"/>
      <c r="M83" s="543"/>
      <c r="N83" s="543"/>
      <c r="O83" s="543"/>
      <c r="P83" s="543"/>
      <c r="Q83" s="543"/>
      <c r="R83" s="543"/>
      <c r="S83" s="543"/>
      <c r="T83" s="543"/>
      <c r="U83" s="543"/>
      <c r="V83" s="543"/>
      <c r="W83" s="543"/>
      <c r="X83" s="543"/>
      <c r="Y83" s="543"/>
      <c r="Z83" s="543"/>
      <c r="AA83" s="543"/>
      <c r="AB83" s="543"/>
      <c r="AC83" s="543"/>
      <c r="AD83" s="543"/>
      <c r="AE83" s="543"/>
      <c r="AF83" s="543"/>
      <c r="AG83" s="543"/>
      <c r="AH83" s="543"/>
      <c r="AI83" s="543"/>
      <c r="AJ83" s="543"/>
      <c r="AK83" s="543"/>
      <c r="AL83" s="543"/>
      <c r="AM83" s="543"/>
      <c r="AN83" s="543"/>
      <c r="AO83" s="543"/>
      <c r="AP83" s="543"/>
      <c r="AQ83" s="543"/>
      <c r="AR83" s="543"/>
      <c r="AS83" s="543"/>
      <c r="AT83" s="543"/>
      <c r="AU83" s="543"/>
      <c r="AV83" s="543"/>
      <c r="AW83" s="543"/>
      <c r="AX83" s="543"/>
      <c r="AY83" s="543"/>
      <c r="AZ83" s="543"/>
      <c r="BA83" s="543"/>
      <c r="BB83" s="543"/>
      <c r="BC83" s="543"/>
      <c r="BD83" s="543"/>
      <c r="BE83" s="543"/>
      <c r="BF83" s="543"/>
      <c r="BG83" s="543"/>
      <c r="BH83" s="543"/>
      <c r="BI83" s="543"/>
      <c r="BJ83" s="543"/>
      <c r="BK83" s="543"/>
      <c r="BL83" s="543"/>
      <c r="BM83" s="543"/>
      <c r="BN83" s="543"/>
      <c r="BO83" s="543"/>
      <c r="BP83" s="543"/>
      <c r="BQ83" s="543"/>
      <c r="BR83" s="543"/>
      <c r="BS83" s="543"/>
      <c r="BT83" s="543"/>
      <c r="BU83" s="543"/>
      <c r="BV83" s="543"/>
      <c r="BW83" s="543"/>
      <c r="BX83" s="543"/>
      <c r="BY83" s="543"/>
      <c r="BZ83" s="543"/>
      <c r="CA83" s="543"/>
      <c r="CB83" s="543"/>
      <c r="CC83" s="543"/>
      <c r="CD83" s="543"/>
      <c r="CE83" s="543"/>
      <c r="CF83" s="543"/>
      <c r="CG83" s="543"/>
      <c r="CH83" s="543"/>
      <c r="CI83" s="543"/>
      <c r="CJ83" s="543"/>
      <c r="CK83" s="543"/>
      <c r="CL83" s="543"/>
      <c r="CM83" s="543"/>
      <c r="CN83" s="543"/>
      <c r="CO83" s="543"/>
      <c r="CP83" s="543"/>
      <c r="CQ83" s="543"/>
      <c r="CR83" s="543"/>
      <c r="CS83" s="543"/>
      <c r="CT83" s="543"/>
      <c r="CU83" s="543"/>
      <c r="CV83" s="543"/>
      <c r="CW83" s="543"/>
      <c r="CX83" s="543"/>
      <c r="CY83" s="543"/>
      <c r="CZ83" s="543"/>
      <c r="DA83" s="543"/>
      <c r="DB83" s="543"/>
      <c r="DC83" s="543"/>
    </row>
    <row r="84" spans="1:107">
      <c r="A84" s="533"/>
      <c r="B84" s="534"/>
      <c r="C84" s="535"/>
      <c r="D84" s="12"/>
      <c r="E84" s="13"/>
      <c r="F84" s="14"/>
      <c r="G84" s="543"/>
      <c r="H84" s="543"/>
      <c r="I84" s="543"/>
      <c r="J84" s="543"/>
      <c r="K84" s="543"/>
      <c r="L84" s="543"/>
      <c r="M84" s="543"/>
      <c r="N84" s="543"/>
      <c r="O84" s="543"/>
      <c r="P84" s="543"/>
      <c r="Q84" s="543"/>
      <c r="R84" s="543"/>
      <c r="S84" s="543"/>
      <c r="T84" s="543"/>
      <c r="U84" s="543"/>
      <c r="V84" s="543"/>
      <c r="W84" s="543"/>
      <c r="X84" s="543"/>
      <c r="Y84" s="543"/>
      <c r="Z84" s="543"/>
      <c r="AA84" s="543"/>
      <c r="AB84" s="543"/>
      <c r="AC84" s="543"/>
      <c r="AD84" s="543"/>
      <c r="AE84" s="543"/>
      <c r="AF84" s="543"/>
      <c r="AG84" s="543"/>
      <c r="AH84" s="543"/>
      <c r="AI84" s="543"/>
      <c r="AJ84" s="543"/>
      <c r="AK84" s="543"/>
      <c r="AL84" s="543"/>
      <c r="AM84" s="543"/>
      <c r="AN84" s="543"/>
      <c r="AO84" s="543"/>
      <c r="AP84" s="543"/>
      <c r="AQ84" s="543"/>
      <c r="AR84" s="543"/>
      <c r="AS84" s="543"/>
      <c r="AT84" s="543"/>
      <c r="AU84" s="543"/>
      <c r="AV84" s="543"/>
      <c r="AW84" s="543"/>
      <c r="AX84" s="543"/>
      <c r="AY84" s="543"/>
      <c r="AZ84" s="543"/>
      <c r="BA84" s="543"/>
      <c r="BB84" s="543"/>
      <c r="BC84" s="543"/>
      <c r="BD84" s="543"/>
      <c r="BE84" s="543"/>
      <c r="BF84" s="543"/>
      <c r="BG84" s="543"/>
      <c r="BH84" s="543"/>
      <c r="BI84" s="543"/>
      <c r="BJ84" s="543"/>
      <c r="BK84" s="543"/>
      <c r="BL84" s="543"/>
      <c r="BM84" s="543"/>
      <c r="BN84" s="543"/>
      <c r="BO84" s="543"/>
      <c r="BP84" s="543"/>
      <c r="BQ84" s="543"/>
      <c r="BR84" s="543"/>
      <c r="BS84" s="543"/>
      <c r="BT84" s="543"/>
      <c r="BU84" s="543"/>
      <c r="BV84" s="543"/>
      <c r="BW84" s="543"/>
      <c r="BX84" s="543"/>
      <c r="BY84" s="543"/>
      <c r="BZ84" s="543"/>
      <c r="CA84" s="543"/>
      <c r="CB84" s="543"/>
      <c r="CC84" s="543"/>
      <c r="CD84" s="543"/>
      <c r="CE84" s="543"/>
      <c r="CF84" s="543"/>
      <c r="CG84" s="543"/>
      <c r="CH84" s="543"/>
      <c r="CI84" s="543"/>
      <c r="CJ84" s="543"/>
      <c r="CK84" s="543"/>
      <c r="CL84" s="543"/>
      <c r="CM84" s="543"/>
      <c r="CN84" s="543"/>
      <c r="CO84" s="543"/>
      <c r="CP84" s="543"/>
      <c r="CQ84" s="543"/>
      <c r="CR84" s="543"/>
      <c r="CS84" s="543"/>
      <c r="CT84" s="543"/>
      <c r="CU84" s="543"/>
      <c r="CV84" s="543"/>
      <c r="CW84" s="543"/>
      <c r="CX84" s="543"/>
      <c r="CY84" s="543"/>
      <c r="CZ84" s="543"/>
      <c r="DA84" s="543"/>
      <c r="DB84" s="543"/>
      <c r="DC84" s="543"/>
    </row>
    <row r="85" spans="1:107">
      <c r="A85" s="533"/>
      <c r="B85" s="534"/>
      <c r="C85" s="535"/>
      <c r="D85" s="12"/>
      <c r="E85" s="13"/>
      <c r="F85" s="14"/>
      <c r="G85" s="543"/>
      <c r="H85" s="543"/>
      <c r="I85" s="543"/>
      <c r="J85" s="543"/>
      <c r="K85" s="543"/>
      <c r="L85" s="543"/>
      <c r="M85" s="543"/>
      <c r="N85" s="543"/>
      <c r="O85" s="543"/>
      <c r="P85" s="543"/>
      <c r="Q85" s="543"/>
      <c r="R85" s="543"/>
      <c r="S85" s="543"/>
      <c r="T85" s="543"/>
      <c r="U85" s="543"/>
      <c r="V85" s="543"/>
      <c r="W85" s="543"/>
      <c r="X85" s="543"/>
      <c r="Y85" s="543"/>
      <c r="Z85" s="543"/>
      <c r="AA85" s="543"/>
      <c r="AB85" s="543"/>
      <c r="AC85" s="543"/>
      <c r="AD85" s="543"/>
      <c r="AE85" s="543"/>
      <c r="AF85" s="543"/>
      <c r="AG85" s="543"/>
      <c r="AH85" s="543"/>
      <c r="AI85" s="543"/>
      <c r="AJ85" s="543"/>
      <c r="AK85" s="543"/>
      <c r="AL85" s="543"/>
      <c r="AM85" s="543"/>
      <c r="AN85" s="543"/>
      <c r="AO85" s="543"/>
      <c r="AP85" s="543"/>
      <c r="AQ85" s="543"/>
      <c r="AR85" s="543"/>
      <c r="AS85" s="543"/>
      <c r="AT85" s="543"/>
      <c r="AU85" s="543"/>
      <c r="AV85" s="543"/>
      <c r="AW85" s="543"/>
      <c r="AX85" s="543"/>
      <c r="AY85" s="543"/>
      <c r="AZ85" s="543"/>
      <c r="BA85" s="543"/>
      <c r="BB85" s="543"/>
      <c r="BC85" s="543"/>
      <c r="BD85" s="543"/>
      <c r="BE85" s="543"/>
      <c r="BF85" s="543"/>
      <c r="BG85" s="543"/>
      <c r="BH85" s="543"/>
      <c r="BI85" s="543"/>
      <c r="BJ85" s="543"/>
      <c r="BK85" s="543"/>
      <c r="BL85" s="543"/>
      <c r="BM85" s="543"/>
      <c r="BN85" s="543"/>
      <c r="BO85" s="543"/>
      <c r="BP85" s="543"/>
      <c r="BQ85" s="543"/>
      <c r="BR85" s="543"/>
      <c r="BS85" s="543"/>
      <c r="BT85" s="543"/>
      <c r="BU85" s="543"/>
      <c r="BV85" s="543"/>
      <c r="BW85" s="543"/>
      <c r="BX85" s="543"/>
      <c r="BY85" s="543"/>
      <c r="BZ85" s="543"/>
      <c r="CA85" s="543"/>
      <c r="CB85" s="543"/>
      <c r="CC85" s="543"/>
      <c r="CD85" s="543"/>
      <c r="CE85" s="543"/>
      <c r="CF85" s="543"/>
      <c r="CG85" s="543"/>
      <c r="CH85" s="543"/>
      <c r="CI85" s="543"/>
      <c r="CJ85" s="543"/>
      <c r="CK85" s="543"/>
      <c r="CL85" s="543"/>
      <c r="CM85" s="543"/>
      <c r="CN85" s="543"/>
      <c r="CO85" s="543"/>
      <c r="CP85" s="543"/>
      <c r="CQ85" s="543"/>
      <c r="CR85" s="543"/>
      <c r="CS85" s="543"/>
      <c r="CT85" s="543"/>
      <c r="CU85" s="543"/>
      <c r="CV85" s="543"/>
      <c r="CW85" s="543"/>
      <c r="CX85" s="543"/>
      <c r="CY85" s="543"/>
      <c r="CZ85" s="543"/>
      <c r="DA85" s="543"/>
      <c r="DB85" s="543"/>
      <c r="DC85" s="543"/>
    </row>
    <row r="86" spans="1:107">
      <c r="A86" s="533"/>
      <c r="B86" s="534"/>
      <c r="C86" s="535"/>
      <c r="D86" s="12"/>
      <c r="E86" s="13"/>
      <c r="F86" s="14"/>
      <c r="G86" s="543"/>
      <c r="H86" s="543"/>
      <c r="I86" s="543"/>
      <c r="J86" s="543"/>
      <c r="K86" s="543"/>
      <c r="L86" s="543"/>
      <c r="M86" s="543"/>
      <c r="N86" s="543"/>
      <c r="O86" s="543"/>
      <c r="P86" s="543"/>
      <c r="Q86" s="543"/>
      <c r="R86" s="543"/>
      <c r="S86" s="543"/>
      <c r="T86" s="543"/>
      <c r="U86" s="543"/>
      <c r="V86" s="543"/>
      <c r="W86" s="543"/>
      <c r="X86" s="543"/>
      <c r="Y86" s="543"/>
      <c r="Z86" s="543"/>
      <c r="AA86" s="543"/>
      <c r="AB86" s="543"/>
      <c r="AC86" s="543"/>
      <c r="AD86" s="543"/>
      <c r="AE86" s="543"/>
      <c r="AF86" s="543"/>
      <c r="AG86" s="543"/>
      <c r="AH86" s="543"/>
      <c r="AI86" s="543"/>
      <c r="AJ86" s="543"/>
      <c r="AK86" s="543"/>
      <c r="AL86" s="543"/>
      <c r="AM86" s="543"/>
      <c r="AN86" s="543"/>
      <c r="AO86" s="543"/>
      <c r="AP86" s="543"/>
      <c r="AQ86" s="543"/>
      <c r="AR86" s="543"/>
      <c r="AS86" s="543"/>
      <c r="AT86" s="543"/>
      <c r="AU86" s="543"/>
      <c r="AV86" s="543"/>
      <c r="AW86" s="543"/>
      <c r="AX86" s="543"/>
      <c r="AY86" s="543"/>
      <c r="AZ86" s="543"/>
      <c r="BA86" s="543"/>
      <c r="BB86" s="543"/>
      <c r="BC86" s="543"/>
      <c r="BD86" s="543"/>
      <c r="BE86" s="543"/>
      <c r="BF86" s="543"/>
      <c r="BG86" s="543"/>
      <c r="BH86" s="543"/>
      <c r="BI86" s="543"/>
      <c r="BJ86" s="543"/>
      <c r="BK86" s="543"/>
      <c r="BL86" s="543"/>
      <c r="BM86" s="543"/>
      <c r="BN86" s="543"/>
      <c r="BO86" s="543"/>
      <c r="BP86" s="543"/>
      <c r="BQ86" s="543"/>
      <c r="BR86" s="543"/>
      <c r="BS86" s="543"/>
      <c r="BT86" s="543"/>
      <c r="BU86" s="543"/>
      <c r="BV86" s="543"/>
      <c r="BW86" s="543"/>
      <c r="BX86" s="543"/>
      <c r="BY86" s="543"/>
      <c r="BZ86" s="543"/>
      <c r="CA86" s="543"/>
      <c r="CB86" s="543"/>
      <c r="CC86" s="543"/>
      <c r="CD86" s="543"/>
      <c r="CE86" s="543"/>
      <c r="CF86" s="543"/>
      <c r="CG86" s="543"/>
      <c r="CH86" s="543"/>
      <c r="CI86" s="543"/>
      <c r="CJ86" s="543"/>
      <c r="CK86" s="543"/>
      <c r="CL86" s="543"/>
      <c r="CM86" s="543"/>
      <c r="CN86" s="543"/>
      <c r="CO86" s="543"/>
      <c r="CP86" s="543"/>
      <c r="CQ86" s="543"/>
      <c r="CR86" s="543"/>
      <c r="CS86" s="543"/>
      <c r="CT86" s="543"/>
      <c r="CU86" s="543"/>
      <c r="CV86" s="543"/>
      <c r="CW86" s="543"/>
      <c r="CX86" s="543"/>
      <c r="CY86" s="543"/>
      <c r="CZ86" s="543"/>
      <c r="DA86" s="543"/>
      <c r="DB86" s="543"/>
      <c r="DC86" s="543"/>
    </row>
    <row r="87" spans="1:107">
      <c r="A87" s="533"/>
      <c r="B87" s="534"/>
      <c r="C87" s="535"/>
      <c r="D87" s="12"/>
      <c r="E87" s="13"/>
      <c r="F87" s="14"/>
      <c r="G87" s="543"/>
      <c r="H87" s="543"/>
      <c r="I87" s="543"/>
      <c r="J87" s="543"/>
      <c r="K87" s="543"/>
      <c r="L87" s="543"/>
      <c r="M87" s="543"/>
      <c r="N87" s="543"/>
      <c r="O87" s="543"/>
      <c r="P87" s="543"/>
      <c r="Q87" s="543"/>
      <c r="R87" s="543"/>
      <c r="S87" s="543"/>
      <c r="T87" s="543"/>
      <c r="U87" s="543"/>
      <c r="V87" s="543"/>
      <c r="W87" s="543"/>
      <c r="X87" s="543"/>
      <c r="Y87" s="543"/>
      <c r="Z87" s="543"/>
      <c r="AA87" s="543"/>
      <c r="AB87" s="543"/>
      <c r="AC87" s="543"/>
      <c r="AD87" s="543"/>
      <c r="AE87" s="543"/>
      <c r="AF87" s="543"/>
      <c r="AG87" s="543"/>
      <c r="AH87" s="543"/>
      <c r="AI87" s="543"/>
      <c r="AJ87" s="543"/>
      <c r="AK87" s="543"/>
      <c r="AL87" s="543"/>
      <c r="AM87" s="543"/>
      <c r="AN87" s="543"/>
      <c r="AO87" s="543"/>
      <c r="AP87" s="543"/>
      <c r="AQ87" s="543"/>
      <c r="AR87" s="543"/>
      <c r="AS87" s="543"/>
      <c r="AT87" s="543"/>
      <c r="AU87" s="543"/>
      <c r="AV87" s="543"/>
      <c r="AW87" s="543"/>
      <c r="AX87" s="543"/>
      <c r="AY87" s="543"/>
      <c r="AZ87" s="543"/>
      <c r="BA87" s="543"/>
      <c r="BB87" s="543"/>
      <c r="BC87" s="543"/>
      <c r="BD87" s="543"/>
      <c r="BE87" s="543"/>
      <c r="BF87" s="543"/>
      <c r="BG87" s="543"/>
      <c r="BH87" s="543"/>
      <c r="BI87" s="543"/>
      <c r="BJ87" s="543"/>
      <c r="BK87" s="543"/>
      <c r="BL87" s="543"/>
      <c r="BM87" s="543"/>
      <c r="BN87" s="543"/>
      <c r="BO87" s="543"/>
      <c r="BP87" s="543"/>
      <c r="BQ87" s="543"/>
      <c r="BR87" s="543"/>
      <c r="BS87" s="543"/>
      <c r="BT87" s="543"/>
      <c r="BU87" s="543"/>
      <c r="BV87" s="543"/>
      <c r="BW87" s="543"/>
      <c r="BX87" s="543"/>
      <c r="BY87" s="543"/>
      <c r="BZ87" s="543"/>
      <c r="CA87" s="543"/>
      <c r="CB87" s="543"/>
      <c r="CC87" s="543"/>
      <c r="CD87" s="543"/>
      <c r="CE87" s="543"/>
      <c r="CF87" s="543"/>
      <c r="CG87" s="543"/>
      <c r="CH87" s="543"/>
      <c r="CI87" s="543"/>
      <c r="CJ87" s="543"/>
      <c r="CK87" s="543"/>
      <c r="CL87" s="543"/>
      <c r="CM87" s="543"/>
      <c r="CN87" s="543"/>
      <c r="CO87" s="543"/>
      <c r="CP87" s="543"/>
      <c r="CQ87" s="543"/>
      <c r="CR87" s="543"/>
      <c r="CS87" s="543"/>
      <c r="CT87" s="543"/>
      <c r="CU87" s="543"/>
      <c r="CV87" s="543"/>
      <c r="CW87" s="543"/>
      <c r="CX87" s="543"/>
      <c r="CY87" s="543"/>
      <c r="CZ87" s="543"/>
      <c r="DA87" s="543"/>
      <c r="DB87" s="543"/>
      <c r="DC87" s="543"/>
    </row>
  </sheetData>
  <mergeCells count="1">
    <mergeCell ref="A1:F1"/>
  </mergeCells>
  <phoneticPr fontId="67" type="noConversion"/>
  <pageMargins left="0.75" right="0.75" top="1" bottom="1" header="0.5" footer="0.5"/>
  <headerFooter alignWithMargins="0"/>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99CCFF"/>
  </sheetPr>
  <dimension ref="A1:R48"/>
  <sheetViews>
    <sheetView workbookViewId="0">
      <selection sqref="A1:M1"/>
    </sheetView>
  </sheetViews>
  <sheetFormatPr defaultColWidth="8.86328125" defaultRowHeight="14.25"/>
  <cols>
    <col min="1" max="1" width="20" style="3378" customWidth="1"/>
    <col min="2" max="2" width="92.86328125" style="3378" customWidth="1"/>
    <col min="3" max="3" width="5.59765625" style="3378" customWidth="1"/>
    <col min="4" max="7" width="6" style="3378" customWidth="1"/>
    <col min="8" max="8" width="5.59765625" style="3378" customWidth="1"/>
    <col min="9" max="9" width="6" style="3378" customWidth="1"/>
    <col min="10" max="14" width="5" style="3378" customWidth="1"/>
    <col min="15" max="17" width="1.86328125" style="3378" customWidth="1"/>
    <col min="18" max="16384" width="8.86328125" style="3378"/>
  </cols>
  <sheetData>
    <row r="1" spans="1:18" ht="15" customHeight="1">
      <c r="A1" s="3787" t="s">
        <v>2585</v>
      </c>
      <c r="B1" s="3787"/>
      <c r="C1" s="3787"/>
      <c r="D1" s="3787"/>
      <c r="E1" s="3787"/>
      <c r="F1" s="3787"/>
      <c r="G1" s="3787"/>
      <c r="H1" s="3787"/>
      <c r="I1" s="3787"/>
      <c r="J1" s="3787"/>
      <c r="K1" s="3787"/>
      <c r="L1" s="3787"/>
      <c r="M1" s="3787"/>
      <c r="N1"/>
    </row>
    <row r="2" spans="1:18">
      <c r="A2" s="3255" t="s">
        <v>2442</v>
      </c>
      <c r="B2" s="3255" t="s">
        <v>2443</v>
      </c>
      <c r="C2" s="3255">
        <v>2014</v>
      </c>
      <c r="D2" s="3255">
        <v>2015</v>
      </c>
      <c r="E2" s="3255">
        <v>2016</v>
      </c>
      <c r="F2" s="3255">
        <v>2017</v>
      </c>
      <c r="G2" s="3255">
        <v>2018</v>
      </c>
      <c r="H2" s="3255">
        <v>2019</v>
      </c>
      <c r="I2" s="3255">
        <v>2020</v>
      </c>
      <c r="J2" s="3255">
        <v>2021</v>
      </c>
      <c r="K2" s="3255">
        <v>2022</v>
      </c>
      <c r="L2" s="3255">
        <v>2023</v>
      </c>
      <c r="M2" s="3255">
        <v>2024</v>
      </c>
      <c r="N2" s="3255">
        <v>2025</v>
      </c>
    </row>
    <row r="3" spans="1:18">
      <c r="A3" s="3652" t="s">
        <v>2515</v>
      </c>
      <c r="B3" s="3652" t="s">
        <v>2451</v>
      </c>
      <c r="C3" s="3652">
        <v>0</v>
      </c>
      <c r="D3" s="3652">
        <v>0</v>
      </c>
      <c r="E3" s="3652">
        <v>0</v>
      </c>
      <c r="F3" s="3652">
        <v>0</v>
      </c>
      <c r="G3" s="3652">
        <v>0</v>
      </c>
      <c r="H3" s="3652">
        <v>0</v>
      </c>
      <c r="I3" s="3652">
        <v>0</v>
      </c>
      <c r="J3" s="3652">
        <v>0</v>
      </c>
      <c r="K3" s="3652">
        <v>0</v>
      </c>
      <c r="L3" s="3652">
        <v>0</v>
      </c>
      <c r="M3" s="3652">
        <v>0</v>
      </c>
      <c r="N3" s="3652">
        <v>0</v>
      </c>
    </row>
    <row r="4" spans="1:18">
      <c r="A4" s="3652" t="s">
        <v>2516</v>
      </c>
      <c r="B4" s="3652" t="s">
        <v>2452</v>
      </c>
      <c r="C4" s="3652">
        <v>0</v>
      </c>
      <c r="D4" s="3652">
        <v>0</v>
      </c>
      <c r="E4" s="3652">
        <v>0</v>
      </c>
      <c r="F4" s="3652">
        <v>0</v>
      </c>
      <c r="G4" s="3652">
        <v>0</v>
      </c>
      <c r="H4" s="3652">
        <v>0</v>
      </c>
      <c r="I4" s="3652">
        <v>0</v>
      </c>
      <c r="J4" s="3652">
        <v>0</v>
      </c>
      <c r="K4" s="3652">
        <v>0</v>
      </c>
      <c r="L4" s="3652">
        <v>0</v>
      </c>
      <c r="M4" s="3652">
        <v>0</v>
      </c>
      <c r="N4" s="3652">
        <v>0</v>
      </c>
    </row>
    <row r="5" spans="1:18">
      <c r="A5" s="3652" t="s">
        <v>2517</v>
      </c>
      <c r="B5" s="3652" t="s">
        <v>2444</v>
      </c>
      <c r="C5" s="3652">
        <v>2.9</v>
      </c>
      <c r="D5" s="3652">
        <v>11.98</v>
      </c>
      <c r="E5" s="3652">
        <v>35.57</v>
      </c>
      <c r="F5" s="3652">
        <v>17.079999999999998</v>
      </c>
      <c r="G5" s="3652">
        <v>21.77</v>
      </c>
      <c r="H5" s="3652">
        <v>14.4</v>
      </c>
      <c r="I5" s="3652">
        <v>11.57</v>
      </c>
      <c r="J5" s="3652">
        <v>0</v>
      </c>
      <c r="K5" s="3652">
        <v>0</v>
      </c>
      <c r="L5" s="3652">
        <v>0</v>
      </c>
      <c r="M5" s="3652">
        <v>0</v>
      </c>
      <c r="N5" s="3652">
        <v>0</v>
      </c>
    </row>
    <row r="6" spans="1:18">
      <c r="A6" s="3652" t="s">
        <v>2518</v>
      </c>
      <c r="B6" s="3652" t="s">
        <v>2445</v>
      </c>
      <c r="C6" s="3652">
        <v>-17.100000000000001</v>
      </c>
      <c r="D6" s="3652">
        <v>14.85</v>
      </c>
      <c r="E6" s="3652">
        <v>64.8</v>
      </c>
      <c r="F6" s="3652">
        <v>13.5</v>
      </c>
      <c r="G6" s="3652">
        <v>-2.44</v>
      </c>
      <c r="H6" s="3652">
        <v>-1.66</v>
      </c>
      <c r="I6" s="3652">
        <v>-1.1000000000000001</v>
      </c>
      <c r="J6" s="3652">
        <v>0</v>
      </c>
      <c r="K6" s="3652">
        <v>0</v>
      </c>
      <c r="L6" s="3652">
        <v>0</v>
      </c>
      <c r="M6" s="3652">
        <v>0</v>
      </c>
      <c r="N6" s="3652">
        <v>0</v>
      </c>
    </row>
    <row r="7" spans="1:18">
      <c r="A7" s="3652" t="s">
        <v>2519</v>
      </c>
      <c r="B7" s="3652" t="s">
        <v>2446</v>
      </c>
      <c r="C7" s="3652">
        <v>2.9</v>
      </c>
      <c r="D7" s="3652">
        <v>0.62</v>
      </c>
      <c r="E7" s="3652">
        <v>11.28</v>
      </c>
      <c r="F7" s="3652">
        <v>-8.98</v>
      </c>
      <c r="G7" s="3652">
        <v>0.34</v>
      </c>
      <c r="H7" s="3652">
        <v>-0.11</v>
      </c>
      <c r="I7" s="3652">
        <v>1</v>
      </c>
      <c r="J7" s="3652">
        <v>0</v>
      </c>
      <c r="K7" s="3652">
        <v>0</v>
      </c>
      <c r="L7" s="3652">
        <v>0</v>
      </c>
      <c r="M7" s="3652">
        <v>0</v>
      </c>
      <c r="N7" s="3652">
        <v>0</v>
      </c>
    </row>
    <row r="8" spans="1:18" ht="15.75">
      <c r="A8" s="3652" t="s">
        <v>2520</v>
      </c>
      <c r="B8" s="3652" t="s">
        <v>2447</v>
      </c>
      <c r="C8" s="3652">
        <v>0</v>
      </c>
      <c r="D8" s="3652">
        <v>0</v>
      </c>
      <c r="E8" s="3652">
        <v>0</v>
      </c>
      <c r="F8" s="3652">
        <v>0</v>
      </c>
      <c r="G8" s="3652">
        <v>0</v>
      </c>
      <c r="H8" s="3652">
        <v>0</v>
      </c>
      <c r="I8" s="3652">
        <v>0</v>
      </c>
      <c r="J8" s="3652">
        <v>0</v>
      </c>
      <c r="K8" s="3652">
        <v>0</v>
      </c>
      <c r="L8" s="3652">
        <v>0</v>
      </c>
      <c r="M8" s="3652">
        <v>0</v>
      </c>
      <c r="N8" s="3652">
        <v>0</v>
      </c>
      <c r="R8" s="3382" t="s">
        <v>2453</v>
      </c>
    </row>
    <row r="9" spans="1:18" ht="15" customHeight="1">
      <c r="A9" s="3787" t="s">
        <v>2585</v>
      </c>
      <c r="B9" s="3787"/>
      <c r="C9" s="3787"/>
      <c r="D9" s="3787"/>
      <c r="E9" s="3787"/>
      <c r="F9" s="3787"/>
      <c r="G9" s="3787"/>
      <c r="H9" s="3787"/>
      <c r="I9" s="3787"/>
      <c r="J9" s="3787"/>
      <c r="K9" s="3787"/>
      <c r="L9" s="3787"/>
      <c r="M9" s="3787"/>
      <c r="N9" s="3787"/>
    </row>
    <row r="10" spans="1:18">
      <c r="A10" s="3255" t="s">
        <v>697</v>
      </c>
      <c r="B10" s="3255" t="s">
        <v>2443</v>
      </c>
      <c r="C10" s="3255">
        <v>2014</v>
      </c>
      <c r="D10" s="3255">
        <v>2015</v>
      </c>
      <c r="E10" s="3255">
        <v>2016</v>
      </c>
      <c r="F10" s="3255">
        <v>2017</v>
      </c>
      <c r="G10" s="3255">
        <v>2018</v>
      </c>
      <c r="H10" s="3255">
        <v>2019</v>
      </c>
      <c r="I10" s="3255">
        <v>2020</v>
      </c>
      <c r="J10" s="3255">
        <v>2021</v>
      </c>
      <c r="K10" s="3255">
        <v>2022</v>
      </c>
      <c r="L10" s="3255">
        <v>2023</v>
      </c>
      <c r="M10" s="3255">
        <v>2024</v>
      </c>
      <c r="N10" s="3255">
        <v>2025</v>
      </c>
    </row>
    <row r="11" spans="1:18">
      <c r="A11" s="3652" t="s">
        <v>2521</v>
      </c>
      <c r="B11" s="3652" t="s">
        <v>2522</v>
      </c>
      <c r="C11" s="3652">
        <v>0</v>
      </c>
      <c r="D11" s="3652">
        <v>0</v>
      </c>
      <c r="E11" s="3652">
        <v>0</v>
      </c>
      <c r="F11" s="3652">
        <v>0</v>
      </c>
      <c r="G11" s="3652">
        <v>0</v>
      </c>
      <c r="H11" s="3652">
        <v>0</v>
      </c>
      <c r="I11" s="3652">
        <v>0</v>
      </c>
      <c r="J11" s="3652">
        <v>0</v>
      </c>
      <c r="K11" s="3652">
        <v>0</v>
      </c>
      <c r="L11" s="3652">
        <v>0</v>
      </c>
      <c r="M11" s="3652">
        <v>0</v>
      </c>
      <c r="N11" s="3652">
        <v>0</v>
      </c>
    </row>
    <row r="12" spans="1:18">
      <c r="A12" s="3652" t="s">
        <v>2523</v>
      </c>
      <c r="B12" s="3652" t="s">
        <v>2524</v>
      </c>
      <c r="C12" s="3652">
        <v>0</v>
      </c>
      <c r="D12" s="3652">
        <v>0.47</v>
      </c>
      <c r="E12" s="3652">
        <v>9.2899999999999991</v>
      </c>
      <c r="F12" s="3652">
        <v>3.64</v>
      </c>
      <c r="G12" s="3652">
        <v>4.87</v>
      </c>
      <c r="H12" s="3652">
        <v>4.5599999999999996</v>
      </c>
      <c r="I12" s="3652">
        <v>1.3</v>
      </c>
      <c r="J12" s="3652">
        <v>0</v>
      </c>
      <c r="K12" s="3652">
        <v>0</v>
      </c>
      <c r="L12" s="3652">
        <v>0</v>
      </c>
      <c r="M12" s="3652">
        <v>0</v>
      </c>
      <c r="N12" s="3652">
        <v>0</v>
      </c>
    </row>
    <row r="13" spans="1:18">
      <c r="A13" s="3652" t="s">
        <v>2525</v>
      </c>
      <c r="B13" s="3652" t="s">
        <v>2526</v>
      </c>
      <c r="C13" s="3652">
        <v>0</v>
      </c>
      <c r="D13" s="3652">
        <v>3.04</v>
      </c>
      <c r="E13" s="3652">
        <v>-0.25</v>
      </c>
      <c r="F13" s="3652">
        <v>0</v>
      </c>
      <c r="G13" s="3652">
        <v>0</v>
      </c>
      <c r="H13" s="3652">
        <v>0</v>
      </c>
      <c r="I13" s="3652">
        <v>0</v>
      </c>
      <c r="J13" s="3652">
        <v>0</v>
      </c>
      <c r="K13" s="3652">
        <v>0</v>
      </c>
      <c r="L13" s="3652">
        <v>0</v>
      </c>
      <c r="M13" s="3652">
        <v>0</v>
      </c>
      <c r="N13" s="3652">
        <v>0</v>
      </c>
    </row>
    <row r="14" spans="1:18">
      <c r="A14" s="3652" t="s">
        <v>2525</v>
      </c>
      <c r="B14" s="3652" t="s">
        <v>2527</v>
      </c>
      <c r="C14" s="3652">
        <v>0</v>
      </c>
      <c r="D14" s="3652">
        <v>0</v>
      </c>
      <c r="E14" s="3652">
        <v>0</v>
      </c>
      <c r="F14" s="3652">
        <v>0</v>
      </c>
      <c r="G14" s="3652">
        <v>0</v>
      </c>
      <c r="H14" s="3652">
        <v>0</v>
      </c>
      <c r="I14" s="3652">
        <v>0</v>
      </c>
      <c r="J14" s="3652">
        <v>0</v>
      </c>
      <c r="K14" s="3652">
        <v>0</v>
      </c>
      <c r="L14" s="3652">
        <v>0</v>
      </c>
      <c r="M14" s="3652">
        <v>0</v>
      </c>
      <c r="N14" s="3652">
        <v>0</v>
      </c>
    </row>
    <row r="15" spans="1:18">
      <c r="A15" s="3652" t="s">
        <v>2525</v>
      </c>
      <c r="B15" s="3652" t="s">
        <v>2528</v>
      </c>
      <c r="C15" s="3652">
        <v>0</v>
      </c>
      <c r="D15" s="3652">
        <v>0</v>
      </c>
      <c r="E15" s="3652">
        <v>0</v>
      </c>
      <c r="F15" s="3652">
        <v>0</v>
      </c>
      <c r="G15" s="3652">
        <v>0</v>
      </c>
      <c r="H15" s="3652">
        <v>0</v>
      </c>
      <c r="I15" s="3652">
        <v>0</v>
      </c>
      <c r="J15" s="3652">
        <v>0</v>
      </c>
      <c r="K15" s="3652">
        <v>0</v>
      </c>
      <c r="L15" s="3652">
        <v>0</v>
      </c>
      <c r="M15" s="3652">
        <v>0</v>
      </c>
      <c r="N15" s="3652">
        <v>0</v>
      </c>
    </row>
    <row r="16" spans="1:18">
      <c r="A16" s="3652" t="s">
        <v>2529</v>
      </c>
      <c r="B16" s="3652" t="s">
        <v>2530</v>
      </c>
      <c r="C16" s="3652">
        <v>0</v>
      </c>
      <c r="D16" s="3652">
        <v>0</v>
      </c>
      <c r="E16" s="3652">
        <v>0</v>
      </c>
      <c r="F16" s="3652">
        <v>0</v>
      </c>
      <c r="G16" s="3652">
        <v>0</v>
      </c>
      <c r="H16" s="3652">
        <v>0</v>
      </c>
      <c r="I16" s="3652">
        <v>0</v>
      </c>
      <c r="J16" s="3652">
        <v>0</v>
      </c>
      <c r="K16" s="3652">
        <v>0</v>
      </c>
      <c r="L16" s="3652">
        <v>0</v>
      </c>
      <c r="M16" s="3652">
        <v>0</v>
      </c>
      <c r="N16" s="3652">
        <v>0</v>
      </c>
    </row>
    <row r="17" spans="1:14">
      <c r="A17" s="3652" t="s">
        <v>2492</v>
      </c>
      <c r="B17" s="3652" t="s">
        <v>2531</v>
      </c>
      <c r="C17" s="3652">
        <v>0</v>
      </c>
      <c r="D17" s="3652">
        <v>0</v>
      </c>
      <c r="E17" s="3652">
        <v>0</v>
      </c>
      <c r="F17" s="3652">
        <v>0</v>
      </c>
      <c r="G17" s="3652">
        <v>0</v>
      </c>
      <c r="H17" s="3652">
        <v>0</v>
      </c>
      <c r="I17" s="3652">
        <v>0</v>
      </c>
      <c r="J17" s="3652">
        <v>0</v>
      </c>
      <c r="K17" s="3652">
        <v>0</v>
      </c>
      <c r="L17" s="3652">
        <v>0</v>
      </c>
      <c r="M17" s="3652">
        <v>0</v>
      </c>
      <c r="N17" s="3652">
        <v>0</v>
      </c>
    </row>
    <row r="18" spans="1:14">
      <c r="A18" s="3652" t="s">
        <v>2493</v>
      </c>
      <c r="B18" s="3652" t="s">
        <v>2532</v>
      </c>
      <c r="C18" s="3652">
        <v>0</v>
      </c>
      <c r="D18" s="3652">
        <v>0</v>
      </c>
      <c r="E18" s="3652">
        <v>0</v>
      </c>
      <c r="F18" s="3652">
        <v>0</v>
      </c>
      <c r="G18" s="3652">
        <v>0</v>
      </c>
      <c r="H18" s="3652">
        <v>0</v>
      </c>
      <c r="I18" s="3652">
        <v>0</v>
      </c>
      <c r="J18" s="3652">
        <v>0</v>
      </c>
      <c r="K18" s="3652">
        <v>0</v>
      </c>
      <c r="L18" s="3652">
        <v>0</v>
      </c>
      <c r="M18" s="3652">
        <v>0</v>
      </c>
      <c r="N18" s="3652">
        <v>0</v>
      </c>
    </row>
    <row r="19" spans="1:14">
      <c r="A19" s="3652" t="s">
        <v>2533</v>
      </c>
      <c r="B19" s="3652" t="s">
        <v>2534</v>
      </c>
      <c r="C19" s="3652">
        <v>0</v>
      </c>
      <c r="D19" s="3652">
        <v>0</v>
      </c>
      <c r="E19" s="3652">
        <v>0</v>
      </c>
      <c r="F19" s="3652">
        <v>0</v>
      </c>
      <c r="G19" s="3652">
        <v>0</v>
      </c>
      <c r="H19" s="3652">
        <v>0</v>
      </c>
      <c r="I19" s="3652">
        <v>0</v>
      </c>
      <c r="J19" s="3652">
        <v>0</v>
      </c>
      <c r="K19" s="3652">
        <v>0</v>
      </c>
      <c r="L19" s="3652">
        <v>0</v>
      </c>
      <c r="M19" s="3652">
        <v>0</v>
      </c>
      <c r="N19" s="3652">
        <v>0</v>
      </c>
    </row>
    <row r="20" spans="1:14">
      <c r="A20" s="3652" t="s">
        <v>2494</v>
      </c>
      <c r="B20" s="3652" t="s">
        <v>2535</v>
      </c>
      <c r="C20" s="3652">
        <v>-17.399999999999999</v>
      </c>
      <c r="D20" s="3652">
        <v>3.28</v>
      </c>
      <c r="E20" s="3652">
        <v>28</v>
      </c>
      <c r="F20" s="3652">
        <v>1.94</v>
      </c>
      <c r="G20" s="3652">
        <v>-7.49</v>
      </c>
      <c r="H20" s="3652">
        <v>-2.29</v>
      </c>
      <c r="I20" s="3652">
        <v>-4.5999999999999996</v>
      </c>
      <c r="J20" s="3652">
        <v>0</v>
      </c>
      <c r="K20" s="3652">
        <v>0</v>
      </c>
      <c r="L20" s="3652">
        <v>0</v>
      </c>
      <c r="M20" s="3652">
        <v>0</v>
      </c>
      <c r="N20" s="3652">
        <v>0</v>
      </c>
    </row>
    <row r="21" spans="1:14">
      <c r="A21" s="3652" t="s">
        <v>2494</v>
      </c>
      <c r="B21" s="3652" t="s">
        <v>2536</v>
      </c>
      <c r="C21" s="3652">
        <v>0.3</v>
      </c>
      <c r="D21" s="3652">
        <v>0</v>
      </c>
      <c r="E21" s="3652">
        <v>0</v>
      </c>
      <c r="F21" s="3652">
        <v>0</v>
      </c>
      <c r="G21" s="3652">
        <v>-0.8</v>
      </c>
      <c r="H21" s="3652">
        <v>-2.1</v>
      </c>
      <c r="I21" s="3652">
        <v>2.2000000000000002</v>
      </c>
      <c r="J21" s="3652">
        <v>0</v>
      </c>
      <c r="K21" s="3652">
        <v>0</v>
      </c>
      <c r="L21" s="3652">
        <v>0</v>
      </c>
      <c r="M21" s="3652">
        <v>0</v>
      </c>
      <c r="N21" s="3652">
        <v>0</v>
      </c>
    </row>
    <row r="22" spans="1:14">
      <c r="A22" s="3652" t="s">
        <v>2494</v>
      </c>
      <c r="B22" s="3652" t="s">
        <v>2537</v>
      </c>
      <c r="C22" s="3652">
        <v>0</v>
      </c>
      <c r="D22" s="3652">
        <v>0</v>
      </c>
      <c r="E22" s="3652">
        <v>0</v>
      </c>
      <c r="F22" s="3652">
        <v>0</v>
      </c>
      <c r="G22" s="3652">
        <v>0</v>
      </c>
      <c r="H22" s="3652">
        <v>0</v>
      </c>
      <c r="I22" s="3652">
        <v>0</v>
      </c>
      <c r="J22" s="3652">
        <v>0</v>
      </c>
      <c r="K22" s="3652">
        <v>0</v>
      </c>
      <c r="L22" s="3652">
        <v>0</v>
      </c>
      <c r="M22" s="3652">
        <v>0</v>
      </c>
      <c r="N22" s="3652">
        <v>0</v>
      </c>
    </row>
    <row r="23" spans="1:14">
      <c r="A23" s="3652" t="s">
        <v>2494</v>
      </c>
      <c r="B23" s="3652" t="s">
        <v>2538</v>
      </c>
      <c r="C23" s="3652">
        <v>0</v>
      </c>
      <c r="D23" s="3652">
        <v>0</v>
      </c>
      <c r="E23" s="3652">
        <v>0</v>
      </c>
      <c r="F23" s="3652">
        <v>0</v>
      </c>
      <c r="G23" s="3652">
        <v>0</v>
      </c>
      <c r="H23" s="3652">
        <v>0</v>
      </c>
      <c r="I23" s="3652">
        <v>0</v>
      </c>
      <c r="J23" s="3652">
        <v>0</v>
      </c>
      <c r="K23" s="3652">
        <v>0</v>
      </c>
      <c r="L23" s="3652">
        <v>0</v>
      </c>
      <c r="M23" s="3652">
        <v>0</v>
      </c>
      <c r="N23" s="3652">
        <v>0</v>
      </c>
    </row>
    <row r="24" spans="1:14">
      <c r="A24" s="3652" t="s">
        <v>2539</v>
      </c>
      <c r="B24" s="3652" t="s">
        <v>2540</v>
      </c>
      <c r="C24" s="3652">
        <v>0</v>
      </c>
      <c r="D24" s="3652">
        <v>5.49</v>
      </c>
      <c r="E24" s="3652">
        <v>25.67</v>
      </c>
      <c r="F24" s="3652">
        <v>5.68</v>
      </c>
      <c r="G24" s="3652">
        <v>0</v>
      </c>
      <c r="H24" s="3652">
        <v>0</v>
      </c>
      <c r="I24" s="3652">
        <v>0</v>
      </c>
      <c r="J24" s="3652">
        <v>0</v>
      </c>
      <c r="K24" s="3652">
        <v>0</v>
      </c>
      <c r="L24" s="3652">
        <v>0</v>
      </c>
      <c r="M24" s="3652">
        <v>0</v>
      </c>
      <c r="N24" s="3652">
        <v>0</v>
      </c>
    </row>
    <row r="25" spans="1:14">
      <c r="A25" s="3652" t="s">
        <v>2541</v>
      </c>
      <c r="B25" s="3652" t="s">
        <v>2542</v>
      </c>
      <c r="C25" s="3652">
        <v>0</v>
      </c>
      <c r="D25" s="3652">
        <v>0</v>
      </c>
      <c r="E25" s="3652">
        <v>0</v>
      </c>
      <c r="F25" s="3652">
        <v>0</v>
      </c>
      <c r="G25" s="3652">
        <v>0</v>
      </c>
      <c r="H25" s="3652">
        <v>0</v>
      </c>
      <c r="I25" s="3652">
        <v>0</v>
      </c>
      <c r="J25" s="3652">
        <v>0</v>
      </c>
      <c r="K25" s="3652">
        <v>0</v>
      </c>
      <c r="L25" s="3652">
        <v>0</v>
      </c>
      <c r="M25" s="3652">
        <v>0</v>
      </c>
      <c r="N25" s="3652">
        <v>0</v>
      </c>
    </row>
    <row r="26" spans="1:14">
      <c r="A26" s="3652" t="s">
        <v>1814</v>
      </c>
      <c r="B26" s="3652" t="s">
        <v>2543</v>
      </c>
      <c r="C26" s="3652">
        <v>0</v>
      </c>
      <c r="D26" s="3652">
        <v>2.57</v>
      </c>
      <c r="E26" s="3652">
        <v>2.09</v>
      </c>
      <c r="F26" s="3652">
        <v>2.2400000000000002</v>
      </c>
      <c r="G26" s="3652">
        <v>0.98</v>
      </c>
      <c r="H26" s="3652">
        <v>-1.83</v>
      </c>
      <c r="I26" s="3652">
        <v>0</v>
      </c>
      <c r="J26" s="3652">
        <v>0</v>
      </c>
      <c r="K26" s="3652">
        <v>0</v>
      </c>
      <c r="L26" s="3652">
        <v>0</v>
      </c>
      <c r="M26" s="3652">
        <v>0</v>
      </c>
      <c r="N26" s="3652">
        <v>0</v>
      </c>
    </row>
    <row r="27" spans="1:14">
      <c r="A27" s="3652" t="s">
        <v>2495</v>
      </c>
      <c r="B27" s="3652" t="s">
        <v>2544</v>
      </c>
      <c r="C27" s="3652">
        <v>0</v>
      </c>
      <c r="D27" s="3652">
        <v>0</v>
      </c>
      <c r="E27" s="3652">
        <v>0</v>
      </c>
      <c r="F27" s="3652">
        <v>0</v>
      </c>
      <c r="G27" s="3652">
        <v>0</v>
      </c>
      <c r="H27" s="3652">
        <v>0</v>
      </c>
      <c r="I27" s="3652">
        <v>0</v>
      </c>
      <c r="J27" s="3652">
        <v>0</v>
      </c>
      <c r="K27" s="3652">
        <v>0</v>
      </c>
      <c r="L27" s="3652">
        <v>0</v>
      </c>
      <c r="M27" s="3652">
        <v>0</v>
      </c>
      <c r="N27" s="3652">
        <v>0</v>
      </c>
    </row>
    <row r="28" spans="1:14">
      <c r="A28" s="3652" t="s">
        <v>841</v>
      </c>
      <c r="B28" s="3652" t="s">
        <v>2545</v>
      </c>
      <c r="C28" s="3652">
        <v>0</v>
      </c>
      <c r="D28" s="3652">
        <v>3.82</v>
      </c>
      <c r="E28" s="3652">
        <v>21.53</v>
      </c>
      <c r="F28" s="3652">
        <v>13.18</v>
      </c>
      <c r="G28" s="3652">
        <v>-3.62</v>
      </c>
      <c r="H28" s="3652">
        <v>6.55</v>
      </c>
      <c r="I28" s="3652">
        <v>1.79</v>
      </c>
      <c r="J28" s="3652">
        <v>0</v>
      </c>
      <c r="K28" s="3652">
        <v>0</v>
      </c>
      <c r="L28" s="3652">
        <v>0</v>
      </c>
      <c r="M28" s="3652">
        <v>0</v>
      </c>
      <c r="N28" s="3652">
        <v>0</v>
      </c>
    </row>
    <row r="29" spans="1:14">
      <c r="A29" s="3652" t="s">
        <v>2546</v>
      </c>
      <c r="B29" s="3652" t="s">
        <v>2547</v>
      </c>
      <c r="C29" s="3652">
        <v>2.9</v>
      </c>
      <c r="D29" s="3652">
        <v>1.0900000000000001</v>
      </c>
      <c r="E29" s="3652">
        <v>1.83</v>
      </c>
      <c r="F29" s="3652">
        <v>1.19</v>
      </c>
      <c r="G29" s="3652">
        <v>17.18</v>
      </c>
      <c r="H29" s="3652">
        <v>8.49</v>
      </c>
      <c r="I29" s="3652">
        <v>9.19</v>
      </c>
      <c r="J29" s="3652">
        <v>0</v>
      </c>
      <c r="K29" s="3652">
        <v>0</v>
      </c>
      <c r="L29" s="3652">
        <v>0</v>
      </c>
      <c r="M29" s="3652">
        <v>0</v>
      </c>
      <c r="N29" s="3652">
        <v>0</v>
      </c>
    </row>
    <row r="30" spans="1:14">
      <c r="A30" s="3652" t="s">
        <v>2525</v>
      </c>
      <c r="B30" s="3652" t="s">
        <v>2548</v>
      </c>
      <c r="C30" s="3652">
        <v>0</v>
      </c>
      <c r="D30" s="3652">
        <v>0</v>
      </c>
      <c r="E30" s="3652">
        <v>0</v>
      </c>
      <c r="F30" s="3652">
        <v>0</v>
      </c>
      <c r="G30" s="3652">
        <v>0</v>
      </c>
      <c r="H30" s="3652">
        <v>0</v>
      </c>
      <c r="I30" s="3652">
        <v>0</v>
      </c>
      <c r="J30" s="3652">
        <v>0</v>
      </c>
      <c r="K30" s="3652">
        <v>0</v>
      </c>
      <c r="L30" s="3652">
        <v>0</v>
      </c>
      <c r="M30" s="3652">
        <v>0</v>
      </c>
      <c r="N30" s="3652">
        <v>0</v>
      </c>
    </row>
    <row r="31" spans="1:14">
      <c r="A31" s="3652" t="s">
        <v>2529</v>
      </c>
      <c r="B31" s="3652" t="s">
        <v>2549</v>
      </c>
      <c r="C31" s="3652">
        <v>0</v>
      </c>
      <c r="D31" s="3652">
        <v>0</v>
      </c>
      <c r="E31" s="3652">
        <v>0</v>
      </c>
      <c r="F31" s="3652">
        <v>0</v>
      </c>
      <c r="G31" s="3652">
        <v>0</v>
      </c>
      <c r="H31" s="3652">
        <v>0</v>
      </c>
      <c r="I31" s="3652">
        <v>0</v>
      </c>
      <c r="J31" s="3652">
        <v>0</v>
      </c>
      <c r="K31" s="3652">
        <v>0</v>
      </c>
      <c r="L31" s="3652">
        <v>0</v>
      </c>
      <c r="M31" s="3652">
        <v>0</v>
      </c>
      <c r="N31" s="3652">
        <v>0</v>
      </c>
    </row>
    <row r="32" spans="1:14">
      <c r="A32" s="3652" t="s">
        <v>2550</v>
      </c>
      <c r="B32" s="3652" t="s">
        <v>2551</v>
      </c>
      <c r="C32" s="3652">
        <v>0</v>
      </c>
      <c r="D32" s="3652">
        <v>0</v>
      </c>
      <c r="E32" s="3652">
        <v>0</v>
      </c>
      <c r="F32" s="3652">
        <v>0</v>
      </c>
      <c r="G32" s="3652">
        <v>0</v>
      </c>
      <c r="H32" s="3652">
        <v>0</v>
      </c>
      <c r="I32" s="3652">
        <v>0</v>
      </c>
      <c r="J32" s="3652">
        <v>0</v>
      </c>
      <c r="K32" s="3652">
        <v>0</v>
      </c>
      <c r="L32" s="3652">
        <v>0</v>
      </c>
      <c r="M32" s="3652">
        <v>0</v>
      </c>
      <c r="N32" s="3652">
        <v>0</v>
      </c>
    </row>
    <row r="33" spans="1:14">
      <c r="A33" s="3652" t="s">
        <v>2492</v>
      </c>
      <c r="B33" s="3652" t="s">
        <v>2552</v>
      </c>
      <c r="C33" s="3652">
        <v>0</v>
      </c>
      <c r="D33" s="3652">
        <v>0</v>
      </c>
      <c r="E33" s="3652">
        <v>0</v>
      </c>
      <c r="F33" s="3652">
        <v>0</v>
      </c>
      <c r="G33" s="3652">
        <v>0</v>
      </c>
      <c r="H33" s="3652">
        <v>0</v>
      </c>
      <c r="I33" s="3652">
        <v>0</v>
      </c>
      <c r="J33" s="3652">
        <v>0</v>
      </c>
      <c r="K33" s="3652">
        <v>0</v>
      </c>
      <c r="L33" s="3652">
        <v>0</v>
      </c>
      <c r="M33" s="3652">
        <v>0</v>
      </c>
      <c r="N33" s="3652">
        <v>0</v>
      </c>
    </row>
    <row r="34" spans="1:14">
      <c r="A34" s="3652" t="s">
        <v>2492</v>
      </c>
      <c r="B34" s="3652" t="s">
        <v>2553</v>
      </c>
      <c r="C34" s="3652">
        <v>0</v>
      </c>
      <c r="D34" s="3652">
        <v>0</v>
      </c>
      <c r="E34" s="3652">
        <v>0</v>
      </c>
      <c r="F34" s="3652">
        <v>0</v>
      </c>
      <c r="G34" s="3652">
        <v>0</v>
      </c>
      <c r="H34" s="3652">
        <v>0</v>
      </c>
      <c r="I34" s="3652">
        <v>0</v>
      </c>
      <c r="J34" s="3652">
        <v>0</v>
      </c>
      <c r="K34" s="3652">
        <v>0</v>
      </c>
      <c r="L34" s="3652">
        <v>0</v>
      </c>
      <c r="M34" s="3652">
        <v>0</v>
      </c>
      <c r="N34" s="3652">
        <v>0</v>
      </c>
    </row>
    <row r="35" spans="1:14">
      <c r="A35" s="3652" t="s">
        <v>2492</v>
      </c>
      <c r="B35" s="3652" t="s">
        <v>2496</v>
      </c>
      <c r="C35" s="3652">
        <v>0</v>
      </c>
      <c r="D35" s="3652">
        <v>0</v>
      </c>
      <c r="E35" s="3652">
        <v>0</v>
      </c>
      <c r="F35" s="3652">
        <v>0</v>
      </c>
      <c r="G35" s="3652">
        <v>0</v>
      </c>
      <c r="H35" s="3652">
        <v>0</v>
      </c>
      <c r="I35" s="3652">
        <v>0</v>
      </c>
      <c r="J35" s="3652">
        <v>0</v>
      </c>
      <c r="K35" s="3652">
        <v>0</v>
      </c>
      <c r="L35" s="3652">
        <v>0</v>
      </c>
      <c r="M35" s="3652">
        <v>0</v>
      </c>
      <c r="N35" s="3652">
        <v>0</v>
      </c>
    </row>
    <row r="36" spans="1:14">
      <c r="A36" s="3652" t="s">
        <v>2493</v>
      </c>
      <c r="B36" s="3652" t="s">
        <v>2497</v>
      </c>
      <c r="C36" s="3652">
        <v>0</v>
      </c>
      <c r="D36" s="3652">
        <v>0</v>
      </c>
      <c r="E36" s="3652">
        <v>0</v>
      </c>
      <c r="F36" s="3652">
        <v>0</v>
      </c>
      <c r="G36" s="3652">
        <v>0</v>
      </c>
      <c r="H36" s="3652">
        <v>0</v>
      </c>
      <c r="I36" s="3652">
        <v>0</v>
      </c>
      <c r="J36" s="3652">
        <v>0</v>
      </c>
      <c r="K36" s="3652">
        <v>0</v>
      </c>
      <c r="L36" s="3652">
        <v>0</v>
      </c>
      <c r="M36" s="3652">
        <v>0</v>
      </c>
      <c r="N36" s="3652">
        <v>0</v>
      </c>
    </row>
    <row r="37" spans="1:14">
      <c r="A37" s="3652" t="s">
        <v>2498</v>
      </c>
      <c r="B37" s="3652" t="s">
        <v>2499</v>
      </c>
      <c r="C37" s="3652">
        <v>0</v>
      </c>
      <c r="D37" s="3652">
        <v>0</v>
      </c>
      <c r="E37" s="3652">
        <v>0</v>
      </c>
      <c r="F37" s="3652">
        <v>0</v>
      </c>
      <c r="G37" s="3652">
        <v>0</v>
      </c>
      <c r="H37" s="3652">
        <v>0</v>
      </c>
      <c r="I37" s="3652">
        <v>0</v>
      </c>
      <c r="J37" s="3652">
        <v>0</v>
      </c>
      <c r="K37" s="3652">
        <v>0</v>
      </c>
      <c r="L37" s="3652">
        <v>0</v>
      </c>
      <c r="M37" s="3652">
        <v>0</v>
      </c>
      <c r="N37" s="3652">
        <v>0</v>
      </c>
    </row>
    <row r="38" spans="1:14">
      <c r="A38" s="3652" t="s">
        <v>2500</v>
      </c>
      <c r="B38" s="3652" t="s">
        <v>2501</v>
      </c>
      <c r="C38" s="3652">
        <v>0</v>
      </c>
      <c r="D38" s="3652">
        <v>0</v>
      </c>
      <c r="E38" s="3652">
        <v>0</v>
      </c>
      <c r="F38" s="3652">
        <v>0</v>
      </c>
      <c r="G38" s="3652">
        <v>0</v>
      </c>
      <c r="H38" s="3652">
        <v>0</v>
      </c>
      <c r="I38" s="3652">
        <v>0</v>
      </c>
      <c r="J38" s="3652">
        <v>0</v>
      </c>
      <c r="K38" s="3652">
        <v>0</v>
      </c>
      <c r="L38" s="3652">
        <v>0</v>
      </c>
      <c r="M38" s="3652">
        <v>0</v>
      </c>
      <c r="N38" s="3652">
        <v>0</v>
      </c>
    </row>
    <row r="39" spans="1:14">
      <c r="A39" s="3652" t="s">
        <v>2494</v>
      </c>
      <c r="B39" s="3652" t="s">
        <v>2502</v>
      </c>
      <c r="C39" s="3652">
        <v>0</v>
      </c>
      <c r="D39" s="3652">
        <v>0</v>
      </c>
      <c r="E39" s="3652">
        <v>0</v>
      </c>
      <c r="F39" s="3652">
        <v>0</v>
      </c>
      <c r="G39" s="3652">
        <v>0</v>
      </c>
      <c r="H39" s="3652">
        <v>0</v>
      </c>
      <c r="I39" s="3652">
        <v>0</v>
      </c>
      <c r="J39" s="3652">
        <v>0</v>
      </c>
      <c r="K39" s="3652">
        <v>0</v>
      </c>
      <c r="L39" s="3652">
        <v>0</v>
      </c>
      <c r="M39" s="3652">
        <v>0</v>
      </c>
      <c r="N39" s="3652">
        <v>0</v>
      </c>
    </row>
    <row r="40" spans="1:14">
      <c r="A40" s="3652" t="s">
        <v>2494</v>
      </c>
      <c r="B40" s="3652" t="s">
        <v>2503</v>
      </c>
      <c r="C40" s="3652">
        <v>0</v>
      </c>
      <c r="D40" s="3652">
        <v>0</v>
      </c>
      <c r="E40" s="3652">
        <v>0</v>
      </c>
      <c r="F40" s="3652">
        <v>0</v>
      </c>
      <c r="G40" s="3652">
        <v>0</v>
      </c>
      <c r="H40" s="3652">
        <v>0</v>
      </c>
      <c r="I40" s="3652">
        <v>0</v>
      </c>
      <c r="J40" s="3652">
        <v>0</v>
      </c>
      <c r="K40" s="3652">
        <v>0</v>
      </c>
      <c r="L40" s="3652">
        <v>0</v>
      </c>
      <c r="M40" s="3652">
        <v>0</v>
      </c>
      <c r="N40" s="3652">
        <v>0</v>
      </c>
    </row>
    <row r="41" spans="1:14">
      <c r="A41" s="3652" t="s">
        <v>2504</v>
      </c>
      <c r="B41" s="3652" t="s">
        <v>2505</v>
      </c>
      <c r="C41" s="3652">
        <v>0</v>
      </c>
      <c r="D41" s="3652">
        <v>1.78</v>
      </c>
      <c r="E41" s="3652">
        <v>5.07</v>
      </c>
      <c r="F41" s="3652">
        <v>0</v>
      </c>
      <c r="G41" s="3652">
        <v>7.52</v>
      </c>
      <c r="H41" s="3652">
        <v>2.37</v>
      </c>
      <c r="I41" s="3652">
        <v>0.1</v>
      </c>
      <c r="J41" s="3652">
        <v>0</v>
      </c>
      <c r="K41" s="3652">
        <v>0</v>
      </c>
      <c r="L41" s="3652">
        <v>0</v>
      </c>
      <c r="M41" s="3652">
        <v>0</v>
      </c>
      <c r="N41" s="3652">
        <v>0</v>
      </c>
    </row>
    <row r="42" spans="1:14">
      <c r="A42" s="3652" t="s">
        <v>2506</v>
      </c>
      <c r="B42" s="3652" t="s">
        <v>2507</v>
      </c>
      <c r="C42" s="3652">
        <v>0</v>
      </c>
      <c r="D42" s="3652">
        <v>0</v>
      </c>
      <c r="E42" s="3652">
        <v>9.74</v>
      </c>
      <c r="F42" s="3652">
        <v>2.76</v>
      </c>
      <c r="G42" s="3652">
        <v>0.59</v>
      </c>
      <c r="H42" s="3652">
        <v>-0.77</v>
      </c>
      <c r="I42" s="3652">
        <v>0</v>
      </c>
      <c r="J42" s="3652">
        <v>0</v>
      </c>
      <c r="K42" s="3652">
        <v>0</v>
      </c>
      <c r="L42" s="3652">
        <v>0</v>
      </c>
      <c r="M42" s="3652">
        <v>0</v>
      </c>
      <c r="N42" s="3652">
        <v>0</v>
      </c>
    </row>
    <row r="43" spans="1:14">
      <c r="A43" s="3652" t="s">
        <v>1814</v>
      </c>
      <c r="B43" s="3652" t="s">
        <v>2508</v>
      </c>
      <c r="C43" s="3652">
        <v>0</v>
      </c>
      <c r="D43" s="3652">
        <v>5.29</v>
      </c>
      <c r="E43" s="3652">
        <v>-2.6</v>
      </c>
      <c r="F43" s="3652">
        <v>-0.05</v>
      </c>
      <c r="G43" s="3652">
        <v>0.1</v>
      </c>
      <c r="H43" s="3652">
        <v>-2.2400000000000002</v>
      </c>
      <c r="I43" s="3652">
        <v>0.49</v>
      </c>
      <c r="J43" s="3652">
        <v>0</v>
      </c>
      <c r="K43" s="3652">
        <v>0</v>
      </c>
      <c r="L43" s="3652">
        <v>0</v>
      </c>
      <c r="M43" s="3652">
        <v>0</v>
      </c>
      <c r="N43" s="3652">
        <v>0</v>
      </c>
    </row>
    <row r="44" spans="1:14">
      <c r="A44" s="3652" t="s">
        <v>2448</v>
      </c>
      <c r="B44" s="3652" t="s">
        <v>2509</v>
      </c>
      <c r="C44" s="3652">
        <v>0</v>
      </c>
      <c r="D44" s="3652">
        <v>0</v>
      </c>
      <c r="E44" s="3652">
        <v>0</v>
      </c>
      <c r="F44" s="3652">
        <v>0</v>
      </c>
      <c r="G44" s="3652">
        <v>0</v>
      </c>
      <c r="H44" s="3652">
        <v>0</v>
      </c>
      <c r="I44" s="3652">
        <v>0</v>
      </c>
      <c r="J44" s="3652">
        <v>0</v>
      </c>
      <c r="K44" s="3652">
        <v>0</v>
      </c>
      <c r="L44" s="3652">
        <v>0</v>
      </c>
      <c r="M44" s="3652">
        <v>0</v>
      </c>
      <c r="N44" s="3652">
        <v>0</v>
      </c>
    </row>
    <row r="45" spans="1:14">
      <c r="A45" s="3652" t="s">
        <v>2495</v>
      </c>
      <c r="B45" s="3652" t="s">
        <v>2510</v>
      </c>
      <c r="C45" s="3652">
        <v>0</v>
      </c>
      <c r="D45" s="3652">
        <v>0</v>
      </c>
      <c r="E45" s="3652">
        <v>0</v>
      </c>
      <c r="F45" s="3652">
        <v>0</v>
      </c>
      <c r="G45" s="3652">
        <v>0</v>
      </c>
      <c r="H45" s="3652">
        <v>0</v>
      </c>
      <c r="I45" s="3652">
        <v>0</v>
      </c>
      <c r="J45" s="3652">
        <v>0</v>
      </c>
      <c r="K45" s="3652">
        <v>0</v>
      </c>
      <c r="L45" s="3652">
        <v>0</v>
      </c>
      <c r="M45" s="3652">
        <v>0</v>
      </c>
      <c r="N45" s="3652">
        <v>0</v>
      </c>
    </row>
    <row r="46" spans="1:14">
      <c r="A46" s="3652" t="s">
        <v>2511</v>
      </c>
      <c r="B46" s="3652" t="s">
        <v>2512</v>
      </c>
      <c r="C46" s="3652">
        <v>2.9</v>
      </c>
      <c r="D46" s="3652">
        <v>0.62</v>
      </c>
      <c r="E46" s="3652">
        <v>11.28</v>
      </c>
      <c r="F46" s="3652">
        <v>-8.98</v>
      </c>
      <c r="G46" s="3652">
        <v>0.34</v>
      </c>
      <c r="H46" s="3652">
        <v>-0.11</v>
      </c>
      <c r="I46" s="3652">
        <v>1</v>
      </c>
      <c r="J46" s="3652">
        <v>0</v>
      </c>
      <c r="K46" s="3652">
        <v>0</v>
      </c>
      <c r="L46" s="3652">
        <v>0</v>
      </c>
      <c r="M46" s="3652">
        <v>0</v>
      </c>
      <c r="N46" s="3652">
        <v>0</v>
      </c>
    </row>
    <row r="47" spans="1:14">
      <c r="A47" s="3652" t="s">
        <v>2513</v>
      </c>
      <c r="B47" s="3652" t="s">
        <v>2449</v>
      </c>
      <c r="C47" s="3652">
        <v>0</v>
      </c>
      <c r="D47" s="3652">
        <v>0</v>
      </c>
      <c r="E47" s="3652">
        <v>0</v>
      </c>
      <c r="F47" s="3652">
        <v>0</v>
      </c>
      <c r="G47" s="3652">
        <v>0</v>
      </c>
      <c r="H47" s="3652">
        <v>0</v>
      </c>
      <c r="I47" s="3652">
        <v>0</v>
      </c>
      <c r="J47" s="3652">
        <v>0</v>
      </c>
      <c r="K47" s="3652">
        <v>0</v>
      </c>
      <c r="L47" s="3652">
        <v>0</v>
      </c>
      <c r="M47" s="3652">
        <v>0</v>
      </c>
      <c r="N47" s="3652">
        <v>0</v>
      </c>
    </row>
    <row r="48" spans="1:14">
      <c r="A48" s="3652" t="s">
        <v>1237</v>
      </c>
      <c r="B48" s="3652" t="s">
        <v>2514</v>
      </c>
      <c r="C48" s="3652">
        <v>0</v>
      </c>
      <c r="D48" s="3652">
        <v>0</v>
      </c>
      <c r="E48" s="3652">
        <v>0</v>
      </c>
      <c r="F48" s="3652">
        <v>0</v>
      </c>
      <c r="G48" s="3652">
        <v>0</v>
      </c>
      <c r="H48" s="3652">
        <v>0</v>
      </c>
      <c r="I48" s="3652">
        <v>0</v>
      </c>
      <c r="J48" s="3652">
        <v>0</v>
      </c>
      <c r="K48" s="3652">
        <v>0</v>
      </c>
      <c r="L48" s="3652">
        <v>0</v>
      </c>
      <c r="M48" s="3652">
        <v>0</v>
      </c>
      <c r="N48" s="3652">
        <v>0</v>
      </c>
    </row>
  </sheetData>
  <mergeCells count="2">
    <mergeCell ref="A1:M1"/>
    <mergeCell ref="A9:N9"/>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07">
    <tabColor indexed="43"/>
  </sheetPr>
  <dimension ref="A2:EJ473"/>
  <sheetViews>
    <sheetView workbookViewId="0">
      <pane xSplit="6" ySplit="3" topLeftCell="DH4" activePane="bottomRight" state="frozen"/>
      <selection pane="topRight" activeCell="G1" sqref="G1"/>
      <selection pane="bottomLeft" activeCell="A4" sqref="A4"/>
      <selection pane="bottomRight" activeCell="DR17" sqref="DR17"/>
    </sheetView>
  </sheetViews>
  <sheetFormatPr defaultRowHeight="13.15"/>
  <cols>
    <col min="1" max="1" width="4.1328125" style="1504" customWidth="1"/>
    <col min="2" max="2" width="4.1328125" hidden="1" customWidth="1"/>
    <col min="3" max="3" width="4.1328125" style="545" customWidth="1"/>
    <col min="4" max="4" width="4.1328125" customWidth="1"/>
    <col min="5" max="5" width="36.1328125" customWidth="1"/>
    <col min="6" max="6" width="6.265625" style="545" customWidth="1"/>
    <col min="10" max="10" width="10" bestFit="1" customWidth="1"/>
    <col min="12" max="12" width="10.3984375" style="1333" bestFit="1" customWidth="1"/>
    <col min="13" max="13" width="10.3984375" customWidth="1"/>
    <col min="14" max="14" width="9.1328125" style="1333" customWidth="1"/>
    <col min="15" max="15" width="10" bestFit="1" customWidth="1"/>
    <col min="17" max="17" width="10.3984375" style="1333" bestFit="1" customWidth="1"/>
    <col min="19" max="19" width="9.1328125" style="1333" customWidth="1"/>
    <col min="22" max="22" width="10.3984375" style="1333" bestFit="1" customWidth="1"/>
    <col min="24" max="24" width="9.1328125" style="1333" customWidth="1"/>
    <col min="27" max="27" width="10.3984375" style="1333" bestFit="1" customWidth="1"/>
    <col min="29" max="29" width="9.1328125" style="1333" customWidth="1"/>
    <col min="32" max="32" width="10.3984375" style="1333" bestFit="1" customWidth="1"/>
    <col min="34" max="34" width="9.1328125" style="1333" customWidth="1"/>
    <col min="37" max="37" width="10.3984375" style="1333" bestFit="1" customWidth="1"/>
    <col min="39" max="39" width="9.1328125" style="1333" customWidth="1"/>
    <col min="42" max="42" width="10.3984375" style="1333" bestFit="1" customWidth="1"/>
    <col min="44" max="44" width="9.1328125" style="1333" customWidth="1"/>
    <col min="47" max="47" width="10.3984375" style="1333" bestFit="1" customWidth="1"/>
    <col min="49" max="49" width="9.1328125" style="1333" customWidth="1"/>
    <col min="52" max="52" width="10.3984375" style="1333" bestFit="1" customWidth="1"/>
    <col min="54" max="54" width="9.1328125" style="1333" customWidth="1"/>
    <col min="57" max="71" width="8.59765625" customWidth="1"/>
    <col min="92" max="92" width="11.1328125" customWidth="1"/>
    <col min="97" max="97" width="11.1328125" customWidth="1"/>
    <col min="102" max="102" width="11.1328125" customWidth="1"/>
    <col min="107" max="107" width="11.1328125" customWidth="1"/>
    <col min="108" max="108" width="9.3984375" customWidth="1"/>
    <col min="110" max="110" width="9.59765625" bestFit="1" customWidth="1"/>
    <col min="112" max="112" width="11.1328125" customWidth="1"/>
    <col min="117" max="117" width="11.1328125" customWidth="1"/>
    <col min="122" max="122" width="11.1328125" customWidth="1"/>
    <col min="127" max="127" width="11.1328125" customWidth="1"/>
    <col min="132" max="132" width="11.1328125" customWidth="1"/>
  </cols>
  <sheetData>
    <row r="2" spans="1:136" ht="15">
      <c r="B2" s="545" t="s">
        <v>1820</v>
      </c>
      <c r="D2" s="1705" t="s">
        <v>1966</v>
      </c>
      <c r="E2" s="1706"/>
      <c r="F2" s="1696" t="s">
        <v>1820</v>
      </c>
    </row>
    <row r="3" spans="1:136" ht="15">
      <c r="B3" s="545" t="s">
        <v>1618</v>
      </c>
      <c r="D3" s="1705" t="s">
        <v>89</v>
      </c>
      <c r="E3" s="1706"/>
      <c r="F3" s="1696" t="s">
        <v>1820</v>
      </c>
      <c r="M3" s="1492"/>
    </row>
    <row r="4" spans="1:136">
      <c r="D4" s="3792" t="str">
        <f>IF(F2=F3,"ok","Reporting in different format can cause errors in transfer")</f>
        <v>ok</v>
      </c>
      <c r="E4" s="3792"/>
      <c r="F4" s="3792"/>
      <c r="G4" s="3792" t="str">
        <f ca="1">IF(OFFSET('VVP2'!$G$2,0,(COLUMN()-6)/5)="ok","ok","Not ok - Check VVP2 for inconsistencies")</f>
        <v>ok</v>
      </c>
      <c r="H4" s="3792"/>
      <c r="I4" s="3792"/>
      <c r="J4" s="3792"/>
      <c r="K4" s="3793"/>
      <c r="L4" s="3792" t="str">
        <f ca="1">IF(OFFSET('VVP2'!$G$2,0,(COLUMN()-6)/5)="ok","ok","Not ok - Check VVP2 for inconsistencies")</f>
        <v>ok</v>
      </c>
      <c r="M4" s="3792"/>
      <c r="N4" s="3792"/>
      <c r="O4" s="3792"/>
      <c r="P4" s="3793"/>
      <c r="Q4" s="3792" t="str">
        <f ca="1">IF(OFFSET('VVP2'!$G$2,0,(COLUMN()-6)/5)="ok","ok","Not ok - Check VVP2 for inconsistencies")</f>
        <v>ok</v>
      </c>
      <c r="R4" s="3792"/>
      <c r="S4" s="3792"/>
      <c r="T4" s="3792"/>
      <c r="U4" s="3793"/>
      <c r="V4" s="3792" t="str">
        <f ca="1">IF(OFFSET('VVP2'!$G$2,0,(COLUMN()-6)/5)="ok","ok","Not ok - Check VVP2 for inconsistencies")</f>
        <v>ok</v>
      </c>
      <c r="W4" s="3792"/>
      <c r="X4" s="3792"/>
      <c r="Y4" s="3792"/>
      <c r="Z4" s="3793"/>
      <c r="AA4" s="3792" t="str">
        <f ca="1">IF(OFFSET('VVP2'!$G$2,0,(COLUMN()-6)/5)="ok","ok","Not ok - Check VVP2 for inconsistencies")</f>
        <v>ok</v>
      </c>
      <c r="AB4" s="3792"/>
      <c r="AC4" s="3792"/>
      <c r="AD4" s="3792"/>
      <c r="AE4" s="3793"/>
      <c r="AF4" s="3792" t="str">
        <f ca="1">IF(OFFSET('VVP2'!$G$2,0,(COLUMN()-6)/5)="ok","ok","Not ok - Check VVP2 for inconsistencies")</f>
        <v>ok</v>
      </c>
      <c r="AG4" s="3792"/>
      <c r="AH4" s="3792"/>
      <c r="AI4" s="3792"/>
      <c r="AJ4" s="3793"/>
      <c r="AK4" s="3792" t="str">
        <f ca="1">IF(OFFSET('VVP2'!$G$2,0,(COLUMN()-6)/5)="ok","ok","Not ok - Check VVP2 for inconsistencies")</f>
        <v>ok</v>
      </c>
      <c r="AL4" s="3792"/>
      <c r="AM4" s="3792"/>
      <c r="AN4" s="3792"/>
      <c r="AO4" s="3793"/>
      <c r="AP4" s="3792" t="str">
        <f ca="1">IF(OFFSET('VVP2'!$G$2,0,(COLUMN()-6)/5)="ok","ok","Not ok - Check VVP2 for inconsistencies")</f>
        <v>ok</v>
      </c>
      <c r="AQ4" s="3792"/>
      <c r="AR4" s="3792"/>
      <c r="AS4" s="3792"/>
      <c r="AT4" s="3793"/>
      <c r="AU4" s="3792" t="str">
        <f ca="1">IF(OFFSET('VVP2'!$G$2,0,(COLUMN()-6)/5)="ok","ok","Not ok - Check VVP2 for inconsistencies")</f>
        <v>ok</v>
      </c>
      <c r="AV4" s="3792"/>
      <c r="AW4" s="3792"/>
      <c r="AX4" s="3792"/>
      <c r="AY4" s="3793"/>
      <c r="AZ4" s="3792" t="str">
        <f ca="1">IF(OFFSET('VVP2'!$G$2,0,(COLUMN()-6)/5)="ok","ok","Not ok - Check VVP2 for inconsistencies")</f>
        <v>ok</v>
      </c>
      <c r="BA4" s="3792"/>
      <c r="BB4" s="3792"/>
      <c r="BC4" s="3792"/>
      <c r="BD4" s="3793"/>
      <c r="BE4" s="3792" t="str">
        <f ca="1">IF(OFFSET('VVP2'!$G$2,0,(COLUMN()-6)/5)="ok","ok","Not ok - Check VVP2 for inconsistencies")</f>
        <v>ok</v>
      </c>
      <c r="BF4" s="3792"/>
      <c r="BG4" s="3792"/>
      <c r="BH4" s="3792"/>
      <c r="BI4" s="3793"/>
      <c r="BJ4" s="3792" t="str">
        <f ca="1">IF(OFFSET('VVP2'!$G$2,0,(COLUMN()-6)/5)="ok","ok","Not ok - Check VVP2 for inconsistencies")</f>
        <v>ok</v>
      </c>
      <c r="BK4" s="3792"/>
      <c r="BL4" s="3792"/>
      <c r="BM4" s="3792"/>
      <c r="BN4" s="3793"/>
      <c r="BO4" s="3792" t="str">
        <f ca="1">IF(OFFSET('VVP2'!$G$2,0,(COLUMN()-6)/5)="ok","ok","Not ok - Check VVP2 for inconsistencies")</f>
        <v>ok</v>
      </c>
      <c r="BP4" s="3792"/>
      <c r="BQ4" s="3792"/>
      <c r="BR4" s="3792"/>
      <c r="BS4" s="3793"/>
      <c r="BT4" s="3795" t="str">
        <f ca="1">IF(OFFSET('VVP2'!$G$2,0,(COLUMN()-6)/5)="ok","ok","Not ok - Check VVP2 for inconsistencies")</f>
        <v>ok</v>
      </c>
      <c r="BU4" s="3792"/>
      <c r="BV4" s="3792"/>
      <c r="BW4" s="3792"/>
      <c r="BX4" s="3793"/>
      <c r="BY4" s="3795" t="str">
        <f ca="1">IF(OFFSET('VVP2'!$G$2,0,(COLUMN()-6)/5)="ok","ok","Not ok - Check VVP2 for inconsistencies")</f>
        <v>ok</v>
      </c>
      <c r="BZ4" s="3792"/>
      <c r="CA4" s="3792"/>
      <c r="CB4" s="3792"/>
      <c r="CC4" s="3793"/>
      <c r="CD4" s="3795" t="str">
        <f ca="1">IF(OFFSET('VVP2'!$G$2,0,(COLUMN()-6)/5)="ok","ok","Not ok - Check VVP2 for inconsistencies")</f>
        <v>ok</v>
      </c>
      <c r="CE4" s="3792"/>
      <c r="CF4" s="3792"/>
      <c r="CG4" s="3792"/>
      <c r="CH4" s="3793"/>
      <c r="CI4" s="3795" t="str">
        <f ca="1">IF(OFFSET('VVP2'!$G$2,0,(COLUMN()-6)/5)="ok","ok","Not ok - Check VVP2 for inconsistencies")</f>
        <v>ok</v>
      </c>
      <c r="CJ4" s="3792"/>
      <c r="CK4" s="3792"/>
      <c r="CL4" s="3792"/>
      <c r="CM4" s="3793"/>
      <c r="CN4" s="3792" t="str">
        <f ca="1">IF(OFFSET('VVP2'!$G$2,0,(COLUMN()-6)/5)="ok","ok","Not ok - Check VVP2 for inconsistencies")</f>
        <v>ok</v>
      </c>
      <c r="CO4" s="3792"/>
      <c r="CP4" s="3792"/>
      <c r="CQ4" s="3792"/>
      <c r="CR4" s="3793"/>
      <c r="CS4" s="3795" t="str">
        <f ca="1">IF(OFFSET('VVP2'!$G$2,0,(COLUMN()-6)/5)="ok","ok","Not ok - Check VVP2 for inconsistencies")</f>
        <v>ok</v>
      </c>
      <c r="CT4" s="3792"/>
      <c r="CU4" s="3792"/>
      <c r="CV4" s="3792"/>
      <c r="CW4" s="3793"/>
      <c r="CX4" s="3795" t="str">
        <f ca="1">IF(OFFSET('VVP2'!$G$2,0,(COLUMN()-6)/5)="ok","ok","Not ok - Check VVP2 for inconsistencies")</f>
        <v>ok</v>
      </c>
      <c r="CY4" s="3792"/>
      <c r="CZ4" s="3792"/>
      <c r="DA4" s="3792"/>
      <c r="DB4" s="3793"/>
      <c r="DC4" s="3795" t="str">
        <f ca="1">IF(OFFSET('VVP2'!$G$2,0,(COLUMN()-6)/5)="ok","ok","Not ok - Check VVP2 for inconsistencies")</f>
        <v>ok</v>
      </c>
      <c r="DD4" s="3792"/>
      <c r="DE4" s="3792"/>
      <c r="DF4" s="3792"/>
      <c r="DG4" s="3793"/>
      <c r="DH4" s="3792" t="str">
        <f ca="1">IF(OFFSET('VVP2'!$G$2,0,(COLUMN()-6)/5)="ok","ok","Not ok - Check VVP2 for inconsistencies")</f>
        <v>ok</v>
      </c>
      <c r="DI4" s="3792"/>
      <c r="DJ4" s="3792"/>
      <c r="DK4" s="3792"/>
      <c r="DL4" s="3793"/>
      <c r="DM4" s="3792" t="str">
        <f ca="1">IF(OFFSET('VVP2'!$G$2,0,(COLUMN()-6)/5)="ok","ok","Not ok - Check VVP2 for inconsistencies")</f>
        <v>ok</v>
      </c>
      <c r="DN4" s="3792"/>
      <c r="DO4" s="3792"/>
      <c r="DP4" s="3792"/>
      <c r="DQ4" s="3793"/>
      <c r="DR4" s="3792" t="str">
        <f ca="1">IF(OFFSET('VVP2'!$G$2,0,(COLUMN()-6)/5)="ok","ok","Not ok - Check VVP2 for inconsistencies")</f>
        <v>ok</v>
      </c>
      <c r="DS4" s="3792"/>
      <c r="DT4" s="3792"/>
      <c r="DU4" s="3792"/>
      <c r="DV4" s="3793"/>
      <c r="DW4" s="3792" t="str">
        <f ca="1">IF(OFFSET('VVP2'!$G$2,0,(COLUMN()-6)/5)="ok","ok","Not ok - Check VVP2 for inconsistencies")</f>
        <v>ok</v>
      </c>
      <c r="DX4" s="3792"/>
      <c r="DY4" s="3792"/>
      <c r="DZ4" s="3792"/>
      <c r="EA4" s="3793"/>
      <c r="EB4" s="3792" t="str">
        <f ca="1">IF(OFFSET('VVP2'!$G$2,0,(COLUMN()-6)/5)="ok","ok","Not ok - Check VVP2 for inconsistencies")</f>
        <v>ok</v>
      </c>
      <c r="EC4" s="3792"/>
      <c r="ED4" s="3792"/>
      <c r="EE4" s="3792"/>
      <c r="EF4" s="3793"/>
    </row>
    <row r="5" spans="1:136">
      <c r="D5" s="1298"/>
      <c r="E5" s="3805" t="s">
        <v>1484</v>
      </c>
      <c r="F5" s="3810"/>
      <c r="G5" s="3788">
        <f>+InputY!$G$3</f>
        <v>1995</v>
      </c>
      <c r="H5" s="3789"/>
      <c r="I5" s="3789"/>
      <c r="J5" s="3789"/>
      <c r="K5" s="3790"/>
      <c r="L5" s="3788">
        <f>+G5+1</f>
        <v>1996</v>
      </c>
      <c r="M5" s="3789"/>
      <c r="N5" s="3789"/>
      <c r="O5" s="3789"/>
      <c r="P5" s="3790"/>
      <c r="Q5" s="3788">
        <f>+L5+1</f>
        <v>1997</v>
      </c>
      <c r="R5" s="3789"/>
      <c r="S5" s="3789"/>
      <c r="T5" s="3789"/>
      <c r="U5" s="3790"/>
      <c r="V5" s="3788">
        <f>+Q5+1</f>
        <v>1998</v>
      </c>
      <c r="W5" s="3789"/>
      <c r="X5" s="3789"/>
      <c r="Y5" s="3789"/>
      <c r="Z5" s="3790"/>
      <c r="AA5" s="3788">
        <f>+V5+1</f>
        <v>1999</v>
      </c>
      <c r="AB5" s="3789"/>
      <c r="AC5" s="3789"/>
      <c r="AD5" s="3789"/>
      <c r="AE5" s="3790"/>
      <c r="AF5" s="3788">
        <f>+AA5+1</f>
        <v>2000</v>
      </c>
      <c r="AG5" s="3789"/>
      <c r="AH5" s="3789"/>
      <c r="AI5" s="3789"/>
      <c r="AJ5" s="3790"/>
      <c r="AK5" s="3788">
        <f>+AF5+1</f>
        <v>2001</v>
      </c>
      <c r="AL5" s="3789"/>
      <c r="AM5" s="3789"/>
      <c r="AN5" s="3789"/>
      <c r="AO5" s="3790"/>
      <c r="AP5" s="3788">
        <f>+AK5+1</f>
        <v>2002</v>
      </c>
      <c r="AQ5" s="3789"/>
      <c r="AR5" s="3789"/>
      <c r="AS5" s="3789"/>
      <c r="AT5" s="3790"/>
      <c r="AU5" s="3788">
        <f>+AP5+1</f>
        <v>2003</v>
      </c>
      <c r="AV5" s="3789"/>
      <c r="AW5" s="3789"/>
      <c r="AX5" s="3789"/>
      <c r="AY5" s="3790"/>
      <c r="AZ5" s="3788">
        <f>+AU5+1</f>
        <v>2004</v>
      </c>
      <c r="BA5" s="3789"/>
      <c r="BB5" s="3789"/>
      <c r="BC5" s="3789"/>
      <c r="BD5" s="3790"/>
      <c r="BE5" s="3788">
        <f>+AZ5+1</f>
        <v>2005</v>
      </c>
      <c r="BF5" s="3789"/>
      <c r="BG5" s="3789"/>
      <c r="BH5" s="3789"/>
      <c r="BI5" s="3790"/>
      <c r="BJ5" s="3788">
        <f>+BE5+1</f>
        <v>2006</v>
      </c>
      <c r="BK5" s="3789"/>
      <c r="BL5" s="3789"/>
      <c r="BM5" s="3789"/>
      <c r="BN5" s="3790"/>
      <c r="BO5" s="3788">
        <f>+BJ5+1</f>
        <v>2007</v>
      </c>
      <c r="BP5" s="3789"/>
      <c r="BQ5" s="3789"/>
      <c r="BR5" s="3789"/>
      <c r="BS5" s="3790"/>
      <c r="BT5" s="3788">
        <f>+BO5+1</f>
        <v>2008</v>
      </c>
      <c r="BU5" s="3789"/>
      <c r="BV5" s="3789"/>
      <c r="BW5" s="3789"/>
      <c r="BX5" s="3790"/>
      <c r="BY5" s="3788">
        <f>+BT5+1</f>
        <v>2009</v>
      </c>
      <c r="BZ5" s="3789"/>
      <c r="CA5" s="3789"/>
      <c r="CB5" s="3789"/>
      <c r="CC5" s="3790"/>
      <c r="CD5" s="3788">
        <f>+BY5+1</f>
        <v>2010</v>
      </c>
      <c r="CE5" s="3789"/>
      <c r="CF5" s="3789"/>
      <c r="CG5" s="3789"/>
      <c r="CH5" s="3790"/>
      <c r="CI5" s="3788">
        <f>+CD5+1</f>
        <v>2011</v>
      </c>
      <c r="CJ5" s="3789"/>
      <c r="CK5" s="3789"/>
      <c r="CL5" s="3789"/>
      <c r="CM5" s="3790"/>
      <c r="CN5" s="3788">
        <f>+CI5+1</f>
        <v>2012</v>
      </c>
      <c r="CO5" s="3789"/>
      <c r="CP5" s="3789"/>
      <c r="CQ5" s="3789"/>
      <c r="CR5" s="3790"/>
      <c r="CS5" s="3788">
        <f>+CN5+1</f>
        <v>2013</v>
      </c>
      <c r="CT5" s="3789"/>
      <c r="CU5" s="3789"/>
      <c r="CV5" s="3789"/>
      <c r="CW5" s="3790"/>
      <c r="CX5" s="3796">
        <f>+CS5+1</f>
        <v>2014</v>
      </c>
      <c r="CY5" s="3797"/>
      <c r="CZ5" s="3797"/>
      <c r="DA5" s="3797"/>
      <c r="DB5" s="3798"/>
      <c r="DC5" s="3796">
        <f>+CX5+1</f>
        <v>2015</v>
      </c>
      <c r="DD5" s="3797"/>
      <c r="DE5" s="3797"/>
      <c r="DF5" s="3797"/>
      <c r="DG5" s="3798"/>
      <c r="DH5" s="3788">
        <f>+DC5+1</f>
        <v>2016</v>
      </c>
      <c r="DI5" s="3789"/>
      <c r="DJ5" s="3789"/>
      <c r="DK5" s="3789"/>
      <c r="DL5" s="3790"/>
      <c r="DM5" s="3788">
        <f>+DH5+1</f>
        <v>2017</v>
      </c>
      <c r="DN5" s="3789"/>
      <c r="DO5" s="3789"/>
      <c r="DP5" s="3789"/>
      <c r="DQ5" s="3790"/>
      <c r="DR5" s="3788">
        <f>+DM5+1</f>
        <v>2018</v>
      </c>
      <c r="DS5" s="3789"/>
      <c r="DT5" s="3789"/>
      <c r="DU5" s="3789"/>
      <c r="DV5" s="3790"/>
      <c r="DW5" s="3788">
        <f>+DR5+1</f>
        <v>2019</v>
      </c>
      <c r="DX5" s="3789"/>
      <c r="DY5" s="3789"/>
      <c r="DZ5" s="3789"/>
      <c r="EA5" s="3790"/>
      <c r="EB5" s="3788">
        <f>+DW5+1</f>
        <v>2020</v>
      </c>
      <c r="EC5" s="3789"/>
      <c r="ED5" s="3789"/>
      <c r="EE5" s="3789"/>
      <c r="EF5" s="3790"/>
    </row>
    <row r="6" spans="1:136">
      <c r="C6" s="3"/>
      <c r="D6" s="1243"/>
      <c r="E6" s="3807"/>
      <c r="F6" s="3811"/>
      <c r="G6" s="1294" t="s">
        <v>396</v>
      </c>
      <c r="H6" s="1295" t="s">
        <v>1774</v>
      </c>
      <c r="I6" s="1294" t="s">
        <v>1249</v>
      </c>
      <c r="J6" s="1295" t="s">
        <v>1772</v>
      </c>
      <c r="K6" s="1294" t="s">
        <v>1250</v>
      </c>
      <c r="L6" s="1294" t="s">
        <v>396</v>
      </c>
      <c r="M6" s="1295" t="s">
        <v>1774</v>
      </c>
      <c r="N6" s="1294" t="s">
        <v>1249</v>
      </c>
      <c r="O6" s="1295" t="s">
        <v>1772</v>
      </c>
      <c r="P6" s="1294" t="s">
        <v>1250</v>
      </c>
      <c r="Q6" s="1294" t="s">
        <v>396</v>
      </c>
      <c r="R6" s="1295" t="s">
        <v>1774</v>
      </c>
      <c r="S6" s="1294" t="s">
        <v>1249</v>
      </c>
      <c r="T6" s="1295" t="s">
        <v>1772</v>
      </c>
      <c r="U6" s="1294" t="s">
        <v>1250</v>
      </c>
      <c r="V6" s="1294" t="s">
        <v>396</v>
      </c>
      <c r="W6" s="1295" t="s">
        <v>1774</v>
      </c>
      <c r="X6" s="1294" t="s">
        <v>1249</v>
      </c>
      <c r="Y6" s="1295" t="s">
        <v>1772</v>
      </c>
      <c r="Z6" s="1294" t="s">
        <v>1250</v>
      </c>
      <c r="AA6" s="1294" t="s">
        <v>396</v>
      </c>
      <c r="AB6" s="1295" t="s">
        <v>1774</v>
      </c>
      <c r="AC6" s="1294" t="s">
        <v>1249</v>
      </c>
      <c r="AD6" s="1295" t="s">
        <v>1772</v>
      </c>
      <c r="AE6" s="1294" t="s">
        <v>1250</v>
      </c>
      <c r="AF6" s="1294" t="s">
        <v>396</v>
      </c>
      <c r="AG6" s="1295" t="s">
        <v>1774</v>
      </c>
      <c r="AH6" s="1294" t="s">
        <v>1249</v>
      </c>
      <c r="AI6" s="1295" t="s">
        <v>1772</v>
      </c>
      <c r="AJ6" s="1294" t="s">
        <v>1250</v>
      </c>
      <c r="AK6" s="1294" t="s">
        <v>396</v>
      </c>
      <c r="AL6" s="1295" t="s">
        <v>1774</v>
      </c>
      <c r="AM6" s="1294" t="s">
        <v>1249</v>
      </c>
      <c r="AN6" s="1295" t="s">
        <v>1772</v>
      </c>
      <c r="AO6" s="1294" t="s">
        <v>1250</v>
      </c>
      <c r="AP6" s="1294" t="s">
        <v>396</v>
      </c>
      <c r="AQ6" s="1295" t="s">
        <v>1774</v>
      </c>
      <c r="AR6" s="1294" t="s">
        <v>1249</v>
      </c>
      <c r="AS6" s="1295" t="s">
        <v>1772</v>
      </c>
      <c r="AT6" s="1294" t="s">
        <v>1250</v>
      </c>
      <c r="AU6" s="1294" t="s">
        <v>396</v>
      </c>
      <c r="AV6" s="1295" t="s">
        <v>1774</v>
      </c>
      <c r="AW6" s="1294" t="s">
        <v>1249</v>
      </c>
      <c r="AX6" s="1295" t="s">
        <v>1772</v>
      </c>
      <c r="AY6" s="1294" t="s">
        <v>1250</v>
      </c>
      <c r="AZ6" s="1294" t="s">
        <v>396</v>
      </c>
      <c r="BA6" s="1295" t="s">
        <v>1774</v>
      </c>
      <c r="BB6" s="1294" t="s">
        <v>1249</v>
      </c>
      <c r="BC6" s="1295" t="s">
        <v>1772</v>
      </c>
      <c r="BD6" s="1294" t="s">
        <v>1250</v>
      </c>
      <c r="BE6" s="1294" t="s">
        <v>396</v>
      </c>
      <c r="BF6" s="1295" t="s">
        <v>1774</v>
      </c>
      <c r="BG6" s="1294" t="s">
        <v>1249</v>
      </c>
      <c r="BH6" s="1295" t="s">
        <v>1772</v>
      </c>
      <c r="BI6" s="1294" t="s">
        <v>1250</v>
      </c>
      <c r="BJ6" s="1294" t="s">
        <v>396</v>
      </c>
      <c r="BK6" s="1295" t="s">
        <v>1774</v>
      </c>
      <c r="BL6" s="1294" t="s">
        <v>1249</v>
      </c>
      <c r="BM6" s="1295" t="s">
        <v>1772</v>
      </c>
      <c r="BN6" s="1294" t="s">
        <v>1250</v>
      </c>
      <c r="BO6" s="1294" t="s">
        <v>396</v>
      </c>
      <c r="BP6" s="1295" t="s">
        <v>1774</v>
      </c>
      <c r="BQ6" s="1294" t="s">
        <v>1249</v>
      </c>
      <c r="BR6" s="1295" t="s">
        <v>1772</v>
      </c>
      <c r="BS6" s="1294" t="s">
        <v>1250</v>
      </c>
      <c r="BT6" s="1294" t="s">
        <v>396</v>
      </c>
      <c r="BU6" s="1295" t="s">
        <v>1774</v>
      </c>
      <c r="BV6" s="1294" t="s">
        <v>1249</v>
      </c>
      <c r="BW6" s="1295" t="s">
        <v>1772</v>
      </c>
      <c r="BX6" s="1294" t="s">
        <v>1250</v>
      </c>
      <c r="BY6" s="1294" t="s">
        <v>396</v>
      </c>
      <c r="BZ6" s="1295" t="s">
        <v>1774</v>
      </c>
      <c r="CA6" s="1294" t="s">
        <v>1249</v>
      </c>
      <c r="CB6" s="1295" t="s">
        <v>1772</v>
      </c>
      <c r="CC6" s="1294" t="s">
        <v>1250</v>
      </c>
      <c r="CD6" s="1294" t="s">
        <v>396</v>
      </c>
      <c r="CE6" s="1295" t="s">
        <v>1774</v>
      </c>
      <c r="CF6" s="1294" t="s">
        <v>1249</v>
      </c>
      <c r="CG6" s="1295" t="s">
        <v>1772</v>
      </c>
      <c r="CH6" s="1294" t="s">
        <v>1250</v>
      </c>
      <c r="CI6" s="1294" t="s">
        <v>396</v>
      </c>
      <c r="CJ6" s="1295" t="s">
        <v>1774</v>
      </c>
      <c r="CK6" s="1294" t="s">
        <v>1249</v>
      </c>
      <c r="CL6" s="1295" t="s">
        <v>1772</v>
      </c>
      <c r="CM6" s="1294" t="s">
        <v>1250</v>
      </c>
      <c r="CN6" s="1294" t="s">
        <v>396</v>
      </c>
      <c r="CO6" s="1295" t="s">
        <v>1774</v>
      </c>
      <c r="CP6" s="1294" t="s">
        <v>1249</v>
      </c>
      <c r="CQ6" s="1295" t="s">
        <v>1772</v>
      </c>
      <c r="CR6" s="1294" t="s">
        <v>1250</v>
      </c>
      <c r="CS6" s="1294" t="s">
        <v>396</v>
      </c>
      <c r="CT6" s="1295" t="s">
        <v>1774</v>
      </c>
      <c r="CU6" s="1294" t="s">
        <v>1249</v>
      </c>
      <c r="CV6" s="1295" t="s">
        <v>1772</v>
      </c>
      <c r="CW6" s="1294" t="s">
        <v>1250</v>
      </c>
      <c r="CX6" s="1294" t="s">
        <v>396</v>
      </c>
      <c r="CY6" s="1295" t="s">
        <v>1774</v>
      </c>
      <c r="CZ6" s="1294" t="s">
        <v>1249</v>
      </c>
      <c r="DA6" s="1295" t="s">
        <v>1772</v>
      </c>
      <c r="DB6" s="1294" t="s">
        <v>1250</v>
      </c>
      <c r="DC6" s="1294" t="s">
        <v>396</v>
      </c>
      <c r="DD6" s="1295" t="s">
        <v>1774</v>
      </c>
      <c r="DE6" s="1294" t="s">
        <v>1249</v>
      </c>
      <c r="DF6" s="1295" t="s">
        <v>1772</v>
      </c>
      <c r="DG6" s="1294" t="s">
        <v>1250</v>
      </c>
      <c r="DH6" s="1294" t="s">
        <v>396</v>
      </c>
      <c r="DI6" s="1295" t="s">
        <v>1774</v>
      </c>
      <c r="DJ6" s="1294" t="s">
        <v>1249</v>
      </c>
      <c r="DK6" s="1295" t="s">
        <v>1772</v>
      </c>
      <c r="DL6" s="1294" t="s">
        <v>1250</v>
      </c>
      <c r="DM6" s="1294" t="s">
        <v>396</v>
      </c>
      <c r="DN6" s="1295" t="s">
        <v>1774</v>
      </c>
      <c r="DO6" s="1294" t="s">
        <v>1249</v>
      </c>
      <c r="DP6" s="1295" t="s">
        <v>1772</v>
      </c>
      <c r="DQ6" s="1294" t="s">
        <v>1250</v>
      </c>
      <c r="DR6" s="1294" t="s">
        <v>396</v>
      </c>
      <c r="DS6" s="1295" t="s">
        <v>1774</v>
      </c>
      <c r="DT6" s="1294" t="s">
        <v>1249</v>
      </c>
      <c r="DU6" s="1295" t="s">
        <v>1772</v>
      </c>
      <c r="DV6" s="1294" t="s">
        <v>1250</v>
      </c>
      <c r="DW6" s="1294" t="s">
        <v>396</v>
      </c>
      <c r="DX6" s="1295" t="s">
        <v>1774</v>
      </c>
      <c r="DY6" s="1294" t="s">
        <v>1249</v>
      </c>
      <c r="DZ6" s="1295" t="s">
        <v>1772</v>
      </c>
      <c r="EA6" s="1294" t="s">
        <v>1250</v>
      </c>
      <c r="EB6" s="1294" t="s">
        <v>396</v>
      </c>
      <c r="EC6" s="1295" t="s">
        <v>1774</v>
      </c>
      <c r="ED6" s="1294" t="s">
        <v>1249</v>
      </c>
      <c r="EE6" s="1295" t="s">
        <v>1772</v>
      </c>
      <c r="EF6" s="1294" t="s">
        <v>1250</v>
      </c>
    </row>
    <row r="7" spans="1:136" s="28" customFormat="1">
      <c r="A7" s="1505"/>
      <c r="C7" s="816" t="s">
        <v>1791</v>
      </c>
      <c r="D7" s="810" t="s">
        <v>664</v>
      </c>
      <c r="E7" s="1263" t="s">
        <v>1998</v>
      </c>
      <c r="F7" s="1264" t="s">
        <v>1773</v>
      </c>
      <c r="G7" s="1408"/>
      <c r="H7" s="1288"/>
      <c r="I7" s="1409"/>
      <c r="J7" s="1276">
        <f ca="1">OFFSET('VVP2'!$G$185,0,(COLUMN()-6)/5)</f>
        <v>893.70299999999997</v>
      </c>
      <c r="K7" s="1412"/>
      <c r="L7" s="1266">
        <f ca="1">OFFSET('VVP2'!$G$10,0,(COLUMN()-7)/5)</f>
        <v>1.8126570986513268</v>
      </c>
      <c r="M7" s="1272">
        <f ca="1">+J7*(1+L7/100)</f>
        <v>909.90277087035986</v>
      </c>
      <c r="N7" s="1266">
        <f t="shared" ref="N7:N17" ca="1" si="0">+O7/M7*100-100</f>
        <v>0.91528780835272983</v>
      </c>
      <c r="O7" s="1272">
        <f ca="1">OFFSET('VVP2'!$G$185,0,(COLUMN()-10)/5)</f>
        <v>918.23099999999999</v>
      </c>
      <c r="P7" s="1265">
        <f t="shared" ref="P7:P17" ca="1" si="1">(O7/J7-1)*100</f>
        <v>2.7445359364352662</v>
      </c>
      <c r="Q7" s="1266">
        <f ca="1">OFFSET('VVP2'!$G$10,0,(COLUMN()-7)/5)</f>
        <v>2.811915062431547</v>
      </c>
      <c r="R7" s="1272">
        <f ca="1">+O7*(1+Q7/100)</f>
        <v>944.05087579691576</v>
      </c>
      <c r="S7" s="1266">
        <f t="shared" ref="S7:S15" ca="1" si="2">+T7/R7*100-100</f>
        <v>1.4363764232131473</v>
      </c>
      <c r="T7" s="1272">
        <f ca="1">OFFSET('VVP2'!$G$185,0,(COLUMN()-10)/5)</f>
        <v>957.61099999999999</v>
      </c>
      <c r="U7" s="1265">
        <f t="shared" ref="U7:U15" ca="1" si="3">(T7/O7-1)*100</f>
        <v>4.2886811706422501</v>
      </c>
      <c r="V7" s="1266">
        <f ca="1">OFFSET('VVP2'!$G$10,0,(COLUMN()-7)/5)</f>
        <v>3.3012207776909941</v>
      </c>
      <c r="W7" s="1272">
        <f ca="1">+T7*(1+V7/100)</f>
        <v>989.22385330145448</v>
      </c>
      <c r="X7" s="1266">
        <f t="shared" ref="X7:X15" ca="1" si="4">+Y7/W7*100-100</f>
        <v>0.45592781487155776</v>
      </c>
      <c r="Y7" s="1272">
        <f ca="1">OFFSET('VVP2'!$G$185,0,(COLUMN()-10)/5)</f>
        <v>993.73400000000004</v>
      </c>
      <c r="Z7" s="1265">
        <f t="shared" ref="Z7:Z15" ca="1" si="5">(Y7/T7-1)*100</f>
        <v>3.7721997763183746</v>
      </c>
      <c r="AA7" s="1266">
        <f ca="1">OFFSET('VVP2'!$G$10,0,(COLUMN()-7)/5)</f>
        <v>4.0294521711662812</v>
      </c>
      <c r="AB7" s="1272">
        <f ca="1">+Y7*(1+AA7/100)</f>
        <v>1033.7760362386175</v>
      </c>
      <c r="AC7" s="1266">
        <f t="shared" ref="AC7:AC15" ca="1" si="6">+AD7/AB7*100-100</f>
        <v>1.4759448107250108</v>
      </c>
      <c r="AD7" s="1272">
        <f ca="1">OFFSET('VVP2'!$G$185,0,(COLUMN()-10)/5)</f>
        <v>1049.0340000000001</v>
      </c>
      <c r="AE7" s="1265">
        <f t="shared" ref="AE7:AE15" ca="1" si="7">(AD7/Y7-1)*100</f>
        <v>5.5648694721122549</v>
      </c>
      <c r="AF7" s="1266">
        <f ca="1">OFFSET('VVP2'!$G$10,0,(COLUMN()-7)/5)</f>
        <v>5.2482581222726976</v>
      </c>
      <c r="AG7" s="1272">
        <f ca="1">+AD7*(1+AF7/100)</f>
        <v>1104.0900121104023</v>
      </c>
      <c r="AH7" s="1266">
        <f t="shared" ref="AH7:AH15" ca="1" si="8">+AI7/AG7*100-100</f>
        <v>0.98470122638067892</v>
      </c>
      <c r="AI7" s="1272">
        <f ca="1">OFFSET('VVP2'!$G$185,0,(COLUMN()-10)/5)</f>
        <v>1114.962</v>
      </c>
      <c r="AJ7" s="1265">
        <f t="shared" ref="AJ7:AJ15" ca="1" si="9">(AI7/AD7-1)*100</f>
        <v>6.2846390107470285</v>
      </c>
      <c r="AK7" s="1266">
        <f ca="1">OFFSET('VVP2'!$G$10,0,(COLUMN()-7)/5)</f>
        <v>0.73108535870765046</v>
      </c>
      <c r="AL7" s="1272">
        <f ca="1">+AI7*(1+AK7/100)</f>
        <v>1123.1133239371541</v>
      </c>
      <c r="AM7" s="1266">
        <f t="shared" ref="AM7:AM15" ca="1" si="10">+AN7/AL7*100-100</f>
        <v>2.1520246931197704</v>
      </c>
      <c r="AN7" s="1272">
        <f ca="1">OFFSET('VVP2'!$G$185,0,(COLUMN()-10)/5)</f>
        <v>1147.2829999999999</v>
      </c>
      <c r="AO7" s="1265">
        <f t="shared" ref="AO7:AO15" ca="1" si="11">(AN7/AI7-1)*100</f>
        <v>2.8988431892746025</v>
      </c>
      <c r="AP7" s="1266">
        <f ca="1">OFFSET('VVP2'!$G$10,0,(COLUMN()-7)/5)</f>
        <v>2.6071460723935624</v>
      </c>
      <c r="AQ7" s="1272">
        <f ca="1">+AN7*(1+AP7/100)</f>
        <v>1177.194343673739</v>
      </c>
      <c r="AR7" s="1266">
        <f t="shared" ref="AR7:AR15" ca="1" si="12">+AS7/AQ7*100-100</f>
        <v>1.4423834447990487</v>
      </c>
      <c r="AS7" s="1272">
        <f ca="1">OFFSET('VVP2'!$G$185,0,(COLUMN()-10)/5)</f>
        <v>1194.174</v>
      </c>
      <c r="AT7" s="1265">
        <f t="shared" ref="AT7:AT15" ca="1" si="13">(AS7/AN7-1)*100</f>
        <v>4.0871345605225651</v>
      </c>
      <c r="AU7" s="1266">
        <f ca="1">OFFSET('VVP2'!$G$10,0,(COLUMN()-7)/5)</f>
        <v>2.3145475337566834</v>
      </c>
      <c r="AV7" s="1272">
        <f ca="1">+AS7*(1+AU7/100)</f>
        <v>1221.8137248657636</v>
      </c>
      <c r="AW7" s="1266">
        <f t="shared" ref="AW7:AW15" ca="1" si="14">+AX7/AV7*100-100</f>
        <v>1.6213007540419397</v>
      </c>
      <c r="AX7" s="1272">
        <f ca="1">OFFSET('VVP2'!$G$185,0,(COLUMN()-10)/5)</f>
        <v>1241.623</v>
      </c>
      <c r="AY7" s="1265">
        <f t="shared" ref="AY7:AY15" ca="1" si="15">(AX7/AS7-1)*100</f>
        <v>3.9733740644160687</v>
      </c>
      <c r="AZ7" s="1266">
        <f ca="1">OFFSET('VVP2'!$G$10,0,(COLUMN()-7)/5)</f>
        <v>2.7892797384733159</v>
      </c>
      <c r="BA7" s="1272">
        <f ca="1">+AX7*(1+AZ7/100)</f>
        <v>1276.2553387672247</v>
      </c>
      <c r="BB7" s="1266">
        <f t="shared" ref="BB7:BB15" ca="1" si="16">+BC7/BA7*100-100</f>
        <v>0.77842269732416014</v>
      </c>
      <c r="BC7" s="1272">
        <f ca="1">OFFSET('VVP2'!$G$185,0,(COLUMN()-10)/5)</f>
        <v>1286.19</v>
      </c>
      <c r="BD7" s="1265">
        <f t="shared" ref="BD7:BD15" ca="1" si="17">(BC7/AX7-1)*100</f>
        <v>3.5894148223736266</v>
      </c>
      <c r="BE7" s="1266">
        <f ca="1">OFFSET('VVP2'!$G$10,0,(COLUMN()-7)/5)</f>
        <v>2.7674313067884482</v>
      </c>
      <c r="BF7" s="1272">
        <f ca="1">+BC7*(1+BE7/100)</f>
        <v>1321.7844247247824</v>
      </c>
      <c r="BG7" s="1266">
        <f t="shared" ref="BG7:BG15" ca="1" si="18">+BH7/BF7*100-100</f>
        <v>1.1094528730183129</v>
      </c>
      <c r="BH7" s="1272">
        <f ca="1">OFFSET('VVP2'!$G$185,0,(COLUMN()-10)/5)</f>
        <v>1336.4490000000001</v>
      </c>
      <c r="BI7" s="1265">
        <f t="shared" ref="BI7:BI15" ca="1" si="19">(BH7/BC7-1)*100</f>
        <v>3.9075875259487303</v>
      </c>
      <c r="BJ7" s="1266">
        <f ca="1">OFFSET('VVP2'!$G$10,0,(COLUMN()-7)/5)</f>
        <v>2.6714825766315009</v>
      </c>
      <c r="BK7" s="1272">
        <f ca="1">+BH7*(1+BJ7/100)</f>
        <v>1372.1520021805659</v>
      </c>
      <c r="BL7" s="1266">
        <f t="shared" ref="BL7:BL15" ca="1" si="20">+BM7/BK7*100-100</f>
        <v>1.2042396026952389</v>
      </c>
      <c r="BM7" s="1272">
        <f ca="1">OFFSET('VVP2'!$G$185,0,(COLUMN()-10)/5)</f>
        <v>1388.6759999999999</v>
      </c>
      <c r="BN7" s="1265">
        <f t="shared" ref="BN7:BN15" ca="1" si="21">(BM7/BH7-1)*100</f>
        <v>3.9078932304936309</v>
      </c>
      <c r="BO7" s="1266">
        <f ca="1">OFFSET('VVP2'!$G$10,0,(COLUMN()-7)/5)</f>
        <v>3.7947685169116951</v>
      </c>
      <c r="BP7" s="1272">
        <f ca="1">+BM7*(1+BO7/100)</f>
        <v>1441.3730396499086</v>
      </c>
      <c r="BQ7" s="1266">
        <f t="shared" ref="BQ7:BQ15" ca="1" si="22">+BR7/BP7*100-100</f>
        <v>1.4458408598479764</v>
      </c>
      <c r="BR7" s="1272">
        <f ca="1">OFFSET('VVP2'!$G$185,0,(COLUMN()-10)/5)</f>
        <v>1462.213</v>
      </c>
      <c r="BS7" s="1265">
        <f t="shared" ref="BS7:BS15" ca="1" si="23">(BR7/BM7-1)*100</f>
        <v>5.2954756905138511</v>
      </c>
      <c r="BT7" s="1266">
        <f ca="1">OFFSET('VVP2'!$G$10,0,(COLUMN()-7)/5)</f>
        <v>0.22777889594640666</v>
      </c>
      <c r="BU7" s="1272">
        <f ca="1">+BR7*(1+BT7/100)</f>
        <v>1465.5436126277848</v>
      </c>
      <c r="BV7" s="1266">
        <f t="shared" ref="BV7:BV15" ca="1" si="24">+BW7/BU7*100-100</f>
        <v>3.1223490708793662</v>
      </c>
      <c r="BW7" s="1272">
        <f ca="1">OFFSET('VVP2'!$G$185,0,(COLUMN()-10)/5)</f>
        <v>1511.3030000000001</v>
      </c>
      <c r="BX7" s="1265">
        <f t="shared" ref="BX7:BX15" ca="1" si="25">(BW7/BR7-1)*100</f>
        <v>3.3572400190670093</v>
      </c>
      <c r="BY7" s="1266">
        <f ca="1">OFFSET('VVP2'!$G$10,0,(COLUMN()-7)/5)</f>
        <v>0.35082887126818285</v>
      </c>
      <c r="BZ7" s="1272">
        <f ca="1">+BW7*(1+BY7/100)</f>
        <v>1516.6050872563424</v>
      </c>
      <c r="CA7" s="1266">
        <f t="shared" ref="CA7:CA15" ca="1" si="26">+CB7/BZ7*100-100</f>
        <v>2.2274693015023246</v>
      </c>
      <c r="CB7" s="1272">
        <f ca="1">OFFSET('VVP2'!$G$185,0,(COLUMN()-10)/5)</f>
        <v>1550.3869999999999</v>
      </c>
      <c r="CC7" s="1265">
        <f t="shared" ref="CC7:CC15" ca="1" si="27">(CB7/BW7-1)*100</f>
        <v>2.5861127781788174</v>
      </c>
      <c r="CD7" s="1266">
        <f ca="1">OFFSET('VVP2'!$G$10,0,(COLUMN()-7)/5)</f>
        <v>3.8903875314705516</v>
      </c>
      <c r="CE7" s="1272">
        <f ca="1">+CB7*(1+CD7/100)</f>
        <v>1610.7030625375403</v>
      </c>
      <c r="CF7" s="1266">
        <f t="shared" ref="CF7:CF15" ca="1" si="28">+CG7/CE7*100-100</f>
        <v>1.4861173371551786</v>
      </c>
      <c r="CG7" s="1272">
        <f ca="1">OFFSET('VVP2'!$G$185,0,(COLUMN()-10)/5)</f>
        <v>1634.64</v>
      </c>
      <c r="CH7" s="1265">
        <f t="shared" ref="CH7:CH15" ca="1" si="29">(CG7/CB7-1)*100</f>
        <v>5.4343205922134485</v>
      </c>
      <c r="CI7" s="1266">
        <f ca="1">OFFSET('VVP2'!$G$10,0,(COLUMN()-7)/5)</f>
        <v>1.8666091616502678</v>
      </c>
      <c r="CJ7" s="1272">
        <f ca="1">+CG7*(1+CI7/100)</f>
        <v>1665.1523400000001</v>
      </c>
      <c r="CK7" s="1266">
        <f t="shared" ref="CK7:CK15" ca="1" si="30">+CL7/CJ7*100-100</f>
        <v>1.6660733876156826</v>
      </c>
      <c r="CL7" s="1272">
        <f ca="1">OFFSET('VVP2'!$G$185,0,(COLUMN()-10)/5)</f>
        <v>1692.895</v>
      </c>
      <c r="CM7" s="1265">
        <f t="shared" ref="CM7:CM15" ca="1" si="31">(CL7/CG7-1)*100</f>
        <v>3.5637816277590106</v>
      </c>
      <c r="CN7" s="1266">
        <f ca="1">OFFSET('VVP2'!$G$10,0,(COLUMN()-7)/5)</f>
        <v>0.78946230229000047</v>
      </c>
      <c r="CO7" s="1272">
        <f ca="1">+CL7*(1+CN7/100)</f>
        <v>1706.2597678423522</v>
      </c>
      <c r="CP7" s="1266">
        <f t="shared" ref="CP7:CP15" ca="1" si="32">+CQ7/CO7*100-100</f>
        <v>0.51388612231862396</v>
      </c>
      <c r="CQ7" s="1272">
        <f ca="1">OFFSET('VVP2'!$G$185,0,(COLUMN()-10)/5)</f>
        <v>1715.028</v>
      </c>
      <c r="CR7" s="1265">
        <f t="shared" ref="CR7:CR15" ca="1" si="33">(CQ7/CL7-1)*100</f>
        <v>1.3074053618210346</v>
      </c>
      <c r="CS7" s="1266">
        <f ca="1">OFFSET('VVP2'!$G$10,0,(COLUMN()-7)/5)</f>
        <v>1.8588235418893984</v>
      </c>
      <c r="CT7" s="1272">
        <f ca="1">+CQ7*(1+CS7/100)</f>
        <v>1746.907344213995</v>
      </c>
      <c r="CU7" s="1266">
        <f t="shared" ref="CU7:CU15" ca="1" si="34">+CV7/CT7*100-100</f>
        <v>0.70980615125779423</v>
      </c>
      <c r="CV7" s="1272">
        <f ca="1">OFFSET('VVP2'!$G$185,0,(COLUMN()-10)/5)</f>
        <v>1759.307</v>
      </c>
      <c r="CW7" s="1265">
        <f t="shared" ref="CW7:CW15" ca="1" si="35">(CV7/CQ7-1)*100</f>
        <v>2.5818237369885422</v>
      </c>
      <c r="CX7" s="1266">
        <f ca="1">OFFSET('VVP2'!$G$10,0,(COLUMN()-7)/5)</f>
        <v>2.1277234853534388</v>
      </c>
      <c r="CY7" s="1272">
        <f ca="1">+CV7*(1+CX7/100)</f>
        <v>1796.740188218467</v>
      </c>
      <c r="CZ7" s="1266">
        <f t="shared" ref="CZ7:CZ15" ca="1" si="36">+DA7/CY7*100-100</f>
        <v>1.0818933037172798</v>
      </c>
      <c r="DA7" s="1272">
        <f ca="1">OFFSET('VVP2'!$G$185,0,(COLUMN()-10)/5)</f>
        <v>1816.1790000000001</v>
      </c>
      <c r="DB7" s="1265">
        <f t="shared" ref="DB7:DB15" ca="1" si="37">(DA7/CV7-1)*100</f>
        <v>3.2326364869803781</v>
      </c>
      <c r="DC7" s="1266">
        <f ca="1">OFFSET('VVP2'!$G$10,0,(COLUMN()-7)/5)</f>
        <v>3.1190061154737769</v>
      </c>
      <c r="DD7" s="1272">
        <f ca="1">+DA7*(1+DC7/100)</f>
        <v>1872.8257340779505</v>
      </c>
      <c r="DE7" s="1266">
        <f t="shared" ref="DE7:DE15" ca="1" si="38">+DF7/DD7*100-100</f>
        <v>0.86902190769299636</v>
      </c>
      <c r="DF7" s="1272">
        <f ca="1">OFFSET('VVP2'!$G$185,0,(COLUMN()-10)/5)</f>
        <v>1889.1010000000001</v>
      </c>
      <c r="DG7" s="1265">
        <f t="shared" ref="DG7:DG15" ca="1" si="39">(DF7/DA7-1)*100</f>
        <v>4.0151328696125255</v>
      </c>
      <c r="DH7" s="1266">
        <f ca="1">OFFSET('VVP2'!$G$10,0,(COLUMN()-7)/5)</f>
        <v>2.8637431218266451</v>
      </c>
      <c r="DI7" s="1272">
        <f ca="1">+DF7*(1+DH7/100)</f>
        <v>1943.1999999518584</v>
      </c>
      <c r="DJ7" s="1266">
        <f t="shared" ref="DJ7:DJ11" ca="1" si="40">+DK7/DI7*100-100</f>
        <v>0.99886784935272033</v>
      </c>
      <c r="DK7" s="1272">
        <f ca="1">OFFSET('VVP2'!$G$185,0,(COLUMN()-10)/5)</f>
        <v>1962.61</v>
      </c>
      <c r="DL7" s="1265">
        <f t="shared" ref="DL7:DL11" ca="1" si="41">(DK7/DF7-1)*100</f>
        <v>3.8912159805113644</v>
      </c>
      <c r="DM7" s="1266">
        <f ca="1">OFFSET('VVP2'!$G$10,0,(COLUMN()-7)/5)</f>
        <v>2.2129477588303637</v>
      </c>
      <c r="DN7" s="1272">
        <f ca="1">+DK7*(1+DM7/100)</f>
        <v>2006.0415340095806</v>
      </c>
      <c r="DO7" s="1266">
        <f t="shared" ref="DO7:DO11" ca="1" si="42">+DP7/DN7*100-100</f>
        <v>1.7327889478410583</v>
      </c>
      <c r="DP7" s="1272">
        <f ca="1">OFFSET('VVP2'!$G$185,0,(COLUMN()-10)/5)</f>
        <v>2040.8019999999999</v>
      </c>
      <c r="DQ7" s="1265">
        <f t="shared" ref="DQ7:DQ15" ca="1" si="43">(DP7/DK7-1)*100</f>
        <v>3.9840824208579484</v>
      </c>
      <c r="DR7" s="1905">
        <f>+DR35</f>
        <v>2.4</v>
      </c>
      <c r="DS7" s="1267">
        <f ca="1">+DP7*(1+DR7/100)</f>
        <v>2089.7812479999998</v>
      </c>
      <c r="DT7" s="1905">
        <f>+DT35</f>
        <v>1.7</v>
      </c>
      <c r="DU7" s="1267">
        <f ca="1">+DS7*(1+DT7/100)</f>
        <v>2125.3075292159997</v>
      </c>
      <c r="DV7" s="1440">
        <f t="shared" ref="DV7:DV15" ca="1" si="44">(DU7/DP7-1)*100</f>
        <v>4.1407999999999889</v>
      </c>
      <c r="DW7" s="1905">
        <f>+DW35</f>
        <v>2.33</v>
      </c>
      <c r="DX7" s="1267">
        <f ca="1">+DU7*(1+DW7/100)</f>
        <v>2174.8271946467326</v>
      </c>
      <c r="DY7" s="1905">
        <f>+DY35</f>
        <v>1.7</v>
      </c>
      <c r="DZ7" s="1267">
        <f ca="1">+DX7*(1+DY7/100)</f>
        <v>2211.7992569557268</v>
      </c>
      <c r="EA7" s="1440">
        <f t="shared" ref="EA7:EA15" ca="1" si="45">(DZ7/DU7-1)*100</f>
        <v>4.0696099999999902</v>
      </c>
      <c r="EB7" s="1905">
        <f>+EB35</f>
        <v>2.1</v>
      </c>
      <c r="EC7" s="1267">
        <f ca="1">+DZ7*(1+EB7/100)</f>
        <v>2258.2470413517967</v>
      </c>
      <c r="ED7" s="1905">
        <f>+ED35</f>
        <v>1.8</v>
      </c>
      <c r="EE7" s="1267">
        <f ca="1">+EC7*(1+ED7/100)</f>
        <v>2298.8954880961292</v>
      </c>
      <c r="EF7" s="1440">
        <f t="shared" ref="EF7:EF15" ca="1" si="46">(EE7/DZ7-1)*100</f>
        <v>3.9377999999999913</v>
      </c>
    </row>
    <row r="8" spans="1:136">
      <c r="C8" s="1268" t="s">
        <v>1791</v>
      </c>
      <c r="D8" s="1" t="s">
        <v>666</v>
      </c>
      <c r="E8" s="1" t="s">
        <v>1998</v>
      </c>
      <c r="F8" s="3" t="s">
        <v>1332</v>
      </c>
      <c r="G8" s="1285"/>
      <c r="H8" s="1286"/>
      <c r="I8" s="1287"/>
      <c r="J8" s="1276">
        <f ca="1">OFFSET('VVP2'!$G$193,0,(COLUMN()-6)/5)</f>
        <v>480.69099999999997</v>
      </c>
      <c r="K8" s="1289"/>
      <c r="L8" s="1253">
        <f ca="1">OFFSET('VVP2'!$G$16,0,(COLUMN()-7)/5)</f>
        <v>-0.12610582465436559</v>
      </c>
      <c r="M8" s="1279">
        <f ca="1">+J8*(1+L8/100)</f>
        <v>480.08482065041068</v>
      </c>
      <c r="N8" s="1330">
        <f t="shared" ca="1" si="0"/>
        <v>4.1897136681678546</v>
      </c>
      <c r="O8" s="1276">
        <f ca="1">OFFSET('VVP2'!$G$193,0,(COLUMN()-6)/5)</f>
        <v>500.19900000000001</v>
      </c>
      <c r="P8" s="1261">
        <f t="shared" ca="1" si="1"/>
        <v>4.0583243705415883</v>
      </c>
      <c r="Q8" s="1253">
        <f ca="1">OFFSET('VVP2'!$G$16,0,(COLUMN()-7)/5)</f>
        <v>-0.46058410623160961</v>
      </c>
      <c r="R8" s="1279">
        <f ca="1">+O8*(1+Q8/100)</f>
        <v>497.89516290647055</v>
      </c>
      <c r="S8" s="1330">
        <f t="shared" ca="1" si="2"/>
        <v>3.0532204821570161</v>
      </c>
      <c r="T8" s="1276">
        <f ca="1">OFFSET('VVP2'!$G$193,0,(COLUMN()-6)/5)</f>
        <v>513.09699999999998</v>
      </c>
      <c r="U8" s="1261">
        <f t="shared" ca="1" si="3"/>
        <v>2.5785737276563969</v>
      </c>
      <c r="V8" s="1253">
        <f ca="1">OFFSET('VVP2'!$G$16,0,(COLUMN()-7)/5)</f>
        <v>3.7946308867956802</v>
      </c>
      <c r="W8" s="1279">
        <f ca="1">+T8*(1+V8/100)</f>
        <v>532.56713724122199</v>
      </c>
      <c r="X8" s="1330">
        <f t="shared" ca="1" si="4"/>
        <v>1.5640962756222621</v>
      </c>
      <c r="Y8" s="1276">
        <f ca="1">OFFSET('VVP2'!$G$193,0,(COLUMN()-6)/5)</f>
        <v>540.89700000000005</v>
      </c>
      <c r="Z8" s="1261">
        <f t="shared" ca="1" si="5"/>
        <v>5.4180788427919291</v>
      </c>
      <c r="AA8" s="1253">
        <f ca="1">OFFSET('VVP2'!$G$16,0,(COLUMN()-7)/5)</f>
        <v>1.7489539714230729</v>
      </c>
      <c r="AB8" s="1279">
        <f ca="1">+Y8*(1+AA8/100)</f>
        <v>550.35703956280827</v>
      </c>
      <c r="AC8" s="1330">
        <f t="shared" ca="1" si="6"/>
        <v>3.4005125930720368</v>
      </c>
      <c r="AD8" s="1276">
        <f ca="1">OFFSET('VVP2'!$G$193,0,(COLUMN()-6)/5)</f>
        <v>569.072</v>
      </c>
      <c r="AE8" s="1261">
        <f t="shared" ca="1" si="7"/>
        <v>5.2089399645403711</v>
      </c>
      <c r="AF8" s="1253">
        <f ca="1">OFFSET('VVP2'!$G$16,0,(COLUMN()-7)/5)</f>
        <v>-0.90711123378360847</v>
      </c>
      <c r="AG8" s="1279">
        <f ca="1">+AD8*(1+AF8/100)</f>
        <v>563.90988395968293</v>
      </c>
      <c r="AH8" s="1330">
        <f t="shared" ca="1" si="8"/>
        <v>3.5757692166570791</v>
      </c>
      <c r="AI8" s="1276">
        <f ca="1">OFFSET('VVP2'!$G$193,0,(COLUMN()-6)/5)</f>
        <v>584.07399999999996</v>
      </c>
      <c r="AJ8" s="1261">
        <f t="shared" ca="1" si="9"/>
        <v>2.636221778615</v>
      </c>
      <c r="AK8" s="1253">
        <f ca="1">OFFSET('VVP2'!$G$16,0,(COLUMN()-7)/5)</f>
        <v>0.17187906671523034</v>
      </c>
      <c r="AL8" s="1279">
        <f ca="1">+AI8*(1+AK8/100)</f>
        <v>585.07790094012626</v>
      </c>
      <c r="AM8" s="1330">
        <f t="shared" ca="1" si="10"/>
        <v>4.7106716927074928</v>
      </c>
      <c r="AN8" s="1276">
        <f ca="1">OFFSET('VVP2'!$G$193,0,(COLUMN()-6)/5)</f>
        <v>612.63900000000001</v>
      </c>
      <c r="AO8" s="1261">
        <f t="shared" ca="1" si="11"/>
        <v>4.8906474179641668</v>
      </c>
      <c r="AP8" s="1253">
        <f ca="1">OFFSET('VVP2'!$G$16,0,(COLUMN()-7)/5)</f>
        <v>2.0992381926698611</v>
      </c>
      <c r="AQ8" s="1279">
        <f ca="1">+AN8*(1+AP8/100)</f>
        <v>625.49975187119071</v>
      </c>
      <c r="AR8" s="1330">
        <f t="shared" ca="1" si="12"/>
        <v>4.6615922774680456</v>
      </c>
      <c r="AS8" s="1276">
        <f ca="1">OFFSET('VVP2'!$G$193,0,(COLUMN()-6)/5)</f>
        <v>654.65800000000002</v>
      </c>
      <c r="AT8" s="1261">
        <f t="shared" ca="1" si="13"/>
        <v>6.8586883956130773</v>
      </c>
      <c r="AU8" s="1253">
        <f ca="1">OFFSET('VVP2'!$G$16,0,(COLUMN()-7)/5)</f>
        <v>0.67073127459196247</v>
      </c>
      <c r="AV8" s="1279">
        <f ca="1">+AS8*(1+AU8/100)</f>
        <v>659.04899594761821</v>
      </c>
      <c r="AW8" s="1330">
        <f t="shared" ca="1" si="14"/>
        <v>4.4571806091813642</v>
      </c>
      <c r="AX8" s="1276">
        <f ca="1">OFFSET('VVP2'!$G$193,0,(COLUMN()-6)/5)</f>
        <v>688.42399999999998</v>
      </c>
      <c r="AY8" s="1261">
        <f t="shared" ca="1" si="15"/>
        <v>5.1578075880841512</v>
      </c>
      <c r="AZ8" s="1253">
        <f ca="1">OFFSET('VVP2'!$G$16,0,(COLUMN()-7)/5)</f>
        <v>-0.22993671192949039</v>
      </c>
      <c r="BA8" s="1279">
        <f ca="1">+AX8*(1+AZ8/100)</f>
        <v>686.8410604902665</v>
      </c>
      <c r="BB8" s="1330">
        <f t="shared" ca="1" si="16"/>
        <v>2.0643698120803293</v>
      </c>
      <c r="BC8" s="1276">
        <f ca="1">OFFSET('VVP2'!$G$193,0,(COLUMN()-6)/5)</f>
        <v>701.02</v>
      </c>
      <c r="BD8" s="1261">
        <f t="shared" ca="1" si="17"/>
        <v>1.8296863560828713</v>
      </c>
      <c r="BE8" s="1253">
        <f ca="1">OFFSET('VVP2'!$G$16,0,(COLUMN()-7)/5)</f>
        <v>0.37185016978151797</v>
      </c>
      <c r="BF8" s="1279">
        <f ca="1">+BC8*(1+BE8/100)</f>
        <v>703.62674406020233</v>
      </c>
      <c r="BG8" s="1330">
        <f t="shared" ca="1" si="18"/>
        <v>2.7024635007578439</v>
      </c>
      <c r="BH8" s="1276">
        <f ca="1">OFFSET('VVP2'!$G$193,0,(COLUMN()-6)/5)</f>
        <v>722.64200000000005</v>
      </c>
      <c r="BI8" s="1261">
        <f t="shared" ca="1" si="19"/>
        <v>3.0843627856552036</v>
      </c>
      <c r="BJ8" s="1253">
        <f ca="1">OFFSET('VVP2'!$G$16,0,(COLUMN()-7)/5)</f>
        <v>1.6116247303785691</v>
      </c>
      <c r="BK8" s="1279">
        <f ca="1">+BH8*(1+BJ8/100)</f>
        <v>734.2882771841023</v>
      </c>
      <c r="BL8" s="1330">
        <f t="shared" ca="1" si="20"/>
        <v>3.7133539596276677</v>
      </c>
      <c r="BM8" s="1276">
        <f ca="1">OFFSET('VVP2'!$G$193,0,(COLUMN()-6)/5)</f>
        <v>761.55499999999995</v>
      </c>
      <c r="BN8" s="1261">
        <f t="shared" ca="1" si="21"/>
        <v>5.3848240207460707</v>
      </c>
      <c r="BO8" s="1253">
        <f ca="1">OFFSET('VVP2'!$G$16,0,(COLUMN()-7)/5)</f>
        <v>0.50144982675248695</v>
      </c>
      <c r="BP8" s="1279">
        <f ca="1">+BM8*(1+BO8/100)</f>
        <v>765.37381622812484</v>
      </c>
      <c r="BQ8" s="1330">
        <f t="shared" ca="1" si="22"/>
        <v>3.6694727695654592</v>
      </c>
      <c r="BR8" s="1276">
        <f ca="1">OFFSET('VVP2'!$G$193,0,(COLUMN()-6)/5)</f>
        <v>793.45899999999995</v>
      </c>
      <c r="BS8" s="1261">
        <f t="shared" ca="1" si="23"/>
        <v>4.1893231611636716</v>
      </c>
      <c r="BT8" s="1253">
        <f ca="1">OFFSET('VVP2'!$G$16,0,(COLUMN()-7)/5)</f>
        <v>1.3358846932923107</v>
      </c>
      <c r="BU8" s="1279">
        <f ca="1">+BR8*(1+BT8/100)</f>
        <v>804.05869732855024</v>
      </c>
      <c r="BV8" s="1330">
        <f t="shared" ca="1" si="24"/>
        <v>3.6447964270293483</v>
      </c>
      <c r="BW8" s="1276">
        <f ca="1">OFFSET('VVP2'!$G$193,0,(COLUMN()-6)/5)</f>
        <v>833.36500000000001</v>
      </c>
      <c r="BX8" s="1261">
        <f t="shared" ca="1" si="25"/>
        <v>5.0293713978920129</v>
      </c>
      <c r="BY8" s="1253">
        <f ca="1">OFFSET('VVP2'!$G$16,0,(COLUMN()-7)/5)</f>
        <v>2.2551175336794627</v>
      </c>
      <c r="BZ8" s="1279">
        <f ca="1">+BW8*(1+BY8/100)</f>
        <v>852.1583602345479</v>
      </c>
      <c r="CA8" s="1330">
        <f t="shared" ca="1" si="26"/>
        <v>0.98686349367473269</v>
      </c>
      <c r="CB8" s="1276">
        <f ca="1">OFFSET('VVP2'!$G$193,0,(COLUMN()-6)/5)</f>
        <v>860.56799999999998</v>
      </c>
      <c r="CC8" s="1261">
        <f t="shared" ca="1" si="27"/>
        <v>3.2642359590335568</v>
      </c>
      <c r="CD8" s="1253">
        <f ca="1">OFFSET('VVP2'!$G$16,0,(COLUMN()-7)/5)</f>
        <v>1.3140217343272864</v>
      </c>
      <c r="CE8" s="1279">
        <f ca="1">+CB8*(1+CD8/100)</f>
        <v>871.87605055866561</v>
      </c>
      <c r="CF8" s="1330">
        <f t="shared" ca="1" si="28"/>
        <v>1.6626158537152094</v>
      </c>
      <c r="CG8" s="1276">
        <f ca="1">OFFSET('VVP2'!$G$193,0,(COLUMN()-6)/5)</f>
        <v>886.37199999999996</v>
      </c>
      <c r="CH8" s="1261">
        <f t="shared" ca="1" si="29"/>
        <v>2.9984847217186861</v>
      </c>
      <c r="CI8" s="1253">
        <f ca="1">OFFSET('VVP2'!$G$16,0,(COLUMN()-7)/5)</f>
        <v>0.82615876855316461</v>
      </c>
      <c r="CJ8" s="1279">
        <f ca="1">+CG8*(1+CI8/100)</f>
        <v>893.69484</v>
      </c>
      <c r="CK8" s="1330">
        <f t="shared" ca="1" si="30"/>
        <v>3.0349464700948801</v>
      </c>
      <c r="CL8" s="1276">
        <f ca="1">OFFSET('VVP2'!$G$193,0,(COLUMN()-6)/5)</f>
        <v>920.81799999999998</v>
      </c>
      <c r="CM8" s="1261">
        <f t="shared" ca="1" si="31"/>
        <v>3.8861787150316074</v>
      </c>
      <c r="CN8" s="1253">
        <f ca="1">OFFSET('VVP2'!$G$16,0,(COLUMN()-7)/5)</f>
        <v>1.1080325807856228</v>
      </c>
      <c r="CO8" s="1279">
        <f ca="1">+CL8*(1+CN8/100)</f>
        <v>931.02096344973859</v>
      </c>
      <c r="CP8" s="1330">
        <f t="shared" ca="1" si="32"/>
        <v>2.5660041490087337</v>
      </c>
      <c r="CQ8" s="1276">
        <f ca="1">OFFSET('VVP2'!$G$193,0,(COLUMN()-6)/5)</f>
        <v>954.91099999999994</v>
      </c>
      <c r="CR8" s="1261">
        <f t="shared" ca="1" si="33"/>
        <v>3.7024688917896897</v>
      </c>
      <c r="CS8" s="1253">
        <f ca="1">OFFSET('VVP2'!$G$16,0,(COLUMN()-7)/5)</f>
        <v>1.2904731330142249</v>
      </c>
      <c r="CT8" s="1279">
        <f ca="1">+CQ8*(1+CS8/100)</f>
        <v>967.23386989919743</v>
      </c>
      <c r="CU8" s="1330">
        <f t="shared" ca="1" si="34"/>
        <v>2.6257486313469656</v>
      </c>
      <c r="CV8" s="1276">
        <f ca="1">OFFSET('VVP2'!$G$193,0,(COLUMN()-6)/5)</f>
        <v>992.63099999999997</v>
      </c>
      <c r="CW8" s="1261">
        <f t="shared" ca="1" si="35"/>
        <v>3.9501063449892238</v>
      </c>
      <c r="CX8" s="1253">
        <f ca="1">OFFSET('VVP2'!$G$16,0,(COLUMN()-7)/5)</f>
        <v>1.5115804238575725</v>
      </c>
      <c r="CY8" s="1279">
        <f ca="1">+CV8*(1+CX8/100)</f>
        <v>1007.6354158771417</v>
      </c>
      <c r="CZ8" s="1330">
        <f t="shared" ca="1" si="36"/>
        <v>2.3692680652829665</v>
      </c>
      <c r="DA8" s="1276">
        <f ca="1">OFFSET('VVP2'!$G$193,0,(COLUMN()-6)/5)</f>
        <v>1031.509</v>
      </c>
      <c r="DB8" s="1261">
        <f t="shared" ca="1" si="37"/>
        <v>3.916661881404071</v>
      </c>
      <c r="DC8" s="1253">
        <f ca="1">OFFSET('VVP2'!$G$16,0,(COLUMN()-7)/5)</f>
        <v>2.4094675751499928</v>
      </c>
      <c r="DD8" s="1279">
        <f ca="1">+DA8*(1+DC8/100)</f>
        <v>1056.362874889754</v>
      </c>
      <c r="DE8" s="1330">
        <f t="shared" ca="1" si="38"/>
        <v>2.8652204493086515</v>
      </c>
      <c r="DF8" s="1276">
        <f ca="1">OFFSET('VVP2'!$G$193,0,(COLUMN()-6)/5)</f>
        <v>1086.6300000000001</v>
      </c>
      <c r="DG8" s="1261">
        <f t="shared" ca="1" si="39"/>
        <v>5.3437245821413182</v>
      </c>
      <c r="DH8" s="1253">
        <f ca="1">OFFSET('VVP2'!$G$16,0,(COLUMN()-7)/5)</f>
        <v>3.6015939395404484</v>
      </c>
      <c r="DI8" s="1279">
        <f ca="1">+DF8*(1+DH8/100)</f>
        <v>1125.7660002252285</v>
      </c>
      <c r="DJ8" s="1330">
        <f t="shared" ca="1" si="40"/>
        <v>2.4660542039124778</v>
      </c>
      <c r="DK8" s="1276">
        <f ca="1">OFFSET('VVP2'!$G$193,0,(COLUMN()-6)/5)</f>
        <v>1153.528</v>
      </c>
      <c r="DL8" s="1261">
        <f t="shared" ca="1" si="41"/>
        <v>6.1564654022068233</v>
      </c>
      <c r="DM8" s="1253">
        <f ca="1">OFFSET('VVP2'!$G$16,0,(COLUMN()-7)/5)</f>
        <v>-2.7532408124697483E-3</v>
      </c>
      <c r="DN8" s="1279">
        <f ca="1">+DK8*(1+DM8/100)</f>
        <v>1153.4962405963208</v>
      </c>
      <c r="DO8" s="1330">
        <f t="shared" ca="1" si="42"/>
        <v>3.654347358937855</v>
      </c>
      <c r="DP8" s="1276">
        <f ca="1">OFFSET('VVP2'!$G$193,0,(COLUMN()-6)/5)</f>
        <v>1195.6489999999999</v>
      </c>
      <c r="DQ8" s="1261">
        <f t="shared" ca="1" si="43"/>
        <v>3.6514935051424668</v>
      </c>
      <c r="DR8" s="1906">
        <f>+DR49</f>
        <v>1.06</v>
      </c>
      <c r="DS8" s="1254">
        <f ca="1">+DP8*(1+DR8/100)</f>
        <v>1208.3228793999999</v>
      </c>
      <c r="DT8" s="1906">
        <f>+DT49</f>
        <v>3.4</v>
      </c>
      <c r="DU8" s="1251">
        <f ca="1">+DS8*(1+DT8/100)</f>
        <v>1249.4058572996</v>
      </c>
      <c r="DV8" s="1441">
        <f t="shared" ca="1" si="44"/>
        <v>4.4960400000000122</v>
      </c>
      <c r="DW8" s="1906">
        <f>+DW49</f>
        <v>0.9</v>
      </c>
      <c r="DX8" s="1254">
        <f ca="1">+DU8*(1+DW8/100)</f>
        <v>1260.6505100152963</v>
      </c>
      <c r="DY8" s="1906">
        <f>+DY49</f>
        <v>2.8</v>
      </c>
      <c r="DZ8" s="1251">
        <f ca="1">+DX8*(1+DY8/100)</f>
        <v>1295.9487242957246</v>
      </c>
      <c r="EA8" s="1441">
        <f t="shared" ca="1" si="45"/>
        <v>3.7251999999999841</v>
      </c>
      <c r="EB8" s="1906">
        <f>+EB49</f>
        <v>0.93</v>
      </c>
      <c r="EC8" s="1254">
        <f ca="1">+DZ8*(1+EB8/100)</f>
        <v>1308.0010474316748</v>
      </c>
      <c r="ED8" s="1906">
        <f>+ED49</f>
        <v>2.6</v>
      </c>
      <c r="EE8" s="1251">
        <f ca="1">+EC8*(1+ED8/100)</f>
        <v>1342.0090746648984</v>
      </c>
      <c r="EF8" s="1441">
        <f t="shared" ca="1" si="46"/>
        <v>3.5541800000000068</v>
      </c>
    </row>
    <row r="9" spans="1:136">
      <c r="C9" s="1268" t="s">
        <v>1791</v>
      </c>
      <c r="D9" s="1118"/>
      <c r="E9" s="1118" t="s">
        <v>1341</v>
      </c>
      <c r="F9" s="1117" t="s">
        <v>1752</v>
      </c>
      <c r="G9" s="1290"/>
      <c r="H9" s="1291"/>
      <c r="I9" s="1292"/>
      <c r="J9" s="1275">
        <f ca="1">OFFSET('VVP2'!$G$212,0,(COLUMN()-6)/5)</f>
        <v>369.53899999999999</v>
      </c>
      <c r="K9" s="1293"/>
      <c r="L9" s="1257">
        <f ca="1">OFFSET('VVP2'!$G$42,0,(COLUMN()-7)/5)</f>
        <v>5.2145700905189551</v>
      </c>
      <c r="M9" s="1280">
        <f ca="1">+J9*(1+L9/100)</f>
        <v>388.80887016680282</v>
      </c>
      <c r="N9" s="1331">
        <f t="shared" ca="1" si="0"/>
        <v>0.11165636036309934</v>
      </c>
      <c r="O9" s="1275">
        <f ca="1">OFFSET('VVP2'!$G$212,0,(COLUMN()-10)/5)</f>
        <v>389.24299999999999</v>
      </c>
      <c r="P9" s="1262">
        <f t="shared" ca="1" si="1"/>
        <v>5.3320488500537166</v>
      </c>
      <c r="Q9" s="1257">
        <f ca="1">OFFSET('VVP2'!$G$42,0,(COLUMN()-7)/5)</f>
        <v>1.4309449204905622</v>
      </c>
      <c r="R9" s="1280">
        <f ca="1">+O9*(1+Q9/100)</f>
        <v>394.81285293686506</v>
      </c>
      <c r="S9" s="1331">
        <f t="shared" ca="1" si="2"/>
        <v>1.6453737548847585</v>
      </c>
      <c r="T9" s="1275">
        <f ca="1">OFFSET('VVP2'!$G$212,0,(COLUMN()-10)/5)</f>
        <v>401.30900000000003</v>
      </c>
      <c r="U9" s="1262">
        <f t="shared" ca="1" si="3"/>
        <v>3.0998630675439287</v>
      </c>
      <c r="V9" s="1257">
        <f ca="1">OFFSET('VVP2'!$G$42,0,(COLUMN()-7)/5)</f>
        <v>7.8839351635803023</v>
      </c>
      <c r="W9" s="1280">
        <f ca="1">+T9*(1+V9/100)</f>
        <v>432.94794136561251</v>
      </c>
      <c r="X9" s="1331">
        <f t="shared" ca="1" si="4"/>
        <v>1.7059923211761401</v>
      </c>
      <c r="Y9" s="1275">
        <f ca="1">OFFSET('VVP2'!$G$212,0,(COLUMN()-10)/5)</f>
        <v>440.334</v>
      </c>
      <c r="Z9" s="1262">
        <f t="shared" ca="1" si="5"/>
        <v>9.7244268132536291</v>
      </c>
      <c r="AA9" s="1257">
        <f ca="1">OFFSET('VVP2'!$G$42,0,(COLUMN()-7)/5)</f>
        <v>6.8000910017954608</v>
      </c>
      <c r="AB9" s="1280">
        <f ca="1">+Y9*(1+AA9/100)</f>
        <v>470.27711271184603</v>
      </c>
      <c r="AC9" s="1331">
        <f t="shared" ca="1" si="6"/>
        <v>2.2952184991336821</v>
      </c>
      <c r="AD9" s="1275">
        <f ca="1">OFFSET('VVP2'!$G$212,0,(COLUMN()-10)/5)</f>
        <v>481.07100000000003</v>
      </c>
      <c r="AE9" s="1262">
        <f t="shared" ca="1" si="7"/>
        <v>9.2513864475602716</v>
      </c>
      <c r="AF9" s="1257">
        <f ca="1">OFFSET('VVP2'!$G$42,0,(COLUMN()-7)/5)</f>
        <v>6.535996935921462</v>
      </c>
      <c r="AG9" s="1280">
        <f ca="1">+AD9*(1+AF9/100)</f>
        <v>512.51378581960671</v>
      </c>
      <c r="AH9" s="1331">
        <f t="shared" ca="1" si="8"/>
        <v>3.2637588769721191</v>
      </c>
      <c r="AI9" s="1275">
        <f ca="1">OFFSET('VVP2'!$G$212,0,(COLUMN()-10)/5)</f>
        <v>529.24099999999999</v>
      </c>
      <c r="AJ9" s="1262">
        <f t="shared" ca="1" si="9"/>
        <v>10.013074993088322</v>
      </c>
      <c r="AK9" s="1257">
        <f ca="1">OFFSET('VVP2'!$G$42,0,(COLUMN()-7)/5)</f>
        <v>2.5100784083548433</v>
      </c>
      <c r="AL9" s="1280">
        <f ca="1">+AI9*(1+AK9/100)</f>
        <v>542.52536406916124</v>
      </c>
      <c r="AM9" s="1331">
        <f t="shared" ca="1" si="10"/>
        <v>3.3171971529324793</v>
      </c>
      <c r="AN9" s="1275">
        <f ca="1">OFFSET('VVP2'!$G$212,0,(COLUMN()-10)/5)</f>
        <v>560.52200000000005</v>
      </c>
      <c r="AO9" s="1262">
        <f t="shared" ca="1" si="11"/>
        <v>5.9105398107856422</v>
      </c>
      <c r="AP9" s="1257">
        <f ca="1">OFFSET('VVP2'!$G$42,0,(COLUMN()-7)/5)</f>
        <v>-2.2231604070815481</v>
      </c>
      <c r="AQ9" s="1280">
        <f ca="1">+AN9*(1+AP9/100)</f>
        <v>548.06069682301836</v>
      </c>
      <c r="AR9" s="1331">
        <f t="shared" ca="1" si="12"/>
        <v>2.2777227502983663</v>
      </c>
      <c r="AS9" s="1275">
        <f ca="1">OFFSET('VVP2'!$G$212,0,(COLUMN()-10)/5)</f>
        <v>560.54399999999998</v>
      </c>
      <c r="AT9" s="1262">
        <f t="shared" ca="1" si="13"/>
        <v>3.9249128490848051E-3</v>
      </c>
      <c r="AU9" s="1257">
        <f ca="1">OFFSET('VVP2'!$G$42,0,(COLUMN()-7)/5)</f>
        <v>2.3398653945408965</v>
      </c>
      <c r="AV9" s="1280">
        <f ca="1">+AS9*(1+AU9/100)</f>
        <v>573.65997507717532</v>
      </c>
      <c r="AW9" s="1331">
        <f t="shared" ca="1" si="14"/>
        <v>-0.12602850269935573</v>
      </c>
      <c r="AX9" s="1275">
        <f ca="1">OFFSET('VVP2'!$G$212,0,(COLUMN()-10)/5)</f>
        <v>572.93700000000001</v>
      </c>
      <c r="AY9" s="1262">
        <f t="shared" ca="1" si="15"/>
        <v>2.2108879945196058</v>
      </c>
      <c r="AZ9" s="1257">
        <f ca="1">OFFSET('VVP2'!$G$42,0,(COLUMN()-7)/5)</f>
        <v>5.7570718089645423</v>
      </c>
      <c r="BA9" s="1280">
        <f ca="1">+AX9*(1+AZ9/100)</f>
        <v>605.92139451012724</v>
      </c>
      <c r="BB9" s="1331">
        <f t="shared" ca="1" si="16"/>
        <v>0.47738956176178249</v>
      </c>
      <c r="BC9" s="1275">
        <f ca="1">OFFSET('VVP2'!$G$212,0,(COLUMN()-10)/5)</f>
        <v>608.81399999999996</v>
      </c>
      <c r="BD9" s="1262">
        <f t="shared" ca="1" si="17"/>
        <v>6.2619450306054425</v>
      </c>
      <c r="BE9" s="1257">
        <f ca="1">OFFSET('VVP2'!$G$42,0,(COLUMN()-7)/5)</f>
        <v>5.0461475655452226</v>
      </c>
      <c r="BF9" s="1280">
        <f ca="1">+BC9*(1+BE9/100)</f>
        <v>639.5356528396984</v>
      </c>
      <c r="BG9" s="1331">
        <f t="shared" ca="1" si="18"/>
        <v>1.1588637986628783</v>
      </c>
      <c r="BH9" s="1275">
        <f ca="1">OFFSET('VVP2'!$G$212,0,(COLUMN()-10)/5)</f>
        <v>646.947</v>
      </c>
      <c r="BI9" s="1262">
        <f t="shared" ca="1" si="19"/>
        <v>6.2634893415723036</v>
      </c>
      <c r="BJ9" s="1257">
        <f ca="1">OFFSET('VVP2'!$G$42,0,(COLUMN()-7)/5)</f>
        <v>9.3698695618881889</v>
      </c>
      <c r="BK9" s="1280">
        <f ca="1">+BH9*(1+BJ9/100)</f>
        <v>707.5650900345488</v>
      </c>
      <c r="BL9" s="1331">
        <f t="shared" ca="1" si="20"/>
        <v>1.2682804863949855</v>
      </c>
      <c r="BM9" s="1275">
        <f ca="1">OFFSET('VVP2'!$G$212,0,(COLUMN()-10)/5)</f>
        <v>716.53899999999999</v>
      </c>
      <c r="BN9" s="1262">
        <f t="shared" ca="1" si="21"/>
        <v>10.756986275537251</v>
      </c>
      <c r="BO9" s="1257">
        <f ca="1">OFFSET('VVP2'!$G$42,0,(COLUMN()-7)/5)</f>
        <v>8.0946626795717513</v>
      </c>
      <c r="BP9" s="1280">
        <f ca="1">+BM9*(1+BO9/100)</f>
        <v>774.54041501757661</v>
      </c>
      <c r="BQ9" s="1331">
        <f t="shared" ca="1" si="22"/>
        <v>2.1968621201047682</v>
      </c>
      <c r="BR9" s="1275">
        <f ca="1">OFFSET('VVP2'!$G$212,0,(COLUMN()-10)/5)</f>
        <v>791.55600000000004</v>
      </c>
      <c r="BS9" s="1262">
        <f t="shared" ca="1" si="23"/>
        <v>10.469353377834301</v>
      </c>
      <c r="BT9" s="1257">
        <f ca="1">OFFSET('VVP2'!$G$42,0,(COLUMN()-7)/5)</f>
        <v>0.5539798924269812</v>
      </c>
      <c r="BU9" s="1280">
        <f ca="1">+BR9*(1+BT9/100)</f>
        <v>795.94106107729931</v>
      </c>
      <c r="BV9" s="1331">
        <f t="shared" ca="1" si="24"/>
        <v>4.0210187019855965</v>
      </c>
      <c r="BW9" s="1275">
        <f ca="1">OFFSET('VVP2'!$G$212,0,(COLUMN()-10)/5)</f>
        <v>827.94600000000003</v>
      </c>
      <c r="BX9" s="1262">
        <f t="shared" ca="1" si="25"/>
        <v>4.5972742294922986</v>
      </c>
      <c r="BY9" s="1257">
        <f ca="1">OFFSET('VVP2'!$G$42,0,(COLUMN()-7)/5)</f>
        <v>-13.375837621300779</v>
      </c>
      <c r="BZ9" s="1280">
        <f ca="1">+BW9*(1+BY9/100)</f>
        <v>717.20128744794511</v>
      </c>
      <c r="CA9" s="1331">
        <f t="shared" ca="1" si="26"/>
        <v>2.8167423714393607</v>
      </c>
      <c r="CB9" s="1275">
        <f ca="1">OFFSET('VVP2'!$G$212,0,(COLUMN()-10)/5)</f>
        <v>737.40300000000002</v>
      </c>
      <c r="CC9" s="1262">
        <f t="shared" ca="1" si="27"/>
        <v>-10.935858135675513</v>
      </c>
      <c r="CD9" s="1257">
        <f ca="1">OFFSET('VVP2'!$G$42,0,(COLUMN()-7)/5)</f>
        <v>6.0335529121229747</v>
      </c>
      <c r="CE9" s="1280">
        <f ca="1">+CB9*(1+CD9/100)</f>
        <v>781.89460018058219</v>
      </c>
      <c r="CF9" s="1331">
        <f t="shared" ca="1" si="28"/>
        <v>0.67149713250420007</v>
      </c>
      <c r="CG9" s="1275">
        <f ca="1">OFFSET('VVP2'!$G$212,0,(COLUMN()-10)/5)</f>
        <v>787.14499999999998</v>
      </c>
      <c r="CH9" s="1262">
        <f t="shared" ca="1" si="29"/>
        <v>6.7455651794201987</v>
      </c>
      <c r="CI9" s="1257">
        <f ca="1">OFFSET('VVP2'!$G$42,0,(COLUMN()-7)/5)</f>
        <v>5.7033418239333278</v>
      </c>
      <c r="CJ9" s="1280">
        <f ca="1">+CG9*(1+CI9/100)</f>
        <v>832.03856999999994</v>
      </c>
      <c r="CK9" s="1331">
        <f t="shared" ca="1" si="30"/>
        <v>0.25989540364699337</v>
      </c>
      <c r="CL9" s="1275">
        <f ca="1">OFFSET('VVP2'!$G$212,0,(COLUMN()-10)/5)</f>
        <v>834.20100000000002</v>
      </c>
      <c r="CM9" s="1262">
        <f t="shared" ca="1" si="31"/>
        <v>5.9780599508349797</v>
      </c>
      <c r="CN9" s="1257">
        <f ca="1">OFFSET('VVP2'!$G$42,0,(COLUMN()-7)/5)</f>
        <v>-0.28349406927131726</v>
      </c>
      <c r="CO9" s="1280">
        <f ca="1">+CL9*(1+CN9/100)</f>
        <v>831.83608963919801</v>
      </c>
      <c r="CP9" s="1331">
        <f t="shared" ca="1" si="32"/>
        <v>0.77117480723688914</v>
      </c>
      <c r="CQ9" s="1275">
        <f ca="1">OFFSET('VVP2'!$G$212,0,(COLUMN()-10)/5)</f>
        <v>838.25099999999998</v>
      </c>
      <c r="CR9" s="1262">
        <f t="shared" ca="1" si="33"/>
        <v>0.48549450312334042</v>
      </c>
      <c r="CS9" s="1257">
        <f ca="1">OFFSET('VVP2'!$G$42,0,(COLUMN()-7)/5)</f>
        <v>0.62269927052218677</v>
      </c>
      <c r="CT9" s="1280">
        <f ca="1">+CQ9*(1+CS9/100)</f>
        <v>843.47078286214492</v>
      </c>
      <c r="CU9" s="1331">
        <f t="shared" ca="1" si="34"/>
        <v>0.32096157838077488</v>
      </c>
      <c r="CV9" s="1275">
        <f ca="1">OFFSET('VVP2'!$G$212,0,(COLUMN()-10)/5)</f>
        <v>846.178</v>
      </c>
      <c r="CW9" s="1262">
        <f t="shared" ca="1" si="35"/>
        <v>0.94565947431020092</v>
      </c>
      <c r="CX9" s="1257">
        <f ca="1">OFFSET('VVP2'!$G$42,0,(COLUMN()-7)/5)</f>
        <v>5.4381477690142122</v>
      </c>
      <c r="CY9" s="1280">
        <f ca="1">+CV9*(1+CX9/100)</f>
        <v>892.19441002888902</v>
      </c>
      <c r="CZ9" s="1331">
        <f t="shared" ca="1" si="36"/>
        <v>2.1669705339764533</v>
      </c>
      <c r="DA9" s="1275">
        <f ca="1">OFFSET('VVP2'!$G$212,0,(COLUMN()-10)/5)</f>
        <v>911.52800000000002</v>
      </c>
      <c r="DB9" s="1262">
        <f t="shared" ca="1" si="37"/>
        <v>7.722961362739289</v>
      </c>
      <c r="DC9" s="1257">
        <f ca="1">OFFSET('VVP2'!$G$42,0,(COLUMN()-7)/5)</f>
        <v>6.6509106990126021</v>
      </c>
      <c r="DD9" s="1280">
        <f ca="1">+DA9*(1+DC9/100)</f>
        <v>972.15291327649561</v>
      </c>
      <c r="DE9" s="1331">
        <f t="shared" ca="1" si="38"/>
        <v>1.9811787282096702</v>
      </c>
      <c r="DF9" s="1275">
        <f ca="1">OFFSET('VVP2'!$G$212,0,(COLUMN()-10)/5)</f>
        <v>991.41300000000001</v>
      </c>
      <c r="DG9" s="1262">
        <f t="shared" ca="1" si="39"/>
        <v>8.7638558552233228</v>
      </c>
      <c r="DH9" s="1257">
        <f ca="1">OFFSET('VVP2'!$G$42,0,(COLUMN()-7)/5)</f>
        <v>4.1596180158439244</v>
      </c>
      <c r="DI9" s="1280">
        <f ca="1">+DF9*(1+DH9/100)</f>
        <v>1032.6519937594187</v>
      </c>
      <c r="DJ9" s="1331">
        <f t="shared" ca="1" si="40"/>
        <v>1.660676234028216</v>
      </c>
      <c r="DK9" s="1275">
        <f ca="1">OFFSET('VVP2'!$G$212,0,(COLUMN()-10)/5)</f>
        <v>1049.8009999999999</v>
      </c>
      <c r="DL9" s="1262">
        <f t="shared" ca="1" si="41"/>
        <v>5.8893720376876235</v>
      </c>
      <c r="DM9" s="1257">
        <f ca="1">OFFSET('VVP2'!$G$42,0,(COLUMN()-7)/5)</f>
        <v>6.0546057350353344</v>
      </c>
      <c r="DN9" s="1280">
        <f ca="1">+DK9*(1+DM9/100)</f>
        <v>1113.3623115524583</v>
      </c>
      <c r="DO9" s="1331">
        <f t="shared" ca="1" si="42"/>
        <v>2.6272389629171897</v>
      </c>
      <c r="DP9" s="1275">
        <f ca="1">OFFSET('VVP2'!$G$212,0,(COLUMN()-10)/5)</f>
        <v>1142.6130000000001</v>
      </c>
      <c r="DQ9" s="1262">
        <f t="shared" ca="1" si="43"/>
        <v>8.8409136588744062</v>
      </c>
      <c r="DR9" s="1907">
        <f ca="1">+DR64</f>
        <v>3.5391684236044885</v>
      </c>
      <c r="DS9" s="1255">
        <f ca="1">+DP9*(1+DR9/100)</f>
        <v>1183.0519985000001</v>
      </c>
      <c r="DT9" s="1907">
        <f ca="1">+DT64</f>
        <v>4.0344166021794479</v>
      </c>
      <c r="DU9" s="1252">
        <f ca="1">+DS9*(1+DT9/100)</f>
        <v>1230.7812447398999</v>
      </c>
      <c r="DV9" s="1442">
        <f t="shared" ca="1" si="44"/>
        <v>7.7163698242449286</v>
      </c>
      <c r="DW9" s="1907">
        <f ca="1">+DW64</f>
        <v>1.9828306477457813</v>
      </c>
      <c r="DX9" s="1255">
        <f ca="1">+DU9*(1+DW9/100)</f>
        <v>1255.1855524673097</v>
      </c>
      <c r="DY9" s="1907">
        <f ca="1">+DY64</f>
        <v>2.3848729783300371</v>
      </c>
      <c r="DZ9" s="1252">
        <f ca="1">+DX9*(1+DY9/100)</f>
        <v>1285.1201335360051</v>
      </c>
      <c r="EA9" s="1442">
        <f t="shared" ca="1" si="45"/>
        <v>4.4149916183999549</v>
      </c>
      <c r="EB9" s="1907">
        <f ca="1">+EB64</f>
        <v>2.1431885541373763</v>
      </c>
      <c r="EC9" s="1255">
        <f ca="1">+DZ9*(1+EB9/100)</f>
        <v>1312.6626811448639</v>
      </c>
      <c r="ED9" s="1907">
        <f ca="1">+ED64</f>
        <v>1.3785668859828775</v>
      </c>
      <c r="EE9" s="1252">
        <f ca="1">+EC9*(1+ED9/100)</f>
        <v>1330.758614191782</v>
      </c>
      <c r="EF9" s="1442">
        <f t="shared" ca="1" si="46"/>
        <v>3.5513007278317854</v>
      </c>
    </row>
    <row r="10" spans="1:136">
      <c r="A10" s="1504" t="s">
        <v>158</v>
      </c>
      <c r="C10" s="1268" t="s">
        <v>1793</v>
      </c>
      <c r="D10" s="1247"/>
      <c r="E10" s="1247" t="s">
        <v>1239</v>
      </c>
      <c r="F10" s="1271"/>
      <c r="G10" s="1410"/>
      <c r="H10" s="1411"/>
      <c r="I10" s="1411"/>
      <c r="J10" s="1256">
        <f ca="1">+J7+J8+J9</f>
        <v>1743.933</v>
      </c>
      <c r="K10" s="1413"/>
      <c r="L10" s="3154">
        <f ca="1">OFFSET('VVP2'!$G$61,0,(COLUMN()-7)/5)</f>
        <v>1.9991701840362142</v>
      </c>
      <c r="M10" s="1256">
        <f ca="1">+J10*(1+L10/100)</f>
        <v>1778.7971885655684</v>
      </c>
      <c r="N10" s="1332">
        <f t="shared" ca="1" si="0"/>
        <v>1.6233335435906042</v>
      </c>
      <c r="O10" s="1256">
        <f ca="1">+O7+O8+O9</f>
        <v>1807.673</v>
      </c>
      <c r="P10" s="1274">
        <f t="shared" ca="1" si="1"/>
        <v>3.6549569278177652</v>
      </c>
      <c r="Q10" s="3154">
        <f ca="1">OFFSET('VVP2'!$G$61,0,(COLUMN()-7)/5)</f>
        <v>1.6090239606066481</v>
      </c>
      <c r="R10" s="1256">
        <f ca="1">+O10*(1+Q10/100)</f>
        <v>1836.7588916994171</v>
      </c>
      <c r="S10" s="1332">
        <f t="shared" ca="1" si="2"/>
        <v>1.9195828292934749</v>
      </c>
      <c r="T10" s="1256">
        <f ca="1">+T7+T8+T9</f>
        <v>1872.0170000000001</v>
      </c>
      <c r="U10" s="1274">
        <f t="shared" ca="1" si="3"/>
        <v>3.5594933375671323</v>
      </c>
      <c r="V10" s="3154">
        <f ca="1">OFFSET('VVP2'!$G$61,0,(COLUMN()-7)/5)</f>
        <v>4.4188807581747369</v>
      </c>
      <c r="W10" s="1256">
        <f ca="1">+T10*(1+V10/100)</f>
        <v>1954.73919900276</v>
      </c>
      <c r="X10" s="1332">
        <f t="shared" ca="1" si="4"/>
        <v>1.0347058578228143</v>
      </c>
      <c r="Y10" s="1256">
        <f ca="1">+Y7+Y8+Y9</f>
        <v>1974.9650000000001</v>
      </c>
      <c r="Z10" s="1274">
        <f t="shared" ca="1" si="5"/>
        <v>5.4993090340525796</v>
      </c>
      <c r="AA10" s="3154">
        <f ca="1">OFFSET('VVP2'!$G$61,0,(COLUMN()-7)/5)</f>
        <v>4.0226163928392955</v>
      </c>
      <c r="AB10" s="1256">
        <f ca="1">+Y10*(1+AA10/100)</f>
        <v>2054.4102658428387</v>
      </c>
      <c r="AC10" s="1332">
        <f t="shared" ca="1" si="6"/>
        <v>2.1790552209295555</v>
      </c>
      <c r="AD10" s="1256">
        <f ca="1">+AD7+AD8+AD9</f>
        <v>2099.1770000000001</v>
      </c>
      <c r="AE10" s="1274">
        <f t="shared" ca="1" si="7"/>
        <v>6.2893266462950015</v>
      </c>
      <c r="AF10" s="3154">
        <f ca="1">OFFSET('VVP2'!$G$61,0,(COLUMN()-7)/5)</f>
        <v>3.8747106114908059</v>
      </c>
      <c r="AG10" s="1256">
        <f ca="1">+AD10*(1+AF10/100)</f>
        <v>2180.5140339729746</v>
      </c>
      <c r="AH10" s="1332">
        <f t="shared" ca="1" si="8"/>
        <v>2.1904452474446998</v>
      </c>
      <c r="AI10" s="1256">
        <f ca="1">+AI7+AI8+AI9</f>
        <v>2228.277</v>
      </c>
      <c r="AJ10" s="1274">
        <f t="shared" ca="1" si="9"/>
        <v>6.1500292733771333</v>
      </c>
      <c r="AK10" s="3154">
        <f ca="1">OFFSET('VVP2'!$G$61,0,(COLUMN()-7)/5)</f>
        <v>1.0070219731325603</v>
      </c>
      <c r="AL10" s="1256">
        <f ca="1">+AI10*(1+AK10/100)</f>
        <v>2250.7162390122589</v>
      </c>
      <c r="AM10" s="1332">
        <f t="shared" ca="1" si="10"/>
        <v>3.0980254098287077</v>
      </c>
      <c r="AN10" s="1256">
        <f ca="1">+AN7+AN8+AN9</f>
        <v>2320.444</v>
      </c>
      <c r="AO10" s="1274">
        <f t="shared" ca="1" si="11"/>
        <v>4.1362451795714739</v>
      </c>
      <c r="AP10" s="3154">
        <f ca="1">OFFSET('VVP2'!$G$61,0,(COLUMN()-7)/5)</f>
        <v>1.3062353885809674</v>
      </c>
      <c r="AQ10" s="1256">
        <f ca="1">+AN10*(1+AP10/100)</f>
        <v>2350.7544607002037</v>
      </c>
      <c r="AR10" s="1332">
        <f t="shared" ca="1" si="12"/>
        <v>2.4937329814673603</v>
      </c>
      <c r="AS10" s="1256">
        <f ca="1">+AS7+AS8+AS9</f>
        <v>2409.3759999999997</v>
      </c>
      <c r="AT10" s="1274">
        <f t="shared" ca="1" si="13"/>
        <v>3.8325423927489721</v>
      </c>
      <c r="AU10" s="3154">
        <f ca="1">OFFSET('VVP2'!$G$61,0,(COLUMN()-7)/5)</f>
        <v>1.8738081747881941</v>
      </c>
      <c r="AV10" s="1256">
        <f ca="1">+AS10*(1+AU10/100)</f>
        <v>2454.5230844493844</v>
      </c>
      <c r="AW10" s="1332">
        <f t="shared" ca="1" si="14"/>
        <v>1.9743515902392375</v>
      </c>
      <c r="AX10" s="1256">
        <f ca="1">+AX7+AX8+AX9</f>
        <v>2502.9839999999999</v>
      </c>
      <c r="AY10" s="1274">
        <f t="shared" ca="1" si="15"/>
        <v>3.885155326524381</v>
      </c>
      <c r="AZ10" s="3154">
        <f ca="1">OFFSET('VVP2'!$G$61,0,(COLUMN()-7)/5)</f>
        <v>2.6382007504593519</v>
      </c>
      <c r="BA10" s="1256">
        <f ca="1">+AX10*(1+AZ10/100)</f>
        <v>2569.0177426718774</v>
      </c>
      <c r="BB10" s="1332">
        <f t="shared" ca="1" si="16"/>
        <v>1.0512289144424045</v>
      </c>
      <c r="BC10" s="1256">
        <f ca="1">+BC7+BC8+BC9</f>
        <v>2596.0239999999999</v>
      </c>
      <c r="BD10" s="1274">
        <f t="shared" ca="1" si="17"/>
        <v>3.7171631940116301</v>
      </c>
      <c r="BE10" s="3154">
        <f ca="1">OFFSET('VVP2'!$G$61,0,(COLUMN()-7)/5)</f>
        <v>2.6549374675351789</v>
      </c>
      <c r="BF10" s="1256">
        <f ca="1">+BC10*(1+BE10/100)</f>
        <v>2664.9468138422053</v>
      </c>
      <c r="BG10" s="1332">
        <f t="shared" ca="1" si="18"/>
        <v>1.5419139303028544</v>
      </c>
      <c r="BH10" s="1256">
        <f ca="1">+BH7+BH8+BH9</f>
        <v>2706.0380000000005</v>
      </c>
      <c r="BI10" s="1274">
        <f t="shared" ca="1" si="19"/>
        <v>4.2377882484907925</v>
      </c>
      <c r="BJ10" s="3154">
        <f ca="1">OFFSET('VVP2'!$G$61,0,(COLUMN()-7)/5)</f>
        <v>3.9898607297323974</v>
      </c>
      <c r="BK10" s="1256">
        <f ca="1">+BH10*(1+BJ10/100)</f>
        <v>2814.0051474936363</v>
      </c>
      <c r="BL10" s="1332">
        <f t="shared" ca="1" si="20"/>
        <v>1.8750801701041553</v>
      </c>
      <c r="BM10" s="1256">
        <f ca="1">+BM7+BM8+BM9</f>
        <v>2866.7699999999995</v>
      </c>
      <c r="BN10" s="1274">
        <f t="shared" ca="1" si="21"/>
        <v>5.9397539871945293</v>
      </c>
      <c r="BO10" s="3154">
        <f ca="1">OFFSET('VVP2'!$G$61,0,(COLUMN()-7)/5)</f>
        <v>3.9946358106767832</v>
      </c>
      <c r="BP10" s="1256">
        <f ca="1">+BM10*(1+BO10/100)</f>
        <v>2981.2870210297383</v>
      </c>
      <c r="BQ10" s="1332">
        <f t="shared" ca="1" si="22"/>
        <v>2.2118292705505951</v>
      </c>
      <c r="BR10" s="1256">
        <f ca="1">+BR7+BR8+BR9</f>
        <v>3047.2280000000001</v>
      </c>
      <c r="BS10" s="1274">
        <f t="shared" ca="1" si="23"/>
        <v>6.2948196053398187</v>
      </c>
      <c r="BT10" s="3154">
        <f ca="1">OFFSET('VVP2'!$G$61,0,(COLUMN()-7)/5)</f>
        <v>0.60108195634320793</v>
      </c>
      <c r="BU10" s="1256">
        <f ca="1">+BR10*(1+BT10/100)</f>
        <v>3065.544337676638</v>
      </c>
      <c r="BV10" s="1332">
        <f t="shared" ca="1" si="24"/>
        <v>3.4926802723887391</v>
      </c>
      <c r="BW10" s="1256">
        <f ca="1">+BW7+BW8+BW9</f>
        <v>3172.614</v>
      </c>
      <c r="BX10" s="1274">
        <f t="shared" ca="1" si="25"/>
        <v>4.1147560996420252</v>
      </c>
      <c r="BY10" s="3154">
        <f ca="1">OFFSET('VVP2'!$G$61,0,(COLUMN()-7)/5)</f>
        <v>-2.7311780797321328</v>
      </c>
      <c r="BZ10" s="1256">
        <f ca="1">+BW10*(1+BY10/100)</f>
        <v>3085.9642618774874</v>
      </c>
      <c r="CA10" s="1332">
        <f t="shared" ca="1" si="26"/>
        <v>2.0218554988887831</v>
      </c>
      <c r="CB10" s="1256">
        <f ca="1">+CB7+CB8+CB9</f>
        <v>3148.3580000000002</v>
      </c>
      <c r="CC10" s="1274">
        <f t="shared" ca="1" si="27"/>
        <v>-0.76454305503285136</v>
      </c>
      <c r="CD10" s="3154">
        <f ca="1">OFFSET('VVP2'!$G$61,0,(COLUMN()-7)/5)</f>
        <v>3.6881337565671135</v>
      </c>
      <c r="CE10" s="1256">
        <f ca="1">+CB10*(1+CD10/100)</f>
        <v>3264.4736541755815</v>
      </c>
      <c r="CF10" s="1332">
        <f t="shared" ca="1" si="28"/>
        <v>1.3381436167678515</v>
      </c>
      <c r="CG10" s="1256">
        <f ca="1">+CG7+CG8+CG9</f>
        <v>3308.1570000000002</v>
      </c>
      <c r="CH10" s="1274">
        <f t="shared" ca="1" si="29"/>
        <v>5.0756298997763238</v>
      </c>
      <c r="CI10" s="3154">
        <f ca="1">OFFSET('VVP2'!$G$61,0,(COLUMN()-7)/5)</f>
        <v>2.5007337922595685</v>
      </c>
      <c r="CJ10" s="1256">
        <f ca="1">+CG10*(1+CI10/100)</f>
        <v>3390.8852000000006</v>
      </c>
      <c r="CK10" s="1332">
        <f t="shared" ca="1" si="30"/>
        <v>1.6818263266476663</v>
      </c>
      <c r="CL10" s="1256">
        <f ca="1">+CL7+CL8+CL9</f>
        <v>3447.9139999999998</v>
      </c>
      <c r="CM10" s="1274">
        <f t="shared" ca="1" si="31"/>
        <v>4.2246181181848197</v>
      </c>
      <c r="CN10" s="3154">
        <f ca="1">OFFSET('VVP2'!$G$61,0,(COLUMN()-7)/5)</f>
        <v>0.61495185770368277</v>
      </c>
      <c r="CO10" s="1256">
        <f ca="1">+CL10*(1+CN10/100)</f>
        <v>3469.117011195025</v>
      </c>
      <c r="CP10" s="1332">
        <f t="shared" ca="1" si="32"/>
        <v>1.12630933689708</v>
      </c>
      <c r="CQ10" s="1256">
        <f ca="1">+CQ7+CQ8+CQ9</f>
        <v>3508.1899999999996</v>
      </c>
      <c r="CR10" s="1274">
        <f t="shared" ca="1" si="33"/>
        <v>1.7481874547915055</v>
      </c>
      <c r="CS10" s="3154">
        <f ca="1">OFFSET('VVP2'!$G$61,0,(COLUMN()-7)/5)</f>
        <v>1.408758160543444</v>
      </c>
      <c r="CT10" s="1256">
        <f ca="1">+CQ10*(1+CS10/100)</f>
        <v>3557.6119129123686</v>
      </c>
      <c r="CU10" s="1332">
        <f t="shared" ca="1" si="34"/>
        <v>1.138518986307119</v>
      </c>
      <c r="CV10" s="1256">
        <f ca="1">+CV7+CV8+CV9</f>
        <v>3598.116</v>
      </c>
      <c r="CW10" s="1274">
        <f t="shared" ca="1" si="35"/>
        <v>2.563316125979509</v>
      </c>
      <c r="CX10" s="3154">
        <f ca="1">OFFSET('VVP2'!$G$61,0,(COLUMN()-7)/5)</f>
        <v>2.7362511671032097</v>
      </c>
      <c r="CY10" s="1256">
        <f ca="1">+CV10*(1+CX10/100)</f>
        <v>3696.5694910437273</v>
      </c>
      <c r="CZ10" s="1332">
        <f t="shared" ca="1" si="36"/>
        <v>1.6947201752342664</v>
      </c>
      <c r="DA10" s="1256">
        <f ca="1">+DA7+DA8+DA9</f>
        <v>3759.2160000000003</v>
      </c>
      <c r="DB10" s="1274">
        <f t="shared" ca="1" si="37"/>
        <v>4.4773431429114607</v>
      </c>
      <c r="DC10" s="3154">
        <f ca="1">OFFSET('VVP2'!$G$61,0,(COLUMN()-7)/5)</f>
        <v>3.7807335045992874</v>
      </c>
      <c r="DD10" s="1256">
        <f ca="1">+DA10*(1+DC10/100)</f>
        <v>3901.3419388222574</v>
      </c>
      <c r="DE10" s="1332">
        <f t="shared" ca="1" si="38"/>
        <v>1.6866519830765583</v>
      </c>
      <c r="DF10" s="1256">
        <f ca="1">+DF7+DF8+DF9</f>
        <v>3967.1440000000002</v>
      </c>
      <c r="DG10" s="1274">
        <f t="shared" ca="1" si="39"/>
        <v>5.5311533043060024</v>
      </c>
      <c r="DH10" s="3154">
        <f ca="1">OFFSET('VVP2'!$G$61,0,(COLUMN()-7)/5)</f>
        <v>3.3896928172209462</v>
      </c>
      <c r="DI10" s="1256">
        <f ca="1">+DF10*(1+DH10/100)</f>
        <v>4101.6179952168122</v>
      </c>
      <c r="DJ10" s="1332">
        <f t="shared" ca="1" si="40"/>
        <v>1.5681861367440035</v>
      </c>
      <c r="DK10" s="1256">
        <f ca="1">+DK7+DK8+DK9</f>
        <v>4165.9390000000003</v>
      </c>
      <c r="DL10" s="1274">
        <f t="shared" ca="1" si="41"/>
        <v>5.0110356468028305</v>
      </c>
      <c r="DM10" s="3154">
        <f ca="1">OFFSET('VVP2'!$G$61,0,(COLUMN()-7)/5)</f>
        <v>2.5675195173866294</v>
      </c>
      <c r="DN10" s="1256">
        <f ca="1">+DK10*(1+DM10/100)</f>
        <v>4272.9002969074218</v>
      </c>
      <c r="DO10" s="1332">
        <f t="shared" ca="1" si="42"/>
        <v>2.4845817996131672</v>
      </c>
      <c r="DP10" s="1256">
        <f ca="1">+DP7+DP8+DP9</f>
        <v>4379.0640000000003</v>
      </c>
      <c r="DQ10" s="1274">
        <f t="shared" ca="1" si="43"/>
        <v>5.1158934396303035</v>
      </c>
      <c r="DR10" s="1544">
        <f ca="1">IF(UPPER($F$2)="Y",(DS10/DP10-1)*100,OFFSET('VVP2'!$G$61,0,(COLUMN()-7)/5))</f>
        <v>2.3313686646278642</v>
      </c>
      <c r="DS10" s="1519">
        <f ca="1">IF(UPPER($F$2)="Y",+DS7+DS8+DS9,DP10*(1+DR10/100))</f>
        <v>4481.1561259</v>
      </c>
      <c r="DT10" s="1478">
        <f ca="1">+DU10/DS10*100-100</f>
        <v>2.7746970170678225</v>
      </c>
      <c r="DU10" s="1260">
        <f ca="1">+DU7+DU8+DU9</f>
        <v>4605.4946312554994</v>
      </c>
      <c r="DV10" s="1480">
        <f t="shared" ca="1" si="44"/>
        <v>5.1707540984899714</v>
      </c>
      <c r="DW10" s="1544">
        <f ca="1">IF(UPPER($F$2)="Y",(DX10/DU10-1)*100,OFFSET('VVP2'!$G$61,0,(COLUMN()-7)/5))</f>
        <v>1.8492829260040144</v>
      </c>
      <c r="DX10" s="1519">
        <f ca="1">IF(UPPER($F$2)="Y",+DX7+DX8+DX9,DU10*(1+DW10/100))</f>
        <v>4690.6632571293385</v>
      </c>
      <c r="DY10" s="1478">
        <f ca="1">+DZ10/DX10*100-100</f>
        <v>2.1788999136268501</v>
      </c>
      <c r="DZ10" s="1260">
        <f ca="1">+DZ7+DZ8+DZ9</f>
        <v>4792.8681147874559</v>
      </c>
      <c r="EA10" s="1480">
        <f t="shared" ca="1" si="45"/>
        <v>4.0684768637082591</v>
      </c>
      <c r="EB10" s="1544">
        <f ca="1">IF(UPPER($F$2)="Y",(EC10/DZ10-1)*100,OFFSET('VVP2'!$G$61,0,(COLUMN()-7)/5))</f>
        <v>1.7952226741940303</v>
      </c>
      <c r="EC10" s="1519">
        <f ca="1">IF(UPPER($F$2)="Y",+EC7+EC8+EC9,DZ10*(1+EB10/100))</f>
        <v>4878.9107699283359</v>
      </c>
      <c r="ED10" s="1478">
        <f ca="1">+EE10/EC10*100-100</f>
        <v>1.9010884067846234</v>
      </c>
      <c r="EE10" s="1260">
        <f ca="1">+EE7+EE8+EE9</f>
        <v>4971.6631769528094</v>
      </c>
      <c r="EF10" s="1480">
        <f t="shared" ca="1" si="46"/>
        <v>3.7304398511136982</v>
      </c>
    </row>
    <row r="11" spans="1:136">
      <c r="A11" s="2935" t="s">
        <v>119</v>
      </c>
      <c r="C11" s="1268" t="s">
        <v>1791</v>
      </c>
      <c r="D11" s="1118"/>
      <c r="E11" s="1118" t="s">
        <v>1487</v>
      </c>
      <c r="F11" s="1259" t="s">
        <v>71</v>
      </c>
      <c r="G11" s="1290"/>
      <c r="H11" s="1291"/>
      <c r="I11" s="1292"/>
      <c r="J11" s="1275">
        <f ca="1">OFFSET('VVP2'!$G$260,0,(COLUMN()-6)/5)</f>
        <v>21.568999999999999</v>
      </c>
      <c r="K11" s="1293"/>
      <c r="L11" s="2936">
        <f ca="1">IF(UPPER($F$2)="Y",M11/J11*100-100,OFFSET('VVP2'!$G$67,0,(COLUMN()-7)/5))</f>
        <v>-70.752197773352208</v>
      </c>
      <c r="M11" s="2937">
        <f ca="1">IF(UPPER($F$2)="Y",M12-M10,J11*(1+L11/100))</f>
        <v>6.3084584622656621</v>
      </c>
      <c r="N11" s="1331">
        <f t="shared" ca="1" si="0"/>
        <v>16.430979833416657</v>
      </c>
      <c r="O11" s="1275">
        <f ca="1">OFFSET('VVP2'!$G$260,0,(COLUMN()-10)/5)</f>
        <v>7.3449999999999998</v>
      </c>
      <c r="P11" s="1262">
        <f t="shared" ca="1" si="1"/>
        <v>-65.946497287774122</v>
      </c>
      <c r="Q11" s="2936">
        <f ca="1">IF(UPPER($F$2)="Y",R11/O11*100-100,OFFSET('VVP2'!$G$67,0,(COLUMN()-7)/5))</f>
        <v>30.032118751224175</v>
      </c>
      <c r="R11" s="2937">
        <f ca="1">IF(UPPER($F$2)="Y",R12-R10,O11*(1+Q11/100))</f>
        <v>9.5508591222774157</v>
      </c>
      <c r="S11" s="1331">
        <f t="shared" ca="1" si="2"/>
        <v>0.92285810725650208</v>
      </c>
      <c r="T11" s="1275">
        <f ca="1">OFFSET('VVP2'!$G$260,0,(COLUMN()-10)/5)</f>
        <v>9.6389999999999993</v>
      </c>
      <c r="U11" s="1262">
        <f t="shared" ca="1" si="3"/>
        <v>31.232130701157246</v>
      </c>
      <c r="V11" s="2936">
        <f ca="1">IF(UPPER($F$2)="Y",W11/T11*100-100,OFFSET('VVP2'!$G$67,0,(COLUMN()-7)/5))</f>
        <v>65.957873351217245</v>
      </c>
      <c r="W11" s="2937">
        <f ca="1">IF(UPPER($F$2)="Y",W12-W10,T11*(1+V11/100))</f>
        <v>15.996679412323829</v>
      </c>
      <c r="X11" s="1331">
        <f t="shared" ca="1" si="4"/>
        <v>-2.5547765369916817</v>
      </c>
      <c r="Y11" s="1275">
        <f ca="1">OFFSET('VVP2'!$G$260,0,(COLUMN()-10)/5)</f>
        <v>15.587999999999999</v>
      </c>
      <c r="Z11" s="1262">
        <f t="shared" ca="1" si="5"/>
        <v>61.718020541549954</v>
      </c>
      <c r="AA11" s="2936">
        <f ca="1">IF(UPPER($F$2)="Y",AB11/Y11*100-100,OFFSET('VVP2'!$G$67,0,(COLUMN()-7)/5))</f>
        <v>-59.31514697837116</v>
      </c>
      <c r="AB11" s="2937">
        <f ca="1">IF(UPPER($F$2)="Y",AB12-AB10,Y11*(1+AA11/100))</f>
        <v>6.3419548890115038</v>
      </c>
      <c r="AC11" s="1331">
        <f t="shared" ca="1" si="6"/>
        <v>-11.052662803168559</v>
      </c>
      <c r="AD11" s="1275">
        <f ca="1">OFFSET('VVP2'!$G$260,0,(COLUMN()-10)/5)</f>
        <v>5.641</v>
      </c>
      <c r="AE11" s="1262">
        <f t="shared" ca="1" si="7"/>
        <v>-63.811906594816527</v>
      </c>
      <c r="AF11" s="2936">
        <f ca="1">IF(UPPER($F$2)="Y",AG11/AD11*100-100,OFFSET('VVP2'!$G$67,0,(COLUMN()-7)/5))</f>
        <v>168.55031088056876</v>
      </c>
      <c r="AG11" s="2937">
        <f ca="1">IF(UPPER($F$2)="Y",AG12-AG10,AD11*(1+AF11/100))</f>
        <v>15.148923036772885</v>
      </c>
      <c r="AH11" s="1331">
        <f t="shared" ca="1" si="8"/>
        <v>3.3604828672729354</v>
      </c>
      <c r="AI11" s="1275">
        <f ca="1">OFFSET('VVP2'!$G$260,0,(COLUMN()-10)/5)</f>
        <v>15.657999999999999</v>
      </c>
      <c r="AJ11" s="1262">
        <f t="shared" ca="1" si="9"/>
        <v>177.57489806771849</v>
      </c>
      <c r="AK11" s="2936">
        <f ca="1">IF(UPPER($F$2)="Y",AL11/AI11*100-100,OFFSET('VVP2'!$G$67,0,(COLUMN()-7)/5))</f>
        <v>-50.309169883544506</v>
      </c>
      <c r="AL11" s="2937">
        <f ca="1">IF(UPPER($F$2)="Y",AL12-AL10,AI11*(1+AK11/100))</f>
        <v>7.7805901796346006</v>
      </c>
      <c r="AM11" s="1331">
        <f t="shared" ca="1" si="10"/>
        <v>-9.4927269343633185</v>
      </c>
      <c r="AN11" s="1275">
        <f ca="1">OFFSET('VVP2'!$G$260,0,(COLUMN()-10)/5)</f>
        <v>7.0419999999999998</v>
      </c>
      <c r="AO11" s="1262">
        <f t="shared" ca="1" si="11"/>
        <v>-55.026184697917998</v>
      </c>
      <c r="AP11" s="2936">
        <f ca="1">IF(UPPER($F$2)="Y",AQ11/AN11*100-100,OFFSET('VVP2'!$G$67,0,(COLUMN()-7)/5))</f>
        <v>-67.589588529854424</v>
      </c>
      <c r="AQ11" s="2937">
        <f ca="1">IF(UPPER($F$2)="Y",AQ12-AQ10,AN11*(1+AP11/100))</f>
        <v>2.2823411757276517</v>
      </c>
      <c r="AR11" s="1331">
        <f t="shared" ca="1" si="12"/>
        <v>-1.1541296282863556</v>
      </c>
      <c r="AS11" s="1275">
        <f ca="1">OFFSET('VVP2'!$G$260,0,(COLUMN()-10)/5)</f>
        <v>2.2559999999999998</v>
      </c>
      <c r="AT11" s="1262">
        <f t="shared" ca="1" si="13"/>
        <v>-67.963646691280886</v>
      </c>
      <c r="AU11" s="2936">
        <f ca="1">IF(UPPER($F$2)="Y",AV11/AS11*100-100,OFFSET('VVP2'!$G$67,0,(COLUMN()-7)/5))</f>
        <v>252.85259310550526</v>
      </c>
      <c r="AV11" s="2937">
        <f ca="1">IF(UPPER($F$2)="Y",AV12-AV10,AS11*(1+AU11/100))</f>
        <v>7.9603545004601983</v>
      </c>
      <c r="AW11" s="1331">
        <f t="shared" ca="1" si="14"/>
        <v>1.9552583937160364</v>
      </c>
      <c r="AX11" s="1275">
        <f ca="1">OFFSET('VVP2'!$G$260,0,(COLUMN()-10)/5)</f>
        <v>8.1159999999999997</v>
      </c>
      <c r="AY11" s="1262">
        <f t="shared" ca="1" si="15"/>
        <v>259.75177304964541</v>
      </c>
      <c r="AZ11" s="2936">
        <f ca="1">IF(UPPER($F$2)="Y",BA11/AX11*100-100,OFFSET('VVP2'!$G$67,0,(COLUMN()-7)/5))</f>
        <v>-89.702062421449497</v>
      </c>
      <c r="BA11" s="2937">
        <f ca="1">IF(UPPER($F$2)="Y",BA12-BA10,AX11*(1+AZ11/100))</f>
        <v>0.83578061387515845</v>
      </c>
      <c r="BB11" s="1331">
        <f t="shared" ca="1" si="16"/>
        <v>-196.91538503679516</v>
      </c>
      <c r="BC11" s="1275">
        <f ca="1">OFFSET('VVP2'!$G$260,0,(COLUMN()-10)/5)</f>
        <v>-0.81</v>
      </c>
      <c r="BD11" s="1262">
        <f t="shared" ca="1" si="17"/>
        <v>-109.98028585510104</v>
      </c>
      <c r="BE11" s="2936">
        <f ca="1">IF(UPPER($F$2)="Y",BF11/BC11*100-100,OFFSET('VVP2'!$G$67,0,(COLUMN()-7)/5))</f>
        <v>35.971617231815685</v>
      </c>
      <c r="BF11" s="2937">
        <f ca="1">IF(UPPER($F$2)="Y",BF12-BF10,BC11*(1+BE11/100))</f>
        <v>-1.1013700995777072</v>
      </c>
      <c r="BG11" s="1331">
        <f t="shared" ca="1" si="18"/>
        <v>252.83325754802945</v>
      </c>
      <c r="BH11" s="1275">
        <f ca="1">OFFSET('VVP2'!$G$260,0,(COLUMN()-10)/5)</f>
        <v>-3.8860000000000001</v>
      </c>
      <c r="BI11" s="1262">
        <f t="shared" ca="1" si="19"/>
        <v>379.75308641975306</v>
      </c>
      <c r="BJ11" s="2936">
        <f ca="1">IF(UPPER($F$2)="Y",BK11/BH11*100-100,OFFSET('VVP2'!$G$67,0,(COLUMN()-7)/5))</f>
        <v>-150.34000971244626</v>
      </c>
      <c r="BK11" s="2937">
        <f ca="1">IF(UPPER($F$2)="Y",BK12-BK10,BH11*(1+BJ11/100))</f>
        <v>1.9562127774256624</v>
      </c>
      <c r="BL11" s="1331">
        <f t="shared" ca="1" si="20"/>
        <v>-57.673316034177439</v>
      </c>
      <c r="BM11" s="1275">
        <f ca="1">OFFSET('VVP2'!$G$260,0,(COLUMN()-10)/5)</f>
        <v>0.82799999999999996</v>
      </c>
      <c r="BN11" s="1262">
        <f t="shared" ca="1" si="21"/>
        <v>-121.30725681935152</v>
      </c>
      <c r="BO11" s="2936">
        <f ca="1">IF(UPPER($F$2)="Y",BP11/BM11*100-100,OFFSET('VVP2'!$G$67,0,(COLUMN()-7)/5))</f>
        <v>2463.8885454871734</v>
      </c>
      <c r="BP11" s="2937">
        <f ca="1">IF(UPPER($F$2)="Y",BP12-BP10,BM11*(1+BO11/100))</f>
        <v>21.228997156633795</v>
      </c>
      <c r="BQ11" s="1331">
        <f t="shared" ca="1" si="22"/>
        <v>11.832885109135887</v>
      </c>
      <c r="BR11" s="1275">
        <f ca="1">OFFSET('VVP2'!$G$260,0,(COLUMN()-10)/5)</f>
        <v>23.741</v>
      </c>
      <c r="BS11" s="1262">
        <f t="shared" ca="1" si="23"/>
        <v>2767.2705314009663</v>
      </c>
      <c r="BT11" s="2936">
        <f ca="1">IF(UPPER($F$2)="Y",BU11/BR11*100-100,OFFSET('VVP2'!$G$67,0,(COLUMN()-7)/5))</f>
        <v>-70.334528088956915</v>
      </c>
      <c r="BU11" s="2937">
        <f ca="1">IF(UPPER($F$2)="Y",BU12-BU10,BR11*(1+BT11/100))</f>
        <v>7.0428796864007381</v>
      </c>
      <c r="BV11" s="1331">
        <f t="shared" ca="1" si="24"/>
        <v>-3.9597394647992274</v>
      </c>
      <c r="BW11" s="1275">
        <f ca="1">OFFSET('VVP2'!$G$260,0,(COLUMN()-10)/5)</f>
        <v>6.7640000000000002</v>
      </c>
      <c r="BX11" s="1262">
        <f t="shared" ca="1" si="25"/>
        <v>-71.509203487637421</v>
      </c>
      <c r="BY11" s="2936">
        <f ca="1">IF(UPPER($F$2)="Y",BZ11/BW11*100-100,OFFSET('VVP2'!$G$67,0,(COLUMN()-7)/5))</f>
        <v>-780.79015760185985</v>
      </c>
      <c r="BZ11" s="2937">
        <f ca="1">IF(UPPER($F$2)="Y",BZ12-BZ10,BW11*(1+BY11/100))</f>
        <v>-46.048646260189798</v>
      </c>
      <c r="CA11" s="1331">
        <f t="shared" ca="1" si="26"/>
        <v>-0.51824815618111586</v>
      </c>
      <c r="CB11" s="1275">
        <f ca="1">OFFSET('VVP2'!$G$260,0,(COLUMN()-10)/5)</f>
        <v>-45.81</v>
      </c>
      <c r="CC11" s="1262">
        <f t="shared" ca="1" si="27"/>
        <v>-777.26197516262573</v>
      </c>
      <c r="CD11" s="2936">
        <f ca="1">IF(UPPER($F$2)="Y",CE11/CB11*100-100,OFFSET('VVP2'!$G$67,0,(COLUMN()-7)/5))</f>
        <v>-150.93481291774293</v>
      </c>
      <c r="CE11" s="2937">
        <f ca="1">IF(UPPER($F$2)="Y",CE12-CE10,CB11*(1+CD11/100))</f>
        <v>23.33323779761804</v>
      </c>
      <c r="CF11" s="1331">
        <f t="shared" ca="1" si="28"/>
        <v>-0.52816415230046232</v>
      </c>
      <c r="CG11" s="1275">
        <f ca="1">OFFSET('VVP2'!$G$260,0,(COLUMN()-10)/5)</f>
        <v>23.21</v>
      </c>
      <c r="CH11" s="1262">
        <f t="shared" ca="1" si="29"/>
        <v>-150.66579349487012</v>
      </c>
      <c r="CI11" s="2936">
        <f ca="1">IF(UPPER($F$2)="Y",CJ11/CG11*100-100,OFFSET('VVP2'!$G$67,0,(COLUMN()-7)/5))</f>
        <v>76.436535975869504</v>
      </c>
      <c r="CJ11" s="2937">
        <f ca="1">IF(UPPER($F$2)="Y",CJ12-CJ10,CG11*(1+CI11/100))</f>
        <v>40.950919999999314</v>
      </c>
      <c r="CK11" s="1331">
        <f t="shared" ca="1" si="30"/>
        <v>0.3982328113768574</v>
      </c>
      <c r="CL11" s="1275">
        <f ca="1">OFFSET('VVP2'!$G$260,0,(COLUMN()-10)/5)</f>
        <v>41.113999999999997</v>
      </c>
      <c r="CM11" s="1262">
        <f t="shared" ca="1" si="31"/>
        <v>77.13916415338214</v>
      </c>
      <c r="CN11" s="2936">
        <f ca="1">IF(UPPER($F$2)="Y",CO11/CL11*100-100,OFFSET('VVP2'!$G$67,0,(COLUMN()-7)/5))</f>
        <v>-100.89990281377743</v>
      </c>
      <c r="CO11" s="2937">
        <f ca="1">IF(UPPER($F$2)="Y",CO12-CO10,CL11*(1+CN11/100))</f>
        <v>-0.36998604285645342</v>
      </c>
      <c r="CP11" s="1331">
        <f t="shared" ca="1" si="32"/>
        <v>177.30775790319899</v>
      </c>
      <c r="CQ11" s="1275">
        <f ca="1">OFFSET('VVP2'!$G$260,0,(COLUMN()-10)/5)</f>
        <v>-1.026</v>
      </c>
      <c r="CR11" s="1262">
        <f t="shared" ca="1" si="33"/>
        <v>-102.49550031619398</v>
      </c>
      <c r="CS11" s="2936">
        <f ca="1">IF(UPPER($F$2)="Y",CT11/CQ11*100-100,OFFSET('VVP2'!$G$67,0,(COLUMN()-7)/5))</f>
        <v>-745.05899428259431</v>
      </c>
      <c r="CT11" s="2937">
        <f ca="1">IF(UPPER($F$2)="Y",CT12-CT10,CQ11*(1+CS11/100))</f>
        <v>6.618305281339417</v>
      </c>
      <c r="CU11" s="1331">
        <f t="shared" ca="1" si="34"/>
        <v>-11.049736303360959</v>
      </c>
      <c r="CV11" s="1275">
        <f ca="1">OFFSET('VVP2'!$G$260,0,(COLUMN()-10)/5)</f>
        <v>5.8869999999999996</v>
      </c>
      <c r="CW11" s="1262">
        <f t="shared" ca="1" si="35"/>
        <v>-673.78167641325535</v>
      </c>
      <c r="CX11" s="2936">
        <f ca="1">IF(UPPER($F$2)="Y",CY11/CV11*100-100,OFFSET('VVP2'!$G$67,0,(COLUMN()-7)/5))</f>
        <v>101.39415104579638</v>
      </c>
      <c r="CY11" s="2937">
        <f ca="1">IF(UPPER($F$2)="Y",CY12-CY10,CV11*(1+CX11/100))</f>
        <v>11.856073672066032</v>
      </c>
      <c r="CZ11" s="1331">
        <f t="shared" ca="1" si="36"/>
        <v>-0.39704267507161717</v>
      </c>
      <c r="DA11" s="1275">
        <f ca="1">OFFSET('VVP2'!$G$260,0,(COLUMN()-10)/5)</f>
        <v>11.808999999999999</v>
      </c>
      <c r="DB11" s="1262">
        <f t="shared" ca="1" si="37"/>
        <v>100.59453032104639</v>
      </c>
      <c r="DC11" s="2936">
        <f ca="1">IF(UPPER($F$2)="Y",DD11/DA11*100-100,OFFSET('VVP2'!$G$67,0,(COLUMN()-7)/5))</f>
        <v>142.04577837401206</v>
      </c>
      <c r="DD11" s="2937">
        <f ca="1">IF(UPPER($F$2)="Y",DD12-DD10,DA11*(1+DC11/100))</f>
        <v>28.583185968187081</v>
      </c>
      <c r="DE11" s="1331">
        <f t="shared" ca="1" si="38"/>
        <v>5.7124983675026044</v>
      </c>
      <c r="DF11" s="1275">
        <f ca="1">OFFSET('VVP2'!$G$260,0,(COLUMN()-10)/5)</f>
        <v>30.216000000000001</v>
      </c>
      <c r="DG11" s="1262">
        <f t="shared" ca="1" si="39"/>
        <v>155.87263951223647</v>
      </c>
      <c r="DH11" s="2936">
        <f ca="1">IF(UPPER($F$2)="Y",DI11/DF11*100-100,OFFSET('VVP2'!$G$67,0,(COLUMN()-7)/5))</f>
        <v>-16.226479713228628</v>
      </c>
      <c r="DI11" s="2937">
        <f ca="1">IF(UPPER($F$2)="Y",DI12-DI10,DF11*(1+DH11/100))</f>
        <v>25.31300688985084</v>
      </c>
      <c r="DJ11" s="1331">
        <f t="shared" ca="1" si="40"/>
        <v>0.48193843852692453</v>
      </c>
      <c r="DK11" s="1275">
        <f ca="1">OFFSET('VVP2'!$G$260,0,(COLUMN()-10)/5)</f>
        <v>25.434999999999999</v>
      </c>
      <c r="DL11" s="1262">
        <f t="shared" ca="1" si="41"/>
        <v>-15.822742917659527</v>
      </c>
      <c r="DM11" s="2936">
        <f ca="1">IF(UPPER($F$2)="Y",DN11/DK11*100-100,OFFSET('VVP2'!$G$67,0,(COLUMN()-7)/5))</f>
        <v>23.893306593498778</v>
      </c>
      <c r="DN11" s="2937">
        <f ca="1">IF(UPPER($F$2)="Y",DN12-DN10,DK11*(1+DM11/100))</f>
        <v>31.512262532056411</v>
      </c>
      <c r="DO11" s="1331">
        <f t="shared" ca="1" si="42"/>
        <v>-2.3967258183639046</v>
      </c>
      <c r="DP11" s="1275">
        <f ca="1">OFFSET('VVP2'!$G$260,0,(COLUMN()-10)/5)</f>
        <v>30.757000000000001</v>
      </c>
      <c r="DQ11" s="1262">
        <f t="shared" ca="1" si="43"/>
        <v>20.923923727147642</v>
      </c>
      <c r="DR11" s="1907">
        <f>+DR81</f>
        <v>20</v>
      </c>
      <c r="DS11" s="1255">
        <f ca="1">+DP11*(1+DR11/100)</f>
        <v>36.9084</v>
      </c>
      <c r="DT11" s="1907">
        <f>+DT81</f>
        <v>5.0999999999999996</v>
      </c>
      <c r="DU11" s="1252">
        <f ca="1">+DS11*(1+DT11/100)</f>
        <v>38.790728399999999</v>
      </c>
      <c r="DV11" s="1442">
        <f t="shared" ca="1" si="44"/>
        <v>26.119999999999987</v>
      </c>
      <c r="DW11" s="1907">
        <f>+DW81</f>
        <v>-17</v>
      </c>
      <c r="DX11" s="1255">
        <f ca="1">+DU11*(1+DW11/100)</f>
        <v>32.196304571999995</v>
      </c>
      <c r="DY11" s="1907">
        <f>+DY81</f>
        <v>3.1</v>
      </c>
      <c r="DZ11" s="1252">
        <f ca="1">+DX11*(1+DY11/100)</f>
        <v>33.19439001373199</v>
      </c>
      <c r="EA11" s="1442">
        <f t="shared" ca="1" si="45"/>
        <v>-14.427000000000023</v>
      </c>
      <c r="EB11" s="1907">
        <f>+EB81</f>
        <v>0</v>
      </c>
      <c r="EC11" s="1255">
        <f ca="1">+DZ11*(1+EB11/100)</f>
        <v>33.19439001373199</v>
      </c>
      <c r="ED11" s="1907">
        <f>+ED81</f>
        <v>0</v>
      </c>
      <c r="EE11" s="1252">
        <f ca="1">+EC11*(1+ED11/100)</f>
        <v>33.19439001373199</v>
      </c>
      <c r="EF11" s="1442">
        <f t="shared" ca="1" si="46"/>
        <v>0</v>
      </c>
    </row>
    <row r="12" spans="1:136">
      <c r="A12" s="1504" t="s">
        <v>158</v>
      </c>
      <c r="C12" s="1268" t="s">
        <v>1793</v>
      </c>
      <c r="D12" s="1247"/>
      <c r="E12" s="1247" t="s">
        <v>1240</v>
      </c>
      <c r="F12" s="1271"/>
      <c r="G12" s="1410"/>
      <c r="H12" s="1411"/>
      <c r="I12" s="1411"/>
      <c r="J12" s="1256">
        <f ca="1">+J10+J11</f>
        <v>1765.502</v>
      </c>
      <c r="K12" s="1413"/>
      <c r="L12" s="3154">
        <f ca="1">OFFSET('VVP2'!$G$78,0,(COLUMN()-7)/5)</f>
        <v>1.1103724055727016</v>
      </c>
      <c r="M12" s="1256">
        <f ca="1">+J12*(1+L12/100)</f>
        <v>1785.105647027834</v>
      </c>
      <c r="N12" s="1332">
        <f t="shared" ca="1" si="0"/>
        <v>1.6756628954689177</v>
      </c>
      <c r="O12" s="1256">
        <f ca="1">+O10+O11</f>
        <v>1815.018</v>
      </c>
      <c r="P12" s="1274">
        <f t="shared" ca="1" si="1"/>
        <v>2.8046413994433417</v>
      </c>
      <c r="Q12" s="3154">
        <f ca="1">OFFSET('VVP2'!$G$78,0,(COLUMN()-7)/5)</f>
        <v>1.7240463081740431</v>
      </c>
      <c r="R12" s="1256">
        <f ca="1">+O12*(1+Q12/100)</f>
        <v>1846.3097508216945</v>
      </c>
      <c r="S12" s="1332">
        <f t="shared" ca="1" si="2"/>
        <v>1.9144268269489828</v>
      </c>
      <c r="T12" s="1256">
        <f ca="1">+T10+T11</f>
        <v>1881.6559999999999</v>
      </c>
      <c r="U12" s="1274">
        <f t="shared" ca="1" si="3"/>
        <v>3.6714787401557425</v>
      </c>
      <c r="V12" s="3154">
        <f ca="1">OFFSET('VVP2'!$G$78,0,(COLUMN()-7)/5)</f>
        <v>4.7341213492308798</v>
      </c>
      <c r="W12" s="1256">
        <f ca="1">+T12*(1+V12/100)</f>
        <v>1970.7358784150838</v>
      </c>
      <c r="X12" s="1332">
        <f t="shared" ca="1" si="4"/>
        <v>1.0055696352802954</v>
      </c>
      <c r="Y12" s="1256">
        <f ca="1">+Y10+Y11</f>
        <v>1990.5530000000001</v>
      </c>
      <c r="Z12" s="1274">
        <f t="shared" ca="1" si="5"/>
        <v>5.7872958712963607</v>
      </c>
      <c r="AA12" s="3154">
        <f ca="1">OFFSET('VVP2'!$G$78,0,(COLUMN()-7)/5)</f>
        <v>3.5266190215407445</v>
      </c>
      <c r="AB12" s="1256">
        <f ca="1">+Y12*(1+AA12/100)</f>
        <v>2060.7522207318502</v>
      </c>
      <c r="AC12" s="1332">
        <f t="shared" ca="1" si="6"/>
        <v>2.1383346733699256</v>
      </c>
      <c r="AD12" s="1256">
        <f ca="1">+AD10+AD11</f>
        <v>2104.8180000000002</v>
      </c>
      <c r="AE12" s="1274">
        <f t="shared" ca="1" si="7"/>
        <v>5.7403646122459406</v>
      </c>
      <c r="AF12" s="3154">
        <f ca="1">OFFSET('VVP2'!$G$78,0,(COLUMN()-7)/5)</f>
        <v>4.3160480863308592</v>
      </c>
      <c r="AG12" s="1256">
        <f ca="1">+AD12*(1+AF12/100)</f>
        <v>2195.6629570097475</v>
      </c>
      <c r="AH12" s="1332">
        <f t="shared" ca="1" si="8"/>
        <v>2.1985178934745875</v>
      </c>
      <c r="AI12" s="1256">
        <f ca="1">+AI10+AI11</f>
        <v>2243.9349999999999</v>
      </c>
      <c r="AJ12" s="1274">
        <f t="shared" ca="1" si="9"/>
        <v>6.6094550692743947</v>
      </c>
      <c r="AK12" s="3154">
        <f ca="1">OFFSET('VVP2'!$G$78,0,(COLUMN()-7)/5)</f>
        <v>0.6489416668439052</v>
      </c>
      <c r="AL12" s="1256">
        <f ca="1">+AI12*(1+AK12/100)</f>
        <v>2258.4968291918935</v>
      </c>
      <c r="AM12" s="1332">
        <f t="shared" ca="1" si="10"/>
        <v>3.0546498855520241</v>
      </c>
      <c r="AN12" s="1256">
        <f ca="1">+AN10+AN11</f>
        <v>2327.4859999999999</v>
      </c>
      <c r="AO12" s="1274">
        <f t="shared" ca="1" si="11"/>
        <v>3.7234144482794607</v>
      </c>
      <c r="AP12" s="3154">
        <f ca="1">OFFSET('VVP2'!$G$78,0,(COLUMN()-7)/5)</f>
        <v>1.0977854163647605</v>
      </c>
      <c r="AQ12" s="1256">
        <f ca="1">+AN12*(1+AP12/100)</f>
        <v>2353.0368018759314</v>
      </c>
      <c r="AR12" s="1332">
        <f t="shared" ca="1" si="12"/>
        <v>2.4901947167742549</v>
      </c>
      <c r="AS12" s="1256">
        <f ca="1">+AS10+AS11</f>
        <v>2411.6319999999996</v>
      </c>
      <c r="AT12" s="1274">
        <f t="shared" ca="1" si="13"/>
        <v>3.6153171275788543</v>
      </c>
      <c r="AU12" s="3154">
        <f ca="1">OFFSET('VVP2'!$G$78,0,(COLUMN()-7)/5)</f>
        <v>2.1085903218171387</v>
      </c>
      <c r="AV12" s="1256">
        <f ca="1">+AS12*(1+AU12/100)</f>
        <v>2462.4834389498446</v>
      </c>
      <c r="AW12" s="1332">
        <f t="shared" ca="1" si="14"/>
        <v>1.9742898685600352</v>
      </c>
      <c r="AX12" s="1256">
        <f ca="1">+AX10+AX11</f>
        <v>2511.1</v>
      </c>
      <c r="AY12" s="1274">
        <f t="shared" ca="1" si="15"/>
        <v>4.1245098754702392</v>
      </c>
      <c r="AZ12" s="3154">
        <f ca="1">OFFSET('VVP2'!$G$78,0,(COLUMN()-7)/5)</f>
        <v>2.3397524306380646</v>
      </c>
      <c r="BA12" s="1256">
        <f ca="1">+AX12*(1+AZ12/100)</f>
        <v>2569.8535232857525</v>
      </c>
      <c r="BB12" s="1332">
        <f t="shared" ca="1" si="16"/>
        <v>0.98684522228418814</v>
      </c>
      <c r="BC12" s="1256">
        <f ca="1">+BC10+BC11</f>
        <v>2595.2139999999999</v>
      </c>
      <c r="BD12" s="1274">
        <f t="shared" ca="1" si="17"/>
        <v>3.3496873879973021</v>
      </c>
      <c r="BE12" s="3154">
        <f ca="1">OFFSET('VVP2'!$G$78,0,(COLUMN()-7)/5)</f>
        <v>2.6445388990128604</v>
      </c>
      <c r="BF12" s="1256">
        <f ca="1">+BC12*(1+BE12/100)</f>
        <v>2663.8454437426276</v>
      </c>
      <c r="BG12" s="1332">
        <f t="shared" ca="1" si="18"/>
        <v>1.4380172223337837</v>
      </c>
      <c r="BH12" s="1256">
        <f ca="1">+BH10+BH11</f>
        <v>2702.1520000000005</v>
      </c>
      <c r="BI12" s="1274">
        <f t="shared" ca="1" si="19"/>
        <v>4.12058504616577</v>
      </c>
      <c r="BJ12" s="3154">
        <f ca="1">OFFSET('VVP2'!$G$78,0,(COLUMN()-7)/5)</f>
        <v>4.2118045273197513</v>
      </c>
      <c r="BK12" s="1256">
        <f ca="1">+BH12*(1+BJ12/100)</f>
        <v>2815.9613602710619</v>
      </c>
      <c r="BL12" s="1332">
        <f t="shared" ca="1" si="20"/>
        <v>1.8337126516525473</v>
      </c>
      <c r="BM12" s="1256">
        <f ca="1">+BM10+BM11</f>
        <v>2867.5979999999995</v>
      </c>
      <c r="BN12" s="1274">
        <f t="shared" ca="1" si="21"/>
        <v>6.1227495714526459</v>
      </c>
      <c r="BO12" s="3154">
        <f ca="1">OFFSET('VVP2'!$G$78,0,(COLUMN()-7)/5)</f>
        <v>4.7049139449243826</v>
      </c>
      <c r="BP12" s="1256">
        <f ca="1">+BM12*(1+BO12/100)</f>
        <v>3002.5160181863721</v>
      </c>
      <c r="BQ12" s="1332">
        <f t="shared" ca="1" si="22"/>
        <v>2.2798540090712294</v>
      </c>
      <c r="BR12" s="1256">
        <f ca="1">+BR10+BR11</f>
        <v>3070.9690000000001</v>
      </c>
      <c r="BS12" s="1274">
        <f t="shared" ca="1" si="23"/>
        <v>7.0920331231923317</v>
      </c>
      <c r="BT12" s="3154">
        <f ca="1">OFFSET('VVP2'!$G$78,0,(COLUMN()-7)/5)</f>
        <v>5.2694031201183655E-2</v>
      </c>
      <c r="BU12" s="1256">
        <f ca="1">+BR12*(1+BT12/100)</f>
        <v>3072.5872173630387</v>
      </c>
      <c r="BV12" s="1332">
        <f t="shared" ca="1" si="24"/>
        <v>3.4755980898928414</v>
      </c>
      <c r="BW12" s="1256">
        <f ca="1">+BW10+BW11</f>
        <v>3179.3780000000002</v>
      </c>
      <c r="BX12" s="1274">
        <f t="shared" ca="1" si="25"/>
        <v>3.530123553835951</v>
      </c>
      <c r="BY12" s="3154">
        <f ca="1">OFFSET('VVP2'!$G$78,0,(COLUMN()-7)/5)</f>
        <v>-4.3864675538014879</v>
      </c>
      <c r="BZ12" s="1256">
        <f ca="1">+BW12*(1+BY12/100)</f>
        <v>3039.9156156172976</v>
      </c>
      <c r="CA12" s="1332">
        <f t="shared" ca="1" si="26"/>
        <v>2.0603329928283074</v>
      </c>
      <c r="CB12" s="1256">
        <f ca="1">+CB10+CB11</f>
        <v>3102.5480000000002</v>
      </c>
      <c r="CC12" s="1274">
        <f t="shared" ca="1" si="27"/>
        <v>-2.4165103992038639</v>
      </c>
      <c r="CD12" s="3154">
        <f ca="1">OFFSET('VVP2'!$G$78,0,(COLUMN()-7)/5)</f>
        <v>5.9711853603296117</v>
      </c>
      <c r="CE12" s="1256">
        <f ca="1">+CB12*(1+CD12/100)</f>
        <v>3287.8068919731995</v>
      </c>
      <c r="CF12" s="1332">
        <f t="shared" ca="1" si="28"/>
        <v>1.3248986165564531</v>
      </c>
      <c r="CG12" s="1256">
        <f ca="1">+CG10+CG11</f>
        <v>3331.3670000000002</v>
      </c>
      <c r="CH12" s="1274">
        <f t="shared" ca="1" si="29"/>
        <v>7.3751961291171009</v>
      </c>
      <c r="CI12" s="3154">
        <f ca="1">OFFSET('VVP2'!$G$78,0,(COLUMN()-7)/5)</f>
        <v>3.0158526514791006</v>
      </c>
      <c r="CJ12" s="1256">
        <f ca="1">+CG12*(1+CI12/100)</f>
        <v>3431.8361199999999</v>
      </c>
      <c r="CK12" s="1332">
        <f t="shared" ca="1" si="30"/>
        <v>1.6665096467368414</v>
      </c>
      <c r="CL12" s="1256">
        <f ca="1">+CL10+CL11</f>
        <v>3489.0279999999998</v>
      </c>
      <c r="CM12" s="1274">
        <f t="shared" ca="1" si="31"/>
        <v>4.7326217735842224</v>
      </c>
      <c r="CN12" s="3154">
        <f ca="1">OFFSET('VVP2'!$G$78,0,(COLUMN()-7)/5)</f>
        <v>-0.58127864975090482</v>
      </c>
      <c r="CO12" s="1256">
        <f ca="1">+CL12*(1+CN12/100)</f>
        <v>3468.7470251521686</v>
      </c>
      <c r="CP12" s="1332">
        <f t="shared" ca="1" si="32"/>
        <v>1.107517341831695</v>
      </c>
      <c r="CQ12" s="1256">
        <f ca="1">+CQ10+CQ11</f>
        <v>3507.1639999999998</v>
      </c>
      <c r="CR12" s="1274">
        <f t="shared" ca="1" si="33"/>
        <v>0.51980093023042961</v>
      </c>
      <c r="CS12" s="3154">
        <f ca="1">OFFSET('VVP2'!$G$78,0,(COLUMN()-7)/5)</f>
        <v>1.627132868428971</v>
      </c>
      <c r="CT12" s="1256">
        <f ca="1">+CQ12*(1+CS12/100)</f>
        <v>3564.230218193708</v>
      </c>
      <c r="CU12" s="1332">
        <f t="shared" ca="1" si="34"/>
        <v>1.1158870042476678</v>
      </c>
      <c r="CV12" s="1256">
        <f ca="1">+CV10+CV11</f>
        <v>3604.0030000000002</v>
      </c>
      <c r="CW12" s="1274">
        <f t="shared" ca="1" si="35"/>
        <v>2.7611768368972944</v>
      </c>
      <c r="CX12" s="3154">
        <f ca="1">OFFSET('VVP2'!$G$78,0,(COLUMN()-7)/5)</f>
        <v>2.8974050442186927</v>
      </c>
      <c r="CY12" s="1256">
        <f ca="1">+CV12*(1+CX12/100)</f>
        <v>3708.4255647157934</v>
      </c>
      <c r="CZ12" s="1332">
        <f t="shared" ca="1" si="36"/>
        <v>1.6880326756404571</v>
      </c>
      <c r="DA12" s="1256">
        <f ca="1">+DA10+DA11</f>
        <v>3771.0250000000005</v>
      </c>
      <c r="DB12" s="1274">
        <f t="shared" ca="1" si="37"/>
        <v>4.6343468637512375</v>
      </c>
      <c r="DC12" s="3154">
        <f ca="1">OFFSET('VVP2'!$G$78,0,(COLUMN()-7)/5)</f>
        <v>4.2137117836780202</v>
      </c>
      <c r="DD12" s="1256">
        <f ca="1">+DA12*(1+DC12/100)</f>
        <v>3929.9251247904444</v>
      </c>
      <c r="DE12" s="1332">
        <f t="shared" ca="1" si="38"/>
        <v>1.7159328248817758</v>
      </c>
      <c r="DF12" s="1256">
        <f ca="1">+DF10+DF11</f>
        <v>3997.36</v>
      </c>
      <c r="DG12" s="1274">
        <f t="shared" ca="1" si="39"/>
        <v>6.0019490722018398</v>
      </c>
      <c r="DH12" s="3154">
        <f ca="1">OFFSET('VVP2'!$G$78,0,(COLUMN()-7)/5)</f>
        <v>3.2414143861614342</v>
      </c>
      <c r="DI12" s="1256">
        <f ca="1">+DF12*(1+DH12/100)</f>
        <v>4126.9310021066631</v>
      </c>
      <c r="DJ12" s="1478">
        <f ca="1">+DK12/DI12*100-100</f>
        <v>1.561523511307584</v>
      </c>
      <c r="DK12" s="1256">
        <f ca="1">+DK10+DK11</f>
        <v>4191.3740000000007</v>
      </c>
      <c r="DL12" s="1274">
        <f t="shared" ref="DL12:DL15" ca="1" si="47">(DK12/DF12-1)*100</f>
        <v>4.8535533452078505</v>
      </c>
      <c r="DM12" s="3154">
        <f ca="1">OFFSET('VVP2'!$G$78,0,(COLUMN()-7)/5)</f>
        <v>2.6969332595821127</v>
      </c>
      <c r="DN12" s="1256">
        <f ca="1">+DK12*(1+DM12/100)</f>
        <v>4304.4125594394782</v>
      </c>
      <c r="DO12" s="1478">
        <f ca="1">+DP12/DN12*100-100</f>
        <v>2.4488461341690737</v>
      </c>
      <c r="DP12" s="1256">
        <f ca="1">+DP10+DP11</f>
        <v>4409.8209999999999</v>
      </c>
      <c r="DQ12" s="1274">
        <f t="shared" ca="1" si="43"/>
        <v>5.2118231396195869</v>
      </c>
      <c r="DR12" s="1544">
        <f ca="1">IF(UPPER($F$2)="Y",(DS12/DP12-1)*100,OFFSET('VVP2'!$G$78,0,(COLUMN()-7)/5))</f>
        <v>2.4546013522998011</v>
      </c>
      <c r="DS12" s="1519">
        <f ca="1">IF(UPPER($F$2)="Y",+DS10+DS11,DP12*(1+DR12/100))</f>
        <v>4518.0645259000003</v>
      </c>
      <c r="DT12" s="1478">
        <f ca="1">+DU12/DS12*100-100</f>
        <v>2.7936925874328011</v>
      </c>
      <c r="DU12" s="1260">
        <f ca="1">+DU10+DU11</f>
        <v>4644.2853596554996</v>
      </c>
      <c r="DV12" s="1480">
        <f t="shared" ca="1" si="44"/>
        <v>5.3168679557628273</v>
      </c>
      <c r="DW12" s="1544">
        <f ca="1">IF(UPPER($F$2)="Y",(DX12/DU12-1)*100,OFFSET('VVP2'!$G$78,0,(COLUMN()-7)/5))</f>
        <v>1.6918469896015864</v>
      </c>
      <c r="DX12" s="1519">
        <f ca="1">IF(UPPER($F$2)="Y",+DX10+DX11,DU12*(1+DW12/100))</f>
        <v>4722.8595617013389</v>
      </c>
      <c r="DY12" s="1478">
        <f ca="1">+DZ12/DX12*100-100</f>
        <v>2.1851791642661453</v>
      </c>
      <c r="DZ12" s="1260">
        <f ca="1">+DZ10+DZ11</f>
        <v>4826.062504801188</v>
      </c>
      <c r="EA12" s="1480">
        <f t="shared" ca="1" si="45"/>
        <v>3.9139960417757802</v>
      </c>
      <c r="EB12" s="1544">
        <f ca="1">IF(UPPER($F$2)="Y",(EC12/DZ12-1)*100,OFFSET('VVP2'!$G$78,0,(COLUMN()-7)/5))</f>
        <v>1.782874860308592</v>
      </c>
      <c r="EC12" s="1519">
        <f ca="1">IF(UPPER($F$2)="Y",+EC10+EC11,DZ12*(1+EB12/100))</f>
        <v>4912.105159942068</v>
      </c>
      <c r="ED12" s="1478">
        <f ca="1">+EE12/EC12*100-100</f>
        <v>1.8882414770120022</v>
      </c>
      <c r="EE12" s="1260">
        <f ca="1">+EE10+EE11</f>
        <v>5004.8575669665415</v>
      </c>
      <c r="EF12" s="1480">
        <f t="shared" ca="1" si="46"/>
        <v>3.7047813199161839</v>
      </c>
    </row>
    <row r="13" spans="1:136">
      <c r="C13" s="1268" t="s">
        <v>1791</v>
      </c>
      <c r="D13" s="1118"/>
      <c r="E13" s="1118" t="s">
        <v>375</v>
      </c>
      <c r="F13" s="1117" t="s">
        <v>1748</v>
      </c>
      <c r="G13" s="1290"/>
      <c r="H13" s="1291"/>
      <c r="I13" s="1292"/>
      <c r="J13" s="1275">
        <f ca="1">OFFSET('VVP2'!$G$279,0,(COLUMN()-6)/5)</f>
        <v>715.80799999999999</v>
      </c>
      <c r="K13" s="1293"/>
      <c r="L13" s="1257">
        <f ca="1">OFFSET('VVP2'!$G$89,0,(COLUMN()-7)/5)</f>
        <v>4.1269050300589916</v>
      </c>
      <c r="M13" s="1280">
        <f ca="1">+J13*(1+L13/100)</f>
        <v>745.34871635756463</v>
      </c>
      <c r="N13" s="1331">
        <f t="shared" ca="1" si="0"/>
        <v>-4.5238846753965305</v>
      </c>
      <c r="O13" s="1275">
        <f ca="1">OFFSET('VVP2'!$G$279,0,(COLUMN()-10)/5)</f>
        <v>711.63</v>
      </c>
      <c r="P13" s="1262">
        <f t="shared" ca="1" si="1"/>
        <v>-0.58367606956055695</v>
      </c>
      <c r="Q13" s="1257">
        <f ca="1">OFFSET('VVP2'!$G$89,0,(COLUMN()-7)/5)</f>
        <v>13.878783938864592</v>
      </c>
      <c r="R13" s="1280">
        <f ca="1">+O13*(1+Q13/100)</f>
        <v>810.39559014414203</v>
      </c>
      <c r="S13" s="1331">
        <f t="shared" ca="1" si="2"/>
        <v>-0.20318350249772266</v>
      </c>
      <c r="T13" s="1275">
        <f ca="1">OFFSET('VVP2'!$G$279,0,(COLUMN()-10)/5)</f>
        <v>808.74900000000002</v>
      </c>
      <c r="U13" s="1262">
        <f t="shared" ca="1" si="3"/>
        <v>13.647401037055772</v>
      </c>
      <c r="V13" s="1257">
        <f ca="1">OFFSET('VVP2'!$G$89,0,(COLUMN()-7)/5)</f>
        <v>8.935827998907552</v>
      </c>
      <c r="W13" s="1280">
        <f ca="1">+T13*(1+V13/100)</f>
        <v>881.01741958288483</v>
      </c>
      <c r="X13" s="1331">
        <f t="shared" ca="1" si="4"/>
        <v>-1.2273786354876393</v>
      </c>
      <c r="Y13" s="1275">
        <f ca="1">OFFSET('VVP2'!$G$279,0,(COLUMN()-10)/5)</f>
        <v>870.20399999999995</v>
      </c>
      <c r="Z13" s="1262">
        <f t="shared" ca="1" si="5"/>
        <v>7.5987729196573817</v>
      </c>
      <c r="AA13" s="1257">
        <f ca="1">OFFSET('VVP2'!$G$89,0,(COLUMN()-7)/5)</f>
        <v>7.2172776488465651</v>
      </c>
      <c r="AB13" s="1280">
        <f ca="1">+Y13*(1+AA13/100)</f>
        <v>933.00903879136877</v>
      </c>
      <c r="AC13" s="1331">
        <f t="shared" ca="1" si="6"/>
        <v>-1.5693351492431731</v>
      </c>
      <c r="AD13" s="1275">
        <f ca="1">OFFSET('VVP2'!$G$279,0,(COLUMN()-10)/5)</f>
        <v>918.36699999999996</v>
      </c>
      <c r="AE13" s="1262">
        <f t="shared" ca="1" si="7"/>
        <v>5.5346792246415699</v>
      </c>
      <c r="AF13" s="1257">
        <f ca="1">OFFSET('VVP2'!$G$89,0,(COLUMN()-7)/5)</f>
        <v>11.698217559453994</v>
      </c>
      <c r="AG13" s="1280">
        <f ca="1">+AD13*(1+AF13/100)</f>
        <v>1025.7995696542307</v>
      </c>
      <c r="AH13" s="1331">
        <f t="shared" ca="1" si="8"/>
        <v>2.3288594626552452</v>
      </c>
      <c r="AI13" s="1275">
        <f ca="1">OFFSET('VVP2'!$G$279,0,(COLUMN()-10)/5)</f>
        <v>1049.6890000000001</v>
      </c>
      <c r="AJ13" s="1262">
        <f t="shared" ca="1" si="9"/>
        <v>14.299512068704567</v>
      </c>
      <c r="AK13" s="1257">
        <f ca="1">OFFSET('VVP2'!$G$89,0,(COLUMN()-7)/5)</f>
        <v>0.69665013831305966</v>
      </c>
      <c r="AL13" s="1280">
        <f ca="1">+AI13*(1+AK13/100)</f>
        <v>1057.0016598703571</v>
      </c>
      <c r="AM13" s="1331">
        <f t="shared" ca="1" si="10"/>
        <v>2.5807282207095597</v>
      </c>
      <c r="AN13" s="1275">
        <f ca="1">OFFSET('VVP2'!$G$279,0,(COLUMN()-10)/5)</f>
        <v>1084.28</v>
      </c>
      <c r="AO13" s="1262">
        <f t="shared" ca="1" si="11"/>
        <v>3.2953570057416837</v>
      </c>
      <c r="AP13" s="1257">
        <f ca="1">OFFSET('VVP2'!$G$89,0,(COLUMN()-7)/5)</f>
        <v>1.3174075218694625</v>
      </c>
      <c r="AQ13" s="1280">
        <f ca="1">+AN13*(1+AP13/100)</f>
        <v>1098.5643862781262</v>
      </c>
      <c r="AR13" s="1331">
        <f t="shared" ca="1" si="12"/>
        <v>-1.5385885879106667</v>
      </c>
      <c r="AS13" s="1275">
        <f ca="1">OFFSET('VVP2'!$G$279,0,(COLUMN()-10)/5)</f>
        <v>1081.662</v>
      </c>
      <c r="AT13" s="1262">
        <f t="shared" ca="1" si="13"/>
        <v>-0.24145054782896969</v>
      </c>
      <c r="AU13" s="1257">
        <f ca="1">OFFSET('VVP2'!$G$89,0,(COLUMN()-7)/5)</f>
        <v>4.1609718978245391</v>
      </c>
      <c r="AV13" s="1280">
        <f ca="1">+AS13*(1+AU13/100)</f>
        <v>1126.6696518494468</v>
      </c>
      <c r="AW13" s="1331">
        <f t="shared" ca="1" si="14"/>
        <v>-1.9859993399766012</v>
      </c>
      <c r="AX13" s="1275">
        <f ca="1">OFFSET('VVP2'!$G$279,0,(COLUMN()-10)/5)</f>
        <v>1104.2940000000001</v>
      </c>
      <c r="AY13" s="1262">
        <f t="shared" ca="1" si="15"/>
        <v>2.0923356834205098</v>
      </c>
      <c r="AZ13" s="1257">
        <f ca="1">OFFSET('VVP2'!$G$89,0,(COLUMN()-7)/5)</f>
        <v>10.734866587775315</v>
      </c>
      <c r="BA13" s="1280">
        <f ca="1">+AX13*(1+AZ13/100)</f>
        <v>1222.8384876368077</v>
      </c>
      <c r="BB13" s="1331">
        <f t="shared" ca="1" si="16"/>
        <v>-0.33548892010554709</v>
      </c>
      <c r="BC13" s="1275">
        <f ca="1">OFFSET('VVP2'!$G$279,0,(COLUMN()-10)/5)</f>
        <v>1218.7360000000001</v>
      </c>
      <c r="BD13" s="1262">
        <f t="shared" ca="1" si="17"/>
        <v>10.36336337967969</v>
      </c>
      <c r="BE13" s="1257">
        <f ca="1">OFFSET('VVP2'!$G$89,0,(COLUMN()-7)/5)</f>
        <v>6.6288945304860514</v>
      </c>
      <c r="BF13" s="1280">
        <f ca="1">+BC13*(1+BE13/100)</f>
        <v>1299.5247240450647</v>
      </c>
      <c r="BG13" s="1331">
        <f t="shared" ca="1" si="18"/>
        <v>2.6295979847591013</v>
      </c>
      <c r="BH13" s="1275">
        <f ca="1">OFFSET('VVP2'!$G$279,0,(COLUMN()-10)/5)</f>
        <v>1333.6969999999999</v>
      </c>
      <c r="BI13" s="1262">
        <f t="shared" ca="1" si="19"/>
        <v>9.4328057922306243</v>
      </c>
      <c r="BJ13" s="1257">
        <f ca="1">OFFSET('VVP2'!$G$89,0,(COLUMN()-7)/5)</f>
        <v>8.6622715434560469</v>
      </c>
      <c r="BK13" s="1280">
        <f ca="1">+BH13*(1+BJ13/100)</f>
        <v>1449.2254557069268</v>
      </c>
      <c r="BL13" s="1331">
        <f t="shared" ca="1" si="20"/>
        <v>3.0513916326084569</v>
      </c>
      <c r="BM13" s="1275">
        <f ca="1">OFFSET('VVP2'!$G$279,0,(COLUMN()-10)/5)</f>
        <v>1493.4469999999999</v>
      </c>
      <c r="BN13" s="1262">
        <f t="shared" ca="1" si="21"/>
        <v>11.97798300513535</v>
      </c>
      <c r="BO13" s="1257">
        <f ca="1">OFFSET('VVP2'!$G$89,0,(COLUMN()-7)/5)</f>
        <v>4.4787470485628367</v>
      </c>
      <c r="BP13" s="1280">
        <f ca="1">+BM13*(1+BO13/100)</f>
        <v>1560.3347134343501</v>
      </c>
      <c r="BQ13" s="1331">
        <f t="shared" ca="1" si="22"/>
        <v>1.9713261712897179</v>
      </c>
      <c r="BR13" s="1275">
        <f ca="1">OFFSET('VVP2'!$G$279,0,(COLUMN()-10)/5)</f>
        <v>1591.0940000000001</v>
      </c>
      <c r="BS13" s="1262">
        <f t="shared" ca="1" si="23"/>
        <v>6.5383639325667486</v>
      </c>
      <c r="BT13" s="1257">
        <f ca="1">OFFSET('VVP2'!$G$89,0,(COLUMN()-7)/5)</f>
        <v>1.9858556821547024</v>
      </c>
      <c r="BU13" s="1280">
        <f ca="1">+BR13*(1+BT13/100)</f>
        <v>1622.6908306074226</v>
      </c>
      <c r="BV13" s="1331">
        <f t="shared" ca="1" si="24"/>
        <v>3.9919600314946848</v>
      </c>
      <c r="BW13" s="1275">
        <f ca="1">OFFSET('VVP2'!$G$279,0,(COLUMN()-10)/5)</f>
        <v>1687.4680000000001</v>
      </c>
      <c r="BX13" s="1262">
        <f t="shared" ca="1" si="25"/>
        <v>6.0570902787641767</v>
      </c>
      <c r="BY13" s="1257">
        <f ca="1">OFFSET('VVP2'!$G$89,0,(COLUMN()-7)/5)</f>
        <v>-14.485194249141642</v>
      </c>
      <c r="BZ13" s="1280">
        <f ca="1">+BW13*(1+BY13/100)</f>
        <v>1443.0349823078946</v>
      </c>
      <c r="CA13" s="1331">
        <f t="shared" ca="1" si="26"/>
        <v>1.3016328725492912</v>
      </c>
      <c r="CB13" s="1275">
        <f ca="1">OFFSET('VVP2'!$G$279,0,(COLUMN()-10)/5)</f>
        <v>1461.818</v>
      </c>
      <c r="CC13" s="1262">
        <f t="shared" ca="1" si="27"/>
        <v>-13.372105426591796</v>
      </c>
      <c r="CD13" s="1257">
        <f ca="1">OFFSET('VVP2'!$G$89,0,(COLUMN()-7)/5)</f>
        <v>11.94244079217588</v>
      </c>
      <c r="CE13" s="1280">
        <f ca="1">+CB13*(1+CD13/100)</f>
        <v>1636.3947491393697</v>
      </c>
      <c r="CF13" s="1331">
        <f t="shared" ca="1" si="28"/>
        <v>-0.65257781748481136</v>
      </c>
      <c r="CG13" s="1275">
        <f ca="1">OFFSET('VVP2'!$G$279,0,(COLUMN()-10)/5)</f>
        <v>1625.7159999999999</v>
      </c>
      <c r="CH13" s="1262">
        <f t="shared" ca="1" si="29"/>
        <v>11.211929255215081</v>
      </c>
      <c r="CI13" s="1257">
        <f ca="1">OFFSET('VVP2'!$G$89,0,(COLUMN()-7)/5)</f>
        <v>6.1013633377539733</v>
      </c>
      <c r="CJ13" s="1280">
        <f ca="1">+CG13*(1+CI13/100)</f>
        <v>1724.9068400000003</v>
      </c>
      <c r="CK13" s="1331">
        <f t="shared" ca="1" si="30"/>
        <v>-1.0383656429816313</v>
      </c>
      <c r="CL13" s="1275">
        <f ca="1">OFFSET('VVP2'!$G$279,0,(COLUMN()-10)/5)</f>
        <v>1706.9960000000001</v>
      </c>
      <c r="CM13" s="1262">
        <f t="shared" ca="1" si="31"/>
        <v>4.9996432341196329</v>
      </c>
      <c r="CN13" s="1257">
        <f ca="1">OFFSET('VVP2'!$G$89,0,(COLUMN()-7)/5)</f>
        <v>0.98140314638672788</v>
      </c>
      <c r="CO13" s="1280">
        <f ca="1">+CL13*(1+CN13/100)</f>
        <v>1723.7485124526956</v>
      </c>
      <c r="CP13" s="1331">
        <f t="shared" ca="1" si="32"/>
        <v>-0.97656429177963844</v>
      </c>
      <c r="CQ13" s="1275">
        <f ca="1">OFFSET('VVP2'!$G$279,0,(COLUMN()-10)/5)</f>
        <v>1706.915</v>
      </c>
      <c r="CR13" s="1262">
        <f t="shared" ca="1" si="33"/>
        <v>-4.7451780789242726E-3</v>
      </c>
      <c r="CS13" s="1257">
        <f ca="1">OFFSET('VVP2'!$G$89,0,(COLUMN()-7)/5)</f>
        <v>-0.77263397483547935</v>
      </c>
      <c r="CT13" s="1280">
        <f ca="1">+CQ13*(1+CS13/100)</f>
        <v>1693.726794788437</v>
      </c>
      <c r="CU13" s="1331">
        <f t="shared" ca="1" si="34"/>
        <v>-2.5081255677804393</v>
      </c>
      <c r="CV13" s="1275">
        <f ca="1">OFFSET('VVP2'!$G$279,0,(COLUMN()-10)/5)</f>
        <v>1651.2460000000001</v>
      </c>
      <c r="CW13" s="1262">
        <f t="shared" ca="1" si="35"/>
        <v>-3.2613809123477111</v>
      </c>
      <c r="CX13" s="1257">
        <f ca="1">OFFSET('VVP2'!$G$89,0,(COLUMN()-7)/5)</f>
        <v>5.25726700200706</v>
      </c>
      <c r="CY13" s="1280">
        <f ca="1">+CV13*(1+CX13/100)</f>
        <v>1738.0564110799617</v>
      </c>
      <c r="CZ13" s="1331">
        <f t="shared" ca="1" si="36"/>
        <v>2.0037663161000836</v>
      </c>
      <c r="DA13" s="1275">
        <f ca="1">OFFSET('VVP2'!$G$279,0,(COLUMN()-10)/5)</f>
        <v>1772.883</v>
      </c>
      <c r="DB13" s="1262">
        <f t="shared" ca="1" si="37"/>
        <v>7.3663766634408212</v>
      </c>
      <c r="DC13" s="1257">
        <f ca="1">OFFSET('VVP2'!$G$89,0,(COLUMN()-7)/5)</f>
        <v>5.684667594510695</v>
      </c>
      <c r="DD13" s="1280">
        <f ca="1">+DA13*(1+DC13/100)</f>
        <v>1873.665505389589</v>
      </c>
      <c r="DE13" s="1331">
        <f t="shared" ca="1" si="38"/>
        <v>2.1040305485163771</v>
      </c>
      <c r="DF13" s="1275">
        <f ca="1">OFFSET('VVP2'!$G$279,0,(COLUMN()-10)/5)</f>
        <v>1913.088</v>
      </c>
      <c r="DG13" s="1262">
        <f t="shared" ca="1" si="39"/>
        <v>7.9083052857972014</v>
      </c>
      <c r="DH13" s="1257">
        <f ca="1">OFFSET('VVP2'!$G$89,0,(COLUMN()-7)/5)</f>
        <v>2.9675058425944201</v>
      </c>
      <c r="DI13" s="1280">
        <f ca="1">+DF13*(1+DH13/100)</f>
        <v>1969.8589981739726</v>
      </c>
      <c r="DJ13" s="1907">
        <f ca="1">+DJ88</f>
        <v>-1.1527220067538622</v>
      </c>
      <c r="DK13" s="1275">
        <f ca="1">OFFSET('VVP2'!$G$279,0,(COLUMN()-10)/5)</f>
        <v>1947.152</v>
      </c>
      <c r="DL13" s="1262">
        <f t="shared" ca="1" si="47"/>
        <v>1.7805767429412533</v>
      </c>
      <c r="DM13" s="1257">
        <f ca="1">OFFSET('VVP2'!$G$89,0,(COLUMN()-7)/5)</f>
        <v>3.233987457803722</v>
      </c>
      <c r="DN13" s="1280">
        <f ca="1">+DK13*(1+DM13/100)</f>
        <v>2010.1226514643745</v>
      </c>
      <c r="DO13" s="1907">
        <f ca="1">+DO88</f>
        <v>3.3099148694810197</v>
      </c>
      <c r="DP13" s="1275">
        <f ca="1">OFFSET('VVP2'!$G$279,0,(COLUMN()-10)/5)</f>
        <v>2076.6559999999999</v>
      </c>
      <c r="DQ13" s="1262">
        <f t="shared" ca="1" si="43"/>
        <v>6.6509445590277494</v>
      </c>
      <c r="DR13" s="1908">
        <f ca="1">+DR88</f>
        <v>3.4379257614164382</v>
      </c>
      <c r="DS13" s="1255">
        <f ca="1">+DP13*(1+DR13/100)</f>
        <v>2148.0498916000001</v>
      </c>
      <c r="DT13" s="1907">
        <f ca="1">+DT88</f>
        <v>5.1273146239058036</v>
      </c>
      <c r="DU13" s="1252">
        <f ca="1">+DS13*(1+DT13/100)</f>
        <v>2258.1871678207999</v>
      </c>
      <c r="DV13" s="1442">
        <f t="shared" ca="1" si="44"/>
        <v>8.7415136556463935</v>
      </c>
      <c r="DW13" s="1908">
        <f ca="1">+DW88</f>
        <v>3.2390742576303477</v>
      </c>
      <c r="DX13" s="1255">
        <f ca="1">+DU13*(1+DW13/100)</f>
        <v>2331.3315270627954</v>
      </c>
      <c r="DY13" s="1907">
        <f ca="1">+DY88</f>
        <v>2.3700401221483816</v>
      </c>
      <c r="DZ13" s="1252">
        <f ca="1">+DX13*(1+DY13/100)</f>
        <v>2386.5850196344782</v>
      </c>
      <c r="EA13" s="1442">
        <f t="shared" ca="1" si="45"/>
        <v>5.6858817392707595</v>
      </c>
      <c r="EB13" s="1908">
        <f ca="1">+EB88</f>
        <v>3.0107866005557815</v>
      </c>
      <c r="EC13" s="1255">
        <f ca="1">+DZ13*(1+EB13/100)</f>
        <v>2458.4400016165046</v>
      </c>
      <c r="ED13" s="1907">
        <f ca="1">+ED88</f>
        <v>1.1507884597324392</v>
      </c>
      <c r="EE13" s="1252">
        <f ca="1">+EC13*(1+ED13/100)</f>
        <v>2486.7314454445532</v>
      </c>
      <c r="EF13" s="1442">
        <f t="shared" ca="1" si="46"/>
        <v>4.1962228450345807</v>
      </c>
    </row>
    <row r="14" spans="1:136">
      <c r="A14" s="1504" t="s">
        <v>158</v>
      </c>
      <c r="C14" s="1268" t="s">
        <v>1793</v>
      </c>
      <c r="D14" s="1247"/>
      <c r="E14" s="1247" t="s">
        <v>376</v>
      </c>
      <c r="F14" s="1271"/>
      <c r="G14" s="1410"/>
      <c r="H14" s="1411"/>
      <c r="I14" s="1411"/>
      <c r="J14" s="1256">
        <f ca="1">+J12+J13</f>
        <v>2481.31</v>
      </c>
      <c r="K14" s="1413"/>
      <c r="L14" s="3154">
        <f ca="1">OFFSET('VVP2'!$G$100,0,(COLUMN()-7)/5)</f>
        <v>1.9805813619360402</v>
      </c>
      <c r="M14" s="1256">
        <f ca="1">+J14*(1+L14/100)</f>
        <v>2530.4543633918552</v>
      </c>
      <c r="N14" s="1332">
        <f t="shared" ca="1" si="0"/>
        <v>-0.15042213157137496</v>
      </c>
      <c r="O14" s="1256">
        <f ca="1">+O12+O13</f>
        <v>2526.6480000000001</v>
      </c>
      <c r="P14" s="1274">
        <f t="shared" ca="1" si="1"/>
        <v>1.8271799976625314</v>
      </c>
      <c r="Q14" s="3154">
        <f ca="1">OFFSET('VVP2'!$G$100,0,(COLUMN()-7)/5)</f>
        <v>5.1474261933431853</v>
      </c>
      <c r="R14" s="1256">
        <f ca="1">+O14*(1+Q14/100)</f>
        <v>2656.7053409655819</v>
      </c>
      <c r="S14" s="1332">
        <f t="shared" ca="1" si="2"/>
        <v>1.2684756007668341</v>
      </c>
      <c r="T14" s="1256">
        <f ca="1">+T12+T13</f>
        <v>2690.4049999999997</v>
      </c>
      <c r="U14" s="1274">
        <f t="shared" ca="1" si="3"/>
        <v>6.4811956394400738</v>
      </c>
      <c r="V14" s="3154">
        <f ca="1">OFFSET('VVP2'!$G$100,0,(COLUMN()-7)/5)</f>
        <v>5.9971750721439454</v>
      </c>
      <c r="W14" s="1256">
        <f ca="1">+T14*(1+V14/100)</f>
        <v>2851.7532979997141</v>
      </c>
      <c r="X14" s="1332">
        <f t="shared" ca="1" si="4"/>
        <v>0.31572513676417202</v>
      </c>
      <c r="Y14" s="1256">
        <f ca="1">+Y12+Y13</f>
        <v>2860.7570000000001</v>
      </c>
      <c r="Z14" s="1274">
        <f t="shared" ca="1" si="5"/>
        <v>6.331834798106617</v>
      </c>
      <c r="AA14" s="3154">
        <f ca="1">OFFSET('VVP2'!$G$100,0,(COLUMN()-7)/5)</f>
        <v>4.649267991579964</v>
      </c>
      <c r="AB14" s="1256">
        <f ca="1">+Y14*(1+AA14/100)</f>
        <v>2993.7612595178834</v>
      </c>
      <c r="AC14" s="1332">
        <f t="shared" ca="1" si="6"/>
        <v>0.98283523405788742</v>
      </c>
      <c r="AD14" s="1256">
        <f ca="1">+AD12+AD13</f>
        <v>3023.1850000000004</v>
      </c>
      <c r="AE14" s="1274">
        <f t="shared" ca="1" si="7"/>
        <v>5.6777978695848885</v>
      </c>
      <c r="AF14" s="3154">
        <f ca="1">OFFSET('VVP2'!$G$100,0,(COLUMN()-7)/5)</f>
        <v>6.5585641192303479</v>
      </c>
      <c r="AG14" s="1256">
        <f ca="1">+AD14*(1+AF14/100)</f>
        <v>3221.4625266679545</v>
      </c>
      <c r="AH14" s="1332">
        <f t="shared" ca="1" si="8"/>
        <v>2.2400221245684833</v>
      </c>
      <c r="AI14" s="1256">
        <f ca="1">+AI12+AI13</f>
        <v>3293.6239999999998</v>
      </c>
      <c r="AJ14" s="1274">
        <f t="shared" ca="1" si="9"/>
        <v>8.9454995311236019</v>
      </c>
      <c r="AK14" s="3154">
        <f ca="1">OFFSET('VVP2'!$G$100,0,(COLUMN()-7)/5)</f>
        <v>0.66414651652937362</v>
      </c>
      <c r="AL14" s="1256">
        <f ca="1">+AI14*(1+AK14/100)</f>
        <v>3315.4984890635751</v>
      </c>
      <c r="AM14" s="1332">
        <f t="shared" ca="1" si="10"/>
        <v>2.9035606939339544</v>
      </c>
      <c r="AN14" s="1256">
        <f ca="1">+AN12+AN13</f>
        <v>3411.7659999999996</v>
      </c>
      <c r="AO14" s="1274">
        <f t="shared" ca="1" si="11"/>
        <v>3.5869911076674255</v>
      </c>
      <c r="AP14" s="3154">
        <f ca="1">OFFSET('VVP2'!$G$100,0,(COLUMN()-7)/5)</f>
        <v>1.1675826581507787</v>
      </c>
      <c r="AQ14" s="1256">
        <f ca="1">+AN14*(1+AP14/100)</f>
        <v>3451.6011881526842</v>
      </c>
      <c r="AR14" s="1332">
        <f t="shared" ca="1" si="12"/>
        <v>1.2079266860384195</v>
      </c>
      <c r="AS14" s="1256">
        <f ca="1">+AS12+AS13</f>
        <v>3493.2939999999999</v>
      </c>
      <c r="AT14" s="1274">
        <f t="shared" ca="1" si="13"/>
        <v>2.3896128866985666</v>
      </c>
      <c r="AU14" s="3154">
        <f ca="1">OFFSET('VVP2'!$G$100,0,(COLUMN()-7)/5)</f>
        <v>2.7440888399857144</v>
      </c>
      <c r="AV14" s="1256">
        <f ca="1">+AS14*(1+AU14/100)</f>
        <v>3589.1530908018904</v>
      </c>
      <c r="AW14" s="1332">
        <f t="shared" ca="1" si="14"/>
        <v>0.73111702215653906</v>
      </c>
      <c r="AX14" s="1256">
        <f ca="1">+AX12+AX13</f>
        <v>3615.3940000000002</v>
      </c>
      <c r="AY14" s="1274">
        <f t="shared" ca="1" si="15"/>
        <v>3.4952683627544667</v>
      </c>
      <c r="AZ14" s="3154">
        <f ca="1">OFFSET('VVP2'!$G$100,0,(COLUMN()-7)/5)</f>
        <v>4.9039748065089261</v>
      </c>
      <c r="BA14" s="1256">
        <f ca="1">+AX14*(1+AZ14/100)</f>
        <v>3792.6920109160355</v>
      </c>
      <c r="BB14" s="1332">
        <f t="shared" ca="1" si="16"/>
        <v>0.56049869124041152</v>
      </c>
      <c r="BC14" s="1256">
        <f ca="1">+BC12+BC13</f>
        <v>3813.95</v>
      </c>
      <c r="BD14" s="1274">
        <f t="shared" ca="1" si="17"/>
        <v>5.491960212358582</v>
      </c>
      <c r="BE14" s="3154">
        <f ca="1">OFFSET('VVP2'!$G$100,0,(COLUMN()-7)/5)</f>
        <v>3.9177274950002339</v>
      </c>
      <c r="BF14" s="1256">
        <f ca="1">+BC14*(1+BE14/100)</f>
        <v>3963.3701677955614</v>
      </c>
      <c r="BG14" s="1332">
        <f t="shared" ca="1" si="18"/>
        <v>1.8287172062142218</v>
      </c>
      <c r="BH14" s="1256">
        <f ca="1">+BH12+BH13</f>
        <v>4035.8490000000002</v>
      </c>
      <c r="BI14" s="1274">
        <f t="shared" ca="1" si="19"/>
        <v>5.8180888580081191</v>
      </c>
      <c r="BJ14" s="3154">
        <f ca="1">OFFSET('VVP2'!$G$100,0,(COLUMN()-7)/5)</f>
        <v>5.6825172589232142</v>
      </c>
      <c r="BK14" s="1256">
        <f ca="1">+BH14*(1+BJ14/100)</f>
        <v>4265.1868159690803</v>
      </c>
      <c r="BL14" s="1332">
        <f t="shared" ca="1" si="20"/>
        <v>2.2474556957744767</v>
      </c>
      <c r="BM14" s="1256">
        <f ca="1">+BM12+BM13</f>
        <v>4361.0449999999992</v>
      </c>
      <c r="BN14" s="1274">
        <f t="shared" ca="1" si="21"/>
        <v>8.0576850124967301</v>
      </c>
      <c r="BO14" s="3154">
        <f ca="1">OFFSET('VVP2'!$G$100,0,(COLUMN()-7)/5)</f>
        <v>4.6274627211569719</v>
      </c>
      <c r="BP14" s="1256">
        <f ca="1">+BM14*(1+BO14/100)</f>
        <v>4562.8507316278792</v>
      </c>
      <c r="BQ14" s="1332">
        <f t="shared" ca="1" si="22"/>
        <v>2.1743483231748257</v>
      </c>
      <c r="BR14" s="1256">
        <f ca="1">+BR12+BR13</f>
        <v>4662.0630000000001</v>
      </c>
      <c r="BS14" s="1274">
        <f t="shared" ca="1" si="23"/>
        <v>6.9024282024148009</v>
      </c>
      <c r="BT14" s="3154">
        <f ca="1">OFFSET('VVP2'!$G$100,0,(COLUMN()-7)/5)</f>
        <v>0.7124538635312927</v>
      </c>
      <c r="BU14" s="1256">
        <f ca="1">+BR14*(1+BT14/100)</f>
        <v>4695.2780479637631</v>
      </c>
      <c r="BV14" s="1332">
        <f t="shared" ca="1" si="24"/>
        <v>3.6540530780843312</v>
      </c>
      <c r="BW14" s="1256">
        <f ca="1">+BW12+BW13</f>
        <v>4866.8460000000005</v>
      </c>
      <c r="BX14" s="1274">
        <f t="shared" ca="1" si="25"/>
        <v>4.3925403839459198</v>
      </c>
      <c r="BY14" s="3154">
        <f ca="1">OFFSET('VVP2'!$G$100,0,(COLUMN()-7)/5)</f>
        <v>-7.8879710202097053</v>
      </c>
      <c r="BZ14" s="1256">
        <f ca="1">+BW14*(1+BY14/100)</f>
        <v>4482.9505979217656</v>
      </c>
      <c r="CA14" s="1332">
        <f t="shared" ca="1" si="26"/>
        <v>1.8161119624199529</v>
      </c>
      <c r="CB14" s="1256">
        <f ca="1">+CB12+CB13</f>
        <v>4564.366</v>
      </c>
      <c r="CC14" s="1274">
        <f t="shared" ca="1" si="27"/>
        <v>-6.2151134430799786</v>
      </c>
      <c r="CD14" s="3154">
        <f ca="1">OFFSET('VVP2'!$G$100,0,(COLUMN()-7)/5)</f>
        <v>7.8835842944986689</v>
      </c>
      <c r="CE14" s="1256">
        <f ca="1">+CB14*(1+CD14/100)</f>
        <v>4924.2016411194372</v>
      </c>
      <c r="CF14" s="1332">
        <f t="shared" ca="1" si="28"/>
        <v>0.66775004918540048</v>
      </c>
      <c r="CG14" s="1256">
        <f ca="1">+CG12+CG13</f>
        <v>4957.0830000000005</v>
      </c>
      <c r="CH14" s="1274">
        <f t="shared" ca="1" si="29"/>
        <v>8.6039769816881559</v>
      </c>
      <c r="CI14" s="3154">
        <f ca="1">OFFSET('VVP2'!$G$100,0,(COLUMN()-7)/5)</f>
        <v>4.0277711710697606</v>
      </c>
      <c r="CJ14" s="1256">
        <f ca="1">+CG14*(1+CI14/100)</f>
        <v>5156.7429600000005</v>
      </c>
      <c r="CK14" s="1332">
        <f t="shared" ca="1" si="30"/>
        <v>0.76174128330023905</v>
      </c>
      <c r="CL14" s="1256">
        <f ca="1">+CL12+CL13</f>
        <v>5196.0239999999994</v>
      </c>
      <c r="CM14" s="1274">
        <f t="shared" ca="1" si="31"/>
        <v>4.820193650176896</v>
      </c>
      <c r="CN14" s="3154">
        <f ca="1">OFFSET('VVP2'!$G$100,0,(COLUMN()-7)/5)</f>
        <v>-6.7906968742914575E-2</v>
      </c>
      <c r="CO14" s="1256">
        <f ca="1">+CL14*(1+CN14/100)</f>
        <v>5192.4955376064454</v>
      </c>
      <c r="CP14" s="1332">
        <f t="shared" ca="1" si="32"/>
        <v>0.41566646012955744</v>
      </c>
      <c r="CQ14" s="1256">
        <f ca="1">+CQ12+CQ13</f>
        <v>5214.0789999999997</v>
      </c>
      <c r="CR14" s="1274">
        <f t="shared" ca="1" si="33"/>
        <v>0.34747722489349986</v>
      </c>
      <c r="CS14" s="3154">
        <f ca="1">OFFSET('VVP2'!$G$100,0,(COLUMN()-7)/5)</f>
        <v>0.84152950077704958</v>
      </c>
      <c r="CT14" s="1256">
        <f ca="1">+CQ14*(1+CS14/100)</f>
        <v>5257.9570129788208</v>
      </c>
      <c r="CU14" s="1332">
        <f t="shared" ca="1" si="34"/>
        <v>-5.1503140328762242E-2</v>
      </c>
      <c r="CV14" s="1256">
        <f ca="1">+CV12+CV13</f>
        <v>5255.2489999999998</v>
      </c>
      <c r="CW14" s="1274">
        <f t="shared" ca="1" si="35"/>
        <v>0.78959294632858779</v>
      </c>
      <c r="CX14" s="3154">
        <f ca="1">OFFSET('VVP2'!$G$100,0,(COLUMN()-7)/5)</f>
        <v>3.6388946708489689</v>
      </c>
      <c r="CY14" s="1256">
        <f ca="1">+CV14*(1+CX14/100)</f>
        <v>5446.4819758008434</v>
      </c>
      <c r="CZ14" s="1332">
        <f t="shared" ca="1" si="36"/>
        <v>1.7887881504433238</v>
      </c>
      <c r="DA14" s="1256">
        <f ca="1">+DA12+DA13</f>
        <v>5543.9080000000004</v>
      </c>
      <c r="DB14" s="1274">
        <f t="shared" ca="1" si="37"/>
        <v>5.4927749379715562</v>
      </c>
      <c r="DC14" s="3154">
        <f ca="1">OFFSET('VVP2'!$G$100,0,(COLUMN()-7)/5)</f>
        <v>4.6841078563585103</v>
      </c>
      <c r="DD14" s="1256">
        <f ca="1">+DA14*(1+DC14/100)</f>
        <v>5803.5906301772884</v>
      </c>
      <c r="DE14" s="1332">
        <f t="shared" ca="1" si="38"/>
        <v>1.8412285881619397</v>
      </c>
      <c r="DF14" s="1256">
        <f ca="1">+DF12+DF13</f>
        <v>5910.4480000000003</v>
      </c>
      <c r="DG14" s="1274">
        <f t="shared" ca="1" si="39"/>
        <v>6.6115815774720588</v>
      </c>
      <c r="DH14" s="3154">
        <f ca="1">OFFSET('VVP2'!$G$100,0,(COLUMN()-7)/5)</f>
        <v>3.1527559378496051</v>
      </c>
      <c r="DI14" s="1256">
        <f ca="1">+DF14*(1+DH14/100)</f>
        <v>6096.7900002735132</v>
      </c>
      <c r="DJ14" s="1478">
        <f ca="1">+DK14/DI14*100-100</f>
        <v>0.68455695086456103</v>
      </c>
      <c r="DK14" s="1256">
        <f ca="1">+DK12+DK13</f>
        <v>6138.5260000000007</v>
      </c>
      <c r="DL14" s="1274">
        <f t="shared" ca="1" si="47"/>
        <v>3.8588952986305047</v>
      </c>
      <c r="DM14" s="3154">
        <f ca="1">OFFSET('VVP2'!$G$100,0,(COLUMN()-7)/5)</f>
        <v>2.8672878622598486</v>
      </c>
      <c r="DN14" s="1256">
        <f ca="1">+DK14*(1+DM14/100)</f>
        <v>6314.5352109196656</v>
      </c>
      <c r="DO14" s="1478">
        <f ca="1">+DP14/DN14*100-100</f>
        <v>2.7229524159275655</v>
      </c>
      <c r="DP14" s="1256">
        <f ca="1">+DP12+DP13</f>
        <v>6486.4769999999999</v>
      </c>
      <c r="DQ14" s="1274">
        <f t="shared" ca="1" si="43"/>
        <v>5.6683151623044159</v>
      </c>
      <c r="DR14" s="1544">
        <f ca="1">IF(UPPER($F$2)="Y",(DS14/DP14-1)*100,OFFSET('VVP2'!$G$100,0,(COLUMN()-7)/5))</f>
        <v>2.769414236726675</v>
      </c>
      <c r="DS14" s="1519">
        <f ca="1">IF(UPPER($F$2)="Y",+DS12+DS13,DP14*(1+DR14/100))</f>
        <v>6666.1144175000009</v>
      </c>
      <c r="DT14" s="1478">
        <f ca="1">+DU14/DS14*100-100</f>
        <v>3.5456653632558073</v>
      </c>
      <c r="DU14" s="1260">
        <f ca="1">+DU12+DU13</f>
        <v>6902.4725274762995</v>
      </c>
      <c r="DV14" s="1480">
        <f t="shared" ca="1" si="44"/>
        <v>6.4132737613391555</v>
      </c>
      <c r="DW14" s="1544">
        <f ca="1">IF(UPPER($F$2)="Y",(DX14/DU14-1)*100,OFFSET('VVP2'!$G$100,0,(COLUMN()-7)/5))</f>
        <v>2.198032091890223</v>
      </c>
      <c r="DX14" s="1519">
        <f ca="1">IF(UPPER($F$2)="Y",+DX12+DX13,DU14*(1+DW14/100))</f>
        <v>7054.1910887641343</v>
      </c>
      <c r="DY14" s="1478">
        <f ca="1">+DZ14/DX14*100-100</f>
        <v>2.246273650339873</v>
      </c>
      <c r="DZ14" s="1260">
        <f ca="1">+DZ12+DZ13</f>
        <v>7212.6475244356661</v>
      </c>
      <c r="EA14" s="1480">
        <f t="shared" ca="1" si="45"/>
        <v>4.4936795579362254</v>
      </c>
      <c r="EB14" s="1544">
        <f ca="1">IF(UPPER($F$2)="Y",(EC14/DZ14-1)*100,OFFSET('VVP2'!$G$100,0,(COLUMN()-7)/5))</f>
        <v>2.1891772277512045</v>
      </c>
      <c r="EC14" s="1519">
        <f ca="1">IF(UPPER($F$2)="Y",+EC12+EC13,DZ14*(1+EB14/100))</f>
        <v>7370.5451615585725</v>
      </c>
      <c r="ED14" s="1478">
        <f ca="1">+EE14/EC14*100-100</f>
        <v>1.6422645570891063</v>
      </c>
      <c r="EE14" s="1260">
        <f ca="1">+EE12+EE13</f>
        <v>7491.5890124110947</v>
      </c>
      <c r="EF14" s="1480">
        <f t="shared" ca="1" si="46"/>
        <v>3.8673938665435337</v>
      </c>
    </row>
    <row r="15" spans="1:136">
      <c r="C15" s="879" t="s">
        <v>301</v>
      </c>
      <c r="D15" s="1118"/>
      <c r="E15" s="1118" t="s">
        <v>1825</v>
      </c>
      <c r="F15" s="1117" t="s">
        <v>1749</v>
      </c>
      <c r="G15" s="1290"/>
      <c r="H15" s="1291"/>
      <c r="I15" s="1292"/>
      <c r="J15" s="1275">
        <f ca="1">OFFSET('VVP2'!$G$311,0,(COLUMN()-6)/5)</f>
        <v>595.66200000000003</v>
      </c>
      <c r="K15" s="1293"/>
      <c r="L15" s="1257">
        <f ca="1">OFFSET('VVP2'!$G$111,0,(COLUMN()-7)/5)</f>
        <v>3.4415688806118672</v>
      </c>
      <c r="M15" s="1280">
        <f ca="1">+J15*(1+L15/100)</f>
        <v>616.16211802563032</v>
      </c>
      <c r="N15" s="1331">
        <f t="shared" ca="1" si="0"/>
        <v>-3.8775700950567824</v>
      </c>
      <c r="O15" s="1275">
        <f ca="1">OFFSET('VVP2'!$G$311,0,(COLUMN()-10)/5)</f>
        <v>592.27</v>
      </c>
      <c r="P15" s="1262">
        <f t="shared" ca="1" si="1"/>
        <v>-0.56945046016030343</v>
      </c>
      <c r="Q15" s="1257">
        <f ca="1">OFFSET('VVP2'!$G$111,0,(COLUMN()-7)/5)</f>
        <v>12.447529538926227</v>
      </c>
      <c r="R15" s="1280">
        <f ca="1">+O15*(1+Q15/100)</f>
        <v>665.9929832001983</v>
      </c>
      <c r="S15" s="1331">
        <f t="shared" ca="1" si="2"/>
        <v>0.36547183847281417</v>
      </c>
      <c r="T15" s="1275">
        <f ca="1">OFFSET('VVP2'!$G$311,0,(COLUMN()-10)/5)</f>
        <v>668.42700000000002</v>
      </c>
      <c r="U15" s="1262">
        <f t="shared" ca="1" si="3"/>
        <v>12.858493592449394</v>
      </c>
      <c r="V15" s="1257">
        <f ca="1">OFFSET('VVP2'!$G$111,0,(COLUMN()-7)/5)</f>
        <v>11.309723519161397</v>
      </c>
      <c r="W15" s="1280">
        <f ca="1">+T15*(1+V15/100)</f>
        <v>744.02424562742499</v>
      </c>
      <c r="X15" s="1331">
        <f t="shared" ca="1" si="4"/>
        <v>-1.0313166099787878</v>
      </c>
      <c r="Y15" s="1275">
        <f ca="1">OFFSET('VVP2'!$G$311,0,(COLUMN()-10)/5)</f>
        <v>736.351</v>
      </c>
      <c r="Z15" s="1262">
        <f t="shared" ca="1" si="5"/>
        <v>10.161767851986836</v>
      </c>
      <c r="AA15" s="1257">
        <f ca="1">OFFSET('VVP2'!$G$111,0,(COLUMN()-7)/5)</f>
        <v>5.1182125579971371</v>
      </c>
      <c r="AB15" s="1280">
        <f ca="1">+Y15*(1+AA15/100)</f>
        <v>774.03900935293746</v>
      </c>
      <c r="AC15" s="1331">
        <f t="shared" ca="1" si="6"/>
        <v>1.1075657096700127</v>
      </c>
      <c r="AD15" s="1275">
        <f ca="1">OFFSET('VVP2'!$G$311,0,(COLUMN()-10)/5)</f>
        <v>782.61199999999997</v>
      </c>
      <c r="AE15" s="1262">
        <f t="shared" ca="1" si="7"/>
        <v>6.2824658349075246</v>
      </c>
      <c r="AF15" s="1257">
        <f ca="1">OFFSET('VVP2'!$G$111,0,(COLUMN()-7)/5)</f>
        <v>11.748978839705426</v>
      </c>
      <c r="AG15" s="1280">
        <f ca="1">+AD15*(1+AF15/100)</f>
        <v>874.56091827699538</v>
      </c>
      <c r="AH15" s="1331">
        <f t="shared" ca="1" si="8"/>
        <v>4.0519855143790835</v>
      </c>
      <c r="AI15" s="1275">
        <f ca="1">OFFSET('VVP2'!$G$311,0,(COLUMN()-10)/5)</f>
        <v>909.99800000000005</v>
      </c>
      <c r="AJ15" s="1262">
        <f t="shared" ca="1" si="9"/>
        <v>16.277031274756858</v>
      </c>
      <c r="AK15" s="1257">
        <f ca="1">OFFSET('VVP2'!$G$111,0,(COLUMN()-7)/5)</f>
        <v>-1.7176018162364359</v>
      </c>
      <c r="AL15" s="1280">
        <f ca="1">+AI15*(1+AK15/100)</f>
        <v>894.36785782428478</v>
      </c>
      <c r="AM15" s="1331">
        <f t="shared" ca="1" si="10"/>
        <v>3.9672872705904325</v>
      </c>
      <c r="AN15" s="1275">
        <f ca="1">OFFSET('VVP2'!$G$311,0,(COLUMN()-10)/5)</f>
        <v>929.85</v>
      </c>
      <c r="AO15" s="1262">
        <f t="shared" ca="1" si="11"/>
        <v>2.181543256139018</v>
      </c>
      <c r="AP15" s="1257">
        <f ca="1">OFFSET('VVP2'!$G$111,0,(COLUMN()-7)/5)</f>
        <v>-1.2552400156743193</v>
      </c>
      <c r="AQ15" s="1280">
        <f ca="1">+AN15*(1+AP15/100)</f>
        <v>918.17815071425241</v>
      </c>
      <c r="AR15" s="1331">
        <f t="shared" ca="1" si="12"/>
        <v>0.12599398982078469</v>
      </c>
      <c r="AS15" s="1275">
        <f ca="1">OFFSET('VVP2'!$G$311,0,(COLUMN()-10)/5)</f>
        <v>919.33500000000004</v>
      </c>
      <c r="AT15" s="1262">
        <f t="shared" ca="1" si="13"/>
        <v>-1.130827552831104</v>
      </c>
      <c r="AU15" s="1257">
        <f ca="1">OFFSET('VVP2'!$G$111,0,(COLUMN()-7)/5)</f>
        <v>3.8200480588271191</v>
      </c>
      <c r="AV15" s="1280">
        <f ca="1">+AS15*(1+AU15/100)</f>
        <v>954.45403882161838</v>
      </c>
      <c r="AW15" s="1331">
        <f t="shared" ca="1" si="14"/>
        <v>-2.087375401147213</v>
      </c>
      <c r="AX15" s="1275">
        <f ca="1">OFFSET('VVP2'!$G$311,0,(COLUMN()-10)/5)</f>
        <v>934.53099999999995</v>
      </c>
      <c r="AY15" s="1262">
        <f t="shared" ca="1" si="15"/>
        <v>1.6529339141879706</v>
      </c>
      <c r="AZ15" s="1257">
        <f ca="1">OFFSET('VVP2'!$G$111,0,(COLUMN()-7)/5)</f>
        <v>6.6055180832125249</v>
      </c>
      <c r="BA15" s="1280">
        <f ca="1">+AX15*(1+AZ15/100)</f>
        <v>996.26161419822677</v>
      </c>
      <c r="BB15" s="1331">
        <f t="shared" ca="1" si="16"/>
        <v>0.93202284113354494</v>
      </c>
      <c r="BC15" s="1275">
        <f ca="1">OFFSET('VVP2'!$G$311,0,(COLUMN()-10)/5)</f>
        <v>1005.547</v>
      </c>
      <c r="BD15" s="1262">
        <f t="shared" ca="1" si="17"/>
        <v>7.5991058616568186</v>
      </c>
      <c r="BE15" s="1257">
        <f ca="1">OFFSET('VVP2'!$G$111,0,(COLUMN()-7)/5)</f>
        <v>6.992806437949084</v>
      </c>
      <c r="BF15" s="1280">
        <f ca="1">+BC15*(1+BE15/100)</f>
        <v>1075.8629553526039</v>
      </c>
      <c r="BG15" s="1331">
        <f t="shared" ca="1" si="18"/>
        <v>4.582651015364462</v>
      </c>
      <c r="BH15" s="1275">
        <f ca="1">OFFSET('VVP2'!$G$311,0,(COLUMN()-10)/5)</f>
        <v>1125.1659999999999</v>
      </c>
      <c r="BI15" s="1262">
        <f t="shared" ca="1" si="19"/>
        <v>11.895913368544676</v>
      </c>
      <c r="BJ15" s="1257">
        <f ca="1">OFFSET('VVP2'!$G$111,0,(COLUMN()-7)/5)</f>
        <v>8.2253151642083022</v>
      </c>
      <c r="BK15" s="1280">
        <f ca="1">+BH15*(1+BJ15/100)</f>
        <v>1217.714449620516</v>
      </c>
      <c r="BL15" s="1331">
        <f t="shared" ca="1" si="20"/>
        <v>3.3256195976079823</v>
      </c>
      <c r="BM15" s="1275">
        <f ca="1">OFFSET('VVP2'!$G$311,0,(COLUMN()-10)/5)</f>
        <v>1258.211</v>
      </c>
      <c r="BN15" s="1262">
        <f t="shared" ca="1" si="21"/>
        <v>11.824477454882221</v>
      </c>
      <c r="BO15" s="1257">
        <f ca="1">OFFSET('VVP2'!$G$111,0,(COLUMN()-7)/5)</f>
        <v>7.6344513455179897</v>
      </c>
      <c r="BP15" s="1280">
        <f ca="1">+BM15*(1+BO15/100)</f>
        <v>1354.2685066189554</v>
      </c>
      <c r="BQ15" s="1331">
        <f t="shared" ca="1" si="22"/>
        <v>0.50296476273010171</v>
      </c>
      <c r="BR15" s="1275">
        <f ca="1">OFFSET('VVP2'!$G$311,0,(COLUMN()-10)/5)</f>
        <v>1361.08</v>
      </c>
      <c r="BS15" s="1262">
        <f t="shared" ca="1" si="23"/>
        <v>8.1758147083438324</v>
      </c>
      <c r="BT15" s="1257">
        <f ca="1">OFFSET('VVP2'!$G$111,0,(COLUMN()-7)/5)</f>
        <v>3.7913617738353</v>
      </c>
      <c r="BU15" s="1280">
        <f ca="1">+BR15*(1+BT15/100)</f>
        <v>1412.6834668313174</v>
      </c>
      <c r="BV15" s="1331">
        <f t="shared" ca="1" si="24"/>
        <v>4.4228968934442179</v>
      </c>
      <c r="BW15" s="1275">
        <f ca="1">OFFSET('VVP2'!$G$311,0,(COLUMN()-10)/5)</f>
        <v>1475.165</v>
      </c>
      <c r="BX15" s="1262">
        <f t="shared" ca="1" si="25"/>
        <v>8.3819466893937147</v>
      </c>
      <c r="BY15" s="1257">
        <f ca="1">OFFSET('VVP2'!$G$111,0,(COLUMN()-7)/5)</f>
        <v>-14.077541113949332</v>
      </c>
      <c r="BZ15" s="1280">
        <f ca="1">+BW15*(1+BY15/100)</f>
        <v>1267.4980406264092</v>
      </c>
      <c r="CA15" s="1331">
        <f t="shared" ca="1" si="26"/>
        <v>0.38335044456474066</v>
      </c>
      <c r="CB15" s="1275">
        <f ca="1">OFFSET('VVP2'!$G$311,0,(COLUMN()-10)/5)</f>
        <v>1272.357</v>
      </c>
      <c r="CC15" s="1262">
        <f t="shared" ca="1" si="27"/>
        <v>-13.748156985828707</v>
      </c>
      <c r="CD15" s="1257">
        <f ca="1">OFFSET('VVP2'!$G$111,0,(COLUMN()-7)/5)</f>
        <v>12.777842492885117</v>
      </c>
      <c r="CE15" s="1280">
        <f ca="1">+CB15*(1+CD15/100)</f>
        <v>1434.9367734071982</v>
      </c>
      <c r="CF15" s="1331">
        <f t="shared" ca="1" si="28"/>
        <v>-0.11692315914480389</v>
      </c>
      <c r="CG15" s="1275">
        <f ca="1">OFFSET('VVP2'!$G$311,0,(COLUMN()-10)/5)</f>
        <v>1433.259</v>
      </c>
      <c r="CH15" s="1262">
        <f t="shared" ca="1" si="29"/>
        <v>12.645979076627079</v>
      </c>
      <c r="CI15" s="1257">
        <f ca="1">OFFSET('VVP2'!$G$111,0,(COLUMN()-7)/5)</f>
        <v>7.3433119903659971</v>
      </c>
      <c r="CJ15" s="1280">
        <f ca="1">+CG15*(1+CI15/100)</f>
        <v>1538.5076799999997</v>
      </c>
      <c r="CK15" s="1331">
        <f t="shared" ca="1" si="30"/>
        <v>-0.22922732501405108</v>
      </c>
      <c r="CL15" s="1275">
        <f ca="1">OFFSET('VVP2'!$G$311,0,(COLUMN()-10)/5)</f>
        <v>1534.981</v>
      </c>
      <c r="CM15" s="1262">
        <f t="shared" ca="1" si="31"/>
        <v>7.0972517877089913</v>
      </c>
      <c r="CN15" s="1257">
        <f ca="1">OFFSET('VVP2'!$G$111,0,(COLUMN()-7)/5)</f>
        <v>0.48217373864523072</v>
      </c>
      <c r="CO15" s="1280">
        <f ca="1">+CL15*(1+CN15/100)</f>
        <v>1542.3822752751939</v>
      </c>
      <c r="CP15" s="1331">
        <f t="shared" ca="1" si="32"/>
        <v>-1.1134901866095106</v>
      </c>
      <c r="CQ15" s="1275">
        <f ca="1">OFFSET('VVP2'!$G$311,0,(COLUMN()-10)/5)</f>
        <v>1525.2080000000001</v>
      </c>
      <c r="CR15" s="1262">
        <f t="shared" ca="1" si="33"/>
        <v>-0.6366854052265114</v>
      </c>
      <c r="CS15" s="1257">
        <f ca="1">OFFSET('VVP2'!$G$111,0,(COLUMN()-7)/5)</f>
        <v>-0.11819970990073481</v>
      </c>
      <c r="CT15" s="1280">
        <f ca="1">+CQ15*(1+CS15/100)</f>
        <v>1523.4052085686174</v>
      </c>
      <c r="CU15" s="1331">
        <f t="shared" ca="1" si="34"/>
        <v>-2.7632312356454207</v>
      </c>
      <c r="CV15" s="1275">
        <f ca="1">OFFSET('VVP2'!$G$311,0,(COLUMN()-10)/5)</f>
        <v>1481.31</v>
      </c>
      <c r="CW15" s="1262">
        <f t="shared" ca="1" si="35"/>
        <v>-2.8781648142417349</v>
      </c>
      <c r="CX15" s="1257">
        <f ca="1">OFFSET('VVP2'!$G$111,0,(COLUMN()-7)/5)</f>
        <v>6.2807792828370346</v>
      </c>
      <c r="CY15" s="1280">
        <f ca="1">+CV15*(1+CX15/100)</f>
        <v>1574.3478115945932</v>
      </c>
      <c r="CZ15" s="1331">
        <f t="shared" ca="1" si="36"/>
        <v>1.8188603683707782</v>
      </c>
      <c r="DA15" s="1275">
        <f ca="1">OFFSET('VVP2'!$G$311,0,(COLUMN()-10)/5)</f>
        <v>1602.9829999999999</v>
      </c>
      <c r="DB15" s="1262">
        <f t="shared" ca="1" si="37"/>
        <v>8.2138782564081794</v>
      </c>
      <c r="DC15" s="1257">
        <f ca="1">OFFSET('VVP2'!$G$111,0,(COLUMN()-7)/5)</f>
        <v>5.2435642523264603</v>
      </c>
      <c r="DD15" s="1280">
        <f ca="1">+DA15*(1+DC15/100)</f>
        <v>1687.0364435588701</v>
      </c>
      <c r="DE15" s="1331">
        <f t="shared" ca="1" si="38"/>
        <v>1.29627054143522</v>
      </c>
      <c r="DF15" s="1275">
        <f ca="1">OFFSET('VVP2'!$G$311,0,(COLUMN()-10)/5)</f>
        <v>1708.905</v>
      </c>
      <c r="DG15" s="1262">
        <f t="shared" ca="1" si="39"/>
        <v>6.607805572485792</v>
      </c>
      <c r="DH15" s="1257">
        <f ca="1">OFFSET('VVP2'!$G$111,0,(COLUMN()-7)/5)</f>
        <v>4.305329554581605</v>
      </c>
      <c r="DI15" s="1280">
        <f ca="1">+DF15*(1+DH15/100)</f>
        <v>1782.4789920247229</v>
      </c>
      <c r="DJ15" s="1907">
        <f ca="1">+DJ103</f>
        <v>-1.6521929378404678</v>
      </c>
      <c r="DK15" s="1275">
        <f ca="1">OFFSET('VVP2'!$G$311,0,(COLUMN()-10)/5)</f>
        <v>1753.029</v>
      </c>
      <c r="DL15" s="1262">
        <f t="shared" ca="1" si="47"/>
        <v>2.5820042658895703</v>
      </c>
      <c r="DM15" s="1257">
        <f ca="1">OFFSET('VVP2'!$G$111,0,(COLUMN()-7)/5)</f>
        <v>4.7513044883088495</v>
      </c>
      <c r="DN15" s="1280">
        <f ca="1">+DK15*(1+DM15/100)</f>
        <v>1836.3207455583558</v>
      </c>
      <c r="DO15" s="1907">
        <f ca="1">+DO103</f>
        <v>3.8804361718397757</v>
      </c>
      <c r="DP15" s="1275">
        <f ca="1">OFFSET('VVP2'!$G$311,0,(COLUMN()-10)/5)</f>
        <v>1907.578</v>
      </c>
      <c r="DQ15" s="1262">
        <f t="shared" ca="1" si="43"/>
        <v>8.8161119981472034</v>
      </c>
      <c r="DR15" s="1907">
        <f ca="1">+DR103</f>
        <v>3.7150562755494221</v>
      </c>
      <c r="DS15" s="1255">
        <f ca="1">+DP15*(1+DR15/100)</f>
        <v>1978.4455962000002</v>
      </c>
      <c r="DT15" s="1907">
        <f ca="1">+DT103</f>
        <v>6.1084211109984778</v>
      </c>
      <c r="DU15" s="1252">
        <f ca="1">+DS15*(1+DT15/100)</f>
        <v>2099.2973846679006</v>
      </c>
      <c r="DV15" s="1442">
        <f t="shared" ca="1" si="44"/>
        <v>10.050408668369037</v>
      </c>
      <c r="DW15" s="1907">
        <f ca="1">+DW103</f>
        <v>3.1985284206106801</v>
      </c>
      <c r="DX15" s="1255">
        <f ca="1">+DU15*(1+DW15/100)</f>
        <v>2166.44400814964</v>
      </c>
      <c r="DY15" s="1907">
        <f ca="1">+DY103</f>
        <v>2.8344659080024712</v>
      </c>
      <c r="DZ15" s="1252">
        <f ca="1">+DX15*(1+DY15/100)</f>
        <v>2227.8511249766038</v>
      </c>
      <c r="EA15" s="1442">
        <f t="shared" ca="1" si="45"/>
        <v>6.1236555262531356</v>
      </c>
      <c r="EB15" s="1907">
        <f ca="1">+EB103</f>
        <v>3.147397647390715</v>
      </c>
      <c r="EC15" s="1255">
        <f ca="1">+DZ15*(1+EB15/100)</f>
        <v>2297.9704588714849</v>
      </c>
      <c r="ED15" s="1907">
        <f ca="1">+ED103</f>
        <v>1.3970126737047082</v>
      </c>
      <c r="EE15" s="1252">
        <f ca="1">+EC15*(1+ED15/100)</f>
        <v>2330.0733974199097</v>
      </c>
      <c r="EF15" s="1442">
        <f t="shared" ca="1" si="46"/>
        <v>4.5883798651213503</v>
      </c>
    </row>
    <row r="16" spans="1:136">
      <c r="A16" s="2935" t="s">
        <v>119</v>
      </c>
      <c r="B16" s="1"/>
      <c r="C16" s="1122" t="s">
        <v>1793</v>
      </c>
      <c r="D16" s="1126"/>
      <c r="E16" s="1127" t="s">
        <v>476</v>
      </c>
      <c r="F16" s="1129"/>
      <c r="G16" s="1421"/>
      <c r="H16" s="1422"/>
      <c r="I16" s="1423"/>
      <c r="J16" s="1394">
        <f ca="1">+J17-J14+J15</f>
        <v>0</v>
      </c>
      <c r="K16" s="1424"/>
      <c r="L16" s="1400" t="e">
        <f ca="1">IF(UPPER($F$2)="Y",M16/J16*100-100,OFFSET('VVP2'!$G$130,0,(COLUMN()-7)/5))</f>
        <v>#DIV/0!</v>
      </c>
      <c r="M16" s="1394">
        <f ca="1">IF(UPPER($F$2)="Y",M17-M14+M15,J16*(1+L16/100))</f>
        <v>-6.0020864623311354E-4</v>
      </c>
      <c r="N16" s="1401">
        <f ca="1">+O16/M16*100-100</f>
        <v>-100</v>
      </c>
      <c r="O16" s="1394">
        <f ca="1">+O17-O14+O15</f>
        <v>0</v>
      </c>
      <c r="P16" s="1402" t="e">
        <f ca="1">(O16/J16-1)*100</f>
        <v>#DIV/0!</v>
      </c>
      <c r="Q16" s="1400" t="e">
        <f ca="1">IF(UPPER($F$2)="Y",R16/O16*100-100,OFFSET('VVP2'!$G$130,0,(COLUMN()-7)/5))</f>
        <v>#DIV/0!</v>
      </c>
      <c r="R16" s="1394">
        <f ca="1">IF(UPPER($F$2)="Y",R17-R14+R15,O16*(1+Q16/100))</f>
        <v>6.6193000475323061E-4</v>
      </c>
      <c r="S16" s="1401">
        <f ca="1">+T16/R16*100-100</f>
        <v>-100</v>
      </c>
      <c r="T16" s="1394">
        <f ca="1">+T17-T14+T15</f>
        <v>0</v>
      </c>
      <c r="U16" s="1402" t="e">
        <f ca="1">(T16/O16-1)*100</f>
        <v>#DIV/0!</v>
      </c>
      <c r="V16" s="1400" t="e">
        <f ca="1">IF(UPPER($F$2)="Y",W16/T16*100-100,OFFSET('VVP2'!$G$130,0,(COLUMN()-7)/5))</f>
        <v>#DIV/0!</v>
      </c>
      <c r="W16" s="1394">
        <f ca="1">IF(UPPER($F$2)="Y",W17-W14+W15,T16*(1+V16/100))</f>
        <v>1.459652403354994E-4</v>
      </c>
      <c r="X16" s="1401">
        <f ca="1">+Y16/W16*100-100</f>
        <v>-100</v>
      </c>
      <c r="Y16" s="1394">
        <f ca="1">+Y17-Y14+Y15</f>
        <v>0</v>
      </c>
      <c r="Z16" s="1402" t="e">
        <f ca="1">(Y16/T16-1)*100</f>
        <v>#DIV/0!</v>
      </c>
      <c r="AA16" s="1400" t="e">
        <f ca="1">IF(UPPER($F$2)="Y",AB16/Y16*100-100,OFFSET('VVP2'!$G$130,0,(COLUMN()-7)/5))</f>
        <v>#DIV/0!</v>
      </c>
      <c r="AB16" s="1394">
        <f ca="1">IF(UPPER($F$2)="Y",AB17-AB14+AB15,Y16*(1+AA16/100))</f>
        <v>-4.7745875031068863E-4</v>
      </c>
      <c r="AC16" s="1401">
        <f ca="1">+AD16/AB16*100-100</f>
        <v>-100</v>
      </c>
      <c r="AD16" s="1394">
        <f ca="1">+AD17-AD14+AD15</f>
        <v>0</v>
      </c>
      <c r="AE16" s="1402" t="e">
        <f ca="1">(AD16/Y16-1)*100</f>
        <v>#DIV/0!</v>
      </c>
      <c r="AF16" s="1400" t="e">
        <f ca="1">IF(UPPER($F$2)="Y",AG16/AD16*100-100,OFFSET('VVP2'!$G$130,0,(COLUMN()-7)/5))</f>
        <v>#DIV/0!</v>
      </c>
      <c r="AG16" s="1394">
        <f ca="1">IF(UPPER($F$2)="Y",AG17-AG14+AG15,AD16*(1+AF16/100))</f>
        <v>3.9665881786277168E-4</v>
      </c>
      <c r="AH16" s="1401">
        <f ca="1">+AI16/AG16*100-100</f>
        <v>-100</v>
      </c>
      <c r="AI16" s="1394">
        <f ca="1">+AI17-AI14+AI15</f>
        <v>0</v>
      </c>
      <c r="AJ16" s="1402" t="e">
        <f ca="1">(AI16/AD16-1)*100</f>
        <v>#DIV/0!</v>
      </c>
      <c r="AK16" s="1400" t="e">
        <f ca="1">IF(UPPER($F$2)="Y",AL16/AI16*100-100,OFFSET('VVP2'!$G$130,0,(COLUMN()-7)/5))</f>
        <v>#DIV/0!</v>
      </c>
      <c r="AL16" s="1394">
        <f ca="1">IF(UPPER($F$2)="Y",AL17-AL14+AL15,AI16*(1+AK16/100))</f>
        <v>4.3584259583440144E-4</v>
      </c>
      <c r="AM16" s="1401">
        <f ca="1">+AN16/AL16*100-100</f>
        <v>-100</v>
      </c>
      <c r="AN16" s="1394">
        <f ca="1">+AN17-AN14+AN15</f>
        <v>0</v>
      </c>
      <c r="AO16" s="1402" t="e">
        <f ca="1">(AN16/AI16-1)*100</f>
        <v>#DIV/0!</v>
      </c>
      <c r="AP16" s="1400" t="e">
        <f ca="1">IF(UPPER($F$2)="Y",AQ16/AN16*100-100,OFFSET('VVP2'!$G$130,0,(COLUMN()-7)/5))</f>
        <v>#DIV/0!</v>
      </c>
      <c r="AQ16" s="1394">
        <f ca="1">IF(UPPER($F$2)="Y",AQ17-AQ14+AQ15,AN16*(1+AP16/100))</f>
        <v>1.8519571960950998E-4</v>
      </c>
      <c r="AR16" s="1401">
        <f ca="1">+AS16/AQ16*100-100</f>
        <v>-100</v>
      </c>
      <c r="AS16" s="1394">
        <f ca="1">+AS17-AS14+AS15</f>
        <v>0</v>
      </c>
      <c r="AT16" s="1402" t="e">
        <f ca="1">(AS16/AN16-1)*100</f>
        <v>#DIV/0!</v>
      </c>
      <c r="AU16" s="1400" t="e">
        <f ca="1">IF(UPPER($F$2)="Y",AV16/AS16*100-100,OFFSET('VVP2'!$G$130,0,(COLUMN()-7)/5))</f>
        <v>#DIV/0!</v>
      </c>
      <c r="AV16" s="1394">
        <f ca="1">IF(UPPER($F$2)="Y",AV17-AV14+AV15,AS16*(1+AU16/100))</f>
        <v>-3.7940388244805945E-4</v>
      </c>
      <c r="AW16" s="1401">
        <f ca="1">+AX16/AV16*100-100</f>
        <v>-100</v>
      </c>
      <c r="AX16" s="1394">
        <f ca="1">+AX17-AX14+AX15</f>
        <v>0</v>
      </c>
      <c r="AY16" s="1402" t="e">
        <f ca="1">(AX16/AS16-1)*100</f>
        <v>#DIV/0!</v>
      </c>
      <c r="AZ16" s="1400" t="e">
        <f ca="1">IF(UPPER($F$2)="Y",BA16/AX16*100-100,OFFSET('VVP2'!$G$130,0,(COLUMN()-7)/5))</f>
        <v>#DIV/0!</v>
      </c>
      <c r="BA16" s="1394">
        <f ca="1">IF(UPPER($F$2)="Y",BA17-BA14+BA15,AX16*(1+AZ16/100))</f>
        <v>-1.2038509661351782E-3</v>
      </c>
      <c r="BB16" s="1401">
        <f ca="1">+BC16/BA16*100-100</f>
        <v>-100</v>
      </c>
      <c r="BC16" s="1394">
        <f ca="1">+BC17-BC14+BC15</f>
        <v>0</v>
      </c>
      <c r="BD16" s="1402" t="e">
        <f ca="1">(BC16/AX16-1)*100</f>
        <v>#DIV/0!</v>
      </c>
      <c r="BE16" s="1400" t="e">
        <f ca="1">IF(UPPER($F$2)="Y",BF16/BC16*100-100,OFFSET('VVP2'!$G$130,0,(COLUMN()-7)/5))</f>
        <v>#DIV/0!</v>
      </c>
      <c r="BF16" s="1394">
        <f ca="1">IF(UPPER($F$2)="Y",BF17-BF14+BF15,BC16*(1+BE16/100))</f>
        <v>-5.6023472052402212E-4</v>
      </c>
      <c r="BG16" s="1401">
        <f ca="1">+BH16/BF16*100-100</f>
        <v>-100</v>
      </c>
      <c r="BH16" s="1394">
        <f ca="1">+BH17-BH14+BH15</f>
        <v>0</v>
      </c>
      <c r="BI16" s="1402" t="e">
        <f ca="1">(BH16/BC16-1)*100</f>
        <v>#DIV/0!</v>
      </c>
      <c r="BJ16" s="1400" t="e">
        <f ca="1">IF(UPPER($F$2)="Y",BK16/BH16*100-100,OFFSET('VVP2'!$G$130,0,(COLUMN()-7)/5))</f>
        <v>#DIV/0!</v>
      </c>
      <c r="BK16" s="1394">
        <f ca="1">IF(UPPER($F$2)="Y",BK17-BK14+BK15,BH16*(1+BJ16/100))</f>
        <v>-1.2192394387966488E-4</v>
      </c>
      <c r="BL16" s="1401">
        <f ca="1">+BM16/BK16*100-100</f>
        <v>-100</v>
      </c>
      <c r="BM16" s="1394">
        <f ca="1">+BM17-BM14+BM15</f>
        <v>0</v>
      </c>
      <c r="BN16" s="1402" t="e">
        <f ca="1">(BM16/BH16-1)*100</f>
        <v>#DIV/0!</v>
      </c>
      <c r="BO16" s="1400" t="e">
        <f ca="1">IF(UPPER($F$2)="Y",BP16/BM16*100-100,OFFSET('VVP2'!$G$130,0,(COLUMN()-7)/5))</f>
        <v>#DIV/0!</v>
      </c>
      <c r="BP16" s="1394">
        <f ca="1">IF(UPPER($F$2)="Y",BP17-BP14+BP15,BM16*(1+BO16/100))</f>
        <v>-5.9131857756256068E-4</v>
      </c>
      <c r="BQ16" s="1401">
        <f ca="1">+BR16/BP16*100-100</f>
        <v>-100</v>
      </c>
      <c r="BR16" s="1394">
        <f ca="1">+BR17-BR14+BR15</f>
        <v>0</v>
      </c>
      <c r="BS16" s="1402" t="e">
        <f ca="1">(BR16/BM16-1)*100</f>
        <v>#DIV/0!</v>
      </c>
      <c r="BT16" s="1400" t="e">
        <f ca="1">IF(UPPER($F$2)="Y",BU16/BR16*100-100,OFFSET('VVP2'!$G$130,0,(COLUMN()-7)/5))</f>
        <v>#DIV/0!</v>
      </c>
      <c r="BU16" s="1394">
        <f ca="1">IF(UPPER($F$2)="Y",BU17-BU14+BU15,BR16*(1+BT16/100))</f>
        <v>3.0572009791285382E-5</v>
      </c>
      <c r="BV16" s="1401">
        <f ca="1">+BW16/BU16*100-100</f>
        <v>-100</v>
      </c>
      <c r="BW16" s="1394">
        <f ca="1">+BW17-BW14+BW15</f>
        <v>0</v>
      </c>
      <c r="BX16" s="1402" t="e">
        <f ca="1">(BW16/BR16-1)*100</f>
        <v>#DIV/0!</v>
      </c>
      <c r="BY16" s="1400" t="e">
        <f ca="1">IF(UPPER($F$2)="Y",BZ16/BW16*100-100,OFFSET('VVP2'!$G$130,0,(COLUMN()-7)/5))</f>
        <v>#DIV/0!</v>
      </c>
      <c r="BZ16" s="1394">
        <f ca="1">IF(UPPER($F$2)="Y",BZ17-BZ14+BZ15,BW16*(1+BY16/100))</f>
        <v>1.5988554855539405E-4</v>
      </c>
      <c r="CA16" s="1401">
        <f ca="1">+CB16/BZ16*100-100</f>
        <v>-100</v>
      </c>
      <c r="CB16" s="1394">
        <f ca="1">+CB17-CB14+CB15</f>
        <v>0</v>
      </c>
      <c r="CC16" s="1402" t="e">
        <f ca="1">(CB16/BW16-1)*100</f>
        <v>#DIV/0!</v>
      </c>
      <c r="CD16" s="1400" t="e">
        <f ca="1">IF(UPPER($F$2)="Y",CE16/CB16*100-100,OFFSET('VVP2'!$G$130,0,(COLUMN()-7)/5))</f>
        <v>#DIV/0!</v>
      </c>
      <c r="CE16" s="1394">
        <f ca="1">IF(UPPER($F$2)="Y",CE17-CE14+CE15,CB16*(1+CD16/100))</f>
        <v>2.6031413540295034E-4</v>
      </c>
      <c r="CF16" s="1401">
        <f ca="1">+CG16/CE16*100-100</f>
        <v>-100</v>
      </c>
      <c r="CG16" s="1394">
        <f ca="1">+CG17-CG14+CG15</f>
        <v>0</v>
      </c>
      <c r="CH16" s="1402" t="e">
        <f ca="1">(CG16/CB16-1)*100</f>
        <v>#DIV/0!</v>
      </c>
      <c r="CI16" s="1400" t="e">
        <f ca="1">IF(UPPER($F$2)="Y",CJ16/CG16*100-100,OFFSET('VVP2'!$G$130,0,(COLUMN()-7)/5))</f>
        <v>#DIV/0!</v>
      </c>
      <c r="CJ16" s="1394">
        <f ca="1">IF(UPPER($F$2)="Y",CJ17-CJ14+CJ15,CG16*(1+CI16/100))</f>
        <v>-9.0949470177292824E-13</v>
      </c>
      <c r="CK16" s="1401">
        <f ca="1">+CL16/CJ16*100-100</f>
        <v>-100</v>
      </c>
      <c r="CL16" s="1394">
        <f ca="1">+CL17-CL14+CL15</f>
        <v>0</v>
      </c>
      <c r="CM16" s="1402" t="e">
        <f ca="1">(CL16/CG16-1)*100</f>
        <v>#DIV/0!</v>
      </c>
      <c r="CN16" s="1400" t="e">
        <f ca="1">IF(UPPER($F$2)="Y",CO16/CL16*100-100,OFFSET('VVP2'!$G$130,0,(COLUMN()-7)/5))</f>
        <v>#DIV/0!</v>
      </c>
      <c r="CO16" s="1394">
        <f ca="1">IF(UPPER($F$2)="Y",CO17-CO14+CO15,CL16*(1+CN16/100))</f>
        <v>1.0713278911680391E-3</v>
      </c>
      <c r="CP16" s="1401">
        <f ca="1">+CQ16/CO16*100-100</f>
        <v>-100</v>
      </c>
      <c r="CQ16" s="1394">
        <f ca="1">+CQ17-CQ14+CQ15</f>
        <v>0</v>
      </c>
      <c r="CR16" s="1402" t="e">
        <f ca="1">(CQ16/CL16-1)*100</f>
        <v>#DIV/0!</v>
      </c>
      <c r="CS16" s="1400" t="e">
        <f ca="1">IF(UPPER($F$2)="Y",CT16/CQ16*100-100,OFFSET('VVP2'!$G$130,0,(COLUMN()-7)/5))</f>
        <v>#DIV/0!</v>
      </c>
      <c r="CT16" s="1394">
        <f ca="1">IF(UPPER($F$2)="Y",CT17-CT14+CT15,CQ16*(1+CS16/100))</f>
        <v>3.0518653352373804E-4</v>
      </c>
      <c r="CU16" s="1401">
        <f ca="1">+CV16/CT16*100-100</f>
        <v>-100</v>
      </c>
      <c r="CV16" s="1394">
        <f ca="1">+CV17-CV14+CV15</f>
        <v>0</v>
      </c>
      <c r="CW16" s="1402" t="e">
        <f ca="1">(CV16/CQ16-1)*100</f>
        <v>#DIV/0!</v>
      </c>
      <c r="CX16" s="1400" t="e">
        <f ca="1">IF(UPPER($F$2)="Y",CY16/CV16*100-100,OFFSET('VVP2'!$G$130,0,(COLUMN()-7)/5))</f>
        <v>#DIV/0!</v>
      </c>
      <c r="CY16" s="1394">
        <f ca="1">IF(UPPER($F$2)="Y",CY17-CY14+CY15,CV16*(1+CX16/100))</f>
        <v>-9.3487201911557349E-4</v>
      </c>
      <c r="CZ16" s="1401">
        <f ca="1">+DA16/CY16*100-100</f>
        <v>-100</v>
      </c>
      <c r="DA16" s="1394">
        <f ca="1">+DA17-DA14+DA15</f>
        <v>0</v>
      </c>
      <c r="DB16" s="1402" t="e">
        <f ca="1">(DA16/CV16-1)*100</f>
        <v>#DIV/0!</v>
      </c>
      <c r="DC16" s="1400" t="e">
        <f ca="1">IF(UPPER($F$2)="Y",DD16/DA16*100-100,OFFSET('VVP2'!$G$130,0,(COLUMN()-7)/5))</f>
        <v>#DIV/0!</v>
      </c>
      <c r="DD16" s="1394">
        <f ca="1">IF(UPPER($F$2)="Y",DD17-DD14+DD15,DA16*(1+DC16/100))</f>
        <v>8.5230379704626102E-4</v>
      </c>
      <c r="DE16" s="1401">
        <f ca="1">+DF16/DD16*100-100</f>
        <v>-100</v>
      </c>
      <c r="DF16" s="1394">
        <f ca="1">+DF17-DF14+DF15</f>
        <v>0</v>
      </c>
      <c r="DG16" s="1402" t="e">
        <f ca="1">(DF16/DA16-1)*100</f>
        <v>#DIV/0!</v>
      </c>
      <c r="DH16" s="1400" t="e">
        <f ca="1">IF(UPPER($F$2)="Y",DI16/DF16*100-100,OFFSET('VVP2'!$G$130,0,(COLUMN()-7)/5))</f>
        <v>#DIV/0!</v>
      </c>
      <c r="DI16" s="1394">
        <f ca="1">IF(UPPER($F$2)="Y",DI17-DI14+DI15,DF16*(1+DH16/100))</f>
        <v>-1.0950827572742128E-5</v>
      </c>
      <c r="DJ16" s="1401">
        <f ca="1">+DK16/DI16*100-100</f>
        <v>-100</v>
      </c>
      <c r="DK16" s="1394">
        <f ca="1">+DK17-DK14+DK15</f>
        <v>0</v>
      </c>
      <c r="DL16" s="1402" t="e">
        <f ca="1">(DK16/DF16-1)*100</f>
        <v>#DIV/0!</v>
      </c>
      <c r="DM16" s="1400" t="e">
        <f ca="1">IF(UPPER($F$2)="Y",DN16/DK16*100-100,OFFSET('VVP2'!$G$130,0,(COLUMN()-7)/5))</f>
        <v>#DIV/0!</v>
      </c>
      <c r="DN16" s="1394">
        <f ca="1">IF(UPPER($F$2)="Y",DN17-DN14+DN15,DK16*(1+DM16/100))</f>
        <v>5.5513049187538854E-4</v>
      </c>
      <c r="DO16" s="1401">
        <f ca="1">+DP16/DN16*100-100</f>
        <v>-100</v>
      </c>
      <c r="DP16" s="1394">
        <f ca="1">+DP17-DP14+DP15</f>
        <v>0</v>
      </c>
      <c r="DQ16" s="1402" t="e">
        <f ca="1">(DP16/DK16-1)*100</f>
        <v>#DIV/0!</v>
      </c>
      <c r="DR16" s="2304">
        <v>0</v>
      </c>
      <c r="DS16" s="2317">
        <f ca="1">+DP16*(1+DR16/100)</f>
        <v>0</v>
      </c>
      <c r="DT16" s="2305">
        <v>0</v>
      </c>
      <c r="DU16" s="2317">
        <f ca="1">+DS16*(1+DT16/100)</f>
        <v>0</v>
      </c>
      <c r="DV16" s="2318" t="e">
        <f ca="1">(DU16/DP16-1)*100</f>
        <v>#DIV/0!</v>
      </c>
      <c r="DW16" s="2304">
        <v>0</v>
      </c>
      <c r="DX16" s="2317">
        <f ca="1">+DU16*(1+DW16/100)</f>
        <v>0</v>
      </c>
      <c r="DY16" s="2305">
        <v>0</v>
      </c>
      <c r="DZ16" s="2317">
        <f ca="1">+DX16*(1+DY16/100)</f>
        <v>0</v>
      </c>
      <c r="EA16" s="2318" t="e">
        <f ca="1">(DZ16/DU16-1)*100</f>
        <v>#DIV/0!</v>
      </c>
      <c r="EB16" s="2304">
        <v>0</v>
      </c>
      <c r="EC16" s="2317">
        <f ca="1">+DZ16*(1+EB16/100)</f>
        <v>0</v>
      </c>
      <c r="ED16" s="2305">
        <v>0</v>
      </c>
      <c r="EE16" s="2317">
        <f ca="1">+EC16*(1+ED16/100)</f>
        <v>0</v>
      </c>
      <c r="EF16" s="2318" t="e">
        <f ca="1">(EE16/DZ16-1)*100</f>
        <v>#DIV/0!</v>
      </c>
    </row>
    <row r="17" spans="1:136">
      <c r="B17" s="1"/>
      <c r="C17" s="176" t="s">
        <v>1793</v>
      </c>
      <c r="D17" s="1190"/>
      <c r="E17" s="1190" t="s">
        <v>1216</v>
      </c>
      <c r="F17" s="1180" t="s">
        <v>1333</v>
      </c>
      <c r="G17" s="1277"/>
      <c r="H17" s="1277"/>
      <c r="I17" s="1277"/>
      <c r="J17" s="1278">
        <f ca="1">OFFSET('VVP2'!$G$341,0,(COLUMN()-6)/5)</f>
        <v>1885.6479999999999</v>
      </c>
      <c r="K17" s="1277"/>
      <c r="L17" s="1278">
        <f ca="1">OFFSET('VVP2'!$G$131,0,(COLUMN()-7)/5)</f>
        <v>1.5190345789658943</v>
      </c>
      <c r="M17" s="1278">
        <f ca="1">J17*(1+L17/100)</f>
        <v>1914.2916451575786</v>
      </c>
      <c r="N17" s="1278">
        <f t="shared" ca="1" si="0"/>
        <v>1.049283942351849</v>
      </c>
      <c r="O17" s="1278">
        <f ca="1">OFFSET('VVP2'!$G$341,0,(COLUMN()-6)/5)</f>
        <v>1934.3779999999999</v>
      </c>
      <c r="P17" s="1278">
        <f t="shared" ca="1" si="1"/>
        <v>2.5842575072335894</v>
      </c>
      <c r="Q17" s="1278">
        <f ca="1">OFFSET('VVP2'!$G$131,0,(COLUMN()-7)/5)</f>
        <v>2.9123066792213548</v>
      </c>
      <c r="R17" s="1278">
        <f ca="1">O17*(1+Q17/100)</f>
        <v>1990.7130196953883</v>
      </c>
      <c r="S17" s="1278">
        <f ca="1">+T17/R17*100-100</f>
        <v>1.5705418106621778</v>
      </c>
      <c r="T17" s="1278">
        <f ca="1">OFFSET('VVP2'!$G$341,0,(COLUMN()-6)/5)</f>
        <v>2021.9780000000001</v>
      </c>
      <c r="U17" s="1278">
        <f ca="1">(T17/O17-1)*100</f>
        <v>4.528587483935409</v>
      </c>
      <c r="V17" s="1278">
        <f ca="1">OFFSET('VVP2'!$G$131,0,(COLUMN()-7)/5)</f>
        <v>4.2409560508338551</v>
      </c>
      <c r="W17" s="1278">
        <f ca="1">T17*(1+V17/100)</f>
        <v>2107.7291983375294</v>
      </c>
      <c r="X17" s="1278">
        <f ca="1">+Y17/W17*100-100</f>
        <v>0.79122126673694027</v>
      </c>
      <c r="Y17" s="1278">
        <f ca="1">OFFSET('VVP2'!$G$341,0,(COLUMN()-6)/5)</f>
        <v>2124.4059999999999</v>
      </c>
      <c r="Z17" s="1278">
        <f ca="1">(Y17/T17-1)*100</f>
        <v>5.0657326637579603</v>
      </c>
      <c r="AA17" s="1278">
        <f ca="1">OFFSET('VVP2'!$G$131,0,(COLUMN()-7)/5)</f>
        <v>4.4867022926029954</v>
      </c>
      <c r="AB17" s="1278">
        <f ca="1">Y17*(1+AA17/100)</f>
        <v>2219.7217727061957</v>
      </c>
      <c r="AC17" s="1278">
        <f ca="1">+AD17/AB17*100-100</f>
        <v>0.93936220071324783</v>
      </c>
      <c r="AD17" s="1278">
        <f ca="1">OFFSET('VVP2'!$G$341,0,(COLUMN()-6)/5)</f>
        <v>2240.5729999999999</v>
      </c>
      <c r="AE17" s="1278">
        <f ca="1">(AD17/Y17-1)*100</f>
        <v>5.4682108787114991</v>
      </c>
      <c r="AF17" s="1278">
        <f ca="1">OFFSET('VVP2'!$G$131,0,(COLUMN()-7)/5)</f>
        <v>4.7456166368949892</v>
      </c>
      <c r="AG17" s="1278">
        <f ca="1">AD17*(1+AF17/100)</f>
        <v>2346.902005049777</v>
      </c>
      <c r="AH17" s="1278">
        <f ca="1">+AI17/AG17*100-100</f>
        <v>1.5647860401160756</v>
      </c>
      <c r="AI17" s="1278">
        <f ca="1">OFFSET('VVP2'!$G$341,0,(COLUMN()-6)/5)</f>
        <v>2383.6260000000002</v>
      </c>
      <c r="AJ17" s="1278">
        <f ca="1">(AI17/AD17-1)*100</f>
        <v>6.3846614236626298</v>
      </c>
      <c r="AK17" s="1278">
        <f ca="1">OFFSET('VVP2'!$G$131,0,(COLUMN()-7)/5)</f>
        <v>1.5734459634978881</v>
      </c>
      <c r="AL17" s="1278">
        <f ca="1">AI17*(1+AK17/100)</f>
        <v>2421.1310670818862</v>
      </c>
      <c r="AM17" s="1278">
        <f ca="1">+AN17/AL17*100-100</f>
        <v>2.5106006752197914</v>
      </c>
      <c r="AN17" s="1278">
        <f ca="1">OFFSET('VVP2'!$G$341,0,(COLUMN()-6)/5)</f>
        <v>2481.9160000000002</v>
      </c>
      <c r="AO17" s="1278">
        <f ca="1">(AN17/AI17-1)*100</f>
        <v>4.1235495837014691</v>
      </c>
      <c r="AP17" s="1278">
        <f ca="1">OFFSET('VVP2'!$G$131,0,(COLUMN()-7)/5)</f>
        <v>2.0753008012419194</v>
      </c>
      <c r="AQ17" s="1278">
        <f ca="1">AN17*(1+AP17/100)</f>
        <v>2533.4232226341514</v>
      </c>
      <c r="AR17" s="1278">
        <f ca="1">+AS17/AQ17*100-100</f>
        <v>1.6000397013689991</v>
      </c>
      <c r="AS17" s="1278">
        <f ca="1">OFFSET('VVP2'!$G$341,0,(COLUMN()-6)/5)</f>
        <v>2573.9589999999998</v>
      </c>
      <c r="AT17" s="1278">
        <f ca="1">(AS17/AN17-1)*100</f>
        <v>3.7085461393536079</v>
      </c>
      <c r="AU17" s="1278">
        <f ca="1">OFFSET('VVP2'!$G$131,0,(COLUMN()-7)/5)</f>
        <v>2.3597762270646028</v>
      </c>
      <c r="AV17" s="1278">
        <f ca="1">AS17*(1+AU17/100)</f>
        <v>2634.6986725763895</v>
      </c>
      <c r="AW17" s="1278">
        <f ca="1">+AX17/AV17*100-100</f>
        <v>1.752167255562</v>
      </c>
      <c r="AX17" s="1278">
        <f ca="1">OFFSET('VVP2'!$G$341,0,(COLUMN()-6)/5)</f>
        <v>2680.8629999999998</v>
      </c>
      <c r="AY17" s="1278">
        <f ca="1">(AX17/AS17-1)*100</f>
        <v>4.1532907089817606</v>
      </c>
      <c r="AZ17" s="1278">
        <f ca="1">OFFSET('VVP2'!$G$131,0,(COLUMN()-7)/5)</f>
        <v>4.310783239085425</v>
      </c>
      <c r="BA17" s="1278">
        <f ca="1">AX17*(1+AZ17/100)</f>
        <v>2796.4291928668426</v>
      </c>
      <c r="BB17" s="1278">
        <f ca="1">+BC17/BA17*100-100</f>
        <v>0.42818202455117671</v>
      </c>
      <c r="BC17" s="1278">
        <f ca="1">OFFSET('VVP2'!$G$341,0,(COLUMN()-6)/5)</f>
        <v>2808.4029999999998</v>
      </c>
      <c r="BD17" s="1278">
        <f ca="1">(BC17/AX17-1)*100</f>
        <v>4.7574232625837265</v>
      </c>
      <c r="BE17" s="1278">
        <f ca="1">OFFSET('VVP2'!$G$131,0,(COLUMN()-7)/5)</f>
        <v>2.8166773859819028</v>
      </c>
      <c r="BF17" s="1278">
        <f ca="1">BC17*(1+BE17/100)</f>
        <v>2887.506652208237</v>
      </c>
      <c r="BG17" s="1278">
        <f ca="1">+BH17/BF17*100-100</f>
        <v>0.80264223024519765</v>
      </c>
      <c r="BH17" s="1278">
        <f ca="1">OFFSET('VVP2'!$G$341,0,(COLUMN()-6)/5)</f>
        <v>2910.683</v>
      </c>
      <c r="BI17" s="1278">
        <f ca="1">(BH17/BC17-1)*100</f>
        <v>3.6419274584167605</v>
      </c>
      <c r="BJ17" s="1278">
        <f ca="1">OFFSET('VVP2'!$G$131,0,(COLUMN()-7)/5)</f>
        <v>4.6995582969571181</v>
      </c>
      <c r="BK17" s="1278">
        <f ca="1">BH17*(1+BJ17/100)</f>
        <v>3047.4722444246204</v>
      </c>
      <c r="BL17" s="1278">
        <f ca="1">+BM17/BK17*100-100</f>
        <v>1.8166451122455527</v>
      </c>
      <c r="BM17" s="1278">
        <f ca="1">OFFSET('VVP2'!$G$341,0,(COLUMN()-6)/5)</f>
        <v>3102.8339999999998</v>
      </c>
      <c r="BN17" s="1278">
        <f ca="1">(BM17/BH17-1)*100</f>
        <v>6.6015777053014757</v>
      </c>
      <c r="BO17" s="1278">
        <f ca="1">OFFSET('VVP2'!$G$131,0,(COLUMN()-7)/5)</f>
        <v>3.4080983285069921</v>
      </c>
      <c r="BP17" s="1278">
        <f ca="1">BM17*(1+BO17/100)</f>
        <v>3208.5816336903463</v>
      </c>
      <c r="BQ17" s="1278">
        <f ca="1">+BR17/BP17*100-100</f>
        <v>2.8798197103490537</v>
      </c>
      <c r="BR17" s="1278">
        <f ca="1">OFFSET('VVP2'!$G$341,0,(COLUMN()-6)/5)</f>
        <v>3300.9830000000002</v>
      </c>
      <c r="BS17" s="1278">
        <f ca="1">(BR17/BM17-1)*100</f>
        <v>6.3860651262684476</v>
      </c>
      <c r="BT17" s="1278">
        <f ca="1">OFFSET('VVP2'!$G$131,0,(COLUMN()-7)/5)</f>
        <v>-0.55705795199625374</v>
      </c>
      <c r="BU17" s="1278">
        <f ca="1">BR17*(1+BT17/100)</f>
        <v>3282.5946117044555</v>
      </c>
      <c r="BV17" s="1278">
        <f ca="1">+BW17/BU17*100-100</f>
        <v>3.3231757557446997</v>
      </c>
      <c r="BW17" s="1278">
        <f ca="1">OFFSET('VVP2'!$G$341,0,(COLUMN()-6)/5)</f>
        <v>3391.681</v>
      </c>
      <c r="BX17" s="1278">
        <f ca="1">(BW17/BR17-1)*100</f>
        <v>2.7476057889422645</v>
      </c>
      <c r="BY17" s="1278">
        <f ca="1">OFFSET('VVP2'!$G$131,0,(COLUMN()-7)/5)</f>
        <v>-5.1958979284636442</v>
      </c>
      <c r="BZ17" s="1278">
        <f ca="1">BW17*(1+BY17/100)</f>
        <v>3215.452717180905</v>
      </c>
      <c r="CA17" s="1278">
        <f ca="1">+CB17/BZ17*100-100</f>
        <v>2.3808865983330207</v>
      </c>
      <c r="CB17" s="1278">
        <f ca="1">OFFSET('VVP2'!$G$341,0,(COLUMN()-6)/5)</f>
        <v>3292.009</v>
      </c>
      <c r="CC17" s="1278">
        <f ca="1">(CB17/BW17-1)*100</f>
        <v>-2.9387197675724841</v>
      </c>
      <c r="CD17" s="1278">
        <f ca="1">OFFSET('VVP2'!$G$131,0,(COLUMN()-7)/5)</f>
        <v>5.9919680665020847</v>
      </c>
      <c r="CE17" s="1278">
        <f ca="1">CB17*(1+CD17/100)</f>
        <v>3489.2651280263744</v>
      </c>
      <c r="CF17" s="1278">
        <f ca="1">+CG17/CE17*100-100</f>
        <v>0.99043410877675342</v>
      </c>
      <c r="CG17" s="1278">
        <f ca="1">OFFSET('VVP2'!$G$341,0,(COLUMN()-6)/5)</f>
        <v>3523.8240000000001</v>
      </c>
      <c r="CH17" s="1278">
        <f ca="1">(CG17/CB17-1)*100</f>
        <v>7.0417486707964771</v>
      </c>
      <c r="CI17" s="1278">
        <f ca="1">OFFSET('VVP2'!$G$131,0,(COLUMN()-7)/5)</f>
        <v>2.6792280204686714</v>
      </c>
      <c r="CJ17" s="1278">
        <f ca="1">CG17*(1+CI17/100)</f>
        <v>3618.2352799999999</v>
      </c>
      <c r="CK17" s="1278">
        <f ca="1">+CL17/CJ17*100-100</f>
        <v>1.1831104582010568</v>
      </c>
      <c r="CL17" s="1278">
        <f ca="1">OFFSET('VVP2'!$G$341,0,(COLUMN()-6)/5)</f>
        <v>3661.0430000000001</v>
      </c>
      <c r="CM17" s="1278">
        <f ca="1">(CL17/CG17-1)*100</f>
        <v>3.8940367055789515</v>
      </c>
      <c r="CN17" s="1278">
        <f ca="1">OFFSET('VVP2'!$G$131,0,(COLUMN()-7)/5)</f>
        <v>-0.29851237313677226</v>
      </c>
      <c r="CO17" s="1278">
        <f ca="1">CL17*(1+CN17/100)</f>
        <v>3650.1143336591426</v>
      </c>
      <c r="CP17" s="1278">
        <f ca="1">+CQ17/CO17*100-100</f>
        <v>1.0617932151732106</v>
      </c>
      <c r="CQ17" s="1278">
        <f ca="1">OFFSET('VVP2'!$G$341,0,(COLUMN()-6)/5)</f>
        <v>3688.8710000000001</v>
      </c>
      <c r="CR17" s="1278">
        <f ca="1">(CQ17/CL17-1)*100</f>
        <v>0.76011125791202172</v>
      </c>
      <c r="CS17" s="1278">
        <f ca="1">OFFSET('VVP2'!$G$131,0,(COLUMN()-7)/5)</f>
        <v>1.238349337689959</v>
      </c>
      <c r="CT17" s="1278">
        <f ca="1">CQ17*(1+CS17/100)</f>
        <v>3734.552109596737</v>
      </c>
      <c r="CU17" s="1278">
        <f ca="1">+CV17/CT17*100-100</f>
        <v>1.054661690274699</v>
      </c>
      <c r="CV17" s="1278">
        <f ca="1">OFFSET('VVP2'!$G$341,0,(COLUMN()-6)/5)</f>
        <v>3773.9389999999999</v>
      </c>
      <c r="CW17" s="1278">
        <f ca="1">(CV17/CQ17-1)*100</f>
        <v>2.3060714240210611</v>
      </c>
      <c r="CX17" s="1278">
        <f ca="1">OFFSET('VVP2'!$G$131,0,(COLUMN()-7)/5)</f>
        <v>2.601902927795896</v>
      </c>
      <c r="CY17" s="1278">
        <f ca="1">CV17*(1+CX17/100)</f>
        <v>3872.1332293342311</v>
      </c>
      <c r="CZ17" s="1278">
        <f ca="1">+DA17/CY17*100-100</f>
        <v>1.7765858401932491</v>
      </c>
      <c r="DA17" s="1278">
        <f ca="1">OFFSET('VVP2'!$G$341,0,(COLUMN()-6)/5)</f>
        <v>3940.9250000000002</v>
      </c>
      <c r="DB17" s="1278">
        <f ca="1">(DA17/CV17-1)*100</f>
        <v>4.4247138069799297</v>
      </c>
      <c r="DC17" s="1278">
        <f ca="1">OFFSET('VVP2'!$G$131,0,(COLUMN()-7)/5)</f>
        <v>4.456568925371962</v>
      </c>
      <c r="DD17" s="1278">
        <f ca="1">DA17*(1+DC17/100)</f>
        <v>4116.5550389222153</v>
      </c>
      <c r="DE17" s="1278">
        <f ca="1">+DF17/DD17*100-100</f>
        <v>2.0645408666765945</v>
      </c>
      <c r="DF17" s="3408">
        <f ca="1">OFFSET('VVP2'!$G$341,0,(COLUMN()-6)/5)</f>
        <v>4201.5429999999997</v>
      </c>
      <c r="DG17" s="1278">
        <f ca="1">(DF17/DA17-1)*100</f>
        <v>6.6131174787644964</v>
      </c>
      <c r="DH17" s="1278">
        <f ca="1">OFFSET('VVP2'!$G$131,0,(COLUMN()-7)/5)</f>
        <v>2.6839662785306029</v>
      </c>
      <c r="DI17" s="1278">
        <f ca="1">DF17*(1+DH17/100)</f>
        <v>4314.3109972979628</v>
      </c>
      <c r="DJ17" s="1278">
        <f ca="1">+DK17/DI17*100-100</f>
        <v>1.6499970156676369</v>
      </c>
      <c r="DK17" s="3408">
        <f ca="1">OFFSET('VVP2'!$G$341,0,(COLUMN()-6)/5)</f>
        <v>4385.4970000000003</v>
      </c>
      <c r="DL17" s="1278">
        <f ca="1">(DK17/DF17-1)*100</f>
        <v>4.3782486576955382</v>
      </c>
      <c r="DM17" s="1278">
        <f ca="1">OFFSET('VVP2'!$G$131,0,(COLUMN()-7)/5)</f>
        <v>2.1141964181437434</v>
      </c>
      <c r="DN17" s="1278">
        <f ca="1">DK17*(1+DM17/100)</f>
        <v>4478.2150204918016</v>
      </c>
      <c r="DO17" s="1278">
        <f ca="1">+DP17/DN17*100-100</f>
        <v>2.2483060560397377</v>
      </c>
      <c r="DP17" s="3408">
        <f ca="1">OFFSET('VVP2'!$G$341,0,(COLUMN()-6)/5)</f>
        <v>4578.8990000000003</v>
      </c>
      <c r="DQ17" s="1278">
        <f ca="1">(DP17/DK17-1)*100</f>
        <v>4.4100360802891814</v>
      </c>
      <c r="DR17" s="3651">
        <f ca="1">IF(UPPER($F$2)="Y",(DS17/DP17-1)*100,OFFSET('VVP2'!$G$131,0,(COLUMN()-7)/5))</f>
        <v>2.3754579714468482</v>
      </c>
      <c r="DS17" s="1520">
        <f ca="1">IF(UPPER($F$2)="Y",+DS14-DS15+DS16,DP17*(1+DR17/100))</f>
        <v>4687.6688213000007</v>
      </c>
      <c r="DT17" s="1278">
        <f ca="1">+DU17/DS17*100-100</f>
        <v>2.4640461157058695</v>
      </c>
      <c r="DU17" s="1278">
        <f ca="1">+DU14-DU15+DU16</f>
        <v>4803.175142808399</v>
      </c>
      <c r="DV17" s="1479">
        <f ca="1">(DU17/DP17-1)*100</f>
        <v>4.8980364670283993</v>
      </c>
      <c r="DW17" s="3651">
        <f ca="1">IF(UPPER($F$2)="Y",(DX17/DU17-1)*100,OFFSET('VVP2'!$G$131,0,(COLUMN()-7)/5))</f>
        <v>1.7607506553809715</v>
      </c>
      <c r="DX17" s="3651">
        <f ca="1">IF(UPPER($F$2)="Y",+DX14-DX15+DX16,DU17*(1+DW17/100))</f>
        <v>4887.7470806144938</v>
      </c>
      <c r="DY17" s="1278">
        <f ca="1">+DZ17/DX17*100-100</f>
        <v>1.9855634353397704</v>
      </c>
      <c r="DZ17" s="1479">
        <f ca="1">+DZ14-DZ15+DZ16</f>
        <v>4984.7963994590627</v>
      </c>
      <c r="EA17" s="1479">
        <f ca="1">(DZ17/DU17-1)*100</f>
        <v>3.7812749119215061</v>
      </c>
      <c r="EB17" s="3651">
        <f ca="1">IF(UPPER($F$2)="Y",(EC17/DZ17-1)*100,OFFSET('VVP2'!$G$131,0,(COLUMN()-7)/5))</f>
        <v>1.7609205310281206</v>
      </c>
      <c r="EC17" s="1520">
        <f ca="1">IF(UPPER($F$2)="Y",+EC14-EC15+EC16,DZ17*(1+EB17/100))</f>
        <v>5072.5747026870877</v>
      </c>
      <c r="ED17" s="1479">
        <f ca="1">+EE17/EC17*100-100</f>
        <v>1.753368210762531</v>
      </c>
      <c r="EE17" s="1278">
        <f ca="1">+EE14-EE15+EE16</f>
        <v>5161.5156149911854</v>
      </c>
      <c r="EF17" s="1479">
        <f ca="1">(EE17/DZ17-1)*100</f>
        <v>3.5451641625984909</v>
      </c>
    </row>
    <row r="18" spans="1:136">
      <c r="DU18" t="e">
        <v>#REF!</v>
      </c>
    </row>
    <row r="20" spans="1:136" s="217" customFormat="1">
      <c r="A20" s="1076"/>
      <c r="C20" s="731"/>
      <c r="D20" s="1526"/>
      <c r="E20" s="1527" t="s">
        <v>1232</v>
      </c>
      <c r="F20" s="1542"/>
      <c r="G20" s="3794">
        <f>+InputY!$G$3</f>
        <v>1995</v>
      </c>
      <c r="H20" s="3794"/>
      <c r="I20" s="3794"/>
      <c r="J20" s="3794"/>
      <c r="K20" s="3794"/>
      <c r="L20" s="3794">
        <f>+G20+1</f>
        <v>1996</v>
      </c>
      <c r="M20" s="3794"/>
      <c r="N20" s="3794"/>
      <c r="O20" s="3794"/>
      <c r="P20" s="3794"/>
      <c r="Q20" s="3794">
        <f>+L20+1</f>
        <v>1997</v>
      </c>
      <c r="R20" s="3794"/>
      <c r="S20" s="3794"/>
      <c r="T20" s="3794"/>
      <c r="U20" s="3794"/>
      <c r="V20" s="3794">
        <f>+Q20+1</f>
        <v>1998</v>
      </c>
      <c r="W20" s="3794"/>
      <c r="X20" s="3794"/>
      <c r="Y20" s="3794"/>
      <c r="Z20" s="3794"/>
      <c r="AA20" s="3794">
        <f>+V20+1</f>
        <v>1999</v>
      </c>
      <c r="AB20" s="3794"/>
      <c r="AC20" s="3794"/>
      <c r="AD20" s="3794"/>
      <c r="AE20" s="3794"/>
      <c r="AF20" s="3794">
        <f>+AA20+1</f>
        <v>2000</v>
      </c>
      <c r="AG20" s="3794"/>
      <c r="AH20" s="3794"/>
      <c r="AI20" s="3794"/>
      <c r="AJ20" s="3794"/>
      <c r="AK20" s="3794">
        <f>+AF20+1</f>
        <v>2001</v>
      </c>
      <c r="AL20" s="3794"/>
      <c r="AM20" s="3794"/>
      <c r="AN20" s="3794"/>
      <c r="AO20" s="3794"/>
      <c r="AP20" s="3794">
        <f>+AK20+1</f>
        <v>2002</v>
      </c>
      <c r="AQ20" s="3794"/>
      <c r="AR20" s="3794"/>
      <c r="AS20" s="3794"/>
      <c r="AT20" s="3794"/>
      <c r="AU20" s="3794">
        <f>+AP20+1</f>
        <v>2003</v>
      </c>
      <c r="AV20" s="3794"/>
      <c r="AW20" s="3794"/>
      <c r="AX20" s="3794"/>
      <c r="AY20" s="3794"/>
      <c r="AZ20" s="3794">
        <f>+AU20+1</f>
        <v>2004</v>
      </c>
      <c r="BA20" s="3794"/>
      <c r="BB20" s="3794"/>
      <c r="BC20" s="3794"/>
      <c r="BD20" s="3794"/>
      <c r="BE20" s="3794">
        <f>+AZ20+1</f>
        <v>2005</v>
      </c>
      <c r="BF20" s="3794"/>
      <c r="BG20" s="3794"/>
      <c r="BH20" s="3794"/>
      <c r="BI20" s="3794"/>
      <c r="BJ20" s="3794">
        <f>+BE20+1</f>
        <v>2006</v>
      </c>
      <c r="BK20" s="3794"/>
      <c r="BL20" s="3794"/>
      <c r="BM20" s="3794"/>
      <c r="BN20" s="3794"/>
      <c r="BO20" s="3794">
        <f>+BJ20+1</f>
        <v>2007</v>
      </c>
      <c r="BP20" s="3794"/>
      <c r="BQ20" s="3794"/>
      <c r="BR20" s="3794"/>
      <c r="BS20" s="3794"/>
      <c r="BT20" s="3799">
        <f>+BO20+1</f>
        <v>2008</v>
      </c>
      <c r="BU20" s="3800"/>
      <c r="BV20" s="3800"/>
      <c r="BW20" s="3800"/>
      <c r="BX20" s="3801"/>
      <c r="BY20" s="3799">
        <f>+BT20+1</f>
        <v>2009</v>
      </c>
      <c r="BZ20" s="3800"/>
      <c r="CA20" s="3800"/>
      <c r="CB20" s="3800"/>
      <c r="CC20" s="3801"/>
      <c r="CD20" s="3799">
        <f>+BY20+1</f>
        <v>2010</v>
      </c>
      <c r="CE20" s="3800"/>
      <c r="CF20" s="3800"/>
      <c r="CG20" s="3800"/>
      <c r="CH20" s="3801"/>
      <c r="CI20" s="3799">
        <f>+CD20+1</f>
        <v>2011</v>
      </c>
      <c r="CJ20" s="3800"/>
      <c r="CK20" s="3800"/>
      <c r="CL20" s="3800"/>
      <c r="CM20" s="3801"/>
      <c r="CN20" s="3794">
        <f>+CI20+1</f>
        <v>2012</v>
      </c>
      <c r="CO20" s="3794"/>
      <c r="CP20" s="3794"/>
      <c r="CQ20" s="3794"/>
      <c r="CR20" s="3794"/>
      <c r="CS20" s="3794">
        <f>+CN20+1</f>
        <v>2013</v>
      </c>
      <c r="CT20" s="3794"/>
      <c r="CU20" s="3794"/>
      <c r="CV20" s="3794"/>
      <c r="CW20" s="3794"/>
      <c r="CX20" s="3799">
        <f>+CS20+1</f>
        <v>2014</v>
      </c>
      <c r="CY20" s="3800"/>
      <c r="CZ20" s="3800"/>
      <c r="DA20" s="3800"/>
      <c r="DB20" s="3801"/>
      <c r="DC20" s="3799">
        <f>+CX20+1</f>
        <v>2015</v>
      </c>
      <c r="DD20" s="3800"/>
      <c r="DE20" s="3800"/>
      <c r="DF20" s="3800"/>
      <c r="DG20" s="3801"/>
      <c r="DH20" s="3794">
        <f>+DC20+1</f>
        <v>2016</v>
      </c>
      <c r="DI20" s="3794"/>
      <c r="DJ20" s="3794"/>
      <c r="DK20" s="3794"/>
      <c r="DL20" s="3794"/>
      <c r="DM20" s="3794">
        <f>+DH20+1</f>
        <v>2017</v>
      </c>
      <c r="DN20" s="3794"/>
      <c r="DO20" s="3794"/>
      <c r="DP20" s="3794"/>
      <c r="DQ20" s="3794"/>
      <c r="DR20" s="3794">
        <f>+DM20+1</f>
        <v>2018</v>
      </c>
      <c r="DS20" s="3794"/>
      <c r="DT20" s="3794"/>
      <c r="DU20" s="3794"/>
      <c r="DV20" s="3794"/>
      <c r="DW20" s="3794">
        <f>+DR20+1</f>
        <v>2019</v>
      </c>
      <c r="DX20" s="3794"/>
      <c r="DY20" s="3794"/>
      <c r="DZ20" s="3794"/>
      <c r="EA20" s="3794"/>
      <c r="EB20" s="3794">
        <f>+DW20+1</f>
        <v>2020</v>
      </c>
      <c r="EC20" s="3794"/>
      <c r="ED20" s="3794"/>
      <c r="EE20" s="3794"/>
      <c r="EF20" s="3794"/>
    </row>
    <row r="21" spans="1:136">
      <c r="C21" s="1528" t="s">
        <v>1791</v>
      </c>
      <c r="D21" s="23" t="s">
        <v>664</v>
      </c>
      <c r="E21" s="23" t="s">
        <v>1998</v>
      </c>
      <c r="F21" s="1543" t="s">
        <v>1773</v>
      </c>
      <c r="G21" s="1570"/>
      <c r="H21" s="1535"/>
      <c r="I21" s="1535"/>
      <c r="J21" s="1535"/>
      <c r="K21" s="1536"/>
      <c r="L21" s="1560">
        <f ca="1">OFFSET('VVP2'!$G134,0,(COLUMN()-6)/5)</f>
        <v>0.85910895725818848</v>
      </c>
      <c r="M21" s="1535"/>
      <c r="N21" s="1535"/>
      <c r="O21" s="1535"/>
      <c r="P21" s="1536"/>
      <c r="Q21" s="1560">
        <f ca="1">OFFSET('VVP2'!$G134,0,(COLUMN()-6)/5)</f>
        <v>1.334789570441546</v>
      </c>
      <c r="R21" s="1535"/>
      <c r="S21" s="1535"/>
      <c r="T21" s="1535"/>
      <c r="U21" s="1536"/>
      <c r="V21" s="1560">
        <f ca="1">OFFSET('VVP2'!$G134,0,(COLUMN()-6)/5)</f>
        <v>1.5634617835334752</v>
      </c>
      <c r="W21" s="1535"/>
      <c r="X21" s="1535"/>
      <c r="Y21" s="1535"/>
      <c r="Z21" s="1536"/>
      <c r="AA21" s="1560">
        <f ca="1">OFFSET('VVP2'!$G134,0,(COLUMN()-6)/5)</f>
        <v>1.8848579903567149</v>
      </c>
      <c r="AB21" s="1535"/>
      <c r="AC21" s="1535"/>
      <c r="AD21" s="1535"/>
      <c r="AE21" s="1536"/>
      <c r="AF21" s="1560">
        <f ca="1">OFFSET('VVP2'!$G134,0,(COLUMN()-6)/5)</f>
        <v>2.4572291155165313</v>
      </c>
      <c r="AG21" s="1535"/>
      <c r="AH21" s="1535"/>
      <c r="AI21" s="1535"/>
      <c r="AJ21" s="1536"/>
      <c r="AK21" s="1560">
        <f ca="1">OFFSET('VVP2'!$G134,0,(COLUMN()-6)/5)</f>
        <v>0.34197159861295667</v>
      </c>
      <c r="AL21" s="1535"/>
      <c r="AM21" s="1535"/>
      <c r="AN21" s="1535"/>
      <c r="AO21" s="1536"/>
      <c r="AP21" s="1560">
        <f ca="1">OFFSET('VVP2'!$G134,0,(COLUMN()-6)/5)</f>
        <v>1.205171475333537</v>
      </c>
      <c r="AQ21" s="1535"/>
      <c r="AR21" s="1535"/>
      <c r="AS21" s="1535"/>
      <c r="AT21" s="1536"/>
      <c r="AU21" s="1560">
        <f ca="1">OFFSET('VVP2'!$G134,0,(COLUMN()-6)/5)</f>
        <v>1.0738214892219955</v>
      </c>
      <c r="AV21" s="1535"/>
      <c r="AW21" s="1535"/>
      <c r="AX21" s="1535"/>
      <c r="AY21" s="1536"/>
      <c r="AZ21" s="1560">
        <f ca="1">OFFSET('VVP2'!$G134,0,(COLUMN()-6)/5)</f>
        <v>1.2918354562401961</v>
      </c>
      <c r="BA21" s="1535"/>
      <c r="BB21" s="1535"/>
      <c r="BC21" s="1535"/>
      <c r="BD21" s="1536"/>
      <c r="BE21" s="1560">
        <f ca="1">OFFSET('VVP2'!$G134,0,(COLUMN()-6)/5)</f>
        <v>1.2674258190431487</v>
      </c>
      <c r="BF21" s="1535"/>
      <c r="BG21" s="1535"/>
      <c r="BH21" s="1535"/>
      <c r="BI21" s="1536"/>
      <c r="BJ21" s="1560">
        <f ca="1">OFFSET('VVP2'!$G134,0,(COLUMN()-6)/5)</f>
        <v>1.2266193941616388</v>
      </c>
      <c r="BK21" s="1535"/>
      <c r="BL21" s="1535"/>
      <c r="BM21" s="1535"/>
      <c r="BN21" s="1536"/>
      <c r="BO21" s="1560">
        <f ca="1">OFFSET('VVP2'!$G134,0,(COLUMN()-6)/5)</f>
        <v>1.6983518825018897</v>
      </c>
      <c r="BP21" s="1535"/>
      <c r="BQ21" s="1535"/>
      <c r="BR21" s="1535"/>
      <c r="BS21" s="1536"/>
      <c r="BT21" s="1560">
        <f ca="1">OFFSET('VVP2'!$G134,0,(COLUMN()-6)/5)</f>
        <v>0.10089760013259172</v>
      </c>
      <c r="BU21" s="1535"/>
      <c r="BV21" s="1535"/>
      <c r="BW21" s="1535"/>
      <c r="BX21" s="1536"/>
      <c r="BY21" s="1560">
        <f ca="1">OFFSET('VVP2'!$G134,0,(COLUMN()-6)/5)</f>
        <v>0.1563262363513033</v>
      </c>
      <c r="BZ21" s="1535"/>
      <c r="CA21" s="1535"/>
      <c r="CB21" s="1535"/>
      <c r="CC21" s="1536"/>
      <c r="CD21" s="1560">
        <f ca="1">OFFSET('VVP2'!$G134,0,(COLUMN()-6)/5)</f>
        <v>1.8321961616004194</v>
      </c>
      <c r="CE21" s="1535"/>
      <c r="CF21" s="1535"/>
      <c r="CG21" s="1535"/>
      <c r="CH21" s="1536"/>
      <c r="CI21" s="1560">
        <f ca="1">OFFSET('VVP2'!$G134,0,(COLUMN()-6)/5)</f>
        <v>0.86588717257161529</v>
      </c>
      <c r="CJ21" s="1535"/>
      <c r="CK21" s="1535"/>
      <c r="CL21" s="1535"/>
      <c r="CM21" s="1536"/>
      <c r="CN21" s="1560">
        <f ca="1">OFFSET('VVP2'!$G134,0,(COLUMN()-6)/5)</f>
        <v>0.36505356103034553</v>
      </c>
      <c r="CO21" s="1535"/>
      <c r="CP21" s="1535"/>
      <c r="CQ21" s="1535"/>
      <c r="CR21" s="1536"/>
      <c r="CS21" s="1560">
        <f ca="1">OFFSET('VVP2'!$G134,0,(COLUMN()-6)/5)</f>
        <v>0.8642032810037259</v>
      </c>
      <c r="CT21" s="1535"/>
      <c r="CU21" s="1535"/>
      <c r="CV21" s="1535"/>
      <c r="CW21" s="1536"/>
      <c r="CX21" s="1560">
        <f ca="1">OFFSET('VVP2'!$G134,0,(COLUMN()-6)/5)</f>
        <v>0.99188641412770506</v>
      </c>
      <c r="CY21" s="1535"/>
      <c r="CZ21" s="1535"/>
      <c r="DA21" s="1535"/>
      <c r="DB21" s="1536"/>
      <c r="DC21" s="1560">
        <f ca="1">OFFSET('VVP2'!$G134,0,(COLUMN()-6)/5)</f>
        <v>1.4373969075267974</v>
      </c>
      <c r="DD21" s="1535"/>
      <c r="DE21" s="1535"/>
      <c r="DF21" s="1535"/>
      <c r="DG21" s="1536"/>
      <c r="DH21" s="1560">
        <f ca="1">OFFSET('VVP2'!$G134,0,(COLUMN()-6)/5)</f>
        <v>1.2875983883030195</v>
      </c>
      <c r="DI21" s="1535"/>
      <c r="DJ21" s="1535"/>
      <c r="DK21" s="1535"/>
      <c r="DL21" s="1536"/>
      <c r="DM21" s="1560">
        <f ca="1">OFFSET('VVP2'!$G134,0,(COLUMN()-6)/5)</f>
        <v>0.99034462934487633</v>
      </c>
      <c r="DN21" s="1535"/>
      <c r="DO21" s="1535"/>
      <c r="DP21" s="1535"/>
      <c r="DQ21" s="1536"/>
      <c r="DR21" s="1560">
        <f ca="1">OFFSET('VVP2'!$G134,0,(COLUMN()-6)/5)</f>
        <v>1.0696730371209293</v>
      </c>
      <c r="DS21" s="1535"/>
      <c r="DT21" s="1535"/>
      <c r="DU21" s="1535"/>
      <c r="DV21" s="1536"/>
      <c r="DW21" s="1560">
        <f ca="1">OFFSET('VVP2'!$G134,0,(COLUMN()-6)/5)</f>
        <v>1.0309777169978209</v>
      </c>
      <c r="DX21" s="1535"/>
      <c r="DY21" s="1535"/>
      <c r="DZ21" s="1535"/>
      <c r="EA21" s="1536"/>
      <c r="EB21" s="1560">
        <f ca="1">OFFSET('VVP2'!$G134,0,(COLUMN()-6)/5)</f>
        <v>0.93178899746257005</v>
      </c>
      <c r="EC21" s="1535"/>
      <c r="ED21" s="1535"/>
      <c r="EE21" s="1535"/>
      <c r="EF21" s="1536"/>
    </row>
    <row r="22" spans="1:136">
      <c r="C22" s="1529" t="s">
        <v>1791</v>
      </c>
      <c r="D22" s="1" t="s">
        <v>666</v>
      </c>
      <c r="E22" s="1" t="s">
        <v>1998</v>
      </c>
      <c r="F22" s="1530" t="s">
        <v>1332</v>
      </c>
      <c r="G22" s="1540"/>
      <c r="H22" s="1242"/>
      <c r="I22" s="1242"/>
      <c r="J22" s="1242"/>
      <c r="K22" s="1537"/>
      <c r="L22" s="1565">
        <f ca="1">OFFSET('VVP2'!$G135,0,(COLUMN()-6)/5)</f>
        <v>-3.2147004615352241E-2</v>
      </c>
      <c r="M22" s="1242"/>
      <c r="N22" s="1242"/>
      <c r="O22" s="1242"/>
      <c r="P22" s="1537"/>
      <c r="Q22" s="1565">
        <f ca="1">OFFSET('VVP2'!$G135,0,(COLUMN()-6)/5)</f>
        <v>-0.11909963272584088</v>
      </c>
      <c r="R22" s="1242"/>
      <c r="S22" s="1242"/>
      <c r="T22" s="1242"/>
      <c r="U22" s="1537"/>
      <c r="V22" s="1565">
        <f ca="1">OFFSET('VVP2'!$G135,0,(COLUMN()-6)/5)</f>
        <v>0.96292527620092816</v>
      </c>
      <c r="W22" s="1242"/>
      <c r="X22" s="1242"/>
      <c r="Y22" s="1242"/>
      <c r="Z22" s="1537"/>
      <c r="AA22" s="1565">
        <f ca="1">OFFSET('VVP2'!$G135,0,(COLUMN()-6)/5)</f>
        <v>0.44530280759931107</v>
      </c>
      <c r="AB22" s="1242"/>
      <c r="AC22" s="1242"/>
      <c r="AD22" s="1242"/>
      <c r="AE22" s="1537"/>
      <c r="AF22" s="1565">
        <f ca="1">OFFSET('VVP2'!$G135,0,(COLUMN()-6)/5)</f>
        <v>-0.23039267367396973</v>
      </c>
      <c r="AG22" s="1242"/>
      <c r="AH22" s="1242"/>
      <c r="AI22" s="1242"/>
      <c r="AJ22" s="1537"/>
      <c r="AK22" s="1565">
        <f ca="1">OFFSET('VVP2'!$G135,0,(COLUMN()-6)/5)</f>
        <v>4.2116545973500036E-2</v>
      </c>
      <c r="AL22" s="1242"/>
      <c r="AM22" s="1242"/>
      <c r="AN22" s="1242"/>
      <c r="AO22" s="1537"/>
      <c r="AP22" s="1565">
        <f ca="1">OFFSET('VVP2'!$G135,0,(COLUMN()-6)/5)</f>
        <v>0.51817836990416677</v>
      </c>
      <c r="AQ22" s="1242"/>
      <c r="AR22" s="1242"/>
      <c r="AS22" s="1242"/>
      <c r="AT22" s="1537"/>
      <c r="AU22" s="1565">
        <f ca="1">OFFSET('VVP2'!$G135,0,(COLUMN()-6)/5)</f>
        <v>0.17059308044992924</v>
      </c>
      <c r="AV22" s="1242"/>
      <c r="AW22" s="1242"/>
      <c r="AX22" s="1242"/>
      <c r="AY22" s="1537"/>
      <c r="AZ22" s="1565">
        <f ca="1">OFFSET('VVP2'!$G135,0,(COLUMN()-6)/5)</f>
        <v>-5.9045893420643959E-2</v>
      </c>
      <c r="BA22" s="1242"/>
      <c r="BB22" s="1242"/>
      <c r="BC22" s="1242"/>
      <c r="BD22" s="1537"/>
      <c r="BE22" s="1565">
        <f ca="1">OFFSET('VVP2'!$G135,0,(COLUMN()-6)/5)</f>
        <v>9.2819444367576359E-2</v>
      </c>
      <c r="BF22" s="1242"/>
      <c r="BG22" s="1242"/>
      <c r="BH22" s="1242"/>
      <c r="BI22" s="1537"/>
      <c r="BJ22" s="1565">
        <f ca="1">OFFSET('VVP2'!$G135,0,(COLUMN()-6)/5)</f>
        <v>0.40012179904518103</v>
      </c>
      <c r="BK22" s="1242"/>
      <c r="BL22" s="1242"/>
      <c r="BM22" s="1242"/>
      <c r="BN22" s="1537"/>
      <c r="BO22" s="1565">
        <f ca="1">OFFSET('VVP2'!$G135,0,(COLUMN()-6)/5)</f>
        <v>0.12307510579440885</v>
      </c>
      <c r="BP22" s="1242"/>
      <c r="BQ22" s="1242"/>
      <c r="BR22" s="1242"/>
      <c r="BS22" s="1537"/>
      <c r="BT22" s="1565">
        <f ca="1">OFFSET('VVP2'!$G135,0,(COLUMN()-6)/5)</f>
        <v>0.32110729829721302</v>
      </c>
      <c r="BU22" s="1242"/>
      <c r="BV22" s="1242"/>
      <c r="BW22" s="1242"/>
      <c r="BX22" s="1537"/>
      <c r="BY22" s="1565">
        <f ca="1">OFFSET('VVP2'!$G135,0,(COLUMN()-6)/5)</f>
        <v>0.55410164560133723</v>
      </c>
      <c r="BZ22" s="1242"/>
      <c r="CA22" s="1242"/>
      <c r="CB22" s="1242"/>
      <c r="CC22" s="1537"/>
      <c r="CD22" s="1565">
        <f ca="1">OFFSET('VVP2'!$G135,0,(COLUMN()-6)/5)</f>
        <v>0.34349998917577768</v>
      </c>
      <c r="CE22" s="1242"/>
      <c r="CF22" s="1242"/>
      <c r="CG22" s="1242"/>
      <c r="CH22" s="1537"/>
      <c r="CI22" s="1565">
        <f ca="1">OFFSET('VVP2'!$G135,0,(COLUMN()-6)/5)</f>
        <v>0.20780947062055433</v>
      </c>
      <c r="CJ22" s="1242"/>
      <c r="CK22" s="1242"/>
      <c r="CL22" s="1242"/>
      <c r="CM22" s="1537"/>
      <c r="CN22" s="1565">
        <f ca="1">OFFSET('VVP2'!$G135,0,(COLUMN()-6)/5)</f>
        <v>0.27869007410561975</v>
      </c>
      <c r="CO22" s="1242"/>
      <c r="CP22" s="1242"/>
      <c r="CQ22" s="1242"/>
      <c r="CR22" s="1537"/>
      <c r="CS22" s="1565">
        <f ca="1">OFFSET('VVP2'!$G135,0,(COLUMN()-6)/5)</f>
        <v>0.3340553220537526</v>
      </c>
      <c r="CT22" s="1242"/>
      <c r="CU22" s="1242"/>
      <c r="CV22" s="1242"/>
      <c r="CW22" s="1537"/>
      <c r="CX22" s="1565">
        <f ca="1">OFFSET('VVP2'!$G135,0,(COLUMN()-6)/5)</f>
        <v>0.39757971385180568</v>
      </c>
      <c r="CY22" s="1242"/>
      <c r="CZ22" s="1242"/>
      <c r="DA22" s="1242"/>
      <c r="DB22" s="1537"/>
      <c r="DC22" s="1565">
        <f ca="1">OFFSET('VVP2'!$G135,0,(COLUMN()-6)/5)</f>
        <v>0.63066094609143852</v>
      </c>
      <c r="DD22" s="1242"/>
      <c r="DE22" s="1242"/>
      <c r="DF22" s="1242"/>
      <c r="DG22" s="1537"/>
      <c r="DH22" s="1565">
        <f ca="1">OFFSET('VVP2'!$G135,0,(COLUMN()-6)/5)</f>
        <v>0.93146732581883307</v>
      </c>
      <c r="DI22" s="1242"/>
      <c r="DJ22" s="1242"/>
      <c r="DK22" s="1242"/>
      <c r="DL22" s="1537"/>
      <c r="DM22" s="1565">
        <f ca="1">OFFSET('VVP2'!$G135,0,(COLUMN()-6)/5)</f>
        <v>-7.2419166354893943E-4</v>
      </c>
      <c r="DN22" s="1242"/>
      <c r="DO22" s="1242"/>
      <c r="DP22" s="1242"/>
      <c r="DQ22" s="1537"/>
      <c r="DR22" s="1565">
        <f ca="1">OFFSET('VVP2'!$G135,0,(COLUMN()-6)/5)</f>
        <v>0.27678879573452114</v>
      </c>
      <c r="DS22" s="1242"/>
      <c r="DT22" s="1242"/>
      <c r="DU22" s="1242"/>
      <c r="DV22" s="1537"/>
      <c r="DW22" s="1565">
        <f ca="1">OFFSET('VVP2'!$G135,0,(COLUMN()-6)/5)</f>
        <v>0.23410873810280297</v>
      </c>
      <c r="DX22" s="1242"/>
      <c r="DY22" s="1242"/>
      <c r="DZ22" s="1242"/>
      <c r="EA22" s="1537"/>
      <c r="EB22" s="1565">
        <f ca="1">OFFSET('VVP2'!$G135,0,(COLUMN()-6)/5)</f>
        <v>0.24178165305323468</v>
      </c>
      <c r="EC22" s="1242"/>
      <c r="ED22" s="1242"/>
      <c r="EE22" s="1242"/>
      <c r="EF22" s="1537"/>
    </row>
    <row r="23" spans="1:136">
      <c r="C23" s="1529" t="s">
        <v>1791</v>
      </c>
      <c r="D23" s="113"/>
      <c r="E23" s="113" t="s">
        <v>1341</v>
      </c>
      <c r="F23" s="1531" t="s">
        <v>1752</v>
      </c>
      <c r="G23" s="1571"/>
      <c r="H23" s="1538"/>
      <c r="I23" s="1538"/>
      <c r="J23" s="1538"/>
      <c r="K23" s="1539"/>
      <c r="L23" s="1566">
        <f ca="1">OFFSET('VVP2'!$G136,0,(COLUMN()-6)/5)</f>
        <v>1.0219229764411402</v>
      </c>
      <c r="M23" s="1538"/>
      <c r="N23" s="1538"/>
      <c r="O23" s="1538"/>
      <c r="P23" s="1539"/>
      <c r="Q23" s="1566">
        <f ca="1">OFFSET('VVP2'!$G136,0,(COLUMN()-6)/5)</f>
        <v>0.28794025453479416</v>
      </c>
      <c r="R23" s="1538"/>
      <c r="S23" s="1538"/>
      <c r="T23" s="1538"/>
      <c r="U23" s="1539"/>
      <c r="V23" s="1566">
        <f ca="1">OFFSET('VVP2'!$G136,0,(COLUMN()-6)/5)</f>
        <v>1.5647520084596609</v>
      </c>
      <c r="W23" s="1538"/>
      <c r="X23" s="1538"/>
      <c r="Y23" s="1538"/>
      <c r="Z23" s="1539"/>
      <c r="AA23" s="1566">
        <f ca="1">OFFSET('VVP2'!$G136,0,(COLUMN()-6)/5)</f>
        <v>1.4094816486041759</v>
      </c>
      <c r="AB23" s="1538"/>
      <c r="AC23" s="1538"/>
      <c r="AD23" s="1538"/>
      <c r="AE23" s="1539"/>
      <c r="AF23" s="1566">
        <f ca="1">OFFSET('VVP2'!$G136,0,(COLUMN()-6)/5)</f>
        <v>1.403336816948463</v>
      </c>
      <c r="AG23" s="1538"/>
      <c r="AH23" s="1538"/>
      <c r="AI23" s="1538"/>
      <c r="AJ23" s="1539"/>
      <c r="AK23" s="1566">
        <f ca="1">OFFSET('VVP2'!$G136,0,(COLUMN()-6)/5)</f>
        <v>0.55731746797363579</v>
      </c>
      <c r="AL23" s="1538"/>
      <c r="AM23" s="1538"/>
      <c r="AN23" s="1538"/>
      <c r="AO23" s="1539"/>
      <c r="AP23" s="1566">
        <f ca="1">OFFSET('VVP2'!$G136,0,(COLUMN()-6)/5)</f>
        <v>-0.5020840019155236</v>
      </c>
      <c r="AQ23" s="1538"/>
      <c r="AR23" s="1538"/>
      <c r="AS23" s="1538"/>
      <c r="AT23" s="1539"/>
      <c r="AU23" s="1566">
        <f ca="1">OFFSET('VVP2'!$G136,0,(COLUMN()-6)/5)</f>
        <v>0.50956425790680171</v>
      </c>
      <c r="AV23" s="1538"/>
      <c r="AW23" s="1538"/>
      <c r="AX23" s="1538"/>
      <c r="AY23" s="1539"/>
      <c r="AZ23" s="1566">
        <f ca="1">OFFSET('VVP2'!$G136,0,(COLUMN()-6)/5)</f>
        <v>1.2303647933567374</v>
      </c>
      <c r="BA23" s="1538"/>
      <c r="BB23" s="1538"/>
      <c r="BC23" s="1538"/>
      <c r="BD23" s="1539"/>
      <c r="BE23" s="1566">
        <f ca="1">OFFSET('VVP2'!$G136,0,(COLUMN()-6)/5)</f>
        <v>1.0939189582014559</v>
      </c>
      <c r="BF23" s="1538"/>
      <c r="BG23" s="1538"/>
      <c r="BH23" s="1538"/>
      <c r="BI23" s="1539"/>
      <c r="BJ23" s="1566">
        <f ca="1">OFFSET('VVP2'!$G136,0,(COLUMN()-6)/5)</f>
        <v>2.0826070731353705</v>
      </c>
      <c r="BK23" s="1538"/>
      <c r="BL23" s="1538"/>
      <c r="BM23" s="1538"/>
      <c r="BN23" s="1539"/>
      <c r="BO23" s="1566">
        <f ca="1">OFFSET('VVP2'!$G136,0,(COLUMN()-6)/5)</f>
        <v>1.8693044815667426</v>
      </c>
      <c r="BP23" s="1538"/>
      <c r="BQ23" s="1538"/>
      <c r="BR23" s="1538"/>
      <c r="BS23" s="1539"/>
      <c r="BT23" s="1566">
        <f ca="1">OFFSET('VVP2'!$G136,0,(COLUMN()-6)/5)</f>
        <v>0.13284106816967156</v>
      </c>
      <c r="BU23" s="1538"/>
      <c r="BV23" s="1538"/>
      <c r="BW23" s="1538"/>
      <c r="BX23" s="1539"/>
      <c r="BY23" s="1566">
        <f ca="1">OFFSET('VVP2'!$G136,0,(COLUMN()-6)/5)</f>
        <v>-3.2651865712623009</v>
      </c>
      <c r="BZ23" s="1538"/>
      <c r="CA23" s="1538"/>
      <c r="CB23" s="1538"/>
      <c r="CC23" s="1539"/>
      <c r="CD23" s="1566">
        <f ca="1">OFFSET('VVP2'!$G136,0,(COLUMN()-6)/5)</f>
        <v>1.3515029934785161</v>
      </c>
      <c r="CE23" s="1538"/>
      <c r="CF23" s="1538"/>
      <c r="CG23" s="1538"/>
      <c r="CH23" s="1539"/>
      <c r="CI23" s="1566">
        <f ca="1">OFFSET('VVP2'!$G136,0,(COLUMN()-6)/5)</f>
        <v>1.2740014824803949</v>
      </c>
      <c r="CJ23" s="1538"/>
      <c r="CK23" s="1538"/>
      <c r="CL23" s="1538"/>
      <c r="CM23" s="1539"/>
      <c r="CN23" s="1566">
        <f ca="1">OFFSET('VVP2'!$G136,0,(COLUMN()-6)/5)</f>
        <v>-6.4596628906079881E-2</v>
      </c>
      <c r="CO23" s="1538"/>
      <c r="CP23" s="1538"/>
      <c r="CQ23" s="1538"/>
      <c r="CR23" s="1539"/>
      <c r="CS23" s="1566">
        <f ca="1">OFFSET('VVP2'!$G136,0,(COLUMN()-6)/5)</f>
        <v>0.14150082402298531</v>
      </c>
      <c r="CT23" s="1538"/>
      <c r="CU23" s="1538"/>
      <c r="CV23" s="1538"/>
      <c r="CW23" s="1539"/>
      <c r="CX23" s="1566">
        <f ca="1">OFFSET('VVP2'!$G136,0,(COLUMN()-6)/5)</f>
        <v>1.2193204508310556</v>
      </c>
      <c r="CY23" s="1538"/>
      <c r="CZ23" s="1538"/>
      <c r="DA23" s="1538"/>
      <c r="DB23" s="1539"/>
      <c r="DC23" s="1566">
        <f ca="1">OFFSET('VVP2'!$G136,0,(COLUMN()-6)/5)</f>
        <v>1.5383422236275897</v>
      </c>
      <c r="DD23" s="1538"/>
      <c r="DE23" s="1538"/>
      <c r="DF23" s="1538"/>
      <c r="DG23" s="1539"/>
      <c r="DH23" s="1566">
        <f ca="1">OFFSET('VVP2'!$G136,0,(COLUMN()-6)/5)</f>
        <v>0.98152021196543027</v>
      </c>
      <c r="DI23" s="1538"/>
      <c r="DJ23" s="1538"/>
      <c r="DK23" s="1538"/>
      <c r="DL23" s="1539"/>
      <c r="DM23" s="1566">
        <f ca="1">OFFSET('VVP2'!$G136,0,(COLUMN()-6)/5)</f>
        <v>1.4493525261209479</v>
      </c>
      <c r="DN23" s="1538"/>
      <c r="DO23" s="1538"/>
      <c r="DP23" s="1538"/>
      <c r="DQ23" s="1539"/>
      <c r="DR23" s="1566">
        <f ca="1">OFFSET('VVP2'!$G136,0,(COLUMN()-6)/5)</f>
        <v>0.88315987096461457</v>
      </c>
      <c r="DS23" s="1538"/>
      <c r="DT23" s="1538"/>
      <c r="DU23" s="1538"/>
      <c r="DV23" s="1539"/>
      <c r="DW23" s="1566">
        <f ca="1">OFFSET('VVP2'!$G136,0,(COLUMN()-6)/5)</f>
        <v>0.50808698416815756</v>
      </c>
      <c r="DX23" s="1538"/>
      <c r="DY23" s="1538"/>
      <c r="DZ23" s="1538"/>
      <c r="EA23" s="1539"/>
      <c r="EB23" s="1566">
        <f ca="1">OFFSET('VVP2'!$G136,0,(COLUMN()-6)/5)</f>
        <v>0.55253104443438428</v>
      </c>
      <c r="EC23" s="1538"/>
      <c r="ED23" s="1538"/>
      <c r="EE23" s="1538"/>
      <c r="EF23" s="1539"/>
    </row>
    <row r="24" spans="1:136">
      <c r="C24" s="1529" t="s">
        <v>1793</v>
      </c>
      <c r="D24" s="50"/>
      <c r="E24" s="50" t="s">
        <v>1538</v>
      </c>
      <c r="F24" s="1532"/>
      <c r="G24" s="1540"/>
      <c r="H24" s="1540"/>
      <c r="I24" s="1540"/>
      <c r="J24" s="1540"/>
      <c r="K24" s="1541"/>
      <c r="L24" s="1565">
        <f ca="1">OFFSET('VVP2'!$G137,0,(COLUMN()-6)/5)</f>
        <v>1.848923476999333</v>
      </c>
      <c r="M24" s="1540"/>
      <c r="N24" s="1540"/>
      <c r="O24" s="1540"/>
      <c r="P24" s="1541"/>
      <c r="Q24" s="1565">
        <f ca="1">OFFSET('VVP2'!$G137,0,(COLUMN()-6)/5)</f>
        <v>1.5036301953091413</v>
      </c>
      <c r="R24" s="1540"/>
      <c r="S24" s="1540"/>
      <c r="T24" s="1540"/>
      <c r="U24" s="1541"/>
      <c r="V24" s="1565">
        <f ca="1">OFFSET('VVP2'!$G137,0,(COLUMN()-6)/5)</f>
        <v>4.0911522777577156</v>
      </c>
      <c r="W24" s="1540"/>
      <c r="X24" s="1540"/>
      <c r="Y24" s="1540"/>
      <c r="Z24" s="1541"/>
      <c r="AA24" s="1565">
        <f ca="1">OFFSET('VVP2'!$G137,0,(COLUMN()-6)/5)</f>
        <v>3.7396460866161449</v>
      </c>
      <c r="AB24" s="1540"/>
      <c r="AC24" s="1540"/>
      <c r="AD24" s="1540"/>
      <c r="AE24" s="1541"/>
      <c r="AF24" s="1565">
        <f ca="1">OFFSET('VVP2'!$G137,0,(COLUMN()-6)/5)</f>
        <v>3.6301889727750227</v>
      </c>
      <c r="AG24" s="1540"/>
      <c r="AH24" s="1540"/>
      <c r="AI24" s="1540"/>
      <c r="AJ24" s="1541"/>
      <c r="AK24" s="1565">
        <f ca="1">OFFSET('VVP2'!$G137,0,(COLUMN()-6)/5)</f>
        <v>0.94139093180972566</v>
      </c>
      <c r="AL24" s="1540"/>
      <c r="AM24" s="1540"/>
      <c r="AN24" s="1540"/>
      <c r="AO24" s="1541"/>
      <c r="AP24" s="1565">
        <f ca="1">OFFSET('VVP2'!$G137,0,(COLUMN()-6)/5)</f>
        <v>1.2212524799470952</v>
      </c>
      <c r="AQ24" s="1540"/>
      <c r="AR24" s="1540"/>
      <c r="AS24" s="1540"/>
      <c r="AT24" s="1541"/>
      <c r="AU24" s="1565">
        <f ca="1">OFFSET('VVP2'!$G137,0,(COLUMN()-6)/5)</f>
        <v>1.7539939233447266</v>
      </c>
      <c r="AV24" s="1540"/>
      <c r="AW24" s="1540"/>
      <c r="AX24" s="1540"/>
      <c r="AY24" s="1541"/>
      <c r="AZ24" s="1565">
        <f ca="1">OFFSET('VVP2'!$G137,0,(COLUMN()-6)/5)</f>
        <v>2.4631524502325357</v>
      </c>
      <c r="BA24" s="1540"/>
      <c r="BB24" s="1540"/>
      <c r="BC24" s="1540"/>
      <c r="BD24" s="1541"/>
      <c r="BE24" s="1565">
        <f ca="1">OFFSET('VVP2'!$G137,0,(COLUMN()-6)/5)</f>
        <v>2.4541639444981871</v>
      </c>
      <c r="BF24" s="1540"/>
      <c r="BG24" s="1540"/>
      <c r="BH24" s="1540"/>
      <c r="BI24" s="1541"/>
      <c r="BJ24" s="1565">
        <f ca="1">OFFSET('VVP2'!$G137,0,(COLUMN()-6)/5)</f>
        <v>3.7093406425102229</v>
      </c>
      <c r="BK24" s="1540"/>
      <c r="BL24" s="1540"/>
      <c r="BM24" s="1540"/>
      <c r="BN24" s="1541"/>
      <c r="BO24" s="1565">
        <f ca="1">OFFSET('VVP2'!$G137,0,(COLUMN()-6)/5)</f>
        <v>3.6907234170354837</v>
      </c>
      <c r="BP24" s="1540"/>
      <c r="BQ24" s="1540"/>
      <c r="BR24" s="1540"/>
      <c r="BS24" s="1541"/>
      <c r="BT24" s="1565">
        <f ca="1">OFFSET('VVP2'!$G137,0,(COLUMN()-6)/5)</f>
        <v>0.55487525008877314</v>
      </c>
      <c r="BU24" s="1540"/>
      <c r="BV24" s="1540"/>
      <c r="BW24" s="1540"/>
      <c r="BX24" s="1541"/>
      <c r="BY24" s="1565">
        <f ca="1">OFFSET('VVP2'!$G137,0,(COLUMN()-6)/5)</f>
        <v>-2.5547726370054447</v>
      </c>
      <c r="BZ24" s="1540"/>
      <c r="CA24" s="1540"/>
      <c r="CB24" s="1540"/>
      <c r="CC24" s="1541"/>
      <c r="CD24" s="1565">
        <f ca="1">OFFSET('VVP2'!$G137,0,(COLUMN()-6)/5)</f>
        <v>3.5271973489617228</v>
      </c>
      <c r="CE24" s="1540"/>
      <c r="CF24" s="1540"/>
      <c r="CG24" s="1540"/>
      <c r="CH24" s="1541"/>
      <c r="CI24" s="1565">
        <f ca="1">OFFSET('VVP2'!$G137,0,(COLUMN()-6)/5)</f>
        <v>2.3476825176285896</v>
      </c>
      <c r="CJ24" s="1540"/>
      <c r="CK24" s="1540"/>
      <c r="CL24" s="1540"/>
      <c r="CM24" s="1541"/>
      <c r="CN24" s="1565">
        <f ca="1">OFFSET('VVP2'!$G137,0,(COLUMN()-6)/5)</f>
        <v>0.57915220321163352</v>
      </c>
      <c r="CO24" s="1540"/>
      <c r="CP24" s="1540"/>
      <c r="CQ24" s="1540"/>
      <c r="CR24" s="1541"/>
      <c r="CS24" s="1565">
        <f ca="1">OFFSET('VVP2'!$G137,0,(COLUMN()-6)/5)</f>
        <v>1.3397571482540038</v>
      </c>
      <c r="CT24" s="1540"/>
      <c r="CU24" s="1540"/>
      <c r="CV24" s="1540"/>
      <c r="CW24" s="1541"/>
      <c r="CX24" s="1565">
        <f ca="1">OFFSET('VVP2'!$G137,0,(COLUMN()-6)/5)</f>
        <v>2.6087727184707372</v>
      </c>
      <c r="CY24" s="1540"/>
      <c r="CZ24" s="1540"/>
      <c r="DA24" s="1540"/>
      <c r="DB24" s="1541"/>
      <c r="DC24" s="1565">
        <f ca="1">OFFSET('VVP2'!$G137,0,(COLUMN()-6)/5)</f>
        <v>3.6064106478112881</v>
      </c>
      <c r="DD24" s="1540"/>
      <c r="DE24" s="1540"/>
      <c r="DF24" s="1540"/>
      <c r="DG24" s="1541"/>
      <c r="DH24" s="1565">
        <f ca="1">OFFSET('VVP2'!$G137,0,(COLUMN()-6)/5)</f>
        <v>3.2005859565595784</v>
      </c>
      <c r="DI24" s="1540"/>
      <c r="DJ24" s="1540"/>
      <c r="DK24" s="1540"/>
      <c r="DL24" s="1541"/>
      <c r="DM24" s="1565">
        <f ca="1">OFFSET('VVP2'!$G137,0,(COLUMN()-6)/5)</f>
        <v>2.438977769393559</v>
      </c>
      <c r="DN24" s="1540"/>
      <c r="DO24" s="1540"/>
      <c r="DP24" s="1540"/>
      <c r="DQ24" s="1541"/>
      <c r="DR24" s="1565">
        <f ca="1">OFFSET('VVP2'!$G137,0,(COLUMN()-6)/5)</f>
        <v>2.2296217038200603</v>
      </c>
      <c r="DS24" s="1540"/>
      <c r="DT24" s="1540"/>
      <c r="DU24" s="1540"/>
      <c r="DV24" s="1541"/>
      <c r="DW24" s="1565">
        <f ca="1">OFFSET('VVP2'!$G137,0,(COLUMN()-6)/5)</f>
        <v>1.7731734392687861</v>
      </c>
      <c r="DX24" s="1540"/>
      <c r="DY24" s="1540"/>
      <c r="DZ24" s="1540"/>
      <c r="EA24" s="1541"/>
      <c r="EB24" s="1565">
        <f ca="1">OFFSET('VVP2'!$G137,0,(COLUMN()-6)/5)</f>
        <v>1.7261016949502119</v>
      </c>
      <c r="EC24" s="1540"/>
      <c r="ED24" s="1540"/>
      <c r="EE24" s="1540"/>
      <c r="EF24" s="1541"/>
    </row>
    <row r="25" spans="1:136">
      <c r="C25" s="1529" t="s">
        <v>1791</v>
      </c>
      <c r="D25" s="113"/>
      <c r="E25" s="113" t="s">
        <v>1487</v>
      </c>
      <c r="F25" s="1531" t="s">
        <v>71</v>
      </c>
      <c r="G25" s="1571"/>
      <c r="H25" s="1538"/>
      <c r="I25" s="1538"/>
      <c r="J25" s="1538"/>
      <c r="K25" s="1539"/>
      <c r="L25" s="1566">
        <f ca="1">OFFSET('VVP2'!$G138,0,(COLUMN()-6)/5)</f>
        <v>-0.80929959025938769</v>
      </c>
      <c r="M25" s="1538"/>
      <c r="N25" s="1538"/>
      <c r="O25" s="1538"/>
      <c r="P25" s="1539"/>
      <c r="Q25" s="1566">
        <f ca="1">OFFSET('VVP2'!$G138,0,(COLUMN()-6)/5)</f>
        <v>0.11403454352134981</v>
      </c>
      <c r="R25" s="1538"/>
      <c r="S25" s="1538"/>
      <c r="T25" s="1538"/>
      <c r="U25" s="1539"/>
      <c r="V25" s="1566">
        <f ca="1">OFFSET('VVP2'!$G138,0,(COLUMN()-6)/5)</f>
        <v>0.31442871348371887</v>
      </c>
      <c r="W25" s="1538"/>
      <c r="X25" s="1538"/>
      <c r="Y25" s="1538"/>
      <c r="Z25" s="1539"/>
      <c r="AA25" s="1566">
        <f ca="1">OFFSET('VVP2'!$G138,0,(COLUMN()-6)/5)</f>
        <v>-0.43522966471514835</v>
      </c>
      <c r="AB25" s="1538"/>
      <c r="AC25" s="1538"/>
      <c r="AD25" s="1538"/>
      <c r="AE25" s="1539"/>
      <c r="AF25" s="1566">
        <f ca="1">OFFSET('VVP2'!$G138,0,(COLUMN()-6)/5)</f>
        <v>0.42435229902229854</v>
      </c>
      <c r="AG25" s="1538"/>
      <c r="AH25" s="1538"/>
      <c r="AI25" s="1538"/>
      <c r="AJ25" s="1539"/>
      <c r="AK25" s="1566">
        <f ca="1">OFFSET('VVP2'!$G138,0,(COLUMN()-6)/5)</f>
        <v>-0.3304801097305281</v>
      </c>
      <c r="AL25" s="1538"/>
      <c r="AM25" s="1538"/>
      <c r="AN25" s="1538"/>
      <c r="AO25" s="1539"/>
      <c r="AP25" s="1566">
        <f ca="1">OFFSET('VVP2'!$G138,0,(COLUMN()-6)/5)</f>
        <v>-0.191773566239645</v>
      </c>
      <c r="AQ25" s="1538"/>
      <c r="AR25" s="1538"/>
      <c r="AS25" s="1538"/>
      <c r="AT25" s="1539"/>
      <c r="AU25" s="1566">
        <f ca="1">OFFSET('VVP2'!$G138,0,(COLUMN()-6)/5)</f>
        <v>0.22161792400190519</v>
      </c>
      <c r="AV25" s="1538"/>
      <c r="AW25" s="1538"/>
      <c r="AX25" s="1538"/>
      <c r="AY25" s="1539"/>
      <c r="AZ25" s="1566">
        <f ca="1">OFFSET('VVP2'!$G138,0,(COLUMN()-6)/5)</f>
        <v>-0.27156252990640856</v>
      </c>
      <c r="BA25" s="1538"/>
      <c r="BB25" s="1538"/>
      <c r="BC25" s="1538"/>
      <c r="BD25" s="1539"/>
      <c r="BE25" s="1566">
        <f ca="1">OFFSET('VVP2'!$G138,0,(COLUMN()-6)/5)</f>
        <v>-1.0374939051756715E-2</v>
      </c>
      <c r="BF25" s="1538"/>
      <c r="BG25" s="1538"/>
      <c r="BH25" s="1538"/>
      <c r="BI25" s="1539"/>
      <c r="BJ25" s="1566">
        <f ca="1">OFFSET('VVP2'!$G138,0,(COLUMN()-6)/5)</f>
        <v>0.20071621600241807</v>
      </c>
      <c r="BK25" s="1538"/>
      <c r="BL25" s="1538"/>
      <c r="BM25" s="1538"/>
      <c r="BN25" s="1539"/>
      <c r="BO25" s="1566">
        <f ca="1">OFFSET('VVP2'!$G138,0,(COLUMN()-6)/5)</f>
        <v>0.65749560423257569</v>
      </c>
      <c r="BP25" s="1538"/>
      <c r="BQ25" s="1538"/>
      <c r="BR25" s="1538"/>
      <c r="BS25" s="1539"/>
      <c r="BT25" s="1566">
        <f ca="1">OFFSET('VVP2'!$G138,0,(COLUMN()-6)/5)</f>
        <v>-0.50585296299918114</v>
      </c>
      <c r="BU25" s="1538"/>
      <c r="BV25" s="1538"/>
      <c r="BW25" s="1538"/>
      <c r="BX25" s="1539"/>
      <c r="BY25" s="1566">
        <f ca="1">OFFSET('VVP2'!$G138,0,(COLUMN()-6)/5)</f>
        <v>-1.5571230389942272</v>
      </c>
      <c r="BZ25" s="1538"/>
      <c r="CA25" s="1538"/>
      <c r="CB25" s="1538"/>
      <c r="CC25" s="1539"/>
      <c r="CD25" s="1566">
        <f ca="1">OFFSET('VVP2'!$G138,0,(COLUMN()-6)/5)</f>
        <v>2.1003356247694964</v>
      </c>
      <c r="CE25" s="1538"/>
      <c r="CF25" s="1538"/>
      <c r="CG25" s="1538"/>
      <c r="CH25" s="1539"/>
      <c r="CI25" s="1566">
        <f ca="1">OFFSET('VVP2'!$G138,0,(COLUMN()-6)/5)</f>
        <v>0.50345647228690515</v>
      </c>
      <c r="CJ25" s="1538"/>
      <c r="CK25" s="1538"/>
      <c r="CL25" s="1538"/>
      <c r="CM25" s="1539"/>
      <c r="CN25" s="1566">
        <f ca="1">OFFSET('VVP2'!$G138,0,(COLUMN()-6)/5)</f>
        <v>-1.1331193335575804</v>
      </c>
      <c r="CO25" s="1538"/>
      <c r="CP25" s="1538"/>
      <c r="CQ25" s="1538"/>
      <c r="CR25" s="1539"/>
      <c r="CS25" s="1566">
        <f ca="1">OFFSET('VVP2'!$G138,0,(COLUMN()-6)/5)</f>
        <v>0.20722614809082282</v>
      </c>
      <c r="CT25" s="1538"/>
      <c r="CU25" s="1538"/>
      <c r="CV25" s="1538"/>
      <c r="CW25" s="1539"/>
      <c r="CX25" s="1566">
        <f ca="1">OFFSET('VVP2'!$G138,0,(COLUMN()-6)/5)</f>
        <v>0.15816561083965672</v>
      </c>
      <c r="CY25" s="1538"/>
      <c r="CZ25" s="1538"/>
      <c r="DA25" s="1538"/>
      <c r="DB25" s="1539"/>
      <c r="DC25" s="1566">
        <f ca="1">OFFSET('VVP2'!$G138,0,(COLUMN()-6)/5)</f>
        <v>0.42564083224590887</v>
      </c>
      <c r="DD25" s="1538"/>
      <c r="DE25" s="1538"/>
      <c r="DF25" s="1538"/>
      <c r="DG25" s="1539"/>
      <c r="DH25" s="1566">
        <f ca="1">OFFSET('VVP2'!$G138,0,(COLUMN()-6)/5)</f>
        <v>-0.1166950596518746</v>
      </c>
      <c r="DI25" s="1538"/>
      <c r="DJ25" s="1538"/>
      <c r="DK25" s="1538"/>
      <c r="DL25" s="1539"/>
      <c r="DM25" s="1566">
        <f ca="1">OFFSET('VVP2'!$G138,0,(COLUMN()-6)/5)</f>
        <v>0.13857636961230191</v>
      </c>
      <c r="DN25" s="1538"/>
      <c r="DO25" s="1538"/>
      <c r="DP25" s="1538"/>
      <c r="DQ25" s="1539"/>
      <c r="DR25" s="1566">
        <f ca="1">OFFSET('VVP2'!$G138,0,(COLUMN()-6)/5)</f>
        <v>0.1343423386276919</v>
      </c>
      <c r="DS25" s="1538"/>
      <c r="DT25" s="1538"/>
      <c r="DU25" s="1538"/>
      <c r="DV25" s="1539"/>
      <c r="DW25" s="1566">
        <f ca="1">OFFSET('VVP2'!$G138,0,(COLUMN()-6)/5)</f>
        <v>-0.13729301205835828</v>
      </c>
      <c r="DX25" s="1538"/>
      <c r="DY25" s="1538"/>
      <c r="DZ25" s="1538"/>
      <c r="EA25" s="1539"/>
      <c r="EB25" s="1566">
        <f ca="1">OFFSET('VVP2'!$G138,0,(COLUMN()-6)/5)</f>
        <v>0</v>
      </c>
      <c r="EC25" s="1538"/>
      <c r="ED25" s="1538"/>
      <c r="EE25" s="1538"/>
      <c r="EF25" s="1539"/>
    </row>
    <row r="26" spans="1:136">
      <c r="C26" s="1529" t="s">
        <v>1793</v>
      </c>
      <c r="D26" s="50"/>
      <c r="E26" s="50" t="s">
        <v>1233</v>
      </c>
      <c r="F26" s="1532"/>
      <c r="G26" s="1540"/>
      <c r="H26" s="1540"/>
      <c r="I26" s="1540"/>
      <c r="J26" s="1540"/>
      <c r="K26" s="1541"/>
      <c r="L26" s="1565">
        <f ca="1">OFFSET('VVP2'!$G139,0,(COLUMN()-6)/5)</f>
        <v>1.0396238867399477</v>
      </c>
      <c r="M26" s="1540"/>
      <c r="N26" s="1540"/>
      <c r="O26" s="1540"/>
      <c r="P26" s="1541"/>
      <c r="Q26" s="1565">
        <f ca="1">OFFSET('VVP2'!$G139,0,(COLUMN()-6)/5)</f>
        <v>1.6176647388304897</v>
      </c>
      <c r="R26" s="1540"/>
      <c r="S26" s="1540"/>
      <c r="T26" s="1540"/>
      <c r="U26" s="1541"/>
      <c r="V26" s="1565">
        <f ca="1">OFFSET('VVP2'!$G139,0,(COLUMN()-6)/5)</f>
        <v>4.4055809912414396</v>
      </c>
      <c r="W26" s="1540"/>
      <c r="X26" s="1540"/>
      <c r="Y26" s="1540"/>
      <c r="Z26" s="1541"/>
      <c r="AA26" s="1565">
        <f ca="1">OFFSET('VVP2'!$G139,0,(COLUMN()-6)/5)</f>
        <v>3.3044164219009984</v>
      </c>
      <c r="AB26" s="1540"/>
      <c r="AC26" s="1540"/>
      <c r="AD26" s="1540"/>
      <c r="AE26" s="1541"/>
      <c r="AF26" s="1565">
        <f ca="1">OFFSET('VVP2'!$G139,0,(COLUMN()-6)/5)</f>
        <v>4.0545412717973175</v>
      </c>
      <c r="AG26" s="1540"/>
      <c r="AH26" s="1540"/>
      <c r="AI26" s="1540"/>
      <c r="AJ26" s="1541"/>
      <c r="AK26" s="1565">
        <f ca="1">OFFSET('VVP2'!$G139,0,(COLUMN()-6)/5)</f>
        <v>0.61091082207920167</v>
      </c>
      <c r="AL26" s="1540"/>
      <c r="AM26" s="1540"/>
      <c r="AN26" s="1540"/>
      <c r="AO26" s="1541"/>
      <c r="AP26" s="1565">
        <f ca="1">OFFSET('VVP2'!$G139,0,(COLUMN()-6)/5)</f>
        <v>1.0294789137074534</v>
      </c>
      <c r="AQ26" s="1540"/>
      <c r="AR26" s="1540"/>
      <c r="AS26" s="1540"/>
      <c r="AT26" s="1541"/>
      <c r="AU26" s="1565">
        <f ca="1">OFFSET('VVP2'!$G139,0,(COLUMN()-6)/5)</f>
        <v>1.9756118473466373</v>
      </c>
      <c r="AV26" s="1540"/>
      <c r="AW26" s="1540"/>
      <c r="AX26" s="1540"/>
      <c r="AY26" s="1541"/>
      <c r="AZ26" s="1565">
        <f ca="1">OFFSET('VVP2'!$G139,0,(COLUMN()-6)/5)</f>
        <v>2.1915899203261278</v>
      </c>
      <c r="BA26" s="1540"/>
      <c r="BB26" s="1540"/>
      <c r="BC26" s="1540"/>
      <c r="BD26" s="1541"/>
      <c r="BE26" s="1565">
        <f ca="1">OFFSET('VVP2'!$G139,0,(COLUMN()-6)/5)</f>
        <v>2.4437890054464284</v>
      </c>
      <c r="BF26" s="1540"/>
      <c r="BG26" s="1540"/>
      <c r="BH26" s="1540"/>
      <c r="BI26" s="1541"/>
      <c r="BJ26" s="1565">
        <f ca="1">OFFSET('VVP2'!$G139,0,(COLUMN()-6)/5)</f>
        <v>3.9100568585126396</v>
      </c>
      <c r="BK26" s="1540"/>
      <c r="BL26" s="1540"/>
      <c r="BM26" s="1540"/>
      <c r="BN26" s="1541"/>
      <c r="BO26" s="1565">
        <f ca="1">OFFSET('VVP2'!$G139,0,(COLUMN()-6)/5)</f>
        <v>4.3482190212680596</v>
      </c>
      <c r="BP26" s="1540"/>
      <c r="BQ26" s="1540"/>
      <c r="BR26" s="1540"/>
      <c r="BS26" s="1541"/>
      <c r="BT26" s="1565">
        <f ca="1">OFFSET('VVP2'!$G139,0,(COLUMN()-6)/5)</f>
        <v>4.9022287089592366E-2</v>
      </c>
      <c r="BU26" s="1540"/>
      <c r="BV26" s="1540"/>
      <c r="BW26" s="1540"/>
      <c r="BX26" s="1541"/>
      <c r="BY26" s="1565">
        <f ca="1">OFFSET('VVP2'!$G139,0,(COLUMN()-6)/5)</f>
        <v>-4.1118956759996754</v>
      </c>
      <c r="BZ26" s="1540"/>
      <c r="CA26" s="1540"/>
      <c r="CB26" s="1540"/>
      <c r="CC26" s="1541"/>
      <c r="CD26" s="1565">
        <f ca="1">OFFSET('VVP2'!$G139,0,(COLUMN()-6)/5)</f>
        <v>5.627532973731217</v>
      </c>
      <c r="CE26" s="1540"/>
      <c r="CF26" s="1540"/>
      <c r="CG26" s="1540"/>
      <c r="CH26" s="1541"/>
      <c r="CI26" s="1565">
        <f ca="1">OFFSET('VVP2'!$G139,0,(COLUMN()-6)/5)</f>
        <v>2.8511389899154937</v>
      </c>
      <c r="CJ26" s="1540"/>
      <c r="CK26" s="1540"/>
      <c r="CL26" s="1540"/>
      <c r="CM26" s="1541"/>
      <c r="CN26" s="1565">
        <f ca="1">OFFSET('VVP2'!$G139,0,(COLUMN()-6)/5)</f>
        <v>-0.55396713034594791</v>
      </c>
      <c r="CO26" s="1540"/>
      <c r="CP26" s="1540"/>
      <c r="CQ26" s="1540"/>
      <c r="CR26" s="1541"/>
      <c r="CS26" s="1565">
        <f ca="1">OFFSET('VVP2'!$G139,0,(COLUMN()-6)/5)</f>
        <v>1.5469832963448222</v>
      </c>
      <c r="CT26" s="1540"/>
      <c r="CU26" s="1540"/>
      <c r="CV26" s="1540"/>
      <c r="CW26" s="1541"/>
      <c r="CX26" s="1565">
        <f ca="1">OFFSET('VVP2'!$G139,0,(COLUMN()-6)/5)</f>
        <v>2.7669383293103893</v>
      </c>
      <c r="CY26" s="1540"/>
      <c r="CZ26" s="1540"/>
      <c r="DA26" s="1540"/>
      <c r="DB26" s="1541"/>
      <c r="DC26" s="1565">
        <f ca="1">OFFSET('VVP2'!$G139,0,(COLUMN()-6)/5)</f>
        <v>4.0320514800571914</v>
      </c>
      <c r="DD26" s="1540"/>
      <c r="DE26" s="1540"/>
      <c r="DF26" s="1540"/>
      <c r="DG26" s="1541"/>
      <c r="DH26" s="1565">
        <f ca="1">OFFSET('VVP2'!$G139,0,(COLUMN()-6)/5)</f>
        <v>3.0838908969077061</v>
      </c>
      <c r="DI26" s="1540"/>
      <c r="DJ26" s="1540"/>
      <c r="DK26" s="1540"/>
      <c r="DL26" s="1541"/>
      <c r="DM26" s="1565">
        <f ca="1">OFFSET('VVP2'!$G139,0,(COLUMN()-6)/5)</f>
        <v>2.5775541390058518</v>
      </c>
      <c r="DN26" s="1540"/>
      <c r="DO26" s="1540"/>
      <c r="DP26" s="1540"/>
      <c r="DQ26" s="1541"/>
      <c r="DR26" s="1565">
        <f ca="1">OFFSET('VVP2'!$G139,0,(COLUMN()-6)/5)</f>
        <v>2.3639640424477659</v>
      </c>
      <c r="DS26" s="1540"/>
      <c r="DT26" s="1540"/>
      <c r="DU26" s="1540"/>
      <c r="DV26" s="1541"/>
      <c r="DW26" s="1565">
        <f ca="1">OFFSET('VVP2'!$G139,0,(COLUMN()-6)/5)</f>
        <v>1.6358804272104301</v>
      </c>
      <c r="DX26" s="1540"/>
      <c r="DY26" s="1540"/>
      <c r="DZ26" s="1540"/>
      <c r="EA26" s="1541"/>
      <c r="EB26" s="1565">
        <f ca="1">OFFSET('VVP2'!$G139,0,(COLUMN()-6)/5)</f>
        <v>1.7261016949502119</v>
      </c>
      <c r="EC26" s="1540"/>
      <c r="ED26" s="1540"/>
      <c r="EE26" s="1540"/>
      <c r="EF26" s="1541"/>
    </row>
    <row r="27" spans="1:136">
      <c r="C27" s="1529" t="s">
        <v>1791</v>
      </c>
      <c r="D27" s="113"/>
      <c r="E27" s="113" t="s">
        <v>375</v>
      </c>
      <c r="F27" s="1531" t="s">
        <v>1748</v>
      </c>
      <c r="G27" s="1571"/>
      <c r="H27" s="1538"/>
      <c r="I27" s="1538"/>
      <c r="J27" s="1538"/>
      <c r="K27" s="1539"/>
      <c r="L27" s="1566">
        <f ca="1">OFFSET('VVP2'!$G140,0,(COLUMN()-6)/5)</f>
        <v>1.5666082088260713</v>
      </c>
      <c r="M27" s="1538"/>
      <c r="N27" s="1538"/>
      <c r="O27" s="1538"/>
      <c r="P27" s="1539"/>
      <c r="Q27" s="1566">
        <f ca="1">OFFSET('VVP2'!$G140,0,(COLUMN()-6)/5)</f>
        <v>5.1058061115325977</v>
      </c>
      <c r="R27" s="1538"/>
      <c r="S27" s="1538"/>
      <c r="T27" s="1538"/>
      <c r="U27" s="1539"/>
      <c r="V27" s="1566">
        <f ca="1">OFFSET('VVP2'!$G140,0,(COLUMN()-6)/5)</f>
        <v>3.5741447030029407</v>
      </c>
      <c r="W27" s="1538"/>
      <c r="X27" s="1538"/>
      <c r="Y27" s="1538"/>
      <c r="Z27" s="1539"/>
      <c r="AA27" s="1566">
        <f ca="1">OFFSET('VVP2'!$G140,0,(COLUMN()-6)/5)</f>
        <v>2.9563576261490887</v>
      </c>
      <c r="AB27" s="1538"/>
      <c r="AC27" s="1538"/>
      <c r="AD27" s="1538"/>
      <c r="AE27" s="1539"/>
      <c r="AF27" s="1566">
        <f ca="1">OFFSET('VVP2'!$G140,0,(COLUMN()-6)/5)</f>
        <v>4.794870314612858</v>
      </c>
      <c r="AG27" s="1538"/>
      <c r="AH27" s="1538"/>
      <c r="AI27" s="1538"/>
      <c r="AJ27" s="1539"/>
      <c r="AK27" s="1566">
        <f ca="1">OFFSET('VVP2'!$G140,0,(COLUMN()-6)/5)</f>
        <v>0.30678721705322215</v>
      </c>
      <c r="AL27" s="1538"/>
      <c r="AM27" s="1538"/>
      <c r="AN27" s="1538"/>
      <c r="AO27" s="1539"/>
      <c r="AP27" s="1566">
        <f ca="1">OFFSET('VVP2'!$G140,0,(COLUMN()-6)/5)</f>
        <v>0.57553866763122707</v>
      </c>
      <c r="AQ27" s="1538"/>
      <c r="AR27" s="1538"/>
      <c r="AS27" s="1538"/>
      <c r="AT27" s="1539"/>
      <c r="AU27" s="1566">
        <f ca="1">OFFSET('VVP2'!$G140,0,(COLUMN()-6)/5)</f>
        <v>1.7485768751346391</v>
      </c>
      <c r="AV27" s="1538"/>
      <c r="AW27" s="1538"/>
      <c r="AX27" s="1538"/>
      <c r="AY27" s="1539"/>
      <c r="AZ27" s="1566">
        <f ca="1">OFFSET('VVP2'!$G140,0,(COLUMN()-6)/5)</f>
        <v>4.4218778668215286</v>
      </c>
      <c r="BA27" s="1538"/>
      <c r="BB27" s="1538"/>
      <c r="BC27" s="1538"/>
      <c r="BD27" s="1539"/>
      <c r="BE27" s="1566">
        <f ca="1">OFFSET('VVP2'!$G140,0,(COLUMN()-6)/5)</f>
        <v>2.8766784555159841</v>
      </c>
      <c r="BF27" s="1538"/>
      <c r="BG27" s="1538"/>
      <c r="BH27" s="1538"/>
      <c r="BI27" s="1539"/>
      <c r="BJ27" s="1566">
        <f ca="1">OFFSET('VVP2'!$G140,0,(COLUMN()-6)/5)</f>
        <v>3.9691184408239213</v>
      </c>
      <c r="BK27" s="1538"/>
      <c r="BL27" s="1538"/>
      <c r="BM27" s="1538"/>
      <c r="BN27" s="1539"/>
      <c r="BO27" s="1566">
        <f ca="1">OFFSET('VVP2'!$G140,0,(COLUMN()-6)/5)</f>
        <v>2.1556974506000062</v>
      </c>
      <c r="BP27" s="1538"/>
      <c r="BQ27" s="1538"/>
      <c r="BR27" s="1538"/>
      <c r="BS27" s="1539"/>
      <c r="BT27" s="1566">
        <f ca="1">OFFSET('VVP2'!$G140,0,(COLUMN()-6)/5)</f>
        <v>0.95719458741297925</v>
      </c>
      <c r="BU27" s="1538"/>
      <c r="BV27" s="1538"/>
      <c r="BW27" s="1538"/>
      <c r="BX27" s="1539"/>
      <c r="BY27" s="1566">
        <f ca="1">OFFSET('VVP2'!$G140,0,(COLUMN()-6)/5)</f>
        <v>-7.2068398440804291</v>
      </c>
      <c r="BZ27" s="1538"/>
      <c r="CA27" s="1538"/>
      <c r="CB27" s="1538"/>
      <c r="CC27" s="1539"/>
      <c r="CD27" s="1566">
        <f ca="1">OFFSET('VVP2'!$G140,0,(COLUMN()-6)/5)</f>
        <v>5.3030459254324533</v>
      </c>
      <c r="CE27" s="1538"/>
      <c r="CF27" s="1538"/>
      <c r="CG27" s="1538"/>
      <c r="CH27" s="1539"/>
      <c r="CI27" s="1566">
        <f ca="1">OFFSET('VVP2'!$G140,0,(COLUMN()-6)/5)</f>
        <v>2.8148636254251187</v>
      </c>
      <c r="CJ27" s="1538"/>
      <c r="CK27" s="1538"/>
      <c r="CL27" s="1538"/>
      <c r="CM27" s="1539"/>
      <c r="CN27" s="1566">
        <f ca="1">OFFSET('VVP2'!$G140,0,(COLUMN()-6)/5)</f>
        <v>0.45758851924698934</v>
      </c>
      <c r="CO27" s="1538"/>
      <c r="CP27" s="1538"/>
      <c r="CQ27" s="1538"/>
      <c r="CR27" s="1539"/>
      <c r="CS27" s="1566">
        <f ca="1">OFFSET('VVP2'!$G140,0,(COLUMN()-6)/5)</f>
        <v>-0.35751332078467762</v>
      </c>
      <c r="CT27" s="1538"/>
      <c r="CU27" s="1538"/>
      <c r="CV27" s="1538"/>
      <c r="CW27" s="1539"/>
      <c r="CX27" s="1566">
        <f ca="1">OFFSET('VVP2'!$G140,0,(COLUMN()-6)/5)</f>
        <v>2.3002600487173104</v>
      </c>
      <c r="CY27" s="1538"/>
      <c r="CZ27" s="1538"/>
      <c r="DA27" s="1538"/>
      <c r="DB27" s="1539"/>
      <c r="DC27" s="1566">
        <f ca="1">OFFSET('VVP2'!$G140,0,(COLUMN()-6)/5)</f>
        <v>2.5573312201980247</v>
      </c>
      <c r="DD27" s="1538"/>
      <c r="DE27" s="1538"/>
      <c r="DF27" s="1538"/>
      <c r="DG27" s="1539"/>
      <c r="DH27" s="1566">
        <f ca="1">OFFSET('VVP2'!$G140,0,(COLUMN()-6)/5)</f>
        <v>1.3511940297641287</v>
      </c>
      <c r="DI27" s="1538"/>
      <c r="DJ27" s="1538"/>
      <c r="DK27" s="1538"/>
      <c r="DL27" s="1539"/>
      <c r="DM27" s="1566">
        <f ca="1">OFFSET('VVP2'!$G140,0,(COLUMN()-6)/5)</f>
        <v>1.4358840392405794</v>
      </c>
      <c r="DN27" s="1538"/>
      <c r="DO27" s="1538"/>
      <c r="DP27" s="1538"/>
      <c r="DQ27" s="1539"/>
      <c r="DR27" s="1566">
        <f ca="1">OFFSET('VVP2'!$G140,0,(COLUMN()-6)/5)</f>
        <v>1.5591934130890457</v>
      </c>
      <c r="DS27" s="1538"/>
      <c r="DT27" s="1538"/>
      <c r="DU27" s="1538"/>
      <c r="DV27" s="1539"/>
      <c r="DW27" s="1566">
        <f ca="1">OFFSET('VVP2'!$G140,0,(COLUMN()-6)/5)</f>
        <v>1.5228334813381026</v>
      </c>
      <c r="DX27" s="1538"/>
      <c r="DY27" s="1538"/>
      <c r="DZ27" s="1538"/>
      <c r="EA27" s="1539"/>
      <c r="EB27" s="1566">
        <f ca="1">OFFSET('VVP2'!$G140,0,(COLUMN()-6)/5)</f>
        <v>1.4414827853314915</v>
      </c>
      <c r="EC27" s="1538"/>
      <c r="ED27" s="1538"/>
      <c r="EE27" s="1538"/>
      <c r="EF27" s="1539"/>
    </row>
    <row r="28" spans="1:136">
      <c r="C28" s="1529" t="s">
        <v>1793</v>
      </c>
      <c r="D28" s="50"/>
      <c r="E28" s="50" t="s">
        <v>376</v>
      </c>
      <c r="F28" s="1532"/>
      <c r="G28" s="1540"/>
      <c r="H28" s="1540"/>
      <c r="I28" s="1540"/>
      <c r="J28" s="1540"/>
      <c r="K28" s="1541"/>
      <c r="L28" s="1565">
        <f ca="1">OFFSET('VVP2'!$G141,0,(COLUMN()-6)/5)</f>
        <v>2.6062320959084211</v>
      </c>
      <c r="M28" s="1540"/>
      <c r="N28" s="1540"/>
      <c r="O28" s="1540"/>
      <c r="P28" s="1541"/>
      <c r="Q28" s="1565">
        <f ca="1">OFFSET('VVP2'!$G141,0,(COLUMN()-6)/5)</f>
        <v>6.7234708503499174</v>
      </c>
      <c r="R28" s="1540"/>
      <c r="S28" s="1540"/>
      <c r="T28" s="1540"/>
      <c r="U28" s="1541"/>
      <c r="V28" s="1565">
        <f ca="1">OFFSET('VVP2'!$G141,0,(COLUMN()-6)/5)</f>
        <v>7.9797256943307149</v>
      </c>
      <c r="W28" s="1540"/>
      <c r="X28" s="1540"/>
      <c r="Y28" s="1540"/>
      <c r="Z28" s="1541"/>
      <c r="AA28" s="1565">
        <f ca="1">OFFSET('VVP2'!$G141,0,(COLUMN()-6)/5)</f>
        <v>6.2607740477989324</v>
      </c>
      <c r="AB28" s="1540"/>
      <c r="AC28" s="1540"/>
      <c r="AD28" s="1540"/>
      <c r="AE28" s="1541"/>
      <c r="AF28" s="1565">
        <f ca="1">OFFSET('VVP2'!$G141,0,(COLUMN()-6)/5)</f>
        <v>8.8494115865876335</v>
      </c>
      <c r="AG28" s="1540"/>
      <c r="AH28" s="1540"/>
      <c r="AI28" s="1540"/>
      <c r="AJ28" s="1541"/>
      <c r="AK28" s="1565">
        <f ca="1">OFFSET('VVP2'!$G141,0,(COLUMN()-6)/5)</f>
        <v>0.91769803918799797</v>
      </c>
      <c r="AL28" s="1540"/>
      <c r="AM28" s="1540"/>
      <c r="AN28" s="1540"/>
      <c r="AO28" s="1541"/>
      <c r="AP28" s="1565">
        <f ca="1">OFFSET('VVP2'!$G141,0,(COLUMN()-6)/5)</f>
        <v>1.605017581283356</v>
      </c>
      <c r="AQ28" s="1540"/>
      <c r="AR28" s="1540"/>
      <c r="AS28" s="1540"/>
      <c r="AT28" s="1541"/>
      <c r="AU28" s="1565">
        <f ca="1">OFFSET('VVP2'!$G141,0,(COLUMN()-6)/5)</f>
        <v>3.7241887225822361</v>
      </c>
      <c r="AV28" s="1540"/>
      <c r="AW28" s="1540"/>
      <c r="AX28" s="1540"/>
      <c r="AY28" s="1541"/>
      <c r="AZ28" s="1565">
        <f ca="1">OFFSET('VVP2'!$G141,0,(COLUMN()-6)/5)</f>
        <v>6.6134677869042662</v>
      </c>
      <c r="BA28" s="1540"/>
      <c r="BB28" s="1540"/>
      <c r="BC28" s="1540"/>
      <c r="BD28" s="1541"/>
      <c r="BE28" s="1565">
        <f ca="1">OFFSET('VVP2'!$G141,0,(COLUMN()-6)/5)</f>
        <v>5.3204674612426217</v>
      </c>
      <c r="BF28" s="1540"/>
      <c r="BG28" s="1540"/>
      <c r="BH28" s="1540"/>
      <c r="BI28" s="1541"/>
      <c r="BJ28" s="1565">
        <f ca="1">OFFSET('VVP2'!$G141,0,(COLUMN()-6)/5)</f>
        <v>7.8791752990305071</v>
      </c>
      <c r="BK28" s="1540"/>
      <c r="BL28" s="1540"/>
      <c r="BM28" s="1540"/>
      <c r="BN28" s="1541"/>
      <c r="BO28" s="1565">
        <f ca="1">OFFSET('VVP2'!$G141,0,(COLUMN()-6)/5)</f>
        <v>6.5039164720987346</v>
      </c>
      <c r="BP28" s="1540"/>
      <c r="BQ28" s="1540"/>
      <c r="BR28" s="1540"/>
      <c r="BS28" s="1541"/>
      <c r="BT28" s="1565">
        <f ca="1">OFFSET('VVP2'!$G141,0,(COLUMN()-6)/5)</f>
        <v>1.0062168742996564</v>
      </c>
      <c r="BU28" s="1540"/>
      <c r="BV28" s="1540"/>
      <c r="BW28" s="1540"/>
      <c r="BX28" s="1541"/>
      <c r="BY28" s="1565">
        <f ca="1">OFFSET('VVP2'!$G141,0,(COLUMN()-6)/5)</f>
        <v>-11.318735520181137</v>
      </c>
      <c r="BZ28" s="1540"/>
      <c r="CA28" s="1540"/>
      <c r="CB28" s="1540"/>
      <c r="CC28" s="1541"/>
      <c r="CD28" s="1565">
        <f ca="1">OFFSET('VVP2'!$G141,0,(COLUMN()-6)/5)</f>
        <v>10.930578899372305</v>
      </c>
      <c r="CE28" s="1540"/>
      <c r="CF28" s="1540"/>
      <c r="CG28" s="1540"/>
      <c r="CH28" s="1541"/>
      <c r="CI28" s="1565">
        <f ca="1">OFFSET('VVP2'!$G141,0,(COLUMN()-6)/5)</f>
        <v>5.6660026153406058</v>
      </c>
      <c r="CJ28" s="1540"/>
      <c r="CK28" s="1540"/>
      <c r="CL28" s="1540"/>
      <c r="CM28" s="1541"/>
      <c r="CN28" s="1565">
        <f ca="1">OFFSET('VVP2'!$G141,0,(COLUMN()-6)/5)</f>
        <v>-9.6378611055757513E-2</v>
      </c>
      <c r="CO28" s="1540"/>
      <c r="CP28" s="1540"/>
      <c r="CQ28" s="1540"/>
      <c r="CR28" s="1541"/>
      <c r="CS28" s="1565">
        <f ca="1">OFFSET('VVP2'!$G141,0,(COLUMN()-6)/5)</f>
        <v>1.1894699754700302</v>
      </c>
      <c r="CT28" s="1540"/>
      <c r="CU28" s="1540"/>
      <c r="CV28" s="1540"/>
      <c r="CW28" s="1541"/>
      <c r="CX28" s="1565">
        <f ca="1">OFFSET('VVP2'!$G141,0,(COLUMN()-6)/5)</f>
        <v>5.0671983781625416</v>
      </c>
      <c r="CY28" s="1540"/>
      <c r="CZ28" s="1540"/>
      <c r="DA28" s="1540"/>
      <c r="DB28" s="1541"/>
      <c r="DC28" s="1565">
        <f ca="1">OFFSET('VVP2'!$G141,0,(COLUMN()-6)/5)</f>
        <v>6.5893827001855669</v>
      </c>
      <c r="DD28" s="1540"/>
      <c r="DE28" s="1540"/>
      <c r="DF28" s="1540"/>
      <c r="DG28" s="1541"/>
      <c r="DH28" s="1565">
        <f ca="1">OFFSET('VVP2'!$G141,0,(COLUMN()-6)/5)</f>
        <v>4.4350849265023093</v>
      </c>
      <c r="DI28" s="1540"/>
      <c r="DJ28" s="1540"/>
      <c r="DK28" s="1540"/>
      <c r="DL28" s="1541"/>
      <c r="DM28" s="1565">
        <f ca="1">OFFSET('VVP2'!$G141,0,(COLUMN()-6)/5)</f>
        <v>4.0134381786070046</v>
      </c>
      <c r="DN28" s="1540"/>
      <c r="DO28" s="1540"/>
      <c r="DP28" s="1540"/>
      <c r="DQ28" s="1541"/>
      <c r="DR28" s="1565">
        <f ca="1">OFFSET('VVP2'!$G141,0,(COLUMN()-6)/5)</f>
        <v>3.9231574555368214</v>
      </c>
      <c r="DS28" s="1540"/>
      <c r="DT28" s="1540"/>
      <c r="DU28" s="1540"/>
      <c r="DV28" s="1541"/>
      <c r="DW28" s="1565">
        <f ca="1">OFFSET('VVP2'!$G141,0,(COLUMN()-6)/5)</f>
        <v>3.158713908548533</v>
      </c>
      <c r="DX28" s="1540"/>
      <c r="DY28" s="1540"/>
      <c r="DZ28" s="1540"/>
      <c r="EA28" s="1541"/>
      <c r="EB28" s="1565">
        <f ca="1">OFFSET('VVP2'!$G141,0,(COLUMN()-6)/5)</f>
        <v>3.1675844802817035</v>
      </c>
      <c r="EC28" s="1540"/>
      <c r="ED28" s="1540"/>
      <c r="EE28" s="1540"/>
      <c r="EF28" s="1541"/>
    </row>
    <row r="29" spans="1:136">
      <c r="C29" s="1533" t="s">
        <v>301</v>
      </c>
      <c r="D29" s="113"/>
      <c r="E29" s="113" t="s">
        <v>1825</v>
      </c>
      <c r="F29" s="1531" t="s">
        <v>1749</v>
      </c>
      <c r="G29" s="1571"/>
      <c r="H29" s="1538"/>
      <c r="I29" s="1538"/>
      <c r="J29" s="1538"/>
      <c r="K29" s="1539"/>
      <c r="L29" s="1566">
        <f ca="1">OFFSET('VVP2'!$G142,0,(COLUMN()-6)/5)</f>
        <v>-1.0871656865772554</v>
      </c>
      <c r="M29" s="1538"/>
      <c r="N29" s="1538"/>
      <c r="O29" s="1538"/>
      <c r="P29" s="1539"/>
      <c r="Q29" s="1566">
        <f ca="1">OFFSET('VVP2'!$G142,0,(COLUMN()-6)/5)</f>
        <v>-3.81119839039724</v>
      </c>
      <c r="R29" s="1538"/>
      <c r="S29" s="1538"/>
      <c r="T29" s="1538"/>
      <c r="U29" s="1539"/>
      <c r="V29" s="1566">
        <f ca="1">OFFSET('VVP2'!$G142,0,(COLUMN()-6)/5)</f>
        <v>-3.7387768624300053</v>
      </c>
      <c r="W29" s="1538"/>
      <c r="X29" s="1538"/>
      <c r="Y29" s="1538"/>
      <c r="Z29" s="1539"/>
      <c r="AA29" s="1566">
        <f ca="1">OFFSET('VVP2'!$G142,0,(COLUMN()-6)/5)</f>
        <v>-1.7740492802664585</v>
      </c>
      <c r="AB29" s="1538"/>
      <c r="AC29" s="1538"/>
      <c r="AD29" s="1538"/>
      <c r="AE29" s="1539"/>
      <c r="AF29" s="1566">
        <f ca="1">OFFSET('VVP2'!$G142,0,(COLUMN()-6)/5)</f>
        <v>-4.1038126531470036</v>
      </c>
      <c r="AG29" s="1538"/>
      <c r="AH29" s="1538"/>
      <c r="AI29" s="1538"/>
      <c r="AJ29" s="1539"/>
      <c r="AK29" s="1566">
        <f ca="1">OFFSET('VVP2'!$G142,0,(COLUMN()-6)/5)</f>
        <v>0.65572963945330609</v>
      </c>
      <c r="AL29" s="1538"/>
      <c r="AM29" s="1538"/>
      <c r="AN29" s="1538"/>
      <c r="AO29" s="1539"/>
      <c r="AP29" s="1566">
        <f ca="1">OFFSET('VVP2'!$G142,0,(COLUMN()-6)/5)</f>
        <v>0.4702757581540879</v>
      </c>
      <c r="AQ29" s="1538"/>
      <c r="AR29" s="1538"/>
      <c r="AS29" s="1538"/>
      <c r="AT29" s="1539"/>
      <c r="AU29" s="1566">
        <f ca="1">OFFSET('VVP2'!$G142,0,(COLUMN()-6)/5)</f>
        <v>-1.3643977554272757</v>
      </c>
      <c r="AV29" s="1538"/>
      <c r="AW29" s="1538"/>
      <c r="AX29" s="1538"/>
      <c r="AY29" s="1539"/>
      <c r="AZ29" s="1566">
        <f ca="1">OFFSET('VVP2'!$G142,0,(COLUMN()-6)/5)</f>
        <v>-2.302639642466878</v>
      </c>
      <c r="BA29" s="1538"/>
      <c r="BB29" s="1538"/>
      <c r="BC29" s="1538"/>
      <c r="BD29" s="1539"/>
      <c r="BE29" s="1566">
        <f ca="1">OFFSET('VVP2'!$G142,0,(COLUMN()-6)/5)</f>
        <v>-2.5037701267447678</v>
      </c>
      <c r="BF29" s="1538"/>
      <c r="BG29" s="1538"/>
      <c r="BH29" s="1538"/>
      <c r="BI29" s="1539"/>
      <c r="BJ29" s="1566">
        <f ca="1">OFFSET('VVP2'!$G142,0,(COLUMN()-6)/5)</f>
        <v>-3.1796128132302988</v>
      </c>
      <c r="BK29" s="1538"/>
      <c r="BL29" s="1538"/>
      <c r="BM29" s="1538"/>
      <c r="BN29" s="1539"/>
      <c r="BO29" s="1566">
        <f ca="1">OFFSET('VVP2'!$G142,0,(COLUMN()-6)/5)</f>
        <v>-3.0957990862210276</v>
      </c>
      <c r="BP29" s="1538"/>
      <c r="BQ29" s="1538"/>
      <c r="BR29" s="1538"/>
      <c r="BS29" s="1539"/>
      <c r="BT29" s="1566">
        <f ca="1">OFFSET('VVP2'!$G142,0,(COLUMN()-6)/5)</f>
        <v>-1.5632757524445755</v>
      </c>
      <c r="BU29" s="1538"/>
      <c r="BV29" s="1538"/>
      <c r="BW29" s="1538"/>
      <c r="BX29" s="1539"/>
      <c r="BY29" s="1566">
        <f ca="1">OFFSET('VVP2'!$G142,0,(COLUMN()-6)/5)</f>
        <v>6.1228328776671734</v>
      </c>
      <c r="BZ29" s="1538"/>
      <c r="CA29" s="1538"/>
      <c r="CB29" s="1538"/>
      <c r="CC29" s="1539"/>
      <c r="CD29" s="1566">
        <f ca="1">OFFSET('VVP2'!$G142,0,(COLUMN()-6)/5)</f>
        <v>-4.9386187403253823</v>
      </c>
      <c r="CE29" s="1538"/>
      <c r="CF29" s="1538"/>
      <c r="CG29" s="1538"/>
      <c r="CH29" s="1539"/>
      <c r="CI29" s="1566">
        <f ca="1">OFFSET('VVP2'!$G142,0,(COLUMN()-6)/5)</f>
        <v>-2.9867745948719255</v>
      </c>
      <c r="CJ29" s="1538"/>
      <c r="CK29" s="1538"/>
      <c r="CL29" s="1538"/>
      <c r="CM29" s="1539"/>
      <c r="CN29" s="1566">
        <f ca="1">OFFSET('VVP2'!$G142,0,(COLUMN()-6)/5)</f>
        <v>-0.20216302499571673</v>
      </c>
      <c r="CO29" s="1538"/>
      <c r="CP29" s="1538"/>
      <c r="CQ29" s="1538"/>
      <c r="CR29" s="1539"/>
      <c r="CS29" s="1566">
        <f ca="1">OFFSET('VVP2'!$G142,0,(COLUMN()-6)/5)</f>
        <v>4.8871089050897404E-2</v>
      </c>
      <c r="CT29" s="1538"/>
      <c r="CU29" s="1538"/>
      <c r="CV29" s="1538"/>
      <c r="CW29" s="1539"/>
      <c r="CX29" s="1566">
        <f ca="1">OFFSET('VVP2'!$G142,0,(COLUMN()-6)/5)</f>
        <v>-2.4652706785825957</v>
      </c>
      <c r="CY29" s="1538"/>
      <c r="CZ29" s="1538"/>
      <c r="DA29" s="1538"/>
      <c r="DB29" s="1539"/>
      <c r="DC29" s="1566">
        <f ca="1">OFFSET('VVP2'!$G142,0,(COLUMN()-6)/5)</f>
        <v>-2.1328354018122697</v>
      </c>
      <c r="DD29" s="1538"/>
      <c r="DE29" s="1538"/>
      <c r="DF29" s="1538"/>
      <c r="DG29" s="1539"/>
      <c r="DH29" s="1566">
        <f ca="1">OFFSET('VVP2'!$G142,0,(COLUMN()-6)/5)</f>
        <v>-1.7511183873334841</v>
      </c>
      <c r="DI29" s="1538"/>
      <c r="DJ29" s="1538"/>
      <c r="DK29" s="1538"/>
      <c r="DL29" s="1539"/>
      <c r="DM29" s="1566">
        <f ca="1">OFFSET('VVP2'!$G142,0,(COLUMN()-6)/5)</f>
        <v>-1.8992544187889271</v>
      </c>
      <c r="DN29" s="1538"/>
      <c r="DO29" s="1538"/>
      <c r="DP29" s="1538"/>
      <c r="DQ29" s="1539"/>
      <c r="DR29" s="1566">
        <f ca="1">OFFSET('VVP2'!$G142,0,(COLUMN()-6)/5)</f>
        <v>-1.5476994840899569</v>
      </c>
      <c r="DS29" s="1538"/>
      <c r="DT29" s="1538"/>
      <c r="DU29" s="1538"/>
      <c r="DV29" s="1539"/>
      <c r="DW29" s="1566">
        <f ca="1">OFFSET('VVP2'!$G142,0,(COLUMN()-6)/5)</f>
        <v>-1.3979632531675503</v>
      </c>
      <c r="DX29" s="1538"/>
      <c r="DY29" s="1538"/>
      <c r="DZ29" s="1538"/>
      <c r="EA29" s="1539"/>
      <c r="EB29" s="1566">
        <f ca="1">OFFSET('VVP2'!$G142,0,(COLUMN()-6)/5)</f>
        <v>-1.4066639492535786</v>
      </c>
      <c r="EC29" s="1538"/>
      <c r="ED29" s="1538"/>
      <c r="EE29" s="1538"/>
      <c r="EF29" s="1539"/>
    </row>
    <row r="30" spans="1:136">
      <c r="D30" s="45"/>
      <c r="E30" s="45" t="s">
        <v>1216</v>
      </c>
      <c r="F30" s="1525" t="s">
        <v>1333</v>
      </c>
      <c r="G30" s="45"/>
      <c r="H30" s="45"/>
      <c r="I30" s="45"/>
      <c r="J30" s="45"/>
      <c r="K30" s="45"/>
      <c r="L30" s="1567">
        <f ca="1">OFFSET('VVP2'!$G144,0,(COLUMN()-6)/5)</f>
        <v>1.519034578965889</v>
      </c>
      <c r="M30" s="45"/>
      <c r="N30" s="45"/>
      <c r="O30" s="45"/>
      <c r="P30" s="45"/>
      <c r="Q30" s="1567">
        <f ca="1">OFFSET('VVP2'!$G144,0,(COLUMN()-6)/5)</f>
        <v>2.9123066792213508</v>
      </c>
      <c r="R30" s="45"/>
      <c r="S30" s="45"/>
      <c r="T30" s="45"/>
      <c r="U30" s="45"/>
      <c r="V30" s="1567">
        <f ca="1">OFFSET('VVP2'!$G144,0,(COLUMN()-6)/5)</f>
        <v>4.2409560508338533</v>
      </c>
      <c r="W30" s="45"/>
      <c r="X30" s="45"/>
      <c r="Y30" s="45"/>
      <c r="Z30" s="45"/>
      <c r="AA30" s="1567">
        <f ca="1">OFFSET('VVP2'!$G144,0,(COLUMN()-6)/5)</f>
        <v>4.4867022926030025</v>
      </c>
      <c r="AB30" s="45"/>
      <c r="AC30" s="45"/>
      <c r="AD30" s="45"/>
      <c r="AE30" s="45"/>
      <c r="AF30" s="1567">
        <f ca="1">OFFSET('VVP2'!$G144,0,(COLUMN()-6)/5)</f>
        <v>4.7456166368949884</v>
      </c>
      <c r="AG30" s="45"/>
      <c r="AH30" s="45"/>
      <c r="AI30" s="45"/>
      <c r="AJ30" s="45"/>
      <c r="AK30" s="1567">
        <f ca="1">OFFSET('VVP2'!$G144,0,(COLUMN()-6)/5)</f>
        <v>1.5734459634978788</v>
      </c>
      <c r="AL30" s="45"/>
      <c r="AM30" s="45"/>
      <c r="AN30" s="45"/>
      <c r="AO30" s="45"/>
      <c r="AP30" s="1567">
        <f ca="1">OFFSET('VVP2'!$G144,0,(COLUMN()-6)/5)</f>
        <v>2.0753008012419145</v>
      </c>
      <c r="AQ30" s="45"/>
      <c r="AR30" s="45"/>
      <c r="AS30" s="45"/>
      <c r="AT30" s="45"/>
      <c r="AU30" s="1567">
        <f ca="1">OFFSET('VVP2'!$G144,0,(COLUMN()-6)/5)</f>
        <v>2.3597762270645997</v>
      </c>
      <c r="AV30" s="45"/>
      <c r="AW30" s="45"/>
      <c r="AX30" s="45"/>
      <c r="AY30" s="45"/>
      <c r="AZ30" s="1567">
        <f ca="1">OFFSET('VVP2'!$G144,0,(COLUMN()-6)/5)</f>
        <v>4.3107832390854295</v>
      </c>
      <c r="BA30" s="45"/>
      <c r="BB30" s="45"/>
      <c r="BC30" s="45"/>
      <c r="BD30" s="45"/>
      <c r="BE30" s="1567">
        <f ca="1">OFFSET('VVP2'!$G144,0,(COLUMN()-6)/5)</f>
        <v>2.8166773859818992</v>
      </c>
      <c r="BF30" s="45"/>
      <c r="BG30" s="45"/>
      <c r="BH30" s="45"/>
      <c r="BI30" s="45"/>
      <c r="BJ30" s="1567">
        <f ca="1">OFFSET('VVP2'!$G144,0,(COLUMN()-6)/5)</f>
        <v>4.6995582969571199</v>
      </c>
      <c r="BK30" s="45"/>
      <c r="BL30" s="45"/>
      <c r="BM30" s="45"/>
      <c r="BN30" s="45"/>
      <c r="BO30" s="1567">
        <f ca="1">OFFSET('VVP2'!$G144,0,(COLUMN()-6)/5)</f>
        <v>3.4080983285069859</v>
      </c>
      <c r="BP30" s="45"/>
      <c r="BQ30" s="45"/>
      <c r="BR30" s="45"/>
      <c r="BS30" s="45"/>
      <c r="BT30" s="1567">
        <f ca="1">OFFSET('VVP2'!$G144,0,(COLUMN()-6)/5)</f>
        <v>-0.55705795199625985</v>
      </c>
      <c r="BU30" s="45"/>
      <c r="BV30" s="45"/>
      <c r="BW30" s="45"/>
      <c r="BX30" s="45"/>
      <c r="BY30" s="1567">
        <f ca="1">OFFSET('VVP2'!$G144,0,(COLUMN()-6)/5)</f>
        <v>-5.195897928463646</v>
      </c>
      <c r="BZ30" s="45"/>
      <c r="CA30" s="45"/>
      <c r="CB30" s="45"/>
      <c r="CC30" s="45"/>
      <c r="CD30" s="1567">
        <f ca="1">OFFSET('VVP2'!$G144,0,(COLUMN()-6)/5)</f>
        <v>5.9919680665020794</v>
      </c>
      <c r="CE30" s="45"/>
      <c r="CF30" s="45"/>
      <c r="CG30" s="45"/>
      <c r="CH30" s="45"/>
      <c r="CI30" s="1567">
        <f ca="1">OFFSET('VVP2'!$G144,0,(COLUMN()-6)/5)</f>
        <v>2.6792280204686674</v>
      </c>
      <c r="CJ30" s="45"/>
      <c r="CK30" s="45"/>
      <c r="CL30" s="45"/>
      <c r="CM30" s="45"/>
      <c r="CN30" s="1567">
        <f ca="1">OFFSET('VVP2'!$G144,0,(COLUMN()-6)/5)</f>
        <v>-0.29851237313676698</v>
      </c>
      <c r="CO30" s="45"/>
      <c r="CP30" s="45"/>
      <c r="CQ30" s="45"/>
      <c r="CR30" s="45"/>
      <c r="CS30" s="1567">
        <f ca="1">OFFSET('VVP2'!$G144,0,(COLUMN()-6)/5)</f>
        <v>1.2383493376899561</v>
      </c>
      <c r="CT30" s="45"/>
      <c r="CU30" s="45"/>
      <c r="CV30" s="45"/>
      <c r="CW30" s="45"/>
      <c r="CX30" s="1567">
        <f ca="1">OFFSET('VVP2'!$G144,0,(COLUMN()-6)/5)</f>
        <v>2.6019029277959</v>
      </c>
      <c r="CY30" s="45"/>
      <c r="CZ30" s="45"/>
      <c r="DA30" s="45"/>
      <c r="DB30" s="45"/>
      <c r="DC30" s="1567">
        <f ca="1">OFFSET('VVP2'!$G144,0,(COLUMN()-6)/5)</f>
        <v>4.4565689253719656</v>
      </c>
      <c r="DD30" s="45"/>
      <c r="DE30" s="45"/>
      <c r="DF30" s="45"/>
      <c r="DG30" s="45"/>
      <c r="DH30" s="1567">
        <f ca="1">OFFSET('VVP2'!$G144,0,(COLUMN()-6)/5)</f>
        <v>2.6839662785306051</v>
      </c>
      <c r="DI30" s="45"/>
      <c r="DJ30" s="45"/>
      <c r="DK30" s="45"/>
      <c r="DL30" s="45"/>
      <c r="DM30" s="1567">
        <f ca="1">OFFSET('VVP2'!$G144,0,(COLUMN()-6)/5)</f>
        <v>2.1141964181437434</v>
      </c>
      <c r="DN30" s="45"/>
      <c r="DO30" s="45"/>
      <c r="DP30" s="45"/>
      <c r="DQ30" s="45"/>
      <c r="DR30" s="1567">
        <f ca="1">OFFSET('VVP2'!$G144,0,(COLUMN()-6)/5)</f>
        <v>2.3754579714468549</v>
      </c>
      <c r="DS30" s="45"/>
      <c r="DT30" s="45"/>
      <c r="DU30" s="45"/>
      <c r="DV30" s="45"/>
      <c r="DW30" s="1567">
        <f ca="1">OFFSET('VVP2'!$G144,0,(COLUMN()-6)/5)</f>
        <v>1.7607506553809729</v>
      </c>
      <c r="DX30" s="45"/>
      <c r="DY30" s="45"/>
      <c r="DZ30" s="45"/>
      <c r="EA30" s="45"/>
      <c r="EB30" s="1567">
        <f ca="1">OFFSET('VVP2'!$G144,0,(COLUMN()-6)/5)</f>
        <v>1.7609205310281157</v>
      </c>
      <c r="EC30" s="45"/>
      <c r="ED30" s="45"/>
      <c r="EE30" s="45"/>
      <c r="EF30" s="45"/>
    </row>
    <row r="31" spans="1:136">
      <c r="CS31" s="3310"/>
      <c r="CX31" s="3310"/>
    </row>
    <row r="32" spans="1:136">
      <c r="DT32" s="3310">
        <f ca="1">Tables!I433</f>
        <v>1.0521553483443902</v>
      </c>
    </row>
    <row r="33" spans="1:136">
      <c r="D33" s="3812"/>
      <c r="E33" s="3805" t="s">
        <v>1485</v>
      </c>
      <c r="F33" s="3806"/>
      <c r="G33" s="3809">
        <f>+InputY!$G$3</f>
        <v>1995</v>
      </c>
      <c r="H33" s="3791"/>
      <c r="I33" s="3791"/>
      <c r="J33" s="3791"/>
      <c r="K33" s="3791"/>
      <c r="L33" s="3791">
        <f>+G33+1</f>
        <v>1996</v>
      </c>
      <c r="M33" s="3791"/>
      <c r="N33" s="3791"/>
      <c r="O33" s="3791"/>
      <c r="P33" s="3791"/>
      <c r="Q33" s="3791">
        <f>+L33+1</f>
        <v>1997</v>
      </c>
      <c r="R33" s="3791"/>
      <c r="S33" s="3791"/>
      <c r="T33" s="3791"/>
      <c r="U33" s="3791"/>
      <c r="V33" s="3791">
        <f>+Q33+1</f>
        <v>1998</v>
      </c>
      <c r="W33" s="3791"/>
      <c r="X33" s="3791"/>
      <c r="Y33" s="3791"/>
      <c r="Z33" s="3791"/>
      <c r="AA33" s="3791">
        <f>+V33+1</f>
        <v>1999</v>
      </c>
      <c r="AB33" s="3791"/>
      <c r="AC33" s="3791"/>
      <c r="AD33" s="3791"/>
      <c r="AE33" s="3791"/>
      <c r="AF33" s="3791">
        <f>+AA33+1</f>
        <v>2000</v>
      </c>
      <c r="AG33" s="3791"/>
      <c r="AH33" s="3791"/>
      <c r="AI33" s="3791"/>
      <c r="AJ33" s="3791"/>
      <c r="AK33" s="3791">
        <f>+AF33+1</f>
        <v>2001</v>
      </c>
      <c r="AL33" s="3791"/>
      <c r="AM33" s="3791"/>
      <c r="AN33" s="3791"/>
      <c r="AO33" s="3791"/>
      <c r="AP33" s="3791">
        <f>+AK33+1</f>
        <v>2002</v>
      </c>
      <c r="AQ33" s="3791"/>
      <c r="AR33" s="3791"/>
      <c r="AS33" s="3791"/>
      <c r="AT33" s="3791"/>
      <c r="AU33" s="3791">
        <f>+AP33+1</f>
        <v>2003</v>
      </c>
      <c r="AV33" s="3791"/>
      <c r="AW33" s="3791"/>
      <c r="AX33" s="3791"/>
      <c r="AY33" s="3791"/>
      <c r="AZ33" s="3791">
        <f>+AU33+1</f>
        <v>2004</v>
      </c>
      <c r="BA33" s="3791"/>
      <c r="BB33" s="3791"/>
      <c r="BC33" s="3791"/>
      <c r="BD33" s="3791"/>
      <c r="BE33" s="3791">
        <f>+AZ33+1</f>
        <v>2005</v>
      </c>
      <c r="BF33" s="3791"/>
      <c r="BG33" s="3791"/>
      <c r="BH33" s="3791"/>
      <c r="BI33" s="3791"/>
      <c r="BJ33" s="3791">
        <f>+BE33+1</f>
        <v>2006</v>
      </c>
      <c r="BK33" s="3791"/>
      <c r="BL33" s="3791"/>
      <c r="BM33" s="3791"/>
      <c r="BN33" s="3791"/>
      <c r="BO33" s="3791">
        <f>+BJ33+1</f>
        <v>2007</v>
      </c>
      <c r="BP33" s="3791"/>
      <c r="BQ33" s="3791"/>
      <c r="BR33" s="3791"/>
      <c r="BS33" s="3791"/>
      <c r="BT33" s="3791">
        <f>+BO33+1</f>
        <v>2008</v>
      </c>
      <c r="BU33" s="3791"/>
      <c r="BV33" s="3791"/>
      <c r="BW33" s="3791"/>
      <c r="BX33" s="3791"/>
      <c r="BY33" s="3791">
        <f>+BT33+1</f>
        <v>2009</v>
      </c>
      <c r="BZ33" s="3791"/>
      <c r="CA33" s="3791"/>
      <c r="CB33" s="3791"/>
      <c r="CC33" s="3791"/>
      <c r="CD33" s="3791">
        <f>+BY33+1</f>
        <v>2010</v>
      </c>
      <c r="CE33" s="3791"/>
      <c r="CF33" s="3791"/>
      <c r="CG33" s="3791"/>
      <c r="CH33" s="3791"/>
      <c r="CI33" s="3791">
        <f>+CD33+1</f>
        <v>2011</v>
      </c>
      <c r="CJ33" s="3791"/>
      <c r="CK33" s="3791"/>
      <c r="CL33" s="3791"/>
      <c r="CM33" s="3791"/>
      <c r="CN33" s="3791">
        <f>+CI33+1</f>
        <v>2012</v>
      </c>
      <c r="CO33" s="3791"/>
      <c r="CP33" s="3791"/>
      <c r="CQ33" s="3791"/>
      <c r="CR33" s="3791"/>
      <c r="CS33" s="3791">
        <f>+CN33+1</f>
        <v>2013</v>
      </c>
      <c r="CT33" s="3791"/>
      <c r="CU33" s="3791"/>
      <c r="CV33" s="3791"/>
      <c r="CW33" s="3791"/>
      <c r="CX33" s="3802">
        <f>+CS33+1</f>
        <v>2014</v>
      </c>
      <c r="CY33" s="3803"/>
      <c r="CZ33" s="3803"/>
      <c r="DA33" s="3803"/>
      <c r="DB33" s="3804"/>
      <c r="DC33" s="3802">
        <f>+CX33+1</f>
        <v>2015</v>
      </c>
      <c r="DD33" s="3803"/>
      <c r="DE33" s="3803"/>
      <c r="DF33" s="3803"/>
      <c r="DG33" s="3804"/>
      <c r="DH33" s="3791">
        <f>+DC33+1</f>
        <v>2016</v>
      </c>
      <c r="DI33" s="3791"/>
      <c r="DJ33" s="3791"/>
      <c r="DK33" s="3791"/>
      <c r="DL33" s="3791"/>
      <c r="DM33" s="3791">
        <f>+DH33+1</f>
        <v>2017</v>
      </c>
      <c r="DN33" s="3791"/>
      <c r="DO33" s="3791"/>
      <c r="DP33" s="3791"/>
      <c r="DQ33" s="3791"/>
      <c r="DR33" s="3791">
        <f>+DM33+1</f>
        <v>2018</v>
      </c>
      <c r="DS33" s="3791"/>
      <c r="DT33" s="3791"/>
      <c r="DU33" s="3791"/>
      <c r="DV33" s="3791"/>
      <c r="DW33" s="3791">
        <f>+DR33+1</f>
        <v>2019</v>
      </c>
      <c r="DX33" s="3791"/>
      <c r="DY33" s="3791"/>
      <c r="DZ33" s="3791"/>
      <c r="EA33" s="3791"/>
      <c r="EB33" s="3791">
        <f>+DW33+1</f>
        <v>2020</v>
      </c>
      <c r="EC33" s="3791"/>
      <c r="ED33" s="3791"/>
      <c r="EE33" s="3791"/>
      <c r="EF33" s="3791"/>
    </row>
    <row r="34" spans="1:136">
      <c r="C34" s="3"/>
      <c r="D34" s="3813"/>
      <c r="E34" s="3807"/>
      <c r="F34" s="3808"/>
      <c r="G34" s="1299" t="s">
        <v>396</v>
      </c>
      <c r="H34" s="1295" t="s">
        <v>1774</v>
      </c>
      <c r="I34" s="1294" t="s">
        <v>1249</v>
      </c>
      <c r="J34" s="1295" t="s">
        <v>1772</v>
      </c>
      <c r="K34" s="1294" t="s">
        <v>1250</v>
      </c>
      <c r="L34" s="1294" t="s">
        <v>396</v>
      </c>
      <c r="M34" s="1295" t="s">
        <v>1774</v>
      </c>
      <c r="N34" s="1294" t="s">
        <v>1249</v>
      </c>
      <c r="O34" s="1295" t="s">
        <v>1772</v>
      </c>
      <c r="P34" s="1294" t="s">
        <v>1250</v>
      </c>
      <c r="Q34" s="1294" t="s">
        <v>396</v>
      </c>
      <c r="R34" s="1295" t="s">
        <v>1774</v>
      </c>
      <c r="S34" s="1294" t="s">
        <v>1249</v>
      </c>
      <c r="T34" s="1295" t="s">
        <v>1772</v>
      </c>
      <c r="U34" s="1294" t="s">
        <v>1250</v>
      </c>
      <c r="V34" s="1294" t="s">
        <v>396</v>
      </c>
      <c r="W34" s="1295" t="s">
        <v>1774</v>
      </c>
      <c r="X34" s="1294" t="s">
        <v>1249</v>
      </c>
      <c r="Y34" s="1295" t="s">
        <v>1772</v>
      </c>
      <c r="Z34" s="1294" t="s">
        <v>1250</v>
      </c>
      <c r="AA34" s="1294" t="s">
        <v>396</v>
      </c>
      <c r="AB34" s="1295" t="s">
        <v>1774</v>
      </c>
      <c r="AC34" s="1294" t="s">
        <v>1249</v>
      </c>
      <c r="AD34" s="1295" t="s">
        <v>1772</v>
      </c>
      <c r="AE34" s="1294" t="s">
        <v>1250</v>
      </c>
      <c r="AF34" s="1294" t="s">
        <v>396</v>
      </c>
      <c r="AG34" s="1295" t="s">
        <v>1774</v>
      </c>
      <c r="AH34" s="1294" t="s">
        <v>1249</v>
      </c>
      <c r="AI34" s="1295" t="s">
        <v>1772</v>
      </c>
      <c r="AJ34" s="1294" t="s">
        <v>1250</v>
      </c>
      <c r="AK34" s="1294" t="s">
        <v>396</v>
      </c>
      <c r="AL34" s="1295" t="s">
        <v>1774</v>
      </c>
      <c r="AM34" s="1294" t="s">
        <v>1249</v>
      </c>
      <c r="AN34" s="1295" t="s">
        <v>1772</v>
      </c>
      <c r="AO34" s="1294" t="s">
        <v>1250</v>
      </c>
      <c r="AP34" s="1294" t="s">
        <v>396</v>
      </c>
      <c r="AQ34" s="1295" t="s">
        <v>1774</v>
      </c>
      <c r="AR34" s="1294" t="s">
        <v>1249</v>
      </c>
      <c r="AS34" s="1295" t="s">
        <v>1772</v>
      </c>
      <c r="AT34" s="1294" t="s">
        <v>1250</v>
      </c>
      <c r="AU34" s="1294" t="s">
        <v>396</v>
      </c>
      <c r="AV34" s="1295" t="s">
        <v>1774</v>
      </c>
      <c r="AW34" s="1294" t="s">
        <v>1249</v>
      </c>
      <c r="AX34" s="1295" t="s">
        <v>1772</v>
      </c>
      <c r="AY34" s="1294" t="s">
        <v>1250</v>
      </c>
      <c r="AZ34" s="1294" t="s">
        <v>396</v>
      </c>
      <c r="BA34" s="1295" t="s">
        <v>1774</v>
      </c>
      <c r="BB34" s="1294" t="s">
        <v>1249</v>
      </c>
      <c r="BC34" s="1295" t="s">
        <v>1772</v>
      </c>
      <c r="BD34" s="1294" t="s">
        <v>1250</v>
      </c>
      <c r="BE34" s="1294" t="s">
        <v>396</v>
      </c>
      <c r="BF34" s="1295" t="s">
        <v>1774</v>
      </c>
      <c r="BG34" s="1294" t="s">
        <v>1249</v>
      </c>
      <c r="BH34" s="1295" t="s">
        <v>1772</v>
      </c>
      <c r="BI34" s="1294" t="s">
        <v>1250</v>
      </c>
      <c r="BJ34" s="1294" t="s">
        <v>396</v>
      </c>
      <c r="BK34" s="1295" t="s">
        <v>1774</v>
      </c>
      <c r="BL34" s="1294" t="s">
        <v>1249</v>
      </c>
      <c r="BM34" s="1295" t="s">
        <v>1772</v>
      </c>
      <c r="BN34" s="1294" t="s">
        <v>1250</v>
      </c>
      <c r="BO34" s="1294" t="s">
        <v>396</v>
      </c>
      <c r="BP34" s="1295" t="s">
        <v>1774</v>
      </c>
      <c r="BQ34" s="1294" t="s">
        <v>1249</v>
      </c>
      <c r="BR34" s="1295" t="s">
        <v>1772</v>
      </c>
      <c r="BS34" s="1294" t="s">
        <v>1250</v>
      </c>
      <c r="BT34" s="1294" t="s">
        <v>396</v>
      </c>
      <c r="BU34" s="1295" t="s">
        <v>1774</v>
      </c>
      <c r="BV34" s="1294" t="s">
        <v>1249</v>
      </c>
      <c r="BW34" s="1295" t="s">
        <v>1772</v>
      </c>
      <c r="BX34" s="1294" t="s">
        <v>1250</v>
      </c>
      <c r="BY34" s="1294" t="s">
        <v>396</v>
      </c>
      <c r="BZ34" s="1295" t="s">
        <v>1774</v>
      </c>
      <c r="CA34" s="1294" t="s">
        <v>1249</v>
      </c>
      <c r="CB34" s="1295" t="s">
        <v>1772</v>
      </c>
      <c r="CC34" s="1294" t="s">
        <v>1250</v>
      </c>
      <c r="CD34" s="1294" t="s">
        <v>396</v>
      </c>
      <c r="CE34" s="1295" t="s">
        <v>1774</v>
      </c>
      <c r="CF34" s="1294" t="s">
        <v>1249</v>
      </c>
      <c r="CG34" s="1295" t="s">
        <v>1772</v>
      </c>
      <c r="CH34" s="1294" t="s">
        <v>1250</v>
      </c>
      <c r="CI34" s="1294" t="s">
        <v>396</v>
      </c>
      <c r="CJ34" s="1295" t="s">
        <v>1774</v>
      </c>
      <c r="CK34" s="1294" t="s">
        <v>1249</v>
      </c>
      <c r="CL34" s="1295" t="s">
        <v>1772</v>
      </c>
      <c r="CM34" s="1294" t="s">
        <v>1250</v>
      </c>
      <c r="CN34" s="1294" t="s">
        <v>396</v>
      </c>
      <c r="CO34" s="1295" t="s">
        <v>1774</v>
      </c>
      <c r="CP34" s="1294" t="s">
        <v>1249</v>
      </c>
      <c r="CQ34" s="1295" t="s">
        <v>1772</v>
      </c>
      <c r="CR34" s="1294" t="s">
        <v>1250</v>
      </c>
      <c r="CS34" s="1294" t="s">
        <v>396</v>
      </c>
      <c r="CT34" s="1295" t="s">
        <v>1774</v>
      </c>
      <c r="CU34" s="1294" t="s">
        <v>1249</v>
      </c>
      <c r="CV34" s="1295" t="s">
        <v>1772</v>
      </c>
      <c r="CW34" s="1294" t="s">
        <v>1250</v>
      </c>
      <c r="CX34" s="1294" t="s">
        <v>396</v>
      </c>
      <c r="CY34" s="1295" t="s">
        <v>1774</v>
      </c>
      <c r="CZ34" s="1294" t="s">
        <v>1249</v>
      </c>
      <c r="DA34" s="1295" t="s">
        <v>1772</v>
      </c>
      <c r="DB34" s="1294" t="s">
        <v>1250</v>
      </c>
      <c r="DC34" s="1294" t="s">
        <v>396</v>
      </c>
      <c r="DD34" s="1295" t="s">
        <v>1774</v>
      </c>
      <c r="DE34" s="1294" t="s">
        <v>1249</v>
      </c>
      <c r="DF34" s="1295" t="s">
        <v>1772</v>
      </c>
      <c r="DG34" s="1294" t="s">
        <v>1250</v>
      </c>
      <c r="DH34" s="1294" t="s">
        <v>396</v>
      </c>
      <c r="DI34" s="1295" t="s">
        <v>1774</v>
      </c>
      <c r="DJ34" s="1294" t="s">
        <v>1249</v>
      </c>
      <c r="DK34" s="1295" t="s">
        <v>1772</v>
      </c>
      <c r="DL34" s="1294" t="s">
        <v>1250</v>
      </c>
      <c r="DM34" s="1294" t="s">
        <v>396</v>
      </c>
      <c r="DN34" s="1295" t="s">
        <v>1774</v>
      </c>
      <c r="DO34" s="1294" t="s">
        <v>1249</v>
      </c>
      <c r="DP34" s="1295" t="s">
        <v>1772</v>
      </c>
      <c r="DQ34" s="1294" t="s">
        <v>1250</v>
      </c>
      <c r="DR34" s="1294" t="s">
        <v>396</v>
      </c>
      <c r="DS34" s="1295" t="s">
        <v>1774</v>
      </c>
      <c r="DT34" s="1294" t="s">
        <v>1249</v>
      </c>
      <c r="DU34" s="1295" t="s">
        <v>1772</v>
      </c>
      <c r="DV34" s="1294" t="s">
        <v>1250</v>
      </c>
      <c r="DW34" s="1294" t="s">
        <v>396</v>
      </c>
      <c r="DX34" s="1295" t="s">
        <v>1774</v>
      </c>
      <c r="DY34" s="1294" t="s">
        <v>1249</v>
      </c>
      <c r="DZ34" s="1295" t="s">
        <v>1772</v>
      </c>
      <c r="EA34" s="1294" t="s">
        <v>1250</v>
      </c>
      <c r="EB34" s="1294" t="s">
        <v>396</v>
      </c>
      <c r="EC34" s="1295" t="s">
        <v>1774</v>
      </c>
      <c r="ED34" s="1294" t="s">
        <v>1249</v>
      </c>
      <c r="EE34" s="1295" t="s">
        <v>1772</v>
      </c>
      <c r="EF34" s="1294" t="s">
        <v>1250</v>
      </c>
    </row>
    <row r="35" spans="1:136">
      <c r="B35" s="1"/>
      <c r="C35" s="1122" t="s">
        <v>1793</v>
      </c>
      <c r="D35" s="1126" t="s">
        <v>664</v>
      </c>
      <c r="E35" s="1127" t="s">
        <v>1998</v>
      </c>
      <c r="F35" s="1129" t="s">
        <v>1773</v>
      </c>
      <c r="G35" s="1421"/>
      <c r="H35" s="1422"/>
      <c r="I35" s="1423"/>
      <c r="J35" s="1394">
        <f ca="1">OFFSET('VVP2'!$G$185,0,(COLUMN()-10)/5)</f>
        <v>893.70299999999997</v>
      </c>
      <c r="K35" s="1424"/>
      <c r="L35" s="1400">
        <f ca="1">OFFSET('VVP2'!$G$10,0,(COLUMN()-7)/5)</f>
        <v>1.8126570986513268</v>
      </c>
      <c r="M35" s="1394">
        <f ca="1">+J35*(1+L35/100)</f>
        <v>909.90277087035986</v>
      </c>
      <c r="N35" s="1401">
        <f ca="1">+O35/M35*100-100</f>
        <v>0.91528780835272983</v>
      </c>
      <c r="O35" s="1394">
        <f ca="1">OFFSET('VVP2'!$G$185,0,(COLUMN()-10)/5)</f>
        <v>918.23099999999999</v>
      </c>
      <c r="P35" s="1402">
        <f ca="1">(O35/J35-1)*100</f>
        <v>2.7445359364352662</v>
      </c>
      <c r="Q35" s="1400">
        <f ca="1">OFFSET('VVP2'!$G$10,0,(COLUMN()-7)/5)</f>
        <v>2.811915062431547</v>
      </c>
      <c r="R35" s="1394">
        <f ca="1">+O35*(1+Q35/100)</f>
        <v>944.05087579691576</v>
      </c>
      <c r="S35" s="1401">
        <f ca="1">+T35/R35*100-100</f>
        <v>1.4363764232131473</v>
      </c>
      <c r="T35" s="1394">
        <f ca="1">OFFSET('VVP2'!$G$185,0,(COLUMN()-10)/5)</f>
        <v>957.61099999999999</v>
      </c>
      <c r="U35" s="1402">
        <f ca="1">(T35/O35-1)*100</f>
        <v>4.2886811706422501</v>
      </c>
      <c r="V35" s="1400">
        <f ca="1">OFFSET('VVP2'!$G$10,0,(COLUMN()-7)/5)</f>
        <v>3.3012207776909941</v>
      </c>
      <c r="W35" s="1394">
        <f ca="1">+T35*(1+V35/100)</f>
        <v>989.22385330145448</v>
      </c>
      <c r="X35" s="1401">
        <f ca="1">+Y35/W35*100-100</f>
        <v>0.45592781487155776</v>
      </c>
      <c r="Y35" s="1394">
        <f ca="1">OFFSET('VVP2'!$G$185,0,(COLUMN()-10)/5)</f>
        <v>993.73400000000004</v>
      </c>
      <c r="Z35" s="1402">
        <f ca="1">(Y35/T35-1)*100</f>
        <v>3.7721997763183746</v>
      </c>
      <c r="AA35" s="1400">
        <f ca="1">OFFSET('VVP2'!$G$10,0,(COLUMN()-7)/5)</f>
        <v>4.0294521711662812</v>
      </c>
      <c r="AB35" s="1394">
        <f ca="1">+Y35*(1+AA35/100)</f>
        <v>1033.7760362386175</v>
      </c>
      <c r="AC35" s="1401">
        <f ca="1">+AD35/AB35*100-100</f>
        <v>1.4759448107250108</v>
      </c>
      <c r="AD35" s="1394">
        <f ca="1">OFFSET('VVP2'!$G$185,0,(COLUMN()-10)/5)</f>
        <v>1049.0340000000001</v>
      </c>
      <c r="AE35" s="1402">
        <f ca="1">(AD35/Y35-1)*100</f>
        <v>5.5648694721122549</v>
      </c>
      <c r="AF35" s="1400">
        <f ca="1">OFFSET('VVP2'!$G$10,0,(COLUMN()-7)/5)</f>
        <v>5.2482581222726976</v>
      </c>
      <c r="AG35" s="1394">
        <f ca="1">+AD35*(1+AF35/100)</f>
        <v>1104.0900121104023</v>
      </c>
      <c r="AH35" s="1401">
        <f ca="1">+AI35/AG35*100-100</f>
        <v>0.98470122638067892</v>
      </c>
      <c r="AI35" s="1394">
        <f ca="1">OFFSET('VVP2'!$G$185,0,(COLUMN()-10)/5)</f>
        <v>1114.962</v>
      </c>
      <c r="AJ35" s="1402">
        <f ca="1">(AI35/AD35-1)*100</f>
        <v>6.2846390107470285</v>
      </c>
      <c r="AK35" s="1400">
        <f ca="1">OFFSET('VVP2'!$G$10,0,(COLUMN()-7)/5)</f>
        <v>0.73108535870765046</v>
      </c>
      <c r="AL35" s="1394">
        <f ca="1">+AI35*(1+AK35/100)</f>
        <v>1123.1133239371541</v>
      </c>
      <c r="AM35" s="1401">
        <f ca="1">+AN35/AL35*100-100</f>
        <v>2.1520246931197704</v>
      </c>
      <c r="AN35" s="1394">
        <f ca="1">OFFSET('VVP2'!$G$185,0,(COLUMN()-10)/5)</f>
        <v>1147.2829999999999</v>
      </c>
      <c r="AO35" s="1402">
        <f ca="1">(AN35/AI35-1)*100</f>
        <v>2.8988431892746025</v>
      </c>
      <c r="AP35" s="1400">
        <f ca="1">OFFSET('VVP2'!$G$10,0,(COLUMN()-7)/5)</f>
        <v>2.6071460723935624</v>
      </c>
      <c r="AQ35" s="1394">
        <f ca="1">+AN35*(1+AP35/100)</f>
        <v>1177.194343673739</v>
      </c>
      <c r="AR35" s="1401">
        <f ca="1">+AS35/AQ35*100-100</f>
        <v>1.4423834447990487</v>
      </c>
      <c r="AS35" s="1394">
        <f ca="1">OFFSET('VVP2'!$G$185,0,(COLUMN()-10)/5)</f>
        <v>1194.174</v>
      </c>
      <c r="AT35" s="1402">
        <f ca="1">(AS35/AN35-1)*100</f>
        <v>4.0871345605225651</v>
      </c>
      <c r="AU35" s="1400">
        <f ca="1">OFFSET('VVP2'!$G$10,0,(COLUMN()-7)/5)</f>
        <v>2.3145475337566834</v>
      </c>
      <c r="AV35" s="1394">
        <f ca="1">+AS35*(1+AU35/100)</f>
        <v>1221.8137248657636</v>
      </c>
      <c r="AW35" s="1401">
        <f ca="1">+AX35/AV35*100-100</f>
        <v>1.6213007540419397</v>
      </c>
      <c r="AX35" s="1394">
        <f ca="1">OFFSET('VVP2'!$G$185,0,(COLUMN()-10)/5)</f>
        <v>1241.623</v>
      </c>
      <c r="AY35" s="1402">
        <f ca="1">(AX35/AS35-1)*100</f>
        <v>3.9733740644160687</v>
      </c>
      <c r="AZ35" s="1400">
        <f ca="1">OFFSET('VVP2'!$G$10,0,(COLUMN()-7)/5)</f>
        <v>2.7892797384733159</v>
      </c>
      <c r="BA35" s="1394">
        <f ca="1">+AX35*(1+AZ35/100)</f>
        <v>1276.2553387672247</v>
      </c>
      <c r="BB35" s="1401">
        <f ca="1">+BC35/BA35*100-100</f>
        <v>0.77842269732416014</v>
      </c>
      <c r="BC35" s="1394">
        <f ca="1">OFFSET('VVP2'!$G$185,0,(COLUMN()-10)/5)</f>
        <v>1286.19</v>
      </c>
      <c r="BD35" s="1402">
        <f ca="1">(BC35/AX35-1)*100</f>
        <v>3.5894148223736266</v>
      </c>
      <c r="BE35" s="1400">
        <f ca="1">OFFSET('VVP2'!$G$10,0,(COLUMN()-7)/5)</f>
        <v>2.7674313067884482</v>
      </c>
      <c r="BF35" s="1394">
        <f ca="1">+BC35*(1+BE35/100)</f>
        <v>1321.7844247247824</v>
      </c>
      <c r="BG35" s="1401">
        <f ca="1">+BH35/BF35*100-100</f>
        <v>1.1094528730183129</v>
      </c>
      <c r="BH35" s="1394">
        <f ca="1">OFFSET('VVP2'!$G$185,0,(COLUMN()-10)/5)</f>
        <v>1336.4490000000001</v>
      </c>
      <c r="BI35" s="1402">
        <f ca="1">(BH35/BC35-1)*100</f>
        <v>3.9075875259487303</v>
      </c>
      <c r="BJ35" s="1400">
        <f ca="1">OFFSET('VVP2'!$G$10,0,(COLUMN()-7)/5)</f>
        <v>2.6714825766315009</v>
      </c>
      <c r="BK35" s="1394">
        <f ca="1">+BH35*(1+BJ35/100)</f>
        <v>1372.1520021805659</v>
      </c>
      <c r="BL35" s="1401">
        <f ca="1">+BM35/BK35*100-100</f>
        <v>1.2042396026952389</v>
      </c>
      <c r="BM35" s="1394">
        <f ca="1">OFFSET('VVP2'!$G$185,0,(COLUMN()-10)/5)</f>
        <v>1388.6759999999999</v>
      </c>
      <c r="BN35" s="1402">
        <f ca="1">(BM35/BH35-1)*100</f>
        <v>3.9078932304936309</v>
      </c>
      <c r="BO35" s="1400">
        <f ca="1">OFFSET('VVP2'!$G$10,0,(COLUMN()-7)/5)</f>
        <v>3.7947685169116951</v>
      </c>
      <c r="BP35" s="1394">
        <f ca="1">+BM35*(1+BO35/100)</f>
        <v>1441.3730396499086</v>
      </c>
      <c r="BQ35" s="1401">
        <f ca="1">+BR35/BP35*100-100</f>
        <v>1.4458408598479764</v>
      </c>
      <c r="BR35" s="1394">
        <f ca="1">OFFSET('VVP2'!$G$185,0,(COLUMN()-10)/5)</f>
        <v>1462.213</v>
      </c>
      <c r="BS35" s="1402">
        <f ca="1">(BR35/BM35-1)*100</f>
        <v>5.2954756905138511</v>
      </c>
      <c r="BT35" s="1400">
        <f ca="1">OFFSET('VVP2'!$G$10,0,(COLUMN()-7)/5)</f>
        <v>0.22777889594640666</v>
      </c>
      <c r="BU35" s="1394">
        <f ca="1">+BR35*(1+BT35/100)</f>
        <v>1465.5436126277848</v>
      </c>
      <c r="BV35" s="1401">
        <f ca="1">+BW35/BU35*100-100</f>
        <v>3.1223490708793662</v>
      </c>
      <c r="BW35" s="1394">
        <f ca="1">OFFSET('VVP2'!$G$185,0,(COLUMN()-10)/5)</f>
        <v>1511.3030000000001</v>
      </c>
      <c r="BX35" s="1402">
        <f ca="1">(BW35/BR35-1)*100</f>
        <v>3.3572400190670093</v>
      </c>
      <c r="BY35" s="1400">
        <f ca="1">OFFSET('VVP2'!$G$10,0,(COLUMN()-7)/5)</f>
        <v>0.35082887126818285</v>
      </c>
      <c r="BZ35" s="1394">
        <f ca="1">+BW35*(1+BY35/100)</f>
        <v>1516.6050872563424</v>
      </c>
      <c r="CA35" s="1401">
        <f ca="1">+CB35/BZ35*100-100</f>
        <v>2.2274693015023246</v>
      </c>
      <c r="CB35" s="1394">
        <f ca="1">OFFSET('VVP2'!$G$185,0,(COLUMN()-10)/5)</f>
        <v>1550.3869999999999</v>
      </c>
      <c r="CC35" s="1402">
        <f ca="1">(CB35/BW35-1)*100</f>
        <v>2.5861127781788174</v>
      </c>
      <c r="CD35" s="1400">
        <f ca="1">OFFSET('VVP2'!$G$10,0,(COLUMN()-7)/5)</f>
        <v>3.8903875314705516</v>
      </c>
      <c r="CE35" s="1394">
        <f ca="1">+CB35*(1+CD35/100)</f>
        <v>1610.7030625375403</v>
      </c>
      <c r="CF35" s="1401">
        <f ca="1">+CG35/CE35*100-100</f>
        <v>1.4861173371551786</v>
      </c>
      <c r="CG35" s="1394">
        <f ca="1">OFFSET('VVP2'!$G$185,0,(COLUMN()-10)/5)</f>
        <v>1634.64</v>
      </c>
      <c r="CH35" s="1402">
        <f ca="1">(CG35/CB35-1)*100</f>
        <v>5.4343205922134485</v>
      </c>
      <c r="CI35" s="1400">
        <f ca="1">OFFSET('VVP2'!$G$10,0,(COLUMN()-7)/5)</f>
        <v>1.8666091616502678</v>
      </c>
      <c r="CJ35" s="1394">
        <f ca="1">+CG35*(1+CI35/100)</f>
        <v>1665.1523400000001</v>
      </c>
      <c r="CK35" s="1401">
        <f ca="1">+CL35/CJ35*100-100</f>
        <v>1.6660733876156826</v>
      </c>
      <c r="CL35" s="1394">
        <f ca="1">OFFSET('VVP2'!$G$185,0,(COLUMN()-10)/5)</f>
        <v>1692.895</v>
      </c>
      <c r="CM35" s="1402">
        <f ca="1">(CL35/CG35-1)*100</f>
        <v>3.5637816277590106</v>
      </c>
      <c r="CN35" s="1400">
        <f ca="1">OFFSET('VVP2'!$G$10,0,(COLUMN()-7)/5)</f>
        <v>0.78946230229000047</v>
      </c>
      <c r="CO35" s="1394">
        <f ca="1">+CL35*(1+CN35/100)</f>
        <v>1706.2597678423522</v>
      </c>
      <c r="CP35" s="1401">
        <f ca="1">+CQ35/CO35*100-100</f>
        <v>0.51388612231862396</v>
      </c>
      <c r="CQ35" s="1394">
        <f ca="1">OFFSET('VVP2'!$G$185,0,(COLUMN()-10)/5)</f>
        <v>1715.028</v>
      </c>
      <c r="CR35" s="1402">
        <f ca="1">(CQ35/CL35-1)*100</f>
        <v>1.3074053618210346</v>
      </c>
      <c r="CS35" s="1400">
        <f ca="1">OFFSET('VVP2'!$G$10,0,(COLUMN()-7)/5)</f>
        <v>1.8588235418893984</v>
      </c>
      <c r="CT35" s="1394">
        <f ca="1">+CQ35*(1+CS35/100)</f>
        <v>1746.907344213995</v>
      </c>
      <c r="CU35" s="3422">
        <f ca="1">+CV35/CT35*100-100</f>
        <v>0.70980615125779423</v>
      </c>
      <c r="CV35" s="1394">
        <f ca="1">OFFSET('VVP2'!$G$185,0,(COLUMN()-10)/5)</f>
        <v>1759.307</v>
      </c>
      <c r="CW35" s="1402">
        <f ca="1">(CV35/CQ35-1)*100</f>
        <v>2.5818237369885422</v>
      </c>
      <c r="CX35" s="1400">
        <f ca="1">OFFSET('VVP2'!$G$10,0,(COLUMN()-7)/5)</f>
        <v>2.1277234853534388</v>
      </c>
      <c r="CY35" s="1394">
        <f ca="1">+CV35*(1+CX35/100)</f>
        <v>1796.740188218467</v>
      </c>
      <c r="CZ35" s="3422">
        <f ca="1">+DA35/CY35*100-100</f>
        <v>1.0818933037172798</v>
      </c>
      <c r="DA35" s="1394">
        <f ca="1">OFFSET('VVP2'!$G$185,0,(COLUMN()-10)/5)</f>
        <v>1816.1790000000001</v>
      </c>
      <c r="DB35" s="1402">
        <f ca="1">(DA35/CV35-1)*100</f>
        <v>3.2326364869803781</v>
      </c>
      <c r="DC35" s="1400">
        <f ca="1">OFFSET('VVP2'!$G$10,0,(COLUMN()-7)/5)</f>
        <v>3.1190061154737769</v>
      </c>
      <c r="DD35" s="1394">
        <f ca="1">+DA35*(1+DC35/100)</f>
        <v>1872.8257340779505</v>
      </c>
      <c r="DE35" s="1401">
        <f ca="1">+DF35/DD35*100-100</f>
        <v>0.86902190769299636</v>
      </c>
      <c r="DF35" s="1394">
        <f ca="1">OFFSET('VVP2'!$G$185,0,(COLUMN()-10)/5)</f>
        <v>1889.1010000000001</v>
      </c>
      <c r="DG35" s="1402">
        <f ca="1">(DF35/DA35-1)*100</f>
        <v>4.0151328696125255</v>
      </c>
      <c r="DH35" s="3432">
        <f ca="1">OFFSET('VVP2'!$G$10,0,(COLUMN()-7)/5)</f>
        <v>2.8637431218266451</v>
      </c>
      <c r="DI35" s="1394">
        <f ca="1">+DF35*(1+DH35/100)</f>
        <v>1943.1999999518584</v>
      </c>
      <c r="DJ35" s="1401">
        <f ca="1">+DK35/DI35*100-100</f>
        <v>0.99886784935272033</v>
      </c>
      <c r="DK35" s="1394">
        <f ca="1">OFFSET('VVP2'!$G$185,0,(COLUMN()-10)/5)</f>
        <v>1962.61</v>
      </c>
      <c r="DL35" s="1402">
        <f ca="1">(DK35/DF35-1)*100</f>
        <v>3.8912159805113644</v>
      </c>
      <c r="DM35" s="3432">
        <f ca="1">OFFSET('VVP2'!$G$10,0,(COLUMN()-7)/5)</f>
        <v>2.2129477588303637</v>
      </c>
      <c r="DN35" s="1394">
        <f ca="1">+DK35*(1+DM35/100)</f>
        <v>2006.0415340095806</v>
      </c>
      <c r="DO35" s="1401">
        <f ca="1">+DP35/DN35*100-100</f>
        <v>1.7327889478410583</v>
      </c>
      <c r="DP35" s="1394">
        <f ca="1">OFFSET('VVP2'!$G$185,0,(COLUMN()-10)/5)</f>
        <v>2040.8019999999999</v>
      </c>
      <c r="DQ35" s="1402">
        <f ca="1">(DP35/DK35-1)*100</f>
        <v>3.9840824208579484</v>
      </c>
      <c r="DR35" s="2304">
        <v>2.4</v>
      </c>
      <c r="DS35" s="2317">
        <f ca="1">+DP35*(1+DR35/100)</f>
        <v>2089.7812479999998</v>
      </c>
      <c r="DT35" s="2305">
        <v>1.7</v>
      </c>
      <c r="DU35" s="2317">
        <f ca="1">+DS35*(1+DT35/100)</f>
        <v>2125.3075292159997</v>
      </c>
      <c r="DV35" s="2318">
        <f ca="1">(DU35/DP35-1)*100</f>
        <v>4.1407999999999889</v>
      </c>
      <c r="DW35" s="2304">
        <v>2.33</v>
      </c>
      <c r="DX35" s="2317">
        <f ca="1">+DU35*(1+DW35/100)</f>
        <v>2174.8271946467326</v>
      </c>
      <c r="DY35" s="2305">
        <v>1.7</v>
      </c>
      <c r="DZ35" s="2317">
        <f ca="1">+DX35*(1+DY35/100)</f>
        <v>2211.7992569557268</v>
      </c>
      <c r="EA35" s="2318">
        <f ca="1">(DZ35/DU35-1)*100</f>
        <v>4.0696099999999902</v>
      </c>
      <c r="EB35" s="2304">
        <v>2.1</v>
      </c>
      <c r="EC35" s="2317">
        <f ca="1">+DZ35*(1+EB35/100)</f>
        <v>2258.2470413517967</v>
      </c>
      <c r="ED35" s="2305">
        <v>1.8</v>
      </c>
      <c r="EE35" s="2317">
        <f ca="1">+EC35*(1+ED35/100)</f>
        <v>2298.8954880961292</v>
      </c>
      <c r="EF35" s="2318">
        <f ca="1">(EE35/DZ35-1)*100</f>
        <v>3.9377999999999913</v>
      </c>
    </row>
    <row r="36" spans="1:136" s="2919" customFormat="1" ht="12.75">
      <c r="A36" s="2918"/>
      <c r="C36" s="2920"/>
      <c r="D36" s="1837"/>
      <c r="E36" s="1837" t="s">
        <v>1629</v>
      </c>
      <c r="F36" s="2921"/>
      <c r="G36" s="2922"/>
      <c r="H36" s="2922"/>
      <c r="I36" s="2922"/>
      <c r="J36" s="1276"/>
      <c r="K36" s="2922"/>
      <c r="L36" s="2924">
        <f ca="1">OFFSET('Q1'!$N28,0,(COLUMN()-12)*4/5)</f>
        <v>1.8163849073185077</v>
      </c>
      <c r="M36" s="2923"/>
      <c r="N36" s="1276"/>
      <c r="O36" s="1276"/>
      <c r="P36" s="1276"/>
      <c r="Q36" s="2924">
        <f ca="1">OFFSET('Q1'!$N28,0,(COLUMN()-12)*4/5)</f>
        <v>2.8688530031244568</v>
      </c>
      <c r="R36" s="1276"/>
      <c r="S36" s="1276"/>
      <c r="T36" s="1276"/>
      <c r="U36" s="1276"/>
      <c r="V36" s="2924">
        <f ca="1">OFFSET('Q1'!$N28,0,(COLUMN()-12)*4/5)</f>
        <v>3.2498812434518527</v>
      </c>
      <c r="W36" s="1276"/>
      <c r="X36" s="1276"/>
      <c r="Y36" s="1276"/>
      <c r="Z36" s="1276"/>
      <c r="AA36" s="2924">
        <f ca="1">OFFSET('Q1'!$N28,0,(COLUMN()-12)*4/5)</f>
        <v>3.9531309178528318</v>
      </c>
      <c r="AB36" s="1276"/>
      <c r="AC36" s="1276"/>
      <c r="AD36" s="1276"/>
      <c r="AE36" s="1276"/>
      <c r="AF36" s="2924">
        <f ca="1">OFFSET('Q1'!$N28,0,(COLUMN()-12)*4/5)</f>
        <v>5.3308397370020089</v>
      </c>
      <c r="AG36" s="1276"/>
      <c r="AH36" s="1276"/>
      <c r="AI36" s="1276"/>
      <c r="AJ36" s="1276"/>
      <c r="AK36" s="2924">
        <f ca="1">OFFSET('Q1'!$N28,0,(COLUMN()-12)*4/5)</f>
        <v>0.79251138274756272</v>
      </c>
      <c r="AL36" s="1276"/>
      <c r="AM36" s="1276"/>
      <c r="AN36" s="1276"/>
      <c r="AO36" s="1276"/>
      <c r="AP36" s="2924">
        <f ca="1">OFFSET('Q1'!$N28,0,(COLUMN()-12)*4/5)</f>
        <v>2.5644086590245649</v>
      </c>
      <c r="AQ36" s="1276"/>
      <c r="AR36" s="1276"/>
      <c r="AS36" s="1276"/>
      <c r="AT36" s="1276"/>
      <c r="AU36" s="2924">
        <f ca="1">OFFSET('Q1'!$N28,0,(COLUMN()-12)*4/5)</f>
        <v>2.3792239029773157</v>
      </c>
      <c r="AV36" s="1276"/>
      <c r="AW36" s="1276"/>
      <c r="AX36" s="1276"/>
      <c r="AY36" s="1276"/>
      <c r="AZ36" s="2924">
        <f ca="1">OFFSET('Q1'!$N28,0,(COLUMN()-12)*4/5)</f>
        <v>2.6184624549079842</v>
      </c>
      <c r="BA36" s="1276"/>
      <c r="BB36" s="1276"/>
      <c r="BC36" s="1276"/>
      <c r="BD36" s="1276"/>
      <c r="BE36" s="2924">
        <f ca="1">OFFSET('Q1'!$N28,0,(COLUMN()-12)*4/5)</f>
        <v>2.7562636048024558</v>
      </c>
      <c r="BF36" s="1276"/>
      <c r="BG36" s="1276"/>
      <c r="BH36" s="1276"/>
      <c r="BI36" s="1276"/>
      <c r="BJ36" s="2924">
        <f ca="1">OFFSET('Q1'!$N28,0,(COLUMN()-12)*4/5)</f>
        <v>2.7760710320229691</v>
      </c>
      <c r="BK36" s="1276"/>
      <c r="BL36" s="1276"/>
      <c r="BM36" s="1276"/>
      <c r="BN36" s="1276"/>
      <c r="BO36" s="2924">
        <f ca="1">OFFSET('Q1'!$N28,0,(COLUMN()-12)*4/5)</f>
        <v>3.8609345371723407</v>
      </c>
      <c r="BP36" s="1276"/>
      <c r="BQ36" s="1276"/>
      <c r="BR36" s="1276"/>
      <c r="BS36" s="1276"/>
      <c r="BT36" s="2924">
        <f ca="1">OFFSET('Q1'!$N28,0,(COLUMN()-12)*4/5)</f>
        <v>0.1919312101370565</v>
      </c>
      <c r="BU36" s="1276"/>
      <c r="BV36" s="1276"/>
      <c r="BW36" s="1276"/>
      <c r="BX36" s="1276"/>
      <c r="BY36" s="2924">
        <f ca="1">OFFSET('Q1'!$N28,0,(COLUMN()-12)*4/5)</f>
        <v>0.36088012743952902</v>
      </c>
      <c r="BZ36" s="1276"/>
      <c r="CA36" s="1276"/>
      <c r="CB36" s="1276"/>
      <c r="CC36" s="1276"/>
      <c r="CD36" s="2924">
        <f ca="1">OFFSET('Q1'!$N28,0,(COLUMN()-12)*4/5)</f>
        <v>3.7879954591094815</v>
      </c>
      <c r="CE36" s="1276"/>
      <c r="CF36" s="1276"/>
      <c r="CG36" s="1276"/>
      <c r="CH36" s="1276"/>
      <c r="CI36" s="2924">
        <f ca="1">OFFSET('Q1'!$N28,0,(COLUMN()-12)*4/5)</f>
        <v>1.8620506136774821</v>
      </c>
      <c r="CJ36" s="1276"/>
      <c r="CK36" s="1276"/>
      <c r="CL36" s="1276"/>
      <c r="CM36" s="1276"/>
      <c r="CN36" s="2924">
        <f ca="1">OFFSET('Q1'!$N28,0,(COLUMN()-12)*4/5)</f>
        <v>0.91638585308943732</v>
      </c>
      <c r="CO36" s="1276"/>
      <c r="CP36" s="1276"/>
      <c r="CQ36" s="1276"/>
      <c r="CR36" s="1276"/>
      <c r="CS36" s="2924">
        <f ca="1">OFFSET('Q1'!$N28,0,(COLUMN()-12)*4/5)</f>
        <v>1.8574211271321133</v>
      </c>
      <c r="CT36" s="1276"/>
      <c r="CU36" s="1276"/>
      <c r="CV36" s="1276"/>
      <c r="CW36" s="1276"/>
      <c r="CX36" s="2924">
        <f ca="1">OFFSET('Q1'!$N28,0,(COLUMN()-12)*4/5)</f>
        <v>2.1721321682711903</v>
      </c>
      <c r="CY36" s="1276"/>
      <c r="CZ36" s="1276"/>
      <c r="DA36" s="1276"/>
      <c r="DB36" s="1276"/>
      <c r="DC36" s="2924">
        <f ca="1">OFFSET('Q1'!$N28,0,(COLUMN()-12)*4/5)</f>
        <v>3.0307732864483796</v>
      </c>
      <c r="DD36" s="1276"/>
      <c r="DE36" s="1276"/>
      <c r="DF36" s="1276"/>
      <c r="DG36" s="1276"/>
      <c r="DH36" s="2961">
        <f ca="1">OFFSET('Q1'!$N28,0,(COLUMN()-12)*4/5)</f>
        <v>2.7767154554915123</v>
      </c>
      <c r="DI36" s="1276"/>
      <c r="DJ36" s="1276"/>
      <c r="DK36" s="1276"/>
      <c r="DL36" s="1276"/>
      <c r="DM36" s="2961">
        <f ca="1">OFFSET('Q1'!$N28,0,(COLUMN()-12)*4/5)</f>
        <v>2.2812889358681048</v>
      </c>
      <c r="DN36" s="1276"/>
      <c r="DO36" s="1276"/>
      <c r="DP36" s="1276"/>
      <c r="DQ36" s="1276"/>
      <c r="DR36" s="2961">
        <f ca="1">OFFSET('Q1'!$N28,0,(COLUMN()-12)*4/5)</f>
        <v>2.4032759193415245</v>
      </c>
      <c r="DS36" s="1276"/>
      <c r="DT36" s="1276"/>
      <c r="DU36" s="1276"/>
      <c r="DV36" s="1276"/>
      <c r="DW36" s="2961">
        <f ca="1">OFFSET('Q1'!$N28,0,(COLUMN()-12)*4/5)</f>
        <v>2.3194282671890107</v>
      </c>
      <c r="DX36" s="1276"/>
      <c r="DY36" s="1276"/>
      <c r="DZ36" s="1276"/>
      <c r="EA36" s="1276"/>
      <c r="EB36" s="2961">
        <f ca="1">OFFSET('Q1'!$N28,0,(COLUMN()-12)*4/5)</f>
        <v>2.1039318665817035</v>
      </c>
      <c r="EC36" s="1276"/>
      <c r="ED36" s="1276"/>
      <c r="EE36" s="1276"/>
      <c r="EF36" s="1276"/>
    </row>
    <row r="37" spans="1:136">
      <c r="DJ37" s="1492">
        <f>'Q1'!CP331</f>
        <v>1.149731599664392</v>
      </c>
      <c r="DO37" s="1492">
        <f>'Q1'!CT331</f>
        <v>1.8595081956989787</v>
      </c>
      <c r="DR37" s="1492"/>
      <c r="DS37" s="1492"/>
      <c r="DT37" s="1492">
        <f ca="1">'Q1'!CX331</f>
        <v>1.6559232361579841</v>
      </c>
      <c r="DU37" s="1492"/>
      <c r="DV37" s="1492"/>
      <c r="DW37" s="1492"/>
      <c r="DX37" s="1492"/>
      <c r="DY37" s="1492">
        <f ca="1">'Q1'!DB331</f>
        <v>1.7930625644562308</v>
      </c>
      <c r="EB37" s="1492"/>
      <c r="EC37" s="1492"/>
      <c r="ED37" s="1492">
        <f ca="1">'Q1'!DF331</f>
        <v>1.9335392568791339</v>
      </c>
    </row>
    <row r="39" spans="1:136">
      <c r="B39" s="1"/>
      <c r="C39" s="811"/>
      <c r="D39" s="3812"/>
      <c r="E39" s="3805" t="s">
        <v>861</v>
      </c>
      <c r="F39" s="3806"/>
      <c r="G39" s="3788">
        <f>+InputY!$G$3</f>
        <v>1995</v>
      </c>
      <c r="H39" s="3789"/>
      <c r="I39" s="3789"/>
      <c r="J39" s="3789"/>
      <c r="K39" s="3790"/>
      <c r="L39" s="3788">
        <f>+G39+1</f>
        <v>1996</v>
      </c>
      <c r="M39" s="3789"/>
      <c r="N39" s="3789"/>
      <c r="O39" s="3789"/>
      <c r="P39" s="3790"/>
      <c r="Q39" s="3788">
        <f>+L39+1</f>
        <v>1997</v>
      </c>
      <c r="R39" s="3789"/>
      <c r="S39" s="3789"/>
      <c r="T39" s="3789"/>
      <c r="U39" s="3790"/>
      <c r="V39" s="3788">
        <f>+Q39+1</f>
        <v>1998</v>
      </c>
      <c r="W39" s="3789"/>
      <c r="X39" s="3789"/>
      <c r="Y39" s="3789"/>
      <c r="Z39" s="3790"/>
      <c r="AA39" s="3788">
        <f>+V39+1</f>
        <v>1999</v>
      </c>
      <c r="AB39" s="3789"/>
      <c r="AC39" s="3789"/>
      <c r="AD39" s="3789"/>
      <c r="AE39" s="3790"/>
      <c r="AF39" s="3788">
        <f>+AA39+1</f>
        <v>2000</v>
      </c>
      <c r="AG39" s="3789"/>
      <c r="AH39" s="3789"/>
      <c r="AI39" s="3789"/>
      <c r="AJ39" s="3790"/>
      <c r="AK39" s="3788">
        <f>+AF39+1</f>
        <v>2001</v>
      </c>
      <c r="AL39" s="3789"/>
      <c r="AM39" s="3789"/>
      <c r="AN39" s="3789"/>
      <c r="AO39" s="3790"/>
      <c r="AP39" s="3788">
        <f>+AK39+1</f>
        <v>2002</v>
      </c>
      <c r="AQ39" s="3789"/>
      <c r="AR39" s="3789"/>
      <c r="AS39" s="3789"/>
      <c r="AT39" s="3790"/>
      <c r="AU39" s="3788">
        <f>+AP39+1</f>
        <v>2003</v>
      </c>
      <c r="AV39" s="3789"/>
      <c r="AW39" s="3789"/>
      <c r="AX39" s="3789"/>
      <c r="AY39" s="3790"/>
      <c r="AZ39" s="3788">
        <f>+AU39+1</f>
        <v>2004</v>
      </c>
      <c r="BA39" s="3789"/>
      <c r="BB39" s="3789"/>
      <c r="BC39" s="3789"/>
      <c r="BD39" s="3790"/>
      <c r="BE39" s="3788">
        <f>+AZ39+1</f>
        <v>2005</v>
      </c>
      <c r="BF39" s="3789"/>
      <c r="BG39" s="3789"/>
      <c r="BH39" s="3789"/>
      <c r="BI39" s="3790"/>
      <c r="BJ39" s="3788">
        <f>+BE39+1</f>
        <v>2006</v>
      </c>
      <c r="BK39" s="3789"/>
      <c r="BL39" s="3789"/>
      <c r="BM39" s="3789"/>
      <c r="BN39" s="3790"/>
      <c r="BO39" s="3788">
        <f>+BJ39+1</f>
        <v>2007</v>
      </c>
      <c r="BP39" s="3789"/>
      <c r="BQ39" s="3789"/>
      <c r="BR39" s="3789"/>
      <c r="BS39" s="3790"/>
      <c r="BT39" s="3788">
        <f>+BO39+1</f>
        <v>2008</v>
      </c>
      <c r="BU39" s="3789"/>
      <c r="BV39" s="3789"/>
      <c r="BW39" s="3789"/>
      <c r="BX39" s="3790"/>
      <c r="BY39" s="3788">
        <f>+BT39+1</f>
        <v>2009</v>
      </c>
      <c r="BZ39" s="3789"/>
      <c r="CA39" s="3789"/>
      <c r="CB39" s="3789"/>
      <c r="CC39" s="3790"/>
      <c r="CD39" s="3788">
        <f>+BY39+1</f>
        <v>2010</v>
      </c>
      <c r="CE39" s="3789"/>
      <c r="CF39" s="3789"/>
      <c r="CG39" s="3789"/>
      <c r="CH39" s="3790"/>
      <c r="CI39" s="3788">
        <f>+CD39+1</f>
        <v>2011</v>
      </c>
      <c r="CJ39" s="3789"/>
      <c r="CK39" s="3789"/>
      <c r="CL39" s="3789"/>
      <c r="CM39" s="3790"/>
      <c r="CN39" s="3788">
        <f>+CI39+1</f>
        <v>2012</v>
      </c>
      <c r="CO39" s="3789"/>
      <c r="CP39" s="3789"/>
      <c r="CQ39" s="3789"/>
      <c r="CR39" s="3790"/>
      <c r="CS39" s="3788">
        <f>+CN39+1</f>
        <v>2013</v>
      </c>
      <c r="CT39" s="3789"/>
      <c r="CU39" s="3789"/>
      <c r="CV39" s="3789"/>
      <c r="CW39" s="3790"/>
      <c r="CX39" s="3796">
        <f>+CS39+1</f>
        <v>2014</v>
      </c>
      <c r="CY39" s="3797"/>
      <c r="CZ39" s="3797"/>
      <c r="DA39" s="3797"/>
      <c r="DB39" s="3798"/>
      <c r="DC39" s="3796">
        <f>+CX39+1</f>
        <v>2015</v>
      </c>
      <c r="DD39" s="3797"/>
      <c r="DE39" s="3797"/>
      <c r="DF39" s="3797"/>
      <c r="DG39" s="3798"/>
      <c r="DH39" s="3788">
        <f>+DC39+1</f>
        <v>2016</v>
      </c>
      <c r="DI39" s="3789"/>
      <c r="DJ39" s="3789"/>
      <c r="DK39" s="3789"/>
      <c r="DL39" s="3790"/>
      <c r="DM39" s="3788">
        <f>+DH39+1</f>
        <v>2017</v>
      </c>
      <c r="DN39" s="3789"/>
      <c r="DO39" s="3789"/>
      <c r="DP39" s="3789"/>
      <c r="DQ39" s="3790"/>
      <c r="DR39" s="3788">
        <f>+DM39+1</f>
        <v>2018</v>
      </c>
      <c r="DS39" s="3789"/>
      <c r="DT39" s="3789"/>
      <c r="DU39" s="3789"/>
      <c r="DV39" s="3790"/>
      <c r="DW39" s="3788">
        <f>+DR39+1</f>
        <v>2019</v>
      </c>
      <c r="DX39" s="3789"/>
      <c r="DY39" s="3789"/>
      <c r="DZ39" s="3789"/>
      <c r="EA39" s="3790"/>
      <c r="EB39" s="3788">
        <f>+DW39+1</f>
        <v>2020</v>
      </c>
      <c r="EC39" s="3789"/>
      <c r="ED39" s="3789"/>
      <c r="EE39" s="3789"/>
      <c r="EF39" s="3790"/>
    </row>
    <row r="40" spans="1:136">
      <c r="B40" s="1"/>
      <c r="C40" s="811"/>
      <c r="D40" s="3812"/>
      <c r="E40" s="3805"/>
      <c r="F40" s="3806"/>
      <c r="G40" s="1296"/>
      <c r="H40" s="1297"/>
      <c r="I40" s="1296" t="s">
        <v>1249</v>
      </c>
      <c r="J40" s="1297" t="s">
        <v>863</v>
      </c>
      <c r="K40" s="1296"/>
      <c r="L40" s="1296"/>
      <c r="M40" s="1297"/>
      <c r="N40" s="1296" t="s">
        <v>1249</v>
      </c>
      <c r="O40" s="1297" t="s">
        <v>863</v>
      </c>
      <c r="P40" s="1296"/>
      <c r="Q40" s="1296"/>
      <c r="R40" s="1297"/>
      <c r="S40" s="1296" t="s">
        <v>1249</v>
      </c>
      <c r="T40" s="1297" t="s">
        <v>863</v>
      </c>
      <c r="U40" s="1296"/>
      <c r="V40" s="1296"/>
      <c r="W40" s="1297"/>
      <c r="X40" s="1296" t="s">
        <v>1249</v>
      </c>
      <c r="Y40" s="1297" t="s">
        <v>863</v>
      </c>
      <c r="Z40" s="1296"/>
      <c r="AA40" s="1296"/>
      <c r="AB40" s="1297"/>
      <c r="AC40" s="1296" t="s">
        <v>1249</v>
      </c>
      <c r="AD40" s="1297" t="s">
        <v>863</v>
      </c>
      <c r="AE40" s="1296"/>
      <c r="AF40" s="1296"/>
      <c r="AG40" s="1297"/>
      <c r="AH40" s="1296" t="s">
        <v>1249</v>
      </c>
      <c r="AI40" s="1297" t="s">
        <v>863</v>
      </c>
      <c r="AJ40" s="1296"/>
      <c r="AK40" s="1296"/>
      <c r="AL40" s="1297"/>
      <c r="AM40" s="1296" t="s">
        <v>1249</v>
      </c>
      <c r="AN40" s="1297" t="s">
        <v>863</v>
      </c>
      <c r="AO40" s="1296"/>
      <c r="AP40" s="1296"/>
      <c r="AQ40" s="1297"/>
      <c r="AR40" s="1296" t="s">
        <v>1249</v>
      </c>
      <c r="AS40" s="1297" t="s">
        <v>863</v>
      </c>
      <c r="AT40" s="1296"/>
      <c r="AU40" s="1296"/>
      <c r="AV40" s="1297"/>
      <c r="AW40" s="1296" t="s">
        <v>1249</v>
      </c>
      <c r="AX40" s="1297" t="s">
        <v>863</v>
      </c>
      <c r="AY40" s="1296"/>
      <c r="AZ40" s="1296"/>
      <c r="BA40" s="1297"/>
      <c r="BB40" s="1296" t="s">
        <v>1249</v>
      </c>
      <c r="BC40" s="1297" t="s">
        <v>863</v>
      </c>
      <c r="BD40" s="1296"/>
      <c r="BE40" s="1296"/>
      <c r="BF40" s="1297"/>
      <c r="BG40" s="1296" t="s">
        <v>1249</v>
      </c>
      <c r="BH40" s="1297" t="s">
        <v>863</v>
      </c>
      <c r="BI40" s="1296"/>
      <c r="BJ40" s="1296"/>
      <c r="BK40" s="1297"/>
      <c r="BL40" s="1296" t="s">
        <v>1249</v>
      </c>
      <c r="BM40" s="1297" t="s">
        <v>863</v>
      </c>
      <c r="BN40" s="1296"/>
      <c r="BO40" s="1296"/>
      <c r="BP40" s="1297"/>
      <c r="BQ40" s="1296" t="s">
        <v>1249</v>
      </c>
      <c r="BR40" s="1297" t="s">
        <v>863</v>
      </c>
      <c r="BS40" s="1296"/>
      <c r="BT40" s="1296"/>
      <c r="BU40" s="1297"/>
      <c r="BV40" s="1296" t="s">
        <v>1249</v>
      </c>
      <c r="BW40" s="1297" t="s">
        <v>863</v>
      </c>
      <c r="BX40" s="1296"/>
      <c r="BY40" s="1296"/>
      <c r="BZ40" s="1297"/>
      <c r="CA40" s="1296" t="s">
        <v>1249</v>
      </c>
      <c r="CB40" s="1297" t="s">
        <v>863</v>
      </c>
      <c r="CC40" s="1296"/>
      <c r="CD40" s="1296"/>
      <c r="CE40" s="1297"/>
      <c r="CF40" s="1296" t="s">
        <v>1249</v>
      </c>
      <c r="CG40" s="1297" t="s">
        <v>863</v>
      </c>
      <c r="CH40" s="1296"/>
      <c r="CI40" s="1296"/>
      <c r="CJ40" s="1297"/>
      <c r="CK40" s="1296" t="s">
        <v>1249</v>
      </c>
      <c r="CL40" s="1297" t="s">
        <v>863</v>
      </c>
      <c r="CM40" s="1296"/>
      <c r="CN40" s="1296"/>
      <c r="CO40" s="1297"/>
      <c r="CP40" s="1296" t="s">
        <v>1249</v>
      </c>
      <c r="CQ40" s="1297" t="s">
        <v>863</v>
      </c>
      <c r="CR40" s="1296"/>
      <c r="CS40" s="1296"/>
      <c r="CT40" s="1297"/>
      <c r="CU40" s="1296" t="s">
        <v>1249</v>
      </c>
      <c r="CV40" s="1297" t="s">
        <v>863</v>
      </c>
      <c r="CW40" s="1296"/>
      <c r="CX40" s="1296"/>
      <c r="CY40" s="1297"/>
      <c r="CZ40" s="1296" t="s">
        <v>1249</v>
      </c>
      <c r="DA40" s="1297" t="s">
        <v>863</v>
      </c>
      <c r="DB40" s="1296"/>
      <c r="DC40" s="1296"/>
      <c r="DD40" s="1297"/>
      <c r="DE40" s="1296" t="s">
        <v>1249</v>
      </c>
      <c r="DF40" s="1297" t="s">
        <v>863</v>
      </c>
      <c r="DG40" s="1296"/>
      <c r="DH40" s="1296"/>
      <c r="DI40" s="1297"/>
      <c r="DJ40" s="1296" t="s">
        <v>1249</v>
      </c>
      <c r="DK40" s="1297" t="s">
        <v>863</v>
      </c>
      <c r="DL40" s="1296"/>
      <c r="DM40" s="1296"/>
      <c r="DN40" s="1297"/>
      <c r="DO40" s="1296" t="s">
        <v>1249</v>
      </c>
      <c r="DP40" s="1297" t="s">
        <v>863</v>
      </c>
      <c r="DQ40" s="1296"/>
      <c r="DR40" s="1296"/>
      <c r="DS40" s="1297"/>
      <c r="DT40" s="1296" t="s">
        <v>1249</v>
      </c>
      <c r="DU40" s="1297" t="s">
        <v>863</v>
      </c>
      <c r="DV40" s="1296"/>
      <c r="DW40" s="1296"/>
      <c r="DX40" s="1297"/>
      <c r="DY40" s="1296" t="s">
        <v>1249</v>
      </c>
      <c r="DZ40" s="1297" t="s">
        <v>863</v>
      </c>
      <c r="EA40" s="1296"/>
      <c r="EB40" s="1296"/>
      <c r="EC40" s="1297"/>
      <c r="ED40" s="1296" t="s">
        <v>1249</v>
      </c>
      <c r="EE40" s="1297" t="s">
        <v>863</v>
      </c>
      <c r="EF40" s="1296"/>
    </row>
    <row r="41" spans="1:136">
      <c r="B41" s="1"/>
      <c r="C41" s="1434"/>
      <c r="D41" s="1357"/>
      <c r="E41" s="1357" t="s">
        <v>862</v>
      </c>
      <c r="F41" s="1435" t="s">
        <v>1628</v>
      </c>
      <c r="G41" s="1436"/>
      <c r="H41" s="1437"/>
      <c r="I41" s="1437"/>
      <c r="J41" s="1438">
        <f ca="1">OFFSET('VVP2'!$G$363,0,(COLUMN()-10)/5)</f>
        <v>75.43471759152591</v>
      </c>
      <c r="K41" s="1484"/>
      <c r="L41" s="1436"/>
      <c r="M41" s="1437"/>
      <c r="N41" s="1433">
        <f ca="1">(O41/J41-1)*100</f>
        <v>0.95926088797166909</v>
      </c>
      <c r="O41" s="1438">
        <f ca="1">OFFSET('VVP2'!$G$363,0,(COLUMN()-10)/5)</f>
        <v>76.158333333333303</v>
      </c>
      <c r="P41" s="1484"/>
      <c r="Q41" s="1436"/>
      <c r="R41" s="1437"/>
      <c r="S41" s="1433">
        <f ca="1">(T41/O41-1)*100</f>
        <v>1.8131086552140019</v>
      </c>
      <c r="T41" s="1438">
        <f ca="1">OFFSET('VVP2'!$G$363,0,(COLUMN()-10)/5)</f>
        <v>77.539166666666702</v>
      </c>
      <c r="U41" s="1484"/>
      <c r="V41" s="1436"/>
      <c r="W41" s="1437"/>
      <c r="X41" s="1433">
        <f ca="1">(Y41/T41-1)*100</f>
        <v>1.0037937816371745</v>
      </c>
      <c r="Y41" s="1438">
        <f ca="1">OFFSET('VVP2'!$G$363,0,(COLUMN()-10)/5)</f>
        <v>78.317499999999995</v>
      </c>
      <c r="Z41" s="1484"/>
      <c r="AA41" s="1436"/>
      <c r="AB41" s="1437"/>
      <c r="AC41" s="1433">
        <f ca="1">(AD41/Y41-1)*100</f>
        <v>0.56394377586963529</v>
      </c>
      <c r="AD41" s="1438">
        <f ca="1">OFFSET('VVP2'!$G$363,0,(COLUMN()-10)/5)</f>
        <v>78.759166666666701</v>
      </c>
      <c r="AE41" s="1484"/>
      <c r="AF41" s="1436"/>
      <c r="AG41" s="1437"/>
      <c r="AH41" s="1433">
        <f ca="1">(AI41/AD41-1)*100</f>
        <v>1.2940292664346487</v>
      </c>
      <c r="AI41" s="1438">
        <f ca="1">OFFSET('VVP2'!$G$363,0,(COLUMN()-10)/5)</f>
        <v>79.778333333333407</v>
      </c>
      <c r="AJ41" s="1484"/>
      <c r="AK41" s="1436"/>
      <c r="AL41" s="1437"/>
      <c r="AM41" s="1433">
        <f ca="1">(AN41/AI41-1)*100</f>
        <v>2.6803434516472269</v>
      </c>
      <c r="AN41" s="1438">
        <f ca="1">OFFSET('VVP2'!$G$363,0,(COLUMN()-10)/5)</f>
        <v>81.9166666666667</v>
      </c>
      <c r="AO41" s="1484"/>
      <c r="AP41" s="1436"/>
      <c r="AQ41" s="1437"/>
      <c r="AR41" s="1433">
        <f ca="1">(AS41/AN41-1)*100</f>
        <v>1.9389623601220318</v>
      </c>
      <c r="AS41" s="1438">
        <f ca="1">OFFSET('VVP2'!$G$363,0,(COLUMN()-10)/5)</f>
        <v>83.504999999999995</v>
      </c>
      <c r="AT41" s="1484"/>
      <c r="AU41" s="1436"/>
      <c r="AV41" s="1437"/>
      <c r="AW41" s="1433">
        <f ca="1">(AX41/AS41-1)*100</f>
        <v>2.3192224018522278</v>
      </c>
      <c r="AX41" s="1438">
        <f ca="1">OFFSET('VVP2'!$G$363,0,(COLUMN()-10)/5)</f>
        <v>85.441666666666706</v>
      </c>
      <c r="AY41" s="1484"/>
      <c r="AZ41" s="1436"/>
      <c r="BA41" s="1437"/>
      <c r="BB41" s="1433">
        <f ca="1">(BC41/AX41-1)*100</f>
        <v>1.0221398615039012</v>
      </c>
      <c r="BC41" s="1438">
        <f ca="1">OFFSET('VVP2'!$G$363,0,(COLUMN()-10)/5)</f>
        <v>86.314999999999998</v>
      </c>
      <c r="BD41" s="1484"/>
      <c r="BE41" s="1436"/>
      <c r="BF41" s="1437"/>
      <c r="BG41" s="1433">
        <f ca="1">(BH41/BC41-1)*100</f>
        <v>0.83318851493552337</v>
      </c>
      <c r="BH41" s="1438">
        <f ca="1">OFFSET('VVP2'!$G$363,0,(COLUMN()-10)/5)</f>
        <v>87.034166666666593</v>
      </c>
      <c r="BI41" s="1484"/>
      <c r="BJ41" s="1436"/>
      <c r="BK41" s="1437"/>
      <c r="BL41" s="1433">
        <f ca="1">(BM41/BH41-1)*100</f>
        <v>1.4965387156386178</v>
      </c>
      <c r="BM41" s="1438">
        <f ca="1">OFFSET('VVP2'!$G$363,0,(COLUMN()-10)/5)</f>
        <v>88.336666666666702</v>
      </c>
      <c r="BN41" s="1484"/>
      <c r="BO41" s="1436"/>
      <c r="BP41" s="1437"/>
      <c r="BQ41" s="1433">
        <f ca="1">(BR41/BM41-1)*100</f>
        <v>1.6763518357797436</v>
      </c>
      <c r="BR41" s="1438">
        <f ca="1">OFFSET('VVP2'!$G$363,0,(COLUMN()-10)/5)</f>
        <v>89.817499999999995</v>
      </c>
      <c r="BS41" s="1484"/>
      <c r="BT41" s="1436"/>
      <c r="BU41" s="1437"/>
      <c r="BV41" s="1433">
        <f ca="1">(BW41/BR41-1)*100</f>
        <v>3.3484565925348653</v>
      </c>
      <c r="BW41" s="1438">
        <f ca="1">OFFSET('VVP2'!$G$363,0,(COLUMN()-10)/5)</f>
        <v>92.825000000000003</v>
      </c>
      <c r="BX41" s="1484"/>
      <c r="BY41" s="1436"/>
      <c r="BZ41" s="1437"/>
      <c r="CA41" s="1433">
        <f ca="1">(CB41/BW41-1)*100</f>
        <v>1.9409282700422192</v>
      </c>
      <c r="CB41" s="1438">
        <f ca="1">OFFSET('VVP2'!$G$363,0,(COLUMN()-10)/5)</f>
        <v>94.626666666666694</v>
      </c>
      <c r="CC41" s="1484"/>
      <c r="CD41" s="1436"/>
      <c r="CE41" s="1437"/>
      <c r="CF41" s="1433">
        <f ca="1">(CG41/CB41-1)*100</f>
        <v>1.9066154713258454</v>
      </c>
      <c r="CG41" s="1438">
        <f ca="1">OFFSET('VVP2'!$G$363,0,(COLUMN()-10)/5)</f>
        <v>96.430833333333297</v>
      </c>
      <c r="CH41" s="1484"/>
      <c r="CI41" s="1436"/>
      <c r="CJ41" s="1437"/>
      <c r="CK41" s="1433">
        <f ca="1">(CL41/CG41-1)*100</f>
        <v>1.3645358936025698</v>
      </c>
      <c r="CL41" s="1438">
        <f ca="1">OFFSET('VVP2'!$G$363,0,(COLUMN()-10)/5)</f>
        <v>97.746666666666698</v>
      </c>
      <c r="CM41" s="1484"/>
      <c r="CN41" s="1436"/>
      <c r="CO41" s="1437"/>
      <c r="CP41" s="1433">
        <f ca="1">(CQ41/CL41-1)*100</f>
        <v>0.93779839039687118</v>
      </c>
      <c r="CQ41" s="1438">
        <f ca="1">OFFSET('VVP2'!$G$363,0,(COLUMN()-10)/5)</f>
        <v>98.663333333333298</v>
      </c>
      <c r="CR41" s="1484"/>
      <c r="CS41" s="1436"/>
      <c r="CT41" s="1437"/>
      <c r="CU41" s="1433">
        <f ca="1">(CV41/CQ41-1)*100</f>
        <v>0.4408932734214055</v>
      </c>
      <c r="CV41" s="1438">
        <f ca="1">OFFSET('VVP2'!$G$363,0,(COLUMN()-10)/5)</f>
        <v>99.098333333333301</v>
      </c>
      <c r="CW41" s="1484"/>
      <c r="CX41" s="1436"/>
      <c r="CY41" s="1437"/>
      <c r="CZ41" s="1433">
        <f ca="1">(DA41/CV41-1)*100</f>
        <v>0.20602431927885245</v>
      </c>
      <c r="DA41" s="1438">
        <f ca="1">OFFSET('VVP2'!$G$363,0,(COLUMN()-10)/5)</f>
        <v>99.302499999999995</v>
      </c>
      <c r="DB41" s="1484"/>
      <c r="DC41" s="1436"/>
      <c r="DD41" s="1437"/>
      <c r="DE41" s="1433">
        <f ca="1">(DF41/DA41-1)*100</f>
        <v>0.70239923466177689</v>
      </c>
      <c r="DF41" s="1438">
        <f ca="1">OFFSET('VVP2'!$G$363,0,(COLUMN()-10)/5)</f>
        <v>100</v>
      </c>
      <c r="DG41" s="1484"/>
      <c r="DH41" s="1436"/>
      <c r="DI41" s="1437"/>
      <c r="DJ41" s="1433">
        <f ca="1">(DK41/DF41-1)*100</f>
        <v>1.1358333333330028</v>
      </c>
      <c r="DK41" s="1438">
        <f ca="1">OFFSET('VVP2'!$G$363,0,(COLUMN()-10)/5)</f>
        <v>101.135833333333</v>
      </c>
      <c r="DL41" s="1484"/>
      <c r="DM41" s="1436"/>
      <c r="DN41" s="1437"/>
      <c r="DO41" s="1433">
        <f ca="1">(DP41/DK41-1)*100</f>
        <v>1.8663019206842435</v>
      </c>
      <c r="DP41" s="1438">
        <f ca="1">OFFSET('VVP2'!$G$363,0,(COLUMN()-10)/5)</f>
        <v>103.023333333333</v>
      </c>
      <c r="DQ41" s="1484"/>
      <c r="DR41" s="1436"/>
      <c r="DS41" s="1437"/>
      <c r="DT41" s="1903">
        <f ca="1">OFFSET('Q1'!$G329,0,4*(COLUMN()-9)/5+3)</f>
        <v>2.0884262323802574</v>
      </c>
      <c r="DU41" s="1485">
        <f ca="1">+DP41*(1+DT41/100)</f>
        <v>105.17489965213888</v>
      </c>
      <c r="DV41" s="1484"/>
      <c r="DW41" s="1436"/>
      <c r="DX41" s="1437"/>
      <c r="DY41" s="1903">
        <f ca="1">OFFSET('Q1'!$G329,0,4*(COLUMN()-9)/5+3)</f>
        <v>1.903595138430191</v>
      </c>
      <c r="DZ41" s="1485">
        <f ca="1">+DU41*(1+DY41/100)</f>
        <v>107.17700392876583</v>
      </c>
      <c r="EA41" s="1484"/>
      <c r="EB41" s="1436"/>
      <c r="EC41" s="1437"/>
      <c r="ED41" s="1903">
        <f ca="1">OFFSET('Q1'!$G329,0,4*(COLUMN()-9)/5+3)</f>
        <v>1.5974596010288593</v>
      </c>
      <c r="EE41" s="1485">
        <f ca="1">+DZ41*(1+ED41/100)</f>
        <v>108.88911326812098</v>
      </c>
      <c r="EF41" s="1484"/>
    </row>
    <row r="42" spans="1:136">
      <c r="B42" s="1"/>
      <c r="C42" s="1434"/>
      <c r="D42" s="1357"/>
      <c r="E42" s="1357" t="s">
        <v>1059</v>
      </c>
      <c r="F42" s="1435" t="s">
        <v>782</v>
      </c>
      <c r="G42" s="1436"/>
      <c r="H42" s="1437"/>
      <c r="I42" s="1437"/>
      <c r="J42" s="1438">
        <f ca="1">OFFSET('VVP2'!$G$362,0,(COLUMN()-10)/5)</f>
        <v>90.8701854437235</v>
      </c>
      <c r="K42" s="1484"/>
      <c r="L42" s="1436"/>
      <c r="M42" s="1437"/>
      <c r="N42" s="1433">
        <f ca="1">(O42/J42-1)*100</f>
        <v>0.47095763181885797</v>
      </c>
      <c r="O42" s="1438">
        <f ca="1">OFFSET('VVP2'!$G$362,0,(COLUMN()-10)/5)</f>
        <v>91.298145517118655</v>
      </c>
      <c r="P42" s="1484"/>
      <c r="Q42" s="1436"/>
      <c r="R42" s="1437"/>
      <c r="S42" s="1433">
        <f ca="1">(T42/O42-1)*100</f>
        <v>0.50781251431548657</v>
      </c>
      <c r="T42" s="1438">
        <f ca="1">OFFSET('VVP2'!$G$362,0,(COLUMN()-10)/5)</f>
        <v>91.761768925392545</v>
      </c>
      <c r="U42" s="1484"/>
      <c r="V42" s="1436"/>
      <c r="W42" s="1437"/>
      <c r="X42" s="1433">
        <f ca="1">(Y42/T42-1)*100</f>
        <v>-0.11659546316442615</v>
      </c>
      <c r="Y42" s="1438">
        <f ca="1">OFFSET('VVP2'!$G$362,0,(COLUMN()-10)/5)</f>
        <v>91.65477886590611</v>
      </c>
      <c r="Z42" s="1484"/>
      <c r="AA42" s="1436"/>
      <c r="AB42" s="1437"/>
      <c r="AC42" s="1433">
        <f ca="1">(AD42/Y42-1)*100</f>
        <v>0.4280155856252188</v>
      </c>
      <c r="AD42" s="1438">
        <f ca="1">OFFSET('VVP2'!$G$362,0,(COLUMN()-10)/5)</f>
        <v>92.047075604422517</v>
      </c>
      <c r="AE42" s="1484"/>
      <c r="AF42" s="1436"/>
      <c r="AG42" s="1437"/>
      <c r="AH42" s="1433">
        <f ca="1">(AI42/AD42-1)*100</f>
        <v>1.0073614898306271</v>
      </c>
      <c r="AI42" s="1438">
        <f ca="1">OFFSET('VVP2'!$G$362,0,(COLUMN()-10)/5)</f>
        <v>92.974322396576753</v>
      </c>
      <c r="AJ42" s="1484"/>
      <c r="AK42" s="1436"/>
      <c r="AL42" s="1437"/>
      <c r="AM42" s="1433">
        <f ca="1">(AN42/AI42-1)*100</f>
        <v>2.4549290372072985</v>
      </c>
      <c r="AN42" s="1438">
        <f ca="1">OFFSET('VVP2'!$G$362,0,(COLUMN()-10)/5)</f>
        <v>95.256776034237049</v>
      </c>
      <c r="AO42" s="1484"/>
      <c r="AP42" s="1436"/>
      <c r="AQ42" s="1437"/>
      <c r="AR42" s="1433">
        <f ca="1">(AS42/AN42-1)*100</f>
        <v>2.1340321976787369</v>
      </c>
      <c r="AS42" s="1438">
        <f ca="1">OFFSET('VVP2'!$G$362,0,(COLUMN()-10)/5)</f>
        <v>97.289586305278391</v>
      </c>
      <c r="AT42" s="1484"/>
      <c r="AU42" s="1436"/>
      <c r="AV42" s="1437"/>
      <c r="AW42" s="1433">
        <f ca="1">(AX42/AS42-1)*100</f>
        <v>1.9428152492668493</v>
      </c>
      <c r="AX42" s="1438">
        <f ca="1">OFFSET('VVP2'!$G$362,0,(COLUMN()-10)/5)</f>
        <v>99.179743223965971</v>
      </c>
      <c r="AY42" s="1484"/>
      <c r="AZ42" s="1436"/>
      <c r="BA42" s="1437"/>
      <c r="BB42" s="1433">
        <f ca="1">(BC42/AX42-1)*100</f>
        <v>0.3955411722400326</v>
      </c>
      <c r="BC42" s="1438">
        <f ca="1">OFFSET('VVP2'!$G$362,0,(COLUMN()-10)/5)</f>
        <v>99.572039942938702</v>
      </c>
      <c r="BD42" s="1484"/>
      <c r="BE42" s="1436"/>
      <c r="BF42" s="1437"/>
      <c r="BG42" s="1433">
        <f ca="1">(BH42/BC42-1)*100</f>
        <v>0.42979942693406326</v>
      </c>
      <c r="BH42" s="1438">
        <f ca="1">OFFSET('VVP2'!$G$362,0,(COLUMN()-10)/5)</f>
        <v>100</v>
      </c>
      <c r="BI42" s="1484"/>
      <c r="BJ42" s="1436"/>
      <c r="BK42" s="1437"/>
      <c r="BL42" s="1433">
        <f ca="1">(BM42/BH42-1)*100</f>
        <v>1.3602146862769837</v>
      </c>
      <c r="BM42" s="1438">
        <f ca="1">OFFSET('VVP2'!$G$362,0,(COLUMN()-10)/5)</f>
        <v>101.36021468627699</v>
      </c>
      <c r="BN42" s="1484"/>
      <c r="BO42" s="1436"/>
      <c r="BP42" s="1437"/>
      <c r="BQ42" s="1433">
        <f ca="1">(BR42/BM42-1)*100</f>
        <v>2.2121688343675894</v>
      </c>
      <c r="BR42" s="1438">
        <f ca="1">OFFSET('VVP2'!$G$362,0,(COLUMN()-10)/5)</f>
        <v>103.60247376601488</v>
      </c>
      <c r="BS42" s="1484"/>
      <c r="BT42" s="1436"/>
      <c r="BU42" s="1437"/>
      <c r="BV42" s="1433">
        <f ca="1">(BW42/BR42-1)*100</f>
        <v>3.4370491060286223</v>
      </c>
      <c r="BW42" s="1438">
        <f ca="1">OFFSET('VVP2'!$G$362,0,(COLUMN()-10)/5)</f>
        <v>107.16334166441324</v>
      </c>
      <c r="BX42" s="1484"/>
      <c r="BY42" s="1436"/>
      <c r="BZ42" s="1437"/>
      <c r="CA42" s="1433">
        <f ca="1">(CB42/BW42-1)*100</f>
        <v>-0.49446054437829456</v>
      </c>
      <c r="CB42" s="1438">
        <f ca="1">OFFSET('VVP2'!$G$362,0,(COLUMN()-10)/5)</f>
        <v>106.63346122184541</v>
      </c>
      <c r="CC42" s="1484"/>
      <c r="CD42" s="1436"/>
      <c r="CE42" s="1437"/>
      <c r="CF42" s="1433">
        <f ca="1">(CG42/CB42-1)*100</f>
        <v>1.157988027156498</v>
      </c>
      <c r="CG42" s="1438">
        <f ca="1">OFFSET('VVP2'!$G$362,0,(COLUMN()-10)/5)</f>
        <v>107.86826393573693</v>
      </c>
      <c r="CH42" s="1484"/>
      <c r="CI42" s="1436"/>
      <c r="CJ42" s="1437"/>
      <c r="CK42" s="1433">
        <f ca="1">(CL42/CG42-1)*100</f>
        <v>2.9611507382208746</v>
      </c>
      <c r="CL42" s="1438">
        <f ca="1">OFFSET('VVP2'!$G$362,0,(COLUMN()-10)/5)</f>
        <v>111.06240582957605</v>
      </c>
      <c r="CM42" s="1484"/>
      <c r="CN42" s="1436"/>
      <c r="CO42" s="1437"/>
      <c r="CP42" s="1433">
        <f ca="1">(CQ42/CL42-1)*100</f>
        <v>0.88837750692480899</v>
      </c>
      <c r="CQ42" s="1438">
        <f ca="1">OFFSET('VVP2'!$G$362,0,(COLUMN()-10)/5)</f>
        <v>112.04905926161555</v>
      </c>
      <c r="CR42" s="1484"/>
      <c r="CS42" s="1436"/>
      <c r="CT42" s="1437"/>
      <c r="CU42" s="1433">
        <f ca="1">(CV42/CQ42-1)*100</f>
        <v>-4.4292970149484301E-2</v>
      </c>
      <c r="CV42" s="1438">
        <f ca="1">OFFSET('VVP2'!$G$362,0,(COLUMN()-10)/5)</f>
        <v>111.99942940524403</v>
      </c>
      <c r="CW42" s="1484"/>
      <c r="CX42" s="1436"/>
      <c r="CY42" s="1437"/>
      <c r="CZ42" s="1433">
        <f ca="1">(DA42/CV42-1)*100</f>
        <v>-0.17963849411409827</v>
      </c>
      <c r="DA42" s="1438">
        <f ca="1">OFFSET('VVP2'!$G$362,0,(COLUMN()-10)/5)</f>
        <v>111.79823531684407</v>
      </c>
      <c r="DB42" s="1484"/>
      <c r="DC42" s="1436"/>
      <c r="DD42" s="1437"/>
      <c r="DE42" s="1433">
        <f ca="1">(DF42/DA42-1)*100</f>
        <v>-4.6784744983219273E-2</v>
      </c>
      <c r="DF42" s="1438">
        <f ca="1">OFFSET('VVP2'!$G$362,0,(COLUMN()-10)/5)</f>
        <v>111.74593079755535</v>
      </c>
      <c r="DG42" s="1484"/>
      <c r="DH42" s="1436"/>
      <c r="DI42" s="1437"/>
      <c r="DJ42" s="1433">
        <f ca="1">(DK42/DF42-1)*100</f>
        <v>0.98426924457755138</v>
      </c>
      <c r="DK42" s="1438">
        <f ca="1">OFFSET('VVP2'!$G$362,0,(COLUMN()-10)/5)</f>
        <v>112.84581162646261</v>
      </c>
      <c r="DL42" s="1484"/>
      <c r="DM42" s="1436"/>
      <c r="DN42" s="1437"/>
      <c r="DO42" s="1433">
        <f ca="1">(DP42/DK42-1)*100</f>
        <v>1.7944990466558952</v>
      </c>
      <c r="DP42" s="1438">
        <f ca="1">OFFSET('VVP2'!$G$362,0,(COLUMN()-10)/5)</f>
        <v>114.8708286402906</v>
      </c>
      <c r="DQ42" s="1484"/>
      <c r="DR42" s="1436"/>
      <c r="DS42" s="1437"/>
      <c r="DT42" s="1903">
        <f ca="1">+DT41</f>
        <v>2.0884262323802574</v>
      </c>
      <c r="DU42" s="1485">
        <f ca="1">+DP42*(1+DT42/100)</f>
        <v>117.26982115896701</v>
      </c>
      <c r="DV42" s="1484"/>
      <c r="DW42" s="1436"/>
      <c r="DX42" s="1437"/>
      <c r="DY42" s="1903">
        <f ca="1">+DY41</f>
        <v>1.903595138430191</v>
      </c>
      <c r="DZ42" s="1485">
        <f ca="1">+DU42*(1+DY42/100)</f>
        <v>119.50216377339488</v>
      </c>
      <c r="EA42" s="1484"/>
      <c r="EB42" s="1436"/>
      <c r="EC42" s="1437"/>
      <c r="ED42" s="1903">
        <f ca="1">+ED41</f>
        <v>1.5974596010288593</v>
      </c>
      <c r="EE42" s="1485">
        <f ca="1">+DZ42*(1+ED42/100)</f>
        <v>121.41116256203021</v>
      </c>
      <c r="EF42" s="1484"/>
    </row>
    <row r="45" spans="1:136">
      <c r="D45" s="3814"/>
      <c r="E45" s="3805" t="s">
        <v>1486</v>
      </c>
      <c r="F45" s="3806"/>
      <c r="G45" s="3809">
        <f>+InputY!$G$3</f>
        <v>1995</v>
      </c>
      <c r="H45" s="3791"/>
      <c r="I45" s="3791"/>
      <c r="J45" s="3791"/>
      <c r="K45" s="3791"/>
      <c r="L45" s="3791">
        <f>+G45+1</f>
        <v>1996</v>
      </c>
      <c r="M45" s="3791"/>
      <c r="N45" s="3791"/>
      <c r="O45" s="3791"/>
      <c r="P45" s="3791"/>
      <c r="Q45" s="3791">
        <f>+L45+1</f>
        <v>1997</v>
      </c>
      <c r="R45" s="3791"/>
      <c r="S45" s="3791"/>
      <c r="T45" s="3791"/>
      <c r="U45" s="3791"/>
      <c r="V45" s="3791">
        <f>+Q45+1</f>
        <v>1998</v>
      </c>
      <c r="W45" s="3791"/>
      <c r="X45" s="3791"/>
      <c r="Y45" s="3791"/>
      <c r="Z45" s="3791"/>
      <c r="AA45" s="3791">
        <f>+V45+1</f>
        <v>1999</v>
      </c>
      <c r="AB45" s="3791"/>
      <c r="AC45" s="3791"/>
      <c r="AD45" s="3791"/>
      <c r="AE45" s="3791"/>
      <c r="AF45" s="3791">
        <f>+AA45+1</f>
        <v>2000</v>
      </c>
      <c r="AG45" s="3791"/>
      <c r="AH45" s="3791"/>
      <c r="AI45" s="3791"/>
      <c r="AJ45" s="3791"/>
      <c r="AK45" s="3791">
        <f>+AF45+1</f>
        <v>2001</v>
      </c>
      <c r="AL45" s="3791"/>
      <c r="AM45" s="3791"/>
      <c r="AN45" s="3791"/>
      <c r="AO45" s="3791"/>
      <c r="AP45" s="3791">
        <f>+AK45+1</f>
        <v>2002</v>
      </c>
      <c r="AQ45" s="3791"/>
      <c r="AR45" s="3791"/>
      <c r="AS45" s="3791"/>
      <c r="AT45" s="3791"/>
      <c r="AU45" s="3791">
        <f>+AP45+1</f>
        <v>2003</v>
      </c>
      <c r="AV45" s="3791"/>
      <c r="AW45" s="3791"/>
      <c r="AX45" s="3791"/>
      <c r="AY45" s="3791"/>
      <c r="AZ45" s="3791">
        <f>+AU45+1</f>
        <v>2004</v>
      </c>
      <c r="BA45" s="3791"/>
      <c r="BB45" s="3791"/>
      <c r="BC45" s="3791"/>
      <c r="BD45" s="3791"/>
      <c r="BE45" s="3791">
        <f>+AZ45+1</f>
        <v>2005</v>
      </c>
      <c r="BF45" s="3791"/>
      <c r="BG45" s="3791"/>
      <c r="BH45" s="3791"/>
      <c r="BI45" s="3791"/>
      <c r="BJ45" s="3791">
        <f>+BE45+1</f>
        <v>2006</v>
      </c>
      <c r="BK45" s="3791"/>
      <c r="BL45" s="3791"/>
      <c r="BM45" s="3791"/>
      <c r="BN45" s="3791"/>
      <c r="BO45" s="3791">
        <f>+BJ45+1</f>
        <v>2007</v>
      </c>
      <c r="BP45" s="3791"/>
      <c r="BQ45" s="3791"/>
      <c r="BR45" s="3791"/>
      <c r="BS45" s="3791"/>
      <c r="BT45" s="3791">
        <f>+BO45+1</f>
        <v>2008</v>
      </c>
      <c r="BU45" s="3791"/>
      <c r="BV45" s="3791"/>
      <c r="BW45" s="3791"/>
      <c r="BX45" s="3791"/>
      <c r="BY45" s="3791">
        <f>+BT45+1</f>
        <v>2009</v>
      </c>
      <c r="BZ45" s="3791"/>
      <c r="CA45" s="3791"/>
      <c r="CB45" s="3791"/>
      <c r="CC45" s="3791"/>
      <c r="CD45" s="3791">
        <f>+BY45+1</f>
        <v>2010</v>
      </c>
      <c r="CE45" s="3791"/>
      <c r="CF45" s="3791"/>
      <c r="CG45" s="3791"/>
      <c r="CH45" s="3791"/>
      <c r="CI45" s="3791">
        <f>+CD45+1</f>
        <v>2011</v>
      </c>
      <c r="CJ45" s="3791"/>
      <c r="CK45" s="3791"/>
      <c r="CL45" s="3791"/>
      <c r="CM45" s="3791"/>
      <c r="CN45" s="3791">
        <f>+CI45+1</f>
        <v>2012</v>
      </c>
      <c r="CO45" s="3791"/>
      <c r="CP45" s="3791"/>
      <c r="CQ45" s="3791"/>
      <c r="CR45" s="3791"/>
      <c r="CS45" s="3791">
        <f>+CN45+1</f>
        <v>2013</v>
      </c>
      <c r="CT45" s="3791"/>
      <c r="CU45" s="3791"/>
      <c r="CV45" s="3791"/>
      <c r="CW45" s="3791"/>
      <c r="CX45" s="3802">
        <f>+CS45+1</f>
        <v>2014</v>
      </c>
      <c r="CY45" s="3803"/>
      <c r="CZ45" s="3803"/>
      <c r="DA45" s="3803"/>
      <c r="DB45" s="3804"/>
      <c r="DC45" s="3802">
        <f>+CX45+1</f>
        <v>2015</v>
      </c>
      <c r="DD45" s="3803"/>
      <c r="DE45" s="3803"/>
      <c r="DF45" s="3803"/>
      <c r="DG45" s="3804"/>
      <c r="DH45" s="3791">
        <f>+DC45+1</f>
        <v>2016</v>
      </c>
      <c r="DI45" s="3791"/>
      <c r="DJ45" s="3791"/>
      <c r="DK45" s="3791"/>
      <c r="DL45" s="3791"/>
      <c r="DM45" s="3791">
        <f>+DH45+1</f>
        <v>2017</v>
      </c>
      <c r="DN45" s="3791"/>
      <c r="DO45" s="3791"/>
      <c r="DP45" s="3791"/>
      <c r="DQ45" s="3791"/>
      <c r="DR45" s="3791">
        <f>+DM45+1</f>
        <v>2018</v>
      </c>
      <c r="DS45" s="3791"/>
      <c r="DT45" s="3791"/>
      <c r="DU45" s="3791"/>
      <c r="DV45" s="3791"/>
      <c r="DW45" s="3791">
        <f>+DR45+1</f>
        <v>2019</v>
      </c>
      <c r="DX45" s="3791"/>
      <c r="DY45" s="3791"/>
      <c r="DZ45" s="3791"/>
      <c r="EA45" s="3791"/>
      <c r="EB45" s="3791">
        <f>+DW45+1</f>
        <v>2020</v>
      </c>
      <c r="EC45" s="3791"/>
      <c r="ED45" s="3791"/>
      <c r="EE45" s="3791"/>
      <c r="EF45" s="3791"/>
    </row>
    <row r="46" spans="1:136">
      <c r="A46" s="1505"/>
      <c r="C46" s="811"/>
      <c r="D46" s="3815"/>
      <c r="E46" s="3805"/>
      <c r="F46" s="3806"/>
      <c r="G46" s="1300" t="s">
        <v>396</v>
      </c>
      <c r="H46" s="1297" t="s">
        <v>1774</v>
      </c>
      <c r="I46" s="1296" t="s">
        <v>1249</v>
      </c>
      <c r="J46" s="1297" t="s">
        <v>1772</v>
      </c>
      <c r="K46" s="1296" t="s">
        <v>1250</v>
      </c>
      <c r="L46" s="1296" t="s">
        <v>396</v>
      </c>
      <c r="M46" s="1297" t="s">
        <v>1774</v>
      </c>
      <c r="N46" s="1296" t="s">
        <v>1249</v>
      </c>
      <c r="O46" s="1297" t="s">
        <v>1772</v>
      </c>
      <c r="P46" s="1296" t="s">
        <v>1250</v>
      </c>
      <c r="Q46" s="1296" t="s">
        <v>396</v>
      </c>
      <c r="R46" s="1297" t="s">
        <v>1774</v>
      </c>
      <c r="S46" s="1296" t="s">
        <v>1249</v>
      </c>
      <c r="T46" s="1297" t="s">
        <v>1772</v>
      </c>
      <c r="U46" s="1296" t="s">
        <v>1250</v>
      </c>
      <c r="V46" s="1296" t="s">
        <v>396</v>
      </c>
      <c r="W46" s="1297" t="s">
        <v>1774</v>
      </c>
      <c r="X46" s="1296" t="s">
        <v>1249</v>
      </c>
      <c r="Y46" s="1297" t="s">
        <v>1772</v>
      </c>
      <c r="Z46" s="1296" t="s">
        <v>1250</v>
      </c>
      <c r="AA46" s="1296" t="s">
        <v>396</v>
      </c>
      <c r="AB46" s="1297" t="s">
        <v>1774</v>
      </c>
      <c r="AC46" s="1296" t="s">
        <v>1249</v>
      </c>
      <c r="AD46" s="1297" t="s">
        <v>1772</v>
      </c>
      <c r="AE46" s="1296" t="s">
        <v>1250</v>
      </c>
      <c r="AF46" s="1296" t="s">
        <v>396</v>
      </c>
      <c r="AG46" s="1297" t="s">
        <v>1774</v>
      </c>
      <c r="AH46" s="1296" t="s">
        <v>1249</v>
      </c>
      <c r="AI46" s="1297" t="s">
        <v>1772</v>
      </c>
      <c r="AJ46" s="1296" t="s">
        <v>1250</v>
      </c>
      <c r="AK46" s="1296" t="s">
        <v>396</v>
      </c>
      <c r="AL46" s="1297" t="s">
        <v>1774</v>
      </c>
      <c r="AM46" s="1296" t="s">
        <v>1249</v>
      </c>
      <c r="AN46" s="1297" t="s">
        <v>1772</v>
      </c>
      <c r="AO46" s="1296" t="s">
        <v>1250</v>
      </c>
      <c r="AP46" s="1296" t="s">
        <v>396</v>
      </c>
      <c r="AQ46" s="1297" t="s">
        <v>1774</v>
      </c>
      <c r="AR46" s="1296" t="s">
        <v>1249</v>
      </c>
      <c r="AS46" s="1297" t="s">
        <v>1772</v>
      </c>
      <c r="AT46" s="1296" t="s">
        <v>1250</v>
      </c>
      <c r="AU46" s="1296" t="s">
        <v>396</v>
      </c>
      <c r="AV46" s="1297" t="s">
        <v>1774</v>
      </c>
      <c r="AW46" s="1296" t="s">
        <v>1249</v>
      </c>
      <c r="AX46" s="1297" t="s">
        <v>1772</v>
      </c>
      <c r="AY46" s="1296" t="s">
        <v>1250</v>
      </c>
      <c r="AZ46" s="1296" t="s">
        <v>396</v>
      </c>
      <c r="BA46" s="1297" t="s">
        <v>1774</v>
      </c>
      <c r="BB46" s="1296" t="s">
        <v>1249</v>
      </c>
      <c r="BC46" s="1297" t="s">
        <v>1772</v>
      </c>
      <c r="BD46" s="1296" t="s">
        <v>1250</v>
      </c>
      <c r="BE46" s="1296" t="s">
        <v>396</v>
      </c>
      <c r="BF46" s="1297" t="s">
        <v>1774</v>
      </c>
      <c r="BG46" s="1296" t="s">
        <v>1249</v>
      </c>
      <c r="BH46" s="1297" t="s">
        <v>1772</v>
      </c>
      <c r="BI46" s="1296" t="s">
        <v>1250</v>
      </c>
      <c r="BJ46" s="1296" t="s">
        <v>396</v>
      </c>
      <c r="BK46" s="1297" t="s">
        <v>1774</v>
      </c>
      <c r="BL46" s="1296" t="s">
        <v>1249</v>
      </c>
      <c r="BM46" s="1297" t="s">
        <v>1772</v>
      </c>
      <c r="BN46" s="1296" t="s">
        <v>1250</v>
      </c>
      <c r="BO46" s="1296" t="s">
        <v>396</v>
      </c>
      <c r="BP46" s="1297" t="s">
        <v>1774</v>
      </c>
      <c r="BQ46" s="1296" t="s">
        <v>1249</v>
      </c>
      <c r="BR46" s="1297" t="s">
        <v>1772</v>
      </c>
      <c r="BS46" s="1296" t="s">
        <v>1250</v>
      </c>
      <c r="BT46" s="1296" t="s">
        <v>396</v>
      </c>
      <c r="BU46" s="1297" t="s">
        <v>1774</v>
      </c>
      <c r="BV46" s="1296" t="s">
        <v>1249</v>
      </c>
      <c r="BW46" s="1297" t="s">
        <v>1772</v>
      </c>
      <c r="BX46" s="1296" t="s">
        <v>1250</v>
      </c>
      <c r="BY46" s="1296" t="s">
        <v>396</v>
      </c>
      <c r="BZ46" s="1297" t="s">
        <v>1774</v>
      </c>
      <c r="CA46" s="1296" t="s">
        <v>1249</v>
      </c>
      <c r="CB46" s="1297" t="s">
        <v>1772</v>
      </c>
      <c r="CC46" s="1296" t="s">
        <v>1250</v>
      </c>
      <c r="CD46" s="1296" t="s">
        <v>396</v>
      </c>
      <c r="CE46" s="1297" t="s">
        <v>1774</v>
      </c>
      <c r="CF46" s="1296" t="s">
        <v>1249</v>
      </c>
      <c r="CG46" s="1297" t="s">
        <v>1772</v>
      </c>
      <c r="CH46" s="1296" t="s">
        <v>1250</v>
      </c>
      <c r="CI46" s="1296" t="s">
        <v>396</v>
      </c>
      <c r="CJ46" s="1297" t="s">
        <v>1774</v>
      </c>
      <c r="CK46" s="1296" t="s">
        <v>1249</v>
      </c>
      <c r="CL46" s="1297" t="s">
        <v>1772</v>
      </c>
      <c r="CM46" s="1296" t="s">
        <v>1250</v>
      </c>
      <c r="CN46" s="1296" t="s">
        <v>396</v>
      </c>
      <c r="CO46" s="1297" t="s">
        <v>1774</v>
      </c>
      <c r="CP46" s="1296" t="s">
        <v>1249</v>
      </c>
      <c r="CQ46" s="1297" t="s">
        <v>1772</v>
      </c>
      <c r="CR46" s="1296" t="s">
        <v>1250</v>
      </c>
      <c r="CS46" s="1296" t="s">
        <v>396</v>
      </c>
      <c r="CT46" s="1297" t="s">
        <v>1774</v>
      </c>
      <c r="CU46" s="1296" t="s">
        <v>1249</v>
      </c>
      <c r="CV46" s="1297" t="s">
        <v>1772</v>
      </c>
      <c r="CW46" s="1296" t="s">
        <v>1250</v>
      </c>
      <c r="CX46" s="1296" t="s">
        <v>396</v>
      </c>
      <c r="CY46" s="1297" t="s">
        <v>1774</v>
      </c>
      <c r="CZ46" s="1296" t="s">
        <v>1249</v>
      </c>
      <c r="DA46" s="1297" t="s">
        <v>1772</v>
      </c>
      <c r="DB46" s="1296" t="s">
        <v>1250</v>
      </c>
      <c r="DC46" s="1296" t="s">
        <v>396</v>
      </c>
      <c r="DD46" s="1297" t="s">
        <v>1774</v>
      </c>
      <c r="DE46" s="1296" t="s">
        <v>1249</v>
      </c>
      <c r="DF46" s="1297" t="s">
        <v>1772</v>
      </c>
      <c r="DG46" s="1296" t="s">
        <v>1250</v>
      </c>
      <c r="DH46" s="1296" t="s">
        <v>396</v>
      </c>
      <c r="DI46" s="1297" t="s">
        <v>1774</v>
      </c>
      <c r="DJ46" s="1296" t="s">
        <v>1249</v>
      </c>
      <c r="DK46" s="1297" t="s">
        <v>1772</v>
      </c>
      <c r="DL46" s="1296" t="s">
        <v>1250</v>
      </c>
      <c r="DM46" s="1296" t="s">
        <v>396</v>
      </c>
      <c r="DN46" s="1297" t="s">
        <v>1774</v>
      </c>
      <c r="DO46" s="1296" t="s">
        <v>1249</v>
      </c>
      <c r="DP46" s="1297" t="s">
        <v>1772</v>
      </c>
      <c r="DQ46" s="1296" t="s">
        <v>1250</v>
      </c>
      <c r="DR46" s="1296" t="s">
        <v>396</v>
      </c>
      <c r="DS46" s="1297" t="s">
        <v>1774</v>
      </c>
      <c r="DT46" s="1296" t="s">
        <v>1249</v>
      </c>
      <c r="DU46" s="1297" t="s">
        <v>1772</v>
      </c>
      <c r="DV46" s="1296" t="s">
        <v>1250</v>
      </c>
      <c r="DW46" s="1296" t="s">
        <v>396</v>
      </c>
      <c r="DX46" s="1297" t="s">
        <v>1774</v>
      </c>
      <c r="DY46" s="1296" t="s">
        <v>1249</v>
      </c>
      <c r="DZ46" s="1297" t="s">
        <v>1772</v>
      </c>
      <c r="EA46" s="1296" t="s">
        <v>1250</v>
      </c>
      <c r="EB46" s="1296" t="s">
        <v>396</v>
      </c>
      <c r="EC46" s="1297" t="s">
        <v>1774</v>
      </c>
      <c r="ED46" s="1296" t="s">
        <v>1249</v>
      </c>
      <c r="EE46" s="1297" t="s">
        <v>1772</v>
      </c>
      <c r="EF46" s="1296" t="s">
        <v>1250</v>
      </c>
    </row>
    <row r="47" spans="1:136">
      <c r="A47" s="1505"/>
      <c r="C47" s="816" t="s">
        <v>1791</v>
      </c>
      <c r="D47" s="3092" t="s">
        <v>666</v>
      </c>
      <c r="E47" s="3093" t="s">
        <v>1754</v>
      </c>
      <c r="F47" s="3094" t="s">
        <v>1624</v>
      </c>
      <c r="G47" s="1445"/>
      <c r="H47" s="1304"/>
      <c r="I47" s="1446"/>
      <c r="J47" s="1272">
        <f ca="1">OFFSET('VVP2'!$G$191,0,(COLUMN()-6)/5)</f>
        <v>333.61399999999998</v>
      </c>
      <c r="K47" s="1265"/>
      <c r="L47" s="1285"/>
      <c r="M47" s="1286"/>
      <c r="N47" s="1287"/>
      <c r="O47" s="1272">
        <f ca="1">OFFSET('VVP2'!$G$191,0,(COLUMN()-6)/5)</f>
        <v>350.78</v>
      </c>
      <c r="P47" s="1305">
        <f ca="1">(O47/J47-1)*100</f>
        <v>5.145467516351232</v>
      </c>
      <c r="Q47" s="1285"/>
      <c r="R47" s="1286"/>
      <c r="S47" s="1287"/>
      <c r="T47" s="1272">
        <f ca="1">OFFSET('VVP2'!$G$191,0,(COLUMN()-6)/5)</f>
        <v>357.50400000000002</v>
      </c>
      <c r="U47" s="1305">
        <f ca="1">(T47/O47-1)*100</f>
        <v>1.9168709732596101</v>
      </c>
      <c r="V47" s="1285"/>
      <c r="W47" s="1286"/>
      <c r="X47" s="1287"/>
      <c r="Y47" s="1272">
        <f ca="1">OFFSET('VVP2'!$G$191,0,(COLUMN()-6)/5)</f>
        <v>380.68099999999998</v>
      </c>
      <c r="Z47" s="1305">
        <f ca="1">(Y47/T47-1)*100</f>
        <v>6.4830043859648967</v>
      </c>
      <c r="AA47" s="1285"/>
      <c r="AB47" s="1286"/>
      <c r="AC47" s="1287"/>
      <c r="AD47" s="1272">
        <f ca="1">OFFSET('VVP2'!$G$191,0,(COLUMN()-6)/5)</f>
        <v>397.43200000000002</v>
      </c>
      <c r="AE47" s="1305">
        <f ca="1">(AD47/Y47-1)*100</f>
        <v>4.4002721438684889</v>
      </c>
      <c r="AF47" s="1285"/>
      <c r="AG47" s="1286"/>
      <c r="AH47" s="1287"/>
      <c r="AI47" s="1272">
        <f ca="1">OFFSET('VVP2'!$G$191,0,(COLUMN()-6)/5)</f>
        <v>405.01900000000001</v>
      </c>
      <c r="AJ47" s="1305">
        <f ca="1">(AI47/AD47-1)*100</f>
        <v>1.9090058173473645</v>
      </c>
      <c r="AK47" s="1285"/>
      <c r="AL47" s="1286"/>
      <c r="AM47" s="1287"/>
      <c r="AN47" s="1272">
        <f ca="1">OFFSET('VVP2'!$G$191,0,(COLUMN()-6)/5)</f>
        <v>440.12200000000001</v>
      </c>
      <c r="AO47" s="1305">
        <f ca="1">(AN47/AI47-1)*100</f>
        <v>8.6670008073695293</v>
      </c>
      <c r="AP47" s="1285"/>
      <c r="AQ47" s="1286"/>
      <c r="AR47" s="1287"/>
      <c r="AS47" s="1272">
        <f ca="1">OFFSET('VVP2'!$G$191,0,(COLUMN()-6)/5)</f>
        <v>473.24400000000003</v>
      </c>
      <c r="AT47" s="1305">
        <f ca="1">(AS47/AN47-1)*100</f>
        <v>7.5256406178286994</v>
      </c>
      <c r="AU47" s="1285"/>
      <c r="AV47" s="1286"/>
      <c r="AW47" s="1287"/>
      <c r="AX47" s="1272">
        <f ca="1">OFFSET('VVP2'!$G$191,0,(COLUMN()-6)/5)</f>
        <v>499.90300000000002</v>
      </c>
      <c r="AY47" s="1305">
        <f ca="1">(AX47/AS47-1)*100</f>
        <v>5.6332462746490064</v>
      </c>
      <c r="AZ47" s="1285"/>
      <c r="BA47" s="1286"/>
      <c r="BB47" s="1287"/>
      <c r="BC47" s="1272">
        <f ca="1">OFFSET('VVP2'!$G$191,0,(COLUMN()-6)/5)</f>
        <v>508.31900000000002</v>
      </c>
      <c r="BD47" s="1305">
        <f ca="1">(BC47/AX47-1)*100</f>
        <v>1.6835266041612007</v>
      </c>
      <c r="BE47" s="1285"/>
      <c r="BF47" s="1286"/>
      <c r="BG47" s="1287"/>
      <c r="BH47" s="1272">
        <f ca="1">OFFSET('VVP2'!$G$191,0,(COLUMN()-6)/5)</f>
        <v>526.24900000000002</v>
      </c>
      <c r="BI47" s="1305">
        <f ca="1">(BH47/BC47-1)*100</f>
        <v>3.527312573403707</v>
      </c>
      <c r="BJ47" s="1285"/>
      <c r="BK47" s="1286"/>
      <c r="BL47" s="1287"/>
      <c r="BM47" s="1272">
        <f ca="1">OFFSET('VVP2'!$G$191,0,(COLUMN()-6)/5)</f>
        <v>555.07299999999998</v>
      </c>
      <c r="BN47" s="1305">
        <f ca="1">(BM47/BH47-1)*100</f>
        <v>5.4772550636675632</v>
      </c>
      <c r="BO47" s="1285"/>
      <c r="BP47" s="1286"/>
      <c r="BQ47" s="1287"/>
      <c r="BR47" s="1272">
        <f ca="1">OFFSET('VVP2'!$G$191,0,(COLUMN()-6)/5)</f>
        <v>580.89300000000003</v>
      </c>
      <c r="BS47" s="1305">
        <f ca="1">(BR47/BM47-1)*100</f>
        <v>4.6516404148643664</v>
      </c>
      <c r="BT47" s="1285"/>
      <c r="BU47" s="1286"/>
      <c r="BV47" s="1287"/>
      <c r="BW47" s="1272">
        <f ca="1">OFFSET('VVP2'!$G$191,0,(COLUMN()-6)/5)</f>
        <v>606.57299999999998</v>
      </c>
      <c r="BX47" s="1305">
        <f ca="1">(BW47/BR47-1)*100</f>
        <v>4.4207797305183538</v>
      </c>
      <c r="BY47" s="1285"/>
      <c r="BZ47" s="1286"/>
      <c r="CA47" s="1287"/>
      <c r="CB47" s="1272">
        <f ca="1">OFFSET('VVP2'!$G$191,0,(COLUMN()-6)/5)</f>
        <v>621.86199999999997</v>
      </c>
      <c r="CC47" s="1305">
        <f ca="1">(CB47/BW47-1)*100</f>
        <v>2.5205539976226987</v>
      </c>
      <c r="CD47" s="1285"/>
      <c r="CE47" s="1286"/>
      <c r="CF47" s="1287"/>
      <c r="CG47" s="1272">
        <f ca="1">OFFSET('VVP2'!$G$191,0,(COLUMN()-6)/5)</f>
        <v>640.00199999999995</v>
      </c>
      <c r="CH47" s="1305">
        <f ca="1">(CG47/CB47-1)*100</f>
        <v>2.9170459040751773</v>
      </c>
      <c r="CI47" s="1285"/>
      <c r="CJ47" s="1286"/>
      <c r="CK47" s="1287"/>
      <c r="CL47" s="1272">
        <f ca="1">OFFSET('VVP2'!$G$191,0,(COLUMN()-6)/5)</f>
        <v>663.51400000000001</v>
      </c>
      <c r="CM47" s="1305">
        <f ca="1">(CL47/CG47-1)*100</f>
        <v>3.6737385195671379</v>
      </c>
      <c r="CN47" s="1285"/>
      <c r="CO47" s="1286"/>
      <c r="CP47" s="1287"/>
      <c r="CQ47" s="1272">
        <f ca="1">OFFSET('VVP2'!$G$191,0,(COLUMN()-6)/5)</f>
        <v>683.65700000000004</v>
      </c>
      <c r="CR47" s="1305">
        <f ca="1">(CQ47/CL47-1)*100</f>
        <v>3.0358063281257008</v>
      </c>
      <c r="CS47" s="1285"/>
      <c r="CT47" s="1286"/>
      <c r="CU47" s="1287"/>
      <c r="CV47" s="1272">
        <f ca="1">OFFSET('VVP2'!$G$191,0,(COLUMN()-6)/5)</f>
        <v>709.53599999999994</v>
      </c>
      <c r="CW47" s="1305">
        <f ca="1">(CV47/CQ47-1)*100</f>
        <v>3.7853777552193435</v>
      </c>
      <c r="CX47" s="1285"/>
      <c r="CY47" s="1286"/>
      <c r="CZ47" s="1287"/>
      <c r="DA47" s="1272">
        <f ca="1">OFFSET('VVP2'!$G$191,0,(COLUMN()-6)/5)</f>
        <v>740.25599999999997</v>
      </c>
      <c r="DB47" s="1305">
        <f ca="1">(DA47/CV47-1)*100</f>
        <v>4.3295900419429101</v>
      </c>
      <c r="DC47" s="1285"/>
      <c r="DD47" s="1286"/>
      <c r="DE47" s="1287"/>
      <c r="DF47" s="1272">
        <f ca="1">OFFSET('VVP2'!$G$191,0,(COLUMN()-6)/5)</f>
        <v>786.80799999999999</v>
      </c>
      <c r="DG47" s="1305">
        <f ca="1">(DF47/DA47-1)*100</f>
        <v>6.2886352829291559</v>
      </c>
      <c r="DH47" s="1285"/>
      <c r="DI47" s="1286"/>
      <c r="DJ47" s="1287"/>
      <c r="DK47" s="1272">
        <f ca="1">OFFSET('VVP2'!$G$191,0,(COLUMN()-6)/5)</f>
        <v>847.62199999999996</v>
      </c>
      <c r="DL47" s="1305">
        <f ca="1">(DK47/DF47-1)*100</f>
        <v>7.7292045835832823</v>
      </c>
      <c r="DM47" s="1285"/>
      <c r="DN47" s="1286"/>
      <c r="DO47" s="1287"/>
      <c r="DP47" s="1272">
        <f ca="1">OFFSET('VVP2'!$G$191,0,(COLUMN()-6)/5)</f>
        <v>881.56100000000004</v>
      </c>
      <c r="DQ47" s="1305">
        <f ca="1">(DP47/DK47-1)*100</f>
        <v>4.0040253792374525</v>
      </c>
      <c r="DR47" s="1285"/>
      <c r="DS47" s="1286"/>
      <c r="DT47" s="1287"/>
      <c r="DU47" s="1960">
        <f ca="1">+DU49-DU48</f>
        <v>923.69660129960005</v>
      </c>
      <c r="DV47" s="2315">
        <f ca="1">+DU47/DP47*100-100</f>
        <v>4.7796580497095391</v>
      </c>
      <c r="DW47" s="1285"/>
      <c r="DX47" s="1286"/>
      <c r="DY47" s="1287"/>
      <c r="DZ47" s="1960">
        <f ca="1">+DZ49-DZ48</f>
        <v>959.81677210372459</v>
      </c>
      <c r="EA47" s="2315">
        <f ca="1">+DZ47/DU47*100-100</f>
        <v>3.9103933860214539</v>
      </c>
      <c r="EB47" s="1285"/>
      <c r="EC47" s="1286"/>
      <c r="ED47" s="1287"/>
      <c r="EE47" s="1960">
        <f ca="1">+EE49-EE48</f>
        <v>996.80155976371452</v>
      </c>
      <c r="EF47" s="2315">
        <f ca="1">+EE47/DZ47*100-100</f>
        <v>3.8533175013108831</v>
      </c>
    </row>
    <row r="48" spans="1:136">
      <c r="A48" s="1505"/>
      <c r="C48" s="879" t="s">
        <v>1791</v>
      </c>
      <c r="D48" s="713" t="s">
        <v>666</v>
      </c>
      <c r="E48" s="1306" t="s">
        <v>1755</v>
      </c>
      <c r="F48" s="1270" t="s">
        <v>1625</v>
      </c>
      <c r="G48" s="1350"/>
      <c r="H48" s="1273"/>
      <c r="I48" s="1351"/>
      <c r="J48" s="1275">
        <f ca="1">OFFSET('VVP2'!$G$192,0,(COLUMN()-6)/5)</f>
        <v>147.077</v>
      </c>
      <c r="K48" s="1250"/>
      <c r="L48" s="1290"/>
      <c r="M48" s="1291"/>
      <c r="N48" s="1292"/>
      <c r="O48" s="1275">
        <f ca="1">OFFSET('VVP2'!$G$192,0,(COLUMN()-6)/5)</f>
        <v>149.41900000000001</v>
      </c>
      <c r="P48" s="1262">
        <f ca="1">(O48/J48-1)*100</f>
        <v>1.5923631839104724</v>
      </c>
      <c r="Q48" s="1290"/>
      <c r="R48" s="1291"/>
      <c r="S48" s="1292"/>
      <c r="T48" s="1275">
        <f ca="1">OFFSET('VVP2'!$G$192,0,(COLUMN()-6)/5)</f>
        <v>155.59299999999999</v>
      </c>
      <c r="U48" s="1262">
        <f ca="1">(T48/O48-1)*100</f>
        <v>4.1320046312717684</v>
      </c>
      <c r="V48" s="1290"/>
      <c r="W48" s="1291"/>
      <c r="X48" s="1292"/>
      <c r="Y48" s="1275">
        <f ca="1">OFFSET('VVP2'!$G$192,0,(COLUMN()-6)/5)</f>
        <v>160.21600000000001</v>
      </c>
      <c r="Z48" s="1262">
        <f ca="1">(Y48/T48-1)*100</f>
        <v>2.9712133579274269</v>
      </c>
      <c r="AA48" s="1290"/>
      <c r="AB48" s="1291"/>
      <c r="AC48" s="1292"/>
      <c r="AD48" s="1275">
        <f ca="1">OFFSET('VVP2'!$G$192,0,(COLUMN()-6)/5)</f>
        <v>171.64</v>
      </c>
      <c r="AE48" s="1262">
        <f ca="1">(AD48/Y48-1)*100</f>
        <v>7.130373995106587</v>
      </c>
      <c r="AF48" s="1290"/>
      <c r="AG48" s="1291"/>
      <c r="AH48" s="1292"/>
      <c r="AI48" s="1275">
        <f ca="1">OFFSET('VVP2'!$G$192,0,(COLUMN()-6)/5)</f>
        <v>179.05500000000001</v>
      </c>
      <c r="AJ48" s="1262">
        <f ca="1">(AI48/AD48-1)*100</f>
        <v>4.3200885574458336</v>
      </c>
      <c r="AK48" s="1290"/>
      <c r="AL48" s="1291"/>
      <c r="AM48" s="1292"/>
      <c r="AN48" s="1275">
        <f ca="1">OFFSET('VVP2'!$G$192,0,(COLUMN()-6)/5)</f>
        <v>172.517</v>
      </c>
      <c r="AO48" s="1262">
        <f ca="1">(AN48/AI48-1)*100</f>
        <v>-3.6513920303817282</v>
      </c>
      <c r="AP48" s="1290"/>
      <c r="AQ48" s="1291"/>
      <c r="AR48" s="1292"/>
      <c r="AS48" s="1275">
        <f ca="1">OFFSET('VVP2'!$G$192,0,(COLUMN()-6)/5)</f>
        <v>181.41399999999999</v>
      </c>
      <c r="AT48" s="1262">
        <f ca="1">(AS48/AN48-1)*100</f>
        <v>5.1571729162922963</v>
      </c>
      <c r="AU48" s="1290"/>
      <c r="AV48" s="1291"/>
      <c r="AW48" s="1292"/>
      <c r="AX48" s="1275">
        <f ca="1">OFFSET('VVP2'!$G$192,0,(COLUMN()-6)/5)</f>
        <v>188.52099999999999</v>
      </c>
      <c r="AY48" s="1262">
        <f ca="1">(AX48/AS48-1)*100</f>
        <v>3.9175587330636086</v>
      </c>
      <c r="AZ48" s="1290"/>
      <c r="BA48" s="1291"/>
      <c r="BB48" s="1292"/>
      <c r="BC48" s="1275">
        <f ca="1">OFFSET('VVP2'!$G$192,0,(COLUMN()-6)/5)</f>
        <v>192.70099999999999</v>
      </c>
      <c r="BD48" s="1262">
        <f ca="1">(BC48/AX48-1)*100</f>
        <v>2.2172596156396329</v>
      </c>
      <c r="BE48" s="1290"/>
      <c r="BF48" s="1291"/>
      <c r="BG48" s="1292"/>
      <c r="BH48" s="1275">
        <f ca="1">OFFSET('VVP2'!$G$192,0,(COLUMN()-6)/5)</f>
        <v>196.393</v>
      </c>
      <c r="BI48" s="1262">
        <f ca="1">(BH48/BC48-1)*100</f>
        <v>1.9159215572311483</v>
      </c>
      <c r="BJ48" s="1290"/>
      <c r="BK48" s="1291"/>
      <c r="BL48" s="1292"/>
      <c r="BM48" s="1275">
        <f ca="1">OFFSET('VVP2'!$G$192,0,(COLUMN()-6)/5)</f>
        <v>206.482</v>
      </c>
      <c r="BN48" s="1262">
        <f ca="1">(BM48/BH48-1)*100</f>
        <v>5.137148472705233</v>
      </c>
      <c r="BO48" s="1290"/>
      <c r="BP48" s="1291"/>
      <c r="BQ48" s="1292"/>
      <c r="BR48" s="1275">
        <f ca="1">OFFSET('VVP2'!$G$192,0,(COLUMN()-6)/5)</f>
        <v>212.566</v>
      </c>
      <c r="BS48" s="1262">
        <f ca="1">(BR48/BM48-1)*100</f>
        <v>2.946503811470258</v>
      </c>
      <c r="BT48" s="1290"/>
      <c r="BU48" s="1291"/>
      <c r="BV48" s="1292"/>
      <c r="BW48" s="1275">
        <f ca="1">OFFSET('VVP2'!$G$192,0,(COLUMN()-6)/5)</f>
        <v>226.792</v>
      </c>
      <c r="BX48" s="1262">
        <f ca="1">(BW48/BR48-1)*100</f>
        <v>6.6925096205413759</v>
      </c>
      <c r="BY48" s="1290"/>
      <c r="BZ48" s="1291"/>
      <c r="CA48" s="1292"/>
      <c r="CB48" s="1275">
        <f ca="1">OFFSET('VVP2'!$G$192,0,(COLUMN()-6)/5)</f>
        <v>238.70599999999999</v>
      </c>
      <c r="CC48" s="1262">
        <f ca="1">(CB48/BW48-1)*100</f>
        <v>5.2532717203428669</v>
      </c>
      <c r="CD48" s="1290"/>
      <c r="CE48" s="1291"/>
      <c r="CF48" s="1292"/>
      <c r="CG48" s="1275">
        <f ca="1">OFFSET('VVP2'!$G$192,0,(COLUMN()-6)/5)</f>
        <v>246.37</v>
      </c>
      <c r="CH48" s="1262">
        <f ca="1">(CG48/CB48-1)*100</f>
        <v>3.2106440558678839</v>
      </c>
      <c r="CI48" s="1290"/>
      <c r="CJ48" s="1291"/>
      <c r="CK48" s="1292"/>
      <c r="CL48" s="1275">
        <f ca="1">OFFSET('VVP2'!$G$192,0,(COLUMN()-6)/5)</f>
        <v>257.30399999999997</v>
      </c>
      <c r="CM48" s="1262">
        <f ca="1">(CL48/CG48-1)*100</f>
        <v>4.4380403458213147</v>
      </c>
      <c r="CN48" s="1290"/>
      <c r="CO48" s="1291"/>
      <c r="CP48" s="1292"/>
      <c r="CQ48" s="1275">
        <f ca="1">OFFSET('VVP2'!$G$192,0,(COLUMN()-6)/5)</f>
        <v>271.25400000000002</v>
      </c>
      <c r="CR48" s="1262">
        <f ca="1">(CQ48/CL48-1)*100</f>
        <v>5.421602462456887</v>
      </c>
      <c r="CS48" s="1290"/>
      <c r="CT48" s="1291"/>
      <c r="CU48" s="1292"/>
      <c r="CV48" s="1275">
        <f ca="1">OFFSET('VVP2'!$G$192,0,(COLUMN()-6)/5)</f>
        <v>283.09500000000003</v>
      </c>
      <c r="CW48" s="1262">
        <f ca="1">(CV48/CQ48-1)*100</f>
        <v>4.3652812493087723</v>
      </c>
      <c r="CX48" s="1290"/>
      <c r="CY48" s="1291"/>
      <c r="CZ48" s="1292"/>
      <c r="DA48" s="1275">
        <f ca="1">OFFSET('VVP2'!$G$192,0,(COLUMN()-6)/5)</f>
        <v>291.25299999999999</v>
      </c>
      <c r="DB48" s="1262">
        <f ca="1">(DA48/CV48-1)*100</f>
        <v>2.8817181511506584</v>
      </c>
      <c r="DC48" s="1290"/>
      <c r="DD48" s="1291"/>
      <c r="DE48" s="1292"/>
      <c r="DF48" s="1275">
        <f ca="1">OFFSET('VVP2'!$G$192,0,(COLUMN()-6)/5)</f>
        <v>299.822</v>
      </c>
      <c r="DG48" s="1262">
        <f ca="1">(DF48/DA48-1)*100</f>
        <v>2.9421156176932195</v>
      </c>
      <c r="DH48" s="1290"/>
      <c r="DI48" s="1291"/>
      <c r="DJ48" s="1292"/>
      <c r="DK48" s="1275">
        <f ca="1">OFFSET('VVP2'!$G$192,0,(COLUMN()-6)/5)</f>
        <v>305.90600000000001</v>
      </c>
      <c r="DL48" s="1262">
        <f ca="1">(DK48/DF48-1)*100</f>
        <v>2.029203994369988</v>
      </c>
      <c r="DM48" s="1290"/>
      <c r="DN48" s="1291"/>
      <c r="DO48" s="1292"/>
      <c r="DP48" s="1275">
        <f ca="1">OFFSET('VVP2'!$G$192,0,(COLUMN()-6)/5)</f>
        <v>314.08800000000002</v>
      </c>
      <c r="DQ48" s="1262">
        <f ca="1">(DP48/DK48-1)*100</f>
        <v>2.6746778422129802</v>
      </c>
      <c r="DR48" s="1290"/>
      <c r="DS48" s="1291"/>
      <c r="DT48" s="1292"/>
      <c r="DU48" s="2308">
        <f ca="1">+DP48*(1+DV48/100)</f>
        <v>325.70925599999998</v>
      </c>
      <c r="DV48" s="2319">
        <v>3.7</v>
      </c>
      <c r="DW48" s="1290"/>
      <c r="DX48" s="1291"/>
      <c r="DY48" s="1292"/>
      <c r="DZ48" s="2308">
        <f ca="1">+DU48*(1+EA48/100)</f>
        <v>336.13195219199997</v>
      </c>
      <c r="EA48" s="2319">
        <v>3.2</v>
      </c>
      <c r="EB48" s="1290"/>
      <c r="EC48" s="1291"/>
      <c r="ED48" s="1292"/>
      <c r="EE48" s="2308">
        <f ca="1">+DZ48*(1+EF48/100)</f>
        <v>345.20751490118397</v>
      </c>
      <c r="EF48" s="2319">
        <v>2.7</v>
      </c>
    </row>
    <row r="49" spans="1:140" s="28" customFormat="1">
      <c r="A49" s="1505" t="s">
        <v>158</v>
      </c>
      <c r="C49" s="176" t="s">
        <v>1793</v>
      </c>
      <c r="D49" s="1301" t="s">
        <v>666</v>
      </c>
      <c r="E49" s="1301" t="s">
        <v>1998</v>
      </c>
      <c r="F49" s="1244" t="s">
        <v>1332</v>
      </c>
      <c r="G49" s="1302"/>
      <c r="H49" s="1302"/>
      <c r="I49" s="1302"/>
      <c r="J49" s="1303">
        <f ca="1">OFFSET('VVP2'!$G$193,0,(COLUMN()-6)/5)</f>
        <v>480.69099999999997</v>
      </c>
      <c r="K49" s="1302"/>
      <c r="L49" s="1278">
        <f ca="1">OFFSET('VVP2'!$G$16,0,(COLUMN()-7)/5)</f>
        <v>-0.12610582465436559</v>
      </c>
      <c r="M49" s="1278">
        <f ca="1">+J49*(1+L49/100)</f>
        <v>480.08482065041068</v>
      </c>
      <c r="N49" s="1278">
        <f ca="1">+O49/M49*100-100</f>
        <v>4.1897136681678546</v>
      </c>
      <c r="O49" s="1303">
        <f ca="1">OFFSET('VVP2'!$G$193,0,(COLUMN()-6)/5)</f>
        <v>500.19900000000001</v>
      </c>
      <c r="P49" s="1303">
        <f ca="1">(O49/J49-1)*100</f>
        <v>4.0583243705415883</v>
      </c>
      <c r="Q49" s="1278">
        <f ca="1">OFFSET('VVP2'!$G$16,0,(COLUMN()-7)/5)</f>
        <v>-0.46058410623160961</v>
      </c>
      <c r="R49" s="1278">
        <f ca="1">+O49*(1+Q49/100)</f>
        <v>497.89516290647055</v>
      </c>
      <c r="S49" s="1278">
        <f ca="1">+T49/R49*100-100</f>
        <v>3.0532204821570161</v>
      </c>
      <c r="T49" s="1303">
        <f ca="1">OFFSET('VVP2'!$G$193,0,(COLUMN()-6)/5)</f>
        <v>513.09699999999998</v>
      </c>
      <c r="U49" s="1303">
        <f ca="1">(T49/O49-1)*100</f>
        <v>2.5785737276563969</v>
      </c>
      <c r="V49" s="1278">
        <f ca="1">OFFSET('VVP2'!$G$16,0,(COLUMN()-7)/5)</f>
        <v>3.7946308867956802</v>
      </c>
      <c r="W49" s="1278">
        <f ca="1">+T49*(1+V49/100)</f>
        <v>532.56713724122199</v>
      </c>
      <c r="X49" s="1278">
        <f ca="1">+Y49/W49*100-100</f>
        <v>1.5640962756222621</v>
      </c>
      <c r="Y49" s="1303">
        <f ca="1">OFFSET('VVP2'!$G$193,0,(COLUMN()-6)/5)</f>
        <v>540.89700000000005</v>
      </c>
      <c r="Z49" s="1303">
        <f ca="1">(Y49/T49-1)*100</f>
        <v>5.4180788427919291</v>
      </c>
      <c r="AA49" s="1278">
        <f ca="1">OFFSET('VVP2'!$G$16,0,(COLUMN()-7)/5)</f>
        <v>1.7489539714230729</v>
      </c>
      <c r="AB49" s="1278">
        <f ca="1">+Y49*(1+AA49/100)</f>
        <v>550.35703956280827</v>
      </c>
      <c r="AC49" s="1278">
        <f ca="1">+AD49/AB49*100-100</f>
        <v>3.4005125930720368</v>
      </c>
      <c r="AD49" s="1303">
        <f ca="1">OFFSET('VVP2'!$G$193,0,(COLUMN()-6)/5)</f>
        <v>569.072</v>
      </c>
      <c r="AE49" s="1303">
        <f ca="1">(AD49/Y49-1)*100</f>
        <v>5.2089399645403711</v>
      </c>
      <c r="AF49" s="1278">
        <f ca="1">OFFSET('VVP2'!$G$16,0,(COLUMN()-7)/5)</f>
        <v>-0.90711123378360847</v>
      </c>
      <c r="AG49" s="1278">
        <f ca="1">+AD49*(1+AF49/100)</f>
        <v>563.90988395968293</v>
      </c>
      <c r="AH49" s="1278">
        <f ca="1">+AI49/AG49*100-100</f>
        <v>3.5757692166570791</v>
      </c>
      <c r="AI49" s="1303">
        <f ca="1">OFFSET('VVP2'!$G$193,0,(COLUMN()-6)/5)</f>
        <v>584.07399999999996</v>
      </c>
      <c r="AJ49" s="1303">
        <f ca="1">(AI49/AD49-1)*100</f>
        <v>2.636221778615</v>
      </c>
      <c r="AK49" s="1278">
        <f ca="1">OFFSET('VVP2'!$G$16,0,(COLUMN()-7)/5)</f>
        <v>0.17187906671523034</v>
      </c>
      <c r="AL49" s="1278">
        <f ca="1">+AI49*(1+AK49/100)</f>
        <v>585.07790094012626</v>
      </c>
      <c r="AM49" s="1278">
        <f ca="1">+AN49/AL49*100-100</f>
        <v>4.7106716927074928</v>
      </c>
      <c r="AN49" s="1303">
        <f ca="1">OFFSET('VVP2'!$G$193,0,(COLUMN()-6)/5)</f>
        <v>612.63900000000001</v>
      </c>
      <c r="AO49" s="1303">
        <f ca="1">(AN49/AI49-1)*100</f>
        <v>4.8906474179641668</v>
      </c>
      <c r="AP49" s="1278">
        <f ca="1">OFFSET('VVP2'!$G$16,0,(COLUMN()-7)/5)</f>
        <v>2.0992381926698611</v>
      </c>
      <c r="AQ49" s="1278">
        <f ca="1">+AN49*(1+AP49/100)</f>
        <v>625.49975187119071</v>
      </c>
      <c r="AR49" s="1278">
        <f ca="1">+AS49/AQ49*100-100</f>
        <v>4.6615922774680456</v>
      </c>
      <c r="AS49" s="1303">
        <f ca="1">OFFSET('VVP2'!$G$193,0,(COLUMN()-6)/5)</f>
        <v>654.65800000000002</v>
      </c>
      <c r="AT49" s="1303">
        <f ca="1">(AS49/AN49-1)*100</f>
        <v>6.8586883956130773</v>
      </c>
      <c r="AU49" s="1278">
        <f ca="1">OFFSET('VVP2'!$G$16,0,(COLUMN()-7)/5)</f>
        <v>0.67073127459196247</v>
      </c>
      <c r="AV49" s="1278">
        <f ca="1">+AS49*(1+AU49/100)</f>
        <v>659.04899594761821</v>
      </c>
      <c r="AW49" s="1278">
        <f ca="1">+AX49/AV49*100-100</f>
        <v>4.4571806091813642</v>
      </c>
      <c r="AX49" s="1303">
        <f ca="1">OFFSET('VVP2'!$G$193,0,(COLUMN()-6)/5)</f>
        <v>688.42399999999998</v>
      </c>
      <c r="AY49" s="1303">
        <f ca="1">(AX49/AS49-1)*100</f>
        <v>5.1578075880841512</v>
      </c>
      <c r="AZ49" s="1278">
        <f ca="1">OFFSET('VVP2'!$G$16,0,(COLUMN()-7)/5)</f>
        <v>-0.22993671192949039</v>
      </c>
      <c r="BA49" s="1278">
        <f ca="1">+AX49*(1+AZ49/100)</f>
        <v>686.8410604902665</v>
      </c>
      <c r="BB49" s="1278">
        <f ca="1">+BC49/BA49*100-100</f>
        <v>2.0643698120803293</v>
      </c>
      <c r="BC49" s="1303">
        <f ca="1">OFFSET('VVP2'!$G$193,0,(COLUMN()-6)/5)</f>
        <v>701.02</v>
      </c>
      <c r="BD49" s="1303">
        <f ca="1">(BC49/AX49-1)*100</f>
        <v>1.8296863560828713</v>
      </c>
      <c r="BE49" s="1278">
        <f ca="1">OFFSET('VVP2'!$G$16,0,(COLUMN()-7)/5)</f>
        <v>0.37185016978151797</v>
      </c>
      <c r="BF49" s="1278">
        <f ca="1">+BC49*(1+BE49/100)</f>
        <v>703.62674406020233</v>
      </c>
      <c r="BG49" s="1278">
        <f ca="1">+BH49/BF49*100-100</f>
        <v>2.7024635007578439</v>
      </c>
      <c r="BH49" s="1303">
        <f ca="1">OFFSET('VVP2'!$G$193,0,(COLUMN()-6)/5)</f>
        <v>722.64200000000005</v>
      </c>
      <c r="BI49" s="1303">
        <f ca="1">(BH49/BC49-1)*100</f>
        <v>3.0843627856552036</v>
      </c>
      <c r="BJ49" s="1278">
        <f ca="1">OFFSET('VVP2'!$G$16,0,(COLUMN()-7)/5)</f>
        <v>1.6116247303785691</v>
      </c>
      <c r="BK49" s="1278">
        <f ca="1">+BH49*(1+BJ49/100)</f>
        <v>734.2882771841023</v>
      </c>
      <c r="BL49" s="1278">
        <f ca="1">+BM49/BK49*100-100</f>
        <v>3.7133539596276677</v>
      </c>
      <c r="BM49" s="1303">
        <f ca="1">OFFSET('VVP2'!$G$193,0,(COLUMN()-6)/5)</f>
        <v>761.55499999999995</v>
      </c>
      <c r="BN49" s="1303">
        <f ca="1">(BM49/BH49-1)*100</f>
        <v>5.3848240207460707</v>
      </c>
      <c r="BO49" s="1278">
        <f ca="1">OFFSET('VVP2'!$G$16,0,(COLUMN()-7)/5)</f>
        <v>0.50144982675248695</v>
      </c>
      <c r="BP49" s="1278">
        <f ca="1">+BM49*(1+BO49/100)</f>
        <v>765.37381622812484</v>
      </c>
      <c r="BQ49" s="1278">
        <f ca="1">+BR49/BP49*100-100</f>
        <v>3.6694727695654592</v>
      </c>
      <c r="BR49" s="1303">
        <f ca="1">OFFSET('VVP2'!$G$193,0,(COLUMN()-6)/5)</f>
        <v>793.45899999999995</v>
      </c>
      <c r="BS49" s="1303">
        <f ca="1">(BR49/BM49-1)*100</f>
        <v>4.1893231611636716</v>
      </c>
      <c r="BT49" s="1278">
        <f ca="1">OFFSET('VVP2'!$G$16,0,(COLUMN()-7)/5)</f>
        <v>1.3358846932923107</v>
      </c>
      <c r="BU49" s="1278">
        <f ca="1">+BR49*(1+BT49/100)</f>
        <v>804.05869732855024</v>
      </c>
      <c r="BV49" s="1278">
        <f ca="1">+BW49/BU49*100-100</f>
        <v>3.6447964270293483</v>
      </c>
      <c r="BW49" s="1303">
        <f ca="1">OFFSET('VVP2'!$G$193,0,(COLUMN()-6)/5)</f>
        <v>833.36500000000001</v>
      </c>
      <c r="BX49" s="1303">
        <f ca="1">(BW49/BR49-1)*100</f>
        <v>5.0293713978920129</v>
      </c>
      <c r="BY49" s="1278">
        <f ca="1">OFFSET('VVP2'!$G$16,0,(COLUMN()-7)/5)</f>
        <v>2.2551175336794627</v>
      </c>
      <c r="BZ49" s="1278">
        <f ca="1">+BW49*(1+BY49/100)</f>
        <v>852.1583602345479</v>
      </c>
      <c r="CA49" s="1278">
        <f ca="1">+CB49/BZ49*100-100</f>
        <v>0.98686349367473269</v>
      </c>
      <c r="CB49" s="1303">
        <f ca="1">OFFSET('VVP2'!$G$193,0,(COLUMN()-6)/5)</f>
        <v>860.56799999999998</v>
      </c>
      <c r="CC49" s="1303">
        <f ca="1">(CB49/BW49-1)*100</f>
        <v>3.2642359590335568</v>
      </c>
      <c r="CD49" s="1278">
        <f ca="1">OFFSET('VVP2'!$G$16,0,(COLUMN()-7)/5)</f>
        <v>1.3140217343272864</v>
      </c>
      <c r="CE49" s="1278">
        <f ca="1">+CB49*(1+CD49/100)</f>
        <v>871.87605055866561</v>
      </c>
      <c r="CF49" s="1278">
        <f ca="1">+CG49/CE49*100-100</f>
        <v>1.6626158537152094</v>
      </c>
      <c r="CG49" s="1303">
        <f ca="1">OFFSET('VVP2'!$G$193,0,(COLUMN()-6)/5)</f>
        <v>886.37199999999996</v>
      </c>
      <c r="CH49" s="1303">
        <f ca="1">(CG49/CB49-1)*100</f>
        <v>2.9984847217186861</v>
      </c>
      <c r="CI49" s="1278">
        <f ca="1">OFFSET('VVP2'!$G$16,0,(COLUMN()-7)/5)</f>
        <v>0.82615876855316461</v>
      </c>
      <c r="CJ49" s="1278">
        <f ca="1">+CG49*(1+CI49/100)</f>
        <v>893.69484</v>
      </c>
      <c r="CK49" s="1278">
        <f ca="1">+CL49/CJ49*100-100</f>
        <v>3.0349464700948801</v>
      </c>
      <c r="CL49" s="1303">
        <f ca="1">OFFSET('VVP2'!$G$193,0,(COLUMN()-6)/5)</f>
        <v>920.81799999999998</v>
      </c>
      <c r="CM49" s="1303">
        <f ca="1">(CL49/CG49-1)*100</f>
        <v>3.8861787150316074</v>
      </c>
      <c r="CN49" s="1278">
        <f ca="1">OFFSET('VVP2'!$G$16,0,(COLUMN()-7)/5)</f>
        <v>1.1080325807856228</v>
      </c>
      <c r="CO49" s="1278">
        <f ca="1">+CL49*(1+CN49/100)</f>
        <v>931.02096344973859</v>
      </c>
      <c r="CP49" s="1278">
        <f ca="1">+CQ49/CO49*100-100</f>
        <v>2.5660041490087337</v>
      </c>
      <c r="CQ49" s="1303">
        <f ca="1">OFFSET('VVP2'!$G$193,0,(COLUMN()-6)/5)</f>
        <v>954.91099999999994</v>
      </c>
      <c r="CR49" s="1303">
        <f ca="1">(CQ49/CL49-1)*100</f>
        <v>3.7024688917896897</v>
      </c>
      <c r="CS49" s="1278">
        <f ca="1">OFFSET('VVP2'!$G$16,0,(COLUMN()-7)/5)</f>
        <v>1.2904731330142249</v>
      </c>
      <c r="CT49" s="1278">
        <f ca="1">+CQ49*(1+CS49/100)</f>
        <v>967.23386989919743</v>
      </c>
      <c r="CU49" s="1278">
        <f ca="1">+CV49/CT49*100-100</f>
        <v>2.6257486313469656</v>
      </c>
      <c r="CV49" s="1303">
        <f ca="1">OFFSET('VVP2'!$G$193,0,(COLUMN()-6)/5)</f>
        <v>992.63099999999997</v>
      </c>
      <c r="CW49" s="1303">
        <f ca="1">(CV49/CQ49-1)*100</f>
        <v>3.9501063449892238</v>
      </c>
      <c r="CX49" s="1278">
        <f ca="1">OFFSET('VVP2'!$G$16,0,(COLUMN()-7)/5)</f>
        <v>1.5115804238575725</v>
      </c>
      <c r="CY49" s="1278">
        <f ca="1">+CV49*(1+CX49/100)</f>
        <v>1007.6354158771417</v>
      </c>
      <c r="CZ49" s="1278">
        <f ca="1">+DA49/CY49*100-100</f>
        <v>2.3692680652829665</v>
      </c>
      <c r="DA49" s="1303">
        <f ca="1">OFFSET('VVP2'!$G$193,0,(COLUMN()-6)/5)</f>
        <v>1031.509</v>
      </c>
      <c r="DB49" s="1303">
        <f ca="1">(DA49/CV49-1)*100</f>
        <v>3.916661881404071</v>
      </c>
      <c r="DC49" s="1278">
        <f ca="1">OFFSET('VVP2'!$G$16,0,(COLUMN()-7)/5)</f>
        <v>2.4094675751499928</v>
      </c>
      <c r="DD49" s="1278">
        <f ca="1">+DA49*(1+DC49/100)</f>
        <v>1056.362874889754</v>
      </c>
      <c r="DE49" s="1278">
        <f ca="1">+DF49/DD49*100-100</f>
        <v>2.8652204493086515</v>
      </c>
      <c r="DF49" s="1303">
        <f ca="1">OFFSET('VVP2'!$G$193,0,(COLUMN()-6)/5)</f>
        <v>1086.6300000000001</v>
      </c>
      <c r="DG49" s="1303">
        <f ca="1">(DF49/DA49-1)*100</f>
        <v>5.3437245821413182</v>
      </c>
      <c r="DH49" s="1278">
        <f ca="1">OFFSET('VVP2'!$G$16,0,(COLUMN()-7)/5)</f>
        <v>3.6015939395404484</v>
      </c>
      <c r="DI49" s="1278">
        <f ca="1">+DF49*(1+DH49/100)</f>
        <v>1125.7660002252285</v>
      </c>
      <c r="DJ49" s="1278">
        <f ca="1">+DK49/DI49*100-100</f>
        <v>2.4660542039124778</v>
      </c>
      <c r="DK49" s="1303">
        <f ca="1">OFFSET('VVP2'!$G$193,0,(COLUMN()-6)/5)</f>
        <v>1153.528</v>
      </c>
      <c r="DL49" s="1303">
        <f ca="1">(DK49/DF49-1)*100</f>
        <v>6.1564654022068233</v>
      </c>
      <c r="DM49" s="3408">
        <f ca="1">OFFSET('VVP2'!$G$16,0,(COLUMN()-7)/5)</f>
        <v>-2.7532408124697483E-3</v>
      </c>
      <c r="DN49" s="1278">
        <f ca="1">+DK49*(1+DM49/100)</f>
        <v>1153.4962405963208</v>
      </c>
      <c r="DO49" s="1278">
        <f ca="1">+DP49/DN49*100-100</f>
        <v>3.654347358937855</v>
      </c>
      <c r="DP49" s="1303">
        <f ca="1">OFFSET('VVP2'!$G$193,0,(COLUMN()-6)/5)</f>
        <v>1195.6489999999999</v>
      </c>
      <c r="DQ49" s="1303">
        <f ca="1">(DP49/DK49-1)*100</f>
        <v>3.6514935051424668</v>
      </c>
      <c r="DR49" s="2304">
        <v>1.06</v>
      </c>
      <c r="DS49" s="2317">
        <f ca="1">+DP49*(1+DR49/100)</f>
        <v>1208.3228793999999</v>
      </c>
      <c r="DT49" s="2305">
        <v>3.4</v>
      </c>
      <c r="DU49" s="2317">
        <f ca="1">+DS49*(1+DT49/100)</f>
        <v>1249.4058572996</v>
      </c>
      <c r="DV49" s="1444">
        <f ca="1">(DU49/DP49-1)*100</f>
        <v>4.4960400000000122</v>
      </c>
      <c r="DW49" s="2304">
        <v>0.9</v>
      </c>
      <c r="DX49" s="2317">
        <f ca="1">+DU49*(1+DW49/100)</f>
        <v>1260.6505100152963</v>
      </c>
      <c r="DY49" s="2305">
        <v>2.8</v>
      </c>
      <c r="DZ49" s="2317">
        <f ca="1">+DX49*(1+DY49/100)</f>
        <v>1295.9487242957246</v>
      </c>
      <c r="EA49" s="1444">
        <f ca="1">(DZ49/DU49-1)*100</f>
        <v>3.7251999999999841</v>
      </c>
      <c r="EB49" s="2304">
        <v>0.93</v>
      </c>
      <c r="EC49" s="2317">
        <f ca="1">+DZ49*(1+EB49/100)</f>
        <v>1308.0010474316748</v>
      </c>
      <c r="ED49" s="2305">
        <v>2.6</v>
      </c>
      <c r="EE49" s="2317">
        <f ca="1">+EC49*(1+ED49/100)</f>
        <v>1342.0090746648984</v>
      </c>
      <c r="EF49" s="1444">
        <f ca="1">(EE49/DZ49-1)*100</f>
        <v>3.5541800000000068</v>
      </c>
    </row>
    <row r="50" spans="1:140" s="2919" customFormat="1" ht="12.75">
      <c r="A50" s="2918"/>
      <c r="C50" s="2920"/>
      <c r="D50" s="1837"/>
      <c r="E50" s="1837" t="s">
        <v>1629</v>
      </c>
      <c r="F50" s="2921"/>
      <c r="G50" s="2922"/>
      <c r="H50" s="2922"/>
      <c r="I50" s="2922"/>
      <c r="J50" s="1276"/>
      <c r="K50" s="2922"/>
      <c r="L50" s="2924">
        <f ca="1">OFFSET('Q1'!$N47,0,(COLUMN()-12)*4/5)</f>
        <v>-2.8260646570444692E-2</v>
      </c>
      <c r="M50" s="2923"/>
      <c r="N50" s="1276"/>
      <c r="O50" s="1276"/>
      <c r="P50" s="1276"/>
      <c r="Q50" s="2924">
        <f ca="1">OFFSET('Q1'!$N47,0,(COLUMN()-12)*4/5)</f>
        <v>-2.3669476170013581E-2</v>
      </c>
      <c r="R50" s="1276"/>
      <c r="S50" s="1276"/>
      <c r="T50" s="1276"/>
      <c r="U50" s="1276"/>
      <c r="V50" s="2924">
        <f ca="1">OFFSET('Q1'!$N47,0,(COLUMN()-12)*4/5)</f>
        <v>3.6269133954691029</v>
      </c>
      <c r="W50" s="1276"/>
      <c r="X50" s="1276"/>
      <c r="Y50" s="1276"/>
      <c r="Z50" s="1276"/>
      <c r="AA50" s="2924">
        <f ca="1">OFFSET('Q1'!$N47,0,(COLUMN()-12)*4/5)</f>
        <v>1.3925210423137173</v>
      </c>
      <c r="AB50" s="1276"/>
      <c r="AC50" s="1276"/>
      <c r="AD50" s="1276"/>
      <c r="AE50" s="1276"/>
      <c r="AF50" s="2924">
        <f ca="1">OFFSET('Q1'!$N47,0,(COLUMN()-12)*4/5)</f>
        <v>-0.72079929740446858</v>
      </c>
      <c r="AG50" s="1276"/>
      <c r="AH50" s="1276"/>
      <c r="AI50" s="1276"/>
      <c r="AJ50" s="1276"/>
      <c r="AK50" s="2924">
        <f ca="1">OFFSET('Q1'!$N47,0,(COLUMN()-12)*4/5)</f>
        <v>0.3088905444213168</v>
      </c>
      <c r="AL50" s="1276"/>
      <c r="AM50" s="1276"/>
      <c r="AN50" s="1276"/>
      <c r="AO50" s="1276"/>
      <c r="AP50" s="2924">
        <f ca="1">OFFSET('Q1'!$N47,0,(COLUMN()-12)*4/5)</f>
        <v>2.0914487602051111</v>
      </c>
      <c r="AQ50" s="1276"/>
      <c r="AR50" s="1276"/>
      <c r="AS50" s="1276"/>
      <c r="AT50" s="1276"/>
      <c r="AU50" s="2924">
        <f ca="1">OFFSET('Q1'!$N47,0,(COLUMN()-12)*4/5)</f>
        <v>0.86619561379066567</v>
      </c>
      <c r="AV50" s="1276"/>
      <c r="AW50" s="1276"/>
      <c r="AX50" s="1276"/>
      <c r="AY50" s="1276"/>
      <c r="AZ50" s="2924">
        <f ca="1">OFFSET('Q1'!$N47,0,(COLUMN()-12)*4/5)</f>
        <v>-0.89324929488230964</v>
      </c>
      <c r="BA50" s="1276"/>
      <c r="BB50" s="1276"/>
      <c r="BC50" s="1276"/>
      <c r="BD50" s="1276"/>
      <c r="BE50" s="2924">
        <f ca="1">OFFSET('Q1'!$N47,0,(COLUMN()-12)*4/5)</f>
        <v>0.25558660353411256</v>
      </c>
      <c r="BF50" s="1276"/>
      <c r="BG50" s="1276"/>
      <c r="BH50" s="3253">
        <f ca="1">BH47/BH49</f>
        <v>0.7282291923248303</v>
      </c>
      <c r="BI50" s="1276"/>
      <c r="BJ50" s="2924">
        <f ca="1">OFFSET('Q1'!$N47,0,(COLUMN()-12)*4/5)</f>
        <v>1.8635844648682536</v>
      </c>
      <c r="BK50" s="1276"/>
      <c r="BL50" s="1276"/>
      <c r="BM50" s="3253">
        <f ca="1">BM47/BM49</f>
        <v>0.72886790842421101</v>
      </c>
      <c r="BN50" s="1276"/>
      <c r="BO50" s="2924">
        <f ca="1">OFFSET('Q1'!$N47,0,(COLUMN()-12)*4/5)</f>
        <v>0.73475966342340371</v>
      </c>
      <c r="BP50" s="1276"/>
      <c r="BQ50" s="1276"/>
      <c r="BR50" s="3253">
        <f ca="1">BR47/BR49</f>
        <v>0.73210209979343621</v>
      </c>
      <c r="BS50" s="1276"/>
      <c r="BT50" s="2924">
        <f ca="1">OFFSET('Q1'!$N47,0,(COLUMN()-12)*4/5)</f>
        <v>1.1140414782072554</v>
      </c>
      <c r="BU50" s="1276"/>
      <c r="BV50" s="1276"/>
      <c r="BW50" s="3253">
        <f ca="1">BW47/BW49</f>
        <v>0.72785994132222975</v>
      </c>
      <c r="BX50" s="1276"/>
      <c r="BY50" s="2924">
        <f ca="1">OFFSET('Q1'!$N47,0,(COLUMN()-12)*4/5)</f>
        <v>2.2708122009506724</v>
      </c>
      <c r="BZ50" s="1276"/>
      <c r="CA50" s="1276"/>
      <c r="CB50" s="3253">
        <f ca="1">CB47/CB49</f>
        <v>0.7226180847998066</v>
      </c>
      <c r="CC50" s="1276"/>
      <c r="CD50" s="2924">
        <f ca="1">OFFSET('Q1'!$N47,0,(COLUMN()-12)*4/5)</f>
        <v>0.96972512059394944</v>
      </c>
      <c r="CE50" s="1276"/>
      <c r="CF50" s="1276"/>
      <c r="CG50" s="3253">
        <f ca="1">CG47/CG49</f>
        <v>0.72204672530269454</v>
      </c>
      <c r="CH50" s="1276"/>
      <c r="CI50" s="2924">
        <f ca="1">OFFSET('Q1'!$N47,0,(COLUMN()-12)*4/5)</f>
        <v>0.89364432725309939</v>
      </c>
      <c r="CJ50" s="1276"/>
      <c r="CK50" s="1276"/>
      <c r="CL50" s="3253">
        <f ca="1">CL47/CL49</f>
        <v>0.72057018868006495</v>
      </c>
      <c r="CM50" s="1276"/>
      <c r="CN50" s="2924">
        <f ca="1">OFFSET('Q1'!$N47,0,(COLUMN()-12)*4/5)</f>
        <v>1.6037449155846559</v>
      </c>
      <c r="CO50" s="1276"/>
      <c r="CP50" s="1276"/>
      <c r="CQ50" s="3253">
        <f ca="1">CQ47/CQ49</f>
        <v>0.71593792510506227</v>
      </c>
      <c r="CR50" s="1276"/>
      <c r="CS50" s="2924">
        <f ca="1">OFFSET('Q1'!$N47,0,(COLUMN()-12)*4/5)</f>
        <v>1.2942767580329786</v>
      </c>
      <c r="CT50" s="1276"/>
      <c r="CU50" s="1276">
        <f ca="1">0.5*CU41+0.5*Labour1!I222</f>
        <v>1.4237893590147821</v>
      </c>
      <c r="CV50" s="3253">
        <f ca="1">CV47/CV49</f>
        <v>0.71480338615255812</v>
      </c>
      <c r="CW50" s="1276"/>
      <c r="CX50" s="2961">
        <f ca="1">OFFSET('Q1'!$N47,0,(COLUMN()-12)*4/5)</f>
        <v>1.6903863289448253</v>
      </c>
      <c r="CY50" s="1276"/>
      <c r="CZ50" s="1276">
        <f ca="1">0.5*CZ41+0.5*Labour1!N222</f>
        <v>2.821254327675049</v>
      </c>
      <c r="DA50" s="3253">
        <f ca="1">DA47/DA49</f>
        <v>0.71764376268166341</v>
      </c>
      <c r="DB50" s="1276"/>
      <c r="DC50" s="2961">
        <f ca="1">OFFSET('Q1'!$N47,0,(COLUMN()-12)*4/5)</f>
        <v>2.0747617356174715</v>
      </c>
      <c r="DD50" s="1276"/>
      <c r="DE50" s="1276">
        <f ca="1">0.5*DE41+0.5*Labour1!S222</f>
        <v>2.772714685251898</v>
      </c>
      <c r="DF50" s="3419">
        <f ca="1">DF47/DF49</f>
        <v>0.72408087389451781</v>
      </c>
      <c r="DG50" s="1276"/>
      <c r="DH50" s="2961">
        <f ca="1">OFFSET('Q1'!$N47,0,(COLUMN()-12)*4/5)</f>
        <v>3.1977165576091409</v>
      </c>
      <c r="DI50" s="1276"/>
      <c r="DJ50" s="1276">
        <f ca="1">0.5*DJ41+0.5*Labour1!X222</f>
        <v>2.7068604817971131</v>
      </c>
      <c r="DK50" s="3419">
        <f ca="1">DK47/DK49</f>
        <v>0.73480834448751997</v>
      </c>
      <c r="DL50" s="1276"/>
      <c r="DM50" s="3768">
        <f ca="1">OFFSET('Q1'!$N47,0,(COLUMN()-12)*4/5)</f>
        <v>0.40602220223169638</v>
      </c>
      <c r="DN50" s="1276"/>
      <c r="DO50" s="1276">
        <f ca="1">0.5*DO41+0.5*Labour1!AC222</f>
        <v>3.4827155164790735</v>
      </c>
      <c r="DP50" s="3419">
        <f ca="1">DP47/DP49</f>
        <v>0.7373075208526918</v>
      </c>
      <c r="DQ50" s="1276"/>
      <c r="DR50" s="2961">
        <f ca="1">OFFSET('Q1'!$N47,0,(COLUMN()-12)*4/5)</f>
        <v>1.0585880653203361</v>
      </c>
      <c r="DS50" s="1276"/>
      <c r="DT50" s="1276">
        <f ca="1">0.5*DT41+0.5*Labour1!AD222</f>
        <v>3.514630165648069</v>
      </c>
      <c r="DU50" s="3253">
        <f ca="1">DU47/DU49</f>
        <v>0.73930868492647317</v>
      </c>
      <c r="DV50" s="1276"/>
      <c r="DW50" s="2961">
        <f ca="1">OFFSET('Q1'!$N47,0,(COLUMN()-12)*4/5)</f>
        <v>0.89755710482670281</v>
      </c>
      <c r="DX50" s="1276"/>
      <c r="DY50" s="1276">
        <f ca="1">0.5*DY41+0.5*Labour1!AE222</f>
        <v>3.0037574480097691</v>
      </c>
      <c r="DZ50" s="3253">
        <f ca="1">DZ47/DZ49</f>
        <v>0.74062866385807913</v>
      </c>
      <c r="EA50" s="1276"/>
      <c r="EB50" s="2961">
        <f ca="1">OFFSET('Q1'!$N47,0,(COLUMN()-12)*4/5)</f>
        <v>0.93068899840721997</v>
      </c>
      <c r="EC50" s="1276"/>
      <c r="ED50" s="1276">
        <f ca="1">0.5*ED41+0.5*Labour1!AF222</f>
        <v>2.7206536776080417</v>
      </c>
      <c r="EE50" s="3253">
        <f ca="1">EE47/EE49</f>
        <v>0.74276812175254281</v>
      </c>
      <c r="EF50" s="1276"/>
    </row>
    <row r="51" spans="1:140">
      <c r="D51" s="1837"/>
      <c r="E51" s="2990" t="s">
        <v>1953</v>
      </c>
      <c r="F51" s="1837"/>
      <c r="G51" s="1837"/>
      <c r="H51" s="1837"/>
      <c r="I51" s="1837"/>
      <c r="J51" s="1837"/>
      <c r="K51" s="1837"/>
      <c r="L51" s="1837"/>
      <c r="M51" s="1837"/>
      <c r="N51" s="1837"/>
      <c r="O51" s="1837"/>
      <c r="P51" s="1837"/>
      <c r="Q51" s="1837"/>
      <c r="R51" s="1837"/>
      <c r="S51" s="1837"/>
      <c r="T51" s="1837"/>
      <c r="U51" s="1837"/>
      <c r="V51" s="1837"/>
      <c r="W51" s="1837"/>
      <c r="X51" s="1837"/>
      <c r="Y51" s="1837"/>
      <c r="Z51" s="1837"/>
      <c r="AA51" s="1837"/>
      <c r="AB51" s="1837"/>
      <c r="AC51" s="1837"/>
      <c r="AD51" s="1837"/>
      <c r="AE51" s="1837"/>
      <c r="AF51" s="1837"/>
      <c r="AG51" s="1837"/>
      <c r="AH51" s="1837"/>
      <c r="AI51" s="1837"/>
      <c r="AJ51" s="1837"/>
      <c r="AK51" s="1837"/>
      <c r="AL51" s="1837"/>
      <c r="AM51" s="1837"/>
      <c r="AN51" s="1837"/>
      <c r="AO51" s="1837"/>
      <c r="AP51" s="1837"/>
      <c r="AQ51" s="1837"/>
      <c r="AR51" s="1837"/>
      <c r="AS51" s="1837"/>
      <c r="AT51" s="1837"/>
      <c r="AU51" s="1837"/>
      <c r="AV51" s="1837"/>
      <c r="AW51" s="1837"/>
      <c r="AX51" s="1837"/>
      <c r="AY51" s="1837"/>
      <c r="AZ51" s="1837"/>
      <c r="BA51" s="1837"/>
      <c r="BB51" s="1837"/>
      <c r="BC51" s="1837"/>
      <c r="BD51" s="1837"/>
      <c r="BE51" s="1837"/>
      <c r="BF51" s="1837"/>
      <c r="BG51" s="1837"/>
      <c r="BH51" s="3254">
        <f ca="1">BH48/BH49</f>
        <v>0.2717708076751697</v>
      </c>
      <c r="BI51" s="1837"/>
      <c r="BJ51" s="1837"/>
      <c r="BK51" s="1837"/>
      <c r="BL51" s="1837"/>
      <c r="BM51" s="3254">
        <f ca="1">BM48/BM49</f>
        <v>0.27113209157578905</v>
      </c>
      <c r="BN51" s="1837"/>
      <c r="BO51" s="1837"/>
      <c r="BP51" s="1837"/>
      <c r="BQ51" s="1837"/>
      <c r="BR51" s="3254">
        <f ca="1">BR48/BR49</f>
        <v>0.26789790020656395</v>
      </c>
      <c r="BS51" s="1837"/>
      <c r="BT51" s="1837"/>
      <c r="BU51" s="1837"/>
      <c r="BV51" s="1837"/>
      <c r="BW51" s="3254">
        <f ca="1">BW48/BW49</f>
        <v>0.27214005867777025</v>
      </c>
      <c r="BX51" s="1837"/>
      <c r="BY51" s="1837"/>
      <c r="BZ51" s="1837"/>
      <c r="CA51" s="1837"/>
      <c r="CB51" s="3254">
        <f ca="1">CB48/CB49</f>
        <v>0.27738191520019334</v>
      </c>
      <c r="CC51" s="1837"/>
      <c r="CD51" s="1837"/>
      <c r="CE51" s="1837"/>
      <c r="CF51" s="1837"/>
      <c r="CG51" s="3254">
        <f ca="1">CG48/CG49</f>
        <v>0.27795327469730546</v>
      </c>
      <c r="CH51" s="1837"/>
      <c r="CI51" s="1837"/>
      <c r="CJ51" s="1837"/>
      <c r="CK51" s="1837"/>
      <c r="CL51" s="3254">
        <f ca="1">CL48/CL49</f>
        <v>0.27942981131993505</v>
      </c>
      <c r="CM51" s="1837"/>
      <c r="CN51" s="1837"/>
      <c r="CO51" s="1837"/>
      <c r="CP51" s="1837"/>
      <c r="CQ51" s="3254">
        <f ca="1">CQ48/CQ49</f>
        <v>0.2840620748949379</v>
      </c>
      <c r="CR51" s="1837"/>
      <c r="CS51" s="1837"/>
      <c r="CT51" s="1837"/>
      <c r="CU51" s="1837"/>
      <c r="CV51" s="3254">
        <f ca="1">CV48/CV49</f>
        <v>0.28519661384744183</v>
      </c>
      <c r="CW51" s="1837"/>
      <c r="CX51" s="1837"/>
      <c r="CY51" s="1837"/>
      <c r="CZ51" s="1837"/>
      <c r="DA51" s="3254">
        <f ca="1">DA48/DA49</f>
        <v>0.28235623731833653</v>
      </c>
      <c r="DB51" s="1837"/>
      <c r="DC51" s="1837"/>
      <c r="DD51" s="1837"/>
      <c r="DE51" s="1837"/>
      <c r="DF51" s="3420">
        <f ca="1">DF48/DF49</f>
        <v>0.27591912610548208</v>
      </c>
      <c r="DG51" s="1837"/>
      <c r="DH51" s="1837"/>
      <c r="DI51" s="1837"/>
      <c r="DJ51" s="1837"/>
      <c r="DK51" s="3420">
        <f ca="1">DK48/DK49</f>
        <v>0.26519165551247997</v>
      </c>
      <c r="DL51" s="1837"/>
      <c r="DM51" s="1837"/>
      <c r="DN51" s="1837"/>
      <c r="DO51" s="1837"/>
      <c r="DP51" s="3420">
        <f ca="1">DP48/DP49</f>
        <v>0.26269247914730831</v>
      </c>
      <c r="DQ51" s="1837"/>
      <c r="DR51" s="1837"/>
      <c r="DS51" s="1837"/>
      <c r="DT51" s="1837"/>
      <c r="DU51" s="3254">
        <f ca="1">DU48/DU49</f>
        <v>0.26069131507352689</v>
      </c>
      <c r="DV51" s="1837"/>
      <c r="DW51" s="1837"/>
      <c r="DX51" s="1837"/>
      <c r="DY51" s="1837"/>
      <c r="DZ51" s="3254">
        <f ca="1">DZ48/DZ49</f>
        <v>0.25937133614192093</v>
      </c>
      <c r="EA51" s="1837"/>
      <c r="EB51" s="1837"/>
      <c r="EC51" s="1837"/>
      <c r="ED51" s="1837"/>
      <c r="EE51" s="3254">
        <f ca="1">EE48/EE49</f>
        <v>0.2572318782474573</v>
      </c>
      <c r="EF51" s="1837"/>
    </row>
    <row r="53" spans="1:140">
      <c r="C53" s="811"/>
      <c r="D53" s="3814"/>
      <c r="E53" s="3805" t="s">
        <v>1744</v>
      </c>
      <c r="F53" s="3806"/>
      <c r="G53" s="3809">
        <f>+InputY!$G$3</f>
        <v>1995</v>
      </c>
      <c r="H53" s="3791"/>
      <c r="I53" s="3791"/>
      <c r="J53" s="3791"/>
      <c r="K53" s="3791"/>
      <c r="L53" s="3791">
        <f>+G53+1</f>
        <v>1996</v>
      </c>
      <c r="M53" s="3791"/>
      <c r="N53" s="3791"/>
      <c r="O53" s="3791"/>
      <c r="P53" s="3791"/>
      <c r="Q53" s="3791">
        <f>+L53+1</f>
        <v>1997</v>
      </c>
      <c r="R53" s="3791"/>
      <c r="S53" s="3791"/>
      <c r="T53" s="3791"/>
      <c r="U53" s="3791"/>
      <c r="V53" s="3791">
        <f>+Q53+1</f>
        <v>1998</v>
      </c>
      <c r="W53" s="3791"/>
      <c r="X53" s="3791"/>
      <c r="Y53" s="3791"/>
      <c r="Z53" s="3791"/>
      <c r="AA53" s="3791">
        <f>+V53+1</f>
        <v>1999</v>
      </c>
      <c r="AB53" s="3791"/>
      <c r="AC53" s="3791"/>
      <c r="AD53" s="3791"/>
      <c r="AE53" s="3791"/>
      <c r="AF53" s="3791">
        <f>+AA53+1</f>
        <v>2000</v>
      </c>
      <c r="AG53" s="3791"/>
      <c r="AH53" s="3791"/>
      <c r="AI53" s="3791"/>
      <c r="AJ53" s="3791"/>
      <c r="AK53" s="3791">
        <f>+AF53+1</f>
        <v>2001</v>
      </c>
      <c r="AL53" s="3791"/>
      <c r="AM53" s="3791"/>
      <c r="AN53" s="3791"/>
      <c r="AO53" s="3791"/>
      <c r="AP53" s="3791">
        <f>+AK53+1</f>
        <v>2002</v>
      </c>
      <c r="AQ53" s="3791"/>
      <c r="AR53" s="3791"/>
      <c r="AS53" s="3791"/>
      <c r="AT53" s="3791"/>
      <c r="AU53" s="3791">
        <f>+AP53+1</f>
        <v>2003</v>
      </c>
      <c r="AV53" s="3791"/>
      <c r="AW53" s="3791"/>
      <c r="AX53" s="3791"/>
      <c r="AY53" s="3791"/>
      <c r="AZ53" s="3791">
        <f>+AU53+1</f>
        <v>2004</v>
      </c>
      <c r="BA53" s="3791"/>
      <c r="BB53" s="3791"/>
      <c r="BC53" s="3791"/>
      <c r="BD53" s="3791"/>
      <c r="BE53" s="3791">
        <f>+AZ53+1</f>
        <v>2005</v>
      </c>
      <c r="BF53" s="3791"/>
      <c r="BG53" s="3791"/>
      <c r="BH53" s="3791"/>
      <c r="BI53" s="3791"/>
      <c r="BJ53" s="3791">
        <f>+BE53+1</f>
        <v>2006</v>
      </c>
      <c r="BK53" s="3791"/>
      <c r="BL53" s="3791"/>
      <c r="BM53" s="3791"/>
      <c r="BN53" s="3791"/>
      <c r="BO53" s="3791">
        <f>+BJ53+1</f>
        <v>2007</v>
      </c>
      <c r="BP53" s="3791"/>
      <c r="BQ53" s="3791"/>
      <c r="BR53" s="3791"/>
      <c r="BS53" s="3791"/>
      <c r="BT53" s="3791">
        <f>+BO53+1</f>
        <v>2008</v>
      </c>
      <c r="BU53" s="3791"/>
      <c r="BV53" s="3791"/>
      <c r="BW53" s="3791"/>
      <c r="BX53" s="3791"/>
      <c r="BY53" s="3791">
        <f>+BT53+1</f>
        <v>2009</v>
      </c>
      <c r="BZ53" s="3791"/>
      <c r="CA53" s="3791"/>
      <c r="CB53" s="3791"/>
      <c r="CC53" s="3791"/>
      <c r="CD53" s="3791">
        <f>+BY53+1</f>
        <v>2010</v>
      </c>
      <c r="CE53" s="3791"/>
      <c r="CF53" s="3791"/>
      <c r="CG53" s="3791"/>
      <c r="CH53" s="3791"/>
      <c r="CI53" s="3791">
        <f>+CD53+1</f>
        <v>2011</v>
      </c>
      <c r="CJ53" s="3791"/>
      <c r="CK53" s="3791"/>
      <c r="CL53" s="3791"/>
      <c r="CM53" s="3791"/>
      <c r="CN53" s="3791">
        <f>+CI53+1</f>
        <v>2012</v>
      </c>
      <c r="CO53" s="3791"/>
      <c r="CP53" s="3791"/>
      <c r="CQ53" s="3791"/>
      <c r="CR53" s="3791"/>
      <c r="CS53" s="3791">
        <f>+CN53+1</f>
        <v>2013</v>
      </c>
      <c r="CT53" s="3791"/>
      <c r="CU53" s="3791"/>
      <c r="CV53" s="3791"/>
      <c r="CW53" s="3791"/>
      <c r="CX53" s="3802">
        <f>+CS53+1</f>
        <v>2014</v>
      </c>
      <c r="CY53" s="3803"/>
      <c r="CZ53" s="3803"/>
      <c r="DA53" s="3803"/>
      <c r="DB53" s="3804"/>
      <c r="DC53" s="3802">
        <f>+CX53+1</f>
        <v>2015</v>
      </c>
      <c r="DD53" s="3803"/>
      <c r="DE53" s="3803"/>
      <c r="DF53" s="3803"/>
      <c r="DG53" s="3804"/>
      <c r="DH53" s="3791">
        <f>+DC53+1</f>
        <v>2016</v>
      </c>
      <c r="DI53" s="3791"/>
      <c r="DJ53" s="3791"/>
      <c r="DK53" s="3791"/>
      <c r="DL53" s="3791"/>
      <c r="DM53" s="3791">
        <f>+DH53+1</f>
        <v>2017</v>
      </c>
      <c r="DN53" s="3791"/>
      <c r="DO53" s="3791"/>
      <c r="DP53" s="3791"/>
      <c r="DQ53" s="3791"/>
      <c r="DR53" s="3791">
        <f>+DM53+1</f>
        <v>2018</v>
      </c>
      <c r="DS53" s="3791"/>
      <c r="DT53" s="3791"/>
      <c r="DU53" s="3791"/>
      <c r="DV53" s="3791"/>
      <c r="DW53" s="3791">
        <f>+DR53+1</f>
        <v>2019</v>
      </c>
      <c r="DX53" s="3791"/>
      <c r="DY53" s="3791"/>
      <c r="DZ53" s="3791"/>
      <c r="EA53" s="3791"/>
      <c r="EB53" s="3791">
        <f>+DW53+1</f>
        <v>2020</v>
      </c>
      <c r="EC53" s="3791"/>
      <c r="ED53" s="3791"/>
      <c r="EE53" s="3791"/>
      <c r="EF53" s="3791"/>
    </row>
    <row r="54" spans="1:140">
      <c r="C54" s="811"/>
      <c r="D54" s="3815"/>
      <c r="E54" s="3805"/>
      <c r="F54" s="3806"/>
      <c r="G54" s="1300" t="s">
        <v>396</v>
      </c>
      <c r="H54" s="1297" t="s">
        <v>1774</v>
      </c>
      <c r="I54" s="1296" t="s">
        <v>1249</v>
      </c>
      <c r="J54" s="1297" t="s">
        <v>1772</v>
      </c>
      <c r="K54" s="1296" t="s">
        <v>1250</v>
      </c>
      <c r="L54" s="1296" t="s">
        <v>396</v>
      </c>
      <c r="M54" s="1297" t="s">
        <v>1774</v>
      </c>
      <c r="N54" s="1296" t="s">
        <v>1249</v>
      </c>
      <c r="O54" s="1297" t="s">
        <v>1772</v>
      </c>
      <c r="P54" s="1296" t="s">
        <v>1250</v>
      </c>
      <c r="Q54" s="1296" t="s">
        <v>396</v>
      </c>
      <c r="R54" s="1297" t="s">
        <v>1774</v>
      </c>
      <c r="S54" s="1296" t="s">
        <v>1249</v>
      </c>
      <c r="T54" s="1297" t="s">
        <v>1772</v>
      </c>
      <c r="U54" s="1296" t="s">
        <v>1250</v>
      </c>
      <c r="V54" s="1296" t="s">
        <v>396</v>
      </c>
      <c r="W54" s="1297" t="s">
        <v>1774</v>
      </c>
      <c r="X54" s="1296" t="s">
        <v>1249</v>
      </c>
      <c r="Y54" s="1297" t="s">
        <v>1772</v>
      </c>
      <c r="Z54" s="1296" t="s">
        <v>1250</v>
      </c>
      <c r="AA54" s="1296" t="s">
        <v>396</v>
      </c>
      <c r="AB54" s="1297" t="s">
        <v>1774</v>
      </c>
      <c r="AC54" s="1296" t="s">
        <v>1249</v>
      </c>
      <c r="AD54" s="1297" t="s">
        <v>1772</v>
      </c>
      <c r="AE54" s="1296" t="s">
        <v>1250</v>
      </c>
      <c r="AF54" s="1296" t="s">
        <v>396</v>
      </c>
      <c r="AG54" s="1297" t="s">
        <v>1774</v>
      </c>
      <c r="AH54" s="1296" t="s">
        <v>1249</v>
      </c>
      <c r="AI54" s="1297" t="s">
        <v>1772</v>
      </c>
      <c r="AJ54" s="1296" t="s">
        <v>1250</v>
      </c>
      <c r="AK54" s="1296" t="s">
        <v>396</v>
      </c>
      <c r="AL54" s="1297" t="s">
        <v>1774</v>
      </c>
      <c r="AM54" s="1296" t="s">
        <v>1249</v>
      </c>
      <c r="AN54" s="1297" t="s">
        <v>1772</v>
      </c>
      <c r="AO54" s="1296" t="s">
        <v>1250</v>
      </c>
      <c r="AP54" s="1296" t="s">
        <v>396</v>
      </c>
      <c r="AQ54" s="1297" t="s">
        <v>1774</v>
      </c>
      <c r="AR54" s="1296" t="s">
        <v>1249</v>
      </c>
      <c r="AS54" s="1297" t="s">
        <v>1772</v>
      </c>
      <c r="AT54" s="1296" t="s">
        <v>1250</v>
      </c>
      <c r="AU54" s="1296" t="s">
        <v>396</v>
      </c>
      <c r="AV54" s="1297" t="s">
        <v>1774</v>
      </c>
      <c r="AW54" s="1296" t="s">
        <v>1249</v>
      </c>
      <c r="AX54" s="1297" t="s">
        <v>1772</v>
      </c>
      <c r="AY54" s="1296" t="s">
        <v>1250</v>
      </c>
      <c r="AZ54" s="1296" t="s">
        <v>396</v>
      </c>
      <c r="BA54" s="1297" t="s">
        <v>1774</v>
      </c>
      <c r="BB54" s="1296" t="s">
        <v>1249</v>
      </c>
      <c r="BC54" s="1297" t="s">
        <v>1772</v>
      </c>
      <c r="BD54" s="1296" t="s">
        <v>1250</v>
      </c>
      <c r="BE54" s="1296" t="s">
        <v>396</v>
      </c>
      <c r="BF54" s="1297" t="s">
        <v>1774</v>
      </c>
      <c r="BG54" s="1296" t="s">
        <v>1249</v>
      </c>
      <c r="BH54" s="1297" t="s">
        <v>1772</v>
      </c>
      <c r="BI54" s="1296" t="s">
        <v>1250</v>
      </c>
      <c r="BJ54" s="1296" t="s">
        <v>396</v>
      </c>
      <c r="BK54" s="1297" t="s">
        <v>1774</v>
      </c>
      <c r="BL54" s="1296" t="s">
        <v>1249</v>
      </c>
      <c r="BM54" s="1297" t="s">
        <v>1772</v>
      </c>
      <c r="BN54" s="1296" t="s">
        <v>1250</v>
      </c>
      <c r="BO54" s="1296" t="s">
        <v>396</v>
      </c>
      <c r="BP54" s="1297" t="s">
        <v>1774</v>
      </c>
      <c r="BQ54" s="1296" t="s">
        <v>1249</v>
      </c>
      <c r="BR54" s="1297" t="s">
        <v>1772</v>
      </c>
      <c r="BS54" s="1296" t="s">
        <v>1250</v>
      </c>
      <c r="BT54" s="1296" t="s">
        <v>396</v>
      </c>
      <c r="BU54" s="1297" t="s">
        <v>1774</v>
      </c>
      <c r="BV54" s="1296" t="s">
        <v>1249</v>
      </c>
      <c r="BW54" s="1297" t="s">
        <v>1772</v>
      </c>
      <c r="BX54" s="1296" t="s">
        <v>1250</v>
      </c>
      <c r="BY54" s="1296" t="s">
        <v>396</v>
      </c>
      <c r="BZ54" s="1297" t="s">
        <v>1774</v>
      </c>
      <c r="CA54" s="1296" t="s">
        <v>1249</v>
      </c>
      <c r="CB54" s="1297" t="s">
        <v>1772</v>
      </c>
      <c r="CC54" s="1296" t="s">
        <v>1250</v>
      </c>
      <c r="CD54" s="1296" t="s">
        <v>396</v>
      </c>
      <c r="CE54" s="1297" t="s">
        <v>1774</v>
      </c>
      <c r="CF54" s="1296" t="s">
        <v>1249</v>
      </c>
      <c r="CG54" s="1297" t="s">
        <v>1772</v>
      </c>
      <c r="CH54" s="1296" t="s">
        <v>1250</v>
      </c>
      <c r="CI54" s="1296" t="s">
        <v>396</v>
      </c>
      <c r="CJ54" s="1297" t="s">
        <v>1774</v>
      </c>
      <c r="CK54" s="1296" t="s">
        <v>1249</v>
      </c>
      <c r="CL54" s="1297" t="s">
        <v>1772</v>
      </c>
      <c r="CM54" s="1296" t="s">
        <v>1250</v>
      </c>
      <c r="CN54" s="1296" t="s">
        <v>396</v>
      </c>
      <c r="CO54" s="1297" t="s">
        <v>1774</v>
      </c>
      <c r="CP54" s="1296" t="s">
        <v>1249</v>
      </c>
      <c r="CQ54" s="1297" t="s">
        <v>1772</v>
      </c>
      <c r="CR54" s="1296" t="s">
        <v>1250</v>
      </c>
      <c r="CS54" s="1296" t="s">
        <v>396</v>
      </c>
      <c r="CT54" s="1297" t="s">
        <v>1774</v>
      </c>
      <c r="CU54" s="1296" t="s">
        <v>1249</v>
      </c>
      <c r="CV54" s="1297" t="s">
        <v>1772</v>
      </c>
      <c r="CW54" s="1296" t="s">
        <v>1250</v>
      </c>
      <c r="CX54" s="1296" t="s">
        <v>396</v>
      </c>
      <c r="CY54" s="1297" t="s">
        <v>1774</v>
      </c>
      <c r="CZ54" s="1296" t="s">
        <v>1249</v>
      </c>
      <c r="DA54" s="1297" t="s">
        <v>1772</v>
      </c>
      <c r="DB54" s="1296" t="s">
        <v>1250</v>
      </c>
      <c r="DC54" s="1296" t="s">
        <v>396</v>
      </c>
      <c r="DD54" s="1297" t="s">
        <v>1774</v>
      </c>
      <c r="DE54" s="1296" t="s">
        <v>1249</v>
      </c>
      <c r="DF54" s="1297" t="s">
        <v>1772</v>
      </c>
      <c r="DG54" s="1296" t="s">
        <v>1250</v>
      </c>
      <c r="DH54" s="1296" t="s">
        <v>396</v>
      </c>
      <c r="DI54" s="1297" t="s">
        <v>1774</v>
      </c>
      <c r="DJ54" s="1296" t="s">
        <v>1249</v>
      </c>
      <c r="DK54" s="1297" t="s">
        <v>1772</v>
      </c>
      <c r="DL54" s="1296" t="s">
        <v>1250</v>
      </c>
      <c r="DM54" s="1296" t="s">
        <v>396</v>
      </c>
      <c r="DN54" s="1297" t="s">
        <v>1774</v>
      </c>
      <c r="DO54" s="1296" t="s">
        <v>1249</v>
      </c>
      <c r="DP54" s="1297" t="s">
        <v>1772</v>
      </c>
      <c r="DQ54" s="1296" t="s">
        <v>1250</v>
      </c>
      <c r="DR54" s="1296" t="s">
        <v>396</v>
      </c>
      <c r="DS54" s="1297" t="s">
        <v>1774</v>
      </c>
      <c r="DT54" s="1296" t="s">
        <v>1249</v>
      </c>
      <c r="DU54" s="1297" t="s">
        <v>1772</v>
      </c>
      <c r="DV54" s="1296" t="s">
        <v>1250</v>
      </c>
      <c r="DW54" s="1296" t="s">
        <v>396</v>
      </c>
      <c r="DX54" s="1297" t="s">
        <v>1774</v>
      </c>
      <c r="DY54" s="1296" t="s">
        <v>1249</v>
      </c>
      <c r="DZ54" s="1297" t="s">
        <v>1772</v>
      </c>
      <c r="EA54" s="1296" t="s">
        <v>1250</v>
      </c>
      <c r="EB54" s="1296" t="s">
        <v>396</v>
      </c>
      <c r="EC54" s="1297" t="s">
        <v>1774</v>
      </c>
      <c r="ED54" s="1296" t="s">
        <v>1249</v>
      </c>
      <c r="EE54" s="1297" t="s">
        <v>1772</v>
      </c>
      <c r="EF54" s="1296" t="s">
        <v>1250</v>
      </c>
    </row>
    <row r="55" spans="1:140">
      <c r="C55" s="1119" t="s">
        <v>1791</v>
      </c>
      <c r="D55" s="1131" t="s">
        <v>666</v>
      </c>
      <c r="E55" s="1078" t="s">
        <v>395</v>
      </c>
      <c r="F55" s="1109" t="s">
        <v>277</v>
      </c>
      <c r="G55" s="1307"/>
      <c r="H55" s="1319"/>
      <c r="I55" s="1241"/>
      <c r="J55" s="1319"/>
      <c r="K55" s="1321"/>
      <c r="L55" s="1323"/>
      <c r="M55" s="1319"/>
      <c r="N55" s="1334"/>
      <c r="O55" s="1319"/>
      <c r="P55" s="1321"/>
      <c r="Q55" s="1323"/>
      <c r="R55" s="1319"/>
      <c r="S55" s="1334"/>
      <c r="T55" s="1319"/>
      <c r="U55" s="1321"/>
      <c r="V55" s="1323"/>
      <c r="W55" s="1319"/>
      <c r="X55" s="1334"/>
      <c r="Y55" s="1319"/>
      <c r="Z55" s="1321"/>
      <c r="AA55" s="1323"/>
      <c r="AB55" s="1319"/>
      <c r="AC55" s="1334"/>
      <c r="AD55" s="1319"/>
      <c r="AE55" s="1321"/>
      <c r="AF55" s="1323"/>
      <c r="AG55" s="1319"/>
      <c r="AH55" s="1334"/>
      <c r="AI55" s="1319"/>
      <c r="AJ55" s="1321"/>
      <c r="AK55" s="1323"/>
      <c r="AL55" s="1319"/>
      <c r="AM55" s="1334"/>
      <c r="AN55" s="1319"/>
      <c r="AO55" s="1321"/>
      <c r="AP55" s="1323"/>
      <c r="AQ55" s="1319"/>
      <c r="AR55" s="1334"/>
      <c r="AS55" s="1319"/>
      <c r="AT55" s="1321"/>
      <c r="AU55" s="1323"/>
      <c r="AV55" s="1319"/>
      <c r="AW55" s="1334"/>
      <c r="AX55" s="1319"/>
      <c r="AY55" s="1321"/>
      <c r="AZ55" s="1323"/>
      <c r="BA55" s="1319"/>
      <c r="BB55" s="1334"/>
      <c r="BC55" s="1319"/>
      <c r="BD55" s="1321"/>
      <c r="BE55" s="1323"/>
      <c r="BF55" s="1319"/>
      <c r="BG55" s="1334"/>
      <c r="BH55" s="1319"/>
      <c r="BI55" s="1321"/>
      <c r="BJ55" s="1323"/>
      <c r="BK55" s="1319"/>
      <c r="BL55" s="1334"/>
      <c r="BM55" s="1319"/>
      <c r="BN55" s="1321"/>
      <c r="BO55" s="1323"/>
      <c r="BP55" s="1319"/>
      <c r="BQ55" s="1334"/>
      <c r="BR55" s="1319"/>
      <c r="BS55" s="1321"/>
      <c r="BT55" s="1323"/>
      <c r="BU55" s="1319"/>
      <c r="BV55" s="1334"/>
      <c r="BW55" s="1319"/>
      <c r="BX55" s="1321"/>
      <c r="BY55" s="1323"/>
      <c r="BZ55" s="1319"/>
      <c r="CA55" s="1334"/>
      <c r="CB55" s="1319"/>
      <c r="CC55" s="1321"/>
      <c r="CD55" s="1323"/>
      <c r="CE55" s="1319"/>
      <c r="CF55" s="1334"/>
      <c r="CG55" s="1319"/>
      <c r="CH55" s="1321"/>
      <c r="CI55" s="1323"/>
      <c r="CJ55" s="1319"/>
      <c r="CK55" s="1334"/>
      <c r="CL55" s="1319"/>
      <c r="CM55" s="1321"/>
      <c r="CN55" s="1323"/>
      <c r="CO55" s="1319"/>
      <c r="CP55" s="1334"/>
      <c r="CQ55" s="1319"/>
      <c r="CR55" s="1321"/>
      <c r="CS55" s="1323"/>
      <c r="CT55" s="1319"/>
      <c r="CU55" s="1334"/>
      <c r="CV55" s="1319"/>
      <c r="CW55" s="1321"/>
      <c r="CX55" s="1323"/>
      <c r="CY55" s="1461"/>
      <c r="CZ55" s="1334"/>
      <c r="DA55" s="1461"/>
      <c r="DB55" s="1321"/>
      <c r="DC55" s="1323"/>
      <c r="DD55" s="1461"/>
      <c r="DE55" s="1334"/>
      <c r="DF55" s="1461"/>
      <c r="DG55" s="1321"/>
      <c r="DH55" s="1323"/>
      <c r="DI55" s="1461"/>
      <c r="DJ55" s="1334"/>
      <c r="DK55" s="1461"/>
      <c r="DL55" s="1321"/>
      <c r="DM55" s="1323"/>
      <c r="DN55" s="1461"/>
      <c r="DO55" s="1334"/>
      <c r="DP55" s="1461"/>
      <c r="DQ55" s="1321"/>
      <c r="DR55" s="1323"/>
      <c r="DS55" s="1461"/>
      <c r="DT55" s="1334"/>
      <c r="DU55" s="1461"/>
      <c r="DV55" s="1321"/>
      <c r="DW55" s="1323"/>
      <c r="DX55" s="1461"/>
      <c r="DY55" s="1334"/>
      <c r="DZ55" s="1461"/>
      <c r="EA55" s="1321"/>
      <c r="EB55" s="1323"/>
      <c r="EC55" s="1461"/>
      <c r="ED55" s="1334"/>
      <c r="EE55" s="1461"/>
      <c r="EF55" s="1321"/>
      <c r="EH55" t="s">
        <v>2556</v>
      </c>
    </row>
    <row r="56" spans="1:140">
      <c r="C56" s="1120" t="s">
        <v>1791</v>
      </c>
      <c r="D56" s="1246" t="s">
        <v>814</v>
      </c>
      <c r="E56" s="29" t="s">
        <v>395</v>
      </c>
      <c r="F56" s="1110" t="s">
        <v>278</v>
      </c>
      <c r="G56" s="1248"/>
      <c r="H56" s="1320"/>
      <c r="I56" s="1242"/>
      <c r="J56" s="1320"/>
      <c r="K56" s="1322"/>
      <c r="L56" s="1324"/>
      <c r="M56" s="1320"/>
      <c r="N56" s="1335"/>
      <c r="O56" s="1320"/>
      <c r="P56" s="1322"/>
      <c r="Q56" s="1324"/>
      <c r="R56" s="1320"/>
      <c r="S56" s="1335"/>
      <c r="T56" s="1320"/>
      <c r="U56" s="1322"/>
      <c r="V56" s="1324"/>
      <c r="W56" s="1320"/>
      <c r="X56" s="1335"/>
      <c r="Y56" s="1320"/>
      <c r="Z56" s="1322"/>
      <c r="AA56" s="1324"/>
      <c r="AB56" s="1320"/>
      <c r="AC56" s="1335"/>
      <c r="AD56" s="1320"/>
      <c r="AE56" s="1322"/>
      <c r="AF56" s="1324"/>
      <c r="AG56" s="1320"/>
      <c r="AH56" s="1335"/>
      <c r="AI56" s="1320"/>
      <c r="AJ56" s="1322"/>
      <c r="AK56" s="1324"/>
      <c r="AL56" s="1320"/>
      <c r="AM56" s="1335"/>
      <c r="AN56" s="1320"/>
      <c r="AO56" s="1322"/>
      <c r="AP56" s="1324"/>
      <c r="AQ56" s="1320"/>
      <c r="AR56" s="1335"/>
      <c r="AS56" s="1320"/>
      <c r="AT56" s="1322"/>
      <c r="AU56" s="1324"/>
      <c r="AV56" s="1320"/>
      <c r="AW56" s="1335"/>
      <c r="AX56" s="1320"/>
      <c r="AY56" s="1322"/>
      <c r="AZ56" s="1324"/>
      <c r="BA56" s="1320"/>
      <c r="BB56" s="1335"/>
      <c r="BC56" s="1320"/>
      <c r="BD56" s="1322"/>
      <c r="BE56" s="1324"/>
      <c r="BF56" s="1320"/>
      <c r="BG56" s="1335"/>
      <c r="BH56" s="1320"/>
      <c r="BI56" s="1322"/>
      <c r="BJ56" s="1324"/>
      <c r="BK56" s="1320"/>
      <c r="BL56" s="1335"/>
      <c r="BM56" s="1320"/>
      <c r="BN56" s="1322"/>
      <c r="BO56" s="1324"/>
      <c r="BP56" s="1320"/>
      <c r="BQ56" s="1335"/>
      <c r="BR56" s="1320"/>
      <c r="BS56" s="1322"/>
      <c r="BT56" s="1324"/>
      <c r="BU56" s="1320"/>
      <c r="BV56" s="1335"/>
      <c r="BW56" s="1320"/>
      <c r="BX56" s="1322"/>
      <c r="BY56" s="1324"/>
      <c r="BZ56" s="1320"/>
      <c r="CA56" s="1335"/>
      <c r="CB56" s="1320"/>
      <c r="CC56" s="1322"/>
      <c r="CD56" s="1324"/>
      <c r="CE56" s="1320"/>
      <c r="CF56" s="1335"/>
      <c r="CG56" s="1320"/>
      <c r="CH56" s="1322"/>
      <c r="CI56" s="1324"/>
      <c r="CJ56" s="1320"/>
      <c r="CK56" s="1335"/>
      <c r="CL56" s="1320"/>
      <c r="CM56" s="1322"/>
      <c r="CN56" s="1324"/>
      <c r="CO56" s="1320"/>
      <c r="CP56" s="1335"/>
      <c r="CQ56" s="1320"/>
      <c r="CR56" s="1322"/>
      <c r="CS56" s="1324"/>
      <c r="CT56" s="1320"/>
      <c r="CU56" s="1335"/>
      <c r="CV56" s="1320"/>
      <c r="CW56" s="1322"/>
      <c r="CX56" s="1324"/>
      <c r="CY56" s="1462"/>
      <c r="CZ56" s="1335"/>
      <c r="DA56" s="1462"/>
      <c r="DB56" s="1322"/>
      <c r="DC56" s="1324"/>
      <c r="DD56" s="1462"/>
      <c r="DE56" s="1335"/>
      <c r="DF56" s="1462"/>
      <c r="DG56" s="1322"/>
      <c r="DH56" s="1324"/>
      <c r="DI56" s="1462"/>
      <c r="DJ56" s="1335"/>
      <c r="DK56" s="1462"/>
      <c r="DL56" s="1322"/>
      <c r="DM56" s="1324"/>
      <c r="DN56" s="1462"/>
      <c r="DO56" s="1335"/>
      <c r="DP56" s="1462"/>
      <c r="DQ56" s="1322"/>
      <c r="DR56" s="1324"/>
      <c r="DS56" s="1462"/>
      <c r="DT56" s="1335"/>
      <c r="DU56" s="1462"/>
      <c r="DV56" s="1322"/>
      <c r="DW56" s="1324"/>
      <c r="DX56" s="1462"/>
      <c r="DY56" s="1335"/>
      <c r="DZ56" s="1462"/>
      <c r="EA56" s="1322"/>
      <c r="EB56" s="1324"/>
      <c r="EC56" s="1462"/>
      <c r="ED56" s="1335"/>
      <c r="EE56" s="1462"/>
      <c r="EF56" s="1322"/>
      <c r="EH56" t="s">
        <v>2558</v>
      </c>
      <c r="EJ56" t="s">
        <v>2562</v>
      </c>
    </row>
    <row r="57" spans="1:140">
      <c r="C57" s="1120" t="s">
        <v>1793</v>
      </c>
      <c r="D57" s="1247"/>
      <c r="E57" s="1247" t="s">
        <v>395</v>
      </c>
      <c r="F57" s="1271" t="s">
        <v>279</v>
      </c>
      <c r="G57" s="1410"/>
      <c r="H57" s="1411"/>
      <c r="I57" s="1411"/>
      <c r="J57" s="1256">
        <f ca="1">OFFSET('VVP2'!$G$204,0,(COLUMN()-6)/5)</f>
        <v>93.424000000000007</v>
      </c>
      <c r="K57" s="1413"/>
      <c r="L57" s="1325">
        <f ca="1">OFFSET('VVP2'!$G$35,0,(COLUMN()-7)/5)</f>
        <v>-1.1592919903394727</v>
      </c>
      <c r="M57" s="1260">
        <f ca="1">+J57*(1+L57/100)</f>
        <v>92.340943050945256</v>
      </c>
      <c r="N57" s="1332">
        <f ca="1">+O57/M57*100-100</f>
        <v>-0.1872875078282874</v>
      </c>
      <c r="O57" s="1256">
        <f ca="1">OFFSET('VVP2'!$G$204,0,(COLUMN()-6)/5)</f>
        <v>92.168000000000006</v>
      </c>
      <c r="P57" s="1274">
        <f ca="1">(O57/J57-1)*100</f>
        <v>-1.3444082890905928</v>
      </c>
      <c r="Q57" s="1325">
        <f ca="1">OFFSET('VVP2'!$G$35,0,(COLUMN()-7)/5)</f>
        <v>-5.3100840763827151</v>
      </c>
      <c r="R57" s="1260">
        <f ca="1">+O57*(1+Q57/100)</f>
        <v>87.273801708479581</v>
      </c>
      <c r="S57" s="1332">
        <f ca="1">+T57/R57*100-100</f>
        <v>2.0661392722911813</v>
      </c>
      <c r="T57" s="1256">
        <f ca="1">OFFSET('VVP2'!$G$204,0,(COLUMN()-6)/5)</f>
        <v>89.076999999999998</v>
      </c>
      <c r="U57" s="1274">
        <f ca="1">(T57/O57-1)*100</f>
        <v>-3.3536585365853799</v>
      </c>
      <c r="V57" s="1325">
        <f ca="1">OFFSET('VVP2'!$G$35,0,(COLUMN()-7)/5)</f>
        <v>2.4328035843504736</v>
      </c>
      <c r="W57" s="1260">
        <f ca="1">+T57*(1+V57/100)</f>
        <v>91.244068448831868</v>
      </c>
      <c r="X57" s="1332">
        <f ca="1">+Y57/W57*100-100</f>
        <v>3.1223197294909681</v>
      </c>
      <c r="Y57" s="1256">
        <f ca="1">OFFSET('VVP2'!$G$204,0,(COLUMN()-6)/5)</f>
        <v>94.093000000000004</v>
      </c>
      <c r="Z57" s="1274">
        <f ca="1">(Y57/T57-1)*100</f>
        <v>5.6310832201353911</v>
      </c>
      <c r="AA57" s="1325">
        <f ca="1">OFFSET('VVP2'!$G$35,0,(COLUMN()-7)/5)</f>
        <v>-1.5115558909926552</v>
      </c>
      <c r="AB57" s="1260">
        <f ca="1">+Y57*(1+AA57/100)</f>
        <v>92.670731715488287</v>
      </c>
      <c r="AC57" s="1332">
        <f ca="1">+AD57/AB57*100-100</f>
        <v>2.0840110450848499</v>
      </c>
      <c r="AD57" s="1256">
        <f ca="1">OFFSET('VVP2'!$G$204,0,(COLUMN()-6)/5)</f>
        <v>94.602000000000004</v>
      </c>
      <c r="AE57" s="1274">
        <f ca="1">(AD57/Y57-1)*100</f>
        <v>0.54095416237127658</v>
      </c>
      <c r="AF57" s="1325">
        <f ca="1">OFFSET('VVP2'!$G$35,0,(COLUMN()-7)/5)</f>
        <v>3.92580230480295</v>
      </c>
      <c r="AG57" s="1260">
        <f ca="1">+AD57*(1+AF57/100)</f>
        <v>98.315887496389692</v>
      </c>
      <c r="AH57" s="1332">
        <f ca="1">+AI57/AG57*100-100</f>
        <v>3.0382805665259269</v>
      </c>
      <c r="AI57" s="1256">
        <f ca="1">OFFSET('VVP2'!$G$204,0,(COLUMN()-6)/5)</f>
        <v>101.303</v>
      </c>
      <c r="AJ57" s="1274">
        <f ca="1">(AI57/AD57-1)*100</f>
        <v>7.0833597598359388</v>
      </c>
      <c r="AK57" s="1325">
        <f ca="1">OFFSET('VVP2'!$G$35,0,(COLUMN()-7)/5)</f>
        <v>6.976979735356581</v>
      </c>
      <c r="AL57" s="1260">
        <f ca="1">+AI57*(1+AK57/100)</f>
        <v>108.37088978130828</v>
      </c>
      <c r="AM57" s="1332">
        <f ca="1">+AN57/AL57*100-100</f>
        <v>4.4717822548759472</v>
      </c>
      <c r="AN57" s="1256">
        <f ca="1">OFFSET('VVP2'!$G$204,0,(COLUMN()-6)/5)</f>
        <v>113.217</v>
      </c>
      <c r="AO57" s="1274">
        <f ca="1">(AN57/AI57-1)*100</f>
        <v>11.760757331964511</v>
      </c>
      <c r="AP57" s="1325">
        <f ca="1">OFFSET('VVP2'!$G$35,0,(COLUMN()-7)/5)</f>
        <v>1.31943954910414</v>
      </c>
      <c r="AQ57" s="1260">
        <f ca="1">+AN57*(1+AP57/100)</f>
        <v>114.71082987430923</v>
      </c>
      <c r="AR57" s="1332">
        <f ca="1">+AS57/AQ57*100-100</f>
        <v>3.488049149391486</v>
      </c>
      <c r="AS57" s="1256">
        <f ca="1">OFFSET('VVP2'!$G$204,0,(COLUMN()-6)/5)</f>
        <v>118.712</v>
      </c>
      <c r="AT57" s="1274">
        <f ca="1">(AS57/AN57-1)*100</f>
        <v>4.8535113984649048</v>
      </c>
      <c r="AU57" s="1325">
        <f ca="1">OFFSET('VVP2'!$G$35,0,(COLUMN()-7)/5)</f>
        <v>-1.0326830335346759</v>
      </c>
      <c r="AV57" s="1260">
        <f ca="1">+AS57*(1+AU57/100)</f>
        <v>117.48608131723032</v>
      </c>
      <c r="AW57" s="1332">
        <f ca="1">+AX57/AV57*100-100</f>
        <v>4.1927678815577849</v>
      </c>
      <c r="AX57" s="1256">
        <f ca="1">OFFSET('VVP2'!$G$204,0,(COLUMN()-6)/5)</f>
        <v>122.41200000000001</v>
      </c>
      <c r="AY57" s="1274">
        <f ca="1">(AX57/AS57-1)*100</f>
        <v>3.1167868454747616</v>
      </c>
      <c r="AZ57" s="1325">
        <f ca="1">OFFSET('VVP2'!$G$35,0,(COLUMN()-7)/5)</f>
        <v>5.2308826250583751</v>
      </c>
      <c r="BA57" s="1260">
        <f ca="1">+AX57*(1+AZ57/100)</f>
        <v>128.81522803898648</v>
      </c>
      <c r="BB57" s="1332">
        <f ca="1">+BC57/BA57*100-100</f>
        <v>4.7523666682954229</v>
      </c>
      <c r="BC57" s="1256">
        <f ca="1">OFFSET('VVP2'!$G$204,0,(COLUMN()-6)/5)</f>
        <v>134.93700000000001</v>
      </c>
      <c r="BD57" s="1274">
        <f ca="1">(BC57/AX57-1)*100</f>
        <v>10.231840015684735</v>
      </c>
      <c r="BE57" s="1325">
        <f ca="1">OFFSET('VVP2'!$G$35,0,(COLUMN()-7)/5)</f>
        <v>-2.8315892183169655</v>
      </c>
      <c r="BF57" s="1260">
        <f ca="1">+BC57*(1+BE57/100)</f>
        <v>131.11613845647966</v>
      </c>
      <c r="BG57" s="1332">
        <f ca="1">+BH57/BF57*100-100</f>
        <v>2.3947178283949597</v>
      </c>
      <c r="BH57" s="1256">
        <f ca="1">OFFSET('VVP2'!$G$204,0,(COLUMN()-6)/5)</f>
        <v>134.256</v>
      </c>
      <c r="BI57" s="1274">
        <f ca="1">(BH57/BC57-1)*100</f>
        <v>-0.50467996175994623</v>
      </c>
      <c r="BJ57" s="1325">
        <f ca="1">OFFSET('VVP2'!$G$35,0,(COLUMN()-7)/5)</f>
        <v>14.324923395448529</v>
      </c>
      <c r="BK57" s="1260">
        <f ca="1">+BH57*(1+BJ57/100)</f>
        <v>153.48806915379339</v>
      </c>
      <c r="BL57" s="1332">
        <f ca="1">+BM57/BK57*100-100</f>
        <v>2.2528987857302525</v>
      </c>
      <c r="BM57" s="1256">
        <f ca="1">OFFSET('VVP2'!$G$204,0,(COLUMN()-6)/5)</f>
        <v>156.946</v>
      </c>
      <c r="BN57" s="1274">
        <f ca="1">(BM57/BH57-1)*100</f>
        <v>16.900548206411624</v>
      </c>
      <c r="BO57" s="1325">
        <f ca="1">OFFSET('VVP2'!$G$35,0,(COLUMN()-7)/5)</f>
        <v>7.7110893644429135</v>
      </c>
      <c r="BP57" s="1260">
        <f ca="1">+BM57*(1+BO57/100)</f>
        <v>169.04824631391858</v>
      </c>
      <c r="BQ57" s="1332">
        <f ca="1">+BR57/BP57*100-100</f>
        <v>4.9895540888476688</v>
      </c>
      <c r="BR57" s="1256">
        <f ca="1">OFFSET('VVP2'!$G$204,0,(COLUMN()-6)/5)</f>
        <v>177.483</v>
      </c>
      <c r="BS57" s="1274">
        <f ca="1">(BR57/BM57-1)*100</f>
        <v>13.085392427968866</v>
      </c>
      <c r="BT57" s="1325">
        <f ca="1">OFFSET('VVP2'!$G$35,0,(COLUMN()-7)/5)</f>
        <v>5.4715851907461088</v>
      </c>
      <c r="BU57" s="1260">
        <f ca="1">+BR57*(1+BT57/100)</f>
        <v>187.19413354409193</v>
      </c>
      <c r="BV57" s="1332">
        <f ca="1">+BW57/BU57*100-100</f>
        <v>6.4200016466207046</v>
      </c>
      <c r="BW57" s="1256">
        <f ca="1">OFFSET('VVP2'!$G$204,0,(COLUMN()-6)/5)</f>
        <v>199.21199999999999</v>
      </c>
      <c r="BX57" s="1274">
        <f ca="1">(BW57/BR57-1)*100</f>
        <v>12.242862696708979</v>
      </c>
      <c r="BY57" s="1325">
        <f ca="1">OFFSET('VVP2'!$G$35,0,(COLUMN()-7)/5)</f>
        <v>-8.651411613969529</v>
      </c>
      <c r="BZ57" s="1260">
        <f ca="1">+BW57*(1+BY57/100)</f>
        <v>181.97734989557901</v>
      </c>
      <c r="CA57" s="1332">
        <f ca="1">+CB57/BZ57*100-100</f>
        <v>0.47349305005013775</v>
      </c>
      <c r="CB57" s="1256">
        <f ca="1">OFFSET('VVP2'!$G$204,0,(COLUMN()-6)/5)</f>
        <v>182.839</v>
      </c>
      <c r="CC57" s="1274">
        <f ca="1">(CB57/BW57-1)*100</f>
        <v>-8.2188823966427691</v>
      </c>
      <c r="CD57" s="1325">
        <f ca="1">OFFSET('VVP2'!$G$35,0,(COLUMN()-7)/5)</f>
        <v>-1.9798768704908376</v>
      </c>
      <c r="CE57" s="1260">
        <f ca="1">+CB57*(1+CD57/100)</f>
        <v>179.21901292876325</v>
      </c>
      <c r="CF57" s="1332">
        <f ca="1">+CG57/CE57*100-100</f>
        <v>2.8735718309551146</v>
      </c>
      <c r="CG57" s="1256">
        <f ca="1">OFFSET('VVP2'!$G$204,0,(COLUMN()-6)/5)</f>
        <v>184.369</v>
      </c>
      <c r="CH57" s="1274">
        <f ca="1">(CG57/CB57-1)*100</f>
        <v>0.83680177642626585</v>
      </c>
      <c r="CI57" s="1325">
        <f ca="1">OFFSET('VVP2'!$G$35,0,(COLUMN()-7)/5)</f>
        <v>-3.7068162218160228</v>
      </c>
      <c r="CJ57" s="1260">
        <f ca="1">+CG57*(1+CI57/100)</f>
        <v>177.53478000000001</v>
      </c>
      <c r="CK57" s="1332">
        <f ca="1">+CL57/CJ57*100-100</f>
        <v>3.8579595502357051</v>
      </c>
      <c r="CL57" s="1256">
        <f ca="1">OFFSET('VVP2'!$G$204,0,(COLUMN()-6)/5)</f>
        <v>184.38399999999999</v>
      </c>
      <c r="CM57" s="1274">
        <f ca="1">(CL57/CG57-1)*100</f>
        <v>8.1358579804513553E-3</v>
      </c>
      <c r="CN57" s="1325">
        <f ca="1">OFFSET('VVP2'!$G$35,0,(COLUMN()-7)/5)</f>
        <v>8.6041168947290192</v>
      </c>
      <c r="CO57" s="1260">
        <f ca="1">+CL57*(1+CN57/100)</f>
        <v>200.24861489517713</v>
      </c>
      <c r="CP57" s="1332">
        <f ca="1">+CQ57/CO57*100-100</f>
        <v>2.3712449183773288</v>
      </c>
      <c r="CQ57" s="1256">
        <f ca="1">OFFSET('VVP2'!$G$204,0,(COLUMN()-6)/5)</f>
        <v>204.99700000000001</v>
      </c>
      <c r="CR57" s="1274">
        <f ca="1">(CQ57/CL57-1)*100</f>
        <v>11.17938649774386</v>
      </c>
      <c r="CS57" s="1325">
        <f ca="1">OFFSET('VVP2'!$G$35,0,(COLUMN()-7)/5)</f>
        <v>-2.654124722109974</v>
      </c>
      <c r="CT57" s="1260">
        <f ca="1">+CQ57*(1+CS57/100)</f>
        <v>199.55612394341622</v>
      </c>
      <c r="CU57" s="1332">
        <f ca="1">+CV57/CT57*100-100</f>
        <v>0.72454607155717099</v>
      </c>
      <c r="CV57" s="1256">
        <f ca="1">OFFSET('VVP2'!$G$204,0,(COLUMN()-6)/5)</f>
        <v>201.00200000000001</v>
      </c>
      <c r="CW57" s="1274">
        <f ca="1">(CV57/CQ57-1)*100</f>
        <v>-1.9488090069610831</v>
      </c>
      <c r="CX57" s="1325">
        <f ca="1">OFFSET('VVP2'!$G$35,0,(COLUMN()-7)/5)</f>
        <v>5.3695120523093554</v>
      </c>
      <c r="CY57" s="1260">
        <f ca="1">+CV57*(1+CX57/100)</f>
        <v>211.79482661538287</v>
      </c>
      <c r="CZ57" s="1332">
        <f ca="1">+DA57/CY57*100-100</f>
        <v>1.3424187125119431</v>
      </c>
      <c r="DA57" s="1256">
        <f ca="1">OFFSET('VVP2'!$G$204,0,(COLUMN()-6)/5)</f>
        <v>214.63800000000001</v>
      </c>
      <c r="DB57" s="1274">
        <f ca="1">(DA57/CV57-1)*100</f>
        <v>6.7840120993820863</v>
      </c>
      <c r="DC57" s="1325">
        <f ca="1">OFFSET('VVP2'!$G$35,0,(COLUMN()-7)/5)</f>
        <v>1.6851978785143551</v>
      </c>
      <c r="DD57" s="1260">
        <f ca="1">+DA57*(1+DC57/100)</f>
        <v>218.25507502248564</v>
      </c>
      <c r="DE57" s="1332">
        <f ca="1">+DF57/DD57*100-100</f>
        <v>0.57864632810222361</v>
      </c>
      <c r="DF57" s="1256">
        <f ca="1">OFFSET('VVP2'!$G$204,0,(COLUMN()-6)/5)</f>
        <v>219.518</v>
      </c>
      <c r="DG57" s="1274">
        <f ca="1">(DF57/DA57-1)*100</f>
        <v>2.2735955422618526</v>
      </c>
      <c r="DH57" s="1325">
        <f ca="1">OFFSET('VVP2'!$G$35,0,(COLUMN()-7)/5)</f>
        <v>4.8246608328927909</v>
      </c>
      <c r="DI57" s="1260">
        <f ca="1">+DF57*(1+DH57/100)</f>
        <v>230.1089989671496</v>
      </c>
      <c r="DJ57" s="1332">
        <f ca="1">+DK57/DI57*100-100</f>
        <v>0.56886129561463861</v>
      </c>
      <c r="DK57" s="1256">
        <f ca="1">OFFSET('VVP2'!$G$204,0,(COLUMN()-6)/5)</f>
        <v>231.41800000000001</v>
      </c>
      <c r="DL57" s="1274">
        <f ca="1">(DK57/DF57-1)*100</f>
        <v>5.4209677566304348</v>
      </c>
      <c r="DM57" s="1325">
        <f ca="1">OFFSET('VVP2'!$G$35,0,(COLUMN()-7)/5)</f>
        <v>4.7155909616337865</v>
      </c>
      <c r="DN57" s="1260">
        <f ca="1">+DK57*(1+DM57/100)</f>
        <v>242.33072629159369</v>
      </c>
      <c r="DO57" s="1332">
        <f ca="1">+DP57/DN57*100-100</f>
        <v>3.7689292844425921</v>
      </c>
      <c r="DP57" s="1256">
        <f ca="1">OFFSET('VVP2'!$G$204,0,(COLUMN()-6)/5)</f>
        <v>251.464</v>
      </c>
      <c r="DQ57" s="1274">
        <f ca="1">(DP57/DK57-1)*100</f>
        <v>8.6622475347639227</v>
      </c>
      <c r="DR57" s="2309">
        <v>3.55</v>
      </c>
      <c r="DS57" s="2310">
        <f ca="1">+DP57*(1+DR57/100)</f>
        <v>260.39097200000003</v>
      </c>
      <c r="DT57" s="2311">
        <v>4.0999999999999996</v>
      </c>
      <c r="DU57" s="2310">
        <f ca="1">+DS57*(1+DT57/100)</f>
        <v>271.06700185200003</v>
      </c>
      <c r="DV57" s="2312">
        <f ca="1">(DU57/DP57-1)*100</f>
        <v>7.7955500000000066</v>
      </c>
      <c r="DW57" s="2309">
        <v>3.61</v>
      </c>
      <c r="DX57" s="2310">
        <f ca="1">+DU57*(1+DW57/100)</f>
        <v>280.85252061885723</v>
      </c>
      <c r="DY57" s="2311">
        <v>3.5</v>
      </c>
      <c r="DZ57" s="2310">
        <f ca="1">+DX57*(1+DY57/100)</f>
        <v>290.68235884051722</v>
      </c>
      <c r="EA57" s="2312">
        <f ca="1">(DZ57/DU57-1)*100</f>
        <v>7.2363500000000025</v>
      </c>
      <c r="EB57" s="2309">
        <v>2.88</v>
      </c>
      <c r="EC57" s="2310">
        <f ca="1">+DZ57*(1+EB57/100)</f>
        <v>299.05401077512408</v>
      </c>
      <c r="ED57" s="2311">
        <v>2.1</v>
      </c>
      <c r="EE57" s="2310">
        <f ca="1">+EC57*(1+ED57/100)</f>
        <v>305.33414500140168</v>
      </c>
      <c r="EF57" s="2312">
        <f ca="1">(EE57/DZ57-1)*100</f>
        <v>5.0404799999999916</v>
      </c>
      <c r="EH57" t="s">
        <v>2559</v>
      </c>
      <c r="EI57">
        <f ca="1">(40/DP17)*100</f>
        <v>0.8735724461273332</v>
      </c>
      <c r="EJ57" t="s">
        <v>1333</v>
      </c>
    </row>
    <row r="58" spans="1:140">
      <c r="C58" s="1120" t="s">
        <v>1791</v>
      </c>
      <c r="D58" s="3"/>
      <c r="E58" s="1" t="s">
        <v>810</v>
      </c>
      <c r="F58" s="3" t="s">
        <v>280</v>
      </c>
      <c r="G58" s="1414"/>
      <c r="H58" s="1320"/>
      <c r="I58" s="1242"/>
      <c r="J58" s="1108">
        <f ca="1">OFFSET('VVP2'!$G$205,0,(COLUMN()-6)/5)</f>
        <v>33.368000000000002</v>
      </c>
      <c r="K58" s="1322"/>
      <c r="L58" s="1326">
        <f ca="1">OFFSET('VVP2'!$G$36,0,(COLUMN()-7)/5)</f>
        <v>5.1609030120967958</v>
      </c>
      <c r="M58" s="1108">
        <f ca="1">+J58*(1+L58/100)</f>
        <v>35.090090117076464</v>
      </c>
      <c r="N58" s="1336">
        <f ca="1">+O58/M58*100-100</f>
        <v>2.8381513971629317</v>
      </c>
      <c r="O58" s="1108">
        <f ca="1">OFFSET('VVP2'!$G$205,0,(COLUMN()-6)/5)</f>
        <v>36.085999999999999</v>
      </c>
      <c r="P58" s="1327">
        <f ca="1">(O58/J58-1)*100</f>
        <v>8.1455286502037705</v>
      </c>
      <c r="Q58" s="1326">
        <f ca="1">OFFSET('VVP2'!$G$36,0,(COLUMN()-7)/5)</f>
        <v>-6.3099929795869647</v>
      </c>
      <c r="R58" s="1108">
        <f ca="1">+O58*(1+Q58/100)</f>
        <v>33.808975933386243</v>
      </c>
      <c r="S58" s="1336">
        <f ca="1">+T58/R58*100-100</f>
        <v>3.9664734869697611</v>
      </c>
      <c r="T58" s="1108">
        <f ca="1">OFFSET('VVP2'!$G$205,0,(COLUMN()-6)/5)</f>
        <v>35.15</v>
      </c>
      <c r="U58" s="1327">
        <f ca="1">(T58/O58-1)*100</f>
        <v>-2.5938036911821727</v>
      </c>
      <c r="V58" s="1326">
        <f ca="1">OFFSET('VVP2'!$G$36,0,(COLUMN()-7)/5)</f>
        <v>7.9057249155626286</v>
      </c>
      <c r="W58" s="1108">
        <f ca="1">+T58*(1+V58/100)</f>
        <v>37.92886230782026</v>
      </c>
      <c r="X58" s="1336">
        <f ca="1">+Y58/W58*100-100</f>
        <v>5.0255598934395778</v>
      </c>
      <c r="Y58" s="1108">
        <f ca="1">OFFSET('VVP2'!$G$205,0,(COLUMN()-6)/5)</f>
        <v>39.835000000000001</v>
      </c>
      <c r="Z58" s="1327">
        <f ca="1">(Y58/T58-1)*100</f>
        <v>13.328591749644382</v>
      </c>
      <c r="AA58" s="1326">
        <f ca="1">OFFSET('VVP2'!$G$36,0,(COLUMN()-7)/5)</f>
        <v>11.233975753923531</v>
      </c>
      <c r="AB58" s="1108">
        <f ca="1">+Y58*(1+AA58/100)</f>
        <v>44.310054241575436</v>
      </c>
      <c r="AC58" s="1336">
        <f ca="1">+AD58/AB58*100-100</f>
        <v>2.8728147148828782</v>
      </c>
      <c r="AD58" s="1108">
        <f ca="1">OFFSET('VVP2'!$G$205,0,(COLUMN()-6)/5)</f>
        <v>45.582999999999998</v>
      </c>
      <c r="AE58" s="1327">
        <f ca="1">(AD58/Y58-1)*100</f>
        <v>14.429521777331477</v>
      </c>
      <c r="AF58" s="1326">
        <f ca="1">OFFSET('VVP2'!$G$36,0,(COLUMN()-7)/5)</f>
        <v>13.948320913940314</v>
      </c>
      <c r="AG58" s="1108">
        <f ca="1">+AD58*(1+AF58/100)</f>
        <v>51.941063122201413</v>
      </c>
      <c r="AH58" s="1336">
        <f ca="1">+AI58/AG58*100-100</f>
        <v>7.677811423336081</v>
      </c>
      <c r="AI58" s="1108">
        <f ca="1">OFFSET('VVP2'!$G$205,0,(COLUMN()-6)/5)</f>
        <v>55.929000000000002</v>
      </c>
      <c r="AJ58" s="1327">
        <f ca="1">(AI58/AD58-1)*100</f>
        <v>22.697058113770495</v>
      </c>
      <c r="AK58" s="1326">
        <f ca="1">OFFSET('VVP2'!$G$36,0,(COLUMN()-7)/5)</f>
        <v>7.0196122396152916</v>
      </c>
      <c r="AL58" s="1108">
        <f ca="1">+AI58*(1+AK58/100)</f>
        <v>59.854998929494435</v>
      </c>
      <c r="AM58" s="1336">
        <f ca="1">+AN58/AL58*100-100</f>
        <v>8.2749998481161242</v>
      </c>
      <c r="AN58" s="1108">
        <f ca="1">OFFSET('VVP2'!$G$205,0,(COLUMN()-6)/5)</f>
        <v>64.808000000000007</v>
      </c>
      <c r="AO58" s="1327">
        <f ca="1">(AN58/AI58-1)*100</f>
        <v>15.875484989897902</v>
      </c>
      <c r="AP58" s="1326">
        <f ca="1">OFFSET('VVP2'!$G$36,0,(COLUMN()-7)/5)</f>
        <v>10.809079146027955</v>
      </c>
      <c r="AQ58" s="1108">
        <f ca="1">+AN58*(1+AP58/100)</f>
        <v>71.813148012957811</v>
      </c>
      <c r="AR58" s="1336">
        <f ca="1">+AS58/AQ58*100-100</f>
        <v>3.7706911087557131</v>
      </c>
      <c r="AS58" s="1108">
        <f ca="1">OFFSET('VVP2'!$G$205,0,(COLUMN()-6)/5)</f>
        <v>74.521000000000001</v>
      </c>
      <c r="AT58" s="1327">
        <f ca="1">(AS58/AN58-1)*100</f>
        <v>14.987347241081327</v>
      </c>
      <c r="AU58" s="1326">
        <f ca="1">OFFSET('VVP2'!$G$36,0,(COLUMN()-7)/5)</f>
        <v>5.16806033483872</v>
      </c>
      <c r="AV58" s="1108">
        <f ca="1">+AS58*(1+AU58/100)</f>
        <v>78.37229024212516</v>
      </c>
      <c r="AW58" s="1336">
        <f ca="1">+AX58/AV58*100-100</f>
        <v>2.3818491868845371</v>
      </c>
      <c r="AX58" s="1108">
        <f ca="1">OFFSET('VVP2'!$G$205,0,(COLUMN()-6)/5)</f>
        <v>80.239000000000004</v>
      </c>
      <c r="AY58" s="1327">
        <f ca="1">(AX58/AS58-1)*100</f>
        <v>7.6730049247863086</v>
      </c>
      <c r="AZ58" s="1326">
        <f ca="1">OFFSET('VVP2'!$G$36,0,(COLUMN()-7)/5)</f>
        <v>12.988919997168624</v>
      </c>
      <c r="BA58" s="1108">
        <f ca="1">+AX58*(1+AZ58/100)</f>
        <v>90.661179516528136</v>
      </c>
      <c r="BB58" s="1336">
        <f ca="1">+BC58/BA58*100-100</f>
        <v>2.8753436667969083</v>
      </c>
      <c r="BC58" s="1108">
        <f ca="1">OFFSET('VVP2'!$G$205,0,(COLUMN()-6)/5)</f>
        <v>93.268000000000001</v>
      </c>
      <c r="BD58" s="1327">
        <f ca="1">(BC58/AX58-1)*100</f>
        <v>16.237739752489432</v>
      </c>
      <c r="BE58" s="1326">
        <f ca="1">OFFSET('VVP2'!$G$36,0,(COLUMN()-7)/5)</f>
        <v>9.8972537235049387</v>
      </c>
      <c r="BF58" s="1108">
        <f ca="1">+BC58*(1+BE58/100)</f>
        <v>102.49897060283858</v>
      </c>
      <c r="BG58" s="1336">
        <f ca="1">+BH58/BF58*100-100</f>
        <v>2.7542026818006207</v>
      </c>
      <c r="BH58" s="1108">
        <f ca="1">OFFSET('VVP2'!$G$205,0,(COLUMN()-6)/5)</f>
        <v>105.322</v>
      </c>
      <c r="BI58" s="1327">
        <f ca="1">(BH58/BC58-1)*100</f>
        <v>12.924046832782942</v>
      </c>
      <c r="BJ58" s="1326">
        <f ca="1">OFFSET('VVP2'!$G$36,0,(COLUMN()-7)/5)</f>
        <v>14.548667977836182</v>
      </c>
      <c r="BK58" s="1108">
        <f ca="1">+BH58*(1+BJ58/100)</f>
        <v>120.64494808761663</v>
      </c>
      <c r="BL58" s="1336">
        <f ca="1">+BM58/BK58*100-100</f>
        <v>4.8033937634709645</v>
      </c>
      <c r="BM58" s="1108">
        <f ca="1">OFFSET('VVP2'!$G$205,0,(COLUMN()-6)/5)</f>
        <v>126.44</v>
      </c>
      <c r="BN58" s="1327">
        <f ca="1">(BM58/BH58-1)*100</f>
        <v>20.05089155162263</v>
      </c>
      <c r="BO58" s="1326">
        <f ca="1">OFFSET('VVP2'!$G$36,0,(COLUMN()-7)/5)</f>
        <v>6.7811399023255614</v>
      </c>
      <c r="BP58" s="1108">
        <f ca="1">+BM58*(1+BO58/100)</f>
        <v>135.01407329250043</v>
      </c>
      <c r="BQ58" s="1336">
        <f ca="1">+BR58/BP58*100-100</f>
        <v>6.1267144274500254</v>
      </c>
      <c r="BR58" s="1108">
        <f ca="1">OFFSET('VVP2'!$G$205,0,(COLUMN()-6)/5)</f>
        <v>143.286</v>
      </c>
      <c r="BS58" s="1327">
        <f ca="1">(BR58/BM58-1)*100</f>
        <v>13.323315406516922</v>
      </c>
      <c r="BT58" s="1326">
        <f ca="1">OFFSET('VVP2'!$G$36,0,(COLUMN()-7)/5)</f>
        <v>-13.231017433193081</v>
      </c>
      <c r="BU58" s="1108">
        <f ca="1">+BR58*(1+BT58/100)</f>
        <v>124.32780436067496</v>
      </c>
      <c r="BV58" s="1336">
        <f ca="1">+BW58/BU58*100-100</f>
        <v>6.1950709086609095</v>
      </c>
      <c r="BW58" s="1108">
        <f ca="1">OFFSET('VVP2'!$G$205,0,(COLUMN()-6)/5)</f>
        <v>132.03</v>
      </c>
      <c r="BX58" s="1327">
        <f ca="1">(BW58/BR58-1)*100</f>
        <v>-7.8556174364557645</v>
      </c>
      <c r="BY58" s="1326">
        <f ca="1">OFFSET('VVP2'!$G$36,0,(COLUMN()-7)/5)</f>
        <v>-19.045534131849951</v>
      </c>
      <c r="BZ58" s="1108">
        <f ca="1">+BW58*(1+BY58/100)</f>
        <v>106.88418128571851</v>
      </c>
      <c r="CA58" s="1336">
        <f ca="1">+CB58/BZ58*100-100</f>
        <v>2.1488855382086172</v>
      </c>
      <c r="CB58" s="1108">
        <f ca="1">OFFSET('VVP2'!$G$205,0,(COLUMN()-6)/5)</f>
        <v>109.181</v>
      </c>
      <c r="CC58" s="1327">
        <f ca="1">(CB58/BW58-1)*100</f>
        <v>-17.305915322275244</v>
      </c>
      <c r="CD58" s="1326">
        <f ca="1">OFFSET('VVP2'!$G$36,0,(COLUMN()-7)/5)</f>
        <v>12.713057429028506</v>
      </c>
      <c r="CE58" s="1108">
        <f ca="1">+CB58*(1+CD58/100)</f>
        <v>123.06124323158761</v>
      </c>
      <c r="CF58" s="1336">
        <f ca="1">+CG58/CE58*100-100</f>
        <v>3.8117254833716459</v>
      </c>
      <c r="CG58" s="1108">
        <f ca="1">OFFSET('VVP2'!$G$205,0,(COLUMN()-6)/5)</f>
        <v>127.752</v>
      </c>
      <c r="CH58" s="1327">
        <f ca="1">(CG58/CB58-1)*100</f>
        <v>17.009369762138093</v>
      </c>
      <c r="CI58" s="1326">
        <f ca="1">OFFSET('VVP2'!$G$36,0,(COLUMN()-7)/5)</f>
        <v>8.0449777694282751</v>
      </c>
      <c r="CJ58" s="1108">
        <f ca="1">+CG58*(1+CI58/100)</f>
        <v>138.02961999999999</v>
      </c>
      <c r="CK58" s="1336">
        <f ca="1">+CL58/CJ58*100-100</f>
        <v>2.5663911847326801</v>
      </c>
      <c r="CL58" s="1108">
        <f ca="1">OFFSET('VVP2'!$G$205,0,(COLUMN()-6)/5)</f>
        <v>141.572</v>
      </c>
      <c r="CM58" s="1327">
        <f ca="1">(CL58/CG58-1)*100</f>
        <v>10.817834554449245</v>
      </c>
      <c r="CN58" s="1326">
        <f ca="1">OFFSET('VVP2'!$G$36,0,(COLUMN()-7)/5)</f>
        <v>-11.84465334324617</v>
      </c>
      <c r="CO58" s="1108">
        <f ca="1">+CL58*(1+CN58/100)</f>
        <v>124.80328736889953</v>
      </c>
      <c r="CP58" s="1336">
        <f ca="1">+CQ58/CO58*100-100</f>
        <v>1.8226383928307683</v>
      </c>
      <c r="CQ58" s="1108">
        <f ca="1">OFFSET('VVP2'!$G$205,0,(COLUMN()-6)/5)</f>
        <v>127.078</v>
      </c>
      <c r="CR58" s="1327">
        <f ca="1">(CQ58/CL58-1)*100</f>
        <v>-10.237900149747126</v>
      </c>
      <c r="CS58" s="1326">
        <f ca="1">OFFSET('VVP2'!$G$36,0,(COLUMN()-7)/5)</f>
        <v>0.86111586171291332</v>
      </c>
      <c r="CT58" s="1108">
        <f ca="1">+CQ58*(1+CS58/100)</f>
        <v>128.17228881474753</v>
      </c>
      <c r="CU58" s="1336">
        <f ca="1">+CV58/CT58*100-100</f>
        <v>2.8989972946671401</v>
      </c>
      <c r="CV58" s="1108">
        <f ca="1">OFFSET('VVP2'!$G$205,0,(COLUMN()-6)/5)</f>
        <v>131.88800000000001</v>
      </c>
      <c r="CW58" s="1327">
        <f ca="1">(CV58/CQ58-1)*100</f>
        <v>3.7850768819150504</v>
      </c>
      <c r="CX58" s="1326">
        <f ca="1">OFFSET('VVP2'!$G$36,0,(COLUMN()-7)/5)</f>
        <v>15.6465949581311</v>
      </c>
      <c r="CY58" s="1108">
        <f ca="1">+CV58*(1+CX58/100)</f>
        <v>152.52398115837994</v>
      </c>
      <c r="CZ58" s="1336">
        <f ca="1">+DA58/CY58*100-100</f>
        <v>2.9995406668997191</v>
      </c>
      <c r="DA58" s="1108">
        <f ca="1">OFFSET('VVP2'!$G$205,0,(COLUMN()-6)/5)</f>
        <v>157.09899999999999</v>
      </c>
      <c r="DB58" s="1327">
        <f ca="1">(DA58/CV58-1)*100</f>
        <v>19.115461603785011</v>
      </c>
      <c r="DC58" s="1326">
        <f ca="1">OFFSET('VVP2'!$G$36,0,(COLUMN()-7)/5)</f>
        <v>17.959171738963462</v>
      </c>
      <c r="DD58" s="1108">
        <f ca="1">+DA58*(1+DC58/100)</f>
        <v>185.3126792101942</v>
      </c>
      <c r="DE58" s="1336">
        <f ca="1">+DF58/DD58*100-100</f>
        <v>3.2088040684259198</v>
      </c>
      <c r="DF58" s="1108">
        <f ca="1">OFFSET('VVP2'!$G$205,0,(COLUMN()-6)/5)</f>
        <v>191.25899999999999</v>
      </c>
      <c r="DG58" s="1327">
        <f ca="1">(DF58/DA58-1)*100</f>
        <v>21.744250440804834</v>
      </c>
      <c r="DH58" s="1326">
        <f ca="1">OFFSET('VVP2'!$G$36,0,(COLUMN()-7)/5)</f>
        <v>10.898314575702251</v>
      </c>
      <c r="DI58" s="1108">
        <f ca="1">+DF58*(1+DH58/100)</f>
        <v>212.10300747434235</v>
      </c>
      <c r="DJ58" s="1336">
        <f ca="1">+DK58/DI58*100-100</f>
        <v>6.0088693118598826</v>
      </c>
      <c r="DK58" s="1108">
        <f ca="1">OFFSET('VVP2'!$G$205,0,(COLUMN()-6)/5)</f>
        <v>224.84800000000001</v>
      </c>
      <c r="DL58" s="1327">
        <f ca="1">(DK58/DF58-1)*100</f>
        <v>17.562049367611476</v>
      </c>
      <c r="DM58" s="1326">
        <f ca="1">OFFSET('VVP2'!$G$36,0,(COLUMN()-7)/5)</f>
        <v>11.561836125889812</v>
      </c>
      <c r="DN58" s="1108">
        <f ca="1">+DK58*(1+DM58/100)</f>
        <v>250.84455729234074</v>
      </c>
      <c r="DO58" s="1336">
        <f ca="1">+DP58/DN58*100-100</f>
        <v>3.839207360770331</v>
      </c>
      <c r="DP58" s="1108">
        <f ca="1">OFFSET('VVP2'!$G$205,0,(COLUMN()-6)/5)</f>
        <v>260.47500000000002</v>
      </c>
      <c r="DQ58" s="1327">
        <f ca="1">(DP58/DK58-1)*100</f>
        <v>15.844926350245503</v>
      </c>
      <c r="DR58" s="2309">
        <v>1.71</v>
      </c>
      <c r="DS58" s="2313">
        <f ca="1">+DP58*(1+DR58/100)</f>
        <v>264.92912250000001</v>
      </c>
      <c r="DT58" s="2311">
        <v>3.82</v>
      </c>
      <c r="DU58" s="2313">
        <f ca="1">+DS58*(1+DT58/100)</f>
        <v>275.0494149795</v>
      </c>
      <c r="DV58" s="2314">
        <f ca="1">(DU58/DP58-1)*100</f>
        <v>5.5953219999999915</v>
      </c>
      <c r="DW58" s="2309">
        <v>-4.88</v>
      </c>
      <c r="DX58" s="2313">
        <f ca="1">+DU58*(1+DW58/100)</f>
        <v>261.62700352850044</v>
      </c>
      <c r="DY58" s="2311">
        <v>1.1200000000000001</v>
      </c>
      <c r="DZ58" s="2313">
        <f ca="1">+DX58*(1+DY58/100)</f>
        <v>264.55722596801968</v>
      </c>
      <c r="EA58" s="2314">
        <f ca="1">(DZ58/DU58-1)*100</f>
        <v>-3.8146559999999718</v>
      </c>
      <c r="EB58" s="2309">
        <v>-1.55</v>
      </c>
      <c r="EC58" s="2313">
        <f ca="1">+DZ58*(1+EB58/100)</f>
        <v>260.45658896551538</v>
      </c>
      <c r="ED58" s="2311">
        <v>0.99</v>
      </c>
      <c r="EE58" s="2313">
        <f ca="1">+EC58*(1+ED58/100)</f>
        <v>263.03510919627399</v>
      </c>
      <c r="EF58" s="2314">
        <f ca="1">(EE58/DZ58-1)*100</f>
        <v>-0.57534499999999378</v>
      </c>
      <c r="EI58">
        <f ca="1">(40/DP64)*100</f>
        <v>3.5007478472588707</v>
      </c>
      <c r="EJ58" t="s">
        <v>2560</v>
      </c>
    </row>
    <row r="59" spans="1:140">
      <c r="A59" s="1504" t="s">
        <v>158</v>
      </c>
      <c r="C59" s="1121" t="s">
        <v>1793</v>
      </c>
      <c r="D59" s="1308"/>
      <c r="E59" s="1308" t="s">
        <v>811</v>
      </c>
      <c r="F59" s="1309" t="s">
        <v>702</v>
      </c>
      <c r="G59" s="1415"/>
      <c r="H59" s="1416"/>
      <c r="I59" s="1416"/>
      <c r="J59" s="1258">
        <f ca="1">OFFSET('VVP2'!$G$206,0,(COLUMN()-6)/5)</f>
        <v>126.792</v>
      </c>
      <c r="K59" s="1419"/>
      <c r="L59" s="1522">
        <f ca="1">IF(UPPER($F$2)="Y",(M59/J59-1)*100,OFFSET('VVP2'!$G$37,0,(COLUMN()-7)/5))</f>
        <v>0.50400117359274965</v>
      </c>
      <c r="M59" s="1523">
        <f ca="1">IF(UPPER($F$2)="Y",+M57+M58,J59*(1+L59/100))</f>
        <v>127.43103316802171</v>
      </c>
      <c r="N59" s="1337">
        <f ca="1">+O59/M59*100-100</f>
        <v>0.64581351301858092</v>
      </c>
      <c r="O59" s="1258">
        <f ca="1">OFFSET('VVP2'!$G$206,0,(COLUMN()-6)/5)</f>
        <v>128.25399999999999</v>
      </c>
      <c r="P59" s="1312">
        <f ca="1">(O59/J59-1)*100</f>
        <v>1.1530695942961522</v>
      </c>
      <c r="Q59" s="1522">
        <f ca="1">IF(UPPER($F$2)="Y",(R59/O59-1)*100,OFFSET('VVP2'!$G$37,0,(COLUMN()-7)/5))</f>
        <v>-5.5914219892823418</v>
      </c>
      <c r="R59" s="1523">
        <f ca="1">IF(UPPER($F$2)="Y",+R57+R58,O59*(1+Q59/100))</f>
        <v>121.08277764186582</v>
      </c>
      <c r="S59" s="1337">
        <f ca="1">+T59/R59*100-100</f>
        <v>2.5967544017152022</v>
      </c>
      <c r="T59" s="1258">
        <f ca="1">OFFSET('VVP2'!$G$206,0,(COLUMN()-6)/5)</f>
        <v>124.227</v>
      </c>
      <c r="U59" s="1312">
        <f ca="1">(T59/O59-1)*100</f>
        <v>-3.1398630841922959</v>
      </c>
      <c r="V59" s="1522">
        <f ca="1">IF(UPPER($F$2)="Y",(W59/T59-1)*100,OFFSET('VVP2'!$G$37,0,(COLUMN()-7)/5))</f>
        <v>3.9813653687621242</v>
      </c>
      <c r="W59" s="1523">
        <f ca="1">IF(UPPER($F$2)="Y",+W57+W58,T59*(1+V59/100))</f>
        <v>129.17293075665214</v>
      </c>
      <c r="X59" s="1337">
        <f ca="1">+Y59/W59*100-100</f>
        <v>3.6811654078716458</v>
      </c>
      <c r="Y59" s="1258">
        <f ca="1">OFFSET('VVP2'!$G$206,0,(COLUMN()-6)/5)</f>
        <v>133.928</v>
      </c>
      <c r="Z59" s="1312">
        <f ca="1">(Y59/T59-1)*100</f>
        <v>7.8090914213496232</v>
      </c>
      <c r="AA59" s="1522">
        <f ca="1">IF(UPPER($F$2)="Y",(AB59/Y59-1)*100,OFFSET('VVP2'!$G$37,0,(COLUMN()-7)/5))</f>
        <v>2.2794232401467385</v>
      </c>
      <c r="AB59" s="1523">
        <f ca="1">IF(UPPER($F$2)="Y",+AB57+AB58,Y59*(1+AA59/100))</f>
        <v>136.98078595706372</v>
      </c>
      <c r="AC59" s="1337">
        <f ca="1">+AD59/AB59*100-100</f>
        <v>2.3391704322244493</v>
      </c>
      <c r="AD59" s="1258">
        <f ca="1">OFFSET('VVP2'!$G$206,0,(COLUMN()-6)/5)</f>
        <v>140.185</v>
      </c>
      <c r="AE59" s="1312">
        <f ca="1">(AD59/Y59-1)*100</f>
        <v>4.6719132668299412</v>
      </c>
      <c r="AF59" s="1522">
        <f ca="1">IF(UPPER($F$2)="Y",(AG59/AD59-1)*100,OFFSET('VVP2'!$G$37,0,(COLUMN()-7)/5))</f>
        <v>7.1847562995977388</v>
      </c>
      <c r="AG59" s="1523">
        <f ca="1">IF(UPPER($F$2)="Y",+AG57+AG58,AD59*(1+AF59/100))</f>
        <v>150.25695061859111</v>
      </c>
      <c r="AH59" s="1337">
        <f ca="1">+AI59/AG59*100-100</f>
        <v>4.6420810170134388</v>
      </c>
      <c r="AI59" s="1258">
        <f ca="1">OFFSET('VVP2'!$G$206,0,(COLUMN()-6)/5)</f>
        <v>157.232</v>
      </c>
      <c r="AJ59" s="1312">
        <f ca="1">(AI59/AD59-1)*100</f>
        <v>12.160359524913499</v>
      </c>
      <c r="AK59" s="1522">
        <f ca="1">IF(UPPER($F$2)="Y",(AL59/AI59-1)*100,OFFSET('VVP2'!$G$37,0,(COLUMN()-7)/5))</f>
        <v>6.9921445448780872</v>
      </c>
      <c r="AL59" s="1523">
        <f ca="1">IF(UPPER($F$2)="Y",+AL57+AL58,AI59*(1+AK59/100))</f>
        <v>168.22588871080271</v>
      </c>
      <c r="AM59" s="1337">
        <f ca="1">+AN59/AL59*100-100</f>
        <v>5.8249722229394507</v>
      </c>
      <c r="AN59" s="1258">
        <f ca="1">OFFSET('VVP2'!$G$206,0,(COLUMN()-6)/5)</f>
        <v>178.02500000000001</v>
      </c>
      <c r="AO59" s="1312">
        <f ca="1">(AN59/AI59-1)*100</f>
        <v>13.224407245344461</v>
      </c>
      <c r="AP59" s="1522">
        <f ca="1">IF(UPPER($F$2)="Y",(AQ59/AN59-1)*100,OFFSET('VVP2'!$G$37,0,(COLUMN()-7)/5))</f>
        <v>4.7740361675422172</v>
      </c>
      <c r="AQ59" s="1523">
        <f ca="1">IF(UPPER($F$2)="Y",+AQ57+AQ58,AN59*(1+AP59/100))</f>
        <v>186.52397788726705</v>
      </c>
      <c r="AR59" s="1337">
        <f ca="1">+AS59/AQ59*100-100</f>
        <v>3.5968684502256423</v>
      </c>
      <c r="AS59" s="1258">
        <f ca="1">OFFSET('VVP2'!$G$206,0,(COLUMN()-6)/5)</f>
        <v>193.233</v>
      </c>
      <c r="AT59" s="1312">
        <f ca="1">(AS59/AN59-1)*100</f>
        <v>8.542620418480551</v>
      </c>
      <c r="AU59" s="1522">
        <f ca="1">IF(UPPER($F$2)="Y",(AV59/AS59-1)*100,OFFSET('VVP2'!$G$37,0,(COLUMN()-7)/5))</f>
        <v>1.3586559021261824</v>
      </c>
      <c r="AV59" s="1523">
        <f ca="1">IF(UPPER($F$2)="Y",+AV57+AV58,AS59*(1+AU59/100))</f>
        <v>195.85837155935548</v>
      </c>
      <c r="AW59" s="1337">
        <f ca="1">+AX59/AV59*100-100</f>
        <v>3.4681328076834319</v>
      </c>
      <c r="AX59" s="1258">
        <f ca="1">OFFSET('VVP2'!$G$206,0,(COLUMN()-6)/5)</f>
        <v>202.65100000000001</v>
      </c>
      <c r="AY59" s="1312">
        <f ca="1">(AX59/AS59-1)*100</f>
        <v>4.873908700894769</v>
      </c>
      <c r="AZ59" s="1522">
        <f ca="1">IF(UPPER($F$2)="Y",(BA59/AX59-1)*100,OFFSET('VVP2'!$G$37,0,(COLUMN()-7)/5))</f>
        <v>8.3026521238555908</v>
      </c>
      <c r="BA59" s="1523">
        <f ca="1">IF(UPPER($F$2)="Y",+BA57+BA58,AX59*(1+AZ59/100))</f>
        <v>219.47640755551461</v>
      </c>
      <c r="BB59" s="1337">
        <f ca="1">+BC59/BA59*100-100</f>
        <v>3.9770071606797046</v>
      </c>
      <c r="BC59" s="1258">
        <f ca="1">OFFSET('VVP2'!$G$206,0,(COLUMN()-6)/5)</f>
        <v>228.20500000000001</v>
      </c>
      <c r="BD59" s="1312">
        <f ca="1">(BC59/AX59-1)*100</f>
        <v>12.609856354027361</v>
      </c>
      <c r="BE59" s="1522">
        <f ca="1">IF(UPPER($F$2)="Y",(BF59/BC59-1)*100,OFFSET('VVP2'!$G$37,0,(COLUMN()-7)/5))</f>
        <v>2.3707232792087085</v>
      </c>
      <c r="BF59" s="1523">
        <f ca="1">IF(UPPER($F$2)="Y",+BF57+BF58,BC59*(1+BE59/100))</f>
        <v>233.61510905931823</v>
      </c>
      <c r="BG59" s="1337">
        <f ca="1">+BH59/BF59*100-100</f>
        <v>2.5524423333285853</v>
      </c>
      <c r="BH59" s="1258">
        <f ca="1">OFFSET('VVP2'!$G$206,0,(COLUMN()-6)/5)</f>
        <v>239.578</v>
      </c>
      <c r="BI59" s="1312">
        <f ca="1">(BH59/BC59-1)*100</f>
        <v>4.9836769571218742</v>
      </c>
      <c r="BJ59" s="1522">
        <f ca="1">IF(UPPER($F$2)="Y",(BK59/BH59-1)*100,OFFSET('VVP2'!$G$37,0,(COLUMN()-7)/5))</f>
        <v>14.423284793015224</v>
      </c>
      <c r="BK59" s="1523">
        <f ca="1">IF(UPPER($F$2)="Y",+BK57+BK58,BH59*(1+BJ59/100))</f>
        <v>274.13301724141002</v>
      </c>
      <c r="BL59" s="1337">
        <f ca="1">+BM59/BK59*100-100</f>
        <v>3.3753623885595516</v>
      </c>
      <c r="BM59" s="1258">
        <f ca="1">OFFSET('VVP2'!$G$206,0,(COLUMN()-6)/5)</f>
        <v>283.38600000000002</v>
      </c>
      <c r="BN59" s="1312">
        <f ca="1">(BM59/BH59-1)*100</f>
        <v>18.285485311673042</v>
      </c>
      <c r="BO59" s="1522">
        <f ca="1">IF(UPPER($F$2)="Y",(BP59/BM59-1)*100,OFFSET('VVP2'!$G$37,0,(COLUMN()-7)/5))</f>
        <v>7.296168338033282</v>
      </c>
      <c r="BP59" s="1523">
        <f ca="1">IF(UPPER($F$2)="Y",+BP57+BP58,BM59*(1+BO59/100))</f>
        <v>304.06231960641901</v>
      </c>
      <c r="BQ59" s="1337">
        <f ca="1">+BR59/BP59*100-100</f>
        <v>5.4944921867353713</v>
      </c>
      <c r="BR59" s="1258">
        <f ca="1">OFFSET('VVP2'!$G$206,0,(COLUMN()-6)/5)</f>
        <v>320.76900000000001</v>
      </c>
      <c r="BS59" s="1312">
        <f ca="1">(BR59/BM59-1)*100</f>
        <v>13.191547924032943</v>
      </c>
      <c r="BT59" s="1522">
        <f ca="1">IF(UPPER($F$2)="Y",(BU59/BR59-1)*100,OFFSET('VVP2'!$G$37,0,(COLUMN()-7)/5))</f>
        <v>-2.8827792259330298</v>
      </c>
      <c r="BU59" s="1523">
        <f ca="1">IF(UPPER($F$2)="Y",+BU57+BU58,BR59*(1+BT59/100))</f>
        <v>311.5219379047669</v>
      </c>
      <c r="BV59" s="1337">
        <f ca="1">+BW59/BU59*100-100</f>
        <v>6.3302322230871511</v>
      </c>
      <c r="BW59" s="1258">
        <f ca="1">OFFSET('VVP2'!$G$206,0,(COLUMN()-6)/5)</f>
        <v>331.24200000000002</v>
      </c>
      <c r="BX59" s="1312">
        <f ca="1">(BW59/BR59-1)*100</f>
        <v>3.2649663776736615</v>
      </c>
      <c r="BY59" s="1522">
        <f ca="1">IF(UPPER($F$2)="Y",(BZ59/BW59-1)*100,OFFSET('VVP2'!$G$37,0,(COLUMN()-7)/5))</f>
        <v>-12.794412791464381</v>
      </c>
      <c r="BZ59" s="1523">
        <f ca="1">IF(UPPER($F$2)="Y",+BZ57+BZ58,BW59*(1+BY59/100))</f>
        <v>288.86153118129755</v>
      </c>
      <c r="CA59" s="1337">
        <f ca="1">+CB59/BZ59*100-100</f>
        <v>1.0934196761285193</v>
      </c>
      <c r="CB59" s="1258">
        <f ca="1">OFFSET('VVP2'!$G$206,0,(COLUMN()-6)/5)</f>
        <v>292.02</v>
      </c>
      <c r="CC59" s="1312">
        <f ca="1">(CB59/BW59-1)*100</f>
        <v>-11.840889742242844</v>
      </c>
      <c r="CD59" s="1522">
        <f ca="1">IF(UPPER($F$2)="Y",(CE59/CB59-1)*100,OFFSET('VVP2'!$G$37,0,(COLUMN()-7)/5))</f>
        <v>3.5135457024693117</v>
      </c>
      <c r="CE59" s="1523">
        <f ca="1">IF(UPPER($F$2)="Y",+CE57+CE58,CB59*(1+CD59/100))</f>
        <v>302.28025616035086</v>
      </c>
      <c r="CF59" s="1337">
        <f ca="1">+CG59/CE59*100-100</f>
        <v>3.2555033413855767</v>
      </c>
      <c r="CG59" s="1258">
        <f ca="1">OFFSET('VVP2'!$G$206,0,(COLUMN()-6)/5)</f>
        <v>312.12099999999998</v>
      </c>
      <c r="CH59" s="1312">
        <f ca="1">(CG59/CB59-1)*100</f>
        <v>6.8834326415998959</v>
      </c>
      <c r="CI59" s="1522">
        <f ca="1">IF(UPPER($F$2)="Y",(CJ59/CG59-1)*100,OFFSET('VVP2'!$G$37,0,(COLUMN()-7)/5))</f>
        <v>1.1032259924836918</v>
      </c>
      <c r="CJ59" s="1523">
        <f ca="1">IF(UPPER($F$2)="Y",+CJ57+CJ58,CG59*(1+CI59/100))</f>
        <v>315.56439999999998</v>
      </c>
      <c r="CK59" s="1337">
        <f ca="1">+CL59/CJ59*100-100</f>
        <v>3.2930203787246057</v>
      </c>
      <c r="CL59" s="1258">
        <f ca="1">OFFSET('VVP2'!$G$206,0,(COLUMN()-6)/5)</f>
        <v>325.95600000000002</v>
      </c>
      <c r="CM59" s="1312">
        <f ca="1">(CL59/CG59-1)*100</f>
        <v>4.4325758279641692</v>
      </c>
      <c r="CN59" s="1522">
        <f ca="1">IF(UPPER($F$2)="Y",(CO59/CL59-1)*100,OFFSET('VVP2'!$G$37,0,(COLUMN()-7)/5))</f>
        <v>-0.27736803001735533</v>
      </c>
      <c r="CO59" s="1523">
        <f ca="1">IF(UPPER($F$2)="Y",+CO57+CO58,CL59*(1+CN59/100))</f>
        <v>325.05190226407666</v>
      </c>
      <c r="CP59" s="1337">
        <f ca="1">+CQ59/CO59*100-100</f>
        <v>2.1606081019694017</v>
      </c>
      <c r="CQ59" s="1258">
        <f ca="1">OFFSET('VVP2'!$G$206,0,(COLUMN()-6)/5)</f>
        <v>332.07499999999999</v>
      </c>
      <c r="CR59" s="1312">
        <f ca="1">(CQ59/CL59-1)*100</f>
        <v>1.8772472358232317</v>
      </c>
      <c r="CS59" s="1522">
        <f ca="1">IF(UPPER($F$2)="Y",(CT59/CQ59-1)*100,OFFSET('VVP2'!$G$37,0,(COLUMN()-7)/5))</f>
        <v>-1.3089173354923545</v>
      </c>
      <c r="CT59" s="1523">
        <f ca="1">IF(UPPER($F$2)="Y",+CT57+CT58,CQ59*(1+CS59/100))</f>
        <v>327.72841275816376</v>
      </c>
      <c r="CU59" s="1337">
        <f ca="1">+CV59/CT59*100-100</f>
        <v>1.5749587282946464</v>
      </c>
      <c r="CV59" s="1258">
        <f ca="1">OFFSET('VVP2'!$G$206,0,(COLUMN()-6)/5)</f>
        <v>332.89</v>
      </c>
      <c r="CW59" s="1312">
        <f ca="1">(CV59/CQ59-1)*100</f>
        <v>0.2454264849808041</v>
      </c>
      <c r="CX59" s="1522">
        <f ca="1">IF(UPPER($F$2)="Y",(CY59/CV59-1)*100,OFFSET('VVP2'!$G$37,0,(COLUMN()-7)/5))</f>
        <v>9.4411991269677245</v>
      </c>
      <c r="CY59" s="1523">
        <f ca="1">IF(UPPER($F$2)="Y",+CY57+CY58,CV59*(1+CX59/100))</f>
        <v>364.31880777376284</v>
      </c>
      <c r="CZ59" s="1337">
        <f ca="1">+DA59/CY59*100-100</f>
        <v>2.036181516833409</v>
      </c>
      <c r="DA59" s="1258">
        <f ca="1">OFFSET('VVP2'!$G$206,0,(COLUMN()-6)/5)</f>
        <v>371.73700000000002</v>
      </c>
      <c r="DB59" s="1312">
        <f ca="1">(DA59/CV59-1)*100</f>
        <v>11.669620595391873</v>
      </c>
      <c r="DC59" s="1522">
        <f ca="1">IF(UPPER($F$2)="Y",(DD59/DA59-1)*100,OFFSET('VVP2'!$G$37,0,(COLUMN()-7)/5))</f>
        <v>8.5627081061825372</v>
      </c>
      <c r="DD59" s="1523">
        <f ca="1">IF(UPPER($F$2)="Y",+DD57+DD58,DA59*(1+DC59/100))</f>
        <v>403.56775423267982</v>
      </c>
      <c r="DE59" s="1337">
        <f ca="1">+DF59/DD59*100-100</f>
        <v>1.7863780472320911</v>
      </c>
      <c r="DF59" s="1258">
        <f ca="1">OFFSET('VVP2'!$G$206,0,(COLUMN()-6)/5)</f>
        <v>410.77699999999999</v>
      </c>
      <c r="DG59" s="1312">
        <f ca="1">(DF59/DA59-1)*100</f>
        <v>10.502048491272053</v>
      </c>
      <c r="DH59" s="1522">
        <f ca="1">IF(UPPER($F$2)="Y",(DI59/DF59-1)*100,OFFSET('VVP2'!$G$37,0,(COLUMN()-7)/5))</f>
        <v>7.6525721842975569</v>
      </c>
      <c r="DI59" s="1523">
        <f ca="1">IF(UPPER($F$2)="Y",+DI57+DI58,DF59*(1+DH59/100))</f>
        <v>442.21200644149195</v>
      </c>
      <c r="DJ59" s="1337">
        <f ca="1">+DK59/DI59*100-100</f>
        <v>3.1781121619924875</v>
      </c>
      <c r="DK59" s="1258">
        <f ca="1">OFFSET('VVP2'!$G$206,0,(COLUMN()-6)/5)</f>
        <v>456.26600000000002</v>
      </c>
      <c r="DL59" s="1312">
        <f ca="1">(DK59/DF59-1)*100</f>
        <v>11.073891673584457</v>
      </c>
      <c r="DM59" s="1522">
        <f ca="1">IF(UPPER($F$2)="Y",(DN59/DK59-1)*100,OFFSET('VVP2'!$G$37,0,(COLUMN()-7)/5))</f>
        <v>8.0894223071485527</v>
      </c>
      <c r="DN59" s="1523">
        <f ca="1">IF(UPPER($F$2)="Y",+DN57+DN58,DK59*(1+DM59/100))</f>
        <v>493.1752835839344</v>
      </c>
      <c r="DO59" s="1337">
        <f ca="1">+DP59/DN59*100-100</f>
        <v>3.8046749382306047</v>
      </c>
      <c r="DP59" s="1258">
        <f ca="1">OFFSET('VVP2'!$G$206,0,(COLUMN()-6)/5)</f>
        <v>511.93900000000002</v>
      </c>
      <c r="DQ59" s="1312">
        <f ca="1">(DP59/DK59-1)*100</f>
        <v>12.201873468546864</v>
      </c>
      <c r="DR59" s="1547">
        <f ca="1">IF(UPPER($F$2)="Y",(DS59/DP59-1)*100,OFFSET('VVP2'!$G$37,0,(COLUMN()-7)/5))</f>
        <v>2.6138064300629704</v>
      </c>
      <c r="DS59" s="1546">
        <f ca="1">IF(UPPER($F$2)="Y",+DS57+DS58,DP59*(1+DR59/100))</f>
        <v>525.3200945000001</v>
      </c>
      <c r="DT59" s="1548">
        <f ca="1">+DU59/DS59*100-100</f>
        <v>3.958790563931089</v>
      </c>
      <c r="DU59" s="1255">
        <f ca="1">+DU57+DU58</f>
        <v>546.11641683150003</v>
      </c>
      <c r="DV59" s="1450">
        <f ca="1">(DU59/DP59-1)*100</f>
        <v>6.6760721163068304</v>
      </c>
      <c r="DW59" s="3767">
        <f ca="1">IF(UPPER($F$2)="Y",(DX59/DU59-1)*100,OFFSET('VVP2'!$G$37,0,(COLUMN()-7)/5))</f>
        <v>-0.66595556772366393</v>
      </c>
      <c r="DX59" s="1546">
        <f ca="1">IF(UPPER($F$2)="Y",+DX57+DX58,DU59*(1+DW59/100))</f>
        <v>542.47952414735767</v>
      </c>
      <c r="DY59" s="1548">
        <f ca="1">+DZ59/DX59*100-100</f>
        <v>2.3521736937877762</v>
      </c>
      <c r="DZ59" s="1255">
        <f ca="1">+DZ57+DZ58</f>
        <v>555.23958480853685</v>
      </c>
      <c r="EA59" s="1450">
        <f ca="1">(DZ59/DU59-1)*100</f>
        <v>1.6705536943877775</v>
      </c>
      <c r="EB59" s="1547">
        <f ca="1">IF(UPPER($F$2)="Y",(EC59/DZ59-1)*100,OFFSET('VVP2'!$G$37,0,(COLUMN()-7)/5))</f>
        <v>0.76922017971312595</v>
      </c>
      <c r="EC59" s="1546">
        <f ca="1">IF(UPPER($F$2)="Y",+EC57+EC58,DZ59*(1+EB59/100))</f>
        <v>559.51059974063946</v>
      </c>
      <c r="ED59" s="1548">
        <f ca="1">+EE59/EC59*100-100</f>
        <v>1.583286261447526</v>
      </c>
      <c r="EE59" s="1255">
        <f ca="1">+EE57+EE58</f>
        <v>568.36925419767567</v>
      </c>
      <c r="EF59" s="1450">
        <f ca="1">(EE59/DZ59-1)*100</f>
        <v>2.3646853985863192</v>
      </c>
    </row>
    <row r="60" spans="1:140" ht="12.75" customHeight="1">
      <c r="C60" s="1119"/>
      <c r="D60" s="1098" t="s">
        <v>666</v>
      </c>
      <c r="E60" s="1078" t="s">
        <v>812</v>
      </c>
      <c r="F60" s="1098" t="s">
        <v>281</v>
      </c>
      <c r="G60" s="1307"/>
      <c r="H60" s="1319"/>
      <c r="I60" s="1241"/>
      <c r="J60" s="1319"/>
      <c r="K60" s="1321"/>
      <c r="L60" s="1323"/>
      <c r="M60" s="1319"/>
      <c r="N60" s="1338"/>
      <c r="O60" s="1319"/>
      <c r="P60" s="1328"/>
      <c r="Q60" s="1323"/>
      <c r="R60" s="1319"/>
      <c r="S60" s="1338"/>
      <c r="T60" s="1319"/>
      <c r="U60" s="1328"/>
      <c r="V60" s="1323"/>
      <c r="W60" s="1319"/>
      <c r="X60" s="1338"/>
      <c r="Y60" s="1319"/>
      <c r="Z60" s="1328"/>
      <c r="AA60" s="1323"/>
      <c r="AB60" s="1319"/>
      <c r="AC60" s="1338"/>
      <c r="AD60" s="1319"/>
      <c r="AE60" s="1328"/>
      <c r="AF60" s="1323"/>
      <c r="AG60" s="1319"/>
      <c r="AH60" s="1338"/>
      <c r="AI60" s="1319"/>
      <c r="AJ60" s="1328"/>
      <c r="AK60" s="1323"/>
      <c r="AL60" s="1319"/>
      <c r="AM60" s="1338"/>
      <c r="AN60" s="1319"/>
      <c r="AO60" s="1328"/>
      <c r="AP60" s="1323"/>
      <c r="AQ60" s="1319"/>
      <c r="AR60" s="1338"/>
      <c r="AS60" s="1319"/>
      <c r="AT60" s="1328"/>
      <c r="AU60" s="1323"/>
      <c r="AV60" s="1319"/>
      <c r="AW60" s="1338"/>
      <c r="AX60" s="1319"/>
      <c r="AY60" s="1328"/>
      <c r="AZ60" s="1323"/>
      <c r="BA60" s="1319"/>
      <c r="BB60" s="1338"/>
      <c r="BC60" s="1319"/>
      <c r="BD60" s="1328"/>
      <c r="BE60" s="1323"/>
      <c r="BF60" s="1319"/>
      <c r="BG60" s="1338"/>
      <c r="BH60" s="1319"/>
      <c r="BI60" s="1328"/>
      <c r="BJ60" s="1323"/>
      <c r="BK60" s="1319"/>
      <c r="BL60" s="1338"/>
      <c r="BM60" s="1319"/>
      <c r="BN60" s="1328"/>
      <c r="BO60" s="1323"/>
      <c r="BP60" s="1319"/>
      <c r="BQ60" s="1338"/>
      <c r="BR60" s="1319"/>
      <c r="BS60" s="1328"/>
      <c r="BT60" s="1323"/>
      <c r="BU60" s="1319"/>
      <c r="BV60" s="1338"/>
      <c r="BW60" s="1319"/>
      <c r="BX60" s="1328"/>
      <c r="BY60" s="1323"/>
      <c r="BZ60" s="1319"/>
      <c r="CA60" s="1338"/>
      <c r="CB60" s="1319"/>
      <c r="CC60" s="1328"/>
      <c r="CD60" s="1323"/>
      <c r="CE60" s="1319"/>
      <c r="CF60" s="1338"/>
      <c r="CG60" s="1319"/>
      <c r="CH60" s="1328"/>
      <c r="CI60" s="1323"/>
      <c r="CJ60" s="1319"/>
      <c r="CK60" s="1338"/>
      <c r="CL60" s="1319"/>
      <c r="CM60" s="1328"/>
      <c r="CN60" s="1323"/>
      <c r="CO60" s="1319"/>
      <c r="CP60" s="1338"/>
      <c r="CQ60" s="1319"/>
      <c r="CR60" s="1328"/>
      <c r="CS60" s="1323"/>
      <c r="CT60" s="1319"/>
      <c r="CU60" s="1338"/>
      <c r="CV60" s="1319"/>
      <c r="CW60" s="1328"/>
      <c r="CX60" s="1323"/>
      <c r="CY60" s="1461"/>
      <c r="CZ60" s="1338"/>
      <c r="DA60" s="1461"/>
      <c r="DB60" s="1328"/>
      <c r="DC60" s="1323"/>
      <c r="DD60" s="1461"/>
      <c r="DE60" s="1338"/>
      <c r="DF60" s="1461"/>
      <c r="DG60" s="1328"/>
      <c r="DH60" s="1323"/>
      <c r="DI60" s="1461"/>
      <c r="DJ60" s="1338"/>
      <c r="DK60" s="1461"/>
      <c r="DL60" s="1328"/>
      <c r="DM60" s="1323"/>
      <c r="DN60" s="1461"/>
      <c r="DO60" s="1338"/>
      <c r="DP60" s="1461"/>
      <c r="DQ60" s="1328"/>
      <c r="DR60" s="1323"/>
      <c r="DS60" s="1461"/>
      <c r="DT60" s="1338"/>
      <c r="DU60" s="1461"/>
      <c r="DV60" s="1328"/>
      <c r="DW60" s="1323"/>
      <c r="DX60" s="1461"/>
      <c r="DY60" s="1338"/>
      <c r="DZ60" s="1461"/>
      <c r="EA60" s="1328"/>
      <c r="EB60" s="1323"/>
      <c r="EC60" s="1461"/>
      <c r="ED60" s="1338"/>
      <c r="EE60" s="1461"/>
      <c r="EF60" s="1328"/>
      <c r="EI60" s="1492">
        <f ca="1">DU64+40</f>
        <v>1270.7812447398999</v>
      </c>
    </row>
    <row r="61" spans="1:140">
      <c r="C61" s="1120" t="s">
        <v>1791</v>
      </c>
      <c r="D61" s="1110" t="s">
        <v>814</v>
      </c>
      <c r="E61" s="1" t="s">
        <v>812</v>
      </c>
      <c r="F61" s="3" t="s">
        <v>282</v>
      </c>
      <c r="G61" s="1248"/>
      <c r="H61" s="1320"/>
      <c r="I61" s="1242"/>
      <c r="J61" s="1320"/>
      <c r="K61" s="1322"/>
      <c r="L61" s="1324"/>
      <c r="M61" s="1320"/>
      <c r="N61" s="1339"/>
      <c r="O61" s="1320"/>
      <c r="P61" s="1329"/>
      <c r="Q61" s="1324"/>
      <c r="R61" s="1320"/>
      <c r="S61" s="1339"/>
      <c r="T61" s="1320"/>
      <c r="U61" s="1329"/>
      <c r="V61" s="1324"/>
      <c r="W61" s="1320"/>
      <c r="X61" s="1339"/>
      <c r="Y61" s="1320"/>
      <c r="Z61" s="1329"/>
      <c r="AA61" s="1324"/>
      <c r="AB61" s="1320"/>
      <c r="AC61" s="1339"/>
      <c r="AD61" s="1320"/>
      <c r="AE61" s="1329"/>
      <c r="AF61" s="1324"/>
      <c r="AG61" s="1320"/>
      <c r="AH61" s="1339"/>
      <c r="AI61" s="1320"/>
      <c r="AJ61" s="1329"/>
      <c r="AK61" s="1324"/>
      <c r="AL61" s="1320"/>
      <c r="AM61" s="1339"/>
      <c r="AN61" s="1320"/>
      <c r="AO61" s="1329"/>
      <c r="AP61" s="1324"/>
      <c r="AQ61" s="1320"/>
      <c r="AR61" s="1339"/>
      <c r="AS61" s="1320"/>
      <c r="AT61" s="1329"/>
      <c r="AU61" s="1324"/>
      <c r="AV61" s="1320"/>
      <c r="AW61" s="1339"/>
      <c r="AX61" s="1320"/>
      <c r="AY61" s="1329"/>
      <c r="AZ61" s="1324"/>
      <c r="BA61" s="1320"/>
      <c r="BB61" s="1339"/>
      <c r="BC61" s="1320"/>
      <c r="BD61" s="1329"/>
      <c r="BE61" s="1324"/>
      <c r="BF61" s="1320"/>
      <c r="BG61" s="1339"/>
      <c r="BH61" s="1320"/>
      <c r="BI61" s="1329"/>
      <c r="BJ61" s="1324"/>
      <c r="BK61" s="1320"/>
      <c r="BL61" s="1339"/>
      <c r="BM61" s="1320"/>
      <c r="BN61" s="1329"/>
      <c r="BO61" s="1324"/>
      <c r="BP61" s="1320"/>
      <c r="BQ61" s="1339"/>
      <c r="BR61" s="1320"/>
      <c r="BS61" s="1329"/>
      <c r="BT61" s="1324"/>
      <c r="BU61" s="1320"/>
      <c r="BV61" s="1339"/>
      <c r="BW61" s="1320"/>
      <c r="BX61" s="1329"/>
      <c r="BY61" s="1324"/>
      <c r="BZ61" s="1320"/>
      <c r="CA61" s="1339"/>
      <c r="CB61" s="1320"/>
      <c r="CC61" s="1329"/>
      <c r="CD61" s="1324"/>
      <c r="CE61" s="1320"/>
      <c r="CF61" s="1339"/>
      <c r="CG61" s="1320"/>
      <c r="CH61" s="1329"/>
      <c r="CI61" s="1324"/>
      <c r="CJ61" s="1320"/>
      <c r="CK61" s="1339"/>
      <c r="CL61" s="1320"/>
      <c r="CM61" s="1329"/>
      <c r="CN61" s="1324"/>
      <c r="CO61" s="1320"/>
      <c r="CP61" s="1339"/>
      <c r="CQ61" s="1320"/>
      <c r="CR61" s="1329"/>
      <c r="CS61" s="1324"/>
      <c r="CT61" s="1320"/>
      <c r="CU61" s="1339"/>
      <c r="CV61" s="1320"/>
      <c r="CW61" s="1329"/>
      <c r="CX61" s="1324"/>
      <c r="CY61" s="1462"/>
      <c r="CZ61" s="1339"/>
      <c r="DA61" s="1462"/>
      <c r="DB61" s="1329"/>
      <c r="DC61" s="1324"/>
      <c r="DD61" s="1462"/>
      <c r="DE61" s="1339"/>
      <c r="DF61" s="1462"/>
      <c r="DG61" s="1329"/>
      <c r="DH61" s="1324"/>
      <c r="DI61" s="1462"/>
      <c r="DJ61" s="1339"/>
      <c r="DK61" s="1462"/>
      <c r="DL61" s="1329"/>
      <c r="DM61" s="1324"/>
      <c r="DN61" s="1462"/>
      <c r="DO61" s="1339"/>
      <c r="DP61" s="1462"/>
      <c r="DQ61" s="1329"/>
      <c r="DR61" s="1324"/>
      <c r="DS61" s="1462"/>
      <c r="DT61" s="1339"/>
      <c r="DU61" s="1462"/>
      <c r="DV61" s="1329"/>
      <c r="DW61" s="1324"/>
      <c r="DX61" s="1462"/>
      <c r="DY61" s="1339"/>
      <c r="DZ61" s="1462"/>
      <c r="EA61" s="1329"/>
      <c r="EB61" s="1324"/>
      <c r="EC61" s="1462"/>
      <c r="ED61" s="1339"/>
      <c r="EE61" s="1462"/>
      <c r="EF61" s="1329"/>
      <c r="EH61" t="s">
        <v>2561</v>
      </c>
      <c r="EI61" s="3601">
        <f ca="1">EI60/DU64-1</f>
        <v>3.249968275918369E-2</v>
      </c>
    </row>
    <row r="62" spans="1:140">
      <c r="C62" s="1121" t="s">
        <v>1793</v>
      </c>
      <c r="D62" s="1308"/>
      <c r="E62" s="1308" t="s">
        <v>812</v>
      </c>
      <c r="F62" s="1309" t="s">
        <v>283</v>
      </c>
      <c r="G62" s="1415"/>
      <c r="H62" s="1416"/>
      <c r="I62" s="1416"/>
      <c r="J62" s="1258">
        <f ca="1">OFFSET('VVP2'!$G$210,0,(COLUMN()-6)/5)</f>
        <v>149.22999999999999</v>
      </c>
      <c r="K62" s="1419"/>
      <c r="L62" s="1310">
        <f ca="1">OFFSET('VVP2'!$G$40,0,(COLUMN()-7)/5)</f>
        <v>12.540643397318107</v>
      </c>
      <c r="M62" s="1311">
        <f ca="1">+J62*(1+L62/100)</f>
        <v>167.94440214181779</v>
      </c>
      <c r="N62" s="1337">
        <f ca="1">+O62/M62*100-100</f>
        <v>-4.1426817762837658</v>
      </c>
      <c r="O62" s="1258">
        <f ca="1">OFFSET('VVP2'!$G$210,0,(COLUMN()-6)/5)</f>
        <v>160.98699999999999</v>
      </c>
      <c r="P62" s="1312">
        <f ca="1">(O62/J62-1)*100</f>
        <v>7.878442672384911</v>
      </c>
      <c r="Q62" s="1310">
        <f ca="1">OFFSET('VVP2'!$G$40,0,(COLUMN()-7)/5)</f>
        <v>3.7769246382375332</v>
      </c>
      <c r="R62" s="1311">
        <f ca="1">+O62*(1+Q62/100)</f>
        <v>167.06735766735946</v>
      </c>
      <c r="S62" s="1337">
        <f ca="1">+T62/R62*100-100</f>
        <v>-1.417007906519359</v>
      </c>
      <c r="T62" s="1258">
        <f ca="1">OFFSET('VVP2'!$G$210,0,(COLUMN()-6)/5)</f>
        <v>164.7</v>
      </c>
      <c r="U62" s="1312">
        <f ca="1">(T62/O62-1)*100</f>
        <v>2.3063974109710728</v>
      </c>
      <c r="V62" s="1310">
        <f ca="1">OFFSET('VVP2'!$G$40,0,(COLUMN()-7)/5)</f>
        <v>9.9728597414905362</v>
      </c>
      <c r="W62" s="1311">
        <f ca="1">+T62*(1+V62/100)</f>
        <v>181.12529999423489</v>
      </c>
      <c r="X62" s="1337">
        <f ca="1">+Y62/W62*100-100</f>
        <v>-1.4803564131130429</v>
      </c>
      <c r="Y62" s="1258">
        <f ca="1">OFFSET('VVP2'!$G$210,0,(COLUMN()-6)/5)</f>
        <v>178.44399999999999</v>
      </c>
      <c r="Z62" s="1312">
        <f ca="1">(Y62/T62-1)*100</f>
        <v>8.3448694596235597</v>
      </c>
      <c r="AA62" s="1310">
        <f ca="1">OFFSET('VVP2'!$G$40,0,(COLUMN()-7)/5)</f>
        <v>11.913105873038244</v>
      </c>
      <c r="AB62" s="1311">
        <f ca="1">+Y62*(1+AA62/100)</f>
        <v>199.70222264408434</v>
      </c>
      <c r="AC62" s="1337">
        <f ca="1">+AD62/AB62*100-100</f>
        <v>1.0559608841579973</v>
      </c>
      <c r="AD62" s="1258">
        <f ca="1">OFFSET('VVP2'!$G$210,0,(COLUMN()-6)/5)</f>
        <v>201.81100000000001</v>
      </c>
      <c r="AE62" s="1312">
        <f ca="1">(AD62/Y62-1)*100</f>
        <v>13.09486449530386</v>
      </c>
      <c r="AF62" s="1310">
        <f ca="1">OFFSET('VVP2'!$G$40,0,(COLUMN()-7)/5)</f>
        <v>2.2239089667472456</v>
      </c>
      <c r="AG62" s="1311">
        <f ca="1">+AD62*(1+AF62/100)</f>
        <v>206.2990929248823</v>
      </c>
      <c r="AH62" s="1337">
        <f ca="1">+AI62/AG62*100-100</f>
        <v>0.92482572175553912</v>
      </c>
      <c r="AI62" s="1258">
        <f ca="1">OFFSET('VVP2'!$G$210,0,(COLUMN()-6)/5)</f>
        <v>208.20699999999999</v>
      </c>
      <c r="AJ62" s="1312">
        <f ca="1">(AI62/AD62-1)*100</f>
        <v>3.1693019706557024</v>
      </c>
      <c r="AK62" s="1310">
        <f ca="1">OFFSET('VVP2'!$G$40,0,(COLUMN()-7)/5)</f>
        <v>-0.87857569222666854</v>
      </c>
      <c r="AL62" s="1311">
        <f ca="1">+AI62*(1+AK62/100)</f>
        <v>206.37774390848563</v>
      </c>
      <c r="AM62" s="1337">
        <f ca="1">+AN62/AL62*100-100</f>
        <v>-0.11519842400790026</v>
      </c>
      <c r="AN62" s="1258">
        <f ca="1">OFFSET('VVP2'!$G$210,0,(COLUMN()-6)/5)</f>
        <v>206.14</v>
      </c>
      <c r="AO62" s="1312">
        <f ca="1">(AN62/AI62-1)*100</f>
        <v>-0.99276201088340787</v>
      </c>
      <c r="AP62" s="1310">
        <f ca="1">OFFSET('VVP2'!$G$40,0,(COLUMN()-7)/5)</f>
        <v>-3.9965262848736249</v>
      </c>
      <c r="AQ62" s="1311">
        <f ca="1">+AN62*(1+AP62/100)</f>
        <v>197.9015607163615</v>
      </c>
      <c r="AR62" s="1337">
        <f ca="1">+AS62/AQ62*100-100</f>
        <v>3.2537811299562236E-3</v>
      </c>
      <c r="AS62" s="1258">
        <f ca="1">OFFSET('VVP2'!$G$210,0,(COLUMN()-6)/5)</f>
        <v>197.90799999999999</v>
      </c>
      <c r="AT62" s="1312">
        <f ca="1">(AS62/AN62-1)*100</f>
        <v>-3.9934025419617769</v>
      </c>
      <c r="AU62" s="1310">
        <f ca="1">OFFSET('VVP2'!$G$40,0,(COLUMN()-7)/5)</f>
        <v>5.2710246344558565</v>
      </c>
      <c r="AV62" s="1311">
        <f ca="1">+AS62*(1+AU62/100)</f>
        <v>208.33977943355887</v>
      </c>
      <c r="AW62" s="1337">
        <f ca="1">+AX62/AV62*100-100</f>
        <v>-3.4370677808279453</v>
      </c>
      <c r="AX62" s="1258">
        <f ca="1">OFFSET('VVP2'!$G$210,0,(COLUMN()-6)/5)</f>
        <v>201.179</v>
      </c>
      <c r="AY62" s="1312">
        <f ca="1">(AX62/AS62-1)*100</f>
        <v>1.6527881641975162</v>
      </c>
      <c r="AZ62" s="1310">
        <f ca="1">OFFSET('VVP2'!$G$40,0,(COLUMN()-7)/5)</f>
        <v>3.6122920822580618</v>
      </c>
      <c r="BA62" s="1311">
        <f ca="1">+AX62*(1+AZ62/100)</f>
        <v>208.44617308816595</v>
      </c>
      <c r="BB62" s="1337">
        <f ca="1">+BC62/BA62*100-100</f>
        <v>-2.944728126800257</v>
      </c>
      <c r="BC62" s="1258">
        <f ca="1">OFFSET('VVP2'!$G$210,0,(COLUMN()-6)/5)</f>
        <v>202.30799999999999</v>
      </c>
      <c r="BD62" s="1312">
        <f ca="1">(BC62/AX62-1)*100</f>
        <v>0.56119177448938906</v>
      </c>
      <c r="BE62" s="1310">
        <f ca="1">OFFSET('VVP2'!$G$40,0,(COLUMN()-7)/5)</f>
        <v>11.131667390450151</v>
      </c>
      <c r="BF62" s="1311">
        <f ca="1">+BC62*(1+BE62/100)</f>
        <v>224.82825366427187</v>
      </c>
      <c r="BG62" s="1337">
        <f ca="1">+BH62/BF62*100-100</f>
        <v>-6.1493011673846354E-2</v>
      </c>
      <c r="BH62" s="1258">
        <f ca="1">OFFSET('VVP2'!$G$210,0,(COLUMN()-6)/5)</f>
        <v>224.69</v>
      </c>
      <c r="BI62" s="1312">
        <f ca="1">(BH62/BC62-1)*100</f>
        <v>11.063329181248394</v>
      </c>
      <c r="BJ62" s="1310">
        <f ca="1">OFFSET('VVP2'!$G$40,0,(COLUMN()-7)/5)</f>
        <v>8.7664249181694345</v>
      </c>
      <c r="BK62" s="1311">
        <f ca="1">+BH62*(1+BJ62/100)</f>
        <v>244.38728014863491</v>
      </c>
      <c r="BL62" s="1337">
        <f ca="1">+BM62/BK62*100-100</f>
        <v>-0.2546286976377985</v>
      </c>
      <c r="BM62" s="1258">
        <f ca="1">OFFSET('VVP2'!$G$210,0,(COLUMN()-6)/5)</f>
        <v>243.76499999999999</v>
      </c>
      <c r="BN62" s="1312">
        <f ca="1">(BM62/BH62-1)*100</f>
        <v>8.4894743869331037</v>
      </c>
      <c r="BO62" s="1310">
        <f ca="1">OFFSET('VVP2'!$G$40,0,(COLUMN()-7)/5)</f>
        <v>11.869830162672645</v>
      </c>
      <c r="BP62" s="1311">
        <f ca="1">+BM62*(1+BO62/100)</f>
        <v>272.69949149603895</v>
      </c>
      <c r="BQ62" s="1337">
        <f ca="1">+BR62/BP62*100-100</f>
        <v>-1.9246429346991221</v>
      </c>
      <c r="BR62" s="1258">
        <f ca="1">OFFSET('VVP2'!$G$210,0,(COLUMN()-6)/5)</f>
        <v>267.45100000000002</v>
      </c>
      <c r="BS62" s="1312">
        <f ca="1">(BR62/BM62-1)*100</f>
        <v>9.716735380386865</v>
      </c>
      <c r="BT62" s="1310">
        <f ca="1">OFFSET('VVP2'!$G$40,0,(COLUMN()-7)/5)</f>
        <v>4.1807315782653065</v>
      </c>
      <c r="BU62" s="1311">
        <f ca="1">+BR62*(1+BT62/100)</f>
        <v>278.63240841338637</v>
      </c>
      <c r="BV62" s="1337">
        <f ca="1">+BW62/BU62*100-100</f>
        <v>0.89135057933708595</v>
      </c>
      <c r="BW62" s="1258">
        <f ca="1">OFFSET('VVP2'!$G$210,0,(COLUMN()-6)/5)</f>
        <v>281.11599999999999</v>
      </c>
      <c r="BX62" s="1312">
        <f ca="1">(BW62/BR62-1)*100</f>
        <v>5.1093471327458007</v>
      </c>
      <c r="BY62" s="1310">
        <f ca="1">OFFSET('VVP2'!$G$40,0,(COLUMN()-7)/5)</f>
        <v>-21.619524388648149</v>
      </c>
      <c r="BZ62" s="1311">
        <f ca="1">+BW62*(1+BY62/100)</f>
        <v>220.34005781960786</v>
      </c>
      <c r="CA62" s="1337">
        <f ca="1">+CB62/BZ62*100-100</f>
        <v>5.9335294316277896</v>
      </c>
      <c r="CB62" s="1258">
        <f ca="1">OFFSET('VVP2'!$G$210,0,(COLUMN()-6)/5)</f>
        <v>233.41399999999999</v>
      </c>
      <c r="CC62" s="1312">
        <f ca="1">(CB62/BW62-1)*100</f>
        <v>-16.968795799598745</v>
      </c>
      <c r="CD62" s="1310">
        <f ca="1">OFFSET('VVP2'!$G$40,0,(COLUMN()-7)/5)</f>
        <v>10.818488631783275</v>
      </c>
      <c r="CE62" s="1311">
        <f ca="1">+CB62*(1+CD62/100)</f>
        <v>258.6658670549906</v>
      </c>
      <c r="CF62" s="1337">
        <f ca="1">+CG62/CE62*100-100</f>
        <v>-2.2774040974405949</v>
      </c>
      <c r="CG62" s="1258">
        <f ca="1">OFFSET('VVP2'!$G$210,0,(COLUMN()-6)/5)</f>
        <v>252.77500000000001</v>
      </c>
      <c r="CH62" s="1312">
        <f ca="1">(CG62/CB62-1)*100</f>
        <v>8.2947038309613141</v>
      </c>
      <c r="CI62" s="1310">
        <f ca="1">OFFSET('VVP2'!$G$40,0,(COLUMN()-7)/5)</f>
        <v>12.423004648402735</v>
      </c>
      <c r="CJ62" s="1311">
        <f ca="1">+CG62*(1+CI62/100)</f>
        <v>284.17725000000002</v>
      </c>
      <c r="CK62" s="1337">
        <f ca="1">+CL62/CJ62*100-100</f>
        <v>-3.9265106548817812</v>
      </c>
      <c r="CL62" s="1258">
        <f ca="1">OFFSET('VVP2'!$G$210,0,(COLUMN()-6)/5)</f>
        <v>273.01900000000001</v>
      </c>
      <c r="CM62" s="1312">
        <f ca="1">(CL62/CG62-1)*100</f>
        <v>8.0087033923449624</v>
      </c>
      <c r="CN62" s="1310">
        <f ca="1">OFFSET('VVP2'!$G$40,0,(COLUMN()-7)/5)</f>
        <v>2.8001572961945387</v>
      </c>
      <c r="CO62" s="1311">
        <f ca="1">+CL62*(1+CN62/100)</f>
        <v>280.66396144849739</v>
      </c>
      <c r="CP62" s="1337">
        <f ca="1">+CQ62/CO62*100-100</f>
        <v>-1.0275496125734804</v>
      </c>
      <c r="CQ62" s="1258">
        <f ca="1">OFFSET('VVP2'!$G$210,0,(COLUMN()-6)/5)</f>
        <v>277.77999999999997</v>
      </c>
      <c r="CR62" s="1312">
        <f ca="1">(CQ62/CL62-1)*100</f>
        <v>1.7438346781725622</v>
      </c>
      <c r="CS62" s="1310">
        <f ca="1">OFFSET('VVP2'!$G$40,0,(COLUMN()-7)/5)</f>
        <v>6.3871229795209317E-2</v>
      </c>
      <c r="CT62" s="1311">
        <f ca="1">+CQ62*(1+CS62/100)</f>
        <v>277.9574215021251</v>
      </c>
      <c r="CU62" s="1337">
        <f ca="1">+CV62/CT62*100-100</f>
        <v>-1.450733526139814</v>
      </c>
      <c r="CV62" s="1258">
        <f ca="1">OFFSET('VVP2'!$G$210,0,(COLUMN()-6)/5)</f>
        <v>273.92500000000001</v>
      </c>
      <c r="CW62" s="1312">
        <f ca="1">(CV62/CQ62-1)*100</f>
        <v>-1.387788897688802</v>
      </c>
      <c r="CX62" s="1310">
        <f ca="1">OFFSET('VVP2'!$G$40,0,(COLUMN()-7)/5)</f>
        <v>-1.1404028957867629</v>
      </c>
      <c r="CY62" s="1311">
        <f ca="1">+CV62*(1+CX62/100)</f>
        <v>270.8011513677161</v>
      </c>
      <c r="CZ62" s="1337">
        <f ca="1">+DA62/CY62*100-100</f>
        <v>2.6262254042734412</v>
      </c>
      <c r="DA62" s="1258">
        <f ca="1">OFFSET('VVP2'!$G$210,0,(COLUMN()-6)/5)</f>
        <v>277.91300000000001</v>
      </c>
      <c r="DB62" s="1312">
        <f ca="1">(DA62/CV62-1)*100</f>
        <v>1.4558729579264407</v>
      </c>
      <c r="DC62" s="1310">
        <f ca="1">OFFSET('VVP2'!$G$40,0,(COLUMN()-7)/5)</f>
        <v>5.0835743442426695</v>
      </c>
      <c r="DD62" s="1311">
        <f ca="1">+DA62*(1+DC62/100)</f>
        <v>292.04091396731513</v>
      </c>
      <c r="DE62" s="1337">
        <f ca="1">+DF62/DD62*100-100</f>
        <v>3.652942283929022</v>
      </c>
      <c r="DF62" s="1258">
        <f ca="1">OFFSET('VVP2'!$G$210,0,(COLUMN()-6)/5)</f>
        <v>302.709</v>
      </c>
      <c r="DG62" s="1312">
        <f ca="1">(DF62/DA62-1)*100</f>
        <v>8.9222166649275181</v>
      </c>
      <c r="DH62" s="1310">
        <f ca="1">OFFSET('VVP2'!$G$40,0,(COLUMN()-7)/5)</f>
        <v>5.2819707262130366</v>
      </c>
      <c r="DI62" s="1311">
        <f ca="1">+DF62*(1+DH62/100)</f>
        <v>318.69800076561222</v>
      </c>
      <c r="DJ62" s="1337">
        <f ca="1">+DK62/DI62*100-100</f>
        <v>0.39096550069173475</v>
      </c>
      <c r="DK62" s="1258">
        <f ca="1">OFFSET('VVP2'!$G$210,0,(COLUMN()-6)/5)</f>
        <v>319.94400000000002</v>
      </c>
      <c r="DL62" s="1312">
        <f ca="1">(DK62/DF62-1)*100</f>
        <v>5.6935869102008985</v>
      </c>
      <c r="DM62" s="1310">
        <f ca="1">OFFSET('VVP2'!$G$40,0,(COLUMN()-7)/5)</f>
        <v>5.7518402425732251</v>
      </c>
      <c r="DN62" s="1311">
        <f ca="1">+DK62*(1+DM62/100)</f>
        <v>338.34666774569848</v>
      </c>
      <c r="DO62" s="1337">
        <f ca="1">+DP62/DN62*100-100</f>
        <v>1.5491011893874855</v>
      </c>
      <c r="DP62" s="1258">
        <f ca="1">OFFSET('VVP2'!$G$210,0,(COLUMN()-6)/5)</f>
        <v>343.58800000000002</v>
      </c>
      <c r="DQ62" s="1312">
        <f ca="1">(DP62/DK62-1)*100</f>
        <v>7.390043257570067</v>
      </c>
      <c r="DR62" s="2309">
        <v>4.7</v>
      </c>
      <c r="DS62" s="1251">
        <f ca="1">+DP62*(1+DR62/100)</f>
        <v>359.73663599999998</v>
      </c>
      <c r="DT62" s="2311">
        <v>3.9</v>
      </c>
      <c r="DU62" s="1254">
        <f ca="1">+DS62*(1+DT62/100)</f>
        <v>373.76636480399992</v>
      </c>
      <c r="DV62" s="1261">
        <f ca="1">(DU62/DP62-1)*100</f>
        <v>8.7832999999999615</v>
      </c>
      <c r="DW62" s="2309">
        <v>4.25</v>
      </c>
      <c r="DX62" s="1251">
        <f ca="1">+DU62*(1+DW62/100)</f>
        <v>389.65143530816994</v>
      </c>
      <c r="DY62" s="2311">
        <v>2.65</v>
      </c>
      <c r="DZ62" s="1254">
        <f ca="1">+DX62*(1+DY62/100)</f>
        <v>399.97719834383645</v>
      </c>
      <c r="EA62" s="1261">
        <f ca="1">(DZ62/DU62-1)*100</f>
        <v>7.0126250000000168</v>
      </c>
      <c r="EB62" s="2309">
        <v>3.55</v>
      </c>
      <c r="EC62" s="1251">
        <f ca="1">+DZ62*(1+EB62/100)</f>
        <v>414.17638888504268</v>
      </c>
      <c r="ED62" s="2311">
        <v>1.33</v>
      </c>
      <c r="EE62" s="1254">
        <f ca="1">+EC62*(1+ED62/100)</f>
        <v>419.68493485721376</v>
      </c>
      <c r="EF62" s="1261">
        <f ca="1">(EE62/DZ62-1)*100</f>
        <v>4.9272150000000181</v>
      </c>
      <c r="EI62" s="1492">
        <f ca="1">DP64+40</f>
        <v>1182.6130000000001</v>
      </c>
    </row>
    <row r="63" spans="1:140">
      <c r="C63" s="1122" t="s">
        <v>1793</v>
      </c>
      <c r="D63" s="1313"/>
      <c r="E63" s="1313" t="s">
        <v>813</v>
      </c>
      <c r="F63" s="1314" t="s">
        <v>905</v>
      </c>
      <c r="G63" s="1417"/>
      <c r="H63" s="1418"/>
      <c r="I63" s="1418"/>
      <c r="J63" s="1315">
        <f ca="1">OFFSET('VVP2'!$G$211,0,(COLUMN()-6)/5)</f>
        <v>93.516999999999996</v>
      </c>
      <c r="K63" s="1420"/>
      <c r="L63" s="1316">
        <f ca="1">OFFSET('VVP2'!$G$41,0,(COLUMN()-7)/5)</f>
        <v>-9.0296472557704899E-2</v>
      </c>
      <c r="M63" s="1317">
        <f ca="1">+J63*(1+L63/100)</f>
        <v>93.432557447758214</v>
      </c>
      <c r="N63" s="1340">
        <f ca="1">+O63/M63*100-100</f>
        <v>7.031213456738584</v>
      </c>
      <c r="O63" s="1315">
        <f ca="1">OFFSET('VVP2'!$G$211,0,(COLUMN()-6)/5)</f>
        <v>100.002</v>
      </c>
      <c r="P63" s="1318">
        <f ca="1">(O63/J63-1)*100</f>
        <v>6.9345680464514503</v>
      </c>
      <c r="Q63" s="1316">
        <f ca="1">OFFSET('VVP2'!$G$41,0,(COLUMN()-7)/5)</f>
        <v>6.6604787760176087</v>
      </c>
      <c r="R63" s="1317">
        <f ca="1">+O63*(1+Q63/100)</f>
        <v>106.66261198559313</v>
      </c>
      <c r="S63" s="1340">
        <f ca="1">+T63/R63*100-100</f>
        <v>5.3621300922008146</v>
      </c>
      <c r="T63" s="1315">
        <f ca="1">OFFSET('VVP2'!$G$211,0,(COLUMN()-6)/5)</f>
        <v>112.38200000000001</v>
      </c>
      <c r="U63" s="1318">
        <f ca="1">(T63/O63-1)*100</f>
        <v>12.379752404951905</v>
      </c>
      <c r="V63" s="1316">
        <f ca="1">OFFSET('VVP2'!$G$41,0,(COLUMN()-7)/5)</f>
        <v>9.136318488050188</v>
      </c>
      <c r="W63" s="1317">
        <f ca="1">+T63*(1+V63/100)</f>
        <v>122.64957744324057</v>
      </c>
      <c r="X63" s="1340">
        <f ca="1">+Y63/W63*100-100</f>
        <v>4.3313826818668844</v>
      </c>
      <c r="Y63" s="1315">
        <f ca="1">OFFSET('VVP2'!$G$211,0,(COLUMN()-6)/5)</f>
        <v>127.962</v>
      </c>
      <c r="Z63" s="1318">
        <f ca="1">(Y63/T63-1)*100</f>
        <v>13.863430086668682</v>
      </c>
      <c r="AA63" s="1316">
        <f ca="1">OFFSET('VVP2'!$G$41,0,(COLUMN()-7)/5)</f>
        <v>4.4012000462756218</v>
      </c>
      <c r="AB63" s="1317">
        <f ca="1">+Y63*(1+AA63/100)</f>
        <v>133.59386360321523</v>
      </c>
      <c r="AC63" s="1340">
        <f ca="1">+AD63/AB63*100-100</f>
        <v>4.1028354513828589</v>
      </c>
      <c r="AD63" s="1315">
        <f ca="1">OFFSET('VVP2'!$G$211,0,(COLUMN()-6)/5)</f>
        <v>139.07499999999999</v>
      </c>
      <c r="AE63" s="1318">
        <f ca="1">(AD63/Y63-1)*100</f>
        <v>8.6846094934433626</v>
      </c>
      <c r="AF63" s="1316">
        <f ca="1">OFFSET('VVP2'!$G$41,0,(COLUMN()-7)/5)</f>
        <v>12.139866560897827</v>
      </c>
      <c r="AG63" s="1317">
        <f ca="1">+AD63*(1+AF63/100)</f>
        <v>155.95851941956863</v>
      </c>
      <c r="AH63" s="1340">
        <f ca="1">+AI63/AG63*100-100</f>
        <v>5.0292094395499873</v>
      </c>
      <c r="AI63" s="1315">
        <f ca="1">OFFSET('VVP2'!$G$211,0,(COLUMN()-6)/5)</f>
        <v>163.80199999999999</v>
      </c>
      <c r="AJ63" s="1318">
        <f ca="1">(AI63/AD63-1)*100</f>
        <v>17.779615315477272</v>
      </c>
      <c r="AK63" s="1316">
        <f ca="1">OFFSET('VVP2'!$G$41,0,(COLUMN()-7)/5)</f>
        <v>2.5144387028165793</v>
      </c>
      <c r="AL63" s="1317">
        <f ca="1">+AI63*(1+AK63/100)</f>
        <v>167.92070088398759</v>
      </c>
      <c r="AM63" s="1340">
        <f ca="1">+AN63/AL63*100-100</f>
        <v>5.0239780274862227</v>
      </c>
      <c r="AN63" s="1315">
        <f ca="1">OFFSET('VVP2'!$G$211,0,(COLUMN()-6)/5)</f>
        <v>176.357</v>
      </c>
      <c r="AO63" s="1318">
        <f ca="1">(AN63/AI63-1)*100</f>
        <v>7.6647415782469031</v>
      </c>
      <c r="AP63" s="1316">
        <f ca="1">OFFSET('VVP2'!$G$41,0,(COLUMN()-7)/5)</f>
        <v>-7.2134438026678405</v>
      </c>
      <c r="AQ63" s="1317">
        <f ca="1">+AN63*(1+AP63/100)</f>
        <v>163.63558691292909</v>
      </c>
      <c r="AR63" s="1340">
        <f ca="1">+AS63/AQ63*100-100</f>
        <v>3.524546949643522</v>
      </c>
      <c r="AS63" s="1315">
        <f ca="1">OFFSET('VVP2'!$G$211,0,(COLUMN()-6)/5)</f>
        <v>169.40299999999999</v>
      </c>
      <c r="AT63" s="1318">
        <f ca="1">(AS63/AN63-1)*100</f>
        <v>-3.9431380665355009</v>
      </c>
      <c r="AU63" s="1316">
        <f ca="1">OFFSET('VVP2'!$G$41,0,(COLUMN()-7)/5)</f>
        <v>3.4786350905791075E-2</v>
      </c>
      <c r="AV63" s="1317">
        <f ca="1">+AS63*(1+AU63/100)</f>
        <v>169.46192912202494</v>
      </c>
      <c r="AW63" s="1340">
        <f ca="1">+AX63/AV63*100-100</f>
        <v>-0.2094447548566194</v>
      </c>
      <c r="AX63" s="1315">
        <f ca="1">OFFSET('VVP2'!$G$211,0,(COLUMN()-6)/5)</f>
        <v>169.107</v>
      </c>
      <c r="AY63" s="1318">
        <f ca="1">(AX63/AS63-1)*100</f>
        <v>-0.17473126213820578</v>
      </c>
      <c r="AZ63" s="1316">
        <f ca="1">OFFSET('VVP2'!$G$41,0,(COLUMN()-7)/5)</f>
        <v>5.2584346883915112</v>
      </c>
      <c r="BA63" s="1317">
        <f ca="1">+AX63*(1+AZ63/100)</f>
        <v>177.99938114849823</v>
      </c>
      <c r="BB63" s="1340">
        <f ca="1">+BC63/BA63*100-100</f>
        <v>0.16944938210212968</v>
      </c>
      <c r="BC63" s="1315">
        <f ca="1">OFFSET('VVP2'!$G$211,0,(COLUMN()-6)/5)</f>
        <v>178.30099999999999</v>
      </c>
      <c r="BD63" s="1318">
        <f ca="1">(BC63/AX63-1)*100</f>
        <v>5.4367944555813619</v>
      </c>
      <c r="BE63" s="1316">
        <f ca="1">OFFSET('VVP2'!$G$41,0,(COLUMN()-7)/5)</f>
        <v>1.5655288305086446</v>
      </c>
      <c r="BF63" s="1317">
        <f ca="1">+BC63*(1+BE63/100)</f>
        <v>181.0923535600852</v>
      </c>
      <c r="BG63" s="1340">
        <f ca="1">+BH63/BF63*100-100</f>
        <v>0.87615319405982461</v>
      </c>
      <c r="BH63" s="1315">
        <f ca="1">OFFSET('VVP2'!$G$211,0,(COLUMN()-6)/5)</f>
        <v>182.679</v>
      </c>
      <c r="BI63" s="1318">
        <f ca="1">(BH63/BC63-1)*100</f>
        <v>2.4553984554208874</v>
      </c>
      <c r="BJ63" s="1316">
        <f ca="1">OFFSET('VVP2'!$G$41,0,(COLUMN()-7)/5)</f>
        <v>3.4848077037087588</v>
      </c>
      <c r="BK63" s="1317">
        <f ca="1">+BH63*(1+BJ63/100)</f>
        <v>189.04501186505811</v>
      </c>
      <c r="BL63" s="1340">
        <f ca="1">+BM63/BK63*100-100</f>
        <v>0.1814319941891398</v>
      </c>
      <c r="BM63" s="1315">
        <f ca="1">OFFSET('VVP2'!$G$211,0,(COLUMN()-6)/5)</f>
        <v>189.38800000000001</v>
      </c>
      <c r="BN63" s="1318">
        <f ca="1">(BM63/BH63-1)*100</f>
        <v>3.6725622540084046</v>
      </c>
      <c r="BO63" s="1316">
        <f ca="1">OFFSET('VVP2'!$G$41,0,(COLUMN()-7)/5)</f>
        <v>4.4301887631266856</v>
      </c>
      <c r="BP63" s="1317">
        <f ca="1">+BM63*(1+BO63/100)</f>
        <v>197.77824589471038</v>
      </c>
      <c r="BQ63" s="1340">
        <f ca="1">+BR63/BP63*100-100</f>
        <v>2.8100937391508438</v>
      </c>
      <c r="BR63" s="1315">
        <f ca="1">OFFSET('VVP2'!$G$211,0,(COLUMN()-6)/5)</f>
        <v>203.33600000000001</v>
      </c>
      <c r="BS63" s="1318">
        <f ca="1">(BR63/BM63-1)*100</f>
        <v>7.3647749593427347</v>
      </c>
      <c r="BT63" s="1316">
        <f ca="1">OFFSET('VVP2'!$G$41,0,(COLUMN()-7)/5)</f>
        <v>1.2054314472156324</v>
      </c>
      <c r="BU63" s="1317">
        <f ca="1">+BR63*(1+BT63/100)</f>
        <v>205.7870760875104</v>
      </c>
      <c r="BV63" s="1340">
        <f ca="1">+BW63/BU63*100-100</f>
        <v>4.7626527859901984</v>
      </c>
      <c r="BW63" s="1315">
        <f ca="1">OFFSET('VVP2'!$G$211,0,(COLUMN()-6)/5)</f>
        <v>215.58799999999999</v>
      </c>
      <c r="BX63" s="1318">
        <f ca="1">(BW63/BR63-1)*100</f>
        <v>6.0254947476098497</v>
      </c>
      <c r="BY63" s="1316">
        <f ca="1">OFFSET('VVP2'!$G$41,0,(COLUMN()-7)/5)</f>
        <v>-3.5195346012621642</v>
      </c>
      <c r="BZ63" s="1317">
        <f ca="1">+BW63*(1+BY63/100)</f>
        <v>208.00030574383092</v>
      </c>
      <c r="CA63" s="1340">
        <f ca="1">+CB63/BZ63*100-100</f>
        <v>1.9080232800507702</v>
      </c>
      <c r="CB63" s="1315">
        <f ca="1">OFFSET('VVP2'!$G$211,0,(COLUMN()-6)/5)</f>
        <v>211.96899999999999</v>
      </c>
      <c r="CC63" s="1318">
        <f ca="1">(CB63/BW63-1)*100</f>
        <v>-1.6786648607529209</v>
      </c>
      <c r="CD63" s="1316">
        <f ca="1">OFFSET('VVP2'!$G$41,0,(COLUMN()-7)/5)</f>
        <v>4.2364912034413837</v>
      </c>
      <c r="CE63" s="1317">
        <f ca="1">+CB63*(1+CD63/100)</f>
        <v>220.94904803902267</v>
      </c>
      <c r="CF63" s="1340">
        <f ca="1">+CG63/CE63*100-100</f>
        <v>0.58834920200594354</v>
      </c>
      <c r="CG63" s="1315">
        <f ca="1">OFFSET('VVP2'!$G$211,0,(COLUMN()-6)/5)</f>
        <v>222.249</v>
      </c>
      <c r="CH63" s="1318">
        <f ca="1">(CG63/CB63-1)*100</f>
        <v>4.8497657676358275</v>
      </c>
      <c r="CI63" s="1316">
        <f ca="1">OFFSET('VVP2'!$G$41,0,(COLUMN()-7)/5)</f>
        <v>4.5208347394139148</v>
      </c>
      <c r="CJ63" s="1317">
        <f ca="1">+CG63*(1+CI63/100)</f>
        <v>232.29651000000004</v>
      </c>
      <c r="CK63" s="1340">
        <f ca="1">+CL63/CJ63*100-100</f>
        <v>1.2610994457040903</v>
      </c>
      <c r="CL63" s="1315">
        <f ca="1">OFFSET('VVP2'!$G$211,0,(COLUMN()-6)/5)</f>
        <v>235.226</v>
      </c>
      <c r="CM63" s="1318">
        <f ca="1">(CL63/CG63-1)*100</f>
        <v>5.8389464069579677</v>
      </c>
      <c r="CN63" s="1316">
        <f ca="1">OFFSET('VVP2'!$G$41,0,(COLUMN()-7)/5)</f>
        <v>-3.8712738172433259</v>
      </c>
      <c r="CO63" s="1317">
        <f ca="1">+CL63*(1+CN63/100)</f>
        <v>226.11975745065121</v>
      </c>
      <c r="CP63" s="1340">
        <f ca="1">+CQ63/CO63*100-100</f>
        <v>1.0066535428004499</v>
      </c>
      <c r="CQ63" s="1315">
        <f ca="1">OFFSET('VVP2'!$G$211,0,(COLUMN()-6)/5)</f>
        <v>228.39599999999999</v>
      </c>
      <c r="CR63" s="1318">
        <f ca="1">(CQ63/CL63-1)*100</f>
        <v>-2.9035905894756575</v>
      </c>
      <c r="CS63" s="1316">
        <f ca="1">OFFSET('VVP2'!$G$41,0,(COLUMN()-7)/5)</f>
        <v>4.1110179568950134</v>
      </c>
      <c r="CT63" s="1317">
        <f ca="1">+CQ63*(1+CS63/100)</f>
        <v>237.78540057282993</v>
      </c>
      <c r="CU63" s="1340">
        <f ca="1">+CV63/CT63*100-100</f>
        <v>0.6634551252387979</v>
      </c>
      <c r="CV63" s="1315">
        <f ca="1">OFFSET('VVP2'!$G$211,0,(COLUMN()-6)/5)</f>
        <v>239.363</v>
      </c>
      <c r="CW63" s="1318">
        <f ca="1">(CV63/CQ63-1)*100</f>
        <v>4.8017478414683401</v>
      </c>
      <c r="CX63" s="1316">
        <f ca="1">OFFSET('VVP2'!$G$41,0,(COLUMN()-7)/5)</f>
        <v>7.3994762822763072</v>
      </c>
      <c r="CY63" s="1317">
        <f ca="1">+CV63*(1+CX63/100)</f>
        <v>257.07460841354504</v>
      </c>
      <c r="CZ63" s="1340">
        <f ca="1">+DA63/CY63*100-100</f>
        <v>1.8684815338619245</v>
      </c>
      <c r="DA63" s="1315">
        <f ca="1">OFFSET('VVP2'!$G$211,0,(COLUMN()-6)/5)</f>
        <v>261.87799999999999</v>
      </c>
      <c r="DB63" s="1318">
        <f ca="1">(DA63/CV63-1)*100</f>
        <v>9.4062156640750683</v>
      </c>
      <c r="DC63" s="1316">
        <f ca="1">OFFSET('VVP2'!$G$41,0,(COLUMN()-7)/5)</f>
        <v>5.6002397853222474</v>
      </c>
      <c r="DD63" s="1317">
        <f ca="1">+DA63*(1+DC63/100)</f>
        <v>276.5437959450062</v>
      </c>
      <c r="DE63" s="1340">
        <f ca="1">+DF63/DD63*100-100</f>
        <v>0.50017540631029078</v>
      </c>
      <c r="DF63" s="1315">
        <f ca="1">OFFSET('VVP2'!$G$211,0,(COLUMN()-6)/5)</f>
        <v>277.92700000000002</v>
      </c>
      <c r="DG63" s="1318">
        <f ca="1">(DF63/DA63-1)*100</f>
        <v>6.1284262137331291</v>
      </c>
      <c r="DH63" s="1316">
        <f ca="1">OFFSET('VVP2'!$G$41,0,(COLUMN()-7)/5)</f>
        <v>-2.2254043696375736</v>
      </c>
      <c r="DI63" s="1317">
        <f ca="1">+DF63*(1+DH63/100)</f>
        <v>271.74200039759739</v>
      </c>
      <c r="DJ63" s="1340">
        <f ca="1">+DK63/DI63*100-100</f>
        <v>0.68042466740409679</v>
      </c>
      <c r="DK63" s="1315">
        <f ca="1">OFFSET('VVP2'!$G$211,0,(COLUMN()-6)/5)</f>
        <v>273.59100000000001</v>
      </c>
      <c r="DL63" s="1318">
        <f ca="1">(DK63/DF63-1)*100</f>
        <v>-1.5601219025139779</v>
      </c>
      <c r="DM63" s="1316">
        <f ca="1">OFFSET('VVP2'!$G$41,0,(COLUMN()-7)/5)</f>
        <v>3.0147876600891133</v>
      </c>
      <c r="DN63" s="1317">
        <f ca="1">+DK63*(1+DM63/100)</f>
        <v>281.83918770711443</v>
      </c>
      <c r="DO63" s="1340">
        <f ca="1">+DP63/DN63*100-100</f>
        <v>1.8616333433156456</v>
      </c>
      <c r="DP63" s="1315">
        <f ca="1">OFFSET('VVP2'!$G$211,0,(COLUMN()-6)/5)</f>
        <v>287.08600000000001</v>
      </c>
      <c r="DQ63" s="1318">
        <f ca="1">(DP63/DK63-1)*100</f>
        <v>4.9325452957151406</v>
      </c>
      <c r="DR63" s="2304">
        <v>3.8</v>
      </c>
      <c r="DS63" s="1447">
        <f ca="1">+DP63*(1+DR63/100)</f>
        <v>297.99526800000001</v>
      </c>
      <c r="DT63" s="2305">
        <v>4.33</v>
      </c>
      <c r="DU63" s="1448">
        <f ca="1">+DS63*(1+DT63/100)</f>
        <v>310.89846310439998</v>
      </c>
      <c r="DV63" s="1449">
        <f ca="1">(DU63/DP63-1)*100</f>
        <v>8.2945399999999836</v>
      </c>
      <c r="DW63" s="2304">
        <v>3.91</v>
      </c>
      <c r="DX63" s="1447">
        <f ca="1">+DU63*(1+DW63/100)</f>
        <v>323.054593011782</v>
      </c>
      <c r="DY63" s="2305">
        <v>2.12</v>
      </c>
      <c r="DZ63" s="1448">
        <f ca="1">+DX63*(1+DY63/100)</f>
        <v>329.90335038363179</v>
      </c>
      <c r="EA63" s="1449">
        <f ca="1">(DZ63/DU63-1)*100</f>
        <v>6.1128920000000031</v>
      </c>
      <c r="EB63" s="2304">
        <v>2.75</v>
      </c>
      <c r="EC63" s="1447">
        <f ca="1">+DZ63*(1+EB63/100)</f>
        <v>338.97569251918168</v>
      </c>
      <c r="ED63" s="2305">
        <v>1.1000000000000001</v>
      </c>
      <c r="EE63" s="1448">
        <f ca="1">+EC63*(1+ED63/100)</f>
        <v>342.70442513689267</v>
      </c>
      <c r="EF63" s="1449">
        <f ca="1">(EE63/DZ63-1)*100</f>
        <v>3.8802500000000073</v>
      </c>
      <c r="EI63" s="3308">
        <f ca="1">(EI62-DP64)/DP64</f>
        <v>3.5007478472588706E-2</v>
      </c>
    </row>
    <row r="64" spans="1:140" ht="12.75" customHeight="1">
      <c r="A64" s="1504" t="s">
        <v>158</v>
      </c>
      <c r="C64" s="1245" t="s">
        <v>815</v>
      </c>
      <c r="D64" s="1301"/>
      <c r="E64" s="1301" t="s">
        <v>1341</v>
      </c>
      <c r="F64" s="1244" t="s">
        <v>1752</v>
      </c>
      <c r="G64" s="1302"/>
      <c r="H64" s="1302"/>
      <c r="I64" s="1302"/>
      <c r="J64" s="1303">
        <f ca="1">OFFSET('VVP2'!$G$212,0,(COLUMN()-6)/5)</f>
        <v>369.53899999999999</v>
      </c>
      <c r="K64" s="1302"/>
      <c r="L64" s="1520">
        <f ca="1">IF(UPPER($F$2)="Y",(M64/J64-1)*100,OFFSET('VVP2'!$G$42,0,(COLUMN()-7)/5))</f>
        <v>5.2143326570667003</v>
      </c>
      <c r="M64" s="1521">
        <f ca="1">IF(UPPER($F$2)="Y",+M59+M62+M63,J64*(1+L64/100))</f>
        <v>388.80799275759773</v>
      </c>
      <c r="N64" s="1303">
        <f ca="1">+O64/M64*100-100</f>
        <v>0.1118822787867515</v>
      </c>
      <c r="O64" s="1303">
        <f ca="1">OFFSET('VVP2'!$G$212,0,(COLUMN()-6)/5)</f>
        <v>389.24299999999999</v>
      </c>
      <c r="P64" s="1303">
        <f ca="1">(O64/J64-1)*100</f>
        <v>5.3320488500537166</v>
      </c>
      <c r="Q64" s="1520">
        <f ca="1">IF(UPPER($F$2)="Y",(R64/O64-1)*100,OFFSET('VVP2'!$G$42,0,(COLUMN()-7)/5))</f>
        <v>1.4309177801061113</v>
      </c>
      <c r="R64" s="1521">
        <f ca="1">IF(UPPER($F$2)="Y",+R59+R62+R63,O64*(1+Q64/100))</f>
        <v>394.81274729481839</v>
      </c>
      <c r="S64" s="1303">
        <f ca="1">+T64/R64*100-100</f>
        <v>1.645400952652281</v>
      </c>
      <c r="T64" s="1303">
        <f ca="1">OFFSET('VVP2'!$G$212,0,(COLUMN()-6)/5)</f>
        <v>401.30900000000003</v>
      </c>
      <c r="U64" s="1303">
        <f ca="1">(T64/O64-1)*100</f>
        <v>3.0998630675439287</v>
      </c>
      <c r="V64" s="1520">
        <f ca="1">IF(UPPER($F$2)="Y",(W64/T64-1)*100,OFFSET('VVP2'!$G$42,0,(COLUMN()-7)/5))</f>
        <v>7.8839019793046194</v>
      </c>
      <c r="W64" s="1521">
        <f ca="1">IF(UPPER($F$2)="Y",+W59+W62+W63,T64*(1+V64/100))</f>
        <v>432.94780819412756</v>
      </c>
      <c r="X64" s="1303">
        <f ca="1">+Y64/W64*100-100</f>
        <v>1.7060236051733568</v>
      </c>
      <c r="Y64" s="1303">
        <f ca="1">OFFSET('VVP2'!$G$212,0,(COLUMN()-6)/5)</f>
        <v>440.334</v>
      </c>
      <c r="Z64" s="1303">
        <f ca="1">(Y64/T64-1)*100</f>
        <v>9.7244268132536291</v>
      </c>
      <c r="AA64" s="1520">
        <f ca="1">IF(UPPER($F$2)="Y",(AB64/Y64-1)*100,OFFSET('VVP2'!$G$42,0,(COLUMN()-7)/5))</f>
        <v>6.8000363824649579</v>
      </c>
      <c r="AB64" s="1521">
        <f ca="1">IF(UPPER($F$2)="Y",+AB59+AB62+AB63,Y64*(1+AA64/100))</f>
        <v>470.27687220436326</v>
      </c>
      <c r="AC64" s="1303">
        <f ca="1">+AD64/AB64*100-100</f>
        <v>2.2952708146247289</v>
      </c>
      <c r="AD64" s="1303">
        <f ca="1">OFFSET('VVP2'!$G$212,0,(COLUMN()-6)/5)</f>
        <v>481.07100000000003</v>
      </c>
      <c r="AE64" s="1303">
        <f ca="1">(AD64/Y64-1)*100</f>
        <v>9.2513864475602716</v>
      </c>
      <c r="AF64" s="1520">
        <f ca="1">IF(UPPER($F$2)="Y",(AG64/AD64-1)*100,OFFSET('VVP2'!$G$42,0,(COLUMN()-7)/5))</f>
        <v>6.5361584803577788</v>
      </c>
      <c r="AG64" s="1521">
        <f ca="1">IF(UPPER($F$2)="Y",+AG59+AG62+AG63,AD64*(1+AF64/100))</f>
        <v>512.51456296304195</v>
      </c>
      <c r="AH64" s="1303">
        <f ca="1">+AI64/AG64*100-100</f>
        <v>3.263602294587713</v>
      </c>
      <c r="AI64" s="1303">
        <f ca="1">OFFSET('VVP2'!$G$212,0,(COLUMN()-6)/5)</f>
        <v>529.24099999999999</v>
      </c>
      <c r="AJ64" s="1303">
        <f ca="1">(AI64/AD64-1)*100</f>
        <v>10.013074993088322</v>
      </c>
      <c r="AK64" s="1520">
        <f ca="1">IF(UPPER($F$2)="Y",(AL64/AI64-1)*100,OFFSET('VVP2'!$G$42,0,(COLUMN()-7)/5))</f>
        <v>2.5098836831001226</v>
      </c>
      <c r="AL64" s="1521">
        <f ca="1">IF(UPPER($F$2)="Y",+AL59+AL62+AL63,AI64*(1+AK64/100))</f>
        <v>542.5243335032759</v>
      </c>
      <c r="AM64" s="1303">
        <f ca="1">+AN64/AL64*100-100</f>
        <v>3.3173934117400279</v>
      </c>
      <c r="AN64" s="1303">
        <f ca="1">OFFSET('VVP2'!$G$212,0,(COLUMN()-6)/5)</f>
        <v>560.52200000000005</v>
      </c>
      <c r="AO64" s="1303">
        <f ca="1">(AN64/AI64-1)*100</f>
        <v>5.9105398107856422</v>
      </c>
      <c r="AP64" s="1520">
        <f ca="1">IF(UPPER($F$2)="Y",(AQ64/AN64-1)*100,OFFSET('VVP2'!$G$42,0,(COLUMN()-7)/5))</f>
        <v>-2.2230839259551716</v>
      </c>
      <c r="AQ64" s="1521">
        <f ca="1">IF(UPPER($F$2)="Y",+AQ59+AQ62+AQ63,AN64*(1+AP64/100))</f>
        <v>548.06112551655758</v>
      </c>
      <c r="AR64" s="1303">
        <f ca="1">+AS64/AQ64*100-100</f>
        <v>2.2776427486399484</v>
      </c>
      <c r="AS64" s="1303">
        <f ca="1">OFFSET('VVP2'!$G$212,0,(COLUMN()-6)/5)</f>
        <v>560.54399999999998</v>
      </c>
      <c r="AT64" s="1303">
        <f ca="1">(AS64/AN64-1)*100</f>
        <v>3.9249128490848051E-3</v>
      </c>
      <c r="AU64" s="1520">
        <f ca="1">IF(UPPER($F$2)="Y",(AV64/AS64-1)*100,OFFSET('VVP2'!$G$42,0,(COLUMN()-7)/5))</f>
        <v>2.3398841330813269</v>
      </c>
      <c r="AV64" s="1521">
        <f ca="1">IF(UPPER($F$2)="Y",+AV59+AV62+AV63,AS64*(1+AU64/100))</f>
        <v>573.66008011493932</v>
      </c>
      <c r="AW64" s="1303">
        <f ca="1">+AX64/AV64*100-100</f>
        <v>-0.12604678972859062</v>
      </c>
      <c r="AX64" s="1303">
        <f ca="1">OFFSET('VVP2'!$G$212,0,(COLUMN()-6)/5)</f>
        <v>572.93700000000001</v>
      </c>
      <c r="AY64" s="1303">
        <f ca="1">(AX64/AS64-1)*100</f>
        <v>2.2108879945196058</v>
      </c>
      <c r="AZ64" s="1520">
        <f ca="1">IF(UPPER($F$2)="Y",(BA64/AX64-1)*100,OFFSET('VVP2'!$G$42,0,(COLUMN()-7)/5))</f>
        <v>5.7571708219540385</v>
      </c>
      <c r="BA64" s="1521">
        <f ca="1">IF(UPPER($F$2)="Y",+BA59+BA62+BA63,AX64*(1+AZ64/100))</f>
        <v>605.92196179217876</v>
      </c>
      <c r="BB64" s="1303">
        <f ca="1">+BC64/BA64*100-100</f>
        <v>0.47729549185957865</v>
      </c>
      <c r="BC64" s="1303">
        <f ca="1">OFFSET('VVP2'!$G$212,0,(COLUMN()-6)/5)</f>
        <v>608.81399999999996</v>
      </c>
      <c r="BD64" s="1303">
        <f ca="1">(BC64/AX64-1)*100</f>
        <v>6.2619450306054425</v>
      </c>
      <c r="BE64" s="1520">
        <f ca="1">IF(UPPER($F$2)="Y",(BF64/BC64-1)*100,OFFSET('VVP2'!$G$42,0,(COLUMN()-7)/5))</f>
        <v>5.0461579864581552</v>
      </c>
      <c r="BF64" s="1521">
        <f ca="1">IF(UPPER($F$2)="Y",+BF59+BF62+BF63,BC64*(1+BE64/100))</f>
        <v>639.53571628367536</v>
      </c>
      <c r="BG64" s="1303">
        <f ca="1">+BH64/BF64*100-100</f>
        <v>1.1588537633818703</v>
      </c>
      <c r="BH64" s="1303">
        <f ca="1">OFFSET('VVP2'!$G$212,0,(COLUMN()-6)/5)</f>
        <v>646.947</v>
      </c>
      <c r="BI64" s="1303">
        <f ca="1">(BH64/BC64-1)*100</f>
        <v>6.2634893415723036</v>
      </c>
      <c r="BJ64" s="1520">
        <f ca="1">IF(UPPER($F$2)="Y",(BK64/BH64-1)*100,OFFSET('VVP2'!$G$42,0,(COLUMN()-7)/5))</f>
        <v>9.3699034472843898</v>
      </c>
      <c r="BK64" s="1521">
        <f ca="1">IF(UPPER($F$2)="Y",+BK59+BK62+BK63,BH64*(1+BJ64/100))</f>
        <v>707.56530925510299</v>
      </c>
      <c r="BL64" s="1303">
        <f ca="1">+BM64/BK64*100-100</f>
        <v>1.2682491110741694</v>
      </c>
      <c r="BM64" s="1303">
        <f ca="1">OFFSET('VVP2'!$G$212,0,(COLUMN()-6)/5)</f>
        <v>716.53899999999999</v>
      </c>
      <c r="BN64" s="1303">
        <f ca="1">(BM64/BH64-1)*100</f>
        <v>10.756986275537251</v>
      </c>
      <c r="BO64" s="1520">
        <f ca="1">IF(UPPER($F$2)="Y",(BP64/BM64-1)*100,OFFSET('VVP2'!$G$42,0,(COLUMN()-7)/5))</f>
        <v>8.0946127143349358</v>
      </c>
      <c r="BP64" s="1521">
        <f ca="1">IF(UPPER($F$2)="Y",+BP59+BP62+BP63,BM64*(1+BO64/100))</f>
        <v>774.54005699716834</v>
      </c>
      <c r="BQ64" s="1303">
        <f ca="1">+BR64/BP64*100-100</f>
        <v>2.1969093591880977</v>
      </c>
      <c r="BR64" s="1303">
        <f ca="1">OFFSET('VVP2'!$G$212,0,(COLUMN()-6)/5)</f>
        <v>791.55600000000004</v>
      </c>
      <c r="BS64" s="1303">
        <f ca="1">(BR64/BM64-1)*100</f>
        <v>10.469353377834301</v>
      </c>
      <c r="BT64" s="1520">
        <f ca="1">IF(UPPER($F$2)="Y",(BU64/BR64-1)*100,OFFSET('VVP2'!$G$42,0,(COLUMN()-7)/5))</f>
        <v>0.55402554028567419</v>
      </c>
      <c r="BU64" s="1521">
        <f ca="1">IF(UPPER($F$2)="Y",+BU59+BU62+BU63,BR64*(1+BT64/100))</f>
        <v>795.94142240566373</v>
      </c>
      <c r="BV64" s="1303">
        <f ca="1">+BW64/BU64*100-100</f>
        <v>4.0209714802384724</v>
      </c>
      <c r="BW64" s="1303">
        <f ca="1">OFFSET('VVP2'!$G$212,0,(COLUMN()-6)/5)</f>
        <v>827.94600000000003</v>
      </c>
      <c r="BX64" s="1303">
        <f ca="1">(BW64/BR64-1)*100</f>
        <v>4.5972742294922986</v>
      </c>
      <c r="BY64" s="1520">
        <f ca="1">IF(UPPER($F$2)="Y",(BZ64/BW64-1)*100,OFFSET('VVP2'!$G$42,0,(COLUMN()-7)/5))</f>
        <v>-13.375764271493995</v>
      </c>
      <c r="BZ64" s="1521">
        <f ca="1">IF(UPPER($F$2)="Y",+BZ59+BZ62+BZ63,BW64*(1+BY64/100))</f>
        <v>717.20189474473636</v>
      </c>
      <c r="CA64" s="1303">
        <f ca="1">+CB64/BZ64*100-100</f>
        <v>2.8166553104901624</v>
      </c>
      <c r="CB64" s="1303">
        <f ca="1">OFFSET('VVP2'!$G$212,0,(COLUMN()-6)/5)</f>
        <v>737.40300000000002</v>
      </c>
      <c r="CC64" s="1303">
        <f ca="1">(CB64/BW64-1)*100</f>
        <v>-10.935858135675513</v>
      </c>
      <c r="CD64" s="1520">
        <f ca="1">IF(UPPER($F$2)="Y",(CE64/CB64-1)*100,OFFSET('VVP2'!$G$42,0,(COLUMN()-7)/5))</f>
        <v>6.0336303560419635</v>
      </c>
      <c r="CE64" s="1521">
        <f ca="1">IF(UPPER($F$2)="Y",+CE59+CE62+CE63,CB64*(1+CD64/100))</f>
        <v>781.89517125436419</v>
      </c>
      <c r="CF64" s="1303">
        <f ca="1">+CG64/CE64*100-100</f>
        <v>0.67142360493335218</v>
      </c>
      <c r="CG64" s="1303">
        <f ca="1">OFFSET('VVP2'!$G$212,0,(COLUMN()-6)/5)</f>
        <v>787.14499999999998</v>
      </c>
      <c r="CH64" s="1303">
        <f ca="1">(CG64/CB64-1)*100</f>
        <v>6.7455651794201987</v>
      </c>
      <c r="CI64" s="1520">
        <f ca="1">IF(UPPER($F$2)="Y",(CJ64/CG64-1)*100,OFFSET('VVP2'!$G$42,0,(COLUMN()-7)/5))</f>
        <v>5.7032897369607927</v>
      </c>
      <c r="CJ64" s="1521">
        <f ca="1">IF(UPPER($F$2)="Y",+CJ59+CJ62+CJ63,CG64*(1+CI64/100))</f>
        <v>832.03815999999995</v>
      </c>
      <c r="CK64" s="1303">
        <f ca="1">+CL64/CJ64*100-100</f>
        <v>0.25994480830063083</v>
      </c>
      <c r="CL64" s="1303">
        <f ca="1">OFFSET('VVP2'!$G$212,0,(COLUMN()-6)/5)</f>
        <v>834.20100000000002</v>
      </c>
      <c r="CM64" s="1303">
        <f ca="1">(CL64/CG64-1)*100</f>
        <v>5.9780599508349797</v>
      </c>
      <c r="CN64" s="1520">
        <f ca="1">IF(UPPER($F$2)="Y",(CO64/CL64-1)*100,OFFSET('VVP2'!$G$42,0,(COLUMN()-7)/5))</f>
        <v>-0.2835502279156743</v>
      </c>
      <c r="CO64" s="1521">
        <f ca="1">IF(UPPER($F$2)="Y",+CO59+CO62+CO63,CL64*(1+CN64/100))</f>
        <v>831.83562116322514</v>
      </c>
      <c r="CP64" s="1303">
        <f ca="1">+CQ64/CO64*100-100</f>
        <v>0.77123155988483916</v>
      </c>
      <c r="CQ64" s="1303">
        <f ca="1">OFFSET('VVP2'!$G$212,0,(COLUMN()-6)/5)</f>
        <v>838.25099999999998</v>
      </c>
      <c r="CR64" s="1303">
        <f ca="1">(CQ64/CL64-1)*100</f>
        <v>0.48549450312334042</v>
      </c>
      <c r="CS64" s="1520">
        <f ca="1">IF(UPPER($F$2)="Y",(CT64/CQ64-1)*100,OFFSET('VVP2'!$G$42,0,(COLUMN()-7)/5))</f>
        <v>0.62275318885618436</v>
      </c>
      <c r="CT64" s="1521">
        <f ca="1">IF(UPPER($F$2)="Y",+CT59+CT62+CT63,CQ64*(1+CS64/100))</f>
        <v>843.47123483311884</v>
      </c>
      <c r="CU64" s="1303">
        <f ca="1">+CV64/CT64*100-100</f>
        <v>0.32090782176071286</v>
      </c>
      <c r="CV64" s="1303">
        <f ca="1">OFFSET('VVP2'!$G$212,0,(COLUMN()-6)/5)</f>
        <v>846.178</v>
      </c>
      <c r="CW64" s="1303">
        <f ca="1">(CV64/CQ64-1)*100</f>
        <v>0.94565947431020092</v>
      </c>
      <c r="CX64" s="1520">
        <f ca="1">IF(UPPER($F$2)="Y",(CY64/CV64-1)*100,OFFSET('VVP2'!$G$42,0,(COLUMN()-7)/5))</f>
        <v>5.438166385207821</v>
      </c>
      <c r="CY64" s="1521">
        <f ca="1">IF(UPPER($F$2)="Y",+CY59+CY62+CY63,CV64*(1+CX64/100))</f>
        <v>892.19456755502392</v>
      </c>
      <c r="CZ64" s="1303">
        <f ca="1">+DA64/CY64*100-100</f>
        <v>2.1669524953461092</v>
      </c>
      <c r="DA64" s="1303">
        <f ca="1">OFFSET('VVP2'!$G$212,0,(COLUMN()-6)/5)</f>
        <v>911.52800000000002</v>
      </c>
      <c r="DB64" s="1303">
        <f ca="1">(DA64/CV64-1)*100</f>
        <v>7.722961362739289</v>
      </c>
      <c r="DC64" s="1520">
        <f ca="1">IF(UPPER($F$2)="Y",(DD64/DA64-1)*100,OFFSET('VVP2'!$G$42,0,(COLUMN()-7)/5))</f>
        <v>6.6508614266375998</v>
      </c>
      <c r="DD64" s="1521">
        <f ca="1">IF(UPPER($F$2)="Y",+DD59+DD62+DD63,DA64*(1+DC64/100))</f>
        <v>972.1524641450012</v>
      </c>
      <c r="DE64" s="1303">
        <f ca="1">+DF64/DD64*100-100</f>
        <v>1.9812258432053937</v>
      </c>
      <c r="DF64" s="1303">
        <f ca="1">OFFSET('VVP2'!$G$212,0,(COLUMN()-6)/5)</f>
        <v>991.41300000000001</v>
      </c>
      <c r="DG64" s="1303">
        <f ca="1">(DF64/DA64-1)*100</f>
        <v>8.7638558552233228</v>
      </c>
      <c r="DH64" s="1520">
        <f ca="1">IF(UPPER($F$2)="Y",(DI64/DF64-1)*100,OFFSET('VVP2'!$G$42,0,(COLUMN()-7)/5))</f>
        <v>4.159619412364135</v>
      </c>
      <c r="DI64" s="1521">
        <f ca="1">IF(UPPER($F$2)="Y",+DI59+DI62+DI63,DF64*(1+DH64/100))</f>
        <v>1032.6520076047016</v>
      </c>
      <c r="DJ64" s="1303">
        <f ca="1">+DK64/DI64*100-100</f>
        <v>1.6606748710126027</v>
      </c>
      <c r="DK64" s="1303">
        <f ca="1">OFFSET('VVP2'!$G$212,0,(COLUMN()-6)/5)</f>
        <v>1049.8009999999999</v>
      </c>
      <c r="DL64" s="1303">
        <f ca="1">(DK64/DF64-1)*100</f>
        <v>5.8893720376876235</v>
      </c>
      <c r="DM64" s="1520">
        <f ca="1">IF(UPPER($F$2)="Y",(DN64/DK64-1)*100,OFFSET('VVP2'!$G$42,0,(COLUMN()-7)/5))</f>
        <v>6.0544940457045948</v>
      </c>
      <c r="DN64" s="1521">
        <f ca="1">IF(UPPER($F$2)="Y",+DN59+DN62+DN63,DK64*(1+DM64/100))</f>
        <v>1113.3611390367473</v>
      </c>
      <c r="DO64" s="1303">
        <f ca="1">+DP64/DN64*100-100</f>
        <v>2.6273470428975827</v>
      </c>
      <c r="DP64" s="1303">
        <f ca="1">OFFSET('VVP2'!$G$212,0,(COLUMN()-6)/5)</f>
        <v>1142.6130000000001</v>
      </c>
      <c r="DQ64" s="1303">
        <f ca="1">(DP64/DK64-1)*100</f>
        <v>8.8409136588744062</v>
      </c>
      <c r="DR64" s="1549">
        <f ca="1">IF(UPPER($F$2)="Y",(DS64/DP64-1)*100,OFFSET('VVP2'!$G$42,0,(COLUMN()-7)/5))</f>
        <v>3.5391684236044885</v>
      </c>
      <c r="DS64" s="1545">
        <f ca="1">IF(UPPER($F$2)="Y",+DS59+DS62+DS63,DP64*(1+DR64/100))</f>
        <v>1183.0519985000001</v>
      </c>
      <c r="DT64" s="1443">
        <f ca="1">+DU64/DS64*100-100</f>
        <v>4.0344166021794479</v>
      </c>
      <c r="DU64" s="1443">
        <f ca="1">+DU59+DU62+DU63</f>
        <v>1230.7812447398999</v>
      </c>
      <c r="DV64" s="1452">
        <f ca="1">(DU64/DP64-1)*100</f>
        <v>7.7163698242449286</v>
      </c>
      <c r="DW64" s="1549">
        <f ca="1">IF(UPPER($F$2)="Y",(DX64/DU64-1)*100,OFFSET('VVP2'!$G$42,0,(COLUMN()-7)/5))</f>
        <v>1.9828306477457813</v>
      </c>
      <c r="DX64" s="1545">
        <f ca="1">IF(UPPER($F$2)="Y",+DX59+DX62+DX63,DU64*(1+DW64/100))</f>
        <v>1255.1855524673097</v>
      </c>
      <c r="DY64" s="1443">
        <f ca="1">+DZ64/DX64*100-100</f>
        <v>2.3848729783300371</v>
      </c>
      <c r="DZ64" s="1443">
        <f ca="1">+DZ59+DZ62+DZ63</f>
        <v>1285.1201335360051</v>
      </c>
      <c r="EA64" s="1452">
        <f ca="1">(DZ64/DU64-1)*100</f>
        <v>4.4149916183999549</v>
      </c>
      <c r="EB64" s="1549">
        <f ca="1">IF(UPPER($F$2)="Y",(EC64/DZ64-1)*100,OFFSET('VVP2'!$G$42,0,(COLUMN()-7)/5))</f>
        <v>2.1431885541373763</v>
      </c>
      <c r="EC64" s="1545">
        <f ca="1">IF(UPPER($F$2)="Y",+EC59+EC62+EC63,DZ64*(1+EB64/100))</f>
        <v>1312.6626811448639</v>
      </c>
      <c r="ED64" s="1443">
        <f ca="1">+EE64/EC64*100-100</f>
        <v>1.3785668859828775</v>
      </c>
      <c r="EE64" s="1443">
        <f ca="1">+EE59+EE62+EE63</f>
        <v>1330.758614191782</v>
      </c>
      <c r="EF64" s="1452">
        <f ca="1">(EE64/DZ64-1)*100</f>
        <v>3.5513007278317854</v>
      </c>
    </row>
    <row r="65" spans="1:136" s="2919" customFormat="1" ht="12.75">
      <c r="A65" s="2918"/>
      <c r="C65" s="2920"/>
      <c r="D65" s="1837"/>
      <c r="E65" s="1837" t="s">
        <v>1629</v>
      </c>
      <c r="F65" s="2921"/>
      <c r="G65" s="2922"/>
      <c r="H65" s="2922"/>
      <c r="I65" s="2922"/>
      <c r="J65" s="1276"/>
      <c r="K65" s="2922"/>
      <c r="L65" s="2924">
        <f ca="1">OFFSET('Q1'!$N88,0,(COLUMN()-12)*4/5)</f>
        <v>5.3391229209858011</v>
      </c>
      <c r="M65" s="2923"/>
      <c r="N65" s="1276"/>
      <c r="O65" s="1276"/>
      <c r="P65" s="1276"/>
      <c r="Q65" s="2924">
        <f ca="1">OFFSET('Q1'!$N88,0,(COLUMN()-12)*4/5)</f>
        <v>1.5873896394775073</v>
      </c>
      <c r="R65" s="1276"/>
      <c r="S65" s="1276"/>
      <c r="T65" s="1276"/>
      <c r="U65" s="1276"/>
      <c r="V65" s="2924">
        <f ca="1">OFFSET('Q1'!$N88,0,(COLUMN()-12)*4/5)</f>
        <v>7.7441074833151333</v>
      </c>
      <c r="W65" s="1276"/>
      <c r="X65" s="1276"/>
      <c r="Y65" s="1276"/>
      <c r="Z65" s="1276"/>
      <c r="AA65" s="2924">
        <f ca="1">OFFSET('Q1'!$N88,0,(COLUMN()-12)*4/5)</f>
        <v>6.5588186452362862</v>
      </c>
      <c r="AB65" s="1276"/>
      <c r="AC65" s="1276"/>
      <c r="AD65" s="1276"/>
      <c r="AE65" s="1276"/>
      <c r="AF65" s="2924">
        <f ca="1">OFFSET('Q1'!$N88,0,(COLUMN()-12)*4/5)</f>
        <v>6.5569620381259881</v>
      </c>
      <c r="AG65" s="1276"/>
      <c r="AH65" s="1276"/>
      <c r="AI65" s="1276"/>
      <c r="AJ65" s="1276"/>
      <c r="AK65" s="2924">
        <f ca="1">OFFSET('Q1'!$N88,0,(COLUMN()-12)*4/5)</f>
        <v>2.7500259579759359</v>
      </c>
      <c r="AL65" s="1276"/>
      <c r="AM65" s="1276"/>
      <c r="AN65" s="1276"/>
      <c r="AO65" s="1276"/>
      <c r="AP65" s="2924">
        <f ca="1">OFFSET('Q1'!$N88,0,(COLUMN()-12)*4/5)</f>
        <v>-2.2590257512422198</v>
      </c>
      <c r="AQ65" s="1276"/>
      <c r="AR65" s="1276"/>
      <c r="AS65" s="1276"/>
      <c r="AT65" s="1276"/>
      <c r="AU65" s="2924">
        <f ca="1">OFFSET('Q1'!$N88,0,(COLUMN()-12)*4/5)</f>
        <v>2.6014026792750258</v>
      </c>
      <c r="AV65" s="1276"/>
      <c r="AW65" s="1276"/>
      <c r="AX65" s="1276"/>
      <c r="AY65" s="1276"/>
      <c r="AZ65" s="2924">
        <f ca="1">OFFSET('Q1'!$N88,0,(COLUMN()-12)*4/5)</f>
        <v>4.9939332347064891</v>
      </c>
      <c r="BA65" s="1276"/>
      <c r="BB65" s="1276"/>
      <c r="BC65" s="1276"/>
      <c r="BD65" s="1276"/>
      <c r="BE65" s="2924">
        <f ca="1">OFFSET('Q1'!$N88,0,(COLUMN()-12)*4/5)</f>
        <v>5.1379724884556452</v>
      </c>
      <c r="BF65" s="1276"/>
      <c r="BG65" s="1276"/>
      <c r="BH65" s="1276"/>
      <c r="BI65" s="1276"/>
      <c r="BJ65" s="2924">
        <f ca="1">OFFSET('Q1'!$N88,0,(COLUMN()-12)*4/5)</f>
        <v>9.5961847701393879</v>
      </c>
      <c r="BK65" s="1276"/>
      <c r="BL65" s="1276"/>
      <c r="BM65" s="1276"/>
      <c r="BN65" s="1276"/>
      <c r="BO65" s="2924">
        <f ca="1">OFFSET('Q1'!$N88,0,(COLUMN()-12)*4/5)</f>
        <v>8.2869390597122674</v>
      </c>
      <c r="BP65" s="1276"/>
      <c r="BQ65" s="1276"/>
      <c r="BR65" s="1276"/>
      <c r="BS65" s="1276"/>
      <c r="BT65" s="2924">
        <f ca="1">OFFSET('Q1'!$N88,0,(COLUMN()-12)*4/5)</f>
        <v>0.31504403569661577</v>
      </c>
      <c r="BU65" s="1276"/>
      <c r="BV65" s="1276"/>
      <c r="BW65" s="1276"/>
      <c r="BX65" s="1276"/>
      <c r="BY65" s="2924">
        <f ca="1">OFFSET('Q1'!$N88,0,(COLUMN()-12)*4/5)</f>
        <v>-13.303776580214063</v>
      </c>
      <c r="BZ65" s="1276"/>
      <c r="CA65" s="1276"/>
      <c r="CB65" s="1276"/>
      <c r="CC65" s="1276"/>
      <c r="CD65" s="2924">
        <f ca="1">OFFSET('Q1'!$N88,0,(COLUMN()-12)*4/5)</f>
        <v>5.5840856612322085</v>
      </c>
      <c r="CE65" s="1276"/>
      <c r="CF65" s="1276"/>
      <c r="CG65" s="1276"/>
      <c r="CH65" s="1276"/>
      <c r="CI65" s="2924">
        <f ca="1">OFFSET('Q1'!$N88,0,(COLUMN()-12)*4/5)</f>
        <v>5.8946178892932437</v>
      </c>
      <c r="CJ65" s="1276"/>
      <c r="CK65" s="1276"/>
      <c r="CL65" s="1276"/>
      <c r="CM65" s="1276"/>
      <c r="CN65" s="2924">
        <f ca="1">OFFSET('Q1'!$N88,0,(COLUMN()-12)*4/5)</f>
        <v>0.16722260828443325</v>
      </c>
      <c r="CO65" s="1276"/>
      <c r="CP65" s="1276"/>
      <c r="CQ65" s="1276"/>
      <c r="CR65" s="1276"/>
      <c r="CS65" s="2924">
        <f ca="1">OFFSET('Q1'!$N88,0,(COLUMN()-12)*4/5)</f>
        <v>0.60187757200098702</v>
      </c>
      <c r="CT65" s="1276"/>
      <c r="CU65" s="1276"/>
      <c r="CV65" s="1276"/>
      <c r="CW65" s="1276"/>
      <c r="CX65" s="2961">
        <f ca="1">OFFSET('Q1'!$N88,0,(COLUMN()-12)*4/5)</f>
        <v>5.5629392498722154</v>
      </c>
      <c r="CY65" s="1276"/>
      <c r="CZ65" s="1276"/>
      <c r="DA65" s="1276"/>
      <c r="DB65" s="1276"/>
      <c r="DC65" s="2961">
        <f ca="1">OFFSET('Q1'!$N88,0,(COLUMN()-12)*4/5)</f>
        <v>6.2856315046943507</v>
      </c>
      <c r="DD65" s="1276"/>
      <c r="DE65" s="1276"/>
      <c r="DF65" s="1276"/>
      <c r="DG65" s="1276"/>
      <c r="DH65" s="2961">
        <f ca="1">OFFSET('Q1'!$N88,0,(COLUMN()-12)*4/5)</f>
        <v>3.9015465407336052</v>
      </c>
      <c r="DI65" s="1276"/>
      <c r="DJ65" s="1276"/>
      <c r="DK65" s="1276"/>
      <c r="DL65" s="1276"/>
      <c r="DM65" s="2961">
        <f ca="1">OFFSET('Q1'!$N88,0,(COLUMN()-12)*4/5)</f>
        <v>6.4795398591801785</v>
      </c>
      <c r="DN65" s="1276"/>
      <c r="DO65" s="1276"/>
      <c r="DP65" s="1276"/>
      <c r="DQ65" s="1276"/>
      <c r="DR65" s="2961">
        <f ca="1">OFFSET('Q1'!$N88,0,(COLUMN()-12)*4/5)</f>
        <v>3.5478624532955934</v>
      </c>
      <c r="DS65" s="1276"/>
      <c r="DT65" s="1276"/>
      <c r="DU65" s="1276"/>
      <c r="DV65" s="1276"/>
      <c r="DW65" s="2961">
        <f ca="1">OFFSET('Q1'!$N88,0,(COLUMN()-12)*4/5)</f>
        <v>2.0063642519841665</v>
      </c>
      <c r="DX65" s="1276"/>
      <c r="DY65" s="1276"/>
      <c r="DZ65" s="1276"/>
      <c r="EA65" s="1276"/>
      <c r="EB65" s="2961">
        <f ca="1">OFFSET('Q1'!$N88,0,(COLUMN()-12)*4/5)</f>
        <v>2.1286989680045139</v>
      </c>
      <c r="EC65" s="1276"/>
      <c r="ED65" s="1276"/>
      <c r="EE65" s="1276"/>
      <c r="EF65" s="1276"/>
    </row>
    <row r="66" spans="1:136">
      <c r="CK66" s="1492">
        <f ca="1">AVERAGE(CK103,CK41)</f>
        <v>0.56765428429425935</v>
      </c>
      <c r="CP66" s="1492">
        <f ca="1">AVERAGE(CP103,CP41)</f>
        <v>-8.7845898106319709E-2</v>
      </c>
      <c r="CU66" s="1492">
        <f ca="1">AVERAGE(CU103,CU41)</f>
        <v>-1.1611689811120076</v>
      </c>
      <c r="CZ66" s="1492">
        <f ca="1">AVERAGE(CZ103,CZ41)</f>
        <v>1.0124423438248153</v>
      </c>
      <c r="DD66" t="s">
        <v>2554</v>
      </c>
      <c r="DE66" s="1492">
        <f ca="1">AVERAGE(DE103,DE41)</f>
        <v>0.99933488804848425</v>
      </c>
      <c r="DG66" t="s">
        <v>2457</v>
      </c>
      <c r="DH66">
        <v>8.1999999999999993</v>
      </c>
      <c r="DI66" t="s">
        <v>2554</v>
      </c>
      <c r="DJ66" s="1492">
        <f ca="1">0.7*DJ41+0.3*DJ103</f>
        <v>0.29942545198096165</v>
      </c>
      <c r="DK66" s="3308" t="s">
        <v>2555</v>
      </c>
      <c r="DL66" s="1492">
        <f ca="1">DK64+8</f>
        <v>1057.8009999999999</v>
      </c>
      <c r="DM66">
        <v>8.9</v>
      </c>
      <c r="DN66" t="s">
        <v>2554</v>
      </c>
      <c r="DO66" s="1492">
        <f ca="1">AVERAGE(DO103,DO41)</f>
        <v>2.8733690462620096</v>
      </c>
      <c r="DP66" s="3308"/>
      <c r="DR66">
        <v>6.5</v>
      </c>
      <c r="DS66" t="s">
        <v>2554</v>
      </c>
      <c r="DT66" s="1492">
        <f ca="1">AVERAGE(DT103,DT41)</f>
        <v>4.0984236716893676</v>
      </c>
      <c r="DX66" t="s">
        <v>2554</v>
      </c>
      <c r="DY66" s="1492">
        <f ca="1">AVERAGE(DY103,DY41)</f>
        <v>2.3690305232163311</v>
      </c>
      <c r="EC66" t="s">
        <v>2554</v>
      </c>
      <c r="ED66" s="1492">
        <f ca="1">AVERAGE(ED103,ED41)</f>
        <v>1.4972361373667837</v>
      </c>
    </row>
    <row r="67" spans="1:136">
      <c r="CK67" s="1492">
        <f ca="1">0.8*CK41+0.2*CK103</f>
        <v>1.0457832498792456</v>
      </c>
      <c r="CP67" s="1492">
        <f ca="1">0.8*CP41+0.2*CP103</f>
        <v>0.52754067499559487</v>
      </c>
      <c r="CU67" s="1492">
        <f ca="1">0.8*CU41+0.2*CU103</f>
        <v>-0.19993162839195977</v>
      </c>
      <c r="CZ67" s="3310">
        <f ca="1">DA67*CZ102+(1-DA67)*CZ41</f>
        <v>0.49069655734718409</v>
      </c>
      <c r="DA67" s="3601">
        <f ca="1">DA102/DA17</f>
        <v>0.28242176646345712</v>
      </c>
      <c r="DE67" s="3310">
        <f ca="1">DF67*DE102+(1-DF67)*DE41</f>
        <v>0.49014549218372272</v>
      </c>
      <c r="DF67" s="3601">
        <f ca="1">DF102/DF17</f>
        <v>0.27905367147259946</v>
      </c>
      <c r="DG67" t="s">
        <v>2456</v>
      </c>
      <c r="DH67">
        <v>5.3</v>
      </c>
      <c r="DJ67" s="3310">
        <f ca="1">DK67*DJ102+(1-DK67)*DJ41</f>
        <v>0.20130148705037354</v>
      </c>
      <c r="DK67" s="3601">
        <f ca="1">DK102/DK17</f>
        <v>0.2766929267081929</v>
      </c>
      <c r="DL67" s="1439">
        <f ca="1">DL66/DK64-1</f>
        <v>7.6204918836999536E-3</v>
      </c>
      <c r="DM67">
        <v>6.5</v>
      </c>
      <c r="DP67" s="3308">
        <f ca="1">DP103/DP17</f>
        <v>0.41660189490967148</v>
      </c>
      <c r="DR67">
        <v>3</v>
      </c>
    </row>
    <row r="68" spans="1:136">
      <c r="D68" s="3812"/>
      <c r="E68" s="3805" t="s">
        <v>1745</v>
      </c>
      <c r="F68" s="3806"/>
      <c r="G68" s="3809">
        <f>+InputY!$G$3</f>
        <v>1995</v>
      </c>
      <c r="H68" s="3791"/>
      <c r="I68" s="3791"/>
      <c r="J68" s="3791"/>
      <c r="K68" s="3791"/>
      <c r="L68" s="3791">
        <f>+G68+1</f>
        <v>1996</v>
      </c>
      <c r="M68" s="3791"/>
      <c r="N68" s="3791"/>
      <c r="O68" s="3791"/>
      <c r="P68" s="3791"/>
      <c r="Q68" s="3791">
        <f>+L68+1</f>
        <v>1997</v>
      </c>
      <c r="R68" s="3791"/>
      <c r="S68" s="3791"/>
      <c r="T68" s="3791"/>
      <c r="U68" s="3791"/>
      <c r="V68" s="3791">
        <f>+Q68+1</f>
        <v>1998</v>
      </c>
      <c r="W68" s="3791"/>
      <c r="X68" s="3791"/>
      <c r="Y68" s="3791"/>
      <c r="Z68" s="3791"/>
      <c r="AA68" s="3791">
        <f>+V68+1</f>
        <v>1999</v>
      </c>
      <c r="AB68" s="3791"/>
      <c r="AC68" s="3791"/>
      <c r="AD68" s="3791"/>
      <c r="AE68" s="3791"/>
      <c r="AF68" s="3791">
        <f>+AA68+1</f>
        <v>2000</v>
      </c>
      <c r="AG68" s="3791"/>
      <c r="AH68" s="3791"/>
      <c r="AI68" s="3791"/>
      <c r="AJ68" s="3791"/>
      <c r="AK68" s="3791">
        <f>+AF68+1</f>
        <v>2001</v>
      </c>
      <c r="AL68" s="3791"/>
      <c r="AM68" s="3791"/>
      <c r="AN68" s="3791"/>
      <c r="AO68" s="3791"/>
      <c r="AP68" s="3791">
        <f>+AK68+1</f>
        <v>2002</v>
      </c>
      <c r="AQ68" s="3791"/>
      <c r="AR68" s="3791"/>
      <c r="AS68" s="3791"/>
      <c r="AT68" s="3791"/>
      <c r="AU68" s="3791">
        <f>+AP68+1</f>
        <v>2003</v>
      </c>
      <c r="AV68" s="3791"/>
      <c r="AW68" s="3791"/>
      <c r="AX68" s="3791"/>
      <c r="AY68" s="3791"/>
      <c r="AZ68" s="3791">
        <f>+AU68+1</f>
        <v>2004</v>
      </c>
      <c r="BA68" s="3791"/>
      <c r="BB68" s="3791"/>
      <c r="BC68" s="3791"/>
      <c r="BD68" s="3791"/>
      <c r="BE68" s="3791">
        <f>+AZ68+1</f>
        <v>2005</v>
      </c>
      <c r="BF68" s="3791"/>
      <c r="BG68" s="3791"/>
      <c r="BH68" s="3791"/>
      <c r="BI68" s="3791"/>
      <c r="BJ68" s="3802">
        <f>+BE68+1</f>
        <v>2006</v>
      </c>
      <c r="BK68" s="3803"/>
      <c r="BL68" s="3803"/>
      <c r="BM68" s="3803"/>
      <c r="BN68" s="3804"/>
      <c r="BO68" s="3802">
        <f>+BJ68+1</f>
        <v>2007</v>
      </c>
      <c r="BP68" s="3803"/>
      <c r="BQ68" s="3803"/>
      <c r="BR68" s="3803"/>
      <c r="BS68" s="3804"/>
      <c r="BT68" s="3802">
        <f>+BO68+1</f>
        <v>2008</v>
      </c>
      <c r="BU68" s="3803"/>
      <c r="BV68" s="3803"/>
      <c r="BW68" s="3803"/>
      <c r="BX68" s="3804"/>
      <c r="BY68" s="3802">
        <f>+BT68+1</f>
        <v>2009</v>
      </c>
      <c r="BZ68" s="3803"/>
      <c r="CA68" s="3803"/>
      <c r="CB68" s="3803"/>
      <c r="CC68" s="3804"/>
      <c r="CD68" s="3802">
        <f>+BY68+1</f>
        <v>2010</v>
      </c>
      <c r="CE68" s="3803"/>
      <c r="CF68" s="3803"/>
      <c r="CG68" s="3803"/>
      <c r="CH68" s="3804"/>
      <c r="CI68" s="3802">
        <f>+CD68+1</f>
        <v>2011</v>
      </c>
      <c r="CJ68" s="3803"/>
      <c r="CK68" s="3803"/>
      <c r="CL68" s="3803"/>
      <c r="CM68" s="3804"/>
      <c r="CN68" s="3791">
        <f>+CI68+1</f>
        <v>2012</v>
      </c>
      <c r="CO68" s="3791"/>
      <c r="CP68" s="3791"/>
      <c r="CQ68" s="3791"/>
      <c r="CR68" s="3791"/>
      <c r="CS68" s="3791">
        <f>+CN68+1</f>
        <v>2013</v>
      </c>
      <c r="CT68" s="3791"/>
      <c r="CU68" s="3791"/>
      <c r="CV68" s="3791"/>
      <c r="CW68" s="3791"/>
      <c r="CX68" s="3802">
        <f>+CS68+1</f>
        <v>2014</v>
      </c>
      <c r="CY68" s="3803"/>
      <c r="CZ68" s="3803"/>
      <c r="DA68" s="3803"/>
      <c r="DB68" s="3804"/>
      <c r="DC68" s="3802">
        <f>+CX68+1</f>
        <v>2015</v>
      </c>
      <c r="DD68" s="3803"/>
      <c r="DE68" s="3803"/>
      <c r="DF68" s="3803"/>
      <c r="DG68" s="3804"/>
      <c r="DH68" s="3802">
        <f>+DC68+1</f>
        <v>2016</v>
      </c>
      <c r="DI68" s="3803"/>
      <c r="DJ68" s="3803"/>
      <c r="DK68" s="3803"/>
      <c r="DL68" s="3804"/>
      <c r="DM68" s="3791">
        <f>+DH68+1</f>
        <v>2017</v>
      </c>
      <c r="DN68" s="3791"/>
      <c r="DO68" s="3791"/>
      <c r="DP68" s="3791"/>
      <c r="DQ68" s="3791"/>
      <c r="DR68" s="3791">
        <f>+DM68+1</f>
        <v>2018</v>
      </c>
      <c r="DS68" s="3791"/>
      <c r="DT68" s="3791"/>
      <c r="DU68" s="3791"/>
      <c r="DV68" s="3791"/>
      <c r="DW68" s="3791">
        <f>+DR68+1</f>
        <v>2019</v>
      </c>
      <c r="DX68" s="3791"/>
      <c r="DY68" s="3791"/>
      <c r="DZ68" s="3791"/>
      <c r="EA68" s="3791"/>
      <c r="EB68" s="3791">
        <f>+DW68+1</f>
        <v>2020</v>
      </c>
      <c r="EC68" s="3791"/>
      <c r="ED68" s="3791"/>
      <c r="EE68" s="3791"/>
      <c r="EF68" s="3791"/>
    </row>
    <row r="69" spans="1:136">
      <c r="C69" s="3"/>
      <c r="D69" s="3813"/>
      <c r="E69" s="3807" t="s">
        <v>1745</v>
      </c>
      <c r="F69" s="3808"/>
      <c r="G69" s="1300" t="s">
        <v>396</v>
      </c>
      <c r="H69" s="1297" t="s">
        <v>1774</v>
      </c>
      <c r="I69" s="1296" t="s">
        <v>1249</v>
      </c>
      <c r="J69" s="1297" t="s">
        <v>1772</v>
      </c>
      <c r="K69" s="1296" t="s">
        <v>1250</v>
      </c>
      <c r="L69" s="1296" t="s">
        <v>396</v>
      </c>
      <c r="M69" s="1297" t="s">
        <v>1774</v>
      </c>
      <c r="N69" s="1296" t="s">
        <v>1249</v>
      </c>
      <c r="O69" s="1297" t="s">
        <v>1772</v>
      </c>
      <c r="P69" s="1296" t="s">
        <v>1250</v>
      </c>
      <c r="Q69" s="1296" t="s">
        <v>396</v>
      </c>
      <c r="R69" s="1297" t="s">
        <v>1774</v>
      </c>
      <c r="S69" s="1296" t="s">
        <v>1249</v>
      </c>
      <c r="T69" s="1297" t="s">
        <v>1772</v>
      </c>
      <c r="U69" s="1296" t="s">
        <v>1250</v>
      </c>
      <c r="V69" s="1296" t="s">
        <v>396</v>
      </c>
      <c r="W69" s="1297" t="s">
        <v>1774</v>
      </c>
      <c r="X69" s="1296" t="s">
        <v>1249</v>
      </c>
      <c r="Y69" s="1297" t="s">
        <v>1772</v>
      </c>
      <c r="Z69" s="1296" t="s">
        <v>1250</v>
      </c>
      <c r="AA69" s="1296" t="s">
        <v>396</v>
      </c>
      <c r="AB69" s="1297" t="s">
        <v>1774</v>
      </c>
      <c r="AC69" s="1296" t="s">
        <v>1249</v>
      </c>
      <c r="AD69" s="1297" t="s">
        <v>1772</v>
      </c>
      <c r="AE69" s="1296" t="s">
        <v>1250</v>
      </c>
      <c r="AF69" s="1296" t="s">
        <v>396</v>
      </c>
      <c r="AG69" s="1297" t="s">
        <v>1774</v>
      </c>
      <c r="AH69" s="1296" t="s">
        <v>1249</v>
      </c>
      <c r="AI69" s="1297" t="s">
        <v>1772</v>
      </c>
      <c r="AJ69" s="1296" t="s">
        <v>1250</v>
      </c>
      <c r="AK69" s="1296" t="s">
        <v>396</v>
      </c>
      <c r="AL69" s="1297" t="s">
        <v>1774</v>
      </c>
      <c r="AM69" s="1296" t="s">
        <v>1249</v>
      </c>
      <c r="AN69" s="1297" t="s">
        <v>1772</v>
      </c>
      <c r="AO69" s="1296" t="s">
        <v>1250</v>
      </c>
      <c r="AP69" s="1296" t="s">
        <v>396</v>
      </c>
      <c r="AQ69" s="1297" t="s">
        <v>1774</v>
      </c>
      <c r="AR69" s="1296" t="s">
        <v>1249</v>
      </c>
      <c r="AS69" s="1297" t="s">
        <v>1772</v>
      </c>
      <c r="AT69" s="1296" t="s">
        <v>1250</v>
      </c>
      <c r="AU69" s="1296" t="s">
        <v>396</v>
      </c>
      <c r="AV69" s="1297" t="s">
        <v>1774</v>
      </c>
      <c r="AW69" s="1296" t="s">
        <v>1249</v>
      </c>
      <c r="AX69" s="1297" t="s">
        <v>1772</v>
      </c>
      <c r="AY69" s="1296" t="s">
        <v>1250</v>
      </c>
      <c r="AZ69" s="1296" t="s">
        <v>396</v>
      </c>
      <c r="BA69" s="1297" t="s">
        <v>1774</v>
      </c>
      <c r="BB69" s="1296" t="s">
        <v>1249</v>
      </c>
      <c r="BC69" s="1297" t="s">
        <v>1772</v>
      </c>
      <c r="BD69" s="1296" t="s">
        <v>1250</v>
      </c>
      <c r="BE69" s="1296" t="s">
        <v>396</v>
      </c>
      <c r="BF69" s="1297" t="s">
        <v>1774</v>
      </c>
      <c r="BG69" s="1296" t="s">
        <v>1249</v>
      </c>
      <c r="BH69" s="1297" t="s">
        <v>1772</v>
      </c>
      <c r="BI69" s="1296" t="s">
        <v>1250</v>
      </c>
      <c r="BJ69" s="1296" t="s">
        <v>396</v>
      </c>
      <c r="BK69" s="1297" t="s">
        <v>1774</v>
      </c>
      <c r="BL69" s="1296" t="s">
        <v>1249</v>
      </c>
      <c r="BM69" s="1297" t="s">
        <v>1772</v>
      </c>
      <c r="BN69" s="1296" t="s">
        <v>1250</v>
      </c>
      <c r="BO69" s="1296" t="s">
        <v>396</v>
      </c>
      <c r="BP69" s="1297" t="s">
        <v>1774</v>
      </c>
      <c r="BQ69" s="1296" t="s">
        <v>1249</v>
      </c>
      <c r="BR69" s="1297" t="s">
        <v>1772</v>
      </c>
      <c r="BS69" s="1296" t="s">
        <v>1250</v>
      </c>
      <c r="BT69" s="1296" t="s">
        <v>396</v>
      </c>
      <c r="BU69" s="1297" t="s">
        <v>1774</v>
      </c>
      <c r="BV69" s="1296" t="s">
        <v>1249</v>
      </c>
      <c r="BW69" s="1297" t="s">
        <v>1772</v>
      </c>
      <c r="BX69" s="1296" t="s">
        <v>1250</v>
      </c>
      <c r="BY69" s="1296" t="s">
        <v>396</v>
      </c>
      <c r="BZ69" s="1297" t="s">
        <v>1774</v>
      </c>
      <c r="CA69" s="1296" t="s">
        <v>1249</v>
      </c>
      <c r="CB69" s="1297" t="s">
        <v>1772</v>
      </c>
      <c r="CC69" s="1296" t="s">
        <v>1250</v>
      </c>
      <c r="CD69" s="1296" t="s">
        <v>396</v>
      </c>
      <c r="CE69" s="1297" t="s">
        <v>1774</v>
      </c>
      <c r="CF69" s="1296" t="s">
        <v>1249</v>
      </c>
      <c r="CG69" s="1297" t="s">
        <v>1772</v>
      </c>
      <c r="CH69" s="1296" t="s">
        <v>1250</v>
      </c>
      <c r="CI69" s="1296" t="s">
        <v>396</v>
      </c>
      <c r="CJ69" s="1297" t="s">
        <v>1774</v>
      </c>
      <c r="CK69" s="1296" t="s">
        <v>1249</v>
      </c>
      <c r="CL69" s="1297" t="s">
        <v>1772</v>
      </c>
      <c r="CM69" s="1296" t="s">
        <v>1250</v>
      </c>
      <c r="CN69" s="1296" t="s">
        <v>396</v>
      </c>
      <c r="CO69" s="1297" t="s">
        <v>1774</v>
      </c>
      <c r="CP69" s="1296" t="s">
        <v>1249</v>
      </c>
      <c r="CQ69" s="1297" t="s">
        <v>1772</v>
      </c>
      <c r="CR69" s="1296" t="s">
        <v>1250</v>
      </c>
      <c r="CS69" s="1296" t="s">
        <v>396</v>
      </c>
      <c r="CT69" s="1297" t="s">
        <v>1774</v>
      </c>
      <c r="CU69" s="1296" t="s">
        <v>1249</v>
      </c>
      <c r="CV69" s="1297" t="s">
        <v>1772</v>
      </c>
      <c r="CW69" s="1296" t="s">
        <v>1250</v>
      </c>
      <c r="CX69" s="1296" t="s">
        <v>396</v>
      </c>
      <c r="CY69" s="1297" t="s">
        <v>1774</v>
      </c>
      <c r="CZ69" s="1296" t="s">
        <v>1249</v>
      </c>
      <c r="DA69" s="1297" t="s">
        <v>1772</v>
      </c>
      <c r="DB69" s="1296" t="s">
        <v>1250</v>
      </c>
      <c r="DC69" s="1296" t="s">
        <v>396</v>
      </c>
      <c r="DD69" s="1297" t="s">
        <v>1774</v>
      </c>
      <c r="DE69" s="1296" t="s">
        <v>1249</v>
      </c>
      <c r="DF69" s="1297" t="s">
        <v>1772</v>
      </c>
      <c r="DG69" s="1296" t="s">
        <v>1250</v>
      </c>
      <c r="DH69" s="1296" t="s">
        <v>396</v>
      </c>
      <c r="DI69" s="1297" t="s">
        <v>1774</v>
      </c>
      <c r="DJ69" s="1296" t="s">
        <v>1249</v>
      </c>
      <c r="DK69" s="1297" t="s">
        <v>1772</v>
      </c>
      <c r="DL69" s="1296" t="s">
        <v>1250</v>
      </c>
      <c r="DM69" s="1296" t="s">
        <v>396</v>
      </c>
      <c r="DN69" s="1297" t="s">
        <v>1774</v>
      </c>
      <c r="DO69" s="1296" t="s">
        <v>1249</v>
      </c>
      <c r="DP69" s="1297" t="s">
        <v>1772</v>
      </c>
      <c r="DQ69" s="1296" t="s">
        <v>1250</v>
      </c>
      <c r="DR69" s="1296" t="s">
        <v>396</v>
      </c>
      <c r="DS69" s="1297" t="s">
        <v>1774</v>
      </c>
      <c r="DT69" s="1296" t="s">
        <v>1249</v>
      </c>
      <c r="DU69" s="1297" t="s">
        <v>1772</v>
      </c>
      <c r="DV69" s="1296" t="s">
        <v>1250</v>
      </c>
      <c r="DW69" s="1296" t="s">
        <v>396</v>
      </c>
      <c r="DX69" s="1297" t="s">
        <v>1774</v>
      </c>
      <c r="DY69" s="1296" t="s">
        <v>1249</v>
      </c>
      <c r="DZ69" s="1297" t="s">
        <v>1772</v>
      </c>
      <c r="EA69" s="1296" t="s">
        <v>1250</v>
      </c>
      <c r="EB69" s="1296" t="s">
        <v>396</v>
      </c>
      <c r="EC69" s="1297" t="s">
        <v>1774</v>
      </c>
      <c r="ED69" s="1296" t="s">
        <v>1249</v>
      </c>
      <c r="EE69" s="1297" t="s">
        <v>1772</v>
      </c>
      <c r="EF69" s="1296" t="s">
        <v>1250</v>
      </c>
    </row>
    <row r="70" spans="1:136" s="1341" customFormat="1">
      <c r="A70" s="1506"/>
      <c r="C70" s="1342" t="s">
        <v>1791</v>
      </c>
      <c r="D70" s="1343" t="s">
        <v>666</v>
      </c>
      <c r="E70" s="1343" t="s">
        <v>1341</v>
      </c>
      <c r="F70" s="1344" t="s">
        <v>112</v>
      </c>
      <c r="G70" s="1281"/>
      <c r="H70" s="1282"/>
      <c r="I70" s="1283"/>
      <c r="J70" s="1272">
        <f ca="1">OFFSET('VVP2'!$G$229,0,(COLUMN()-6)/5)</f>
        <v>96.528000000000006</v>
      </c>
      <c r="K70" s="1284"/>
      <c r="L70" s="1345">
        <f ca="1">OFFSET('VVP2'!$G$48,0,(COLUMN()-7)/5)</f>
        <v>-0.34518295326937398</v>
      </c>
      <c r="M70" s="1272">
        <f ca="1">+J70*(1+L70/100)</f>
        <v>96.194801798868141</v>
      </c>
      <c r="N70" s="1345">
        <f ca="1">+O70/M70*100-100</f>
        <v>-0.79193655438987776</v>
      </c>
      <c r="O70" s="1272">
        <f ca="1">OFFSET('VVP2'!$G$229,0,(COLUMN()-6)/5)</f>
        <v>95.433000000000007</v>
      </c>
      <c r="P70" s="1265">
        <f ca="1">(O70/J70-1)*100</f>
        <v>-1.1343858776727944</v>
      </c>
      <c r="Q70" s="1345">
        <f ca="1">OFFSET('VVP2'!$G$48,0,(COLUMN()-7)/5)</f>
        <v>-8.3770684998772502</v>
      </c>
      <c r="R70" s="1272">
        <f ca="1">+O70*(1+Q70/100)</f>
        <v>87.438512218512145</v>
      </c>
      <c r="S70" s="1345">
        <f ca="1">+T70/R70*100-100</f>
        <v>0.5815375497436861</v>
      </c>
      <c r="T70" s="1272">
        <f ca="1">OFFSET('VVP2'!$G$229,0,(COLUMN()-6)/5)</f>
        <v>87.947000000000003</v>
      </c>
      <c r="U70" s="1265">
        <f ca="1">(T70/O70-1)*100</f>
        <v>-7.844246749028116</v>
      </c>
      <c r="V70" s="1345">
        <f ca="1">OFFSET('VVP2'!$G$48,0,(COLUMN()-7)/5)</f>
        <v>3.7225860202629413</v>
      </c>
      <c r="W70" s="1272">
        <f ca="1">+T70*(1+V70/100)</f>
        <v>91.220902727240656</v>
      </c>
      <c r="X70" s="1345">
        <f ca="1">+Y70/W70*100-100</f>
        <v>0.89463845276729614</v>
      </c>
      <c r="Y70" s="1272">
        <f ca="1">OFFSET('VVP2'!$G$229,0,(COLUMN()-6)/5)</f>
        <v>92.037000000000006</v>
      </c>
      <c r="Z70" s="1265">
        <f ca="1">(Y70/T70-1)*100</f>
        <v>4.650528159004863</v>
      </c>
      <c r="AA70" s="1345">
        <f ca="1">OFFSET('VVP2'!$G$48,0,(COLUMN()-7)/5)</f>
        <v>3.8215006581834077</v>
      </c>
      <c r="AB70" s="1272">
        <f ca="1">+Y70*(1+AA70/100)</f>
        <v>95.554194560772274</v>
      </c>
      <c r="AC70" s="1345">
        <f ca="1">+AD70/AB70*100-100</f>
        <v>1.7935428654968604</v>
      </c>
      <c r="AD70" s="1272">
        <f ca="1">OFFSET('VVP2'!$G$229,0,(COLUMN()-6)/5)</f>
        <v>97.268000000000001</v>
      </c>
      <c r="AE70" s="1265">
        <f ca="1">(AD70/Y70-1)*100</f>
        <v>5.6835837760900398</v>
      </c>
      <c r="AF70" s="1345">
        <f ca="1">OFFSET('VVP2'!$G$48,0,(COLUMN()-7)/5)</f>
        <v>-7.6988157894737004</v>
      </c>
      <c r="AG70" s="1272">
        <f ca="1">+AD70*(1+AF70/100)</f>
        <v>89.779515857894722</v>
      </c>
      <c r="AH70" s="1345">
        <f ca="1">+AI70/AG70*100-100</f>
        <v>4.3322623261431374</v>
      </c>
      <c r="AI70" s="1272">
        <f ca="1">OFFSET('VVP2'!$G$229,0,(COLUMN()-6)/5)</f>
        <v>93.668999999999997</v>
      </c>
      <c r="AJ70" s="1265">
        <f ca="1">(AI70/AD70-1)*100</f>
        <v>-3.7000863593370958</v>
      </c>
      <c r="AK70" s="1345">
        <f ca="1">OFFSET('VVP2'!$G$48,0,(COLUMN()-7)/5)</f>
        <v>6.2212014414577688</v>
      </c>
      <c r="AL70" s="1272">
        <f ca="1">+AI70*(1+AK70/100)</f>
        <v>99.49633717819907</v>
      </c>
      <c r="AM70" s="1345">
        <f ca="1">+AN70/AL70*100-100</f>
        <v>3.47818112701259</v>
      </c>
      <c r="AN70" s="1272">
        <f ca="1">OFFSET('VVP2'!$G$229,0,(COLUMN()-6)/5)</f>
        <v>102.95699999999999</v>
      </c>
      <c r="AO70" s="1265">
        <f ca="1">(AN70/AI70-1)*100</f>
        <v>9.915767222880568</v>
      </c>
      <c r="AP70" s="1345">
        <f ca="1">OFFSET('VVP2'!$G$48,0,(COLUMN()-7)/5)</f>
        <v>6.3467519022723851</v>
      </c>
      <c r="AQ70" s="1272">
        <f ca="1">+AN70*(1+AP70/100)</f>
        <v>109.49142535602257</v>
      </c>
      <c r="AR70" s="1345">
        <f ca="1">+AS70/AQ70*100-100</f>
        <v>2.0399539385981313</v>
      </c>
      <c r="AS70" s="1272">
        <f ca="1">OFFSET('VVP2'!$G$229,0,(COLUMN()-6)/5)</f>
        <v>111.72499999999999</v>
      </c>
      <c r="AT70" s="1265">
        <f ca="1">(AS70/AN70-1)*100</f>
        <v>8.5161766562739771</v>
      </c>
      <c r="AU70" s="1345">
        <f ca="1">OFFSET('VVP2'!$G$48,0,(COLUMN()-7)/5)</f>
        <v>-0.6186362519607691</v>
      </c>
      <c r="AV70" s="1272">
        <f ca="1">+AS70*(1+AU70/100)</f>
        <v>111.03382864749682</v>
      </c>
      <c r="AW70" s="1345">
        <f ca="1">+AX70/AV70*100-100</f>
        <v>1.2808450990357159</v>
      </c>
      <c r="AX70" s="1272">
        <f ca="1">OFFSET('VVP2'!$G$229,0,(COLUMN()-6)/5)</f>
        <v>112.456</v>
      </c>
      <c r="AY70" s="1265">
        <f ca="1">(AX70/AS70-1)*100</f>
        <v>0.65428507496085864</v>
      </c>
      <c r="AZ70" s="1345">
        <f ca="1">OFFSET('VVP2'!$G$48,0,(COLUMN()-7)/5)</f>
        <v>0.41772985755306191</v>
      </c>
      <c r="BA70" s="1272">
        <f ca="1">+AX70*(1+AZ70/100)</f>
        <v>112.92576228860987</v>
      </c>
      <c r="BB70" s="1345">
        <f ca="1">+BC70/BA70*100-100</f>
        <v>2.0094951456608499</v>
      </c>
      <c r="BC70" s="1272">
        <f ca="1">OFFSET('VVP2'!$G$229,0,(COLUMN()-6)/5)</f>
        <v>115.19499999999999</v>
      </c>
      <c r="BD70" s="1265">
        <f ca="1">(BC70/AX70-1)*100</f>
        <v>2.4356192644234165</v>
      </c>
      <c r="BE70" s="1345">
        <f ca="1">OFFSET('VVP2'!$G$48,0,(COLUMN()-7)/5)</f>
        <v>0.97613460689045528</v>
      </c>
      <c r="BF70" s="1272">
        <f ca="1">+BC70*(1+BE70/100)</f>
        <v>116.31945826040746</v>
      </c>
      <c r="BG70" s="1345">
        <f ca="1">+BH70/BF70*100-100</f>
        <v>2.6440475098390266</v>
      </c>
      <c r="BH70" s="1272">
        <f ca="1">OFFSET('VVP2'!$G$229,0,(COLUMN()-6)/5)</f>
        <v>119.395</v>
      </c>
      <c r="BI70" s="1265">
        <f ca="1">(BH70/BC70-1)*100</f>
        <v>3.6459915794956332</v>
      </c>
      <c r="BJ70" s="1345">
        <f ca="1">OFFSET('VVP2'!$G$48,0,(COLUMN()-7)/5)</f>
        <v>5.2520262536661644</v>
      </c>
      <c r="BK70" s="1272">
        <f ca="1">+BH70*(1+BJ70/100)</f>
        <v>125.66565674556472</v>
      </c>
      <c r="BL70" s="1345">
        <f ca="1">+BM70/BK70*100-100</f>
        <v>1.8193859115099684</v>
      </c>
      <c r="BM70" s="1272">
        <f ca="1">OFFSET('VVP2'!$G$229,0,(COLUMN()-6)/5)</f>
        <v>127.952</v>
      </c>
      <c r="BN70" s="1265">
        <f ca="1">(BM70/BH70-1)*100</f>
        <v>7.166966790904139</v>
      </c>
      <c r="BO70" s="1345">
        <f ca="1">OFFSET('VVP2'!$G$48,0,(COLUMN()-7)/5)</f>
        <v>2.7596514745308331</v>
      </c>
      <c r="BP70" s="1272">
        <f ca="1">+BM70*(1+BO70/100)</f>
        <v>131.4830292546917</v>
      </c>
      <c r="BQ70" s="1345">
        <f ca="1">+BR70/BP70*100-100</f>
        <v>2.7364525792441157</v>
      </c>
      <c r="BR70" s="1272">
        <f ca="1">OFFSET('VVP2'!$G$229,0,(COLUMN()-6)/5)</f>
        <v>135.08099999999999</v>
      </c>
      <c r="BS70" s="1265">
        <f ca="1">(BR70/BM70-1)*100</f>
        <v>5.5716206077278896</v>
      </c>
      <c r="BT70" s="1345">
        <f ca="1">OFFSET('VVP2'!$G$48,0,(COLUMN()-7)/5)</f>
        <v>1.1168210758784713</v>
      </c>
      <c r="BU70" s="1272">
        <f ca="1">+BR70*(1+BT70/100)</f>
        <v>136.58961307750738</v>
      </c>
      <c r="BV70" s="1345">
        <f ca="1">+BW70/BU70*100-100</f>
        <v>5.774514433990646</v>
      </c>
      <c r="BW70" s="1272">
        <f ca="1">OFFSET('VVP2'!$G$229,0,(COLUMN()-6)/5)</f>
        <v>144.477</v>
      </c>
      <c r="BX70" s="1265">
        <f ca="1">(BW70/BR70-1)*100</f>
        <v>6.955826504097562</v>
      </c>
      <c r="BY70" s="1345">
        <f ca="1">OFFSET('VVP2'!$G$48,0,(COLUMN()-7)/5)</f>
        <v>-0.10503894499158672</v>
      </c>
      <c r="BZ70" s="1272">
        <f ca="1">+BW70*(1+BY70/100)</f>
        <v>144.3252428834445</v>
      </c>
      <c r="CA70" s="1345">
        <f ca="1">+CB70/BZ70*100-100</f>
        <v>2.4138238377114192</v>
      </c>
      <c r="CB70" s="1272">
        <f ca="1">OFFSET('VVP2'!$G$229,0,(COLUMN()-6)/5)</f>
        <v>147.809</v>
      </c>
      <c r="CC70" s="1265">
        <f ca="1">(CB70/BW70-1)*100</f>
        <v>2.3062494376267395</v>
      </c>
      <c r="CD70" s="1345">
        <f ca="1">OFFSET('VVP2'!$G$48,0,(COLUMN()-7)/5)</f>
        <v>7.4084215087935057</v>
      </c>
      <c r="CE70" s="1272">
        <f ca="1">+CB70*(1+CD70/100)</f>
        <v>158.75931374793259</v>
      </c>
      <c r="CF70" s="1345">
        <f ca="1">+CG70/CE70*100-100</f>
        <v>8.2947103359543917E-2</v>
      </c>
      <c r="CG70" s="1272">
        <f ca="1">OFFSET('VVP2'!$G$229,0,(COLUMN()-6)/5)</f>
        <v>158.89099999999999</v>
      </c>
      <c r="CH70" s="1265">
        <f ca="1">(CG70/CB70-1)*100</f>
        <v>7.4975136831992639</v>
      </c>
      <c r="CI70" s="1345">
        <f ca="1">OFFSET('VVP2'!$G$48,0,(COLUMN()-7)/5)</f>
        <v>-0.17357544940391767</v>
      </c>
      <c r="CJ70" s="1272">
        <f ca="1">+CG70*(1+CI70/100)</f>
        <v>158.6152042326876</v>
      </c>
      <c r="CK70" s="1345">
        <f ca="1">+CL70/CJ70*100-100</f>
        <v>2.2625799239571336</v>
      </c>
      <c r="CL70" s="1272">
        <f ca="1">OFFSET('VVP2'!$G$229,0,(COLUMN()-6)/5)</f>
        <v>162.20400000000001</v>
      </c>
      <c r="CM70" s="1265">
        <f ca="1">(CL70/CG70-1)*100</f>
        <v>2.0850771912820809</v>
      </c>
      <c r="CN70" s="1345">
        <f ca="1">OFFSET('VVP2'!$G$48,0,(COLUMN()-7)/5)</f>
        <v>1.7547140204513978</v>
      </c>
      <c r="CO70" s="1272">
        <f ca="1">+CL70*(1+CN70/100)</f>
        <v>165.05021632973299</v>
      </c>
      <c r="CP70" s="1345">
        <f ca="1">+CQ70/CO70*100-100</f>
        <v>1.7072280987731006</v>
      </c>
      <c r="CQ70" s="1272">
        <f ca="1">OFFSET('VVP2'!$G$229,0,(COLUMN()-6)/5)</f>
        <v>167.86799999999999</v>
      </c>
      <c r="CR70" s="1265">
        <f ca="1">(CQ70/CL70-1)*100</f>
        <v>3.4918990900347557</v>
      </c>
      <c r="CS70" s="1345">
        <f ca="1">OFFSET('VVP2'!$G$48,0,(COLUMN()-7)/5)</f>
        <v>-0.25857142857141913</v>
      </c>
      <c r="CT70" s="1272">
        <f ca="1">+CQ70*(1+CS70/100)</f>
        <v>167.43394131428573</v>
      </c>
      <c r="CU70" s="1345">
        <f ca="1">+CV70/CT70*100-100</f>
        <v>0.45275090567888299</v>
      </c>
      <c r="CV70" s="1272">
        <f ca="1">OFFSET('VVP2'!$G$229,0,(COLUMN()-6)/5)</f>
        <v>168.19200000000001</v>
      </c>
      <c r="CW70" s="1265">
        <f ca="1">(CV70/CQ70-1)*100</f>
        <v>0.19300879262278414</v>
      </c>
      <c r="CX70" s="1345">
        <f ca="1">OFFSET('VVP2'!$G$48,0,(COLUMN()-7)/5)</f>
        <v>1.6592517790665173</v>
      </c>
      <c r="CY70" s="1272">
        <f ca="1">+CV70*(1+CX70/100)</f>
        <v>170.98272875224757</v>
      </c>
      <c r="CZ70" s="1345">
        <f ca="1">+DA70/CY70*100-100</f>
        <v>1.2716320903399208</v>
      </c>
      <c r="DA70" s="1272">
        <f ca="1">OFFSET('VVP2'!$G$229,0,(COLUMN()-6)/5)</f>
        <v>173.15700000000001</v>
      </c>
      <c r="DB70" s="1265">
        <f ca="1">(DA70/CV70-1)*100</f>
        <v>2.9519834474885931</v>
      </c>
      <c r="DC70" s="1345">
        <f ca="1">OFFSET('VVP2'!$G$48,0,(COLUMN()-7)/5)</f>
        <v>0.33704694601790486</v>
      </c>
      <c r="DD70" s="1272">
        <f ca="1">+DA70*(1+DC70/100)</f>
        <v>173.74062038031624</v>
      </c>
      <c r="DE70" s="1345">
        <f ca="1">+DF70/DD70*100-100</f>
        <v>1.1674757550903507</v>
      </c>
      <c r="DF70" s="1272">
        <f ca="1">OFFSET('VVP2'!$G$229,0,(COLUMN()-6)/5)</f>
        <v>175.76900000000001</v>
      </c>
      <c r="DG70" s="1265">
        <f ca="1">(DF70/DA70-1)*100</f>
        <v>1.508457642486305</v>
      </c>
      <c r="DH70" s="1345">
        <f ca="1">OFFSET('VVP2'!$G$48,0,(COLUMN()-7)/5)</f>
        <v>8.0099480443807778</v>
      </c>
      <c r="DI70" s="1272">
        <f ca="1">+DF70*(1+DH70/100)</f>
        <v>189.84800557812764</v>
      </c>
      <c r="DJ70" s="1345">
        <f ca="1">+DK70/DI70*100-100</f>
        <v>1.5586123293007859</v>
      </c>
      <c r="DK70" s="1272">
        <f ca="1">OFFSET('VVP2'!$G$229,0,(COLUMN()-6)/5)</f>
        <v>192.80699999999999</v>
      </c>
      <c r="DL70" s="1265">
        <f ca="1">(DK70/DF70-1)*100</f>
        <v>9.693404411471862</v>
      </c>
      <c r="DM70" s="1345">
        <f ca="1">OFFSET('VVP2'!$G$48,0,(COLUMN()-7)/5)</f>
        <v>5.4327911883441882</v>
      </c>
      <c r="DN70" s="1272">
        <f ca="1">+DK70*(1+DM70/100)</f>
        <v>203.28180170651078</v>
      </c>
      <c r="DO70" s="1345">
        <f ca="1">+DP70/DN70*100-100</f>
        <v>3.1754924638108832</v>
      </c>
      <c r="DP70" s="1272">
        <f ca="1">OFFSET('VVP2'!$G$229,0,(COLUMN()-6)/5)</f>
        <v>209.73699999999999</v>
      </c>
      <c r="DQ70" s="1265">
        <f ca="1">(DP70/DK70-1)*100</f>
        <v>8.780801526915516</v>
      </c>
      <c r="DR70" s="2306">
        <v>4.0999999999999996</v>
      </c>
      <c r="DS70" s="1272">
        <f ca="1">+DP70*(1+DR70/100)</f>
        <v>218.33621699999998</v>
      </c>
      <c r="DT70" s="2316">
        <v>3.1</v>
      </c>
      <c r="DU70" s="2307">
        <f ca="1">+DS70*(1+DT70/100)</f>
        <v>225.10463972699995</v>
      </c>
      <c r="DV70" s="2315">
        <f ca="1">(DU70/DP70-1)*100</f>
        <v>7.3270999999999864</v>
      </c>
      <c r="DW70" s="2306">
        <v>3.2</v>
      </c>
      <c r="DX70" s="1272">
        <f ca="1">+DU70*(1+DW70/100)</f>
        <v>232.30798819826396</v>
      </c>
      <c r="DY70" s="2316">
        <v>2.1</v>
      </c>
      <c r="DZ70" s="2307">
        <f ca="1">+DX70*(1+DY70/100)</f>
        <v>237.18645595042747</v>
      </c>
      <c r="EA70" s="2315">
        <f ca="1">(DZ70/DU70-1)*100</f>
        <v>5.3671999999999942</v>
      </c>
      <c r="EB70" s="2306">
        <v>2.5</v>
      </c>
      <c r="EC70" s="1272">
        <f ca="1">+DZ70*(1+EB70/100)</f>
        <v>243.11611734918813</v>
      </c>
      <c r="ED70" s="2316">
        <v>1.1000000000000001</v>
      </c>
      <c r="EE70" s="2307">
        <f ca="1">+EC70*(1+ED70/100)</f>
        <v>245.79039464002918</v>
      </c>
      <c r="EF70" s="2315">
        <f ca="1">(EE70/DZ70-1)*100</f>
        <v>3.6274999999999835</v>
      </c>
    </row>
    <row r="71" spans="1:136" s="1341" customFormat="1">
      <c r="A71" s="1506"/>
      <c r="C71" s="1346" t="s">
        <v>1791</v>
      </c>
      <c r="D71" s="1343" t="s">
        <v>664</v>
      </c>
      <c r="E71" s="1343" t="s">
        <v>1341</v>
      </c>
      <c r="F71" s="1344" t="s">
        <v>1750</v>
      </c>
      <c r="G71" s="1285"/>
      <c r="H71" s="1286"/>
      <c r="I71" s="1287"/>
      <c r="J71" s="1276">
        <f ca="1">OFFSET('VVP2'!$G$228,0,(COLUMN()-6)/5)</f>
        <v>29.338000000000001</v>
      </c>
      <c r="K71" s="1289"/>
      <c r="L71" s="1285"/>
      <c r="M71" s="1286"/>
      <c r="N71" s="1287"/>
      <c r="O71" s="1276">
        <f ca="1">OFFSET('VVP2'!$G$228,0,(COLUMN()-6)/5)</f>
        <v>30.954000000000001</v>
      </c>
      <c r="P71" s="1261">
        <f ca="1">(O71/J71-1)*100</f>
        <v>5.5082146022223721</v>
      </c>
      <c r="Q71" s="1285"/>
      <c r="R71" s="1286"/>
      <c r="S71" s="1287"/>
      <c r="T71" s="1276">
        <f ca="1">OFFSET('VVP2'!$G$228,0,(COLUMN()-6)/5)</f>
        <v>33.084000000000003</v>
      </c>
      <c r="U71" s="1261">
        <f ca="1">(T71/O71-1)*100</f>
        <v>6.8811785229695666</v>
      </c>
      <c r="V71" s="1285"/>
      <c r="W71" s="1286"/>
      <c r="X71" s="1287"/>
      <c r="Y71" s="1276">
        <f ca="1">OFFSET('VVP2'!$G$228,0,(COLUMN()-6)/5)</f>
        <v>38.485999999999997</v>
      </c>
      <c r="Z71" s="1261">
        <f ca="1">(Y71/T71-1)*100</f>
        <v>16.328134445653465</v>
      </c>
      <c r="AA71" s="1285"/>
      <c r="AB71" s="1286"/>
      <c r="AC71" s="1287"/>
      <c r="AD71" s="1276">
        <f ca="1">OFFSET('VVP2'!$G$228,0,(COLUMN()-6)/5)</f>
        <v>43.835999999999999</v>
      </c>
      <c r="AE71" s="1261">
        <f ca="1">(AD71/Y71-1)*100</f>
        <v>13.90115886296317</v>
      </c>
      <c r="AF71" s="1285"/>
      <c r="AG71" s="1286"/>
      <c r="AH71" s="1287"/>
      <c r="AI71" s="1276">
        <f ca="1">OFFSET('VVP2'!$G$228,0,(COLUMN()-6)/5)</f>
        <v>49.478000000000002</v>
      </c>
      <c r="AJ71" s="1261">
        <f ca="1">(AI71/AD71-1)*100</f>
        <v>12.870699881376035</v>
      </c>
      <c r="AK71" s="1285"/>
      <c r="AL71" s="1286"/>
      <c r="AM71" s="1287"/>
      <c r="AN71" s="1276">
        <f ca="1">OFFSET('VVP2'!$G$228,0,(COLUMN()-6)/5)</f>
        <v>52.545999999999999</v>
      </c>
      <c r="AO71" s="1261">
        <f ca="1">(AN71/AI71-1)*100</f>
        <v>6.2007356805044545</v>
      </c>
      <c r="AP71" s="1285"/>
      <c r="AQ71" s="1286"/>
      <c r="AR71" s="1287"/>
      <c r="AS71" s="1276">
        <f ca="1">OFFSET('VVP2'!$G$228,0,(COLUMN()-6)/5)</f>
        <v>59.432000000000002</v>
      </c>
      <c r="AT71" s="1261">
        <f ca="1">(AS71/AN71-1)*100</f>
        <v>13.104708255623642</v>
      </c>
      <c r="AU71" s="1285"/>
      <c r="AV71" s="1286"/>
      <c r="AW71" s="1287"/>
      <c r="AX71" s="1276">
        <f ca="1">OFFSET('VVP2'!$G$228,0,(COLUMN()-6)/5)</f>
        <v>66.695999999999998</v>
      </c>
      <c r="AY71" s="1261">
        <f ca="1">(AX71/AS71-1)*100</f>
        <v>12.222371786243102</v>
      </c>
      <c r="AZ71" s="1285"/>
      <c r="BA71" s="1286"/>
      <c r="BB71" s="1287"/>
      <c r="BC71" s="1276">
        <f ca="1">OFFSET('VVP2'!$G$228,0,(COLUMN()-6)/5)</f>
        <v>77.59</v>
      </c>
      <c r="BD71" s="1261">
        <f ca="1">(BC71/AX71-1)*100</f>
        <v>16.333813122226239</v>
      </c>
      <c r="BE71" s="1285"/>
      <c r="BF71" s="1286"/>
      <c r="BG71" s="1287"/>
      <c r="BH71" s="1276">
        <f ca="1">OFFSET('VVP2'!$G$228,0,(COLUMN()-6)/5)</f>
        <v>83.100999999999999</v>
      </c>
      <c r="BI71" s="1261">
        <f ca="1">(BH71/BC71-1)*100</f>
        <v>7.1027194226060075</v>
      </c>
      <c r="BJ71" s="1285"/>
      <c r="BK71" s="1286"/>
      <c r="BL71" s="1287"/>
      <c r="BM71" s="1276">
        <f ca="1">OFFSET('VVP2'!$G$228,0,(COLUMN()-6)/5)</f>
        <v>95.426000000000002</v>
      </c>
      <c r="BN71" s="1261">
        <f ca="1">(BM71/BH71-1)*100</f>
        <v>14.83134980325147</v>
      </c>
      <c r="BO71" s="1285"/>
      <c r="BP71" s="1286"/>
      <c r="BQ71" s="1287"/>
      <c r="BR71" s="1276">
        <f ca="1">OFFSET('VVP2'!$G$228,0,(COLUMN()-6)/5)</f>
        <v>107.449</v>
      </c>
      <c r="BS71" s="1261">
        <f ca="1">(BR71/BM71-1)*100</f>
        <v>12.599291597677787</v>
      </c>
      <c r="BT71" s="1285"/>
      <c r="BU71" s="1286"/>
      <c r="BV71" s="1287"/>
      <c r="BW71" s="1276">
        <f ca="1">OFFSET('VVP2'!$G$228,0,(COLUMN()-6)/5)</f>
        <v>103.60899999999999</v>
      </c>
      <c r="BX71" s="1261">
        <f ca="1">(BW71/BR71-1)*100</f>
        <v>-3.5737884950069354</v>
      </c>
      <c r="BY71" s="1285"/>
      <c r="BZ71" s="1286"/>
      <c r="CA71" s="1287"/>
      <c r="CB71" s="1276">
        <f ca="1">OFFSET('VVP2'!$G$228,0,(COLUMN()-6)/5)</f>
        <v>91.816000000000003</v>
      </c>
      <c r="CC71" s="1261">
        <f ca="1">(CB71/BW71-1)*100</f>
        <v>-11.382215830671072</v>
      </c>
      <c r="CD71" s="1285"/>
      <c r="CE71" s="1286"/>
      <c r="CF71" s="1287"/>
      <c r="CG71" s="1276">
        <f ca="1">OFFSET('VVP2'!$G$228,0,(COLUMN()-6)/5)</f>
        <v>105.845</v>
      </c>
      <c r="CH71" s="1261">
        <f ca="1">(CG71/CB71-1)*100</f>
        <v>15.279471987453164</v>
      </c>
      <c r="CI71" s="1285"/>
      <c r="CJ71" s="1286"/>
      <c r="CK71" s="1287"/>
      <c r="CL71" s="1276">
        <f ca="1">OFFSET('VVP2'!$G$228,0,(COLUMN()-6)/5)</f>
        <v>103.506</v>
      </c>
      <c r="CM71" s="1261">
        <f ca="1">(CL71/CG71-1)*100</f>
        <v>-2.2098351362841884</v>
      </c>
      <c r="CN71" s="1285"/>
      <c r="CO71" s="1286"/>
      <c r="CP71" s="1287"/>
      <c r="CQ71" s="1276">
        <f ca="1">OFFSET('VVP2'!$G$228,0,(COLUMN()-6)/5)</f>
        <v>89.721999999999994</v>
      </c>
      <c r="CR71" s="1261">
        <f ca="1">(CQ71/CL71-1)*100</f>
        <v>-13.317102390199608</v>
      </c>
      <c r="CS71" s="1285"/>
      <c r="CT71" s="1286"/>
      <c r="CU71" s="1287"/>
      <c r="CV71" s="1276">
        <f ca="1">OFFSET('VVP2'!$G$228,0,(COLUMN()-6)/5)</f>
        <v>92.082999999999998</v>
      </c>
      <c r="CW71" s="1261">
        <f ca="1">(CV71/CQ71-1)*100</f>
        <v>2.6314616259111467</v>
      </c>
      <c r="CX71" s="1285"/>
      <c r="CY71" s="1286"/>
      <c r="CZ71" s="1287"/>
      <c r="DA71" s="1276">
        <f ca="1">OFFSET('VVP2'!$G$228,0,(COLUMN()-6)/5)</f>
        <v>96.292000000000002</v>
      </c>
      <c r="DB71" s="1261">
        <f ca="1">(DA71/CV71-1)*100</f>
        <v>4.5708762746652587</v>
      </c>
      <c r="DC71" s="1285"/>
      <c r="DD71" s="1286"/>
      <c r="DE71" s="1287"/>
      <c r="DF71" s="1276">
        <f ca="1">OFFSET('VVP2'!$G$228,0,(COLUMN()-6)/5)</f>
        <v>124.821</v>
      </c>
      <c r="DG71" s="1261">
        <f ca="1">(DF71/DA71-1)*100</f>
        <v>29.627591077140369</v>
      </c>
      <c r="DH71" s="1285"/>
      <c r="DI71" s="1286"/>
      <c r="DJ71" s="1287"/>
      <c r="DK71" s="1276">
        <f ca="1">OFFSET('VVP2'!$G$228,0,(COLUMN()-6)/5)</f>
        <v>141.32300000000001</v>
      </c>
      <c r="DL71" s="1261">
        <f ca="1">(DK71/DF71-1)*100</f>
        <v>13.220531801539813</v>
      </c>
      <c r="DM71" s="1285"/>
      <c r="DN71" s="1286"/>
      <c r="DO71" s="1287"/>
      <c r="DP71" s="1276">
        <f ca="1">OFFSET('VVP2'!$G$228,0,(COLUMN()-6)/5)</f>
        <v>154.51400000000001</v>
      </c>
      <c r="DQ71" s="1261">
        <f ca="1">(DP71/DK71-1)*100</f>
        <v>9.333937151065296</v>
      </c>
      <c r="DR71" s="1285"/>
      <c r="DS71" s="1286"/>
      <c r="DT71" s="1287"/>
      <c r="DU71" s="2307">
        <f ca="1">+DP71*(1+DV71/100)</f>
        <v>163.78484000000003</v>
      </c>
      <c r="DV71" s="2316">
        <v>6</v>
      </c>
      <c r="DW71" s="1285"/>
      <c r="DX71" s="1286"/>
      <c r="DY71" s="1287"/>
      <c r="DZ71" s="2307">
        <f ca="1">+DU71*(1+EA71/100)</f>
        <v>168.86217004000002</v>
      </c>
      <c r="EA71" s="2316">
        <v>3.1</v>
      </c>
      <c r="EB71" s="1285"/>
      <c r="EC71" s="1286"/>
      <c r="ED71" s="1287"/>
      <c r="EE71" s="2307">
        <f ca="1">+DZ71*(1+EF71/100)</f>
        <v>172.57713778088004</v>
      </c>
      <c r="EF71" s="2316">
        <v>2.2000000000000002</v>
      </c>
    </row>
    <row r="72" spans="1:136" s="1341" customFormat="1">
      <c r="A72" s="1506"/>
      <c r="C72" s="1347" t="s">
        <v>1791</v>
      </c>
      <c r="D72" s="1961" t="s">
        <v>665</v>
      </c>
      <c r="E72" s="1961" t="s">
        <v>1341</v>
      </c>
      <c r="F72" s="1962" t="s">
        <v>1751</v>
      </c>
      <c r="G72" s="1290"/>
      <c r="H72" s="1291"/>
      <c r="I72" s="1292"/>
      <c r="J72" s="1275">
        <f ca="1">OFFSET('VVP2'!$G$230,0,(COLUMN()-6)/5)</f>
        <v>243.673</v>
      </c>
      <c r="K72" s="1293"/>
      <c r="L72" s="1290"/>
      <c r="M72" s="1291"/>
      <c r="N72" s="1292"/>
      <c r="O72" s="1275">
        <f ca="1">OFFSET('VVP2'!$G$230,0,(COLUMN()-6)/5)</f>
        <v>262.85599999999999</v>
      </c>
      <c r="P72" s="1262">
        <f ca="1">(O72/J72-1)*100</f>
        <v>7.8724356001690809</v>
      </c>
      <c r="Q72" s="1290"/>
      <c r="R72" s="1291"/>
      <c r="S72" s="1292"/>
      <c r="T72" s="1275">
        <f ca="1">OFFSET('VVP2'!$G$230,0,(COLUMN()-6)/5)</f>
        <v>280.27800000000002</v>
      </c>
      <c r="U72" s="1262">
        <f ca="1">(T72/O72-1)*100</f>
        <v>6.6279635998417463</v>
      </c>
      <c r="V72" s="1290"/>
      <c r="W72" s="1291"/>
      <c r="X72" s="1292"/>
      <c r="Y72" s="1275">
        <f ca="1">OFFSET('VVP2'!$G$230,0,(COLUMN()-6)/5)</f>
        <v>309.81099999999998</v>
      </c>
      <c r="Z72" s="1262">
        <f ca="1">(Y72/T72-1)*100</f>
        <v>10.537038226332406</v>
      </c>
      <c r="AA72" s="1290"/>
      <c r="AB72" s="1291"/>
      <c r="AC72" s="1292"/>
      <c r="AD72" s="1275">
        <f ca="1">OFFSET('VVP2'!$G$230,0,(COLUMN()-6)/5)</f>
        <v>339.96699999999998</v>
      </c>
      <c r="AE72" s="1262">
        <f ca="1">(AD72/Y72-1)*100</f>
        <v>9.733676338154563</v>
      </c>
      <c r="AF72" s="1290"/>
      <c r="AG72" s="1291"/>
      <c r="AH72" s="1292"/>
      <c r="AI72" s="1275">
        <f ca="1">OFFSET('VVP2'!$G$230,0,(COLUMN()-6)/5)</f>
        <v>386.09399999999999</v>
      </c>
      <c r="AJ72" s="1262">
        <f ca="1">(AI72/AD72-1)*100</f>
        <v>13.568081607920778</v>
      </c>
      <c r="AK72" s="1290"/>
      <c r="AL72" s="1291"/>
      <c r="AM72" s="1292"/>
      <c r="AN72" s="1275">
        <f ca="1">OFFSET('VVP2'!$G$230,0,(COLUMN()-6)/5)</f>
        <v>405.01900000000001</v>
      </c>
      <c r="AO72" s="1262">
        <f ca="1">(AN72/AI72-1)*100</f>
        <v>4.9016560733914583</v>
      </c>
      <c r="AP72" s="1290"/>
      <c r="AQ72" s="1291"/>
      <c r="AR72" s="1292"/>
      <c r="AS72" s="1275">
        <f ca="1">OFFSET('VVP2'!$G$230,0,(COLUMN()-6)/5)</f>
        <v>389.387</v>
      </c>
      <c r="AT72" s="1262">
        <f ca="1">(AS72/AN72-1)*100</f>
        <v>-3.8595720200780725</v>
      </c>
      <c r="AU72" s="1290"/>
      <c r="AV72" s="1291"/>
      <c r="AW72" s="1292"/>
      <c r="AX72" s="1275">
        <f ca="1">OFFSET('VVP2'!$G$230,0,(COLUMN()-6)/5)</f>
        <v>393.78500000000003</v>
      </c>
      <c r="AY72" s="1262">
        <f ca="1">(AX72/AS72-1)*100</f>
        <v>1.1294675990723979</v>
      </c>
      <c r="AZ72" s="1290"/>
      <c r="BA72" s="1291"/>
      <c r="BB72" s="1292"/>
      <c r="BC72" s="1275">
        <f ca="1">OFFSET('VVP2'!$G$230,0,(COLUMN()-6)/5)</f>
        <v>416.029</v>
      </c>
      <c r="BD72" s="1262">
        <f ca="1">(BC72/AX72-1)*100</f>
        <v>5.6487677285828486</v>
      </c>
      <c r="BE72" s="1290"/>
      <c r="BF72" s="1291"/>
      <c r="BG72" s="1292"/>
      <c r="BH72" s="1275">
        <f ca="1">OFFSET('VVP2'!$G$230,0,(COLUMN()-6)/5)</f>
        <v>444.45100000000002</v>
      </c>
      <c r="BI72" s="1262">
        <f ca="1">(BH72/BC72-1)*100</f>
        <v>6.8317352876842818</v>
      </c>
      <c r="BJ72" s="1290"/>
      <c r="BK72" s="1291"/>
      <c r="BL72" s="1292"/>
      <c r="BM72" s="1275">
        <f ca="1">OFFSET('VVP2'!$G$230,0,(COLUMN()-6)/5)</f>
        <v>493.161</v>
      </c>
      <c r="BN72" s="1262">
        <f ca="1">(BM72/BH72-1)*100</f>
        <v>10.959588346071891</v>
      </c>
      <c r="BO72" s="1290"/>
      <c r="BP72" s="1291"/>
      <c r="BQ72" s="1292"/>
      <c r="BR72" s="1275">
        <f ca="1">OFFSET('VVP2'!$G$230,0,(COLUMN()-6)/5)</f>
        <v>549.02599999999995</v>
      </c>
      <c r="BS72" s="1262">
        <f ca="1">(BR72/BM72-1)*100</f>
        <v>11.32794361273497</v>
      </c>
      <c r="BT72" s="1290"/>
      <c r="BU72" s="1291"/>
      <c r="BV72" s="1292"/>
      <c r="BW72" s="1275">
        <f ca="1">OFFSET('VVP2'!$G$230,0,(COLUMN()-6)/5)</f>
        <v>579.86</v>
      </c>
      <c r="BX72" s="1262">
        <f ca="1">(BW72/BR72-1)*100</f>
        <v>5.6161274693730556</v>
      </c>
      <c r="BY72" s="1290"/>
      <c r="BZ72" s="1291"/>
      <c r="CA72" s="1292"/>
      <c r="CB72" s="1275">
        <f ca="1">OFFSET('VVP2'!$G$230,0,(COLUMN()-6)/5)</f>
        <v>497.77800000000002</v>
      </c>
      <c r="CC72" s="1262">
        <f ca="1">(CB72/BW72-1)*100</f>
        <v>-14.155485806918911</v>
      </c>
      <c r="CD72" s="1290"/>
      <c r="CE72" s="1291"/>
      <c r="CF72" s="1292"/>
      <c r="CG72" s="1275">
        <f ca="1">OFFSET('VVP2'!$G$230,0,(COLUMN()-6)/5)</f>
        <v>522.40899999999999</v>
      </c>
      <c r="CH72" s="1262">
        <f ca="1">(CG72/CB72-1)*100</f>
        <v>4.9481897552724252</v>
      </c>
      <c r="CI72" s="1290"/>
      <c r="CJ72" s="1291"/>
      <c r="CK72" s="1292"/>
      <c r="CL72" s="1275">
        <f ca="1">OFFSET('VVP2'!$G$230,0,(COLUMN()-6)/5)</f>
        <v>568.49099999999999</v>
      </c>
      <c r="CM72" s="1262">
        <f ca="1">(CL72/CG72-1)*100</f>
        <v>8.8210578301675557</v>
      </c>
      <c r="CN72" s="1290"/>
      <c r="CO72" s="1291"/>
      <c r="CP72" s="1292"/>
      <c r="CQ72" s="1275">
        <f ca="1">OFFSET('VVP2'!$G$230,0,(COLUMN()-6)/5)</f>
        <v>580.66099999999994</v>
      </c>
      <c r="CR72" s="1262">
        <f ca="1">(CQ72/CL72-1)*100</f>
        <v>2.1407550867120095</v>
      </c>
      <c r="CS72" s="1290"/>
      <c r="CT72" s="1291"/>
      <c r="CU72" s="1292"/>
      <c r="CV72" s="1275">
        <f ca="1">OFFSET('VVP2'!$G$230,0,(COLUMN()-6)/5)</f>
        <v>585.90300000000002</v>
      </c>
      <c r="CW72" s="1262">
        <f ca="1">(CV72/CQ72-1)*100</f>
        <v>0.90276426348594452</v>
      </c>
      <c r="CX72" s="1290"/>
      <c r="CY72" s="1291"/>
      <c r="CZ72" s="1292"/>
      <c r="DA72" s="1275">
        <f ca="1">OFFSET('VVP2'!$G$230,0,(COLUMN()-6)/5)</f>
        <v>642.07899999999995</v>
      </c>
      <c r="DB72" s="1262">
        <f ca="1">(DA72/CV72-1)*100</f>
        <v>9.5879352042914867</v>
      </c>
      <c r="DC72" s="1290"/>
      <c r="DD72" s="1291"/>
      <c r="DE72" s="1292"/>
      <c r="DF72" s="1275">
        <f ca="1">OFFSET('VVP2'!$G$230,0,(COLUMN()-6)/5)</f>
        <v>690.82299999999998</v>
      </c>
      <c r="DG72" s="1262">
        <f ca="1">(DF72/DA72-1)*100</f>
        <v>7.591589196967985</v>
      </c>
      <c r="DH72" s="1290"/>
      <c r="DI72" s="1291"/>
      <c r="DJ72" s="1292"/>
      <c r="DK72" s="1275">
        <f ca="1">OFFSET('VVP2'!$G$230,0,(COLUMN()-6)/5)</f>
        <v>715.67100000000005</v>
      </c>
      <c r="DL72" s="1262">
        <f ca="1">(DK72/DF72-1)*100</f>
        <v>3.5968692414699577</v>
      </c>
      <c r="DM72" s="1290"/>
      <c r="DN72" s="1291"/>
      <c r="DO72" s="1292"/>
      <c r="DP72" s="1275">
        <f ca="1">OFFSET('VVP2'!$G$230,0,(COLUMN()-6)/5)</f>
        <v>778.36199999999997</v>
      </c>
      <c r="DQ72" s="1262">
        <f ca="1">(DP72/DK72-1)*100</f>
        <v>8.7597513382545742</v>
      </c>
      <c r="DR72" s="1290"/>
      <c r="DS72" s="1291"/>
      <c r="DT72" s="1292"/>
      <c r="DU72" s="1960">
        <f ca="1">+DU64-DU71-DU70</f>
        <v>841.8917650128999</v>
      </c>
      <c r="DV72" s="1261">
        <f ca="1">(DU72/DP72-1)*100</f>
        <v>8.1619818301638567</v>
      </c>
      <c r="DW72" s="1290"/>
      <c r="DX72" s="1291"/>
      <c r="DY72" s="1292"/>
      <c r="DZ72" s="1960">
        <f ca="1">+DZ64-DZ71-DZ70</f>
        <v>879.07150754557779</v>
      </c>
      <c r="EA72" s="1261">
        <f ca="1">(DZ72/DU72-1)*100</f>
        <v>4.416214064299373</v>
      </c>
      <c r="EB72" s="1290"/>
      <c r="EC72" s="1291"/>
      <c r="ED72" s="1292"/>
      <c r="EE72" s="1960">
        <f ca="1">+EE64-EE71-EE70</f>
        <v>912.3910817708728</v>
      </c>
      <c r="EF72" s="1261">
        <f ca="1">(EE72/DZ72-1)*100</f>
        <v>3.7903144328184757</v>
      </c>
    </row>
    <row r="73" spans="1:136" s="28" customFormat="1">
      <c r="A73" s="1505" t="s">
        <v>158</v>
      </c>
      <c r="C73" s="176" t="s">
        <v>1793</v>
      </c>
      <c r="D73" s="1190"/>
      <c r="E73" s="1190" t="s">
        <v>1341</v>
      </c>
      <c r="F73" s="1180" t="s">
        <v>1752</v>
      </c>
      <c r="G73" s="1277"/>
      <c r="H73" s="1277"/>
      <c r="I73" s="1278" t="e">
        <f ca="1">+J73/H73*100-100</f>
        <v>#DIV/0!</v>
      </c>
      <c r="J73" s="1278">
        <f ca="1">SUM(J70:J72)</f>
        <v>369.53899999999999</v>
      </c>
      <c r="K73" s="1278" t="e">
        <f ca="1">(J73/E73-1)*100</f>
        <v>#VALUE!</v>
      </c>
      <c r="L73" s="1520"/>
      <c r="M73" s="1520"/>
      <c r="N73" s="1278"/>
      <c r="O73" s="1278">
        <f ca="1">SUM(O70:O72)</f>
        <v>389.24299999999999</v>
      </c>
      <c r="P73" s="1278">
        <f ca="1">(O73/J73-1)*100</f>
        <v>5.3320488500537166</v>
      </c>
      <c r="Q73" s="1520"/>
      <c r="R73" s="1520"/>
      <c r="S73" s="1278"/>
      <c r="T73" s="1278">
        <f ca="1">SUM(T70:T72)</f>
        <v>401.30900000000003</v>
      </c>
      <c r="U73" s="1278">
        <f ca="1">(T73/O73-1)*100</f>
        <v>3.0998630675439287</v>
      </c>
      <c r="V73" s="1520"/>
      <c r="W73" s="1520"/>
      <c r="X73" s="1278"/>
      <c r="Y73" s="1278">
        <f ca="1">SUM(Y70:Y72)</f>
        <v>440.33399999999995</v>
      </c>
      <c r="Z73" s="1278">
        <f ca="1">(Y73/T73-1)*100</f>
        <v>9.724426813253606</v>
      </c>
      <c r="AA73" s="1520"/>
      <c r="AB73" s="1520"/>
      <c r="AC73" s="1278"/>
      <c r="AD73" s="1278">
        <f ca="1">SUM(AD70:AD72)</f>
        <v>481.07099999999997</v>
      </c>
      <c r="AE73" s="1278">
        <f ca="1">(AD73/Y73-1)*100</f>
        <v>9.2513864475602716</v>
      </c>
      <c r="AF73" s="1520"/>
      <c r="AG73" s="1520"/>
      <c r="AH73" s="1278"/>
      <c r="AI73" s="1278">
        <f ca="1">SUM(AI70:AI72)</f>
        <v>529.24099999999999</v>
      </c>
      <c r="AJ73" s="1278">
        <f ca="1">(AI73/AD73-1)*100</f>
        <v>10.013074993088345</v>
      </c>
      <c r="AK73" s="1520"/>
      <c r="AL73" s="1520"/>
      <c r="AM73" s="1278"/>
      <c r="AN73" s="1278">
        <f ca="1">SUM(AN70:AN72)</f>
        <v>560.52199999999993</v>
      </c>
      <c r="AO73" s="1278">
        <f ca="1">(AN73/AI73-1)*100</f>
        <v>5.91053981078562</v>
      </c>
      <c r="AP73" s="1520"/>
      <c r="AQ73" s="1520"/>
      <c r="AR73" s="1278"/>
      <c r="AS73" s="1278">
        <f ca="1">SUM(AS70:AS72)</f>
        <v>560.54399999999998</v>
      </c>
      <c r="AT73" s="1278">
        <f ca="1">(AS73/AN73-1)*100</f>
        <v>3.9249128491070095E-3</v>
      </c>
      <c r="AU73" s="1520"/>
      <c r="AV73" s="1520"/>
      <c r="AW73" s="1278"/>
      <c r="AX73" s="1278">
        <f ca="1">SUM(AX70:AX72)</f>
        <v>572.93700000000001</v>
      </c>
      <c r="AY73" s="1278">
        <f ca="1">(AX73/AS73-1)*100</f>
        <v>2.2108879945196058</v>
      </c>
      <c r="AZ73" s="1520"/>
      <c r="BA73" s="1520"/>
      <c r="BB73" s="1278"/>
      <c r="BC73" s="1278">
        <f ca="1">SUM(BC70:BC72)</f>
        <v>608.81399999999996</v>
      </c>
      <c r="BD73" s="1278">
        <f ca="1">(BC73/AX73-1)*100</f>
        <v>6.2619450306054425</v>
      </c>
      <c r="BE73" s="1520"/>
      <c r="BF73" s="1520"/>
      <c r="BG73" s="1278"/>
      <c r="BH73" s="1278">
        <f ca="1">SUM(BH70:BH72)</f>
        <v>646.947</v>
      </c>
      <c r="BI73" s="1278">
        <f ca="1">(BH73/BC73-1)*100</f>
        <v>6.2634893415723036</v>
      </c>
      <c r="BJ73" s="1520"/>
      <c r="BK73" s="1520"/>
      <c r="BL73" s="1278"/>
      <c r="BM73" s="1278">
        <f ca="1">SUM(BM70:BM72)</f>
        <v>716.53899999999999</v>
      </c>
      <c r="BN73" s="1278">
        <f ca="1">(BM73/BH73-1)*100</f>
        <v>10.756986275537251</v>
      </c>
      <c r="BO73" s="1520"/>
      <c r="BP73" s="1520"/>
      <c r="BQ73" s="1278"/>
      <c r="BR73" s="1278">
        <f ca="1">SUM(BR70:BR72)</f>
        <v>791.55599999999993</v>
      </c>
      <c r="BS73" s="1278">
        <f ca="1">(BR73/BM73-1)*100</f>
        <v>10.469353377834278</v>
      </c>
      <c r="BT73" s="1520"/>
      <c r="BU73" s="1520"/>
      <c r="BV73" s="1278"/>
      <c r="BW73" s="1278">
        <f ca="1">SUM(BW70:BW72)</f>
        <v>827.94600000000003</v>
      </c>
      <c r="BX73" s="1278">
        <f ca="1">(BW73/BR73-1)*100</f>
        <v>4.5972742294922986</v>
      </c>
      <c r="BY73" s="1520"/>
      <c r="BZ73" s="1520"/>
      <c r="CA73" s="1278"/>
      <c r="CB73" s="1278">
        <f ca="1">SUM(CB70:CB72)</f>
        <v>737.40300000000002</v>
      </c>
      <c r="CC73" s="1278">
        <f ca="1">(CB73/BW73-1)*100</f>
        <v>-10.935858135675513</v>
      </c>
      <c r="CD73" s="1520"/>
      <c r="CE73" s="1520"/>
      <c r="CF73" s="1278"/>
      <c r="CG73" s="1278">
        <f ca="1">SUM(CG70:CG72)</f>
        <v>787.14499999999998</v>
      </c>
      <c r="CH73" s="1278">
        <f ca="1">(CG73/CB73-1)*100</f>
        <v>6.7455651794201987</v>
      </c>
      <c r="CI73" s="1520"/>
      <c r="CJ73" s="1520"/>
      <c r="CK73" s="1278"/>
      <c r="CL73" s="1278">
        <f ca="1">SUM(CL70:CL72)</f>
        <v>834.20100000000002</v>
      </c>
      <c r="CM73" s="1278">
        <f ca="1">(CL73/CG73-1)*100</f>
        <v>5.9780599508349797</v>
      </c>
      <c r="CN73" s="1520"/>
      <c r="CO73" s="1520"/>
      <c r="CP73" s="1278"/>
      <c r="CQ73" s="1278">
        <f ca="1">SUM(CQ70:CQ72)</f>
        <v>838.25099999999998</v>
      </c>
      <c r="CR73" s="1278">
        <f ca="1">(CQ73/CL73-1)*100</f>
        <v>0.48549450312334042</v>
      </c>
      <c r="CS73" s="1520"/>
      <c r="CT73" s="1520"/>
      <c r="CU73" s="1278"/>
      <c r="CV73" s="1278">
        <f ca="1">SUM(CV70:CV72)</f>
        <v>846.178</v>
      </c>
      <c r="CW73" s="1278">
        <f ca="1">(CV73/CQ73-1)*100</f>
        <v>0.94565947431020092</v>
      </c>
      <c r="CX73" s="1520"/>
      <c r="CY73" s="1520"/>
      <c r="CZ73" s="1278"/>
      <c r="DA73" s="1278">
        <f ca="1">SUM(DA70:DA72)</f>
        <v>911.52800000000002</v>
      </c>
      <c r="DB73" s="1278">
        <f ca="1">(DA73/CV73-1)*100</f>
        <v>7.722961362739289</v>
      </c>
      <c r="DC73" s="1520"/>
      <c r="DD73" s="1520"/>
      <c r="DE73" s="1278"/>
      <c r="DF73" s="1278">
        <f ca="1">SUM(DF70:DF72)</f>
        <v>991.41300000000001</v>
      </c>
      <c r="DG73" s="1278">
        <f ca="1">(DF73/DA73-1)*100</f>
        <v>8.7638558552233228</v>
      </c>
      <c r="DH73" s="1520"/>
      <c r="DI73" s="1520"/>
      <c r="DJ73" s="1278"/>
      <c r="DK73" s="1278">
        <f ca="1">SUM(DK70:DK72)</f>
        <v>1049.8009999999999</v>
      </c>
      <c r="DL73" s="1278">
        <f ca="1">(DK73/DF73-1)*100</f>
        <v>5.8893720376876235</v>
      </c>
      <c r="DM73" s="1520"/>
      <c r="DN73" s="1520"/>
      <c r="DO73" s="1278"/>
      <c r="DP73" s="1278">
        <f ca="1">SUM(DP70:DP72)</f>
        <v>1142.6129999999998</v>
      </c>
      <c r="DQ73" s="1278">
        <f ca="1">(DP73/DK73-1)*100</f>
        <v>8.8409136588743831</v>
      </c>
      <c r="DR73" s="1520"/>
      <c r="DS73" s="1520"/>
      <c r="DT73" s="1278"/>
      <c r="DU73" s="1278">
        <f ca="1">SUM(DU70:DU72)</f>
        <v>1230.7812447398999</v>
      </c>
      <c r="DV73" s="1278">
        <f ca="1">(DU73/DP73-1)*100</f>
        <v>7.7163698242449508</v>
      </c>
      <c r="DW73" s="1520"/>
      <c r="DX73" s="1520"/>
      <c r="DY73" s="1278"/>
      <c r="DZ73" s="1278">
        <f ca="1">SUM(DZ70:DZ72)</f>
        <v>1285.1201335360051</v>
      </c>
      <c r="EA73" s="1278">
        <f ca="1">(DZ73/DU73-1)*100</f>
        <v>4.4149916183999549</v>
      </c>
      <c r="EB73" s="1520"/>
      <c r="EC73" s="1520"/>
      <c r="ED73" s="1278"/>
      <c r="EE73" s="1278">
        <f ca="1">SUM(EE70:EE72)</f>
        <v>1330.758614191782</v>
      </c>
      <c r="EF73" s="1278">
        <f ca="1">(EE73/DZ73-1)*100</f>
        <v>3.5513007278317854</v>
      </c>
    </row>
    <row r="74" spans="1:136" s="28" customFormat="1">
      <c r="A74" s="1505"/>
      <c r="C74" s="176"/>
      <c r="D74" s="1301"/>
      <c r="E74" s="1301"/>
      <c r="F74" s="1244"/>
      <c r="G74" s="1302"/>
      <c r="H74" s="1302"/>
      <c r="I74" s="1302" t="s">
        <v>368</v>
      </c>
      <c r="J74" s="1303">
        <f ca="1">+J64-J73</f>
        <v>0</v>
      </c>
      <c r="K74" s="1521"/>
      <c r="L74" s="1521"/>
      <c r="M74" s="1521"/>
      <c r="N74" s="1302" t="s">
        <v>368</v>
      </c>
      <c r="O74" s="1303">
        <f ca="1">+O64-O73</f>
        <v>0</v>
      </c>
      <c r="P74" s="1521"/>
      <c r="Q74" s="1521"/>
      <c r="R74" s="1521"/>
      <c r="S74" s="1302" t="s">
        <v>368</v>
      </c>
      <c r="T74" s="1303">
        <f ca="1">+T64-T73</f>
        <v>0</v>
      </c>
      <c r="U74" s="1521"/>
      <c r="V74" s="1521"/>
      <c r="W74" s="1521"/>
      <c r="X74" s="1302" t="s">
        <v>368</v>
      </c>
      <c r="Y74" s="1303">
        <f ca="1">+Y64-Y73</f>
        <v>0</v>
      </c>
      <c r="Z74" s="1521"/>
      <c r="AA74" s="1521"/>
      <c r="AB74" s="1521"/>
      <c r="AC74" s="1302" t="s">
        <v>368</v>
      </c>
      <c r="AD74" s="1303">
        <f ca="1">+AD64-AD73</f>
        <v>0</v>
      </c>
      <c r="AE74" s="1521"/>
      <c r="AF74" s="1521"/>
      <c r="AG74" s="1521"/>
      <c r="AH74" s="1302" t="s">
        <v>368</v>
      </c>
      <c r="AI74" s="1303">
        <f ca="1">+AI64-AI73</f>
        <v>0</v>
      </c>
      <c r="AJ74" s="1521"/>
      <c r="AK74" s="1521"/>
      <c r="AL74" s="1521"/>
      <c r="AM74" s="1302" t="s">
        <v>368</v>
      </c>
      <c r="AN74" s="1303">
        <f ca="1">+AN64-AN73</f>
        <v>0</v>
      </c>
      <c r="AO74" s="1521"/>
      <c r="AP74" s="1521"/>
      <c r="AQ74" s="1521"/>
      <c r="AR74" s="1302" t="s">
        <v>368</v>
      </c>
      <c r="AS74" s="1303">
        <f ca="1">+AS64-AS73</f>
        <v>0</v>
      </c>
      <c r="AT74" s="1521"/>
      <c r="AU74" s="1521"/>
      <c r="AV74" s="1521"/>
      <c r="AW74" s="1302" t="s">
        <v>368</v>
      </c>
      <c r="AX74" s="1303">
        <f ca="1">+AX64-AX73</f>
        <v>0</v>
      </c>
      <c r="AY74" s="1521"/>
      <c r="AZ74" s="1521"/>
      <c r="BA74" s="1521"/>
      <c r="BB74" s="1302" t="s">
        <v>368</v>
      </c>
      <c r="BC74" s="1303">
        <f ca="1">+BC64-BC73</f>
        <v>0</v>
      </c>
      <c r="BD74" s="1521"/>
      <c r="BE74" s="1521"/>
      <c r="BF74" s="1521"/>
      <c r="BG74" s="1302" t="s">
        <v>368</v>
      </c>
      <c r="BH74" s="1303">
        <f ca="1">+BH64-BH73</f>
        <v>0</v>
      </c>
      <c r="BI74" s="1521"/>
      <c r="BJ74" s="1521"/>
      <c r="BK74" s="1521"/>
      <c r="BL74" s="1302" t="s">
        <v>368</v>
      </c>
      <c r="BM74" s="1303">
        <f ca="1">+BM64-BM73</f>
        <v>0</v>
      </c>
      <c r="BN74" s="1521"/>
      <c r="BO74" s="1521"/>
      <c r="BP74" s="1521"/>
      <c r="BQ74" s="1302" t="s">
        <v>368</v>
      </c>
      <c r="BR74" s="1303">
        <f ca="1">+BR64-BR73</f>
        <v>0</v>
      </c>
      <c r="BS74" s="1521"/>
      <c r="BT74" s="1521"/>
      <c r="BU74" s="1521"/>
      <c r="BV74" s="1302" t="s">
        <v>368</v>
      </c>
      <c r="BW74" s="1303">
        <f ca="1">+BW64-BW73</f>
        <v>0</v>
      </c>
      <c r="BX74" s="1521"/>
      <c r="BY74" s="1521"/>
      <c r="BZ74" s="1521"/>
      <c r="CA74" s="1302" t="s">
        <v>368</v>
      </c>
      <c r="CB74" s="1303">
        <f ca="1">+CB64-CB73</f>
        <v>0</v>
      </c>
      <c r="CC74" s="1521"/>
      <c r="CD74" s="1521"/>
      <c r="CE74" s="1521"/>
      <c r="CF74" s="1302" t="s">
        <v>368</v>
      </c>
      <c r="CG74" s="1303">
        <f ca="1">+CG64-CG73</f>
        <v>0</v>
      </c>
      <c r="CH74" s="1521"/>
      <c r="CI74" s="1521"/>
      <c r="CJ74" s="1521"/>
      <c r="CK74" s="1302" t="s">
        <v>368</v>
      </c>
      <c r="CL74" s="1303">
        <f ca="1">+CL64-CL73</f>
        <v>0</v>
      </c>
      <c r="CM74" s="1521"/>
      <c r="CN74" s="1521"/>
      <c r="CO74" s="1521"/>
      <c r="CP74" s="1302" t="s">
        <v>368</v>
      </c>
      <c r="CQ74" s="1303">
        <f ca="1">+CQ64-CQ73</f>
        <v>0</v>
      </c>
      <c r="CR74" s="1521"/>
      <c r="CS74" s="1521"/>
      <c r="CT74" s="1521"/>
      <c r="CU74" s="1302" t="s">
        <v>368</v>
      </c>
      <c r="CV74" s="1303">
        <f ca="1">+CV64-CV73</f>
        <v>0</v>
      </c>
      <c r="CW74" s="1521"/>
      <c r="CX74" s="1521"/>
      <c r="CY74" s="1521"/>
      <c r="CZ74" s="1302"/>
      <c r="DA74" s="1303"/>
      <c r="DB74" s="1521"/>
      <c r="DC74" s="1521"/>
      <c r="DD74" s="1521"/>
      <c r="DE74" s="1302"/>
      <c r="DF74" s="1303"/>
      <c r="DG74" s="1521"/>
      <c r="DH74" s="1521"/>
      <c r="DI74" s="1521"/>
      <c r="DJ74" s="1302"/>
      <c r="DK74" s="1303"/>
      <c r="DL74" s="1521"/>
      <c r="DM74" s="1521"/>
      <c r="DN74" s="1521"/>
      <c r="DO74" s="1302"/>
      <c r="DP74" s="1303"/>
      <c r="DQ74" s="1521"/>
      <c r="DR74" s="1521"/>
      <c r="DS74" s="1521"/>
      <c r="DT74" s="1302"/>
      <c r="DU74" s="1303"/>
      <c r="DV74" s="1521"/>
      <c r="DW74" s="1521"/>
      <c r="DX74" s="1521"/>
      <c r="DY74" s="1302"/>
      <c r="DZ74" s="1303"/>
      <c r="EA74" s="1521"/>
      <c r="EB74" s="1521"/>
      <c r="EC74" s="1521"/>
      <c r="ED74" s="1302"/>
      <c r="EE74" s="1303"/>
      <c r="EF74" s="1521"/>
    </row>
    <row r="75" spans="1:136" s="2919" customFormat="1" ht="12.75">
      <c r="A75" s="2918"/>
      <c r="C75" s="2920"/>
      <c r="D75" s="1837"/>
      <c r="E75" s="1837" t="s">
        <v>1090</v>
      </c>
      <c r="F75" s="2921"/>
      <c r="G75" s="2922"/>
      <c r="H75" s="2922"/>
      <c r="I75" s="2922"/>
      <c r="J75" s="1276"/>
      <c r="K75" s="2922"/>
      <c r="L75" s="2924"/>
      <c r="M75" s="2924">
        <f ca="1">IF(UPPER($F$2)="Y",M64-M70,OFFSET('VVP2'!$G$29,0,(COLUMN()-7)/5)-OFFSET('VVP2'!$G$45,0,(COLUMN()-7)/5))</f>
        <v>292.6131909587296</v>
      </c>
      <c r="N75" s="2924">
        <f ca="1">+O75/M75*100-100</f>
        <v>33.023052967868125</v>
      </c>
      <c r="O75" s="2924">
        <f ca="1">+O73</f>
        <v>389.24299999999999</v>
      </c>
      <c r="P75" s="1276"/>
      <c r="Q75" s="2924">
        <f ca="1">+R75/M75*100-100</f>
        <v>5.0445586780326011</v>
      </c>
      <c r="R75" s="2924">
        <f ca="1">IF(UPPER($F$2)="Y",R64-R70,OFFSET('VVP2'!$G$29,0,(COLUMN()-7)/5)-OFFSET('VVP2'!$G$45,0,(COLUMN()-7)/5))</f>
        <v>307.37423507630626</v>
      </c>
      <c r="S75" s="2924">
        <f ca="1">+T75/R75*100-100</f>
        <v>30.560389975553505</v>
      </c>
      <c r="T75" s="2924">
        <f ca="1">+T73</f>
        <v>401.30900000000003</v>
      </c>
      <c r="U75" s="1276"/>
      <c r="V75" s="2924">
        <f ca="1">+W75/R75*100-100</f>
        <v>11.176171087356295</v>
      </c>
      <c r="W75" s="2924">
        <f ca="1">IF(UPPER($F$2)="Y",W64-W70,OFFSET('VVP2'!$G$29,0,(COLUMN()-7)/5)-OFFSET('VVP2'!$G$45,0,(COLUMN()-7)/5))</f>
        <v>341.72690546688693</v>
      </c>
      <c r="X75" s="2924">
        <f ca="1">+Y75/W75*100-100</f>
        <v>28.855525554357598</v>
      </c>
      <c r="Y75" s="2924">
        <f ca="1">+Y73</f>
        <v>440.33399999999995</v>
      </c>
      <c r="Z75" s="1276"/>
      <c r="AA75" s="2924">
        <f ca="1">+AB75/W75*100-100</f>
        <v>9.6555968081071484</v>
      </c>
      <c r="AB75" s="2924">
        <f ca="1">IF(UPPER($F$2)="Y",AB64-AB70,OFFSET('VVP2'!$G$29,0,(COLUMN()-7)/5)-OFFSET('VVP2'!$G$45,0,(COLUMN()-7)/5))</f>
        <v>374.722677643591</v>
      </c>
      <c r="AC75" s="2924">
        <f ca="1">+AD75/AB75*100-100</f>
        <v>28.38054078423292</v>
      </c>
      <c r="AD75" s="2924">
        <f ca="1">+AD73</f>
        <v>481.07099999999997</v>
      </c>
      <c r="AE75" s="1276"/>
      <c r="AF75" s="2924">
        <f ca="1">+AG75/AB75*100-100</f>
        <v>12.812773906153126</v>
      </c>
      <c r="AG75" s="2924">
        <f ca="1">IF(UPPER($F$2)="Y",AG64-AG70,OFFSET('VVP2'!$G$29,0,(COLUMN()-7)/5)-OFFSET('VVP2'!$G$45,0,(COLUMN()-7)/5))</f>
        <v>422.73504710514726</v>
      </c>
      <c r="AH75" s="2924">
        <f ca="1">+AI75/AG75*100-100</f>
        <v>25.194493246821196</v>
      </c>
      <c r="AI75" s="2924">
        <f ca="1">+AI73</f>
        <v>529.24099999999999</v>
      </c>
      <c r="AJ75" s="1276"/>
      <c r="AK75" s="2924">
        <f ca="1">+AL75/AG75*100-100</f>
        <v>4.8003943271072416</v>
      </c>
      <c r="AL75" s="2924">
        <f ca="1">IF(UPPER($F$2)="Y",AL64-AL70,OFFSET('VVP2'!$G$29,0,(COLUMN()-7)/5)-OFFSET('VVP2'!$G$45,0,(COLUMN()-7)/5))</f>
        <v>443.02799632507686</v>
      </c>
      <c r="AM75" s="2924">
        <f ca="1">+AN75/AL75*100-100</f>
        <v>26.520672429177708</v>
      </c>
      <c r="AN75" s="2924">
        <f ca="1">+AN73</f>
        <v>560.52199999999993</v>
      </c>
      <c r="AO75" s="1276"/>
      <c r="AP75" s="2924">
        <f ca="1">+AQ75/AL75*100-100</f>
        <v>-1.006323799291124</v>
      </c>
      <c r="AQ75" s="2924">
        <f ca="1">IF(UPPER($F$2)="Y",AQ64-AQ70,OFFSET('VVP2'!$G$29,0,(COLUMN()-7)/5)-OFFSET('VVP2'!$G$45,0,(COLUMN()-7)/5))</f>
        <v>438.56970016053504</v>
      </c>
      <c r="AR75" s="2924">
        <f ca="1">+AS75/AQ75*100-100</f>
        <v>27.811839211604735</v>
      </c>
      <c r="AS75" s="2924">
        <f ca="1">+AS73</f>
        <v>560.54399999999998</v>
      </c>
      <c r="AT75" s="1276"/>
      <c r="AU75" s="2924">
        <f ca="1">+AV75/AQ75*100-100</f>
        <v>5.4852287556805095</v>
      </c>
      <c r="AV75" s="2924">
        <f ca="1">IF(UPPER($F$2)="Y",AV64-AV70,OFFSET('VVP2'!$G$29,0,(COLUMN()-7)/5)-OFFSET('VVP2'!$G$45,0,(COLUMN()-7)/5))</f>
        <v>462.6262514674425</v>
      </c>
      <c r="AW75" s="2924">
        <f ca="1">+AX75/AV75*100-100</f>
        <v>23.844463685891952</v>
      </c>
      <c r="AX75" s="2924">
        <f ca="1">+AX73</f>
        <v>572.93700000000001</v>
      </c>
      <c r="AY75" s="1276"/>
      <c r="AZ75" s="2924">
        <f ca="1">+BA75/AV75*100-100</f>
        <v>6.5646832491224671</v>
      </c>
      <c r="BA75" s="2924">
        <f ca="1">IF(UPPER($F$2)="Y",BA64-BA70,OFFSET('VVP2'!$G$29,0,(COLUMN()-7)/5)-OFFSET('VVP2'!$G$45,0,(COLUMN()-7)/5))</f>
        <v>492.9961995035689</v>
      </c>
      <c r="BB75" s="2924">
        <f ca="1">+BC75/BA75*100-100</f>
        <v>23.492635564545083</v>
      </c>
      <c r="BC75" s="2924">
        <f ca="1">+BC73</f>
        <v>608.81399999999996</v>
      </c>
      <c r="BD75" s="1276"/>
      <c r="BE75" s="2924">
        <f ca="1">+BF75/BA75*100-100</f>
        <v>6.1298765690546162</v>
      </c>
      <c r="BF75" s="2924">
        <f ca="1">IF(UPPER($F$2)="Y",BF64-BF70,OFFSET('VVP2'!$G$29,0,(COLUMN()-7)/5)-OFFSET('VVP2'!$G$45,0,(COLUMN()-7)/5))</f>
        <v>523.21625802326787</v>
      </c>
      <c r="BG75" s="2924">
        <f ca="1">+BH75/BF75*100-100</f>
        <v>23.648107274837344</v>
      </c>
      <c r="BH75" s="2924">
        <f ca="1">+BH73</f>
        <v>646.947</v>
      </c>
      <c r="BI75" s="1276"/>
      <c r="BJ75" s="2924">
        <f ca="1">+BK75/BF75*100-100</f>
        <v>11.215896598469371</v>
      </c>
      <c r="BK75" s="2924">
        <f ca="1">IF(UPPER($F$2)="Y",BK64-BK70,OFFSET('VVP2'!$G$29,0,(COLUMN()-7)/5)-OFFSET('VVP2'!$G$45,0,(COLUMN()-7)/5))</f>
        <v>581.89965250953833</v>
      </c>
      <c r="BL75" s="2924">
        <f ca="1">+BM75/BK75*100-100</f>
        <v>23.137897902122347</v>
      </c>
      <c r="BM75" s="2924">
        <f ca="1">+BM73</f>
        <v>716.53899999999999</v>
      </c>
      <c r="BN75" s="1276"/>
      <c r="BO75" s="2924">
        <f ca="1">+BP75/BK75*100-100</f>
        <v>10.509952183196376</v>
      </c>
      <c r="BP75" s="2924">
        <f ca="1">IF(UPPER($F$2)="Y",BP64-BP70,OFFSET('VVP2'!$G$29,0,(COLUMN()-7)/5)-OFFSET('VVP2'!$G$45,0,(COLUMN()-7)/5))</f>
        <v>643.05702774247663</v>
      </c>
      <c r="BQ75" s="2924">
        <f ca="1">+BR75/BP75*100-100</f>
        <v>23.092659881013276</v>
      </c>
      <c r="BR75" s="2924">
        <f ca="1">+BR73</f>
        <v>791.55599999999993</v>
      </c>
      <c r="BS75" s="1276"/>
      <c r="BT75" s="2924">
        <f ca="1">+BU75/BP75*100-100</f>
        <v>2.5339559141254426</v>
      </c>
      <c r="BU75" s="2924">
        <f ca="1">IF(UPPER($F$2)="Y",BU64-BU70,OFFSET('VVP2'!$G$29,0,(COLUMN()-7)/5)-OFFSET('VVP2'!$G$45,0,(COLUMN()-7)/5))</f>
        <v>659.35180932815638</v>
      </c>
      <c r="BV75" s="2924">
        <f ca="1">+BW75/BU75*100-100</f>
        <v>25.569686514340788</v>
      </c>
      <c r="BW75" s="2924">
        <f ca="1">+BW73</f>
        <v>827.94600000000003</v>
      </c>
      <c r="BX75" s="1276"/>
      <c r="BY75" s="2924">
        <f ca="1">+BZ75/BU75*100-100</f>
        <v>-13.115177094149175</v>
      </c>
      <c r="BZ75" s="2924">
        <f ca="1">IF(UPPER($F$2)="Y",BZ64-BZ70,OFFSET('VVP2'!$G$29,0,(COLUMN()-7)/5)-OFFSET('VVP2'!$G$45,0,(COLUMN()-7)/5))</f>
        <v>572.87665186129186</v>
      </c>
      <c r="CA75" s="2924">
        <f ca="1">+CB75/BZ75*100-100</f>
        <v>28.719332094292469</v>
      </c>
      <c r="CB75" s="2924">
        <f ca="1">+CB73</f>
        <v>737.40300000000002</v>
      </c>
      <c r="CC75" s="1276"/>
      <c r="CD75" s="2924">
        <f ca="1">+CE75/BZ75*100-100</f>
        <v>8.7731286450313917</v>
      </c>
      <c r="CE75" s="2924">
        <f ca="1">IF(UPPER($F$2)="Y",CE64-CE70,OFFSET('VVP2'!$G$29,0,(COLUMN()-7)/5)-OFFSET('VVP2'!$G$45,0,(COLUMN()-7)/5))</f>
        <v>623.13585750643165</v>
      </c>
      <c r="CF75" s="2924">
        <f ca="1">+CG75/CE75*100-100</f>
        <v>26.319965464654004</v>
      </c>
      <c r="CG75" s="2924">
        <f ca="1">+CG73</f>
        <v>787.14499999999998</v>
      </c>
      <c r="CH75" s="1276"/>
      <c r="CI75" s="2924">
        <f ca="1">+CJ75/CE75*100-100</f>
        <v>8.0700055461599902</v>
      </c>
      <c r="CJ75" s="2924">
        <f ca="1">IF(UPPER($F$2)="Y",CJ64-CJ70,OFFSET('VVP2'!$G$29,0,(COLUMN()-7)/5)-OFFSET('VVP2'!$G$45,0,(COLUMN()-7)/5))</f>
        <v>673.42295576731237</v>
      </c>
      <c r="CK75" s="2924">
        <f ca="1">+CL75/CJ75*100-100</f>
        <v>23.87474956945799</v>
      </c>
      <c r="CL75" s="2924">
        <f ca="1">+CL73</f>
        <v>834.20100000000002</v>
      </c>
      <c r="CM75" s="1276"/>
      <c r="CN75" s="2924">
        <f ca="1">+CO75/CJ75*100-100</f>
        <v>-0.98564369939798269</v>
      </c>
      <c r="CO75" s="2924">
        <f ca="1">IF(UPPER($F$2)="Y",CO64-CO70,OFFSET('VVP2'!$G$29,0,(COLUMN()-7)/5)-OFFSET('VVP2'!$G$45,0,(COLUMN()-7)/5))</f>
        <v>666.78540483349218</v>
      </c>
      <c r="CP75" s="2924">
        <f ca="1">+CQ75/CO75*100-100</f>
        <v>25.715259200870747</v>
      </c>
      <c r="CQ75" s="2924">
        <f ca="1">+CQ73</f>
        <v>838.25099999999998</v>
      </c>
      <c r="CR75" s="1276"/>
      <c r="CS75" s="2924">
        <f ca="1">+CT75/CO75*100-100</f>
        <v>1.3875361725488489</v>
      </c>
      <c r="CT75" s="2924">
        <f ca="1">IF(UPPER($F$2)="Y",CT64-CT70,OFFSET('VVP2'!$G$29,0,(COLUMN()-7)/5)-OFFSET('VVP2'!$G$45,0,(COLUMN()-7)/5))</f>
        <v>676.03729351883317</v>
      </c>
      <c r="CU75" s="2924">
        <f ca="1">+CV75/CT75*100-100</f>
        <v>25.167355131485351</v>
      </c>
      <c r="CV75" s="2924">
        <f ca="1">+CV73</f>
        <v>846.178</v>
      </c>
      <c r="CW75" s="1276"/>
      <c r="CX75" s="2924">
        <f ca="1">+CY75/CT75*100-100</f>
        <v>6.6822563957686043</v>
      </c>
      <c r="CY75" s="2924">
        <f ca="1">IF(UPPER($F$2)="Y",CY64-CY70,OFFSET('VVP2'!$G$29,0,(COLUMN()-7)/5)-OFFSET('VVP2'!$G$45,0,(COLUMN()-7)/5))</f>
        <v>721.21183880277636</v>
      </c>
      <c r="CZ75" s="2924">
        <f ca="1">+DA75/CY75*100-100</f>
        <v>26.388385625110061</v>
      </c>
      <c r="DA75" s="2924">
        <f ca="1">+DA73</f>
        <v>911.52800000000002</v>
      </c>
      <c r="DB75" s="1276"/>
      <c r="DC75" s="2924">
        <f ca="1">+DD75/CY75*100-100</f>
        <v>10.704206560178193</v>
      </c>
      <c r="DD75" s="2924">
        <f ca="1">IF(UPPER($F$2)="Y",DD64-DD70,OFFSET('VVP2'!$G$29,0,(COLUMN()-7)/5)-OFFSET('VVP2'!$G$45,0,(COLUMN()-7)/5))</f>
        <v>798.41184376468493</v>
      </c>
      <c r="DE75" s="2924">
        <f ca="1">+DF75/DD75*100-100</f>
        <v>24.173132919130154</v>
      </c>
      <c r="DF75" s="2924">
        <f ca="1">+DF73</f>
        <v>991.41300000000001</v>
      </c>
      <c r="DG75" s="1276"/>
      <c r="DH75" s="2924">
        <f ca="1">+DI75/DD75*100-100</f>
        <v>5.5600575828848235</v>
      </c>
      <c r="DI75" s="2924">
        <f ca="1">IF(UPPER($F$2)="Y",DI64-DI70,OFFSET('VVP2'!$G$29,0,(COLUMN()-7)/5)-OFFSET('VVP2'!$G$45,0,(COLUMN()-7)/5))</f>
        <v>842.80400202657393</v>
      </c>
      <c r="DJ75" s="2924">
        <f ca="1">+DK75/DI75*100-100</f>
        <v>24.560514363444995</v>
      </c>
      <c r="DK75" s="2924">
        <f ca="1">+DK73</f>
        <v>1049.8009999999999</v>
      </c>
      <c r="DL75" s="1276"/>
      <c r="DM75" s="2924">
        <f ca="1">+DN75/DI75*100-100</f>
        <v>7.9823227158265695</v>
      </c>
      <c r="DN75" s="2924">
        <f ca="1">IF(UPPER($F$2)="Y",DN64-DN70,OFFSET('VVP2'!$G$29,0,(COLUMN()-7)/5)-OFFSET('VVP2'!$G$45,0,(COLUMN()-7)/5))</f>
        <v>910.07933733023651</v>
      </c>
      <c r="DO75" s="2924">
        <f ca="1">+DP75/DN75*100-100</f>
        <v>25.550922115418246</v>
      </c>
      <c r="DP75" s="2924">
        <f ca="1">+DP73</f>
        <v>1142.6129999999998</v>
      </c>
      <c r="DQ75" s="1276"/>
      <c r="DR75" s="2924">
        <f ca="1">+DS75/DN75*100-100</f>
        <v>6.0034814470178333</v>
      </c>
      <c r="DS75" s="2924">
        <f ca="1">IF(UPPER($F$2)="Y",DS64-DS70,OFFSET('VVP2'!$G$29,0,(COLUMN()-7)/5)-OFFSET('VVP2'!$G$45,0,(COLUMN()-7)/5))</f>
        <v>964.71578150000005</v>
      </c>
      <c r="DT75" s="2924">
        <f ca="1">+DU75/DS75*100-100</f>
        <v>27.579673551748556</v>
      </c>
      <c r="DU75" s="2924">
        <f ca="1">+DU73</f>
        <v>1230.7812447398999</v>
      </c>
      <c r="DV75" s="1276"/>
      <c r="DW75" s="2924">
        <f ca="1">+DX75/DS75*100-100</f>
        <v>6.0289034225823599</v>
      </c>
      <c r="DX75" s="2924">
        <f ca="1">IF(UPPER($F$2)="Y",DX64-DX70,OFFSET('VVP2'!$G$29,0,(COLUMN()-7)/5)-OFFSET('VVP2'!$G$45,0,(COLUMN()-7)/5))</f>
        <v>1022.8775642690457</v>
      </c>
      <c r="DY75" s="2924">
        <f ca="1">+DZ75/DX75*100-100</f>
        <v>25.637728153159699</v>
      </c>
      <c r="DZ75" s="2924">
        <f ca="1">+DZ73</f>
        <v>1285.1201335360051</v>
      </c>
      <c r="EA75" s="1276"/>
      <c r="EB75" s="2924">
        <f ca="1">+EC75/DX75*100-100</f>
        <v>4.5625205945327423</v>
      </c>
      <c r="EC75" s="2924">
        <f ca="1">IF(UPPER($F$2)="Y",EC64-EC70,OFFSET('VVP2'!$G$29,0,(COLUMN()-7)/5)-OFFSET('VVP2'!$G$45,0,(COLUMN()-7)/5))</f>
        <v>1069.5465637956759</v>
      </c>
      <c r="ED75" s="2924">
        <f ca="1">+EE75/EC75*100-100</f>
        <v>24.422690814797249</v>
      </c>
      <c r="EE75" s="2924">
        <f ca="1">+EE73</f>
        <v>1330.758614191782</v>
      </c>
      <c r="EF75" s="1276"/>
    </row>
    <row r="76" spans="1:136">
      <c r="BM76" s="1093">
        <f ca="1">BM70/BM73</f>
        <v>0.17856948470355416</v>
      </c>
      <c r="BR76" s="1093">
        <f ca="1">BR70/BR73</f>
        <v>0.17065248700028804</v>
      </c>
      <c r="BW76" s="1093">
        <f ca="1">BW70/BW73</f>
        <v>0.17450051090288496</v>
      </c>
      <c r="CB76" s="1093">
        <f ca="1">CB70/CB73</f>
        <v>0.20044534671000794</v>
      </c>
      <c r="CG76" s="1093">
        <f ca="1">CG70/CG73</f>
        <v>0.20185734521593859</v>
      </c>
      <c r="CL76" s="1093">
        <f ca="1">CL70/CL73</f>
        <v>0.1944423466286902</v>
      </c>
      <c r="CQ76" s="1093">
        <f ca="1">CQ70/CQ73</f>
        <v>0.20025982671061532</v>
      </c>
      <c r="CV76" s="1093">
        <f ca="1">CV70/CV73</f>
        <v>0.19876668975085621</v>
      </c>
      <c r="CZ76" s="1492">
        <f ca="1">0.6*CZ59+0.4*CZ62</f>
        <v>2.272199071809422</v>
      </c>
      <c r="DA76" s="1093">
        <f ca="1">DA70/DA73</f>
        <v>0.18996344599397935</v>
      </c>
      <c r="DE76" s="1492">
        <f ca="1">0.6*DE59+0.4*DE62</f>
        <v>2.5330037419108633</v>
      </c>
      <c r="DF76" s="3308">
        <f ca="1">DF70/DF73</f>
        <v>0.17729140126264231</v>
      </c>
      <c r="DJ76" s="1492">
        <f ca="1">0.6*DJ59+0.4*DJ62</f>
        <v>2.0632534974721861</v>
      </c>
      <c r="DK76" s="3308">
        <f ca="1">DK70/DK73</f>
        <v>0.18366052232756494</v>
      </c>
      <c r="DL76" s="3308"/>
      <c r="DP76" s="3308">
        <f ca="1">DP70/DP73</f>
        <v>0.18355908781013347</v>
      </c>
      <c r="DQ76" s="3308"/>
      <c r="DR76" s="3308"/>
      <c r="DS76" s="3308"/>
      <c r="DT76" s="3601"/>
      <c r="DU76" s="3308">
        <f ca="1">DU70/DU73</f>
        <v>0.18289573446869606</v>
      </c>
      <c r="DW76" s="3308"/>
      <c r="DX76" s="3308"/>
      <c r="DY76" s="3601"/>
      <c r="DZ76" s="3308">
        <f ca="1">DZ70/DZ73</f>
        <v>0.18456364487715984</v>
      </c>
      <c r="EB76" s="3308"/>
      <c r="EC76" s="3308"/>
      <c r="ED76" s="3601"/>
      <c r="EE76" s="3308">
        <f ca="1">EE70/EE73</f>
        <v>0.18469945790229328</v>
      </c>
    </row>
    <row r="77" spans="1:136">
      <c r="BM77" s="1093">
        <f ca="1">BM71/BM73</f>
        <v>0.13317628210048582</v>
      </c>
      <c r="BR77" s="1093">
        <f ca="1">BR71/BR73</f>
        <v>0.13574402821783929</v>
      </c>
      <c r="BW77" s="1093">
        <f ca="1">BW71/BW73</f>
        <v>0.12513980380362968</v>
      </c>
      <c r="CB77" s="1093">
        <f ca="1">CB71/CB73</f>
        <v>0.12451264776519759</v>
      </c>
      <c r="CG77" s="1093">
        <f ca="1">CG71/CG73</f>
        <v>0.13446696606089095</v>
      </c>
      <c r="CL77" s="1093">
        <f ca="1">CL71/CL73</f>
        <v>0.12407800997601297</v>
      </c>
      <c r="CQ77" s="1093">
        <f ca="1">CQ71/CQ73</f>
        <v>0.10703476643630606</v>
      </c>
      <c r="CV77" s="1093">
        <f ca="1">CV71/CV73</f>
        <v>0.10882225725556562</v>
      </c>
      <c r="DA77" s="1093">
        <f ca="1">DA71/DA73</f>
        <v>0.10563800563449505</v>
      </c>
      <c r="DF77" s="3308">
        <f ca="1">DF71/DF73</f>
        <v>0.12590212151747052</v>
      </c>
      <c r="DK77" s="3308">
        <f ca="1">DK71/DK73</f>
        <v>0.13461884681001449</v>
      </c>
      <c r="DL77" s="3308"/>
      <c r="DP77" s="3308">
        <f ca="1">DP71/DP73</f>
        <v>0.13522863821783931</v>
      </c>
      <c r="DQ77" s="3308"/>
      <c r="DR77" s="3308"/>
      <c r="DS77" s="3308"/>
      <c r="DT77" s="3308"/>
      <c r="DU77" s="3308">
        <f ca="1">DU71/DU73</f>
        <v>0.13307388351909161</v>
      </c>
      <c r="DW77" s="3308"/>
      <c r="DX77" s="3308"/>
      <c r="DY77" s="3308"/>
      <c r="DZ77" s="3308">
        <f ca="1">DZ71/DZ73</f>
        <v>0.13139796477655061</v>
      </c>
      <c r="EB77" s="3308"/>
      <c r="EC77" s="3308"/>
      <c r="ED77" s="3308"/>
      <c r="EE77" s="3308">
        <f ca="1">EE71/EE73</f>
        <v>0.129683276847088</v>
      </c>
    </row>
    <row r="78" spans="1:136">
      <c r="BM78" s="1093">
        <f ca="1">BM72/BM73</f>
        <v>0.68825423319596002</v>
      </c>
      <c r="BR78" s="1093">
        <f ca="1">BR72/BR73</f>
        <v>0.69360348478187273</v>
      </c>
      <c r="BW78" s="1093">
        <f ca="1">BW72/BW73</f>
        <v>0.70035968529348536</v>
      </c>
      <c r="CB78" s="1093">
        <f ca="1">CB72/CB73</f>
        <v>0.67504200552479443</v>
      </c>
      <c r="CG78" s="1093">
        <f ca="1">CG72/CG73</f>
        <v>0.6636756887231704</v>
      </c>
      <c r="CL78" s="1093">
        <f ca="1">CL72/CL73</f>
        <v>0.68147964339529676</v>
      </c>
      <c r="CQ78" s="1093">
        <f ca="1">CQ72/CQ73</f>
        <v>0.69270540685307858</v>
      </c>
      <c r="CV78" s="1093">
        <f ca="1">CV72/CV73</f>
        <v>0.69241105299357819</v>
      </c>
      <c r="DA78" s="1093">
        <f ca="1">DA72/DA73</f>
        <v>0.70439854837152549</v>
      </c>
      <c r="DF78" s="3308">
        <f ca="1">DF72/DF73</f>
        <v>0.69680647721988709</v>
      </c>
      <c r="DK78" s="3308">
        <f ca="1">DK72/DK73</f>
        <v>0.68172063086242063</v>
      </c>
      <c r="DL78" s="3308"/>
      <c r="DP78" s="3308">
        <f ca="1">DP72/DP73</f>
        <v>0.68121227397202733</v>
      </c>
      <c r="DQ78" s="3308"/>
      <c r="DR78" s="3308"/>
      <c r="DS78" s="3308"/>
      <c r="DT78" s="3308"/>
      <c r="DU78" s="3308">
        <f ca="1">DU72/DU73</f>
        <v>0.68403038201221233</v>
      </c>
      <c r="DW78" s="3308"/>
      <c r="DX78" s="3308"/>
      <c r="DY78" s="3308"/>
      <c r="DZ78" s="3308">
        <f ca="1">DZ72/DZ73</f>
        <v>0.68403839034628966</v>
      </c>
      <c r="EB78" s="3308"/>
      <c r="EC78" s="3308"/>
      <c r="ED78" s="3308"/>
      <c r="EE78" s="3308">
        <f ca="1">EE72/EE73</f>
        <v>0.68561726525061872</v>
      </c>
    </row>
    <row r="79" spans="1:136">
      <c r="B79" s="1"/>
      <c r="C79" s="811"/>
      <c r="D79" s="3812"/>
      <c r="E79" s="3805" t="s">
        <v>1753</v>
      </c>
      <c r="F79" s="3806"/>
      <c r="G79" s="3809">
        <f>+InputY!$G$3</f>
        <v>1995</v>
      </c>
      <c r="H79" s="3791"/>
      <c r="I79" s="3791"/>
      <c r="J79" s="3791"/>
      <c r="K79" s="3791"/>
      <c r="L79" s="3791">
        <f>+G79+1</f>
        <v>1996</v>
      </c>
      <c r="M79" s="3791"/>
      <c r="N79" s="3791"/>
      <c r="O79" s="3791"/>
      <c r="P79" s="3791"/>
      <c r="Q79" s="3791">
        <f>+L79+1</f>
        <v>1997</v>
      </c>
      <c r="R79" s="3791"/>
      <c r="S79" s="3791"/>
      <c r="T79" s="3791"/>
      <c r="U79" s="3791"/>
      <c r="V79" s="3791">
        <f>+Q79+1</f>
        <v>1998</v>
      </c>
      <c r="W79" s="3791"/>
      <c r="X79" s="3791"/>
      <c r="Y79" s="3791"/>
      <c r="Z79" s="3791"/>
      <c r="AA79" s="3791">
        <f>+V79+1</f>
        <v>1999</v>
      </c>
      <c r="AB79" s="3791"/>
      <c r="AC79" s="3791"/>
      <c r="AD79" s="3791"/>
      <c r="AE79" s="3791"/>
      <c r="AF79" s="3791">
        <f>+AA79+1</f>
        <v>2000</v>
      </c>
      <c r="AG79" s="3791"/>
      <c r="AH79" s="3791"/>
      <c r="AI79" s="3791"/>
      <c r="AJ79" s="3791"/>
      <c r="AK79" s="3791">
        <f>+AF79+1</f>
        <v>2001</v>
      </c>
      <c r="AL79" s="3791"/>
      <c r="AM79" s="3791"/>
      <c r="AN79" s="3791"/>
      <c r="AO79" s="3791"/>
      <c r="AP79" s="3791">
        <f>+AK79+1</f>
        <v>2002</v>
      </c>
      <c r="AQ79" s="3791"/>
      <c r="AR79" s="3791"/>
      <c r="AS79" s="3791"/>
      <c r="AT79" s="3791"/>
      <c r="AU79" s="3791">
        <f>+AP79+1</f>
        <v>2003</v>
      </c>
      <c r="AV79" s="3791"/>
      <c r="AW79" s="3791"/>
      <c r="AX79" s="3791"/>
      <c r="AY79" s="3791"/>
      <c r="AZ79" s="3791">
        <f>+AU79+1</f>
        <v>2004</v>
      </c>
      <c r="BA79" s="3791"/>
      <c r="BB79" s="3791"/>
      <c r="BC79" s="3791"/>
      <c r="BD79" s="3791"/>
      <c r="BE79" s="3791">
        <f>+AZ79+1</f>
        <v>2005</v>
      </c>
      <c r="BF79" s="3791"/>
      <c r="BG79" s="3791"/>
      <c r="BH79" s="3791"/>
      <c r="BI79" s="3791"/>
      <c r="BJ79" s="3791">
        <f>+BE79+1</f>
        <v>2006</v>
      </c>
      <c r="BK79" s="3791"/>
      <c r="BL79" s="3791"/>
      <c r="BM79" s="3791"/>
      <c r="BN79" s="3791"/>
      <c r="BO79" s="3791">
        <f>+BJ79+1</f>
        <v>2007</v>
      </c>
      <c r="BP79" s="3791"/>
      <c r="BQ79" s="3791"/>
      <c r="BR79" s="3791"/>
      <c r="BS79" s="3791"/>
      <c r="BT79" s="3791">
        <f>+BO79+1</f>
        <v>2008</v>
      </c>
      <c r="BU79" s="3791"/>
      <c r="BV79" s="3791"/>
      <c r="BW79" s="3791"/>
      <c r="BX79" s="3791"/>
      <c r="BY79" s="3791">
        <f>+BT79+1</f>
        <v>2009</v>
      </c>
      <c r="BZ79" s="3791"/>
      <c r="CA79" s="3791"/>
      <c r="CB79" s="3791"/>
      <c r="CC79" s="3791"/>
      <c r="CD79" s="3791">
        <f>+BY79+1</f>
        <v>2010</v>
      </c>
      <c r="CE79" s="3791"/>
      <c r="CF79" s="3791"/>
      <c r="CG79" s="3791"/>
      <c r="CH79" s="3791"/>
      <c r="CI79" s="3791">
        <f>+CD79+1</f>
        <v>2011</v>
      </c>
      <c r="CJ79" s="3791"/>
      <c r="CK79" s="3791"/>
      <c r="CL79" s="3791"/>
      <c r="CM79" s="3791"/>
      <c r="CN79" s="3791">
        <f>+CI79+1</f>
        <v>2012</v>
      </c>
      <c r="CO79" s="3791"/>
      <c r="CP79" s="3791"/>
      <c r="CQ79" s="3791"/>
      <c r="CR79" s="3791"/>
      <c r="CS79" s="3791">
        <f>+CN79+1</f>
        <v>2013</v>
      </c>
      <c r="CT79" s="3791"/>
      <c r="CU79" s="3791"/>
      <c r="CV79" s="3791"/>
      <c r="CW79" s="3791"/>
      <c r="CX79" s="3802">
        <f>+CS79+1</f>
        <v>2014</v>
      </c>
      <c r="CY79" s="3803"/>
      <c r="CZ79" s="3803"/>
      <c r="DA79" s="3803"/>
      <c r="DB79" s="3804"/>
      <c r="DC79" s="3802">
        <f>+CX79+1</f>
        <v>2015</v>
      </c>
      <c r="DD79" s="3803"/>
      <c r="DE79" s="3803"/>
      <c r="DF79" s="3803"/>
      <c r="DG79" s="3804"/>
      <c r="DH79" s="3791">
        <f>+DC79+1</f>
        <v>2016</v>
      </c>
      <c r="DI79" s="3791"/>
      <c r="DJ79" s="3791"/>
      <c r="DK79" s="3791"/>
      <c r="DL79" s="3791"/>
      <c r="DM79" s="3791">
        <f>+DH79+1</f>
        <v>2017</v>
      </c>
      <c r="DN79" s="3791"/>
      <c r="DO79" s="3791"/>
      <c r="DP79" s="3791"/>
      <c r="DQ79" s="3791"/>
      <c r="DR79" s="3791">
        <f>+DM79+1</f>
        <v>2018</v>
      </c>
      <c r="DS79" s="3791"/>
      <c r="DT79" s="3791"/>
      <c r="DU79" s="3791"/>
      <c r="DV79" s="3791"/>
      <c r="DW79" s="3791">
        <f>+DR79+1</f>
        <v>2019</v>
      </c>
      <c r="DX79" s="3791"/>
      <c r="DY79" s="3791"/>
      <c r="DZ79" s="3791"/>
      <c r="EA79" s="3791"/>
      <c r="EB79" s="3791">
        <f>+DW79+1</f>
        <v>2020</v>
      </c>
      <c r="EC79" s="3791"/>
      <c r="ED79" s="3791"/>
      <c r="EE79" s="3791"/>
      <c r="EF79" s="3791"/>
    </row>
    <row r="80" spans="1:136">
      <c r="B80" s="1"/>
      <c r="C80" s="811"/>
      <c r="D80" s="3812"/>
      <c r="E80" s="3805"/>
      <c r="F80" s="3806"/>
      <c r="G80" s="1300" t="s">
        <v>396</v>
      </c>
      <c r="H80" s="1297" t="s">
        <v>1774</v>
      </c>
      <c r="I80" s="1296" t="s">
        <v>1249</v>
      </c>
      <c r="J80" s="1297" t="s">
        <v>1772</v>
      </c>
      <c r="K80" s="1296" t="s">
        <v>1250</v>
      </c>
      <c r="L80" s="1296" t="s">
        <v>396</v>
      </c>
      <c r="M80" s="1297" t="s">
        <v>1774</v>
      </c>
      <c r="N80" s="1296" t="s">
        <v>1249</v>
      </c>
      <c r="O80" s="1297" t="s">
        <v>1772</v>
      </c>
      <c r="P80" s="1296" t="s">
        <v>1250</v>
      </c>
      <c r="Q80" s="1296" t="s">
        <v>396</v>
      </c>
      <c r="R80" s="1297" t="s">
        <v>1774</v>
      </c>
      <c r="S80" s="1296" t="s">
        <v>1249</v>
      </c>
      <c r="T80" s="1297" t="s">
        <v>1772</v>
      </c>
      <c r="U80" s="1296" t="s">
        <v>1250</v>
      </c>
      <c r="V80" s="1296" t="s">
        <v>396</v>
      </c>
      <c r="W80" s="1297" t="s">
        <v>1774</v>
      </c>
      <c r="X80" s="1296" t="s">
        <v>1249</v>
      </c>
      <c r="Y80" s="1297" t="s">
        <v>1772</v>
      </c>
      <c r="Z80" s="1296" t="s">
        <v>1250</v>
      </c>
      <c r="AA80" s="1296" t="s">
        <v>396</v>
      </c>
      <c r="AB80" s="1297" t="s">
        <v>1774</v>
      </c>
      <c r="AC80" s="1296" t="s">
        <v>1249</v>
      </c>
      <c r="AD80" s="1297" t="s">
        <v>1772</v>
      </c>
      <c r="AE80" s="1296" t="s">
        <v>1250</v>
      </c>
      <c r="AF80" s="1296" t="s">
        <v>396</v>
      </c>
      <c r="AG80" s="1297" t="s">
        <v>1774</v>
      </c>
      <c r="AH80" s="1296" t="s">
        <v>1249</v>
      </c>
      <c r="AI80" s="1297" t="s">
        <v>1772</v>
      </c>
      <c r="AJ80" s="1296" t="s">
        <v>1250</v>
      </c>
      <c r="AK80" s="1296" t="s">
        <v>396</v>
      </c>
      <c r="AL80" s="1297" t="s">
        <v>1774</v>
      </c>
      <c r="AM80" s="1296" t="s">
        <v>1249</v>
      </c>
      <c r="AN80" s="1297" t="s">
        <v>1772</v>
      </c>
      <c r="AO80" s="1296" t="s">
        <v>1250</v>
      </c>
      <c r="AP80" s="1296" t="s">
        <v>396</v>
      </c>
      <c r="AQ80" s="1297" t="s">
        <v>1774</v>
      </c>
      <c r="AR80" s="1296" t="s">
        <v>1249</v>
      </c>
      <c r="AS80" s="1297" t="s">
        <v>1772</v>
      </c>
      <c r="AT80" s="1296" t="s">
        <v>1250</v>
      </c>
      <c r="AU80" s="1296" t="s">
        <v>396</v>
      </c>
      <c r="AV80" s="1297" t="s">
        <v>1774</v>
      </c>
      <c r="AW80" s="1296" t="s">
        <v>1249</v>
      </c>
      <c r="AX80" s="1297" t="s">
        <v>1772</v>
      </c>
      <c r="AY80" s="1296" t="s">
        <v>1250</v>
      </c>
      <c r="AZ80" s="1296" t="s">
        <v>396</v>
      </c>
      <c r="BA80" s="1297" t="s">
        <v>1774</v>
      </c>
      <c r="BB80" s="1296" t="s">
        <v>1249</v>
      </c>
      <c r="BC80" s="1297" t="s">
        <v>1772</v>
      </c>
      <c r="BD80" s="1296" t="s">
        <v>1250</v>
      </c>
      <c r="BE80" s="1296" t="s">
        <v>396</v>
      </c>
      <c r="BF80" s="1297" t="s">
        <v>1774</v>
      </c>
      <c r="BG80" s="1296" t="s">
        <v>1249</v>
      </c>
      <c r="BH80" s="1297" t="s">
        <v>1772</v>
      </c>
      <c r="BI80" s="1296" t="s">
        <v>1250</v>
      </c>
      <c r="BJ80" s="1296" t="s">
        <v>396</v>
      </c>
      <c r="BK80" s="1297" t="s">
        <v>1774</v>
      </c>
      <c r="BL80" s="1296" t="s">
        <v>1249</v>
      </c>
      <c r="BM80" s="1297" t="s">
        <v>1772</v>
      </c>
      <c r="BN80" s="1296" t="s">
        <v>1250</v>
      </c>
      <c r="BO80" s="1296" t="s">
        <v>396</v>
      </c>
      <c r="BP80" s="1297" t="s">
        <v>1774</v>
      </c>
      <c r="BQ80" s="1296" t="s">
        <v>1249</v>
      </c>
      <c r="BR80" s="1297" t="s">
        <v>1772</v>
      </c>
      <c r="BS80" s="1296" t="s">
        <v>1250</v>
      </c>
      <c r="BT80" s="1296" t="s">
        <v>396</v>
      </c>
      <c r="BU80" s="1297" t="s">
        <v>1774</v>
      </c>
      <c r="BV80" s="1296" t="s">
        <v>1249</v>
      </c>
      <c r="BW80" s="1297" t="s">
        <v>1772</v>
      </c>
      <c r="BX80" s="1296" t="s">
        <v>1250</v>
      </c>
      <c r="BY80" s="1296" t="s">
        <v>396</v>
      </c>
      <c r="BZ80" s="1297" t="s">
        <v>1774</v>
      </c>
      <c r="CA80" s="1296" t="s">
        <v>1249</v>
      </c>
      <c r="CB80" s="1297" t="s">
        <v>1772</v>
      </c>
      <c r="CC80" s="1296" t="s">
        <v>1250</v>
      </c>
      <c r="CD80" s="1296" t="s">
        <v>396</v>
      </c>
      <c r="CE80" s="1297" t="s">
        <v>1774</v>
      </c>
      <c r="CF80" s="1296" t="s">
        <v>1249</v>
      </c>
      <c r="CG80" s="1297" t="s">
        <v>1772</v>
      </c>
      <c r="CH80" s="1296" t="s">
        <v>1250</v>
      </c>
      <c r="CI80" s="1296" t="s">
        <v>396</v>
      </c>
      <c r="CJ80" s="1297" t="s">
        <v>1774</v>
      </c>
      <c r="CK80" s="1296" t="s">
        <v>1249</v>
      </c>
      <c r="CL80" s="1297" t="s">
        <v>1772</v>
      </c>
      <c r="CM80" s="1296" t="s">
        <v>1250</v>
      </c>
      <c r="CN80" s="1296" t="s">
        <v>396</v>
      </c>
      <c r="CO80" s="1297" t="s">
        <v>1774</v>
      </c>
      <c r="CP80" s="1296" t="s">
        <v>1249</v>
      </c>
      <c r="CQ80" s="1297" t="s">
        <v>1772</v>
      </c>
      <c r="CR80" s="1296" t="s">
        <v>1250</v>
      </c>
      <c r="CS80" s="1296" t="s">
        <v>396</v>
      </c>
      <c r="CT80" s="1297" t="s">
        <v>1774</v>
      </c>
      <c r="CU80" s="1296" t="s">
        <v>1249</v>
      </c>
      <c r="CV80" s="1297" t="s">
        <v>1772</v>
      </c>
      <c r="CW80" s="1296" t="s">
        <v>1250</v>
      </c>
      <c r="CX80" s="1296" t="s">
        <v>396</v>
      </c>
      <c r="CY80" s="1297" t="s">
        <v>1774</v>
      </c>
      <c r="CZ80" s="1296" t="s">
        <v>1249</v>
      </c>
      <c r="DA80" s="1297" t="s">
        <v>1772</v>
      </c>
      <c r="DB80" s="1296" t="s">
        <v>1250</v>
      </c>
      <c r="DC80" s="1296" t="s">
        <v>396</v>
      </c>
      <c r="DD80" s="1297" t="s">
        <v>1774</v>
      </c>
      <c r="DE80" s="1296" t="s">
        <v>1249</v>
      </c>
      <c r="DF80" s="1297" t="s">
        <v>1772</v>
      </c>
      <c r="DG80" s="1296" t="s">
        <v>1250</v>
      </c>
      <c r="DH80" s="1296" t="s">
        <v>396</v>
      </c>
      <c r="DI80" s="1297" t="s">
        <v>1774</v>
      </c>
      <c r="DJ80" s="1296" t="s">
        <v>1249</v>
      </c>
      <c r="DK80" s="1297" t="s">
        <v>1772</v>
      </c>
      <c r="DL80" s="1296" t="s">
        <v>1250</v>
      </c>
      <c r="DM80" s="1296" t="s">
        <v>396</v>
      </c>
      <c r="DN80" s="1297" t="s">
        <v>1774</v>
      </c>
      <c r="DO80" s="1296" t="s">
        <v>1249</v>
      </c>
      <c r="DP80" s="1297" t="s">
        <v>1772</v>
      </c>
      <c r="DQ80" s="1296" t="s">
        <v>1250</v>
      </c>
      <c r="DR80" s="1296" t="s">
        <v>396</v>
      </c>
      <c r="DS80" s="1297" t="s">
        <v>1774</v>
      </c>
      <c r="DT80" s="1296" t="s">
        <v>1249</v>
      </c>
      <c r="DU80" s="1297" t="s">
        <v>1772</v>
      </c>
      <c r="DV80" s="1296" t="s">
        <v>1250</v>
      </c>
      <c r="DW80" s="1296" t="s">
        <v>396</v>
      </c>
      <c r="DX80" s="1297" t="s">
        <v>1774</v>
      </c>
      <c r="DY80" s="1296" t="s">
        <v>1249</v>
      </c>
      <c r="DZ80" s="1297" t="s">
        <v>1772</v>
      </c>
      <c r="EA80" s="1296" t="s">
        <v>1250</v>
      </c>
      <c r="EB80" s="1296" t="s">
        <v>396</v>
      </c>
      <c r="EC80" s="1297" t="s">
        <v>1774</v>
      </c>
      <c r="ED80" s="1296" t="s">
        <v>1249</v>
      </c>
      <c r="EE80" s="1297" t="s">
        <v>1772</v>
      </c>
      <c r="EF80" s="1296" t="s">
        <v>1250</v>
      </c>
    </row>
    <row r="81" spans="1:136">
      <c r="B81" s="1"/>
      <c r="C81" s="1122"/>
      <c r="D81" s="1126"/>
      <c r="E81" s="1127" t="s">
        <v>816</v>
      </c>
      <c r="F81" s="1129" t="s">
        <v>71</v>
      </c>
      <c r="G81" s="1421"/>
      <c r="H81" s="1422"/>
      <c r="I81" s="1423"/>
      <c r="J81" s="1394">
        <f ca="1">OFFSET('VVP2'!$G$260,0,(COLUMN()-6)/5)</f>
        <v>21.568999999999999</v>
      </c>
      <c r="K81" s="1424"/>
      <c r="L81" s="1400">
        <f ca="1">+L11</f>
        <v>-70.752197773352208</v>
      </c>
      <c r="M81" s="1394">
        <f ca="1">+J81*(1+L81/100)</f>
        <v>6.3084584622656612</v>
      </c>
      <c r="N81" s="1401">
        <f ca="1">+O81/M81*100-100</f>
        <v>16.430979833416686</v>
      </c>
      <c r="O81" s="1394">
        <f ca="1">OFFSET('VVP2'!$G$260,0,(COLUMN()-6)/5)</f>
        <v>7.3449999999999998</v>
      </c>
      <c r="P81" s="1402">
        <f ca="1">(O81/J81-1)*100</f>
        <v>-65.946497287774122</v>
      </c>
      <c r="Q81" s="1400">
        <f ca="1">+Q11</f>
        <v>30.032118751224175</v>
      </c>
      <c r="R81" s="1394">
        <f ca="1">+O81*(1+Q81/100)</f>
        <v>9.5508591222774157</v>
      </c>
      <c r="S81" s="1401">
        <f ca="1">+T81/R81*100-100</f>
        <v>0.92285810725650208</v>
      </c>
      <c r="T81" s="1394">
        <f ca="1">OFFSET('VVP2'!$G$260,0,(COLUMN()-6)/5)</f>
        <v>9.6389999999999993</v>
      </c>
      <c r="U81" s="1402">
        <f ca="1">(T81/O81-1)*100</f>
        <v>31.232130701157246</v>
      </c>
      <c r="V81" s="1400">
        <f ca="1">+V11</f>
        <v>65.957873351217245</v>
      </c>
      <c r="W81" s="1394">
        <f ca="1">+T81*(1+V81/100)</f>
        <v>15.996679412323831</v>
      </c>
      <c r="X81" s="1401">
        <f ca="1">+Y81/W81*100-100</f>
        <v>-2.5547765369916959</v>
      </c>
      <c r="Y81" s="1394">
        <f ca="1">OFFSET('VVP2'!$G$260,0,(COLUMN()-6)/5)</f>
        <v>15.587999999999999</v>
      </c>
      <c r="Z81" s="1402">
        <f ca="1">(Y81/T81-1)*100</f>
        <v>61.718020541549954</v>
      </c>
      <c r="AA81" s="1400">
        <f ca="1">+AA11</f>
        <v>-59.31514697837116</v>
      </c>
      <c r="AB81" s="1394">
        <f ca="1">+Y81*(1+AA81/100)</f>
        <v>6.3419548890115038</v>
      </c>
      <c r="AC81" s="1401">
        <f ca="1">+AD81/AB81*100-100</f>
        <v>-11.052662803168559</v>
      </c>
      <c r="AD81" s="1394">
        <f ca="1">OFFSET('VVP2'!$G$260,0,(COLUMN()-6)/5)</f>
        <v>5.641</v>
      </c>
      <c r="AE81" s="1402">
        <f ca="1">(AD81/Y81-1)*100</f>
        <v>-63.811906594816527</v>
      </c>
      <c r="AF81" s="1400">
        <f ca="1">+AF11</f>
        <v>168.55031088056876</v>
      </c>
      <c r="AG81" s="1394">
        <f ca="1">+AD81*(1+AF81/100)</f>
        <v>15.148923036772885</v>
      </c>
      <c r="AH81" s="1401">
        <f ca="1">+AI81/AG81*100-100</f>
        <v>3.3604828672729354</v>
      </c>
      <c r="AI81" s="1394">
        <f ca="1">OFFSET('VVP2'!$G$260,0,(COLUMN()-6)/5)</f>
        <v>15.657999999999999</v>
      </c>
      <c r="AJ81" s="1402">
        <f ca="1">(AI81/AD81-1)*100</f>
        <v>177.57489806771849</v>
      </c>
      <c r="AK81" s="1400">
        <f ca="1">+AK11</f>
        <v>-50.309169883544506</v>
      </c>
      <c r="AL81" s="1394">
        <f ca="1">+AI81*(1+AK81/100)</f>
        <v>7.7805901796346015</v>
      </c>
      <c r="AM81" s="1401">
        <f ca="1">+AN81/AL81*100-100</f>
        <v>-9.4927269343633327</v>
      </c>
      <c r="AN81" s="1394">
        <f ca="1">OFFSET('VVP2'!$G$260,0,(COLUMN()-6)/5)</f>
        <v>7.0419999999999998</v>
      </c>
      <c r="AO81" s="1402">
        <f ca="1">(AN81/AI81-1)*100</f>
        <v>-55.026184697917998</v>
      </c>
      <c r="AP81" s="1400">
        <f ca="1">+AP11</f>
        <v>-67.589588529854424</v>
      </c>
      <c r="AQ81" s="1394">
        <f ca="1">+AN81*(1+AP81/100)</f>
        <v>2.2823411757276513</v>
      </c>
      <c r="AR81" s="1401">
        <f ca="1">+AS81/AQ81*100-100</f>
        <v>-1.1541296282863414</v>
      </c>
      <c r="AS81" s="1394">
        <f ca="1">OFFSET('VVP2'!$G$260,0,(COLUMN()-6)/5)</f>
        <v>2.2559999999999998</v>
      </c>
      <c r="AT81" s="1402">
        <f ca="1">(AS81/AN81-1)*100</f>
        <v>-67.963646691280886</v>
      </c>
      <c r="AU81" s="1400">
        <f ca="1">+AU11</f>
        <v>252.85259310550526</v>
      </c>
      <c r="AV81" s="1394">
        <f ca="1">+AS81*(1+AU81/100)</f>
        <v>7.9603545004601983</v>
      </c>
      <c r="AW81" s="1401">
        <f ca="1">+AX81/AV81*100-100</f>
        <v>1.9552583937160364</v>
      </c>
      <c r="AX81" s="1394">
        <f ca="1">OFFSET('VVP2'!$G$260,0,(COLUMN()-6)/5)</f>
        <v>8.1159999999999997</v>
      </c>
      <c r="AY81" s="1402">
        <f ca="1">(AX81/AS81-1)*100</f>
        <v>259.75177304964541</v>
      </c>
      <c r="AZ81" s="1400">
        <f ca="1">+AZ11</f>
        <v>-89.702062421449497</v>
      </c>
      <c r="BA81" s="1394">
        <f ca="1">+AX81*(1+AZ81/100)</f>
        <v>0.83578061387515834</v>
      </c>
      <c r="BB81" s="1401">
        <f ca="1">+BC81/BA81*100-100</f>
        <v>-196.91538503679516</v>
      </c>
      <c r="BC81" s="1394">
        <f ca="1">OFFSET('VVP2'!$G$260,0,(COLUMN()-6)/5)</f>
        <v>-0.81</v>
      </c>
      <c r="BD81" s="1402">
        <f ca="1">(BC81/AX81-1)*100</f>
        <v>-109.98028585510104</v>
      </c>
      <c r="BE81" s="1400">
        <f ca="1">+BE11</f>
        <v>35.971617231815685</v>
      </c>
      <c r="BF81" s="1394">
        <f ca="1">+BC81*(1+BE81/100)</f>
        <v>-1.1013700995777072</v>
      </c>
      <c r="BG81" s="1401">
        <f ca="1">+BH81/BF81*100-100</f>
        <v>252.83325754802945</v>
      </c>
      <c r="BH81" s="1394">
        <f ca="1">OFFSET('VVP2'!$G$260,0,(COLUMN()-6)/5)</f>
        <v>-3.8860000000000001</v>
      </c>
      <c r="BI81" s="1402">
        <f ca="1">(BH81/BC81-1)*100</f>
        <v>379.75308641975306</v>
      </c>
      <c r="BJ81" s="1400">
        <f ca="1">+BJ11</f>
        <v>-150.34000971244626</v>
      </c>
      <c r="BK81" s="1394">
        <f ca="1">+BH81*(1+BJ81/100)</f>
        <v>1.9562127774256615</v>
      </c>
      <c r="BL81" s="1401">
        <f ca="1">+BM81/BK81*100-100</f>
        <v>-57.673316034177425</v>
      </c>
      <c r="BM81" s="1394">
        <f ca="1">OFFSET('VVP2'!$G$260,0,(COLUMN()-6)/5)</f>
        <v>0.82799999999999996</v>
      </c>
      <c r="BN81" s="1402">
        <f ca="1">(BM81/BH81-1)*100</f>
        <v>-121.30725681935152</v>
      </c>
      <c r="BO81" s="1400">
        <f ca="1">+BO11</f>
        <v>2463.8885454871734</v>
      </c>
      <c r="BP81" s="1394">
        <f ca="1">+BM81*(1+BO81/100)</f>
        <v>21.228997156633795</v>
      </c>
      <c r="BQ81" s="1401">
        <f ca="1">+BR81/BP81*100-100</f>
        <v>11.832885109135887</v>
      </c>
      <c r="BR81" s="1394">
        <f ca="1">OFFSET('VVP2'!$G$260,0,(COLUMN()-6)/5)</f>
        <v>23.741</v>
      </c>
      <c r="BS81" s="1402">
        <f ca="1">(BR81/BM81-1)*100</f>
        <v>2767.2705314009663</v>
      </c>
      <c r="BT81" s="1400">
        <f ca="1">+BT11</f>
        <v>-70.334528088956915</v>
      </c>
      <c r="BU81" s="1394">
        <f ca="1">+BR81*(1+BT81/100)</f>
        <v>7.0428796864007381</v>
      </c>
      <c r="BV81" s="1401">
        <f ca="1">+BW81/BU81*100-100</f>
        <v>-3.9597394647992274</v>
      </c>
      <c r="BW81" s="1394">
        <f ca="1">OFFSET('VVP2'!$G$260,0,(COLUMN()-6)/5)</f>
        <v>6.7640000000000002</v>
      </c>
      <c r="BX81" s="1402">
        <f ca="1">(BW81/BR81-1)*100</f>
        <v>-71.509203487637421</v>
      </c>
      <c r="BY81" s="1400">
        <f ca="1">+BY11</f>
        <v>-780.79015760185985</v>
      </c>
      <c r="BZ81" s="1394">
        <f ca="1">+BW81*(1+BY81/100)</f>
        <v>-46.048646260189798</v>
      </c>
      <c r="CA81" s="1401">
        <f ca="1">+CB81/BZ81*100-100</f>
        <v>-0.51824815618111586</v>
      </c>
      <c r="CB81" s="1394">
        <f ca="1">OFFSET('VVP2'!$G$260,0,(COLUMN()-6)/5)</f>
        <v>-45.81</v>
      </c>
      <c r="CC81" s="1402">
        <f ca="1">(CB81/BW81-1)*100</f>
        <v>-777.26197516262573</v>
      </c>
      <c r="CD81" s="1400">
        <f ca="1">+CD11</f>
        <v>-150.93481291774293</v>
      </c>
      <c r="CE81" s="1394">
        <f ca="1">+CB81*(1+CD81/100)</f>
        <v>23.33323779761804</v>
      </c>
      <c r="CF81" s="1401">
        <f ca="1">+CG81/CE81*100-100</f>
        <v>-0.52816415230046232</v>
      </c>
      <c r="CG81" s="1394">
        <f ca="1">OFFSET('VVP2'!$G$260,0,(COLUMN()-6)/5)</f>
        <v>23.21</v>
      </c>
      <c r="CH81" s="1402">
        <f ca="1">(CG81/CB81-1)*100</f>
        <v>-150.66579349487012</v>
      </c>
      <c r="CI81" s="1400">
        <f ca="1">+CI11</f>
        <v>76.436535975869504</v>
      </c>
      <c r="CJ81" s="1394">
        <f ca="1">+CG81*(1+CI81/100)</f>
        <v>40.950919999999314</v>
      </c>
      <c r="CK81" s="1401">
        <f ca="1">+CL81/CJ81*100-100</f>
        <v>0.3982328113768574</v>
      </c>
      <c r="CL81" s="1394">
        <f ca="1">OFFSET('VVP2'!$G$260,0,(COLUMN()-6)/5)</f>
        <v>41.113999999999997</v>
      </c>
      <c r="CM81" s="1402">
        <f ca="1">(CL81/CG81-1)*100</f>
        <v>77.13916415338214</v>
      </c>
      <c r="CN81" s="1400">
        <f ca="1">+CN11</f>
        <v>-100.89990281377743</v>
      </c>
      <c r="CO81" s="1394">
        <f ca="1">+CL81*(1+CN81/100)</f>
        <v>-0.36998604285645303</v>
      </c>
      <c r="CP81" s="1401">
        <f ca="1">+CQ81/CO81*100-100</f>
        <v>177.30775790319933</v>
      </c>
      <c r="CQ81" s="1394">
        <f ca="1">OFFSET('VVP2'!$G$260,0,(COLUMN()-6)/5)</f>
        <v>-1.026</v>
      </c>
      <c r="CR81" s="1402">
        <f ca="1">(CQ81/CL81-1)*100</f>
        <v>-102.49550031619398</v>
      </c>
      <c r="CS81" s="1400">
        <f ca="1">+CS11</f>
        <v>-745.05899428259431</v>
      </c>
      <c r="CT81" s="1394">
        <f ca="1">+CQ81*(1+CS81/100)</f>
        <v>6.6183052813394179</v>
      </c>
      <c r="CU81" s="1401">
        <f ca="1">+CV81/CT81*100-100</f>
        <v>-11.049736303360973</v>
      </c>
      <c r="CV81" s="1394">
        <f ca="1">OFFSET('VVP2'!$G$260,0,(COLUMN()-6)/5)</f>
        <v>5.8869999999999996</v>
      </c>
      <c r="CW81" s="1402">
        <f ca="1">(CV81/CQ81-1)*100</f>
        <v>-673.78167641325535</v>
      </c>
      <c r="CX81" s="1400">
        <f ca="1">+CX11</f>
        <v>101.39415104579638</v>
      </c>
      <c r="CY81" s="1394">
        <f ca="1">+CV81*(1+CX81/100)</f>
        <v>11.856073672066033</v>
      </c>
      <c r="CZ81" s="1401">
        <f ca="1">+DA81/CY81*100-100</f>
        <v>-0.39704267507161717</v>
      </c>
      <c r="DA81" s="1394">
        <f ca="1">OFFSET('VVP2'!$G$260,0,(COLUMN()-6)/5)</f>
        <v>11.808999999999999</v>
      </c>
      <c r="DB81" s="1402">
        <f ca="1">(DA81/CV81-1)*100</f>
        <v>100.59453032104639</v>
      </c>
      <c r="DC81" s="1400">
        <f ca="1">+DC11</f>
        <v>142.04577837401206</v>
      </c>
      <c r="DD81" s="1394">
        <f ca="1">+DA81*(1+DC81/100)</f>
        <v>28.583185968187085</v>
      </c>
      <c r="DE81" s="1401">
        <f ca="1">+DF81/DD81*100-100</f>
        <v>5.712498367502576</v>
      </c>
      <c r="DF81" s="1394">
        <f ca="1">OFFSET('VVP2'!$G$260,0,(COLUMN()-6)/5)</f>
        <v>30.216000000000001</v>
      </c>
      <c r="DG81" s="1402">
        <f ca="1">(DF81/DA81-1)*100</f>
        <v>155.87263951223647</v>
      </c>
      <c r="DH81" s="1400">
        <f ca="1">+DH11</f>
        <v>-16.226479713228628</v>
      </c>
      <c r="DI81" s="1394">
        <f ca="1">+DF81*(1+DH81/100)</f>
        <v>25.31300688985084</v>
      </c>
      <c r="DJ81" s="1401">
        <f ca="1">+DK81/DI81*100-100</f>
        <v>0.48193843852692453</v>
      </c>
      <c r="DK81" s="1394">
        <f ca="1">OFFSET('VVP2'!$G$260,0,(COLUMN()-6)/5)</f>
        <v>25.434999999999999</v>
      </c>
      <c r="DL81" s="1402">
        <f ca="1">(DK81/DF81-1)*100</f>
        <v>-15.822742917659527</v>
      </c>
      <c r="DM81" s="1400">
        <f ca="1">+DM11</f>
        <v>23.893306593498778</v>
      </c>
      <c r="DN81" s="1394">
        <f ca="1">+DK81*(1+DM81/100)</f>
        <v>31.512262532056411</v>
      </c>
      <c r="DO81" s="1401">
        <f ca="1">+DP81/DN81*100-100</f>
        <v>-2.3967258183639046</v>
      </c>
      <c r="DP81" s="1394">
        <f ca="1">OFFSET('VVP2'!$G$260,0,(COLUMN()-6)/5)</f>
        <v>30.757000000000001</v>
      </c>
      <c r="DQ81" s="1402">
        <f ca="1">(DP81/DK81-1)*100</f>
        <v>20.923923727147642</v>
      </c>
      <c r="DR81" s="2304">
        <v>20</v>
      </c>
      <c r="DS81" s="2317">
        <f ca="1">+DP81*(1+DR81/100)</f>
        <v>36.9084</v>
      </c>
      <c r="DT81" s="2304">
        <v>5.0999999999999996</v>
      </c>
      <c r="DU81" s="2317">
        <f ca="1">+DS81*(1+DT81/100)</f>
        <v>38.790728399999999</v>
      </c>
      <c r="DV81" s="2318">
        <f ca="1">(DU81/DP81-1)*100</f>
        <v>26.119999999999987</v>
      </c>
      <c r="DW81" s="2304">
        <v>-17</v>
      </c>
      <c r="DX81" s="2317">
        <f ca="1">+DU81*(1+DW81/100)</f>
        <v>32.196304571999995</v>
      </c>
      <c r="DY81" s="2304">
        <v>3.1</v>
      </c>
      <c r="DZ81" s="2317">
        <f ca="1">+DX81*(1+DY81/100)</f>
        <v>33.19439001373199</v>
      </c>
      <c r="EA81" s="2318">
        <f ca="1">(DZ81/DU81-1)*100</f>
        <v>-14.427000000000023</v>
      </c>
      <c r="EB81" s="2304">
        <v>0</v>
      </c>
      <c r="EC81" s="2317">
        <f ca="1">+DZ81*(1+EB81/100)</f>
        <v>33.19439001373199</v>
      </c>
      <c r="ED81" s="2304">
        <v>0</v>
      </c>
      <c r="EE81" s="2317">
        <f ca="1">+EC81*(1+ED81/100)</f>
        <v>33.19439001373199</v>
      </c>
      <c r="EF81" s="2318">
        <f ca="1">(EE81/DZ81-1)*100</f>
        <v>0</v>
      </c>
    </row>
    <row r="84" spans="1:136">
      <c r="B84" s="1"/>
      <c r="C84" s="811"/>
      <c r="D84" s="3812"/>
      <c r="E84" s="3805" t="s">
        <v>1746</v>
      </c>
      <c r="F84" s="3806"/>
      <c r="G84" s="3788">
        <f>+InputY!$G$3</f>
        <v>1995</v>
      </c>
      <c r="H84" s="3789"/>
      <c r="I84" s="3789"/>
      <c r="J84" s="3789"/>
      <c r="K84" s="3790"/>
      <c r="L84" s="3788">
        <f>+G84+1</f>
        <v>1996</v>
      </c>
      <c r="M84" s="3789"/>
      <c r="N84" s="3789"/>
      <c r="O84" s="3789"/>
      <c r="P84" s="3790"/>
      <c r="Q84" s="3788">
        <f>+L84+1</f>
        <v>1997</v>
      </c>
      <c r="R84" s="3789"/>
      <c r="S84" s="3789"/>
      <c r="T84" s="3789"/>
      <c r="U84" s="3790"/>
      <c r="V84" s="3788">
        <f>+Q84+1</f>
        <v>1998</v>
      </c>
      <c r="W84" s="3789"/>
      <c r="X84" s="3789"/>
      <c r="Y84" s="3789"/>
      <c r="Z84" s="3790"/>
      <c r="AA84" s="3788">
        <f>+V84+1</f>
        <v>1999</v>
      </c>
      <c r="AB84" s="3789"/>
      <c r="AC84" s="3789"/>
      <c r="AD84" s="3789"/>
      <c r="AE84" s="3790"/>
      <c r="AF84" s="3788">
        <f>+AA84+1</f>
        <v>2000</v>
      </c>
      <c r="AG84" s="3789"/>
      <c r="AH84" s="3789"/>
      <c r="AI84" s="3789"/>
      <c r="AJ84" s="3790"/>
      <c r="AK84" s="3788">
        <f>+AF84+1</f>
        <v>2001</v>
      </c>
      <c r="AL84" s="3789"/>
      <c r="AM84" s="3789"/>
      <c r="AN84" s="3789"/>
      <c r="AO84" s="3790"/>
      <c r="AP84" s="3788">
        <f>+AK84+1</f>
        <v>2002</v>
      </c>
      <c r="AQ84" s="3789"/>
      <c r="AR84" s="3789"/>
      <c r="AS84" s="3789"/>
      <c r="AT84" s="3790"/>
      <c r="AU84" s="3788">
        <f>+AP84+1</f>
        <v>2003</v>
      </c>
      <c r="AV84" s="3789"/>
      <c r="AW84" s="3789"/>
      <c r="AX84" s="3789"/>
      <c r="AY84" s="3790"/>
      <c r="AZ84" s="3788">
        <f>+AU84+1</f>
        <v>2004</v>
      </c>
      <c r="BA84" s="3789"/>
      <c r="BB84" s="3789"/>
      <c r="BC84" s="3789"/>
      <c r="BD84" s="3790"/>
      <c r="BE84" s="3788">
        <f>+AZ84+1</f>
        <v>2005</v>
      </c>
      <c r="BF84" s="3789"/>
      <c r="BG84" s="3789"/>
      <c r="BH84" s="3789"/>
      <c r="BI84" s="3790"/>
      <c r="BJ84" s="3788">
        <f>+BE84+1</f>
        <v>2006</v>
      </c>
      <c r="BK84" s="3789"/>
      <c r="BL84" s="3789"/>
      <c r="BM84" s="3789"/>
      <c r="BN84" s="3790"/>
      <c r="BO84" s="3788">
        <f>+BJ84+1</f>
        <v>2007</v>
      </c>
      <c r="BP84" s="3789"/>
      <c r="BQ84" s="3789"/>
      <c r="BR84" s="3789"/>
      <c r="BS84" s="3790"/>
      <c r="BT84" s="3788">
        <f>+BO84+1</f>
        <v>2008</v>
      </c>
      <c r="BU84" s="3789"/>
      <c r="BV84" s="3789"/>
      <c r="BW84" s="3789"/>
      <c r="BX84" s="3790"/>
      <c r="BY84" s="3788">
        <f>+BT84+1</f>
        <v>2009</v>
      </c>
      <c r="BZ84" s="3789"/>
      <c r="CA84" s="3789"/>
      <c r="CB84" s="3789"/>
      <c r="CC84" s="3790"/>
      <c r="CD84" s="3788">
        <f>+BY84+1</f>
        <v>2010</v>
      </c>
      <c r="CE84" s="3789"/>
      <c r="CF84" s="3789"/>
      <c r="CG84" s="3789"/>
      <c r="CH84" s="3790"/>
      <c r="CI84" s="3788">
        <f>+CD84+1</f>
        <v>2011</v>
      </c>
      <c r="CJ84" s="3789"/>
      <c r="CK84" s="3789"/>
      <c r="CL84" s="3789"/>
      <c r="CM84" s="3790"/>
      <c r="CN84" s="3788">
        <f>+CI84+1</f>
        <v>2012</v>
      </c>
      <c r="CO84" s="3789"/>
      <c r="CP84" s="3789"/>
      <c r="CQ84" s="3789"/>
      <c r="CR84" s="3790"/>
      <c r="CS84" s="3788">
        <f>+CN84+1</f>
        <v>2013</v>
      </c>
      <c r="CT84" s="3789"/>
      <c r="CU84" s="3789"/>
      <c r="CV84" s="3789"/>
      <c r="CW84" s="3790"/>
      <c r="CX84" s="3796">
        <f>+CS84+1</f>
        <v>2014</v>
      </c>
      <c r="CY84" s="3797"/>
      <c r="CZ84" s="3797"/>
      <c r="DA84" s="3797"/>
      <c r="DB84" s="3798"/>
      <c r="DC84" s="3796">
        <f>+CX84+1</f>
        <v>2015</v>
      </c>
      <c r="DD84" s="3797"/>
      <c r="DE84" s="3797"/>
      <c r="DF84" s="3797"/>
      <c r="DG84" s="3798"/>
      <c r="DH84" s="3788">
        <f>+DC84+1</f>
        <v>2016</v>
      </c>
      <c r="DI84" s="3789"/>
      <c r="DJ84" s="3789"/>
      <c r="DK84" s="3789"/>
      <c r="DL84" s="3790"/>
      <c r="DM84" s="3796">
        <f>+DH84+1</f>
        <v>2017</v>
      </c>
      <c r="DN84" s="3797"/>
      <c r="DO84" s="3797"/>
      <c r="DP84" s="3797"/>
      <c r="DQ84" s="3798"/>
      <c r="DR84" s="3788">
        <f>+DM84+1</f>
        <v>2018</v>
      </c>
      <c r="DS84" s="3789"/>
      <c r="DT84" s="3789"/>
      <c r="DU84" s="3789"/>
      <c r="DV84" s="3790"/>
      <c r="DW84" s="3788">
        <f>+DR84+1</f>
        <v>2019</v>
      </c>
      <c r="DX84" s="3789"/>
      <c r="DY84" s="3789"/>
      <c r="DZ84" s="3789"/>
      <c r="EA84" s="3790"/>
      <c r="EB84" s="3788">
        <f>+DW84+1</f>
        <v>2020</v>
      </c>
      <c r="EC84" s="3789"/>
      <c r="ED84" s="3789"/>
      <c r="EE84" s="3789"/>
      <c r="EF84" s="3790"/>
    </row>
    <row r="85" spans="1:136" ht="12.75" customHeight="1">
      <c r="B85" s="1"/>
      <c r="C85" s="811"/>
      <c r="D85" s="3812"/>
      <c r="E85" s="3805"/>
      <c r="F85" s="3806"/>
      <c r="G85" s="1296" t="s">
        <v>396</v>
      </c>
      <c r="H85" s="1297" t="s">
        <v>1774</v>
      </c>
      <c r="I85" s="1296" t="s">
        <v>1249</v>
      </c>
      <c r="J85" s="1297" t="s">
        <v>1772</v>
      </c>
      <c r="K85" s="1296" t="s">
        <v>1250</v>
      </c>
      <c r="L85" s="1296" t="s">
        <v>396</v>
      </c>
      <c r="M85" s="1297" t="s">
        <v>1774</v>
      </c>
      <c r="N85" s="1296" t="s">
        <v>1249</v>
      </c>
      <c r="O85" s="1297" t="s">
        <v>1772</v>
      </c>
      <c r="P85" s="1296" t="s">
        <v>1250</v>
      </c>
      <c r="Q85" s="1296" t="s">
        <v>396</v>
      </c>
      <c r="R85" s="1297" t="s">
        <v>1774</v>
      </c>
      <c r="S85" s="1296" t="s">
        <v>1249</v>
      </c>
      <c r="T85" s="1297" t="s">
        <v>1772</v>
      </c>
      <c r="U85" s="1296" t="s">
        <v>1250</v>
      </c>
      <c r="V85" s="1296" t="s">
        <v>396</v>
      </c>
      <c r="W85" s="1297" t="s">
        <v>1774</v>
      </c>
      <c r="X85" s="1296" t="s">
        <v>1249</v>
      </c>
      <c r="Y85" s="1297" t="s">
        <v>1772</v>
      </c>
      <c r="Z85" s="1296" t="s">
        <v>1250</v>
      </c>
      <c r="AA85" s="1296" t="s">
        <v>396</v>
      </c>
      <c r="AB85" s="1297" t="s">
        <v>1774</v>
      </c>
      <c r="AC85" s="1296" t="s">
        <v>1249</v>
      </c>
      <c r="AD85" s="1297" t="s">
        <v>1772</v>
      </c>
      <c r="AE85" s="1296" t="s">
        <v>1250</v>
      </c>
      <c r="AF85" s="1296" t="s">
        <v>396</v>
      </c>
      <c r="AG85" s="1297" t="s">
        <v>1774</v>
      </c>
      <c r="AH85" s="1296" t="s">
        <v>1249</v>
      </c>
      <c r="AI85" s="1297" t="s">
        <v>1772</v>
      </c>
      <c r="AJ85" s="1296" t="s">
        <v>1250</v>
      </c>
      <c r="AK85" s="1296" t="s">
        <v>396</v>
      </c>
      <c r="AL85" s="1297" t="s">
        <v>1774</v>
      </c>
      <c r="AM85" s="1296" t="s">
        <v>1249</v>
      </c>
      <c r="AN85" s="1297" t="s">
        <v>1772</v>
      </c>
      <c r="AO85" s="1296" t="s">
        <v>1250</v>
      </c>
      <c r="AP85" s="1296" t="s">
        <v>396</v>
      </c>
      <c r="AQ85" s="1297" t="s">
        <v>1774</v>
      </c>
      <c r="AR85" s="1296" t="s">
        <v>1249</v>
      </c>
      <c r="AS85" s="1297" t="s">
        <v>1772</v>
      </c>
      <c r="AT85" s="1296" t="s">
        <v>1250</v>
      </c>
      <c r="AU85" s="1296" t="s">
        <v>396</v>
      </c>
      <c r="AV85" s="1297" t="s">
        <v>1774</v>
      </c>
      <c r="AW85" s="1296" t="s">
        <v>1249</v>
      </c>
      <c r="AX85" s="1297" t="s">
        <v>1772</v>
      </c>
      <c r="AY85" s="1296" t="s">
        <v>1250</v>
      </c>
      <c r="AZ85" s="1296" t="s">
        <v>396</v>
      </c>
      <c r="BA85" s="1297" t="s">
        <v>1774</v>
      </c>
      <c r="BB85" s="1296" t="s">
        <v>1249</v>
      </c>
      <c r="BC85" s="1297" t="s">
        <v>1772</v>
      </c>
      <c r="BD85" s="1296" t="s">
        <v>1250</v>
      </c>
      <c r="BE85" s="1296" t="s">
        <v>396</v>
      </c>
      <c r="BF85" s="1297" t="s">
        <v>1774</v>
      </c>
      <c r="BG85" s="1296" t="s">
        <v>1249</v>
      </c>
      <c r="BH85" s="1297" t="s">
        <v>1772</v>
      </c>
      <c r="BI85" s="1296" t="s">
        <v>1250</v>
      </c>
      <c r="BJ85" s="1296" t="s">
        <v>396</v>
      </c>
      <c r="BK85" s="1297" t="s">
        <v>1774</v>
      </c>
      <c r="BL85" s="1296" t="s">
        <v>1249</v>
      </c>
      <c r="BM85" s="1297" t="s">
        <v>1772</v>
      </c>
      <c r="BN85" s="1296" t="s">
        <v>1250</v>
      </c>
      <c r="BO85" s="1296" t="s">
        <v>396</v>
      </c>
      <c r="BP85" s="1297" t="s">
        <v>1774</v>
      </c>
      <c r="BQ85" s="1296" t="s">
        <v>1249</v>
      </c>
      <c r="BR85" s="1297" t="s">
        <v>1772</v>
      </c>
      <c r="BS85" s="1296" t="s">
        <v>1250</v>
      </c>
      <c r="BT85" s="1296" t="s">
        <v>396</v>
      </c>
      <c r="BU85" s="1297" t="s">
        <v>1774</v>
      </c>
      <c r="BV85" s="1296" t="s">
        <v>1249</v>
      </c>
      <c r="BW85" s="1297" t="s">
        <v>1772</v>
      </c>
      <c r="BX85" s="1296" t="s">
        <v>1250</v>
      </c>
      <c r="BY85" s="1296" t="s">
        <v>396</v>
      </c>
      <c r="BZ85" s="1297" t="s">
        <v>1774</v>
      </c>
      <c r="CA85" s="1296" t="s">
        <v>1249</v>
      </c>
      <c r="CB85" s="1297" t="s">
        <v>1772</v>
      </c>
      <c r="CC85" s="1296" t="s">
        <v>1250</v>
      </c>
      <c r="CD85" s="1296" t="s">
        <v>396</v>
      </c>
      <c r="CE85" s="1297" t="s">
        <v>1774</v>
      </c>
      <c r="CF85" s="1296" t="s">
        <v>1249</v>
      </c>
      <c r="CG85" s="1297" t="s">
        <v>1772</v>
      </c>
      <c r="CH85" s="1296" t="s">
        <v>1250</v>
      </c>
      <c r="CI85" s="1296" t="s">
        <v>396</v>
      </c>
      <c r="CJ85" s="1297" t="s">
        <v>1774</v>
      </c>
      <c r="CK85" s="1296" t="s">
        <v>1249</v>
      </c>
      <c r="CL85" s="1297" t="s">
        <v>1772</v>
      </c>
      <c r="CM85" s="1296" t="s">
        <v>1250</v>
      </c>
      <c r="CN85" s="1296" t="s">
        <v>396</v>
      </c>
      <c r="CO85" s="1297" t="s">
        <v>1774</v>
      </c>
      <c r="CP85" s="1296" t="s">
        <v>1249</v>
      </c>
      <c r="CQ85" s="1297" t="s">
        <v>1772</v>
      </c>
      <c r="CR85" s="1296" t="s">
        <v>1250</v>
      </c>
      <c r="CS85" s="1296" t="s">
        <v>396</v>
      </c>
      <c r="CT85" s="1297" t="s">
        <v>1774</v>
      </c>
      <c r="CU85" s="1296" t="s">
        <v>1249</v>
      </c>
      <c r="CV85" s="1297" t="s">
        <v>1772</v>
      </c>
      <c r="CW85" s="1296" t="s">
        <v>1250</v>
      </c>
      <c r="CX85" s="1296" t="s">
        <v>396</v>
      </c>
      <c r="CY85" s="1297" t="s">
        <v>1774</v>
      </c>
      <c r="CZ85" s="1296" t="s">
        <v>1249</v>
      </c>
      <c r="DA85" s="1297" t="s">
        <v>1772</v>
      </c>
      <c r="DB85" s="1296" t="s">
        <v>1250</v>
      </c>
      <c r="DC85" s="1296" t="s">
        <v>396</v>
      </c>
      <c r="DD85" s="1297" t="s">
        <v>1774</v>
      </c>
      <c r="DE85" s="1296" t="s">
        <v>1249</v>
      </c>
      <c r="DF85" s="1297" t="s">
        <v>1772</v>
      </c>
      <c r="DG85" s="1296" t="s">
        <v>1250</v>
      </c>
      <c r="DH85" s="1296" t="s">
        <v>396</v>
      </c>
      <c r="DI85" s="1297" t="s">
        <v>1774</v>
      </c>
      <c r="DJ85" s="1296" t="s">
        <v>1249</v>
      </c>
      <c r="DK85" s="1297" t="s">
        <v>1772</v>
      </c>
      <c r="DL85" s="1296" t="s">
        <v>1250</v>
      </c>
      <c r="DM85" s="1296" t="s">
        <v>396</v>
      </c>
      <c r="DN85" s="1297" t="s">
        <v>1774</v>
      </c>
      <c r="DO85" s="1296" t="s">
        <v>1249</v>
      </c>
      <c r="DP85" s="1297" t="s">
        <v>1772</v>
      </c>
      <c r="DQ85" s="1296" t="s">
        <v>1250</v>
      </c>
      <c r="DR85" s="1296" t="s">
        <v>396</v>
      </c>
      <c r="DS85" s="1297" t="s">
        <v>1774</v>
      </c>
      <c r="DT85" s="1296" t="s">
        <v>1249</v>
      </c>
      <c r="DU85" s="1297" t="s">
        <v>1772</v>
      </c>
      <c r="DV85" s="1296" t="s">
        <v>1250</v>
      </c>
      <c r="DW85" s="1296" t="s">
        <v>396</v>
      </c>
      <c r="DX85" s="1297" t="s">
        <v>1774</v>
      </c>
      <c r="DY85" s="1296" t="s">
        <v>1249</v>
      </c>
      <c r="DZ85" s="1297" t="s">
        <v>1772</v>
      </c>
      <c r="EA85" s="1296" t="s">
        <v>1250</v>
      </c>
      <c r="EB85" s="1296" t="s">
        <v>396</v>
      </c>
      <c r="EC85" s="1297" t="s">
        <v>1774</v>
      </c>
      <c r="ED85" s="1296" t="s">
        <v>1249</v>
      </c>
      <c r="EE85" s="1297" t="s">
        <v>1772</v>
      </c>
      <c r="EF85" s="1296" t="s">
        <v>1250</v>
      </c>
    </row>
    <row r="86" spans="1:136" s="1341" customFormat="1">
      <c r="A86" s="1506" t="s">
        <v>1334</v>
      </c>
      <c r="C86" s="1342" t="s">
        <v>1791</v>
      </c>
      <c r="D86" s="1343"/>
      <c r="E86" s="1343" t="s">
        <v>817</v>
      </c>
      <c r="F86" s="1344" t="s">
        <v>540</v>
      </c>
      <c r="G86" s="1281"/>
      <c r="H86" s="1282"/>
      <c r="I86" s="1283"/>
      <c r="J86" s="1272">
        <f ca="1">OFFSET('VVP2'!$G$277,0,(COLUMN()-6)/5)</f>
        <v>118.816</v>
      </c>
      <c r="K86" s="1284"/>
      <c r="L86" s="1345">
        <f ca="1">OFFSET('VVP2'!$G$87,0,(COLUMN()-7)/5)</f>
        <v>0.72311812520173824</v>
      </c>
      <c r="M86" s="1272">
        <f ca="1">+J86*(1+L86/100)</f>
        <v>119.6751800316397</v>
      </c>
      <c r="N86" s="1345">
        <f ca="1">+O86/M86*100-100</f>
        <v>-9.9586256405203244E-2</v>
      </c>
      <c r="O86" s="1272">
        <f ca="1">OFFSET('VVP2'!$G$277,0,(COLUMN()-6)/5)</f>
        <v>119.556</v>
      </c>
      <c r="P86" s="1265">
        <f ca="1">(O86/J86-1)*100</f>
        <v>0.62281174252625249</v>
      </c>
      <c r="Q86" s="1345">
        <f ca="1">OFFSET('VVP2'!$G$87,0,(COLUMN()-7)/5)</f>
        <v>15.58630979487523</v>
      </c>
      <c r="R86" s="1272">
        <f ca="1">+O86*(1+Q86/100)</f>
        <v>138.19036853836101</v>
      </c>
      <c r="S86" s="1345">
        <f ca="1">+T86/R86*100-100</f>
        <v>0.86086423693755876</v>
      </c>
      <c r="T86" s="1272">
        <f ca="1">OFFSET('VVP2'!$G$277,0,(COLUMN()-6)/5)</f>
        <v>139.38</v>
      </c>
      <c r="U86" s="1265">
        <f ca="1">(T86/O86-1)*100</f>
        <v>16.581350998695179</v>
      </c>
      <c r="V86" s="1345">
        <f ca="1">OFFSET('VVP2'!$G$87,0,(COLUMN()-7)/5)</f>
        <v>10.587069316342479</v>
      </c>
      <c r="W86" s="1272">
        <f ca="1">+T86*(1+V86/100)</f>
        <v>154.13625721311814</v>
      </c>
      <c r="X86" s="1345">
        <f ca="1">+Y86/W86*100-100</f>
        <v>0.48901069774885286</v>
      </c>
      <c r="Y86" s="1272">
        <f ca="1">OFFSET('VVP2'!$G$277,0,(COLUMN()-6)/5)</f>
        <v>154.88999999999999</v>
      </c>
      <c r="Z86" s="1265">
        <f ca="1">(Y86/T86-1)*100</f>
        <v>11.12785191562633</v>
      </c>
      <c r="AA86" s="1345">
        <f ca="1">OFFSET('VVP2'!$G$87,0,(COLUMN()-7)/5)</f>
        <v>11.260400206163368</v>
      </c>
      <c r="AB86" s="1272">
        <f ca="1">+Y86*(1+AA86/100)</f>
        <v>172.33123387932642</v>
      </c>
      <c r="AC86" s="1345">
        <f ca="1">+AD86/AB86*100-100</f>
        <v>0.85055163111056231</v>
      </c>
      <c r="AD86" s="1272">
        <f ca="1">OFFSET('VVP2'!$G$277,0,(COLUMN()-6)/5)</f>
        <v>173.797</v>
      </c>
      <c r="AE86" s="1265">
        <f ca="1">(AD86/Y86-1)*100</f>
        <v>12.20672735489703</v>
      </c>
      <c r="AF86" s="1345">
        <f ca="1">OFFSET('VVP2'!$G$87,0,(COLUMN()-7)/5)</f>
        <v>11.485426230113237</v>
      </c>
      <c r="AG86" s="1272">
        <f ca="1">+AD86*(1+AF86/100)</f>
        <v>193.75832622514991</v>
      </c>
      <c r="AH86" s="1345">
        <f ca="1">+AI86/AG86*100-100</f>
        <v>4.7934320840786313</v>
      </c>
      <c r="AI86" s="1272">
        <f ca="1">OFFSET('VVP2'!$G$277,0,(COLUMN()-6)/5)</f>
        <v>203.04599999999999</v>
      </c>
      <c r="AJ86" s="1265">
        <f ca="1">(AI86/AD86-1)*100</f>
        <v>16.829404420099301</v>
      </c>
      <c r="AK86" s="1345">
        <f ca="1">OFFSET('VVP2'!$G$87,0,(COLUMN()-7)/5)</f>
        <v>12.988124877386277</v>
      </c>
      <c r="AL86" s="1272">
        <f ca="1">+AI86*(1+AK86/100)</f>
        <v>229.41786803853773</v>
      </c>
      <c r="AM86" s="1345">
        <f ca="1">+AN86/AL86*100-100</f>
        <v>3.2264845039091909</v>
      </c>
      <c r="AN86" s="1272">
        <f ca="1">OFFSET('VVP2'!$G$277,0,(COLUMN()-6)/5)</f>
        <v>236.82</v>
      </c>
      <c r="AO86" s="1265">
        <f ca="1">(AN86/AI86-1)*100</f>
        <v>16.633669217812709</v>
      </c>
      <c r="AP86" s="1345">
        <f ca="1">OFFSET('VVP2'!$G$87,0,(COLUMN()-7)/5)</f>
        <v>-2.1581970881732748</v>
      </c>
      <c r="AQ86" s="1272">
        <f ca="1">+AN86*(1+AP86/100)</f>
        <v>231.70895765578805</v>
      </c>
      <c r="AR86" s="1345">
        <f ca="1">+AS86/AQ86*100-100</f>
        <v>1.3236615343840867</v>
      </c>
      <c r="AS86" s="1272">
        <f ca="1">OFFSET('VVP2'!$G$277,0,(COLUMN()-6)/5)</f>
        <v>234.77600000000001</v>
      </c>
      <c r="AT86" s="1265">
        <f ca="1">(AS86/AN86-1)*100</f>
        <v>-0.86310277848153927</v>
      </c>
      <c r="AU86" s="1345">
        <f ca="1">OFFSET('VVP2'!$G$87,0,(COLUMN()-7)/5)</f>
        <v>1.5989186266399003</v>
      </c>
      <c r="AV86" s="1272">
        <f ca="1">+AS86*(1+AU86/100)</f>
        <v>238.5298771948801</v>
      </c>
      <c r="AW86" s="1345">
        <f ca="1">+AX86/AV86*100-100</f>
        <v>0.49600612679361689</v>
      </c>
      <c r="AX86" s="1272">
        <f ca="1">OFFSET('VVP2'!$G$277,0,(COLUMN()-6)/5)</f>
        <v>239.71299999999999</v>
      </c>
      <c r="AY86" s="1265">
        <f ca="1">(AX86/AS86-1)*100</f>
        <v>2.1028554877840833</v>
      </c>
      <c r="AZ86" s="1345">
        <f ca="1">OFFSET('VVP2'!$G$87,0,(COLUMN()-7)/5)</f>
        <v>9.0304525135710421</v>
      </c>
      <c r="BA86" s="1272">
        <f ca="1">+AX86*(1+AZ86/100)</f>
        <v>261.36016863385652</v>
      </c>
      <c r="BB86" s="1345">
        <f ca="1">+BC86/BA86*100-100</f>
        <v>1.9133869526803124</v>
      </c>
      <c r="BC86" s="1272">
        <f ca="1">OFFSET('VVP2'!$G$277,0,(COLUMN()-6)/5)</f>
        <v>266.36099999999999</v>
      </c>
      <c r="BD86" s="1265">
        <f ca="1">(BC86/AX86-1)*100</f>
        <v>11.116626966414</v>
      </c>
      <c r="BE86" s="1345">
        <f ca="1">OFFSET('VVP2'!$G$87,0,(COLUMN()-7)/5)</f>
        <v>9.6335521613301278</v>
      </c>
      <c r="BF86" s="1272">
        <f ca="1">+BC86*(1+BE86/100)</f>
        <v>292.02102587244053</v>
      </c>
      <c r="BG86" s="1345">
        <f ca="1">+BH86/BF86*100-100</f>
        <v>2.4395415043406246</v>
      </c>
      <c r="BH86" s="1272">
        <f ca="1">OFFSET('VVP2'!$G$277,0,(COLUMN()-6)/5)</f>
        <v>299.14499999999998</v>
      </c>
      <c r="BI86" s="1265">
        <f ca="1">(BH86/BC86-1)*100</f>
        <v>12.308108168988706</v>
      </c>
      <c r="BJ86" s="1345">
        <f ca="1">OFFSET('VVP2'!$G$87,0,(COLUMN()-7)/5)</f>
        <v>9.2183346801920187</v>
      </c>
      <c r="BK86" s="1272">
        <f ca="1">+BH86*(1+BJ86/100)</f>
        <v>326.72118727906042</v>
      </c>
      <c r="BL86" s="1345">
        <f ca="1">+BM86/BK86*100-100</f>
        <v>1.9434958515610674</v>
      </c>
      <c r="BM86" s="1272">
        <f ca="1">OFFSET('VVP2'!$G$277,0,(COLUMN()-6)/5)</f>
        <v>333.07100000000003</v>
      </c>
      <c r="BN86" s="1265">
        <f ca="1">(BM86/BH86-1)*100</f>
        <v>11.340988483845639</v>
      </c>
      <c r="BO86" s="1345">
        <f ca="1">OFFSET('VVP2'!$G$87,0,(COLUMN()-7)/5)</f>
        <v>10.134076214473552</v>
      </c>
      <c r="BP86" s="1272">
        <f ca="1">+BM86*(1+BO86/100)</f>
        <v>366.82466898830921</v>
      </c>
      <c r="BQ86" s="1345">
        <f ca="1">+BR86/BP86*100-100</f>
        <v>2.5503549250088611</v>
      </c>
      <c r="BR86" s="1272">
        <f ca="1">OFFSET('VVP2'!$G$277,0,(COLUMN()-6)/5)</f>
        <v>376.18</v>
      </c>
      <c r="BS86" s="1265">
        <f ca="1">(BR86/BM86-1)*100</f>
        <v>12.94288605132239</v>
      </c>
      <c r="BT86" s="1345">
        <f ca="1">OFFSET('VVP2'!$G$87,0,(COLUMN()-7)/5)</f>
        <v>5.8780654182940983</v>
      </c>
      <c r="BU86" s="1272">
        <f ca="1">+BR86*(1+BT86/100)</f>
        <v>398.29210649053874</v>
      </c>
      <c r="BV86" s="1345">
        <f ca="1">+BW86/BU86*100-100</f>
        <v>3.8996237325205954</v>
      </c>
      <c r="BW86" s="1272">
        <f ca="1">OFFSET('VVP2'!$G$277,0,(COLUMN()-6)/5)</f>
        <v>413.82400000000001</v>
      </c>
      <c r="BX86" s="1265">
        <f ca="1">(BW86/BR86-1)*100</f>
        <v>10.006911584879585</v>
      </c>
      <c r="BY86" s="1345">
        <f ca="1">OFFSET('VVP2'!$G$87,0,(COLUMN()-7)/5)</f>
        <v>-1.3902461879388817</v>
      </c>
      <c r="BZ86" s="1272">
        <f ca="1">+BW86*(1+BY86/100)</f>
        <v>408.07082761522383</v>
      </c>
      <c r="CA86" s="1345">
        <f ca="1">+CB86/BZ86*100-100</f>
        <v>1.083922712786233</v>
      </c>
      <c r="CB86" s="1272">
        <f ca="1">OFFSET('VVP2'!$G$277,0,(COLUMN()-6)/5)</f>
        <v>412.49400000000003</v>
      </c>
      <c r="CC86" s="1265">
        <f ca="1">(CB86/BW86-1)*100</f>
        <v>-0.32139266934735344</v>
      </c>
      <c r="CD86" s="1345">
        <f ca="1">OFFSET('VVP2'!$G$87,0,(COLUMN()-7)/5)</f>
        <v>2.1683425441429982</v>
      </c>
      <c r="CE86" s="1272">
        <f ca="1">+CB86*(1+CD86/100)</f>
        <v>421.43828289403723</v>
      </c>
      <c r="CF86" s="1345">
        <f ca="1">+CG86/CE86*100-100</f>
        <v>0.260469243188993</v>
      </c>
      <c r="CG86" s="1272">
        <f ca="1">OFFSET('VVP2'!$G$277,0,(COLUMN()-6)/5)</f>
        <v>422.536</v>
      </c>
      <c r="CH86" s="1265">
        <f ca="1">(CG86/CB86-1)*100</f>
        <v>2.4344596527464679</v>
      </c>
      <c r="CI86" s="1345">
        <f ca="1">OFFSET('VVP2'!$G$87,0,(COLUMN()-7)/5)</f>
        <v>3.9856035935399436</v>
      </c>
      <c r="CJ86" s="1272">
        <f ca="1">+CG86*(1+CI86/100)</f>
        <v>439.37660999999991</v>
      </c>
      <c r="CK86" s="1345">
        <f ca="1">+CL86/CJ86*100-100</f>
        <v>0.48395612137844068</v>
      </c>
      <c r="CL86" s="1272">
        <f ca="1">OFFSET('VVP2'!$G$277,0,(COLUMN()-6)/5)</f>
        <v>441.50299999999999</v>
      </c>
      <c r="CM86" s="1265">
        <f ca="1">(CL86/CG86-1)*100</f>
        <v>4.4888482874831936</v>
      </c>
      <c r="CN86" s="1345">
        <f ca="1">OFFSET('VVP2'!$G$87,0,(COLUMN()-7)/5)</f>
        <v>3.0419666627224506</v>
      </c>
      <c r="CO86" s="1272">
        <f ca="1">+CL86*(1+CN86/100)</f>
        <v>454.93337407491947</v>
      </c>
      <c r="CP86" s="1345">
        <f ca="1">+CQ86/CO86*100-100</f>
        <v>0.93346106640687765</v>
      </c>
      <c r="CQ86" s="1272">
        <f ca="1">OFFSET('VVP2'!$G$277,0,(COLUMN()-6)/5)</f>
        <v>459.18</v>
      </c>
      <c r="CR86" s="1265">
        <f ca="1">(CQ86/CL86-1)*100</f>
        <v>4.0038233035789128</v>
      </c>
      <c r="CS86" s="1345">
        <f ca="1">OFFSET('VVP2'!$G$87,0,(COLUMN()-7)/5)</f>
        <v>4.9544299262516356</v>
      </c>
      <c r="CT86" s="1272">
        <f ca="1">+CQ86*(1+CS86/100)</f>
        <v>481.92975133536225</v>
      </c>
      <c r="CU86" s="1345">
        <f ca="1">+CV86/CT86*100-100</f>
        <v>-0.8641822431220163</v>
      </c>
      <c r="CV86" s="1272">
        <f ca="1">OFFSET('VVP2'!$G$277,0,(COLUMN()-6)/5)</f>
        <v>477.76499999999999</v>
      </c>
      <c r="CW86" s="1265">
        <f ca="1">(CV86/CQ86-1)*100</f>
        <v>4.0474323794590372</v>
      </c>
      <c r="CX86" s="1345">
        <f ca="1">OFFSET('VVP2'!$G$87,0,(COLUMN()-7)/5)</f>
        <v>10.448979540298065</v>
      </c>
      <c r="CY86" s="1272">
        <f ca="1">+CV86*(1+CX86/100)</f>
        <v>527.68656710070502</v>
      </c>
      <c r="CZ86" s="1345">
        <f ca="1">+DA86/CY86*100-100</f>
        <v>1.7916758713872412</v>
      </c>
      <c r="DA86" s="1272">
        <f ca="1">OFFSET('VVP2'!$G$277,0,(COLUMN()-6)/5)</f>
        <v>537.14099999999996</v>
      </c>
      <c r="DB86" s="1265">
        <f ca="1">(DA86/CV86-1)*100</f>
        <v>12.427867256915004</v>
      </c>
      <c r="DC86" s="1345">
        <f ca="1">OFFSET('VVP2'!$G$87,0,(COLUMN()-7)/5)</f>
        <v>10.666697229302692</v>
      </c>
      <c r="DD86" s="1272">
        <f ca="1">+DA86*(1+DC86/100)</f>
        <v>594.43620416444867</v>
      </c>
      <c r="DE86" s="1345">
        <f ca="1">+DF86/DD86*100-100</f>
        <v>3.1918977516218519</v>
      </c>
      <c r="DF86" s="1272">
        <f ca="1">OFFSET('VVP2'!$G$277,0,(COLUMN()-6)/5)</f>
        <v>613.41</v>
      </c>
      <c r="DG86" s="1265">
        <f ca="1">(DF86/DA86-1)*100</f>
        <v>14.199065049958959</v>
      </c>
      <c r="DH86" s="1345">
        <f ca="1">OFFSET('VVP2'!$G$87,0,(COLUMN()-7)/5)</f>
        <v>4.35564963337709</v>
      </c>
      <c r="DI86" s="1272">
        <f ca="1">+DF86*(1+DH86/100)</f>
        <v>640.12799041609833</v>
      </c>
      <c r="DJ86" s="1345">
        <f ca="1">+DK86/DI86*100-100</f>
        <v>-0.31665392647191482</v>
      </c>
      <c r="DK86" s="1272">
        <f ca="1">OFFSET('VVP2'!$G$277,0,(COLUMN()-6)/5)</f>
        <v>638.101</v>
      </c>
      <c r="DL86" s="1265">
        <f ca="1">(DK86/DF86-1)*100</f>
        <v>4.0252033713177315</v>
      </c>
      <c r="DM86" s="1345">
        <f ca="1">OFFSET('VVP2'!$G$87,0,(COLUMN()-7)/5)</f>
        <v>-0.29525342266467636</v>
      </c>
      <c r="DN86" s="1272">
        <f ca="1">+DK86*(1+DM86/100)</f>
        <v>636.21698495744249</v>
      </c>
      <c r="DO86" s="1345">
        <f ca="1">+DP86/DN86*100-100</f>
        <v>1.6161176588590109</v>
      </c>
      <c r="DP86" s="1272">
        <f ca="1">OFFSET('VVP2'!$G$277,0,(COLUMN()-6)/5)</f>
        <v>646.49900000000002</v>
      </c>
      <c r="DQ86" s="1265">
        <f ca="1">(DP86/DK86-1)*100</f>
        <v>1.3160925934922574</v>
      </c>
      <c r="DR86" s="2306">
        <v>3.19</v>
      </c>
      <c r="DS86" s="1272">
        <f ca="1">+DP86*(1+DR86/100)</f>
        <v>667.12231810000003</v>
      </c>
      <c r="DT86" s="2316">
        <v>4.3</v>
      </c>
      <c r="DU86" s="2307">
        <f ca="1">+DS86*(1+DT86/100)</f>
        <v>695.80857777829999</v>
      </c>
      <c r="DV86" s="2315">
        <f ca="1">(DU86/DP86-1)*100</f>
        <v>7.6271699999999942</v>
      </c>
      <c r="DW86" s="2306">
        <v>2.99</v>
      </c>
      <c r="DX86" s="1272">
        <f ca="1">+DU86*(1+DW86/100)</f>
        <v>716.61325425387122</v>
      </c>
      <c r="DY86" s="2316">
        <v>2.2799999999999998</v>
      </c>
      <c r="DZ86" s="2307">
        <f ca="1">+DX86*(1+DY86/100)</f>
        <v>732.9520364508594</v>
      </c>
      <c r="EA86" s="2315">
        <f ca="1">(DZ86/DU86-1)*100</f>
        <v>5.3381719999999966</v>
      </c>
      <c r="EB86" s="2306">
        <v>2.99</v>
      </c>
      <c r="EC86" s="1272">
        <f ca="1">+DZ86*(1+EB86/100)</f>
        <v>754.86730234074014</v>
      </c>
      <c r="ED86" s="2316">
        <v>1.1299999999999999</v>
      </c>
      <c r="EE86" s="2307">
        <f ca="1">+EC86*(1+ED86/100)</f>
        <v>763.39730285719054</v>
      </c>
      <c r="EF86" s="2315">
        <f ca="1">(EE86/DZ86-1)*100</f>
        <v>4.1537870000000199</v>
      </c>
    </row>
    <row r="87" spans="1:136" ht="12.75" customHeight="1">
      <c r="A87" s="1504" t="s">
        <v>1334</v>
      </c>
      <c r="B87" s="1"/>
      <c r="C87" s="1121" t="s">
        <v>1791</v>
      </c>
      <c r="D87" s="1117"/>
      <c r="E87" s="1118" t="s">
        <v>1821</v>
      </c>
      <c r="F87" s="1117" t="s">
        <v>538</v>
      </c>
      <c r="G87" s="1428"/>
      <c r="H87" s="1429"/>
      <c r="I87" s="1430"/>
      <c r="J87" s="1396">
        <f ca="1">OFFSET('VVP2'!$G$278,0,(COLUMN()-6)/5)</f>
        <v>596.99199999999996</v>
      </c>
      <c r="K87" s="1427"/>
      <c r="L87" s="1404">
        <f ca="1">OFFSET('VVP2'!$G$88,0,(COLUMN()-7)/5)</f>
        <v>4.8045048294636183</v>
      </c>
      <c r="M87" s="1396">
        <f ca="1">+J87*(1+L87/100)</f>
        <v>625.67450947151144</v>
      </c>
      <c r="N87" s="1405">
        <f ca="1">+O87/M87*100-100</f>
        <v>-5.3702858215996088</v>
      </c>
      <c r="O87" s="1396">
        <f ca="1">OFFSET('VVP2'!$G$278,0,(COLUMN()-6)/5)</f>
        <v>592.07399999999996</v>
      </c>
      <c r="P87" s="1403">
        <f ca="1">(O87/J87-1)*100</f>
        <v>-0.82379663379074097</v>
      </c>
      <c r="Q87" s="1404">
        <f ca="1">OFFSET('VVP2'!$G$88,0,(COLUMN()-7)/5)</f>
        <v>13.534050047945545</v>
      </c>
      <c r="R87" s="1396">
        <f ca="1">+O87*(1+Q87/100)</f>
        <v>672.20559148087307</v>
      </c>
      <c r="S87" s="1405">
        <f ca="1">+T87/R87*100-100</f>
        <v>-0.42198272624064259</v>
      </c>
      <c r="T87" s="1396">
        <f ca="1">OFFSET('VVP2'!$G$278,0,(COLUMN()-6)/5)</f>
        <v>669.36900000000003</v>
      </c>
      <c r="U87" s="1403">
        <f ca="1">(T87/O87-1)*100</f>
        <v>13.054955968341808</v>
      </c>
      <c r="V87" s="1404">
        <f ca="1">OFFSET('VVP2'!$G$88,0,(COLUMN()-7)/5)</f>
        <v>8.5920176188416075</v>
      </c>
      <c r="W87" s="1396">
        <f ca="1">+T87*(1+V87/100)</f>
        <v>726.88130241506394</v>
      </c>
      <c r="X87" s="1405">
        <f ca="1">+Y87/W87*100-100</f>
        <v>-1.5913605669359754</v>
      </c>
      <c r="Y87" s="1396">
        <f ca="1">OFFSET('VVP2'!$G$278,0,(COLUMN()-6)/5)</f>
        <v>715.31399999999996</v>
      </c>
      <c r="Z87" s="1403">
        <f ca="1">(Y87/T87-1)*100</f>
        <v>6.8639270716152057</v>
      </c>
      <c r="AA87" s="1404">
        <f ca="1">OFFSET('VVP2'!$G$88,0,(COLUMN()-7)/5)</f>
        <v>6.3418248930507293</v>
      </c>
      <c r="AB87" s="1396">
        <f ca="1">+Y87*(1+AA87/100)</f>
        <v>760.67796131547686</v>
      </c>
      <c r="AC87" s="1405">
        <f ca="1">+AD87/AB87*100-100</f>
        <v>-2.1175795980233829</v>
      </c>
      <c r="AD87" s="1396">
        <f ca="1">OFFSET('VVP2'!$G$278,0,(COLUMN()-6)/5)</f>
        <v>744.57</v>
      </c>
      <c r="AE87" s="1403">
        <f ca="1">(AD87/Y87-1)*100</f>
        <v>4.0899521049497345</v>
      </c>
      <c r="AF87" s="1404">
        <f ca="1">OFFSET('VVP2'!$G$88,0,(COLUMN()-7)/5)</f>
        <v>11.747955234444385</v>
      </c>
      <c r="AG87" s="1396">
        <f ca="1">+AD87*(1+AF87/100)</f>
        <v>832.04175028910265</v>
      </c>
      <c r="AH87" s="1405">
        <f ca="1">+AI87/AG87*100-100</f>
        <v>1.7548698374599638</v>
      </c>
      <c r="AI87" s="1396">
        <f ca="1">OFFSET('VVP2'!$G$278,0,(COLUMN()-6)/5)</f>
        <v>846.64300000000003</v>
      </c>
      <c r="AJ87" s="1403">
        <f ca="1">(AI87/AD87-1)*100</f>
        <v>13.708986394831912</v>
      </c>
      <c r="AK87" s="1404">
        <f ca="1">OFFSET('VVP2'!$G$88,0,(COLUMN()-7)/5)</f>
        <v>-2.2511076593602075</v>
      </c>
      <c r="AL87" s="1396">
        <f ca="1">+AI87*(1+AK87/100)</f>
        <v>827.58415457956301</v>
      </c>
      <c r="AM87" s="1405">
        <f ca="1">+AN87/AL87*100-100</f>
        <v>2.4016706108316583</v>
      </c>
      <c r="AN87" s="1396">
        <f ca="1">OFFSET('VVP2'!$G$278,0,(COLUMN()-6)/5)</f>
        <v>847.46</v>
      </c>
      <c r="AO87" s="1403">
        <f ca="1">(AN87/AI87-1)*100</f>
        <v>9.6498760398411321E-2</v>
      </c>
      <c r="AP87" s="1404">
        <f ca="1">OFFSET('VVP2'!$G$88,0,(COLUMN()-7)/5)</f>
        <v>2.288567107184214</v>
      </c>
      <c r="AQ87" s="1396">
        <f ca="1">+AN87*(1+AP87/100)</f>
        <v>866.85469080654343</v>
      </c>
      <c r="AR87" s="1405">
        <f ca="1">+AS87/AQ87*100-100</f>
        <v>-2.3035799446345635</v>
      </c>
      <c r="AS87" s="1396">
        <f ca="1">OFFSET('VVP2'!$G$278,0,(COLUMN()-6)/5)</f>
        <v>846.88599999999997</v>
      </c>
      <c r="AT87" s="1403">
        <f ca="1">(AS87/AN87-1)*100</f>
        <v>-6.7731810350935007E-2</v>
      </c>
      <c r="AU87" s="1404">
        <f ca="1">OFFSET('VVP2'!$G$88,0,(COLUMN()-7)/5)</f>
        <v>4.8713156445337802</v>
      </c>
      <c r="AV87" s="1396">
        <f ca="1">+AS87*(1+AU87/100)</f>
        <v>888.14049020936636</v>
      </c>
      <c r="AW87" s="1405">
        <f ca="1">+AX87/AV87*100-100</f>
        <v>-2.6526760652261743</v>
      </c>
      <c r="AX87" s="1396">
        <f ca="1">OFFSET('VVP2'!$G$278,0,(COLUMN()-6)/5)</f>
        <v>864.58100000000002</v>
      </c>
      <c r="AY87" s="1403">
        <f ca="1">(AX87/AS87-1)*100</f>
        <v>2.0894193551434403</v>
      </c>
      <c r="AZ87" s="1404">
        <f ca="1">OFFSET('VVP2'!$G$88,0,(COLUMN()-7)/5)</f>
        <v>11.207407545979242</v>
      </c>
      <c r="BA87" s="1396">
        <f ca="1">+AX87*(1+AZ87/100)</f>
        <v>961.47811623510279</v>
      </c>
      <c r="BB87" s="1405">
        <f ca="1">+BC87/BA87*100-100</f>
        <v>-0.94678350774618991</v>
      </c>
      <c r="BC87" s="1396">
        <f ca="1">OFFSET('VVP2'!$G$278,0,(COLUMN()-6)/5)</f>
        <v>952.375</v>
      </c>
      <c r="BD87" s="1403">
        <f ca="1">(BC87/AX87-1)*100</f>
        <v>10.154514151941797</v>
      </c>
      <c r="BE87" s="1404">
        <f ca="1">OFFSET('VVP2'!$G$88,0,(COLUMN()-7)/5)</f>
        <v>5.7885898929463941</v>
      </c>
      <c r="BF87" s="1396">
        <f ca="1">+BC87*(1+BE87/100)</f>
        <v>1007.5040829929483</v>
      </c>
      <c r="BG87" s="1405">
        <f ca="1">+BH87/BF87*100-100</f>
        <v>2.6846458951016388</v>
      </c>
      <c r="BH87" s="1396">
        <f ca="1">OFFSET('VVP2'!$G$278,0,(COLUMN()-6)/5)</f>
        <v>1034.5519999999999</v>
      </c>
      <c r="BI87" s="1403">
        <f ca="1">(BH87/BC87-1)*100</f>
        <v>8.6286389289933041</v>
      </c>
      <c r="BJ87" s="1404">
        <f ca="1">OFFSET('VVP2'!$G$88,0,(COLUMN()-7)/5)</f>
        <v>8.501451542137195</v>
      </c>
      <c r="BK87" s="1396">
        <f ca="1">+BH87*(1+BJ87/100)</f>
        <v>1122.5039369582112</v>
      </c>
      <c r="BL87" s="1405">
        <f ca="1">+BM87/BK87*100-100</f>
        <v>3.3738913330153082</v>
      </c>
      <c r="BM87" s="1396">
        <f ca="1">OFFSET('VVP2'!$G$278,0,(COLUMN()-6)/5)</f>
        <v>1160.376</v>
      </c>
      <c r="BN87" s="1403">
        <f ca="1">(BM87/BH87-1)*100</f>
        <v>12.162172611913192</v>
      </c>
      <c r="BO87" s="1404">
        <f ca="1">OFFSET('VVP2'!$G$88,0,(COLUMN()-7)/5)</f>
        <v>2.855411247593076</v>
      </c>
      <c r="BP87" s="1396">
        <f ca="1">+BM87*(1+BO87/100)</f>
        <v>1193.5095068183707</v>
      </c>
      <c r="BQ87" s="1405">
        <f ca="1">+BR87/BP87*100-100</f>
        <v>1.7934078496524677</v>
      </c>
      <c r="BR87" s="1396">
        <f ca="1">OFFSET('VVP2'!$G$278,0,(COLUMN()-6)/5)</f>
        <v>1214.914</v>
      </c>
      <c r="BS87" s="1403">
        <f ca="1">(BR87/BM87-1)*100</f>
        <v>4.7000282666997517</v>
      </c>
      <c r="BT87" s="1404">
        <f ca="1">OFFSET('VVP2'!$G$88,0,(COLUMN()-7)/5)</f>
        <v>0.78071377951367538</v>
      </c>
      <c r="BU87" s="1396">
        <f ca="1">+BR87*(1+BT87/100)</f>
        <v>1224.3990010072407</v>
      </c>
      <c r="BV87" s="1405">
        <f ca="1">+BW87/BU87*100-100</f>
        <v>4.0219731437422155</v>
      </c>
      <c r="BW87" s="1396">
        <f ca="1">OFFSET('VVP2'!$G$278,0,(COLUMN()-6)/5)</f>
        <v>1273.644</v>
      </c>
      <c r="BX87" s="1403">
        <f ca="1">(BW87/BR87-1)*100</f>
        <v>4.8340870217974397</v>
      </c>
      <c r="BY87" s="1404">
        <f ca="1">OFFSET('VVP2'!$G$88,0,(COLUMN()-7)/5)</f>
        <v>-18.739947502309008</v>
      </c>
      <c r="BZ87" s="1396">
        <f ca="1">+BW87*(1+BY87/100)</f>
        <v>1034.9637830336915</v>
      </c>
      <c r="CA87" s="1405">
        <f ca="1">+CB87/BZ87*100-100</f>
        <v>1.3875091285045613</v>
      </c>
      <c r="CB87" s="1396">
        <f ca="1">OFFSET('VVP2'!$G$278,0,(COLUMN()-6)/5)</f>
        <v>1049.3240000000001</v>
      </c>
      <c r="CC87" s="1403">
        <f ca="1">(CB87/BW87-1)*100</f>
        <v>-17.612456856075941</v>
      </c>
      <c r="CD87" s="1404">
        <f ca="1">OFFSET('VVP2'!$G$88,0,(COLUMN()-7)/5)</f>
        <v>15.784702388624616</v>
      </c>
      <c r="CE87" s="1396">
        <f ca="1">+CB87*(1+CD87/100)</f>
        <v>1214.9566704924114</v>
      </c>
      <c r="CF87" s="1405">
        <f ca="1">+CG87/CE87*100-100</f>
        <v>-0.96930785915503748</v>
      </c>
      <c r="CG87" s="1396">
        <f ca="1">OFFSET('VVP2'!$G$278,0,(COLUMN()-6)/5)</f>
        <v>1203.18</v>
      </c>
      <c r="CH87" s="1403">
        <f ca="1">(CG87/CB87-1)*100</f>
        <v>14.662392168672401</v>
      </c>
      <c r="CI87" s="1404">
        <f ca="1">OFFSET('VVP2'!$G$88,0,(COLUMN()-7)/5)</f>
        <v>6.8443516348343669</v>
      </c>
      <c r="CJ87" s="1396">
        <f ca="1">+CG87*(1+CI87/100)</f>
        <v>1285.5298700000003</v>
      </c>
      <c r="CK87" s="1405">
        <f ca="1">+CL87/CJ87*100-100</f>
        <v>-1.558646785858059</v>
      </c>
      <c r="CL87" s="1396">
        <f ca="1">OFFSET('VVP2'!$G$278,0,(COLUMN()-6)/5)</f>
        <v>1265.4929999999999</v>
      </c>
      <c r="CM87" s="1403">
        <f ca="1">(CL87/CG87-1)*100</f>
        <v>5.1790255822071307</v>
      </c>
      <c r="CN87" s="1404">
        <f ca="1">OFFSET('VVP2'!$G$88,0,(COLUMN()-7)/5)</f>
        <v>0.26255010317264293</v>
      </c>
      <c r="CO87" s="1396">
        <f ca="1">+CL87*(1+CN87/100)</f>
        <v>1268.8155531771424</v>
      </c>
      <c r="CP87" s="1405">
        <f ca="1">+CQ87/CO87*100-100</f>
        <v>-1.6614355904099938</v>
      </c>
      <c r="CQ87" s="1396">
        <f ca="1">OFFSET('VVP2'!$G$278,0,(COLUMN()-6)/5)</f>
        <v>1247.7349999999999</v>
      </c>
      <c r="CR87" s="1403">
        <f ca="1">(CQ87/CL87-1)*100</f>
        <v>-1.4032475880941253</v>
      </c>
      <c r="CS87" s="1404">
        <f ca="1">OFFSET('VVP2'!$G$88,0,(COLUMN()-7)/5)</f>
        <v>-2.8802447919689111</v>
      </c>
      <c r="CT87" s="1396">
        <f ca="1">+CQ87*(1+CS87/100)</f>
        <v>1211.7971776449267</v>
      </c>
      <c r="CU87" s="1405">
        <f ca="1">+CV87/CT87*100-100</f>
        <v>-3.1619299295111745</v>
      </c>
      <c r="CV87" s="1396">
        <f ca="1">OFFSET('VVP2'!$G$278,0,(COLUMN()-6)/5)</f>
        <v>1173.481</v>
      </c>
      <c r="CW87" s="1403">
        <f ca="1">(CV87/CQ87-1)*100</f>
        <v>-5.9511033993596367</v>
      </c>
      <c r="CX87" s="1404">
        <f ca="1">OFFSET('VVP2'!$G$88,0,(COLUMN()-7)/5)</f>
        <v>3.1434433908073434</v>
      </c>
      <c r="CY87" s="1396">
        <f ca="1">+CV87*(1+CX87/100)</f>
        <v>1210.36871093688</v>
      </c>
      <c r="CZ87" s="1405">
        <f ca="1">+DA87/CY87*100-100</f>
        <v>2.0963272458918567</v>
      </c>
      <c r="DA87" s="1396">
        <f ca="1">OFFSET('VVP2'!$G$278,0,(COLUMN()-6)/5)</f>
        <v>1235.742</v>
      </c>
      <c r="DB87" s="1403">
        <f ca="1">(DA87/CV87-1)*100</f>
        <v>5.3056674969598872</v>
      </c>
      <c r="DC87" s="1404">
        <f ca="1">OFFSET('VVP2'!$G$88,0,(COLUMN()-7)/5)</f>
        <v>3.5191695773266085</v>
      </c>
      <c r="DD87" s="1396">
        <f ca="1">+DA87*(1+DC87/100)</f>
        <v>1279.2298565182473</v>
      </c>
      <c r="DE87" s="1405">
        <f ca="1">+DF87/DD87*100-100</f>
        <v>1.5984729700890341</v>
      </c>
      <c r="DF87" s="1396">
        <f ca="1">OFFSET('VVP2'!$G$278,0,(COLUMN()-6)/5)</f>
        <v>1299.6780000000001</v>
      </c>
      <c r="DG87" s="1403">
        <f ca="1">(DF87/DA87-1)*100</f>
        <v>5.1738955218807892</v>
      </c>
      <c r="DH87" s="1404">
        <f ca="1">OFFSET('VVP2'!$G$88,0,(COLUMN()-7)/5)</f>
        <v>2.3123418411364671</v>
      </c>
      <c r="DI87" s="1396">
        <f ca="1">+DF87*(1+DH87/100)</f>
        <v>1329.7309981940457</v>
      </c>
      <c r="DJ87" s="1405">
        <f ca="1">+DK87/DI87*100-100</f>
        <v>-1.5552016326709719</v>
      </c>
      <c r="DK87" s="1396">
        <f ca="1">OFFSET('VVP2'!$G$278,0,(COLUMN()-6)/5)</f>
        <v>1309.0509999999999</v>
      </c>
      <c r="DL87" s="1403">
        <f ca="1">(DK87/DF87-1)*100</f>
        <v>0.7211786303991996</v>
      </c>
      <c r="DM87" s="1404">
        <f ca="1">OFFSET('VVP2'!$G$88,0,(COLUMN()-7)/5)</f>
        <v>4.9543854790373931</v>
      </c>
      <c r="DN87" s="1396">
        <f ca="1">+DK87*(1+DM87/100)</f>
        <v>1373.9064326571938</v>
      </c>
      <c r="DO87" s="1405">
        <f ca="1">+DP87/DN87*100-100</f>
        <v>4.0942065635441622</v>
      </c>
      <c r="DP87" s="1396">
        <f ca="1">OFFSET('VVP2'!$G$278,0,(COLUMN()-6)/5)</f>
        <v>1430.1569999999999</v>
      </c>
      <c r="DQ87" s="1403">
        <f ca="1">(DP87/DK87-1)*100</f>
        <v>9.2514348180475778</v>
      </c>
      <c r="DR87" s="2309">
        <v>3.55</v>
      </c>
      <c r="DS87" s="2310">
        <f ca="1">+DP87*(1+DR87/100)</f>
        <v>1480.9275735000001</v>
      </c>
      <c r="DT87" s="2311">
        <v>5.5</v>
      </c>
      <c r="DU87" s="2310">
        <f ca="1">+DS87*(1+DT87/100)</f>
        <v>1562.3785900425</v>
      </c>
      <c r="DV87" s="2312">
        <f ca="1">(DU87/DP87-1)*100</f>
        <v>9.2452500000000057</v>
      </c>
      <c r="DW87" s="2309">
        <v>3.35</v>
      </c>
      <c r="DX87" s="2310">
        <f ca="1">+DU87*(1+DW87/100)</f>
        <v>1614.718272808924</v>
      </c>
      <c r="DY87" s="2311">
        <v>2.41</v>
      </c>
      <c r="DZ87" s="2310">
        <f ca="1">+DX87*(1+DY87/100)</f>
        <v>1653.632983183619</v>
      </c>
      <c r="EA87" s="2312">
        <f ca="1">(DZ87/DU87-1)*100</f>
        <v>5.8407350000000191</v>
      </c>
      <c r="EB87" s="2309">
        <v>3.02</v>
      </c>
      <c r="EC87" s="2310">
        <f ca="1">+DZ87*(1+EB87/100)</f>
        <v>1703.5726992757643</v>
      </c>
      <c r="ED87" s="2311">
        <v>1.1599999999999999</v>
      </c>
      <c r="EE87" s="2310">
        <f ca="1">+EC87*(1+ED87/100)</f>
        <v>1723.3341425873632</v>
      </c>
      <c r="EF87" s="2312">
        <f ca="1">(EE87/DZ87-1)*100</f>
        <v>4.2150319999999963</v>
      </c>
    </row>
    <row r="88" spans="1:136" s="28" customFormat="1">
      <c r="A88" s="1505" t="s">
        <v>158</v>
      </c>
      <c r="C88" s="176" t="s">
        <v>1793</v>
      </c>
      <c r="D88" s="1301"/>
      <c r="E88" s="1301" t="s">
        <v>375</v>
      </c>
      <c r="F88" s="1244" t="s">
        <v>537</v>
      </c>
      <c r="G88" s="1302"/>
      <c r="H88" s="1302"/>
      <c r="I88" s="1302"/>
      <c r="J88" s="1303">
        <f ca="1">OFFSET('VVP2'!$G$279,0,(COLUMN()-6)/5)</f>
        <v>715.80799999999999</v>
      </c>
      <c r="K88" s="1303"/>
      <c r="L88" s="1303">
        <f ca="1">OFFSET('VVP2'!$G$89,0,(COLUMN()-7)/5)</f>
        <v>4.1269050300589916</v>
      </c>
      <c r="M88" s="1303">
        <f ca="1">+J88*(1+L88/100)</f>
        <v>745.34871635756463</v>
      </c>
      <c r="N88" s="1303">
        <f ca="1">+O88/M88*100-100</f>
        <v>-4.5238846753965305</v>
      </c>
      <c r="O88" s="1303">
        <f ca="1">OFFSET('VVP2'!$G$279,0,(COLUMN()-6)/5)</f>
        <v>711.63</v>
      </c>
      <c r="P88" s="1303">
        <f ca="1">(O88/J88-1)*100</f>
        <v>-0.58367606956055695</v>
      </c>
      <c r="Q88" s="1303">
        <f ca="1">OFFSET('VVP2'!$G$89,0,(COLUMN()-7)/5)</f>
        <v>13.878783938864592</v>
      </c>
      <c r="R88" s="1303">
        <f ca="1">+O88*(1+Q88/100)</f>
        <v>810.39559014414203</v>
      </c>
      <c r="S88" s="1303">
        <f ca="1">+T88/R88*100-100</f>
        <v>-0.20318350249772266</v>
      </c>
      <c r="T88" s="1303">
        <f ca="1">OFFSET('VVP2'!$G$279,0,(COLUMN()-6)/5)</f>
        <v>808.74900000000002</v>
      </c>
      <c r="U88" s="1303">
        <f ca="1">(T88/O88-1)*100</f>
        <v>13.647401037055772</v>
      </c>
      <c r="V88" s="1303">
        <f ca="1">OFFSET('VVP2'!$G$89,0,(COLUMN()-7)/5)</f>
        <v>8.935827998907552</v>
      </c>
      <c r="W88" s="1303">
        <f ca="1">+T88*(1+V88/100)</f>
        <v>881.01741958288483</v>
      </c>
      <c r="X88" s="1303">
        <f ca="1">+Y88/W88*100-100</f>
        <v>-1.2273786354876393</v>
      </c>
      <c r="Y88" s="1303">
        <f ca="1">OFFSET('VVP2'!$G$279,0,(COLUMN()-6)/5)</f>
        <v>870.20399999999995</v>
      </c>
      <c r="Z88" s="1303">
        <f ca="1">(Y88/T88-1)*100</f>
        <v>7.5987729196573817</v>
      </c>
      <c r="AA88" s="1303">
        <f ca="1">OFFSET('VVP2'!$G$89,0,(COLUMN()-7)/5)</f>
        <v>7.2172776488465651</v>
      </c>
      <c r="AB88" s="1303">
        <f ca="1">+Y88*(1+AA88/100)</f>
        <v>933.00903879136877</v>
      </c>
      <c r="AC88" s="1303">
        <f ca="1">+AD88/AB88*100-100</f>
        <v>-1.5693351492431731</v>
      </c>
      <c r="AD88" s="1303">
        <f ca="1">OFFSET('VVP2'!$G$279,0,(COLUMN()-6)/5)</f>
        <v>918.36699999999996</v>
      </c>
      <c r="AE88" s="1303">
        <f ca="1">(AD88/Y88-1)*100</f>
        <v>5.5346792246415699</v>
      </c>
      <c r="AF88" s="1303">
        <f ca="1">OFFSET('VVP2'!$G$89,0,(COLUMN()-7)/5)</f>
        <v>11.698217559453994</v>
      </c>
      <c r="AG88" s="1303">
        <f ca="1">+AD88*(1+AF88/100)</f>
        <v>1025.7995696542307</v>
      </c>
      <c r="AH88" s="1303">
        <f ca="1">+AI88/AG88*100-100</f>
        <v>2.3288594626552452</v>
      </c>
      <c r="AI88" s="1303">
        <f ca="1">OFFSET('VVP2'!$G$279,0,(COLUMN()-6)/5)</f>
        <v>1049.6890000000001</v>
      </c>
      <c r="AJ88" s="1303">
        <f ca="1">(AI88/AD88-1)*100</f>
        <v>14.299512068704567</v>
      </c>
      <c r="AK88" s="1303">
        <f ca="1">OFFSET('VVP2'!$G$89,0,(COLUMN()-7)/5)</f>
        <v>0.69665013831305966</v>
      </c>
      <c r="AL88" s="1303">
        <f ca="1">+AI88*(1+AK88/100)</f>
        <v>1057.0016598703571</v>
      </c>
      <c r="AM88" s="1303">
        <f ca="1">+AN88/AL88*100-100</f>
        <v>2.5807282207095597</v>
      </c>
      <c r="AN88" s="1303">
        <f ca="1">OFFSET('VVP2'!$G$279,0,(COLUMN()-6)/5)</f>
        <v>1084.28</v>
      </c>
      <c r="AO88" s="1303">
        <f ca="1">(AN88/AI88-1)*100</f>
        <v>3.2953570057416837</v>
      </c>
      <c r="AP88" s="1303">
        <f ca="1">OFFSET('VVP2'!$G$89,0,(COLUMN()-7)/5)</f>
        <v>1.3174075218694625</v>
      </c>
      <c r="AQ88" s="1303">
        <f ca="1">+AN88*(1+AP88/100)</f>
        <v>1098.5643862781262</v>
      </c>
      <c r="AR88" s="1303">
        <f ca="1">+AS88/AQ88*100-100</f>
        <v>-1.5385885879106667</v>
      </c>
      <c r="AS88" s="1303">
        <f ca="1">OFFSET('VVP2'!$G$279,0,(COLUMN()-6)/5)</f>
        <v>1081.662</v>
      </c>
      <c r="AT88" s="1303">
        <f ca="1">(AS88/AN88-1)*100</f>
        <v>-0.24145054782896969</v>
      </c>
      <c r="AU88" s="1303">
        <f ca="1">OFFSET('VVP2'!$G$89,0,(COLUMN()-7)/5)</f>
        <v>4.1609718978245391</v>
      </c>
      <c r="AV88" s="1303">
        <f ca="1">+AS88*(1+AU88/100)</f>
        <v>1126.6696518494468</v>
      </c>
      <c r="AW88" s="1303">
        <f ca="1">+AX88/AV88*100-100</f>
        <v>-1.9859993399766012</v>
      </c>
      <c r="AX88" s="1303">
        <f ca="1">OFFSET('VVP2'!$G$279,0,(COLUMN()-6)/5)</f>
        <v>1104.2940000000001</v>
      </c>
      <c r="AY88" s="1303">
        <f ca="1">(AX88/AS88-1)*100</f>
        <v>2.0923356834205098</v>
      </c>
      <c r="AZ88" s="1303">
        <f ca="1">OFFSET('VVP2'!$G$89,0,(COLUMN()-7)/5)</f>
        <v>10.734866587775315</v>
      </c>
      <c r="BA88" s="1303">
        <f ca="1">+AX88*(1+AZ88/100)</f>
        <v>1222.8384876368077</v>
      </c>
      <c r="BB88" s="1303">
        <f ca="1">+BC88/BA88*100-100</f>
        <v>-0.33548892010554709</v>
      </c>
      <c r="BC88" s="1303">
        <f ca="1">OFFSET('VVP2'!$G$279,0,(COLUMN()-6)/5)</f>
        <v>1218.7360000000001</v>
      </c>
      <c r="BD88" s="1303">
        <f ca="1">(BC88/AX88-1)*100</f>
        <v>10.36336337967969</v>
      </c>
      <c r="BE88" s="1303">
        <f ca="1">OFFSET('VVP2'!$G$89,0,(COLUMN()-7)/5)</f>
        <v>6.6288945304860514</v>
      </c>
      <c r="BF88" s="1303">
        <f ca="1">+BC88*(1+BE88/100)</f>
        <v>1299.5247240450647</v>
      </c>
      <c r="BG88" s="1303">
        <f ca="1">+BH88/BF88*100-100</f>
        <v>2.6295979847591013</v>
      </c>
      <c r="BH88" s="1303">
        <f ca="1">OFFSET('VVP2'!$G$279,0,(COLUMN()-6)/5)</f>
        <v>1333.6969999999999</v>
      </c>
      <c r="BI88" s="1303">
        <f ca="1">(BH88/BC88-1)*100</f>
        <v>9.4328057922306243</v>
      </c>
      <c r="BJ88" s="1303">
        <f ca="1">OFFSET('VVP2'!$G$89,0,(COLUMN()-7)/5)</f>
        <v>8.6622715434560469</v>
      </c>
      <c r="BK88" s="1303">
        <f ca="1">+BH88*(1+BJ88/100)</f>
        <v>1449.2254557069268</v>
      </c>
      <c r="BL88" s="1303">
        <f ca="1">+BM88/BK88*100-100</f>
        <v>3.0513916326084569</v>
      </c>
      <c r="BM88" s="1303">
        <f ca="1">OFFSET('VVP2'!$G$279,0,(COLUMN()-6)/5)</f>
        <v>1493.4469999999999</v>
      </c>
      <c r="BN88" s="1303">
        <f ca="1">(BM88/BH88-1)*100</f>
        <v>11.97798300513535</v>
      </c>
      <c r="BO88" s="1303">
        <f ca="1">OFFSET('VVP2'!$G$89,0,(COLUMN()-7)/5)</f>
        <v>4.4787470485628367</v>
      </c>
      <c r="BP88" s="1303">
        <f ca="1">+BM88*(1+BO88/100)</f>
        <v>1560.3347134343501</v>
      </c>
      <c r="BQ88" s="1303">
        <f ca="1">+BR88/BP88*100-100</f>
        <v>1.9713261712897179</v>
      </c>
      <c r="BR88" s="1303">
        <f ca="1">OFFSET('VVP2'!$G$279,0,(COLUMN()-6)/5)</f>
        <v>1591.0940000000001</v>
      </c>
      <c r="BS88" s="1303">
        <f ca="1">(BR88/BM88-1)*100</f>
        <v>6.5383639325667486</v>
      </c>
      <c r="BT88" s="1303">
        <f ca="1">OFFSET('VVP2'!$G$89,0,(COLUMN()-7)/5)</f>
        <v>1.9858556821547024</v>
      </c>
      <c r="BU88" s="1303">
        <f ca="1">+BR88*(1+BT88/100)</f>
        <v>1622.6908306074226</v>
      </c>
      <c r="BV88" s="1303">
        <f ca="1">+BW88/BU88*100-100</f>
        <v>3.9919600314946848</v>
      </c>
      <c r="BW88" s="1303">
        <f ca="1">OFFSET('VVP2'!$G$279,0,(COLUMN()-6)/5)</f>
        <v>1687.4680000000001</v>
      </c>
      <c r="BX88" s="1303">
        <f ca="1">(BW88/BR88-1)*100</f>
        <v>6.0570902787641767</v>
      </c>
      <c r="BY88" s="1303">
        <f ca="1">OFFSET('VVP2'!$G$89,0,(COLUMN()-7)/5)</f>
        <v>-14.485194249141642</v>
      </c>
      <c r="BZ88" s="1303">
        <f ca="1">+BW88*(1+BY88/100)</f>
        <v>1443.0349823078946</v>
      </c>
      <c r="CA88" s="1303">
        <f ca="1">+CB88/BZ88*100-100</f>
        <v>1.3016328725492912</v>
      </c>
      <c r="CB88" s="1303">
        <f ca="1">OFFSET('VVP2'!$G$279,0,(COLUMN()-6)/5)</f>
        <v>1461.818</v>
      </c>
      <c r="CC88" s="1303">
        <f ca="1">(CB88/BW88-1)*100</f>
        <v>-13.372105426591796</v>
      </c>
      <c r="CD88" s="1303">
        <f ca="1">OFFSET('VVP2'!$G$89,0,(COLUMN()-7)/5)</f>
        <v>11.94244079217588</v>
      </c>
      <c r="CE88" s="1303">
        <f ca="1">+CB88*(1+CD88/100)</f>
        <v>1636.3947491393697</v>
      </c>
      <c r="CF88" s="1303">
        <f ca="1">+CG88/CE88*100-100</f>
        <v>-0.65257781748481136</v>
      </c>
      <c r="CG88" s="1303">
        <f ca="1">OFFSET('VVP2'!$G$279,0,(COLUMN()-6)/5)</f>
        <v>1625.7159999999999</v>
      </c>
      <c r="CH88" s="1303">
        <f ca="1">(CG88/CB88-1)*100</f>
        <v>11.211929255215081</v>
      </c>
      <c r="CI88" s="1303">
        <f ca="1">OFFSET('VVP2'!$G$89,0,(COLUMN()-7)/5)</f>
        <v>6.1013633377539733</v>
      </c>
      <c r="CJ88" s="1303">
        <f ca="1">+CG88*(1+CI88/100)</f>
        <v>1724.9068400000003</v>
      </c>
      <c r="CK88" s="1303">
        <f ca="1">+CL88/CJ88*100-100</f>
        <v>-1.0383656429816313</v>
      </c>
      <c r="CL88" s="1303">
        <f ca="1">OFFSET('VVP2'!$G$279,0,(COLUMN()-6)/5)</f>
        <v>1706.9960000000001</v>
      </c>
      <c r="CM88" s="1303">
        <f ca="1">(CL88/CG88-1)*100</f>
        <v>4.9996432341196329</v>
      </c>
      <c r="CN88" s="1303">
        <f ca="1">OFFSET('VVP2'!$G$89,0,(COLUMN()-7)/5)</f>
        <v>0.98140314638672788</v>
      </c>
      <c r="CO88" s="1303">
        <f ca="1">+CL88*(1+CN88/100)</f>
        <v>1723.7485124526956</v>
      </c>
      <c r="CP88" s="1303">
        <f ca="1">+CQ88/CO88*100-100</f>
        <v>-0.97656429177963844</v>
      </c>
      <c r="CQ88" s="1303">
        <f ca="1">OFFSET('VVP2'!$G$279,0,(COLUMN()-6)/5)</f>
        <v>1706.915</v>
      </c>
      <c r="CR88" s="1303">
        <f ca="1">(CQ88/CL88-1)*100</f>
        <v>-4.7451780789242726E-3</v>
      </c>
      <c r="CS88" s="1303">
        <f ca="1">OFFSET('VVP2'!$G$89,0,(COLUMN()-7)/5)</f>
        <v>-0.77263397483547935</v>
      </c>
      <c r="CT88" s="1303">
        <f ca="1">+CQ88*(1+CS88/100)</f>
        <v>1693.726794788437</v>
      </c>
      <c r="CU88" s="1303">
        <f ca="1">+CV88/CT88*100-100</f>
        <v>-2.5081255677804393</v>
      </c>
      <c r="CV88" s="1303">
        <f ca="1">OFFSET('VVP2'!$G$279,0,(COLUMN()-6)/5)</f>
        <v>1651.2460000000001</v>
      </c>
      <c r="CW88" s="1303">
        <f ca="1">(CV88/CQ88-1)*100</f>
        <v>-3.2613809123477111</v>
      </c>
      <c r="CX88" s="1303">
        <f ca="1">OFFSET('VVP2'!$G$89,0,(COLUMN()-7)/5)</f>
        <v>5.25726700200706</v>
      </c>
      <c r="CY88" s="1303">
        <f ca="1">+CV88*(1+CX88/100)</f>
        <v>1738.0564110799617</v>
      </c>
      <c r="CZ88" s="1303">
        <f ca="1">+DA88/CY88*100-100</f>
        <v>2.0037663161000836</v>
      </c>
      <c r="DA88" s="1303">
        <f ca="1">OFFSET('VVP2'!$G$279,0,(COLUMN()-6)/5)</f>
        <v>1772.883</v>
      </c>
      <c r="DB88" s="1303">
        <f ca="1">(DA88/CV88-1)*100</f>
        <v>7.3663766634408212</v>
      </c>
      <c r="DC88" s="1303">
        <f ca="1">OFFSET('VVP2'!$G$89,0,(COLUMN()-7)/5)</f>
        <v>5.684667594510695</v>
      </c>
      <c r="DD88" s="1303">
        <f ca="1">+DA88*(1+DC88/100)</f>
        <v>1873.665505389589</v>
      </c>
      <c r="DE88" s="1303">
        <f ca="1">+DF88/DD88*100-100</f>
        <v>2.1040305485163771</v>
      </c>
      <c r="DF88" s="1303">
        <f ca="1">OFFSET('VVP2'!$G$279,0,(COLUMN()-6)/5)</f>
        <v>1913.088</v>
      </c>
      <c r="DG88" s="1303">
        <f ca="1">(DF88/DA88-1)*100</f>
        <v>7.9083052857972014</v>
      </c>
      <c r="DH88" s="1303">
        <f ca="1">OFFSET('VVP2'!$G$89,0,(COLUMN()-7)/5)</f>
        <v>2.9675058425944201</v>
      </c>
      <c r="DI88" s="1303">
        <f ca="1">+DF88*(1+DH88/100)</f>
        <v>1969.8589981739726</v>
      </c>
      <c r="DJ88" s="1303">
        <f ca="1">+DK88/DI88*100-100</f>
        <v>-1.1527220067538622</v>
      </c>
      <c r="DK88" s="1303">
        <f ca="1">OFFSET('VVP2'!$G$279,0,(COLUMN()-6)/5)</f>
        <v>1947.152</v>
      </c>
      <c r="DL88" s="1303">
        <f ca="1">(DK88/DF88-1)*100</f>
        <v>1.7805767429412533</v>
      </c>
      <c r="DM88" s="1303">
        <f ca="1">OFFSET('VVP2'!$G$89,0,(COLUMN()-7)/5)</f>
        <v>3.233987457803722</v>
      </c>
      <c r="DN88" s="1303">
        <f ca="1">+DK88*(1+DM88/100)</f>
        <v>2010.1226514643745</v>
      </c>
      <c r="DO88" s="1303">
        <f ca="1">+DP88/DN88*100-100</f>
        <v>3.3099148694810197</v>
      </c>
      <c r="DP88" s="1303">
        <f ca="1">OFFSET('VVP2'!$G$279,0,(COLUMN()-6)/5)</f>
        <v>2076.6559999999999</v>
      </c>
      <c r="DQ88" s="1303">
        <f ca="1">(DP88/DK88-1)*100</f>
        <v>6.6509445590277494</v>
      </c>
      <c r="DR88" s="3368">
        <f ca="1">IF(UPPER($F$2)="Y",(DS88/DP88-1)*100,OFFSET('VVP2'!$G$89,0,(COLUMN()-7)/5))</f>
        <v>3.4379257614164382</v>
      </c>
      <c r="DS88" s="3369">
        <f ca="1">IF(UPPER($F$2)="Y",+DS86+DS87,DP88*(1+DR88/100))</f>
        <v>2148.0498916000001</v>
      </c>
      <c r="DT88" s="1303">
        <f ca="1">+DU88/DS88*100-100</f>
        <v>5.1273146239058036</v>
      </c>
      <c r="DU88" s="1303">
        <f ca="1">+DU86+DU87</f>
        <v>2258.1871678207999</v>
      </c>
      <c r="DV88" s="1303">
        <f ca="1">(DU88/DP88-1)*100</f>
        <v>8.7415136556463935</v>
      </c>
      <c r="DW88" s="3368">
        <f ca="1">IF(UPPER($F$2)="Y",(DX88/DU88-1)*100,OFFSET('VVP2'!$G$89,0,(COLUMN()-7)/5))</f>
        <v>3.2390742576303477</v>
      </c>
      <c r="DX88" s="3369">
        <f ca="1">IF(UPPER($F$2)="Y",+DX86+DX87,DU88*(1+DW88/100))</f>
        <v>2331.3315270627954</v>
      </c>
      <c r="DY88" s="1303">
        <f ca="1">+DZ88/DX88*100-100</f>
        <v>2.3700401221483816</v>
      </c>
      <c r="DZ88" s="1303">
        <f ca="1">+DZ86+DZ87</f>
        <v>2386.5850196344782</v>
      </c>
      <c r="EA88" s="1303">
        <f ca="1">(DZ88/DU88-1)*100</f>
        <v>5.6858817392707595</v>
      </c>
      <c r="EB88" s="3368">
        <f ca="1">IF(UPPER($F$2)="Y",(EC88/DZ88-1)*100,OFFSET('VVP2'!$G$89,0,(COLUMN()-7)/5))</f>
        <v>3.0107866005557815</v>
      </c>
      <c r="EC88" s="3369">
        <f ca="1">IF(UPPER($F$2)="Y",+EC86+EC87,DZ88*(1+EB88/100))</f>
        <v>2458.4400016165046</v>
      </c>
      <c r="ED88" s="1303">
        <f ca="1">+EE88/EC88*100-100</f>
        <v>1.1507884597324392</v>
      </c>
      <c r="EE88" s="1303">
        <f ca="1">+EE86+EE87</f>
        <v>2486.7314454445536</v>
      </c>
      <c r="EF88" s="1303">
        <f ca="1">(EE88/DZ88-1)*100</f>
        <v>4.1962228450346029</v>
      </c>
    </row>
    <row r="89" spans="1:136" s="2919" customFormat="1" ht="12.75">
      <c r="A89" s="2918"/>
      <c r="C89" s="2920"/>
      <c r="D89" s="1837"/>
      <c r="E89" s="1837" t="s">
        <v>1629</v>
      </c>
      <c r="F89" s="2921"/>
      <c r="G89" s="2922"/>
      <c r="H89" s="2922"/>
      <c r="I89" s="2922"/>
      <c r="J89" s="1276"/>
      <c r="K89" s="2922"/>
      <c r="L89" s="2924">
        <f ca="1">OFFSET('Q1'!$N185,0,(COLUMN()-12)*4/5)</f>
        <v>4.1306215983958623</v>
      </c>
      <c r="M89" s="2923"/>
      <c r="N89" s="1276"/>
      <c r="O89" s="1276"/>
      <c r="P89" s="1276"/>
      <c r="Q89" s="2924">
        <f ca="1">OFFSET('Q1'!$N185,0,(COLUMN()-12)*4/5)</f>
        <v>14.254070540448225</v>
      </c>
      <c r="R89" s="1276"/>
      <c r="S89" s="1276"/>
      <c r="T89" s="1276"/>
      <c r="U89" s="1276"/>
      <c r="V89" s="2924">
        <f ca="1">OFFSET('Q1'!$N185,0,(COLUMN()-12)*4/5)</f>
        <v>8.7767471493932447</v>
      </c>
      <c r="W89" s="1276"/>
      <c r="X89" s="1276"/>
      <c r="Y89" s="1276"/>
      <c r="Z89" s="1276"/>
      <c r="AA89" s="2924">
        <f ca="1">OFFSET('Q1'!$N185,0,(COLUMN()-12)*4/5)</f>
        <v>6.8078069030299986</v>
      </c>
      <c r="AB89" s="1276"/>
      <c r="AC89" s="1276"/>
      <c r="AD89" s="1276"/>
      <c r="AE89" s="1276"/>
      <c r="AF89" s="2924">
        <f ca="1">OFFSET('Q1'!$N185,0,(COLUMN()-12)*4/5)</f>
        <v>11.950575129301086</v>
      </c>
      <c r="AG89" s="1276"/>
      <c r="AH89" s="1276"/>
      <c r="AI89" s="1276"/>
      <c r="AJ89" s="1276"/>
      <c r="AK89" s="2924">
        <f ca="1">OFFSET('Q1'!$N185,0,(COLUMN()-12)*4/5)</f>
        <v>0.92537198324056646</v>
      </c>
      <c r="AL89" s="1276"/>
      <c r="AM89" s="1276"/>
      <c r="AN89" s="1276"/>
      <c r="AO89" s="1276"/>
      <c r="AP89" s="2924">
        <f ca="1">OFFSET('Q1'!$N185,0,(COLUMN()-12)*4/5)</f>
        <v>1.2900961372853743</v>
      </c>
      <c r="AQ89" s="1276"/>
      <c r="AR89" s="1276"/>
      <c r="AS89" s="1276"/>
      <c r="AT89" s="1276"/>
      <c r="AU89" s="2924">
        <f ca="1">OFFSET('Q1'!$N185,0,(COLUMN()-12)*4/5)</f>
        <v>4.3780136214644756</v>
      </c>
      <c r="AV89" s="1276"/>
      <c r="AW89" s="1276"/>
      <c r="AX89" s="1276"/>
      <c r="AY89" s="1276"/>
      <c r="AZ89" s="2924">
        <f ca="1">OFFSET('Q1'!$N185,0,(COLUMN()-12)*4/5)</f>
        <v>9.8152893236474199</v>
      </c>
      <c r="BA89" s="1276"/>
      <c r="BB89" s="1276"/>
      <c r="BC89" s="1276"/>
      <c r="BD89" s="1276"/>
      <c r="BE89" s="2924">
        <f ca="1">OFFSET('Q1'!$N185,0,(COLUMN()-12)*4/5)</f>
        <v>6.6200994025529099</v>
      </c>
      <c r="BF89" s="1276"/>
      <c r="BG89" s="1276"/>
      <c r="BH89" s="1276"/>
      <c r="BI89" s="1276"/>
      <c r="BJ89" s="2924">
        <f ca="1">OFFSET('Q1'!$N185,0,(COLUMN()-12)*4/5)</f>
        <v>9.1211668545408742</v>
      </c>
      <c r="BK89" s="1276"/>
      <c r="BL89" s="1276"/>
      <c r="BM89" s="1276"/>
      <c r="BN89" s="1276"/>
      <c r="BO89" s="2924">
        <f ca="1">OFFSET('Q1'!$N185,0,(COLUMN()-12)*4/5)</f>
        <v>4.7205344392704518</v>
      </c>
      <c r="BP89" s="1276"/>
      <c r="BQ89" s="1276"/>
      <c r="BR89" s="1276"/>
      <c r="BS89" s="1276"/>
      <c r="BT89" s="2924">
        <f ca="1">OFFSET('Q1'!$N185,0,(COLUMN()-12)*4/5)</f>
        <v>1.5964638759951271</v>
      </c>
      <c r="BU89" s="1276"/>
      <c r="BV89" s="1276"/>
      <c r="BW89" s="1276"/>
      <c r="BX89" s="1276"/>
      <c r="BY89" s="2924">
        <f ca="1">OFFSET('Q1'!$N185,0,(COLUMN()-12)*4/5)</f>
        <v>-14.335396796315138</v>
      </c>
      <c r="BZ89" s="1276"/>
      <c r="CA89" s="1276"/>
      <c r="CB89" s="1276"/>
      <c r="CC89" s="1276"/>
      <c r="CD89" s="2924">
        <f ca="1">OFFSET('Q1'!$N185,0,(COLUMN()-12)*4/5)</f>
        <v>11.411584169998406</v>
      </c>
      <c r="CE89" s="1276"/>
      <c r="CF89" s="1276"/>
      <c r="CG89" s="1276"/>
      <c r="CH89" s="1276"/>
      <c r="CI89" s="2924">
        <f ca="1">OFFSET('Q1'!$N185,0,(COLUMN()-12)*4/5)</f>
        <v>6.2189025226340107</v>
      </c>
      <c r="CJ89" s="1276"/>
      <c r="CK89" s="1276"/>
      <c r="CL89" s="1276"/>
      <c r="CM89" s="1276"/>
      <c r="CN89" s="2961">
        <f ca="1">OFFSET('Q1'!$N185,0,(COLUMN()-12)*4/5)</f>
        <v>1.5454140628806954</v>
      </c>
      <c r="CO89" s="1276"/>
      <c r="CP89" s="1276"/>
      <c r="CQ89" s="1276"/>
      <c r="CR89" s="1276"/>
      <c r="CS89" s="2961">
        <f ca="1">OFFSET('Q1'!$N185,0,(COLUMN()-12)*4/5)</f>
        <v>-0.79006049416931035</v>
      </c>
      <c r="CT89" s="1276"/>
      <c r="CU89" s="1276"/>
      <c r="CV89" s="1276"/>
      <c r="CW89" s="1276"/>
      <c r="CX89" s="2961">
        <f ca="1">OFFSET('Q1'!$N185,0,(COLUMN()-12)*4/5)</f>
        <v>5.443295313045013</v>
      </c>
      <c r="CY89" s="1276"/>
      <c r="CZ89" s="1276"/>
      <c r="DA89" s="1276"/>
      <c r="DB89" s="1276"/>
      <c r="DC89" s="2961">
        <f ca="1">OFFSET('Q1'!$N185,0,(COLUMN()-12)*4/5)</f>
        <v>5.2382272155057308</v>
      </c>
      <c r="DD89" s="1276"/>
      <c r="DE89" s="1276"/>
      <c r="DF89" s="1276"/>
      <c r="DG89" s="1276"/>
      <c r="DH89" s="2961">
        <f ca="1">OFFSET('Q1'!$N185,0,(COLUMN()-12)*4/5)</f>
        <v>2.5652239769897704</v>
      </c>
      <c r="DI89" s="1276"/>
      <c r="DJ89" s="1276"/>
      <c r="DK89" s="1276"/>
      <c r="DL89" s="1276"/>
      <c r="DM89" s="2961">
        <f ca="1">OFFSET('Q1'!$N185,0,(COLUMN()-12)*4/5)</f>
        <v>3.6826975079409721</v>
      </c>
      <c r="DN89" s="1276"/>
      <c r="DO89" s="1276"/>
      <c r="DP89" s="1276"/>
      <c r="DQ89" s="1276"/>
      <c r="DR89" s="2961">
        <f ca="1">OFFSET('Q1'!$N185,0,(COLUMN()-12)*4/5)</f>
        <v>3.4247586717537786</v>
      </c>
      <c r="DS89" s="1276"/>
      <c r="DT89" s="1276"/>
      <c r="DU89" s="1276"/>
      <c r="DV89" s="1276"/>
      <c r="DW89" s="2961">
        <f ca="1">OFFSET('Q1'!$N185,0,(COLUMN()-12)*4/5)</f>
        <v>3.2320510411273204</v>
      </c>
      <c r="DX89" s="1276"/>
      <c r="DY89" s="1276"/>
      <c r="DZ89" s="1276"/>
      <c r="EA89" s="1276"/>
      <c r="EB89" s="2961">
        <f ca="1">OFFSET('Q1'!$N185,0,(COLUMN()-12)*4/5)</f>
        <v>3.023658136506981</v>
      </c>
      <c r="EC89" s="1276"/>
      <c r="ED89" s="1276"/>
      <c r="EE89" s="1276"/>
      <c r="EF89" s="1276"/>
    </row>
    <row r="90" spans="1:136">
      <c r="DH90" s="3310"/>
      <c r="DM90" s="3310"/>
      <c r="DR90" s="3310"/>
      <c r="DW90" s="3310"/>
      <c r="EB90" s="3310"/>
    </row>
    <row r="91" spans="1:136">
      <c r="DH91" s="3310"/>
    </row>
    <row r="92" spans="1:136">
      <c r="D92" s="3812"/>
      <c r="E92" s="3805" t="s">
        <v>506</v>
      </c>
      <c r="F92" s="3806"/>
      <c r="G92" s="3809">
        <f>+InputY!$G$3</f>
        <v>1995</v>
      </c>
      <c r="H92" s="3791"/>
      <c r="I92" s="3791"/>
      <c r="J92" s="3791"/>
      <c r="K92" s="3791"/>
      <c r="L92" s="3791">
        <f>+G92+1</f>
        <v>1996</v>
      </c>
      <c r="M92" s="3791"/>
      <c r="N92" s="3791"/>
      <c r="O92" s="3791"/>
      <c r="P92" s="3791"/>
      <c r="Q92" s="3791">
        <f>+L92+1</f>
        <v>1997</v>
      </c>
      <c r="R92" s="3791"/>
      <c r="S92" s="3791"/>
      <c r="T92" s="3791"/>
      <c r="U92" s="3791"/>
      <c r="V92" s="3791">
        <f>+Q92+1</f>
        <v>1998</v>
      </c>
      <c r="W92" s="3791"/>
      <c r="X92" s="3791"/>
      <c r="Y92" s="3791"/>
      <c r="Z92" s="3791"/>
      <c r="AA92" s="3791">
        <f>+V92+1</f>
        <v>1999</v>
      </c>
      <c r="AB92" s="3791"/>
      <c r="AC92" s="3791"/>
      <c r="AD92" s="3791"/>
      <c r="AE92" s="3791"/>
      <c r="AF92" s="3791">
        <f>+AA92+1</f>
        <v>2000</v>
      </c>
      <c r="AG92" s="3791"/>
      <c r="AH92" s="3791"/>
      <c r="AI92" s="3791"/>
      <c r="AJ92" s="3791"/>
      <c r="AK92" s="3791">
        <f>+AF92+1</f>
        <v>2001</v>
      </c>
      <c r="AL92" s="3791"/>
      <c r="AM92" s="3791"/>
      <c r="AN92" s="3791"/>
      <c r="AO92" s="3791"/>
      <c r="AP92" s="3791">
        <f>+AK92+1</f>
        <v>2002</v>
      </c>
      <c r="AQ92" s="3791"/>
      <c r="AR92" s="3791"/>
      <c r="AS92" s="3791"/>
      <c r="AT92" s="3791"/>
      <c r="AU92" s="3791">
        <f>+AP92+1</f>
        <v>2003</v>
      </c>
      <c r="AV92" s="3791"/>
      <c r="AW92" s="3791"/>
      <c r="AX92" s="3791"/>
      <c r="AY92" s="3791"/>
      <c r="AZ92" s="3791">
        <f>+AU92+1</f>
        <v>2004</v>
      </c>
      <c r="BA92" s="3791"/>
      <c r="BB92" s="3791"/>
      <c r="BC92" s="3791"/>
      <c r="BD92" s="3791"/>
      <c r="BE92" s="3791">
        <f>+AZ92+1</f>
        <v>2005</v>
      </c>
      <c r="BF92" s="3791"/>
      <c r="BG92" s="3791"/>
      <c r="BH92" s="3791"/>
      <c r="BI92" s="3791"/>
      <c r="BJ92" s="3791">
        <f>+BE92+1</f>
        <v>2006</v>
      </c>
      <c r="BK92" s="3791"/>
      <c r="BL92" s="3791"/>
      <c r="BM92" s="3791"/>
      <c r="BN92" s="3791"/>
      <c r="BO92" s="3791">
        <f>+BJ92+1</f>
        <v>2007</v>
      </c>
      <c r="BP92" s="3791"/>
      <c r="BQ92" s="3791"/>
      <c r="BR92" s="3791"/>
      <c r="BS92" s="3791"/>
      <c r="BT92" s="3791">
        <f>+BO92+1</f>
        <v>2008</v>
      </c>
      <c r="BU92" s="3791"/>
      <c r="BV92" s="3791"/>
      <c r="BW92" s="3791"/>
      <c r="BX92" s="3791"/>
      <c r="BY92" s="3791">
        <f>+BT92+1</f>
        <v>2009</v>
      </c>
      <c r="BZ92" s="3791"/>
      <c r="CA92" s="3791"/>
      <c r="CB92" s="3791"/>
      <c r="CC92" s="3791"/>
      <c r="CD92" s="3791">
        <f>+BY92+1</f>
        <v>2010</v>
      </c>
      <c r="CE92" s="3791"/>
      <c r="CF92" s="3791"/>
      <c r="CG92" s="3791"/>
      <c r="CH92" s="3791"/>
      <c r="CI92" s="3791">
        <f>+CD92+1</f>
        <v>2011</v>
      </c>
      <c r="CJ92" s="3791"/>
      <c r="CK92" s="3791"/>
      <c r="CL92" s="3791"/>
      <c r="CM92" s="3791"/>
      <c r="CN92" s="3791">
        <f>+CI92+1</f>
        <v>2012</v>
      </c>
      <c r="CO92" s="3791"/>
      <c r="CP92" s="3791"/>
      <c r="CQ92" s="3791"/>
      <c r="CR92" s="3791"/>
      <c r="CS92" s="3791">
        <f>+CN92+1</f>
        <v>2013</v>
      </c>
      <c r="CT92" s="3791"/>
      <c r="CU92" s="3791"/>
      <c r="CV92" s="3791"/>
      <c r="CW92" s="3791"/>
      <c r="CX92" s="3802">
        <f>+CS92+1</f>
        <v>2014</v>
      </c>
      <c r="CY92" s="3803"/>
      <c r="CZ92" s="3803"/>
      <c r="DA92" s="3803"/>
      <c r="DB92" s="3804"/>
      <c r="DC92" s="3802">
        <f>+CX92+1</f>
        <v>2015</v>
      </c>
      <c r="DD92" s="3803"/>
      <c r="DE92" s="3803"/>
      <c r="DF92" s="3803"/>
      <c r="DG92" s="3804"/>
      <c r="DH92" s="3791">
        <f>+DC92+1</f>
        <v>2016</v>
      </c>
      <c r="DI92" s="3791"/>
      <c r="DJ92" s="3791"/>
      <c r="DK92" s="3791"/>
      <c r="DL92" s="3791"/>
      <c r="DM92" s="3791">
        <f>+DH92+1</f>
        <v>2017</v>
      </c>
      <c r="DN92" s="3791"/>
      <c r="DO92" s="3791"/>
      <c r="DP92" s="3791"/>
      <c r="DQ92" s="3791"/>
      <c r="DR92" s="3791">
        <f>+DM92+1</f>
        <v>2018</v>
      </c>
      <c r="DS92" s="3791"/>
      <c r="DT92" s="3791"/>
      <c r="DU92" s="3791"/>
      <c r="DV92" s="3791"/>
      <c r="DW92" s="3791">
        <f>+DR92+1</f>
        <v>2019</v>
      </c>
      <c r="DX92" s="3791"/>
      <c r="DY92" s="3791"/>
      <c r="DZ92" s="3791"/>
      <c r="EA92" s="3791"/>
      <c r="EB92" s="3791">
        <f>+DW92+1</f>
        <v>2020</v>
      </c>
      <c r="EC92" s="3791"/>
      <c r="ED92" s="3791"/>
      <c r="EE92" s="3791"/>
      <c r="EF92" s="3791"/>
    </row>
    <row r="93" spans="1:136">
      <c r="C93" s="3"/>
      <c r="D93" s="3813"/>
      <c r="E93" s="3807" t="s">
        <v>1745</v>
      </c>
      <c r="F93" s="3808"/>
      <c r="G93" s="1300" t="s">
        <v>396</v>
      </c>
      <c r="H93" s="1297" t="s">
        <v>1774</v>
      </c>
      <c r="I93" s="1296" t="s">
        <v>1249</v>
      </c>
      <c r="J93" s="1297" t="s">
        <v>1772</v>
      </c>
      <c r="K93" s="1296" t="s">
        <v>1250</v>
      </c>
      <c r="L93" s="1296" t="s">
        <v>396</v>
      </c>
      <c r="M93" s="1297" t="s">
        <v>1774</v>
      </c>
      <c r="N93" s="1296" t="s">
        <v>1249</v>
      </c>
      <c r="O93" s="1297" t="s">
        <v>1772</v>
      </c>
      <c r="P93" s="1296" t="s">
        <v>1250</v>
      </c>
      <c r="Q93" s="1296" t="s">
        <v>396</v>
      </c>
      <c r="R93" s="1297" t="s">
        <v>1774</v>
      </c>
      <c r="S93" s="1296" t="s">
        <v>1249</v>
      </c>
      <c r="T93" s="1297" t="s">
        <v>1772</v>
      </c>
      <c r="U93" s="1296" t="s">
        <v>1250</v>
      </c>
      <c r="V93" s="1296" t="s">
        <v>396</v>
      </c>
      <c r="W93" s="1297" t="s">
        <v>1774</v>
      </c>
      <c r="X93" s="1296" t="s">
        <v>1249</v>
      </c>
      <c r="Y93" s="1297" t="s">
        <v>1772</v>
      </c>
      <c r="Z93" s="1296" t="s">
        <v>1250</v>
      </c>
      <c r="AA93" s="1296" t="s">
        <v>396</v>
      </c>
      <c r="AB93" s="1297" t="s">
        <v>1774</v>
      </c>
      <c r="AC93" s="1296" t="s">
        <v>1249</v>
      </c>
      <c r="AD93" s="1297" t="s">
        <v>1772</v>
      </c>
      <c r="AE93" s="1296" t="s">
        <v>1250</v>
      </c>
      <c r="AF93" s="1296" t="s">
        <v>396</v>
      </c>
      <c r="AG93" s="1297" t="s">
        <v>1774</v>
      </c>
      <c r="AH93" s="1296" t="s">
        <v>1249</v>
      </c>
      <c r="AI93" s="1297" t="s">
        <v>1772</v>
      </c>
      <c r="AJ93" s="1296" t="s">
        <v>1250</v>
      </c>
      <c r="AK93" s="1296" t="s">
        <v>396</v>
      </c>
      <c r="AL93" s="1297" t="s">
        <v>1774</v>
      </c>
      <c r="AM93" s="1296" t="s">
        <v>1249</v>
      </c>
      <c r="AN93" s="1297" t="s">
        <v>1772</v>
      </c>
      <c r="AO93" s="1296" t="s">
        <v>1250</v>
      </c>
      <c r="AP93" s="1296" t="s">
        <v>396</v>
      </c>
      <c r="AQ93" s="1297" t="s">
        <v>1774</v>
      </c>
      <c r="AR93" s="1296" t="s">
        <v>1249</v>
      </c>
      <c r="AS93" s="1297" t="s">
        <v>1772</v>
      </c>
      <c r="AT93" s="1296" t="s">
        <v>1250</v>
      </c>
      <c r="AU93" s="1296" t="s">
        <v>396</v>
      </c>
      <c r="AV93" s="1297" t="s">
        <v>1774</v>
      </c>
      <c r="AW93" s="1296" t="s">
        <v>1249</v>
      </c>
      <c r="AX93" s="1297" t="s">
        <v>1772</v>
      </c>
      <c r="AY93" s="1296" t="s">
        <v>1250</v>
      </c>
      <c r="AZ93" s="1296" t="s">
        <v>396</v>
      </c>
      <c r="BA93" s="1297" t="s">
        <v>1774</v>
      </c>
      <c r="BB93" s="1296" t="s">
        <v>1249</v>
      </c>
      <c r="BC93" s="1297" t="s">
        <v>1772</v>
      </c>
      <c r="BD93" s="1296" t="s">
        <v>1250</v>
      </c>
      <c r="BE93" s="1296" t="s">
        <v>396</v>
      </c>
      <c r="BF93" s="1297" t="s">
        <v>1774</v>
      </c>
      <c r="BG93" s="1296" t="s">
        <v>1249</v>
      </c>
      <c r="BH93" s="1297" t="s">
        <v>1772</v>
      </c>
      <c r="BI93" s="1296" t="s">
        <v>1250</v>
      </c>
      <c r="BJ93" s="1296" t="s">
        <v>396</v>
      </c>
      <c r="BK93" s="1297" t="s">
        <v>1774</v>
      </c>
      <c r="BL93" s="1296" t="s">
        <v>1249</v>
      </c>
      <c r="BM93" s="1297" t="s">
        <v>1772</v>
      </c>
      <c r="BN93" s="1296" t="s">
        <v>1250</v>
      </c>
      <c r="BO93" s="1296" t="s">
        <v>396</v>
      </c>
      <c r="BP93" s="1297" t="s">
        <v>1774</v>
      </c>
      <c r="BQ93" s="1296" t="s">
        <v>1249</v>
      </c>
      <c r="BR93" s="1297" t="s">
        <v>1772</v>
      </c>
      <c r="BS93" s="1296" t="s">
        <v>1250</v>
      </c>
      <c r="BT93" s="1296" t="s">
        <v>396</v>
      </c>
      <c r="BU93" s="1297" t="s">
        <v>1774</v>
      </c>
      <c r="BV93" s="1296" t="s">
        <v>1249</v>
      </c>
      <c r="BW93" s="1297" t="s">
        <v>1772</v>
      </c>
      <c r="BX93" s="1296" t="s">
        <v>1250</v>
      </c>
      <c r="BY93" s="1296" t="s">
        <v>396</v>
      </c>
      <c r="BZ93" s="1297" t="s">
        <v>1774</v>
      </c>
      <c r="CA93" s="1296" t="s">
        <v>1249</v>
      </c>
      <c r="CB93" s="1297" t="s">
        <v>1772</v>
      </c>
      <c r="CC93" s="1296" t="s">
        <v>1250</v>
      </c>
      <c r="CD93" s="1296" t="s">
        <v>396</v>
      </c>
      <c r="CE93" s="1297" t="s">
        <v>1774</v>
      </c>
      <c r="CF93" s="1296" t="s">
        <v>1249</v>
      </c>
      <c r="CG93" s="1297" t="s">
        <v>1772</v>
      </c>
      <c r="CH93" s="1296" t="s">
        <v>1250</v>
      </c>
      <c r="CI93" s="1296" t="s">
        <v>396</v>
      </c>
      <c r="CJ93" s="1297" t="s">
        <v>1774</v>
      </c>
      <c r="CK93" s="1296" t="s">
        <v>1249</v>
      </c>
      <c r="CL93" s="1297" t="s">
        <v>1772</v>
      </c>
      <c r="CM93" s="1296" t="s">
        <v>1250</v>
      </c>
      <c r="CN93" s="1296" t="s">
        <v>396</v>
      </c>
      <c r="CO93" s="1297" t="s">
        <v>1774</v>
      </c>
      <c r="CP93" s="1296" t="s">
        <v>1249</v>
      </c>
      <c r="CQ93" s="1297" t="s">
        <v>1772</v>
      </c>
      <c r="CR93" s="1296" t="s">
        <v>1250</v>
      </c>
      <c r="CS93" s="1296" t="s">
        <v>396</v>
      </c>
      <c r="CT93" s="1297" t="s">
        <v>1774</v>
      </c>
      <c r="CU93" s="1296" t="s">
        <v>1249</v>
      </c>
      <c r="CV93" s="1297" t="s">
        <v>1772</v>
      </c>
      <c r="CW93" s="1296" t="s">
        <v>1250</v>
      </c>
      <c r="CX93" s="1296" t="s">
        <v>396</v>
      </c>
      <c r="CY93" s="1297" t="s">
        <v>1774</v>
      </c>
      <c r="CZ93" s="1296" t="s">
        <v>1249</v>
      </c>
      <c r="DA93" s="1297" t="s">
        <v>1772</v>
      </c>
      <c r="DB93" s="1296" t="s">
        <v>1250</v>
      </c>
      <c r="DC93" s="1296" t="s">
        <v>396</v>
      </c>
      <c r="DD93" s="1297" t="s">
        <v>1774</v>
      </c>
      <c r="DE93" s="1296" t="s">
        <v>1249</v>
      </c>
      <c r="DF93" s="1297" t="s">
        <v>1772</v>
      </c>
      <c r="DG93" s="1296" t="s">
        <v>1250</v>
      </c>
      <c r="DH93" s="1296" t="s">
        <v>396</v>
      </c>
      <c r="DI93" s="1297" t="s">
        <v>1774</v>
      </c>
      <c r="DJ93" s="1296" t="s">
        <v>1249</v>
      </c>
      <c r="DK93" s="1297" t="s">
        <v>1772</v>
      </c>
      <c r="DL93" s="1296" t="s">
        <v>1250</v>
      </c>
      <c r="DM93" s="1296" t="s">
        <v>396</v>
      </c>
      <c r="DN93" s="1297" t="s">
        <v>1774</v>
      </c>
      <c r="DO93" s="1296" t="s">
        <v>1249</v>
      </c>
      <c r="DP93" s="1297" t="s">
        <v>1772</v>
      </c>
      <c r="DQ93" s="1296" t="s">
        <v>1250</v>
      </c>
      <c r="DR93" s="1296" t="s">
        <v>396</v>
      </c>
      <c r="DS93" s="1297" t="s">
        <v>1774</v>
      </c>
      <c r="DT93" s="1296" t="s">
        <v>1249</v>
      </c>
      <c r="DU93" s="1297" t="s">
        <v>1772</v>
      </c>
      <c r="DV93" s="1296" t="s">
        <v>1250</v>
      </c>
      <c r="DW93" s="1296" t="s">
        <v>396</v>
      </c>
      <c r="DX93" s="1297" t="s">
        <v>1774</v>
      </c>
      <c r="DY93" s="1296" t="s">
        <v>1249</v>
      </c>
      <c r="DZ93" s="1297" t="s">
        <v>1772</v>
      </c>
      <c r="EA93" s="1296" t="s">
        <v>1250</v>
      </c>
      <c r="EB93" s="1296" t="s">
        <v>396</v>
      </c>
      <c r="EC93" s="1297" t="s">
        <v>1774</v>
      </c>
      <c r="ED93" s="1296" t="s">
        <v>1249</v>
      </c>
      <c r="EE93" s="1297" t="s">
        <v>1772</v>
      </c>
      <c r="EF93" s="1296" t="s">
        <v>1250</v>
      </c>
    </row>
    <row r="94" spans="1:136" s="1341" customFormat="1">
      <c r="A94" s="1506"/>
      <c r="C94" s="1342" t="s">
        <v>1791</v>
      </c>
      <c r="D94" s="1343"/>
      <c r="E94" s="1343" t="s">
        <v>509</v>
      </c>
      <c r="F94" s="1344" t="s">
        <v>507</v>
      </c>
      <c r="G94" s="1281"/>
      <c r="H94" s="1282"/>
      <c r="I94" s="1283"/>
      <c r="J94" s="1272">
        <f ca="1">OFFSET('VVP2'!$G$288,0,(COLUMN()-6)/5)</f>
        <v>341.81329852800002</v>
      </c>
      <c r="K94" s="1284"/>
      <c r="L94" s="1281"/>
      <c r="M94" s="1282"/>
      <c r="N94" s="1283"/>
      <c r="O94" s="1272">
        <f ca="1">OFFSET('VVP2'!$G$288,0,(COLUMN()-6)/5)</f>
        <v>325.22909659200002</v>
      </c>
      <c r="P94" s="1265">
        <f ca="1">(O94/J94-1)*100</f>
        <v>-4.8518305190052402</v>
      </c>
      <c r="Q94" s="1281"/>
      <c r="R94" s="1282"/>
      <c r="S94" s="1283"/>
      <c r="T94" s="1272">
        <f ca="1">OFFSET('VVP2'!$G$288,0,(COLUMN()-6)/5)</f>
        <v>350.79715744700002</v>
      </c>
      <c r="U94" s="1265">
        <f ca="1">(T94/O94-1)*100</f>
        <v>7.8615539393374512</v>
      </c>
      <c r="V94" s="1281"/>
      <c r="W94" s="1282"/>
      <c r="X94" s="1283"/>
      <c r="Y94" s="1272">
        <f ca="1">OFFSET('VVP2'!$G$288,0,(COLUMN()-6)/5)</f>
        <v>390.64968976400002</v>
      </c>
      <c r="Z94" s="1265">
        <f ca="1">(Y94/T94-1)*100</f>
        <v>11.360563069277752</v>
      </c>
      <c r="AA94" s="1281"/>
      <c r="AB94" s="1282"/>
      <c r="AC94" s="1283"/>
      <c r="AD94" s="1272">
        <f ca="1">OFFSET('VVP2'!$G$288,0,(COLUMN()-6)/5)</f>
        <v>440.18409642022561</v>
      </c>
      <c r="AE94" s="1265">
        <f ca="1">(AD94/Y94-1)*100</f>
        <v>12.680006654081932</v>
      </c>
      <c r="AF94" s="1281"/>
      <c r="AG94" s="1282"/>
      <c r="AH94" s="1283"/>
      <c r="AI94" s="1272">
        <f ca="1">OFFSET('VVP2'!$G$288,0,(COLUMN()-6)/5)</f>
        <v>481.39430880911704</v>
      </c>
      <c r="AJ94" s="1265">
        <f ca="1">(AI94/AD94-1)*100</f>
        <v>9.3620402745195221</v>
      </c>
      <c r="AK94" s="1281"/>
      <c r="AL94" s="1282"/>
      <c r="AM94" s="1283"/>
      <c r="AN94" s="1272">
        <f ca="1">OFFSET('VVP2'!$G$288,0,(COLUMN()-6)/5)</f>
        <v>461.69397031073913</v>
      </c>
      <c r="AO94" s="1265">
        <f ca="1">(AN94/AI94-1)*100</f>
        <v>-4.0923496887848572</v>
      </c>
      <c r="AP94" s="1281"/>
      <c r="AQ94" s="1282"/>
      <c r="AR94" s="1283"/>
      <c r="AS94" s="1272">
        <f ca="1">OFFSET('VVP2'!$G$288,0,(COLUMN()-6)/5)</f>
        <v>463.06559079816827</v>
      </c>
      <c r="AT94" s="1265">
        <f ca="1">(AS94/AN94-1)*100</f>
        <v>0.29708434063064892</v>
      </c>
      <c r="AU94" s="1281"/>
      <c r="AV94" s="1282"/>
      <c r="AW94" s="1283"/>
      <c r="AX94" s="1272">
        <f ca="1">OFFSET('VVP2'!$G$288,0,(COLUMN()-6)/5)</f>
        <v>484.54479441903516</v>
      </c>
      <c r="AY94" s="1265">
        <f ca="1">(AX94/AS94-1)*100</f>
        <v>4.6384797418966173</v>
      </c>
      <c r="AZ94" s="1281"/>
      <c r="BA94" s="1282"/>
      <c r="BB94" s="1283"/>
      <c r="BC94" s="1272">
        <f ca="1">OFFSET('VVP2'!$G$288,0,(COLUMN()-6)/5)</f>
        <v>535.03717180924968</v>
      </c>
      <c r="BD94" s="1265">
        <f ca="1">(BC94/AX94-1)*100</f>
        <v>10.42057988689249</v>
      </c>
      <c r="BE94" s="1281"/>
      <c r="BF94" s="1282"/>
      <c r="BG94" s="1283"/>
      <c r="BH94" s="1272">
        <f ca="1">OFFSET('VVP2'!$G$288,0,(COLUMN()-6)/5)</f>
        <v>577.97340728445647</v>
      </c>
      <c r="BI94" s="1265">
        <f ca="1">(BH94/BC94-1)*100</f>
        <v>8.0249070041276127</v>
      </c>
      <c r="BJ94" s="1281"/>
      <c r="BK94" s="1282"/>
      <c r="BL94" s="1283"/>
      <c r="BM94" s="1272">
        <f ca="1">OFFSET('VVP2'!$G$288,0,(COLUMN()-6)/5)</f>
        <v>656.57929981164921</v>
      </c>
      <c r="BN94" s="1265">
        <f ca="1">(BM94/BH94-1)*100</f>
        <v>13.600261108294532</v>
      </c>
      <c r="BO94" s="1281"/>
      <c r="BP94" s="1282"/>
      <c r="BQ94" s="1283"/>
      <c r="BR94" s="1272">
        <f ca="1">OFFSET('VVP2'!$G$288,0,(COLUMN()-6)/5)</f>
        <v>698.34703713144108</v>
      </c>
      <c r="BS94" s="1265">
        <f ca="1">(BR94/BM94-1)*100</f>
        <v>6.361415495702305</v>
      </c>
      <c r="BT94" s="1281"/>
      <c r="BU94" s="1282"/>
      <c r="BV94" s="1283"/>
      <c r="BW94" s="1272">
        <f ca="1">OFFSET('VVP2'!$G$288,0,(COLUMN()-6)/5)</f>
        <v>721.34184791625</v>
      </c>
      <c r="BX94" s="1265">
        <f ca="1">(BW94/BR94-1)*100</f>
        <v>3.2927483847090322</v>
      </c>
      <c r="BY94" s="1281"/>
      <c r="BZ94" s="1282"/>
      <c r="CA94" s="1283"/>
      <c r="CB94" s="1272">
        <f ca="1">OFFSET('VVP2'!$G$288,0,(COLUMN()-6)/5)</f>
        <v>582.27566633733011</v>
      </c>
      <c r="CC94" s="1265">
        <f ca="1">(CB94/BW94-1)*100</f>
        <v>-19.278817939184066</v>
      </c>
      <c r="CD94" s="1281"/>
      <c r="CE94" s="1282"/>
      <c r="CF94" s="1283"/>
      <c r="CG94" s="1272">
        <f ca="1">OFFSET('VVP2'!$G$288,0,(COLUMN()-6)/5)</f>
        <v>652.18015087417928</v>
      </c>
      <c r="CH94" s="1265">
        <f ca="1">(CG94/CB94-1)*100</f>
        <v>12.005393420708632</v>
      </c>
      <c r="CI94" s="1281"/>
      <c r="CJ94" s="1282"/>
      <c r="CK94" s="1283"/>
      <c r="CL94" s="1272">
        <f ca="1">OFFSET('VVP2'!$G$288,0,(COLUMN()-6)/5)</f>
        <v>680.47013745995127</v>
      </c>
      <c r="CM94" s="1265">
        <f ca="1">(CL94/CG94-1)*100</f>
        <v>4.3377564539264446</v>
      </c>
      <c r="CN94" s="1281"/>
      <c r="CO94" s="1282"/>
      <c r="CP94" s="1283"/>
      <c r="CQ94" s="1272">
        <f ca="1">OFFSET('VVP2'!$G$288,0,(COLUMN()-6)/5)</f>
        <v>664.96540183095385</v>
      </c>
      <c r="CR94" s="1265">
        <f ca="1">(CQ94/CL94-1)*100</f>
        <v>-2.2785328518417081</v>
      </c>
      <c r="CS94" s="1281"/>
      <c r="CT94" s="1282"/>
      <c r="CU94" s="1283"/>
      <c r="CV94" s="1272">
        <f ca="1">OFFSET('VVP2'!$G$288,0,(COLUMN()-6)/5)</f>
        <v>629.63555079701314</v>
      </c>
      <c r="CW94" s="1265">
        <f ca="1">(CV94/CQ94-1)*100</f>
        <v>-5.3130359770089512</v>
      </c>
      <c r="CX94" s="1354"/>
      <c r="CY94" s="1476"/>
      <c r="CZ94" s="1094"/>
      <c r="DA94" s="1272">
        <f ca="1">OFFSET('VVP2'!$G$288,0,(COLUMN()-6)/5)</f>
        <v>659.16806977592148</v>
      </c>
      <c r="DB94" s="1265">
        <f ca="1">(DA94/CV94-1)*100</f>
        <v>4.690414787018482</v>
      </c>
      <c r="DC94" s="1354"/>
      <c r="DD94" s="1476"/>
      <c r="DE94" s="1094"/>
      <c r="DF94" s="1272">
        <f ca="1">OFFSET('VVP2'!$G$288,0,(COLUMN()-6)/5)</f>
        <v>690.53141321015619</v>
      </c>
      <c r="DG94" s="1265">
        <f ca="1">(DF94/DA94-1)*100</f>
        <v>4.7580192172986147</v>
      </c>
      <c r="DH94" s="1354"/>
      <c r="DI94" s="1476"/>
      <c r="DJ94" s="1094"/>
      <c r="DK94" s="1272">
        <f ca="1">OFFSET('VVP2'!$G$288,0,(COLUMN()-6)/5)</f>
        <v>704.95398159727733</v>
      </c>
      <c r="DL94" s="1265">
        <f ca="1">(DK94/DF94-1)*100</f>
        <v>2.088618723379021</v>
      </c>
      <c r="DM94" s="1354"/>
      <c r="DN94" s="1476"/>
      <c r="DO94" s="1094"/>
      <c r="DP94" s="1272">
        <f ca="1">OFFSET('VVP2'!$G$288,0,(COLUMN()-6)/5)</f>
        <v>772.37506491564704</v>
      </c>
      <c r="DQ94" s="1265">
        <f ca="1">(DP94/DK94-1)*100</f>
        <v>9.5638985066241808</v>
      </c>
      <c r="DR94" s="1354"/>
      <c r="DS94" s="1476"/>
      <c r="DT94" s="1094"/>
      <c r="DU94" s="3246">
        <f ca="1">+DU96-DU95</f>
        <v>845.0894603337656</v>
      </c>
      <c r="DV94" s="1477">
        <f ca="1">(DU94/DP94-1)*100</f>
        <v>9.4143892936341622</v>
      </c>
      <c r="DW94" s="1354"/>
      <c r="DX94" s="1476"/>
      <c r="DY94" s="1094"/>
      <c r="DZ94" s="3246">
        <f ca="1">+DZ96-DZ95</f>
        <v>899.56125659960571</v>
      </c>
      <c r="EA94" s="1477">
        <f ca="1">(DZ94/DU94-1)*100</f>
        <v>6.4456840160243667</v>
      </c>
      <c r="EB94" s="1354"/>
      <c r="EC94" s="1476"/>
      <c r="ED94" s="1094"/>
      <c r="EE94" s="3246">
        <f ca="1">+EE96-EE95</f>
        <v>933.74311046854996</v>
      </c>
      <c r="EF94" s="1477">
        <f ca="1">(EE94/DZ94-1)*100</f>
        <v>3.7998361554780313</v>
      </c>
    </row>
    <row r="95" spans="1:136" s="1341" customFormat="1">
      <c r="A95" s="1506"/>
      <c r="C95" s="1347" t="s">
        <v>1791</v>
      </c>
      <c r="D95" s="1348"/>
      <c r="E95" s="1348" t="s">
        <v>510</v>
      </c>
      <c r="F95" s="1349" t="s">
        <v>508</v>
      </c>
      <c r="G95" s="1290"/>
      <c r="H95" s="1291"/>
      <c r="I95" s="1292"/>
      <c r="J95" s="1275">
        <f ca="1">OFFSET('VVP2'!$G$289,0,(COLUMN()-6)/5)</f>
        <v>191.490065208</v>
      </c>
      <c r="K95" s="1293"/>
      <c r="L95" s="1290"/>
      <c r="M95" s="1291"/>
      <c r="N95" s="1292"/>
      <c r="O95" s="1275">
        <f ca="1">OFFSET('VVP2'!$G$289,0,(COLUMN()-6)/5)</f>
        <v>196.25578128000006</v>
      </c>
      <c r="P95" s="1262">
        <f ca="1">(O95/J95-1)*100</f>
        <v>2.4887536942574284</v>
      </c>
      <c r="Q95" s="1290"/>
      <c r="R95" s="1291"/>
      <c r="S95" s="1292"/>
      <c r="T95" s="1275">
        <f ca="1">OFFSET('VVP2'!$G$289,0,(COLUMN()-6)/5)</f>
        <v>280.52283842000008</v>
      </c>
      <c r="U95" s="1262">
        <f ca="1">(T95/O95-1)*100</f>
        <v>42.937362960928716</v>
      </c>
      <c r="V95" s="1290"/>
      <c r="W95" s="1291"/>
      <c r="X95" s="1292"/>
      <c r="Y95" s="1275">
        <f ca="1">OFFSET('VVP2'!$G$289,0,(COLUMN()-6)/5)</f>
        <v>283.49893461700003</v>
      </c>
      <c r="Z95" s="1262">
        <f ca="1">(Y95/T95-1)*100</f>
        <v>1.0609104819280679</v>
      </c>
      <c r="AA95" s="1290"/>
      <c r="AB95" s="1291"/>
      <c r="AC95" s="1292"/>
      <c r="AD95" s="1275">
        <f ca="1">OFFSET('VVP2'!$G$289,0,(COLUMN()-6)/5)</f>
        <v>261.32270098616323</v>
      </c>
      <c r="AE95" s="1262">
        <f ca="1">(AD95/Y95-1)*100</f>
        <v>-7.8223340277438265</v>
      </c>
      <c r="AF95" s="1290"/>
      <c r="AG95" s="1291"/>
      <c r="AH95" s="1292"/>
      <c r="AI95" s="1275">
        <f ca="1">OFFSET('VVP2'!$G$289,0,(COLUMN()-6)/5)</f>
        <v>315.32559379960662</v>
      </c>
      <c r="AJ95" s="1262">
        <f ca="1">(AI95/AD95-1)*100</f>
        <v>20.665213014273419</v>
      </c>
      <c r="AK95" s="1290"/>
      <c r="AL95" s="1291"/>
      <c r="AM95" s="1292"/>
      <c r="AN95" s="1275">
        <f ca="1">OFFSET('VVP2'!$G$289,0,(COLUMN()-6)/5)</f>
        <v>320.01951331988778</v>
      </c>
      <c r="AO95" s="1262">
        <f ca="1">(AN95/AI95-1)*100</f>
        <v>1.4885945234322406</v>
      </c>
      <c r="AP95" s="1290"/>
      <c r="AQ95" s="1291"/>
      <c r="AR95" s="1292"/>
      <c r="AS95" s="1275">
        <f ca="1">OFFSET('VVP2'!$G$289,0,(COLUMN()-6)/5)</f>
        <v>326.50608037654371</v>
      </c>
      <c r="AT95" s="1262">
        <f ca="1">(AS95/AN95-1)*100</f>
        <v>2.026928604872924</v>
      </c>
      <c r="AU95" s="1290"/>
      <c r="AV95" s="1291"/>
      <c r="AW95" s="1292"/>
      <c r="AX95" s="1275">
        <f ca="1">OFFSET('VVP2'!$G$289,0,(COLUMN()-6)/5)</f>
        <v>339.02341572971875</v>
      </c>
      <c r="AY95" s="1262">
        <f ca="1">(AX95/AS95-1)*100</f>
        <v>3.8337219750209206</v>
      </c>
      <c r="AZ95" s="1290"/>
      <c r="BA95" s="1291"/>
      <c r="BB95" s="1292"/>
      <c r="BC95" s="1275">
        <f ca="1">OFFSET('VVP2'!$G$289,0,(COLUMN()-6)/5)</f>
        <v>369.16017365405719</v>
      </c>
      <c r="BD95" s="1262">
        <f ca="1">(BC95/AX95-1)*100</f>
        <v>8.8892850835897708</v>
      </c>
      <c r="BE95" s="1290"/>
      <c r="BF95" s="1291"/>
      <c r="BG95" s="1292"/>
      <c r="BH95" s="1275">
        <f ca="1">OFFSET('VVP2'!$G$289,0,(COLUMN()-6)/5)</f>
        <v>399.12967445830736</v>
      </c>
      <c r="BI95" s="1262">
        <f ca="1">(BH95/BC95-1)*100</f>
        <v>8.1182919889768002</v>
      </c>
      <c r="BJ95" s="1290"/>
      <c r="BK95" s="1291"/>
      <c r="BL95" s="1292"/>
      <c r="BM95" s="1275">
        <f ca="1">OFFSET('VVP2'!$G$289,0,(COLUMN()-6)/5)</f>
        <v>432.7267916009198</v>
      </c>
      <c r="BN95" s="1262">
        <f ca="1">(BM95/BH95-1)*100</f>
        <v>8.4175944041770201</v>
      </c>
      <c r="BO95" s="1290"/>
      <c r="BP95" s="1291"/>
      <c r="BQ95" s="1292"/>
      <c r="BR95" s="1275">
        <f ca="1">OFFSET('VVP2'!$G$289,0,(COLUMN()-6)/5)</f>
        <v>441.07379859677786</v>
      </c>
      <c r="BS95" s="1262">
        <f ca="1">(BR95/BM95-1)*100</f>
        <v>1.9289323327953412</v>
      </c>
      <c r="BT95" s="1290"/>
      <c r="BU95" s="1291"/>
      <c r="BV95" s="1292"/>
      <c r="BW95" s="1275">
        <f ca="1">OFFSET('VVP2'!$G$289,0,(COLUMN()-6)/5)</f>
        <v>477.14558417625</v>
      </c>
      <c r="BX95" s="1262">
        <f ca="1">(BW95/BR95-1)*100</f>
        <v>8.1781746488297724</v>
      </c>
      <c r="BY95" s="1290"/>
      <c r="BZ95" s="1291"/>
      <c r="CA95" s="1292"/>
      <c r="CB95" s="1275">
        <f ca="1">OFFSET('VVP2'!$G$289,0,(COLUMN()-6)/5)</f>
        <v>413.39872199357012</v>
      </c>
      <c r="CC95" s="1262">
        <f ca="1">(CB95/BW95-1)*100</f>
        <v>-13.360044459540211</v>
      </c>
      <c r="CD95" s="1290"/>
      <c r="CE95" s="1291"/>
      <c r="CF95" s="1292"/>
      <c r="CG95" s="1275">
        <f ca="1">OFFSET('VVP2'!$G$289,0,(COLUMN()-6)/5)</f>
        <v>488.44628415460801</v>
      </c>
      <c r="CH95" s="1262">
        <f ca="1">(CG95/CB95-1)*100</f>
        <v>18.153796363745212</v>
      </c>
      <c r="CI95" s="1290"/>
      <c r="CJ95" s="1291"/>
      <c r="CK95" s="1292"/>
      <c r="CL95" s="1275">
        <f ca="1">OFFSET('VVP2'!$G$289,0,(COLUMN()-6)/5)</f>
        <v>532.35178810596108</v>
      </c>
      <c r="CM95" s="1262">
        <f ca="1">(CL95/CG95-1)*100</f>
        <v>8.9888090821171431</v>
      </c>
      <c r="CN95" s="1290"/>
      <c r="CO95" s="1291"/>
      <c r="CP95" s="1292"/>
      <c r="CQ95" s="1275">
        <f ca="1">OFFSET('VVP2'!$G$289,0,(COLUMN()-6)/5)</f>
        <v>502.61106965431037</v>
      </c>
      <c r="CR95" s="1262">
        <f ca="1">(CQ95/CL95-1)*100</f>
        <v>-5.5866663954420748</v>
      </c>
      <c r="CS95" s="1290"/>
      <c r="CT95" s="1291"/>
      <c r="CU95" s="1292"/>
      <c r="CV95" s="1275">
        <f ca="1">OFFSET('VVP2'!$G$289,0,(COLUMN()-6)/5)</f>
        <v>461.82167505815403</v>
      </c>
      <c r="CW95" s="1262">
        <f ca="1">(CV95/CQ95-1)*100</f>
        <v>-8.1154986546975181</v>
      </c>
      <c r="CX95" s="1249"/>
      <c r="CY95" s="1455"/>
      <c r="CZ95" s="918"/>
      <c r="DA95" s="1275">
        <f ca="1">OFFSET('VVP2'!$G$289,0,(COLUMN()-6)/5)</f>
        <v>468.32470259066656</v>
      </c>
      <c r="DB95" s="1262">
        <f ca="1">(DA95/CV95-1)*100</f>
        <v>1.4081252318210558</v>
      </c>
      <c r="DC95" s="1249"/>
      <c r="DD95" s="1455"/>
      <c r="DE95" s="918"/>
      <c r="DF95" s="1275">
        <f ca="1">OFFSET('VVP2'!$G$289,0,(COLUMN()-6)/5)</f>
        <v>490.41972852890615</v>
      </c>
      <c r="DG95" s="1262">
        <f ca="1">(DF95/DA95-1)*100</f>
        <v>4.7178860769066633</v>
      </c>
      <c r="DH95" s="1249"/>
      <c r="DI95" s="1455"/>
      <c r="DJ95" s="918"/>
      <c r="DK95" s="1275">
        <f ca="1">OFFSET('VVP2'!$G$289,0,(COLUMN()-6)/5)</f>
        <v>487.1938828404675</v>
      </c>
      <c r="DL95" s="1262">
        <f ca="1">(DK95/DF95-1)*100</f>
        <v>-0.65777241427767974</v>
      </c>
      <c r="DM95" s="1249"/>
      <c r="DN95" s="1455"/>
      <c r="DO95" s="918"/>
      <c r="DP95" s="1275">
        <f ca="1">OFFSET('VVP2'!$G$289,0,(COLUMN()-6)/5)</f>
        <v>533.40548978858828</v>
      </c>
      <c r="DQ95" s="1262">
        <f ca="1">(DP95/DK95-1)*100</f>
        <v>9.4852600937218376</v>
      </c>
      <c r="DR95" s="1249"/>
      <c r="DS95" s="1455"/>
      <c r="DT95" s="918"/>
      <c r="DU95" s="3246">
        <f ca="1">+DP95*(1+DV95/100)</f>
        <v>608.08225835899066</v>
      </c>
      <c r="DV95" s="2319">
        <v>14</v>
      </c>
      <c r="DW95" s="1249"/>
      <c r="DX95" s="1455"/>
      <c r="DY95" s="918"/>
      <c r="DZ95" s="3246">
        <f ca="1">+DU95*(1+EA95/100)</f>
        <v>638.48637127694019</v>
      </c>
      <c r="EA95" s="2319">
        <v>5</v>
      </c>
      <c r="EB95" s="1249"/>
      <c r="EC95" s="1455"/>
      <c r="ED95" s="918"/>
      <c r="EE95" s="3246">
        <f ca="1">+DZ95*(1+EF95/100)</f>
        <v>669.13371709823332</v>
      </c>
      <c r="EF95" s="2319">
        <v>4.8</v>
      </c>
    </row>
    <row r="96" spans="1:136" s="28" customFormat="1">
      <c r="A96" s="1505"/>
      <c r="C96" s="176" t="s">
        <v>1793</v>
      </c>
      <c r="D96" s="1190"/>
      <c r="E96" s="1190" t="s">
        <v>1821</v>
      </c>
      <c r="F96" s="1180" t="s">
        <v>537</v>
      </c>
      <c r="G96" s="1277"/>
      <c r="H96" s="1277"/>
      <c r="I96" s="1277"/>
      <c r="J96" s="1278">
        <f ca="1">+J94+J95</f>
        <v>533.30336373600005</v>
      </c>
      <c r="K96" s="1277"/>
      <c r="L96" s="1277"/>
      <c r="M96" s="1277"/>
      <c r="N96" s="1277"/>
      <c r="O96" s="1278">
        <f ca="1">+O94+O95</f>
        <v>521.48487787200008</v>
      </c>
      <c r="P96" s="1278">
        <f ca="1">(O96/J96-1)*100</f>
        <v>-2.2160906282695847</v>
      </c>
      <c r="Q96" s="1277"/>
      <c r="R96" s="1277"/>
      <c r="S96" s="1277"/>
      <c r="T96" s="1278">
        <f ca="1">+T94+T95</f>
        <v>631.3199958670001</v>
      </c>
      <c r="U96" s="1278">
        <f ca="1">(T96/O96-1)*100</f>
        <v>21.061994825851759</v>
      </c>
      <c r="V96" s="1277"/>
      <c r="W96" s="1277"/>
      <c r="X96" s="1277"/>
      <c r="Y96" s="1278">
        <f ca="1">+Y94+Y95</f>
        <v>674.14862438099999</v>
      </c>
      <c r="Z96" s="1278">
        <f ca="1">(Y96/T96-1)*100</f>
        <v>6.7839809913168958</v>
      </c>
      <c r="AA96" s="1277"/>
      <c r="AB96" s="1277"/>
      <c r="AC96" s="1277"/>
      <c r="AD96" s="1278">
        <f ca="1">+AD94+AD95</f>
        <v>701.50679740638884</v>
      </c>
      <c r="AE96" s="1278">
        <f ca="1">(AD96/Y96-1)*100</f>
        <v>4.0581812431211173</v>
      </c>
      <c r="AF96" s="1277"/>
      <c r="AG96" s="1277"/>
      <c r="AH96" s="1277"/>
      <c r="AI96" s="1278">
        <f ca="1">+AI94+AI95</f>
        <v>796.71990260872371</v>
      </c>
      <c r="AJ96" s="1278">
        <f ca="1">(AI96/AD96-1)*100</f>
        <v>13.572656110298119</v>
      </c>
      <c r="AK96" s="1277"/>
      <c r="AL96" s="1277"/>
      <c r="AM96" s="1277"/>
      <c r="AN96" s="1278">
        <f ca="1">+AN94+AN95</f>
        <v>781.71348363062691</v>
      </c>
      <c r="AO96" s="1278">
        <f ca="1">(AN96/AI96-1)*100</f>
        <v>-1.8835250542832971</v>
      </c>
      <c r="AP96" s="1277"/>
      <c r="AQ96" s="1277"/>
      <c r="AR96" s="1277"/>
      <c r="AS96" s="1278">
        <f ca="1">+AS94+AS95</f>
        <v>789.57167117471204</v>
      </c>
      <c r="AT96" s="1278">
        <f ca="1">(AS96/AN96-1)*100</f>
        <v>1.0052516310180781</v>
      </c>
      <c r="AU96" s="1277"/>
      <c r="AV96" s="1277"/>
      <c r="AW96" s="1277"/>
      <c r="AX96" s="1278">
        <f ca="1">+AX94+AX95</f>
        <v>823.56821014875391</v>
      </c>
      <c r="AY96" s="1278">
        <f ca="1">(AX96/AS96-1)*100</f>
        <v>4.305693861009785</v>
      </c>
      <c r="AZ96" s="1277"/>
      <c r="BA96" s="1277"/>
      <c r="BB96" s="1277"/>
      <c r="BC96" s="1278">
        <f ca="1">+BC94+BC95</f>
        <v>904.19734546330687</v>
      </c>
      <c r="BD96" s="1278">
        <f ca="1">(BC96/AX96-1)*100</f>
        <v>9.7902194767801376</v>
      </c>
      <c r="BE96" s="1277"/>
      <c r="BF96" s="1277"/>
      <c r="BG96" s="1277"/>
      <c r="BH96" s="1278">
        <f ca="1">+BH94+BH95</f>
        <v>977.10308174276383</v>
      </c>
      <c r="BI96" s="1278">
        <f ca="1">(BH96/BC96-1)*100</f>
        <v>8.0630336557889759</v>
      </c>
      <c r="BJ96" s="1277"/>
      <c r="BK96" s="1277"/>
      <c r="BL96" s="1277"/>
      <c r="BM96" s="1278">
        <f ca="1">+BM94+BM95</f>
        <v>1089.306091412569</v>
      </c>
      <c r="BN96" s="1278">
        <f ca="1">(BM96/BH96-1)*100</f>
        <v>11.483231581838794</v>
      </c>
      <c r="BO96" s="1277"/>
      <c r="BP96" s="1277"/>
      <c r="BQ96" s="1277"/>
      <c r="BR96" s="1278">
        <f ca="1">+BR94+BR95</f>
        <v>1139.4208357282189</v>
      </c>
      <c r="BS96" s="1278">
        <f ca="1">(BR96/BM96-1)*100</f>
        <v>4.6006117757648068</v>
      </c>
      <c r="BT96" s="1277"/>
      <c r="BU96" s="1277"/>
      <c r="BV96" s="1277"/>
      <c r="BW96" s="1278">
        <f ca="1">+BW94+BW95</f>
        <v>1198.4874320925001</v>
      </c>
      <c r="BX96" s="1278">
        <f ca="1">(BW96/BR96-1)*100</f>
        <v>5.1839140124667837</v>
      </c>
      <c r="BY96" s="1277"/>
      <c r="BZ96" s="1277"/>
      <c r="CA96" s="1277"/>
      <c r="CB96" s="1278">
        <f ca="1">+CB94+CB95</f>
        <v>995.67438833090023</v>
      </c>
      <c r="CC96" s="1278">
        <f ca="1">(CB96/BW96-1)*100</f>
        <v>-16.922417234488496</v>
      </c>
      <c r="CD96" s="1277"/>
      <c r="CE96" s="1277"/>
      <c r="CF96" s="1277"/>
      <c r="CG96" s="1278">
        <f ca="1">+CG94+CG95</f>
        <v>1140.6264350287872</v>
      </c>
      <c r="CH96" s="1278">
        <f ca="1">(CG96/CB96-1)*100</f>
        <v>14.558177693098795</v>
      </c>
      <c r="CI96" s="1277"/>
      <c r="CJ96" s="1277"/>
      <c r="CK96" s="1277"/>
      <c r="CL96" s="1278">
        <f ca="1">+CL94+CL95</f>
        <v>1212.8219255659124</v>
      </c>
      <c r="CM96" s="1278">
        <f ca="1">(CL96/CG96-1)*100</f>
        <v>6.3294597003884956</v>
      </c>
      <c r="CN96" s="1277"/>
      <c r="CO96" s="1277"/>
      <c r="CP96" s="1277"/>
      <c r="CQ96" s="1278">
        <f ca="1">+CQ94+CQ95</f>
        <v>1167.5764714852642</v>
      </c>
      <c r="CR96" s="1278">
        <f ca="1">(CQ96/CL96-1)*100</f>
        <v>-3.7305933481979525</v>
      </c>
      <c r="CS96" s="1277"/>
      <c r="CT96" s="1277"/>
      <c r="CU96" s="1277"/>
      <c r="CV96" s="1278">
        <f ca="1">+CV94+CV95</f>
        <v>1091.4572258551671</v>
      </c>
      <c r="CW96" s="1278">
        <f ca="1">(CV96/CQ96-1)*100</f>
        <v>-6.5194227092694401</v>
      </c>
      <c r="CX96" s="1451"/>
      <c r="CY96" s="1443"/>
      <c r="CZ96" s="1443"/>
      <c r="DA96" s="3247">
        <f ca="1">+CV96*(1+DB96/100)</f>
        <v>1149.3663171305848</v>
      </c>
      <c r="DB96" s="1452">
        <f ca="1">+DB87</f>
        <v>5.3056674969598872</v>
      </c>
      <c r="DC96" s="1451"/>
      <c r="DD96" s="1443"/>
      <c r="DE96" s="1443"/>
      <c r="DF96" s="3247">
        <f ca="1">+DA96*(1+DG96/100)</f>
        <v>1208.8333295426103</v>
      </c>
      <c r="DG96" s="1452">
        <f ca="1">+DG87</f>
        <v>5.1738955218807892</v>
      </c>
      <c r="DH96" s="1451"/>
      <c r="DI96" s="1443"/>
      <c r="DJ96" s="1443"/>
      <c r="DK96" s="3247">
        <f ca="1">+DF96*(1+DL96/100)</f>
        <v>1217.5511771924148</v>
      </c>
      <c r="DL96" s="1452">
        <f ca="1">+DL87</f>
        <v>0.7211786303991996</v>
      </c>
      <c r="DM96" s="1451"/>
      <c r="DN96" s="1443"/>
      <c r="DO96" s="1443"/>
      <c r="DP96" s="3247">
        <f ca="1">+DK96*(1+DQ96/100)</f>
        <v>1330.1921307267421</v>
      </c>
      <c r="DQ96" s="1452">
        <f ca="1">+DQ87</f>
        <v>9.2514348180475778</v>
      </c>
      <c r="DR96" s="1451"/>
      <c r="DS96" s="1443"/>
      <c r="DT96" s="1443"/>
      <c r="DU96" s="3247">
        <f ca="1">+DP96*(1+DV96/100)</f>
        <v>1453.1717186927563</v>
      </c>
      <c r="DV96" s="1452">
        <f ca="1">+DV87</f>
        <v>9.2452500000000057</v>
      </c>
      <c r="DW96" s="1451"/>
      <c r="DX96" s="1443"/>
      <c r="DY96" s="1443"/>
      <c r="DZ96" s="3247">
        <f ca="1">+DU96*(1+EA96/100)</f>
        <v>1538.0476278765459</v>
      </c>
      <c r="EA96" s="1452">
        <f ca="1">+EA87</f>
        <v>5.8407350000000191</v>
      </c>
      <c r="EB96" s="1451"/>
      <c r="EC96" s="1443"/>
      <c r="ED96" s="1443"/>
      <c r="EE96" s="3247">
        <f ca="1">+DZ96*(1+EF96/100)</f>
        <v>1602.8768275667833</v>
      </c>
      <c r="EF96" s="1452">
        <f ca="1">+EF87</f>
        <v>4.2150319999999963</v>
      </c>
    </row>
    <row r="97" spans="1:136">
      <c r="BM97" s="1492"/>
      <c r="BR97" s="1093">
        <f ca="1">BR94/BR96</f>
        <v>0.61289649551222947</v>
      </c>
      <c r="BS97" s="1093"/>
      <c r="BT97" s="1093"/>
      <c r="BU97" s="1093"/>
      <c r="BV97" s="1093"/>
      <c r="BW97" s="1093">
        <f ca="1">BW94/BW96</f>
        <v>0.60187685627776888</v>
      </c>
      <c r="BX97" s="1093"/>
      <c r="BY97" s="1093"/>
      <c r="BZ97" s="1093"/>
      <c r="CA97" s="1093"/>
      <c r="CB97" s="1093">
        <f ca="1">CB94/CB96</f>
        <v>0.58480530699742972</v>
      </c>
      <c r="CC97" s="1093"/>
      <c r="CD97" s="1093"/>
      <c r="CE97" s="1093"/>
      <c r="CF97" s="1093"/>
      <c r="CG97" s="1093">
        <f ca="1">CG94/CG96</f>
        <v>0.57177365949590631</v>
      </c>
      <c r="CH97" s="1093"/>
      <c r="CI97" s="1093"/>
      <c r="CJ97" s="1093"/>
      <c r="CK97" s="1093"/>
      <c r="CL97" s="1093">
        <f ca="1">CL94/CL96</f>
        <v>0.56106351898481588</v>
      </c>
      <c r="CM97" s="1093"/>
      <c r="CN97" s="1093"/>
      <c r="CO97" s="1093"/>
      <c r="CP97" s="1093"/>
      <c r="CQ97" s="3283">
        <f ca="1">CQ94/CQ96</f>
        <v>0.56952620926409814</v>
      </c>
      <c r="CR97" s="1093"/>
      <c r="CS97" s="1093"/>
      <c r="CT97" s="1093"/>
      <c r="CU97" s="1093"/>
      <c r="CV97" s="3283">
        <f ca="1">CV94/CV96</f>
        <v>0.57687606612681297</v>
      </c>
      <c r="CW97" s="1093"/>
      <c r="CX97" s="1093"/>
      <c r="CY97" s="1093"/>
      <c r="CZ97" s="1093"/>
      <c r="DA97" s="3283">
        <f ca="1">DA94/DA96</f>
        <v>0.57350564389388692</v>
      </c>
      <c r="DB97" s="1093"/>
      <c r="DC97" s="1093"/>
      <c r="DD97" s="1093"/>
      <c r="DE97" s="1093"/>
      <c r="DF97" s="3283">
        <f ca="1">DF94/DF96</f>
        <v>0.57123790048991663</v>
      </c>
      <c r="DG97" s="1093"/>
      <c r="DH97" s="1093"/>
      <c r="DI97" s="1093"/>
      <c r="DJ97" s="1093"/>
      <c r="DK97" s="3283">
        <f ca="1">DK94/DK96</f>
        <v>0.57899330623855205</v>
      </c>
      <c r="DL97" s="1093"/>
      <c r="DM97" s="1093"/>
      <c r="DN97" s="1093"/>
      <c r="DO97" s="1093"/>
      <c r="DP97" s="3283">
        <f ca="1">DP94/DP96</f>
        <v>0.58064925139322898</v>
      </c>
      <c r="DQ97" s="1093"/>
      <c r="DR97" s="1093"/>
      <c r="DS97" s="1093"/>
      <c r="DT97" s="1093"/>
      <c r="DU97" s="3283">
        <f ca="1">DU94/DU96</f>
        <v>0.58154824337896616</v>
      </c>
      <c r="DW97" s="1093"/>
      <c r="DX97" s="1093"/>
      <c r="DY97" s="1093"/>
      <c r="DZ97" s="3283">
        <f ca="1">DZ94/DZ96</f>
        <v>0.58487217189857443</v>
      </c>
      <c r="EB97" s="1093"/>
      <c r="EC97" s="1093"/>
      <c r="ED97" s="1093"/>
      <c r="EE97" s="3283">
        <f ca="1">EE94/EE96</f>
        <v>0.58254202344792827</v>
      </c>
    </row>
    <row r="98" spans="1:136">
      <c r="E98" t="s">
        <v>2454</v>
      </c>
      <c r="BR98" s="1093">
        <f ca="1">BR95/BR96</f>
        <v>0.38710350448777053</v>
      </c>
      <c r="BS98" s="1093"/>
      <c r="BT98" s="1093"/>
      <c r="BU98" s="1093"/>
      <c r="BV98" s="1093"/>
      <c r="BW98" s="1093">
        <f ca="1">BW95/BW96</f>
        <v>0.39812314372223101</v>
      </c>
      <c r="BX98" s="1093"/>
      <c r="BY98" s="1093"/>
      <c r="BZ98" s="1093"/>
      <c r="CA98" s="1093"/>
      <c r="CB98" s="1093">
        <f ca="1">CB95/CB96</f>
        <v>0.41519469300257034</v>
      </c>
      <c r="CC98" s="1093"/>
      <c r="CD98" s="1093"/>
      <c r="CE98" s="1093"/>
      <c r="CF98" s="1093"/>
      <c r="CG98" s="1093">
        <f ca="1">CG95/CG96</f>
        <v>0.42822634050409375</v>
      </c>
      <c r="CH98" s="1093"/>
      <c r="CI98" s="1093"/>
      <c r="CJ98" s="1093"/>
      <c r="CK98" s="1093"/>
      <c r="CL98" s="1093">
        <f ca="1">CL95/CL96</f>
        <v>0.43893648101518407</v>
      </c>
      <c r="CM98" s="1093"/>
      <c r="CN98" s="1093"/>
      <c r="CO98" s="1093"/>
      <c r="CP98" s="1093"/>
      <c r="CQ98" s="3283">
        <f ca="1">CQ95/CQ96</f>
        <v>0.43047379073590192</v>
      </c>
      <c r="CR98" s="1093"/>
      <c r="CS98" s="1093"/>
      <c r="CT98" s="1093"/>
      <c r="CU98" s="1093"/>
      <c r="CV98" s="3283">
        <f ca="1">CV95/CV96</f>
        <v>0.4231239338731872</v>
      </c>
      <c r="CW98" s="1093"/>
      <c r="CX98" s="1093"/>
      <c r="CY98" s="1093"/>
      <c r="CZ98" s="1093"/>
      <c r="DA98" s="3283">
        <f ca="1">DA95/DA96</f>
        <v>0.40746339579521368</v>
      </c>
      <c r="DB98" s="1093"/>
      <c r="DC98" s="1093"/>
      <c r="DD98" s="1093"/>
      <c r="DE98" s="1093"/>
      <c r="DF98" s="3283">
        <f ca="1">DF95/DF96</f>
        <v>0.4056967296843707</v>
      </c>
      <c r="DG98" s="1093"/>
      <c r="DH98" s="1093"/>
      <c r="DI98" s="1093"/>
      <c r="DJ98" s="1093"/>
      <c r="DK98" s="3283">
        <f ca="1">DK95/DK96</f>
        <v>0.40014242683736828</v>
      </c>
      <c r="DL98" s="1093"/>
      <c r="DM98" s="1093"/>
      <c r="DN98" s="1093"/>
      <c r="DO98" s="1093"/>
      <c r="DP98" s="3283">
        <f ca="1">DP95/DP96</f>
        <v>0.40099883127196484</v>
      </c>
      <c r="DQ98" s="1093"/>
      <c r="DR98" s="1093"/>
      <c r="DS98" s="1093"/>
      <c r="DT98" s="1093"/>
      <c r="DU98" s="3283">
        <f ca="1">DU95/DU96</f>
        <v>0.41845175662103379</v>
      </c>
      <c r="DW98" s="1093"/>
      <c r="DX98" s="1093"/>
      <c r="DY98" s="1093"/>
      <c r="DZ98" s="3283">
        <f ca="1">DZ95/DZ96</f>
        <v>0.41512782810142562</v>
      </c>
      <c r="EB98" s="1093"/>
      <c r="EC98" s="1093"/>
      <c r="ED98" s="1093"/>
      <c r="EE98" s="3283">
        <f ca="1">EE95/EE96</f>
        <v>0.41745797655207173</v>
      </c>
    </row>
    <row r="99" spans="1:136">
      <c r="B99" s="1"/>
      <c r="C99" s="811"/>
      <c r="D99" s="3812"/>
      <c r="E99" s="3805" t="s">
        <v>1747</v>
      </c>
      <c r="F99" s="3806"/>
      <c r="G99" s="3788">
        <f>+InputY!$G$3</f>
        <v>1995</v>
      </c>
      <c r="H99" s="3789"/>
      <c r="I99" s="3789"/>
      <c r="J99" s="3789"/>
      <c r="K99" s="3790"/>
      <c r="L99" s="3788">
        <f>+G99+1</f>
        <v>1996</v>
      </c>
      <c r="M99" s="3789"/>
      <c r="N99" s="3789"/>
      <c r="O99" s="3789"/>
      <c r="P99" s="3790"/>
      <c r="Q99" s="3788">
        <f>+L99+1</f>
        <v>1997</v>
      </c>
      <c r="R99" s="3789"/>
      <c r="S99" s="3789"/>
      <c r="T99" s="3789"/>
      <c r="U99" s="3790"/>
      <c r="V99" s="3788">
        <f>+Q99+1</f>
        <v>1998</v>
      </c>
      <c r="W99" s="3789"/>
      <c r="X99" s="3789"/>
      <c r="Y99" s="3789"/>
      <c r="Z99" s="3790"/>
      <c r="AA99" s="3788">
        <f>+V99+1</f>
        <v>1999</v>
      </c>
      <c r="AB99" s="3789"/>
      <c r="AC99" s="3789"/>
      <c r="AD99" s="3789"/>
      <c r="AE99" s="3790"/>
      <c r="AF99" s="3788">
        <f>+AA99+1</f>
        <v>2000</v>
      </c>
      <c r="AG99" s="3789"/>
      <c r="AH99" s="3789"/>
      <c r="AI99" s="3789"/>
      <c r="AJ99" s="3790"/>
      <c r="AK99" s="3788">
        <f>+AF99+1</f>
        <v>2001</v>
      </c>
      <c r="AL99" s="3789"/>
      <c r="AM99" s="3789"/>
      <c r="AN99" s="3789"/>
      <c r="AO99" s="3790"/>
      <c r="AP99" s="3788">
        <f>+AK99+1</f>
        <v>2002</v>
      </c>
      <c r="AQ99" s="3789"/>
      <c r="AR99" s="3789"/>
      <c r="AS99" s="3789"/>
      <c r="AT99" s="3790"/>
      <c r="AU99" s="3788">
        <f>+AP99+1</f>
        <v>2003</v>
      </c>
      <c r="AV99" s="3789"/>
      <c r="AW99" s="3789"/>
      <c r="AX99" s="3789"/>
      <c r="AY99" s="3790"/>
      <c r="AZ99" s="3788">
        <f>+AU99+1</f>
        <v>2004</v>
      </c>
      <c r="BA99" s="3789"/>
      <c r="BB99" s="3789"/>
      <c r="BC99" s="3789"/>
      <c r="BD99" s="3790"/>
      <c r="BE99" s="3788">
        <f>+AZ99+1</f>
        <v>2005</v>
      </c>
      <c r="BF99" s="3789"/>
      <c r="BG99" s="3789"/>
      <c r="BH99" s="3789"/>
      <c r="BI99" s="3790"/>
      <c r="BJ99" s="3788">
        <f>+BE99+1</f>
        <v>2006</v>
      </c>
      <c r="BK99" s="3789"/>
      <c r="BL99" s="3789"/>
      <c r="BM99" s="3789"/>
      <c r="BN99" s="3790"/>
      <c r="BO99" s="3788">
        <f>+BJ99+1</f>
        <v>2007</v>
      </c>
      <c r="BP99" s="3789"/>
      <c r="BQ99" s="3789"/>
      <c r="BR99" s="3789"/>
      <c r="BS99" s="3790"/>
      <c r="BT99" s="3788">
        <f>+BO99+1</f>
        <v>2008</v>
      </c>
      <c r="BU99" s="3789"/>
      <c r="BV99" s="3789"/>
      <c r="BW99" s="3789"/>
      <c r="BX99" s="3790"/>
      <c r="BY99" s="3788">
        <f>+BT99+1</f>
        <v>2009</v>
      </c>
      <c r="BZ99" s="3789"/>
      <c r="CA99" s="3789"/>
      <c r="CB99" s="3789"/>
      <c r="CC99" s="3790"/>
      <c r="CD99" s="3788">
        <f>+BY99+1</f>
        <v>2010</v>
      </c>
      <c r="CE99" s="3789"/>
      <c r="CF99" s="3789"/>
      <c r="CG99" s="3789"/>
      <c r="CH99" s="3790"/>
      <c r="CI99" s="3788">
        <f>+CD99+1</f>
        <v>2011</v>
      </c>
      <c r="CJ99" s="3789"/>
      <c r="CK99" s="3789"/>
      <c r="CL99" s="3789"/>
      <c r="CM99" s="3790"/>
      <c r="CN99" s="3788">
        <f>+CI99+1</f>
        <v>2012</v>
      </c>
      <c r="CO99" s="3789"/>
      <c r="CP99" s="3789"/>
      <c r="CQ99" s="3789"/>
      <c r="CR99" s="3790"/>
      <c r="CS99" s="3788">
        <f>+CN99+1</f>
        <v>2013</v>
      </c>
      <c r="CT99" s="3789"/>
      <c r="CU99" s="3789"/>
      <c r="CV99" s="3789"/>
      <c r="CW99" s="3790"/>
      <c r="CX99" s="3796">
        <f>+CS99+1</f>
        <v>2014</v>
      </c>
      <c r="CY99" s="3797"/>
      <c r="CZ99" s="3797"/>
      <c r="DA99" s="3797"/>
      <c r="DB99" s="3798"/>
      <c r="DC99" s="3796">
        <f>+CX99+1</f>
        <v>2015</v>
      </c>
      <c r="DD99" s="3797"/>
      <c r="DE99" s="3797"/>
      <c r="DF99" s="3797"/>
      <c r="DG99" s="3798"/>
      <c r="DH99" s="3788">
        <f>+DC99+1</f>
        <v>2016</v>
      </c>
      <c r="DI99" s="3789"/>
      <c r="DJ99" s="3789"/>
      <c r="DK99" s="3789"/>
      <c r="DL99" s="3790"/>
      <c r="DM99" s="3788">
        <f>+DH99+1</f>
        <v>2017</v>
      </c>
      <c r="DN99" s="3789"/>
      <c r="DO99" s="3789"/>
      <c r="DP99" s="3789"/>
      <c r="DQ99" s="3790"/>
      <c r="DR99" s="3788">
        <f>+DM99+1</f>
        <v>2018</v>
      </c>
      <c r="DS99" s="3789"/>
      <c r="DT99" s="3789"/>
      <c r="DU99" s="3789"/>
      <c r="DV99" s="3790"/>
      <c r="DW99" s="3788">
        <f>+DR99+1</f>
        <v>2019</v>
      </c>
      <c r="DX99" s="3789"/>
      <c r="DY99" s="3789"/>
      <c r="DZ99" s="3789"/>
      <c r="EA99" s="3790"/>
      <c r="EB99" s="3788">
        <f>+DW99+1</f>
        <v>2020</v>
      </c>
      <c r="EC99" s="3789"/>
      <c r="ED99" s="3789"/>
      <c r="EE99" s="3789"/>
      <c r="EF99" s="3790"/>
    </row>
    <row r="100" spans="1:136">
      <c r="B100" s="1"/>
      <c r="C100" s="811"/>
      <c r="D100" s="3812"/>
      <c r="E100" s="3805"/>
      <c r="F100" s="3806"/>
      <c r="G100" s="1296" t="s">
        <v>396</v>
      </c>
      <c r="H100" s="1297" t="s">
        <v>1774</v>
      </c>
      <c r="I100" s="1296" t="s">
        <v>1249</v>
      </c>
      <c r="J100" s="1297" t="s">
        <v>1772</v>
      </c>
      <c r="K100" s="1296" t="s">
        <v>1250</v>
      </c>
      <c r="L100" s="1296" t="s">
        <v>396</v>
      </c>
      <c r="M100" s="1297" t="s">
        <v>1774</v>
      </c>
      <c r="N100" s="1296" t="s">
        <v>1249</v>
      </c>
      <c r="O100" s="1297" t="s">
        <v>1772</v>
      </c>
      <c r="P100" s="1296" t="s">
        <v>1250</v>
      </c>
      <c r="Q100" s="1296" t="s">
        <v>396</v>
      </c>
      <c r="R100" s="1297" t="s">
        <v>1774</v>
      </c>
      <c r="S100" s="1296" t="s">
        <v>1249</v>
      </c>
      <c r="T100" s="1297" t="s">
        <v>1772</v>
      </c>
      <c r="U100" s="1296" t="s">
        <v>1250</v>
      </c>
      <c r="V100" s="1296" t="s">
        <v>396</v>
      </c>
      <c r="W100" s="1297" t="s">
        <v>1774</v>
      </c>
      <c r="X100" s="1296" t="s">
        <v>1249</v>
      </c>
      <c r="Y100" s="1297" t="s">
        <v>1772</v>
      </c>
      <c r="Z100" s="1296" t="s">
        <v>1250</v>
      </c>
      <c r="AA100" s="1296" t="s">
        <v>396</v>
      </c>
      <c r="AB100" s="1297" t="s">
        <v>1774</v>
      </c>
      <c r="AC100" s="1296" t="s">
        <v>1249</v>
      </c>
      <c r="AD100" s="1297" t="s">
        <v>1772</v>
      </c>
      <c r="AE100" s="1296" t="s">
        <v>1250</v>
      </c>
      <c r="AF100" s="1296" t="s">
        <v>396</v>
      </c>
      <c r="AG100" s="1297" t="s">
        <v>1774</v>
      </c>
      <c r="AH100" s="1296" t="s">
        <v>1249</v>
      </c>
      <c r="AI100" s="1297" t="s">
        <v>1772</v>
      </c>
      <c r="AJ100" s="1296" t="s">
        <v>1250</v>
      </c>
      <c r="AK100" s="1296" t="s">
        <v>396</v>
      </c>
      <c r="AL100" s="1297" t="s">
        <v>1774</v>
      </c>
      <c r="AM100" s="1296" t="s">
        <v>1249</v>
      </c>
      <c r="AN100" s="1297" t="s">
        <v>1772</v>
      </c>
      <c r="AO100" s="1296" t="s">
        <v>1250</v>
      </c>
      <c r="AP100" s="1296" t="s">
        <v>396</v>
      </c>
      <c r="AQ100" s="1297" t="s">
        <v>1774</v>
      </c>
      <c r="AR100" s="1296" t="s">
        <v>1249</v>
      </c>
      <c r="AS100" s="1297" t="s">
        <v>1772</v>
      </c>
      <c r="AT100" s="1296" t="s">
        <v>1250</v>
      </c>
      <c r="AU100" s="1296" t="s">
        <v>396</v>
      </c>
      <c r="AV100" s="1297" t="s">
        <v>1774</v>
      </c>
      <c r="AW100" s="1296" t="s">
        <v>1249</v>
      </c>
      <c r="AX100" s="1297" t="s">
        <v>1772</v>
      </c>
      <c r="AY100" s="1296" t="s">
        <v>1250</v>
      </c>
      <c r="AZ100" s="1296" t="s">
        <v>396</v>
      </c>
      <c r="BA100" s="1297" t="s">
        <v>1774</v>
      </c>
      <c r="BB100" s="1296" t="s">
        <v>1249</v>
      </c>
      <c r="BC100" s="1297" t="s">
        <v>1772</v>
      </c>
      <c r="BD100" s="1296" t="s">
        <v>1250</v>
      </c>
      <c r="BE100" s="1296" t="s">
        <v>396</v>
      </c>
      <c r="BF100" s="1297" t="s">
        <v>1774</v>
      </c>
      <c r="BG100" s="1296" t="s">
        <v>1249</v>
      </c>
      <c r="BH100" s="1297" t="s">
        <v>1772</v>
      </c>
      <c r="BI100" s="1296" t="s">
        <v>1250</v>
      </c>
      <c r="BJ100" s="1296" t="s">
        <v>396</v>
      </c>
      <c r="BK100" s="1297" t="s">
        <v>1774</v>
      </c>
      <c r="BL100" s="1296" t="s">
        <v>1249</v>
      </c>
      <c r="BM100" s="1297" t="s">
        <v>1772</v>
      </c>
      <c r="BN100" s="1296" t="s">
        <v>1250</v>
      </c>
      <c r="BO100" s="1296" t="s">
        <v>396</v>
      </c>
      <c r="BP100" s="1297" t="s">
        <v>1774</v>
      </c>
      <c r="BQ100" s="1296" t="s">
        <v>1249</v>
      </c>
      <c r="BR100" s="1297" t="s">
        <v>1772</v>
      </c>
      <c r="BS100" s="1296" t="s">
        <v>1250</v>
      </c>
      <c r="BT100" s="1296" t="s">
        <v>396</v>
      </c>
      <c r="BU100" s="1297" t="s">
        <v>1774</v>
      </c>
      <c r="BV100" s="1296" t="s">
        <v>1249</v>
      </c>
      <c r="BW100" s="1297" t="s">
        <v>1772</v>
      </c>
      <c r="BX100" s="1296" t="s">
        <v>1250</v>
      </c>
      <c r="BY100" s="1296" t="s">
        <v>396</v>
      </c>
      <c r="BZ100" s="1297" t="s">
        <v>1774</v>
      </c>
      <c r="CA100" s="1296" t="s">
        <v>1249</v>
      </c>
      <c r="CB100" s="1297" t="s">
        <v>1772</v>
      </c>
      <c r="CC100" s="1296" t="s">
        <v>1250</v>
      </c>
      <c r="CD100" s="1296" t="s">
        <v>396</v>
      </c>
      <c r="CE100" s="1297" t="s">
        <v>1774</v>
      </c>
      <c r="CF100" s="1296" t="s">
        <v>1249</v>
      </c>
      <c r="CG100" s="1297" t="s">
        <v>1772</v>
      </c>
      <c r="CH100" s="1296" t="s">
        <v>1250</v>
      </c>
      <c r="CI100" s="1296" t="s">
        <v>396</v>
      </c>
      <c r="CJ100" s="1297" t="s">
        <v>1774</v>
      </c>
      <c r="CK100" s="1296" t="s">
        <v>1249</v>
      </c>
      <c r="CL100" s="1297" t="s">
        <v>1772</v>
      </c>
      <c r="CM100" s="1296" t="s">
        <v>1250</v>
      </c>
      <c r="CN100" s="1296" t="s">
        <v>396</v>
      </c>
      <c r="CO100" s="1297" t="s">
        <v>1774</v>
      </c>
      <c r="CP100" s="1296" t="s">
        <v>1249</v>
      </c>
      <c r="CQ100" s="1297" t="s">
        <v>1772</v>
      </c>
      <c r="CR100" s="1296" t="s">
        <v>1250</v>
      </c>
      <c r="CS100" s="1296" t="s">
        <v>396</v>
      </c>
      <c r="CT100" s="1297" t="s">
        <v>1774</v>
      </c>
      <c r="CU100" s="1296" t="s">
        <v>1249</v>
      </c>
      <c r="CV100" s="1297" t="s">
        <v>1772</v>
      </c>
      <c r="CW100" s="1296" t="s">
        <v>1250</v>
      </c>
      <c r="CX100" s="1296" t="s">
        <v>396</v>
      </c>
      <c r="CY100" s="1297" t="s">
        <v>1774</v>
      </c>
      <c r="CZ100" s="1296" t="s">
        <v>1249</v>
      </c>
      <c r="DA100" s="1297" t="s">
        <v>1772</v>
      </c>
      <c r="DB100" s="1296" t="s">
        <v>1250</v>
      </c>
      <c r="DC100" s="1296" t="s">
        <v>396</v>
      </c>
      <c r="DD100" s="1297" t="s">
        <v>1774</v>
      </c>
      <c r="DE100" s="1296" t="s">
        <v>1249</v>
      </c>
      <c r="DF100" s="1297" t="s">
        <v>1772</v>
      </c>
      <c r="DG100" s="1296" t="s">
        <v>1250</v>
      </c>
      <c r="DH100" s="1296" t="s">
        <v>396</v>
      </c>
      <c r="DI100" s="1297" t="s">
        <v>1774</v>
      </c>
      <c r="DJ100" s="1296" t="s">
        <v>1249</v>
      </c>
      <c r="DK100" s="1297" t="s">
        <v>1772</v>
      </c>
      <c r="DL100" s="1296" t="s">
        <v>1250</v>
      </c>
      <c r="DM100" s="1296" t="s">
        <v>396</v>
      </c>
      <c r="DN100" s="1297" t="s">
        <v>1774</v>
      </c>
      <c r="DO100" s="1296" t="s">
        <v>1249</v>
      </c>
      <c r="DP100" s="1297" t="s">
        <v>1772</v>
      </c>
      <c r="DQ100" s="1296" t="s">
        <v>1250</v>
      </c>
      <c r="DR100" s="1296" t="s">
        <v>396</v>
      </c>
      <c r="DS100" s="1297" t="s">
        <v>1774</v>
      </c>
      <c r="DT100" s="1296" t="s">
        <v>1249</v>
      </c>
      <c r="DU100" s="1297" t="s">
        <v>1772</v>
      </c>
      <c r="DV100" s="1296" t="s">
        <v>1250</v>
      </c>
      <c r="DW100" s="1296" t="s">
        <v>396</v>
      </c>
      <c r="DX100" s="1297" t="s">
        <v>1774</v>
      </c>
      <c r="DY100" s="1296" t="s">
        <v>1249</v>
      </c>
      <c r="DZ100" s="1297" t="s">
        <v>1772</v>
      </c>
      <c r="EA100" s="1296" t="s">
        <v>1250</v>
      </c>
      <c r="EB100" s="1296" t="s">
        <v>396</v>
      </c>
      <c r="EC100" s="1297" t="s">
        <v>1774</v>
      </c>
      <c r="ED100" s="1296" t="s">
        <v>1249</v>
      </c>
      <c r="EE100" s="1297" t="s">
        <v>1772</v>
      </c>
      <c r="EF100" s="1296" t="s">
        <v>1250</v>
      </c>
    </row>
    <row r="101" spans="1:136" s="1341" customFormat="1">
      <c r="A101" s="1506" t="s">
        <v>1334</v>
      </c>
      <c r="C101" s="1342" t="s">
        <v>1791</v>
      </c>
      <c r="D101" s="1343"/>
      <c r="E101" s="1343" t="s">
        <v>1823</v>
      </c>
      <c r="F101" s="1344" t="s">
        <v>541</v>
      </c>
      <c r="G101" s="1281"/>
      <c r="H101" s="1282"/>
      <c r="I101" s="1283"/>
      <c r="J101" s="1272">
        <f ca="1">OFFSET('VVP2'!$G$309,0,(COLUMN()-6)/5)</f>
        <v>139.92699999999999</v>
      </c>
      <c r="K101" s="1284"/>
      <c r="L101" s="1345">
        <f ca="1">OFFSET('VVP2'!$G$109,0,(COLUMN()-7)/5)</f>
        <v>6.1169903809668025</v>
      </c>
      <c r="M101" s="1272">
        <f ca="1">+J101*(1+L101/100)</f>
        <v>148.48632113037542</v>
      </c>
      <c r="N101" s="1345">
        <f ca="1">+O101/M101*100-100</f>
        <v>-1.3929371504593746</v>
      </c>
      <c r="O101" s="1272">
        <f ca="1">OFFSET('VVP2'!$G$309,0,(COLUMN()-6)/5)</f>
        <v>146.41800000000001</v>
      </c>
      <c r="P101" s="1265">
        <f ca="1">(O101/J101-1)*100</f>
        <v>4.6388473990009116</v>
      </c>
      <c r="Q101" s="1345">
        <f ca="1">OFFSET('VVP2'!$G$109,0,(COLUMN()-7)/5)</f>
        <v>15.577437706675145</v>
      </c>
      <c r="R101" s="1272">
        <f ca="1">+O101*(1+Q101/100)</f>
        <v>169.22617274135962</v>
      </c>
      <c r="S101" s="1345">
        <f ca="1">+T101/R101*100-100</f>
        <v>0.6481428025419973</v>
      </c>
      <c r="T101" s="1272">
        <f ca="1">OFFSET('VVP2'!$G$309,0,(COLUMN()-6)/5)</f>
        <v>170.32300000000001</v>
      </c>
      <c r="U101" s="1265">
        <f ca="1">(T101/O101-1)*100</f>
        <v>16.326544550533395</v>
      </c>
      <c r="V101" s="1345">
        <f ca="1">OFFSET('VVP2'!$G$109,0,(COLUMN()-7)/5)</f>
        <v>14.827275596785384</v>
      </c>
      <c r="W101" s="1272">
        <f ca="1">+T101*(1+V101/100)</f>
        <v>195.57726061471277</v>
      </c>
      <c r="X101" s="1345">
        <f ca="1">+Y101/W101*100-100</f>
        <v>-0.77476318563323332</v>
      </c>
      <c r="Y101" s="1272">
        <f ca="1">OFFSET('VVP2'!$G$309,0,(COLUMN()-6)/5)</f>
        <v>194.06200000000001</v>
      </c>
      <c r="Z101" s="1265">
        <f ca="1">(Y101/T101-1)*100</f>
        <v>13.93763613839587</v>
      </c>
      <c r="AA101" s="1345">
        <f ca="1">OFFSET('VVP2'!$G$109,0,(COLUMN()-7)/5)</f>
        <v>7.6959839919246376</v>
      </c>
      <c r="AB101" s="1272">
        <f ca="1">+Y101*(1+AA101/100)</f>
        <v>208.9969804544088</v>
      </c>
      <c r="AC101" s="1345">
        <f ca="1">+AD101/AB101*100-100</f>
        <v>1.7866380353785729</v>
      </c>
      <c r="AD101" s="1272">
        <f ca="1">OFFSET('VVP2'!$G$309,0,(COLUMN()-6)/5)</f>
        <v>212.73099999999999</v>
      </c>
      <c r="AE101" s="1265">
        <f ca="1">(AD101/Y101-1)*100</f>
        <v>9.6201214044995922</v>
      </c>
      <c r="AF101" s="1345">
        <f ca="1">OFFSET('VVP2'!$G$109,0,(COLUMN()-7)/5)</f>
        <v>10.653321849983467</v>
      </c>
      <c r="AG101" s="1272">
        <f ca="1">+AD101*(1+AF101/100)</f>
        <v>235.39391810468831</v>
      </c>
      <c r="AH101" s="1345">
        <f ca="1">+AI101/AG101*100-100</f>
        <v>2.7197312262181867</v>
      </c>
      <c r="AI101" s="1272">
        <f ca="1">OFFSET('VVP2'!$G$309,0,(COLUMN()-6)/5)</f>
        <v>241.79599999999999</v>
      </c>
      <c r="AJ101" s="1265">
        <f ca="1">(AI101/AD101-1)*100</f>
        <v>13.662794797185175</v>
      </c>
      <c r="AK101" s="1345">
        <f ca="1">OFFSET('VVP2'!$G$109,0,(COLUMN()-7)/5)</f>
        <v>5.5398202695345899</v>
      </c>
      <c r="AL101" s="1272">
        <f ca="1">+AI101*(1+AK101/100)</f>
        <v>255.19106381892385</v>
      </c>
      <c r="AM101" s="1345">
        <f ca="1">+AN101/AL101*100-100</f>
        <v>6.042898191771485</v>
      </c>
      <c r="AN101" s="1272">
        <f ca="1">OFFSET('VVP2'!$G$309,0,(COLUMN()-6)/5)</f>
        <v>270.61200000000002</v>
      </c>
      <c r="AO101" s="1265">
        <f ca="1">(AN101/AI101-1)*100</f>
        <v>11.917484160201175</v>
      </c>
      <c r="AP101" s="1345">
        <f ca="1">OFFSET('VVP2'!$G$109,0,(COLUMN()-7)/5)</f>
        <v>-3.333597317465431</v>
      </c>
      <c r="AQ101" s="1272">
        <f ca="1">+AN101*(1+AP101/100)</f>
        <v>261.59088562726049</v>
      </c>
      <c r="AR101" s="1345">
        <f ca="1">+AS101/AQ101*100-100</f>
        <v>1.6086624588043037</v>
      </c>
      <c r="AS101" s="1272">
        <f ca="1">OFFSET('VVP2'!$G$309,0,(COLUMN()-6)/5)</f>
        <v>265.79899999999998</v>
      </c>
      <c r="AT101" s="1265">
        <f ca="1">(AS101/AN101-1)*100</f>
        <v>-1.7785611872348728</v>
      </c>
      <c r="AU101" s="1345">
        <f ca="1">OFFSET('VVP2'!$G$109,0,(COLUMN()-7)/5)</f>
        <v>-1.4927718019906555</v>
      </c>
      <c r="AV101" s="1272">
        <f ca="1">+AS101*(1+AU101/100)</f>
        <v>261.83122747802685</v>
      </c>
      <c r="AW101" s="1345">
        <f ca="1">+AX101/AV101*100-100</f>
        <v>-0.49658991807459074</v>
      </c>
      <c r="AX101" s="1272">
        <f ca="1">OFFSET('VVP2'!$G$309,0,(COLUMN()-6)/5)</f>
        <v>260.53100000000001</v>
      </c>
      <c r="AY101" s="1265">
        <f ca="1">(AX101/AS101-1)*100</f>
        <v>-1.9819487657967039</v>
      </c>
      <c r="AZ101" s="1345">
        <f ca="1">OFFSET('VVP2'!$G$109,0,(COLUMN()-7)/5)</f>
        <v>3.3979680188742423</v>
      </c>
      <c r="BA101" s="1272">
        <f ca="1">+AX101*(1+AZ101/100)</f>
        <v>269.38376005925323</v>
      </c>
      <c r="BB101" s="1345">
        <f ca="1">+BC101/BA101*100-100</f>
        <v>1.6122872216912469</v>
      </c>
      <c r="BC101" s="1272">
        <f ca="1">OFFSET('VVP2'!$G$309,0,(COLUMN()-6)/5)</f>
        <v>273.72699999999998</v>
      </c>
      <c r="BD101" s="1265">
        <f ca="1">(BC101/AX101-1)*100</f>
        <v>5.0650402447309339</v>
      </c>
      <c r="BE101" s="1345">
        <f ca="1">OFFSET('VVP2'!$G$109,0,(COLUMN()-7)/5)</f>
        <v>5.7246002215651126</v>
      </c>
      <c r="BF101" s="1272">
        <f ca="1">+BC101*(1+BE101/100)</f>
        <v>289.39677644848354</v>
      </c>
      <c r="BG101" s="1345">
        <f ca="1">+BH101/BF101*100-100</f>
        <v>3.2229880601924492</v>
      </c>
      <c r="BH101" s="1272">
        <f ca="1">OFFSET('VVP2'!$G$309,0,(COLUMN()-6)/5)</f>
        <v>298.72399999999999</v>
      </c>
      <c r="BI101" s="1265">
        <f ca="1">(BH101/BC101-1)*100</f>
        <v>9.1320914633923564</v>
      </c>
      <c r="BJ101" s="1345">
        <f ca="1">OFFSET('VVP2'!$G$109,0,(COLUMN()-7)/5)</f>
        <v>4.4095035092178492</v>
      </c>
      <c r="BK101" s="1272">
        <f ca="1">+BH101*(1+BJ101/100)</f>
        <v>311.89624526287594</v>
      </c>
      <c r="BL101" s="1345">
        <f ca="1">+BM101/BK101*100-100</f>
        <v>1.5231843310970135</v>
      </c>
      <c r="BM101" s="1272">
        <f ca="1">OFFSET('VVP2'!$G$309,0,(COLUMN()-6)/5)</f>
        <v>316.64699999999999</v>
      </c>
      <c r="BN101" s="1265">
        <f ca="1">(BM101/BH101-1)*100</f>
        <v>5.9998527068464647</v>
      </c>
      <c r="BO101" s="1345">
        <f ca="1">OFFSET('VVP2'!$G$109,0,(COLUMN()-7)/5)</f>
        <v>9.7051147322587905</v>
      </c>
      <c r="BP101" s="1272">
        <f ca="1">+BM101*(1+BO101/100)</f>
        <v>347.37795464625549</v>
      </c>
      <c r="BQ101" s="1345">
        <f ca="1">+BR101/BP101*100-100</f>
        <v>1.5830150647712742</v>
      </c>
      <c r="BR101" s="1272">
        <f ca="1">OFFSET('VVP2'!$G$309,0,(COLUMN()-6)/5)</f>
        <v>352.87700000000001</v>
      </c>
      <c r="BS101" s="1265">
        <f ca="1">(BR101/BM101-1)*100</f>
        <v>11.441763225295043</v>
      </c>
      <c r="BT101" s="1345">
        <f ca="1">OFFSET('VVP2'!$G$109,0,(COLUMN()-7)/5)</f>
        <v>6.2772465352963547</v>
      </c>
      <c r="BU101" s="1272">
        <f ca="1">+BR101*(1+BT101/100)</f>
        <v>375.02795925635775</v>
      </c>
      <c r="BV101" s="1345">
        <f ca="1">+BW101/BU101*100-100</f>
        <v>4.2146299638523175</v>
      </c>
      <c r="BW101" s="1272">
        <f ca="1">OFFSET('VVP2'!$G$309,0,(COLUMN()-6)/5)</f>
        <v>390.834</v>
      </c>
      <c r="BX101" s="1265">
        <f ca="1">(BW101/BR101-1)*100</f>
        <v>10.756439212530132</v>
      </c>
      <c r="BY101" s="1345">
        <f ca="1">OFFSET('VVP2'!$G$109,0,(COLUMN()-7)/5)</f>
        <v>-7.1400562973864883</v>
      </c>
      <c r="BZ101" s="1272">
        <f ca="1">+BW101*(1+BY101/100)</f>
        <v>362.9282323706725</v>
      </c>
      <c r="CA101" s="1345">
        <f ca="1">+CB101/BZ101*100-100</f>
        <v>3.8359560892768059</v>
      </c>
      <c r="CB101" s="1272">
        <f ca="1">OFFSET('VVP2'!$G$309,0,(COLUMN()-6)/5)</f>
        <v>376.85</v>
      </c>
      <c r="CC101" s="1265">
        <f ca="1">(CB101/BW101-1)*100</f>
        <v>-3.5779896324270588</v>
      </c>
      <c r="CD101" s="1345">
        <f ca="1">OFFSET('VVP2'!$G$109,0,(COLUMN()-7)/5)</f>
        <v>2.2824453337304318</v>
      </c>
      <c r="CE101" s="1272">
        <f ca="1">+CB101*(1+CD101/100)</f>
        <v>385.45139524016315</v>
      </c>
      <c r="CF101" s="1345">
        <f ca="1">+CG101/CE101*100-100</f>
        <v>-1.3522834018840371</v>
      </c>
      <c r="CG101" s="1272">
        <f ca="1">OFFSET('VVP2'!$G$309,0,(COLUMN()-6)/5)</f>
        <v>380.23899999999998</v>
      </c>
      <c r="CH101" s="1265">
        <f ca="1">(CG101/CB101-1)*100</f>
        <v>0.89929680244127397</v>
      </c>
      <c r="CI101" s="1345">
        <f ca="1">OFFSET('VVP2'!$G$109,0,(COLUMN()-7)/5)</f>
        <v>3.6726295829728306</v>
      </c>
      <c r="CJ101" s="1272">
        <f ca="1">+CG101*(1+CI101/100)</f>
        <v>394.20377000000002</v>
      </c>
      <c r="CK101" s="1345">
        <f ca="1">+CL101/CJ101*100-100</f>
        <v>-3.1397467355532171E-2</v>
      </c>
      <c r="CL101" s="1272">
        <f ca="1">OFFSET('VVP2'!$G$309,0,(COLUMN()-6)/5)</f>
        <v>394.08</v>
      </c>
      <c r="CM101" s="1265">
        <f ca="1">(CL101/CG101-1)*100</f>
        <v>3.6400790029428975</v>
      </c>
      <c r="CN101" s="1345">
        <f ca="1">OFFSET('VVP2'!$G$109,0,(COLUMN()-7)/5)</f>
        <v>4.333271597072752</v>
      </c>
      <c r="CO101" s="1272">
        <f ca="1">+CL101*(1+CN101/100)</f>
        <v>411.15655670974428</v>
      </c>
      <c r="CP101" s="1345">
        <f ca="1">+CQ101/CO101*100-100</f>
        <v>0.93819330551960434</v>
      </c>
      <c r="CQ101" s="1272">
        <f ca="1">OFFSET('VVP2'!$G$309,0,(COLUMN()-6)/5)</f>
        <v>415.01400000000001</v>
      </c>
      <c r="CR101" s="1265">
        <f ca="1">(CQ101/CL101-1)*100</f>
        <v>5.312119366626078</v>
      </c>
      <c r="CS101" s="1345">
        <f ca="1">OFFSET('VVP2'!$G$109,0,(COLUMN()-7)/5)</f>
        <v>4.0729012477920268</v>
      </c>
      <c r="CT101" s="1272">
        <f ca="1">+CQ101*(1+CS101/100)</f>
        <v>431.9171103845116</v>
      </c>
      <c r="CU101" s="1345">
        <f ca="1">+CV101/CT101*100-100</f>
        <v>-0.41746676414518902</v>
      </c>
      <c r="CV101" s="1272">
        <f ca="1">OFFSET('VVP2'!$G$309,0,(COLUMN()-6)/5)</f>
        <v>430.11399999999998</v>
      </c>
      <c r="CW101" s="1265">
        <f ca="1">(CV101/CQ101-1)*100</f>
        <v>3.6384314746008561</v>
      </c>
      <c r="CX101" s="1345">
        <f ca="1">OFFSET('VVP2'!$G$109,0,(COLUMN()-7)/5)</f>
        <v>10.364960314757866</v>
      </c>
      <c r="CY101" s="1272">
        <f ca="1">+CV101*(1+CX101/100)</f>
        <v>474.69514540821763</v>
      </c>
      <c r="CZ101" s="1345">
        <f ca="1">+DA101/CY101*100-100</f>
        <v>3.2199306733246829</v>
      </c>
      <c r="DA101" s="1272">
        <f ca="1">OFFSET('VVP2'!$G$309,0,(COLUMN()-6)/5)</f>
        <v>489.98</v>
      </c>
      <c r="DB101" s="1265">
        <f ca="1">(DA101/CV101-1)*100</f>
        <v>13.918635524535361</v>
      </c>
      <c r="DC101" s="1345">
        <f ca="1">OFFSET('VVP2'!$G$109,0,(COLUMN()-7)/5)</f>
        <v>4.8813066967150487</v>
      </c>
      <c r="DD101" s="1272">
        <f ca="1">+DA101*(1+DC101/100)</f>
        <v>513.89742655256441</v>
      </c>
      <c r="DE101" s="1345">
        <f ca="1">+DF101/DD101*100-100</f>
        <v>4.3883413853073279</v>
      </c>
      <c r="DF101" s="1272">
        <f ca="1">OFFSET('VVP2'!$G$309,0,(COLUMN()-6)/5)</f>
        <v>536.44899999999996</v>
      </c>
      <c r="DG101" s="1265">
        <f ca="1">(DF101/DA101-1)*100</f>
        <v>9.4838564839381014</v>
      </c>
      <c r="DH101" s="1345">
        <f ca="1">OFFSET('VVP2'!$G$109,0,(COLUMN()-7)/5)</f>
        <v>0.88899408358547038</v>
      </c>
      <c r="DI101" s="1272">
        <f ca="1">+DF101*(1+DH101/100)</f>
        <v>541.21799987145334</v>
      </c>
      <c r="DJ101" s="1345">
        <f ca="1">+DK101/DI101*100-100</f>
        <v>-0.30024867462637417</v>
      </c>
      <c r="DK101" s="1272">
        <f ca="1">OFFSET('VVP2'!$G$309,0,(COLUMN()-6)/5)</f>
        <v>539.59299999999996</v>
      </c>
      <c r="DL101" s="1265">
        <f ca="1">(DK101/DF101-1)*100</f>
        <v>0.58607621600561544</v>
      </c>
      <c r="DM101" s="1345">
        <f ca="1">OFFSET('VVP2'!$G$109,0,(COLUMN()-7)/5)</f>
        <v>6.3907696063153718</v>
      </c>
      <c r="DN101" s="1272">
        <f ca="1">+DK101*(1+DM101/100)</f>
        <v>574.07714544180521</v>
      </c>
      <c r="DO101" s="1345">
        <f ca="1">+DP101/DN101*100-100</f>
        <v>2.0892409066319004</v>
      </c>
      <c r="DP101" s="1272">
        <f ca="1">OFFSET('VVP2'!$G$309,0,(COLUMN()-6)/5)</f>
        <v>586.07100000000003</v>
      </c>
      <c r="DQ101" s="1265">
        <f ca="1">(DP101/DK101-1)*100</f>
        <v>8.6135290858109883</v>
      </c>
      <c r="DR101" s="2306">
        <v>3.05</v>
      </c>
      <c r="DS101" s="1272">
        <f ca="1">+DP101*(1+DR101/100)</f>
        <v>603.94616550000001</v>
      </c>
      <c r="DT101" s="2316">
        <v>5.9</v>
      </c>
      <c r="DU101" s="2307">
        <f ca="1">+DS101*(1+DT101/100)</f>
        <v>639.57898926450002</v>
      </c>
      <c r="DV101" s="2315">
        <f ca="1">(DU101/DP101-1)*100</f>
        <v>9.129950000000008</v>
      </c>
      <c r="DW101" s="2306">
        <v>2.83</v>
      </c>
      <c r="DX101" s="1272">
        <f ca="1">+DU101*(1+DW101/100)</f>
        <v>657.67907466068539</v>
      </c>
      <c r="DY101" s="2316">
        <v>3.12</v>
      </c>
      <c r="DZ101" s="2307">
        <f ca="1">+DX101*(1+DY101/100)</f>
        <v>678.19866179009875</v>
      </c>
      <c r="EA101" s="2315">
        <f ca="1">(DZ101/DU101-1)*100</f>
        <v>6.0382960000000097</v>
      </c>
      <c r="EB101" s="2306">
        <v>3.21</v>
      </c>
      <c r="EC101" s="1272">
        <f ca="1">+DZ101*(1+EB101/100)</f>
        <v>699.96883883356088</v>
      </c>
      <c r="ED101" s="2316">
        <v>1.55</v>
      </c>
      <c r="EE101" s="2307">
        <f ca="1">+EC101*(1+ED101/100)</f>
        <v>710.81835583548116</v>
      </c>
      <c r="EF101" s="2315">
        <f ca="1">(EE101/DZ101-1)*100</f>
        <v>4.8097550000000044</v>
      </c>
    </row>
    <row r="102" spans="1:136">
      <c r="A102" s="1504" t="s">
        <v>1334</v>
      </c>
      <c r="B102" s="1"/>
      <c r="C102" s="1121" t="s">
        <v>1791</v>
      </c>
      <c r="D102" s="1117"/>
      <c r="E102" s="1118" t="s">
        <v>1824</v>
      </c>
      <c r="F102" s="1117" t="s">
        <v>542</v>
      </c>
      <c r="G102" s="1428"/>
      <c r="H102" s="1429"/>
      <c r="I102" s="1430"/>
      <c r="J102" s="1396">
        <f ca="1">OFFSET('VVP2'!$G$310,0,(COLUMN()-6)/5)</f>
        <v>455.73500000000001</v>
      </c>
      <c r="K102" s="1427"/>
      <c r="L102" s="1404">
        <f ca="1">OFFSET('VVP2'!$G$110,0,(COLUMN()-7)/5)</f>
        <v>2.6202141916089827</v>
      </c>
      <c r="M102" s="1396">
        <f ca="1">+J102*(1+L102/100)</f>
        <v>467.67623314612922</v>
      </c>
      <c r="N102" s="1405">
        <f ca="1">+O102/M102*100-100</f>
        <v>-4.6665260279134344</v>
      </c>
      <c r="O102" s="1396">
        <f ca="1">OFFSET('VVP2'!$G$310,0,(COLUMN()-6)/5)</f>
        <v>445.85199999999998</v>
      </c>
      <c r="P102" s="1403">
        <f ca="1">(O102/J102-1)*100</f>
        <v>-2.168584813542962</v>
      </c>
      <c r="Q102" s="1404">
        <f ca="1">OFFSET('VVP2'!$G$110,0,(COLUMN()-7)/5)</f>
        <v>11.419627606500837</v>
      </c>
      <c r="R102" s="1396">
        <f ca="1">+O102*(1+Q102/100)</f>
        <v>496.76663807613608</v>
      </c>
      <c r="S102" s="1405">
        <f ca="1">+T102/R102*100-100</f>
        <v>0.26921331292359696</v>
      </c>
      <c r="T102" s="1396">
        <f ca="1">OFFSET('VVP2'!$G$310,0,(COLUMN()-6)/5)</f>
        <v>498.10399999999998</v>
      </c>
      <c r="U102" s="1403">
        <f ca="1">(T102/O102-1)*100</f>
        <v>11.719584077227418</v>
      </c>
      <c r="V102" s="1404">
        <f ca="1">OFFSET('VVP2'!$G$110,0,(COLUMN()-7)/5)</f>
        <v>10.106965513186861</v>
      </c>
      <c r="W102" s="1396">
        <f ca="1">+T102*(1+V102/100)</f>
        <v>548.44719949980424</v>
      </c>
      <c r="X102" s="1405">
        <f ca="1">+Y102/W102*100-100</f>
        <v>-1.1228427286018956</v>
      </c>
      <c r="Y102" s="1396">
        <f ca="1">OFFSET('VVP2'!$G$310,0,(COLUMN()-6)/5)</f>
        <v>542.28899999999999</v>
      </c>
      <c r="Z102" s="1403">
        <f ca="1">(Y102/T102-1)*100</f>
        <v>8.8706374572378408</v>
      </c>
      <c r="AA102" s="1404">
        <f ca="1">OFFSET('VVP2'!$G$110,0,(COLUMN()-7)/5)</f>
        <v>4.1957887291303786</v>
      </c>
      <c r="AB102" s="1396">
        <f ca="1">+Y102*(1+AA102/100)</f>
        <v>565.04230074131385</v>
      </c>
      <c r="AC102" s="1405">
        <f ca="1">+AD102/AB102*100-100</f>
        <v>0.85634283527762989</v>
      </c>
      <c r="AD102" s="1396">
        <f ca="1">OFFSET('VVP2'!$G$310,0,(COLUMN()-6)/5)</f>
        <v>569.88099999999997</v>
      </c>
      <c r="AE102" s="1403">
        <f ca="1">(AD102/Y102-1)*100</f>
        <v>5.0880619005733152</v>
      </c>
      <c r="AF102" s="1404">
        <f ca="1">OFFSET('VVP2'!$G$110,0,(COLUMN()-7)/5)</f>
        <v>12.158062825256422</v>
      </c>
      <c r="AG102" s="1396">
        <f ca="1">+AD102*(1+AF102/100)</f>
        <v>639.16749000919947</v>
      </c>
      <c r="AH102" s="1405">
        <f ca="1">+AI102/AG102*100-100</f>
        <v>4.5425511223017025</v>
      </c>
      <c r="AI102" s="1396">
        <f ca="1">OFFSET('VVP2'!$G$310,0,(COLUMN()-6)/5)</f>
        <v>668.202</v>
      </c>
      <c r="AJ102" s="1403">
        <f ca="1">(AI102/AD102-1)*100</f>
        <v>17.252900166876948</v>
      </c>
      <c r="AK102" s="1404">
        <f ca="1">OFFSET('VVP2'!$G$110,0,(COLUMN()-7)/5)</f>
        <v>-4.3437727175751455</v>
      </c>
      <c r="AL102" s="1396">
        <f ca="1">+AI102*(1+AK102/100)</f>
        <v>639.17682382570854</v>
      </c>
      <c r="AM102" s="1405">
        <f ca="1">+AN102/AL102*100-100</f>
        <v>3.1385956790826555</v>
      </c>
      <c r="AN102" s="1396">
        <f ca="1">OFFSET('VVP2'!$G$310,0,(COLUMN()-6)/5)</f>
        <v>659.23800000000006</v>
      </c>
      <c r="AO102" s="1403">
        <f ca="1">(AN102/AI102-1)*100</f>
        <v>-1.3415105013154571</v>
      </c>
      <c r="AP102" s="1404">
        <f ca="1">OFFSET('VVP2'!$G$110,0,(COLUMN()-7)/5)</f>
        <v>-0.40217126252505286</v>
      </c>
      <c r="AQ102" s="1396">
        <f ca="1">+AN102*(1+AP102/100)</f>
        <v>656.58673421235517</v>
      </c>
      <c r="AR102" s="1405">
        <f ca="1">+AS102/AQ102*100-100</f>
        <v>-0.46463537159563373</v>
      </c>
      <c r="AS102" s="1396">
        <f ca="1">OFFSET('VVP2'!$G$310,0,(COLUMN()-6)/5)</f>
        <v>653.53599999999994</v>
      </c>
      <c r="AT102" s="1403">
        <f ca="1">(AS102/AN102-1)*100</f>
        <v>-0.86493800418060429</v>
      </c>
      <c r="AU102" s="1404">
        <f ca="1">OFFSET('VVP2'!$G$110,0,(COLUMN()-7)/5)</f>
        <v>5.9808701432483291</v>
      </c>
      <c r="AV102" s="1396">
        <f ca="1">+AS102*(1+AU102/100)</f>
        <v>692.62313949937936</v>
      </c>
      <c r="AW102" s="1405">
        <f ca="1">+AX102/AV102*100-100</f>
        <v>-2.6887839053196956</v>
      </c>
      <c r="AX102" s="1396">
        <f ca="1">OFFSET('VVP2'!$G$310,0,(COLUMN()-6)/5)</f>
        <v>674</v>
      </c>
      <c r="AY102" s="1403">
        <f ca="1">(AX102/AS102-1)*100</f>
        <v>3.131273564118886</v>
      </c>
      <c r="AZ102" s="1404">
        <f ca="1">OFFSET('VVP2'!$G$110,0,(COLUMN()-7)/5)</f>
        <v>7.8453751344399913</v>
      </c>
      <c r="BA102" s="1396">
        <f ca="1">+AX102*(1+AZ102/100)</f>
        <v>726.87782840612556</v>
      </c>
      <c r="BB102" s="1405">
        <f ca="1">+BC102/BA102*100-100</f>
        <v>0.67991777995368352</v>
      </c>
      <c r="BC102" s="1396">
        <f ca="1">OFFSET('VVP2'!$G$310,0,(COLUMN()-6)/5)</f>
        <v>731.82</v>
      </c>
      <c r="BD102" s="1403">
        <f ca="1">(BC102/AX102-1)*100</f>
        <v>8.5786350148367987</v>
      </c>
      <c r="BE102" s="1404">
        <f ca="1">OFFSET('VVP2'!$G$110,0,(COLUMN()-7)/5)</f>
        <v>7.4670793672974911</v>
      </c>
      <c r="BF102" s="1396">
        <f ca="1">+BC102*(1+BE102/100)</f>
        <v>786.46558022575653</v>
      </c>
      <c r="BG102" s="1405">
        <f ca="1">+BH102/BF102*100-100</f>
        <v>5.0830475966625386</v>
      </c>
      <c r="BH102" s="1396">
        <f ca="1">OFFSET('VVP2'!$G$310,0,(COLUMN()-6)/5)</f>
        <v>826.44200000000001</v>
      </c>
      <c r="BI102" s="1403">
        <f ca="1">(BH102/BC102-1)*100</f>
        <v>12.929682162280344</v>
      </c>
      <c r="BJ102" s="1404">
        <f ca="1">OFFSET('VVP2'!$G$110,0,(COLUMN()-7)/5)</f>
        <v>9.6045088461140118</v>
      </c>
      <c r="BK102" s="1396">
        <f ca="1">+BH102*(1+BJ102/100)</f>
        <v>905.81769499800157</v>
      </c>
      <c r="BL102" s="1405">
        <f ca="1">+BM102/BK102*100-100</f>
        <v>3.9463023519404032</v>
      </c>
      <c r="BM102" s="1396">
        <f ca="1">OFFSET('VVP2'!$G$310,0,(COLUMN()-6)/5)</f>
        <v>941.56399999999996</v>
      </c>
      <c r="BN102" s="1403">
        <f ca="1">(BM102/BH102-1)*100</f>
        <v>13.92983415654092</v>
      </c>
      <c r="BO102" s="1404">
        <f ca="1">OFFSET('VVP2'!$G$110,0,(COLUMN()-7)/5)</f>
        <v>6.9381813413658788</v>
      </c>
      <c r="BP102" s="1396">
        <f ca="1">+BM102*(1+BO102/100)</f>
        <v>1006.8914177650182</v>
      </c>
      <c r="BQ102" s="1405">
        <f ca="1">+BR102/BP102*100-100</f>
        <v>0.13026054367341544</v>
      </c>
      <c r="BR102" s="1396">
        <f ca="1">OFFSET('VVP2'!$G$310,0,(COLUMN()-6)/5)</f>
        <v>1008.203</v>
      </c>
      <c r="BS102" s="1403">
        <f ca="1">(BR102/BM102-1)*100</f>
        <v>7.0774795977756266</v>
      </c>
      <c r="BT102" s="1404">
        <f ca="1">OFFSET('VVP2'!$G$110,0,(COLUMN()-7)/5)</f>
        <v>2.9212371565577433</v>
      </c>
      <c r="BU102" s="1396">
        <f ca="1">+BR102*(1+BT102/100)</f>
        <v>1037.6550006495299</v>
      </c>
      <c r="BV102" s="1405">
        <f ca="1">+BW102/BU102*100-100</f>
        <v>4.4982194776927571</v>
      </c>
      <c r="BW102" s="1396">
        <f ca="1">OFFSET('VVP2'!$G$310,0,(COLUMN()-6)/5)</f>
        <v>1084.3309999999999</v>
      </c>
      <c r="BX102" s="1403">
        <f ca="1">(BW102/BR102-1)*100</f>
        <v>7.5508602930163704</v>
      </c>
      <c r="BY102" s="1404">
        <f ca="1">OFFSET('VVP2'!$G$110,0,(COLUMN()-7)/5)</f>
        <v>-16.578019730312409</v>
      </c>
      <c r="BZ102" s="1396">
        <f ca="1">+BW102*(1+BY102/100)</f>
        <v>904.57039287810608</v>
      </c>
      <c r="CA102" s="1405">
        <f ca="1">+CB102/BZ102*100-100</f>
        <v>-1.0019555083235474</v>
      </c>
      <c r="CB102" s="1396">
        <f ca="1">OFFSET('VVP2'!$G$310,0,(COLUMN()-6)/5)</f>
        <v>895.50699999999995</v>
      </c>
      <c r="CC102" s="1403">
        <f ca="1">(CB102/BW102-1)*100</f>
        <v>-17.413870856777123</v>
      </c>
      <c r="CD102" s="1404">
        <f ca="1">OFFSET('VVP2'!$G$110,0,(COLUMN()-7)/5)</f>
        <v>17.194558024366557</v>
      </c>
      <c r="CE102" s="1396">
        <f ca="1">+CB102*(1+CD102/100)</f>
        <v>1049.4854707272641</v>
      </c>
      <c r="CF102" s="1405">
        <f ca="1">+CG102/CE102*100-100</f>
        <v>0.3367868704544037</v>
      </c>
      <c r="CG102" s="1396">
        <f ca="1">OFFSET('VVP2'!$G$310,0,(COLUMN()-6)/5)</f>
        <v>1053.02</v>
      </c>
      <c r="CH102" s="1403">
        <f ca="1">(CG102/CB102-1)*100</f>
        <v>17.58925390867967</v>
      </c>
      <c r="CI102" s="1404">
        <f ca="1">OFFSET('VVP2'!$G$110,0,(COLUMN()-7)/5)</f>
        <v>8.6687935651744485</v>
      </c>
      <c r="CJ102" s="1396">
        <f ca="1">+CG102*(1+CI102/100)</f>
        <v>1144.30413</v>
      </c>
      <c r="CK102" s="1405">
        <f ca="1">+CL102/CJ102*100-100</f>
        <v>-0.29739733614349007</v>
      </c>
      <c r="CL102" s="1396">
        <f ca="1">OFFSET('VVP2'!$G$310,0,(COLUMN()-6)/5)</f>
        <v>1140.9010000000001</v>
      </c>
      <c r="CM102" s="1403">
        <f ca="1">(CL102/CG102-1)*100</f>
        <v>8.3456154678923653</v>
      </c>
      <c r="CN102" s="1404">
        <f ca="1">OFFSET('VVP2'!$G$110,0,(COLUMN()-7)/5)</f>
        <v>-0.84808310531920839</v>
      </c>
      <c r="CO102" s="1396">
        <f ca="1">+CL102*(1+CN102/100)</f>
        <v>1131.2252113705822</v>
      </c>
      <c r="CP102" s="1405">
        <f ca="1">+CQ102/CO102*100-100</f>
        <v>-1.8591533462290073</v>
      </c>
      <c r="CQ102" s="1396">
        <f ca="1">OFFSET('VVP2'!$G$310,0,(COLUMN()-6)/5)</f>
        <v>1110.194</v>
      </c>
      <c r="CR102" s="1403">
        <f ca="1">(CQ102/CL102-1)*100</f>
        <v>-2.6914692861168543</v>
      </c>
      <c r="CS102" s="1404">
        <f ca="1">OFFSET('VVP2'!$G$110,0,(COLUMN()-7)/5)</f>
        <v>-1.6849708057331436</v>
      </c>
      <c r="CT102" s="1396">
        <f ca="1">+CQ102*(1+CS102/100)</f>
        <v>1091.487555212999</v>
      </c>
      <c r="CU102" s="1405">
        <f ca="1">+CV102/CT102*100-100</f>
        <v>-3.6914351446853004</v>
      </c>
      <c r="CV102" s="1396">
        <f ca="1">OFFSET('VVP2'!$G$310,0,(COLUMN()-6)/5)</f>
        <v>1051.1959999999999</v>
      </c>
      <c r="CW102" s="1403">
        <f ca="1">(CV102/CQ102-1)*100</f>
        <v>-5.3142063459179267</v>
      </c>
      <c r="CX102" s="1404">
        <f ca="1">OFFSET('VVP2'!$G$110,0,(COLUMN()-7)/5)</f>
        <v>4.6097291357892978</v>
      </c>
      <c r="CY102" s="1396">
        <f ca="1">+CV102*(1+CX102/100)</f>
        <v>1099.6532882862516</v>
      </c>
      <c r="CZ102" s="1405">
        <f ca="1">+DA102/CY102*100-100</f>
        <v>1.2139927971800262</v>
      </c>
      <c r="DA102" s="1396">
        <f ca="1">OFFSET('VVP2'!$G$310,0,(COLUMN()-6)/5)</f>
        <v>1113.0029999999999</v>
      </c>
      <c r="DB102" s="1403">
        <f ca="1">(DA102/CV102-1)*100</f>
        <v>5.87968371264731</v>
      </c>
      <c r="DC102" s="1404">
        <f ca="1">OFFSET('VVP2'!$G$110,0,(COLUMN()-7)/5)</f>
        <v>5.4030409567209059</v>
      </c>
      <c r="DD102" s="1396">
        <f ca="1">+DA102*(1+DC102/100)</f>
        <v>1173.1390079395323</v>
      </c>
      <c r="DE102" s="1405">
        <f ca="1">+DF102/DD102*100-100</f>
        <v>-5.8220546321450684E-2</v>
      </c>
      <c r="DF102" s="1396">
        <f ca="1">OFFSET('VVP2'!$G$310,0,(COLUMN()-6)/5)</f>
        <v>1172.4559999999999</v>
      </c>
      <c r="DG102" s="1403">
        <f ca="1">(DF102/DA102-1)*100</f>
        <v>5.3416747304364742</v>
      </c>
      <c r="DH102" s="1404">
        <f ca="1">OFFSET('VVP2'!$G$110,0,(COLUMN()-7)/5)</f>
        <v>5.86845056686498</v>
      </c>
      <c r="DI102" s="1396">
        <f ca="1">+DF102*(1+DH102/100)</f>
        <v>1241.2610007782423</v>
      </c>
      <c r="DJ102" s="1405">
        <f ca="1">+DK102/DI102*100-100</f>
        <v>-2.2416720384187272</v>
      </c>
      <c r="DK102" s="1396">
        <f ca="1">OFFSET('VVP2'!$G$310,0,(COLUMN()-6)/5)</f>
        <v>1213.4359999999999</v>
      </c>
      <c r="DL102" s="1403">
        <f ca="1">(DK102/DF102-1)*100</f>
        <v>3.4952271130004098</v>
      </c>
      <c r="DM102" s="1404">
        <f ca="1">OFFSET('VVP2'!$G$110,0,(COLUMN()-7)/5)</f>
        <v>4.0222811279401194</v>
      </c>
      <c r="DN102" s="1396">
        <f ca="1">+DK102*(1+DM102/100)</f>
        <v>1262.2438072276314</v>
      </c>
      <c r="DO102" s="1405">
        <f ca="1">+DP102/DN102*100-100</f>
        <v>4.6950670253263809</v>
      </c>
      <c r="DP102" s="1396">
        <f ca="1">OFFSET('VVP2'!$G$310,0,(COLUMN()-6)/5)</f>
        <v>1321.5070000000001</v>
      </c>
      <c r="DQ102" s="1403">
        <f ca="1">(DP102/DK102-1)*100</f>
        <v>8.9061969481703418</v>
      </c>
      <c r="DR102" s="2309">
        <v>4.01</v>
      </c>
      <c r="DS102" s="2310">
        <f ca="1">+DP102*(1+DR102/100)</f>
        <v>1374.4994307000002</v>
      </c>
      <c r="DT102" s="2311">
        <v>6.2</v>
      </c>
      <c r="DU102" s="2310">
        <f ca="1">+DS102*(1+DT102/100)</f>
        <v>1459.7183954034003</v>
      </c>
      <c r="DV102" s="2312">
        <f ca="1">(DU102/DP102-1)*100</f>
        <v>10.458620000000018</v>
      </c>
      <c r="DW102" s="2309">
        <v>3.36</v>
      </c>
      <c r="DX102" s="2310">
        <f ca="1">+DU102*(1+DW102/100)</f>
        <v>1508.7649334889547</v>
      </c>
      <c r="DY102" s="2311">
        <v>2.71</v>
      </c>
      <c r="DZ102" s="2310">
        <f ca="1">+DX102*(1+DY102/100)</f>
        <v>1549.6524631865052</v>
      </c>
      <c r="EA102" s="2312">
        <f ca="1">(DZ102/DU102-1)*100</f>
        <v>6.161055999999987</v>
      </c>
      <c r="EB102" s="2309">
        <v>3.12</v>
      </c>
      <c r="EC102" s="2310">
        <f ca="1">+DZ102*(1+EB102/100)</f>
        <v>1598.0016200379241</v>
      </c>
      <c r="ED102" s="2311">
        <v>1.33</v>
      </c>
      <c r="EE102" s="2310">
        <f ca="1">+EC102*(1+ED102/100)</f>
        <v>1619.2550415844287</v>
      </c>
      <c r="EF102" s="2312">
        <f ca="1">(EE102/DZ102-1)*100</f>
        <v>4.4914960000000059</v>
      </c>
    </row>
    <row r="103" spans="1:136" s="28" customFormat="1">
      <c r="A103" s="1505" t="s">
        <v>158</v>
      </c>
      <c r="C103" s="176" t="s">
        <v>1793</v>
      </c>
      <c r="D103" s="1301"/>
      <c r="E103" s="1301" t="s">
        <v>1825</v>
      </c>
      <c r="F103" s="1244" t="s">
        <v>539</v>
      </c>
      <c r="G103" s="1302"/>
      <c r="H103" s="1302"/>
      <c r="I103" s="1302"/>
      <c r="J103" s="1303">
        <f ca="1">OFFSET('VVP2'!$G$311,0,(COLUMN()-6)/5)</f>
        <v>595.66200000000003</v>
      </c>
      <c r="K103" s="1303"/>
      <c r="L103" s="1303">
        <f ca="1">OFFSET('VVP2'!$G$111,0,(COLUMN()-7)/5)</f>
        <v>3.4415688806118672</v>
      </c>
      <c r="M103" s="1303">
        <f ca="1">+J103*(1+L103/100)</f>
        <v>616.16211802563032</v>
      </c>
      <c r="N103" s="1303">
        <f ca="1">+O103/M103*100-100</f>
        <v>-3.8775700950567824</v>
      </c>
      <c r="O103" s="1303">
        <f ca="1">OFFSET('VVP2'!$G$311,0,(COLUMN()-6)/5)</f>
        <v>592.27</v>
      </c>
      <c r="P103" s="1303">
        <f ca="1">(O103/J103-1)*100</f>
        <v>-0.56945046016030343</v>
      </c>
      <c r="Q103" s="1303">
        <f ca="1">OFFSET('VVP2'!$G$111,0,(COLUMN()-7)/5)</f>
        <v>12.447529538926227</v>
      </c>
      <c r="R103" s="1303">
        <f ca="1">+O103*(1+Q103/100)</f>
        <v>665.9929832001983</v>
      </c>
      <c r="S103" s="1303">
        <f ca="1">+T103/R103*100-100</f>
        <v>0.36547183847281417</v>
      </c>
      <c r="T103" s="1303">
        <f ca="1">OFFSET('VVP2'!$G$311,0,(COLUMN()-6)/5)</f>
        <v>668.42700000000002</v>
      </c>
      <c r="U103" s="1303">
        <f ca="1">(T103/O103-1)*100</f>
        <v>12.858493592449394</v>
      </c>
      <c r="V103" s="1303">
        <f ca="1">OFFSET('VVP2'!$G$111,0,(COLUMN()-7)/5)</f>
        <v>11.309723519161397</v>
      </c>
      <c r="W103" s="1303">
        <f ca="1">+T103*(1+V103/100)</f>
        <v>744.02424562742499</v>
      </c>
      <c r="X103" s="1303">
        <f ca="1">+Y103/W103*100-100</f>
        <v>-1.0313166099787878</v>
      </c>
      <c r="Y103" s="1303">
        <f ca="1">OFFSET('VVP2'!$G$311,0,(COLUMN()-6)/5)</f>
        <v>736.351</v>
      </c>
      <c r="Z103" s="1303">
        <f ca="1">(Y103/T103-1)*100</f>
        <v>10.161767851986836</v>
      </c>
      <c r="AA103" s="1303">
        <f ca="1">OFFSET('VVP2'!$G$111,0,(COLUMN()-7)/5)</f>
        <v>5.1182125579971371</v>
      </c>
      <c r="AB103" s="1303">
        <f ca="1">+Y103*(1+AA103/100)</f>
        <v>774.03900935293746</v>
      </c>
      <c r="AC103" s="1303">
        <f ca="1">+AD103/AB103*100-100</f>
        <v>1.1075657096700127</v>
      </c>
      <c r="AD103" s="1303">
        <f ca="1">OFFSET('VVP2'!$G$311,0,(COLUMN()-6)/5)</f>
        <v>782.61199999999997</v>
      </c>
      <c r="AE103" s="1303">
        <f ca="1">(AD103/Y103-1)*100</f>
        <v>6.2824658349075246</v>
      </c>
      <c r="AF103" s="1303">
        <f ca="1">OFFSET('VVP2'!$G$111,0,(COLUMN()-7)/5)</f>
        <v>11.748978839705426</v>
      </c>
      <c r="AG103" s="1303">
        <f ca="1">+AD103*(1+AF103/100)</f>
        <v>874.56091827699538</v>
      </c>
      <c r="AH103" s="1303">
        <f ca="1">+AI103/AG103*100-100</f>
        <v>4.0519855143790835</v>
      </c>
      <c r="AI103" s="1303">
        <f ca="1">OFFSET('VVP2'!$G$311,0,(COLUMN()-6)/5)</f>
        <v>909.99800000000005</v>
      </c>
      <c r="AJ103" s="1303">
        <f ca="1">(AI103/AD103-1)*100</f>
        <v>16.277031274756858</v>
      </c>
      <c r="AK103" s="1303">
        <f ca="1">OFFSET('VVP2'!$G$111,0,(COLUMN()-7)/5)</f>
        <v>-1.7176018162364359</v>
      </c>
      <c r="AL103" s="1303">
        <f ca="1">+AI103*(1+AK103/100)</f>
        <v>894.36785782428478</v>
      </c>
      <c r="AM103" s="1303">
        <f ca="1">+AN103/AL103*100-100</f>
        <v>3.9672872705904325</v>
      </c>
      <c r="AN103" s="1303">
        <f ca="1">OFFSET('VVP2'!$G$311,0,(COLUMN()-6)/5)</f>
        <v>929.85</v>
      </c>
      <c r="AO103" s="1303">
        <f ca="1">(AN103/AI103-1)*100</f>
        <v>2.181543256139018</v>
      </c>
      <c r="AP103" s="1303">
        <f ca="1">OFFSET('VVP2'!$G$111,0,(COLUMN()-7)/5)</f>
        <v>-1.2552400156743193</v>
      </c>
      <c r="AQ103" s="1303">
        <f ca="1">+AN103*(1+AP103/100)</f>
        <v>918.17815071425241</v>
      </c>
      <c r="AR103" s="1303">
        <f ca="1">+AS103/AQ103*100-100</f>
        <v>0.12599398982078469</v>
      </c>
      <c r="AS103" s="1303">
        <f ca="1">OFFSET('VVP2'!$G$311,0,(COLUMN()-6)/5)</f>
        <v>919.33500000000004</v>
      </c>
      <c r="AT103" s="1303">
        <f ca="1">(AS103/AN103-1)*100</f>
        <v>-1.130827552831104</v>
      </c>
      <c r="AU103" s="1303">
        <f ca="1">OFFSET('VVP2'!$G$111,0,(COLUMN()-7)/5)</f>
        <v>3.8200480588271191</v>
      </c>
      <c r="AV103" s="1303">
        <f ca="1">+AS103*(1+AU103/100)</f>
        <v>954.45403882161838</v>
      </c>
      <c r="AW103" s="1303">
        <f ca="1">+AX103/AV103*100-100</f>
        <v>-2.087375401147213</v>
      </c>
      <c r="AX103" s="1303">
        <f ca="1">OFFSET('VVP2'!$G$311,0,(COLUMN()-6)/5)</f>
        <v>934.53099999999995</v>
      </c>
      <c r="AY103" s="1303">
        <f ca="1">(AX103/AS103-1)*100</f>
        <v>1.6529339141879706</v>
      </c>
      <c r="AZ103" s="1303">
        <f ca="1">OFFSET('VVP2'!$G$111,0,(COLUMN()-7)/5)</f>
        <v>6.6055180832125249</v>
      </c>
      <c r="BA103" s="1303">
        <f ca="1">+AX103*(1+AZ103/100)</f>
        <v>996.26161419822677</v>
      </c>
      <c r="BB103" s="1303">
        <f ca="1">+BC103/BA103*100-100</f>
        <v>0.93202284113354494</v>
      </c>
      <c r="BC103" s="1303">
        <f ca="1">OFFSET('VVP2'!$G$311,0,(COLUMN()-6)/5)</f>
        <v>1005.547</v>
      </c>
      <c r="BD103" s="1303">
        <f ca="1">(BC103/AX103-1)*100</f>
        <v>7.5991058616568186</v>
      </c>
      <c r="BE103" s="1303">
        <f ca="1">OFFSET('VVP2'!$G$111,0,(COLUMN()-7)/5)</f>
        <v>6.992806437949084</v>
      </c>
      <c r="BF103" s="1303">
        <f ca="1">+BC103*(1+BE103/100)</f>
        <v>1075.8629553526039</v>
      </c>
      <c r="BG103" s="1303">
        <f ca="1">+BH103/BF103*100-100</f>
        <v>4.582651015364462</v>
      </c>
      <c r="BH103" s="1303">
        <f ca="1">OFFSET('VVP2'!$G$311,0,(COLUMN()-6)/5)</f>
        <v>1125.1659999999999</v>
      </c>
      <c r="BI103" s="1303">
        <f ca="1">(BH103/BC103-1)*100</f>
        <v>11.895913368544676</v>
      </c>
      <c r="BJ103" s="1303">
        <f ca="1">OFFSET('VVP2'!$G$111,0,(COLUMN()-7)/5)</f>
        <v>8.2253151642083022</v>
      </c>
      <c r="BK103" s="1303">
        <f ca="1">+BH103*(1+BJ103/100)</f>
        <v>1217.714449620516</v>
      </c>
      <c r="BL103" s="1303">
        <f ca="1">+BM103/BK103*100-100</f>
        <v>3.3256195976079823</v>
      </c>
      <c r="BM103" s="1303">
        <f ca="1">OFFSET('VVP2'!$G$311,0,(COLUMN()-6)/5)</f>
        <v>1258.211</v>
      </c>
      <c r="BN103" s="1303">
        <f ca="1">(BM103/BH103-1)*100</f>
        <v>11.824477454882221</v>
      </c>
      <c r="BO103" s="1303">
        <f ca="1">OFFSET('VVP2'!$G$111,0,(COLUMN()-7)/5)</f>
        <v>7.6344513455179897</v>
      </c>
      <c r="BP103" s="1303">
        <f ca="1">+BM103*(1+BO103/100)</f>
        <v>1354.2685066189554</v>
      </c>
      <c r="BQ103" s="1303">
        <f ca="1">+BR103/BP103*100-100</f>
        <v>0.50296476273010171</v>
      </c>
      <c r="BR103" s="1303">
        <f ca="1">OFFSET('VVP2'!$G$311,0,(COLUMN()-6)/5)</f>
        <v>1361.08</v>
      </c>
      <c r="BS103" s="1303">
        <f ca="1">(BR103/BM103-1)*100</f>
        <v>8.1758147083438324</v>
      </c>
      <c r="BT103" s="1303">
        <f ca="1">OFFSET('VVP2'!$G$111,0,(COLUMN()-7)/5)</f>
        <v>3.7913617738353</v>
      </c>
      <c r="BU103" s="1303">
        <f ca="1">+BR103*(1+BT103/100)</f>
        <v>1412.6834668313174</v>
      </c>
      <c r="BV103" s="1303">
        <f ca="1">+BW103/BU103*100-100</f>
        <v>4.4228968934442179</v>
      </c>
      <c r="BW103" s="1303">
        <f ca="1">OFFSET('VVP2'!$G$311,0,(COLUMN()-6)/5)</f>
        <v>1475.165</v>
      </c>
      <c r="BX103" s="1303">
        <f ca="1">(BW103/BR103-1)*100</f>
        <v>8.3819466893937147</v>
      </c>
      <c r="BY103" s="1303">
        <f ca="1">OFFSET('VVP2'!$G$111,0,(COLUMN()-7)/5)</f>
        <v>-14.077541113949332</v>
      </c>
      <c r="BZ103" s="1303">
        <f ca="1">+BW103*(1+BY103/100)</f>
        <v>1267.4980406264092</v>
      </c>
      <c r="CA103" s="1303">
        <f ca="1">+CB103/BZ103*100-100</f>
        <v>0.38335044456474066</v>
      </c>
      <c r="CB103" s="1303">
        <f ca="1">OFFSET('VVP2'!$G$311,0,(COLUMN()-6)/5)</f>
        <v>1272.357</v>
      </c>
      <c r="CC103" s="1303">
        <f ca="1">(CB103/BW103-1)*100</f>
        <v>-13.748156985828707</v>
      </c>
      <c r="CD103" s="1303">
        <f ca="1">OFFSET('VVP2'!$G$111,0,(COLUMN()-7)/5)</f>
        <v>12.777842492885117</v>
      </c>
      <c r="CE103" s="1303">
        <f ca="1">+CB103*(1+CD103/100)</f>
        <v>1434.9367734071982</v>
      </c>
      <c r="CF103" s="1303">
        <f ca="1">+CG103/CE103*100-100</f>
        <v>-0.11692315914480389</v>
      </c>
      <c r="CG103" s="1303">
        <f ca="1">OFFSET('VVP2'!$G$311,0,(COLUMN()-6)/5)</f>
        <v>1433.259</v>
      </c>
      <c r="CH103" s="1303">
        <f ca="1">(CG103/CB103-1)*100</f>
        <v>12.645979076627079</v>
      </c>
      <c r="CI103" s="1303">
        <f ca="1">OFFSET('VVP2'!$G$111,0,(COLUMN()-7)/5)</f>
        <v>7.3433119903659971</v>
      </c>
      <c r="CJ103" s="1303">
        <f ca="1">+CG103*(1+CI103/100)</f>
        <v>1538.5076799999997</v>
      </c>
      <c r="CK103" s="1303">
        <f ca="1">+CL103/CJ103*100-100</f>
        <v>-0.22922732501405108</v>
      </c>
      <c r="CL103" s="1303">
        <f ca="1">OFFSET('VVP2'!$G$311,0,(COLUMN()-6)/5)</f>
        <v>1534.981</v>
      </c>
      <c r="CM103" s="1303">
        <f ca="1">(CL103/CG103-1)*100</f>
        <v>7.0972517877089913</v>
      </c>
      <c r="CN103" s="1303">
        <f ca="1">OFFSET('VVP2'!$G$111,0,(COLUMN()-7)/5)</f>
        <v>0.48217373864523072</v>
      </c>
      <c r="CO103" s="1303">
        <f ca="1">+CL103*(1+CN103/100)</f>
        <v>1542.3822752751939</v>
      </c>
      <c r="CP103" s="1303">
        <f ca="1">+CQ103/CO103*100-100</f>
        <v>-1.1134901866095106</v>
      </c>
      <c r="CQ103" s="1303">
        <f ca="1">OFFSET('VVP2'!$G$311,0,(COLUMN()-6)/5)</f>
        <v>1525.2080000000001</v>
      </c>
      <c r="CR103" s="1303">
        <f ca="1">(CQ103/CL103-1)*100</f>
        <v>-0.6366854052265114</v>
      </c>
      <c r="CS103" s="1303">
        <f ca="1">OFFSET('VVP2'!$G$111,0,(COLUMN()-7)/5)</f>
        <v>-0.11819970990073481</v>
      </c>
      <c r="CT103" s="1303">
        <f ca="1">+CQ103*(1+CS103/100)</f>
        <v>1523.4052085686174</v>
      </c>
      <c r="CU103" s="1303">
        <f ca="1">+CV103/CT103*100-100</f>
        <v>-2.7632312356454207</v>
      </c>
      <c r="CV103" s="1303">
        <f ca="1">OFFSET('VVP2'!$G$311,0,(COLUMN()-6)/5)</f>
        <v>1481.31</v>
      </c>
      <c r="CW103" s="1303">
        <f ca="1">(CV103/CQ103-1)*100</f>
        <v>-2.8781648142417349</v>
      </c>
      <c r="CX103" s="1303">
        <f ca="1">OFFSET('VVP2'!$G$111,0,(COLUMN()-7)/5)</f>
        <v>6.2807792828370346</v>
      </c>
      <c r="CY103" s="1303">
        <f ca="1">+CV103*(1+CX103/100)</f>
        <v>1574.3478115945932</v>
      </c>
      <c r="CZ103" s="1303">
        <f ca="1">+DA103/CY103*100-100</f>
        <v>1.8188603683707782</v>
      </c>
      <c r="DA103" s="1303">
        <f ca="1">+DA101+DA102</f>
        <v>1602.9829999999999</v>
      </c>
      <c r="DB103" s="1303">
        <f ca="1">(DA103/CV103-1)*100</f>
        <v>8.2138782564081794</v>
      </c>
      <c r="DC103" s="1303">
        <f ca="1">OFFSET('VVP2'!$G$111,0,(COLUMN()-7)/5)</f>
        <v>5.2435642523264603</v>
      </c>
      <c r="DD103" s="1303">
        <f ca="1">+DA103*(1+DC103/100)</f>
        <v>1687.0364435588701</v>
      </c>
      <c r="DE103" s="1303">
        <f ca="1">+DF103/DD103*100-100</f>
        <v>1.2962705414351916</v>
      </c>
      <c r="DF103" s="1303">
        <f ca="1">+DF101+DF102</f>
        <v>1708.9049999999997</v>
      </c>
      <c r="DG103" s="1303">
        <f ca="1">(DF103/DA103-1)*100</f>
        <v>6.607805572485792</v>
      </c>
      <c r="DH103" s="1303">
        <f ca="1">OFFSET('VVP2'!$G$111,0,(COLUMN()-7)/5)</f>
        <v>4.305329554581605</v>
      </c>
      <c r="DI103" s="1303">
        <f ca="1">+DF103*(1+DH103/100)</f>
        <v>1782.4789920247224</v>
      </c>
      <c r="DJ103" s="1303">
        <f ca="1">+DK103/DI103*100-100</f>
        <v>-1.6521929378404678</v>
      </c>
      <c r="DK103" s="1303">
        <f ca="1">+DK101+DK102</f>
        <v>1753.029</v>
      </c>
      <c r="DL103" s="1303">
        <f ca="1">(DK103/DF103-1)*100</f>
        <v>2.5820042658895703</v>
      </c>
      <c r="DM103" s="1303">
        <f ca="1">OFFSET('VVP2'!$G$111,0,(COLUMN()-7)/5)</f>
        <v>4.7513044883088495</v>
      </c>
      <c r="DN103" s="1303">
        <f ca="1">+DK103*(1+DM103/100)</f>
        <v>1836.3207455583558</v>
      </c>
      <c r="DO103" s="1303">
        <f ca="1">+DP103/DN103*100-100</f>
        <v>3.8804361718397757</v>
      </c>
      <c r="DP103" s="1303">
        <f ca="1">+DP101+DP102</f>
        <v>1907.578</v>
      </c>
      <c r="DQ103" s="1303">
        <f ca="1">(DP103/DK103-1)*100</f>
        <v>8.8161119981472034</v>
      </c>
      <c r="DR103" s="3368">
        <f ca="1">IF(UPPER($F$2)="Y",(DS103/DP103-1)*100,OFFSET('VVP2'!$G$111,0,(COLUMN()-7)/5))</f>
        <v>3.7150562755494221</v>
      </c>
      <c r="DS103" s="3369">
        <f ca="1">IF(UPPER($F$2)="Y",+DS101+DS102,DP103*(1+DR103/100))</f>
        <v>1978.4455962000002</v>
      </c>
      <c r="DT103" s="1303">
        <f ca="1">+DU103/DS103*100-100</f>
        <v>6.1084211109984778</v>
      </c>
      <c r="DU103" s="1303">
        <f ca="1">+DU101+DU102</f>
        <v>2099.2973846679006</v>
      </c>
      <c r="DV103" s="1303">
        <f ca="1">(DU103/DP103-1)*100</f>
        <v>10.050408668369037</v>
      </c>
      <c r="DW103" s="3368">
        <f ca="1">IF(UPPER($F$2)="Y",(DX103/DU103-1)*100,OFFSET('VVP2'!$G$111,0,(COLUMN()-7)/5))</f>
        <v>3.1985284206106801</v>
      </c>
      <c r="DX103" s="3369">
        <f ca="1">IF(UPPER($F$2)="Y",+DX101+DX102,DU103*(1+DW103/100))</f>
        <v>2166.44400814964</v>
      </c>
      <c r="DY103" s="1303">
        <f ca="1">+DZ103/DX103*100-100</f>
        <v>2.8344659080024712</v>
      </c>
      <c r="DZ103" s="1303">
        <f ca="1">+DZ101+DZ102</f>
        <v>2227.8511249766038</v>
      </c>
      <c r="EA103" s="1303">
        <f ca="1">(DZ103/DU103-1)*100</f>
        <v>6.1236555262531356</v>
      </c>
      <c r="EB103" s="3368">
        <f ca="1">IF(UPPER($F$2)="Y",(EC103/DZ103-1)*100,OFFSET('VVP2'!$G$111,0,(COLUMN()-7)/5))</f>
        <v>3.147397647390715</v>
      </c>
      <c r="EC103" s="3369">
        <f ca="1">IF(UPPER($F$2)="Y",+EC101+EC102,DZ103*(1+EB103/100))</f>
        <v>2297.9704588714849</v>
      </c>
      <c r="ED103" s="1303">
        <f ca="1">+EE103/EC103*100-100</f>
        <v>1.3970126737047082</v>
      </c>
      <c r="EE103" s="1303">
        <f ca="1">+EE101+EE102</f>
        <v>2330.0733974199097</v>
      </c>
      <c r="EF103" s="1303">
        <f ca="1">(EE103/DZ103-1)*100</f>
        <v>4.5883798651213503</v>
      </c>
    </row>
    <row r="104" spans="1:136" s="2919" customFormat="1" ht="12.75">
      <c r="A104" s="2918"/>
      <c r="C104" s="2920"/>
      <c r="D104" s="1837"/>
      <c r="E104" s="1837" t="s">
        <v>1629</v>
      </c>
      <c r="F104" s="2921"/>
      <c r="G104" s="2922"/>
      <c r="H104" s="2922"/>
      <c r="I104" s="2922"/>
      <c r="J104" s="1276"/>
      <c r="K104" s="2922"/>
      <c r="L104" s="2924">
        <f ca="1">OFFSET('Q1'!$N242,0,(COLUMN()-12)*4/5)</f>
        <v>3.4401814461767941</v>
      </c>
      <c r="M104" s="2923"/>
      <c r="N104" s="1276"/>
      <c r="O104" s="1276"/>
      <c r="P104" s="1276"/>
      <c r="Q104" s="2924">
        <f ca="1">OFFSET('Q1'!$N242,0,(COLUMN()-12)*4/5)</f>
        <v>12.794580283617066</v>
      </c>
      <c r="R104" s="1276"/>
      <c r="S104" s="1276"/>
      <c r="T104" s="1276"/>
      <c r="U104" s="1276"/>
      <c r="V104" s="2924">
        <f ca="1">OFFSET('Q1'!$N242,0,(COLUMN()-12)*4/5)</f>
        <v>11.146966911573358</v>
      </c>
      <c r="W104" s="1276"/>
      <c r="X104" s="1276"/>
      <c r="Y104" s="1276"/>
      <c r="Z104" s="1276"/>
      <c r="AA104" s="2924">
        <f ca="1">OFFSET('Q1'!$N242,0,(COLUMN()-12)*4/5)</f>
        <v>4.7204598694083728</v>
      </c>
      <c r="AB104" s="1276"/>
      <c r="AC104" s="1276"/>
      <c r="AD104" s="1276"/>
      <c r="AE104" s="1276"/>
      <c r="AF104" s="2924">
        <f ca="1">OFFSET('Q1'!$N242,0,(COLUMN()-12)*4/5)</f>
        <v>12.01289221384063</v>
      </c>
      <c r="AG104" s="1276"/>
      <c r="AH104" s="1276"/>
      <c r="AI104" s="1276"/>
      <c r="AJ104" s="1276"/>
      <c r="AK104" s="2924">
        <f ca="1">OFFSET('Q1'!$N242,0,(COLUMN()-12)*4/5)</f>
        <v>-1.5765273245448554</v>
      </c>
      <c r="AL104" s="1276"/>
      <c r="AM104" s="1276"/>
      <c r="AN104" s="1276"/>
      <c r="AO104" s="1276"/>
      <c r="AP104" s="2924">
        <f ca="1">OFFSET('Q1'!$N242,0,(COLUMN()-12)*4/5)</f>
        <v>-1.2835769586425982</v>
      </c>
      <c r="AQ104" s="1276"/>
      <c r="AR104" s="1276"/>
      <c r="AS104" s="1276"/>
      <c r="AT104" s="1276"/>
      <c r="AU104" s="2924">
        <f ca="1">OFFSET('Q1'!$N242,0,(COLUMN()-12)*4/5)</f>
        <v>3.9767716948415881</v>
      </c>
      <c r="AV104" s="1276"/>
      <c r="AW104" s="1276"/>
      <c r="AX104" s="1276"/>
      <c r="AY104" s="1276"/>
      <c r="AZ104" s="2924">
        <f ca="1">OFFSET('Q1'!$N242,0,(COLUMN()-12)*4/5)</f>
        <v>5.82405967819426</v>
      </c>
      <c r="BA104" s="1276"/>
      <c r="BB104" s="1276"/>
      <c r="BC104" s="1276"/>
      <c r="BD104" s="1276"/>
      <c r="BE104" s="2924">
        <f ca="1">OFFSET('Q1'!$N242,0,(COLUMN()-12)*4/5)</f>
        <v>6.9647236579343001</v>
      </c>
      <c r="BF104" s="1276"/>
      <c r="BG104" s="1276"/>
      <c r="BH104" s="1276"/>
      <c r="BI104" s="1276"/>
      <c r="BJ104" s="2924">
        <f ca="1">OFFSET('Q1'!$N242,0,(COLUMN()-12)*4/5)</f>
        <v>8.6699893829153183</v>
      </c>
      <c r="BK104" s="1276"/>
      <c r="BL104" s="1276"/>
      <c r="BM104" s="1276"/>
      <c r="BN104" s="1276"/>
      <c r="BO104" s="2924">
        <f ca="1">OFFSET('Q1'!$N242,0,(COLUMN()-12)*4/5)</f>
        <v>7.9033867402813769</v>
      </c>
      <c r="BP104" s="1276"/>
      <c r="BQ104" s="1276"/>
      <c r="BR104" s="1276"/>
      <c r="BS104" s="1276"/>
      <c r="BT104" s="2924">
        <f ca="1">OFFSET('Q1'!$N242,0,(COLUMN()-12)*4/5)</f>
        <v>3.4878532081504829</v>
      </c>
      <c r="BU104" s="1276"/>
      <c r="BV104" s="1276"/>
      <c r="BW104" s="1276"/>
      <c r="BX104" s="1276"/>
      <c r="BY104" s="2924">
        <f ca="1">OFFSET('Q1'!$N242,0,(COLUMN()-12)*4/5)</f>
        <v>-13.99087179971788</v>
      </c>
      <c r="BZ104" s="1276"/>
      <c r="CA104" s="1276"/>
      <c r="CB104" s="1276"/>
      <c r="CC104" s="1276"/>
      <c r="CD104" s="2924">
        <f ca="1">OFFSET('Q1'!$N242,0,(COLUMN()-12)*4/5)</f>
        <v>12.332542752927694</v>
      </c>
      <c r="CE104" s="1276"/>
      <c r="CF104" s="1276"/>
      <c r="CG104" s="1276"/>
      <c r="CH104" s="1276"/>
      <c r="CI104" s="2924">
        <f ca="1">OFFSET('Q1'!$N242,0,(COLUMN()-12)*4/5)</f>
        <v>7.4042182303274586</v>
      </c>
      <c r="CJ104" s="1276"/>
      <c r="CK104" s="1276"/>
      <c r="CL104" s="1276"/>
      <c r="CM104" s="1276"/>
      <c r="CN104" s="2961">
        <f ca="1">OFFSET('Q1'!$N242,0,(COLUMN()-12)*4/5)</f>
        <v>1.012850955015125</v>
      </c>
      <c r="CO104" s="1276"/>
      <c r="CP104" s="1276"/>
      <c r="CQ104" s="1276"/>
      <c r="CR104" s="1276"/>
      <c r="CS104" s="2961">
        <f ca="1">OFFSET('Q1'!$N242,0,(COLUMN()-12)*4/5)</f>
        <v>-0.15881958552304809</v>
      </c>
      <c r="CT104" s="1276"/>
      <c r="CU104" s="1276"/>
      <c r="CV104" s="1276"/>
      <c r="CW104" s="1276"/>
      <c r="CX104" s="2961">
        <f ca="1">OFFSET('Q1'!$N242,0,(COLUMN()-12)*4/5)</f>
        <v>6.4422407029940558</v>
      </c>
      <c r="CY104" s="1276"/>
      <c r="CZ104" s="1276"/>
      <c r="DA104" s="1276"/>
      <c r="DB104" s="1276"/>
      <c r="DC104" s="2961">
        <f ca="1">OFFSET('Q1'!$N242,0,(COLUMN()-12)*4/5)</f>
        <v>4.8667859606747754</v>
      </c>
      <c r="DD104" s="1276"/>
      <c r="DE104" s="1276"/>
      <c r="DF104" s="1276"/>
      <c r="DG104" s="1276"/>
      <c r="DH104" s="2961">
        <f ca="1">OFFSET('Q1'!$N242,0,(COLUMN()-12)*4/5)</f>
        <v>3.9534970776174561</v>
      </c>
      <c r="DI104" s="1276"/>
      <c r="DJ104" s="1276"/>
      <c r="DK104" s="1276"/>
      <c r="DL104" s="1276"/>
      <c r="DM104" s="2961">
        <f ca="1">OFFSET('Q1'!$N242,0,(COLUMN()-12)*4/5)</f>
        <v>5.1240528327209063</v>
      </c>
      <c r="DN104" s="1276"/>
      <c r="DO104" s="1276"/>
      <c r="DP104" s="1276"/>
      <c r="DQ104" s="1276"/>
      <c r="DR104" s="2961">
        <f ca="1">OFFSET('Q1'!$N242,0,(COLUMN()-12)*4/5)</f>
        <v>3.729628486520923</v>
      </c>
      <c r="DS104" s="1276"/>
      <c r="DT104" s="1276"/>
      <c r="DU104" s="1276"/>
      <c r="DV104" s="1276"/>
      <c r="DW104" s="2961">
        <f ca="1">OFFSET('Q1'!$N242,0,(COLUMN()-12)*4/5)</f>
        <v>3.2023348497589552</v>
      </c>
      <c r="DX104" s="1276"/>
      <c r="DY104" s="1276"/>
      <c r="DZ104" s="1276"/>
      <c r="EA104" s="1276"/>
      <c r="EB104" s="2961">
        <f ca="1">OFFSET('Q1'!$N242,0,(COLUMN()-12)*4/5)</f>
        <v>3.1480779682811146</v>
      </c>
      <c r="EC104" s="1276"/>
      <c r="ED104" s="1276"/>
      <c r="EE104" s="1276"/>
      <c r="EF104" s="1276"/>
    </row>
    <row r="105" spans="1:136">
      <c r="CU105" s="3310">
        <f ca="1">CU86/CU101</f>
        <v>2.0700623794364286</v>
      </c>
      <c r="CX105" s="1439"/>
      <c r="CY105" s="3308"/>
      <c r="CZ105" s="3310">
        <f ca="1">CZ86/CZ101</f>
        <v>0.55643305808732757</v>
      </c>
      <c r="DC105" s="1439"/>
      <c r="DD105" s="3308"/>
      <c r="DE105" s="3310">
        <f ca="1">DE86/DE101</f>
        <v>0.72735857841613982</v>
      </c>
      <c r="DG105" s="3310"/>
      <c r="DJ105" s="3310">
        <f ca="1">DJ86/DJ101</f>
        <v>1.0546388818067396</v>
      </c>
      <c r="DO105" s="3310">
        <f ca="1">DO86/DO101</f>
        <v>0.77354299053256659</v>
      </c>
      <c r="DR105" s="3310"/>
      <c r="DS105" t="s">
        <v>2604</v>
      </c>
      <c r="DT105" s="3310">
        <f>DT86/DT101</f>
        <v>0.72881355932203384</v>
      </c>
      <c r="DW105" s="3310"/>
      <c r="DY105" s="3310">
        <f>DY86/DY101</f>
        <v>0.73076923076923073</v>
      </c>
      <c r="EB105" s="3310"/>
      <c r="ED105" s="3310">
        <f>ED86/ED101</f>
        <v>0.72903225806451599</v>
      </c>
    </row>
    <row r="106" spans="1:136">
      <c r="CU106" s="3310">
        <f ca="1">CU87/CU102</f>
        <v>0.85655844016751193</v>
      </c>
      <c r="CZ106" s="3310">
        <f ca="1">CZ87/CZ102</f>
        <v>1.7268036933673725</v>
      </c>
      <c r="DE106" s="3310">
        <f ca="1">DE87/DE102</f>
        <v>-27.45547871130325</v>
      </c>
      <c r="DJ106" s="3310">
        <f ca="1">DJ87/DJ102</f>
        <v>0.69376858256572149</v>
      </c>
      <c r="DO106" s="3310">
        <f ca="1">DO87/DO102</f>
        <v>0.87202302788415476</v>
      </c>
      <c r="DT106" s="3310">
        <f>DT87/DT102</f>
        <v>0.88709677419354838</v>
      </c>
      <c r="DY106" s="3310">
        <f>DY87/DY102</f>
        <v>0.88929889298892995</v>
      </c>
      <c r="ED106" s="3310">
        <f>ED87/ED102</f>
        <v>0.87218045112781939</v>
      </c>
    </row>
    <row r="107" spans="1:136">
      <c r="D107" s="3812"/>
      <c r="E107" s="3805" t="s">
        <v>511</v>
      </c>
      <c r="F107" s="3806"/>
      <c r="G107" s="3809">
        <f>+InputY!$G$3</f>
        <v>1995</v>
      </c>
      <c r="H107" s="3791"/>
      <c r="I107" s="3791"/>
      <c r="J107" s="3791"/>
      <c r="K107" s="3791"/>
      <c r="L107" s="3802">
        <f>+G107+1</f>
        <v>1996</v>
      </c>
      <c r="M107" s="3803"/>
      <c r="N107" s="3803"/>
      <c r="O107" s="3803"/>
      <c r="P107" s="3804"/>
      <c r="Q107" s="3802">
        <f>+L107+1</f>
        <v>1997</v>
      </c>
      <c r="R107" s="3803"/>
      <c r="S107" s="3803"/>
      <c r="T107" s="3803"/>
      <c r="U107" s="3804"/>
      <c r="V107" s="3802">
        <f>+Q107+1</f>
        <v>1998</v>
      </c>
      <c r="W107" s="3803"/>
      <c r="X107" s="3803"/>
      <c r="Y107" s="3803"/>
      <c r="Z107" s="3804"/>
      <c r="AA107" s="3802">
        <f>+V107+1</f>
        <v>1999</v>
      </c>
      <c r="AB107" s="3803"/>
      <c r="AC107" s="3803"/>
      <c r="AD107" s="3803"/>
      <c r="AE107" s="3804"/>
      <c r="AF107" s="3802">
        <f>+AA107+1</f>
        <v>2000</v>
      </c>
      <c r="AG107" s="3803"/>
      <c r="AH107" s="3803"/>
      <c r="AI107" s="3803"/>
      <c r="AJ107" s="3804"/>
      <c r="AK107" s="3802">
        <f>+AF107+1</f>
        <v>2001</v>
      </c>
      <c r="AL107" s="3803"/>
      <c r="AM107" s="3803"/>
      <c r="AN107" s="3803"/>
      <c r="AO107" s="3804"/>
      <c r="AP107" s="3802">
        <f>+AK107+1</f>
        <v>2002</v>
      </c>
      <c r="AQ107" s="3803"/>
      <c r="AR107" s="3803"/>
      <c r="AS107" s="3803"/>
      <c r="AT107" s="3804"/>
      <c r="AU107" s="3802">
        <f>+AP107+1</f>
        <v>2003</v>
      </c>
      <c r="AV107" s="3803"/>
      <c r="AW107" s="3803"/>
      <c r="AX107" s="3803"/>
      <c r="AY107" s="3804"/>
      <c r="AZ107" s="3802">
        <f>+AU107+1</f>
        <v>2004</v>
      </c>
      <c r="BA107" s="3803"/>
      <c r="BB107" s="3803"/>
      <c r="BC107" s="3803"/>
      <c r="BD107" s="3804"/>
      <c r="BE107" s="3802">
        <f>+AZ107+1</f>
        <v>2005</v>
      </c>
      <c r="BF107" s="3803"/>
      <c r="BG107" s="3803"/>
      <c r="BH107" s="3803"/>
      <c r="BI107" s="3804"/>
      <c r="BJ107" s="3802">
        <f>+BE107+1</f>
        <v>2006</v>
      </c>
      <c r="BK107" s="3803"/>
      <c r="BL107" s="3803"/>
      <c r="BM107" s="3803"/>
      <c r="BN107" s="3804"/>
      <c r="BO107" s="3802">
        <f>+BJ107+1</f>
        <v>2007</v>
      </c>
      <c r="BP107" s="3803"/>
      <c r="BQ107" s="3803"/>
      <c r="BR107" s="3803"/>
      <c r="BS107" s="3804"/>
      <c r="BT107" s="3802">
        <f>+BO107+1</f>
        <v>2008</v>
      </c>
      <c r="BU107" s="3803"/>
      <c r="BV107" s="3803"/>
      <c r="BW107" s="3803"/>
      <c r="BX107" s="3804"/>
      <c r="BY107" s="3802">
        <f>+BT107+1</f>
        <v>2009</v>
      </c>
      <c r="BZ107" s="3803"/>
      <c r="CA107" s="3803"/>
      <c r="CB107" s="3803"/>
      <c r="CC107" s="3804"/>
      <c r="CD107" s="3802">
        <f>+BY107+1</f>
        <v>2010</v>
      </c>
      <c r="CE107" s="3803"/>
      <c r="CF107" s="3803"/>
      <c r="CG107" s="3803"/>
      <c r="CH107" s="3804"/>
      <c r="CI107" s="3802">
        <f>+CD107+1</f>
        <v>2011</v>
      </c>
      <c r="CJ107" s="3803"/>
      <c r="CK107" s="3803"/>
      <c r="CL107" s="3803"/>
      <c r="CM107" s="3804"/>
      <c r="CN107" s="3791">
        <f>+CI107+1</f>
        <v>2012</v>
      </c>
      <c r="CO107" s="3791"/>
      <c r="CP107" s="3791"/>
      <c r="CQ107" s="3791"/>
      <c r="CR107" s="3791"/>
      <c r="CS107" s="3791">
        <f>+CN107+1</f>
        <v>2013</v>
      </c>
      <c r="CT107" s="3791"/>
      <c r="CU107" s="3791"/>
      <c r="CV107" s="3791"/>
      <c r="CW107" s="3791"/>
      <c r="CX107" s="3802">
        <f>+CS107+1</f>
        <v>2014</v>
      </c>
      <c r="CY107" s="3803"/>
      <c r="CZ107" s="3803"/>
      <c r="DA107" s="3803"/>
      <c r="DB107" s="3804"/>
      <c r="DC107" s="3802">
        <f>+CX107+1</f>
        <v>2015</v>
      </c>
      <c r="DD107" s="3803"/>
      <c r="DE107" s="3803"/>
      <c r="DF107" s="3803"/>
      <c r="DG107" s="3804"/>
      <c r="DH107" s="3791">
        <f>+DC107+1</f>
        <v>2016</v>
      </c>
      <c r="DI107" s="3791"/>
      <c r="DJ107" s="3791"/>
      <c r="DK107" s="3791"/>
      <c r="DL107" s="3791"/>
      <c r="DM107" s="3791">
        <f>+DH107+1</f>
        <v>2017</v>
      </c>
      <c r="DN107" s="3791"/>
      <c r="DO107" s="3791"/>
      <c r="DP107" s="3791"/>
      <c r="DQ107" s="3791"/>
      <c r="DR107" s="3791">
        <f>+DM107+1</f>
        <v>2018</v>
      </c>
      <c r="DS107" s="3791"/>
      <c r="DT107" s="3791"/>
      <c r="DU107" s="3791"/>
      <c r="DV107" s="3791"/>
      <c r="DW107" s="3791">
        <f>+DR107+1</f>
        <v>2019</v>
      </c>
      <c r="DX107" s="3791"/>
      <c r="DY107" s="3791"/>
      <c r="DZ107" s="3791"/>
      <c r="EA107" s="3791"/>
      <c r="EB107" s="3791">
        <f>+DW107+1</f>
        <v>2020</v>
      </c>
      <c r="EC107" s="3791"/>
      <c r="ED107" s="3791"/>
      <c r="EE107" s="3791"/>
      <c r="EF107" s="3791"/>
    </row>
    <row r="108" spans="1:136">
      <c r="C108" s="3"/>
      <c r="D108" s="3813"/>
      <c r="E108" s="3807" t="s">
        <v>1745</v>
      </c>
      <c r="F108" s="3808"/>
      <c r="G108" s="1300" t="s">
        <v>396</v>
      </c>
      <c r="H108" s="1297" t="s">
        <v>1774</v>
      </c>
      <c r="I108" s="1296" t="s">
        <v>1249</v>
      </c>
      <c r="J108" s="1297" t="s">
        <v>1772</v>
      </c>
      <c r="K108" s="1296" t="s">
        <v>1250</v>
      </c>
      <c r="L108" s="1296" t="s">
        <v>396</v>
      </c>
      <c r="M108" s="1297" t="s">
        <v>1774</v>
      </c>
      <c r="N108" s="1296" t="s">
        <v>1249</v>
      </c>
      <c r="O108" s="1297" t="s">
        <v>1772</v>
      </c>
      <c r="P108" s="1296" t="s">
        <v>1250</v>
      </c>
      <c r="Q108" s="1296" t="s">
        <v>396</v>
      </c>
      <c r="R108" s="1297" t="s">
        <v>1774</v>
      </c>
      <c r="S108" s="1296" t="s">
        <v>1249</v>
      </c>
      <c r="T108" s="1297" t="s">
        <v>1772</v>
      </c>
      <c r="U108" s="1296" t="s">
        <v>1250</v>
      </c>
      <c r="V108" s="1296" t="s">
        <v>396</v>
      </c>
      <c r="W108" s="1297" t="s">
        <v>1774</v>
      </c>
      <c r="X108" s="1296" t="s">
        <v>1249</v>
      </c>
      <c r="Y108" s="1297" t="s">
        <v>1772</v>
      </c>
      <c r="Z108" s="1296" t="s">
        <v>1250</v>
      </c>
      <c r="AA108" s="1296" t="s">
        <v>396</v>
      </c>
      <c r="AB108" s="1297" t="s">
        <v>1774</v>
      </c>
      <c r="AC108" s="1296" t="s">
        <v>1249</v>
      </c>
      <c r="AD108" s="1297" t="s">
        <v>1772</v>
      </c>
      <c r="AE108" s="1296" t="s">
        <v>1250</v>
      </c>
      <c r="AF108" s="1296" t="s">
        <v>396</v>
      </c>
      <c r="AG108" s="1297" t="s">
        <v>1774</v>
      </c>
      <c r="AH108" s="1296" t="s">
        <v>1249</v>
      </c>
      <c r="AI108" s="1297" t="s">
        <v>1772</v>
      </c>
      <c r="AJ108" s="1296" t="s">
        <v>1250</v>
      </c>
      <c r="AK108" s="1296" t="s">
        <v>396</v>
      </c>
      <c r="AL108" s="1297" t="s">
        <v>1774</v>
      </c>
      <c r="AM108" s="1296" t="s">
        <v>1249</v>
      </c>
      <c r="AN108" s="1297" t="s">
        <v>1772</v>
      </c>
      <c r="AO108" s="1296" t="s">
        <v>1250</v>
      </c>
      <c r="AP108" s="1296" t="s">
        <v>396</v>
      </c>
      <c r="AQ108" s="1297" t="s">
        <v>1774</v>
      </c>
      <c r="AR108" s="1296" t="s">
        <v>1249</v>
      </c>
      <c r="AS108" s="1297" t="s">
        <v>1772</v>
      </c>
      <c r="AT108" s="1296" t="s">
        <v>1250</v>
      </c>
      <c r="AU108" s="1296" t="s">
        <v>396</v>
      </c>
      <c r="AV108" s="1297" t="s">
        <v>1774</v>
      </c>
      <c r="AW108" s="1296" t="s">
        <v>1249</v>
      </c>
      <c r="AX108" s="1297" t="s">
        <v>1772</v>
      </c>
      <c r="AY108" s="1296" t="s">
        <v>1250</v>
      </c>
      <c r="AZ108" s="1296" t="s">
        <v>396</v>
      </c>
      <c r="BA108" s="1297" t="s">
        <v>1774</v>
      </c>
      <c r="BB108" s="1296" t="s">
        <v>1249</v>
      </c>
      <c r="BC108" s="1297" t="s">
        <v>1772</v>
      </c>
      <c r="BD108" s="1296" t="s">
        <v>1250</v>
      </c>
      <c r="BE108" s="1296" t="s">
        <v>396</v>
      </c>
      <c r="BF108" s="1297" t="s">
        <v>1774</v>
      </c>
      <c r="BG108" s="1296" t="s">
        <v>1249</v>
      </c>
      <c r="BH108" s="1297" t="s">
        <v>1772</v>
      </c>
      <c r="BI108" s="1296" t="s">
        <v>1250</v>
      </c>
      <c r="BJ108" s="1296" t="s">
        <v>396</v>
      </c>
      <c r="BK108" s="1297" t="s">
        <v>1774</v>
      </c>
      <c r="BL108" s="1296" t="s">
        <v>1249</v>
      </c>
      <c r="BM108" s="1297" t="s">
        <v>1772</v>
      </c>
      <c r="BN108" s="1296" t="s">
        <v>1250</v>
      </c>
      <c r="BO108" s="1296" t="s">
        <v>396</v>
      </c>
      <c r="BP108" s="1297" t="s">
        <v>1774</v>
      </c>
      <c r="BQ108" s="1296" t="s">
        <v>1249</v>
      </c>
      <c r="BR108" s="1297" t="s">
        <v>1772</v>
      </c>
      <c r="BS108" s="1296" t="s">
        <v>1250</v>
      </c>
      <c r="BT108" s="1296" t="s">
        <v>396</v>
      </c>
      <c r="BU108" s="1297" t="s">
        <v>1774</v>
      </c>
      <c r="BV108" s="1296" t="s">
        <v>1249</v>
      </c>
      <c r="BW108" s="1297" t="s">
        <v>1772</v>
      </c>
      <c r="BX108" s="1296" t="s">
        <v>1250</v>
      </c>
      <c r="BY108" s="1296" t="s">
        <v>396</v>
      </c>
      <c r="BZ108" s="1297" t="s">
        <v>1774</v>
      </c>
      <c r="CA108" s="1296" t="s">
        <v>1249</v>
      </c>
      <c r="CB108" s="1297" t="s">
        <v>1772</v>
      </c>
      <c r="CC108" s="1296" t="s">
        <v>1250</v>
      </c>
      <c r="CD108" s="1296" t="s">
        <v>396</v>
      </c>
      <c r="CE108" s="1297" t="s">
        <v>1774</v>
      </c>
      <c r="CF108" s="1296" t="s">
        <v>1249</v>
      </c>
      <c r="CG108" s="1297" t="s">
        <v>1772</v>
      </c>
      <c r="CH108" s="1296" t="s">
        <v>1250</v>
      </c>
      <c r="CI108" s="1296" t="s">
        <v>396</v>
      </c>
      <c r="CJ108" s="1297" t="s">
        <v>1774</v>
      </c>
      <c r="CK108" s="1296" t="s">
        <v>1249</v>
      </c>
      <c r="CL108" s="1297" t="s">
        <v>1772</v>
      </c>
      <c r="CM108" s="1296" t="s">
        <v>1250</v>
      </c>
      <c r="CN108" s="1296" t="s">
        <v>396</v>
      </c>
      <c r="CO108" s="1297" t="s">
        <v>1774</v>
      </c>
      <c r="CP108" s="1296" t="s">
        <v>1249</v>
      </c>
      <c r="CQ108" s="1297" t="s">
        <v>1772</v>
      </c>
      <c r="CR108" s="1296" t="s">
        <v>1250</v>
      </c>
      <c r="CS108" s="1296" t="s">
        <v>396</v>
      </c>
      <c r="CT108" s="1297" t="s">
        <v>1774</v>
      </c>
      <c r="CU108" s="1296" t="s">
        <v>1249</v>
      </c>
      <c r="CV108" s="1297" t="s">
        <v>1772</v>
      </c>
      <c r="CW108" s="1296" t="s">
        <v>1250</v>
      </c>
      <c r="CX108" s="1296" t="s">
        <v>396</v>
      </c>
      <c r="CY108" s="1297" t="s">
        <v>1774</v>
      </c>
      <c r="CZ108" s="1296" t="s">
        <v>1249</v>
      </c>
      <c r="DA108" s="1297" t="s">
        <v>1772</v>
      </c>
      <c r="DB108" s="1296" t="s">
        <v>1250</v>
      </c>
      <c r="DC108" s="1296" t="s">
        <v>396</v>
      </c>
      <c r="DD108" s="1297" t="s">
        <v>1774</v>
      </c>
      <c r="DE108" s="1296" t="s">
        <v>1249</v>
      </c>
      <c r="DF108" s="1297" t="s">
        <v>1772</v>
      </c>
      <c r="DG108" s="1296" t="s">
        <v>1250</v>
      </c>
      <c r="DH108" s="1296" t="s">
        <v>396</v>
      </c>
      <c r="DI108" s="1297" t="s">
        <v>1774</v>
      </c>
      <c r="DJ108" s="1296" t="s">
        <v>1249</v>
      </c>
      <c r="DK108" s="1297" t="s">
        <v>1772</v>
      </c>
      <c r="DL108" s="1296" t="s">
        <v>1250</v>
      </c>
      <c r="DM108" s="1296" t="s">
        <v>396</v>
      </c>
      <c r="DN108" s="1297" t="s">
        <v>1774</v>
      </c>
      <c r="DO108" s="1296" t="s">
        <v>1249</v>
      </c>
      <c r="DP108" s="1297" t="s">
        <v>1772</v>
      </c>
      <c r="DQ108" s="1296" t="s">
        <v>1250</v>
      </c>
      <c r="DR108" s="1296" t="s">
        <v>396</v>
      </c>
      <c r="DS108" s="1297" t="s">
        <v>1774</v>
      </c>
      <c r="DT108" s="1296" t="s">
        <v>1249</v>
      </c>
      <c r="DU108" s="1297" t="s">
        <v>1772</v>
      </c>
      <c r="DV108" s="1296" t="s">
        <v>1250</v>
      </c>
      <c r="DW108" s="1296" t="s">
        <v>396</v>
      </c>
      <c r="DX108" s="1297" t="s">
        <v>1774</v>
      </c>
      <c r="DY108" s="1296" t="s">
        <v>1249</v>
      </c>
      <c r="DZ108" s="1297" t="s">
        <v>1772</v>
      </c>
      <c r="EA108" s="1296" t="s">
        <v>1250</v>
      </c>
      <c r="EB108" s="1296" t="s">
        <v>396</v>
      </c>
      <c r="EC108" s="1297" t="s">
        <v>1774</v>
      </c>
      <c r="ED108" s="1296" t="s">
        <v>1249</v>
      </c>
      <c r="EE108" s="1297" t="s">
        <v>1772</v>
      </c>
      <c r="EF108" s="1296" t="s">
        <v>1250</v>
      </c>
    </row>
    <row r="109" spans="1:136" s="1341" customFormat="1">
      <c r="A109" s="1506"/>
      <c r="C109" s="1342" t="s">
        <v>1791</v>
      </c>
      <c r="D109" s="1343"/>
      <c r="E109" s="1343" t="s">
        <v>1297</v>
      </c>
      <c r="F109" s="1344" t="s">
        <v>1384</v>
      </c>
      <c r="G109" s="1281"/>
      <c r="H109" s="1282"/>
      <c r="I109" s="1283"/>
      <c r="J109" s="1272">
        <f ca="1">OFFSET('VVP2'!$G$320,0,(COLUMN()-6)/5)</f>
        <v>318.45736915200001</v>
      </c>
      <c r="K109" s="1284"/>
      <c r="L109" s="1281"/>
      <c r="M109" s="1282"/>
      <c r="N109" s="1283"/>
      <c r="O109" s="1272">
        <f ca="1">OFFSET('VVP2'!$G$320,0,(COLUMN()-6)/5)</f>
        <v>307.53295401600008</v>
      </c>
      <c r="P109" s="1265">
        <f ca="1">(O109/J109-1)*100</f>
        <v>-3.4304168137449187</v>
      </c>
      <c r="Q109" s="1281"/>
      <c r="R109" s="1282"/>
      <c r="S109" s="1283"/>
      <c r="T109" s="1272">
        <f ca="1">OFFSET('VVP2'!$G$320,0,(COLUMN()-6)/5)</f>
        <v>338.95284060000006</v>
      </c>
      <c r="U109" s="1265">
        <f ca="1">(T109/O109-1)*100</f>
        <v>10.216754391259574</v>
      </c>
      <c r="V109" s="1281"/>
      <c r="W109" s="1282"/>
      <c r="X109" s="1283"/>
      <c r="Y109" s="1272">
        <f ca="1">OFFSET('VVP2'!$G$320,0,(COLUMN()-6)/5)</f>
        <v>376.53398938800001</v>
      </c>
      <c r="Z109" s="1265">
        <f ca="1">(Y109/T109-1)*100</f>
        <v>11.087427006504914</v>
      </c>
      <c r="AA109" s="1281"/>
      <c r="AB109" s="1282"/>
      <c r="AC109" s="1283"/>
      <c r="AD109" s="1272">
        <f ca="1">OFFSET('VVP2'!$G$320,0,(COLUMN()-6)/5)</f>
        <v>404.03538384279125</v>
      </c>
      <c r="AE109" s="1265">
        <f ca="1">(AD109/Y109-1)*100</f>
        <v>7.3038278694283809</v>
      </c>
      <c r="AF109" s="1281"/>
      <c r="AG109" s="1282"/>
      <c r="AH109" s="1283"/>
      <c r="AI109" s="1272">
        <f ca="1">OFFSET('VVP2'!$G$320,0,(COLUMN()-6)/5)</f>
        <v>455.98104837235502</v>
      </c>
      <c r="AJ109" s="1265">
        <f ca="1">(AI109/AD109-1)*100</f>
        <v>12.856711715569858</v>
      </c>
      <c r="AK109" s="1281"/>
      <c r="AL109" s="1282"/>
      <c r="AM109" s="1283"/>
      <c r="AN109" s="1272">
        <f ca="1">OFFSET('VVP2'!$G$320,0,(COLUMN()-6)/5)</f>
        <v>457.295941739363</v>
      </c>
      <c r="AO109" s="1265">
        <f ca="1">(AN109/AI109-1)*100</f>
        <v>0.28836579320599132</v>
      </c>
      <c r="AP109" s="1281"/>
      <c r="AQ109" s="1282"/>
      <c r="AR109" s="1283"/>
      <c r="AS109" s="1272">
        <f ca="1">OFFSET('VVP2'!$G$320,0,(COLUMN()-6)/5)</f>
        <v>461.32865166584747</v>
      </c>
      <c r="AT109" s="1265">
        <f ca="1">(AS109/AN109-1)*100</f>
        <v>0.88185998571204127</v>
      </c>
      <c r="AU109" s="1281"/>
      <c r="AV109" s="1282"/>
      <c r="AW109" s="1283"/>
      <c r="AX109" s="1272">
        <f ca="1">OFFSET('VVP2'!$G$320,0,(COLUMN()-6)/5)</f>
        <v>484.84224420837927</v>
      </c>
      <c r="AY109" s="1265">
        <f ca="1">(AX109/AS109-1)*100</f>
        <v>5.0969287204739588</v>
      </c>
      <c r="AZ109" s="1281"/>
      <c r="BA109" s="1282"/>
      <c r="BB109" s="1283"/>
      <c r="BC109" s="1272">
        <f ca="1">OFFSET('VVP2'!$G$320,0,(COLUMN()-6)/5)</f>
        <v>532.67122835495798</v>
      </c>
      <c r="BD109" s="1265">
        <f ca="1">(BC109/AX109-1)*100</f>
        <v>9.8648549539388739</v>
      </c>
      <c r="BE109" s="1281"/>
      <c r="BF109" s="1282"/>
      <c r="BG109" s="1283"/>
      <c r="BH109" s="1272">
        <f ca="1">OFFSET('VVP2'!$G$320,0,(COLUMN()-6)/5)</f>
        <v>587.14514256817495</v>
      </c>
      <c r="BI109" s="1265">
        <f ca="1">(BH109/BC109-1)*100</f>
        <v>10.226554638861973</v>
      </c>
      <c r="BJ109" s="1281"/>
      <c r="BK109" s="1282"/>
      <c r="BL109" s="1283"/>
      <c r="BM109" s="1272">
        <f ca="1">OFFSET('VVP2'!$G$320,0,(COLUMN()-6)/5)</f>
        <v>655.64368131961567</v>
      </c>
      <c r="BN109" s="1265">
        <f ca="1">(BM109/BH109-1)*100</f>
        <v>11.666372381423074</v>
      </c>
      <c r="BO109" s="1281"/>
      <c r="BP109" s="1282"/>
      <c r="BQ109" s="1283"/>
      <c r="BR109" s="1272">
        <f ca="1">OFFSET('VVP2'!$G$320,0,(COLUMN()-6)/5)</f>
        <v>735.49916869763751</v>
      </c>
      <c r="BS109" s="1265">
        <f ca="1">(BR109/BM109-1)*100</f>
        <v>12.179708224640628</v>
      </c>
      <c r="BT109" s="1281"/>
      <c r="BU109" s="1282"/>
      <c r="BV109" s="1283"/>
      <c r="BW109" s="1272">
        <f ca="1">OFFSET('VVP2'!$G$320,0,(COLUMN()-6)/5)</f>
        <v>762.09891663124995</v>
      </c>
      <c r="BX109" s="1265">
        <f ca="1">(BW109/BR109-1)*100</f>
        <v>3.6165571717386324</v>
      </c>
      <c r="BY109" s="1281"/>
      <c r="BZ109" s="1282"/>
      <c r="CA109" s="1283"/>
      <c r="CB109" s="1272">
        <f ca="1">OFFSET('VVP2'!$G$320,0,(COLUMN()-6)/5)</f>
        <v>620.4532903566901</v>
      </c>
      <c r="CC109" s="1265">
        <f ca="1">(CB109/BW109-1)*100</f>
        <v>-18.586252149613891</v>
      </c>
      <c r="CD109" s="1281"/>
      <c r="CE109" s="1282"/>
      <c r="CF109" s="1283"/>
      <c r="CG109" s="1272">
        <f ca="1">OFFSET('VVP2'!$G$320,0,(COLUMN()-6)/5)</f>
        <v>718.70162403802885</v>
      </c>
      <c r="CH109" s="1265">
        <f ca="1">(CG109/CB109-1)*100</f>
        <v>15.834928302960094</v>
      </c>
      <c r="CI109" s="1281"/>
      <c r="CJ109" s="1282"/>
      <c r="CK109" s="1283"/>
      <c r="CL109" s="1272">
        <f ca="1">OFFSET('VVP2'!$G$320,0,(COLUMN()-6)/5)</f>
        <v>783.08800211828338</v>
      </c>
      <c r="CM109" s="1265">
        <f ca="1">(CL109/CG109-1)*100</f>
        <v>8.9587077483558986</v>
      </c>
      <c r="CN109" s="1281"/>
      <c r="CO109" s="1282"/>
      <c r="CP109" s="1283"/>
      <c r="CQ109" s="1272">
        <f ca="1">OFFSET('VVP2'!$G$320,0,(COLUMN()-6)/5)</f>
        <v>749.86921378402576</v>
      </c>
      <c r="CR109" s="1265">
        <f ca="1">(CQ109/CL109-1)*100</f>
        <v>-4.2420249377336239</v>
      </c>
      <c r="CS109" s="1281"/>
      <c r="CT109" s="1282"/>
      <c r="CU109" s="1283"/>
      <c r="CV109" s="1272">
        <f ca="1">OFFSET('VVP2'!$G$320,0,(COLUMN()-6)/5)</f>
        <v>720.36076548604331</v>
      </c>
      <c r="CW109" s="1265">
        <f ca="1">(CV109/CQ109-1)*100</f>
        <v>-3.9351459902021491</v>
      </c>
      <c r="CX109" s="1354"/>
      <c r="CY109" s="1476"/>
      <c r="CZ109" s="1094"/>
      <c r="DA109" s="1272">
        <f ca="1">OFFSET('VVP2'!$G$320,0,(COLUMN()-6)/5)</f>
        <v>764.15321227470588</v>
      </c>
      <c r="DB109" s="1265">
        <f ca="1">(DA109/CV109-1)*100</f>
        <v>6.0792381938117979</v>
      </c>
      <c r="DC109" s="1354"/>
      <c r="DD109" s="1476"/>
      <c r="DE109" s="1094"/>
      <c r="DF109" s="1272">
        <f ca="1">OFFSET('VVP2'!$G$320,0,(COLUMN()-6)/5)</f>
        <v>817.08748107890619</v>
      </c>
      <c r="DG109" s="1265">
        <f ca="1">(DF109/DA109-1)*100</f>
        <v>6.9271800411107698</v>
      </c>
      <c r="DH109" s="1354"/>
      <c r="DI109" s="1476"/>
      <c r="DJ109" s="1094"/>
      <c r="DK109" s="1272">
        <f ca="1">OFFSET('VVP2'!$G$320,0,(COLUMN()-6)/5)</f>
        <v>857.80855307976776</v>
      </c>
      <c r="DL109" s="1265">
        <f ca="1">(DK109/DF109-1)*100</f>
        <v>4.9836857060999495</v>
      </c>
      <c r="DM109" s="1354"/>
      <c r="DN109" s="1476"/>
      <c r="DO109" s="1094"/>
      <c r="DP109" s="1272">
        <f ca="1">OFFSET('VVP2'!$G$320,0,(COLUMN()-6)/5)</f>
        <v>932.3927614641176</v>
      </c>
      <c r="DQ109" s="1265">
        <f ca="1">(DP109/DK109-1)*100</f>
        <v>8.6947382509269708</v>
      </c>
      <c r="DR109" s="1354"/>
      <c r="DS109" s="1476"/>
      <c r="DT109" s="1094"/>
      <c r="DU109" s="3246">
        <f ca="1">+DU111-DU110</f>
        <v>1026.2529480381766</v>
      </c>
      <c r="DV109" s="1477">
        <f ca="1">(DU109/DP109-1)*100</f>
        <v>10.066593226943565</v>
      </c>
      <c r="DW109" s="1354"/>
      <c r="DX109" s="1476"/>
      <c r="DY109" s="1094"/>
      <c r="DZ109" s="3246">
        <f ca="1">+DZ111-DZ110</f>
        <v>1076.0907161863204</v>
      </c>
      <c r="EA109" s="1477">
        <f ca="1">(DZ109/DU109-1)*100</f>
        <v>4.8562850166146143</v>
      </c>
      <c r="EB109" s="1354"/>
      <c r="EC109" s="1476"/>
      <c r="ED109" s="1094"/>
      <c r="EE109" s="3246">
        <f ca="1">+EE111-EE110</f>
        <v>1125.7824079670727</v>
      </c>
      <c r="EF109" s="1477">
        <f ca="1">(EE109/DZ109-1)*100</f>
        <v>4.6177976478470439</v>
      </c>
    </row>
    <row r="110" spans="1:136" s="1341" customFormat="1">
      <c r="A110" s="1506"/>
      <c r="C110" s="1347" t="s">
        <v>1791</v>
      </c>
      <c r="D110" s="1348"/>
      <c r="E110" s="1348" t="s">
        <v>296</v>
      </c>
      <c r="F110" s="1349" t="s">
        <v>1386</v>
      </c>
      <c r="G110" s="1290"/>
      <c r="H110" s="1291"/>
      <c r="I110" s="1292"/>
      <c r="J110" s="1275">
        <f ca="1">OFFSET('VVP2'!$G$321,0,(COLUMN()-6)/5)</f>
        <v>115.80259485600001</v>
      </c>
      <c r="K110" s="1293"/>
      <c r="L110" s="1290"/>
      <c r="M110" s="1291"/>
      <c r="N110" s="1292"/>
      <c r="O110" s="1275">
        <f ca="1">OFFSET('VVP2'!$G$321,0,(COLUMN()-6)/5)</f>
        <v>107.50174588799997</v>
      </c>
      <c r="P110" s="1262">
        <f ca="1">(O110/J110-1)*100</f>
        <v>-7.1681027340726793</v>
      </c>
      <c r="Q110" s="1290"/>
      <c r="R110" s="1291"/>
      <c r="S110" s="1292"/>
      <c r="T110" s="1275">
        <f ca="1">OFFSET('VVP2'!$G$321,0,(COLUMN()-6)/5)</f>
        <v>161.45678570999999</v>
      </c>
      <c r="U110" s="1262">
        <f ca="1">(T110/O110-1)*100</f>
        <v>50.189919592759665</v>
      </c>
      <c r="V110" s="1290"/>
      <c r="W110" s="1291"/>
      <c r="X110" s="1292"/>
      <c r="Y110" s="1275">
        <f ca="1">OFFSET('VVP2'!$G$321,0,(COLUMN()-6)/5)</f>
        <v>167.47058796900001</v>
      </c>
      <c r="Z110" s="1262">
        <f ca="1">(Y110/T110-1)*100</f>
        <v>3.7247132305740838</v>
      </c>
      <c r="AA110" s="1290"/>
      <c r="AB110" s="1291"/>
      <c r="AC110" s="1292"/>
      <c r="AD110" s="1275">
        <f ca="1">OFFSET('VVP2'!$G$321,0,(COLUMN()-6)/5)</f>
        <v>162.69695029278003</v>
      </c>
      <c r="AE110" s="1262">
        <f ca="1">(AD110/Y110-1)*100</f>
        <v>-2.8504334606525683</v>
      </c>
      <c r="AF110" s="1290"/>
      <c r="AG110" s="1291"/>
      <c r="AH110" s="1292"/>
      <c r="AI110" s="1275">
        <f ca="1">OFFSET('VVP2'!$G$321,0,(COLUMN()-6)/5)</f>
        <v>210.415242950319</v>
      </c>
      <c r="AJ110" s="1262">
        <f ca="1">(AI110/AD110-1)*100</f>
        <v>29.329555699518583</v>
      </c>
      <c r="AK110" s="1290"/>
      <c r="AL110" s="1291"/>
      <c r="AM110" s="1292"/>
      <c r="AN110" s="1275">
        <f ca="1">OFFSET('VVP2'!$G$321,0,(COLUMN()-6)/5)</f>
        <v>195.80759906572098</v>
      </c>
      <c r="AO110" s="1262">
        <f ca="1">(AN110/AI110-1)*100</f>
        <v>-6.9422935714058553</v>
      </c>
      <c r="AP110" s="1290"/>
      <c r="AQ110" s="1291"/>
      <c r="AR110" s="1292"/>
      <c r="AS110" s="1275">
        <f ca="1">OFFSET('VVP2'!$G$321,0,(COLUMN()-6)/5)</f>
        <v>187.33932904216348</v>
      </c>
      <c r="AT110" s="1262">
        <f ca="1">(AS110/AN110-1)*100</f>
        <v>-4.3247913073665707</v>
      </c>
      <c r="AU110" s="1290"/>
      <c r="AV110" s="1291"/>
      <c r="AW110" s="1292"/>
      <c r="AX110" s="1275">
        <f ca="1">OFFSET('VVP2'!$G$321,0,(COLUMN()-6)/5)</f>
        <v>188.99101937623777</v>
      </c>
      <c r="AY110" s="1262">
        <f ca="1">(AX110/AS110-1)*100</f>
        <v>0.88165701378302153</v>
      </c>
      <c r="AZ110" s="1290"/>
      <c r="BA110" s="1291"/>
      <c r="BB110" s="1292"/>
      <c r="BC110" s="1275">
        <f ca="1">OFFSET('VVP2'!$G$321,0,(COLUMN()-6)/5)</f>
        <v>204.03228447532962</v>
      </c>
      <c r="BD110" s="1262">
        <f ca="1">(BC110/AX110-1)*100</f>
        <v>7.9587194929871874</v>
      </c>
      <c r="BE110" s="1290"/>
      <c r="BF110" s="1291"/>
      <c r="BG110" s="1292"/>
      <c r="BH110" s="1275">
        <f ca="1">OFFSET('VVP2'!$G$321,0,(COLUMN()-6)/5)</f>
        <v>246.22038994984857</v>
      </c>
      <c r="BI110" s="1262">
        <f ca="1">(BH110/BC110-1)*100</f>
        <v>20.67717154812334</v>
      </c>
      <c r="BJ110" s="1290"/>
      <c r="BK110" s="1291"/>
      <c r="BL110" s="1292"/>
      <c r="BM110" s="1275">
        <f ca="1">OFFSET('VVP2'!$G$321,0,(COLUMN()-6)/5)</f>
        <v>284.439126842245</v>
      </c>
      <c r="BN110" s="1262">
        <f ca="1">(BM110/BH110-1)*100</f>
        <v>15.5221656907379</v>
      </c>
      <c r="BO110" s="1290"/>
      <c r="BP110" s="1291"/>
      <c r="BQ110" s="1292"/>
      <c r="BR110" s="1275">
        <f ca="1">OFFSET('VVP2'!$G$321,0,(COLUMN()-6)/5)</f>
        <v>298.69244466800563</v>
      </c>
      <c r="BS110" s="1262">
        <f ca="1">(BR110/BM110-1)*100</f>
        <v>5.0110257277177439</v>
      </c>
      <c r="BT110" s="1290"/>
      <c r="BU110" s="1291"/>
      <c r="BV110" s="1292"/>
      <c r="BW110" s="1275">
        <f ca="1">OFFSET('VVP2'!$G$321,0,(COLUMN()-6)/5)</f>
        <v>339.47172908000005</v>
      </c>
      <c r="BX110" s="1262">
        <f ca="1">(BW110/BR110-1)*100</f>
        <v>13.652599903328744</v>
      </c>
      <c r="BY110" s="1290"/>
      <c r="BZ110" s="1291"/>
      <c r="CA110" s="1292"/>
      <c r="CB110" s="1275">
        <f ca="1">OFFSET('VVP2'!$G$321,0,(COLUMN()-6)/5)</f>
        <v>292.20026955137979</v>
      </c>
      <c r="CC110" s="1262">
        <f ca="1">(CB110/BW110-1)*100</f>
        <v>-13.925006260972106</v>
      </c>
      <c r="CD110" s="1290"/>
      <c r="CE110" s="1291"/>
      <c r="CF110" s="1292"/>
      <c r="CG110" s="1275">
        <f ca="1">OFFSET('VVP2'!$G$321,0,(COLUMN()-6)/5)</f>
        <v>352.83304477358092</v>
      </c>
      <c r="CH110" s="1262">
        <f ca="1">(CG110/CB110-1)*100</f>
        <v>20.750417278975043</v>
      </c>
      <c r="CI110" s="1290"/>
      <c r="CJ110" s="1291"/>
      <c r="CK110" s="1292"/>
      <c r="CL110" s="1275">
        <f ca="1">OFFSET('VVP2'!$G$321,0,(COLUMN()-6)/5)</f>
        <v>365.26895881432114</v>
      </c>
      <c r="CM110" s="1262">
        <f ca="1">(CL110/CG110-1)*100</f>
        <v>3.5245888175583273</v>
      </c>
      <c r="CN110" s="1290"/>
      <c r="CO110" s="1291"/>
      <c r="CP110" s="1292"/>
      <c r="CQ110" s="1275">
        <f ca="1">OFFSET('VVP2'!$G$321,0,(COLUMN()-6)/5)</f>
        <v>364.12502730674237</v>
      </c>
      <c r="CR110" s="1262">
        <f ca="1">(CQ110/CL110-1)*100</f>
        <v>-0.31317512205034648</v>
      </c>
      <c r="CS110" s="1290"/>
      <c r="CT110" s="1291"/>
      <c r="CU110" s="1292"/>
      <c r="CV110" s="1275">
        <f ca="1">OFFSET('VVP2'!$G$321,0,(COLUMN()-6)/5)</f>
        <v>325.88006401084317</v>
      </c>
      <c r="CW110" s="1262">
        <f ca="1">(CV110/CQ110-1)*100</f>
        <v>-10.503250374954664</v>
      </c>
      <c r="CX110" s="1249"/>
      <c r="CY110" s="1455"/>
      <c r="CZ110" s="918"/>
      <c r="DA110" s="1275">
        <f ca="1">OFFSET('VVP2'!$G$321,0,(COLUMN()-6)/5)</f>
        <v>347.07230847137259</v>
      </c>
      <c r="DB110" s="1262">
        <f ca="1">(DA110/CV110-1)*100</f>
        <v>6.5030809800701084</v>
      </c>
      <c r="DC110" s="1249"/>
      <c r="DD110" s="1455"/>
      <c r="DE110" s="918"/>
      <c r="DF110" s="1275">
        <f ca="1">OFFSET('VVP2'!$G$321,0,(COLUMN()-6)/5)</f>
        <v>350.29085349374986</v>
      </c>
      <c r="DG110" s="1262">
        <f ca="1">(DF110/DA110-1)*100</f>
        <v>0.92734134755747544</v>
      </c>
      <c r="DH110" s="1249"/>
      <c r="DI110" s="1455"/>
      <c r="DJ110" s="918"/>
      <c r="DK110" s="1275">
        <f ca="1">OFFSET('VVP2'!$G$321,0,(COLUMN()-6)/5)</f>
        <v>349.12026547276315</v>
      </c>
      <c r="DL110" s="1262">
        <f ca="1">(DK110/DF110-1)*100</f>
        <v>-0.33417601667626862</v>
      </c>
      <c r="DM110" s="1249"/>
      <c r="DN110" s="1455"/>
      <c r="DO110" s="918"/>
      <c r="DP110" s="1275">
        <f ca="1">OFFSET('VVP2'!$G$321,0,(COLUMN()-6)/5)</f>
        <v>380.87907800188225</v>
      </c>
      <c r="DQ110" s="1262">
        <f ca="1">(DP110/DK110-1)*100</f>
        <v>9.0968115202687336</v>
      </c>
      <c r="DR110" s="1249"/>
      <c r="DS110" s="1455"/>
      <c r="DT110" s="918"/>
      <c r="DU110" s="3246">
        <f ca="1">+DP110*(1+DV110/100)</f>
        <v>426.58456736210815</v>
      </c>
      <c r="DV110" s="2319">
        <v>12</v>
      </c>
      <c r="DW110" s="1249"/>
      <c r="DX110" s="1455"/>
      <c r="DY110" s="918"/>
      <c r="DZ110" s="3246">
        <f ca="1">+DU110*(1+EA110/100)</f>
        <v>466.25693212678419</v>
      </c>
      <c r="EA110" s="2319">
        <v>9.3000000000000007</v>
      </c>
      <c r="EB110" s="1249"/>
      <c r="EC110" s="1455"/>
      <c r="ED110" s="918"/>
      <c r="EE110" s="3246">
        <f ca="1">+DZ110*(1+EF110/100)</f>
        <v>485.83972327610917</v>
      </c>
      <c r="EF110" s="2319">
        <v>4.2</v>
      </c>
    </row>
    <row r="111" spans="1:136" s="28" customFormat="1">
      <c r="A111" s="1505"/>
      <c r="C111" s="176" t="s">
        <v>1793</v>
      </c>
      <c r="D111" s="1190"/>
      <c r="E111" s="1190" t="s">
        <v>607</v>
      </c>
      <c r="F111" s="1180" t="s">
        <v>351</v>
      </c>
      <c r="G111" s="1277"/>
      <c r="H111" s="1277"/>
      <c r="I111" s="1277"/>
      <c r="J111" s="1278">
        <f ca="1">+J109+J110</f>
        <v>434.259964008</v>
      </c>
      <c r="K111" s="1277"/>
      <c r="L111" s="1277"/>
      <c r="M111" s="1277"/>
      <c r="N111" s="1277"/>
      <c r="O111" s="1278">
        <f ca="1">+O109+O110</f>
        <v>415.03469990400004</v>
      </c>
      <c r="P111" s="1278">
        <f ca="1">(O111/J111-1)*100</f>
        <v>-4.4271325236985959</v>
      </c>
      <c r="Q111" s="1277"/>
      <c r="R111" s="1277"/>
      <c r="S111" s="1277"/>
      <c r="T111" s="1278">
        <f ca="1">+T109+T110</f>
        <v>500.40962631000002</v>
      </c>
      <c r="U111" s="1278">
        <f ca="1">(T111/O111-1)*100</f>
        <v>20.570551432385709</v>
      </c>
      <c r="V111" s="1277"/>
      <c r="W111" s="1277"/>
      <c r="X111" s="1277"/>
      <c r="Y111" s="1278">
        <f ca="1">+Y109+Y110</f>
        <v>544.00457735700002</v>
      </c>
      <c r="Z111" s="1278">
        <f ca="1">(Y111/T111-1)*100</f>
        <v>8.7118530010038775</v>
      </c>
      <c r="AA111" s="1277"/>
      <c r="AB111" s="1277"/>
      <c r="AC111" s="1277"/>
      <c r="AD111" s="1278">
        <f ca="1">+AD109+AD110</f>
        <v>566.73233413557125</v>
      </c>
      <c r="AE111" s="1278">
        <f ca="1">(AD111/Y111-1)*100</f>
        <v>4.1778613130411646</v>
      </c>
      <c r="AF111" s="1277"/>
      <c r="AG111" s="1277"/>
      <c r="AH111" s="1277"/>
      <c r="AI111" s="1278">
        <f ca="1">+AI109+AI110</f>
        <v>666.39629132267396</v>
      </c>
      <c r="AJ111" s="1278">
        <f ca="1">(AI111/AD111-1)*100</f>
        <v>17.585719251243837</v>
      </c>
      <c r="AK111" s="1277"/>
      <c r="AL111" s="1277"/>
      <c r="AM111" s="1277"/>
      <c r="AN111" s="1278">
        <f ca="1">+AN109+AN110</f>
        <v>653.10354080508398</v>
      </c>
      <c r="AO111" s="1278">
        <f ca="1">(AN111/AI111-1)*100</f>
        <v>-1.9947215629316228</v>
      </c>
      <c r="AP111" s="1277"/>
      <c r="AQ111" s="1277"/>
      <c r="AR111" s="1277"/>
      <c r="AS111" s="1278">
        <f ca="1">+AS109+AS110</f>
        <v>648.66798070801099</v>
      </c>
      <c r="AT111" s="1278">
        <f ca="1">(AS111/AN111-1)*100</f>
        <v>-0.67915113300491825</v>
      </c>
      <c r="AU111" s="1277"/>
      <c r="AV111" s="1277"/>
      <c r="AW111" s="1277"/>
      <c r="AX111" s="1278">
        <f ca="1">+AX109+AX110</f>
        <v>673.83326358461704</v>
      </c>
      <c r="AY111" s="1278">
        <f ca="1">(AX111/AS111-1)*100</f>
        <v>3.8795321528185323</v>
      </c>
      <c r="AZ111" s="1277"/>
      <c r="BA111" s="1277"/>
      <c r="BB111" s="1277"/>
      <c r="BC111" s="1278">
        <f ca="1">+BC109+BC110</f>
        <v>736.70351283028754</v>
      </c>
      <c r="BD111" s="1278">
        <f ca="1">(BC111/AX111-1)*100</f>
        <v>9.330238301270132</v>
      </c>
      <c r="BE111" s="1277"/>
      <c r="BF111" s="1277"/>
      <c r="BG111" s="1277"/>
      <c r="BH111" s="1278">
        <f ca="1">+BH109+BH110</f>
        <v>833.36553251802354</v>
      </c>
      <c r="BI111" s="1278">
        <f ca="1">(BH111/BC111-1)*100</f>
        <v>13.120884861316483</v>
      </c>
      <c r="BJ111" s="1277"/>
      <c r="BK111" s="1277"/>
      <c r="BL111" s="1277"/>
      <c r="BM111" s="1278">
        <f ca="1">+BM109+BM110</f>
        <v>940.08280816186061</v>
      </c>
      <c r="BN111" s="1278">
        <f ca="1">(BM111/BH111-1)*100</f>
        <v>12.805578282244245</v>
      </c>
      <c r="BO111" s="1277"/>
      <c r="BP111" s="1277"/>
      <c r="BQ111" s="1277"/>
      <c r="BR111" s="1278">
        <f ca="1">+BR109+BR110</f>
        <v>1034.1916133656432</v>
      </c>
      <c r="BS111" s="1278">
        <f ca="1">(BR111/BM111-1)*100</f>
        <v>10.010693141787485</v>
      </c>
      <c r="BT111" s="1277"/>
      <c r="BU111" s="1277"/>
      <c r="BV111" s="1277"/>
      <c r="BW111" s="1278">
        <f ca="1">+BW109+BW110</f>
        <v>1101.5706457112501</v>
      </c>
      <c r="BX111" s="1278">
        <f ca="1">(BW111/BR111-1)*100</f>
        <v>6.5151400837926587</v>
      </c>
      <c r="BY111" s="1277"/>
      <c r="BZ111" s="1277"/>
      <c r="CA111" s="1277"/>
      <c r="CB111" s="1278">
        <f ca="1">+CB109+CB110</f>
        <v>912.65355990806984</v>
      </c>
      <c r="CC111" s="1278">
        <f ca="1">(CB111/BW111-1)*100</f>
        <v>-17.149793028589855</v>
      </c>
      <c r="CD111" s="1277"/>
      <c r="CE111" s="1277"/>
      <c r="CF111" s="1277"/>
      <c r="CG111" s="1278">
        <f ca="1">+CG109+CG110</f>
        <v>1071.5346688116097</v>
      </c>
      <c r="CH111" s="1278">
        <f ca="1">(CG111/CB111-1)*100</f>
        <v>17.408698753067231</v>
      </c>
      <c r="CI111" s="1277"/>
      <c r="CJ111" s="1277"/>
      <c r="CK111" s="1277"/>
      <c r="CL111" s="1278">
        <f ca="1">+CL109+CL110</f>
        <v>1148.3569609326046</v>
      </c>
      <c r="CM111" s="1278">
        <f ca="1">(CL111/CG111-1)*100</f>
        <v>7.1693706565924664</v>
      </c>
      <c r="CN111" s="1277"/>
      <c r="CO111" s="1277"/>
      <c r="CP111" s="1277"/>
      <c r="CQ111" s="1278">
        <f ca="1">+CQ109+CQ110</f>
        <v>1113.9942410907681</v>
      </c>
      <c r="CR111" s="1278">
        <f ca="1">(CQ111/CL111-1)*100</f>
        <v>-2.9923378366540132</v>
      </c>
      <c r="CS111" s="1277"/>
      <c r="CT111" s="1277"/>
      <c r="CU111" s="1277"/>
      <c r="CV111" s="1278">
        <f ca="1">+CV109+CV110</f>
        <v>1046.2408294968864</v>
      </c>
      <c r="CW111" s="1278">
        <f ca="1">(CV111/CQ111-1)*100</f>
        <v>-6.0820253009154719</v>
      </c>
      <c r="CX111" s="1451"/>
      <c r="CY111" s="1443"/>
      <c r="CZ111" s="1443"/>
      <c r="DA111" s="3247">
        <f ca="1">+CV111*(1+DB111/100)</f>
        <v>1107.7564811438808</v>
      </c>
      <c r="DB111" s="1452">
        <f ca="1">+DB102</f>
        <v>5.87968371264731</v>
      </c>
      <c r="DC111" s="1451"/>
      <c r="DD111" s="1443"/>
      <c r="DE111" s="1443"/>
      <c r="DF111" s="3247">
        <f ca="1">+DA111*(1+DG111/100)</f>
        <v>1166.9292291719157</v>
      </c>
      <c r="DG111" s="1452">
        <f ca="1">+DG102</f>
        <v>5.3416747304364742</v>
      </c>
      <c r="DH111" s="1451"/>
      <c r="DI111" s="1443"/>
      <c r="DJ111" s="1443"/>
      <c r="DK111" s="3247">
        <f ca="1">+DF111*(1+DL111/100)</f>
        <v>1207.7160559794593</v>
      </c>
      <c r="DL111" s="1452">
        <f ca="1">+DL102</f>
        <v>3.4952271130004098</v>
      </c>
      <c r="DM111" s="1451"/>
      <c r="DN111" s="1443"/>
      <c r="DO111" s="1443"/>
      <c r="DP111" s="3247">
        <f ca="1">+DK111*(1+DQ111/100)</f>
        <v>1315.2776264996651</v>
      </c>
      <c r="DQ111" s="1452">
        <f ca="1">+DQ102</f>
        <v>8.9061969481703418</v>
      </c>
      <c r="DR111" s="1451"/>
      <c r="DS111" s="1443"/>
      <c r="DT111" s="1443"/>
      <c r="DU111" s="3247">
        <f ca="1">+DP111*(1+DV111/100)</f>
        <v>1452.8375154002847</v>
      </c>
      <c r="DV111" s="1452">
        <f ca="1">+DV102</f>
        <v>10.458620000000018</v>
      </c>
      <c r="DW111" s="1451"/>
      <c r="DX111" s="1443"/>
      <c r="DY111" s="1443"/>
      <c r="DZ111" s="3247">
        <f ca="1">+DU111*(1+EA111/100)</f>
        <v>1542.3476483131046</v>
      </c>
      <c r="EA111" s="1452">
        <f ca="1">+EA102</f>
        <v>6.161055999999987</v>
      </c>
      <c r="EB111" s="1451"/>
      <c r="EC111" s="1443"/>
      <c r="ED111" s="1443"/>
      <c r="EE111" s="3247">
        <f ca="1">+DZ111*(1+EF111/100)</f>
        <v>1611.6221312431819</v>
      </c>
      <c r="EF111" s="1452">
        <f ca="1">+EF102</f>
        <v>4.4914960000000059</v>
      </c>
    </row>
    <row r="112" spans="1:136">
      <c r="BM112">
        <f ca="1">BM109/BM111</f>
        <v>0.69743183858621205</v>
      </c>
      <c r="BR112">
        <f ca="1">BR109/BR111</f>
        <v>0.7111826852898665</v>
      </c>
      <c r="BW112">
        <f ca="1">BW109/BW111</f>
        <v>0.6918293616467841</v>
      </c>
      <c r="CB112">
        <f ca="1">CB109/CB111</f>
        <v>0.67983440553191665</v>
      </c>
      <c r="CG112">
        <f ca="1">CG109/CG111</f>
        <v>0.67072176473310763</v>
      </c>
      <c r="CL112">
        <f ca="1">CL109/CL111</f>
        <v>0.68192036863025707</v>
      </c>
      <c r="CQ112" s="3283">
        <f ca="1">CQ109/CQ111</f>
        <v>0.67313562864543253</v>
      </c>
      <c r="CV112" s="3283">
        <f ca="1">CV109/CV111</f>
        <v>0.68852289566298852</v>
      </c>
      <c r="DA112" s="3283">
        <f ca="1">DA109/DA111</f>
        <v>0.68982057454146728</v>
      </c>
      <c r="DF112" s="3283">
        <f ca="1">DF109/DF111</f>
        <v>0.70020311485276054</v>
      </c>
      <c r="DK112" s="3283">
        <f ca="1">DK109/DK111</f>
        <v>0.71027336999679447</v>
      </c>
      <c r="DP112" s="3283">
        <f ca="1">DP109/DP111</f>
        <v>0.70889426131689393</v>
      </c>
      <c r="DU112" s="3283">
        <f ca="1">DU109/DU111</f>
        <v>0.70637833698520935</v>
      </c>
      <c r="DZ112" s="3283">
        <f ca="1">DZ109/DZ111</f>
        <v>0.69769660385144783</v>
      </c>
      <c r="EE112" s="3283">
        <f ca="1">EE109/EE111</f>
        <v>0.69853992827627687</v>
      </c>
    </row>
    <row r="113" spans="1:136">
      <c r="BM113">
        <f ca="1">BM110/BM111</f>
        <v>0.30256816141378806</v>
      </c>
      <c r="BR113">
        <f ca="1">BR110/BR111</f>
        <v>0.28881731471013344</v>
      </c>
      <c r="BW113">
        <f ca="1">BW110/BW111</f>
        <v>0.30817063835321579</v>
      </c>
      <c r="CB113">
        <f ca="1">CB110/CB111</f>
        <v>0.32016559446808346</v>
      </c>
      <c r="CG113">
        <f ca="1">CG110/CG111</f>
        <v>0.32927823526689248</v>
      </c>
      <c r="CL113">
        <f ca="1">CL110/CL111</f>
        <v>0.31807963136974293</v>
      </c>
      <c r="CQ113" s="3283">
        <f ca="1">CQ110/CQ111</f>
        <v>0.32686437135456742</v>
      </c>
      <c r="CV113" s="3283">
        <f ca="1">CV110/CV111</f>
        <v>0.31147710433701153</v>
      </c>
      <c r="DA113" s="3283">
        <f ca="1">DA110/DA111</f>
        <v>0.31331101589492133</v>
      </c>
      <c r="DF113" s="3283">
        <f ca="1">DF110/DF111</f>
        <v>0.30018174601927289</v>
      </c>
      <c r="DK113" s="3283">
        <f ca="1">DK110/DK111</f>
        <v>0.28907479017460452</v>
      </c>
      <c r="DP113" s="3283">
        <f ca="1">DP110/DP111</f>
        <v>0.28958074730998951</v>
      </c>
      <c r="DU113" s="3283">
        <f ca="1">DU110/DU111</f>
        <v>0.29362166301479065</v>
      </c>
      <c r="DZ113" s="3283">
        <f ca="1">DZ110/DZ111</f>
        <v>0.30230339614855212</v>
      </c>
      <c r="EE113" s="3283">
        <f ca="1">EE110/EE111</f>
        <v>0.30146007172372313</v>
      </c>
    </row>
    <row r="114" spans="1:136">
      <c r="B114" s="1"/>
      <c r="C114" s="811"/>
      <c r="D114" s="3812"/>
      <c r="E114" s="3805" t="s">
        <v>536</v>
      </c>
      <c r="F114" s="3806"/>
      <c r="G114" s="3788">
        <f>+InputY!$G$3</f>
        <v>1995</v>
      </c>
      <c r="H114" s="3789"/>
      <c r="I114" s="3789"/>
      <c r="J114" s="3789"/>
      <c r="K114" s="3790"/>
      <c r="L114" s="3788">
        <f>+G114+1</f>
        <v>1996</v>
      </c>
      <c r="M114" s="3789"/>
      <c r="N114" s="3789"/>
      <c r="O114" s="3789"/>
      <c r="P114" s="3790"/>
      <c r="Q114" s="3788">
        <f>+L114+1</f>
        <v>1997</v>
      </c>
      <c r="R114" s="3789"/>
      <c r="S114" s="3789"/>
      <c r="T114" s="3789"/>
      <c r="U114" s="3790"/>
      <c r="V114" s="3788">
        <f>+Q114+1</f>
        <v>1998</v>
      </c>
      <c r="W114" s="3789"/>
      <c r="X114" s="3789"/>
      <c r="Y114" s="3789"/>
      <c r="Z114" s="3790"/>
      <c r="AA114" s="3788">
        <f>+V114+1</f>
        <v>1999</v>
      </c>
      <c r="AB114" s="3789"/>
      <c r="AC114" s="3789"/>
      <c r="AD114" s="3789"/>
      <c r="AE114" s="3790"/>
      <c r="AF114" s="3788">
        <f>+AA114+1</f>
        <v>2000</v>
      </c>
      <c r="AG114" s="3789"/>
      <c r="AH114" s="3789"/>
      <c r="AI114" s="3789"/>
      <c r="AJ114" s="3790"/>
      <c r="AK114" s="3788">
        <f>+AF114+1</f>
        <v>2001</v>
      </c>
      <c r="AL114" s="3789"/>
      <c r="AM114" s="3789"/>
      <c r="AN114" s="3789"/>
      <c r="AO114" s="3790"/>
      <c r="AP114" s="3788">
        <f>+AK114+1</f>
        <v>2002</v>
      </c>
      <c r="AQ114" s="3789"/>
      <c r="AR114" s="3789"/>
      <c r="AS114" s="3789"/>
      <c r="AT114" s="3790"/>
      <c r="AU114" s="3788">
        <f>+AP114+1</f>
        <v>2003</v>
      </c>
      <c r="AV114" s="3789"/>
      <c r="AW114" s="3789"/>
      <c r="AX114" s="3789"/>
      <c r="AY114" s="3790"/>
      <c r="AZ114" s="3788">
        <f>+AU114+1</f>
        <v>2004</v>
      </c>
      <c r="BA114" s="3789"/>
      <c r="BB114" s="3789"/>
      <c r="BC114" s="3789"/>
      <c r="BD114" s="3790"/>
      <c r="BE114" s="3788">
        <f>+AZ114+1</f>
        <v>2005</v>
      </c>
      <c r="BF114" s="3789"/>
      <c r="BG114" s="3789"/>
      <c r="BH114" s="3789"/>
      <c r="BI114" s="3790"/>
      <c r="BJ114" s="3788">
        <f>+BE114+1</f>
        <v>2006</v>
      </c>
      <c r="BK114" s="3789"/>
      <c r="BL114" s="3789"/>
      <c r="BM114" s="3789"/>
      <c r="BN114" s="3790"/>
      <c r="BO114" s="3788">
        <f>+BJ114+1</f>
        <v>2007</v>
      </c>
      <c r="BP114" s="3789"/>
      <c r="BQ114" s="3789"/>
      <c r="BR114" s="3789"/>
      <c r="BS114" s="3790"/>
      <c r="BT114" s="3788">
        <f>+BO114+1</f>
        <v>2008</v>
      </c>
      <c r="BU114" s="3789"/>
      <c r="BV114" s="3789"/>
      <c r="BW114" s="3789"/>
      <c r="BX114" s="3790"/>
      <c r="BY114" s="3788">
        <f>+BT114+1</f>
        <v>2009</v>
      </c>
      <c r="BZ114" s="3789"/>
      <c r="CA114" s="3789"/>
      <c r="CB114" s="3789"/>
      <c r="CC114" s="3790"/>
      <c r="CD114" s="3788">
        <f>+BY114+1</f>
        <v>2010</v>
      </c>
      <c r="CE114" s="3789"/>
      <c r="CF114" s="3789"/>
      <c r="CG114" s="3789"/>
      <c r="CH114" s="3790"/>
      <c r="CI114" s="3788">
        <f>+CD114+1</f>
        <v>2011</v>
      </c>
      <c r="CJ114" s="3789"/>
      <c r="CK114" s="3789"/>
      <c r="CL114" s="3789"/>
      <c r="CM114" s="3790"/>
      <c r="CN114" s="3788">
        <f>+CI114+1</f>
        <v>2012</v>
      </c>
      <c r="CO114" s="3789"/>
      <c r="CP114" s="3789"/>
      <c r="CQ114" s="3789"/>
      <c r="CR114" s="3790"/>
      <c r="CS114" s="3788">
        <f>+CN114+1</f>
        <v>2013</v>
      </c>
      <c r="CT114" s="3789"/>
      <c r="CU114" s="3789"/>
      <c r="CV114" s="3789"/>
      <c r="CW114" s="3790"/>
      <c r="CX114" s="3796">
        <f>+CS114+1</f>
        <v>2014</v>
      </c>
      <c r="CY114" s="3797"/>
      <c r="CZ114" s="3797"/>
      <c r="DA114" s="3797"/>
      <c r="DB114" s="3798"/>
      <c r="DC114" s="3796">
        <f>+CX114+1</f>
        <v>2015</v>
      </c>
      <c r="DD114" s="3797"/>
      <c r="DE114" s="3797"/>
      <c r="DF114" s="3797"/>
      <c r="DG114" s="3798"/>
      <c r="DH114" s="3788">
        <f>+DC114+1</f>
        <v>2016</v>
      </c>
      <c r="DI114" s="3789"/>
      <c r="DJ114" s="3789"/>
      <c r="DK114" s="3789"/>
      <c r="DL114" s="3790"/>
      <c r="DM114" s="3788">
        <f>+DH114+1</f>
        <v>2017</v>
      </c>
      <c r="DN114" s="3789"/>
      <c r="DO114" s="3789"/>
      <c r="DP114" s="3789"/>
      <c r="DQ114" s="3790"/>
      <c r="DR114" s="3788">
        <f>+DM114+1</f>
        <v>2018</v>
      </c>
      <c r="DS114" s="3789"/>
      <c r="DT114" s="3789"/>
      <c r="DU114" s="3789"/>
      <c r="DV114" s="3790"/>
      <c r="DW114" s="3788">
        <f>+DR114+1</f>
        <v>2019</v>
      </c>
      <c r="DX114" s="3789"/>
      <c r="DY114" s="3789"/>
      <c r="DZ114" s="3789"/>
      <c r="EA114" s="3790"/>
      <c r="EB114" s="3788">
        <f>+DW114+1</f>
        <v>2020</v>
      </c>
      <c r="EC114" s="3789"/>
      <c r="ED114" s="3789"/>
      <c r="EE114" s="3789"/>
      <c r="EF114" s="3790"/>
    </row>
    <row r="115" spans="1:136">
      <c r="B115" s="1"/>
      <c r="C115" s="811"/>
      <c r="D115" s="3812"/>
      <c r="E115" s="3805"/>
      <c r="F115" s="3806"/>
      <c r="G115" s="1296" t="s">
        <v>396</v>
      </c>
      <c r="H115" s="1297" t="s">
        <v>1774</v>
      </c>
      <c r="I115" s="1296" t="s">
        <v>1249</v>
      </c>
      <c r="J115" s="1297" t="s">
        <v>1772</v>
      </c>
      <c r="K115" s="1296" t="s">
        <v>1250</v>
      </c>
      <c r="L115" s="1296" t="s">
        <v>396</v>
      </c>
      <c r="M115" s="1297" t="s">
        <v>1774</v>
      </c>
      <c r="N115" s="1296" t="s">
        <v>1249</v>
      </c>
      <c r="O115" s="1297" t="s">
        <v>1772</v>
      </c>
      <c r="P115" s="1296" t="s">
        <v>1250</v>
      </c>
      <c r="Q115" s="1296" t="s">
        <v>396</v>
      </c>
      <c r="R115" s="1297" t="s">
        <v>1774</v>
      </c>
      <c r="S115" s="1296" t="s">
        <v>1249</v>
      </c>
      <c r="T115" s="1297" t="s">
        <v>1772</v>
      </c>
      <c r="U115" s="1296" t="s">
        <v>1250</v>
      </c>
      <c r="V115" s="1296" t="s">
        <v>396</v>
      </c>
      <c r="W115" s="1297" t="s">
        <v>1774</v>
      </c>
      <c r="X115" s="1296" t="s">
        <v>1249</v>
      </c>
      <c r="Y115" s="1297" t="s">
        <v>1772</v>
      </c>
      <c r="Z115" s="1296" t="s">
        <v>1250</v>
      </c>
      <c r="AA115" s="1296" t="s">
        <v>396</v>
      </c>
      <c r="AB115" s="1297" t="s">
        <v>1774</v>
      </c>
      <c r="AC115" s="1296" t="s">
        <v>1249</v>
      </c>
      <c r="AD115" s="1297" t="s">
        <v>1772</v>
      </c>
      <c r="AE115" s="1296" t="s">
        <v>1250</v>
      </c>
      <c r="AF115" s="1296" t="s">
        <v>396</v>
      </c>
      <c r="AG115" s="1297" t="s">
        <v>1774</v>
      </c>
      <c r="AH115" s="1296" t="s">
        <v>1249</v>
      </c>
      <c r="AI115" s="1297" t="s">
        <v>1772</v>
      </c>
      <c r="AJ115" s="1296" t="s">
        <v>1250</v>
      </c>
      <c r="AK115" s="1296" t="s">
        <v>396</v>
      </c>
      <c r="AL115" s="1297" t="s">
        <v>1774</v>
      </c>
      <c r="AM115" s="1296" t="s">
        <v>1249</v>
      </c>
      <c r="AN115" s="1297" t="s">
        <v>1772</v>
      </c>
      <c r="AO115" s="1296" t="s">
        <v>1250</v>
      </c>
      <c r="AP115" s="1296" t="s">
        <v>396</v>
      </c>
      <c r="AQ115" s="1297" t="s">
        <v>1774</v>
      </c>
      <c r="AR115" s="1296" t="s">
        <v>1249</v>
      </c>
      <c r="AS115" s="1297" t="s">
        <v>1772</v>
      </c>
      <c r="AT115" s="1296" t="s">
        <v>1250</v>
      </c>
      <c r="AU115" s="1296" t="s">
        <v>396</v>
      </c>
      <c r="AV115" s="1297" t="s">
        <v>1774</v>
      </c>
      <c r="AW115" s="1296" t="s">
        <v>1249</v>
      </c>
      <c r="AX115" s="1297" t="s">
        <v>1772</v>
      </c>
      <c r="AY115" s="1296" t="s">
        <v>1250</v>
      </c>
      <c r="AZ115" s="1296" t="s">
        <v>396</v>
      </c>
      <c r="BA115" s="1297" t="s">
        <v>1774</v>
      </c>
      <c r="BB115" s="1296" t="s">
        <v>1249</v>
      </c>
      <c r="BC115" s="1297" t="s">
        <v>1772</v>
      </c>
      <c r="BD115" s="1296" t="s">
        <v>1250</v>
      </c>
      <c r="BE115" s="1296" t="s">
        <v>396</v>
      </c>
      <c r="BF115" s="1297" t="s">
        <v>1774</v>
      </c>
      <c r="BG115" s="1296" t="s">
        <v>1249</v>
      </c>
      <c r="BH115" s="1297" t="s">
        <v>1772</v>
      </c>
      <c r="BI115" s="1296" t="s">
        <v>1250</v>
      </c>
      <c r="BJ115" s="1296" t="s">
        <v>396</v>
      </c>
      <c r="BK115" s="1297" t="s">
        <v>1774</v>
      </c>
      <c r="BL115" s="1296" t="s">
        <v>1249</v>
      </c>
      <c r="BM115" s="1297" t="s">
        <v>1772</v>
      </c>
      <c r="BN115" s="1296" t="s">
        <v>1250</v>
      </c>
      <c r="BO115" s="1296" t="s">
        <v>396</v>
      </c>
      <c r="BP115" s="1297" t="s">
        <v>1774</v>
      </c>
      <c r="BQ115" s="1296" t="s">
        <v>1249</v>
      </c>
      <c r="BR115" s="1297" t="s">
        <v>1772</v>
      </c>
      <c r="BS115" s="1296" t="s">
        <v>1250</v>
      </c>
      <c r="BT115" s="1296" t="s">
        <v>396</v>
      </c>
      <c r="BU115" s="1297" t="s">
        <v>1774</v>
      </c>
      <c r="BV115" s="1296" t="s">
        <v>1249</v>
      </c>
      <c r="BW115" s="1297" t="s">
        <v>1772</v>
      </c>
      <c r="BX115" s="1296" t="s">
        <v>1250</v>
      </c>
      <c r="BY115" s="1296" t="s">
        <v>396</v>
      </c>
      <c r="BZ115" s="1297" t="s">
        <v>1774</v>
      </c>
      <c r="CA115" s="1296" t="s">
        <v>1249</v>
      </c>
      <c r="CB115" s="1297" t="s">
        <v>1772</v>
      </c>
      <c r="CC115" s="1296" t="s">
        <v>1250</v>
      </c>
      <c r="CD115" s="1296" t="s">
        <v>396</v>
      </c>
      <c r="CE115" s="1297" t="s">
        <v>1774</v>
      </c>
      <c r="CF115" s="1296" t="s">
        <v>1249</v>
      </c>
      <c r="CG115" s="1297" t="s">
        <v>1772</v>
      </c>
      <c r="CH115" s="1296" t="s">
        <v>1250</v>
      </c>
      <c r="CI115" s="1296" t="s">
        <v>396</v>
      </c>
      <c r="CJ115" s="1297" t="s">
        <v>1774</v>
      </c>
      <c r="CK115" s="1296" t="s">
        <v>1249</v>
      </c>
      <c r="CL115" s="1297" t="s">
        <v>1772</v>
      </c>
      <c r="CM115" s="1296" t="s">
        <v>1250</v>
      </c>
      <c r="CN115" s="1296" t="s">
        <v>396</v>
      </c>
      <c r="CO115" s="1297" t="s">
        <v>1774</v>
      </c>
      <c r="CP115" s="1296" t="s">
        <v>1249</v>
      </c>
      <c r="CQ115" s="1297" t="s">
        <v>1772</v>
      </c>
      <c r="CR115" s="1296" t="s">
        <v>1250</v>
      </c>
      <c r="CS115" s="1296" t="s">
        <v>396</v>
      </c>
      <c r="CT115" s="1297" t="s">
        <v>1774</v>
      </c>
      <c r="CU115" s="1296" t="s">
        <v>1249</v>
      </c>
      <c r="CV115" s="1297" t="s">
        <v>1772</v>
      </c>
      <c r="CW115" s="1296" t="s">
        <v>1250</v>
      </c>
      <c r="CX115" s="1296" t="s">
        <v>396</v>
      </c>
      <c r="CY115" s="1297" t="s">
        <v>1774</v>
      </c>
      <c r="CZ115" s="1296" t="s">
        <v>1249</v>
      </c>
      <c r="DA115" s="1297" t="s">
        <v>1772</v>
      </c>
      <c r="DB115" s="1296" t="s">
        <v>1250</v>
      </c>
      <c r="DC115" s="1296" t="s">
        <v>396</v>
      </c>
      <c r="DD115" s="1297" t="s">
        <v>1774</v>
      </c>
      <c r="DE115" s="1296" t="s">
        <v>1249</v>
      </c>
      <c r="DF115" s="1297" t="s">
        <v>1772</v>
      </c>
      <c r="DG115" s="1296" t="s">
        <v>1250</v>
      </c>
      <c r="DH115" s="1296" t="s">
        <v>396</v>
      </c>
      <c r="DI115" s="1297" t="s">
        <v>1774</v>
      </c>
      <c r="DJ115" s="1296" t="s">
        <v>1249</v>
      </c>
      <c r="DK115" s="1297" t="s">
        <v>1772</v>
      </c>
      <c r="DL115" s="1296" t="s">
        <v>1250</v>
      </c>
      <c r="DM115" s="1296" t="s">
        <v>396</v>
      </c>
      <c r="DN115" s="1297" t="s">
        <v>1774</v>
      </c>
      <c r="DO115" s="1296" t="s">
        <v>1249</v>
      </c>
      <c r="DP115" s="1297" t="s">
        <v>1772</v>
      </c>
      <c r="DQ115" s="1296" t="s">
        <v>1250</v>
      </c>
      <c r="DR115" s="1296" t="s">
        <v>396</v>
      </c>
      <c r="DS115" s="1297" t="s">
        <v>1774</v>
      </c>
      <c r="DT115" s="1296" t="s">
        <v>1249</v>
      </c>
      <c r="DU115" s="1297" t="s">
        <v>1772</v>
      </c>
      <c r="DV115" s="1296" t="s">
        <v>1250</v>
      </c>
      <c r="DW115" s="1296" t="s">
        <v>396</v>
      </c>
      <c r="DX115" s="1297" t="s">
        <v>1774</v>
      </c>
      <c r="DY115" s="1296" t="s">
        <v>1249</v>
      </c>
      <c r="DZ115" s="1297" t="s">
        <v>1772</v>
      </c>
      <c r="EA115" s="1296" t="s">
        <v>1250</v>
      </c>
      <c r="EB115" s="1296" t="s">
        <v>396</v>
      </c>
      <c r="EC115" s="1297" t="s">
        <v>1774</v>
      </c>
      <c r="ED115" s="1296" t="s">
        <v>1249</v>
      </c>
      <c r="EE115" s="1297" t="s">
        <v>1772</v>
      </c>
      <c r="EF115" s="1296" t="s">
        <v>1250</v>
      </c>
    </row>
    <row r="116" spans="1:136">
      <c r="B116" s="1"/>
      <c r="C116" s="1130" t="s">
        <v>1791</v>
      </c>
      <c r="D116" s="1034"/>
      <c r="E116" s="1034" t="s">
        <v>1216</v>
      </c>
      <c r="F116" s="1131" t="s">
        <v>1333</v>
      </c>
      <c r="G116" s="1354"/>
      <c r="H116" s="1355"/>
      <c r="I116" s="1094"/>
      <c r="J116" s="1397">
        <f ca="1">OFFSET('VVP2'!$G$341,0,(COLUMN()-6)/5)</f>
        <v>1885.6479999999999</v>
      </c>
      <c r="K116" s="1425"/>
      <c r="L116" s="1931">
        <f ca="1">+L17</f>
        <v>1.5190345789658943</v>
      </c>
      <c r="M116" s="1397">
        <f ca="1">+J116*(1+L116/100)</f>
        <v>1914.2916451575786</v>
      </c>
      <c r="N116" s="1407">
        <f ca="1">+O116/M116*100-100</f>
        <v>1.049283942351849</v>
      </c>
      <c r="O116" s="1397">
        <f ca="1">OFFSET('VVP2'!$G$341,0,(COLUMN()-6)/5)</f>
        <v>1934.3779999999999</v>
      </c>
      <c r="P116" s="1356">
        <f ca="1">(O116/J116-1)*100</f>
        <v>2.5842575072335894</v>
      </c>
      <c r="Q116" s="1406">
        <f ca="1">+Q17</f>
        <v>2.9123066792213548</v>
      </c>
      <c r="R116" s="1397">
        <f ca="1">+O116*(1+Q116/100)</f>
        <v>1990.7130196953883</v>
      </c>
      <c r="S116" s="1407">
        <f ca="1">+T116/R116*100-100</f>
        <v>1.5705418106621778</v>
      </c>
      <c r="T116" s="1397">
        <f ca="1">OFFSET('VVP2'!$G$341,0,(COLUMN()-6)/5)</f>
        <v>2021.9780000000001</v>
      </c>
      <c r="U116" s="1356">
        <f ca="1">(T116/O116-1)*100</f>
        <v>4.528587483935409</v>
      </c>
      <c r="V116" s="1406">
        <f ca="1">+V17</f>
        <v>4.2409560508338551</v>
      </c>
      <c r="W116" s="1397">
        <f ca="1">+T116*(1+V116/100)</f>
        <v>2107.7291983375294</v>
      </c>
      <c r="X116" s="1407">
        <f ca="1">+Y116/W116*100-100</f>
        <v>0.79122126673694027</v>
      </c>
      <c r="Y116" s="1397">
        <f ca="1">OFFSET('VVP2'!$G$341,0,(COLUMN()-6)/5)</f>
        <v>2124.4059999999999</v>
      </c>
      <c r="Z116" s="1356">
        <f ca="1">(Y116/T116-1)*100</f>
        <v>5.0657326637579603</v>
      </c>
      <c r="AA116" s="1406">
        <f ca="1">+AA17</f>
        <v>4.4867022926029954</v>
      </c>
      <c r="AB116" s="1397">
        <f ca="1">+Y116*(1+AA116/100)</f>
        <v>2219.7217727061957</v>
      </c>
      <c r="AC116" s="1407">
        <f ca="1">+AD116/AB116*100-100</f>
        <v>0.93936220071324783</v>
      </c>
      <c r="AD116" s="1397">
        <f ca="1">OFFSET('VVP2'!$G$341,0,(COLUMN()-6)/5)</f>
        <v>2240.5729999999999</v>
      </c>
      <c r="AE116" s="1356">
        <f ca="1">(AD116/Y116-1)*100</f>
        <v>5.4682108787114991</v>
      </c>
      <c r="AF116" s="1406">
        <f ca="1">+AF17</f>
        <v>4.7456166368949892</v>
      </c>
      <c r="AG116" s="1397">
        <f ca="1">+AD116*(1+AF116/100)</f>
        <v>2346.902005049777</v>
      </c>
      <c r="AH116" s="1407">
        <f ca="1">+AI116/AG116*100-100</f>
        <v>1.5647860401160756</v>
      </c>
      <c r="AI116" s="1397">
        <f ca="1">OFFSET('VVP2'!$G$341,0,(COLUMN()-6)/5)</f>
        <v>2383.6260000000002</v>
      </c>
      <c r="AJ116" s="1356">
        <f ca="1">(AI116/AD116-1)*100</f>
        <v>6.3846614236626298</v>
      </c>
      <c r="AK116" s="1406">
        <f ca="1">+AK17</f>
        <v>1.5734459634978881</v>
      </c>
      <c r="AL116" s="1397">
        <f ca="1">+AI116*(1+AK116/100)</f>
        <v>2421.1310670818862</v>
      </c>
      <c r="AM116" s="1407">
        <f ca="1">+AN116/AL116*100-100</f>
        <v>2.5106006752197914</v>
      </c>
      <c r="AN116" s="1397">
        <f ca="1">OFFSET('VVP2'!$G$341,0,(COLUMN()-6)/5)</f>
        <v>2481.9160000000002</v>
      </c>
      <c r="AO116" s="1356">
        <f ca="1">(AN116/AI116-1)*100</f>
        <v>4.1235495837014691</v>
      </c>
      <c r="AP116" s="1406">
        <f ca="1">+AP17</f>
        <v>2.0753008012419194</v>
      </c>
      <c r="AQ116" s="1397">
        <f ca="1">+AN116*(1+AP116/100)</f>
        <v>2533.4232226341514</v>
      </c>
      <c r="AR116" s="1407">
        <f ca="1">+AS116/AQ116*100-100</f>
        <v>1.6000397013689991</v>
      </c>
      <c r="AS116" s="1397">
        <f ca="1">OFFSET('VVP2'!$G$341,0,(COLUMN()-6)/5)</f>
        <v>2573.9589999999998</v>
      </c>
      <c r="AT116" s="1356">
        <f ca="1">(AS116/AN116-1)*100</f>
        <v>3.7085461393536079</v>
      </c>
      <c r="AU116" s="1406">
        <f ca="1">+AU17</f>
        <v>2.3597762270646028</v>
      </c>
      <c r="AV116" s="1397">
        <f ca="1">+AS116*(1+AU116/100)</f>
        <v>2634.6986725763895</v>
      </c>
      <c r="AW116" s="1407">
        <f ca="1">+AX116/AV116*100-100</f>
        <v>1.752167255562</v>
      </c>
      <c r="AX116" s="1397">
        <f ca="1">OFFSET('VVP2'!$G$341,0,(COLUMN()-6)/5)</f>
        <v>2680.8629999999998</v>
      </c>
      <c r="AY116" s="1356">
        <f ca="1">(AX116/AS116-1)*100</f>
        <v>4.1532907089817606</v>
      </c>
      <c r="AZ116" s="1406">
        <f ca="1">+AZ17</f>
        <v>4.310783239085425</v>
      </c>
      <c r="BA116" s="1397">
        <f ca="1">+AX116*(1+AZ116/100)</f>
        <v>2796.4291928668426</v>
      </c>
      <c r="BB116" s="1407">
        <f ca="1">+BC116/BA116*100-100</f>
        <v>0.42818202455117671</v>
      </c>
      <c r="BC116" s="1397">
        <f ca="1">OFFSET('VVP2'!$G$341,0,(COLUMN()-6)/5)</f>
        <v>2808.4029999999998</v>
      </c>
      <c r="BD116" s="1356">
        <f ca="1">(BC116/AX116-1)*100</f>
        <v>4.7574232625837265</v>
      </c>
      <c r="BE116" s="1406">
        <f ca="1">+BE17</f>
        <v>2.8166773859819028</v>
      </c>
      <c r="BF116" s="1397">
        <f ca="1">+BC116*(1+BE116/100)</f>
        <v>2887.506652208237</v>
      </c>
      <c r="BG116" s="1407">
        <f ca="1">+BH116/BF116*100-100</f>
        <v>0.80264223024519765</v>
      </c>
      <c r="BH116" s="1397">
        <f ca="1">OFFSET('VVP2'!$G$341,0,(COLUMN()-6)/5)</f>
        <v>2910.683</v>
      </c>
      <c r="BI116" s="1356">
        <f ca="1">(BH116/BC116-1)*100</f>
        <v>3.6419274584167605</v>
      </c>
      <c r="BJ116" s="1406">
        <f ca="1">+BJ17</f>
        <v>4.6995582969571181</v>
      </c>
      <c r="BK116" s="1397">
        <f ca="1">+BH116*(1+BJ116/100)</f>
        <v>3047.4722444246204</v>
      </c>
      <c r="BL116" s="1407">
        <f ca="1">+BM116/BK116*100-100</f>
        <v>1.8166451122455527</v>
      </c>
      <c r="BM116" s="1397">
        <f ca="1">OFFSET('VVP2'!$G$341,0,(COLUMN()-6)/5)</f>
        <v>3102.8339999999998</v>
      </c>
      <c r="BN116" s="1356">
        <f ca="1">(BM116/BH116-1)*100</f>
        <v>6.6015777053014757</v>
      </c>
      <c r="BO116" s="1406">
        <f ca="1">+BO17</f>
        <v>3.4080983285069921</v>
      </c>
      <c r="BP116" s="1397">
        <f ca="1">+BM116*(1+BO116/100)</f>
        <v>3208.5816336903463</v>
      </c>
      <c r="BQ116" s="1407">
        <f ca="1">+BR116/BP116*100-100</f>
        <v>2.8798197103490537</v>
      </c>
      <c r="BR116" s="1397">
        <f ca="1">OFFSET('VVP2'!$G$341,0,(COLUMN()-6)/5)</f>
        <v>3300.9830000000002</v>
      </c>
      <c r="BS116" s="1356">
        <f ca="1">(BR116/BM116-1)*100</f>
        <v>6.3860651262684476</v>
      </c>
      <c r="BT116" s="1406">
        <f ca="1">+BT17</f>
        <v>-0.55705795199625374</v>
      </c>
      <c r="BU116" s="1397">
        <f ca="1">+BR116*(1+BT116/100)</f>
        <v>3282.5946117044555</v>
      </c>
      <c r="BV116" s="1407">
        <f ca="1">+BW116/BU116*100-100</f>
        <v>3.3231757557446997</v>
      </c>
      <c r="BW116" s="1397">
        <f ca="1">OFFSET('VVP2'!$G$341,0,(COLUMN()-6)/5)</f>
        <v>3391.681</v>
      </c>
      <c r="BX116" s="1356">
        <f ca="1">(BW116/BR116-1)*100</f>
        <v>2.7476057889422645</v>
      </c>
      <c r="BY116" s="1406">
        <f ca="1">+BY17</f>
        <v>-5.1958979284636442</v>
      </c>
      <c r="BZ116" s="1397">
        <f ca="1">+BW116*(1+BY116/100)</f>
        <v>3215.452717180905</v>
      </c>
      <c r="CA116" s="1407">
        <f ca="1">+CB116/BZ116*100-100</f>
        <v>2.3808865983330207</v>
      </c>
      <c r="CB116" s="1397">
        <f ca="1">OFFSET('VVP2'!$G$341,0,(COLUMN()-6)/5)</f>
        <v>3292.009</v>
      </c>
      <c r="CC116" s="1356">
        <f ca="1">(CB116/BW116-1)*100</f>
        <v>-2.9387197675724841</v>
      </c>
      <c r="CD116" s="1406">
        <f ca="1">+CD17</f>
        <v>5.9919680665020847</v>
      </c>
      <c r="CE116" s="1397">
        <f ca="1">+CB116*(1+CD116/100)</f>
        <v>3489.2651280263744</v>
      </c>
      <c r="CF116" s="1407">
        <f ca="1">+CG116/CE116*100-100</f>
        <v>0.99043410877675342</v>
      </c>
      <c r="CG116" s="1397">
        <f ca="1">OFFSET('VVP2'!$G$341,0,(COLUMN()-6)/5)</f>
        <v>3523.8240000000001</v>
      </c>
      <c r="CH116" s="1356">
        <f ca="1">(CG116/CB116-1)*100</f>
        <v>7.0417486707964771</v>
      </c>
      <c r="CI116" s="1406">
        <f ca="1">+CI17</f>
        <v>2.6792280204686714</v>
      </c>
      <c r="CJ116" s="1397">
        <f ca="1">+CG116*(1+CI116/100)</f>
        <v>3618.2352799999999</v>
      </c>
      <c r="CK116" s="1407">
        <f ca="1">+CL116/CJ116*100-100</f>
        <v>1.1831104582010568</v>
      </c>
      <c r="CL116" s="1397">
        <f ca="1">OFFSET('VVP2'!$G$341,0,(COLUMN()-6)/5)</f>
        <v>3661.0430000000001</v>
      </c>
      <c r="CM116" s="1356">
        <f ca="1">(CL116/CG116-1)*100</f>
        <v>3.8940367055789515</v>
      </c>
      <c r="CN116" s="1406">
        <f ca="1">+CN17</f>
        <v>-0.29851237313677226</v>
      </c>
      <c r="CO116" s="1397">
        <f ca="1">+CL116*(1+CN116/100)</f>
        <v>3650.1143336591426</v>
      </c>
      <c r="CP116" s="1407">
        <f ca="1">+CQ116/CO116*100-100</f>
        <v>1.0617932151732106</v>
      </c>
      <c r="CQ116" s="1397">
        <f ca="1">OFFSET('VVP2'!$G$341,0,(COLUMN()-6)/5)</f>
        <v>3688.8710000000001</v>
      </c>
      <c r="CR116" s="1356">
        <f ca="1">(CQ116/CL116-1)*100</f>
        <v>0.76011125791202172</v>
      </c>
      <c r="CS116" s="1406">
        <f ca="1">+CS17</f>
        <v>1.238349337689959</v>
      </c>
      <c r="CT116" s="1397">
        <f ca="1">+CQ116*(1+CS116/100)</f>
        <v>3734.552109596737</v>
      </c>
      <c r="CU116" s="1407">
        <f ca="1">+CV116/CT116*100-100</f>
        <v>1.054661690274699</v>
      </c>
      <c r="CV116" s="1397">
        <f ca="1">OFFSET('VVP2'!$G$341,0,(COLUMN()-6)/5)</f>
        <v>3773.9389999999999</v>
      </c>
      <c r="CW116" s="1356">
        <f ca="1">(CV116/CQ116-1)*100</f>
        <v>2.3060714240210611</v>
      </c>
      <c r="CX116" s="1406">
        <f ca="1">+CX17</f>
        <v>2.601902927795896</v>
      </c>
      <c r="CY116" s="1397">
        <f ca="1">+CV116*(1+CX116/100)</f>
        <v>3872.1332293342311</v>
      </c>
      <c r="CZ116" s="1407">
        <f ca="1">+DA116/CY116*100-100</f>
        <v>1.7765858401932491</v>
      </c>
      <c r="DA116" s="1397">
        <f ca="1">OFFSET('VVP2'!$G$341,0,(COLUMN()-6)/5)</f>
        <v>3940.9250000000002</v>
      </c>
      <c r="DB116" s="1356">
        <f ca="1">(DA116/CV116-1)*100</f>
        <v>4.4247138069799297</v>
      </c>
      <c r="DC116" s="1406">
        <f ca="1">+DC17</f>
        <v>4.456568925371962</v>
      </c>
      <c r="DD116" s="1397">
        <f ca="1">+DA116*(1+DC116/100)</f>
        <v>4116.5550389222153</v>
      </c>
      <c r="DE116" s="1407">
        <f ca="1">+DF116/DD116*100-100</f>
        <v>2.0645408666765945</v>
      </c>
      <c r="DF116" s="1397">
        <f ca="1">OFFSET('VVP2'!$G$341,0,(COLUMN()-6)/5)</f>
        <v>4201.5429999999997</v>
      </c>
      <c r="DG116" s="1356">
        <f ca="1">(DF116/DA116-1)*100</f>
        <v>6.6131174787644964</v>
      </c>
      <c r="DH116" s="1406">
        <f ca="1">+DH17</f>
        <v>2.6839662785306029</v>
      </c>
      <c r="DI116" s="1397">
        <f ca="1">+DF116*(1+DH116/100)</f>
        <v>4314.3109972979628</v>
      </c>
      <c r="DJ116" s="1407">
        <f ca="1">+DK116/DI116*100-100</f>
        <v>1.6499970156676369</v>
      </c>
      <c r="DK116" s="1397">
        <f ca="1">OFFSET('VVP2'!$G$341,0,(COLUMN()-6)/5)</f>
        <v>4385.4970000000003</v>
      </c>
      <c r="DL116" s="1356">
        <f ca="1">(DK116/DF116-1)*100</f>
        <v>4.3782486576955382</v>
      </c>
      <c r="DM116" s="1406">
        <f ca="1">+DM17</f>
        <v>2.1141964181437434</v>
      </c>
      <c r="DN116" s="1397">
        <f ca="1">+DK116*(1+DM116/100)</f>
        <v>4478.2150204918016</v>
      </c>
      <c r="DO116" s="1407">
        <f ca="1">+DP116/DN116*100-100</f>
        <v>2.2483060560397377</v>
      </c>
      <c r="DP116" s="1397">
        <f ca="1">OFFSET('VVP2'!$G$341,0,(COLUMN()-6)/5)</f>
        <v>4578.8990000000003</v>
      </c>
      <c r="DQ116" s="1356">
        <f ca="1">(DP116/DK116-1)*100</f>
        <v>4.4100360802891814</v>
      </c>
      <c r="DR116" s="1453">
        <f ca="1">+DR17</f>
        <v>2.3754579714468482</v>
      </c>
      <c r="DS116" s="822">
        <f ca="1">+DP116*(1+DR116/100)</f>
        <v>4687.6688213000007</v>
      </c>
      <c r="DT116" s="1454">
        <f ca="1">+DT17</f>
        <v>2.4640461157058695</v>
      </c>
      <c r="DU116" s="822">
        <f ca="1">+DS116*(1+DT116/100)</f>
        <v>4803.175142808399</v>
      </c>
      <c r="DV116" s="1356">
        <f ca="1">(DU116/DP116-1)*100</f>
        <v>4.8980364670283993</v>
      </c>
      <c r="DW116" s="1453">
        <f ca="1">+DW17</f>
        <v>1.7607506553809715</v>
      </c>
      <c r="DX116" s="822">
        <f ca="1">+DU116*(1+DW116/100)</f>
        <v>4887.7470806144938</v>
      </c>
      <c r="DY116" s="1454">
        <f ca="1">+DY17</f>
        <v>1.9855634353397704</v>
      </c>
      <c r="DZ116" s="822">
        <f ca="1">+DX116*(1+DY116/100)</f>
        <v>4984.7963994590627</v>
      </c>
      <c r="EA116" s="1356">
        <f ca="1">(DZ116/DU116-1)*100</f>
        <v>3.7812749119215061</v>
      </c>
      <c r="EB116" s="1453">
        <f ca="1">+EB17</f>
        <v>1.7609205310281206</v>
      </c>
      <c r="EC116" s="822">
        <f ca="1">+DZ116*(1+EB116/100)</f>
        <v>5072.5747026870877</v>
      </c>
      <c r="ED116" s="1454">
        <f ca="1">+ED17</f>
        <v>1.753368210762531</v>
      </c>
      <c r="EE116" s="822">
        <f ca="1">+EC116*(1+ED116/100)</f>
        <v>5161.5156149911845</v>
      </c>
      <c r="EF116" s="1356">
        <f ca="1">(EE116/DZ116-1)*100</f>
        <v>3.5451641625984687</v>
      </c>
    </row>
    <row r="117" spans="1:136">
      <c r="B117" s="1"/>
      <c r="C117" s="1120" t="s">
        <v>301</v>
      </c>
      <c r="D117" s="1084"/>
      <c r="E117" s="1084" t="s">
        <v>1790</v>
      </c>
      <c r="F117" s="3" t="s">
        <v>543</v>
      </c>
      <c r="G117" s="1249"/>
      <c r="H117" s="1352"/>
      <c r="I117" s="918"/>
      <c r="J117" s="1398">
        <f ca="1">OFFSET(Sector1!$G$8,0,(COLUMN()-6)/5)</f>
        <v>246.97300000000001</v>
      </c>
      <c r="K117" s="1426"/>
      <c r="L117" s="1249"/>
      <c r="M117" s="1352"/>
      <c r="N117" s="918"/>
      <c r="O117" s="1398">
        <f ca="1">OFFSET(Sector1!$G$8,0,(COLUMN()-6)/5)</f>
        <v>245.548</v>
      </c>
      <c r="P117" s="1353">
        <f ca="1">(O117/J117-1)*100</f>
        <v>-0.57698614828342043</v>
      </c>
      <c r="Q117" s="1249"/>
      <c r="R117" s="1352"/>
      <c r="S117" s="918"/>
      <c r="T117" s="1398">
        <f ca="1">OFFSET(Sector1!$G$8,0,(COLUMN()-6)/5)</f>
        <v>250.83</v>
      </c>
      <c r="U117" s="1353">
        <f ca="1">(T117/O117-1)*100</f>
        <v>2.1511069118868908</v>
      </c>
      <c r="V117" s="1249"/>
      <c r="W117" s="1352"/>
      <c r="X117" s="918"/>
      <c r="Y117" s="1398">
        <f ca="1">OFFSET(Sector1!$G$8,0,(COLUMN()-6)/5)</f>
        <v>265.70999999999998</v>
      </c>
      <c r="Z117" s="1353">
        <f ca="1">(Y117/T117-1)*100</f>
        <v>5.9323047482358504</v>
      </c>
      <c r="AA117" s="1249"/>
      <c r="AB117" s="1352"/>
      <c r="AC117" s="918"/>
      <c r="AD117" s="1398">
        <f ca="1">OFFSET(Sector1!$G$8,0,(COLUMN()-6)/5)</f>
        <v>279.92</v>
      </c>
      <c r="AE117" s="1353">
        <f ca="1">(AD117/Y117-1)*100</f>
        <v>5.3479357193933375</v>
      </c>
      <c r="AF117" s="1249"/>
      <c r="AG117" s="1352"/>
      <c r="AH117" s="918"/>
      <c r="AI117" s="1398">
        <f ca="1">OFFSET(Sector1!$G$8,0,(COLUMN()-6)/5)</f>
        <v>289.39800000000002</v>
      </c>
      <c r="AJ117" s="1353">
        <f ca="1">(AI117/AD117-1)*100</f>
        <v>3.3859674192626477</v>
      </c>
      <c r="AK117" s="1249"/>
      <c r="AL117" s="1352"/>
      <c r="AM117" s="918"/>
      <c r="AN117" s="1398">
        <f ca="1">OFFSET(Sector1!$G$8,0,(COLUMN()-6)/5)</f>
        <v>304.61599999999999</v>
      </c>
      <c r="AO117" s="1353">
        <f ca="1">(AN117/AI117-1)*100</f>
        <v>5.2585021320119552</v>
      </c>
      <c r="AP117" s="1249"/>
      <c r="AQ117" s="1352"/>
      <c r="AR117" s="918"/>
      <c r="AS117" s="1398">
        <f ca="1">OFFSET(Sector1!$G$8,0,(COLUMN()-6)/5)</f>
        <v>319.82799999999997</v>
      </c>
      <c r="AT117" s="1353">
        <f ca="1">(AS117/AN117-1)*100</f>
        <v>4.9938282952963764</v>
      </c>
      <c r="AU117" s="1249"/>
      <c r="AV117" s="1352"/>
      <c r="AW117" s="918"/>
      <c r="AX117" s="1398">
        <f ca="1">OFFSET(Sector1!$G$8,0,(COLUMN()-6)/5)</f>
        <v>333.041</v>
      </c>
      <c r="AY117" s="1353">
        <f ca="1">(AX117/AS117-1)*100</f>
        <v>4.1312830646472509</v>
      </c>
      <c r="AZ117" s="1249"/>
      <c r="BA117" s="1352"/>
      <c r="BB117" s="918"/>
      <c r="BC117" s="1398">
        <f ca="1">OFFSET(Sector1!$G$8,0,(COLUMN()-6)/5)</f>
        <v>344.54300000000001</v>
      </c>
      <c r="BD117" s="1353">
        <f ca="1">(BC117/AX117-1)*100</f>
        <v>3.4536288324860998</v>
      </c>
      <c r="BE117" s="1249"/>
      <c r="BF117" s="1352"/>
      <c r="BG117" s="918"/>
      <c r="BH117" s="1398">
        <f ca="1">OFFSET(Sector1!$G$8,0,(COLUMN()-6)/5)</f>
        <v>362.31200000000001</v>
      </c>
      <c r="BI117" s="1353">
        <f ca="1">(BH117/BC117-1)*100</f>
        <v>5.1572662918706769</v>
      </c>
      <c r="BJ117" s="1249"/>
      <c r="BK117" s="1352"/>
      <c r="BL117" s="918"/>
      <c r="BM117" s="1398">
        <f ca="1">OFFSET(Sector1!$G$8,0,(COLUMN()-6)/5)</f>
        <v>382.39800000000002</v>
      </c>
      <c r="BN117" s="1353">
        <f ca="1">(BM117/BH117-1)*100</f>
        <v>5.5438406677118079</v>
      </c>
      <c r="BO117" s="1249"/>
      <c r="BP117" s="1352"/>
      <c r="BQ117" s="918"/>
      <c r="BR117" s="1398">
        <f ca="1">OFFSET(Sector1!$G$8,0,(COLUMN()-6)/5)</f>
        <v>404.447</v>
      </c>
      <c r="BS117" s="1353">
        <f ca="1">(BR117/BM117-1)*100</f>
        <v>5.7659820396550154</v>
      </c>
      <c r="BT117" s="1249"/>
      <c r="BU117" s="1352"/>
      <c r="BV117" s="918"/>
      <c r="BW117" s="1398">
        <f ca="1">OFFSET(Sector1!$G$8,0,(COLUMN()-6)/5)</f>
        <v>412.38499999999999</v>
      </c>
      <c r="BX117" s="1353">
        <f ca="1">(BW117/BR117-1)*100</f>
        <v>1.9626799061434497</v>
      </c>
      <c r="BY117" s="1249"/>
      <c r="BZ117" s="1352"/>
      <c r="CA117" s="918"/>
      <c r="CB117" s="1398">
        <f ca="1">OFFSET(Sector1!$G$8,0,(COLUMN()-6)/5)</f>
        <v>418.18099999999998</v>
      </c>
      <c r="CC117" s="1353">
        <f ca="1">(CB117/BW117-1)*100</f>
        <v>1.4054827406428494</v>
      </c>
      <c r="CD117" s="1249"/>
      <c r="CE117" s="1352"/>
      <c r="CF117" s="918"/>
      <c r="CG117" s="1398">
        <f ca="1">OFFSET(Sector1!$G$8,0,(COLUMN()-6)/5)</f>
        <v>442.72</v>
      </c>
      <c r="CH117" s="1353">
        <f ca="1">(CG117/CB117-1)*100</f>
        <v>5.8680332200650165</v>
      </c>
      <c r="CI117" s="1249"/>
      <c r="CJ117" s="1352"/>
      <c r="CK117" s="918"/>
      <c r="CL117" s="1398">
        <f ca="1">OFFSET(Sector1!$G$8,0,(COLUMN()-6)/5)</f>
        <v>452.01</v>
      </c>
      <c r="CM117" s="1353">
        <f ca="1">(CL117/CG117-1)*100</f>
        <v>2.0983917600289059</v>
      </c>
      <c r="CN117" s="1249"/>
      <c r="CO117" s="1352"/>
      <c r="CP117" s="918"/>
      <c r="CQ117" s="1398">
        <f ca="1">OFFSET(Sector1!$G$8,0,(COLUMN()-6)/5)</f>
        <v>449.36500000000001</v>
      </c>
      <c r="CR117" s="1353">
        <f ca="1">(CQ117/CL117-1)*100</f>
        <v>-0.58516404504325159</v>
      </c>
      <c r="CS117" s="1249"/>
      <c r="CT117" s="1352"/>
      <c r="CU117" s="918"/>
      <c r="CV117" s="1398">
        <f ca="1">OFFSET(Sector1!$G$8,0,(COLUMN()-6)/5)</f>
        <v>455.19499999999999</v>
      </c>
      <c r="CW117" s="1353">
        <f ca="1">(CV117/CQ117-1)*100</f>
        <v>1.2973863117955231</v>
      </c>
      <c r="CX117" s="1249"/>
      <c r="CY117" s="1455"/>
      <c r="CZ117" s="918"/>
      <c r="DA117" s="1398">
        <f ca="1">OFFSET(Sector1!$G$8,0,(COLUMN()-6)/5)</f>
        <v>470.57299999999998</v>
      </c>
      <c r="DB117" s="1353">
        <f ca="1">(DA117/CV117-1)*100</f>
        <v>3.3783323630532047</v>
      </c>
      <c r="DC117" s="1249"/>
      <c r="DD117" s="1455"/>
      <c r="DE117" s="918"/>
      <c r="DF117" s="1398">
        <f ca="1">OFFSET(Sector1!$G$8,0,(COLUMN()-6)/5)</f>
        <v>502.49</v>
      </c>
      <c r="DG117" s="1353">
        <f ca="1">(DF117/DA117-1)*100</f>
        <v>6.7825820860950348</v>
      </c>
      <c r="DH117" s="1249"/>
      <c r="DI117" s="1455"/>
      <c r="DJ117" s="918"/>
      <c r="DK117" s="1398">
        <f ca="1">OFFSET(Sector1!$G$8,0,(COLUMN()-6)/5)</f>
        <v>532.404</v>
      </c>
      <c r="DL117" s="1353">
        <f ca="1">(DK117/DF117-1)*100</f>
        <v>5.9531532965830136</v>
      </c>
      <c r="DM117" s="1249"/>
      <c r="DN117" s="1455"/>
      <c r="DO117" s="918"/>
      <c r="DP117" s="1398">
        <f ca="1">OFFSET(Sector1!$G$8,0,(COLUMN()-6)/5)</f>
        <v>554.44600000000003</v>
      </c>
      <c r="DQ117" s="1353">
        <f ca="1">(DP117/DK117-1)*100</f>
        <v>4.1400891052659317</v>
      </c>
      <c r="DR117" s="1249"/>
      <c r="DS117" s="1455"/>
      <c r="DT117" s="918"/>
      <c r="DU117" s="836">
        <f ca="1">OFFSET(Sector1!$G$8,0,(COLUMN()-6)/5)</f>
        <v>581.83099683663374</v>
      </c>
      <c r="DV117" s="1353">
        <f ca="1">(DU117/DP117-1)*100</f>
        <v>4.9391639287926559</v>
      </c>
      <c r="DW117" s="1249"/>
      <c r="DX117" s="1455"/>
      <c r="DY117" s="918"/>
      <c r="DZ117" s="836">
        <f ca="1">OFFSET(Sector1!$G$8,0,(COLUMN()-6)/5)</f>
        <v>607.37640427372526</v>
      </c>
      <c r="EA117" s="1353">
        <f ca="1">(DZ117/DU117-1)*100</f>
        <v>4.390520198473391</v>
      </c>
      <c r="EB117" s="1249"/>
      <c r="EC117" s="1455"/>
      <c r="ED117" s="918"/>
      <c r="EE117" s="836">
        <f ca="1">OFFSET(Sector1!$G$8,0,(COLUMN()-6)/5)</f>
        <v>628.8625714624518</v>
      </c>
      <c r="EF117" s="1353">
        <f ca="1">(EE117/DZ117-1)*100</f>
        <v>3.5375373553437228</v>
      </c>
    </row>
    <row r="118" spans="1:136">
      <c r="B118" s="1"/>
      <c r="C118" s="1121" t="s">
        <v>1791</v>
      </c>
      <c r="D118" s="1117"/>
      <c r="E118" s="1118" t="s">
        <v>1792</v>
      </c>
      <c r="F118" s="1117" t="s">
        <v>1490</v>
      </c>
      <c r="G118" s="1428"/>
      <c r="H118" s="1431"/>
      <c r="I118" s="1430"/>
      <c r="J118" s="1396">
        <f ca="1">OFFSET(Sector1!$G$45,0,(COLUMN()-6)/5)</f>
        <v>10.936999999999999</v>
      </c>
      <c r="K118" s="1432"/>
      <c r="L118" s="1249"/>
      <c r="M118" s="1352"/>
      <c r="N118" s="918"/>
      <c r="O118" s="1396">
        <f ca="1">OFFSET(Sector1!$G$45,0,(COLUMN()-6)/5)</f>
        <v>11.108000000000001</v>
      </c>
      <c r="P118" s="1403">
        <f ca="1">(O118/J118-1)*100</f>
        <v>1.5635000457163928</v>
      </c>
      <c r="Q118" s="1249"/>
      <c r="R118" s="1352"/>
      <c r="S118" s="918"/>
      <c r="T118" s="1396">
        <f ca="1">OFFSET(Sector1!$G$45,0,(COLUMN()-6)/5)</f>
        <v>11.273999999999999</v>
      </c>
      <c r="U118" s="1403">
        <f ca="1">(T118/O118-1)*100</f>
        <v>1.4944184371624036</v>
      </c>
      <c r="V118" s="1249"/>
      <c r="W118" s="1352"/>
      <c r="X118" s="918"/>
      <c r="Y118" s="1396">
        <f ca="1">OFFSET(Sector1!$G$45,0,(COLUMN()-6)/5)</f>
        <v>11.127000000000001</v>
      </c>
      <c r="Z118" s="1403">
        <f ca="1">(Y118/T118-1)*100</f>
        <v>-1.3038850452368189</v>
      </c>
      <c r="AA118" s="1249"/>
      <c r="AB118" s="1352"/>
      <c r="AC118" s="918"/>
      <c r="AD118" s="1396">
        <f ca="1">OFFSET(Sector1!$G$45,0,(COLUMN()-6)/5)</f>
        <v>11.33</v>
      </c>
      <c r="AE118" s="1403">
        <f ca="1">(AD118/Y118-1)*100</f>
        <v>1.8243911206973884</v>
      </c>
      <c r="AF118" s="1249"/>
      <c r="AG118" s="1352"/>
      <c r="AH118" s="918"/>
      <c r="AI118" s="1396">
        <f ca="1">OFFSET(Sector1!$G$45,0,(COLUMN()-6)/5)</f>
        <v>12.817</v>
      </c>
      <c r="AJ118" s="1403">
        <f ca="1">(AI118/AD118-1)*100</f>
        <v>13.124448367166819</v>
      </c>
      <c r="AK118" s="1249"/>
      <c r="AL118" s="1352"/>
      <c r="AM118" s="918"/>
      <c r="AN118" s="1396">
        <f ca="1">OFFSET(Sector1!$G$45,0,(COLUMN()-6)/5)</f>
        <v>13.778</v>
      </c>
      <c r="AO118" s="1403">
        <f ca="1">(AN118/AI118-1)*100</f>
        <v>7.4978544121089286</v>
      </c>
      <c r="AP118" s="1249"/>
      <c r="AQ118" s="1352"/>
      <c r="AR118" s="918"/>
      <c r="AS118" s="1396">
        <f ca="1">OFFSET(Sector1!$G$45,0,(COLUMN()-6)/5)</f>
        <v>14.742000000000001</v>
      </c>
      <c r="AT118" s="1403">
        <f ca="1">(AS118/AN118-1)*100</f>
        <v>6.9966613441718728</v>
      </c>
      <c r="AU118" s="1249"/>
      <c r="AV118" s="1352"/>
      <c r="AW118" s="918"/>
      <c r="AX118" s="1396">
        <f ca="1">OFFSET(Sector1!$G$45,0,(COLUMN()-6)/5)</f>
        <v>15.972</v>
      </c>
      <c r="AY118" s="1403">
        <f ca="1">(AX118/AS118-1)*100</f>
        <v>8.3435083435083435</v>
      </c>
      <c r="AZ118" s="1249"/>
      <c r="BA118" s="1352"/>
      <c r="BB118" s="918"/>
      <c r="BC118" s="1396">
        <f ca="1">OFFSET(Sector1!$G$45,0,(COLUMN()-6)/5)</f>
        <v>16.379000000000001</v>
      </c>
      <c r="BD118" s="1403">
        <f ca="1">(BC118/AX118-1)*100</f>
        <v>2.5482093663911964</v>
      </c>
      <c r="BE118" s="1249"/>
      <c r="BF118" s="1352"/>
      <c r="BG118" s="918"/>
      <c r="BH118" s="1396">
        <f ca="1">OFFSET(Sector1!$G$45,0,(COLUMN()-6)/5)</f>
        <v>13.393000000000001</v>
      </c>
      <c r="BI118" s="1403">
        <f ca="1">(BH118/BC118-1)*100</f>
        <v>-18.230661212528243</v>
      </c>
      <c r="BJ118" s="1249"/>
      <c r="BK118" s="1352"/>
      <c r="BL118" s="918"/>
      <c r="BM118" s="1396">
        <f ca="1">OFFSET(Sector1!$G$45,0,(COLUMN()-6)/5)</f>
        <v>14.362</v>
      </c>
      <c r="BN118" s="1403">
        <f ca="1">(BM118/BH118-1)*100</f>
        <v>7.2351228253565214</v>
      </c>
      <c r="BO118" s="1249"/>
      <c r="BP118" s="1352"/>
      <c r="BQ118" s="918"/>
      <c r="BR118" s="1396">
        <f ca="1">OFFSET(Sector1!$G$45,0,(COLUMN()-6)/5)</f>
        <v>15.207000000000001</v>
      </c>
      <c r="BS118" s="1403">
        <f ca="1">(BR118/BM118-1)*100</f>
        <v>5.883581673861582</v>
      </c>
      <c r="BT118" s="1249"/>
      <c r="BU118" s="1352"/>
      <c r="BV118" s="918"/>
      <c r="BW118" s="1396">
        <f ca="1">OFFSET(Sector1!$G$45,0,(COLUMN()-6)/5)</f>
        <v>16.795000000000002</v>
      </c>
      <c r="BX118" s="1403">
        <f ca="1">(BW118/BR118-1)*100</f>
        <v>10.442559347668844</v>
      </c>
      <c r="BY118" s="1249"/>
      <c r="BZ118" s="1352"/>
      <c r="CA118" s="918"/>
      <c r="CB118" s="1396">
        <f ca="1">OFFSET(Sector1!$G$45,0,(COLUMN()-6)/5)</f>
        <v>17.457000000000001</v>
      </c>
      <c r="CC118" s="1403">
        <f ca="1">(CB118/BW118-1)*100</f>
        <v>3.9416493003870068</v>
      </c>
      <c r="CD118" s="1249"/>
      <c r="CE118" s="1352"/>
      <c r="CF118" s="918"/>
      <c r="CG118" s="1396">
        <f ca="1">OFFSET(Sector1!$G$45,0,(COLUMN()-6)/5)</f>
        <v>17.513000000000002</v>
      </c>
      <c r="CH118" s="1403">
        <f ca="1">(CG118/CB118-1)*100</f>
        <v>0.32078822248955419</v>
      </c>
      <c r="CI118" s="1249"/>
      <c r="CJ118" s="1352"/>
      <c r="CK118" s="918"/>
      <c r="CL118" s="1396">
        <f ca="1">OFFSET(Sector1!$G$45,0,(COLUMN()-6)/5)</f>
        <v>18.364000000000001</v>
      </c>
      <c r="CM118" s="1403">
        <f ca="1">(CL118/CG118-1)*100</f>
        <v>4.8592474162050925</v>
      </c>
      <c r="CN118" s="1249"/>
      <c r="CO118" s="1352"/>
      <c r="CP118" s="918"/>
      <c r="CQ118" s="1396">
        <f ca="1">OFFSET(Sector1!$G$45,0,(COLUMN()-6)/5)</f>
        <v>18.54</v>
      </c>
      <c r="CR118" s="1403">
        <f ca="1">(CQ118/CL118-1)*100</f>
        <v>0.95839686342844566</v>
      </c>
      <c r="CS118" s="1249"/>
      <c r="CT118" s="1352"/>
      <c r="CU118" s="918"/>
      <c r="CV118" s="1396">
        <f ca="1">OFFSET(Sector1!$G$45,0,(COLUMN()-6)/5)</f>
        <v>18.722000000000001</v>
      </c>
      <c r="CW118" s="1403">
        <f ca="1">(CV118/CQ118-1)*100</f>
        <v>0.98166127292342864</v>
      </c>
      <c r="CX118" s="1249"/>
      <c r="CY118" s="1455"/>
      <c r="CZ118" s="918"/>
      <c r="DA118" s="1396">
        <f ca="1">OFFSET(Sector1!$G$45,0,(COLUMN()-6)/5)</f>
        <v>20.614000000000001</v>
      </c>
      <c r="DB118" s="1403">
        <f ca="1">(DA118/CV118-1)*100</f>
        <v>10.105757931844895</v>
      </c>
      <c r="DC118" s="1249"/>
      <c r="DD118" s="1455"/>
      <c r="DE118" s="918"/>
      <c r="DF118" s="1396">
        <f ca="1">OFFSET(Sector1!$G$45,0,(COLUMN()-6)/5)</f>
        <v>22.387</v>
      </c>
      <c r="DG118" s="1403">
        <f ca="1">(DF118/DA118-1)*100</f>
        <v>8.6009508101290386</v>
      </c>
      <c r="DH118" s="1249"/>
      <c r="DI118" s="1455"/>
      <c r="DJ118" s="918"/>
      <c r="DK118" s="1396">
        <f ca="1">OFFSET(Sector1!$G$45,0,(COLUMN()-6)/5)</f>
        <v>23.283000000000001</v>
      </c>
      <c r="DL118" s="1403">
        <f ca="1">(DK118/DF118-1)*100</f>
        <v>4.0023227766114333</v>
      </c>
      <c r="DM118" s="1249"/>
      <c r="DN118" s="1455"/>
      <c r="DO118" s="918"/>
      <c r="DP118" s="1396">
        <f ca="1">OFFSET(Sector1!$G$45,0,(COLUMN()-6)/5)</f>
        <v>24.643000000000001</v>
      </c>
      <c r="DQ118" s="1403">
        <f ca="1">(DP118/DK118-1)*100</f>
        <v>5.841171670317391</v>
      </c>
      <c r="DR118" s="1249"/>
      <c r="DS118" s="1455"/>
      <c r="DT118" s="918"/>
      <c r="DU118" s="1104">
        <f ca="1">OFFSET(Sector1!$G$45,0,(COLUMN()-6)/5)</f>
        <v>25.875150000000001</v>
      </c>
      <c r="DV118" s="1403">
        <f ca="1">(DU118/DP118-1)*100</f>
        <v>5.0000000000000044</v>
      </c>
      <c r="DW118" s="1249"/>
      <c r="DX118" s="1455"/>
      <c r="DY118" s="918"/>
      <c r="DZ118" s="1104">
        <f ca="1">OFFSET(Sector1!$G$45,0,(COLUMN()-6)/5)</f>
        <v>27.168907500000003</v>
      </c>
      <c r="EA118" s="1403">
        <f ca="1">(DZ118/DU118-1)*100</f>
        <v>5.0000000000000044</v>
      </c>
      <c r="EB118" s="1249"/>
      <c r="EC118" s="1455"/>
      <c r="ED118" s="918"/>
      <c r="EE118" s="1104">
        <f ca="1">OFFSET(Sector1!$G$45,0,(COLUMN()-6)/5)</f>
        <v>28.527352875000005</v>
      </c>
      <c r="EF118" s="1403">
        <f ca="1">(EE118/DZ118-1)*100</f>
        <v>5.0000000000000044</v>
      </c>
    </row>
    <row r="119" spans="1:136" s="28" customFormat="1">
      <c r="A119" s="1505"/>
      <c r="C119" s="176" t="s">
        <v>1793</v>
      </c>
      <c r="D119" s="1301"/>
      <c r="E119" s="1399" t="s">
        <v>629</v>
      </c>
      <c r="F119" s="1244" t="s">
        <v>1493</v>
      </c>
      <c r="G119" s="1302"/>
      <c r="H119" s="1303"/>
      <c r="I119" s="1302"/>
      <c r="J119" s="1303">
        <f ca="1">OFFSET(Sector1!$G$88,0,(COLUMN()-6)/5)</f>
        <v>1649.6120000000001</v>
      </c>
      <c r="K119" s="1302"/>
      <c r="L119" s="1303">
        <f ca="1">OFFSET('VVP2'!$G$162,0,(COLUMN()-7)/5)</f>
        <v>1.6582743330535665</v>
      </c>
      <c r="M119" s="1303">
        <f ca="1">+J119*(1+L119/100)</f>
        <v>1676.9670923909716</v>
      </c>
      <c r="N119" s="1303">
        <f ca="1">+O119/M119*100-100</f>
        <v>1.3697888117933985</v>
      </c>
      <c r="O119" s="1303">
        <f ca="1">OFFSET(Sector1!$G$88,0,(COLUMN()-6)/5)</f>
        <v>1699.9380000000001</v>
      </c>
      <c r="P119" s="1303">
        <f ca="1">(O119/J119-1)*100</f>
        <v>3.0507780011299612</v>
      </c>
      <c r="Q119" s="1303">
        <f ca="1">OFFSET('VVP2'!$G$162,0,(COLUMN()-7)/5)</f>
        <v>3.2760595463221964</v>
      </c>
      <c r="R119" s="1303">
        <f ca="1">+O119*(1+Q119/100)</f>
        <v>1755.6289811305587</v>
      </c>
      <c r="S119" s="1303">
        <f ca="1">+T119/R119*100-100</f>
        <v>1.5261207896094078</v>
      </c>
      <c r="T119" s="1303">
        <f ca="1">OFFSET(Sector1!$G$88,0,(COLUMN()-6)/5)</f>
        <v>1782.422</v>
      </c>
      <c r="U119" s="1303">
        <f ca="1">(T119/O119-1)*100</f>
        <v>4.8521769617480226</v>
      </c>
      <c r="V119" s="1303">
        <f ca="1">OFFSET('VVP2'!$G$162,0,(COLUMN()-7)/5)</f>
        <v>4.2038355738023059</v>
      </c>
      <c r="W119" s="1303">
        <f ca="1">+T119*(1+V119/100)</f>
        <v>1857.3520901112786</v>
      </c>
      <c r="X119" s="1303">
        <f ca="1">+Y119/W119*100-100</f>
        <v>0.67143488599268153</v>
      </c>
      <c r="Y119" s="1303">
        <f ca="1">OFFSET(Sector1!$G$88,0,(COLUMN()-6)/5)</f>
        <v>1869.8230000000001</v>
      </c>
      <c r="Z119" s="1303">
        <f ca="1">(Y119/T119-1)*100</f>
        <v>4.9034964783872814</v>
      </c>
      <c r="AA119" s="1303">
        <f ca="1">OFFSET('VVP2'!$G$162,0,(COLUMN()-7)/5)</f>
        <v>4.4336129408457436</v>
      </c>
      <c r="AB119" s="1303">
        <f ca="1">+Y119*(1+AA119/100)</f>
        <v>1952.7237144989101</v>
      </c>
      <c r="AC119" s="1303">
        <f ca="1">+AD119/AB119*100-100</f>
        <v>0.98627805654687961</v>
      </c>
      <c r="AD119" s="1303">
        <f ca="1">OFFSET(Sector1!$G$88,0,(COLUMN()-6)/5)</f>
        <v>1971.9829999999999</v>
      </c>
      <c r="AE119" s="1303">
        <f ca="1">(AD119/Y119-1)*100</f>
        <v>5.4636187489403909</v>
      </c>
      <c r="AF119" s="1303">
        <f ca="1">OFFSET('VVP2'!$G$162,0,(COLUMN()-7)/5)</f>
        <v>5.328511926135171</v>
      </c>
      <c r="AG119" s="1303">
        <f ca="1">+AD119*(1+AF119/100)</f>
        <v>2077.0603493363583</v>
      </c>
      <c r="AH119" s="1303">
        <f ca="1">+AI119/AG119*100-100</f>
        <v>1.4436099881846047</v>
      </c>
      <c r="AI119" s="1303">
        <f ca="1">OFFSET(Sector1!$G$88,0,(COLUMN()-6)/5)</f>
        <v>2107.0450000000001</v>
      </c>
      <c r="AJ119" s="1303">
        <f ca="1">(AI119/AD119-1)*100</f>
        <v>6.8490448447070751</v>
      </c>
      <c r="AK119" s="1303">
        <f ca="1">OFFSET('VVP2'!$G$162,0,(COLUMN()-7)/5)</f>
        <v>1.4126985247837176</v>
      </c>
      <c r="AL119" s="1303">
        <f ca="1">+AI119*(1+AK119/100)</f>
        <v>2136.811193631529</v>
      </c>
      <c r="AM119" s="1303">
        <f ca="1">+AN119/AL119*100-100</f>
        <v>2.5396163465544248</v>
      </c>
      <c r="AN119" s="1303">
        <f ca="1">OFFSET(Sector1!$G$88,0,(COLUMN()-6)/5)</f>
        <v>2191.078</v>
      </c>
      <c r="AO119" s="1303">
        <f ca="1">(AN119/AI119-1)*100</f>
        <v>3.9881919940010668</v>
      </c>
      <c r="AP119" s="1303">
        <f ca="1">OFFSET('VVP2'!$G$162,0,(COLUMN()-7)/5)</f>
        <v>1.9294193686970829</v>
      </c>
      <c r="AQ119" s="1303">
        <f ca="1">+AN119*(1+AP119/100)</f>
        <v>2233.3530833152608</v>
      </c>
      <c r="AR119" s="1303">
        <f ca="1">+AS119/AQ119*100-100</f>
        <v>1.5904299660496406</v>
      </c>
      <c r="AS119" s="1303">
        <f ca="1">OFFSET(Sector1!$G$88,0,(COLUMN()-6)/5)</f>
        <v>2268.873</v>
      </c>
      <c r="AT119" s="1303">
        <f ca="1">(AS119/AN119-1)*100</f>
        <v>3.550535398557253</v>
      </c>
      <c r="AU119" s="1303">
        <f ca="1">OFFSET('VVP2'!$G$162,0,(COLUMN()-7)/5)</f>
        <v>2.4028158289665313</v>
      </c>
      <c r="AV119" s="1303">
        <f ca="1">+AS119*(1+AU119/100)</f>
        <v>2323.3898395831479</v>
      </c>
      <c r="AW119" s="1303">
        <f ca="1">+AX119/AV119*100-100</f>
        <v>1.7390176942540592</v>
      </c>
      <c r="AX119" s="1303">
        <f ca="1">OFFSET(Sector1!$G$88,0,(COLUMN()-6)/5)</f>
        <v>2363.7939999999999</v>
      </c>
      <c r="AY119" s="1303">
        <f ca="1">(AX119/AS119-1)*100</f>
        <v>4.1836189156466697</v>
      </c>
      <c r="AZ119" s="1303">
        <f ca="1">OFFSET('VVP2'!$G$162,0,(COLUMN()-7)/5)</f>
        <v>4.5869301107634541</v>
      </c>
      <c r="BA119" s="1303">
        <f ca="1">+AX119*(1+AZ119/100)</f>
        <v>2472.2195787424198</v>
      </c>
      <c r="BB119" s="1303">
        <f ca="1">+BC119/BA119*100-100</f>
        <v>0.32438143142850606</v>
      </c>
      <c r="BC119" s="1303">
        <f ca="1">OFFSET(Sector1!$G$88,0,(COLUMN()-6)/5)</f>
        <v>2480.239</v>
      </c>
      <c r="BD119" s="1303">
        <f ca="1">(BC119/AX119-1)*100</f>
        <v>4.9261906917438703</v>
      </c>
      <c r="BE119" s="1303">
        <f ca="1">OFFSET('VVP2'!$G$162,0,(COLUMN()-7)/5)</f>
        <v>2.6545296933220941</v>
      </c>
      <c r="BF119" s="1303">
        <f ca="1">+BC119*(1+BE119/100)</f>
        <v>2546.0776807203551</v>
      </c>
      <c r="BG119" s="1303">
        <f ca="1">+BH119/BF119*100-100</f>
        <v>0.61609743482794954</v>
      </c>
      <c r="BH119" s="1303">
        <f ca="1">OFFSET(Sector1!$G$88,0,(COLUMN()-6)/5)</f>
        <v>2561.7640000000001</v>
      </c>
      <c r="BI119" s="1303">
        <f ca="1">(BH119/BC119-1)*100</f>
        <v>3.2869816174973421</v>
      </c>
      <c r="BJ119" s="1303">
        <f ca="1">OFFSET('VVP2'!$G$162,0,(COLUMN()-7)/5)</f>
        <v>4.7963345581450545</v>
      </c>
      <c r="BK119" s="1303">
        <f ca="1">+BH119*(1+BJ119/100)</f>
        <v>2684.6347720301192</v>
      </c>
      <c r="BL119" s="1303">
        <f ca="1">+BM119/BK119*100-100</f>
        <v>1.8685308144149104</v>
      </c>
      <c r="BM119" s="1303">
        <f ca="1">OFFSET(Sector1!$G$88,0,(COLUMN()-6)/5)</f>
        <v>2734.7979999999998</v>
      </c>
      <c r="BN119" s="1303">
        <f ca="1">(BM119/BH119-1)*100</f>
        <v>6.7544863617413409</v>
      </c>
      <c r="BO119" s="1303">
        <f ca="1">OFFSET('VVP2'!$G$162,0,(COLUMN()-7)/5)</f>
        <v>3.4096518809348497</v>
      </c>
      <c r="BP119" s="1303">
        <f ca="1">+BM119*(1+BO119/100)</f>
        <v>2828.0450914467683</v>
      </c>
      <c r="BQ119" s="1303">
        <f ca="1">+BR119/BP119*100-100</f>
        <v>2.9595676818014738</v>
      </c>
      <c r="BR119" s="1303">
        <f ca="1">OFFSET(Sector1!$G$88,0,(COLUMN()-6)/5)</f>
        <v>2911.7429999999999</v>
      </c>
      <c r="BS119" s="1303">
        <f ca="1">(BR119/BM119-1)*100</f>
        <v>6.4701305178664015</v>
      </c>
      <c r="BT119" s="1303">
        <f ca="1">OFFSET('VVP2'!$G$162,0,(COLUMN()-7)/5)</f>
        <v>-0.29683205503123755</v>
      </c>
      <c r="BU119" s="1303">
        <f ca="1">+BR119*(1+BT119/100)</f>
        <v>2903.1000134158717</v>
      </c>
      <c r="BV119" s="1303">
        <f ca="1">+BW119/BU119*100-100</f>
        <v>3.2031616601011308</v>
      </c>
      <c r="BW119" s="1303">
        <f ca="1">OFFSET(Sector1!$G$88,0,(COLUMN()-6)/5)</f>
        <v>2996.0909999999999</v>
      </c>
      <c r="BX119" s="1303">
        <f ca="1">(BW119/BR119-1)*100</f>
        <v>2.8968215944882525</v>
      </c>
      <c r="BY119" s="1303">
        <f ca="1">OFFSET('VVP2'!$G$162,0,(COLUMN()-7)/5)</f>
        <v>-5.7704306743876828</v>
      </c>
      <c r="BZ119" s="1303">
        <f ca="1">+BW119*(1+BY119/100)</f>
        <v>2823.2036459034312</v>
      </c>
      <c r="CA119" s="1303">
        <f ca="1">+CB119/BZ119*100-100</f>
        <v>2.4114928512279761</v>
      </c>
      <c r="CB119" s="1303">
        <f ca="1">OFFSET(Sector1!$G$88,0,(COLUMN()-6)/5)</f>
        <v>2891.2849999999999</v>
      </c>
      <c r="CC119" s="1303">
        <f ca="1">(CB119/BW119-1)*100</f>
        <v>-3.4980913463576346</v>
      </c>
      <c r="CD119" s="1303">
        <f ca="1">OFFSET('VVP2'!$G$162,0,(COLUMN()-7)/5)</f>
        <v>6.2366750605956423</v>
      </c>
      <c r="CE119" s="1303">
        <f ca="1">+CB119*(1+CD119/100)</f>
        <v>3071.6050505257426</v>
      </c>
      <c r="CF119" s="1303">
        <f ca="1">+CG119/CE119*100-100</f>
        <v>0.87940829077730598</v>
      </c>
      <c r="CG119" s="1303">
        <f ca="1">OFFSET(Sector1!$G$88,0,(COLUMN()-6)/5)</f>
        <v>3098.6170000000002</v>
      </c>
      <c r="CH119" s="1303">
        <f ca="1">(CG119/CB119-1)*100</f>
        <v>7.1709291889246574</v>
      </c>
      <c r="CI119" s="1303">
        <f ca="1">OFFSET('VVP2'!$G$162,0,(COLUMN()-7)/5)</f>
        <v>2.9620007893844225</v>
      </c>
      <c r="CJ119" s="1303">
        <f ca="1">+CG119*(1+CI119/100)</f>
        <v>3190.39806</v>
      </c>
      <c r="CK119" s="1303">
        <f ca="1">+CL119/CJ119*100-100</f>
        <v>1.1596966680703247</v>
      </c>
      <c r="CL119" s="1303">
        <f ca="1">OFFSET(Sector1!$G$88,0,(COLUMN()-6)/5)</f>
        <v>3227.3969999999999</v>
      </c>
      <c r="CM119" s="1303">
        <f ca="1">(CL119/CG119-1)*100</f>
        <v>4.1560476819174408</v>
      </c>
      <c r="CN119" s="1303">
        <f ca="1">OFFSET('VVP2'!$G$162,0,(COLUMN()-7)/5)</f>
        <v>-0.1368804117189204</v>
      </c>
      <c r="CO119" s="1303">
        <f ca="1">+CL119*(1+CN119/100)</f>
        <v>3222.9793256985959</v>
      </c>
      <c r="CP119" s="1303">
        <f ca="1">+CQ119/CO119*100-100</f>
        <v>1.0880204542982312</v>
      </c>
      <c r="CQ119" s="1303">
        <f ca="1">OFFSET(Sector1!$G$88,0,(COLUMN()-6)/5)</f>
        <v>3258.0459999999998</v>
      </c>
      <c r="CR119" s="1303">
        <f ca="1">(CQ119/CL119-1)*100</f>
        <v>0.94965075570188073</v>
      </c>
      <c r="CS119" s="1303">
        <f ca="1">OFFSET('VVP2'!$G$162,0,(COLUMN()-7)/5)</f>
        <v>1.3386081176993692</v>
      </c>
      <c r="CT119" s="1303">
        <f ca="1">+CQ119*(1+CS119/100)</f>
        <v>3301.6584682343796</v>
      </c>
      <c r="CU119" s="1303">
        <f ca="1">+CV119/CT119*100-100</f>
        <v>1.0845316712836421</v>
      </c>
      <c r="CV119" s="1303">
        <f ca="1">OFFSET(Sector1!$G$88,0,(COLUMN()-6)/5)</f>
        <v>3337.4659999999999</v>
      </c>
      <c r="CW119" s="1303">
        <f ca="1">(CV119/CQ119-1)*100</f>
        <v>2.4376574179738375</v>
      </c>
      <c r="CX119" s="1303">
        <f ca="1">OFFSET('VVP2'!$G$162,0,(COLUMN()-7)/5)</f>
        <v>2.6583672984574536</v>
      </c>
      <c r="CY119" s="1303">
        <f ca="1">+CV119*(1+CX119/100)</f>
        <v>3426.1881047411357</v>
      </c>
      <c r="CZ119" s="1303">
        <f ca="1">+DA119/CY119*100-100</f>
        <v>1.8906695510741258</v>
      </c>
      <c r="DA119" s="1303">
        <f ca="1">OFFSET(Sector1!$G$88,0,(COLUMN()-6)/5)</f>
        <v>3490.9659999999999</v>
      </c>
      <c r="DB119" s="1303">
        <f ca="1">(DA119/CV119-1)*100</f>
        <v>4.5992977905992216</v>
      </c>
      <c r="DC119" s="1303">
        <f ca="1">OFFSET('VVP2'!$G$162,0,(COLUMN()-7)/5)</f>
        <v>4.3008575814499128</v>
      </c>
      <c r="DD119" s="1303">
        <f ca="1">+DA119*(1+DC119/100)</f>
        <v>3641.1074758768386</v>
      </c>
      <c r="DE119" s="1303">
        <f ca="1">+DF119/DD119*100-100</f>
        <v>2.206266215852807</v>
      </c>
      <c r="DF119" s="1303">
        <f ca="1">OFFSET(Sector1!$G$88,0,(COLUMN()-6)/5)</f>
        <v>3721.44</v>
      </c>
      <c r="DG119" s="1303">
        <f ca="1">(DF119/DA119-1)*100</f>
        <v>6.6020121651141794</v>
      </c>
      <c r="DH119" s="1303">
        <f ca="1">OFFSET('VVP2'!$G$162,0,(COLUMN()-7)/5)</f>
        <v>2.5579616448880627</v>
      </c>
      <c r="DI119" s="1303">
        <f ca="1">+DF119*(1+DH119/100)</f>
        <v>3816.6330078375222</v>
      </c>
      <c r="DJ119" s="1303">
        <f ca="1">+DK119/DI119*100-100</f>
        <v>1.5653323764636156</v>
      </c>
      <c r="DK119" s="1303">
        <f ca="1">OFFSET(Sector1!$G$88,0,(COLUMN()-6)/5)</f>
        <v>3876.3760000000002</v>
      </c>
      <c r="DL119" s="1303">
        <f ca="1">(DK119/DF119-1)*100</f>
        <v>4.1633346231566337</v>
      </c>
      <c r="DM119" s="1303">
        <f ca="1">OFFSET('VVP2'!$G$162,0,(COLUMN()-7)/5)</f>
        <v>2.1558791586946846</v>
      </c>
      <c r="DN119" s="1303">
        <f ca="1">+DK119*(1+DM119/100)</f>
        <v>3959.9459822966428</v>
      </c>
      <c r="DO119" s="1303">
        <f ca="1">+DP119/DN119*100-100</f>
        <v>2.2512937828422821</v>
      </c>
      <c r="DP119" s="1303">
        <f ca="1">OFFSET(Sector1!$G$88,0,(COLUMN()-6)/5)</f>
        <v>4049.096</v>
      </c>
      <c r="DQ119" s="1303">
        <f ca="1">(DP119/DK119-1)*100</f>
        <v>4.4557081150022437</v>
      </c>
      <c r="DR119" s="1467">
        <f ca="1">(DS119/DP119-1)*100</f>
        <v>2.3705674154411716</v>
      </c>
      <c r="DS119" s="1443">
        <f ca="1">+DU119/(1+DT119/100)</f>
        <v>4145.0825503959322</v>
      </c>
      <c r="DT119" s="1456">
        <f ca="1">+DT116</f>
        <v>2.4640461157058695</v>
      </c>
      <c r="DU119" s="1443">
        <f ca="1">+DU116-DU117+DU118</f>
        <v>4247.219295971765</v>
      </c>
      <c r="DV119" s="1452">
        <f ca="1">(DU119/DP119-1)*100</f>
        <v>4.8930254054674105</v>
      </c>
      <c r="DW119" s="1467">
        <f ca="1">(DX119/DU119-1)*100</f>
        <v>1.6861946515336568</v>
      </c>
      <c r="DX119" s="1443">
        <f ca="1">+DZ119/(1+DY119/100)</f>
        <v>4318.8356805793464</v>
      </c>
      <c r="DY119" s="1456">
        <f ca="1">+DY116</f>
        <v>1.9855634353397704</v>
      </c>
      <c r="DZ119" s="1443">
        <f ca="1">+DZ116-DZ117+DZ118</f>
        <v>4404.5889026853374</v>
      </c>
      <c r="EA119" s="1452">
        <f ca="1">(DZ119/DU119-1)*100</f>
        <v>3.7052385513229424</v>
      </c>
      <c r="EB119" s="1467">
        <f ca="1">(EC119/DZ119-1)*100</f>
        <v>1.7707733736364695</v>
      </c>
      <c r="EC119" s="1443">
        <f ca="1">+EE119/(1+ED119/100)</f>
        <v>4482.5841901922358</v>
      </c>
      <c r="ED119" s="1456">
        <f ca="1">+ED116</f>
        <v>1.753368210762531</v>
      </c>
      <c r="EE119" s="1443">
        <f ca="1">+EE116-EE117+EE118</f>
        <v>4561.1803964037335</v>
      </c>
      <c r="EF119" s="1452">
        <f ca="1">(EE119/DZ119-1)*100</f>
        <v>3.5551897618169903</v>
      </c>
    </row>
    <row r="137" ht="12.75" customHeight="1"/>
    <row r="157" ht="12.75" customHeight="1"/>
    <row r="165" ht="12.75" customHeight="1"/>
    <row r="177" ht="12.75" customHeight="1"/>
    <row r="193" ht="12.75" customHeight="1"/>
    <row r="197" ht="12.75" customHeight="1"/>
    <row r="217" ht="12.75" customHeight="1"/>
    <row r="221" ht="12.75" customHeight="1"/>
    <row r="237" ht="12.75" customHeight="1"/>
    <row r="249" ht="12.75" customHeight="1"/>
    <row r="257" ht="12.75" customHeight="1"/>
    <row r="277" ht="12.75" customHeight="1"/>
    <row r="297" ht="12.75" customHeight="1"/>
    <row r="305" ht="12.75" customHeight="1"/>
    <row r="333" ht="12.75" customHeight="1"/>
    <row r="361" ht="12.75" customHeight="1"/>
    <row r="389" ht="12.75" customHeight="1"/>
    <row r="417" ht="12.75" customHeight="1"/>
    <row r="445" ht="12.75" customHeight="1"/>
    <row r="473" ht="12.75" customHeight="1"/>
  </sheetData>
  <protectedRanges>
    <protectedRange sqref="F2:F3" name="Range1"/>
  </protectedRanges>
  <mergeCells count="388">
    <mergeCell ref="DM107:DQ107"/>
    <mergeCell ref="DM114:DQ114"/>
    <mergeCell ref="DM53:DQ53"/>
    <mergeCell ref="DM68:DQ68"/>
    <mergeCell ref="DM79:DQ79"/>
    <mergeCell ref="DM84:DQ84"/>
    <mergeCell ref="DM92:DQ92"/>
    <mergeCell ref="DM99:DQ99"/>
    <mergeCell ref="DM4:DQ4"/>
    <mergeCell ref="DM5:DQ5"/>
    <mergeCell ref="DM20:DQ20"/>
    <mergeCell ref="DM33:DQ33"/>
    <mergeCell ref="DM39:DQ39"/>
    <mergeCell ref="DM45:DQ45"/>
    <mergeCell ref="DH107:DL107"/>
    <mergeCell ref="DH114:DL114"/>
    <mergeCell ref="DH53:DL53"/>
    <mergeCell ref="DH68:DL68"/>
    <mergeCell ref="DH79:DL79"/>
    <mergeCell ref="DH84:DL84"/>
    <mergeCell ref="DH92:DL92"/>
    <mergeCell ref="DH99:DL99"/>
    <mergeCell ref="DH4:DL4"/>
    <mergeCell ref="DH5:DL5"/>
    <mergeCell ref="DH20:DL20"/>
    <mergeCell ref="DH33:DL33"/>
    <mergeCell ref="DH39:DL39"/>
    <mergeCell ref="DH45:DL45"/>
    <mergeCell ref="DC107:DG107"/>
    <mergeCell ref="DC114:DG114"/>
    <mergeCell ref="DC53:DG53"/>
    <mergeCell ref="DC68:DG68"/>
    <mergeCell ref="DC79:DG79"/>
    <mergeCell ref="DC84:DG84"/>
    <mergeCell ref="DC92:DG92"/>
    <mergeCell ref="DC99:DG99"/>
    <mergeCell ref="DC4:DG4"/>
    <mergeCell ref="DC5:DG5"/>
    <mergeCell ref="DC20:DG20"/>
    <mergeCell ref="DC33:DG33"/>
    <mergeCell ref="DC39:DG39"/>
    <mergeCell ref="DC45:DG45"/>
    <mergeCell ref="CS107:CW107"/>
    <mergeCell ref="CS114:CW114"/>
    <mergeCell ref="CS79:CW79"/>
    <mergeCell ref="CS84:CW84"/>
    <mergeCell ref="CS92:CW92"/>
    <mergeCell ref="CS99:CW99"/>
    <mergeCell ref="CS39:CW39"/>
    <mergeCell ref="CS45:CW45"/>
    <mergeCell ref="CS53:CW53"/>
    <mergeCell ref="CS68:CW68"/>
    <mergeCell ref="CS4:CW4"/>
    <mergeCell ref="CS5:CW5"/>
    <mergeCell ref="CS20:CW20"/>
    <mergeCell ref="CS33:CW33"/>
    <mergeCell ref="CN39:CR39"/>
    <mergeCell ref="CN45:CR45"/>
    <mergeCell ref="CN53:CR53"/>
    <mergeCell ref="CN68:CR68"/>
    <mergeCell ref="CI68:CM68"/>
    <mergeCell ref="CI79:CM79"/>
    <mergeCell ref="CI45:CM45"/>
    <mergeCell ref="CI53:CM53"/>
    <mergeCell ref="CI5:CM5"/>
    <mergeCell ref="CI20:CM20"/>
    <mergeCell ref="CI33:CM33"/>
    <mergeCell ref="CI39:CM39"/>
    <mergeCell ref="CI114:CM114"/>
    <mergeCell ref="CI84:CM84"/>
    <mergeCell ref="CI92:CM92"/>
    <mergeCell ref="CI99:CM99"/>
    <mergeCell ref="CI107:CM107"/>
    <mergeCell ref="CD107:CH107"/>
    <mergeCell ref="CD114:CH114"/>
    <mergeCell ref="CD79:CH79"/>
    <mergeCell ref="CD84:CH84"/>
    <mergeCell ref="CD92:CH92"/>
    <mergeCell ref="CD99:CH99"/>
    <mergeCell ref="CD45:CH45"/>
    <mergeCell ref="CD53:CH53"/>
    <mergeCell ref="CD68:CH68"/>
    <mergeCell ref="CD5:CH5"/>
    <mergeCell ref="CD20:CH20"/>
    <mergeCell ref="CD33:CH33"/>
    <mergeCell ref="CD39:CH39"/>
    <mergeCell ref="BT68:BX68"/>
    <mergeCell ref="BE45:BI45"/>
    <mergeCell ref="BT45:BX45"/>
    <mergeCell ref="BJ20:BN20"/>
    <mergeCell ref="BT107:BX107"/>
    <mergeCell ref="BE79:BI79"/>
    <mergeCell ref="BE84:BI84"/>
    <mergeCell ref="BE99:BI99"/>
    <mergeCell ref="BE107:BI107"/>
    <mergeCell ref="BY20:CC20"/>
    <mergeCell ref="BJ39:BN39"/>
    <mergeCell ref="BO39:BS39"/>
    <mergeCell ref="BJ33:BN33"/>
    <mergeCell ref="BO33:BS33"/>
    <mergeCell ref="BY33:CC33"/>
    <mergeCell ref="BY39:CC39"/>
    <mergeCell ref="BY45:CC45"/>
    <mergeCell ref="BY53:CC53"/>
    <mergeCell ref="BY68:CC68"/>
    <mergeCell ref="BY107:CC107"/>
    <mergeCell ref="BT114:BX114"/>
    <mergeCell ref="BT79:BX79"/>
    <mergeCell ref="BT84:BX84"/>
    <mergeCell ref="BT92:BX92"/>
    <mergeCell ref="BT99:BX99"/>
    <mergeCell ref="BO45:BS45"/>
    <mergeCell ref="BJ53:BN53"/>
    <mergeCell ref="BO53:BS53"/>
    <mergeCell ref="BT5:BX5"/>
    <mergeCell ref="BT20:BX20"/>
    <mergeCell ref="BT33:BX33"/>
    <mergeCell ref="BT39:BX39"/>
    <mergeCell ref="BT53:BX53"/>
    <mergeCell ref="BJ45:BN45"/>
    <mergeCell ref="BO68:BS68"/>
    <mergeCell ref="BJ68:BN68"/>
    <mergeCell ref="BJ79:BN79"/>
    <mergeCell ref="BO79:BS79"/>
    <mergeCell ref="BO84:BS84"/>
    <mergeCell ref="BJ84:BN84"/>
    <mergeCell ref="BJ92:BN92"/>
    <mergeCell ref="BO92:BS92"/>
    <mergeCell ref="BJ99:BN99"/>
    <mergeCell ref="BO99:BS99"/>
    <mergeCell ref="AZ45:BD45"/>
    <mergeCell ref="AZ53:BD53"/>
    <mergeCell ref="AZ68:BD68"/>
    <mergeCell ref="BE53:BI53"/>
    <mergeCell ref="BE68:BI68"/>
    <mergeCell ref="AZ107:BD107"/>
    <mergeCell ref="BE92:BI92"/>
    <mergeCell ref="BE39:BI39"/>
    <mergeCell ref="BE33:BI33"/>
    <mergeCell ref="AU33:AY33"/>
    <mergeCell ref="AU45:AY45"/>
    <mergeCell ref="AU53:AY53"/>
    <mergeCell ref="AU68:AY68"/>
    <mergeCell ref="AZ39:BD39"/>
    <mergeCell ref="AP107:AT107"/>
    <mergeCell ref="AP99:AT99"/>
    <mergeCell ref="AU39:AY39"/>
    <mergeCell ref="AP33:AT33"/>
    <mergeCell ref="AP45:AT45"/>
    <mergeCell ref="AU79:AY79"/>
    <mergeCell ref="AZ79:BD79"/>
    <mergeCell ref="AZ92:BD92"/>
    <mergeCell ref="AU92:AY92"/>
    <mergeCell ref="AU107:AY107"/>
    <mergeCell ref="AZ84:BD84"/>
    <mergeCell ref="AU84:AY84"/>
    <mergeCell ref="AU99:AY99"/>
    <mergeCell ref="AP53:AT53"/>
    <mergeCell ref="AP68:AT68"/>
    <mergeCell ref="AP39:AT39"/>
    <mergeCell ref="AP92:AT92"/>
    <mergeCell ref="AZ99:BD99"/>
    <mergeCell ref="AZ33:BD33"/>
    <mergeCell ref="AP79:AT79"/>
    <mergeCell ref="AP84:AT84"/>
    <mergeCell ref="AK99:AO99"/>
    <mergeCell ref="AK107:AO107"/>
    <mergeCell ref="AK33:AO33"/>
    <mergeCell ref="AK45:AO45"/>
    <mergeCell ref="AK53:AO53"/>
    <mergeCell ref="AK68:AO68"/>
    <mergeCell ref="AK39:AO39"/>
    <mergeCell ref="AK92:AO92"/>
    <mergeCell ref="AF84:AJ84"/>
    <mergeCell ref="AF99:AJ99"/>
    <mergeCell ref="AF39:AJ39"/>
    <mergeCell ref="AF33:AJ33"/>
    <mergeCell ref="AF45:AJ45"/>
    <mergeCell ref="AF53:AJ53"/>
    <mergeCell ref="AF68:AJ68"/>
    <mergeCell ref="AF92:AJ92"/>
    <mergeCell ref="AK79:AO79"/>
    <mergeCell ref="AK84:AO84"/>
    <mergeCell ref="V68:Z68"/>
    <mergeCell ref="Q99:U99"/>
    <mergeCell ref="Q92:U92"/>
    <mergeCell ref="Q33:U33"/>
    <mergeCell ref="Q45:U45"/>
    <mergeCell ref="Q53:U53"/>
    <mergeCell ref="Q68:U68"/>
    <mergeCell ref="AA79:AE79"/>
    <mergeCell ref="AA84:AE84"/>
    <mergeCell ref="AA99:AE99"/>
    <mergeCell ref="AA33:AE33"/>
    <mergeCell ref="AA45:AE45"/>
    <mergeCell ref="AA53:AE53"/>
    <mergeCell ref="AA68:AE68"/>
    <mergeCell ref="E33:F34"/>
    <mergeCell ref="L53:P53"/>
    <mergeCell ref="D33:D34"/>
    <mergeCell ref="G45:K45"/>
    <mergeCell ref="D68:D69"/>
    <mergeCell ref="E68:F69"/>
    <mergeCell ref="D53:D54"/>
    <mergeCell ref="E53:F54"/>
    <mergeCell ref="G33:K33"/>
    <mergeCell ref="G53:K53"/>
    <mergeCell ref="E45:F46"/>
    <mergeCell ref="D45:D46"/>
    <mergeCell ref="D39:D40"/>
    <mergeCell ref="E39:F40"/>
    <mergeCell ref="G39:K39"/>
    <mergeCell ref="AA5:AE5"/>
    <mergeCell ref="AF5:AJ5"/>
    <mergeCell ref="AK5:AO5"/>
    <mergeCell ref="Q5:U5"/>
    <mergeCell ref="L45:P45"/>
    <mergeCell ref="L5:P5"/>
    <mergeCell ref="L33:P33"/>
    <mergeCell ref="L114:P114"/>
    <mergeCell ref="V92:Z92"/>
    <mergeCell ref="AA92:AE92"/>
    <mergeCell ref="Q107:U107"/>
    <mergeCell ref="V107:Z107"/>
    <mergeCell ref="L39:P39"/>
    <mergeCell ref="Q39:U39"/>
    <mergeCell ref="V39:Z39"/>
    <mergeCell ref="AA39:AE39"/>
    <mergeCell ref="V79:Z79"/>
    <mergeCell ref="V84:Z84"/>
    <mergeCell ref="V99:Z99"/>
    <mergeCell ref="Q79:U79"/>
    <mergeCell ref="Q84:U84"/>
    <mergeCell ref="V33:Z33"/>
    <mergeCell ref="V45:Z45"/>
    <mergeCell ref="V53:Z53"/>
    <mergeCell ref="E5:F6"/>
    <mergeCell ref="G68:K68"/>
    <mergeCell ref="L68:P68"/>
    <mergeCell ref="D114:D115"/>
    <mergeCell ref="E114:F115"/>
    <mergeCell ref="G114:K114"/>
    <mergeCell ref="G5:K5"/>
    <mergeCell ref="G84:K84"/>
    <mergeCell ref="L84:P84"/>
    <mergeCell ref="D79:D80"/>
    <mergeCell ref="E79:F80"/>
    <mergeCell ref="G79:K79"/>
    <mergeCell ref="L79:P79"/>
    <mergeCell ref="D84:D85"/>
    <mergeCell ref="E84:F85"/>
    <mergeCell ref="D99:D100"/>
    <mergeCell ref="E99:F100"/>
    <mergeCell ref="G99:K99"/>
    <mergeCell ref="L99:P99"/>
    <mergeCell ref="D92:D93"/>
    <mergeCell ref="E92:F93"/>
    <mergeCell ref="G92:K92"/>
    <mergeCell ref="L92:P92"/>
    <mergeCell ref="D107:D108"/>
    <mergeCell ref="BY114:CC114"/>
    <mergeCell ref="BY79:CC79"/>
    <mergeCell ref="BY84:CC84"/>
    <mergeCell ref="BY92:CC92"/>
    <mergeCell ref="BY99:CC99"/>
    <mergeCell ref="E107:F108"/>
    <mergeCell ref="G107:K107"/>
    <mergeCell ref="L107:P107"/>
    <mergeCell ref="BJ114:BN114"/>
    <mergeCell ref="BO114:BS114"/>
    <mergeCell ref="Q114:U114"/>
    <mergeCell ref="V114:Z114"/>
    <mergeCell ref="AF114:AJ114"/>
    <mergeCell ref="AK114:AO114"/>
    <mergeCell ref="BE114:BI114"/>
    <mergeCell ref="AP114:AT114"/>
    <mergeCell ref="AU114:AY114"/>
    <mergeCell ref="AZ114:BD114"/>
    <mergeCell ref="AF107:AJ107"/>
    <mergeCell ref="BJ107:BN107"/>
    <mergeCell ref="BO107:BS107"/>
    <mergeCell ref="AA114:AE114"/>
    <mergeCell ref="AA107:AE107"/>
    <mergeCell ref="AF79:AJ79"/>
    <mergeCell ref="Q4:U4"/>
    <mergeCell ref="V4:Z4"/>
    <mergeCell ref="AA4:AE4"/>
    <mergeCell ref="AF4:AJ4"/>
    <mergeCell ref="AK4:AO4"/>
    <mergeCell ref="AP4:AT4"/>
    <mergeCell ref="CI4:CM4"/>
    <mergeCell ref="G20:K20"/>
    <mergeCell ref="L20:P20"/>
    <mergeCell ref="Q20:U20"/>
    <mergeCell ref="V20:Z20"/>
    <mergeCell ref="AA20:AE20"/>
    <mergeCell ref="AF20:AJ20"/>
    <mergeCell ref="AP5:AT5"/>
    <mergeCell ref="AU5:AY5"/>
    <mergeCell ref="BO20:BS20"/>
    <mergeCell ref="AK20:AO20"/>
    <mergeCell ref="AP20:AT20"/>
    <mergeCell ref="AU20:AY20"/>
    <mergeCell ref="BJ5:BN5"/>
    <mergeCell ref="AZ5:BD5"/>
    <mergeCell ref="BE5:BI5"/>
    <mergeCell ref="BO5:BS5"/>
    <mergeCell ref="V5:Z5"/>
    <mergeCell ref="D4:F4"/>
    <mergeCell ref="BO4:BS4"/>
    <mergeCell ref="BT4:BX4"/>
    <mergeCell ref="BY4:CC4"/>
    <mergeCell ref="CD4:CH4"/>
    <mergeCell ref="AU4:AY4"/>
    <mergeCell ref="CN107:CR107"/>
    <mergeCell ref="CN114:CR114"/>
    <mergeCell ref="CN79:CR79"/>
    <mergeCell ref="CN84:CR84"/>
    <mergeCell ref="CN92:CR92"/>
    <mergeCell ref="CN99:CR99"/>
    <mergeCell ref="CN5:CR5"/>
    <mergeCell ref="CN20:CR20"/>
    <mergeCell ref="CN33:CR33"/>
    <mergeCell ref="AZ4:BD4"/>
    <mergeCell ref="BE4:BI4"/>
    <mergeCell ref="BJ4:BN4"/>
    <mergeCell ref="CN4:CR4"/>
    <mergeCell ref="AZ20:BD20"/>
    <mergeCell ref="BE20:BI20"/>
    <mergeCell ref="BY5:CC5"/>
    <mergeCell ref="G4:K4"/>
    <mergeCell ref="L4:P4"/>
    <mergeCell ref="CX4:DB4"/>
    <mergeCell ref="CX5:DB5"/>
    <mergeCell ref="CX20:DB20"/>
    <mergeCell ref="CX33:DB33"/>
    <mergeCell ref="CX39:DB39"/>
    <mergeCell ref="CX45:DB45"/>
    <mergeCell ref="CX107:DB107"/>
    <mergeCell ref="CX114:DB114"/>
    <mergeCell ref="CX53:DB53"/>
    <mergeCell ref="CX68:DB68"/>
    <mergeCell ref="CX79:DB79"/>
    <mergeCell ref="CX84:DB84"/>
    <mergeCell ref="CX92:DB92"/>
    <mergeCell ref="CX99:DB99"/>
    <mergeCell ref="DR84:DV84"/>
    <mergeCell ref="DR92:DV92"/>
    <mergeCell ref="DR99:DV99"/>
    <mergeCell ref="DR107:DV107"/>
    <mergeCell ref="DR114:DV114"/>
    <mergeCell ref="DR4:DV4"/>
    <mergeCell ref="DR5:DV5"/>
    <mergeCell ref="DR20:DV20"/>
    <mergeCell ref="DR33:DV33"/>
    <mergeCell ref="DR39:DV39"/>
    <mergeCell ref="DR45:DV45"/>
    <mergeCell ref="DR53:DV53"/>
    <mergeCell ref="DR68:DV68"/>
    <mergeCell ref="DR79:DV79"/>
    <mergeCell ref="DW84:EA84"/>
    <mergeCell ref="DW92:EA92"/>
    <mergeCell ref="DW99:EA99"/>
    <mergeCell ref="DW107:EA107"/>
    <mergeCell ref="DW114:EA114"/>
    <mergeCell ref="DW4:EA4"/>
    <mergeCell ref="DW5:EA5"/>
    <mergeCell ref="DW20:EA20"/>
    <mergeCell ref="DW33:EA33"/>
    <mergeCell ref="DW39:EA39"/>
    <mergeCell ref="DW45:EA45"/>
    <mergeCell ref="DW53:EA53"/>
    <mergeCell ref="DW68:EA68"/>
    <mergeCell ref="DW79:EA79"/>
    <mergeCell ref="EB84:EF84"/>
    <mergeCell ref="EB92:EF92"/>
    <mergeCell ref="EB99:EF99"/>
    <mergeCell ref="EB107:EF107"/>
    <mergeCell ref="EB114:EF114"/>
    <mergeCell ref="EB4:EF4"/>
    <mergeCell ref="EB5:EF5"/>
    <mergeCell ref="EB20:EF20"/>
    <mergeCell ref="EB33:EF33"/>
    <mergeCell ref="EB39:EF39"/>
    <mergeCell ref="EB45:EF45"/>
    <mergeCell ref="EB53:EF53"/>
    <mergeCell ref="EB68:EF68"/>
    <mergeCell ref="EB79:EF79"/>
  </mergeCells>
  <phoneticPr fontId="67" type="noConversion"/>
  <conditionalFormatting sqref="O74 T74 Y74 AD74 AI74 AN74 AS74 AX74 BC74 J74 BW74 BH74 BM74 CB74 BR74 CG74">
    <cfRule type="cellIs" dxfId="120" priority="33" stopIfTrue="1" operator="notEqual">
      <formula>0</formula>
    </cfRule>
  </conditionalFormatting>
  <conditionalFormatting sqref="F3">
    <cfRule type="cellIs" dxfId="119" priority="34" stopIfTrue="1" operator="notEqual">
      <formula>$F$2</formula>
    </cfRule>
  </conditionalFormatting>
  <conditionalFormatting sqref="G4 L4 Q4 V4 AA4 AF4 AK4 AP4 AU4 AZ4 BE4 BJ4 BO4 BT4 D4 BY4 CN4 CD4">
    <cfRule type="cellIs" dxfId="118" priority="35" stopIfTrue="1" operator="notEqual">
      <formula>"ok"</formula>
    </cfRule>
  </conditionalFormatting>
  <conditionalFormatting sqref="M16 O16 R16 T16 W16 Y16 AB16 AD16 AG16 AI16 AL16 AN16 AQ16 AS16 AV16 AX16 BA16 BC16 BF16 BH16 BK16 BM16 BP16 BR16 BU16 BW16 BZ16 CB16 CE16 CG16">
    <cfRule type="cellIs" dxfId="117" priority="36" stopIfTrue="1" operator="notBetween">
      <formula>-0.1</formula>
      <formula>0.1</formula>
    </cfRule>
  </conditionalFormatting>
  <conditionalFormatting sqref="CL74">
    <cfRule type="cellIs" dxfId="116" priority="30" stopIfTrue="1" operator="notEqual">
      <formula>0</formula>
    </cfRule>
  </conditionalFormatting>
  <conditionalFormatting sqref="CI4">
    <cfRule type="cellIs" dxfId="115" priority="31" stopIfTrue="1" operator="notEqual">
      <formula>"ok"</formula>
    </cfRule>
  </conditionalFormatting>
  <conditionalFormatting sqref="CJ16 CL16">
    <cfRule type="cellIs" dxfId="114" priority="32" stopIfTrue="1" operator="notBetween">
      <formula>-0.1</formula>
      <formula>0.1</formula>
    </cfRule>
  </conditionalFormatting>
  <conditionalFormatting sqref="DA74">
    <cfRule type="cellIs" dxfId="113" priority="28" stopIfTrue="1" operator="notEqual">
      <formula>0</formula>
    </cfRule>
  </conditionalFormatting>
  <conditionalFormatting sqref="CX4 DC4">
    <cfRule type="cellIs" dxfId="112" priority="29" stopIfTrue="1" operator="notEqual">
      <formula>"ok"</formula>
    </cfRule>
  </conditionalFormatting>
  <conditionalFormatting sqref="CQ74">
    <cfRule type="cellIs" dxfId="111" priority="26" stopIfTrue="1" operator="notEqual">
      <formula>0</formula>
    </cfRule>
  </conditionalFormatting>
  <conditionalFormatting sqref="CO16 CQ16">
    <cfRule type="cellIs" dxfId="110" priority="25" stopIfTrue="1" operator="notBetween">
      <formula>-0.1</formula>
      <formula>0.1</formula>
    </cfRule>
  </conditionalFormatting>
  <conditionalFormatting sqref="CS4">
    <cfRule type="cellIs" dxfId="109" priority="22" stopIfTrue="1" operator="notEqual">
      <formula>"ok"</formula>
    </cfRule>
  </conditionalFormatting>
  <conditionalFormatting sqref="CV74">
    <cfRule type="cellIs" dxfId="108" priority="21" stopIfTrue="1" operator="notEqual">
      <formula>0</formula>
    </cfRule>
  </conditionalFormatting>
  <conditionalFormatting sqref="CT16 CV16">
    <cfRule type="cellIs" dxfId="107" priority="20" stopIfTrue="1" operator="notBetween">
      <formula>-0.1</formula>
      <formula>0.1</formula>
    </cfRule>
  </conditionalFormatting>
  <conditionalFormatting sqref="DK74">
    <cfRule type="cellIs" dxfId="106" priority="18" stopIfTrue="1" operator="notEqual">
      <formula>0</formula>
    </cfRule>
  </conditionalFormatting>
  <conditionalFormatting sqref="DH4">
    <cfRule type="cellIs" dxfId="105" priority="19" stopIfTrue="1" operator="notEqual">
      <formula>"ok"</formula>
    </cfRule>
  </conditionalFormatting>
  <conditionalFormatting sqref="CY16 DA16">
    <cfRule type="cellIs" dxfId="104" priority="17" stopIfTrue="1" operator="notBetween">
      <formula>-0.1</formula>
      <formula>0.1</formula>
    </cfRule>
  </conditionalFormatting>
  <conditionalFormatting sqref="DM4">
    <cfRule type="cellIs" dxfId="103" priority="16" stopIfTrue="1" operator="notEqual">
      <formula>"ok"</formula>
    </cfRule>
  </conditionalFormatting>
  <conditionalFormatting sqref="DF74">
    <cfRule type="cellIs" dxfId="102" priority="13" stopIfTrue="1" operator="notEqual">
      <formula>0</formula>
    </cfRule>
  </conditionalFormatting>
  <conditionalFormatting sqref="DD16 DF16">
    <cfRule type="cellIs" dxfId="101" priority="12" stopIfTrue="1" operator="notBetween">
      <formula>-0.1</formula>
      <formula>0.1</formula>
    </cfRule>
  </conditionalFormatting>
  <conditionalFormatting sqref="DU74">
    <cfRule type="cellIs" dxfId="100" priority="10" stopIfTrue="1" operator="notEqual">
      <formula>0</formula>
    </cfRule>
  </conditionalFormatting>
  <conditionalFormatting sqref="DR4">
    <cfRule type="cellIs" dxfId="99" priority="11" stopIfTrue="1" operator="notEqual">
      <formula>"ok"</formula>
    </cfRule>
  </conditionalFormatting>
  <conditionalFormatting sqref="DI16">
    <cfRule type="cellIs" dxfId="98" priority="9" stopIfTrue="1" operator="notBetween">
      <formula>-0.1</formula>
      <formula>0.1</formula>
    </cfRule>
  </conditionalFormatting>
  <conditionalFormatting sqref="DK16">
    <cfRule type="cellIs" dxfId="97" priority="8" stopIfTrue="1" operator="notBetween">
      <formula>-0.1</formula>
      <formula>0.1</formula>
    </cfRule>
  </conditionalFormatting>
  <conditionalFormatting sqref="DZ74">
    <cfRule type="cellIs" dxfId="96" priority="6" stopIfTrue="1" operator="notEqual">
      <formula>0</formula>
    </cfRule>
  </conditionalFormatting>
  <conditionalFormatting sqref="DW4">
    <cfRule type="cellIs" dxfId="95" priority="7" stopIfTrue="1" operator="notEqual">
      <formula>"ok"</formula>
    </cfRule>
  </conditionalFormatting>
  <conditionalFormatting sqref="DP74">
    <cfRule type="cellIs" dxfId="94" priority="5" stopIfTrue="1" operator="notEqual">
      <formula>0</formula>
    </cfRule>
  </conditionalFormatting>
  <conditionalFormatting sqref="DN16">
    <cfRule type="cellIs" dxfId="93" priority="4" stopIfTrue="1" operator="notBetween">
      <formula>-0.1</formula>
      <formula>0.1</formula>
    </cfRule>
  </conditionalFormatting>
  <conditionalFormatting sqref="DP16">
    <cfRule type="cellIs" dxfId="92" priority="3" stopIfTrue="1" operator="notBetween">
      <formula>-0.1</formula>
      <formula>0.1</formula>
    </cfRule>
  </conditionalFormatting>
  <conditionalFormatting sqref="EE74">
    <cfRule type="cellIs" dxfId="91" priority="1" stopIfTrue="1" operator="notEqual">
      <formula>0</formula>
    </cfRule>
  </conditionalFormatting>
  <conditionalFormatting sqref="EB4">
    <cfRule type="cellIs" dxfId="90" priority="2" stopIfTrue="1" operator="notEqual">
      <formula>"ok"</formula>
    </cfRule>
  </conditionalFormatting>
  <dataValidations disablePrompts="1" count="1">
    <dataValidation type="list" allowBlank="1" showInputMessage="1" showErrorMessage="1" sqref="F2:F3" xr:uid="{00000000-0002-0000-0600-000000000000}">
      <formula1>$B$2:$B$3</formula1>
    </dataValidation>
  </dataValidations>
  <hyperlinks>
    <hyperlink ref="E51" location="Sector1!C399" display="Follow this link to the detailed breakdown of nominal government consumption in the sector sheet" xr:uid="{00000000-0004-0000-0600-000000000000}"/>
  </hyperlinks>
  <printOptions horizontalCentered="1" verticalCentered="1"/>
  <pageMargins left="0.27559055118110237" right="0.31496062992125984" top="0.98425196850393704" bottom="0.98425196850393704" header="0.51181102362204722" footer="0.51181102362204722"/>
  <pageSetup paperSize="9" orientation="landscape" r:id="rId1"/>
  <headerFooter alignWithMargins="0"/>
  <ignoredErrors>
    <ignoredError sqref="J13" formula="1"/>
  </ignoredErrors>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08">
    <tabColor indexed="44"/>
  </sheetPr>
  <dimension ref="A1:AQ554"/>
  <sheetViews>
    <sheetView topLeftCell="B25" workbookViewId="0">
      <selection activeCell="AH23" sqref="AH23"/>
    </sheetView>
  </sheetViews>
  <sheetFormatPr defaultRowHeight="13.15"/>
  <cols>
    <col min="1" max="2" width="3.73046875" style="702" customWidth="1"/>
    <col min="3" max="3" width="4.265625" style="731" customWidth="1"/>
    <col min="4" max="4" width="4.265625" style="545" customWidth="1"/>
    <col min="5" max="5" width="42" customWidth="1"/>
    <col min="6" max="6" width="9.1328125" style="545" customWidth="1"/>
    <col min="7" max="16" width="9.265625" bestFit="1" customWidth="1"/>
    <col min="17" max="19" width="9.265625" style="564" bestFit="1" customWidth="1"/>
    <col min="20" max="32" width="9.59765625" style="564" bestFit="1" customWidth="1"/>
  </cols>
  <sheetData>
    <row r="1" spans="1:43" s="736" customFormat="1">
      <c r="A1" s="1979" t="s">
        <v>209</v>
      </c>
      <c r="B1" s="700"/>
      <c r="C1" s="731"/>
      <c r="D1" s="707"/>
      <c r="F1" s="731"/>
      <c r="Q1" s="880"/>
      <c r="R1" s="880"/>
      <c r="S1" s="880"/>
      <c r="T1" s="880"/>
      <c r="U1" s="880"/>
      <c r="V1" s="880"/>
      <c r="W1" s="880"/>
      <c r="X1" s="880"/>
      <c r="Y1" s="880"/>
      <c r="Z1" s="880"/>
      <c r="AA1" s="880"/>
      <c r="AB1" s="880"/>
      <c r="AC1" s="880"/>
      <c r="AD1" s="880"/>
      <c r="AE1" s="880"/>
      <c r="AF1" s="880"/>
      <c r="AG1" s="2939"/>
      <c r="AH1" s="2939"/>
      <c r="AI1" s="2939"/>
      <c r="AJ1" s="2939"/>
      <c r="AK1" s="2939"/>
      <c r="AL1" s="2939"/>
      <c r="AM1" s="2939"/>
      <c r="AN1" s="2939"/>
      <c r="AO1" s="2939"/>
      <c r="AP1" s="2939"/>
      <c r="AQ1" s="2939"/>
    </row>
    <row r="2" spans="1:43" s="736" customFormat="1" ht="22.5" customHeight="1">
      <c r="A2" s="590"/>
      <c r="B2" s="590"/>
      <c r="C2" s="3816" t="s">
        <v>91</v>
      </c>
      <c r="D2" s="3816"/>
      <c r="E2" s="3816"/>
      <c r="F2" s="2375">
        <v>1</v>
      </c>
      <c r="G2" s="2037" t="str">
        <f t="shared" ref="G2" si="0">IF(+G24+G30+G55+G73+G84+G95+G106+G194+G207+G213+G232+G251+G269+G280+G301+G312&lt;$F$2,"ok","Not ok")</f>
        <v>ok</v>
      </c>
      <c r="H2" s="2037" t="str">
        <f t="shared" ref="H2:AE2" ca="1" si="1">IF(+H24+H30+H55+H73+H84+H95+H106+H194+H207+H213+H232+H251+H269+H280+H301+H312&lt;$F$2,"ok","Not ok")</f>
        <v>ok</v>
      </c>
      <c r="I2" s="2037" t="str">
        <f t="shared" ca="1" si="1"/>
        <v>ok</v>
      </c>
      <c r="J2" s="2037" t="str">
        <f t="shared" ca="1" si="1"/>
        <v>ok</v>
      </c>
      <c r="K2" s="2037" t="str">
        <f t="shared" ca="1" si="1"/>
        <v>ok</v>
      </c>
      <c r="L2" s="2037" t="str">
        <f t="shared" ca="1" si="1"/>
        <v>ok</v>
      </c>
      <c r="M2" s="2037" t="str">
        <f t="shared" ca="1" si="1"/>
        <v>ok</v>
      </c>
      <c r="N2" s="2037" t="str">
        <f t="shared" ca="1" si="1"/>
        <v>ok</v>
      </c>
      <c r="O2" s="2037" t="str">
        <f t="shared" ca="1" si="1"/>
        <v>ok</v>
      </c>
      <c r="P2" s="2037" t="str">
        <f t="shared" ca="1" si="1"/>
        <v>ok</v>
      </c>
      <c r="Q2" s="2037" t="str">
        <f t="shared" ca="1" si="1"/>
        <v>ok</v>
      </c>
      <c r="R2" s="2037" t="str">
        <f t="shared" ca="1" si="1"/>
        <v>ok</v>
      </c>
      <c r="S2" s="2037" t="str">
        <f t="shared" ca="1" si="1"/>
        <v>ok</v>
      </c>
      <c r="T2" s="2037" t="str">
        <f t="shared" ca="1" si="1"/>
        <v>ok</v>
      </c>
      <c r="U2" s="2037" t="str">
        <f t="shared" ca="1" si="1"/>
        <v>ok</v>
      </c>
      <c r="V2" s="2037" t="str">
        <f t="shared" ca="1" si="1"/>
        <v>ok</v>
      </c>
      <c r="W2" s="2037" t="str">
        <f t="shared" ca="1" si="1"/>
        <v>ok</v>
      </c>
      <c r="X2" s="2037" t="str">
        <f t="shared" ca="1" si="1"/>
        <v>ok</v>
      </c>
      <c r="Y2" s="2037" t="str">
        <f t="shared" ca="1" si="1"/>
        <v>ok</v>
      </c>
      <c r="Z2" s="2037" t="str">
        <f t="shared" ca="1" si="1"/>
        <v>ok</v>
      </c>
      <c r="AA2" s="2037" t="str">
        <f t="shared" ca="1" si="1"/>
        <v>ok</v>
      </c>
      <c r="AB2" s="2037" t="str">
        <f t="shared" ca="1" si="1"/>
        <v>ok</v>
      </c>
      <c r="AC2" s="2037" t="str">
        <f t="shared" ca="1" si="1"/>
        <v>ok</v>
      </c>
      <c r="AD2" s="2037" t="str">
        <f t="shared" ca="1" si="1"/>
        <v>ok</v>
      </c>
      <c r="AE2" s="2037" t="str">
        <f t="shared" ca="1" si="1"/>
        <v>ok</v>
      </c>
      <c r="AF2" s="2037" t="str">
        <f t="shared" ref="AF2" ca="1" si="2">IF(+AF24+AF30+AF55+AF73+AF84+AF95+AF106+AF194+AF207+AF213+AF232+AF251+AF269+AF280+AF301+AF312&lt;$F$2,"ok","Not ok")</f>
        <v>ok</v>
      </c>
      <c r="AG2" s="2939"/>
      <c r="AH2" s="2939"/>
      <c r="AI2" s="2939"/>
      <c r="AJ2" s="2939"/>
      <c r="AK2" s="2939"/>
      <c r="AL2" s="2939"/>
      <c r="AM2" s="2939"/>
      <c r="AN2" s="2939"/>
      <c r="AO2" s="2939"/>
      <c r="AP2" s="2939"/>
      <c r="AQ2" s="2939"/>
    </row>
    <row r="3" spans="1:43" ht="12.75" customHeight="1">
      <c r="T3" s="217"/>
      <c r="U3" s="217"/>
      <c r="V3" s="217"/>
      <c r="W3" s="217"/>
      <c r="X3" s="217"/>
      <c r="Y3" s="217"/>
      <c r="Z3" s="217"/>
      <c r="AA3" s="217"/>
      <c r="AB3" s="217"/>
      <c r="AC3" s="217"/>
      <c r="AD3" s="217"/>
      <c r="AE3" s="217"/>
      <c r="AF3" s="217"/>
    </row>
    <row r="4" spans="1:43" s="217" customFormat="1" ht="22.5" customHeight="1">
      <c r="A4" s="1170"/>
      <c r="B4" s="702"/>
      <c r="C4" s="3816" t="s">
        <v>1331</v>
      </c>
      <c r="D4" s="3816"/>
      <c r="E4" s="3816"/>
      <c r="F4" s="3816"/>
      <c r="Q4" s="564"/>
      <c r="R4" s="564"/>
      <c r="S4" s="564"/>
    </row>
    <row r="5" spans="1:43">
      <c r="T5" s="217"/>
      <c r="U5" s="217"/>
      <c r="V5" s="217"/>
      <c r="W5" s="217"/>
      <c r="X5" s="217"/>
      <c r="Y5" s="217"/>
      <c r="Z5" s="217"/>
      <c r="AA5" s="217"/>
      <c r="AB5" s="217"/>
      <c r="AC5" s="217"/>
      <c r="AD5" s="217"/>
      <c r="AE5" s="217"/>
      <c r="AF5" s="217"/>
    </row>
    <row r="6" spans="1:43">
      <c r="A6" s="1170"/>
      <c r="D6" s="1215"/>
      <c r="E6" s="1169" t="s">
        <v>498</v>
      </c>
      <c r="F6" s="1216"/>
      <c r="G6" s="744">
        <f>+InputY!$G$3</f>
        <v>1995</v>
      </c>
      <c r="H6" s="744">
        <f>+G6+1</f>
        <v>1996</v>
      </c>
      <c r="I6" s="744">
        <f t="shared" ref="I6:O6" si="3">+H6+1</f>
        <v>1997</v>
      </c>
      <c r="J6" s="744">
        <f t="shared" si="3"/>
        <v>1998</v>
      </c>
      <c r="K6" s="744">
        <f t="shared" si="3"/>
        <v>1999</v>
      </c>
      <c r="L6" s="744">
        <f t="shared" si="3"/>
        <v>2000</v>
      </c>
      <c r="M6" s="744">
        <f t="shared" si="3"/>
        <v>2001</v>
      </c>
      <c r="N6" s="744">
        <f t="shared" si="3"/>
        <v>2002</v>
      </c>
      <c r="O6" s="744">
        <f t="shared" si="3"/>
        <v>2003</v>
      </c>
      <c r="P6" s="744">
        <f>+O6+1</f>
        <v>2004</v>
      </c>
      <c r="Q6" s="744">
        <f>+P6+1</f>
        <v>2005</v>
      </c>
      <c r="R6" s="744">
        <f>+Q6+1</f>
        <v>2006</v>
      </c>
      <c r="S6" s="744">
        <f>+R6+1</f>
        <v>2007</v>
      </c>
      <c r="T6" s="744">
        <f t="shared" ref="T6:AF6" si="4">+S6+1</f>
        <v>2008</v>
      </c>
      <c r="U6" s="744">
        <f t="shared" si="4"/>
        <v>2009</v>
      </c>
      <c r="V6" s="744">
        <f t="shared" si="4"/>
        <v>2010</v>
      </c>
      <c r="W6" s="744">
        <f t="shared" si="4"/>
        <v>2011</v>
      </c>
      <c r="X6" s="744">
        <f t="shared" si="4"/>
        <v>2012</v>
      </c>
      <c r="Y6" s="744">
        <f t="shared" si="4"/>
        <v>2013</v>
      </c>
      <c r="Z6" s="744">
        <f t="shared" si="4"/>
        <v>2014</v>
      </c>
      <c r="AA6" s="744">
        <f t="shared" si="4"/>
        <v>2015</v>
      </c>
      <c r="AB6" s="744">
        <f t="shared" si="4"/>
        <v>2016</v>
      </c>
      <c r="AC6" s="744">
        <f t="shared" si="4"/>
        <v>2017</v>
      </c>
      <c r="AD6" s="744">
        <f t="shared" si="4"/>
        <v>2018</v>
      </c>
      <c r="AE6" s="744">
        <f t="shared" si="4"/>
        <v>2019</v>
      </c>
      <c r="AF6" s="744">
        <f t="shared" si="4"/>
        <v>2020</v>
      </c>
    </row>
    <row r="7" spans="1:43">
      <c r="A7" s="701">
        <f>+ROW(InputY!A19)</f>
        <v>19</v>
      </c>
      <c r="B7" s="702" t="s">
        <v>317</v>
      </c>
      <c r="C7" s="1122"/>
      <c r="D7" s="1126"/>
      <c r="E7" s="1127" t="s">
        <v>1998</v>
      </c>
      <c r="F7" s="1129" t="s">
        <v>1258</v>
      </c>
      <c r="G7" s="1128">
        <f>+InputY!G19/1000</f>
        <v>1109.9633799999999</v>
      </c>
      <c r="H7" s="1128">
        <f>+InputY!H19/1000</f>
        <v>1130.08321</v>
      </c>
      <c r="I7" s="1128">
        <f>+InputY!I19/1000</f>
        <v>1161.8601899999999</v>
      </c>
      <c r="J7" s="1128">
        <f>+InputY!J19/1000</f>
        <v>1200.21576</v>
      </c>
      <c r="K7" s="1128">
        <f>+InputY!K19/1000</f>
        <v>1248.5778799999998</v>
      </c>
      <c r="L7" s="1128">
        <f>+InputY!L19/1000</f>
        <v>1314.1064699999999</v>
      </c>
      <c r="M7" s="1128">
        <f>+InputY!M19/1000</f>
        <v>1323.71371</v>
      </c>
      <c r="N7" s="1128">
        <f>+InputY!N19/1000</f>
        <v>1358.22486</v>
      </c>
      <c r="O7" s="1128">
        <f>+InputY!O19/1000</f>
        <v>1389.6616200000001</v>
      </c>
      <c r="P7" s="1128">
        <f>+InputY!P19/1000</f>
        <v>1428.42317</v>
      </c>
      <c r="Q7" s="1128">
        <f>+InputY!Q19/1000</f>
        <v>1467.9538</v>
      </c>
      <c r="R7" s="1128">
        <f>+InputY!R19/1000</f>
        <v>1507.16993</v>
      </c>
      <c r="S7" s="1128">
        <f>+InputY!S19/1000</f>
        <v>1564.3635400000001</v>
      </c>
      <c r="T7" s="1128">
        <f>+InputY!T19/1000</f>
        <v>1567.9268300000001</v>
      </c>
      <c r="U7" s="1128">
        <f>+InputY!U19/1000</f>
        <v>1573.4275700000001</v>
      </c>
      <c r="V7" s="1128">
        <f>+InputY!V19/1000</f>
        <v>1634.64</v>
      </c>
      <c r="W7" s="1128">
        <f>+InputY!W19/1000</f>
        <v>1665.1523400000001</v>
      </c>
      <c r="X7" s="1128">
        <f>+InputY!X19/1000</f>
        <v>1678.29809</v>
      </c>
      <c r="Y7" s="1128">
        <f>+InputY!Y19/1000</f>
        <v>1709.49469</v>
      </c>
      <c r="Z7" s="1128">
        <f>+InputY!Z19/1000</f>
        <v>1745.8680099999999</v>
      </c>
      <c r="AA7" s="1128">
        <f>+InputY!AA19/1000</f>
        <v>1800.3217400000001</v>
      </c>
      <c r="AB7" s="1128">
        <f>+InputY!AB19/1000</f>
        <v>1851.87833</v>
      </c>
      <c r="AC7" s="1128">
        <f>+InputY!AC19/1000</f>
        <v>1892.85943</v>
      </c>
      <c r="AD7" s="1388">
        <f ca="1">+AC7*(1+AD10/100)</f>
        <v>1938.2880563200001</v>
      </c>
      <c r="AE7" s="1388">
        <f ca="1">+AD7*(1+AE10/100)</f>
        <v>1983.4501680322562</v>
      </c>
      <c r="AF7" s="1388">
        <f ca="1">+AE7*(1+AF10/100)</f>
        <v>2025.1026215609334</v>
      </c>
    </row>
    <row r="9" spans="1:43" s="736" customFormat="1" ht="12.75" customHeight="1">
      <c r="A9" s="701"/>
      <c r="B9" s="701"/>
      <c r="C9" s="811"/>
      <c r="D9" s="1132"/>
      <c r="E9" s="1133" t="s">
        <v>993</v>
      </c>
      <c r="F9" s="1134"/>
      <c r="G9" s="933">
        <f>+InputY!$G$3</f>
        <v>1995</v>
      </c>
      <c r="H9" s="933">
        <f>+G9+1</f>
        <v>1996</v>
      </c>
      <c r="I9" s="933">
        <f t="shared" ref="I9:O9" si="5">+H9+1</f>
        <v>1997</v>
      </c>
      <c r="J9" s="933">
        <f t="shared" si="5"/>
        <v>1998</v>
      </c>
      <c r="K9" s="933">
        <f t="shared" si="5"/>
        <v>1999</v>
      </c>
      <c r="L9" s="933">
        <f t="shared" si="5"/>
        <v>2000</v>
      </c>
      <c r="M9" s="933">
        <f t="shared" si="5"/>
        <v>2001</v>
      </c>
      <c r="N9" s="933">
        <f t="shared" si="5"/>
        <v>2002</v>
      </c>
      <c r="O9" s="933">
        <f t="shared" si="5"/>
        <v>2003</v>
      </c>
      <c r="P9" s="933">
        <f>+O9+1</f>
        <v>2004</v>
      </c>
      <c r="Q9" s="933">
        <f>+P9+1</f>
        <v>2005</v>
      </c>
      <c r="R9" s="933">
        <f>+Q9+1</f>
        <v>2006</v>
      </c>
      <c r="S9" s="933">
        <f>+R9+1</f>
        <v>2007</v>
      </c>
      <c r="T9" s="933">
        <f t="shared" ref="T9:AF9" si="6">+S9+1</f>
        <v>2008</v>
      </c>
      <c r="U9" s="933">
        <f t="shared" si="6"/>
        <v>2009</v>
      </c>
      <c r="V9" s="933">
        <f t="shared" si="6"/>
        <v>2010</v>
      </c>
      <c r="W9" s="933">
        <f t="shared" si="6"/>
        <v>2011</v>
      </c>
      <c r="X9" s="933">
        <f t="shared" si="6"/>
        <v>2012</v>
      </c>
      <c r="Y9" s="933">
        <f t="shared" si="6"/>
        <v>2013</v>
      </c>
      <c r="Z9" s="933">
        <f t="shared" si="6"/>
        <v>2014</v>
      </c>
      <c r="AA9" s="933">
        <f t="shared" si="6"/>
        <v>2015</v>
      </c>
      <c r="AB9" s="933">
        <f t="shared" si="6"/>
        <v>2016</v>
      </c>
      <c r="AC9" s="933">
        <f t="shared" si="6"/>
        <v>2017</v>
      </c>
      <c r="AD9" s="933">
        <f t="shared" si="6"/>
        <v>2018</v>
      </c>
      <c r="AE9" s="933">
        <f t="shared" si="6"/>
        <v>2019</v>
      </c>
      <c r="AF9" s="933">
        <f t="shared" si="6"/>
        <v>2020</v>
      </c>
    </row>
    <row r="10" spans="1:43" s="736" customFormat="1" ht="12.75" customHeight="1">
      <c r="A10" s="701"/>
      <c r="B10" s="701"/>
      <c r="C10" s="835"/>
      <c r="D10" s="870"/>
      <c r="E10" s="871" t="s">
        <v>1998</v>
      </c>
      <c r="F10" s="1154" t="s">
        <v>1258</v>
      </c>
      <c r="G10" s="1155"/>
      <c r="H10" s="1155">
        <f>+(H7/G7-1)*100</f>
        <v>1.8126570986513268</v>
      </c>
      <c r="I10" s="1155">
        <f t="shared" ref="I10:AC10" si="7">+(I7/H7-1)*100</f>
        <v>2.811915062431547</v>
      </c>
      <c r="J10" s="1155">
        <f t="shared" si="7"/>
        <v>3.3012207776909941</v>
      </c>
      <c r="K10" s="1155">
        <f t="shared" si="7"/>
        <v>4.0294521711662812</v>
      </c>
      <c r="L10" s="1155">
        <f t="shared" si="7"/>
        <v>5.2482581222726976</v>
      </c>
      <c r="M10" s="1155">
        <f t="shared" si="7"/>
        <v>0.73108535870765046</v>
      </c>
      <c r="N10" s="1155">
        <f t="shared" si="7"/>
        <v>2.6071460723935624</v>
      </c>
      <c r="O10" s="1155">
        <f t="shared" si="7"/>
        <v>2.3145475337566834</v>
      </c>
      <c r="P10" s="1155">
        <f t="shared" si="7"/>
        <v>2.7892797384733159</v>
      </c>
      <c r="Q10" s="1155">
        <f t="shared" si="7"/>
        <v>2.7674313067884482</v>
      </c>
      <c r="R10" s="1155">
        <f t="shared" si="7"/>
        <v>2.6714825766315009</v>
      </c>
      <c r="S10" s="1155">
        <f t="shared" si="7"/>
        <v>3.7947685169116951</v>
      </c>
      <c r="T10" s="1155">
        <f t="shared" si="7"/>
        <v>0.22777889594640666</v>
      </c>
      <c r="U10" s="1155">
        <f t="shared" si="7"/>
        <v>0.35082887126818285</v>
      </c>
      <c r="V10" s="1155">
        <f t="shared" si="7"/>
        <v>3.8903875314705516</v>
      </c>
      <c r="W10" s="1155">
        <f t="shared" si="7"/>
        <v>1.8666091616502678</v>
      </c>
      <c r="X10" s="1155">
        <f t="shared" si="7"/>
        <v>0.78946230229000047</v>
      </c>
      <c r="Y10" s="1155">
        <f t="shared" si="7"/>
        <v>1.8588235418893984</v>
      </c>
      <c r="Z10" s="1155">
        <f t="shared" si="7"/>
        <v>2.1277234853534388</v>
      </c>
      <c r="AA10" s="1155">
        <f t="shared" si="7"/>
        <v>3.1190061154737769</v>
      </c>
      <c r="AB10" s="1155">
        <f t="shared" si="7"/>
        <v>2.8637431218266451</v>
      </c>
      <c r="AC10" s="3608">
        <f t="shared" si="7"/>
        <v>2.2129477588303637</v>
      </c>
      <c r="AD10" s="1474">
        <f ca="1">OFFSET('VVP1'!$G$35,0,5*(COLUMN()-7))</f>
        <v>2.4</v>
      </c>
      <c r="AE10" s="1474">
        <f ca="1">OFFSET('VVP1'!$G$35,0,5*(COLUMN()-7))</f>
        <v>2.33</v>
      </c>
      <c r="AF10" s="1474">
        <f ca="1">OFFSET('VVP1'!$G$35,0,5*(COLUMN()-7))</f>
        <v>2.1</v>
      </c>
    </row>
    <row r="12" spans="1:43">
      <c r="A12" s="1170"/>
      <c r="D12" s="1215"/>
      <c r="E12" s="1169" t="s">
        <v>499</v>
      </c>
      <c r="F12" s="1216"/>
      <c r="G12" s="744">
        <f>+InputY!$G$3</f>
        <v>1995</v>
      </c>
      <c r="H12" s="744">
        <f>+G12+1</f>
        <v>1996</v>
      </c>
      <c r="I12" s="744">
        <f t="shared" ref="I12:O12" si="8">+H12+1</f>
        <v>1997</v>
      </c>
      <c r="J12" s="744">
        <f t="shared" si="8"/>
        <v>1998</v>
      </c>
      <c r="K12" s="744">
        <f t="shared" si="8"/>
        <v>1999</v>
      </c>
      <c r="L12" s="744">
        <f t="shared" si="8"/>
        <v>2000</v>
      </c>
      <c r="M12" s="744">
        <f t="shared" si="8"/>
        <v>2001</v>
      </c>
      <c r="N12" s="744">
        <f t="shared" si="8"/>
        <v>2002</v>
      </c>
      <c r="O12" s="744">
        <f t="shared" si="8"/>
        <v>2003</v>
      </c>
      <c r="P12" s="744">
        <f>+O12+1</f>
        <v>2004</v>
      </c>
      <c r="Q12" s="744">
        <f>+P12+1</f>
        <v>2005</v>
      </c>
      <c r="R12" s="744">
        <f>+Q12+1</f>
        <v>2006</v>
      </c>
      <c r="S12" s="744">
        <f>+R12+1</f>
        <v>2007</v>
      </c>
      <c r="T12" s="744">
        <f t="shared" ref="T12:AF12" si="9">+S12+1</f>
        <v>2008</v>
      </c>
      <c r="U12" s="744">
        <f t="shared" si="9"/>
        <v>2009</v>
      </c>
      <c r="V12" s="744">
        <f t="shared" si="9"/>
        <v>2010</v>
      </c>
      <c r="W12" s="744">
        <f t="shared" si="9"/>
        <v>2011</v>
      </c>
      <c r="X12" s="744">
        <f t="shared" si="9"/>
        <v>2012</v>
      </c>
      <c r="Y12" s="744">
        <f t="shared" si="9"/>
        <v>2013</v>
      </c>
      <c r="Z12" s="744">
        <f t="shared" si="9"/>
        <v>2014</v>
      </c>
      <c r="AA12" s="744">
        <f t="shared" si="9"/>
        <v>2015</v>
      </c>
      <c r="AB12" s="744">
        <f t="shared" si="9"/>
        <v>2016</v>
      </c>
      <c r="AC12" s="744">
        <f t="shared" si="9"/>
        <v>2017</v>
      </c>
      <c r="AD12" s="744">
        <f t="shared" si="9"/>
        <v>2018</v>
      </c>
      <c r="AE12" s="744">
        <f t="shared" si="9"/>
        <v>2019</v>
      </c>
      <c r="AF12" s="744">
        <f t="shared" si="9"/>
        <v>2020</v>
      </c>
    </row>
    <row r="13" spans="1:43">
      <c r="A13" s="701">
        <f>+ROW(InputY!A22)</f>
        <v>22</v>
      </c>
      <c r="B13" s="702" t="s">
        <v>318</v>
      </c>
      <c r="C13" s="1122" t="s">
        <v>1793</v>
      </c>
      <c r="D13" s="1126"/>
      <c r="E13" s="1127" t="s">
        <v>1998</v>
      </c>
      <c r="F13" s="1129" t="s">
        <v>699</v>
      </c>
      <c r="G13" s="1128">
        <f>+InputY!G22/1000</f>
        <v>770.73362999999995</v>
      </c>
      <c r="H13" s="1128">
        <f>+InputY!H22/1000</f>
        <v>769.76168999999993</v>
      </c>
      <c r="I13" s="1128">
        <f>+InputY!I22/1000</f>
        <v>766.21629000000007</v>
      </c>
      <c r="J13" s="1128">
        <f>+InputY!J22/1000</f>
        <v>795.29137000000003</v>
      </c>
      <c r="K13" s="1128">
        <f>+InputY!K22/1000</f>
        <v>809.20065</v>
      </c>
      <c r="L13" s="1128">
        <f>+InputY!L22/1000</f>
        <v>801.86030000000005</v>
      </c>
      <c r="M13" s="1128">
        <f>+InputY!M22/1000</f>
        <v>803.23853000000008</v>
      </c>
      <c r="N13" s="1128">
        <f>+InputY!N22/1000</f>
        <v>820.10041999999999</v>
      </c>
      <c r="O13" s="1128">
        <f>+InputY!O22/1000</f>
        <v>825.60109</v>
      </c>
      <c r="P13" s="1128">
        <f>+InputY!P22/1000</f>
        <v>823.70272999999997</v>
      </c>
      <c r="Q13" s="1128">
        <f>+InputY!Q22/1000</f>
        <v>826.76567</v>
      </c>
      <c r="R13" s="1128">
        <f>+InputY!R22/1000</f>
        <v>840.09003000000007</v>
      </c>
      <c r="S13" s="1128">
        <f>+InputY!S22/1000</f>
        <v>844.30266000000006</v>
      </c>
      <c r="T13" s="1128">
        <f>+InputY!T22/1000</f>
        <v>855.58156999999994</v>
      </c>
      <c r="U13" s="1128">
        <f>+InputY!U22/1000</f>
        <v>874.8759399999999</v>
      </c>
      <c r="V13" s="1128">
        <f>+InputY!V22/1000</f>
        <v>886.37199999999996</v>
      </c>
      <c r="W13" s="1128">
        <f>+InputY!W22/1000</f>
        <v>893.69484</v>
      </c>
      <c r="X13" s="1128">
        <f>+InputY!X22/1000</f>
        <v>903.59726999999998</v>
      </c>
      <c r="Y13" s="1128">
        <f>+InputY!Y22/1000</f>
        <v>915.25794999999994</v>
      </c>
      <c r="Z13" s="1128">
        <f>+InputY!Z22/1000</f>
        <v>929.0928100000001</v>
      </c>
      <c r="AA13" s="1128">
        <f>+InputY!AA22/1000</f>
        <v>951.47900000000004</v>
      </c>
      <c r="AB13" s="1128">
        <f>+InputY!AB22/1000</f>
        <v>985.74741000000006</v>
      </c>
      <c r="AC13" s="1128">
        <f>+InputY!AC22/1000</f>
        <v>985.72027000000003</v>
      </c>
      <c r="AD13" s="1388">
        <f ca="1">+AC13*(1+AD16/100)</f>
        <v>996.16890486199998</v>
      </c>
      <c r="AE13" s="1388">
        <f ca="1">+AD13*(1+AE16/100)</f>
        <v>1005.1344250057579</v>
      </c>
      <c r="AF13" s="1388">
        <f ca="1">+AE13*(1+AF16/100)</f>
        <v>1014.4821751583115</v>
      </c>
    </row>
    <row r="15" spans="1:43" s="736" customFormat="1" ht="12.75" customHeight="1">
      <c r="A15" s="701"/>
      <c r="B15" s="701"/>
      <c r="C15" s="811"/>
      <c r="D15" s="1132"/>
      <c r="E15" s="1133" t="s">
        <v>1623</v>
      </c>
      <c r="F15" s="1134"/>
      <c r="G15" s="933">
        <f>+InputY!$G$3</f>
        <v>1995</v>
      </c>
      <c r="H15" s="933">
        <f>+G15+1</f>
        <v>1996</v>
      </c>
      <c r="I15" s="933">
        <f t="shared" ref="I15:O15" si="10">+H15+1</f>
        <v>1997</v>
      </c>
      <c r="J15" s="933">
        <f t="shared" si="10"/>
        <v>1998</v>
      </c>
      <c r="K15" s="933">
        <f t="shared" si="10"/>
        <v>1999</v>
      </c>
      <c r="L15" s="933">
        <f t="shared" si="10"/>
        <v>2000</v>
      </c>
      <c r="M15" s="933">
        <f t="shared" si="10"/>
        <v>2001</v>
      </c>
      <c r="N15" s="933">
        <f t="shared" si="10"/>
        <v>2002</v>
      </c>
      <c r="O15" s="933">
        <f t="shared" si="10"/>
        <v>2003</v>
      </c>
      <c r="P15" s="933">
        <f>+O15+1</f>
        <v>2004</v>
      </c>
      <c r="Q15" s="933">
        <f>+P15+1</f>
        <v>2005</v>
      </c>
      <c r="R15" s="933">
        <f>+Q15+1</f>
        <v>2006</v>
      </c>
      <c r="S15" s="933">
        <f>+R15+1</f>
        <v>2007</v>
      </c>
      <c r="T15" s="933">
        <f t="shared" ref="T15:AF15" si="11">+S15+1</f>
        <v>2008</v>
      </c>
      <c r="U15" s="933">
        <f t="shared" si="11"/>
        <v>2009</v>
      </c>
      <c r="V15" s="933">
        <f t="shared" si="11"/>
        <v>2010</v>
      </c>
      <c r="W15" s="933">
        <f t="shared" si="11"/>
        <v>2011</v>
      </c>
      <c r="X15" s="933">
        <f t="shared" si="11"/>
        <v>2012</v>
      </c>
      <c r="Y15" s="933">
        <f t="shared" si="11"/>
        <v>2013</v>
      </c>
      <c r="Z15" s="933">
        <f t="shared" si="11"/>
        <v>2014</v>
      </c>
      <c r="AA15" s="933">
        <f t="shared" si="11"/>
        <v>2015</v>
      </c>
      <c r="AB15" s="933">
        <f t="shared" si="11"/>
        <v>2016</v>
      </c>
      <c r="AC15" s="933">
        <f t="shared" si="11"/>
        <v>2017</v>
      </c>
      <c r="AD15" s="933">
        <f t="shared" si="11"/>
        <v>2018</v>
      </c>
      <c r="AE15" s="933">
        <f t="shared" si="11"/>
        <v>2019</v>
      </c>
      <c r="AF15" s="933">
        <f t="shared" si="11"/>
        <v>2020</v>
      </c>
    </row>
    <row r="16" spans="1:43" s="736" customFormat="1" ht="12.75" customHeight="1">
      <c r="A16" s="701"/>
      <c r="B16" s="701"/>
      <c r="C16" s="835" t="s">
        <v>1793</v>
      </c>
      <c r="D16" s="870"/>
      <c r="E16" s="871" t="s">
        <v>1998</v>
      </c>
      <c r="F16" s="1154" t="s">
        <v>699</v>
      </c>
      <c r="G16" s="1155"/>
      <c r="H16" s="1155">
        <f>(H13/G13-1)*100</f>
        <v>-0.12610582465436559</v>
      </c>
      <c r="I16" s="1155">
        <f t="shared" ref="I16:AC16" si="12">(I13/H13-1)*100</f>
        <v>-0.46058410623160961</v>
      </c>
      <c r="J16" s="1155">
        <f t="shared" si="12"/>
        <v>3.7946308867956802</v>
      </c>
      <c r="K16" s="1155">
        <f t="shared" si="12"/>
        <v>1.7489539714230729</v>
      </c>
      <c r="L16" s="1155">
        <f t="shared" si="12"/>
        <v>-0.90711123378360847</v>
      </c>
      <c r="M16" s="1155">
        <f t="shared" si="12"/>
        <v>0.17187906671523034</v>
      </c>
      <c r="N16" s="1155">
        <f t="shared" si="12"/>
        <v>2.0992381926698611</v>
      </c>
      <c r="O16" s="1155">
        <f t="shared" si="12"/>
        <v>0.67073127459196247</v>
      </c>
      <c r="P16" s="1155">
        <f t="shared" si="12"/>
        <v>-0.22993671192949039</v>
      </c>
      <c r="Q16" s="1155">
        <f t="shared" si="12"/>
        <v>0.37185016978151797</v>
      </c>
      <c r="R16" s="1155">
        <f t="shared" si="12"/>
        <v>1.6116247303785691</v>
      </c>
      <c r="S16" s="1155">
        <f t="shared" si="12"/>
        <v>0.50144982675248695</v>
      </c>
      <c r="T16" s="1155">
        <f t="shared" si="12"/>
        <v>1.3358846932923107</v>
      </c>
      <c r="U16" s="1155">
        <f t="shared" si="12"/>
        <v>2.2551175336794627</v>
      </c>
      <c r="V16" s="1155">
        <f t="shared" si="12"/>
        <v>1.3140217343272864</v>
      </c>
      <c r="W16" s="1155">
        <f t="shared" si="12"/>
        <v>0.82615876855316461</v>
      </c>
      <c r="X16" s="1155">
        <f t="shared" si="12"/>
        <v>1.1080325807856228</v>
      </c>
      <c r="Y16" s="1155">
        <f t="shared" si="12"/>
        <v>1.2904731330142249</v>
      </c>
      <c r="Z16" s="1155">
        <f t="shared" si="12"/>
        <v>1.5115804238575725</v>
      </c>
      <c r="AA16" s="1155">
        <f t="shared" si="12"/>
        <v>2.4094675751499928</v>
      </c>
      <c r="AB16" s="1155">
        <f t="shared" si="12"/>
        <v>3.6015939395404484</v>
      </c>
      <c r="AC16" s="1155">
        <f t="shared" si="12"/>
        <v>-2.7532408124697483E-3</v>
      </c>
      <c r="AD16" s="1474">
        <f ca="1">OFFSET('VVP1'!$G$49,0,5*(COLUMN()-7))</f>
        <v>1.06</v>
      </c>
      <c r="AE16" s="1474">
        <f ca="1">OFFSET('VVP1'!$G$49,0,5*(COLUMN()-7))</f>
        <v>0.9</v>
      </c>
      <c r="AF16" s="1474">
        <f ca="1">OFFSET('VVP1'!$G$49,0,5*(COLUMN()-7))</f>
        <v>0.93</v>
      </c>
    </row>
    <row r="17" spans="1:32">
      <c r="V17" s="3605">
        <f>V29/V125</f>
        <v>0.22337806882523076</v>
      </c>
      <c r="W17" s="3605">
        <f t="shared" ref="W17:AF17" si="13">W29/W125</f>
        <v>0.22995701097690915</v>
      </c>
      <c r="X17" s="3605">
        <f t="shared" si="13"/>
        <v>0.22999165002141134</v>
      </c>
      <c r="Y17" s="3605">
        <f t="shared" si="13"/>
        <v>0.22859302612335261</v>
      </c>
      <c r="Z17" s="3605">
        <f t="shared" si="13"/>
        <v>0.23491206868084888</v>
      </c>
      <c r="AA17" s="3605">
        <f t="shared" si="13"/>
        <v>0.23984691740067429</v>
      </c>
      <c r="AB17" s="3605">
        <f t="shared" si="13"/>
        <v>0.24329371180469558</v>
      </c>
      <c r="AC17" s="3605">
        <f t="shared" si="13"/>
        <v>0.25268199318342488</v>
      </c>
      <c r="AD17" s="3605">
        <f t="shared" ca="1" si="13"/>
        <v>0.25555425067917731</v>
      </c>
      <c r="AE17" s="3605">
        <f t="shared" ca="1" si="13"/>
        <v>0.25611196557096133</v>
      </c>
      <c r="AF17" s="3605">
        <f t="shared" ca="1" si="13"/>
        <v>0.25707405803496952</v>
      </c>
    </row>
    <row r="18" spans="1:32">
      <c r="A18" s="1170"/>
      <c r="D18" s="1166"/>
      <c r="E18" s="1167" t="s">
        <v>1899</v>
      </c>
      <c r="F18" s="1168"/>
      <c r="G18" s="744">
        <f>+InputY!$G$3</f>
        <v>1995</v>
      </c>
      <c r="H18" s="744">
        <f>+G18+1</f>
        <v>1996</v>
      </c>
      <c r="I18" s="744">
        <f t="shared" ref="I18:O18" si="14">+H18+1</f>
        <v>1997</v>
      </c>
      <c r="J18" s="744">
        <f t="shared" si="14"/>
        <v>1998</v>
      </c>
      <c r="K18" s="744">
        <f t="shared" si="14"/>
        <v>1999</v>
      </c>
      <c r="L18" s="744">
        <f t="shared" si="14"/>
        <v>2000</v>
      </c>
      <c r="M18" s="744">
        <f t="shared" si="14"/>
        <v>2001</v>
      </c>
      <c r="N18" s="744">
        <f t="shared" si="14"/>
        <v>2002</v>
      </c>
      <c r="O18" s="744">
        <f t="shared" si="14"/>
        <v>2003</v>
      </c>
      <c r="P18" s="744">
        <f>+O18+1</f>
        <v>2004</v>
      </c>
      <c r="Q18" s="744">
        <f>+P18+1</f>
        <v>2005</v>
      </c>
      <c r="R18" s="744">
        <f>+Q18+1</f>
        <v>2006</v>
      </c>
      <c r="S18" s="744">
        <f>+R18+1</f>
        <v>2007</v>
      </c>
      <c r="T18" s="744">
        <f t="shared" ref="T18:AF18" si="15">+S18+1</f>
        <v>2008</v>
      </c>
      <c r="U18" s="744">
        <f t="shared" si="15"/>
        <v>2009</v>
      </c>
      <c r="V18" s="744">
        <f t="shared" si="15"/>
        <v>2010</v>
      </c>
      <c r="W18" s="744">
        <f t="shared" si="15"/>
        <v>2011</v>
      </c>
      <c r="X18" s="744">
        <f t="shared" si="15"/>
        <v>2012</v>
      </c>
      <c r="Y18" s="744">
        <f t="shared" si="15"/>
        <v>2013</v>
      </c>
      <c r="Z18" s="744">
        <f t="shared" si="15"/>
        <v>2014</v>
      </c>
      <c r="AA18" s="744">
        <f t="shared" si="15"/>
        <v>2015</v>
      </c>
      <c r="AB18" s="744">
        <f t="shared" si="15"/>
        <v>2016</v>
      </c>
      <c r="AC18" s="744">
        <f t="shared" si="15"/>
        <v>2017</v>
      </c>
      <c r="AD18" s="744">
        <f t="shared" si="15"/>
        <v>2018</v>
      </c>
      <c r="AE18" s="744">
        <f t="shared" si="15"/>
        <v>2019</v>
      </c>
      <c r="AF18" s="744">
        <f t="shared" si="15"/>
        <v>2020</v>
      </c>
    </row>
    <row r="19" spans="1:32">
      <c r="A19" s="701"/>
      <c r="B19" s="701"/>
      <c r="C19" s="1119" t="s">
        <v>1791</v>
      </c>
      <c r="D19" s="1098" t="s">
        <v>666</v>
      </c>
      <c r="E19" s="1099" t="s">
        <v>809</v>
      </c>
      <c r="F19" s="1109" t="s">
        <v>277</v>
      </c>
      <c r="G19" s="1094"/>
      <c r="H19" s="1094"/>
      <c r="I19" s="1094"/>
      <c r="J19" s="1094"/>
      <c r="K19" s="1094"/>
      <c r="L19" s="1094"/>
      <c r="M19" s="1094"/>
      <c r="N19" s="1094"/>
      <c r="O19" s="1094"/>
      <c r="P19" s="1094"/>
      <c r="Q19" s="1094"/>
      <c r="R19" s="1094"/>
      <c r="S19" s="1094"/>
      <c r="T19" s="1094"/>
      <c r="U19" s="1094"/>
      <c r="V19" s="1094"/>
      <c r="W19" s="1094"/>
      <c r="X19" s="1094"/>
      <c r="Y19" s="1094"/>
      <c r="Z19" s="1384"/>
      <c r="AA19" s="1384"/>
      <c r="AB19" s="1384"/>
      <c r="AC19" s="1384"/>
      <c r="AD19" s="1384"/>
      <c r="AE19" s="1384"/>
      <c r="AF19" s="1384"/>
    </row>
    <row r="20" spans="1:32" ht="12.75" customHeight="1">
      <c r="A20" s="701"/>
      <c r="B20" s="701"/>
      <c r="C20" s="1120" t="s">
        <v>1791</v>
      </c>
      <c r="D20" s="1110" t="s">
        <v>814</v>
      </c>
      <c r="E20" s="1" t="s">
        <v>809</v>
      </c>
      <c r="F20" s="1110" t="s">
        <v>278</v>
      </c>
      <c r="G20" s="918"/>
      <c r="H20" s="918"/>
      <c r="I20" s="918"/>
      <c r="J20" s="918"/>
      <c r="K20" s="918"/>
      <c r="L20" s="918"/>
      <c r="M20" s="918"/>
      <c r="N20" s="918"/>
      <c r="O20" s="918"/>
      <c r="P20" s="918"/>
      <c r="Q20" s="918"/>
      <c r="R20" s="918"/>
      <c r="S20" s="918"/>
      <c r="T20" s="918"/>
      <c r="U20" s="918"/>
      <c r="V20" s="918"/>
      <c r="W20" s="918"/>
      <c r="X20" s="918"/>
      <c r="Y20" s="918"/>
      <c r="Z20" s="972"/>
      <c r="AA20" s="972"/>
      <c r="AB20" s="972"/>
      <c r="AC20" s="972"/>
      <c r="AD20" s="972"/>
      <c r="AE20" s="972"/>
      <c r="AF20" s="972"/>
    </row>
    <row r="21" spans="1:32">
      <c r="A21" s="701">
        <f>+ROW(InputY!A26)</f>
        <v>26</v>
      </c>
      <c r="C21" s="1120" t="s">
        <v>1793</v>
      </c>
      <c r="D21" s="1271"/>
      <c r="E21" s="1247" t="s">
        <v>809</v>
      </c>
      <c r="F21" s="1271" t="s">
        <v>279</v>
      </c>
      <c r="G21" s="1395">
        <f>+InputY!G26/1000</f>
        <v>147.30025000000001</v>
      </c>
      <c r="H21" s="1395">
        <f>+InputY!H26/1000</f>
        <v>145.59260999999998</v>
      </c>
      <c r="I21" s="1395">
        <f>+InputY!I26/1000</f>
        <v>137.86151999999998</v>
      </c>
      <c r="J21" s="1395">
        <f>+InputY!J26/1000</f>
        <v>141.21542000000002</v>
      </c>
      <c r="K21" s="1395">
        <f>+InputY!K26/1000</f>
        <v>139.08087</v>
      </c>
      <c r="L21" s="1395">
        <f>+InputY!L26/1000</f>
        <v>144.54091</v>
      </c>
      <c r="M21" s="1395">
        <f>+InputY!M26/1000</f>
        <v>154.62549999999999</v>
      </c>
      <c r="N21" s="1395">
        <f>+InputY!N26/1000</f>
        <v>156.66569000000001</v>
      </c>
      <c r="O21" s="1395">
        <f>+InputY!O26/1000</f>
        <v>155.04782999999998</v>
      </c>
      <c r="P21" s="1395">
        <f>+InputY!P26/1000</f>
        <v>163.15820000000002</v>
      </c>
      <c r="Q21" s="1395">
        <f>+InputY!Q26/1000</f>
        <v>158.53823</v>
      </c>
      <c r="R21" s="1395">
        <f>+InputY!R26/1000</f>
        <v>181.24870999999999</v>
      </c>
      <c r="S21" s="1395">
        <f>+InputY!S26/1000</f>
        <v>195.22495999999998</v>
      </c>
      <c r="T21" s="1395">
        <f>+InputY!T26/1000</f>
        <v>205.90685999999999</v>
      </c>
      <c r="U21" s="1395">
        <f>+InputY!U26/1000</f>
        <v>188.09301000000002</v>
      </c>
      <c r="V21" s="1395">
        <f>+InputY!V26/1000</f>
        <v>184.369</v>
      </c>
      <c r="W21" s="1395">
        <f>+InputY!W26/1000</f>
        <v>177.53478000000001</v>
      </c>
      <c r="X21" s="1395">
        <f>+InputY!X26/1000</f>
        <v>192.81008</v>
      </c>
      <c r="Y21" s="1395">
        <f>+InputY!Y26/1000</f>
        <v>187.69265999999999</v>
      </c>
      <c r="Z21" s="1395">
        <f>+InputY!Z26/1000</f>
        <v>197.77083999999999</v>
      </c>
      <c r="AA21" s="1395">
        <f>+InputY!AA26/1000</f>
        <v>201.10367000000002</v>
      </c>
      <c r="AB21" s="1395">
        <f>+InputY!AB26/1000</f>
        <v>210.80624</v>
      </c>
      <c r="AC21" s="1395">
        <f>+InputY!AC26/1000</f>
        <v>220.74700000000001</v>
      </c>
      <c r="AD21" s="974">
        <f t="shared" ref="AD21:AF22" ca="1" si="16">+AC21*(1+AD35/100)</f>
        <v>228.58351850000003</v>
      </c>
      <c r="AE21" s="974">
        <f t="shared" ca="1" si="16"/>
        <v>236.83538351785003</v>
      </c>
      <c r="AF21" s="974">
        <f t="shared" ca="1" si="16"/>
        <v>243.65624256316411</v>
      </c>
    </row>
    <row r="22" spans="1:32">
      <c r="A22" s="701">
        <f>+ROW(InputY!A27)</f>
        <v>27</v>
      </c>
      <c r="B22" s="701" t="s">
        <v>1436</v>
      </c>
      <c r="C22" s="1120" t="s">
        <v>1791</v>
      </c>
      <c r="D22" s="3"/>
      <c r="E22" s="1" t="s">
        <v>810</v>
      </c>
      <c r="F22" s="3" t="s">
        <v>280</v>
      </c>
      <c r="G22" s="1102">
        <f>+InputY!G27/1000</f>
        <v>63.2151</v>
      </c>
      <c r="H22" s="1102">
        <f>+InputY!H27/1000</f>
        <v>66.47757</v>
      </c>
      <c r="I22" s="1102">
        <f>+InputY!I27/1000</f>
        <v>62.282839999999993</v>
      </c>
      <c r="J22" s="1102">
        <f>+InputY!J27/1000</f>
        <v>67.20675</v>
      </c>
      <c r="K22" s="1102">
        <f>+InputY!K27/1000</f>
        <v>74.756740000000008</v>
      </c>
      <c r="L22" s="1102">
        <f>+InputY!L27/1000</f>
        <v>85.184049999999999</v>
      </c>
      <c r="M22" s="1102">
        <f>+InputY!M27/1000</f>
        <v>91.163640000000001</v>
      </c>
      <c r="N22" s="1102">
        <f>+InputY!N27/1000</f>
        <v>101.01759</v>
      </c>
      <c r="O22" s="1102">
        <f>+InputY!O27/1000</f>
        <v>106.23824</v>
      </c>
      <c r="P22" s="1102">
        <f>+InputY!P27/1000</f>
        <v>120.03744</v>
      </c>
      <c r="Q22" s="1102">
        <f>+InputY!Q27/1000</f>
        <v>131.91785000000002</v>
      </c>
      <c r="R22" s="1102">
        <f>+InputY!R27/1000</f>
        <v>151.11014</v>
      </c>
      <c r="S22" s="1102">
        <f>+InputY!S27/1000</f>
        <v>161.35713000000001</v>
      </c>
      <c r="T22" s="1102">
        <f>+InputY!T27/1000</f>
        <v>140.00793999999999</v>
      </c>
      <c r="U22" s="1102">
        <f>+InputY!U27/1000</f>
        <v>113.34267999999999</v>
      </c>
      <c r="V22" s="1102">
        <f>+InputY!V27/1000</f>
        <v>127.752</v>
      </c>
      <c r="W22" s="1102">
        <f>+InputY!W27/1000</f>
        <v>138.02961999999999</v>
      </c>
      <c r="X22" s="1102">
        <f>+InputY!X27/1000</f>
        <v>121.68049000000001</v>
      </c>
      <c r="Y22" s="1102">
        <f>+InputY!Y27/1000</f>
        <v>122.7283</v>
      </c>
      <c r="Z22" s="1102">
        <f>+InputY!Z27/1000</f>
        <v>141.93110000000001</v>
      </c>
      <c r="AA22" s="1102">
        <f>+InputY!AA27/1000</f>
        <v>167.42075</v>
      </c>
      <c r="AB22" s="1102">
        <f>+InputY!AB27/1000</f>
        <v>185.66679000000002</v>
      </c>
      <c r="AC22" s="1102">
        <f>+InputY!AC27/1000</f>
        <v>207.13327999999998</v>
      </c>
      <c r="AD22" s="974">
        <f t="shared" ca="1" si="16"/>
        <v>210.67525908799996</v>
      </c>
      <c r="AE22" s="974">
        <f t="shared" ca="1" si="16"/>
        <v>200.39430644450556</v>
      </c>
      <c r="AF22" s="974">
        <f t="shared" ca="1" si="16"/>
        <v>197.28819469461573</v>
      </c>
    </row>
    <row r="23" spans="1:32" s="1" customFormat="1">
      <c r="A23" s="701">
        <f>+ROW(InputY!A28)</f>
        <v>28</v>
      </c>
      <c r="B23" s="940" t="s">
        <v>319</v>
      </c>
      <c r="C23" s="1120" t="s">
        <v>1793</v>
      </c>
      <c r="D23" s="3150"/>
      <c r="E23" s="3151" t="s">
        <v>811</v>
      </c>
      <c r="F23" s="3152" t="s">
        <v>702</v>
      </c>
      <c r="G23" s="2038">
        <f>+InputY!G28/1000</f>
        <v>212.83043451</v>
      </c>
      <c r="H23" s="2038">
        <f>+InputY!H28/1000</f>
        <v>213.90310239999999</v>
      </c>
      <c r="I23" s="2038">
        <f>+InputY!I28/1000</f>
        <v>201.94287729999999</v>
      </c>
      <c r="J23" s="2038">
        <f>+InputY!J28/1000</f>
        <v>209.98296108</v>
      </c>
      <c r="K23" s="2038">
        <f>+InputY!K28/1000</f>
        <v>214.76936149000002</v>
      </c>
      <c r="L23" s="2038">
        <f>+InputY!L28/1000</f>
        <v>230.20001672000001</v>
      </c>
      <c r="M23" s="2038">
        <f>+InputY!M28/1000</f>
        <v>246.29593463</v>
      </c>
      <c r="N23" s="2038">
        <f>+InputY!N28/1000</f>
        <v>258.05419162999999</v>
      </c>
      <c r="O23" s="2038">
        <f>+InputY!O28/1000</f>
        <v>261.56026014000003</v>
      </c>
      <c r="P23" s="2038">
        <f>+InputY!P28/1000</f>
        <v>283.27669863</v>
      </c>
      <c r="Q23" s="2038">
        <f>+InputY!Q28/1000</f>
        <v>289.99240527000001</v>
      </c>
      <c r="R23" s="2038">
        <f>+InputY!R28/1000</f>
        <v>331.81883576000001</v>
      </c>
      <c r="S23" s="2038">
        <f>+InputY!S28/1000</f>
        <v>356.02889659000004</v>
      </c>
      <c r="T23" s="2038">
        <f>+InputY!T28/1000</f>
        <v>345.76536952000004</v>
      </c>
      <c r="U23" s="2038">
        <f>+InputY!U28/1000</f>
        <v>301.52672086000001</v>
      </c>
      <c r="V23" s="2038">
        <f>+InputY!V28/1000</f>
        <v>312.12099999999998</v>
      </c>
      <c r="W23" s="2038">
        <f>+InputY!W28/1000</f>
        <v>315.56440000000003</v>
      </c>
      <c r="X23" s="2038">
        <f>+InputY!X28/1000</f>
        <v>314.68912524000001</v>
      </c>
      <c r="Y23" s="2038">
        <f>+InputY!Y28/1000</f>
        <v>310.57010473000003</v>
      </c>
      <c r="Z23" s="2038">
        <f>+InputY!Z28/1000</f>
        <v>339.89164674</v>
      </c>
      <c r="AA23" s="2038">
        <f>+InputY!AA28/1000</f>
        <v>368.99557633000001</v>
      </c>
      <c r="AB23" s="2038">
        <f>+InputY!AB28/1000</f>
        <v>397.23322917000002</v>
      </c>
      <c r="AC23" s="2038">
        <f>+InputY!AC28/1000</f>
        <v>429.36710262000003</v>
      </c>
      <c r="AD23" s="3153">
        <f ca="1">IF(UPPER('VVP1'!$F$2)="Y",+AC23*(1+AD37/100),+AD21+AD22)</f>
        <v>440.58992755685665</v>
      </c>
      <c r="AE23" s="3153">
        <f ca="1">IF(UPPER('VVP1'!$F$2)="Y",+AD23*(1+AE37/100),+AE21+AE22)</f>
        <v>437.6557944034621</v>
      </c>
      <c r="AF23" s="3153">
        <f ca="1">IF(UPPER('VVP1'!$F$2)="Y",+AE23*(1+AF37/100),+AF21+AF22)</f>
        <v>441.02233109169731</v>
      </c>
    </row>
    <row r="24" spans="1:32" s="736" customFormat="1" ht="12.75" customHeight="1">
      <c r="A24" s="701"/>
      <c r="B24" s="701"/>
      <c r="C24" s="819"/>
      <c r="D24" s="2033"/>
      <c r="E24" s="2033" t="s">
        <v>90</v>
      </c>
      <c r="F24" s="2033"/>
      <c r="G24" s="1040"/>
      <c r="H24" s="1040">
        <f ca="1">ABS(IF('VVP1'!$F$2="Y",OFFSET('VVP1'!$G$59,0,5*(COLUMN()-7)+1)-OFFSET('VVP1'!$G$57,0,5*(COLUMN()-7)+1)-OFFSET('VVP1'!$G$58,0,5*(COLUMN()-7)+1),ABS(H23-H21-H22)))</f>
        <v>7.1054273576010019E-15</v>
      </c>
      <c r="I24" s="1040">
        <f ca="1">ABS(IF('VVP1'!$F$2="Y",OFFSET('VVP1'!$G$59,0,5*(COLUMN()-7)+1)-OFFSET('VVP1'!$G$57,0,5*(COLUMN()-7)+1)-OFFSET('VVP1'!$G$58,0,5*(COLUMN()-7)+1),ABS(I23-I21-I22)))</f>
        <v>7.1054273576010019E-15</v>
      </c>
      <c r="J24" s="1040">
        <f ca="1">ABS(IF('VVP1'!$F$2="Y",OFFSET('VVP1'!$G$59,0,5*(COLUMN()-7)+1)-OFFSET('VVP1'!$G$57,0,5*(COLUMN()-7)+1)-OFFSET('VVP1'!$G$58,0,5*(COLUMN()-7)+1),ABS(J23-J21-J22)))</f>
        <v>7.1054273576010019E-15</v>
      </c>
      <c r="K24" s="1040">
        <f ca="1">ABS(IF('VVP1'!$F$2="Y",OFFSET('VVP1'!$G$59,0,5*(COLUMN()-7)+1)-OFFSET('VVP1'!$G$57,0,5*(COLUMN()-7)+1)-OFFSET('VVP1'!$G$58,0,5*(COLUMN()-7)+1),ABS(K23-K21-K22)))</f>
        <v>7.1054273576010019E-15</v>
      </c>
      <c r="L24" s="1040">
        <f ca="1">ABS(IF('VVP1'!$F$2="Y",OFFSET('VVP1'!$G$59,0,5*(COLUMN()-7)+1)-OFFSET('VVP1'!$G$57,0,5*(COLUMN()-7)+1)-OFFSET('VVP1'!$G$58,0,5*(COLUMN()-7)+1),ABS(L23-L21-L22)))</f>
        <v>0</v>
      </c>
      <c r="M24" s="1040">
        <f ca="1">ABS(IF('VVP1'!$F$2="Y",OFFSET('VVP1'!$G$59,0,5*(COLUMN()-7)+1)-OFFSET('VVP1'!$G$57,0,5*(COLUMN()-7)+1)-OFFSET('VVP1'!$G$58,0,5*(COLUMN()-7)+1),ABS(M23-M21-M22)))</f>
        <v>7.1054273576010019E-15</v>
      </c>
      <c r="N24" s="1040">
        <f ca="1">ABS(IF('VVP1'!$F$2="Y",OFFSET('VVP1'!$G$59,0,5*(COLUMN()-7)+1)-OFFSET('VVP1'!$G$57,0,5*(COLUMN()-7)+1)-OFFSET('VVP1'!$G$58,0,5*(COLUMN()-7)+1),ABS(N23-N21-N22)))</f>
        <v>1.4210854715202004E-14</v>
      </c>
      <c r="O24" s="1040">
        <f ca="1">ABS(IF('VVP1'!$F$2="Y",OFFSET('VVP1'!$G$59,0,5*(COLUMN()-7)+1)-OFFSET('VVP1'!$G$57,0,5*(COLUMN()-7)+1)-OFFSET('VVP1'!$G$58,0,5*(COLUMN()-7)+1),ABS(O23-O21-O22)))</f>
        <v>0</v>
      </c>
      <c r="P24" s="1040">
        <f ca="1">ABS(IF('VVP1'!$F$2="Y",OFFSET('VVP1'!$G$59,0,5*(COLUMN()-7)+1)-OFFSET('VVP1'!$G$57,0,5*(COLUMN()-7)+1)-OFFSET('VVP1'!$G$58,0,5*(COLUMN()-7)+1),ABS(P23-P21-P22)))</f>
        <v>0</v>
      </c>
      <c r="Q24" s="1040">
        <f ca="1">ABS(IF('VVP1'!$F$2="Y",OFFSET('VVP1'!$G$59,0,5*(COLUMN()-7)+1)-OFFSET('VVP1'!$G$57,0,5*(COLUMN()-7)+1)-OFFSET('VVP1'!$G$58,0,5*(COLUMN()-7)+1),ABS(Q23-Q21-Q22)))</f>
        <v>1.4210854715202004E-14</v>
      </c>
      <c r="R24" s="1040">
        <f ca="1">ABS(IF('VVP1'!$F$2="Y",OFFSET('VVP1'!$G$59,0,5*(COLUMN()-7)+1)-OFFSET('VVP1'!$G$57,0,5*(COLUMN()-7)+1)-OFFSET('VVP1'!$G$58,0,5*(COLUMN()-7)+1),ABS(R23-R21-R22)))</f>
        <v>0</v>
      </c>
      <c r="S24" s="1040">
        <f ca="1">ABS(IF('VVP1'!$F$2="Y",OFFSET('VVP1'!$G$59,0,5*(COLUMN()-7)+1)-OFFSET('VVP1'!$G$57,0,5*(COLUMN()-7)+1)-OFFSET('VVP1'!$G$58,0,5*(COLUMN()-7)+1),ABS(S23-S21-S22)))</f>
        <v>0</v>
      </c>
      <c r="T24" s="1040">
        <f ca="1">ABS(IF('VVP1'!$F$2="Y",OFFSET('VVP1'!$G$59,0,5*(COLUMN()-7)+1)-OFFSET('VVP1'!$G$57,0,5*(COLUMN()-7)+1)-OFFSET('VVP1'!$G$58,0,5*(COLUMN()-7)+1),ABS(T23-T21-T22)))</f>
        <v>1.4210854715202004E-14</v>
      </c>
      <c r="U24" s="1040">
        <f ca="1">ABS(IF('VVP1'!$F$2="Y",OFFSET('VVP1'!$G$59,0,5*(COLUMN()-7)+1)-OFFSET('VVP1'!$G$57,0,5*(COLUMN()-7)+1)-OFFSET('VVP1'!$G$58,0,5*(COLUMN()-7)+1),ABS(U23-U21-U22)))</f>
        <v>2.8421709430404007E-14</v>
      </c>
      <c r="V24" s="1040">
        <f ca="1">ABS(IF('VVP1'!$F$2="Y",OFFSET('VVP1'!$G$59,0,5*(COLUMN()-7)+1)-OFFSET('VVP1'!$G$57,0,5*(COLUMN()-7)+1)-OFFSET('VVP1'!$G$58,0,5*(COLUMN()-7)+1),ABS(V23-V21-V22)))</f>
        <v>0</v>
      </c>
      <c r="W24" s="1040">
        <f ca="1">ABS(IF('VVP1'!$F$2="Y",OFFSET('VVP1'!$G$59,0,5*(COLUMN()-7)+1)-OFFSET('VVP1'!$G$57,0,5*(COLUMN()-7)+1)-OFFSET('VVP1'!$G$58,0,5*(COLUMN()-7)+1),ABS(W23-W21-W22)))</f>
        <v>2.8421709430404007E-14</v>
      </c>
      <c r="X24" s="1040">
        <f ca="1">ABS(IF('VVP1'!$F$2="Y",OFFSET('VVP1'!$G$59,0,5*(COLUMN()-7)+1)-OFFSET('VVP1'!$G$57,0,5*(COLUMN()-7)+1)-OFFSET('VVP1'!$G$58,0,5*(COLUMN()-7)+1),ABS(X23-X21-X22)))</f>
        <v>0</v>
      </c>
      <c r="Y24" s="1040">
        <f ca="1">ABS(IF('VVP1'!$F$2="Y",OFFSET('VVP1'!$G$59,0,5*(COLUMN()-7)+1)-OFFSET('VVP1'!$G$57,0,5*(COLUMN()-7)+1)-OFFSET('VVP1'!$G$58,0,5*(COLUMN()-7)+1),ABS(Y23-Y21-Y22)))</f>
        <v>0</v>
      </c>
      <c r="Z24" s="1040">
        <f ca="1">ABS(IF('VVP1'!$F$2="Y",OFFSET('VVP1'!$G$59,0,5*(COLUMN()-7)+1)-OFFSET('VVP1'!$G$57,0,5*(COLUMN()-7)+1)-OFFSET('VVP1'!$G$58,0,5*(COLUMN()-7)+1),ABS(Z23-Z21-Z22)))</f>
        <v>2.8421709430404007E-14</v>
      </c>
      <c r="AA24" s="1040">
        <f ca="1">ABS(IF('VVP1'!$F$2="Y",OFFSET('VVP1'!$G$59,0,5*(COLUMN()-7)+1)-OFFSET('VVP1'!$G$57,0,5*(COLUMN()-7)+1)-OFFSET('VVP1'!$G$58,0,5*(COLUMN()-7)+1),ABS(AA23-AA21-AA22)))</f>
        <v>2.8421709430404007E-14</v>
      </c>
      <c r="AB24" s="1040">
        <f ca="1">ABS(IF('VVP1'!$F$2="Y",OFFSET('VVP1'!$G$59,0,5*(COLUMN()-7)+1)-OFFSET('VVP1'!$G$57,0,5*(COLUMN()-7)+1)-OFFSET('VVP1'!$G$58,0,5*(COLUMN()-7)+1),ABS(AB23-AB21-AB22)))</f>
        <v>0</v>
      </c>
      <c r="AC24" s="1040">
        <f ca="1">ABS(IF('VVP1'!$F$2="Y",OFFSET('VVP1'!$G$59,0,5*(COLUMN()-7)+1)-OFFSET('VVP1'!$G$57,0,5*(COLUMN()-7)+1)-OFFSET('VVP1'!$G$58,0,5*(COLUMN()-7)+1),ABS(AC23-AC21-AC22)))</f>
        <v>2.8421709430404007E-14</v>
      </c>
      <c r="AD24" s="2999">
        <f ca="1">ABS(IF('VVP1'!$F$2="Y",OFFSET('VVP1'!$G$59,0,5*(COLUMN()-7)+1)-OFFSET('VVP1'!$G$57,0,5*(COLUMN()-7)+1)-OFFSET('VVP1'!$G$58,0,5*(COLUMN()-7)+1),ABS(AD23-AD21-AD22)))</f>
        <v>5.6843418860808015E-14</v>
      </c>
      <c r="AE24" s="2999">
        <f ca="1">ABS(IF('VVP1'!$F$2="Y",OFFSET('VVP1'!$G$59,0,5*(COLUMN()-7)+1)-OFFSET('VVP1'!$G$57,0,5*(COLUMN()-7)+1)-OFFSET('VVP1'!$G$58,0,5*(COLUMN()-7)+1),ABS(AE23-AE21-AE22)))</f>
        <v>0</v>
      </c>
      <c r="AF24" s="2999">
        <f ca="1">ABS(IF('VVP1'!$F$2="Y",OFFSET('VVP1'!$G$59,0,5*(COLUMN()-7)+1)-OFFSET('VVP1'!$G$57,0,5*(COLUMN()-7)+1)-OFFSET('VVP1'!$G$58,0,5*(COLUMN()-7)+1),ABS(AF23-AF21-AF22)))</f>
        <v>0</v>
      </c>
    </row>
    <row r="25" spans="1:32" s="1" customFormat="1">
      <c r="A25" s="701"/>
      <c r="B25" s="940"/>
      <c r="C25" s="1120" t="s">
        <v>1791</v>
      </c>
      <c r="D25" s="3" t="s">
        <v>666</v>
      </c>
      <c r="E25" s="29" t="s">
        <v>812</v>
      </c>
      <c r="F25" s="3" t="s">
        <v>281</v>
      </c>
      <c r="G25" s="918"/>
      <c r="H25" s="918"/>
      <c r="I25" s="918"/>
      <c r="J25" s="918"/>
      <c r="K25" s="918"/>
      <c r="L25" s="918"/>
      <c r="M25" s="918"/>
      <c r="N25" s="918"/>
      <c r="O25" s="918"/>
      <c r="P25" s="918"/>
      <c r="Q25" s="918"/>
      <c r="R25" s="918"/>
      <c r="S25" s="918"/>
      <c r="T25" s="918"/>
      <c r="U25" s="918"/>
      <c r="V25" s="918"/>
      <c r="W25" s="918"/>
      <c r="X25" s="918"/>
      <c r="Y25" s="918"/>
      <c r="Z25" s="972"/>
      <c r="AA25" s="972"/>
      <c r="AB25" s="972"/>
      <c r="AC25" s="972"/>
      <c r="AD25" s="972"/>
      <c r="AE25" s="972"/>
      <c r="AF25" s="972"/>
    </row>
    <row r="26" spans="1:32">
      <c r="A26" s="701"/>
      <c r="C26" s="1120" t="s">
        <v>1791</v>
      </c>
      <c r="D26" s="1110" t="s">
        <v>814</v>
      </c>
      <c r="E26" s="1" t="s">
        <v>812</v>
      </c>
      <c r="F26" s="3" t="s">
        <v>282</v>
      </c>
      <c r="G26" s="918"/>
      <c r="H26" s="918"/>
      <c r="I26" s="918"/>
      <c r="J26" s="918"/>
      <c r="K26" s="918"/>
      <c r="L26" s="918"/>
      <c r="M26" s="918"/>
      <c r="N26" s="918"/>
      <c r="O26" s="918"/>
      <c r="P26" s="918"/>
      <c r="Q26" s="918"/>
      <c r="R26" s="918"/>
      <c r="S26" s="918"/>
      <c r="T26" s="918"/>
      <c r="U26" s="918"/>
      <c r="V26" s="918"/>
      <c r="W26" s="918"/>
      <c r="X26" s="918"/>
      <c r="Y26" s="918"/>
      <c r="Z26" s="972"/>
      <c r="AA26" s="972"/>
      <c r="AB26" s="972"/>
      <c r="AC26" s="972"/>
      <c r="AD26" s="972"/>
      <c r="AE26" s="972"/>
      <c r="AF26" s="972"/>
    </row>
    <row r="27" spans="1:32">
      <c r="A27" s="701">
        <f>+ROW(InputY!A32)</f>
        <v>32</v>
      </c>
      <c r="B27" s="702" t="s">
        <v>320</v>
      </c>
      <c r="C27" s="1121" t="s">
        <v>1793</v>
      </c>
      <c r="D27" s="1218"/>
      <c r="E27" s="1219" t="s">
        <v>812</v>
      </c>
      <c r="F27" s="1218" t="s">
        <v>283</v>
      </c>
      <c r="G27" s="1220">
        <f>+InputY!G32/1000</f>
        <v>135.44943000000001</v>
      </c>
      <c r="H27" s="1220">
        <f>+InputY!H32/1000</f>
        <v>152.43566000000001</v>
      </c>
      <c r="I27" s="1220">
        <f>+InputY!I32/1000</f>
        <v>158.19304</v>
      </c>
      <c r="J27" s="1220">
        <f>+InputY!J32/1000</f>
        <v>173.96941000000001</v>
      </c>
      <c r="K27" s="1220">
        <f>+InputY!K32/1000</f>
        <v>194.69457</v>
      </c>
      <c r="L27" s="1220">
        <f>+InputY!L32/1000</f>
        <v>199.02439999999999</v>
      </c>
      <c r="M27" s="1220">
        <f>+InputY!M32/1000</f>
        <v>197.27582000000001</v>
      </c>
      <c r="N27" s="1220">
        <f>+InputY!N32/1000</f>
        <v>189.39164000000002</v>
      </c>
      <c r="O27" s="1220">
        <f>+InputY!O32/1000</f>
        <v>199.37451999999999</v>
      </c>
      <c r="P27" s="1220">
        <f>+InputY!P32/1000</f>
        <v>206.57651000000001</v>
      </c>
      <c r="Q27" s="1220">
        <f>+InputY!Q32/1000</f>
        <v>229.57192000000001</v>
      </c>
      <c r="R27" s="1220">
        <f>+InputY!R32/1000</f>
        <v>249.69717</v>
      </c>
      <c r="S27" s="1220">
        <f>+InputY!S32/1000</f>
        <v>279.33580000000001</v>
      </c>
      <c r="T27" s="1220">
        <f>+InputY!T32/1000</f>
        <v>291.01408000000004</v>
      </c>
      <c r="U27" s="1220">
        <f>+InputY!U32/1000</f>
        <v>228.09822</v>
      </c>
      <c r="V27" s="1220">
        <f>+InputY!V32/1000</f>
        <v>252.77500000000001</v>
      </c>
      <c r="W27" s="1220">
        <f>+InputY!W32/1000</f>
        <v>284.17725000000002</v>
      </c>
      <c r="X27" s="1220">
        <f>+InputY!X32/1000</f>
        <v>292.13466</v>
      </c>
      <c r="Y27" s="1220">
        <f>+InputY!Y32/1000</f>
        <v>292.32125000000002</v>
      </c>
      <c r="Z27" s="1220">
        <f>+InputY!Z32/1000</f>
        <v>288.98760999999996</v>
      </c>
      <c r="AA27" s="1220">
        <f>+InputY!AA32/1000</f>
        <v>303.67851000000002</v>
      </c>
      <c r="AB27" s="1220">
        <f>+InputY!AB32/1000</f>
        <v>319.71871999999996</v>
      </c>
      <c r="AC27" s="1220">
        <f>+InputY!AC32/1000</f>
        <v>338.10843</v>
      </c>
      <c r="AD27" s="1387">
        <f t="shared" ref="AD27:AF28" ca="1" si="17">+AC27*(1+AD40/100)</f>
        <v>353.99952621</v>
      </c>
      <c r="AE27" s="1387">
        <f t="shared" ca="1" si="17"/>
        <v>369.04450607392499</v>
      </c>
      <c r="AF27" s="1387">
        <f t="shared" ca="1" si="17"/>
        <v>382.14558603954936</v>
      </c>
    </row>
    <row r="28" spans="1:32">
      <c r="A28" s="701">
        <f>+ROW(InputY!A36)</f>
        <v>36</v>
      </c>
      <c r="B28" s="701" t="s">
        <v>321</v>
      </c>
      <c r="C28" s="1122" t="s">
        <v>1793</v>
      </c>
      <c r="D28" s="1221"/>
      <c r="E28" s="1222" t="s">
        <v>813</v>
      </c>
      <c r="F28" s="1221" t="s">
        <v>905</v>
      </c>
      <c r="G28" s="1223">
        <f>InputY!G36/1000</f>
        <v>145.88268651999999</v>
      </c>
      <c r="H28" s="1223">
        <f>InputY!H36/1000</f>
        <v>145.75095960000002</v>
      </c>
      <c r="I28" s="1223">
        <f>InputY!I36/1000</f>
        <v>155.45867133000002</v>
      </c>
      <c r="J28" s="1223">
        <f>InputY!J36/1000</f>
        <v>169.66187065999998</v>
      </c>
      <c r="K28" s="1223">
        <f>InputY!K36/1000</f>
        <v>177.12902898999999</v>
      </c>
      <c r="L28" s="1223">
        <f>InputY!L36/1000</f>
        <v>198.63225675000001</v>
      </c>
      <c r="M28" s="1223">
        <f>InputY!M36/1000</f>
        <v>203.62674308999999</v>
      </c>
      <c r="N28" s="1223">
        <f>InputY!N36/1000</f>
        <v>188.93824241000002</v>
      </c>
      <c r="O28" s="1223">
        <f>InputY!O36/1000</f>
        <v>189.00396713000001</v>
      </c>
      <c r="P28" s="1223">
        <f>InputY!P36/1000</f>
        <v>198.94261730000002</v>
      </c>
      <c r="Q28" s="1223">
        <f>InputY!Q36/1000</f>
        <v>202.05712133</v>
      </c>
      <c r="R28" s="1223">
        <f>InputY!R36/1000</f>
        <v>209.09842345999999</v>
      </c>
      <c r="S28" s="1223">
        <f>InputY!S36/1000</f>
        <v>218.36187831999999</v>
      </c>
      <c r="T28" s="1223">
        <f>InputY!T36/1000</f>
        <v>220.99408106999999</v>
      </c>
      <c r="U28" s="1223">
        <f>InputY!U36/1000</f>
        <v>213.21611791999999</v>
      </c>
      <c r="V28" s="1223">
        <f>InputY!V36/1000</f>
        <v>222.249</v>
      </c>
      <c r="W28" s="1223">
        <f>InputY!W36/1000</f>
        <v>232.29651000000001</v>
      </c>
      <c r="X28" s="1223">
        <f>InputY!X36/1000</f>
        <v>223.30367602999999</v>
      </c>
      <c r="Y28" s="1223">
        <f>InputY!Y36/1000</f>
        <v>232.48373024999998</v>
      </c>
      <c r="Z28" s="1223">
        <f>InputY!Z36/1000</f>
        <v>249.68630872999998</v>
      </c>
      <c r="AA28" s="1223">
        <f>InputY!AA36/1000</f>
        <v>263.66934072999999</v>
      </c>
      <c r="AB28" s="1223">
        <f>InputY!AB36/1000</f>
        <v>257.80163169999997</v>
      </c>
      <c r="AC28" s="1223">
        <f>InputY!AC36/1000</f>
        <v>265.57380347999998</v>
      </c>
      <c r="AD28" s="1388">
        <f t="shared" ca="1" si="17"/>
        <v>275.66560801224</v>
      </c>
      <c r="AE28" s="1388">
        <f t="shared" ca="1" si="17"/>
        <v>286.44413328551855</v>
      </c>
      <c r="AF28" s="1388">
        <f t="shared" ca="1" si="17"/>
        <v>294.32134695087035</v>
      </c>
    </row>
    <row r="29" spans="1:32">
      <c r="A29" s="701">
        <f>+ROW(InputY!A38)</f>
        <v>38</v>
      </c>
      <c r="B29" s="702" t="s">
        <v>322</v>
      </c>
      <c r="C29" s="1123" t="s">
        <v>815</v>
      </c>
      <c r="D29" s="1216"/>
      <c r="E29" s="1510" t="s">
        <v>1341</v>
      </c>
      <c r="F29" s="1507" t="s">
        <v>1752</v>
      </c>
      <c r="G29" s="1224">
        <f>InputY!G38/1000</f>
        <v>482.90654000000001</v>
      </c>
      <c r="H29" s="1224">
        <f>InputY!H38/1000</f>
        <v>508.08803999999998</v>
      </c>
      <c r="I29" s="1224">
        <f>InputY!I38/1000</f>
        <v>515.35850000000005</v>
      </c>
      <c r="J29" s="1224">
        <f>InputY!J38/1000</f>
        <v>555.98903000000007</v>
      </c>
      <c r="K29" s="1224">
        <f>InputY!K38/1000</f>
        <v>593.79678999999999</v>
      </c>
      <c r="L29" s="1224">
        <f>InputY!L38/1000</f>
        <v>632.60732999999993</v>
      </c>
      <c r="M29" s="1224">
        <f>InputY!M38/1000</f>
        <v>648.48626999999999</v>
      </c>
      <c r="N29" s="1224">
        <f>InputY!N38/1000</f>
        <v>634.06938000000002</v>
      </c>
      <c r="O29" s="1224">
        <f>InputY!O38/1000</f>
        <v>648.90575000000001</v>
      </c>
      <c r="P29" s="1224">
        <f>InputY!P38/1000</f>
        <v>686.26371999999992</v>
      </c>
      <c r="Q29" s="1224">
        <f>InputY!Q38/1000</f>
        <v>720.89359999999999</v>
      </c>
      <c r="R29" s="1224">
        <f>InputY!R38/1000</f>
        <v>788.44038999999998</v>
      </c>
      <c r="S29" s="1224">
        <f>InputY!S38/1000</f>
        <v>852.26197999999999</v>
      </c>
      <c r="T29" s="1224">
        <f>InputY!T38/1000</f>
        <v>856.98334</v>
      </c>
      <c r="U29" s="1224">
        <f>InputY!U38/1000</f>
        <v>742.35464000000002</v>
      </c>
      <c r="V29" s="1224">
        <f>InputY!V38/1000</f>
        <v>787.14499999999998</v>
      </c>
      <c r="W29" s="1224">
        <f>InputY!W38/1000</f>
        <v>832.03856999999994</v>
      </c>
      <c r="X29" s="1224">
        <f>InputY!X38/1000</f>
        <v>829.67979000000003</v>
      </c>
      <c r="Y29" s="1224">
        <f>InputY!Y38/1000</f>
        <v>834.84619999999995</v>
      </c>
      <c r="Z29" s="1224">
        <f>InputY!Z38/1000</f>
        <v>880.24636999999996</v>
      </c>
      <c r="AA29" s="1224">
        <f>InputY!AA38/1000</f>
        <v>938.79077000000007</v>
      </c>
      <c r="AB29" s="1224">
        <f>InputY!AB38/1000</f>
        <v>977.84087999999997</v>
      </c>
      <c r="AC29" s="1224">
        <f>InputY!AC38/1000</f>
        <v>1037.04529</v>
      </c>
      <c r="AD29" s="1512">
        <f ca="1">IF(UPPER('VVP1'!$F$2)="Y",+AC29*(1+AD42/100),+AD27+AD28+AD23)</f>
        <v>1073.7480694421577</v>
      </c>
      <c r="AE29" s="1512">
        <f ca="1">IF(UPPER('VVP1'!$F$2)="Y",+AD29*(1+AE42/100),+AE27+AE28+AE23)</f>
        <v>1095.0386752426355</v>
      </c>
      <c r="AF29" s="1512">
        <f ca="1">IF(UPPER('VVP1'!$F$2)="Y",+AE29*(1+AF42/100),+AF27+AF28+AF23)</f>
        <v>1118.5074187938133</v>
      </c>
    </row>
    <row r="30" spans="1:32" s="736" customFormat="1" ht="12.75" customHeight="1">
      <c r="A30" s="701"/>
      <c r="B30" s="701"/>
      <c r="C30" s="811"/>
      <c r="D30" s="2033"/>
      <c r="E30" s="2033" t="s">
        <v>90</v>
      </c>
      <c r="F30" s="2033"/>
      <c r="G30" s="1040"/>
      <c r="H30" s="1040">
        <f ca="1">ABS(IF('VVP1'!$F$2="Y",OFFSET('VVP1'!$G$64,0,5*(COLUMN()-7)+1)-OFFSET('VVP1'!$G$59,0,5*(COLUMN()-7)+1)-OFFSET('VVP1'!$G$62,0,5*(COLUMN()-7)+1)-OFFSET('VVP1'!$G$63,0,5*(COLUMN()-7)+1),ABS(H29-H23-H27-H28)))</f>
        <v>1.4210854715202004E-14</v>
      </c>
      <c r="I30" s="1040">
        <f ca="1">ABS(IF('VVP1'!$F$2="Y",OFFSET('VVP1'!$G$64,0,5*(COLUMN()-7)+1)-OFFSET('VVP1'!$G$59,0,5*(COLUMN()-7)+1)-OFFSET('VVP1'!$G$62,0,5*(COLUMN()-7)+1)-OFFSET('VVP1'!$G$63,0,5*(COLUMN()-7)+1),ABS(I29-I23-I27-I28)))</f>
        <v>1.4210854715202004E-14</v>
      </c>
      <c r="J30" s="1040">
        <f ca="1">ABS(IF('VVP1'!$F$2="Y",OFFSET('VVP1'!$G$64,0,5*(COLUMN()-7)+1)-OFFSET('VVP1'!$G$59,0,5*(COLUMN()-7)+1)-OFFSET('VVP1'!$G$62,0,5*(COLUMN()-7)+1)-OFFSET('VVP1'!$G$63,0,5*(COLUMN()-7)+1),ABS(J29-J23-J27-J28)))</f>
        <v>4.2632564145606011E-14</v>
      </c>
      <c r="K30" s="1040">
        <f ca="1">ABS(IF('VVP1'!$F$2="Y",OFFSET('VVP1'!$G$64,0,5*(COLUMN()-7)+1)-OFFSET('VVP1'!$G$59,0,5*(COLUMN()-7)+1)-OFFSET('VVP1'!$G$62,0,5*(COLUMN()-7)+1)-OFFSET('VVP1'!$G$63,0,5*(COLUMN()-7)+1),ABS(K29-K23-K27-K28)))</f>
        <v>5.6843418860808015E-14</v>
      </c>
      <c r="L30" s="1040">
        <f ca="1">ABS(IF('VVP1'!$F$2="Y",OFFSET('VVP1'!$G$64,0,5*(COLUMN()-7)+1)-OFFSET('VVP1'!$G$59,0,5*(COLUMN()-7)+1)-OFFSET('VVP1'!$G$62,0,5*(COLUMN()-7)+1)-OFFSET('VVP1'!$G$63,0,5*(COLUMN()-7)+1),ABS(L29-L23-L27-L28)))</f>
        <v>5.6843418860808015E-14</v>
      </c>
      <c r="M30" s="1040">
        <f ca="1">ABS(IF('VVP1'!$F$2="Y",OFFSET('VVP1'!$G$64,0,5*(COLUMN()-7)+1)-OFFSET('VVP1'!$G$59,0,5*(COLUMN()-7)+1)-OFFSET('VVP1'!$G$62,0,5*(COLUMN()-7)+1)-OFFSET('VVP1'!$G$63,0,5*(COLUMN()-7)+1),ABS(M29-M23-M27-M28)))</f>
        <v>0</v>
      </c>
      <c r="N30" s="1040">
        <f ca="1">ABS(IF('VVP1'!$F$2="Y",OFFSET('VVP1'!$G$64,0,5*(COLUMN()-7)+1)-OFFSET('VVP1'!$G$59,0,5*(COLUMN()-7)+1)-OFFSET('VVP1'!$G$62,0,5*(COLUMN()-7)+1)-OFFSET('VVP1'!$G$63,0,5*(COLUMN()-7)+1),ABS(N29-N23-N27-N28)))</f>
        <v>5.6843418860808015E-14</v>
      </c>
      <c r="O30" s="1040">
        <f ca="1">ABS(IF('VVP1'!$F$2="Y",OFFSET('VVP1'!$G$64,0,5*(COLUMN()-7)+1)-OFFSET('VVP1'!$G$59,0,5*(COLUMN()-7)+1)-OFFSET('VVP1'!$G$62,0,5*(COLUMN()-7)+1)-OFFSET('VVP1'!$G$63,0,5*(COLUMN()-7)+1),ABS(O29-O23-O27-O28)))</f>
        <v>2.8421709430404007E-14</v>
      </c>
      <c r="P30" s="1040">
        <f ca="1">ABS(IF('VVP1'!$F$2="Y",OFFSET('VVP1'!$G$64,0,5*(COLUMN()-7)+1)-OFFSET('VVP1'!$G$59,0,5*(COLUMN()-7)+1)-OFFSET('VVP1'!$G$62,0,5*(COLUMN()-7)+1)-OFFSET('VVP1'!$G$63,0,5*(COLUMN()-7)+1),ABS(P29-P23-P27-P28)))</f>
        <v>0</v>
      </c>
      <c r="Q30" s="1040">
        <f ca="1">ABS(IF('VVP1'!$F$2="Y",OFFSET('VVP1'!$G$64,0,5*(COLUMN()-7)+1)-OFFSET('VVP1'!$G$59,0,5*(COLUMN()-7)+1)-OFFSET('VVP1'!$G$62,0,5*(COLUMN()-7)+1)-OFFSET('VVP1'!$G$63,0,5*(COLUMN()-7)+1),ABS(Q29-Q23-Q27-Q28)))</f>
        <v>5.6843418860808015E-14</v>
      </c>
      <c r="R30" s="1040">
        <f ca="1">ABS(IF('VVP1'!$F$2="Y",OFFSET('VVP1'!$G$64,0,5*(COLUMN()-7)+1)-OFFSET('VVP1'!$G$59,0,5*(COLUMN()-7)+1)-OFFSET('VVP1'!$G$62,0,5*(COLUMN()-7)+1)-OFFSET('VVP1'!$G$63,0,5*(COLUMN()-7)+1),ABS(R29-R23-R27-R28)))</f>
        <v>5.6843418860808015E-14</v>
      </c>
      <c r="S30" s="1040">
        <f ca="1">ABS(IF('VVP1'!$F$2="Y",OFFSET('VVP1'!$G$64,0,5*(COLUMN()-7)+1)-OFFSET('VVP1'!$G$59,0,5*(COLUMN()-7)+1)-OFFSET('VVP1'!$G$62,0,5*(COLUMN()-7)+1)-OFFSET('VVP1'!$G$63,0,5*(COLUMN()-7)+1),ABS(S29-S23-S27-S28)))</f>
        <v>0</v>
      </c>
      <c r="T30" s="1040">
        <f ca="1">ABS(IF('VVP1'!$F$2="Y",OFFSET('VVP1'!$G$64,0,5*(COLUMN()-7)+1)-OFFSET('VVP1'!$G$59,0,5*(COLUMN()-7)+1)-OFFSET('VVP1'!$G$62,0,5*(COLUMN()-7)+1)-OFFSET('VVP1'!$G$63,0,5*(COLUMN()-7)+1),ABS(T29-T23-T27-T28)))</f>
        <v>5.6843418860808015E-14</v>
      </c>
      <c r="U30" s="1040">
        <f ca="1">ABS(IF('VVP1'!$F$2="Y",OFFSET('VVP1'!$G$64,0,5*(COLUMN()-7)+1)-OFFSET('VVP1'!$G$59,0,5*(COLUMN()-7)+1)-OFFSET('VVP1'!$G$62,0,5*(COLUMN()-7)+1)-OFFSET('VVP1'!$G$63,0,5*(COLUMN()-7)+1),ABS(U29-U23-U27-U28)))</f>
        <v>2.8421709430404007E-14</v>
      </c>
      <c r="V30" s="1040">
        <f ca="1">ABS(IF('VVP1'!$F$2="Y",OFFSET('VVP1'!$G$64,0,5*(COLUMN()-7)+1)-OFFSET('VVP1'!$G$59,0,5*(COLUMN()-7)+1)-OFFSET('VVP1'!$G$62,0,5*(COLUMN()-7)+1)-OFFSET('VVP1'!$G$63,0,5*(COLUMN()-7)+1),ABS(V29-V23-V27-V28)))</f>
        <v>5.6843418860808015E-14</v>
      </c>
      <c r="W30" s="1040">
        <f ca="1">ABS(IF('VVP1'!$F$2="Y",OFFSET('VVP1'!$G$64,0,5*(COLUMN()-7)+1)-OFFSET('VVP1'!$G$59,0,5*(COLUMN()-7)+1)-OFFSET('VVP1'!$G$62,0,5*(COLUMN()-7)+1)-OFFSET('VVP1'!$G$63,0,5*(COLUMN()-7)+1),ABS(W29-W23-W27-W28)))</f>
        <v>8.5265128291212022E-14</v>
      </c>
      <c r="X30" s="1040">
        <f ca="1">ABS(IF('VVP1'!$F$2="Y",OFFSET('VVP1'!$G$64,0,5*(COLUMN()-7)+1)-OFFSET('VVP1'!$G$59,0,5*(COLUMN()-7)+1)-OFFSET('VVP1'!$G$62,0,5*(COLUMN()-7)+1)-OFFSET('VVP1'!$G$63,0,5*(COLUMN()-7)+1),ABS(X29-X23-X27-X28)))</f>
        <v>1.1368683772161603E-13</v>
      </c>
      <c r="Y30" s="1040">
        <f ca="1">ABS(IF('VVP1'!$F$2="Y",OFFSET('VVP1'!$G$64,0,5*(COLUMN()-7)+1)-OFFSET('VVP1'!$G$59,0,5*(COLUMN()-7)+1)-OFFSET('VVP1'!$G$62,0,5*(COLUMN()-7)+1)-OFFSET('VVP1'!$G$63,0,5*(COLUMN()-7)+1),ABS(Y29-Y23-Y27-Y28)))</f>
        <v>0</v>
      </c>
      <c r="Z30" s="1040">
        <f ca="1">ABS(IF('VVP1'!$F$2="Y",OFFSET('VVP1'!$G$64,0,5*(COLUMN()-7)+1)-OFFSET('VVP1'!$G$59,0,5*(COLUMN()-7)+1)-OFFSET('VVP1'!$G$62,0,5*(COLUMN()-7)+1)-OFFSET('VVP1'!$G$63,0,5*(COLUMN()-7)+1),ABS(Z29-Z23-Z27-Z28)))</f>
        <v>5.6843418860808015E-14</v>
      </c>
      <c r="AA30" s="1040">
        <f ca="1">ABS(IF('VVP1'!$F$2="Y",OFFSET('VVP1'!$G$64,0,5*(COLUMN()-7)+1)-OFFSET('VVP1'!$G$59,0,5*(COLUMN()-7)+1)-OFFSET('VVP1'!$G$62,0,5*(COLUMN()-7)+1)-OFFSET('VVP1'!$G$63,0,5*(COLUMN()-7)+1),ABS(AA29-AA23-AA27-AA28)))</f>
        <v>5.6843418860808015E-14</v>
      </c>
      <c r="AB30" s="1040">
        <f ca="1">ABS(IF('VVP1'!$F$2="Y",OFFSET('VVP1'!$G$64,0,5*(COLUMN()-7)+1)-OFFSET('VVP1'!$G$59,0,5*(COLUMN()-7)+1)-OFFSET('VVP1'!$G$62,0,5*(COLUMN()-7)+1)-OFFSET('VVP1'!$G$63,0,5*(COLUMN()-7)+1),ABS(AB29-AB23-AB27-AB28)))</f>
        <v>5.6843418860808015E-14</v>
      </c>
      <c r="AC30" s="1040">
        <f ca="1">ABS(IF('VVP1'!$F$2="Y",OFFSET('VVP1'!$G$64,0,5*(COLUMN()-7)+1)-OFFSET('VVP1'!$G$59,0,5*(COLUMN()-7)+1)-OFFSET('VVP1'!$G$62,0,5*(COLUMN()-7)+1)-OFFSET('VVP1'!$G$63,0,5*(COLUMN()-7)+1),ABS(AC29-AC23-AC27-AC28)))</f>
        <v>0</v>
      </c>
      <c r="AD30" s="2999">
        <f ca="1">ABS(IF('VVP1'!$F$2="Y",OFFSET('VVP1'!$G$64,0,5*(COLUMN()-7)+1)-OFFSET('VVP1'!$G$59,0,5*(COLUMN()-7)+1)-OFFSET('VVP1'!$G$62,0,5*(COLUMN()-7)+1)-OFFSET('VVP1'!$G$63,0,5*(COLUMN()-7)+1),ABS(AD29-AD23-AD27-AD28)))</f>
        <v>0</v>
      </c>
      <c r="AE30" s="2999">
        <f ca="1">ABS(IF('VVP1'!$F$2="Y",OFFSET('VVP1'!$G$64,0,5*(COLUMN()-7)+1)-OFFSET('VVP1'!$G$59,0,5*(COLUMN()-7)+1)-OFFSET('VVP1'!$G$62,0,5*(COLUMN()-7)+1)-OFFSET('VVP1'!$G$63,0,5*(COLUMN()-7)+1),ABS(AE29-AE23-AE27-AE28)))</f>
        <v>5.6843418860808015E-14</v>
      </c>
      <c r="AF30" s="2999">
        <f ca="1">ABS(IF('VVP1'!$F$2="Y",OFFSET('VVP1'!$G$64,0,5*(COLUMN()-7)+1)-OFFSET('VVP1'!$G$59,0,5*(COLUMN()-7)+1)-OFFSET('VVP1'!$G$62,0,5*(COLUMN()-7)+1)-OFFSET('VVP1'!$G$63,0,5*(COLUMN()-7)+1),ABS(AF29-AF23-AF27-AF28)))</f>
        <v>5.6843418860808015E-14</v>
      </c>
    </row>
    <row r="31" spans="1:32">
      <c r="V31" s="2016">
        <f t="shared" ref="V31:Y31" si="18">V22/V125</f>
        <v>3.6253797011428494E-2</v>
      </c>
      <c r="W31" s="2016">
        <f t="shared" si="18"/>
        <v>3.8148326274680511E-2</v>
      </c>
      <c r="X31" s="2016">
        <f t="shared" si="18"/>
        <v>3.3730478924301435E-2</v>
      </c>
      <c r="Y31" s="2016">
        <f t="shared" si="18"/>
        <v>3.3604792700709013E-2</v>
      </c>
      <c r="Z31" s="2016">
        <f>Z22/Z125</f>
        <v>3.7877268736874699E-2</v>
      </c>
      <c r="AA31" s="2016">
        <f t="shared" ref="AA31:AF31" si="19">AA22/AA125</f>
        <v>4.2773482739299769E-2</v>
      </c>
      <c r="AB31" s="2016">
        <f t="shared" si="19"/>
        <v>4.6195207647652184E-2</v>
      </c>
      <c r="AC31" s="2016">
        <f t="shared" si="19"/>
        <v>5.0469203755817094E-2</v>
      </c>
      <c r="AD31" s="2016">
        <f t="shared" ca="1" si="19"/>
        <v>5.0141145306874663E-2</v>
      </c>
      <c r="AE31" s="2016">
        <f t="shared" ca="1" si="19"/>
        <v>4.6869010997588556E-2</v>
      </c>
      <c r="AF31" s="2016">
        <f t="shared" ca="1" si="19"/>
        <v>4.5344068318502011E-2</v>
      </c>
    </row>
    <row r="32" spans="1:32" s="736" customFormat="1" ht="12.75" customHeight="1">
      <c r="A32" s="701"/>
      <c r="B32" s="701"/>
      <c r="C32" s="811"/>
      <c r="D32" s="1132"/>
      <c r="E32" s="1133" t="s">
        <v>1744</v>
      </c>
      <c r="F32" s="781"/>
      <c r="G32" s="782">
        <f>+InputY!$G$3</f>
        <v>1995</v>
      </c>
      <c r="H32" s="782">
        <f>+G32+1</f>
        <v>1996</v>
      </c>
      <c r="I32" s="782">
        <f t="shared" ref="I32:O32" si="20">+H32+1</f>
        <v>1997</v>
      </c>
      <c r="J32" s="782">
        <f t="shared" si="20"/>
        <v>1998</v>
      </c>
      <c r="K32" s="782">
        <f t="shared" si="20"/>
        <v>1999</v>
      </c>
      <c r="L32" s="782">
        <f t="shared" si="20"/>
        <v>2000</v>
      </c>
      <c r="M32" s="782">
        <f t="shared" si="20"/>
        <v>2001</v>
      </c>
      <c r="N32" s="782">
        <f t="shared" si="20"/>
        <v>2002</v>
      </c>
      <c r="O32" s="782">
        <f t="shared" si="20"/>
        <v>2003</v>
      </c>
      <c r="P32" s="782">
        <f>+O32+1</f>
        <v>2004</v>
      </c>
      <c r="Q32" s="782">
        <f>+P32+1</f>
        <v>2005</v>
      </c>
      <c r="R32" s="782">
        <f>+Q32+1</f>
        <v>2006</v>
      </c>
      <c r="S32" s="782">
        <f>+R32+1</f>
        <v>2007</v>
      </c>
      <c r="T32" s="782">
        <f t="shared" ref="T32:AF32" si="21">+S32+1</f>
        <v>2008</v>
      </c>
      <c r="U32" s="782">
        <f t="shared" si="21"/>
        <v>2009</v>
      </c>
      <c r="V32" s="782">
        <f t="shared" si="21"/>
        <v>2010</v>
      </c>
      <c r="W32" s="782">
        <f t="shared" si="21"/>
        <v>2011</v>
      </c>
      <c r="X32" s="782">
        <f t="shared" si="21"/>
        <v>2012</v>
      </c>
      <c r="Y32" s="782">
        <f t="shared" si="21"/>
        <v>2013</v>
      </c>
      <c r="Z32" s="782">
        <f t="shared" si="21"/>
        <v>2014</v>
      </c>
      <c r="AA32" s="782">
        <f t="shared" si="21"/>
        <v>2015</v>
      </c>
      <c r="AB32" s="782">
        <f t="shared" si="21"/>
        <v>2016</v>
      </c>
      <c r="AC32" s="782">
        <f t="shared" si="21"/>
        <v>2017</v>
      </c>
      <c r="AD32" s="782">
        <f t="shared" si="21"/>
        <v>2018</v>
      </c>
      <c r="AE32" s="782">
        <f t="shared" si="21"/>
        <v>2019</v>
      </c>
      <c r="AF32" s="782">
        <f t="shared" si="21"/>
        <v>2020</v>
      </c>
    </row>
    <row r="33" spans="1:32" s="736" customFormat="1" ht="12.75" customHeight="1">
      <c r="A33" s="701"/>
      <c r="B33" s="701"/>
      <c r="C33" s="831" t="s">
        <v>1791</v>
      </c>
      <c r="D33" s="726" t="s">
        <v>666</v>
      </c>
      <c r="E33" s="775" t="s">
        <v>809</v>
      </c>
      <c r="F33" s="741" t="s">
        <v>277</v>
      </c>
      <c r="G33" s="918"/>
      <c r="H33" s="918"/>
      <c r="I33" s="918"/>
      <c r="J33" s="918"/>
      <c r="K33" s="918"/>
      <c r="L33" s="918"/>
      <c r="M33" s="918"/>
      <c r="N33" s="918"/>
      <c r="O33" s="918"/>
      <c r="P33" s="918"/>
      <c r="Q33" s="918"/>
      <c r="R33" s="918"/>
      <c r="S33" s="918"/>
      <c r="T33" s="918"/>
      <c r="U33" s="918"/>
      <c r="V33" s="918"/>
      <c r="W33" s="918"/>
      <c r="X33" s="918"/>
      <c r="Y33" s="918"/>
      <c r="Z33" s="972"/>
      <c r="AA33" s="972"/>
      <c r="AB33" s="972"/>
      <c r="AC33" s="972"/>
      <c r="AD33" s="972"/>
      <c r="AE33" s="972"/>
      <c r="AF33" s="972"/>
    </row>
    <row r="34" spans="1:32">
      <c r="A34" s="701"/>
      <c r="B34" s="701"/>
      <c r="C34" s="1140" t="s">
        <v>1791</v>
      </c>
      <c r="D34" s="1110" t="s">
        <v>814</v>
      </c>
      <c r="E34" s="1" t="s">
        <v>809</v>
      </c>
      <c r="F34" s="1110" t="s">
        <v>278</v>
      </c>
      <c r="G34" s="918"/>
      <c r="H34" s="918"/>
      <c r="I34" s="918"/>
      <c r="J34" s="918"/>
      <c r="K34" s="918"/>
      <c r="L34" s="918"/>
      <c r="M34" s="918"/>
      <c r="N34" s="918"/>
      <c r="O34" s="918"/>
      <c r="P34" s="918"/>
      <c r="Q34" s="918"/>
      <c r="R34" s="918"/>
      <c r="S34" s="918"/>
      <c r="T34" s="918"/>
      <c r="U34" s="918"/>
      <c r="V34" s="918"/>
      <c r="W34" s="918"/>
      <c r="X34" s="918"/>
      <c r="Y34" s="918"/>
      <c r="Z34" s="972"/>
      <c r="AA34" s="972"/>
      <c r="AB34" s="972"/>
      <c r="AC34" s="972"/>
      <c r="AD34" s="972"/>
      <c r="AE34" s="972"/>
      <c r="AF34" s="972"/>
    </row>
    <row r="35" spans="1:32">
      <c r="A35" s="1170"/>
      <c r="C35" s="1140" t="s">
        <v>1793</v>
      </c>
      <c r="D35" s="1151"/>
      <c r="E35" s="1152" t="s">
        <v>809</v>
      </c>
      <c r="F35" s="1151" t="s">
        <v>279</v>
      </c>
      <c r="G35" s="1153"/>
      <c r="H35" s="1153">
        <f>(H21/G21-1)*100</f>
        <v>-1.1592919903394727</v>
      </c>
      <c r="I35" s="1153">
        <f t="shared" ref="I35:AC35" si="22">(I21/H21-1)*100</f>
        <v>-5.3100840763827151</v>
      </c>
      <c r="J35" s="1153">
        <f t="shared" si="22"/>
        <v>2.4328035843504736</v>
      </c>
      <c r="K35" s="1153">
        <f t="shared" si="22"/>
        <v>-1.5115558909926552</v>
      </c>
      <c r="L35" s="1153">
        <f t="shared" si="22"/>
        <v>3.92580230480295</v>
      </c>
      <c r="M35" s="1153">
        <f t="shared" si="22"/>
        <v>6.976979735356581</v>
      </c>
      <c r="N35" s="1153">
        <f t="shared" si="22"/>
        <v>1.31943954910414</v>
      </c>
      <c r="O35" s="1153">
        <f t="shared" si="22"/>
        <v>-1.0326830335346759</v>
      </c>
      <c r="P35" s="1153">
        <f t="shared" si="22"/>
        <v>5.2308826250583751</v>
      </c>
      <c r="Q35" s="1153">
        <f t="shared" si="22"/>
        <v>-2.8315892183169655</v>
      </c>
      <c r="R35" s="1153">
        <f t="shared" si="22"/>
        <v>14.324923395448529</v>
      </c>
      <c r="S35" s="1153">
        <f t="shared" si="22"/>
        <v>7.7110893644429135</v>
      </c>
      <c r="T35" s="1153">
        <f t="shared" si="22"/>
        <v>5.4715851907461088</v>
      </c>
      <c r="U35" s="1153">
        <f t="shared" si="22"/>
        <v>-8.651411613969529</v>
      </c>
      <c r="V35" s="1153">
        <f t="shared" si="22"/>
        <v>-1.9798768704908376</v>
      </c>
      <c r="W35" s="1153">
        <f t="shared" si="22"/>
        <v>-3.7068162218160228</v>
      </c>
      <c r="X35" s="1153">
        <f t="shared" si="22"/>
        <v>8.6041168947290192</v>
      </c>
      <c r="Y35" s="1153">
        <f t="shared" si="22"/>
        <v>-2.654124722109974</v>
      </c>
      <c r="Z35" s="1153">
        <f t="shared" si="22"/>
        <v>5.3695120523093554</v>
      </c>
      <c r="AA35" s="1153">
        <f t="shared" si="22"/>
        <v>1.6851978785143551</v>
      </c>
      <c r="AB35" s="1153">
        <f t="shared" si="22"/>
        <v>4.8246608328927909</v>
      </c>
      <c r="AC35" s="1153">
        <f t="shared" si="22"/>
        <v>4.7155909616337865</v>
      </c>
      <c r="AD35" s="1470">
        <f ca="1">OFFSET('VVP1'!$G$57,0,5*(COLUMN()-7))</f>
        <v>3.55</v>
      </c>
      <c r="AE35" s="1470">
        <f ca="1">OFFSET('VVP1'!$G$57,0,5*(COLUMN()-7))</f>
        <v>3.61</v>
      </c>
      <c r="AF35" s="1470">
        <f ca="1">OFFSET('VVP1'!$G$57,0,5*(COLUMN()-7))</f>
        <v>2.88</v>
      </c>
    </row>
    <row r="36" spans="1:32">
      <c r="A36" s="701"/>
      <c r="B36" s="701"/>
      <c r="C36" s="1140" t="s">
        <v>1791</v>
      </c>
      <c r="D36" s="3"/>
      <c r="E36" s="1" t="s">
        <v>810</v>
      </c>
      <c r="F36" s="3" t="s">
        <v>280</v>
      </c>
      <c r="G36" s="1102"/>
      <c r="H36" s="1102">
        <f>(H22/G22-1)*100</f>
        <v>5.1609030120967958</v>
      </c>
      <c r="I36" s="1102">
        <f t="shared" ref="I36:AC36" si="23">(I22/H22-1)*100</f>
        <v>-6.3099929795869647</v>
      </c>
      <c r="J36" s="1102">
        <f t="shared" si="23"/>
        <v>7.9057249155626286</v>
      </c>
      <c r="K36" s="1102">
        <f t="shared" si="23"/>
        <v>11.233975753923531</v>
      </c>
      <c r="L36" s="1102">
        <f t="shared" si="23"/>
        <v>13.948320913940314</v>
      </c>
      <c r="M36" s="1102">
        <f t="shared" si="23"/>
        <v>7.0196122396152916</v>
      </c>
      <c r="N36" s="1102">
        <f t="shared" si="23"/>
        <v>10.809079146027955</v>
      </c>
      <c r="O36" s="1102">
        <f t="shared" si="23"/>
        <v>5.16806033483872</v>
      </c>
      <c r="P36" s="1102">
        <f t="shared" si="23"/>
        <v>12.988919997168624</v>
      </c>
      <c r="Q36" s="1102">
        <f t="shared" si="23"/>
        <v>9.8972537235049387</v>
      </c>
      <c r="R36" s="1102">
        <f t="shared" si="23"/>
        <v>14.548667977836182</v>
      </c>
      <c r="S36" s="1102">
        <f t="shared" si="23"/>
        <v>6.7811399023255614</v>
      </c>
      <c r="T36" s="1102">
        <f t="shared" si="23"/>
        <v>-13.231017433193081</v>
      </c>
      <c r="U36" s="1102">
        <f t="shared" si="23"/>
        <v>-19.045534131849951</v>
      </c>
      <c r="V36" s="1102">
        <f t="shared" si="23"/>
        <v>12.713057429028506</v>
      </c>
      <c r="W36" s="1102">
        <f t="shared" si="23"/>
        <v>8.0449777694282751</v>
      </c>
      <c r="X36" s="1102">
        <f t="shared" si="23"/>
        <v>-11.84465334324617</v>
      </c>
      <c r="Y36" s="1102">
        <f t="shared" si="23"/>
        <v>0.86111586171291332</v>
      </c>
      <c r="Z36" s="1102">
        <f t="shared" si="23"/>
        <v>15.6465949581311</v>
      </c>
      <c r="AA36" s="1102">
        <f t="shared" si="23"/>
        <v>17.959171738963462</v>
      </c>
      <c r="AB36" s="1102">
        <f t="shared" si="23"/>
        <v>10.898314575702251</v>
      </c>
      <c r="AC36" s="1102">
        <f t="shared" si="23"/>
        <v>11.561836125889812</v>
      </c>
      <c r="AD36" s="1470">
        <f ca="1">OFFSET('VVP1'!$G$58,0,5*(COLUMN()-7))</f>
        <v>1.71</v>
      </c>
      <c r="AE36" s="1470">
        <f ca="1">OFFSET('VVP1'!$G$58,0,5*(COLUMN()-7))</f>
        <v>-4.88</v>
      </c>
      <c r="AF36" s="1470">
        <f ca="1">OFFSET('VVP1'!$G$58,0,5*(COLUMN()-7))</f>
        <v>-1.55</v>
      </c>
    </row>
    <row r="37" spans="1:32">
      <c r="A37" s="1170"/>
      <c r="C37" s="1016" t="s">
        <v>1793</v>
      </c>
      <c r="D37" s="1141"/>
      <c r="E37" s="1517" t="s">
        <v>811</v>
      </c>
      <c r="F37" s="1141" t="s">
        <v>702</v>
      </c>
      <c r="G37" s="1143"/>
      <c r="H37" s="1143">
        <f>(H23/G23-1)*100</f>
        <v>0.504001174676727</v>
      </c>
      <c r="I37" s="1143">
        <f t="shared" ref="I37:AC37" si="24">(I23/H23-1)*100</f>
        <v>-5.5914219877158722</v>
      </c>
      <c r="J37" s="1143">
        <f t="shared" si="24"/>
        <v>3.9813653680173644</v>
      </c>
      <c r="K37" s="1143">
        <f t="shared" si="24"/>
        <v>2.2794232376675883</v>
      </c>
      <c r="L37" s="1143">
        <f t="shared" si="24"/>
        <v>7.1847562999429293</v>
      </c>
      <c r="M37" s="1143">
        <f t="shared" si="24"/>
        <v>6.9921445442716834</v>
      </c>
      <c r="N37" s="1143">
        <f t="shared" si="24"/>
        <v>4.7740361681827714</v>
      </c>
      <c r="O37" s="1143">
        <f t="shared" si="24"/>
        <v>1.3586559039610702</v>
      </c>
      <c r="P37" s="1143">
        <f t="shared" si="24"/>
        <v>8.3026521224502048</v>
      </c>
      <c r="Q37" s="1143">
        <f t="shared" si="24"/>
        <v>2.3707232795633804</v>
      </c>
      <c r="R37" s="1143">
        <f t="shared" si="24"/>
        <v>14.423284792943857</v>
      </c>
      <c r="S37" s="1143">
        <f t="shared" si="24"/>
        <v>7.2961683367217978</v>
      </c>
      <c r="T37" s="1143">
        <f t="shared" si="24"/>
        <v>-2.8827792261534868</v>
      </c>
      <c r="U37" s="1143">
        <f t="shared" si="24"/>
        <v>-12.794412789636278</v>
      </c>
      <c r="V37" s="1143">
        <f t="shared" si="24"/>
        <v>3.5135457016159277</v>
      </c>
      <c r="W37" s="1143">
        <f t="shared" si="24"/>
        <v>1.1032259924836918</v>
      </c>
      <c r="X37" s="1143">
        <f t="shared" si="24"/>
        <v>-0.2773680301073278</v>
      </c>
      <c r="Y37" s="1143">
        <f t="shared" si="24"/>
        <v>-1.3089173344832283</v>
      </c>
      <c r="Z37" s="1143">
        <f t="shared" si="24"/>
        <v>9.4411991249097262</v>
      </c>
      <c r="AA37" s="1143">
        <f t="shared" si="24"/>
        <v>8.5627081068759168</v>
      </c>
      <c r="AB37" s="1143">
        <f t="shared" si="24"/>
        <v>7.6525721855122075</v>
      </c>
      <c r="AC37" s="1143">
        <f t="shared" si="24"/>
        <v>8.0894223066741553</v>
      </c>
      <c r="AD37" s="1513">
        <f ca="1">IF(UPPER('VVP1'!$F$2)="Y",OFFSET('VVP1'!$G$59,0,5*(COLUMN()-7)),('VVP2'!AD23/'VVP2'!AC23-1)*100)</f>
        <v>2.6138064300629704</v>
      </c>
      <c r="AE37" s="1513">
        <f ca="1">IF(UPPER('VVP1'!$F$2)="Y",OFFSET('VVP1'!$G$59,0,5*(COLUMN()-7)),('VVP2'!AE23/'VVP2'!AD23-1)*100)</f>
        <v>-0.66595556772366393</v>
      </c>
      <c r="AF37" s="1513">
        <f ca="1">IF(UPPER('VVP1'!$F$2)="Y",OFFSET('VVP1'!$G$59,0,5*(COLUMN()-7)),('VVP2'!AF23/'VVP2'!AE23-1)*100)</f>
        <v>0.76922017971312595</v>
      </c>
    </row>
    <row r="38" spans="1:32">
      <c r="A38" s="1170"/>
      <c r="C38" s="1144" t="s">
        <v>1791</v>
      </c>
      <c r="D38" s="1145" t="s">
        <v>666</v>
      </c>
      <c r="E38" s="1146" t="s">
        <v>812</v>
      </c>
      <c r="F38" s="1145" t="s">
        <v>281</v>
      </c>
      <c r="G38" s="1025"/>
      <c r="H38" s="1025"/>
      <c r="I38" s="1025"/>
      <c r="J38" s="1025"/>
      <c r="K38" s="1025"/>
      <c r="L38" s="1025"/>
      <c r="M38" s="1025"/>
      <c r="N38" s="1025"/>
      <c r="O38" s="1025"/>
      <c r="P38" s="1025"/>
      <c r="Q38" s="1025"/>
      <c r="R38" s="1025"/>
      <c r="S38" s="1025"/>
      <c r="T38" s="1025"/>
      <c r="U38" s="1025"/>
      <c r="V38" s="1025"/>
      <c r="W38" s="1025"/>
      <c r="X38" s="1025"/>
      <c r="Y38" s="1025"/>
      <c r="Z38" s="1026"/>
      <c r="AA38" s="1026"/>
      <c r="AB38" s="1026"/>
      <c r="AC38" s="1026"/>
      <c r="AD38" s="1026"/>
      <c r="AE38" s="1026"/>
      <c r="AF38" s="1026"/>
    </row>
    <row r="39" spans="1:32">
      <c r="A39" s="1170"/>
      <c r="C39" s="1140" t="s">
        <v>1791</v>
      </c>
      <c r="D39" s="1110" t="s">
        <v>814</v>
      </c>
      <c r="E39" s="1" t="s">
        <v>812</v>
      </c>
      <c r="F39" s="3" t="s">
        <v>282</v>
      </c>
      <c r="G39" s="918"/>
      <c r="H39" s="918"/>
      <c r="I39" s="918"/>
      <c r="J39" s="918"/>
      <c r="K39" s="918"/>
      <c r="L39" s="918"/>
      <c r="M39" s="918"/>
      <c r="N39" s="918"/>
      <c r="O39" s="918"/>
      <c r="P39" s="918"/>
      <c r="Q39" s="918"/>
      <c r="R39" s="918"/>
      <c r="S39" s="918"/>
      <c r="T39" s="918"/>
      <c r="U39" s="918"/>
      <c r="V39" s="918"/>
      <c r="W39" s="918"/>
      <c r="X39" s="918"/>
      <c r="Y39" s="918"/>
      <c r="Z39" s="972"/>
      <c r="AA39" s="972"/>
      <c r="AB39" s="972"/>
      <c r="AC39" s="972"/>
      <c r="AD39" s="972"/>
      <c r="AE39" s="972"/>
      <c r="AF39" s="972"/>
    </row>
    <row r="40" spans="1:32">
      <c r="A40" s="1170"/>
      <c r="C40" s="1016" t="s">
        <v>1793</v>
      </c>
      <c r="D40" s="1141"/>
      <c r="E40" s="1142" t="s">
        <v>812</v>
      </c>
      <c r="F40" s="1141" t="s">
        <v>283</v>
      </c>
      <c r="G40" s="1143"/>
      <c r="H40" s="1143">
        <f>(H27/G27-1)*100</f>
        <v>12.540643397318107</v>
      </c>
      <c r="I40" s="1143">
        <f t="shared" ref="I40:AC40" si="25">(I27/H27-1)*100</f>
        <v>3.7769246382375332</v>
      </c>
      <c r="J40" s="1143">
        <f t="shared" si="25"/>
        <v>9.9728597414905362</v>
      </c>
      <c r="K40" s="1143">
        <f t="shared" si="25"/>
        <v>11.913105873038244</v>
      </c>
      <c r="L40" s="1143">
        <f t="shared" si="25"/>
        <v>2.2239089667472456</v>
      </c>
      <c r="M40" s="1143">
        <f t="shared" si="25"/>
        <v>-0.87857569222666854</v>
      </c>
      <c r="N40" s="1143">
        <f t="shared" si="25"/>
        <v>-3.9965262848736249</v>
      </c>
      <c r="O40" s="1143">
        <f t="shared" si="25"/>
        <v>5.2710246344558565</v>
      </c>
      <c r="P40" s="1143">
        <f t="shared" si="25"/>
        <v>3.6122920822580618</v>
      </c>
      <c r="Q40" s="1143">
        <f t="shared" si="25"/>
        <v>11.131667390450151</v>
      </c>
      <c r="R40" s="1143">
        <f t="shared" si="25"/>
        <v>8.7664249181694345</v>
      </c>
      <c r="S40" s="1143">
        <f t="shared" si="25"/>
        <v>11.869830162672645</v>
      </c>
      <c r="T40" s="1143">
        <f t="shared" si="25"/>
        <v>4.1807315782653065</v>
      </c>
      <c r="U40" s="1143">
        <f t="shared" si="25"/>
        <v>-21.619524388648149</v>
      </c>
      <c r="V40" s="1143">
        <f t="shared" si="25"/>
        <v>10.818488631783275</v>
      </c>
      <c r="W40" s="1143">
        <f t="shared" si="25"/>
        <v>12.423004648402735</v>
      </c>
      <c r="X40" s="1143">
        <f t="shared" si="25"/>
        <v>2.8001572961945387</v>
      </c>
      <c r="Y40" s="1143">
        <f t="shared" si="25"/>
        <v>6.3871229795209317E-2</v>
      </c>
      <c r="Z40" s="1143">
        <f t="shared" si="25"/>
        <v>-1.1404028957867629</v>
      </c>
      <c r="AA40" s="1143">
        <f t="shared" si="25"/>
        <v>5.0835743442426695</v>
      </c>
      <c r="AB40" s="1143">
        <f t="shared" si="25"/>
        <v>5.2819707262130366</v>
      </c>
      <c r="AC40" s="1143">
        <f t="shared" si="25"/>
        <v>5.7518402425732251</v>
      </c>
      <c r="AD40" s="1471">
        <f ca="1">OFFSET('VVP1'!$G$62,0,5*(COLUMN()-7))</f>
        <v>4.7</v>
      </c>
      <c r="AE40" s="1471">
        <f ca="1">OFFSET('VVP1'!$G$62,0,5*(COLUMN()-7))</f>
        <v>4.25</v>
      </c>
      <c r="AF40" s="1471">
        <f ca="1">OFFSET('VVP1'!$G$62,0,5*(COLUMN()-7))</f>
        <v>3.55</v>
      </c>
    </row>
    <row r="41" spans="1:32">
      <c r="A41" s="701"/>
      <c r="B41" s="701"/>
      <c r="C41" s="1147" t="s">
        <v>1793</v>
      </c>
      <c r="D41" s="1148"/>
      <c r="E41" s="1149" t="s">
        <v>813</v>
      </c>
      <c r="F41" s="1148" t="s">
        <v>905</v>
      </c>
      <c r="G41" s="1150"/>
      <c r="H41" s="1150">
        <f>(H28/G28-1)*100</f>
        <v>-9.0296472557704899E-2</v>
      </c>
      <c r="I41" s="1150">
        <f t="shared" ref="I41:AC41" si="26">(I28/H28-1)*100</f>
        <v>6.6604787760176087</v>
      </c>
      <c r="J41" s="1150">
        <f t="shared" si="26"/>
        <v>9.136318488050188</v>
      </c>
      <c r="K41" s="1150">
        <f t="shared" si="26"/>
        <v>4.4012000462756218</v>
      </c>
      <c r="L41" s="1150">
        <f t="shared" si="26"/>
        <v>12.139866560897827</v>
      </c>
      <c r="M41" s="1150">
        <f t="shared" si="26"/>
        <v>2.5144387028165793</v>
      </c>
      <c r="N41" s="1150">
        <f t="shared" si="26"/>
        <v>-7.2134438026678405</v>
      </c>
      <c r="O41" s="1150">
        <f t="shared" si="26"/>
        <v>3.4786350905791075E-2</v>
      </c>
      <c r="P41" s="1150">
        <f t="shared" si="26"/>
        <v>5.2584346883915112</v>
      </c>
      <c r="Q41" s="1150">
        <f t="shared" si="26"/>
        <v>1.5655288305086446</v>
      </c>
      <c r="R41" s="1150">
        <f t="shared" si="26"/>
        <v>3.4848077037087588</v>
      </c>
      <c r="S41" s="1150">
        <f t="shared" si="26"/>
        <v>4.4301887631266856</v>
      </c>
      <c r="T41" s="1150">
        <f t="shared" si="26"/>
        <v>1.2054314472156324</v>
      </c>
      <c r="U41" s="1150">
        <f t="shared" si="26"/>
        <v>-3.5195346012621642</v>
      </c>
      <c r="V41" s="1150">
        <f t="shared" si="26"/>
        <v>4.2364912034413837</v>
      </c>
      <c r="W41" s="1150">
        <f t="shared" si="26"/>
        <v>4.5208347394139148</v>
      </c>
      <c r="X41" s="1150">
        <f t="shared" si="26"/>
        <v>-3.8712738172433259</v>
      </c>
      <c r="Y41" s="1150">
        <f t="shared" si="26"/>
        <v>4.1110179568950134</v>
      </c>
      <c r="Z41" s="1150">
        <f t="shared" si="26"/>
        <v>7.3994762822763072</v>
      </c>
      <c r="AA41" s="1150">
        <f t="shared" si="26"/>
        <v>5.6002397853222474</v>
      </c>
      <c r="AB41" s="1150">
        <f t="shared" si="26"/>
        <v>-2.2254043696375736</v>
      </c>
      <c r="AC41" s="1150">
        <f t="shared" si="26"/>
        <v>3.0147876600891133</v>
      </c>
      <c r="AD41" s="1472">
        <f ca="1">OFFSET('VVP1'!$G$63,0,5*(COLUMN()-7))</f>
        <v>3.8</v>
      </c>
      <c r="AE41" s="1472">
        <f ca="1">OFFSET('VVP1'!$G$63,0,5*(COLUMN()-7))</f>
        <v>3.91</v>
      </c>
      <c r="AF41" s="1472">
        <f ca="1">OFFSET('VVP1'!$G$63,0,5*(COLUMN()-7))</f>
        <v>2.75</v>
      </c>
    </row>
    <row r="42" spans="1:32">
      <c r="A42" s="1170"/>
      <c r="C42" s="1123" t="s">
        <v>815</v>
      </c>
      <c r="D42" s="1137"/>
      <c r="E42" s="1518" t="s">
        <v>1341</v>
      </c>
      <c r="F42" s="1137" t="s">
        <v>1752</v>
      </c>
      <c r="G42" s="1139"/>
      <c r="H42" s="1139">
        <f>(H29/G29-1)*100</f>
        <v>5.2145700905189551</v>
      </c>
      <c r="I42" s="1139">
        <f t="shared" ref="I42:AC42" si="27">(I29/H29-1)*100</f>
        <v>1.4309449204905622</v>
      </c>
      <c r="J42" s="1139">
        <f t="shared" si="27"/>
        <v>7.8839351635803023</v>
      </c>
      <c r="K42" s="1139">
        <f t="shared" si="27"/>
        <v>6.8000910017954608</v>
      </c>
      <c r="L42" s="1139">
        <f t="shared" si="27"/>
        <v>6.535996935921462</v>
      </c>
      <c r="M42" s="1139">
        <f t="shared" si="27"/>
        <v>2.5100784083548433</v>
      </c>
      <c r="N42" s="1139">
        <f t="shared" si="27"/>
        <v>-2.2231604070815481</v>
      </c>
      <c r="O42" s="1139">
        <f t="shared" si="27"/>
        <v>2.3398653945408965</v>
      </c>
      <c r="P42" s="1139">
        <f t="shared" si="27"/>
        <v>5.7570718089645423</v>
      </c>
      <c r="Q42" s="1139">
        <f t="shared" si="27"/>
        <v>5.0461475655452226</v>
      </c>
      <c r="R42" s="1139">
        <f t="shared" si="27"/>
        <v>9.3698695618881889</v>
      </c>
      <c r="S42" s="1139">
        <f t="shared" si="27"/>
        <v>8.0946626795717513</v>
      </c>
      <c r="T42" s="1139">
        <f t="shared" si="27"/>
        <v>0.5539798924269812</v>
      </c>
      <c r="U42" s="1139">
        <f t="shared" si="27"/>
        <v>-13.375837621300779</v>
      </c>
      <c r="V42" s="1139">
        <f t="shared" si="27"/>
        <v>6.0335529121229747</v>
      </c>
      <c r="W42" s="1139">
        <f t="shared" si="27"/>
        <v>5.7033418239333278</v>
      </c>
      <c r="X42" s="1139">
        <f t="shared" si="27"/>
        <v>-0.28349406927131726</v>
      </c>
      <c r="Y42" s="1139">
        <f t="shared" si="27"/>
        <v>0.62269927052218677</v>
      </c>
      <c r="Z42" s="1139">
        <f t="shared" si="27"/>
        <v>5.4381477690142122</v>
      </c>
      <c r="AA42" s="1139">
        <f t="shared" si="27"/>
        <v>6.6509106990126021</v>
      </c>
      <c r="AB42" s="1139">
        <f t="shared" si="27"/>
        <v>4.1596180158439244</v>
      </c>
      <c r="AC42" s="1139">
        <f t="shared" si="27"/>
        <v>6.0546057350353344</v>
      </c>
      <c r="AD42" s="1514">
        <f ca="1">IF(UPPER('VVP1'!$F$2)="Y",OFFSET('VVP1'!$G$64,0,5*(COLUMN()-7)),('VVP2'!AD29/'VVP2'!AC29-1)*100)</f>
        <v>3.5391684236044885</v>
      </c>
      <c r="AE42" s="1514">
        <f ca="1">IF(UPPER('VVP1'!$F$2)="Y",OFFSET('VVP1'!$G$64,0,5*(COLUMN()-7)),('VVP2'!AE29/'VVP2'!AD29-1)*100)</f>
        <v>1.9828306477457813</v>
      </c>
      <c r="AF42" s="1514">
        <f ca="1">IF(UPPER('VVP1'!$F$2)="Y",OFFSET('VVP1'!$G$64,0,5*(COLUMN()-7)),('VVP2'!AF29/'VVP2'!AE29-1)*100)</f>
        <v>2.1431885541373763</v>
      </c>
    </row>
    <row r="44" spans="1:32">
      <c r="A44" s="1170"/>
      <c r="D44" s="1215"/>
      <c r="E44" s="1169" t="s">
        <v>1900</v>
      </c>
      <c r="F44" s="1216"/>
      <c r="G44" s="744">
        <f>+InputY!$G$3</f>
        <v>1995</v>
      </c>
      <c r="H44" s="744">
        <f>+G44+1</f>
        <v>1996</v>
      </c>
      <c r="I44" s="744">
        <f t="shared" ref="I44:O44" si="28">+H44+1</f>
        <v>1997</v>
      </c>
      <c r="J44" s="744">
        <f t="shared" si="28"/>
        <v>1998</v>
      </c>
      <c r="K44" s="744">
        <f t="shared" si="28"/>
        <v>1999</v>
      </c>
      <c r="L44" s="744">
        <f t="shared" si="28"/>
        <v>2000</v>
      </c>
      <c r="M44" s="744">
        <f t="shared" si="28"/>
        <v>2001</v>
      </c>
      <c r="N44" s="744">
        <f t="shared" si="28"/>
        <v>2002</v>
      </c>
      <c r="O44" s="744">
        <f t="shared" si="28"/>
        <v>2003</v>
      </c>
      <c r="P44" s="744">
        <f>+O44+1</f>
        <v>2004</v>
      </c>
      <c r="Q44" s="744">
        <f>+P44+1</f>
        <v>2005</v>
      </c>
      <c r="R44" s="744">
        <f>+Q44+1</f>
        <v>2006</v>
      </c>
      <c r="S44" s="744">
        <f>+R44+1</f>
        <v>2007</v>
      </c>
      <c r="T44" s="744">
        <f t="shared" ref="T44:AF44" si="29">+S44+1</f>
        <v>2008</v>
      </c>
      <c r="U44" s="744">
        <f t="shared" si="29"/>
        <v>2009</v>
      </c>
      <c r="V44" s="744">
        <f t="shared" si="29"/>
        <v>2010</v>
      </c>
      <c r="W44" s="744">
        <f t="shared" si="29"/>
        <v>2011</v>
      </c>
      <c r="X44" s="744">
        <f t="shared" si="29"/>
        <v>2012</v>
      </c>
      <c r="Y44" s="744">
        <f t="shared" si="29"/>
        <v>2013</v>
      </c>
      <c r="Z44" s="744">
        <f t="shared" si="29"/>
        <v>2014</v>
      </c>
      <c r="AA44" s="744">
        <f t="shared" si="29"/>
        <v>2015</v>
      </c>
      <c r="AB44" s="744">
        <f t="shared" si="29"/>
        <v>2016</v>
      </c>
      <c r="AC44" s="744">
        <f t="shared" si="29"/>
        <v>2017</v>
      </c>
      <c r="AD44" s="744">
        <f t="shared" si="29"/>
        <v>2018</v>
      </c>
      <c r="AE44" s="744">
        <f t="shared" si="29"/>
        <v>2019</v>
      </c>
      <c r="AF44" s="744">
        <f t="shared" si="29"/>
        <v>2020</v>
      </c>
    </row>
    <row r="45" spans="1:32">
      <c r="A45" s="701">
        <f>+ROW(InputY!A216)</f>
        <v>216</v>
      </c>
      <c r="B45" s="702" t="s">
        <v>329</v>
      </c>
      <c r="C45" s="1122" t="s">
        <v>1791</v>
      </c>
      <c r="D45" s="1126" t="s">
        <v>666</v>
      </c>
      <c r="E45" s="1127" t="s">
        <v>1341</v>
      </c>
      <c r="F45" s="1129" t="s">
        <v>112</v>
      </c>
      <c r="G45" s="1128">
        <f>+InputY!G216/1000</f>
        <v>124.26633922776612</v>
      </c>
      <c r="H45" s="1128">
        <f>+InputY!H216/1000</f>
        <v>123.83739300809998</v>
      </c>
      <c r="I45" s="1128">
        <f>+InputY!I216/1000</f>
        <v>113.46344976734925</v>
      </c>
      <c r="J45" s="1128">
        <f>+InputY!J216/1000</f>
        <v>117.68722428649666</v>
      </c>
      <c r="K45" s="1128">
        <f>+InputY!K216/1000</f>
        <v>122.18464233720292</v>
      </c>
      <c r="L45" s="1128">
        <f>+InputY!L216/1000</f>
        <v>112.77787180063437</v>
      </c>
      <c r="M45" s="1128">
        <f>+InputY!M216/1000</f>
        <v>119.79401038674084</v>
      </c>
      <c r="N45" s="1128">
        <f>+InputY!N216/1000</f>
        <v>127.39703901976969</v>
      </c>
      <c r="O45" s="1128">
        <f>+InputY!O216/1000</f>
        <v>126.60891475246879</v>
      </c>
      <c r="P45" s="1128">
        <f>+InputY!P216/1000</f>
        <v>127.13779799171375</v>
      </c>
      <c r="Q45" s="1128">
        <f>+InputY!Q216/1000</f>
        <v>128.37883403634936</v>
      </c>
      <c r="R45" s="1128">
        <f>+InputY!R216/1000</f>
        <v>135.12132410408896</v>
      </c>
      <c r="S45" s="1128">
        <f>+InputY!S216/1000</f>
        <v>138.85020171713305</v>
      </c>
      <c r="T45" s="1128">
        <f>+InputY!T216/1000</f>
        <v>140.40091003380977</v>
      </c>
      <c r="U45" s="1128">
        <f>+InputY!U216/1000</f>
        <v>140.25343439915167</v>
      </c>
      <c r="V45" s="1128">
        <f>+InputY!V216/1000</f>
        <v>150.64400000000001</v>
      </c>
      <c r="W45" s="1128">
        <f>+InputY!W216/1000</f>
        <v>150.38251899999997</v>
      </c>
      <c r="X45" s="1128">
        <f>+InputY!X216/1000</f>
        <v>153.02130214520096</v>
      </c>
      <c r="Y45" s="1128">
        <f>+InputY!Y216/1000</f>
        <v>152.62563277822554</v>
      </c>
      <c r="Z45" s="1128">
        <f>+InputY!Z216/1000</f>
        <v>155.15807630540976</v>
      </c>
      <c r="AA45" s="1128">
        <f>+InputY!AA216/1000</f>
        <v>155.68103186309727</v>
      </c>
      <c r="AB45" s="1128">
        <f>+InputY!AB216/1000</f>
        <v>168.15100163028725</v>
      </c>
      <c r="AC45" s="1128">
        <f>+InputY!AC216/1000</f>
        <v>177.28629442996998</v>
      </c>
      <c r="AD45" s="1388">
        <f ca="1">+AC45*(1+AD48/100)</f>
        <v>184.55503250159873</v>
      </c>
      <c r="AE45" s="1388">
        <f ca="1">+AD45*(1+AE48/100)</f>
        <v>190.46079354164991</v>
      </c>
      <c r="AF45" s="1388">
        <f ca="1">+AE45*(1+AF48/100)</f>
        <v>195.22231338019114</v>
      </c>
    </row>
    <row r="46" spans="1:32">
      <c r="H46" s="1492"/>
    </row>
    <row r="47" spans="1:32" s="736" customFormat="1" ht="12.75" customHeight="1">
      <c r="A47" s="701"/>
      <c r="B47" s="701"/>
      <c r="C47" s="811"/>
      <c r="D47" s="1132"/>
      <c r="E47" s="1133" t="s">
        <v>1745</v>
      </c>
      <c r="F47" s="1134"/>
      <c r="G47" s="933">
        <f>+InputY!$G$3</f>
        <v>1995</v>
      </c>
      <c r="H47" s="933">
        <f>+G47+1</f>
        <v>1996</v>
      </c>
      <c r="I47" s="933">
        <f t="shared" ref="I47:O47" si="30">+H47+1</f>
        <v>1997</v>
      </c>
      <c r="J47" s="933">
        <f t="shared" si="30"/>
        <v>1998</v>
      </c>
      <c r="K47" s="933">
        <f t="shared" si="30"/>
        <v>1999</v>
      </c>
      <c r="L47" s="933">
        <f t="shared" si="30"/>
        <v>2000</v>
      </c>
      <c r="M47" s="933">
        <f t="shared" si="30"/>
        <v>2001</v>
      </c>
      <c r="N47" s="933">
        <f t="shared" si="30"/>
        <v>2002</v>
      </c>
      <c r="O47" s="933">
        <f t="shared" si="30"/>
        <v>2003</v>
      </c>
      <c r="P47" s="933">
        <f>+O47+1</f>
        <v>2004</v>
      </c>
      <c r="Q47" s="933">
        <f>+P47+1</f>
        <v>2005</v>
      </c>
      <c r="R47" s="933">
        <f>+Q47+1</f>
        <v>2006</v>
      </c>
      <c r="S47" s="933">
        <f>+R47+1</f>
        <v>2007</v>
      </c>
      <c r="T47" s="933">
        <f t="shared" ref="T47:AF47" si="31">+S47+1</f>
        <v>2008</v>
      </c>
      <c r="U47" s="933">
        <f t="shared" si="31"/>
        <v>2009</v>
      </c>
      <c r="V47" s="933">
        <f t="shared" si="31"/>
        <v>2010</v>
      </c>
      <c r="W47" s="933">
        <f t="shared" si="31"/>
        <v>2011</v>
      </c>
      <c r="X47" s="933">
        <f t="shared" si="31"/>
        <v>2012</v>
      </c>
      <c r="Y47" s="933">
        <f t="shared" si="31"/>
        <v>2013</v>
      </c>
      <c r="Z47" s="933">
        <f t="shared" si="31"/>
        <v>2014</v>
      </c>
      <c r="AA47" s="933">
        <f t="shared" si="31"/>
        <v>2015</v>
      </c>
      <c r="AB47" s="933">
        <f t="shared" si="31"/>
        <v>2016</v>
      </c>
      <c r="AC47" s="933">
        <f t="shared" si="31"/>
        <v>2017</v>
      </c>
      <c r="AD47" s="933">
        <f t="shared" si="31"/>
        <v>2018</v>
      </c>
      <c r="AE47" s="933">
        <f t="shared" si="31"/>
        <v>2019</v>
      </c>
      <c r="AF47" s="933">
        <f t="shared" si="31"/>
        <v>2020</v>
      </c>
    </row>
    <row r="48" spans="1:32" s="736" customFormat="1" ht="12.75" customHeight="1">
      <c r="A48" s="701"/>
      <c r="B48" s="701"/>
      <c r="C48" s="835" t="s">
        <v>1791</v>
      </c>
      <c r="D48" s="870" t="s">
        <v>666</v>
      </c>
      <c r="E48" s="871" t="s">
        <v>1341</v>
      </c>
      <c r="F48" s="1154" t="s">
        <v>112</v>
      </c>
      <c r="G48" s="1155"/>
      <c r="H48" s="1155">
        <f>+(H45/G45-1)*100</f>
        <v>-0.34518295326937398</v>
      </c>
      <c r="I48" s="1155">
        <f t="shared" ref="I48:AC48" si="32">+(I45/H45-1)*100</f>
        <v>-8.3770684998772502</v>
      </c>
      <c r="J48" s="1155">
        <f t="shared" si="32"/>
        <v>3.7225860202629413</v>
      </c>
      <c r="K48" s="1155">
        <f t="shared" si="32"/>
        <v>3.8215006581834077</v>
      </c>
      <c r="L48" s="1155">
        <f t="shared" si="32"/>
        <v>-7.6988157894737004</v>
      </c>
      <c r="M48" s="1155">
        <f t="shared" si="32"/>
        <v>6.2212014414577688</v>
      </c>
      <c r="N48" s="1155">
        <f t="shared" si="32"/>
        <v>6.3467519022723851</v>
      </c>
      <c r="O48" s="1155">
        <f t="shared" si="32"/>
        <v>-0.6186362519607691</v>
      </c>
      <c r="P48" s="1155">
        <f t="shared" si="32"/>
        <v>0.41772985755306191</v>
      </c>
      <c r="Q48" s="1155">
        <f t="shared" si="32"/>
        <v>0.97613460689045528</v>
      </c>
      <c r="R48" s="1155">
        <f t="shared" si="32"/>
        <v>5.2520262536661644</v>
      </c>
      <c r="S48" s="1155">
        <f t="shared" si="32"/>
        <v>2.7596514745308331</v>
      </c>
      <c r="T48" s="1155">
        <f t="shared" si="32"/>
        <v>1.1168210758784713</v>
      </c>
      <c r="U48" s="1155">
        <f t="shared" si="32"/>
        <v>-0.10503894499158672</v>
      </c>
      <c r="V48" s="1155">
        <f t="shared" si="32"/>
        <v>7.4084215087935057</v>
      </c>
      <c r="W48" s="1155">
        <f t="shared" si="32"/>
        <v>-0.17357544940391767</v>
      </c>
      <c r="X48" s="1155">
        <f t="shared" si="32"/>
        <v>1.7547140204513978</v>
      </c>
      <c r="Y48" s="1155">
        <f t="shared" si="32"/>
        <v>-0.25857142857141913</v>
      </c>
      <c r="Z48" s="1155">
        <f t="shared" si="32"/>
        <v>1.6592517790665173</v>
      </c>
      <c r="AA48" s="1155">
        <f t="shared" si="32"/>
        <v>0.33704694601790486</v>
      </c>
      <c r="AB48" s="1155">
        <f t="shared" si="32"/>
        <v>8.0099480443807778</v>
      </c>
      <c r="AC48" s="1155">
        <f t="shared" si="32"/>
        <v>5.4327911883441882</v>
      </c>
      <c r="AD48" s="1474">
        <f ca="1">OFFSET('VVP1'!$G$70,0,5*(COLUMN()-7))</f>
        <v>4.0999999999999996</v>
      </c>
      <c r="AE48" s="1474">
        <f ca="1">OFFSET('VVP1'!$G$70,0,5*(COLUMN()-7))</f>
        <v>3.2</v>
      </c>
      <c r="AF48" s="1474">
        <f ca="1">OFFSET('VVP1'!$G$70,0,5*(COLUMN()-7))</f>
        <v>2.5</v>
      </c>
    </row>
    <row r="50" spans="1:32">
      <c r="A50" s="1170"/>
      <c r="D50" s="1215"/>
      <c r="E50" s="1169" t="s">
        <v>1239</v>
      </c>
      <c r="F50" s="1216"/>
      <c r="G50" s="744">
        <f>+InputY!$G$3</f>
        <v>1995</v>
      </c>
      <c r="H50" s="744">
        <f>+G50+1</f>
        <v>1996</v>
      </c>
      <c r="I50" s="744">
        <f t="shared" ref="I50:O50" si="33">+H50+1</f>
        <v>1997</v>
      </c>
      <c r="J50" s="744">
        <f t="shared" si="33"/>
        <v>1998</v>
      </c>
      <c r="K50" s="744">
        <f t="shared" si="33"/>
        <v>1999</v>
      </c>
      <c r="L50" s="744">
        <f t="shared" si="33"/>
        <v>2000</v>
      </c>
      <c r="M50" s="744">
        <f t="shared" si="33"/>
        <v>2001</v>
      </c>
      <c r="N50" s="744">
        <f t="shared" si="33"/>
        <v>2002</v>
      </c>
      <c r="O50" s="744">
        <f t="shared" si="33"/>
        <v>2003</v>
      </c>
      <c r="P50" s="744">
        <f>+O50+1</f>
        <v>2004</v>
      </c>
      <c r="Q50" s="744">
        <f>+P50+1</f>
        <v>2005</v>
      </c>
      <c r="R50" s="744">
        <f>+Q50+1</f>
        <v>2006</v>
      </c>
      <c r="S50" s="744">
        <f>+R50+1</f>
        <v>2007</v>
      </c>
      <c r="T50" s="744">
        <f t="shared" ref="T50:AF50" si="34">+S50+1</f>
        <v>2008</v>
      </c>
      <c r="U50" s="744">
        <f t="shared" si="34"/>
        <v>2009</v>
      </c>
      <c r="V50" s="744">
        <f t="shared" si="34"/>
        <v>2010</v>
      </c>
      <c r="W50" s="744">
        <f t="shared" si="34"/>
        <v>2011</v>
      </c>
      <c r="X50" s="744">
        <f t="shared" si="34"/>
        <v>2012</v>
      </c>
      <c r="Y50" s="744">
        <f t="shared" si="34"/>
        <v>2013</v>
      </c>
      <c r="Z50" s="744">
        <f t="shared" si="34"/>
        <v>2014</v>
      </c>
      <c r="AA50" s="744">
        <f t="shared" si="34"/>
        <v>2015</v>
      </c>
      <c r="AB50" s="744">
        <f t="shared" si="34"/>
        <v>2016</v>
      </c>
      <c r="AC50" s="744">
        <f t="shared" si="34"/>
        <v>2017</v>
      </c>
      <c r="AD50" s="744">
        <f t="shared" si="34"/>
        <v>2018</v>
      </c>
      <c r="AE50" s="744">
        <f t="shared" si="34"/>
        <v>2019</v>
      </c>
      <c r="AF50" s="744">
        <f t="shared" si="34"/>
        <v>2020</v>
      </c>
    </row>
    <row r="51" spans="1:32" ht="12.75">
      <c r="A51" s="701"/>
      <c r="C51" s="1119" t="s">
        <v>1791</v>
      </c>
      <c r="D51" s="1098" t="s">
        <v>664</v>
      </c>
      <c r="E51" s="1078" t="s">
        <v>1998</v>
      </c>
      <c r="F51" s="1098" t="s">
        <v>1258</v>
      </c>
      <c r="G51" s="1124">
        <f t="shared" ref="G51:O51" si="35">+G7</f>
        <v>1109.9633799999999</v>
      </c>
      <c r="H51" s="1124">
        <f t="shared" si="35"/>
        <v>1130.08321</v>
      </c>
      <c r="I51" s="1124">
        <f t="shared" si="35"/>
        <v>1161.8601899999999</v>
      </c>
      <c r="J51" s="1124">
        <f t="shared" si="35"/>
        <v>1200.21576</v>
      </c>
      <c r="K51" s="1124">
        <f t="shared" si="35"/>
        <v>1248.5778799999998</v>
      </c>
      <c r="L51" s="1124">
        <f t="shared" si="35"/>
        <v>1314.1064699999999</v>
      </c>
      <c r="M51" s="1124">
        <f t="shared" si="35"/>
        <v>1323.71371</v>
      </c>
      <c r="N51" s="1124">
        <f t="shared" si="35"/>
        <v>1358.22486</v>
      </c>
      <c r="O51" s="1124">
        <f t="shared" si="35"/>
        <v>1389.6616200000001</v>
      </c>
      <c r="P51" s="1124">
        <f t="shared" ref="P51:X51" si="36">+P7</f>
        <v>1428.42317</v>
      </c>
      <c r="Q51" s="1124">
        <f t="shared" si="36"/>
        <v>1467.9538</v>
      </c>
      <c r="R51" s="1124">
        <f t="shared" si="36"/>
        <v>1507.16993</v>
      </c>
      <c r="S51" s="1124">
        <f t="shared" si="36"/>
        <v>1564.3635400000001</v>
      </c>
      <c r="T51" s="1124">
        <f t="shared" si="36"/>
        <v>1567.9268300000001</v>
      </c>
      <c r="U51" s="1124">
        <f t="shared" si="36"/>
        <v>1573.4275700000001</v>
      </c>
      <c r="V51" s="1124">
        <f t="shared" si="36"/>
        <v>1634.64</v>
      </c>
      <c r="W51" s="1124">
        <f t="shared" si="36"/>
        <v>1665.1523400000001</v>
      </c>
      <c r="X51" s="1124">
        <f t="shared" si="36"/>
        <v>1678.29809</v>
      </c>
      <c r="Y51" s="1124">
        <f t="shared" ref="Y51:AA51" si="37">+Y7</f>
        <v>1709.49469</v>
      </c>
      <c r="Z51" s="1124">
        <f t="shared" si="37"/>
        <v>1745.8680099999999</v>
      </c>
      <c r="AA51" s="1124">
        <f t="shared" si="37"/>
        <v>1800.3217400000001</v>
      </c>
      <c r="AB51" s="1124">
        <f t="shared" ref="AB51" si="38">+AB7</f>
        <v>1851.87833</v>
      </c>
      <c r="AC51" s="1124">
        <f t="shared" ref="AC51" si="39">+AC7</f>
        <v>1892.85943</v>
      </c>
      <c r="AD51" s="1124">
        <f ca="1">+AD7</f>
        <v>1938.2880563200001</v>
      </c>
      <c r="AE51" s="1124">
        <f ca="1">+AE7</f>
        <v>1983.4501680322562</v>
      </c>
      <c r="AF51" s="1124">
        <f ca="1">+AF7</f>
        <v>2025.1026215609334</v>
      </c>
    </row>
    <row r="52" spans="1:32" ht="12.75">
      <c r="A52" s="701"/>
      <c r="C52" s="1120" t="s">
        <v>1791</v>
      </c>
      <c r="D52" s="3" t="s">
        <v>666</v>
      </c>
      <c r="E52" s="29" t="s">
        <v>1998</v>
      </c>
      <c r="F52" s="3" t="s">
        <v>699</v>
      </c>
      <c r="G52" s="1102">
        <f t="shared" ref="G52:O52" si="40">+G13</f>
        <v>770.73362999999995</v>
      </c>
      <c r="H52" s="1102">
        <f t="shared" si="40"/>
        <v>769.76168999999993</v>
      </c>
      <c r="I52" s="1102">
        <f t="shared" si="40"/>
        <v>766.21629000000007</v>
      </c>
      <c r="J52" s="1102">
        <f t="shared" si="40"/>
        <v>795.29137000000003</v>
      </c>
      <c r="K52" s="1102">
        <f t="shared" si="40"/>
        <v>809.20065</v>
      </c>
      <c r="L52" s="1102">
        <f t="shared" si="40"/>
        <v>801.86030000000005</v>
      </c>
      <c r="M52" s="1102">
        <f t="shared" si="40"/>
        <v>803.23853000000008</v>
      </c>
      <c r="N52" s="1102">
        <f t="shared" si="40"/>
        <v>820.10041999999999</v>
      </c>
      <c r="O52" s="1102">
        <f t="shared" si="40"/>
        <v>825.60109</v>
      </c>
      <c r="P52" s="1102">
        <f t="shared" ref="P52:X52" si="41">+P13</f>
        <v>823.70272999999997</v>
      </c>
      <c r="Q52" s="1102">
        <f t="shared" si="41"/>
        <v>826.76567</v>
      </c>
      <c r="R52" s="1102">
        <f t="shared" si="41"/>
        <v>840.09003000000007</v>
      </c>
      <c r="S52" s="1102">
        <f t="shared" si="41"/>
        <v>844.30266000000006</v>
      </c>
      <c r="T52" s="1102">
        <f t="shared" si="41"/>
        <v>855.58156999999994</v>
      </c>
      <c r="U52" s="1102">
        <f t="shared" si="41"/>
        <v>874.8759399999999</v>
      </c>
      <c r="V52" s="1102">
        <f t="shared" si="41"/>
        <v>886.37199999999996</v>
      </c>
      <c r="W52" s="1102">
        <f t="shared" si="41"/>
        <v>893.69484</v>
      </c>
      <c r="X52" s="1102">
        <f t="shared" si="41"/>
        <v>903.59726999999998</v>
      </c>
      <c r="Y52" s="1102">
        <f t="shared" ref="Y52:AA52" si="42">+Y13</f>
        <v>915.25794999999994</v>
      </c>
      <c r="Z52" s="1102">
        <f t="shared" si="42"/>
        <v>929.0928100000001</v>
      </c>
      <c r="AA52" s="1102">
        <f t="shared" si="42"/>
        <v>951.47900000000004</v>
      </c>
      <c r="AB52" s="1102">
        <f t="shared" ref="AB52" si="43">+AB13</f>
        <v>985.74741000000006</v>
      </c>
      <c r="AC52" s="1102">
        <f t="shared" ref="AC52" si="44">+AC13</f>
        <v>985.72027000000003</v>
      </c>
      <c r="AD52" s="1102">
        <f ca="1">+AD13</f>
        <v>996.16890486199998</v>
      </c>
      <c r="AE52" s="1102">
        <f ca="1">+AE13</f>
        <v>1005.1344250057579</v>
      </c>
      <c r="AF52" s="1102">
        <f ca="1">+AF13</f>
        <v>1014.4821751583115</v>
      </c>
    </row>
    <row r="53" spans="1:32" ht="12.75">
      <c r="A53" s="701"/>
      <c r="C53" s="1121" t="s">
        <v>1791</v>
      </c>
      <c r="D53" s="1117"/>
      <c r="E53" s="1079" t="s">
        <v>1341</v>
      </c>
      <c r="F53" s="1117" t="s">
        <v>1752</v>
      </c>
      <c r="G53" s="1102">
        <f t="shared" ref="G53:O53" si="45">+G29</f>
        <v>482.90654000000001</v>
      </c>
      <c r="H53" s="1102">
        <f t="shared" si="45"/>
        <v>508.08803999999998</v>
      </c>
      <c r="I53" s="1102">
        <f t="shared" si="45"/>
        <v>515.35850000000005</v>
      </c>
      <c r="J53" s="1102">
        <f t="shared" si="45"/>
        <v>555.98903000000007</v>
      </c>
      <c r="K53" s="1102">
        <f t="shared" si="45"/>
        <v>593.79678999999999</v>
      </c>
      <c r="L53" s="1102">
        <f t="shared" si="45"/>
        <v>632.60732999999993</v>
      </c>
      <c r="M53" s="1102">
        <f t="shared" si="45"/>
        <v>648.48626999999999</v>
      </c>
      <c r="N53" s="1102">
        <f t="shared" si="45"/>
        <v>634.06938000000002</v>
      </c>
      <c r="O53" s="1102">
        <f t="shared" si="45"/>
        <v>648.90575000000001</v>
      </c>
      <c r="P53" s="1102">
        <f t="shared" ref="P53:X53" si="46">+P29</f>
        <v>686.26371999999992</v>
      </c>
      <c r="Q53" s="1102">
        <f t="shared" si="46"/>
        <v>720.89359999999999</v>
      </c>
      <c r="R53" s="1102">
        <f t="shared" si="46"/>
        <v>788.44038999999998</v>
      </c>
      <c r="S53" s="1102">
        <f t="shared" si="46"/>
        <v>852.26197999999999</v>
      </c>
      <c r="T53" s="1102">
        <f t="shared" si="46"/>
        <v>856.98334</v>
      </c>
      <c r="U53" s="1102">
        <f t="shared" si="46"/>
        <v>742.35464000000002</v>
      </c>
      <c r="V53" s="1102">
        <f t="shared" si="46"/>
        <v>787.14499999999998</v>
      </c>
      <c r="W53" s="1102">
        <f t="shared" si="46"/>
        <v>832.03856999999994</v>
      </c>
      <c r="X53" s="1102">
        <f t="shared" si="46"/>
        <v>829.67979000000003</v>
      </c>
      <c r="Y53" s="1102">
        <f t="shared" ref="Y53:AA53" si="47">+Y29</f>
        <v>834.84619999999995</v>
      </c>
      <c r="Z53" s="1102">
        <f t="shared" si="47"/>
        <v>880.24636999999996</v>
      </c>
      <c r="AA53" s="1102">
        <f t="shared" si="47"/>
        <v>938.79077000000007</v>
      </c>
      <c r="AB53" s="1102">
        <f t="shared" ref="AB53" si="48">+AB29</f>
        <v>977.84087999999997</v>
      </c>
      <c r="AC53" s="1102">
        <f t="shared" ref="AC53" si="49">+AC29</f>
        <v>1037.04529</v>
      </c>
      <c r="AD53" s="1102">
        <f ca="1">+AD29</f>
        <v>1073.7480694421577</v>
      </c>
      <c r="AE53" s="1102">
        <f ca="1">+AE29</f>
        <v>1095.0386752426355</v>
      </c>
      <c r="AF53" s="1102">
        <f ca="1">+AF29</f>
        <v>1118.5074187938133</v>
      </c>
    </row>
    <row r="54" spans="1:32">
      <c r="A54" s="701">
        <f>+ROW(InputY!A41)</f>
        <v>41</v>
      </c>
      <c r="B54" s="701"/>
      <c r="C54" s="731" t="s">
        <v>1793</v>
      </c>
      <c r="D54" s="1217"/>
      <c r="E54" s="1509" t="s">
        <v>1239</v>
      </c>
      <c r="F54" s="1508" t="s">
        <v>1190</v>
      </c>
      <c r="G54" s="1224">
        <f>+InputY!G41/1000</f>
        <v>2347.4378477</v>
      </c>
      <c r="H54" s="1224">
        <f>+InputY!H41/1000</f>
        <v>2394.36712524</v>
      </c>
      <c r="I54" s="1224">
        <f>+InputY!I41/1000</f>
        <v>2432.8930659900002</v>
      </c>
      <c r="J54" s="1224">
        <f>+InputY!J41/1000</f>
        <v>2540.3997095499999</v>
      </c>
      <c r="K54" s="1224">
        <f>+InputY!K41/1000</f>
        <v>2642.5902447100002</v>
      </c>
      <c r="L54" s="1224">
        <f>+InputY!L41/1000</f>
        <v>2744.9829693399997</v>
      </c>
      <c r="M54" s="1224">
        <f>+InputY!M41/1000</f>
        <v>2772.6255510000001</v>
      </c>
      <c r="N54" s="1224">
        <f>+InputY!N41/1000</f>
        <v>2808.84256714</v>
      </c>
      <c r="O54" s="1224">
        <f>+InputY!O41/1000</f>
        <v>2861.4748887800001</v>
      </c>
      <c r="P54" s="1224">
        <f>+InputY!P41/1000</f>
        <v>2936.96634077</v>
      </c>
      <c r="Q54" s="1224">
        <f>+InputY!Q41/1000</f>
        <v>3014.9409605599999</v>
      </c>
      <c r="R54" s="1224">
        <f>+InputY!R41/1000</f>
        <v>3135.23290597</v>
      </c>
      <c r="S54" s="1224">
        <f>+InputY!S41/1000</f>
        <v>3260.4740423799999</v>
      </c>
      <c r="T54" s="1224">
        <f>+InputY!T41/1000</f>
        <v>3280.07216354</v>
      </c>
      <c r="U54" s="1224">
        <f>+InputY!U41/1000</f>
        <v>3190.4875516100001</v>
      </c>
      <c r="V54" s="1224">
        <f>+InputY!V41/1000</f>
        <v>3308.1570000000002</v>
      </c>
      <c r="W54" s="1224">
        <f>+InputY!W41/1000</f>
        <v>3390.8852000000002</v>
      </c>
      <c r="X54" s="1224">
        <f>+InputY!X41/1000</f>
        <v>3411.7375115299997</v>
      </c>
      <c r="Y54" s="1224">
        <f>+InputY!Y41/1000</f>
        <v>3459.80064214</v>
      </c>
      <c r="Z54" s="1224">
        <f>+InputY!Z41/1000</f>
        <v>3554.4694775899998</v>
      </c>
      <c r="AA54" s="1224">
        <f>+InputY!AA41/1000</f>
        <v>3688.85449604</v>
      </c>
      <c r="AB54" s="1224">
        <f>+InputY!AB41/1000</f>
        <v>3813.8953319299999</v>
      </c>
      <c r="AC54" s="1224">
        <f>+InputY!AC41/1000</f>
        <v>3911.8178389499999</v>
      </c>
      <c r="AD54" s="1512">
        <f ca="1">IF(UPPER('VVP1'!$F$2)="Y",+AC54*(1+AD61/100),+AD52+AD53+AD51)</f>
        <v>4003.0167342646032</v>
      </c>
      <c r="AE54" s="1512">
        <f ca="1">IF(UPPER('VVP1'!$F$2)="Y",+AD54*(1+AE61/100),+AE52+AE53+AE51)</f>
        <v>4077.043839256442</v>
      </c>
      <c r="AF54" s="1512">
        <f ca="1">IF(UPPER('VVP1'!$F$2)="Y",+AE54*(1+AF61/100),+AF52+AF53+AF51)</f>
        <v>4150.2358546956048</v>
      </c>
    </row>
    <row r="55" spans="1:32" s="736" customFormat="1" ht="12.75" customHeight="1">
      <c r="A55" s="701"/>
      <c r="B55" s="701"/>
      <c r="C55" s="811"/>
      <c r="D55" s="2033"/>
      <c r="E55" s="2033" t="s">
        <v>90</v>
      </c>
      <c r="F55" s="2033"/>
      <c r="G55" s="1040"/>
      <c r="H55" s="1040">
        <f ca="1">ABS(IF('VVP1'!$F$2="Y",OFFSET('VVP1'!$G$10,0,5*(COLUMN()-7)+1)-OFFSET('VVP1'!$G$7,0,5*(COLUMN()-7)+1)-OFFSET('VVP1'!$G$8,0,5*(COLUMN()-7)+1)-OFFSET('VVP1'!$G$9,0,5*(COLUMN()-7)+1),ABS(H54-H51-H52-H53)))</f>
        <v>7.2687799502091366E-4</v>
      </c>
      <c r="I55" s="1040">
        <f ca="1">ABS(IF('VVP1'!$F$2="Y",OFFSET('VVP1'!$G$10,0,5*(COLUMN()-7)+1)-OFFSET('VVP1'!$G$7,0,5*(COLUMN()-7)+1)-OFFSET('VVP1'!$G$8,0,5*(COLUMN()-7)+1)-OFFSET('VVP1'!$G$9,0,5*(COLUMN()-7)+1),ABS(I54-I51-I52-I53)))</f>
        <v>5.9165699894947466E-8</v>
      </c>
      <c r="J55" s="1040">
        <f ca="1">ABS(IF('VVP1'!$F$2="Y",OFFSET('VVP1'!$G$10,0,5*(COLUMN()-7)+1)-OFFSET('VVP1'!$G$7,0,5*(COLUMN()-7)+1)-OFFSET('VVP1'!$G$8,0,5*(COLUMN()-7)+1)-OFFSET('VVP1'!$G$9,0,5*(COLUMN()-7)+1),ABS(J54-J51-J52-J53)))</f>
        <v>2.6709447098482997E-4</v>
      </c>
      <c r="K55" s="1040">
        <f ca="1">ABS(IF('VVP1'!$F$2="Y",OFFSET('VVP1'!$G$10,0,5*(COLUMN()-7)+1)-OFFSET('VVP1'!$G$7,0,5*(COLUMN()-7)+1)-OFFSET('VVP1'!$G$8,0,5*(COLUMN()-7)+1)-OFFSET('VVP1'!$G$9,0,5*(COLUMN()-7)+1),ABS(K54-K51-K52-K53)))</f>
        <v>7.7329566920525394E-5</v>
      </c>
      <c r="L55" s="1040">
        <f ca="1">ABS(IF('VVP1'!$F$2="Y",OFFSET('VVP1'!$G$10,0,5*(COLUMN()-7)+1)-OFFSET('VVP1'!$G$7,0,5*(COLUMN()-7)+1)-OFFSET('VVP1'!$G$8,0,5*(COLUMN()-7)+1)-OFFSET('VVP1'!$G$9,0,5*(COLUMN()-7)+1),ABS(L54-L51-L52-L53)))</f>
        <v>3.5208328267799516E-4</v>
      </c>
      <c r="M55" s="1040">
        <f ca="1">ABS(IF('VVP1'!$F$2="Y",OFFSET('VVP1'!$G$10,0,5*(COLUMN()-7)+1)-OFFSET('VVP1'!$G$7,0,5*(COLUMN()-7)+1)-OFFSET('VVP1'!$G$8,0,5*(COLUMN()-7)+1)-OFFSET('VVP1'!$G$9,0,5*(COLUMN()-7)+1),ABS(M54-M51-M52-M53)))</f>
        <v>3.4993418262274645E-4</v>
      </c>
      <c r="N55" s="1040">
        <f ca="1">ABS(IF('VVP1'!$F$2="Y",OFFSET('VVP1'!$G$10,0,5*(COLUMN()-7)+1)-OFFSET('VVP1'!$G$7,0,5*(COLUMN()-7)+1)-OFFSET('VVP1'!$G$8,0,5*(COLUMN()-7)+1)-OFFSET('VVP1'!$G$9,0,5*(COLUMN()-7)+1),ABS(N54-N51-N52-N53)))</f>
        <v>3.316677443763183E-4</v>
      </c>
      <c r="O55" s="1040">
        <f ca="1">ABS(IF('VVP1'!$F$2="Y",OFFSET('VVP1'!$G$10,0,5*(COLUMN()-7)+1)-OFFSET('VVP1'!$G$7,0,5*(COLUMN()-7)+1)-OFFSET('VVP1'!$G$8,0,5*(COLUMN()-7)+1)-OFFSET('VVP1'!$G$9,0,5*(COLUMN()-7)+1),ABS(O54-O51-O52-O53)))</f>
        <v>3.885588273533358E-4</v>
      </c>
      <c r="P55" s="1040">
        <f ca="1">ABS(IF('VVP1'!$F$2="Y",OFFSET('VVP1'!$G$10,0,5*(COLUMN()-7)+1)-OFFSET('VVP1'!$G$7,0,5*(COLUMN()-7)+1)-OFFSET('VVP1'!$G$8,0,5*(COLUMN()-7)+1)-OFFSET('VVP1'!$G$9,0,5*(COLUMN()-7)+1),ABS(P54-P51-P52-P53)))</f>
        <v>5.1095741014250962E-5</v>
      </c>
      <c r="Q55" s="1040">
        <f ca="1">ABS(IF('VVP1'!$F$2="Y",OFFSET('VVP1'!$G$10,0,5*(COLUMN()-7)+1)-OFFSET('VVP1'!$G$7,0,5*(COLUMN()-7)+1)-OFFSET('VVP1'!$G$8,0,5*(COLUMN()-7)+1)-OFFSET('VVP1'!$G$9,0,5*(COLUMN()-7)+1),ABS(Q54-Q51-Q52-Q53)))</f>
        <v>7.7824778372814762E-6</v>
      </c>
      <c r="R55" s="1040">
        <f ca="1">ABS(IF('VVP1'!$F$2="Y",OFFSET('VVP1'!$G$10,0,5*(COLUMN()-7)+1)-OFFSET('VVP1'!$G$7,0,5*(COLUMN()-7)+1)-OFFSET('VVP1'!$G$8,0,5*(COLUMN()-7)+1)-OFFSET('VVP1'!$G$9,0,5*(COLUMN()-7)+1),ABS(R54-R51-R52-R53)))</f>
        <v>2.2190558070178668E-4</v>
      </c>
      <c r="S55" s="1040">
        <f ca="1">ABS(IF('VVP1'!$F$2="Y",OFFSET('VVP1'!$G$10,0,5*(COLUMN()-7)+1)-OFFSET('VVP1'!$G$7,0,5*(COLUMN()-7)+1)-OFFSET('VVP1'!$G$8,0,5*(COLUMN()-7)+1)-OFFSET('VVP1'!$G$9,0,5*(COLUMN()-7)+1),ABS(S54-S51-S52-S53)))</f>
        <v>2.4986587175135355E-4</v>
      </c>
      <c r="T55" s="1040">
        <f ca="1">ABS(IF('VVP1'!$F$2="Y",OFFSET('VVP1'!$G$10,0,5*(COLUMN()-7)+1)-OFFSET('VVP1'!$G$7,0,5*(COLUMN()-7)+1)-OFFSET('VVP1'!$G$8,0,5*(COLUMN()-7)+1)-OFFSET('VVP1'!$G$9,0,5*(COLUMN()-7)+1),ABS(T54-T51-T52-T53)))</f>
        <v>9.6664300360771449E-4</v>
      </c>
      <c r="U55" s="1040">
        <f ca="1">ABS(IF('VVP1'!$F$2="Y",OFFSET('VVP1'!$G$10,0,5*(COLUMN()-7)+1)-OFFSET('VVP1'!$G$7,0,5*(COLUMN()-7)+1)-OFFSET('VVP1'!$G$8,0,5*(COLUMN()-7)+1)-OFFSET('VVP1'!$G$9,0,5*(COLUMN()-7)+1),ABS(U54-U51-U52-U53)))</f>
        <v>4.7306134797509003E-4</v>
      </c>
      <c r="V55" s="1040">
        <f ca="1">ABS(IF('VVP1'!$F$2="Y",OFFSET('VVP1'!$G$10,0,5*(COLUMN()-7)+1)-OFFSET('VVP1'!$G$7,0,5*(COLUMN()-7)+1)-OFFSET('VVP1'!$G$8,0,5*(COLUMN()-7)+1)-OFFSET('VVP1'!$G$9,0,5*(COLUMN()-7)+1),ABS(V54-V51-V52-V53)))</f>
        <v>5.9101206602463208E-5</v>
      </c>
      <c r="W55" s="1040">
        <f ca="1">ABS(IF('VVP1'!$F$2="Y",OFFSET('VVP1'!$G$10,0,5*(COLUMN()-7)+1)-OFFSET('VVP1'!$G$7,0,5*(COLUMN()-7)+1)-OFFSET('VVP1'!$G$8,0,5*(COLUMN()-7)+1)-OFFSET('VVP1'!$G$9,0,5*(COLUMN()-7)+1),ABS(W54-W51-W52-W53)))</f>
        <v>5.4999999940719135E-4</v>
      </c>
      <c r="X55" s="1040">
        <f ca="1">ABS(IF('VVP1'!$F$2="Y",OFFSET('VVP1'!$G$10,0,5*(COLUMN()-7)+1)-OFFSET('VVP1'!$G$7,0,5*(COLUMN()-7)+1)-OFFSET('VVP1'!$G$8,0,5*(COLUMN()-7)+1)-OFFSET('VVP1'!$G$9,0,5*(COLUMN()-7)+1),ABS(X54-X51-X52-X53)))</f>
        <v>1.9026373627184512E-4</v>
      </c>
      <c r="Y55" s="1040">
        <f ca="1">ABS(IF('VVP1'!$F$2="Y",OFFSET('VVP1'!$G$10,0,5*(COLUMN()-7)+1)-OFFSET('VVP1'!$G$7,0,5*(COLUMN()-7)+1)-OFFSET('VVP1'!$G$8,0,5*(COLUMN()-7)+1)-OFFSET('VVP1'!$G$9,0,5*(COLUMN()-7)+1),ABS(Y54-Y51-Y52-Y53)))</f>
        <v>8.4062968767284474E-5</v>
      </c>
      <c r="Z55" s="1040">
        <f ca="1">ABS(IF('VVP1'!$F$2="Y",OFFSET('VVP1'!$G$10,0,5*(COLUMN()-7)+1)-OFFSET('VVP1'!$G$7,0,5*(COLUMN()-7)+1)-OFFSET('VVP1'!$G$8,0,5*(COLUMN()-7)+1)-OFFSET('VVP1'!$G$9,0,5*(COLUMN()-7)+1),ABS(Z54-Z51-Z52-Z53)))</f>
        <v>5.230807703355822E-4</v>
      </c>
      <c r="AA55" s="1040">
        <f ca="1">ABS(IF('VVP1'!$F$2="Y",OFFSET('VVP1'!$G$10,0,5*(COLUMN()-7)+1)-OFFSET('VVP1'!$G$7,0,5*(COLUMN()-7)+1)-OFFSET('VVP1'!$G$8,0,5*(COLUMN()-7)+1)-OFFSET('VVP1'!$G$9,0,5*(COLUMN()-7)+1),ABS(AA54-AA51-AA52-AA53)))</f>
        <v>4.1657805718386953E-4</v>
      </c>
      <c r="AB55" s="2999">
        <f ca="1">ABS(IF('VVP1'!$F$2="Y",OFFSET('VVP1'!$G$10,0,5*(COLUMN()-7)+1)-OFFSET('VVP1'!$G$7,0,5*(COLUMN()-7)+1)-OFFSET('VVP1'!$G$8,0,5*(COLUMN()-7)+1)-OFFSET('VVP1'!$G$9,0,5*(COLUMN()-7)+1),ABS(AB54-AB51-AB52-AB53)))</f>
        <v>1.2803066056221724E-6</v>
      </c>
      <c r="AC55" s="2999">
        <f ca="1">ABS(IF('VVP1'!$F$2="Y",OFFSET('VVP1'!$G$10,0,5*(COLUMN()-7)+1)-OFFSET('VVP1'!$G$7,0,5*(COLUMN()-7)+1)-OFFSET('VVP1'!$G$8,0,5*(COLUMN()-7)+1)-OFFSET('VVP1'!$G$9,0,5*(COLUMN()-7)+1),ABS(AC54-AC51-AC52-AC53)))</f>
        <v>2.1074906203466526E-4</v>
      </c>
      <c r="AD55" s="2999">
        <f ca="1">ABS(IF('VVP1'!$F$2="Y",OFFSET('VVP1'!$G$10,0,5*(COLUMN()-7)+1)-OFFSET('VVP1'!$G$7,0,5*(COLUMN()-7)+1)-OFFSET('VVP1'!$G$8,0,5*(COLUMN()-7)+1)-OFFSET('VVP1'!$G$9,0,5*(COLUMN()-7)+1),ABS(AD54-AD51-AD52-AD53)))</f>
        <v>2.2737367544323206E-13</v>
      </c>
      <c r="AE55" s="2999">
        <f ca="1">ABS(IF('VVP1'!$F$2="Y",OFFSET('VVP1'!$G$10,0,5*(COLUMN()-7)+1)-OFFSET('VVP1'!$G$7,0,5*(COLUMN()-7)+1)-OFFSET('VVP1'!$G$8,0,5*(COLUMN()-7)+1)-OFFSET('VVP1'!$G$9,0,5*(COLUMN()-7)+1),ABS(AE54-AE51-AE52-AE53)))</f>
        <v>0</v>
      </c>
      <c r="AF55" s="2999">
        <f ca="1">ABS(IF('VVP1'!$F$2="Y",OFFSET('VVP1'!$G$10,0,5*(COLUMN()-7)+1)-OFFSET('VVP1'!$G$7,0,5*(COLUMN()-7)+1)-OFFSET('VVP1'!$G$8,0,5*(COLUMN()-7)+1)-OFFSET('VVP1'!$G$9,0,5*(COLUMN()-7)+1),ABS(AF54-AF51-AF52-AF53)))</f>
        <v>4.5474735088646412E-13</v>
      </c>
    </row>
    <row r="57" spans="1:32" s="736" customFormat="1" ht="12.75" customHeight="1">
      <c r="A57" s="701"/>
      <c r="B57" s="701"/>
      <c r="C57" s="811"/>
      <c r="D57" s="1132"/>
      <c r="E57" s="1133" t="s">
        <v>1239</v>
      </c>
      <c r="F57" s="1134"/>
      <c r="G57" s="933">
        <f>+InputY!$G$3</f>
        <v>1995</v>
      </c>
      <c r="H57" s="933">
        <f>+G57+1</f>
        <v>1996</v>
      </c>
      <c r="I57" s="933">
        <f t="shared" ref="I57:O57" si="50">+H57+1</f>
        <v>1997</v>
      </c>
      <c r="J57" s="933">
        <f t="shared" si="50"/>
        <v>1998</v>
      </c>
      <c r="K57" s="933">
        <f t="shared" si="50"/>
        <v>1999</v>
      </c>
      <c r="L57" s="933">
        <f t="shared" si="50"/>
        <v>2000</v>
      </c>
      <c r="M57" s="933">
        <f t="shared" si="50"/>
        <v>2001</v>
      </c>
      <c r="N57" s="933">
        <f t="shared" si="50"/>
        <v>2002</v>
      </c>
      <c r="O57" s="933">
        <f t="shared" si="50"/>
        <v>2003</v>
      </c>
      <c r="P57" s="933">
        <f>+O57+1</f>
        <v>2004</v>
      </c>
      <c r="Q57" s="933">
        <f>+P57+1</f>
        <v>2005</v>
      </c>
      <c r="R57" s="933">
        <f>+Q57+1</f>
        <v>2006</v>
      </c>
      <c r="S57" s="933">
        <f>+R57+1</f>
        <v>2007</v>
      </c>
      <c r="T57" s="933">
        <f t="shared" ref="T57:AF57" si="51">+S57+1</f>
        <v>2008</v>
      </c>
      <c r="U57" s="933">
        <f t="shared" si="51"/>
        <v>2009</v>
      </c>
      <c r="V57" s="933">
        <f t="shared" si="51"/>
        <v>2010</v>
      </c>
      <c r="W57" s="933">
        <f t="shared" si="51"/>
        <v>2011</v>
      </c>
      <c r="X57" s="933">
        <f t="shared" si="51"/>
        <v>2012</v>
      </c>
      <c r="Y57" s="933">
        <f t="shared" si="51"/>
        <v>2013</v>
      </c>
      <c r="Z57" s="933">
        <f t="shared" si="51"/>
        <v>2014</v>
      </c>
      <c r="AA57" s="933">
        <f t="shared" si="51"/>
        <v>2015</v>
      </c>
      <c r="AB57" s="933">
        <f t="shared" si="51"/>
        <v>2016</v>
      </c>
      <c r="AC57" s="933">
        <f t="shared" si="51"/>
        <v>2017</v>
      </c>
      <c r="AD57" s="933">
        <f t="shared" si="51"/>
        <v>2018</v>
      </c>
      <c r="AE57" s="933">
        <f t="shared" si="51"/>
        <v>2019</v>
      </c>
      <c r="AF57" s="933">
        <f t="shared" si="51"/>
        <v>2020</v>
      </c>
    </row>
    <row r="58" spans="1:32" s="736" customFormat="1" ht="12.75" customHeight="1">
      <c r="A58" s="701"/>
      <c r="B58" s="701"/>
      <c r="C58" s="831" t="s">
        <v>1791</v>
      </c>
      <c r="D58" s="726" t="s">
        <v>664</v>
      </c>
      <c r="E58" s="775" t="s">
        <v>1998</v>
      </c>
      <c r="F58" s="770" t="s">
        <v>1258</v>
      </c>
      <c r="G58" s="1135"/>
      <c r="H58" s="1135">
        <f>+(H51/G51-1)*100</f>
        <v>1.8126570986513268</v>
      </c>
      <c r="I58" s="1135">
        <f t="shared" ref="I58:AC58" si="52">+(I51/H51-1)*100</f>
        <v>2.811915062431547</v>
      </c>
      <c r="J58" s="1135">
        <f t="shared" si="52"/>
        <v>3.3012207776909941</v>
      </c>
      <c r="K58" s="1135">
        <f t="shared" si="52"/>
        <v>4.0294521711662812</v>
      </c>
      <c r="L58" s="1135">
        <f t="shared" si="52"/>
        <v>5.2482581222726976</v>
      </c>
      <c r="M58" s="1135">
        <f t="shared" si="52"/>
        <v>0.73108535870765046</v>
      </c>
      <c r="N58" s="1135">
        <f t="shared" si="52"/>
        <v>2.6071460723935624</v>
      </c>
      <c r="O58" s="1135">
        <f t="shared" si="52"/>
        <v>2.3145475337566834</v>
      </c>
      <c r="P58" s="1135">
        <f t="shared" si="52"/>
        <v>2.7892797384733159</v>
      </c>
      <c r="Q58" s="1135">
        <f t="shared" si="52"/>
        <v>2.7674313067884482</v>
      </c>
      <c r="R58" s="1135">
        <f t="shared" si="52"/>
        <v>2.6714825766315009</v>
      </c>
      <c r="S58" s="1135">
        <f t="shared" si="52"/>
        <v>3.7947685169116951</v>
      </c>
      <c r="T58" s="1135">
        <f t="shared" si="52"/>
        <v>0.22777889594640666</v>
      </c>
      <c r="U58" s="1135">
        <f t="shared" si="52"/>
        <v>0.35082887126818285</v>
      </c>
      <c r="V58" s="1135">
        <f t="shared" si="52"/>
        <v>3.8903875314705516</v>
      </c>
      <c r="W58" s="1135">
        <f t="shared" si="52"/>
        <v>1.8666091616502678</v>
      </c>
      <c r="X58" s="1135">
        <f t="shared" si="52"/>
        <v>0.78946230229000047</v>
      </c>
      <c r="Y58" s="1135">
        <f t="shared" si="52"/>
        <v>1.8588235418893984</v>
      </c>
      <c r="Z58" s="1135">
        <f t="shared" si="52"/>
        <v>2.1277234853534388</v>
      </c>
      <c r="AA58" s="1135">
        <f t="shared" si="52"/>
        <v>3.1190061154737769</v>
      </c>
      <c r="AB58" s="1135">
        <f t="shared" si="52"/>
        <v>2.8637431218266451</v>
      </c>
      <c r="AC58" s="1135">
        <f t="shared" si="52"/>
        <v>2.2129477588303637</v>
      </c>
      <c r="AD58" s="1135">
        <f t="shared" ref="AD58:AF60" ca="1" si="53">+(AD51/AC51-1)*100</f>
        <v>2.4000000000000021</v>
      </c>
      <c r="AE58" s="1135">
        <f t="shared" ca="1" si="53"/>
        <v>2.3300000000000098</v>
      </c>
      <c r="AF58" s="1135">
        <f t="shared" ca="1" si="53"/>
        <v>2.0999999999999908</v>
      </c>
    </row>
    <row r="59" spans="1:32" s="736" customFormat="1" ht="12.75" customHeight="1">
      <c r="A59" s="701"/>
      <c r="B59" s="701"/>
      <c r="C59" s="832" t="s">
        <v>1791</v>
      </c>
      <c r="D59" s="711" t="s">
        <v>666</v>
      </c>
      <c r="E59" s="820" t="s">
        <v>1998</v>
      </c>
      <c r="F59" s="741" t="s">
        <v>699</v>
      </c>
      <c r="G59" s="1084"/>
      <c r="H59" s="1084">
        <f>+(H52/G52-1)*100</f>
        <v>-0.12610582465436559</v>
      </c>
      <c r="I59" s="1084">
        <f t="shared" ref="I59:Y59" si="54">+(I52/H52-1)*100</f>
        <v>-0.46058410623160961</v>
      </c>
      <c r="J59" s="1084">
        <f t="shared" si="54"/>
        <v>3.7946308867956802</v>
      </c>
      <c r="K59" s="1084">
        <f t="shared" si="54"/>
        <v>1.7489539714230729</v>
      </c>
      <c r="L59" s="1084">
        <f t="shared" si="54"/>
        <v>-0.90711123378360847</v>
      </c>
      <c r="M59" s="1084">
        <f t="shared" si="54"/>
        <v>0.17187906671523034</v>
      </c>
      <c r="N59" s="1084">
        <f t="shared" si="54"/>
        <v>2.0992381926698611</v>
      </c>
      <c r="O59" s="1084">
        <f t="shared" si="54"/>
        <v>0.67073127459196247</v>
      </c>
      <c r="P59" s="1084">
        <f t="shared" si="54"/>
        <v>-0.22993671192949039</v>
      </c>
      <c r="Q59" s="1084">
        <f t="shared" si="54"/>
        <v>0.37185016978151797</v>
      </c>
      <c r="R59" s="1084">
        <f t="shared" si="54"/>
        <v>1.6116247303785691</v>
      </c>
      <c r="S59" s="1084">
        <f t="shared" si="54"/>
        <v>0.50144982675248695</v>
      </c>
      <c r="T59" s="1084">
        <f t="shared" si="54"/>
        <v>1.3358846932923107</v>
      </c>
      <c r="U59" s="1084">
        <f t="shared" si="54"/>
        <v>2.2551175336794627</v>
      </c>
      <c r="V59" s="1084">
        <f t="shared" si="54"/>
        <v>1.3140217343272864</v>
      </c>
      <c r="W59" s="1084">
        <f t="shared" si="54"/>
        <v>0.82615876855316461</v>
      </c>
      <c r="X59" s="1084">
        <f t="shared" si="54"/>
        <v>1.1080325807856228</v>
      </c>
      <c r="Y59" s="1084">
        <f t="shared" si="54"/>
        <v>1.2904731330142249</v>
      </c>
      <c r="Z59" s="1084">
        <f t="shared" ref="Z59:AC60" si="55">+(Z52/Y52-1)*100</f>
        <v>1.5115804238575725</v>
      </c>
      <c r="AA59" s="1084">
        <f t="shared" si="55"/>
        <v>2.4094675751499928</v>
      </c>
      <c r="AB59" s="1084">
        <f t="shared" si="55"/>
        <v>3.6015939395404484</v>
      </c>
      <c r="AC59" s="1084">
        <f t="shared" si="55"/>
        <v>-2.7532408124697483E-3</v>
      </c>
      <c r="AD59" s="1084">
        <f t="shared" ca="1" si="53"/>
        <v>1.0599999999999943</v>
      </c>
      <c r="AE59" s="1084">
        <f t="shared" ca="1" si="53"/>
        <v>0.8999999999999897</v>
      </c>
      <c r="AF59" s="1084">
        <f t="shared" ca="1" si="53"/>
        <v>0.9300000000000086</v>
      </c>
    </row>
    <row r="60" spans="1:32" s="736" customFormat="1" ht="12.75" customHeight="1">
      <c r="A60" s="701"/>
      <c r="B60" s="701"/>
      <c r="C60" s="833" t="s">
        <v>1791</v>
      </c>
      <c r="D60" s="728" t="s">
        <v>974</v>
      </c>
      <c r="E60" s="834" t="s">
        <v>1341</v>
      </c>
      <c r="F60" s="773" t="s">
        <v>1752</v>
      </c>
      <c r="G60" s="1136"/>
      <c r="H60" s="1136">
        <f>+(H53/G53-1)*100</f>
        <v>5.2145700905189551</v>
      </c>
      <c r="I60" s="1136">
        <f t="shared" ref="I60:Y60" si="56">+(I53/H53-1)*100</f>
        <v>1.4309449204905622</v>
      </c>
      <c r="J60" s="1136">
        <f t="shared" si="56"/>
        <v>7.8839351635803023</v>
      </c>
      <c r="K60" s="1136">
        <f t="shared" si="56"/>
        <v>6.8000910017954608</v>
      </c>
      <c r="L60" s="1136">
        <f t="shared" si="56"/>
        <v>6.535996935921462</v>
      </c>
      <c r="M60" s="1136">
        <f t="shared" si="56"/>
        <v>2.5100784083548433</v>
      </c>
      <c r="N60" s="1136">
        <f t="shared" si="56"/>
        <v>-2.2231604070815481</v>
      </c>
      <c r="O60" s="1136">
        <f t="shared" si="56"/>
        <v>2.3398653945408965</v>
      </c>
      <c r="P60" s="1136">
        <f t="shared" si="56"/>
        <v>5.7570718089645423</v>
      </c>
      <c r="Q60" s="1136">
        <f t="shared" si="56"/>
        <v>5.0461475655452226</v>
      </c>
      <c r="R60" s="1136">
        <f t="shared" si="56"/>
        <v>9.3698695618881889</v>
      </c>
      <c r="S60" s="1136">
        <f t="shared" si="56"/>
        <v>8.0946626795717513</v>
      </c>
      <c r="T60" s="1136">
        <f t="shared" si="56"/>
        <v>0.5539798924269812</v>
      </c>
      <c r="U60" s="1136">
        <f t="shared" si="56"/>
        <v>-13.375837621300779</v>
      </c>
      <c r="V60" s="1136">
        <f t="shared" si="56"/>
        <v>6.0335529121229747</v>
      </c>
      <c r="W60" s="1136">
        <f t="shared" si="56"/>
        <v>5.7033418239333278</v>
      </c>
      <c r="X60" s="1136">
        <f t="shared" si="56"/>
        <v>-0.28349406927131726</v>
      </c>
      <c r="Y60" s="1136">
        <f t="shared" si="56"/>
        <v>0.62269927052218677</v>
      </c>
      <c r="Z60" s="1136">
        <f t="shared" si="55"/>
        <v>5.4381477690142122</v>
      </c>
      <c r="AA60" s="1136">
        <f t="shared" si="55"/>
        <v>6.6509106990126021</v>
      </c>
      <c r="AB60" s="1136">
        <f t="shared" si="55"/>
        <v>4.1596180158439244</v>
      </c>
      <c r="AC60" s="1136">
        <f t="shared" si="55"/>
        <v>6.0546057350353344</v>
      </c>
      <c r="AD60" s="1136">
        <f t="shared" ca="1" si="53"/>
        <v>3.5391684236044885</v>
      </c>
      <c r="AE60" s="1136">
        <f t="shared" ca="1" si="53"/>
        <v>1.9828306477457813</v>
      </c>
      <c r="AF60" s="1136">
        <f t="shared" ca="1" si="53"/>
        <v>2.1431885541373763</v>
      </c>
    </row>
    <row r="61" spans="1:32" s="736" customFormat="1" ht="12.75" customHeight="1">
      <c r="A61" s="701"/>
      <c r="B61" s="701"/>
      <c r="C61" s="811" t="s">
        <v>1793</v>
      </c>
      <c r="D61" s="754"/>
      <c r="E61" s="1516" t="s">
        <v>1239</v>
      </c>
      <c r="F61" s="760" t="s">
        <v>1190</v>
      </c>
      <c r="G61" s="758"/>
      <c r="H61" s="758">
        <f>+(H54/G54-1)*100</f>
        <v>1.9991701840362142</v>
      </c>
      <c r="I61" s="758">
        <f t="shared" ref="I61:AC61" si="57">+(I54/H54-1)*100</f>
        <v>1.6090239606066481</v>
      </c>
      <c r="J61" s="758">
        <f t="shared" si="57"/>
        <v>4.4188807581747369</v>
      </c>
      <c r="K61" s="758">
        <f t="shared" si="57"/>
        <v>4.0226163928392955</v>
      </c>
      <c r="L61" s="758">
        <f t="shared" si="57"/>
        <v>3.8747106114908059</v>
      </c>
      <c r="M61" s="758">
        <f t="shared" si="57"/>
        <v>1.0070219731325603</v>
      </c>
      <c r="N61" s="758">
        <f t="shared" si="57"/>
        <v>1.3062353885809674</v>
      </c>
      <c r="O61" s="758">
        <f t="shared" si="57"/>
        <v>1.8738081747881941</v>
      </c>
      <c r="P61" s="758">
        <f t="shared" si="57"/>
        <v>2.6382007504593519</v>
      </c>
      <c r="Q61" s="758">
        <f t="shared" si="57"/>
        <v>2.6549374675351789</v>
      </c>
      <c r="R61" s="758">
        <f t="shared" si="57"/>
        <v>3.9898607297323974</v>
      </c>
      <c r="S61" s="758">
        <f t="shared" si="57"/>
        <v>3.9946358106767832</v>
      </c>
      <c r="T61" s="758">
        <f t="shared" si="57"/>
        <v>0.60108195634320793</v>
      </c>
      <c r="U61" s="758">
        <f t="shared" si="57"/>
        <v>-2.7311780797321328</v>
      </c>
      <c r="V61" s="758">
        <f t="shared" si="57"/>
        <v>3.6881337565671135</v>
      </c>
      <c r="W61" s="758">
        <f t="shared" si="57"/>
        <v>2.5007337922595685</v>
      </c>
      <c r="X61" s="758">
        <f t="shared" si="57"/>
        <v>0.61495185770368277</v>
      </c>
      <c r="Y61" s="758">
        <f t="shared" si="57"/>
        <v>1.408758160543444</v>
      </c>
      <c r="Z61" s="758">
        <f t="shared" si="57"/>
        <v>2.7362511671032097</v>
      </c>
      <c r="AA61" s="758">
        <f t="shared" si="57"/>
        <v>3.7807335045992874</v>
      </c>
      <c r="AB61" s="758">
        <f t="shared" si="57"/>
        <v>3.3896928172209462</v>
      </c>
      <c r="AC61" s="758">
        <f t="shared" si="57"/>
        <v>2.5675195173866294</v>
      </c>
      <c r="AD61" s="1511">
        <f ca="1">IF(UPPER('VVP1'!$F$2)="Y",OFFSET('VVP1'!$G$10,0,5*(COLUMN()-7)),('VVP2'!AD54/'VVP2'!AC54-1)*100)</f>
        <v>2.3313686646278642</v>
      </c>
      <c r="AE61" s="1511">
        <f ca="1">IF(UPPER('VVP1'!$F$2)="Y",OFFSET('VVP1'!$G$10,0,5*(COLUMN()-7)),('VVP2'!AE54/'VVP2'!AD54-1)*100)</f>
        <v>1.8492829260040144</v>
      </c>
      <c r="AF61" s="1511">
        <f ca="1">IF(UPPER('VVP1'!$F$2)="Y",OFFSET('VVP1'!$G$10,0,5*(COLUMN()-7)),('VVP2'!AF54/'VVP2'!AE54-1)*100)</f>
        <v>1.7952226741940303</v>
      </c>
    </row>
    <row r="63" spans="1:32">
      <c r="A63" s="1170"/>
      <c r="D63" s="1215"/>
      <c r="E63" s="1169" t="s">
        <v>1901</v>
      </c>
      <c r="F63" s="1216"/>
      <c r="G63" s="744">
        <f>+InputY!$G$3</f>
        <v>1995</v>
      </c>
      <c r="H63" s="744">
        <f>+G63+1</f>
        <v>1996</v>
      </c>
      <c r="I63" s="744">
        <f t="shared" ref="I63:O63" si="58">+H63+1</f>
        <v>1997</v>
      </c>
      <c r="J63" s="744">
        <f t="shared" si="58"/>
        <v>1998</v>
      </c>
      <c r="K63" s="744">
        <f t="shared" si="58"/>
        <v>1999</v>
      </c>
      <c r="L63" s="744">
        <f t="shared" si="58"/>
        <v>2000</v>
      </c>
      <c r="M63" s="744">
        <f t="shared" si="58"/>
        <v>2001</v>
      </c>
      <c r="N63" s="744">
        <f t="shared" si="58"/>
        <v>2002</v>
      </c>
      <c r="O63" s="744">
        <f t="shared" si="58"/>
        <v>2003</v>
      </c>
      <c r="P63" s="744">
        <f>+O63+1</f>
        <v>2004</v>
      </c>
      <c r="Q63" s="744">
        <f>+P63+1</f>
        <v>2005</v>
      </c>
      <c r="R63" s="744">
        <f>+Q63+1</f>
        <v>2006</v>
      </c>
      <c r="S63" s="744">
        <f>+R63+1</f>
        <v>2007</v>
      </c>
      <c r="T63" s="744">
        <f t="shared" ref="T63:AF63" si="59">+S63+1</f>
        <v>2008</v>
      </c>
      <c r="U63" s="744">
        <f t="shared" si="59"/>
        <v>2009</v>
      </c>
      <c r="V63" s="744">
        <f t="shared" si="59"/>
        <v>2010</v>
      </c>
      <c r="W63" s="744">
        <f t="shared" si="59"/>
        <v>2011</v>
      </c>
      <c r="X63" s="744">
        <f t="shared" si="59"/>
        <v>2012</v>
      </c>
      <c r="Y63" s="744">
        <f t="shared" si="59"/>
        <v>2013</v>
      </c>
      <c r="Z63" s="744">
        <f t="shared" si="59"/>
        <v>2014</v>
      </c>
      <c r="AA63" s="744">
        <f t="shared" si="59"/>
        <v>2015</v>
      </c>
      <c r="AB63" s="744">
        <f t="shared" si="59"/>
        <v>2016</v>
      </c>
      <c r="AC63" s="744">
        <f t="shared" si="59"/>
        <v>2017</v>
      </c>
      <c r="AD63" s="744">
        <f t="shared" si="59"/>
        <v>2018</v>
      </c>
      <c r="AE63" s="744">
        <f t="shared" si="59"/>
        <v>2019</v>
      </c>
      <c r="AF63" s="744">
        <f t="shared" si="59"/>
        <v>2020</v>
      </c>
    </row>
    <row r="64" spans="1:32">
      <c r="A64" s="701">
        <f>+ROW(InputY!A39)</f>
        <v>39</v>
      </c>
      <c r="B64" s="702" t="s">
        <v>323</v>
      </c>
      <c r="C64" s="1122"/>
      <c r="D64" s="1126"/>
      <c r="E64" s="1127" t="s">
        <v>816</v>
      </c>
      <c r="F64" s="1129" t="s">
        <v>71</v>
      </c>
      <c r="G64" s="1128">
        <f>+InputY!G39/1000</f>
        <v>-31.858893469999998</v>
      </c>
      <c r="H64" s="1128">
        <f>+InputY!H39/1000</f>
        <v>-9.3180261599999987</v>
      </c>
      <c r="I64" s="1128">
        <f>+InputY!I39/1000</f>
        <v>-12.116426840000001</v>
      </c>
      <c r="J64" s="1128">
        <f>+InputY!J39/1000</f>
        <v>-20.108164300000002</v>
      </c>
      <c r="K64" s="1128">
        <f>+InputY!K39/1000</f>
        <v>-8.1809770900000007</v>
      </c>
      <c r="L64" s="1128">
        <f>+InputY!L39/1000</f>
        <v>-21.970039410000002</v>
      </c>
      <c r="M64" s="1128">
        <f>+InputY!M39/1000</f>
        <v>-10.91709496</v>
      </c>
      <c r="N64" s="1128">
        <f>+InputY!N39/1000</f>
        <v>-3.5382753999999998</v>
      </c>
      <c r="O64" s="1128">
        <f>+InputY!O39/1000</f>
        <v>-12.484896489999999</v>
      </c>
      <c r="P64" s="1128">
        <f>+InputY!P39/1000</f>
        <v>-1.2856868400000001</v>
      </c>
      <c r="Q64" s="1128">
        <f>+InputY!Q39/1000</f>
        <v>-1.7481691800000001</v>
      </c>
      <c r="R64" s="1128">
        <f>+InputY!R39/1000</f>
        <v>0.88002853000000003</v>
      </c>
      <c r="S64" s="1128">
        <f>+InputY!S39/1000</f>
        <v>22.562950740000002</v>
      </c>
      <c r="T64" s="1128">
        <f>+InputY!T39/1000</f>
        <v>6.6934058099999998</v>
      </c>
      <c r="U64" s="1128">
        <f>+InputY!U39/1000</f>
        <v>-45.568047989999997</v>
      </c>
      <c r="V64" s="1128">
        <f>+InputY!V39/1000</f>
        <v>23.21</v>
      </c>
      <c r="W64" s="1128">
        <f>+InputY!W39/1000</f>
        <v>40.950919999999996</v>
      </c>
      <c r="X64" s="1128">
        <f>+InputY!X39/1000</f>
        <v>-0.36851848000000004</v>
      </c>
      <c r="Y64" s="1128">
        <f>+InputY!Y39/1000</f>
        <v>2.37716159</v>
      </c>
      <c r="Z64" s="1128">
        <f>+InputY!Z39/1000</f>
        <v>4.7874644000000002</v>
      </c>
      <c r="AA64" s="1128">
        <f>+InputY!AA39/1000</f>
        <v>11.58785548</v>
      </c>
      <c r="AB64" s="1128">
        <f>+InputY!AB39/1000</f>
        <v>9.707554459999999</v>
      </c>
      <c r="AC64" s="1128">
        <f>+InputY!AC39/1000</f>
        <v>12.02701021</v>
      </c>
      <c r="AD64" s="1388">
        <f ca="1">+AC64*(1+AD67/100)</f>
        <v>14.432412251999999</v>
      </c>
      <c r="AE64" s="1388">
        <f ca="1">+AD64*(1+AE67/100)</f>
        <v>11.978902169159998</v>
      </c>
      <c r="AF64" s="1388">
        <f ca="1">+AE64*(1+AF67/100)</f>
        <v>11.978902169159998</v>
      </c>
    </row>
    <row r="66" spans="1:32" s="736" customFormat="1" ht="12.75" customHeight="1">
      <c r="A66" s="701"/>
      <c r="B66" s="701"/>
      <c r="C66" s="811"/>
      <c r="D66" s="1132"/>
      <c r="E66" s="1133" t="s">
        <v>1753</v>
      </c>
      <c r="F66" s="1134"/>
      <c r="G66" s="933">
        <f>+InputY!$G$3</f>
        <v>1995</v>
      </c>
      <c r="H66" s="933">
        <f>+G66+1</f>
        <v>1996</v>
      </c>
      <c r="I66" s="933">
        <f t="shared" ref="I66:O66" si="60">+H66+1</f>
        <v>1997</v>
      </c>
      <c r="J66" s="933">
        <f t="shared" si="60"/>
        <v>1998</v>
      </c>
      <c r="K66" s="933">
        <f t="shared" si="60"/>
        <v>1999</v>
      </c>
      <c r="L66" s="933">
        <f t="shared" si="60"/>
        <v>2000</v>
      </c>
      <c r="M66" s="933">
        <f t="shared" si="60"/>
        <v>2001</v>
      </c>
      <c r="N66" s="933">
        <f t="shared" si="60"/>
        <v>2002</v>
      </c>
      <c r="O66" s="933">
        <f t="shared" si="60"/>
        <v>2003</v>
      </c>
      <c r="P66" s="933">
        <f>+O66+1</f>
        <v>2004</v>
      </c>
      <c r="Q66" s="933">
        <f>+P66+1</f>
        <v>2005</v>
      </c>
      <c r="R66" s="933">
        <f>+Q66+1</f>
        <v>2006</v>
      </c>
      <c r="S66" s="933">
        <f>+R66+1</f>
        <v>2007</v>
      </c>
      <c r="T66" s="933">
        <f t="shared" ref="T66:AF66" si="61">+S66+1</f>
        <v>2008</v>
      </c>
      <c r="U66" s="933">
        <f t="shared" si="61"/>
        <v>2009</v>
      </c>
      <c r="V66" s="933">
        <f t="shared" si="61"/>
        <v>2010</v>
      </c>
      <c r="W66" s="933">
        <f t="shared" si="61"/>
        <v>2011</v>
      </c>
      <c r="X66" s="933">
        <f t="shared" si="61"/>
        <v>2012</v>
      </c>
      <c r="Y66" s="933">
        <f t="shared" si="61"/>
        <v>2013</v>
      </c>
      <c r="Z66" s="933">
        <f t="shared" si="61"/>
        <v>2014</v>
      </c>
      <c r="AA66" s="933">
        <f t="shared" si="61"/>
        <v>2015</v>
      </c>
      <c r="AB66" s="933">
        <f t="shared" si="61"/>
        <v>2016</v>
      </c>
      <c r="AC66" s="933">
        <f t="shared" si="61"/>
        <v>2017</v>
      </c>
      <c r="AD66" s="933">
        <f t="shared" si="61"/>
        <v>2018</v>
      </c>
      <c r="AE66" s="933">
        <f t="shared" si="61"/>
        <v>2019</v>
      </c>
      <c r="AF66" s="933">
        <f t="shared" si="61"/>
        <v>2020</v>
      </c>
    </row>
    <row r="67" spans="1:32" s="736" customFormat="1" ht="12.75" customHeight="1">
      <c r="A67" s="701"/>
      <c r="B67" s="701"/>
      <c r="C67" s="835"/>
      <c r="D67" s="870"/>
      <c r="E67" s="871" t="s">
        <v>816</v>
      </c>
      <c r="F67" s="1154" t="s">
        <v>71</v>
      </c>
      <c r="G67" s="1155"/>
      <c r="H67" s="1155">
        <f>+(H64/G64-1)*100</f>
        <v>-70.752197753590096</v>
      </c>
      <c r="I67" s="1155">
        <f t="shared" ref="I67:AC67" si="62">+(I64/H64-1)*100</f>
        <v>30.032118733609579</v>
      </c>
      <c r="J67" s="1155">
        <f t="shared" si="62"/>
        <v>65.957873270169486</v>
      </c>
      <c r="K67" s="1155">
        <f t="shared" si="62"/>
        <v>-59.315146982362776</v>
      </c>
      <c r="L67" s="1155">
        <f t="shared" si="62"/>
        <v>168.55031090179961</v>
      </c>
      <c r="M67" s="1155">
        <f t="shared" si="62"/>
        <v>-50.309169882367556</v>
      </c>
      <c r="N67" s="1155">
        <f t="shared" si="62"/>
        <v>-67.589588503496898</v>
      </c>
      <c r="O67" s="1155">
        <f t="shared" si="62"/>
        <v>252.85259281965443</v>
      </c>
      <c r="P67" s="1155">
        <f t="shared" si="62"/>
        <v>-89.702062479814757</v>
      </c>
      <c r="Q67" s="1155">
        <f t="shared" si="62"/>
        <v>35.971616540774406</v>
      </c>
      <c r="R67" s="1155">
        <f t="shared" si="62"/>
        <v>-150.3400094263188</v>
      </c>
      <c r="S67" s="1155">
        <f t="shared" si="62"/>
        <v>2463.8885525677219</v>
      </c>
      <c r="T67" s="1155">
        <f t="shared" si="62"/>
        <v>-70.334528107027197</v>
      </c>
      <c r="U67" s="1155">
        <f t="shared" si="62"/>
        <v>-780.79015800776619</v>
      </c>
      <c r="V67" s="1155">
        <f t="shared" si="62"/>
        <v>-150.9348129309675</v>
      </c>
      <c r="W67" s="1155">
        <f t="shared" si="62"/>
        <v>76.436535975872459</v>
      </c>
      <c r="X67" s="1155">
        <f t="shared" si="62"/>
        <v>-100.89990281048631</v>
      </c>
      <c r="Y67" s="1155">
        <f t="shared" si="62"/>
        <v>-745.05899134284925</v>
      </c>
      <c r="Z67" s="1155">
        <f t="shared" si="62"/>
        <v>101.39415091255954</v>
      </c>
      <c r="AA67" s="1155">
        <f t="shared" si="62"/>
        <v>142.04577855450998</v>
      </c>
      <c r="AB67" s="1155">
        <f t="shared" si="62"/>
        <v>-16.226479724788568</v>
      </c>
      <c r="AC67" s="1155">
        <f t="shared" si="62"/>
        <v>23.893306594954723</v>
      </c>
      <c r="AD67" s="1474">
        <f ca="1">OFFSET('VVP1'!$G$81,0,5*(COLUMN()-7))</f>
        <v>20</v>
      </c>
      <c r="AE67" s="1474">
        <f ca="1">OFFSET('VVP1'!$G$81,0,5*(COLUMN()-7))</f>
        <v>-17</v>
      </c>
      <c r="AF67" s="1474">
        <f ca="1">OFFSET('VVP1'!$G$81,0,5*(COLUMN()-7))</f>
        <v>0</v>
      </c>
    </row>
    <row r="69" spans="1:32">
      <c r="A69" s="1170"/>
      <c r="D69" s="1215"/>
      <c r="E69" s="1169" t="s">
        <v>1240</v>
      </c>
      <c r="F69" s="1216"/>
      <c r="G69" s="744">
        <f>+InputY!$G$3</f>
        <v>1995</v>
      </c>
      <c r="H69" s="744">
        <f>+G69+1</f>
        <v>1996</v>
      </c>
      <c r="I69" s="744">
        <f t="shared" ref="I69:O69" si="63">+H69+1</f>
        <v>1997</v>
      </c>
      <c r="J69" s="744">
        <f t="shared" si="63"/>
        <v>1998</v>
      </c>
      <c r="K69" s="744">
        <f t="shared" si="63"/>
        <v>1999</v>
      </c>
      <c r="L69" s="744">
        <f t="shared" si="63"/>
        <v>2000</v>
      </c>
      <c r="M69" s="744">
        <f t="shared" si="63"/>
        <v>2001</v>
      </c>
      <c r="N69" s="744">
        <f t="shared" si="63"/>
        <v>2002</v>
      </c>
      <c r="O69" s="744">
        <f t="shared" si="63"/>
        <v>2003</v>
      </c>
      <c r="P69" s="744">
        <f>+O69+1</f>
        <v>2004</v>
      </c>
      <c r="Q69" s="744">
        <f>+P69+1</f>
        <v>2005</v>
      </c>
      <c r="R69" s="744">
        <f>+Q69+1</f>
        <v>2006</v>
      </c>
      <c r="S69" s="744">
        <f>+R69+1</f>
        <v>2007</v>
      </c>
      <c r="T69" s="744">
        <f t="shared" ref="T69:AF69" si="64">+S69+1</f>
        <v>2008</v>
      </c>
      <c r="U69" s="744">
        <f t="shared" si="64"/>
        <v>2009</v>
      </c>
      <c r="V69" s="744">
        <f t="shared" si="64"/>
        <v>2010</v>
      </c>
      <c r="W69" s="744">
        <f t="shared" si="64"/>
        <v>2011</v>
      </c>
      <c r="X69" s="744">
        <f t="shared" si="64"/>
        <v>2012</v>
      </c>
      <c r="Y69" s="744">
        <f t="shared" si="64"/>
        <v>2013</v>
      </c>
      <c r="Z69" s="744">
        <f t="shared" si="64"/>
        <v>2014</v>
      </c>
      <c r="AA69" s="744">
        <f t="shared" si="64"/>
        <v>2015</v>
      </c>
      <c r="AB69" s="744">
        <f t="shared" si="64"/>
        <v>2016</v>
      </c>
      <c r="AC69" s="744">
        <f t="shared" si="64"/>
        <v>2017</v>
      </c>
      <c r="AD69" s="744">
        <f t="shared" si="64"/>
        <v>2018</v>
      </c>
      <c r="AE69" s="744">
        <f t="shared" si="64"/>
        <v>2019</v>
      </c>
      <c r="AF69" s="744">
        <f t="shared" si="64"/>
        <v>2020</v>
      </c>
    </row>
    <row r="70" spans="1:32" ht="12.75">
      <c r="A70" s="701"/>
      <c r="C70" s="1119" t="s">
        <v>1791</v>
      </c>
      <c r="D70" s="1098"/>
      <c r="E70" s="1078" t="s">
        <v>1239</v>
      </c>
      <c r="F70" s="1098"/>
      <c r="G70" s="1124">
        <f>+G54</f>
        <v>2347.4378477</v>
      </c>
      <c r="H70" s="1124">
        <f t="shared" ref="H70:O70" si="65">+H54</f>
        <v>2394.36712524</v>
      </c>
      <c r="I70" s="1124">
        <f t="shared" si="65"/>
        <v>2432.8930659900002</v>
      </c>
      <c r="J70" s="1124">
        <f t="shared" si="65"/>
        <v>2540.3997095499999</v>
      </c>
      <c r="K70" s="1124">
        <f t="shared" si="65"/>
        <v>2642.5902447100002</v>
      </c>
      <c r="L70" s="1124">
        <f t="shared" si="65"/>
        <v>2744.9829693399997</v>
      </c>
      <c r="M70" s="1124">
        <f t="shared" si="65"/>
        <v>2772.6255510000001</v>
      </c>
      <c r="N70" s="1124">
        <f t="shared" si="65"/>
        <v>2808.84256714</v>
      </c>
      <c r="O70" s="1124">
        <f t="shared" si="65"/>
        <v>2861.4748887800001</v>
      </c>
      <c r="P70" s="1124">
        <f t="shared" ref="P70:Z70" si="66">+P54</f>
        <v>2936.96634077</v>
      </c>
      <c r="Q70" s="1124">
        <f t="shared" si="66"/>
        <v>3014.9409605599999</v>
      </c>
      <c r="R70" s="1124">
        <f t="shared" si="66"/>
        <v>3135.23290597</v>
      </c>
      <c r="S70" s="1124">
        <f t="shared" si="66"/>
        <v>3260.4740423799999</v>
      </c>
      <c r="T70" s="1124">
        <f t="shared" si="66"/>
        <v>3280.07216354</v>
      </c>
      <c r="U70" s="1124">
        <f t="shared" si="66"/>
        <v>3190.4875516100001</v>
      </c>
      <c r="V70" s="1124">
        <f t="shared" si="66"/>
        <v>3308.1570000000002</v>
      </c>
      <c r="W70" s="1124">
        <f t="shared" si="66"/>
        <v>3390.8852000000002</v>
      </c>
      <c r="X70" s="1124">
        <f t="shared" si="66"/>
        <v>3411.7375115299997</v>
      </c>
      <c r="Y70" s="1124">
        <f>+Y54</f>
        <v>3459.80064214</v>
      </c>
      <c r="Z70" s="1124">
        <f t="shared" si="66"/>
        <v>3554.4694775899998</v>
      </c>
      <c r="AA70" s="1124">
        <f t="shared" ref="AA70:AB70" si="67">+AA54</f>
        <v>3688.85449604</v>
      </c>
      <c r="AB70" s="1124">
        <f t="shared" si="67"/>
        <v>3813.8953319299999</v>
      </c>
      <c r="AC70" s="1124">
        <f t="shared" ref="AC70" si="68">+AC54</f>
        <v>3911.8178389499999</v>
      </c>
      <c r="AD70" s="1124">
        <f ca="1">+AD54</f>
        <v>4003.0167342646032</v>
      </c>
      <c r="AE70" s="1124">
        <f ca="1">+AE54</f>
        <v>4077.043839256442</v>
      </c>
      <c r="AF70" s="1124">
        <f ca="1">+AF54</f>
        <v>4150.2358546956048</v>
      </c>
    </row>
    <row r="71" spans="1:32" ht="12.75">
      <c r="A71" s="701"/>
      <c r="C71" s="1121" t="s">
        <v>1791</v>
      </c>
      <c r="D71" s="1117"/>
      <c r="E71" s="1079" t="s">
        <v>816</v>
      </c>
      <c r="F71" s="1117" t="s">
        <v>71</v>
      </c>
      <c r="G71" s="1102">
        <f>+G64</f>
        <v>-31.858893469999998</v>
      </c>
      <c r="H71" s="1102">
        <f t="shared" ref="H71:O71" si="69">+H64</f>
        <v>-9.3180261599999987</v>
      </c>
      <c r="I71" s="1102">
        <f t="shared" si="69"/>
        <v>-12.116426840000001</v>
      </c>
      <c r="J71" s="1102">
        <f t="shared" si="69"/>
        <v>-20.108164300000002</v>
      </c>
      <c r="K71" s="1102">
        <f t="shared" si="69"/>
        <v>-8.1809770900000007</v>
      </c>
      <c r="L71" s="1102">
        <f t="shared" si="69"/>
        <v>-21.970039410000002</v>
      </c>
      <c r="M71" s="1102">
        <f t="shared" si="69"/>
        <v>-10.91709496</v>
      </c>
      <c r="N71" s="1102">
        <f t="shared" si="69"/>
        <v>-3.5382753999999998</v>
      </c>
      <c r="O71" s="1102">
        <f t="shared" si="69"/>
        <v>-12.484896489999999</v>
      </c>
      <c r="P71" s="1102">
        <f t="shared" ref="P71:Z71" si="70">+P64</f>
        <v>-1.2856868400000001</v>
      </c>
      <c r="Q71" s="1102">
        <f t="shared" si="70"/>
        <v>-1.7481691800000001</v>
      </c>
      <c r="R71" s="1102">
        <f t="shared" si="70"/>
        <v>0.88002853000000003</v>
      </c>
      <c r="S71" s="1102">
        <f t="shared" si="70"/>
        <v>22.562950740000002</v>
      </c>
      <c r="T71" s="1102">
        <f t="shared" si="70"/>
        <v>6.6934058099999998</v>
      </c>
      <c r="U71" s="1102">
        <f t="shared" si="70"/>
        <v>-45.568047989999997</v>
      </c>
      <c r="V71" s="1102">
        <f t="shared" si="70"/>
        <v>23.21</v>
      </c>
      <c r="W71" s="1102">
        <f t="shared" si="70"/>
        <v>40.950919999999996</v>
      </c>
      <c r="X71" s="1102">
        <f t="shared" si="70"/>
        <v>-0.36851848000000004</v>
      </c>
      <c r="Y71" s="1102">
        <f>+Y64</f>
        <v>2.37716159</v>
      </c>
      <c r="Z71" s="1102">
        <f t="shared" si="70"/>
        <v>4.7874644000000002</v>
      </c>
      <c r="AA71" s="1102">
        <f t="shared" ref="AA71:AB71" si="71">+AA64</f>
        <v>11.58785548</v>
      </c>
      <c r="AB71" s="1102">
        <f t="shared" si="71"/>
        <v>9.707554459999999</v>
      </c>
      <c r="AC71" s="1102">
        <f t="shared" ref="AC71" si="72">+AC64</f>
        <v>12.02701021</v>
      </c>
      <c r="AD71" s="1102">
        <f ca="1">+AD64</f>
        <v>14.432412251999999</v>
      </c>
      <c r="AE71" s="1102">
        <f ca="1">+AE64</f>
        <v>11.978902169159998</v>
      </c>
      <c r="AF71" s="1102">
        <f ca="1">+AF64</f>
        <v>11.978902169159998</v>
      </c>
    </row>
    <row r="72" spans="1:32">
      <c r="A72" s="701">
        <f>+ROW(InputY!A42)</f>
        <v>42</v>
      </c>
      <c r="B72" s="701"/>
      <c r="C72" s="731" t="s">
        <v>1793</v>
      </c>
      <c r="D72" s="1217"/>
      <c r="E72" s="1509" t="s">
        <v>1240</v>
      </c>
      <c r="F72" s="1508" t="s">
        <v>1191</v>
      </c>
      <c r="G72" s="1224">
        <f>+InputY!G42/1000</f>
        <v>2371.9117322999996</v>
      </c>
      <c r="H72" s="1224">
        <f>+InputY!H42/1000</f>
        <v>2398.2487856600001</v>
      </c>
      <c r="I72" s="1224">
        <f>+InputY!I42/1000</f>
        <v>2439.5957053100001</v>
      </c>
      <c r="J72" s="1224">
        <f>+InputY!J42/1000</f>
        <v>2555.0891264300003</v>
      </c>
      <c r="K72" s="1224">
        <f>+InputY!K42/1000</f>
        <v>2645.1973855800002</v>
      </c>
      <c r="L72" s="1224">
        <f>+InputY!L42/1000</f>
        <v>2759.3653767199999</v>
      </c>
      <c r="M72" s="1224">
        <f>+InputY!M42/1000</f>
        <v>2777.2720483900002</v>
      </c>
      <c r="N72" s="1224">
        <f>+InputY!N42/1000</f>
        <v>2807.7605359100003</v>
      </c>
      <c r="O72" s="1224">
        <f>+InputY!O42/1000</f>
        <v>2866.9647028299996</v>
      </c>
      <c r="P72" s="1224">
        <f>+InputY!P42/1000</f>
        <v>2934.0445791500001</v>
      </c>
      <c r="Q72" s="1224">
        <f>+InputY!Q42/1000</f>
        <v>3011.6365293600002</v>
      </c>
      <c r="R72" s="1224">
        <f>+InputY!R42/1000</f>
        <v>3138.4807730500002</v>
      </c>
      <c r="S72" s="1224">
        <f>+InputY!S42/1000</f>
        <v>3286.1435925999999</v>
      </c>
      <c r="T72" s="1224">
        <f>+InputY!T42/1000</f>
        <v>3287.8751941300002</v>
      </c>
      <c r="U72" s="1224">
        <f>+InputY!U42/1000</f>
        <v>3143.65361553</v>
      </c>
      <c r="V72" s="1224">
        <f>+InputY!V42/1000</f>
        <v>3331.3670000000002</v>
      </c>
      <c r="W72" s="1224">
        <f>+InputY!W42/1000</f>
        <v>3431.8361199999999</v>
      </c>
      <c r="X72" s="1224">
        <f>+InputY!X42/1000</f>
        <v>3411.88758934</v>
      </c>
      <c r="Y72" s="1224">
        <f>+InputY!Y42/1000</f>
        <v>3467.4035337400001</v>
      </c>
      <c r="Z72" s="1224">
        <f>+InputY!Z42/1000</f>
        <v>3567.8682586300001</v>
      </c>
      <c r="AA72" s="1224">
        <f>+InputY!AA42/1000</f>
        <v>3718.2079438700002</v>
      </c>
      <c r="AB72" s="1224">
        <f>+InputY!AB42/1000</f>
        <v>3838.73047107</v>
      </c>
      <c r="AC72" s="1224">
        <f>+InputY!AC42/1000</f>
        <v>3942.25846989</v>
      </c>
      <c r="AD72" s="1512">
        <f ca="1">IF(UPPER('VVP1'!$F$2)="Y",+AC72*(1+AD78/100),+AD70+AD71)</f>
        <v>4039.0251996030734</v>
      </c>
      <c r="AE72" s="1512">
        <f ca="1">IF(UPPER('VVP1'!$F$2)="Y",+AD72*(1+AE78/100),+AE70+AE71)</f>
        <v>4107.3593258518076</v>
      </c>
      <c r="AF72" s="1512">
        <f ca="1">IF(UPPER('VVP1'!$F$2)="Y",+AE72*(1+AF78/100),+AF70+AF71)</f>
        <v>4180.5884026949598</v>
      </c>
    </row>
    <row r="73" spans="1:32" s="736" customFormat="1" ht="12.75" customHeight="1">
      <c r="A73" s="701"/>
      <c r="B73" s="701"/>
      <c r="C73" s="811"/>
      <c r="D73" s="2033"/>
      <c r="E73" s="2033" t="s">
        <v>90</v>
      </c>
      <c r="F73" s="2033"/>
      <c r="G73" s="1040"/>
      <c r="H73" s="1040">
        <f ca="1">ABS(IF('VVP1'!$F$2="Y",OFFSET('VVP1'!$G$12,0,5*(COLUMN()-7)+1)-OFFSET('VVP1'!$G$7,0,5*(COLUMN()-7)+1)-OFFSET('VVP1'!$G$8,0,5*(COLUMN()-7)+1)-OFFSET('VVP1'!$G$9,0,5*(COLUMN()-7)+1)-OFFSET('VVP1'!$G$11,0,5*(COLUMN()-7)+1),ABS(H72-H70-H71)))</f>
        <v>7.2687799502091366E-4</v>
      </c>
      <c r="I73" s="1040">
        <f ca="1">ABS(IF('VVP1'!$F$2="Y",OFFSET('VVP1'!$G$12,0,5*(COLUMN()-7)+1)-OFFSET('VVP1'!$G$7,0,5*(COLUMN()-7)+1)-OFFSET('VVP1'!$G$8,0,5*(COLUMN()-7)+1)-OFFSET('VVP1'!$G$9,0,5*(COLUMN()-7)+1)-OFFSET('VVP1'!$G$11,0,5*(COLUMN()-7)+1),ABS(I72-I70-I71)))</f>
        <v>5.9165699894947466E-8</v>
      </c>
      <c r="J73" s="1040">
        <f ca="1">ABS(IF('VVP1'!$F$2="Y",OFFSET('VVP1'!$G$12,0,5*(COLUMN()-7)+1)-OFFSET('VVP1'!$G$7,0,5*(COLUMN()-7)+1)-OFFSET('VVP1'!$G$8,0,5*(COLUMN()-7)+1)-OFFSET('VVP1'!$G$9,0,5*(COLUMN()-7)+1)-OFFSET('VVP1'!$G$11,0,5*(COLUMN()-7)+1),ABS(J72-J70-J71)))</f>
        <v>2.6709447098482997E-4</v>
      </c>
      <c r="K73" s="1040">
        <f ca="1">ABS(IF('VVP1'!$F$2="Y",OFFSET('VVP1'!$G$12,0,5*(COLUMN()-7)+1)-OFFSET('VVP1'!$G$7,0,5*(COLUMN()-7)+1)-OFFSET('VVP1'!$G$8,0,5*(COLUMN()-7)+1)-OFFSET('VVP1'!$G$9,0,5*(COLUMN()-7)+1)-OFFSET('VVP1'!$G$11,0,5*(COLUMN()-7)+1),ABS(K72-K70-K71)))</f>
        <v>7.7329566920525394E-5</v>
      </c>
      <c r="L73" s="1040">
        <f ca="1">ABS(IF('VVP1'!$F$2="Y",OFFSET('VVP1'!$G$12,0,5*(COLUMN()-7)+1)-OFFSET('VVP1'!$G$7,0,5*(COLUMN()-7)+1)-OFFSET('VVP1'!$G$8,0,5*(COLUMN()-7)+1)-OFFSET('VVP1'!$G$9,0,5*(COLUMN()-7)+1)-OFFSET('VVP1'!$G$11,0,5*(COLUMN()-7)+1),ABS(L72-L70-L71)))</f>
        <v>3.5208328267799516E-4</v>
      </c>
      <c r="M73" s="1040">
        <f ca="1">ABS(IF('VVP1'!$F$2="Y",OFFSET('VVP1'!$G$12,0,5*(COLUMN()-7)+1)-OFFSET('VVP1'!$G$7,0,5*(COLUMN()-7)+1)-OFFSET('VVP1'!$G$8,0,5*(COLUMN()-7)+1)-OFFSET('VVP1'!$G$9,0,5*(COLUMN()-7)+1)-OFFSET('VVP1'!$G$11,0,5*(COLUMN()-7)+1),ABS(M72-M70-M71)))</f>
        <v>3.4993418262274645E-4</v>
      </c>
      <c r="N73" s="1040">
        <f ca="1">ABS(IF('VVP1'!$F$2="Y",OFFSET('VVP1'!$G$12,0,5*(COLUMN()-7)+1)-OFFSET('VVP1'!$G$7,0,5*(COLUMN()-7)+1)-OFFSET('VVP1'!$G$8,0,5*(COLUMN()-7)+1)-OFFSET('VVP1'!$G$9,0,5*(COLUMN()-7)+1)-OFFSET('VVP1'!$G$11,0,5*(COLUMN()-7)+1),ABS(N72-N70-N71)))</f>
        <v>3.316677443763183E-4</v>
      </c>
      <c r="O73" s="1040">
        <f ca="1">ABS(IF('VVP1'!$F$2="Y",OFFSET('VVP1'!$G$12,0,5*(COLUMN()-7)+1)-OFFSET('VVP1'!$G$7,0,5*(COLUMN()-7)+1)-OFFSET('VVP1'!$G$8,0,5*(COLUMN()-7)+1)-OFFSET('VVP1'!$G$9,0,5*(COLUMN()-7)+1)-OFFSET('VVP1'!$G$11,0,5*(COLUMN()-7)+1),ABS(O72-O70-O71)))</f>
        <v>3.885588273533358E-4</v>
      </c>
      <c r="P73" s="1040">
        <f ca="1">ABS(IF('VVP1'!$F$2="Y",OFFSET('VVP1'!$G$12,0,5*(COLUMN()-7)+1)-OFFSET('VVP1'!$G$7,0,5*(COLUMN()-7)+1)-OFFSET('VVP1'!$G$8,0,5*(COLUMN()-7)+1)-OFFSET('VVP1'!$G$9,0,5*(COLUMN()-7)+1)-OFFSET('VVP1'!$G$11,0,5*(COLUMN()-7)+1),ABS(P72-P70-P71)))</f>
        <v>5.1095741014250962E-5</v>
      </c>
      <c r="Q73" s="1040">
        <f ca="1">ABS(IF('VVP1'!$F$2="Y",OFFSET('VVP1'!$G$12,0,5*(COLUMN()-7)+1)-OFFSET('VVP1'!$G$7,0,5*(COLUMN()-7)+1)-OFFSET('VVP1'!$G$8,0,5*(COLUMN()-7)+1)-OFFSET('VVP1'!$G$9,0,5*(COLUMN()-7)+1)-OFFSET('VVP1'!$G$11,0,5*(COLUMN()-7)+1),ABS(Q72-Q70-Q71)))</f>
        <v>7.7824778372814762E-6</v>
      </c>
      <c r="R73" s="1040">
        <f ca="1">ABS(IF('VVP1'!$F$2="Y",OFFSET('VVP1'!$G$12,0,5*(COLUMN()-7)+1)-OFFSET('VVP1'!$G$7,0,5*(COLUMN()-7)+1)-OFFSET('VVP1'!$G$8,0,5*(COLUMN()-7)+1)-OFFSET('VVP1'!$G$9,0,5*(COLUMN()-7)+1)-OFFSET('VVP1'!$G$11,0,5*(COLUMN()-7)+1),ABS(R72-R70-R71)))</f>
        <v>2.2190558070178668E-4</v>
      </c>
      <c r="S73" s="1040">
        <f ca="1">ABS(IF('VVP1'!$F$2="Y",OFFSET('VVP1'!$G$12,0,5*(COLUMN()-7)+1)-OFFSET('VVP1'!$G$7,0,5*(COLUMN()-7)+1)-OFFSET('VVP1'!$G$8,0,5*(COLUMN()-7)+1)-OFFSET('VVP1'!$G$9,0,5*(COLUMN()-7)+1)-OFFSET('VVP1'!$G$11,0,5*(COLUMN()-7)+1),ABS(S72-S70-S71)))</f>
        <v>2.4986587175135355E-4</v>
      </c>
      <c r="T73" s="1040">
        <f ca="1">ABS(IF('VVP1'!$F$2="Y",OFFSET('VVP1'!$G$12,0,5*(COLUMN()-7)+1)-OFFSET('VVP1'!$G$7,0,5*(COLUMN()-7)+1)-OFFSET('VVP1'!$G$8,0,5*(COLUMN()-7)+1)-OFFSET('VVP1'!$G$9,0,5*(COLUMN()-7)+1)-OFFSET('VVP1'!$G$11,0,5*(COLUMN()-7)+1),ABS(T72-T70-T71)))</f>
        <v>9.6664300360771449E-4</v>
      </c>
      <c r="U73" s="1040">
        <f ca="1">ABS(IF('VVP1'!$F$2="Y",OFFSET('VVP1'!$G$12,0,5*(COLUMN()-7)+1)-OFFSET('VVP1'!$G$7,0,5*(COLUMN()-7)+1)-OFFSET('VVP1'!$G$8,0,5*(COLUMN()-7)+1)-OFFSET('VVP1'!$G$9,0,5*(COLUMN()-7)+1)-OFFSET('VVP1'!$G$11,0,5*(COLUMN()-7)+1),ABS(U72-U70-U71)))</f>
        <v>4.7306134797509003E-4</v>
      </c>
      <c r="V73" s="1040">
        <f ca="1">ABS(IF('VVP1'!$F$2="Y",OFFSET('VVP1'!$G$12,0,5*(COLUMN()-7)+1)-OFFSET('VVP1'!$G$7,0,5*(COLUMN()-7)+1)-OFFSET('VVP1'!$G$8,0,5*(COLUMN()-7)+1)-OFFSET('VVP1'!$G$9,0,5*(COLUMN()-7)+1)-OFFSET('VVP1'!$G$11,0,5*(COLUMN()-7)+1),ABS(V72-V70-V71)))</f>
        <v>5.9101206602463208E-5</v>
      </c>
      <c r="W73" s="1040">
        <f ca="1">ABS(IF('VVP1'!$F$2="Y",OFFSET('VVP1'!$G$12,0,5*(COLUMN()-7)+1)-OFFSET('VVP1'!$G$7,0,5*(COLUMN()-7)+1)-OFFSET('VVP1'!$G$8,0,5*(COLUMN()-7)+1)-OFFSET('VVP1'!$G$9,0,5*(COLUMN()-7)+1)-OFFSET('VVP1'!$G$11,0,5*(COLUMN()-7)+1),ABS(W72-W70-W71)))</f>
        <v>5.4999999940719135E-4</v>
      </c>
      <c r="X73" s="1040">
        <f ca="1">ABS(IF('VVP1'!$F$2="Y",OFFSET('VVP1'!$G$12,0,5*(COLUMN()-7)+1)-OFFSET('VVP1'!$G$7,0,5*(COLUMN()-7)+1)-OFFSET('VVP1'!$G$8,0,5*(COLUMN()-7)+1)-OFFSET('VVP1'!$G$9,0,5*(COLUMN()-7)+1)-OFFSET('VVP1'!$G$11,0,5*(COLUMN()-7)+1),ABS(X72-X70-X71)))</f>
        <v>1.9026373627184512E-4</v>
      </c>
      <c r="Y73" s="1040">
        <f ca="1">ABS(IF('VVP1'!$F$2="Y",OFFSET('VVP1'!$G$12,0,5*(COLUMN()-7)+1)-OFFSET('VVP1'!$G$7,0,5*(COLUMN()-7)+1)-OFFSET('VVP1'!$G$8,0,5*(COLUMN()-7)+1)-OFFSET('VVP1'!$G$9,0,5*(COLUMN()-7)+1)-OFFSET('VVP1'!$G$11,0,5*(COLUMN()-7)+1),ABS(Y72-Y70-Y71)))</f>
        <v>8.4062968767284474E-5</v>
      </c>
      <c r="Z73" s="2999">
        <f ca="1">ABS(IF('VVP1'!$F$2="Y",OFFSET('VVP1'!$G$12,0,5*(COLUMN()-7)+1)-OFFSET('VVP1'!$G$7,0,5*(COLUMN()-7)+1)-OFFSET('VVP1'!$G$8,0,5*(COLUMN()-7)+1)-OFFSET('VVP1'!$G$9,0,5*(COLUMN()-7)+1)-OFFSET('VVP1'!$G$11,0,5*(COLUMN()-7)+1),ABS(Z72-Z70-Z71)))</f>
        <v>5.230807703355822E-4</v>
      </c>
      <c r="AA73" s="2999">
        <f ca="1">ABS(IF('VVP1'!$F$2="Y",OFFSET('VVP1'!$G$12,0,5*(COLUMN()-7)+1)-OFFSET('VVP1'!$G$7,0,5*(COLUMN()-7)+1)-OFFSET('VVP1'!$G$8,0,5*(COLUMN()-7)+1)-OFFSET('VVP1'!$G$9,0,5*(COLUMN()-7)+1)-OFFSET('VVP1'!$G$11,0,5*(COLUMN()-7)+1),ABS(AA72-AA70-AA71)))</f>
        <v>4.1657805718386953E-4</v>
      </c>
      <c r="AB73" s="2999">
        <f ca="1">ABS(IF('VVP1'!$F$2="Y",OFFSET('VVP1'!$G$12,0,5*(COLUMN()-7)+1)-OFFSET('VVP1'!$G$7,0,5*(COLUMN()-7)+1)-OFFSET('VVP1'!$G$8,0,5*(COLUMN()-7)+1)-OFFSET('VVP1'!$G$9,0,5*(COLUMN()-7)+1)-OFFSET('VVP1'!$G$11,0,5*(COLUMN()-7)+1),ABS(AB72-AB70-AB71)))</f>
        <v>1.2803066056221724E-6</v>
      </c>
      <c r="AC73" s="2999">
        <f ca="1">ABS(IF('VVP1'!$F$2="Y",OFFSET('VVP1'!$G$12,0,5*(COLUMN()-7)+1)-OFFSET('VVP1'!$G$7,0,5*(COLUMN()-7)+1)-OFFSET('VVP1'!$G$8,0,5*(COLUMN()-7)+1)-OFFSET('VVP1'!$G$9,0,5*(COLUMN()-7)+1)-OFFSET('VVP1'!$G$11,0,5*(COLUMN()-7)+1),ABS(AC72-AC70-AC71)))</f>
        <v>2.1074906203466526E-4</v>
      </c>
      <c r="AD73" s="2999">
        <f ca="1">ABS(IF('VVP1'!$F$2="Y",OFFSET('VVP1'!$G$12,0,5*(COLUMN()-7)+1)-OFFSET('VVP1'!$G$7,0,5*(COLUMN()-7)+1)-OFFSET('VVP1'!$G$8,0,5*(COLUMN()-7)+1)-OFFSET('VVP1'!$G$9,0,5*(COLUMN()-7)+1)-OFFSET('VVP1'!$G$11,0,5*(COLUMN()-7)+1),ABS(AD72-AD70-AD71)))</f>
        <v>4.8316906031686813E-13</v>
      </c>
      <c r="AE73" s="2999">
        <f ca="1">ABS(IF('VVP1'!$F$2="Y",OFFSET('VVP1'!$G$12,0,5*(COLUMN()-7)+1)-OFFSET('VVP1'!$G$7,0,5*(COLUMN()-7)+1)-OFFSET('VVP1'!$G$8,0,5*(COLUMN()-7)+1)-OFFSET('VVP1'!$G$9,0,5*(COLUMN()-7)+1)-OFFSET('VVP1'!$G$11,0,5*(COLUMN()-7)+1),ABS(AE72-AE70-AE71)))</f>
        <v>3.765876499528531E-13</v>
      </c>
      <c r="AF73" s="2999">
        <f ca="1">ABS(IF('VVP1'!$F$2="Y",OFFSET('VVP1'!$G$12,0,5*(COLUMN()-7)+1)-OFFSET('VVP1'!$G$7,0,5*(COLUMN()-7)+1)-OFFSET('VVP1'!$G$8,0,5*(COLUMN()-7)+1)-OFFSET('VVP1'!$G$9,0,5*(COLUMN()-7)+1)-OFFSET('VVP1'!$G$11,0,5*(COLUMN()-7)+1),ABS(AF72-AF70-AF71)))</f>
        <v>5.8264504332328215E-13</v>
      </c>
    </row>
    <row r="74" spans="1:32">
      <c r="R74" s="3155"/>
    </row>
    <row r="75" spans="1:32" s="736" customFormat="1" ht="12.75" customHeight="1">
      <c r="A75" s="701"/>
      <c r="B75" s="701"/>
      <c r="C75" s="811"/>
      <c r="D75" s="1132"/>
      <c r="E75" s="1133" t="s">
        <v>1240</v>
      </c>
      <c r="F75" s="1134"/>
      <c r="G75" s="933">
        <f>+InputY!$G$3</f>
        <v>1995</v>
      </c>
      <c r="H75" s="933">
        <f>+G75+1</f>
        <v>1996</v>
      </c>
      <c r="I75" s="933">
        <f t="shared" ref="I75:O75" si="73">+H75+1</f>
        <v>1997</v>
      </c>
      <c r="J75" s="933">
        <f t="shared" si="73"/>
        <v>1998</v>
      </c>
      <c r="K75" s="933">
        <f t="shared" si="73"/>
        <v>1999</v>
      </c>
      <c r="L75" s="933">
        <f t="shared" si="73"/>
        <v>2000</v>
      </c>
      <c r="M75" s="933">
        <f t="shared" si="73"/>
        <v>2001</v>
      </c>
      <c r="N75" s="933">
        <f t="shared" si="73"/>
        <v>2002</v>
      </c>
      <c r="O75" s="933">
        <f t="shared" si="73"/>
        <v>2003</v>
      </c>
      <c r="P75" s="933">
        <f>+O75+1</f>
        <v>2004</v>
      </c>
      <c r="Q75" s="933">
        <f>+P75+1</f>
        <v>2005</v>
      </c>
      <c r="R75" s="933">
        <f>+Q75+1</f>
        <v>2006</v>
      </c>
      <c r="S75" s="933">
        <f>+R75+1</f>
        <v>2007</v>
      </c>
      <c r="T75" s="933">
        <f t="shared" ref="T75:AF75" si="74">+S75+1</f>
        <v>2008</v>
      </c>
      <c r="U75" s="933">
        <f t="shared" si="74"/>
        <v>2009</v>
      </c>
      <c r="V75" s="933">
        <f t="shared" si="74"/>
        <v>2010</v>
      </c>
      <c r="W75" s="933">
        <f t="shared" si="74"/>
        <v>2011</v>
      </c>
      <c r="X75" s="933">
        <f t="shared" si="74"/>
        <v>2012</v>
      </c>
      <c r="Y75" s="933">
        <f t="shared" si="74"/>
        <v>2013</v>
      </c>
      <c r="Z75" s="933">
        <f t="shared" si="74"/>
        <v>2014</v>
      </c>
      <c r="AA75" s="933">
        <f t="shared" si="74"/>
        <v>2015</v>
      </c>
      <c r="AB75" s="933">
        <f t="shared" si="74"/>
        <v>2016</v>
      </c>
      <c r="AC75" s="933">
        <f t="shared" si="74"/>
        <v>2017</v>
      </c>
      <c r="AD75" s="933">
        <f t="shared" si="74"/>
        <v>2018</v>
      </c>
      <c r="AE75" s="933">
        <f t="shared" si="74"/>
        <v>2019</v>
      </c>
      <c r="AF75" s="933">
        <f t="shared" si="74"/>
        <v>2020</v>
      </c>
    </row>
    <row r="76" spans="1:32" s="736" customFormat="1" ht="12.75" customHeight="1">
      <c r="A76" s="701"/>
      <c r="B76" s="701"/>
      <c r="C76" s="831" t="s">
        <v>1791</v>
      </c>
      <c r="D76" s="726"/>
      <c r="E76" s="775" t="s">
        <v>1239</v>
      </c>
      <c r="F76" s="770" t="s">
        <v>1190</v>
      </c>
      <c r="G76" s="1135"/>
      <c r="H76" s="1135">
        <f>+(H70/G70-1)*100</f>
        <v>1.9991701840362142</v>
      </c>
      <c r="I76" s="1135">
        <f t="shared" ref="I76:Y76" si="75">+(I70/H70-1)*100</f>
        <v>1.6090239606066481</v>
      </c>
      <c r="J76" s="1135">
        <f t="shared" si="75"/>
        <v>4.4188807581747369</v>
      </c>
      <c r="K76" s="1135">
        <f t="shared" si="75"/>
        <v>4.0226163928392955</v>
      </c>
      <c r="L76" s="1135">
        <f t="shared" si="75"/>
        <v>3.8747106114908059</v>
      </c>
      <c r="M76" s="1135">
        <f t="shared" si="75"/>
        <v>1.0070219731325603</v>
      </c>
      <c r="N76" s="1135">
        <f t="shared" si="75"/>
        <v>1.3062353885809674</v>
      </c>
      <c r="O76" s="1135">
        <f t="shared" si="75"/>
        <v>1.8738081747881941</v>
      </c>
      <c r="P76" s="1135">
        <f t="shared" si="75"/>
        <v>2.6382007504593519</v>
      </c>
      <c r="Q76" s="1135">
        <f t="shared" si="75"/>
        <v>2.6549374675351789</v>
      </c>
      <c r="R76" s="1135">
        <f t="shared" si="75"/>
        <v>3.9898607297323974</v>
      </c>
      <c r="S76" s="1135">
        <f t="shared" si="75"/>
        <v>3.9946358106767832</v>
      </c>
      <c r="T76" s="1135">
        <f t="shared" si="75"/>
        <v>0.60108195634320793</v>
      </c>
      <c r="U76" s="1135">
        <f t="shared" si="75"/>
        <v>-2.7311780797321328</v>
      </c>
      <c r="V76" s="1135">
        <f t="shared" si="75"/>
        <v>3.6881337565671135</v>
      </c>
      <c r="W76" s="1135">
        <f t="shared" si="75"/>
        <v>2.5007337922595685</v>
      </c>
      <c r="X76" s="1135">
        <f t="shared" si="75"/>
        <v>0.61495185770368277</v>
      </c>
      <c r="Y76" s="1135">
        <f t="shared" si="75"/>
        <v>1.408758160543444</v>
      </c>
      <c r="Z76" s="1135">
        <f t="shared" ref="Z76:AC77" si="76">+(Z70/Y70-1)*100</f>
        <v>2.7362511671032097</v>
      </c>
      <c r="AA76" s="1135">
        <f t="shared" si="76"/>
        <v>3.7807335045992874</v>
      </c>
      <c r="AB76" s="1135">
        <f t="shared" si="76"/>
        <v>3.3896928172209462</v>
      </c>
      <c r="AC76" s="1135">
        <f t="shared" si="76"/>
        <v>2.5675195173866294</v>
      </c>
      <c r="AD76" s="1135">
        <f t="shared" ref="AD76:AF77" ca="1" si="77">+(AD70/AC70-1)*100</f>
        <v>2.3313686646278642</v>
      </c>
      <c r="AE76" s="1135">
        <f t="shared" ca="1" si="77"/>
        <v>1.8492829260040144</v>
      </c>
      <c r="AF76" s="1135">
        <f t="shared" ca="1" si="77"/>
        <v>1.7952226741940303</v>
      </c>
    </row>
    <row r="77" spans="1:32" s="736" customFormat="1" ht="12.75" customHeight="1">
      <c r="A77" s="701"/>
      <c r="B77" s="701"/>
      <c r="C77" s="833" t="s">
        <v>1791</v>
      </c>
      <c r="D77" s="728"/>
      <c r="E77" s="834" t="s">
        <v>816</v>
      </c>
      <c r="F77" s="773" t="s">
        <v>71</v>
      </c>
      <c r="G77" s="1136"/>
      <c r="H77" s="1136">
        <f>+(H71/G71-1)*100</f>
        <v>-70.752197753590096</v>
      </c>
      <c r="I77" s="1136">
        <f t="shared" ref="I77:Y77" si="78">+(I71/H71-1)*100</f>
        <v>30.032118733609579</v>
      </c>
      <c r="J77" s="1136">
        <f t="shared" si="78"/>
        <v>65.957873270169486</v>
      </c>
      <c r="K77" s="1136">
        <f t="shared" si="78"/>
        <v>-59.315146982362776</v>
      </c>
      <c r="L77" s="1136">
        <f t="shared" si="78"/>
        <v>168.55031090179961</v>
      </c>
      <c r="M77" s="1136">
        <f t="shared" si="78"/>
        <v>-50.309169882367556</v>
      </c>
      <c r="N77" s="1136">
        <f t="shared" si="78"/>
        <v>-67.589588503496898</v>
      </c>
      <c r="O77" s="1136">
        <f t="shared" si="78"/>
        <v>252.85259281965443</v>
      </c>
      <c r="P77" s="1136">
        <f t="shared" si="78"/>
        <v>-89.702062479814757</v>
      </c>
      <c r="Q77" s="1136">
        <f t="shared" si="78"/>
        <v>35.971616540774406</v>
      </c>
      <c r="R77" s="1136">
        <f t="shared" si="78"/>
        <v>-150.3400094263188</v>
      </c>
      <c r="S77" s="1136">
        <f t="shared" si="78"/>
        <v>2463.8885525677219</v>
      </c>
      <c r="T77" s="1136">
        <f t="shared" si="78"/>
        <v>-70.334528107027197</v>
      </c>
      <c r="U77" s="1136">
        <f t="shared" si="78"/>
        <v>-780.79015800776619</v>
      </c>
      <c r="V77" s="1136">
        <f t="shared" si="78"/>
        <v>-150.9348129309675</v>
      </c>
      <c r="W77" s="1136">
        <f t="shared" si="78"/>
        <v>76.436535975872459</v>
      </c>
      <c r="X77" s="1136">
        <f t="shared" si="78"/>
        <v>-100.89990281048631</v>
      </c>
      <c r="Y77" s="1136">
        <f t="shared" si="78"/>
        <v>-745.05899134284925</v>
      </c>
      <c r="Z77" s="1136">
        <f t="shared" si="76"/>
        <v>101.39415091255954</v>
      </c>
      <c r="AA77" s="1136">
        <f t="shared" si="76"/>
        <v>142.04577855450998</v>
      </c>
      <c r="AB77" s="1136">
        <f t="shared" si="76"/>
        <v>-16.226479724788568</v>
      </c>
      <c r="AC77" s="1136">
        <f t="shared" si="76"/>
        <v>23.893306594954723</v>
      </c>
      <c r="AD77" s="1136">
        <f t="shared" ca="1" si="77"/>
        <v>19.999999999999996</v>
      </c>
      <c r="AE77" s="1136">
        <f t="shared" ca="1" si="77"/>
        <v>-17.000000000000004</v>
      </c>
      <c r="AF77" s="1136">
        <f t="shared" ca="1" si="77"/>
        <v>0</v>
      </c>
    </row>
    <row r="78" spans="1:32" s="736" customFormat="1" ht="12.75" customHeight="1">
      <c r="A78" s="701"/>
      <c r="B78" s="701"/>
      <c r="C78" s="811" t="s">
        <v>1793</v>
      </c>
      <c r="D78" s="754"/>
      <c r="E78" s="1516" t="s">
        <v>1240</v>
      </c>
      <c r="F78" s="760" t="s">
        <v>1191</v>
      </c>
      <c r="G78" s="758"/>
      <c r="H78" s="758">
        <f>+(H72/G72-1)*100</f>
        <v>1.1103724055727016</v>
      </c>
      <c r="I78" s="758">
        <f t="shared" ref="I78:AC78" si="79">+(I72/H72-1)*100</f>
        <v>1.7240463081740431</v>
      </c>
      <c r="J78" s="758">
        <f t="shared" si="79"/>
        <v>4.7341213492308798</v>
      </c>
      <c r="K78" s="758">
        <f t="shared" si="79"/>
        <v>3.5266190215407445</v>
      </c>
      <c r="L78" s="758">
        <f t="shared" si="79"/>
        <v>4.3160480863308592</v>
      </c>
      <c r="M78" s="758">
        <f t="shared" si="79"/>
        <v>0.6489416668439052</v>
      </c>
      <c r="N78" s="758">
        <f t="shared" si="79"/>
        <v>1.0977854163647605</v>
      </c>
      <c r="O78" s="758">
        <f t="shared" si="79"/>
        <v>2.1085903218171387</v>
      </c>
      <c r="P78" s="758">
        <f t="shared" si="79"/>
        <v>2.3397524306380646</v>
      </c>
      <c r="Q78" s="758">
        <f t="shared" si="79"/>
        <v>2.6445388990128604</v>
      </c>
      <c r="R78" s="758">
        <f t="shared" si="79"/>
        <v>4.2118045273197513</v>
      </c>
      <c r="S78" s="758">
        <f t="shared" si="79"/>
        <v>4.7049139449243826</v>
      </c>
      <c r="T78" s="758">
        <f t="shared" si="79"/>
        <v>5.2694031201183655E-2</v>
      </c>
      <c r="U78" s="758">
        <f t="shared" si="79"/>
        <v>-4.3864675538014879</v>
      </c>
      <c r="V78" s="758">
        <f t="shared" si="79"/>
        <v>5.9711853603296117</v>
      </c>
      <c r="W78" s="758">
        <f t="shared" si="79"/>
        <v>3.0158526514791006</v>
      </c>
      <c r="X78" s="758">
        <f t="shared" si="79"/>
        <v>-0.58127864975090482</v>
      </c>
      <c r="Y78" s="758">
        <f t="shared" si="79"/>
        <v>1.627132868428971</v>
      </c>
      <c r="Z78" s="758">
        <f t="shared" si="79"/>
        <v>2.8974050442186927</v>
      </c>
      <c r="AA78" s="758">
        <f t="shared" si="79"/>
        <v>4.2137117836780202</v>
      </c>
      <c r="AB78" s="758">
        <f t="shared" si="79"/>
        <v>3.2414143861614342</v>
      </c>
      <c r="AC78" s="758">
        <f t="shared" si="79"/>
        <v>2.6969332595821127</v>
      </c>
      <c r="AD78" s="1511">
        <f ca="1">IF(UPPER('VVP1'!$F$2)="Y",OFFSET('VVP1'!$G$12,0,5*(COLUMN()-7)),('VVP2'!AD72/'VVP2'!AC72-1)*100)</f>
        <v>2.4546013522998011</v>
      </c>
      <c r="AE78" s="1511">
        <f ca="1">IF(UPPER('VVP1'!$F$2)="Y",OFFSET('VVP1'!$G$12,0,5*(COLUMN()-7)),('VVP2'!AE72/'VVP2'!AD72-1)*100)</f>
        <v>1.6918469896015864</v>
      </c>
      <c r="AF78" s="1511">
        <f ca="1">IF(UPPER('VVP1'!$F$2)="Y",OFFSET('VVP1'!$G$12,0,5*(COLUMN()-7)),('VVP2'!AF72/'VVP2'!AE72-1)*100)</f>
        <v>1.782874860308592</v>
      </c>
    </row>
    <row r="80" spans="1:32">
      <c r="A80" s="1170"/>
      <c r="D80" s="1213"/>
      <c r="E80" s="1214" t="s">
        <v>1902</v>
      </c>
      <c r="F80" s="1210"/>
      <c r="G80" s="1208">
        <f>+InputY!$G$3</f>
        <v>1995</v>
      </c>
      <c r="H80" s="1208">
        <f>+G80+1</f>
        <v>1996</v>
      </c>
      <c r="I80" s="1208">
        <f t="shared" ref="I80:O80" si="80">+H80+1</f>
        <v>1997</v>
      </c>
      <c r="J80" s="1208">
        <f t="shared" si="80"/>
        <v>1998</v>
      </c>
      <c r="K80" s="1208">
        <f t="shared" si="80"/>
        <v>1999</v>
      </c>
      <c r="L80" s="1208">
        <f t="shared" si="80"/>
        <v>2000</v>
      </c>
      <c r="M80" s="1208">
        <f t="shared" si="80"/>
        <v>2001</v>
      </c>
      <c r="N80" s="1208">
        <f t="shared" si="80"/>
        <v>2002</v>
      </c>
      <c r="O80" s="1208">
        <f t="shared" si="80"/>
        <v>2003</v>
      </c>
      <c r="P80" s="1208">
        <f>+O80+1</f>
        <v>2004</v>
      </c>
      <c r="Q80" s="1208">
        <f>+P80+1</f>
        <v>2005</v>
      </c>
      <c r="R80" s="1208">
        <f>+Q80+1</f>
        <v>2006</v>
      </c>
      <c r="S80" s="1208">
        <f>+R80+1</f>
        <v>2007</v>
      </c>
      <c r="T80" s="1208">
        <f t="shared" ref="T80:AF80" si="81">+S80+1</f>
        <v>2008</v>
      </c>
      <c r="U80" s="1208">
        <f t="shared" si="81"/>
        <v>2009</v>
      </c>
      <c r="V80" s="1208">
        <f t="shared" si="81"/>
        <v>2010</v>
      </c>
      <c r="W80" s="1208">
        <f t="shared" si="81"/>
        <v>2011</v>
      </c>
      <c r="X80" s="1208">
        <f t="shared" si="81"/>
        <v>2012</v>
      </c>
      <c r="Y80" s="1208">
        <f t="shared" si="81"/>
        <v>2013</v>
      </c>
      <c r="Z80" s="1165">
        <f t="shared" si="81"/>
        <v>2014</v>
      </c>
      <c r="AA80" s="1165">
        <f t="shared" si="81"/>
        <v>2015</v>
      </c>
      <c r="AB80" s="1165">
        <f t="shared" si="81"/>
        <v>2016</v>
      </c>
      <c r="AC80" s="1165">
        <f t="shared" si="81"/>
        <v>2017</v>
      </c>
      <c r="AD80" s="1165">
        <f t="shared" si="81"/>
        <v>2018</v>
      </c>
      <c r="AE80" s="1165">
        <f t="shared" si="81"/>
        <v>2019</v>
      </c>
      <c r="AF80" s="1165">
        <f t="shared" si="81"/>
        <v>2020</v>
      </c>
    </row>
    <row r="81" spans="1:32">
      <c r="A81" s="701">
        <f>+ROW(InputY!A46)</f>
        <v>46</v>
      </c>
      <c r="B81" s="702" t="s">
        <v>324</v>
      </c>
      <c r="C81" s="1119" t="s">
        <v>1791</v>
      </c>
      <c r="D81" s="1098"/>
      <c r="E81" s="1078" t="s">
        <v>817</v>
      </c>
      <c r="F81" s="1098" t="s">
        <v>74</v>
      </c>
      <c r="G81" s="1124">
        <f>+InputY!G46/1000</f>
        <v>153.59178</v>
      </c>
      <c r="H81" s="1124">
        <f>+InputY!H46/1000</f>
        <v>154.70242999999999</v>
      </c>
      <c r="I81" s="1124">
        <f>+InputY!I46/1000</f>
        <v>178.81483</v>
      </c>
      <c r="J81" s="1124">
        <f>+InputY!J46/1000</f>
        <v>197.74607999999998</v>
      </c>
      <c r="K81" s="1124">
        <f>+InputY!K46/1000</f>
        <v>220.01307999999997</v>
      </c>
      <c r="L81" s="1124">
        <f>+InputY!L46/1000</f>
        <v>245.28251999999998</v>
      </c>
      <c r="M81" s="1124">
        <f>+InputY!M46/1000</f>
        <v>277.14011999999997</v>
      </c>
      <c r="N81" s="1124">
        <f>+InputY!N46/1000</f>
        <v>271.15889000000004</v>
      </c>
      <c r="O81" s="1124">
        <f>+InputY!O46/1000</f>
        <v>275.49450000000002</v>
      </c>
      <c r="P81" s="1124">
        <f>+InputY!P46/1000</f>
        <v>300.37290000000002</v>
      </c>
      <c r="Q81" s="1124">
        <f>+InputY!Q46/1000</f>
        <v>329.30948000000001</v>
      </c>
      <c r="R81" s="1124">
        <f>+InputY!R46/1000</f>
        <v>359.66633000000002</v>
      </c>
      <c r="S81" s="1124">
        <f>+InputY!S46/1000</f>
        <v>396.11518999999998</v>
      </c>
      <c r="T81" s="1124">
        <f>+InputY!T46/1000</f>
        <v>419.39909999999998</v>
      </c>
      <c r="U81" s="1124">
        <f>+InputY!U46/1000</f>
        <v>413.56842</v>
      </c>
      <c r="V81" s="1124">
        <f>+InputY!V46/1000</f>
        <v>422.536</v>
      </c>
      <c r="W81" s="1124">
        <f>+InputY!W46/1000</f>
        <v>439.37660999999997</v>
      </c>
      <c r="X81" s="1124">
        <f>+InputY!X46/1000</f>
        <v>452.7423</v>
      </c>
      <c r="Y81" s="1124">
        <f>+InputY!Y46/1000</f>
        <v>475.17309999999998</v>
      </c>
      <c r="Z81" s="1124">
        <f>+InputY!Z46/1000</f>
        <v>524.82384000000002</v>
      </c>
      <c r="AA81" s="1124">
        <f>+InputY!AA46/1000</f>
        <v>580.80520999999999</v>
      </c>
      <c r="AB81" s="1124">
        <f>+InputY!AB46/1000</f>
        <v>606.10305000000005</v>
      </c>
      <c r="AC81" s="1124">
        <f>+InputY!AC46/1000</f>
        <v>604.31351000000006</v>
      </c>
      <c r="AD81" s="1463">
        <f t="shared" ref="AD81:AF82" ca="1" si="82">+AC81*(1+AD87/100)</f>
        <v>623.59111096900006</v>
      </c>
      <c r="AE81" s="1463">
        <f t="shared" ca="1" si="82"/>
        <v>642.23648518697314</v>
      </c>
      <c r="AF81" s="1463">
        <f t="shared" ca="1" si="82"/>
        <v>661.43935609406367</v>
      </c>
    </row>
    <row r="82" spans="1:32">
      <c r="A82" s="701">
        <f>+ROW(InputY!A45)</f>
        <v>45</v>
      </c>
      <c r="B82" s="702" t="s">
        <v>325</v>
      </c>
      <c r="C82" s="1121" t="s">
        <v>1791</v>
      </c>
      <c r="D82" s="1117"/>
      <c r="E82" s="1118" t="s">
        <v>1821</v>
      </c>
      <c r="F82" s="1117" t="s">
        <v>1638</v>
      </c>
      <c r="G82" s="1125">
        <f>+InputY!G45/1000</f>
        <v>600.26956000000007</v>
      </c>
      <c r="H82" s="1125">
        <f>+InputY!H45/1000</f>
        <v>629.10954000000004</v>
      </c>
      <c r="I82" s="1125">
        <f>+InputY!I45/1000</f>
        <v>714.25354000000004</v>
      </c>
      <c r="J82" s="1125">
        <f>+InputY!J45/1000</f>
        <v>775.62232999999992</v>
      </c>
      <c r="K82" s="1125">
        <f>+InputY!K45/1000</f>
        <v>824.81093999999996</v>
      </c>
      <c r="L82" s="1125">
        <f>+InputY!L45/1000</f>
        <v>921.70935999999995</v>
      </c>
      <c r="M82" s="1125">
        <f>+InputY!M45/1000</f>
        <v>900.96069</v>
      </c>
      <c r="N82" s="1125">
        <f>+InputY!N45/1000</f>
        <v>921.57978000000003</v>
      </c>
      <c r="O82" s="1125">
        <f>+InputY!O45/1000</f>
        <v>966.47284000000002</v>
      </c>
      <c r="P82" s="1125">
        <f>+InputY!P45/1000</f>
        <v>1074.7893899999999</v>
      </c>
      <c r="Q82" s="1125">
        <f>+InputY!Q45/1000</f>
        <v>1137.0045400000001</v>
      </c>
      <c r="R82" s="1125">
        <f>+InputY!R45/1000</f>
        <v>1233.66643</v>
      </c>
      <c r="S82" s="1125">
        <f>+InputY!S45/1000</f>
        <v>1268.8926799999999</v>
      </c>
      <c r="T82" s="1125">
        <f>+InputY!T45/1000</f>
        <v>1278.7991000000002</v>
      </c>
      <c r="U82" s="1125">
        <f>+InputY!U45/1000</f>
        <v>1039.15282</v>
      </c>
      <c r="V82" s="1125">
        <f>+InputY!V45/1000</f>
        <v>1203.18</v>
      </c>
      <c r="W82" s="1125">
        <f>+InputY!W45/1000</f>
        <v>1285.5298700000001</v>
      </c>
      <c r="X82" s="1125">
        <f>+InputY!X45/1000</f>
        <v>1288.9050300000001</v>
      </c>
      <c r="Y82" s="1125">
        <f>+InputY!Y45/1000</f>
        <v>1251.7814099999998</v>
      </c>
      <c r="Z82" s="1125">
        <f>+InputY!Z45/1000</f>
        <v>1291.1304499999999</v>
      </c>
      <c r="AA82" s="1125">
        <f>+InputY!AA45/1000</f>
        <v>1336.5675200000001</v>
      </c>
      <c r="AB82" s="1125">
        <f>+InputY!AB45/1000</f>
        <v>1367.47353</v>
      </c>
      <c r="AC82" s="1125">
        <f>+InputY!AC45/1000</f>
        <v>1435.22344</v>
      </c>
      <c r="AD82" s="1387">
        <f t="shared" ca="1" si="82"/>
        <v>1486.1738721200002</v>
      </c>
      <c r="AE82" s="1387">
        <f t="shared" ca="1" si="82"/>
        <v>1535.9606968360204</v>
      </c>
      <c r="AF82" s="1387">
        <f t="shared" ca="1" si="82"/>
        <v>1582.3467098804681</v>
      </c>
    </row>
    <row r="83" spans="1:32">
      <c r="A83" s="701">
        <f>+ROW(InputY!A47)</f>
        <v>47</v>
      </c>
      <c r="B83" s="701"/>
      <c r="C83" s="731" t="s">
        <v>1793</v>
      </c>
      <c r="D83" s="1211"/>
      <c r="E83" s="1509" t="s">
        <v>1822</v>
      </c>
      <c r="F83" s="1508" t="s">
        <v>1748</v>
      </c>
      <c r="G83" s="1212">
        <f>+InputY!G47/1000</f>
        <v>755.63308999999992</v>
      </c>
      <c r="H83" s="1212">
        <f>+InputY!H47/1000</f>
        <v>786.81735000000003</v>
      </c>
      <c r="I83" s="1212">
        <f>+InputY!I47/1000</f>
        <v>896.01803000000007</v>
      </c>
      <c r="J83" s="1212">
        <f>+InputY!J47/1000</f>
        <v>976.08465999999999</v>
      </c>
      <c r="K83" s="1212">
        <f>+InputY!K47/1000</f>
        <v>1046.5314000000001</v>
      </c>
      <c r="L83" s="1212">
        <f>+InputY!L47/1000</f>
        <v>1168.9569199999999</v>
      </c>
      <c r="M83" s="1212">
        <f>+InputY!M47/1000</f>
        <v>1177.1004599999999</v>
      </c>
      <c r="N83" s="1212">
        <f>+InputY!N47/1000</f>
        <v>1192.6076699999999</v>
      </c>
      <c r="O83" s="1212">
        <f>+InputY!O47/1000</f>
        <v>1242.2317399999999</v>
      </c>
      <c r="P83" s="1212">
        <f>+InputY!P47/1000</f>
        <v>1375.58366</v>
      </c>
      <c r="Q83" s="1212">
        <f>+InputY!Q47/1000</f>
        <v>1466.76965</v>
      </c>
      <c r="R83" s="1212">
        <f>+InputY!R47/1000</f>
        <v>1593.8252199999999</v>
      </c>
      <c r="S83" s="1212">
        <f>+InputY!S47/1000</f>
        <v>1665.2086200000001</v>
      </c>
      <c r="T83" s="1212">
        <f>+InputY!T47/1000</f>
        <v>1698.2772600000001</v>
      </c>
      <c r="U83" s="1212">
        <f>+InputY!U47/1000</f>
        <v>1452.2784999999999</v>
      </c>
      <c r="V83" s="1212">
        <f>+InputY!V47/1000</f>
        <v>1625.7159999999999</v>
      </c>
      <c r="W83" s="1212">
        <f>+InputY!W47/1000</f>
        <v>1724.9068400000001</v>
      </c>
      <c r="X83" s="1212">
        <f>+InputY!X47/1000</f>
        <v>1741.8351299999999</v>
      </c>
      <c r="Y83" s="1212">
        <f>+InputY!Y47/1000</f>
        <v>1728.3771200000001</v>
      </c>
      <c r="Z83" s="1212">
        <f>+InputY!Z47/1000</f>
        <v>1819.24252</v>
      </c>
      <c r="AA83" s="1212">
        <f>+InputY!AA47/1000</f>
        <v>1922.66041</v>
      </c>
      <c r="AB83" s="1212">
        <f>+InputY!AB47/1000</f>
        <v>1979.7154699999999</v>
      </c>
      <c r="AC83" s="1212">
        <f>+InputY!AC47/1000</f>
        <v>2043.7392199999999</v>
      </c>
      <c r="AD83" s="1515">
        <f ca="1">IF(UPPER('VVP1'!$F$2)="Y",+AC83*(1+AD89/100),+AD81+AD82)</f>
        <v>2114.0014571405513</v>
      </c>
      <c r="AE83" s="1515">
        <f ca="1">IF(UPPER('VVP1'!$F$2)="Y",+AD83*(1+AE89/100),+AE81+AE82)</f>
        <v>2182.4755341447212</v>
      </c>
      <c r="AF83" s="1515">
        <f ca="1">IF(UPPER('VVP1'!$F$2)="Y",+AE83*(1+AF89/100),+AF81+AF82)</f>
        <v>2248.1852150871587</v>
      </c>
    </row>
    <row r="84" spans="1:32" s="736" customFormat="1" ht="12.75" customHeight="1">
      <c r="A84" s="701"/>
      <c r="B84" s="701"/>
      <c r="C84" s="811"/>
      <c r="D84" s="2033"/>
      <c r="E84" s="2033" t="s">
        <v>90</v>
      </c>
      <c r="F84" s="2033"/>
      <c r="G84" s="1040"/>
      <c r="H84" s="1040">
        <f ca="1">ABS(IF('VVP1'!$F$2="Y",OFFSET('VVP1'!$G$88,0,5*(COLUMN()-7)+1)-OFFSET('VVP1'!$G$86,0,5*(COLUMN()-7)+1)-OFFSET('VVP1'!$G$87,0,5*(COLUMN()-7)+1),ABS(H83-H81-H82)))</f>
        <v>9.7314558649941318E-4</v>
      </c>
      <c r="I84" s="1040">
        <f ca="1">ABS(IF('VVP1'!$F$2="Y",OFFSET('VVP1'!$G$88,0,5*(COLUMN()-7)+1)-OFFSET('VVP1'!$G$86,0,5*(COLUMN()-7)+1)-OFFSET('VVP1'!$G$87,0,5*(COLUMN()-7)+1),ABS(I83-I81-I82)))</f>
        <v>3.6987509201935609E-4</v>
      </c>
      <c r="J84" s="1040">
        <f ca="1">ABS(IF('VVP1'!$F$2="Y",OFFSET('VVP1'!$G$88,0,5*(COLUMN()-7)+1)-OFFSET('VVP1'!$G$86,0,5*(COLUMN()-7)+1)-OFFSET('VVP1'!$G$87,0,5*(COLUMN()-7)+1),ABS(J83-J81-J82)))</f>
        <v>1.4004529725752946E-4</v>
      </c>
      <c r="K84" s="1040">
        <f ca="1">ABS(IF('VVP1'!$F$2="Y",OFFSET('VVP1'!$G$88,0,5*(COLUMN()-7)+1)-OFFSET('VVP1'!$G$86,0,5*(COLUMN()-7)+1)-OFFSET('VVP1'!$G$87,0,5*(COLUMN()-7)+1),ABS(K83-K81-K82)))</f>
        <v>1.5640343451650551E-4</v>
      </c>
      <c r="L84" s="1040">
        <f ca="1">ABS(IF('VVP1'!$F$2="Y",OFFSET('VVP1'!$G$88,0,5*(COLUMN()-7)+1)-OFFSET('VVP1'!$G$86,0,5*(COLUMN()-7)+1)-OFFSET('VVP1'!$G$87,0,5*(COLUMN()-7)+1),ABS(L83-L81-L82)))</f>
        <v>5.0686002180100331E-4</v>
      </c>
      <c r="M84" s="1040">
        <f ca="1">ABS(IF('VVP1'!$F$2="Y",OFFSET('VVP1'!$G$88,0,5*(COLUMN()-7)+1)-OFFSET('VVP1'!$G$86,0,5*(COLUMN()-7)+1)-OFFSET('VVP1'!$G$87,0,5*(COLUMN()-7)+1),ABS(M83-M81-M82)))</f>
        <v>3.6274774367939244E-4</v>
      </c>
      <c r="N84" s="1040">
        <f ca="1">ABS(IF('VVP1'!$F$2="Y",OFFSET('VVP1'!$G$88,0,5*(COLUMN()-7)+1)-OFFSET('VVP1'!$G$86,0,5*(COLUMN()-7)+1)-OFFSET('VVP1'!$G$87,0,5*(COLUMN()-7)+1),ABS(N83-N81-N82)))</f>
        <v>7.3781579476417392E-4</v>
      </c>
      <c r="O84" s="1040">
        <f ca="1">ABS(IF('VVP1'!$F$2="Y",OFFSET('VVP1'!$G$88,0,5*(COLUMN()-7)+1)-OFFSET('VVP1'!$G$86,0,5*(COLUMN()-7)+1)-OFFSET('VVP1'!$G$87,0,5*(COLUMN()-7)+1),ABS(O83-O81-O82)))</f>
        <v>7.1555479962626123E-4</v>
      </c>
      <c r="P84" s="1040">
        <f ca="1">ABS(IF('VVP1'!$F$2="Y",OFFSET('VVP1'!$G$88,0,5*(COLUMN()-7)+1)-OFFSET('VVP1'!$G$86,0,5*(COLUMN()-7)+1)-OFFSET('VVP1'!$G$87,0,5*(COLUMN()-7)+1),ABS(P83-P81-P82)))</f>
        <v>2.0276784835004946E-4</v>
      </c>
      <c r="Q84" s="1040">
        <f ca="1">ABS(IF('VVP1'!$F$2="Y",OFFSET('VVP1'!$G$88,0,5*(COLUMN()-7)+1)-OFFSET('VVP1'!$G$86,0,5*(COLUMN()-7)+1)-OFFSET('VVP1'!$G$87,0,5*(COLUMN()-7)+1),ABS(Q83-Q81-Q82)))</f>
        <v>3.848203241432202E-4</v>
      </c>
      <c r="R84" s="1040">
        <f ca="1">ABS(IF('VVP1'!$F$2="Y",OFFSET('VVP1'!$G$88,0,5*(COLUMN()-7)+1)-OFFSET('VVP1'!$G$86,0,5*(COLUMN()-7)+1)-OFFSET('VVP1'!$G$87,0,5*(COLUMN()-7)+1),ABS(R83-R81-R82)))</f>
        <v>3.3146965529340378E-4</v>
      </c>
      <c r="S84" s="1040">
        <f ca="1">ABS(IF('VVP1'!$F$2="Y",OFFSET('VVP1'!$G$88,0,5*(COLUMN()-7)+1)-OFFSET('VVP1'!$G$86,0,5*(COLUMN()-7)+1)-OFFSET('VVP1'!$G$87,0,5*(COLUMN()-7)+1),ABS(S83-S81-S82)))</f>
        <v>5.3762767015541613E-4</v>
      </c>
      <c r="T84" s="1040">
        <f ca="1">ABS(IF('VVP1'!$F$2="Y",OFFSET('VVP1'!$G$88,0,5*(COLUMN()-7)+1)-OFFSET('VVP1'!$G$86,0,5*(COLUMN()-7)+1)-OFFSET('VVP1'!$G$87,0,5*(COLUMN()-7)+1),ABS(T83-T81-T82)))</f>
        <v>2.7689035687217256E-4</v>
      </c>
      <c r="U84" s="1040">
        <f ca="1">ABS(IF('VVP1'!$F$2="Y",OFFSET('VVP1'!$G$88,0,5*(COLUMN()-7)+1)-OFFSET('VVP1'!$G$86,0,5*(COLUMN()-7)+1)-OFFSET('VVP1'!$G$87,0,5*(COLUMN()-7)+1),ABS(U83-U81-U82)))</f>
        <v>3.7165897924751334E-4</v>
      </c>
      <c r="V84" s="1040">
        <f ca="1">ABS(IF('VVP1'!$F$2="Y",OFFSET('VVP1'!$G$88,0,5*(COLUMN()-7)+1)-OFFSET('VVP1'!$G$86,0,5*(COLUMN()-7)+1)-OFFSET('VVP1'!$G$87,0,5*(COLUMN()-7)+1),ABS(V83-V81-V82)))</f>
        <v>2.0424707895472238E-4</v>
      </c>
      <c r="W84" s="1040">
        <f ca="1">ABS(IF('VVP1'!$F$2="Y",OFFSET('VVP1'!$G$88,0,5*(COLUMN()-7)+1)-OFFSET('VVP1'!$G$86,0,5*(COLUMN()-7)+1)-OFFSET('VVP1'!$G$87,0,5*(COLUMN()-7)+1),ABS(W83-W81-W82)))</f>
        <v>3.6000000000058208E-4</v>
      </c>
      <c r="X84" s="1040">
        <f ca="1">ABS(IF('VVP1'!$F$2="Y",OFFSET('VVP1'!$G$88,0,5*(COLUMN()-7)+1)-OFFSET('VVP1'!$G$86,0,5*(COLUMN()-7)+1)-OFFSET('VVP1'!$G$87,0,5*(COLUMN()-7)+1),ABS(X83-X81-X82)))</f>
        <v>4.1479936612631718E-4</v>
      </c>
      <c r="Y84" s="1040">
        <f ca="1">ABS(IF('VVP1'!$F$2="Y",OFFSET('VVP1'!$G$88,0,5*(COLUMN()-7)+1)-OFFSET('VVP1'!$G$86,0,5*(COLUMN()-7)+1)-OFFSET('VVP1'!$G$87,0,5*(COLUMN()-7)+1),ABS(Y83-Y81-Y82)))</f>
        <v>1.3419185188467964E-4</v>
      </c>
      <c r="Z84" s="2999">
        <f ca="1">ABS(IF('VVP1'!$F$2="Y",OFFSET('VVP1'!$G$88,0,5*(COLUMN()-7)+1)-OFFSET('VVP1'!$G$86,0,5*(COLUMN()-7)+1)-OFFSET('VVP1'!$G$87,0,5*(COLUMN()-7)+1),ABS(Z83-Z81-Z82)))</f>
        <v>1.133042376523008E-3</v>
      </c>
      <c r="AA84" s="2999">
        <f ca="1">ABS(IF('VVP1'!$F$2="Y",OFFSET('VVP1'!$G$88,0,5*(COLUMN()-7)+1)-OFFSET('VVP1'!$G$86,0,5*(COLUMN()-7)+1)-OFFSET('VVP1'!$G$87,0,5*(COLUMN()-7)+1),ABS(AA83-AA81-AA82)))</f>
        <v>5.5529310702695511E-4</v>
      </c>
      <c r="AB84" s="2999">
        <f ca="1">ABS(IF('VVP1'!$F$2="Y",OFFSET('VVP1'!$G$88,0,5*(COLUMN()-7)+1)-OFFSET('VVP1'!$G$86,0,5*(COLUMN()-7)+1)-OFFSET('VVP1'!$G$87,0,5*(COLUMN()-7)+1),ABS(AB83-AB81-AB82)))</f>
        <v>9.5638285984023241E-6</v>
      </c>
      <c r="AC84" s="2999">
        <f ca="1">ABS(IF('VVP1'!$F$2="Y",OFFSET('VVP1'!$G$88,0,5*(COLUMN()-7)+1)-OFFSET('VVP1'!$G$86,0,5*(COLUMN()-7)+1)-OFFSET('VVP1'!$G$87,0,5*(COLUMN()-7)+1),ABS(AC83-AC81-AC82)))</f>
        <v>7.6615026182480506E-4</v>
      </c>
      <c r="AD84" s="2999">
        <f ca="1">ABS(IF('VVP1'!$F$2="Y",OFFSET('VVP1'!$G$88,0,5*(COLUMN()-7)+1)-OFFSET('VVP1'!$G$86,0,5*(COLUMN()-7)+1)-OFFSET('VVP1'!$G$87,0,5*(COLUMN()-7)+1),ABS(AD83-AD81-AD82)))</f>
        <v>0</v>
      </c>
      <c r="AE84" s="2999">
        <f ca="1">ABS(IF('VVP1'!$F$2="Y",OFFSET('VVP1'!$G$88,0,5*(COLUMN()-7)+1)-OFFSET('VVP1'!$G$86,0,5*(COLUMN()-7)+1)-OFFSET('VVP1'!$G$87,0,5*(COLUMN()-7)+1),ABS(AE83-AE81-AE82)))</f>
        <v>2.2737367544323206E-13</v>
      </c>
      <c r="AF84" s="2999">
        <f ca="1">ABS(IF('VVP1'!$F$2="Y",OFFSET('VVP1'!$G$88,0,5*(COLUMN()-7)+1)-OFFSET('VVP1'!$G$86,0,5*(COLUMN()-7)+1)-OFFSET('VVP1'!$G$87,0,5*(COLUMN()-7)+1),ABS(AF83-AF81-AF82)))</f>
        <v>2.2737367544323206E-13</v>
      </c>
    </row>
    <row r="86" spans="1:32">
      <c r="A86" s="1170"/>
      <c r="D86" s="1156"/>
      <c r="E86" s="964" t="s">
        <v>1902</v>
      </c>
      <c r="F86" s="1148"/>
      <c r="G86" s="933">
        <f>+InputY!$G$3</f>
        <v>1995</v>
      </c>
      <c r="H86" s="933">
        <f>+G86+1</f>
        <v>1996</v>
      </c>
      <c r="I86" s="933">
        <f t="shared" ref="I86:O86" si="83">+H86+1</f>
        <v>1997</v>
      </c>
      <c r="J86" s="933">
        <f t="shared" si="83"/>
        <v>1998</v>
      </c>
      <c r="K86" s="933">
        <f t="shared" si="83"/>
        <v>1999</v>
      </c>
      <c r="L86" s="933">
        <f t="shared" si="83"/>
        <v>2000</v>
      </c>
      <c r="M86" s="933">
        <f t="shared" si="83"/>
        <v>2001</v>
      </c>
      <c r="N86" s="933">
        <f t="shared" si="83"/>
        <v>2002</v>
      </c>
      <c r="O86" s="933">
        <f t="shared" si="83"/>
        <v>2003</v>
      </c>
      <c r="P86" s="933">
        <f>+O86+1</f>
        <v>2004</v>
      </c>
      <c r="Q86" s="933">
        <f>+P86+1</f>
        <v>2005</v>
      </c>
      <c r="R86" s="933">
        <f>+Q86+1</f>
        <v>2006</v>
      </c>
      <c r="S86" s="933">
        <f>+R86+1</f>
        <v>2007</v>
      </c>
      <c r="T86" s="933">
        <f t="shared" ref="T86:AF86" si="84">+S86+1</f>
        <v>2008</v>
      </c>
      <c r="U86" s="933">
        <f t="shared" si="84"/>
        <v>2009</v>
      </c>
      <c r="V86" s="933">
        <f t="shared" si="84"/>
        <v>2010</v>
      </c>
      <c r="W86" s="933">
        <f t="shared" si="84"/>
        <v>2011</v>
      </c>
      <c r="X86" s="933">
        <f t="shared" si="84"/>
        <v>2012</v>
      </c>
      <c r="Y86" s="933">
        <f t="shared" si="84"/>
        <v>2013</v>
      </c>
      <c r="Z86" s="933">
        <f t="shared" si="84"/>
        <v>2014</v>
      </c>
      <c r="AA86" s="933">
        <f t="shared" si="84"/>
        <v>2015</v>
      </c>
      <c r="AB86" s="933">
        <f t="shared" si="84"/>
        <v>2016</v>
      </c>
      <c r="AC86" s="933">
        <f t="shared" si="84"/>
        <v>2017</v>
      </c>
      <c r="AD86" s="933">
        <f t="shared" si="84"/>
        <v>2018</v>
      </c>
      <c r="AE86" s="933">
        <f t="shared" si="84"/>
        <v>2019</v>
      </c>
      <c r="AF86" s="933">
        <f t="shared" si="84"/>
        <v>2020</v>
      </c>
    </row>
    <row r="87" spans="1:32" s="736" customFormat="1" ht="12.75" customHeight="1">
      <c r="A87" s="701"/>
      <c r="B87" s="701"/>
      <c r="C87" s="831" t="s">
        <v>1791</v>
      </c>
      <c r="D87" s="726"/>
      <c r="E87" s="775" t="s">
        <v>817</v>
      </c>
      <c r="F87" s="770" t="s">
        <v>74</v>
      </c>
      <c r="G87" s="1135"/>
      <c r="H87" s="1135">
        <f>+(H81/G81-1)*100</f>
        <v>0.72311812520173824</v>
      </c>
      <c r="I87" s="1135">
        <f t="shared" ref="I87:AC87" si="85">+(I81/H81-1)*100</f>
        <v>15.58630979487523</v>
      </c>
      <c r="J87" s="1135">
        <f t="shared" si="85"/>
        <v>10.587069316342479</v>
      </c>
      <c r="K87" s="1135">
        <f t="shared" si="85"/>
        <v>11.260400206163368</v>
      </c>
      <c r="L87" s="1135">
        <f t="shared" si="85"/>
        <v>11.485426230113237</v>
      </c>
      <c r="M87" s="1135">
        <f t="shared" si="85"/>
        <v>12.988124877386277</v>
      </c>
      <c r="N87" s="1135">
        <f t="shared" si="85"/>
        <v>-2.1581970881732748</v>
      </c>
      <c r="O87" s="1135">
        <f t="shared" si="85"/>
        <v>1.5989186266399003</v>
      </c>
      <c r="P87" s="1135">
        <f t="shared" si="85"/>
        <v>9.0304525135710421</v>
      </c>
      <c r="Q87" s="1135">
        <f t="shared" si="85"/>
        <v>9.6335521613301278</v>
      </c>
      <c r="R87" s="1135">
        <f t="shared" si="85"/>
        <v>9.2183346801920187</v>
      </c>
      <c r="S87" s="1135">
        <f t="shared" si="85"/>
        <v>10.134076214473552</v>
      </c>
      <c r="T87" s="1135">
        <f t="shared" si="85"/>
        <v>5.8780654182940983</v>
      </c>
      <c r="U87" s="1135">
        <f t="shared" si="85"/>
        <v>-1.3902461879388817</v>
      </c>
      <c r="V87" s="1135">
        <f t="shared" si="85"/>
        <v>2.1683425441429982</v>
      </c>
      <c r="W87" s="1135">
        <f t="shared" si="85"/>
        <v>3.9856035935399436</v>
      </c>
      <c r="X87" s="1135">
        <f t="shared" si="85"/>
        <v>3.0419666627224506</v>
      </c>
      <c r="Y87" s="1135">
        <f t="shared" si="85"/>
        <v>4.9544299262516356</v>
      </c>
      <c r="Z87" s="1135">
        <f t="shared" si="85"/>
        <v>10.448979540298065</v>
      </c>
      <c r="AA87" s="1135">
        <f t="shared" si="85"/>
        <v>10.666697229302692</v>
      </c>
      <c r="AB87" s="1135">
        <f t="shared" si="85"/>
        <v>4.35564963337709</v>
      </c>
      <c r="AC87" s="1135">
        <f t="shared" si="85"/>
        <v>-0.29525342266467636</v>
      </c>
      <c r="AD87" s="1468">
        <f ca="1">OFFSET('VVP1'!$G$86,0,5*(COLUMN()-7))</f>
        <v>3.19</v>
      </c>
      <c r="AE87" s="1468">
        <f ca="1">OFFSET('VVP1'!$G$86,0,5*(COLUMN()-7))</f>
        <v>2.99</v>
      </c>
      <c r="AF87" s="1468">
        <f ca="1">OFFSET('VVP1'!$G$86,0,5*(COLUMN()-7))</f>
        <v>2.99</v>
      </c>
    </row>
    <row r="88" spans="1:32">
      <c r="A88" s="1170"/>
      <c r="C88" s="1016" t="s">
        <v>1791</v>
      </c>
      <c r="D88" s="1161"/>
      <c r="E88" s="1162" t="s">
        <v>1821</v>
      </c>
      <c r="F88" s="1161" t="s">
        <v>1638</v>
      </c>
      <c r="G88" s="1163"/>
      <c r="H88" s="1163">
        <f>+(H82/G82-1)*100</f>
        <v>4.8045048294636183</v>
      </c>
      <c r="I88" s="1163">
        <f t="shared" ref="I88:AC88" si="86">+(I82/H82-1)*100</f>
        <v>13.534050047945545</v>
      </c>
      <c r="J88" s="1163">
        <f t="shared" si="86"/>
        <v>8.5920176188416075</v>
      </c>
      <c r="K88" s="1163">
        <f t="shared" si="86"/>
        <v>6.3418248930507293</v>
      </c>
      <c r="L88" s="1163">
        <f t="shared" si="86"/>
        <v>11.747955234444385</v>
      </c>
      <c r="M88" s="1163">
        <f t="shared" si="86"/>
        <v>-2.2511076593602075</v>
      </c>
      <c r="N88" s="1163">
        <f t="shared" si="86"/>
        <v>2.288567107184214</v>
      </c>
      <c r="O88" s="1163">
        <f t="shared" si="86"/>
        <v>4.8713156445337802</v>
      </c>
      <c r="P88" s="1163">
        <f t="shared" si="86"/>
        <v>11.207407545979242</v>
      </c>
      <c r="Q88" s="1163">
        <f t="shared" si="86"/>
        <v>5.7885898929463941</v>
      </c>
      <c r="R88" s="1163">
        <f t="shared" si="86"/>
        <v>8.501451542137195</v>
      </c>
      <c r="S88" s="1163">
        <f t="shared" si="86"/>
        <v>2.855411247593076</v>
      </c>
      <c r="T88" s="1163">
        <f t="shared" si="86"/>
        <v>0.78071377951367538</v>
      </c>
      <c r="U88" s="1163">
        <f t="shared" si="86"/>
        <v>-18.739947502309008</v>
      </c>
      <c r="V88" s="1163">
        <f t="shared" si="86"/>
        <v>15.784702388624616</v>
      </c>
      <c r="W88" s="1163">
        <f t="shared" si="86"/>
        <v>6.8443516348343669</v>
      </c>
      <c r="X88" s="1163">
        <f t="shared" si="86"/>
        <v>0.26255010317264293</v>
      </c>
      <c r="Y88" s="1163">
        <f t="shared" si="86"/>
        <v>-2.8802447919689111</v>
      </c>
      <c r="Z88" s="1163">
        <f t="shared" si="86"/>
        <v>3.1434433908073434</v>
      </c>
      <c r="AA88" s="1163">
        <f t="shared" si="86"/>
        <v>3.5191695773266085</v>
      </c>
      <c r="AB88" s="1163">
        <f t="shared" si="86"/>
        <v>2.3123418411364671</v>
      </c>
      <c r="AC88" s="1163">
        <f t="shared" si="86"/>
        <v>4.9543854790373931</v>
      </c>
      <c r="AD88" s="1471">
        <f ca="1">OFFSET('VVP1'!$G$87,0,5*(COLUMN()-7))</f>
        <v>3.55</v>
      </c>
      <c r="AE88" s="1471">
        <f ca="1">OFFSET('VVP1'!$G$87,0,5*(COLUMN()-7))</f>
        <v>3.35</v>
      </c>
      <c r="AF88" s="1471">
        <f ca="1">OFFSET('VVP1'!$G$87,0,5*(COLUMN()-7))</f>
        <v>3.02</v>
      </c>
    </row>
    <row r="89" spans="1:32">
      <c r="A89" s="701"/>
      <c r="B89" s="701"/>
      <c r="C89" s="731" t="s">
        <v>1793</v>
      </c>
      <c r="D89" s="1137"/>
      <c r="E89" s="1518" t="s">
        <v>1822</v>
      </c>
      <c r="F89" s="1524" t="s">
        <v>1748</v>
      </c>
      <c r="G89" s="1139"/>
      <c r="H89" s="1139">
        <f>+(H83/G83-1)*100</f>
        <v>4.1269050300589916</v>
      </c>
      <c r="I89" s="1139">
        <f t="shared" ref="I89:AC89" si="87">+(I83/H83-1)*100</f>
        <v>13.878783938864592</v>
      </c>
      <c r="J89" s="1139">
        <f t="shared" si="87"/>
        <v>8.935827998907552</v>
      </c>
      <c r="K89" s="1139">
        <f t="shared" si="87"/>
        <v>7.2172776488465651</v>
      </c>
      <c r="L89" s="1139">
        <f t="shared" si="87"/>
        <v>11.698217559453994</v>
      </c>
      <c r="M89" s="1139">
        <f t="shared" si="87"/>
        <v>0.69665013831305966</v>
      </c>
      <c r="N89" s="1139">
        <f t="shared" si="87"/>
        <v>1.3174075218694625</v>
      </c>
      <c r="O89" s="1139">
        <f t="shared" si="87"/>
        <v>4.1609718978245391</v>
      </c>
      <c r="P89" s="1139">
        <f t="shared" si="87"/>
        <v>10.734866587775315</v>
      </c>
      <c r="Q89" s="1139">
        <f t="shared" si="87"/>
        <v>6.6288945304860514</v>
      </c>
      <c r="R89" s="1139">
        <f t="shared" si="87"/>
        <v>8.6622715434560469</v>
      </c>
      <c r="S89" s="1139">
        <f t="shared" si="87"/>
        <v>4.4787470485628367</v>
      </c>
      <c r="T89" s="1139">
        <f t="shared" si="87"/>
        <v>1.9858556821547024</v>
      </c>
      <c r="U89" s="1139">
        <f t="shared" si="87"/>
        <v>-14.485194249141642</v>
      </c>
      <c r="V89" s="1139">
        <f t="shared" si="87"/>
        <v>11.94244079217588</v>
      </c>
      <c r="W89" s="1139">
        <f t="shared" si="87"/>
        <v>6.1013633377539733</v>
      </c>
      <c r="X89" s="1139">
        <f t="shared" si="87"/>
        <v>0.98140314638672788</v>
      </c>
      <c r="Y89" s="1139">
        <f t="shared" si="87"/>
        <v>-0.77263397483547935</v>
      </c>
      <c r="Z89" s="1139">
        <f t="shared" si="87"/>
        <v>5.25726700200706</v>
      </c>
      <c r="AA89" s="1139">
        <f t="shared" si="87"/>
        <v>5.684667594510695</v>
      </c>
      <c r="AB89" s="1139">
        <f t="shared" si="87"/>
        <v>2.9675058425944201</v>
      </c>
      <c r="AC89" s="1139">
        <f t="shared" si="87"/>
        <v>3.233987457803722</v>
      </c>
      <c r="AD89" s="1514">
        <f ca="1">IF(UPPER('VVP1'!$F$2)="Y",OFFSET('VVP1'!$G$88,0,5*(COLUMN()-7)),('VVP2'!AD83/'VVP2'!AC83-1)*100)</f>
        <v>3.4379257614164382</v>
      </c>
      <c r="AE89" s="1514">
        <f ca="1">IF(UPPER('VVP1'!$F$2)="Y",OFFSET('VVP1'!$G$88,0,5*(COLUMN()-7)),('VVP2'!AE83/'VVP2'!AD83-1)*100)</f>
        <v>3.2390742576303477</v>
      </c>
      <c r="AF89" s="1514">
        <f ca="1">IF(UPPER('VVP1'!$F$2)="Y",OFFSET('VVP1'!$G$88,0,5*(COLUMN()-7)),('VVP2'!AF83/'VVP2'!AE83-1)*100)</f>
        <v>3.0107866005557815</v>
      </c>
    </row>
    <row r="91" spans="1:32">
      <c r="A91" s="1170"/>
      <c r="D91" s="1215"/>
      <c r="E91" s="1169" t="s">
        <v>376</v>
      </c>
      <c r="F91" s="1216"/>
      <c r="G91" s="744">
        <f>+InputY!$G$3</f>
        <v>1995</v>
      </c>
      <c r="H91" s="744">
        <f>+G91+1</f>
        <v>1996</v>
      </c>
      <c r="I91" s="744">
        <f t="shared" ref="I91:O91" si="88">+H91+1</f>
        <v>1997</v>
      </c>
      <c r="J91" s="744">
        <f t="shared" si="88"/>
        <v>1998</v>
      </c>
      <c r="K91" s="744">
        <f t="shared" si="88"/>
        <v>1999</v>
      </c>
      <c r="L91" s="744">
        <f t="shared" si="88"/>
        <v>2000</v>
      </c>
      <c r="M91" s="744">
        <f t="shared" si="88"/>
        <v>2001</v>
      </c>
      <c r="N91" s="744">
        <f t="shared" si="88"/>
        <v>2002</v>
      </c>
      <c r="O91" s="744">
        <f t="shared" si="88"/>
        <v>2003</v>
      </c>
      <c r="P91" s="744">
        <f>+O91+1</f>
        <v>2004</v>
      </c>
      <c r="Q91" s="744">
        <f>+P91+1</f>
        <v>2005</v>
      </c>
      <c r="R91" s="744">
        <f>+Q91+1</f>
        <v>2006</v>
      </c>
      <c r="S91" s="744">
        <f>+R91+1</f>
        <v>2007</v>
      </c>
      <c r="T91" s="744">
        <f t="shared" ref="T91:AF91" si="89">+S91+1</f>
        <v>2008</v>
      </c>
      <c r="U91" s="744">
        <f t="shared" si="89"/>
        <v>2009</v>
      </c>
      <c r="V91" s="744">
        <f t="shared" si="89"/>
        <v>2010</v>
      </c>
      <c r="W91" s="744">
        <f t="shared" si="89"/>
        <v>2011</v>
      </c>
      <c r="X91" s="744">
        <f t="shared" si="89"/>
        <v>2012</v>
      </c>
      <c r="Y91" s="744">
        <f t="shared" si="89"/>
        <v>2013</v>
      </c>
      <c r="Z91" s="744">
        <f t="shared" si="89"/>
        <v>2014</v>
      </c>
      <c r="AA91" s="744">
        <f t="shared" si="89"/>
        <v>2015</v>
      </c>
      <c r="AB91" s="744">
        <f t="shared" si="89"/>
        <v>2016</v>
      </c>
      <c r="AC91" s="744">
        <f t="shared" si="89"/>
        <v>2017</v>
      </c>
      <c r="AD91" s="744">
        <f t="shared" si="89"/>
        <v>2018</v>
      </c>
      <c r="AE91" s="744">
        <f t="shared" si="89"/>
        <v>2019</v>
      </c>
      <c r="AF91" s="744">
        <f t="shared" si="89"/>
        <v>2020</v>
      </c>
    </row>
    <row r="92" spans="1:32" ht="12.75">
      <c r="A92" s="701"/>
      <c r="C92" s="1119" t="s">
        <v>1791</v>
      </c>
      <c r="D92" s="1098"/>
      <c r="E92" s="1078" t="s">
        <v>1240</v>
      </c>
      <c r="F92" s="1098"/>
      <c r="G92" s="1124">
        <f>+G72</f>
        <v>2371.9117322999996</v>
      </c>
      <c r="H92" s="1124">
        <f t="shared" ref="H92:O92" si="90">+H72</f>
        <v>2398.2487856600001</v>
      </c>
      <c r="I92" s="1124">
        <f t="shared" si="90"/>
        <v>2439.5957053100001</v>
      </c>
      <c r="J92" s="1124">
        <f t="shared" si="90"/>
        <v>2555.0891264300003</v>
      </c>
      <c r="K92" s="1124">
        <f t="shared" si="90"/>
        <v>2645.1973855800002</v>
      </c>
      <c r="L92" s="1124">
        <f t="shared" si="90"/>
        <v>2759.3653767199999</v>
      </c>
      <c r="M92" s="1124">
        <f t="shared" si="90"/>
        <v>2777.2720483900002</v>
      </c>
      <c r="N92" s="1124">
        <f t="shared" si="90"/>
        <v>2807.7605359100003</v>
      </c>
      <c r="O92" s="1124">
        <f t="shared" si="90"/>
        <v>2866.9647028299996</v>
      </c>
      <c r="P92" s="1124">
        <f t="shared" ref="P92:X92" si="91">+P72</f>
        <v>2934.0445791500001</v>
      </c>
      <c r="Q92" s="1124">
        <f t="shared" si="91"/>
        <v>3011.6365293600002</v>
      </c>
      <c r="R92" s="1124">
        <f t="shared" si="91"/>
        <v>3138.4807730500002</v>
      </c>
      <c r="S92" s="1124">
        <f t="shared" si="91"/>
        <v>3286.1435925999999</v>
      </c>
      <c r="T92" s="1124">
        <f t="shared" si="91"/>
        <v>3287.8751941300002</v>
      </c>
      <c r="U92" s="1124">
        <f t="shared" si="91"/>
        <v>3143.65361553</v>
      </c>
      <c r="V92" s="1124">
        <f t="shared" si="91"/>
        <v>3331.3670000000002</v>
      </c>
      <c r="W92" s="1124">
        <f t="shared" si="91"/>
        <v>3431.8361199999999</v>
      </c>
      <c r="X92" s="1124">
        <f t="shared" si="91"/>
        <v>3411.88758934</v>
      </c>
      <c r="Y92" s="1124">
        <f t="shared" ref="Y92:AA92" si="92">+Y72</f>
        <v>3467.4035337400001</v>
      </c>
      <c r="Z92" s="1124">
        <f t="shared" si="92"/>
        <v>3567.8682586300001</v>
      </c>
      <c r="AA92" s="1124">
        <f t="shared" si="92"/>
        <v>3718.2079438700002</v>
      </c>
      <c r="AB92" s="1124">
        <f t="shared" ref="AB92" si="93">+AB72</f>
        <v>3838.73047107</v>
      </c>
      <c r="AC92" s="1124">
        <f t="shared" ref="AC92" si="94">+AC72</f>
        <v>3942.25846989</v>
      </c>
      <c r="AD92" s="1124">
        <f ca="1">+AD72</f>
        <v>4039.0251996030734</v>
      </c>
      <c r="AE92" s="1124">
        <f ca="1">+AE72</f>
        <v>4107.3593258518076</v>
      </c>
      <c r="AF92" s="1124">
        <f ca="1">+AF72</f>
        <v>4180.5884026949598</v>
      </c>
    </row>
    <row r="93" spans="1:32" ht="12.75" customHeight="1">
      <c r="A93" s="701"/>
      <c r="C93" s="1121" t="s">
        <v>1791</v>
      </c>
      <c r="D93" s="1117"/>
      <c r="E93" s="1079" t="s">
        <v>1822</v>
      </c>
      <c r="F93" s="1117" t="s">
        <v>1748</v>
      </c>
      <c r="G93" s="1125">
        <f>+G83</f>
        <v>755.63308999999992</v>
      </c>
      <c r="H93" s="1125">
        <f t="shared" ref="H93:O93" si="95">+H83</f>
        <v>786.81735000000003</v>
      </c>
      <c r="I93" s="1125">
        <f t="shared" si="95"/>
        <v>896.01803000000007</v>
      </c>
      <c r="J93" s="1125">
        <f t="shared" si="95"/>
        <v>976.08465999999999</v>
      </c>
      <c r="K93" s="1125">
        <f t="shared" si="95"/>
        <v>1046.5314000000001</v>
      </c>
      <c r="L93" s="1125">
        <f t="shared" si="95"/>
        <v>1168.9569199999999</v>
      </c>
      <c r="M93" s="1125">
        <f t="shared" si="95"/>
        <v>1177.1004599999999</v>
      </c>
      <c r="N93" s="1125">
        <f t="shared" si="95"/>
        <v>1192.6076699999999</v>
      </c>
      <c r="O93" s="1125">
        <f t="shared" si="95"/>
        <v>1242.2317399999999</v>
      </c>
      <c r="P93" s="1125">
        <f t="shared" ref="P93:Z93" si="96">+P83</f>
        <v>1375.58366</v>
      </c>
      <c r="Q93" s="1125">
        <f t="shared" si="96"/>
        <v>1466.76965</v>
      </c>
      <c r="R93" s="1125">
        <f t="shared" si="96"/>
        <v>1593.8252199999999</v>
      </c>
      <c r="S93" s="1125">
        <f t="shared" si="96"/>
        <v>1665.2086200000001</v>
      </c>
      <c r="T93" s="1125">
        <f t="shared" si="96"/>
        <v>1698.2772600000001</v>
      </c>
      <c r="U93" s="1125">
        <f t="shared" si="96"/>
        <v>1452.2784999999999</v>
      </c>
      <c r="V93" s="1125">
        <f t="shared" si="96"/>
        <v>1625.7159999999999</v>
      </c>
      <c r="W93" s="1125">
        <f t="shared" si="96"/>
        <v>1724.9068400000001</v>
      </c>
      <c r="X93" s="1125">
        <f t="shared" si="96"/>
        <v>1741.8351299999999</v>
      </c>
      <c r="Y93" s="1125">
        <f>+Y83</f>
        <v>1728.3771200000001</v>
      </c>
      <c r="Z93" s="1125">
        <f t="shared" si="96"/>
        <v>1819.24252</v>
      </c>
      <c r="AA93" s="1125">
        <f t="shared" ref="AA93:AB93" si="97">+AA83</f>
        <v>1922.66041</v>
      </c>
      <c r="AB93" s="1125">
        <f t="shared" si="97"/>
        <v>1979.7154699999999</v>
      </c>
      <c r="AC93" s="1125">
        <f t="shared" ref="AC93" si="98">+AC83</f>
        <v>2043.7392199999999</v>
      </c>
      <c r="AD93" s="1125">
        <f ca="1">+AD83</f>
        <v>2114.0014571405513</v>
      </c>
      <c r="AE93" s="1125">
        <f ca="1">+AE83</f>
        <v>2182.4755341447212</v>
      </c>
      <c r="AF93" s="1125">
        <f ca="1">+AF83</f>
        <v>2248.1852150871587</v>
      </c>
    </row>
    <row r="94" spans="1:32">
      <c r="A94" s="701">
        <f>+ROW(InputY!A43)</f>
        <v>43</v>
      </c>
      <c r="B94" s="701"/>
      <c r="C94" s="731" t="s">
        <v>1793</v>
      </c>
      <c r="D94" s="1217"/>
      <c r="E94" s="1509" t="s">
        <v>376</v>
      </c>
      <c r="F94" s="1508"/>
      <c r="G94" s="1224">
        <f>+InputY!G43/1000</f>
        <v>3098.36701533</v>
      </c>
      <c r="H94" s="1224">
        <f>+InputY!H43/1000</f>
        <v>3159.7326949600001</v>
      </c>
      <c r="I94" s="1224">
        <f>+InputY!I43/1000</f>
        <v>3322.37760334</v>
      </c>
      <c r="J94" s="1224">
        <f>+InputY!J43/1000</f>
        <v>3521.6264047699997</v>
      </c>
      <c r="K94" s="1224">
        <f>+InputY!K43/1000</f>
        <v>3685.3562539899999</v>
      </c>
      <c r="L94" s="1224">
        <f>+InputY!L43/1000</f>
        <v>3927.0627069299999</v>
      </c>
      <c r="M94" s="1224">
        <f>+InputY!M43/1000</f>
        <v>3953.1441571</v>
      </c>
      <c r="N94" s="1224">
        <f>+InputY!N43/1000</f>
        <v>3999.3003827300004</v>
      </c>
      <c r="O94" s="1224">
        <f>+InputY!O43/1000</f>
        <v>4109.0447382100001</v>
      </c>
      <c r="P94" s="1224">
        <f>+InputY!P43/1000</f>
        <v>4310.5512569599996</v>
      </c>
      <c r="Q94" s="1224">
        <f>+InputY!Q43/1000</f>
        <v>4479.4269087399998</v>
      </c>
      <c r="R94" s="1224">
        <f>+InputY!R43/1000</f>
        <v>4733.9711159300005</v>
      </c>
      <c r="S94" s="1224">
        <f>+InputY!S43/1000</f>
        <v>4953.0338645499996</v>
      </c>
      <c r="T94" s="1224">
        <f>+InputY!T43/1000</f>
        <v>4988.3219456799998</v>
      </c>
      <c r="U94" s="1224">
        <f>+InputY!U43/1000</f>
        <v>4594.8445562100005</v>
      </c>
      <c r="V94" s="1224">
        <f>+InputY!V43/1000</f>
        <v>4957.0829999999996</v>
      </c>
      <c r="W94" s="1224">
        <f>+InputY!W43/1000</f>
        <v>5156.7429599999996</v>
      </c>
      <c r="X94" s="1224">
        <f>+InputY!X43/1000</f>
        <v>5153.24117217</v>
      </c>
      <c r="Y94" s="1224">
        <f>+InputY!Y43/1000</f>
        <v>5196.6072168800001</v>
      </c>
      <c r="Z94" s="1224">
        <f>+InputY!Z43/1000</f>
        <v>5385.7062799599998</v>
      </c>
      <c r="AA94" s="1224">
        <f>+InputY!AA43/1000</f>
        <v>5637.9785709400003</v>
      </c>
      <c r="AB94" s="1224">
        <f>+InputY!AB43/1000</f>
        <v>5815.7302751099996</v>
      </c>
      <c r="AC94" s="1224">
        <f>+InputY!AC43/1000</f>
        <v>5982.48400339</v>
      </c>
      <c r="AD94" s="1512">
        <f ca="1">IF(UPPER('VVP1'!$F$2)="Y",+AC94*(1+AD100/100),+AD92+AD93)</f>
        <v>6148.163767089779</v>
      </c>
      <c r="AE94" s="1512">
        <f ca="1">IF(UPPER('VVP1'!$F$2)="Y",+AD94*(1+AE100/100),+AE92+AE93)</f>
        <v>6283.3023797523792</v>
      </c>
      <c r="AF94" s="1512">
        <f ca="1">IF(UPPER('VVP1'!$F$2)="Y",+AE94*(1+AF100/100),+AF92+AF93)</f>
        <v>6420.8550046006676</v>
      </c>
    </row>
    <row r="95" spans="1:32" s="736" customFormat="1" ht="12.75" customHeight="1">
      <c r="A95" s="701"/>
      <c r="B95" s="701"/>
      <c r="C95" s="811"/>
      <c r="D95" s="2033"/>
      <c r="E95" s="2033" t="s">
        <v>90</v>
      </c>
      <c r="F95" s="2033"/>
      <c r="G95" s="1040"/>
      <c r="H95" s="1040">
        <f ca="1">ABS(IF('VVP1'!$F$2="Y",OFFSET('VVP1'!$G$14,0,5*(COLUMN()-7)+1)-OFFSET('VVP1'!$G$88,0,5*(COLUMN()-7)+1)-OFFSET('VVP1'!$G$12,0,5*(COLUMN()-7)+1),ABS(H94-H92-H93)))</f>
        <v>6.4565028878860176E-9</v>
      </c>
      <c r="I95" s="1040">
        <f ca="1">ABS(IF('VVP1'!$F$2="Y",OFFSET('VVP1'!$G$14,0,5*(COLUMN()-7)+1)-OFFSET('VVP1'!$G$88,0,5*(COLUMN()-7)+1)-OFFSET('VVP1'!$G$12,0,5*(COLUMN()-7)+1),ABS(I94-I92-I93)))</f>
        <v>2.5465851649641991E-10</v>
      </c>
      <c r="J95" s="1040">
        <f ca="1">ABS(IF('VVP1'!$F$2="Y",OFFSET('VVP1'!$G$14,0,5*(COLUMN()-7)+1)-OFFSET('VVP1'!$G$88,0,5*(COLUMN()-7)+1)-OFFSET('VVP1'!$G$12,0,5*(COLUMN()-7)+1),ABS(J94-J92-J93)))</f>
        <v>1.7453203327022493E-9</v>
      </c>
      <c r="K95" s="1040">
        <f ca="1">ABS(IF('VVP1'!$F$2="Y",OFFSET('VVP1'!$G$14,0,5*(COLUMN()-7)+1)-OFFSET('VVP1'!$G$88,0,5*(COLUMN()-7)+1)-OFFSET('VVP1'!$G$12,0,5*(COLUMN()-7)+1),ABS(K94-K92-K93)))</f>
        <v>5.3355506679508835E-9</v>
      </c>
      <c r="L95" s="1040">
        <f ca="1">ABS(IF('VVP1'!$F$2="Y",OFFSET('VVP1'!$G$14,0,5*(COLUMN()-7)+1)-OFFSET('VVP1'!$G$88,0,5*(COLUMN()-7)+1)-OFFSET('VVP1'!$G$12,0,5*(COLUMN()-7)+1),ABS(L94-L92-L93)))</f>
        <v>3.9763108361512423E-9</v>
      </c>
      <c r="M95" s="1040">
        <f ca="1">ABS(IF('VVP1'!$F$2="Y",OFFSET('VVP1'!$G$14,0,5*(COLUMN()-7)+1)-OFFSET('VVP1'!$G$88,0,5*(COLUMN()-7)+1)-OFFSET('VVP1'!$G$12,0,5*(COLUMN()-7)+1),ABS(M94-M92-M93)))</f>
        <v>1.32467903313227E-9</v>
      </c>
      <c r="N95" s="1040">
        <f ca="1">ABS(IF('VVP1'!$F$2="Y",OFFSET('VVP1'!$G$14,0,5*(COLUMN()-7)+1)-OFFSET('VVP1'!$G$88,0,5*(COLUMN()-7)+1)-OFFSET('VVP1'!$G$12,0,5*(COLUMN()-7)+1),ABS(N94-N92-N93)))</f>
        <v>1.3733369996771216E-9</v>
      </c>
      <c r="O95" s="1040">
        <f ca="1">ABS(IF('VVP1'!$F$2="Y",OFFSET('VVP1'!$G$14,0,5*(COLUMN()-7)+1)-OFFSET('VVP1'!$G$88,0,5*(COLUMN()-7)+1)-OFFSET('VVP1'!$G$12,0,5*(COLUMN()-7)+1),ABS(O94-O92-O93)))</f>
        <v>2.5988811103161424E-9</v>
      </c>
      <c r="P95" s="1040">
        <f ca="1">ABS(IF('VVP1'!$F$2="Y",OFFSET('VVP1'!$G$14,0,5*(COLUMN()-7)+1)-OFFSET('VVP1'!$G$88,0,5*(COLUMN()-7)+1)-OFFSET('VVP1'!$G$12,0,5*(COLUMN()-7)+1),ABS(P94-P92-P93)))</f>
        <v>6.5247149905189872E-9</v>
      </c>
      <c r="Q95" s="1040">
        <f ca="1">ABS(IF('VVP1'!$F$2="Y",OFFSET('VVP1'!$G$14,0,5*(COLUMN()-7)+1)-OFFSET('VVP1'!$G$88,0,5*(COLUMN()-7)+1)-OFFSET('VVP1'!$G$12,0,5*(COLUMN()-7)+1),ABS(Q94-Q92-Q93)))</f>
        <v>7.8694029070902616E-9</v>
      </c>
      <c r="R95" s="1040">
        <f ca="1">ABS(IF('VVP1'!$F$2="Y",OFFSET('VVP1'!$G$14,0,5*(COLUMN()-7)+1)-OFFSET('VVP1'!$G$88,0,5*(COLUMN()-7)+1)-OFFSET('VVP1'!$G$12,0,5*(COLUMN()-7)+1),ABS(R94-R92-R93)))</f>
        <v>8.9085006038658321E-9</v>
      </c>
      <c r="S95" s="1040">
        <f ca="1">ABS(IF('VVP1'!$F$2="Y",OFFSET('VVP1'!$G$14,0,5*(COLUMN()-7)+1)-OFFSET('VVP1'!$G$88,0,5*(COLUMN()-7)+1)-OFFSET('VVP1'!$G$12,0,5*(COLUMN()-7)+1),ABS(S94-S92-S93)))</f>
        <v>7.1568138082511723E-9</v>
      </c>
      <c r="T95" s="1040">
        <f ca="1">ABS(IF('VVP1'!$F$2="Y",OFFSET('VVP1'!$G$14,0,5*(COLUMN()-7)+1)-OFFSET('VVP1'!$G$88,0,5*(COLUMN()-7)+1)-OFFSET('VVP1'!$G$12,0,5*(COLUMN()-7)+1),ABS(T94-T92-T93)))</f>
        <v>6.6984284785576165E-9</v>
      </c>
      <c r="U95" s="1040">
        <f ca="1">ABS(IF('VVP1'!$F$2="Y",OFFSET('VVP1'!$G$14,0,5*(COLUMN()-7)+1)-OFFSET('VVP1'!$G$88,0,5*(COLUMN()-7)+1)-OFFSET('VVP1'!$G$12,0,5*(COLUMN()-7)+1),ABS(U94-U92-U93)))</f>
        <v>3.4265212889295071E-9</v>
      </c>
      <c r="V95" s="1040">
        <f ca="1">ABS(IF('VVP1'!$F$2="Y",OFFSET('VVP1'!$G$14,0,5*(COLUMN()-7)+1)-OFFSET('VVP1'!$G$88,0,5*(COLUMN()-7)+1)-OFFSET('VVP1'!$G$12,0,5*(COLUMN()-7)+1),ABS(V94-V92-V93)))</f>
        <v>6.8680492404382676E-9</v>
      </c>
      <c r="W95" s="1040">
        <f ca="1">ABS(IF('VVP1'!$F$2="Y",OFFSET('VVP1'!$G$14,0,5*(COLUMN()-7)+1)-OFFSET('VVP1'!$G$88,0,5*(COLUMN()-7)+1)-OFFSET('VVP1'!$G$12,0,5*(COLUMN()-7)+1),ABS(W94-W92-W93)))</f>
        <v>0</v>
      </c>
      <c r="X95" s="1040">
        <f ca="1">ABS(IF('VVP1'!$F$2="Y",OFFSET('VVP1'!$G$14,0,5*(COLUMN()-7)+1)-OFFSET('VVP1'!$G$88,0,5*(COLUMN()-7)+1)-OFFSET('VVP1'!$G$12,0,5*(COLUMN()-7)+1),ABS(X94-X92-X93)))</f>
        <v>1.5811565390322357E-9</v>
      </c>
      <c r="Y95" s="1040">
        <f ca="1">ABS(IF('VVP1'!$F$2="Y",OFFSET('VVP1'!$G$14,0,5*(COLUMN()-7)+1)-OFFSET('VVP1'!$G$88,0,5*(COLUMN()-7)+1)-OFFSET('VVP1'!$G$12,0,5*(COLUMN()-7)+1),ABS(Y94-Y92-Y93)))</f>
        <v>3.3242031349800527E-9</v>
      </c>
      <c r="Z95" s="2999">
        <f ca="1">ABS(IF('VVP1'!$F$2="Y",OFFSET('VVP1'!$G$14,0,5*(COLUMN()-7)+1)-OFFSET('VVP1'!$G$88,0,5*(COLUMN()-7)+1)-OFFSET('VVP1'!$G$12,0,5*(COLUMN()-7)+1),ABS(Z94-Z92-Z93)))</f>
        <v>5.0886228564195335E-9</v>
      </c>
      <c r="AA95" s="2999">
        <f ca="1">ABS(IF('VVP1'!$F$2="Y",OFFSET('VVP1'!$G$14,0,5*(COLUMN()-7)+1)-OFFSET('VVP1'!$G$88,0,5*(COLUMN()-7)+1)-OFFSET('VVP1'!$G$12,0,5*(COLUMN()-7)+1),ABS(AA94-AA92-AA93)))</f>
        <v>2.7453097573015839E-9</v>
      </c>
      <c r="AB95" s="2999">
        <f ca="1">ABS(IF('VVP1'!$F$2="Y",OFFSET('VVP1'!$G$14,0,5*(COLUMN()-7)+1)-OFFSET('VVP1'!$G$88,0,5*(COLUMN()-7)+1)-OFFSET('VVP1'!$G$12,0,5*(COLUMN()-7)+1),ABS(AB94-AB92-AB93)))</f>
        <v>7.122253009583801E-9</v>
      </c>
      <c r="AC95" s="2999">
        <f ca="1">ABS(IF('VVP1'!$F$2="Y",OFFSET('VVP1'!$G$14,0,5*(COLUMN()-7)+1)-OFFSET('VVP1'!$G$88,0,5*(COLUMN()-7)+1)-OFFSET('VVP1'!$G$12,0,5*(COLUMN()-7)+1),ABS(AC94-AC92-AC93)))</f>
        <v>1.5813384379725903E-8</v>
      </c>
      <c r="AD95" s="2999">
        <f ca="1">ABS(IF('VVP1'!$F$2="Y",OFFSET('VVP1'!$G$14,0,5*(COLUMN()-7)+1)-OFFSET('VVP1'!$G$88,0,5*(COLUMN()-7)+1)-OFFSET('VVP1'!$G$12,0,5*(COLUMN()-7)+1),ABS(AD94-AD92-AD93)))</f>
        <v>9.0949470177292824E-13</v>
      </c>
      <c r="AE95" s="2999">
        <f ca="1">ABS(IF('VVP1'!$F$2="Y",OFFSET('VVP1'!$G$14,0,5*(COLUMN()-7)+1)-OFFSET('VVP1'!$G$88,0,5*(COLUMN()-7)+1)-OFFSET('VVP1'!$G$12,0,5*(COLUMN()-7)+1),ABS(AE94-AE92-AE93)))</f>
        <v>0</v>
      </c>
      <c r="AF95" s="2999">
        <f ca="1">ABS(IF('VVP1'!$F$2="Y",OFFSET('VVP1'!$G$14,0,5*(COLUMN()-7)+1)-OFFSET('VVP1'!$G$88,0,5*(COLUMN()-7)+1)-OFFSET('VVP1'!$G$12,0,5*(COLUMN()-7)+1),ABS(AF94-AF92-AF93)))</f>
        <v>0</v>
      </c>
    </row>
    <row r="97" spans="1:32" s="736" customFormat="1" ht="12.75" customHeight="1">
      <c r="A97" s="701"/>
      <c r="B97" s="701"/>
      <c r="C97" s="811"/>
      <c r="D97" s="1132"/>
      <c r="E97" s="1133" t="s">
        <v>376</v>
      </c>
      <c r="F97" s="1134"/>
      <c r="G97" s="933">
        <f>+InputY!$G$3</f>
        <v>1995</v>
      </c>
      <c r="H97" s="933">
        <f>+G97+1</f>
        <v>1996</v>
      </c>
      <c r="I97" s="933">
        <f t="shared" ref="I97:O97" si="99">+H97+1</f>
        <v>1997</v>
      </c>
      <c r="J97" s="933">
        <f t="shared" si="99"/>
        <v>1998</v>
      </c>
      <c r="K97" s="933">
        <f t="shared" si="99"/>
        <v>1999</v>
      </c>
      <c r="L97" s="933">
        <f t="shared" si="99"/>
        <v>2000</v>
      </c>
      <c r="M97" s="933">
        <f t="shared" si="99"/>
        <v>2001</v>
      </c>
      <c r="N97" s="933">
        <f t="shared" si="99"/>
        <v>2002</v>
      </c>
      <c r="O97" s="933">
        <f t="shared" si="99"/>
        <v>2003</v>
      </c>
      <c r="P97" s="933">
        <f>+O97+1</f>
        <v>2004</v>
      </c>
      <c r="Q97" s="933">
        <f>+P97+1</f>
        <v>2005</v>
      </c>
      <c r="R97" s="933">
        <f>+Q97+1</f>
        <v>2006</v>
      </c>
      <c r="S97" s="933">
        <f>+R97+1</f>
        <v>2007</v>
      </c>
      <c r="T97" s="933">
        <f t="shared" ref="T97:AF97" si="100">+S97+1</f>
        <v>2008</v>
      </c>
      <c r="U97" s="933">
        <f t="shared" si="100"/>
        <v>2009</v>
      </c>
      <c r="V97" s="933">
        <f t="shared" si="100"/>
        <v>2010</v>
      </c>
      <c r="W97" s="933">
        <f t="shared" si="100"/>
        <v>2011</v>
      </c>
      <c r="X97" s="933">
        <f t="shared" si="100"/>
        <v>2012</v>
      </c>
      <c r="Y97" s="933">
        <f t="shared" si="100"/>
        <v>2013</v>
      </c>
      <c r="Z97" s="933">
        <f t="shared" si="100"/>
        <v>2014</v>
      </c>
      <c r="AA97" s="933">
        <f t="shared" si="100"/>
        <v>2015</v>
      </c>
      <c r="AB97" s="933">
        <f t="shared" si="100"/>
        <v>2016</v>
      </c>
      <c r="AC97" s="933">
        <f t="shared" si="100"/>
        <v>2017</v>
      </c>
      <c r="AD97" s="933">
        <f t="shared" si="100"/>
        <v>2018</v>
      </c>
      <c r="AE97" s="933">
        <f t="shared" si="100"/>
        <v>2019</v>
      </c>
      <c r="AF97" s="933">
        <f t="shared" si="100"/>
        <v>2020</v>
      </c>
    </row>
    <row r="98" spans="1:32" s="736" customFormat="1" ht="12.75" customHeight="1">
      <c r="A98" s="701"/>
      <c r="B98" s="701"/>
      <c r="C98" s="831" t="s">
        <v>1791</v>
      </c>
      <c r="D98" s="726"/>
      <c r="E98" s="775" t="s">
        <v>1240</v>
      </c>
      <c r="F98" s="770" t="s">
        <v>1191</v>
      </c>
      <c r="G98" s="1135"/>
      <c r="H98" s="1135">
        <f>+(H92/G92-1)*100</f>
        <v>1.1103724055727016</v>
      </c>
      <c r="I98" s="1135">
        <f t="shared" ref="I98:Y98" si="101">+(I92/H92-1)*100</f>
        <v>1.7240463081740431</v>
      </c>
      <c r="J98" s="1135">
        <f t="shared" si="101"/>
        <v>4.7341213492308798</v>
      </c>
      <c r="K98" s="1135">
        <f t="shared" si="101"/>
        <v>3.5266190215407445</v>
      </c>
      <c r="L98" s="1135">
        <f t="shared" si="101"/>
        <v>4.3160480863308592</v>
      </c>
      <c r="M98" s="1135">
        <f t="shared" si="101"/>
        <v>0.6489416668439052</v>
      </c>
      <c r="N98" s="1135">
        <f t="shared" si="101"/>
        <v>1.0977854163647605</v>
      </c>
      <c r="O98" s="1135">
        <f t="shared" si="101"/>
        <v>2.1085903218171387</v>
      </c>
      <c r="P98" s="1135">
        <f t="shared" si="101"/>
        <v>2.3397524306380646</v>
      </c>
      <c r="Q98" s="1135">
        <f t="shared" si="101"/>
        <v>2.6445388990128604</v>
      </c>
      <c r="R98" s="1135">
        <f t="shared" si="101"/>
        <v>4.2118045273197513</v>
      </c>
      <c r="S98" s="1135">
        <f t="shared" si="101"/>
        <v>4.7049139449243826</v>
      </c>
      <c r="T98" s="1135">
        <f t="shared" si="101"/>
        <v>5.2694031201183655E-2</v>
      </c>
      <c r="U98" s="1135">
        <f t="shared" si="101"/>
        <v>-4.3864675538014879</v>
      </c>
      <c r="V98" s="1135">
        <f t="shared" si="101"/>
        <v>5.9711853603296117</v>
      </c>
      <c r="W98" s="1135">
        <f t="shared" si="101"/>
        <v>3.0158526514791006</v>
      </c>
      <c r="X98" s="1135">
        <f t="shared" si="101"/>
        <v>-0.58127864975090482</v>
      </c>
      <c r="Y98" s="1135">
        <f t="shared" si="101"/>
        <v>1.627132868428971</v>
      </c>
      <c r="Z98" s="1135">
        <f t="shared" ref="Z98:AC99" si="102">+(Z92/Y92-1)*100</f>
        <v>2.8974050442186927</v>
      </c>
      <c r="AA98" s="1135">
        <f t="shared" si="102"/>
        <v>4.2137117836780202</v>
      </c>
      <c r="AB98" s="1135">
        <f t="shared" si="102"/>
        <v>3.2414143861614342</v>
      </c>
      <c r="AC98" s="1135">
        <f t="shared" si="102"/>
        <v>2.6969332595821127</v>
      </c>
      <c r="AD98" s="1135">
        <f t="shared" ref="AD98:AF99" ca="1" si="103">+(AD92/AC92-1)*100</f>
        <v>2.4546013522998011</v>
      </c>
      <c r="AE98" s="1135">
        <f t="shared" ca="1" si="103"/>
        <v>1.6918469896015864</v>
      </c>
      <c r="AF98" s="1135">
        <f t="shared" ca="1" si="103"/>
        <v>1.782874860308592</v>
      </c>
    </row>
    <row r="99" spans="1:32" s="736" customFormat="1" ht="12.75" customHeight="1">
      <c r="A99" s="701"/>
      <c r="B99" s="701"/>
      <c r="C99" s="833" t="s">
        <v>1791</v>
      </c>
      <c r="D99" s="728"/>
      <c r="E99" s="834" t="s">
        <v>1822</v>
      </c>
      <c r="F99" s="773" t="s">
        <v>1748</v>
      </c>
      <c r="G99" s="1136"/>
      <c r="H99" s="1136">
        <f>+(H93/G93-1)*100</f>
        <v>4.1269050300589916</v>
      </c>
      <c r="I99" s="1136">
        <f t="shared" ref="I99:Y99" si="104">+(I93/H93-1)*100</f>
        <v>13.878783938864592</v>
      </c>
      <c r="J99" s="1136">
        <f t="shared" si="104"/>
        <v>8.935827998907552</v>
      </c>
      <c r="K99" s="1136">
        <f t="shared" si="104"/>
        <v>7.2172776488465651</v>
      </c>
      <c r="L99" s="1136">
        <f t="shared" si="104"/>
        <v>11.698217559453994</v>
      </c>
      <c r="M99" s="1136">
        <f t="shared" si="104"/>
        <v>0.69665013831305966</v>
      </c>
      <c r="N99" s="1136">
        <f t="shared" si="104"/>
        <v>1.3174075218694625</v>
      </c>
      <c r="O99" s="1136">
        <f t="shared" si="104"/>
        <v>4.1609718978245391</v>
      </c>
      <c r="P99" s="1136">
        <f t="shared" si="104"/>
        <v>10.734866587775315</v>
      </c>
      <c r="Q99" s="1136">
        <f t="shared" si="104"/>
        <v>6.6288945304860514</v>
      </c>
      <c r="R99" s="1136">
        <f t="shared" si="104"/>
        <v>8.6622715434560469</v>
      </c>
      <c r="S99" s="1136">
        <f t="shared" si="104"/>
        <v>4.4787470485628367</v>
      </c>
      <c r="T99" s="1136">
        <f t="shared" si="104"/>
        <v>1.9858556821547024</v>
      </c>
      <c r="U99" s="1136">
        <f t="shared" si="104"/>
        <v>-14.485194249141642</v>
      </c>
      <c r="V99" s="1136">
        <f t="shared" si="104"/>
        <v>11.94244079217588</v>
      </c>
      <c r="W99" s="1136">
        <f t="shared" si="104"/>
        <v>6.1013633377539733</v>
      </c>
      <c r="X99" s="1136">
        <f t="shared" si="104"/>
        <v>0.98140314638672788</v>
      </c>
      <c r="Y99" s="1136">
        <f t="shared" si="104"/>
        <v>-0.77263397483547935</v>
      </c>
      <c r="Z99" s="1136">
        <f t="shared" si="102"/>
        <v>5.25726700200706</v>
      </c>
      <c r="AA99" s="1136">
        <f t="shared" si="102"/>
        <v>5.684667594510695</v>
      </c>
      <c r="AB99" s="1136">
        <f t="shared" si="102"/>
        <v>2.9675058425944201</v>
      </c>
      <c r="AC99" s="1136">
        <f t="shared" si="102"/>
        <v>3.233987457803722</v>
      </c>
      <c r="AD99" s="1136">
        <f t="shared" ca="1" si="103"/>
        <v>3.4379257614164382</v>
      </c>
      <c r="AE99" s="1136">
        <f t="shared" ca="1" si="103"/>
        <v>3.2390742576303477</v>
      </c>
      <c r="AF99" s="1136">
        <f t="shared" ca="1" si="103"/>
        <v>3.0107866005557815</v>
      </c>
    </row>
    <row r="100" spans="1:32" s="736" customFormat="1" ht="12.75" customHeight="1">
      <c r="A100" s="701"/>
      <c r="B100" s="701"/>
      <c r="C100" s="811" t="s">
        <v>1793</v>
      </c>
      <c r="D100" s="754"/>
      <c r="E100" s="1516" t="s">
        <v>376</v>
      </c>
      <c r="F100" s="760" t="s">
        <v>1192</v>
      </c>
      <c r="G100" s="1139"/>
      <c r="H100" s="1139">
        <f>+(H94/G94-1)*100</f>
        <v>1.9805813619360402</v>
      </c>
      <c r="I100" s="1139">
        <f>+(I94/H94-1)*100</f>
        <v>5.1474261933431853</v>
      </c>
      <c r="J100" s="1139">
        <f t="shared" ref="J100:AC100" si="105">+(J94/I94-1)*100</f>
        <v>5.9971750721439454</v>
      </c>
      <c r="K100" s="1139">
        <f t="shared" si="105"/>
        <v>4.649267991579964</v>
      </c>
      <c r="L100" s="1139">
        <f t="shared" si="105"/>
        <v>6.5585641192303479</v>
      </c>
      <c r="M100" s="1139">
        <f t="shared" si="105"/>
        <v>0.66414651652937362</v>
      </c>
      <c r="N100" s="1139">
        <f t="shared" si="105"/>
        <v>1.1675826581507787</v>
      </c>
      <c r="O100" s="1139">
        <f t="shared" si="105"/>
        <v>2.7440888399857144</v>
      </c>
      <c r="P100" s="1139">
        <f t="shared" si="105"/>
        <v>4.9039748065089261</v>
      </c>
      <c r="Q100" s="1139">
        <f t="shared" si="105"/>
        <v>3.9177274950002339</v>
      </c>
      <c r="R100" s="1139">
        <f t="shared" si="105"/>
        <v>5.6825172589232142</v>
      </c>
      <c r="S100" s="1139">
        <f t="shared" si="105"/>
        <v>4.6274627211569719</v>
      </c>
      <c r="T100" s="1139">
        <f t="shared" si="105"/>
        <v>0.7124538635312927</v>
      </c>
      <c r="U100" s="1139">
        <f t="shared" si="105"/>
        <v>-7.8879710202097053</v>
      </c>
      <c r="V100" s="1139">
        <f t="shared" si="105"/>
        <v>7.8835842944986689</v>
      </c>
      <c r="W100" s="1139">
        <f t="shared" si="105"/>
        <v>4.0277711710697606</v>
      </c>
      <c r="X100" s="1139">
        <f t="shared" si="105"/>
        <v>-6.7906968742914575E-2</v>
      </c>
      <c r="Y100" s="1139">
        <f t="shared" si="105"/>
        <v>0.84152950077704958</v>
      </c>
      <c r="Z100" s="1139">
        <f t="shared" si="105"/>
        <v>3.6388946708489689</v>
      </c>
      <c r="AA100" s="1139">
        <f t="shared" si="105"/>
        <v>4.6841078563585103</v>
      </c>
      <c r="AB100" s="1139">
        <f t="shared" si="105"/>
        <v>3.1527559378496051</v>
      </c>
      <c r="AC100" s="1139">
        <f t="shared" si="105"/>
        <v>2.8672878622598486</v>
      </c>
      <c r="AD100" s="1514">
        <f ca="1">IF(UPPER('VVP1'!$F$2)="Y",OFFSET('VVP1'!$G$14,0,5*(COLUMN()-7)),('VVP2'!AD94/'VVP2'!AC94-1)*100)</f>
        <v>2.769414236726675</v>
      </c>
      <c r="AE100" s="1514">
        <f ca="1">IF(UPPER('VVP1'!$F$2)="Y",OFFSET('VVP1'!$G$14,0,5*(COLUMN()-7)),('VVP2'!AE94/'VVP2'!AD94-1)*100)</f>
        <v>2.198032091890223</v>
      </c>
      <c r="AF100" s="1514">
        <f ca="1">IF(UPPER('VVP1'!$F$2)="Y",OFFSET('VVP1'!$G$14,0,5*(COLUMN()-7)),('VVP2'!AF94/'VVP2'!AE94-1)*100)</f>
        <v>2.1891772277512045</v>
      </c>
    </row>
    <row r="102" spans="1:32">
      <c r="A102" s="1170"/>
      <c r="D102" s="1213"/>
      <c r="E102" s="1214" t="s">
        <v>1903</v>
      </c>
      <c r="F102" s="1210"/>
      <c r="G102" s="1208">
        <f>+InputY!$G$3</f>
        <v>1995</v>
      </c>
      <c r="H102" s="1208">
        <f>+G102+1</f>
        <v>1996</v>
      </c>
      <c r="I102" s="1208">
        <f t="shared" ref="I102:O102" si="106">+H102+1</f>
        <v>1997</v>
      </c>
      <c r="J102" s="1208">
        <f t="shared" si="106"/>
        <v>1998</v>
      </c>
      <c r="K102" s="1208">
        <f t="shared" si="106"/>
        <v>1999</v>
      </c>
      <c r="L102" s="1208">
        <f t="shared" si="106"/>
        <v>2000</v>
      </c>
      <c r="M102" s="1208">
        <f t="shared" si="106"/>
        <v>2001</v>
      </c>
      <c r="N102" s="1208">
        <f t="shared" si="106"/>
        <v>2002</v>
      </c>
      <c r="O102" s="1208">
        <f t="shared" si="106"/>
        <v>2003</v>
      </c>
      <c r="P102" s="1208">
        <f>+O102+1</f>
        <v>2004</v>
      </c>
      <c r="Q102" s="1208">
        <f>+P102+1</f>
        <v>2005</v>
      </c>
      <c r="R102" s="1208">
        <f>+Q102+1</f>
        <v>2006</v>
      </c>
      <c r="S102" s="1208">
        <f>+R102+1</f>
        <v>2007</v>
      </c>
      <c r="T102" s="1208">
        <f t="shared" ref="T102:AF102" si="107">+S102+1</f>
        <v>2008</v>
      </c>
      <c r="U102" s="1208">
        <f t="shared" si="107"/>
        <v>2009</v>
      </c>
      <c r="V102" s="1208">
        <f t="shared" si="107"/>
        <v>2010</v>
      </c>
      <c r="W102" s="1208">
        <f t="shared" si="107"/>
        <v>2011</v>
      </c>
      <c r="X102" s="1208">
        <f t="shared" si="107"/>
        <v>2012</v>
      </c>
      <c r="Y102" s="1208">
        <f t="shared" si="107"/>
        <v>2013</v>
      </c>
      <c r="Z102" s="1165">
        <f t="shared" si="107"/>
        <v>2014</v>
      </c>
      <c r="AA102" s="1165">
        <f t="shared" si="107"/>
        <v>2015</v>
      </c>
      <c r="AB102" s="1165">
        <f t="shared" si="107"/>
        <v>2016</v>
      </c>
      <c r="AC102" s="1165">
        <f t="shared" si="107"/>
        <v>2017</v>
      </c>
      <c r="AD102" s="1165">
        <f t="shared" si="107"/>
        <v>2018</v>
      </c>
      <c r="AE102" s="1165">
        <f t="shared" si="107"/>
        <v>2019</v>
      </c>
      <c r="AF102" s="1165">
        <f t="shared" si="107"/>
        <v>2020</v>
      </c>
    </row>
    <row r="103" spans="1:32">
      <c r="A103" s="701">
        <f>+ROW(InputY!A50)</f>
        <v>50</v>
      </c>
      <c r="B103" s="702" t="s">
        <v>326</v>
      </c>
      <c r="C103" s="1119" t="s">
        <v>1793</v>
      </c>
      <c r="D103" s="1098"/>
      <c r="E103" s="1078" t="s">
        <v>1823</v>
      </c>
      <c r="F103" s="1098" t="s">
        <v>971</v>
      </c>
      <c r="G103" s="1124">
        <f>+InputY!G50/1000</f>
        <v>178.36304000000001</v>
      </c>
      <c r="H103" s="1124">
        <f>+InputY!H50/1000</f>
        <v>189.27348999999998</v>
      </c>
      <c r="I103" s="1124">
        <f>+InputY!I50/1000</f>
        <v>218.75745000000001</v>
      </c>
      <c r="J103" s="1124">
        <f>+InputY!J50/1000</f>
        <v>251.19322</v>
      </c>
      <c r="K103" s="1124">
        <f>+InputY!K50/1000</f>
        <v>270.52501000000001</v>
      </c>
      <c r="L103" s="1124">
        <f>+InputY!L50/1000</f>
        <v>299.34490999999997</v>
      </c>
      <c r="M103" s="1124">
        <f>+InputY!M50/1000</f>
        <v>315.92808000000002</v>
      </c>
      <c r="N103" s="1124">
        <f>+InputY!N50/1000</f>
        <v>305.39630999999997</v>
      </c>
      <c r="O103" s="1124">
        <f>+InputY!O50/1000</f>
        <v>300.83744000000002</v>
      </c>
      <c r="P103" s="1124">
        <f>+InputY!P50/1000</f>
        <v>311.0598</v>
      </c>
      <c r="Q103" s="1124">
        <f>+InputY!Q50/1000</f>
        <v>328.86672999999996</v>
      </c>
      <c r="R103" s="1124">
        <f>+InputY!R50/1000</f>
        <v>343.36811999999998</v>
      </c>
      <c r="S103" s="1124">
        <f>+InputY!S50/1000</f>
        <v>376.69238999999999</v>
      </c>
      <c r="T103" s="1124">
        <f>+InputY!T50/1000</f>
        <v>400.3383</v>
      </c>
      <c r="U103" s="1124">
        <f>+InputY!U50/1000</f>
        <v>371.75391999999999</v>
      </c>
      <c r="V103" s="1124">
        <f>+InputY!V50/1000</f>
        <v>380.23899999999998</v>
      </c>
      <c r="W103" s="1124">
        <f>+InputY!W50/1000</f>
        <v>394.20377000000002</v>
      </c>
      <c r="X103" s="1124">
        <f>+InputY!X50/1000</f>
        <v>411.28568999999999</v>
      </c>
      <c r="Y103" s="1124">
        <f>+InputY!Y50/1000</f>
        <v>428.03694999999999</v>
      </c>
      <c r="Z103" s="1124">
        <f>+InputY!Z50/1000</f>
        <v>472.40280999999999</v>
      </c>
      <c r="AA103" s="1124">
        <f>+InputY!AA50/1000</f>
        <v>495.46224000000001</v>
      </c>
      <c r="AB103" s="1124">
        <f>+InputY!AB50/1000</f>
        <v>499.86687000000001</v>
      </c>
      <c r="AC103" s="1124">
        <f>+InputY!AC50/1000</f>
        <v>531.81220999999994</v>
      </c>
      <c r="AD103" s="1463">
        <f t="shared" ref="AD103:AF104" ca="1" si="108">+AC103*(1+AD109/100)</f>
        <v>548.03248240499988</v>
      </c>
      <c r="AE103" s="1463">
        <f t="shared" ca="1" si="108"/>
        <v>563.54180165706134</v>
      </c>
      <c r="AF103" s="1463">
        <f t="shared" ca="1" si="108"/>
        <v>581.63149349025298</v>
      </c>
    </row>
    <row r="104" spans="1:32">
      <c r="A104" s="701">
        <f>+ROW(InputY!A49)</f>
        <v>49</v>
      </c>
      <c r="B104" s="702" t="s">
        <v>327</v>
      </c>
      <c r="C104" s="1121" t="s">
        <v>1791</v>
      </c>
      <c r="D104" s="1117"/>
      <c r="E104" s="1118" t="s">
        <v>1824</v>
      </c>
      <c r="F104" s="1117" t="s">
        <v>631</v>
      </c>
      <c r="G104" s="1125">
        <f>+InputY!G49/1000</f>
        <v>518.59081000000003</v>
      </c>
      <c r="H104" s="1125">
        <f>+InputY!H49/1000</f>
        <v>532.17899999999997</v>
      </c>
      <c r="I104" s="1125">
        <f>+InputY!I49/1000</f>
        <v>592.95186000000001</v>
      </c>
      <c r="J104" s="1125">
        <f>+InputY!J49/1000</f>
        <v>652.88130000000001</v>
      </c>
      <c r="K104" s="1125">
        <f>+InputY!K49/1000</f>
        <v>680.27481999999998</v>
      </c>
      <c r="L104" s="1125">
        <f>+InputY!L49/1000</f>
        <v>762.98306000000002</v>
      </c>
      <c r="M104" s="1125">
        <f>+InputY!M49/1000</f>
        <v>729.84081000000003</v>
      </c>
      <c r="N104" s="1125">
        <f>+InputY!N49/1000</f>
        <v>726.90559999999994</v>
      </c>
      <c r="O104" s="1125">
        <f>+InputY!O49/1000</f>
        <v>770.38088000000005</v>
      </c>
      <c r="P104" s="1125">
        <f>+InputY!P49/1000</f>
        <v>830.82015000000001</v>
      </c>
      <c r="Q104" s="1125">
        <f>+InputY!Q49/1000</f>
        <v>892.85815000000002</v>
      </c>
      <c r="R104" s="1125">
        <f>+InputY!R49/1000</f>
        <v>978.61279000000002</v>
      </c>
      <c r="S104" s="1125">
        <f>+InputY!S49/1000</f>
        <v>1046.51072</v>
      </c>
      <c r="T104" s="1125">
        <f>+InputY!T49/1000</f>
        <v>1077.08178</v>
      </c>
      <c r="U104" s="1125">
        <f>+InputY!U49/1000</f>
        <v>898.52294999999992</v>
      </c>
      <c r="V104" s="1125">
        <f>+InputY!V49/1000</f>
        <v>1053.02</v>
      </c>
      <c r="W104" s="1125">
        <f>+InputY!W49/1000</f>
        <v>1144.30413</v>
      </c>
      <c r="X104" s="1125">
        <f>+InputY!X49/1000</f>
        <v>1134.5994800000001</v>
      </c>
      <c r="Y104" s="1125">
        <f>+InputY!Y49/1000</f>
        <v>1115.48181</v>
      </c>
      <c r="Z104" s="1125">
        <f>+InputY!Z49/1000</f>
        <v>1166.9024999999999</v>
      </c>
      <c r="AA104" s="1125">
        <f>+InputY!AA49/1000</f>
        <v>1229.95072</v>
      </c>
      <c r="AB104" s="1125">
        <f>+InputY!AB49/1000</f>
        <v>1302.12977</v>
      </c>
      <c r="AC104" s="1125">
        <f>+InputY!AC49/1000</f>
        <v>1354.5050900000001</v>
      </c>
      <c r="AD104" s="1387">
        <f t="shared" ca="1" si="108"/>
        <v>1408.8207441090001</v>
      </c>
      <c r="AE104" s="1387">
        <f t="shared" ca="1" si="108"/>
        <v>1456.1571211110627</v>
      </c>
      <c r="AF104" s="1387">
        <f t="shared" ca="1" si="108"/>
        <v>1501.5892232897277</v>
      </c>
    </row>
    <row r="105" spans="1:32">
      <c r="A105" s="701">
        <f>+ROW(InputY!A51)</f>
        <v>51</v>
      </c>
      <c r="B105" s="701"/>
      <c r="C105" s="731" t="s">
        <v>1793</v>
      </c>
      <c r="D105" s="1211"/>
      <c r="E105" s="1509" t="s">
        <v>1825</v>
      </c>
      <c r="F105" s="1508" t="s">
        <v>1749</v>
      </c>
      <c r="G105" s="1212">
        <f>+InputY!G51/1000</f>
        <v>699.91916000000003</v>
      </c>
      <c r="H105" s="1212">
        <f>+InputY!H51/1000</f>
        <v>724.00735999999995</v>
      </c>
      <c r="I105" s="1212">
        <f>+InputY!I51/1000</f>
        <v>814.12838999999997</v>
      </c>
      <c r="J105" s="1212">
        <f>+InputY!J51/1000</f>
        <v>906.20406000000003</v>
      </c>
      <c r="K105" s="1212">
        <f>+InputY!K51/1000</f>
        <v>952.58551</v>
      </c>
      <c r="L105" s="1212">
        <f>+InputY!L51/1000</f>
        <v>1064.50458</v>
      </c>
      <c r="M105" s="1212">
        <f>+InputY!M51/1000</f>
        <v>1046.22063</v>
      </c>
      <c r="N105" s="1212">
        <f>+InputY!N51/1000</f>
        <v>1033.0880500000001</v>
      </c>
      <c r="O105" s="1212">
        <f>+InputY!O51/1000</f>
        <v>1072.55251</v>
      </c>
      <c r="P105" s="1212">
        <f>+InputY!P51/1000</f>
        <v>1143.4001599999999</v>
      </c>
      <c r="Q105" s="1212">
        <f>+InputY!Q51/1000</f>
        <v>1223.35592</v>
      </c>
      <c r="R105" s="1212">
        <f>+InputY!R51/1000</f>
        <v>1323.9808</v>
      </c>
      <c r="S105" s="1212">
        <f>+InputY!S51/1000</f>
        <v>1425.0594699999999</v>
      </c>
      <c r="T105" s="1212">
        <f>+InputY!T51/1000</f>
        <v>1479.08863</v>
      </c>
      <c r="U105" s="1212">
        <f>+InputY!U51/1000</f>
        <v>1270.86932</v>
      </c>
      <c r="V105" s="1212">
        <f>+InputY!V51/1000</f>
        <v>1433.259</v>
      </c>
      <c r="W105" s="1212">
        <f>+InputY!W51/1000</f>
        <v>1538.5076799999999</v>
      </c>
      <c r="X105" s="1212">
        <f>+InputY!X51/1000</f>
        <v>1545.92596</v>
      </c>
      <c r="Y105" s="1212">
        <f>+InputY!Y51/1000</f>
        <v>1544.0986799999998</v>
      </c>
      <c r="Z105" s="1212">
        <f>+InputY!Z51/1000</f>
        <v>1641.0801100000001</v>
      </c>
      <c r="AA105" s="1212">
        <f>+InputY!AA51/1000</f>
        <v>1727.1312</v>
      </c>
      <c r="AB105" s="1212">
        <f>+InputY!AB51/1000</f>
        <v>1801.4898899999998</v>
      </c>
      <c r="AC105" s="1212">
        <f>+InputY!AC51/1000</f>
        <v>1887.0841599999999</v>
      </c>
      <c r="AD105" s="1515">
        <f ca="1">IF(UPPER('VVP1'!$F$2)="Y",+AC105*(1+AD111/100),+AD103+AD104)</f>
        <v>1957.1903985109789</v>
      </c>
      <c r="AE105" s="1515">
        <f ca="1">IF(UPPER('VVP1'!$F$2)="Y",+AD105*(1+AE111/100),+AE103+AE104)</f>
        <v>2019.7916896528159</v>
      </c>
      <c r="AF105" s="1515">
        <f ca="1">IF(UPPER('VVP1'!$F$2)="Y",+AE105*(1+AF111/100),+AF103+AF104)</f>
        <v>2083.3625657751418</v>
      </c>
    </row>
    <row r="106" spans="1:32" s="736" customFormat="1" ht="12.75" customHeight="1">
      <c r="A106" s="701"/>
      <c r="B106" s="701"/>
      <c r="C106" s="811"/>
      <c r="D106" s="2033"/>
      <c r="E106" s="2033" t="s">
        <v>90</v>
      </c>
      <c r="F106" s="2033"/>
      <c r="G106" s="1040"/>
      <c r="H106" s="1040">
        <f ca="1">ABS(IF('VVP1'!$F$2="Y",OFFSET('VVP1'!$G$103,0,5*(COLUMN()-7)+1)-OFFSET('VVP1'!$G$102,0,5*(COLUMN()-7)+1)-OFFSET('VVP1'!$G$101,0,5*(COLUMN()-7)+1),ABS(H105-H104-H103)))</f>
        <v>4.362508743156468E-4</v>
      </c>
      <c r="I106" s="1040">
        <f ca="1">ABS(IF('VVP1'!$F$2="Y",OFFSET('VVP1'!$G$103,0,5*(COLUMN()-7)+1)-OFFSET('VVP1'!$G$102,0,5*(COLUMN()-7)+1)-OFFSET('VVP1'!$G$101,0,5*(COLUMN()-7)+1),ABS(I105-I104-I103)))</f>
        <v>1.723827026012259E-4</v>
      </c>
      <c r="J106" s="1040">
        <f ca="1">ABS(IF('VVP1'!$F$2="Y",OFFSET('VVP1'!$G$103,0,5*(COLUMN()-7)+1)-OFFSET('VVP1'!$G$102,0,5*(COLUMN()-7)+1)-OFFSET('VVP1'!$G$101,0,5*(COLUMN()-7)+1),ABS(J105-J104-J103)))</f>
        <v>2.1448709202331884E-4</v>
      </c>
      <c r="K106" s="1040">
        <f ca="1">ABS(IF('VVP1'!$F$2="Y",OFFSET('VVP1'!$G$103,0,5*(COLUMN()-7)+1)-OFFSET('VVP1'!$G$102,0,5*(COLUMN()-7)+1)-OFFSET('VVP1'!$G$101,0,5*(COLUMN()-7)+1),ABS(K105-K104-K103)))</f>
        <v>2.7184278519598593E-4</v>
      </c>
      <c r="L106" s="1040">
        <f ca="1">ABS(IF('VVP1'!$F$2="Y",OFFSET('VVP1'!$G$103,0,5*(COLUMN()-7)+1)-OFFSET('VVP1'!$G$102,0,5*(COLUMN()-7)+1)-OFFSET('VVP1'!$G$101,0,5*(COLUMN()-7)+1),ABS(L105-L104-L103)))</f>
        <v>4.8983689239889827E-4</v>
      </c>
      <c r="M106" s="1040">
        <f ca="1">ABS(IF('VVP1'!$F$2="Y",OFFSET('VVP1'!$G$103,0,5*(COLUMN()-7)+1)-OFFSET('VVP1'!$G$102,0,5*(COLUMN()-7)+1)-OFFSET('VVP1'!$G$101,0,5*(COLUMN()-7)+1),ABS(M105-M104-M103)))</f>
        <v>2.9820347606346331E-5</v>
      </c>
      <c r="N106" s="1040">
        <f ca="1">ABS(IF('VVP1'!$F$2="Y",OFFSET('VVP1'!$G$103,0,5*(COLUMN()-7)+1)-OFFSET('VVP1'!$G$102,0,5*(COLUMN()-7)+1)-OFFSET('VVP1'!$G$101,0,5*(COLUMN()-7)+1),ABS(N105-N104-N103)))</f>
        <v>5.3087463675183244E-4</v>
      </c>
      <c r="O106" s="1040">
        <f ca="1">ABS(IF('VVP1'!$F$2="Y",OFFSET('VVP1'!$G$103,0,5*(COLUMN()-7)+1)-OFFSET('VVP1'!$G$102,0,5*(COLUMN()-7)+1)-OFFSET('VVP1'!$G$101,0,5*(COLUMN()-7)+1),ABS(O105-O104-O103)))</f>
        <v>3.2815578782674493E-4</v>
      </c>
      <c r="P106" s="1040">
        <f ca="1">ABS(IF('VVP1'!$F$2="Y",OFFSET('VVP1'!$G$103,0,5*(COLUMN()-7)+1)-OFFSET('VVP1'!$G$102,0,5*(COLUMN()-7)+1)-OFFSET('VVP1'!$G$101,0,5*(COLUMN()-7)+1),ABS(P105-P104-P103)))</f>
        <v>2.573284797335873E-5</v>
      </c>
      <c r="Q106" s="1040">
        <f ca="1">ABS(IF('VVP1'!$F$2="Y",OFFSET('VVP1'!$G$103,0,5*(COLUMN()-7)+1)-OFFSET('VVP1'!$G$102,0,5*(COLUMN()-7)+1)-OFFSET('VVP1'!$G$101,0,5*(COLUMN()-7)+1),ABS(Q105-Q104-Q103)))</f>
        <v>5.9867836381499728E-4</v>
      </c>
      <c r="R106" s="1040">
        <f ca="1">ABS(IF('VVP1'!$F$2="Y",OFFSET('VVP1'!$G$103,0,5*(COLUMN()-7)+1)-OFFSET('VVP1'!$G$102,0,5*(COLUMN()-7)+1)-OFFSET('VVP1'!$G$101,0,5*(COLUMN()-7)+1),ABS(R105-R104-R103)))</f>
        <v>5.0935963849951804E-4</v>
      </c>
      <c r="S106" s="1040">
        <f ca="1">ABS(IF('VVP1'!$F$2="Y",OFFSET('VVP1'!$G$103,0,5*(COLUMN()-7)+1)-OFFSET('VVP1'!$G$102,0,5*(COLUMN()-7)+1)-OFFSET('VVP1'!$G$101,0,5*(COLUMN()-7)+1),ABS(S105-S104-S103)))</f>
        <v>8.6579231833638914E-4</v>
      </c>
      <c r="T106" s="1040">
        <f ca="1">ABS(IF('VVP1'!$F$2="Y",OFFSET('VVP1'!$G$103,0,5*(COLUMN()-7)+1)-OFFSET('VVP1'!$G$102,0,5*(COLUMN()-7)+1)-OFFSET('VVP1'!$G$101,0,5*(COLUMN()-7)+1),ABS(T105-T104-T103)))</f>
        <v>5.0692542976094046E-4</v>
      </c>
      <c r="U106" s="1040">
        <f ca="1">ABS(IF('VVP1'!$F$2="Y",OFFSET('VVP1'!$G$103,0,5*(COLUMN()-7)+1)-OFFSET('VVP1'!$G$102,0,5*(COLUMN()-7)+1)-OFFSET('VVP1'!$G$101,0,5*(COLUMN()-7)+1),ABS(U105-U104-U103)))</f>
        <v>5.8462236938794376E-4</v>
      </c>
      <c r="V106" s="1040">
        <f ca="1">ABS(IF('VVP1'!$F$2="Y",OFFSET('VVP1'!$G$103,0,5*(COLUMN()-7)+1)-OFFSET('VVP1'!$G$102,0,5*(COLUMN()-7)+1)-OFFSET('VVP1'!$G$101,0,5*(COLUMN()-7)+1),ABS(V105-V104-V103)))</f>
        <v>9.2560229063565203E-5</v>
      </c>
      <c r="W106" s="1040">
        <f ca="1">ABS(IF('VVP1'!$F$2="Y",OFFSET('VVP1'!$G$103,0,5*(COLUMN()-7)+1)-OFFSET('VVP1'!$G$102,0,5*(COLUMN()-7)+1)-OFFSET('VVP1'!$G$101,0,5*(COLUMN()-7)+1),ABS(W105-W104-W103)))</f>
        <v>2.2000000029720468E-4</v>
      </c>
      <c r="X106" s="1040">
        <f ca="1">ABS(IF('VVP1'!$F$2="Y",OFFSET('VVP1'!$G$103,0,5*(COLUMN()-7)+1)-OFFSET('VVP1'!$G$102,0,5*(COLUMN()-7)+1)-OFFSET('VVP1'!$G$101,0,5*(COLUMN()-7)+1),ABS(X105-X104-X103)))</f>
        <v>5.0719486745265385E-4</v>
      </c>
      <c r="Y106" s="1040">
        <f ca="1">ABS(IF('VVP1'!$F$2="Y",OFFSET('VVP1'!$G$103,0,5*(COLUMN()-7)+1)-OFFSET('VVP1'!$G$102,0,5*(COLUMN()-7)+1)-OFFSET('VVP1'!$G$101,0,5*(COLUMN()-7)+1),ABS(Y105-Y104-Y103)))</f>
        <v>5.4297110671086557E-4</v>
      </c>
      <c r="Z106" s="1040">
        <f ca="1">ABS(IF('VVP1'!$F$2="Y",OFFSET('VVP1'!$G$103,0,5*(COLUMN()-7)+1)-OFFSET('VVP1'!$G$102,0,5*(COLUMN()-7)+1)-OFFSET('VVP1'!$G$101,0,5*(COLUMN()-7)+1),ABS(Z105-Z104-Z103)))</f>
        <v>6.2209987606820505E-4</v>
      </c>
      <c r="AA106" s="1040">
        <f ca="1">ABS(IF('VVP1'!$F$2="Y",OFFSET('VVP1'!$G$103,0,5*(COLUMN()-7)+1)-OFFSET('VVP1'!$G$102,0,5*(COLUMN()-7)+1)-OFFSET('VVP1'!$G$101,0,5*(COLUMN()-7)+1),ABS(AA105-AA104-AA103)))</f>
        <v>9.0667733729787869E-6</v>
      </c>
      <c r="AB106" s="1040">
        <f ca="1">ABS(IF('VVP1'!$F$2="Y",OFFSET('VVP1'!$G$103,0,5*(COLUMN()-7)+1)-OFFSET('VVP1'!$G$102,0,5*(COLUMN()-7)+1)-OFFSET('VVP1'!$G$101,0,5*(COLUMN()-7)+1),ABS(AB105-AB104-AB103)))</f>
        <v>8.6249732476062491E-6</v>
      </c>
      <c r="AC106" s="1040">
        <f ca="1">ABS(IF('VVP1'!$F$2="Y",OFFSET('VVP1'!$G$103,0,5*(COLUMN()-7)+1)-OFFSET('VVP1'!$G$102,0,5*(COLUMN()-7)+1)-OFFSET('VVP1'!$G$101,0,5*(COLUMN()-7)+1),ABS(AC105-AC104-AC103)))</f>
        <v>2.0711108072646311E-4</v>
      </c>
      <c r="AD106" s="2999">
        <f ca="1">ABS(IF('VVP1'!$F$2="Y",OFFSET('VVP1'!$G$103,0,5*(COLUMN()-7)+1)-OFFSET('VVP1'!$G$102,0,5*(COLUMN()-7)+1)-OFFSET('VVP1'!$G$101,0,5*(COLUMN()-7)+1),ABS(AD105-AD104-AD103)))</f>
        <v>0</v>
      </c>
      <c r="AE106" s="2999">
        <f ca="1">ABS(IF('VVP1'!$F$2="Y",OFFSET('VVP1'!$G$103,0,5*(COLUMN()-7)+1)-OFFSET('VVP1'!$G$102,0,5*(COLUMN()-7)+1)-OFFSET('VVP1'!$G$101,0,5*(COLUMN()-7)+1),ABS(AE105-AE104-AE103)))</f>
        <v>1.1368683772161603E-13</v>
      </c>
      <c r="AF106" s="2999">
        <f ca="1">ABS(IF('VVP1'!$F$2="Y",OFFSET('VVP1'!$G$103,0,5*(COLUMN()-7)+1)-OFFSET('VVP1'!$G$102,0,5*(COLUMN()-7)+1)-OFFSET('VVP1'!$G$101,0,5*(COLUMN()-7)+1),ABS(AF105-AF104-AF103)))</f>
        <v>1.1368683772161603E-13</v>
      </c>
    </row>
    <row r="108" spans="1:32">
      <c r="A108" s="1170"/>
      <c r="D108" s="1157"/>
      <c r="E108" s="967" t="s">
        <v>1903</v>
      </c>
      <c r="F108" s="1158"/>
      <c r="G108" s="933">
        <f>+InputY!$G$3</f>
        <v>1995</v>
      </c>
      <c r="H108" s="933">
        <f>+G108+1</f>
        <v>1996</v>
      </c>
      <c r="I108" s="933">
        <f t="shared" ref="I108:O108" si="109">+H108+1</f>
        <v>1997</v>
      </c>
      <c r="J108" s="933">
        <f t="shared" si="109"/>
        <v>1998</v>
      </c>
      <c r="K108" s="933">
        <f t="shared" si="109"/>
        <v>1999</v>
      </c>
      <c r="L108" s="933">
        <f t="shared" si="109"/>
        <v>2000</v>
      </c>
      <c r="M108" s="933">
        <f t="shared" si="109"/>
        <v>2001</v>
      </c>
      <c r="N108" s="933">
        <f t="shared" si="109"/>
        <v>2002</v>
      </c>
      <c r="O108" s="933">
        <f t="shared" si="109"/>
        <v>2003</v>
      </c>
      <c r="P108" s="933">
        <f>+O108+1</f>
        <v>2004</v>
      </c>
      <c r="Q108" s="933">
        <f>+P108+1</f>
        <v>2005</v>
      </c>
      <c r="R108" s="933">
        <f>+Q108+1</f>
        <v>2006</v>
      </c>
      <c r="S108" s="933">
        <f>+R108+1</f>
        <v>2007</v>
      </c>
      <c r="T108" s="933">
        <f t="shared" ref="T108:AF108" si="110">+S108+1</f>
        <v>2008</v>
      </c>
      <c r="U108" s="933">
        <f t="shared" si="110"/>
        <v>2009</v>
      </c>
      <c r="V108" s="933">
        <f t="shared" si="110"/>
        <v>2010</v>
      </c>
      <c r="W108" s="933">
        <f t="shared" si="110"/>
        <v>2011</v>
      </c>
      <c r="X108" s="933">
        <f t="shared" si="110"/>
        <v>2012</v>
      </c>
      <c r="Y108" s="933">
        <f t="shared" si="110"/>
        <v>2013</v>
      </c>
      <c r="Z108" s="933">
        <f t="shared" si="110"/>
        <v>2014</v>
      </c>
      <c r="AA108" s="933">
        <f t="shared" si="110"/>
        <v>2015</v>
      </c>
      <c r="AB108" s="933">
        <f t="shared" si="110"/>
        <v>2016</v>
      </c>
      <c r="AC108" s="933">
        <f t="shared" si="110"/>
        <v>2017</v>
      </c>
      <c r="AD108" s="933">
        <f t="shared" si="110"/>
        <v>2018</v>
      </c>
      <c r="AE108" s="933">
        <f t="shared" si="110"/>
        <v>2019</v>
      </c>
      <c r="AF108" s="933">
        <f t="shared" si="110"/>
        <v>2020</v>
      </c>
    </row>
    <row r="109" spans="1:32" s="736" customFormat="1" ht="12.75" customHeight="1">
      <c r="A109" s="701"/>
      <c r="B109" s="701"/>
      <c r="C109" s="831" t="s">
        <v>1791</v>
      </c>
      <c r="D109" s="726"/>
      <c r="E109" s="775" t="s">
        <v>1823</v>
      </c>
      <c r="F109" s="770" t="s">
        <v>971</v>
      </c>
      <c r="G109" s="1135"/>
      <c r="H109" s="1135">
        <f>+(H103/G103-1)*100</f>
        <v>6.1169903809668025</v>
      </c>
      <c r="I109" s="1135">
        <f t="shared" ref="I109:AC109" si="111">+(I103/H103-1)*100</f>
        <v>15.577437706675145</v>
      </c>
      <c r="J109" s="1135">
        <f t="shared" si="111"/>
        <v>14.827275596785384</v>
      </c>
      <c r="K109" s="1135">
        <f t="shared" si="111"/>
        <v>7.6959839919246376</v>
      </c>
      <c r="L109" s="1135">
        <f t="shared" si="111"/>
        <v>10.653321849983467</v>
      </c>
      <c r="M109" s="1135">
        <f t="shared" si="111"/>
        <v>5.5398202695345899</v>
      </c>
      <c r="N109" s="1135">
        <f t="shared" si="111"/>
        <v>-3.333597317465431</v>
      </c>
      <c r="O109" s="1135">
        <f t="shared" si="111"/>
        <v>-1.4927718019906555</v>
      </c>
      <c r="P109" s="1135">
        <f t="shared" si="111"/>
        <v>3.3979680188742423</v>
      </c>
      <c r="Q109" s="1135">
        <f t="shared" si="111"/>
        <v>5.7246002215651126</v>
      </c>
      <c r="R109" s="1135">
        <f t="shared" si="111"/>
        <v>4.4095035092178492</v>
      </c>
      <c r="S109" s="1135">
        <f t="shared" si="111"/>
        <v>9.7051147322587905</v>
      </c>
      <c r="T109" s="1135">
        <f t="shared" si="111"/>
        <v>6.2772465352963547</v>
      </c>
      <c r="U109" s="1135">
        <f t="shared" si="111"/>
        <v>-7.1400562973864883</v>
      </c>
      <c r="V109" s="1135">
        <f t="shared" si="111"/>
        <v>2.2824453337304318</v>
      </c>
      <c r="W109" s="1135">
        <f t="shared" si="111"/>
        <v>3.6726295829728306</v>
      </c>
      <c r="X109" s="1135">
        <f t="shared" si="111"/>
        <v>4.333271597072752</v>
      </c>
      <c r="Y109" s="1135">
        <f t="shared" si="111"/>
        <v>4.0729012477920268</v>
      </c>
      <c r="Z109" s="1135">
        <f t="shared" si="111"/>
        <v>10.364960314757866</v>
      </c>
      <c r="AA109" s="1135">
        <f t="shared" si="111"/>
        <v>4.8813066967150487</v>
      </c>
      <c r="AB109" s="1135">
        <f t="shared" si="111"/>
        <v>0.88899408358547038</v>
      </c>
      <c r="AC109" s="1135">
        <f t="shared" si="111"/>
        <v>6.3907696063153718</v>
      </c>
      <c r="AD109" s="1468">
        <f ca="1">OFFSET('VVP1'!$G$101,0,5*(COLUMN()-7))</f>
        <v>3.05</v>
      </c>
      <c r="AE109" s="1468">
        <f ca="1">OFFSET('VVP1'!$G$101,0,5*(COLUMN()-7))</f>
        <v>2.83</v>
      </c>
      <c r="AF109" s="1468">
        <f ca="1">OFFSET('VVP1'!$G$101,0,5*(COLUMN()-7))</f>
        <v>3.21</v>
      </c>
    </row>
    <row r="110" spans="1:32">
      <c r="A110" s="1170"/>
      <c r="C110" s="1016" t="s">
        <v>1791</v>
      </c>
      <c r="D110" s="1161"/>
      <c r="E110" s="1162" t="s">
        <v>1824</v>
      </c>
      <c r="F110" s="1161" t="s">
        <v>631</v>
      </c>
      <c r="G110" s="1163"/>
      <c r="H110" s="1163">
        <f>+(H104/G104-1)*100</f>
        <v>2.6202141916089827</v>
      </c>
      <c r="I110" s="1163">
        <f t="shared" ref="I110:AC110" si="112">+(I104/H104-1)*100</f>
        <v>11.419627606500837</v>
      </c>
      <c r="J110" s="1163">
        <f t="shared" si="112"/>
        <v>10.106965513186861</v>
      </c>
      <c r="K110" s="1163">
        <f t="shared" si="112"/>
        <v>4.1957887291303786</v>
      </c>
      <c r="L110" s="1163">
        <f t="shared" si="112"/>
        <v>12.158062825256422</v>
      </c>
      <c r="M110" s="1163">
        <f t="shared" si="112"/>
        <v>-4.3437727175751455</v>
      </c>
      <c r="N110" s="1163">
        <f t="shared" si="112"/>
        <v>-0.40217126252505286</v>
      </c>
      <c r="O110" s="1163">
        <f t="shared" si="112"/>
        <v>5.9808701432483291</v>
      </c>
      <c r="P110" s="1163">
        <f t="shared" si="112"/>
        <v>7.8453751344399913</v>
      </c>
      <c r="Q110" s="1163">
        <f t="shared" si="112"/>
        <v>7.4670793672974911</v>
      </c>
      <c r="R110" s="1163">
        <f t="shared" si="112"/>
        <v>9.6045088461140118</v>
      </c>
      <c r="S110" s="1163">
        <f t="shared" si="112"/>
        <v>6.9381813413658788</v>
      </c>
      <c r="T110" s="1163">
        <f t="shared" si="112"/>
        <v>2.9212371565577433</v>
      </c>
      <c r="U110" s="1163">
        <f t="shared" si="112"/>
        <v>-16.578019730312409</v>
      </c>
      <c r="V110" s="1163">
        <f t="shared" si="112"/>
        <v>17.194558024366557</v>
      </c>
      <c r="W110" s="1163">
        <f t="shared" si="112"/>
        <v>8.6687935651744485</v>
      </c>
      <c r="X110" s="1163">
        <f t="shared" si="112"/>
        <v>-0.84808310531920839</v>
      </c>
      <c r="Y110" s="1163">
        <f t="shared" si="112"/>
        <v>-1.6849708057331436</v>
      </c>
      <c r="Z110" s="1163">
        <f t="shared" si="112"/>
        <v>4.6097291357892978</v>
      </c>
      <c r="AA110" s="1163">
        <f t="shared" si="112"/>
        <v>5.4030409567209059</v>
      </c>
      <c r="AB110" s="1163">
        <f t="shared" si="112"/>
        <v>5.86845056686498</v>
      </c>
      <c r="AC110" s="1163">
        <f t="shared" si="112"/>
        <v>4.0222811279401194</v>
      </c>
      <c r="AD110" s="1471">
        <f ca="1">OFFSET('VVP1'!$G$102,0,5*(COLUMN()-7))</f>
        <v>4.01</v>
      </c>
      <c r="AE110" s="1471">
        <f ca="1">OFFSET('VVP1'!$G$102,0,5*(COLUMN()-7))</f>
        <v>3.36</v>
      </c>
      <c r="AF110" s="1471">
        <f ca="1">OFFSET('VVP1'!$G$102,0,5*(COLUMN()-7))</f>
        <v>3.12</v>
      </c>
    </row>
    <row r="111" spans="1:32">
      <c r="A111" s="701"/>
      <c r="B111" s="701"/>
      <c r="C111" s="731" t="s">
        <v>1793</v>
      </c>
      <c r="D111" s="1137"/>
      <c r="E111" s="1518" t="s">
        <v>1825</v>
      </c>
      <c r="F111" s="1524" t="s">
        <v>1749</v>
      </c>
      <c r="G111" s="1139"/>
      <c r="H111" s="1139">
        <f>+(H105/G105-1)*100</f>
        <v>3.4415688806118672</v>
      </c>
      <c r="I111" s="1139">
        <f t="shared" ref="I111:AC111" si="113">+(I105/H105-1)*100</f>
        <v>12.447529538926227</v>
      </c>
      <c r="J111" s="1139">
        <f t="shared" si="113"/>
        <v>11.309723519161397</v>
      </c>
      <c r="K111" s="1139">
        <f t="shared" si="113"/>
        <v>5.1182125579971371</v>
      </c>
      <c r="L111" s="1139">
        <f t="shared" si="113"/>
        <v>11.748978839705426</v>
      </c>
      <c r="M111" s="1139">
        <f t="shared" si="113"/>
        <v>-1.7176018162364359</v>
      </c>
      <c r="N111" s="1139">
        <f t="shared" si="113"/>
        <v>-1.2552400156743193</v>
      </c>
      <c r="O111" s="1139">
        <f t="shared" si="113"/>
        <v>3.8200480588271191</v>
      </c>
      <c r="P111" s="1139">
        <f t="shared" si="113"/>
        <v>6.6055180832125249</v>
      </c>
      <c r="Q111" s="1139">
        <f t="shared" si="113"/>
        <v>6.992806437949084</v>
      </c>
      <c r="R111" s="1139">
        <f t="shared" si="113"/>
        <v>8.2253151642083022</v>
      </c>
      <c r="S111" s="1139">
        <f t="shared" si="113"/>
        <v>7.6344513455179897</v>
      </c>
      <c r="T111" s="1139">
        <f t="shared" si="113"/>
        <v>3.7913617738353</v>
      </c>
      <c r="U111" s="1139">
        <f t="shared" si="113"/>
        <v>-14.077541113949332</v>
      </c>
      <c r="V111" s="1139">
        <f t="shared" si="113"/>
        <v>12.777842492885117</v>
      </c>
      <c r="W111" s="1139">
        <f t="shared" si="113"/>
        <v>7.3433119903659971</v>
      </c>
      <c r="X111" s="1139">
        <f t="shared" si="113"/>
        <v>0.48217373864523072</v>
      </c>
      <c r="Y111" s="1139">
        <f t="shared" si="113"/>
        <v>-0.11819970990073481</v>
      </c>
      <c r="Z111" s="1139">
        <f t="shared" si="113"/>
        <v>6.2807792828370346</v>
      </c>
      <c r="AA111" s="1139">
        <f t="shared" si="113"/>
        <v>5.2435642523264603</v>
      </c>
      <c r="AB111" s="1139">
        <f t="shared" si="113"/>
        <v>4.305329554581605</v>
      </c>
      <c r="AC111" s="1139">
        <f t="shared" si="113"/>
        <v>4.7513044883088495</v>
      </c>
      <c r="AD111" s="1514">
        <f ca="1">IF(UPPER('VVP1'!$F$2)="Y",OFFSET('VVP1'!$G$103,0,5*(COLUMN()-7)),('VVP2'!AD105/'VVP2'!AC105-1)*100)</f>
        <v>3.7150562755494221</v>
      </c>
      <c r="AE111" s="1514">
        <f ca="1">IF(UPPER('VVP1'!$F$2)="Y",OFFSET('VVP1'!$G$103,0,5*(COLUMN()-7)),('VVP2'!AE105/'VVP2'!AD105-1)*100)</f>
        <v>3.1985284206106801</v>
      </c>
      <c r="AF111" s="1514">
        <f ca="1">IF(UPPER('VVP1'!$F$2)="Y",OFFSET('VVP1'!$G$103,0,5*(COLUMN()-7)),('VVP2'!AF105/'VVP2'!AE105-1)*100)</f>
        <v>3.147397647390715</v>
      </c>
    </row>
    <row r="113" spans="1:32">
      <c r="A113" s="1170"/>
      <c r="D113" s="1209"/>
      <c r="E113" s="1206" t="s">
        <v>460</v>
      </c>
      <c r="F113" s="1210"/>
      <c r="G113" s="1208">
        <f>+InputY!$G$3</f>
        <v>1995</v>
      </c>
      <c r="H113" s="1208">
        <f>+G113+1</f>
        <v>1996</v>
      </c>
      <c r="I113" s="1208">
        <f t="shared" ref="I113:O113" si="114">+H113+1</f>
        <v>1997</v>
      </c>
      <c r="J113" s="1208">
        <f t="shared" si="114"/>
        <v>1998</v>
      </c>
      <c r="K113" s="1208">
        <f t="shared" si="114"/>
        <v>1999</v>
      </c>
      <c r="L113" s="1208">
        <f t="shared" si="114"/>
        <v>2000</v>
      </c>
      <c r="M113" s="1208">
        <f t="shared" si="114"/>
        <v>2001</v>
      </c>
      <c r="N113" s="1208">
        <f t="shared" si="114"/>
        <v>2002</v>
      </c>
      <c r="O113" s="1208">
        <f t="shared" si="114"/>
        <v>2003</v>
      </c>
      <c r="P113" s="1208">
        <f>+O113+1</f>
        <v>2004</v>
      </c>
      <c r="Q113" s="1208">
        <f>+P113+1</f>
        <v>2005</v>
      </c>
      <c r="R113" s="1208">
        <f>+Q113+1</f>
        <v>2006</v>
      </c>
      <c r="S113" s="1208">
        <f>+R113+1</f>
        <v>2007</v>
      </c>
      <c r="T113" s="1208">
        <f t="shared" ref="T113:AF113" si="115">+S113+1</f>
        <v>2008</v>
      </c>
      <c r="U113" s="1208">
        <f t="shared" si="115"/>
        <v>2009</v>
      </c>
      <c r="V113" s="1208">
        <f t="shared" si="115"/>
        <v>2010</v>
      </c>
      <c r="W113" s="1208">
        <f t="shared" si="115"/>
        <v>2011</v>
      </c>
      <c r="X113" s="1208">
        <f t="shared" si="115"/>
        <v>2012</v>
      </c>
      <c r="Y113" s="1208">
        <f t="shared" si="115"/>
        <v>2013</v>
      </c>
      <c r="Z113" s="1165">
        <f t="shared" si="115"/>
        <v>2014</v>
      </c>
      <c r="AA113" s="1165">
        <f t="shared" si="115"/>
        <v>2015</v>
      </c>
      <c r="AB113" s="1165">
        <f t="shared" si="115"/>
        <v>2016</v>
      </c>
      <c r="AC113" s="1165">
        <f t="shared" si="115"/>
        <v>2017</v>
      </c>
      <c r="AD113" s="1165">
        <f t="shared" si="115"/>
        <v>2018</v>
      </c>
      <c r="AE113" s="1165">
        <f t="shared" si="115"/>
        <v>2019</v>
      </c>
      <c r="AF113" s="1165">
        <f t="shared" si="115"/>
        <v>2020</v>
      </c>
    </row>
    <row r="114" spans="1:32" ht="12.75">
      <c r="A114" s="701"/>
      <c r="B114" s="701"/>
      <c r="C114" s="1130"/>
      <c r="D114" s="1131"/>
      <c r="E114" s="1078" t="s">
        <v>874</v>
      </c>
      <c r="F114" s="176" t="s">
        <v>1837</v>
      </c>
      <c r="G114" s="1084">
        <f t="shared" ref="G114:S114" si="116">+G82-G104</f>
        <v>81.678750000000036</v>
      </c>
      <c r="H114" s="1084">
        <f t="shared" si="116"/>
        <v>96.930540000000065</v>
      </c>
      <c r="I114" s="1084">
        <f t="shared" si="116"/>
        <v>121.30168000000003</v>
      </c>
      <c r="J114" s="1084">
        <f t="shared" si="116"/>
        <v>122.74102999999991</v>
      </c>
      <c r="K114" s="1084">
        <f t="shared" si="116"/>
        <v>144.53611999999998</v>
      </c>
      <c r="L114" s="1084">
        <f t="shared" si="116"/>
        <v>158.72629999999992</v>
      </c>
      <c r="M114" s="1084">
        <f t="shared" si="116"/>
        <v>171.11987999999997</v>
      </c>
      <c r="N114" s="1084">
        <f t="shared" si="116"/>
        <v>194.67418000000009</v>
      </c>
      <c r="O114" s="1084">
        <f t="shared" si="116"/>
        <v>196.09195999999997</v>
      </c>
      <c r="P114" s="1084">
        <f t="shared" si="116"/>
        <v>243.9692399999999</v>
      </c>
      <c r="Q114" s="1084">
        <f t="shared" si="116"/>
        <v>244.14639000000011</v>
      </c>
      <c r="R114" s="1084">
        <f t="shared" si="116"/>
        <v>255.05363999999997</v>
      </c>
      <c r="S114" s="1084">
        <f t="shared" si="116"/>
        <v>222.38195999999994</v>
      </c>
      <c r="T114" s="1084">
        <f t="shared" ref="T114:V115" si="117">+T82-T104</f>
        <v>201.7173200000002</v>
      </c>
      <c r="U114" s="1084">
        <f t="shared" si="117"/>
        <v>140.6298700000001</v>
      </c>
      <c r="V114" s="1084">
        <f t="shared" si="117"/>
        <v>150.16000000000008</v>
      </c>
      <c r="W114" s="1084">
        <f t="shared" ref="W114:Z115" si="118">+W82-W104</f>
        <v>141.22574000000009</v>
      </c>
      <c r="X114" s="1084">
        <f t="shared" si="118"/>
        <v>154.30555000000004</v>
      </c>
      <c r="Y114" s="1084">
        <f t="shared" si="118"/>
        <v>136.29959999999983</v>
      </c>
      <c r="Z114" s="1084">
        <f t="shared" si="118"/>
        <v>124.22794999999996</v>
      </c>
      <c r="AA114" s="1084">
        <f t="shared" ref="AA114" si="119">+AA82-AA104</f>
        <v>106.61680000000001</v>
      </c>
      <c r="AB114" s="1084">
        <f t="shared" ref="AB114:AB115" si="120">+AB82-AB104</f>
        <v>65.343759999999975</v>
      </c>
      <c r="AC114" s="1084">
        <f t="shared" ref="AC114" si="121">+AC82-AC104</f>
        <v>80.718349999999873</v>
      </c>
      <c r="AD114" s="1084">
        <f t="shared" ref="AD114:AE115" ca="1" si="122">+AD82-AD104</f>
        <v>77.353128011000081</v>
      </c>
      <c r="AE114" s="1084">
        <f t="shared" ca="1" si="122"/>
        <v>79.803575724957682</v>
      </c>
      <c r="AF114" s="1084">
        <f t="shared" ref="AF114" ca="1" si="123">+AF82-AF104</f>
        <v>80.757486590740427</v>
      </c>
    </row>
    <row r="115" spans="1:32" ht="12.75">
      <c r="A115" s="1170"/>
      <c r="C115" s="1121"/>
      <c r="D115" s="1117"/>
      <c r="E115" s="1118" t="s">
        <v>875</v>
      </c>
      <c r="F115" s="1117" t="s">
        <v>1836</v>
      </c>
      <c r="G115" s="1125">
        <f t="shared" ref="G115:S115" si="124">+G83-G105</f>
        <v>55.713929999999891</v>
      </c>
      <c r="H115" s="1125">
        <f t="shared" si="124"/>
        <v>62.809990000000084</v>
      </c>
      <c r="I115" s="1125">
        <f t="shared" si="124"/>
        <v>81.889640000000099</v>
      </c>
      <c r="J115" s="1125">
        <f t="shared" si="124"/>
        <v>69.880599999999959</v>
      </c>
      <c r="K115" s="1125">
        <f t="shared" si="124"/>
        <v>93.945890000000077</v>
      </c>
      <c r="L115" s="1125">
        <f t="shared" si="124"/>
        <v>104.45233999999982</v>
      </c>
      <c r="M115" s="1125">
        <f t="shared" si="124"/>
        <v>130.87982999999986</v>
      </c>
      <c r="N115" s="1125">
        <f t="shared" si="124"/>
        <v>159.5196199999998</v>
      </c>
      <c r="O115" s="1125">
        <f t="shared" si="124"/>
        <v>169.67922999999996</v>
      </c>
      <c r="P115" s="1125">
        <f t="shared" si="124"/>
        <v>232.18350000000009</v>
      </c>
      <c r="Q115" s="1125">
        <f t="shared" si="124"/>
        <v>243.41372999999999</v>
      </c>
      <c r="R115" s="1125">
        <f t="shared" si="124"/>
        <v>269.8444199999999</v>
      </c>
      <c r="S115" s="1125">
        <f t="shared" si="124"/>
        <v>240.14915000000019</v>
      </c>
      <c r="T115" s="1125">
        <f t="shared" si="117"/>
        <v>219.1886300000001</v>
      </c>
      <c r="U115" s="1125">
        <f t="shared" si="117"/>
        <v>181.40917999999988</v>
      </c>
      <c r="V115" s="1125">
        <f t="shared" si="117"/>
        <v>192.45699999999988</v>
      </c>
      <c r="W115" s="1125">
        <f t="shared" si="118"/>
        <v>186.39916000000017</v>
      </c>
      <c r="X115" s="1125">
        <f t="shared" si="118"/>
        <v>195.9091699999999</v>
      </c>
      <c r="Y115" s="1125">
        <f t="shared" si="118"/>
        <v>184.27844000000027</v>
      </c>
      <c r="Z115" s="1125">
        <f t="shared" si="118"/>
        <v>178.16240999999991</v>
      </c>
      <c r="AA115" s="1125">
        <f t="shared" ref="AA115" si="125">+AA83-AA105</f>
        <v>195.52920999999992</v>
      </c>
      <c r="AB115" s="1125">
        <f t="shared" si="120"/>
        <v>178.22558000000004</v>
      </c>
      <c r="AC115" s="1125">
        <f t="shared" ref="AC115" si="126">+AC83-AC105</f>
        <v>156.65506000000005</v>
      </c>
      <c r="AD115" s="1125">
        <f t="shared" ca="1" si="122"/>
        <v>156.81105862957247</v>
      </c>
      <c r="AE115" s="1125">
        <f t="shared" ca="1" si="122"/>
        <v>162.68384449190535</v>
      </c>
      <c r="AF115" s="1125">
        <f t="shared" ref="AF115" ca="1" si="127">+AF83-AF105</f>
        <v>164.82264931201689</v>
      </c>
    </row>
    <row r="117" spans="1:32">
      <c r="A117" s="1170"/>
      <c r="D117" s="1157"/>
      <c r="E117" s="967" t="s">
        <v>460</v>
      </c>
      <c r="F117" s="1158"/>
      <c r="G117" s="933">
        <f>+InputY!$G$3</f>
        <v>1995</v>
      </c>
      <c r="H117" s="933">
        <f>+G117+1</f>
        <v>1996</v>
      </c>
      <c r="I117" s="933">
        <f t="shared" ref="I117:O117" si="128">+H117+1</f>
        <v>1997</v>
      </c>
      <c r="J117" s="933">
        <f t="shared" si="128"/>
        <v>1998</v>
      </c>
      <c r="K117" s="933">
        <f t="shared" si="128"/>
        <v>1999</v>
      </c>
      <c r="L117" s="933">
        <f t="shared" si="128"/>
        <v>2000</v>
      </c>
      <c r="M117" s="933">
        <f t="shared" si="128"/>
        <v>2001</v>
      </c>
      <c r="N117" s="933">
        <f t="shared" si="128"/>
        <v>2002</v>
      </c>
      <c r="O117" s="933">
        <f t="shared" si="128"/>
        <v>2003</v>
      </c>
      <c r="P117" s="933">
        <f>+O117+1</f>
        <v>2004</v>
      </c>
      <c r="Q117" s="933">
        <f>+P117+1</f>
        <v>2005</v>
      </c>
      <c r="R117" s="933">
        <f>+Q117+1</f>
        <v>2006</v>
      </c>
      <c r="S117" s="933">
        <f>+R117+1</f>
        <v>2007</v>
      </c>
      <c r="T117" s="933">
        <f t="shared" ref="T117:AF117" si="129">+S117+1</f>
        <v>2008</v>
      </c>
      <c r="U117" s="933">
        <f t="shared" si="129"/>
        <v>2009</v>
      </c>
      <c r="V117" s="933">
        <f t="shared" si="129"/>
        <v>2010</v>
      </c>
      <c r="W117" s="933">
        <f t="shared" si="129"/>
        <v>2011</v>
      </c>
      <c r="X117" s="933">
        <f t="shared" si="129"/>
        <v>2012</v>
      </c>
      <c r="Y117" s="933">
        <f t="shared" si="129"/>
        <v>2013</v>
      </c>
      <c r="Z117" s="933">
        <f t="shared" si="129"/>
        <v>2014</v>
      </c>
      <c r="AA117" s="933">
        <f t="shared" si="129"/>
        <v>2015</v>
      </c>
      <c r="AB117" s="933">
        <f t="shared" si="129"/>
        <v>2016</v>
      </c>
      <c r="AC117" s="933">
        <f t="shared" si="129"/>
        <v>2017</v>
      </c>
      <c r="AD117" s="933">
        <f t="shared" si="129"/>
        <v>2018</v>
      </c>
      <c r="AE117" s="933">
        <f t="shared" si="129"/>
        <v>2019</v>
      </c>
      <c r="AF117" s="933">
        <f t="shared" si="129"/>
        <v>2020</v>
      </c>
    </row>
    <row r="118" spans="1:32" ht="12.75">
      <c r="A118" s="701"/>
      <c r="B118" s="701"/>
      <c r="C118" s="1159"/>
      <c r="D118" s="1160"/>
      <c r="E118" s="1146" t="s">
        <v>874</v>
      </c>
      <c r="F118" s="1160" t="s">
        <v>1837</v>
      </c>
      <c r="G118" s="1135"/>
      <c r="H118" s="1135">
        <f>+(H114/G114-1)*100</f>
        <v>18.67289839768609</v>
      </c>
      <c r="I118" s="1135">
        <f t="shared" ref="I118:Y118" si="130">+(I114/H114-1)*100</f>
        <v>25.142890981521361</v>
      </c>
      <c r="J118" s="1135">
        <f t="shared" si="130"/>
        <v>1.1865870283081614</v>
      </c>
      <c r="K118" s="1135">
        <f t="shared" si="130"/>
        <v>17.75697173145776</v>
      </c>
      <c r="L118" s="1135">
        <f t="shared" si="130"/>
        <v>9.8177396764213221</v>
      </c>
      <c r="M118" s="1135">
        <f t="shared" si="130"/>
        <v>7.8081452160102316</v>
      </c>
      <c r="N118" s="1135">
        <f t="shared" si="130"/>
        <v>13.764794598967779</v>
      </c>
      <c r="O118" s="1135">
        <f t="shared" si="130"/>
        <v>0.72828353508405108</v>
      </c>
      <c r="P118" s="1135">
        <f t="shared" si="130"/>
        <v>24.415728212416219</v>
      </c>
      <c r="Q118" s="1135">
        <f t="shared" si="130"/>
        <v>7.2611612841111395E-2</v>
      </c>
      <c r="R118" s="1135">
        <f t="shared" si="130"/>
        <v>4.4675041068597654</v>
      </c>
      <c r="S118" s="1135">
        <f t="shared" si="130"/>
        <v>-12.809728965248269</v>
      </c>
      <c r="T118" s="1135">
        <f t="shared" si="130"/>
        <v>-9.2924084309715322</v>
      </c>
      <c r="U118" s="1135">
        <f t="shared" si="130"/>
        <v>-30.283691058358318</v>
      </c>
      <c r="V118" s="1135">
        <f t="shared" si="130"/>
        <v>6.7767466470672222</v>
      </c>
      <c r="W118" s="1135">
        <f t="shared" si="130"/>
        <v>-5.9498268513585417</v>
      </c>
      <c r="X118" s="1135">
        <f t="shared" si="130"/>
        <v>9.261633183865726</v>
      </c>
      <c r="Y118" s="1135">
        <f t="shared" si="130"/>
        <v>-11.669022922377192</v>
      </c>
      <c r="Z118" s="1135">
        <f t="shared" ref="Z118:AC119" si="131">+(Z114/Y114-1)*100</f>
        <v>-8.856702440799447</v>
      </c>
      <c r="AA118" s="1135">
        <f t="shared" si="131"/>
        <v>-14.176479608654857</v>
      </c>
      <c r="AB118" s="1135">
        <f t="shared" si="131"/>
        <v>-38.711572660218685</v>
      </c>
      <c r="AC118" s="1135">
        <f t="shared" si="131"/>
        <v>23.528780712955456</v>
      </c>
      <c r="AD118" s="1135">
        <f t="shared" ref="AD118:AF119" ca="1" si="132">+(AD114/AC114-1)*100</f>
        <v>-4.1690916489246828</v>
      </c>
      <c r="AE118" s="1135">
        <f t="shared" ca="1" si="132"/>
        <v>3.167871522414889</v>
      </c>
      <c r="AF118" s="1135">
        <f t="shared" ca="1" si="132"/>
        <v>1.1953234640392552</v>
      </c>
    </row>
    <row r="119" spans="1:32" ht="12.75" customHeight="1">
      <c r="A119" s="1170"/>
      <c r="C119" s="1016"/>
      <c r="D119" s="1161"/>
      <c r="E119" s="1162" t="s">
        <v>875</v>
      </c>
      <c r="F119" s="1161" t="s">
        <v>1836</v>
      </c>
      <c r="G119" s="1164"/>
      <c r="H119" s="1164">
        <f>+(H115/G115-1)*100</f>
        <v>12.736599267005943</v>
      </c>
      <c r="I119" s="1164">
        <f t="shared" ref="I119:Y119" si="133">+(I115/H115-1)*100</f>
        <v>30.376776051070831</v>
      </c>
      <c r="J119" s="1164">
        <f t="shared" si="133"/>
        <v>-14.664907551187333</v>
      </c>
      <c r="K119" s="1164">
        <f t="shared" si="133"/>
        <v>34.437726636577452</v>
      </c>
      <c r="L119" s="1164">
        <f t="shared" si="133"/>
        <v>11.183512125969264</v>
      </c>
      <c r="M119" s="1164">
        <f t="shared" si="133"/>
        <v>25.301003309260551</v>
      </c>
      <c r="N119" s="1164">
        <f t="shared" si="133"/>
        <v>21.882508557659321</v>
      </c>
      <c r="O119" s="1164">
        <f t="shared" si="133"/>
        <v>6.3688780101157194</v>
      </c>
      <c r="P119" s="1164">
        <f t="shared" si="133"/>
        <v>36.836724211914529</v>
      </c>
      <c r="Q119" s="1164">
        <f t="shared" si="133"/>
        <v>4.8367907280232547</v>
      </c>
      <c r="R119" s="1164">
        <f t="shared" si="133"/>
        <v>10.858339831528774</v>
      </c>
      <c r="S119" s="1164">
        <f t="shared" si="133"/>
        <v>-11.004589237012841</v>
      </c>
      <c r="T119" s="1164">
        <f t="shared" si="133"/>
        <v>-8.7281258334664376</v>
      </c>
      <c r="U119" s="1164">
        <f t="shared" si="133"/>
        <v>-17.236044588626797</v>
      </c>
      <c r="V119" s="1164">
        <f t="shared" si="133"/>
        <v>6.0900005170631433</v>
      </c>
      <c r="W119" s="1164">
        <f t="shared" si="133"/>
        <v>-3.1476329777559209</v>
      </c>
      <c r="X119" s="1164">
        <f t="shared" si="133"/>
        <v>5.1019596869426476</v>
      </c>
      <c r="Y119" s="1164">
        <f t="shared" si="133"/>
        <v>-5.9367971392046854</v>
      </c>
      <c r="Z119" s="1164">
        <f t="shared" si="131"/>
        <v>-3.3189069757701195</v>
      </c>
      <c r="AA119" s="1164">
        <f t="shared" si="131"/>
        <v>9.7477352265273218</v>
      </c>
      <c r="AB119" s="1164">
        <f t="shared" si="131"/>
        <v>-8.8496393965893372</v>
      </c>
      <c r="AC119" s="1164">
        <f t="shared" si="131"/>
        <v>-12.102931576937493</v>
      </c>
      <c r="AD119" s="1164">
        <f t="shared" ca="1" si="132"/>
        <v>9.9580970810908553E-2</v>
      </c>
      <c r="AE119" s="1164">
        <f t="shared" ca="1" si="132"/>
        <v>3.7451350138550499</v>
      </c>
      <c r="AF119" s="1164">
        <f t="shared" ca="1" si="132"/>
        <v>1.3147001945961412</v>
      </c>
    </row>
    <row r="121" spans="1:32">
      <c r="A121" s="1170"/>
      <c r="D121" s="1215"/>
      <c r="E121" s="1169" t="s">
        <v>1228</v>
      </c>
      <c r="F121" s="1216"/>
      <c r="G121" s="744">
        <f>+InputY!$G$3</f>
        <v>1995</v>
      </c>
      <c r="H121" s="744">
        <f>+G121+1</f>
        <v>1996</v>
      </c>
      <c r="I121" s="744">
        <f t="shared" ref="I121:O121" si="134">+H121+1</f>
        <v>1997</v>
      </c>
      <c r="J121" s="744">
        <f t="shared" si="134"/>
        <v>1998</v>
      </c>
      <c r="K121" s="744">
        <f t="shared" si="134"/>
        <v>1999</v>
      </c>
      <c r="L121" s="744">
        <f t="shared" si="134"/>
        <v>2000</v>
      </c>
      <c r="M121" s="744">
        <f t="shared" si="134"/>
        <v>2001</v>
      </c>
      <c r="N121" s="744">
        <f t="shared" si="134"/>
        <v>2002</v>
      </c>
      <c r="O121" s="744">
        <f t="shared" si="134"/>
        <v>2003</v>
      </c>
      <c r="P121" s="744">
        <f>+O121+1</f>
        <v>2004</v>
      </c>
      <c r="Q121" s="744">
        <f>+P121+1</f>
        <v>2005</v>
      </c>
      <c r="R121" s="744">
        <f>+Q121+1</f>
        <v>2006</v>
      </c>
      <c r="S121" s="744">
        <f>+R121+1</f>
        <v>2007</v>
      </c>
      <c r="T121" s="744">
        <f t="shared" ref="T121:AF121" si="135">+S121+1</f>
        <v>2008</v>
      </c>
      <c r="U121" s="744">
        <f t="shared" si="135"/>
        <v>2009</v>
      </c>
      <c r="V121" s="744">
        <f t="shared" si="135"/>
        <v>2010</v>
      </c>
      <c r="W121" s="744">
        <f t="shared" si="135"/>
        <v>2011</v>
      </c>
      <c r="X121" s="744">
        <f t="shared" si="135"/>
        <v>2012</v>
      </c>
      <c r="Y121" s="744">
        <f t="shared" si="135"/>
        <v>2013</v>
      </c>
      <c r="Z121" s="744">
        <f t="shared" si="135"/>
        <v>2014</v>
      </c>
      <c r="AA121" s="744">
        <f t="shared" si="135"/>
        <v>2015</v>
      </c>
      <c r="AB121" s="744">
        <f t="shared" si="135"/>
        <v>2016</v>
      </c>
      <c r="AC121" s="744">
        <f t="shared" si="135"/>
        <v>2017</v>
      </c>
      <c r="AD121" s="744">
        <f t="shared" si="135"/>
        <v>2018</v>
      </c>
      <c r="AE121" s="744">
        <f t="shared" si="135"/>
        <v>2019</v>
      </c>
      <c r="AF121" s="744">
        <f t="shared" si="135"/>
        <v>2020</v>
      </c>
    </row>
    <row r="122" spans="1:32" ht="12.75">
      <c r="A122" s="701"/>
      <c r="C122" s="1119" t="s">
        <v>1791</v>
      </c>
      <c r="D122" s="1098"/>
      <c r="E122" s="1078" t="s">
        <v>376</v>
      </c>
      <c r="F122" s="1098"/>
      <c r="G122" s="1124">
        <f>+G94</f>
        <v>3098.36701533</v>
      </c>
      <c r="H122" s="1124">
        <f t="shared" ref="H122:O122" si="136">+H94</f>
        <v>3159.7326949600001</v>
      </c>
      <c r="I122" s="1124">
        <f t="shared" si="136"/>
        <v>3322.37760334</v>
      </c>
      <c r="J122" s="1124">
        <f t="shared" si="136"/>
        <v>3521.6264047699997</v>
      </c>
      <c r="K122" s="1124">
        <f t="shared" si="136"/>
        <v>3685.3562539899999</v>
      </c>
      <c r="L122" s="1124">
        <f t="shared" si="136"/>
        <v>3927.0627069299999</v>
      </c>
      <c r="M122" s="1124">
        <f t="shared" si="136"/>
        <v>3953.1441571</v>
      </c>
      <c r="N122" s="1124">
        <f t="shared" si="136"/>
        <v>3999.3003827300004</v>
      </c>
      <c r="O122" s="1124">
        <f t="shared" si="136"/>
        <v>4109.0447382100001</v>
      </c>
      <c r="P122" s="1124">
        <f t="shared" ref="P122:U122" si="137">+P94</f>
        <v>4310.5512569599996</v>
      </c>
      <c r="Q122" s="1124">
        <f t="shared" si="137"/>
        <v>4479.4269087399998</v>
      </c>
      <c r="R122" s="1124">
        <f t="shared" si="137"/>
        <v>4733.9711159300005</v>
      </c>
      <c r="S122" s="1124">
        <f t="shared" si="137"/>
        <v>4953.0338645499996</v>
      </c>
      <c r="T122" s="1124">
        <f t="shared" si="137"/>
        <v>4988.3219456799998</v>
      </c>
      <c r="U122" s="1124">
        <f t="shared" si="137"/>
        <v>4594.8445562100005</v>
      </c>
      <c r="V122" s="1124">
        <f t="shared" ref="V122:Z122" si="138">+V94</f>
        <v>4957.0829999999996</v>
      </c>
      <c r="W122" s="1124">
        <f t="shared" si="138"/>
        <v>5156.7429599999996</v>
      </c>
      <c r="X122" s="1124">
        <f t="shared" si="138"/>
        <v>5153.24117217</v>
      </c>
      <c r="Y122" s="1124">
        <f>+Y94</f>
        <v>5196.6072168800001</v>
      </c>
      <c r="Z122" s="1124">
        <f t="shared" si="138"/>
        <v>5385.7062799599998</v>
      </c>
      <c r="AA122" s="1124">
        <f t="shared" ref="AA122:AB122" si="139">+AA94</f>
        <v>5637.9785709400003</v>
      </c>
      <c r="AB122" s="1124">
        <f t="shared" si="139"/>
        <v>5815.7302751099996</v>
      </c>
      <c r="AC122" s="1124">
        <f t="shared" ref="AC122" si="140">+AC94</f>
        <v>5982.48400339</v>
      </c>
      <c r="AD122" s="1124">
        <f ca="1">+AD94</f>
        <v>6148.163767089779</v>
      </c>
      <c r="AE122" s="1124">
        <f ca="1">+AE94</f>
        <v>6283.3023797523792</v>
      </c>
      <c r="AF122" s="1124">
        <f ca="1">+AF94</f>
        <v>6420.8550046006676</v>
      </c>
    </row>
    <row r="123" spans="1:32" ht="12.75" customHeight="1">
      <c r="A123" s="701"/>
      <c r="C123" s="1121" t="s">
        <v>301</v>
      </c>
      <c r="D123" s="1117"/>
      <c r="E123" s="1079" t="s">
        <v>1825</v>
      </c>
      <c r="F123" s="1117" t="s">
        <v>1749</v>
      </c>
      <c r="G123" s="1125">
        <f>+G105</f>
        <v>699.91916000000003</v>
      </c>
      <c r="H123" s="1125">
        <f t="shared" ref="H123:O123" si="141">+H105</f>
        <v>724.00735999999995</v>
      </c>
      <c r="I123" s="1125">
        <f t="shared" si="141"/>
        <v>814.12838999999997</v>
      </c>
      <c r="J123" s="1125">
        <f t="shared" si="141"/>
        <v>906.20406000000003</v>
      </c>
      <c r="K123" s="1125">
        <f t="shared" si="141"/>
        <v>952.58551</v>
      </c>
      <c r="L123" s="1125">
        <f t="shared" si="141"/>
        <v>1064.50458</v>
      </c>
      <c r="M123" s="1125">
        <f t="shared" si="141"/>
        <v>1046.22063</v>
      </c>
      <c r="N123" s="1125">
        <f t="shared" si="141"/>
        <v>1033.0880500000001</v>
      </c>
      <c r="O123" s="1125">
        <f t="shared" si="141"/>
        <v>1072.55251</v>
      </c>
      <c r="P123" s="1125">
        <f t="shared" ref="P123:U123" si="142">+P105</f>
        <v>1143.4001599999999</v>
      </c>
      <c r="Q123" s="1125">
        <f t="shared" si="142"/>
        <v>1223.35592</v>
      </c>
      <c r="R123" s="1125">
        <f t="shared" si="142"/>
        <v>1323.9808</v>
      </c>
      <c r="S123" s="1125">
        <f t="shared" si="142"/>
        <v>1425.0594699999999</v>
      </c>
      <c r="T123" s="1125">
        <f t="shared" si="142"/>
        <v>1479.08863</v>
      </c>
      <c r="U123" s="1125">
        <f t="shared" si="142"/>
        <v>1270.86932</v>
      </c>
      <c r="V123" s="1125">
        <f t="shared" ref="V123:Z123" si="143">+V105</f>
        <v>1433.259</v>
      </c>
      <c r="W123" s="1125">
        <f t="shared" si="143"/>
        <v>1538.5076799999999</v>
      </c>
      <c r="X123" s="1125">
        <f t="shared" si="143"/>
        <v>1545.92596</v>
      </c>
      <c r="Y123" s="1125">
        <f>+Y105</f>
        <v>1544.0986799999998</v>
      </c>
      <c r="Z123" s="1125">
        <f t="shared" si="143"/>
        <v>1641.0801100000001</v>
      </c>
      <c r="AA123" s="1125">
        <f t="shared" ref="AA123:AB123" si="144">+AA105</f>
        <v>1727.1312</v>
      </c>
      <c r="AB123" s="1125">
        <f t="shared" si="144"/>
        <v>1801.4898899999998</v>
      </c>
      <c r="AC123" s="1125">
        <f t="shared" ref="AC123" si="145">+AC105</f>
        <v>1887.0841599999999</v>
      </c>
      <c r="AD123" s="1125">
        <f ca="1">+AD105</f>
        <v>1957.1903985109789</v>
      </c>
      <c r="AE123" s="1125">
        <f ca="1">+AE105</f>
        <v>2019.7916896528159</v>
      </c>
      <c r="AF123" s="1125">
        <f ca="1">+AF105</f>
        <v>2083.3625657751418</v>
      </c>
    </row>
    <row r="124" spans="1:32">
      <c r="A124" s="701"/>
      <c r="B124" s="701"/>
      <c r="C124" s="1122"/>
      <c r="D124" s="1126"/>
      <c r="E124" s="1127" t="s">
        <v>646</v>
      </c>
      <c r="F124" s="1129"/>
      <c r="G124" s="3161" t="str">
        <f>IF(UPPER('VVP1'!$F$2)="Y","n.a.",'VVP2'!G125-'VVP2'!G122+'VVP2'!G123)</f>
        <v>n.a.</v>
      </c>
      <c r="H124" s="3161" t="str">
        <f>IF(UPPER('VVP1'!$F$2)="Y","n.a.",'VVP2'!H125-'VVP2'!H122+'VVP2'!H123)</f>
        <v>n.a.</v>
      </c>
      <c r="I124" s="3161" t="str">
        <f>IF(UPPER('VVP1'!$F$2)="Y","n.a.",'VVP2'!I125-'VVP2'!I122+'VVP2'!I123)</f>
        <v>n.a.</v>
      </c>
      <c r="J124" s="3161" t="str">
        <f>IF(UPPER('VVP1'!$F$2)="Y","n.a.",'VVP2'!J125-'VVP2'!J122+'VVP2'!J123)</f>
        <v>n.a.</v>
      </c>
      <c r="K124" s="3161" t="str">
        <f>IF(UPPER('VVP1'!$F$2)="Y","n.a.",'VVP2'!K125-'VVP2'!K122+'VVP2'!K123)</f>
        <v>n.a.</v>
      </c>
      <c r="L124" s="3161" t="str">
        <f>IF(UPPER('VVP1'!$F$2)="Y","n.a.",'VVP2'!L125-'VVP2'!L122+'VVP2'!L123)</f>
        <v>n.a.</v>
      </c>
      <c r="M124" s="3161" t="str">
        <f>IF(UPPER('VVP1'!$F$2)="Y","n.a.",'VVP2'!M125-'VVP2'!M122+'VVP2'!M123)</f>
        <v>n.a.</v>
      </c>
      <c r="N124" s="3161" t="str">
        <f>IF(UPPER('VVP1'!$F$2)="Y","n.a.",'VVP2'!N125-'VVP2'!N122+'VVP2'!N123)</f>
        <v>n.a.</v>
      </c>
      <c r="O124" s="3161" t="str">
        <f>IF(UPPER('VVP1'!$F$2)="Y","n.a.",'VVP2'!O125-'VVP2'!O122+'VVP2'!O123)</f>
        <v>n.a.</v>
      </c>
      <c r="P124" s="3161" t="str">
        <f>IF(UPPER('VVP1'!$F$2)="Y","n.a.",'VVP2'!P125-'VVP2'!P122+'VVP2'!P123)</f>
        <v>n.a.</v>
      </c>
      <c r="Q124" s="3161" t="str">
        <f>IF(UPPER('VVP1'!$F$2)="Y","n.a.",'VVP2'!Q125-'VVP2'!Q122+'VVP2'!Q123)</f>
        <v>n.a.</v>
      </c>
      <c r="R124" s="3161" t="str">
        <f>IF(UPPER('VVP1'!$F$2)="Y","n.a.",'VVP2'!R125-'VVP2'!R122+'VVP2'!R123)</f>
        <v>n.a.</v>
      </c>
      <c r="S124" s="3161" t="str">
        <f>IF(UPPER('VVP1'!$F$2)="Y","n.a.",'VVP2'!S125-'VVP2'!S122+'VVP2'!S123)</f>
        <v>n.a.</v>
      </c>
      <c r="T124" s="3161" t="str">
        <f>IF(UPPER('VVP1'!$F$2)="Y","n.a.",'VVP2'!T125-'VVP2'!T122+'VVP2'!T123)</f>
        <v>n.a.</v>
      </c>
      <c r="U124" s="3161" t="str">
        <f>IF(UPPER('VVP1'!$F$2)="Y","n.a.",'VVP2'!U125-'VVP2'!U122+'VVP2'!U123)</f>
        <v>n.a.</v>
      </c>
      <c r="V124" s="3161" t="str">
        <f>IF(UPPER('VVP1'!$F$2)="Y","n.a.",'VVP2'!V125-'VVP2'!V122+'VVP2'!V123)</f>
        <v>n.a.</v>
      </c>
      <c r="W124" s="3161" t="str">
        <f>IF(UPPER('VVP1'!$F$2)="Y","n.a.",'VVP2'!W125-'VVP2'!W122+'VVP2'!W123)</f>
        <v>n.a.</v>
      </c>
      <c r="X124" s="3161" t="str">
        <f>IF(UPPER('VVP1'!$F$2)="Y","n.a.",'VVP2'!X125-'VVP2'!X122+'VVP2'!X123)</f>
        <v>n.a.</v>
      </c>
      <c r="Y124" s="3161" t="str">
        <f>IF(UPPER('VVP1'!$F$2)="Y","n.a.",'VVP2'!Y125-'VVP2'!Y122+'VVP2'!Y123)</f>
        <v>n.a.</v>
      </c>
      <c r="Z124" s="3161" t="str">
        <f>IF(UPPER('VVP1'!$F$2)="Y","n.a.",'VVP2'!Z125-'VVP2'!Z122+'VVP2'!Z123)</f>
        <v>n.a.</v>
      </c>
      <c r="AA124" s="3161" t="str">
        <f>IF(UPPER('VVP1'!$F$2)="Y","n.a.",'VVP2'!AA125-'VVP2'!AA122+'VVP2'!AA123)</f>
        <v>n.a.</v>
      </c>
      <c r="AB124" s="3161" t="str">
        <f>IF(UPPER('VVP1'!$F$2)="Y","n.a.",'VVP2'!AB125-'VVP2'!AB122+'VVP2'!AB123)</f>
        <v>n.a.</v>
      </c>
      <c r="AC124" s="3161" t="str">
        <f>IF(UPPER('VVP1'!$F$2)="Y","n.a.",'VVP2'!AC125-'VVP2'!AC122+'VVP2'!AC123)</f>
        <v>n.a.</v>
      </c>
      <c r="AD124" s="1443" t="str">
        <f>IF(UPPER('VVP1'!$F$2)="Y","n.a.",AC124*(1+AD130/100))</f>
        <v>n.a.</v>
      </c>
      <c r="AE124" s="1443" t="str">
        <f>IF(UPPER('VVP1'!$F$2)="Y","n.a.",AD124*(1+AE130/100))</f>
        <v>n.a.</v>
      </c>
      <c r="AF124" s="1443" t="str">
        <f>IF(UPPER('VVP1'!$F$2)="Y","n.a.",AE124*(1+AF130/100))</f>
        <v>n.a.</v>
      </c>
    </row>
    <row r="125" spans="1:32">
      <c r="A125" s="701">
        <f>+ROW(InputY!A55)</f>
        <v>55</v>
      </c>
      <c r="B125" s="701" t="s">
        <v>328</v>
      </c>
      <c r="C125" s="731" t="s">
        <v>1793</v>
      </c>
      <c r="D125" s="1217"/>
      <c r="E125" s="1509" t="s">
        <v>1835</v>
      </c>
      <c r="F125" s="1508" t="s">
        <v>1838</v>
      </c>
      <c r="G125" s="1224">
        <f>+InputY!G55/1000</f>
        <v>2400.8650299999999</v>
      </c>
      <c r="H125" s="1224">
        <f>+InputY!H55/1000</f>
        <v>2437.335</v>
      </c>
      <c r="I125" s="1224">
        <f>+InputY!I55/1000</f>
        <v>2508.3176699999999</v>
      </c>
      <c r="J125" s="1224">
        <f>+InputY!J55/1000</f>
        <v>2614.6943199999996</v>
      </c>
      <c r="K125" s="1224">
        <f>+InputY!K55/1000</f>
        <v>2732.0078699999999</v>
      </c>
      <c r="L125" s="1224">
        <f>+InputY!L55/1000</f>
        <v>2861.6584900000003</v>
      </c>
      <c r="M125" s="1224">
        <f>+InputY!M55/1000</f>
        <v>2906.68514</v>
      </c>
      <c r="N125" s="1224">
        <f>+InputY!N55/1000</f>
        <v>2967.0075999999999</v>
      </c>
      <c r="O125" s="1224">
        <f>+InputY!O55/1000</f>
        <v>3037.02234</v>
      </c>
      <c r="P125" s="1224">
        <f>+InputY!P55/1000</f>
        <v>3167.9417899999999</v>
      </c>
      <c r="Q125" s="1224">
        <f>+InputY!Q55/1000</f>
        <v>3257.1724900000004</v>
      </c>
      <c r="R125" s="1224">
        <f>+InputY!R55/1000</f>
        <v>3410.24521</v>
      </c>
      <c r="S125" s="1224">
        <f>+InputY!S55/1000</f>
        <v>3526.4697200000001</v>
      </c>
      <c r="T125" s="1224">
        <f>+InputY!T55/1000</f>
        <v>3506.8252400000001</v>
      </c>
      <c r="U125" s="1224">
        <f>+InputY!U55/1000</f>
        <v>3324.61418</v>
      </c>
      <c r="V125" s="1224">
        <f>+InputY!V55/1000</f>
        <v>3523.8240000000001</v>
      </c>
      <c r="W125" s="1224">
        <f>+InputY!W55/1000</f>
        <v>3618.2352799999999</v>
      </c>
      <c r="X125" s="1224">
        <f>+InputY!X55/1000</f>
        <v>3607.4344000000001</v>
      </c>
      <c r="Y125" s="1224">
        <f>+InputY!Y55/1000</f>
        <v>3652.1070399999999</v>
      </c>
      <c r="Z125" s="1224">
        <f>+InputY!Z55/1000</f>
        <v>3747.13132</v>
      </c>
      <c r="AA125" s="1224">
        <f>+InputY!AA55/1000</f>
        <v>3914.1248100000003</v>
      </c>
      <c r="AB125" s="1224">
        <f>+InputY!AB55/1000</f>
        <v>4019.1786000000002</v>
      </c>
      <c r="AC125" s="1224">
        <f>+InputY!AC55/1000</f>
        <v>4104.15193</v>
      </c>
      <c r="AD125" s="1512">
        <f ca="1">IF(UPPER('VVP1'!$F$2)="Y",+AC125*(1+AD131/100),+AD122-AD123+AD124)</f>
        <v>4201.6443341814747</v>
      </c>
      <c r="AE125" s="1512">
        <f ca="1">IF(UPPER('VVP1'!$F$2)="Y",+AD125*(1+AE131/100),+AE122-AE123+AE124)</f>
        <v>4275.6248143323528</v>
      </c>
      <c r="AF125" s="1512">
        <f ca="1">IF(UPPER('VVP1'!$F$2)="Y",+AE125*(1+AF131/100),+AF122-AF123+AF124)</f>
        <v>4350.9151695176643</v>
      </c>
    </row>
    <row r="127" spans="1:32" s="736" customFormat="1" ht="12.75" customHeight="1">
      <c r="A127" s="701"/>
      <c r="B127" s="701"/>
      <c r="C127" s="811"/>
      <c r="D127" s="1132"/>
      <c r="E127" s="1133" t="s">
        <v>1228</v>
      </c>
      <c r="F127" s="1134"/>
      <c r="G127" s="933">
        <f>+InputY!$G$3</f>
        <v>1995</v>
      </c>
      <c r="H127" s="933">
        <f>+G127+1</f>
        <v>1996</v>
      </c>
      <c r="I127" s="933">
        <f t="shared" ref="I127:O127" si="146">+H127+1</f>
        <v>1997</v>
      </c>
      <c r="J127" s="933">
        <f t="shared" si="146"/>
        <v>1998</v>
      </c>
      <c r="K127" s="933">
        <f t="shared" si="146"/>
        <v>1999</v>
      </c>
      <c r="L127" s="933">
        <f t="shared" si="146"/>
        <v>2000</v>
      </c>
      <c r="M127" s="933">
        <f t="shared" si="146"/>
        <v>2001</v>
      </c>
      <c r="N127" s="933">
        <f t="shared" si="146"/>
        <v>2002</v>
      </c>
      <c r="O127" s="933">
        <f t="shared" si="146"/>
        <v>2003</v>
      </c>
      <c r="P127" s="933">
        <f>+O127+1</f>
        <v>2004</v>
      </c>
      <c r="Q127" s="933">
        <f>+P127+1</f>
        <v>2005</v>
      </c>
      <c r="R127" s="933">
        <f>+Q127+1</f>
        <v>2006</v>
      </c>
      <c r="S127" s="933">
        <f>+R127+1</f>
        <v>2007</v>
      </c>
      <c r="T127" s="933">
        <f t="shared" ref="T127:AF127" si="147">+S127+1</f>
        <v>2008</v>
      </c>
      <c r="U127" s="933">
        <f t="shared" si="147"/>
        <v>2009</v>
      </c>
      <c r="V127" s="933">
        <f t="shared" si="147"/>
        <v>2010</v>
      </c>
      <c r="W127" s="933">
        <f t="shared" si="147"/>
        <v>2011</v>
      </c>
      <c r="X127" s="933">
        <f t="shared" si="147"/>
        <v>2012</v>
      </c>
      <c r="Y127" s="933">
        <f t="shared" si="147"/>
        <v>2013</v>
      </c>
      <c r="Z127" s="933">
        <f t="shared" si="147"/>
        <v>2014</v>
      </c>
      <c r="AA127" s="933">
        <f t="shared" si="147"/>
        <v>2015</v>
      </c>
      <c r="AB127" s="933">
        <f t="shared" si="147"/>
        <v>2016</v>
      </c>
      <c r="AC127" s="933">
        <f t="shared" si="147"/>
        <v>2017</v>
      </c>
      <c r="AD127" s="933">
        <f t="shared" si="147"/>
        <v>2018</v>
      </c>
      <c r="AE127" s="933">
        <f t="shared" si="147"/>
        <v>2019</v>
      </c>
      <c r="AF127" s="933">
        <f t="shared" si="147"/>
        <v>2020</v>
      </c>
    </row>
    <row r="128" spans="1:32" s="736" customFormat="1" ht="12.75" customHeight="1">
      <c r="A128" s="701"/>
      <c r="B128" s="701"/>
      <c r="C128" s="831"/>
      <c r="D128" s="726"/>
      <c r="E128" s="775" t="s">
        <v>376</v>
      </c>
      <c r="F128" s="770"/>
      <c r="G128" s="1135"/>
      <c r="H128" s="1135">
        <f>+(H122/G122-1)*100</f>
        <v>1.9805813619360402</v>
      </c>
      <c r="I128" s="1135">
        <f t="shared" ref="I128:AC128" si="148">+(I122/H122-1)*100</f>
        <v>5.1474261933431853</v>
      </c>
      <c r="J128" s="1135">
        <f t="shared" si="148"/>
        <v>5.9971750721439454</v>
      </c>
      <c r="K128" s="1135">
        <f t="shared" si="148"/>
        <v>4.649267991579964</v>
      </c>
      <c r="L128" s="1135">
        <f t="shared" si="148"/>
        <v>6.5585641192303479</v>
      </c>
      <c r="M128" s="1135">
        <f t="shared" si="148"/>
        <v>0.66414651652937362</v>
      </c>
      <c r="N128" s="1135">
        <f t="shared" si="148"/>
        <v>1.1675826581507787</v>
      </c>
      <c r="O128" s="1135">
        <f t="shared" si="148"/>
        <v>2.7440888399857144</v>
      </c>
      <c r="P128" s="1135">
        <f t="shared" si="148"/>
        <v>4.9039748065089261</v>
      </c>
      <c r="Q128" s="1135">
        <f t="shared" si="148"/>
        <v>3.9177274950002339</v>
      </c>
      <c r="R128" s="1135">
        <f t="shared" si="148"/>
        <v>5.6825172589232142</v>
      </c>
      <c r="S128" s="1135">
        <f t="shared" si="148"/>
        <v>4.6274627211569719</v>
      </c>
      <c r="T128" s="1135">
        <f t="shared" si="148"/>
        <v>0.7124538635312927</v>
      </c>
      <c r="U128" s="1135">
        <f t="shared" si="148"/>
        <v>-7.8879710202097053</v>
      </c>
      <c r="V128" s="1135">
        <f t="shared" si="148"/>
        <v>7.8835842944986689</v>
      </c>
      <c r="W128" s="1135">
        <f t="shared" si="148"/>
        <v>4.0277711710697606</v>
      </c>
      <c r="X128" s="1135">
        <f t="shared" si="148"/>
        <v>-6.7906968742914575E-2</v>
      </c>
      <c r="Y128" s="1135">
        <f t="shared" si="148"/>
        <v>0.84152950077704958</v>
      </c>
      <c r="Z128" s="1135">
        <f t="shared" si="148"/>
        <v>3.6388946708489689</v>
      </c>
      <c r="AA128" s="1135">
        <f t="shared" si="148"/>
        <v>4.6841078563585103</v>
      </c>
      <c r="AB128" s="1135">
        <f t="shared" si="148"/>
        <v>3.1527559378496051</v>
      </c>
      <c r="AC128" s="1135">
        <f t="shared" si="148"/>
        <v>2.8672878622598486</v>
      </c>
      <c r="AD128" s="1135">
        <f t="shared" ref="AD128:AF129" ca="1" si="149">+(AD122/AC122-1)*100</f>
        <v>2.769414236726675</v>
      </c>
      <c r="AE128" s="1135">
        <f t="shared" ca="1" si="149"/>
        <v>2.198032091890223</v>
      </c>
      <c r="AF128" s="1135">
        <f t="shared" ca="1" si="149"/>
        <v>2.1891772277512045</v>
      </c>
    </row>
    <row r="129" spans="1:32" ht="12.75" customHeight="1">
      <c r="A129" s="1170"/>
      <c r="C129" s="1016"/>
      <c r="D129" s="1161"/>
      <c r="E129" s="1162" t="s">
        <v>1825</v>
      </c>
      <c r="F129" s="1161" t="s">
        <v>1749</v>
      </c>
      <c r="G129" s="1164"/>
      <c r="H129" s="1164">
        <f>+(H123/G123-1)*100</f>
        <v>3.4415688806118672</v>
      </c>
      <c r="I129" s="1164">
        <f t="shared" ref="I129:AC129" si="150">+(I123/H123-1)*100</f>
        <v>12.447529538926227</v>
      </c>
      <c r="J129" s="1164">
        <f t="shared" si="150"/>
        <v>11.309723519161397</v>
      </c>
      <c r="K129" s="1164">
        <f t="shared" si="150"/>
        <v>5.1182125579971371</v>
      </c>
      <c r="L129" s="1164">
        <f t="shared" si="150"/>
        <v>11.748978839705426</v>
      </c>
      <c r="M129" s="1164">
        <f t="shared" si="150"/>
        <v>-1.7176018162364359</v>
      </c>
      <c r="N129" s="1164">
        <f t="shared" si="150"/>
        <v>-1.2552400156743193</v>
      </c>
      <c r="O129" s="1164">
        <f t="shared" si="150"/>
        <v>3.8200480588271191</v>
      </c>
      <c r="P129" s="1164">
        <f t="shared" si="150"/>
        <v>6.6055180832125249</v>
      </c>
      <c r="Q129" s="1164">
        <f t="shared" si="150"/>
        <v>6.992806437949084</v>
      </c>
      <c r="R129" s="1164">
        <f t="shared" si="150"/>
        <v>8.2253151642083022</v>
      </c>
      <c r="S129" s="1164">
        <f t="shared" si="150"/>
        <v>7.6344513455179897</v>
      </c>
      <c r="T129" s="1164">
        <f t="shared" si="150"/>
        <v>3.7913617738353</v>
      </c>
      <c r="U129" s="1164">
        <f t="shared" si="150"/>
        <v>-14.077541113949332</v>
      </c>
      <c r="V129" s="1164">
        <f t="shared" si="150"/>
        <v>12.777842492885117</v>
      </c>
      <c r="W129" s="1164">
        <f t="shared" si="150"/>
        <v>7.3433119903659971</v>
      </c>
      <c r="X129" s="1164">
        <f t="shared" si="150"/>
        <v>0.48217373864523072</v>
      </c>
      <c r="Y129" s="1164">
        <f t="shared" si="150"/>
        <v>-0.11819970990073481</v>
      </c>
      <c r="Z129" s="1164">
        <f t="shared" si="150"/>
        <v>6.2807792828370346</v>
      </c>
      <c r="AA129" s="1164">
        <f t="shared" si="150"/>
        <v>5.2435642523264603</v>
      </c>
      <c r="AB129" s="1164">
        <f t="shared" si="150"/>
        <v>4.305329554581605</v>
      </c>
      <c r="AC129" s="1164">
        <f t="shared" si="150"/>
        <v>4.7513044883088495</v>
      </c>
      <c r="AD129" s="1164">
        <f t="shared" ca="1" si="149"/>
        <v>3.7150562755494221</v>
      </c>
      <c r="AE129" s="1164">
        <f t="shared" ca="1" si="149"/>
        <v>3.1985284206106801</v>
      </c>
      <c r="AF129" s="1164">
        <f t="shared" ca="1" si="149"/>
        <v>3.147397647390715</v>
      </c>
    </row>
    <row r="130" spans="1:32" s="736" customFormat="1" ht="12.75" customHeight="1">
      <c r="A130" s="701"/>
      <c r="B130" s="701"/>
      <c r="C130" s="835"/>
      <c r="D130" s="870"/>
      <c r="E130" s="871" t="s">
        <v>646</v>
      </c>
      <c r="F130" s="1154" t="s">
        <v>71</v>
      </c>
      <c r="G130" s="1155"/>
      <c r="H130" s="3162" t="str">
        <f>IF(UPPER('VVP1'!$F$2)="Y","n.a.",H124/G124*100-100)</f>
        <v>n.a.</v>
      </c>
      <c r="I130" s="3162" t="str">
        <f>IF(UPPER('VVP1'!$F$2)="Y","n.a.",I124/H124*100-100)</f>
        <v>n.a.</v>
      </c>
      <c r="J130" s="3162" t="str">
        <f>IF(UPPER('VVP1'!$F$2)="Y","n.a.",J124/I124*100-100)</f>
        <v>n.a.</v>
      </c>
      <c r="K130" s="3162" t="str">
        <f>IF(UPPER('VVP1'!$F$2)="Y","n.a.",K124/J124*100-100)</f>
        <v>n.a.</v>
      </c>
      <c r="L130" s="3162" t="str">
        <f>IF(UPPER('VVP1'!$F$2)="Y","n.a.",L124/K124*100-100)</f>
        <v>n.a.</v>
      </c>
      <c r="M130" s="3162" t="str">
        <f>IF(UPPER('VVP1'!$F$2)="Y","n.a.",M124/L124*100-100)</f>
        <v>n.a.</v>
      </c>
      <c r="N130" s="3162" t="str">
        <f>IF(UPPER('VVP1'!$F$2)="Y","n.a.",N124/M124*100-100)</f>
        <v>n.a.</v>
      </c>
      <c r="O130" s="3162" t="str">
        <f>IF(UPPER('VVP1'!$F$2)="Y","n.a.",O124/N124*100-100)</f>
        <v>n.a.</v>
      </c>
      <c r="P130" s="3162" t="str">
        <f>IF(UPPER('VVP1'!$F$2)="Y","n.a.",P124/O124*100-100)</f>
        <v>n.a.</v>
      </c>
      <c r="Q130" s="3162" t="str">
        <f>IF(UPPER('VVP1'!$F$2)="Y","n.a.",Q124/P124*100-100)</f>
        <v>n.a.</v>
      </c>
      <c r="R130" s="3162" t="str">
        <f>IF(UPPER('VVP1'!$F$2)="Y","n.a.",R124/Q124*100-100)</f>
        <v>n.a.</v>
      </c>
      <c r="S130" s="3162" t="str">
        <f>IF(UPPER('VVP1'!$F$2)="Y","n.a.",S124/R124*100-100)</f>
        <v>n.a.</v>
      </c>
      <c r="T130" s="3162" t="str">
        <f>IF(UPPER('VVP1'!$F$2)="Y","n.a.",T124/S124*100-100)</f>
        <v>n.a.</v>
      </c>
      <c r="U130" s="3162" t="str">
        <f>IF(UPPER('VVP1'!$F$2)="Y","n.a.",U124/T124*100-100)</f>
        <v>n.a.</v>
      </c>
      <c r="V130" s="3162" t="str">
        <f>IF(UPPER('VVP1'!$F$2)="Y","n.a.",V124/U124*100-100)</f>
        <v>n.a.</v>
      </c>
      <c r="W130" s="3162" t="str">
        <f>IF(UPPER('VVP1'!$F$2)="Y","n.a.",W124/V124*100-100)</f>
        <v>n.a.</v>
      </c>
      <c r="X130" s="3162" t="str">
        <f>IF(UPPER('VVP1'!$F$2)="Y","n.a.",X124/W124*100-100)</f>
        <v>n.a.</v>
      </c>
      <c r="Y130" s="3162" t="str">
        <f>IF(UPPER('VVP1'!$F$2)="Y","n.a.",Y124/X124*100-100)</f>
        <v>n.a.</v>
      </c>
      <c r="Z130" s="3162" t="str">
        <f>IF(UPPER('VVP1'!$F$2)="Y","n.a.",Z124/Y124*100-100)</f>
        <v>n.a.</v>
      </c>
      <c r="AA130" s="3162" t="str">
        <f>IF(UPPER('VVP1'!$F$2)="Y","n.a.",AA124/Z124*100-100)</f>
        <v>n.a.</v>
      </c>
      <c r="AB130" s="3162" t="str">
        <f>IF(UPPER('VVP1'!$F$2)="Y","n.a.",AB124/AA124*100-100)</f>
        <v>n.a.</v>
      </c>
      <c r="AC130" s="3162" t="str">
        <f>IF(UPPER('VVP1'!$F$2)="Y","n.a.",AC124/AB124*100-100)</f>
        <v>n.a.</v>
      </c>
      <c r="AD130" s="1474">
        <f ca="1">OFFSET('VVP1'!$G$81,0,5*(COLUMN()-7))</f>
        <v>20</v>
      </c>
      <c r="AE130" s="1474">
        <f ca="1">OFFSET('VVP1'!$G$81,0,5*(COLUMN()-7))</f>
        <v>-17</v>
      </c>
      <c r="AF130" s="1474">
        <f ca="1">OFFSET('VVP1'!$G$81,0,5*(COLUMN()-7))</f>
        <v>0</v>
      </c>
    </row>
    <row r="131" spans="1:32" s="736" customFormat="1" ht="12.75" customHeight="1">
      <c r="A131" s="701"/>
      <c r="B131" s="701"/>
      <c r="C131" s="811"/>
      <c r="D131" s="754"/>
      <c r="E131" s="1139" t="s">
        <v>1835</v>
      </c>
      <c r="F131" s="1139" t="s">
        <v>1838</v>
      </c>
      <c r="G131" s="1139"/>
      <c r="H131" s="1139">
        <f>+(H125/G125-1)*100</f>
        <v>1.5190345789658943</v>
      </c>
      <c r="I131" s="1139">
        <f>+(I125/H125-1)*100</f>
        <v>2.9123066792213548</v>
      </c>
      <c r="J131" s="1139">
        <f t="shared" ref="J131:Z131" si="151">+(J125/I125-1)*100</f>
        <v>4.2409560508338551</v>
      </c>
      <c r="K131" s="1139">
        <f t="shared" si="151"/>
        <v>4.4867022926029954</v>
      </c>
      <c r="L131" s="1139">
        <f t="shared" si="151"/>
        <v>4.7456166368949892</v>
      </c>
      <c r="M131" s="1139">
        <f t="shared" si="151"/>
        <v>1.5734459634978881</v>
      </c>
      <c r="N131" s="1139">
        <f t="shared" si="151"/>
        <v>2.0753008012419194</v>
      </c>
      <c r="O131" s="1139">
        <f t="shared" si="151"/>
        <v>2.3597762270646028</v>
      </c>
      <c r="P131" s="1139">
        <f t="shared" si="151"/>
        <v>4.310783239085425</v>
      </c>
      <c r="Q131" s="1139">
        <f t="shared" si="151"/>
        <v>2.8166773859819028</v>
      </c>
      <c r="R131" s="1139">
        <f t="shared" si="151"/>
        <v>4.6995582969571181</v>
      </c>
      <c r="S131" s="1139">
        <f t="shared" si="151"/>
        <v>3.4080983285069921</v>
      </c>
      <c r="T131" s="1139">
        <f t="shared" si="151"/>
        <v>-0.55705795199625374</v>
      </c>
      <c r="U131" s="1139">
        <f t="shared" si="151"/>
        <v>-5.1958979284636442</v>
      </c>
      <c r="V131" s="1139">
        <f t="shared" si="151"/>
        <v>5.9919680665020847</v>
      </c>
      <c r="W131" s="1139">
        <f t="shared" si="151"/>
        <v>2.6792280204686714</v>
      </c>
      <c r="X131" s="1139">
        <f t="shared" si="151"/>
        <v>-0.29851237313677226</v>
      </c>
      <c r="Y131" s="1139">
        <f t="shared" si="151"/>
        <v>1.238349337689959</v>
      </c>
      <c r="Z131" s="1139">
        <f t="shared" si="151"/>
        <v>2.601902927795896</v>
      </c>
      <c r="AA131" s="1139">
        <f>+(AA125/Z125-1)*100</f>
        <v>4.456568925371962</v>
      </c>
      <c r="AB131" s="1139">
        <f>+(AB125/AA125-1)*100</f>
        <v>2.6839662785306029</v>
      </c>
      <c r="AC131" s="1139">
        <f>+(AC125/AB125-1)*100</f>
        <v>2.1141964181437434</v>
      </c>
      <c r="AD131" s="1514">
        <f ca="1">IF(UPPER('VVP1'!$F$2)="Y",OFFSET('VVP1'!$G$17,0,5*(COLUMN()-7)),('VVP2'!AD125/'VVP2'!AC125-1)*100)</f>
        <v>2.3754579714468482</v>
      </c>
      <c r="AE131" s="1514">
        <f ca="1">IF(UPPER('VVP1'!$F$2)="Y",OFFSET('VVP1'!$G$17,0,5*(COLUMN()-7)),('VVP2'!AE125/'VVP2'!AD125-1)*100)</f>
        <v>1.7607506553809715</v>
      </c>
      <c r="AF131" s="1514">
        <f ca="1">IF(UPPER('VVP1'!$F$2)="Y",OFFSET('VVP1'!$G$17,0,5*(COLUMN()-7)),('VVP2'!AF125/'VVP2'!AE125-1)*100)</f>
        <v>1.7609205310281206</v>
      </c>
    </row>
    <row r="133" spans="1:32">
      <c r="A133" s="1170"/>
      <c r="D133" s="1526"/>
      <c r="E133" s="1561" t="s">
        <v>1232</v>
      </c>
      <c r="F133" s="1562"/>
      <c r="G133" s="854">
        <f>+InputY!$G$3</f>
        <v>1995</v>
      </c>
      <c r="H133" s="854">
        <f>+G133+1</f>
        <v>1996</v>
      </c>
      <c r="I133" s="854">
        <f t="shared" ref="I133:O133" si="152">+H133+1</f>
        <v>1997</v>
      </c>
      <c r="J133" s="854">
        <f t="shared" si="152"/>
        <v>1998</v>
      </c>
      <c r="K133" s="854">
        <f t="shared" si="152"/>
        <v>1999</v>
      </c>
      <c r="L133" s="854">
        <f t="shared" si="152"/>
        <v>2000</v>
      </c>
      <c r="M133" s="854">
        <f t="shared" si="152"/>
        <v>2001</v>
      </c>
      <c r="N133" s="854">
        <f t="shared" si="152"/>
        <v>2002</v>
      </c>
      <c r="O133" s="854">
        <f t="shared" si="152"/>
        <v>2003</v>
      </c>
      <c r="P133" s="854">
        <f>+O133+1</f>
        <v>2004</v>
      </c>
      <c r="Q133" s="854">
        <f>+P133+1</f>
        <v>2005</v>
      </c>
      <c r="R133" s="854">
        <f>+Q133+1</f>
        <v>2006</v>
      </c>
      <c r="S133" s="854">
        <f>+R133+1</f>
        <v>2007</v>
      </c>
      <c r="T133" s="854">
        <f t="shared" ref="T133:AF133" si="153">+S133+1</f>
        <v>2008</v>
      </c>
      <c r="U133" s="854">
        <f t="shared" si="153"/>
        <v>2009</v>
      </c>
      <c r="V133" s="854">
        <f t="shared" si="153"/>
        <v>2010</v>
      </c>
      <c r="W133" s="854">
        <f t="shared" si="153"/>
        <v>2011</v>
      </c>
      <c r="X133" s="854">
        <f t="shared" si="153"/>
        <v>2012</v>
      </c>
      <c r="Y133" s="854">
        <f t="shared" si="153"/>
        <v>2013</v>
      </c>
      <c r="Z133" s="854">
        <f t="shared" si="153"/>
        <v>2014</v>
      </c>
      <c r="AA133" s="854">
        <f t="shared" si="153"/>
        <v>2015</v>
      </c>
      <c r="AB133" s="854">
        <f t="shared" si="153"/>
        <v>2016</v>
      </c>
      <c r="AC133" s="854">
        <f t="shared" si="153"/>
        <v>2017</v>
      </c>
      <c r="AD133" s="854">
        <f t="shared" si="153"/>
        <v>2018</v>
      </c>
      <c r="AE133" s="854">
        <f t="shared" si="153"/>
        <v>2019</v>
      </c>
      <c r="AF133" s="854">
        <f t="shared" si="153"/>
        <v>2020</v>
      </c>
    </row>
    <row r="134" spans="1:32" ht="12.75">
      <c r="A134" s="701"/>
      <c r="C134" s="1528"/>
      <c r="D134" s="2023" t="s">
        <v>664</v>
      </c>
      <c r="E134" s="1" t="s">
        <v>1998</v>
      </c>
      <c r="F134" s="1530" t="s">
        <v>1258</v>
      </c>
      <c r="G134" s="1102"/>
      <c r="H134" s="1102">
        <f ca="1">IF(UPPER('VVP1'!$F$2)="Y",(OFFSET('VVP1'!$M7,0,5*(COLUMN()-8))-OFFSET('VVP1'!$J7,0,5*(COLUMN()-8)))/OFFSET('VVP1'!$J$17,0,5*(COLUMN()-8))*100,(H7-G7)/G$125*100)</f>
        <v>0.85910895725818848</v>
      </c>
      <c r="I134" s="1102">
        <f ca="1">IF(UPPER('VVP1'!$F$2)="Y",(OFFSET('VVP1'!$M7,0,5*(COLUMN()-8))-OFFSET('VVP1'!$J7,0,5*(COLUMN()-8)))/OFFSET('VVP1'!$J$17,0,5*(COLUMN()-8))*100,(I7-H7)/H$125*100)</f>
        <v>1.334789570441546</v>
      </c>
      <c r="J134" s="1102">
        <f ca="1">IF(UPPER('VVP1'!$F$2)="Y",(OFFSET('VVP1'!$M7,0,5*(COLUMN()-8))-OFFSET('VVP1'!$J7,0,5*(COLUMN()-8)))/OFFSET('VVP1'!$J$17,0,5*(COLUMN()-8))*100,(J7-I7)/I$125*100)</f>
        <v>1.5634617835334752</v>
      </c>
      <c r="K134" s="1102">
        <f ca="1">IF(UPPER('VVP1'!$F$2)="Y",(OFFSET('VVP1'!$M7,0,5*(COLUMN()-8))-OFFSET('VVP1'!$J7,0,5*(COLUMN()-8)))/OFFSET('VVP1'!$J$17,0,5*(COLUMN()-8))*100,(K7-J7)/J$125*100)</f>
        <v>1.8848579903567149</v>
      </c>
      <c r="L134" s="1102">
        <f ca="1">IF(UPPER('VVP1'!$F$2)="Y",(OFFSET('VVP1'!$M7,0,5*(COLUMN()-8))-OFFSET('VVP1'!$J7,0,5*(COLUMN()-8)))/OFFSET('VVP1'!$J$17,0,5*(COLUMN()-8))*100,(L7-K7)/K$125*100)</f>
        <v>2.4572291155165313</v>
      </c>
      <c r="M134" s="1102">
        <f ca="1">IF(UPPER('VVP1'!$F$2)="Y",(OFFSET('VVP1'!$M7,0,5*(COLUMN()-8))-OFFSET('VVP1'!$J7,0,5*(COLUMN()-8)))/OFFSET('VVP1'!$J$17,0,5*(COLUMN()-8))*100,(M7-L7)/L$125*100)</f>
        <v>0.34197159861295667</v>
      </c>
      <c r="N134" s="1102">
        <f ca="1">IF(UPPER('VVP1'!$F$2)="Y",(OFFSET('VVP1'!$M7,0,5*(COLUMN()-8))-OFFSET('VVP1'!$J7,0,5*(COLUMN()-8)))/OFFSET('VVP1'!$J$17,0,5*(COLUMN()-8))*100,(N7-M7)/M$125*100)</f>
        <v>1.205171475333537</v>
      </c>
      <c r="O134" s="1102">
        <f ca="1">IF(UPPER('VVP1'!$F$2)="Y",(OFFSET('VVP1'!$M7,0,5*(COLUMN()-8))-OFFSET('VVP1'!$J7,0,5*(COLUMN()-8)))/OFFSET('VVP1'!$J$17,0,5*(COLUMN()-8))*100,(O7-N7)/N$125*100)</f>
        <v>1.0738214892219955</v>
      </c>
      <c r="P134" s="1102">
        <f ca="1">IF(UPPER('VVP1'!$F$2)="Y",(OFFSET('VVP1'!$M7,0,5*(COLUMN()-8))-OFFSET('VVP1'!$J7,0,5*(COLUMN()-8)))/OFFSET('VVP1'!$J$17,0,5*(COLUMN()-8))*100,(P7-O7)/O$125*100)</f>
        <v>1.2918354562401961</v>
      </c>
      <c r="Q134" s="1102">
        <f ca="1">IF(UPPER('VVP1'!$F$2)="Y",(OFFSET('VVP1'!$M7,0,5*(COLUMN()-8))-OFFSET('VVP1'!$J7,0,5*(COLUMN()-8)))/OFFSET('VVP1'!$J$17,0,5*(COLUMN()-8))*100,(Q7-P7)/P$125*100)</f>
        <v>1.2674258190431487</v>
      </c>
      <c r="R134" s="1102">
        <f ca="1">IF(UPPER('VVP1'!$F$2)="Y",(OFFSET('VVP1'!$M7,0,5*(COLUMN()-8))-OFFSET('VVP1'!$J7,0,5*(COLUMN()-8)))/OFFSET('VVP1'!$J$17,0,5*(COLUMN()-8))*100,(R7-Q7)/Q$125*100)</f>
        <v>1.2266193941616388</v>
      </c>
      <c r="S134" s="1102">
        <f ca="1">IF(UPPER('VVP1'!$F$2)="Y",(OFFSET('VVP1'!$M7,0,5*(COLUMN()-8))-OFFSET('VVP1'!$J7,0,5*(COLUMN()-8)))/OFFSET('VVP1'!$J$17,0,5*(COLUMN()-8))*100,(S7-R7)/R$125*100)</f>
        <v>1.6983518825018897</v>
      </c>
      <c r="T134" s="1102">
        <f ca="1">IF(UPPER('VVP1'!$F$2)="Y",(OFFSET('VVP1'!$M7,0,5*(COLUMN()-8))-OFFSET('VVP1'!$J7,0,5*(COLUMN()-8)))/OFFSET('VVP1'!$J$17,0,5*(COLUMN()-8))*100,(T7-S7)/S$125*100)</f>
        <v>0.10089760013259172</v>
      </c>
      <c r="U134" s="1102">
        <f ca="1">IF(UPPER('VVP1'!$F$2)="Y",(OFFSET('VVP1'!$M7,0,5*(COLUMN()-8))-OFFSET('VVP1'!$J7,0,5*(COLUMN()-8)))/OFFSET('VVP1'!$J$17,0,5*(COLUMN()-8))*100,(U7-T7)/T$125*100)</f>
        <v>0.1563262363513033</v>
      </c>
      <c r="V134" s="1102">
        <f ca="1">IF(UPPER('VVP1'!$F$2)="Y",(OFFSET('VVP1'!$M7,0,5*(COLUMN()-8))-OFFSET('VVP1'!$J7,0,5*(COLUMN()-8)))/OFFSET('VVP1'!$J$17,0,5*(COLUMN()-8))*100,(V7-U7)/U$125*100)</f>
        <v>1.8321961616004194</v>
      </c>
      <c r="W134" s="1102">
        <f ca="1">IF(UPPER('VVP1'!$F$2)="Y",(OFFSET('VVP1'!$M7,0,5*(COLUMN()-8))-OFFSET('VVP1'!$J7,0,5*(COLUMN()-8)))/OFFSET('VVP1'!$J$17,0,5*(COLUMN()-8))*100,(W7-V7)/V$125*100)</f>
        <v>0.86588717257161529</v>
      </c>
      <c r="X134" s="1102">
        <f ca="1">IF(UPPER('VVP1'!$F$2)="Y",(OFFSET('VVP1'!$M7,0,5*(COLUMN()-8))-OFFSET('VVP1'!$J7,0,5*(COLUMN()-8)))/OFFSET('VVP1'!$J$17,0,5*(COLUMN()-8))*100,(X7-W7)/W$125*100)</f>
        <v>0.36505356103034553</v>
      </c>
      <c r="Y134" s="1102">
        <f ca="1">IF(UPPER('VVP1'!$F$2)="Y",(OFFSET('VVP1'!$M7,0,5*(COLUMN()-8))-OFFSET('VVP1'!$J7,0,5*(COLUMN()-8)))/OFFSET('VVP1'!$J$17,0,5*(COLUMN()-8))*100,(Y7-X7)/X$125*100)</f>
        <v>0.8642032810037259</v>
      </c>
      <c r="Z134" s="1102">
        <f ca="1">IF(UPPER('VVP1'!$F$2)="Y",(OFFSET('VVP1'!$M7,0,5*(COLUMN()-8))-OFFSET('VVP1'!$J7,0,5*(COLUMN()-8)))/OFFSET('VVP1'!$J$17,0,5*(COLUMN()-8))*100,(Z7-Y7)/Y$125*100)</f>
        <v>0.99188641412770506</v>
      </c>
      <c r="AA134" s="1102">
        <f ca="1">IF(UPPER('VVP1'!$F$2)="Y",(OFFSET('VVP1'!$M7,0,5*(COLUMN()-8))-OFFSET('VVP1'!$J7,0,5*(COLUMN()-8)))/OFFSET('VVP1'!$J$17,0,5*(COLUMN()-8))*100,(AA7-Z7)/Z$125*100)</f>
        <v>1.4373969075267974</v>
      </c>
      <c r="AB134" s="1102">
        <f ca="1">IF(UPPER('VVP1'!$F$2)="Y",(OFFSET('VVP1'!$M7,0,5*(COLUMN()-8))-OFFSET('VVP1'!$J7,0,5*(COLUMN()-8)))/OFFSET('VVP1'!$J$17,0,5*(COLUMN()-8))*100,(AB7-AA7)/AA$125*100)</f>
        <v>1.2875983883030195</v>
      </c>
      <c r="AC134" s="1102">
        <f ca="1">IF(UPPER('VVP1'!$F$2)="Y",(OFFSET('VVP1'!$M7,0,5*(COLUMN()-8))-OFFSET('VVP1'!$J7,0,5*(COLUMN()-8)))/OFFSET('VVP1'!$J$17,0,5*(COLUMN()-8))*100,(AC7-AB7)/AB$125*100)</f>
        <v>0.99034462934487633</v>
      </c>
      <c r="AD134" s="1102">
        <f ca="1">IF(UPPER('VVP1'!$F$2)="Y",(OFFSET('VVP1'!$M7,0,5*(COLUMN()-8))-OFFSET('VVP1'!$J7,0,5*(COLUMN()-8)))/OFFSET('VVP1'!$J$17,0,5*(COLUMN()-8))*100,(AD7-AC7)/AC$125*100)</f>
        <v>1.0696730371209293</v>
      </c>
      <c r="AE134" s="1102">
        <f ca="1">IF(UPPER('VVP1'!$F$2)="Y",(OFFSET('VVP1'!$M7,0,5*(COLUMN()-8))-OFFSET('VVP1'!$J7,0,5*(COLUMN()-8)))/OFFSET('VVP1'!$J$17,0,5*(COLUMN()-8))*100,(AE7-AD7)/AD$125*100)</f>
        <v>1.0309777169978209</v>
      </c>
      <c r="AF134" s="1102">
        <f ca="1">IF(UPPER('VVP1'!$F$2)="Y",(OFFSET('VVP1'!$M7,0,5*(COLUMN()-8))-OFFSET('VVP1'!$J7,0,5*(COLUMN()-8)))/OFFSET('VVP1'!$J$17,0,5*(COLUMN()-8))*100,(AF7-AE7)/AE$125*100)</f>
        <v>0.93178899746257005</v>
      </c>
    </row>
    <row r="135" spans="1:32" ht="12.75">
      <c r="A135" s="701"/>
      <c r="C135" s="1529"/>
      <c r="D135" s="1110" t="s">
        <v>666</v>
      </c>
      <c r="E135" s="1" t="s">
        <v>1998</v>
      </c>
      <c r="F135" s="1530" t="s">
        <v>699</v>
      </c>
      <c r="G135" s="541"/>
      <c r="H135" s="541">
        <f ca="1">IF(UPPER('VVP1'!$F$2)="Y",(OFFSET('VVP1'!$M8,0,5*(COLUMN()-8))-OFFSET('VVP1'!$J8,0,5*(COLUMN()-8)))/OFFSET('VVP1'!$J$17,0,5*(COLUMN()-8))*100,(H13-G13)/G$125*100)</f>
        <v>-3.2147004615352241E-2</v>
      </c>
      <c r="I135" s="541">
        <f ca="1">IF(UPPER('VVP1'!$F$2)="Y",(OFFSET('VVP1'!$M8,0,5*(COLUMN()-8))-OFFSET('VVP1'!$J8,0,5*(COLUMN()-8)))/OFFSET('VVP1'!$J$17,0,5*(COLUMN()-8))*100,(I13-H13)/H$125*100)</f>
        <v>-0.11909963272584088</v>
      </c>
      <c r="J135" s="541">
        <f ca="1">IF(UPPER('VVP1'!$F$2)="Y",(OFFSET('VVP1'!$M8,0,5*(COLUMN()-8))-OFFSET('VVP1'!$J8,0,5*(COLUMN()-8)))/OFFSET('VVP1'!$J$17,0,5*(COLUMN()-8))*100,(J13-I13)/I$125*100)</f>
        <v>0.96292527620092816</v>
      </c>
      <c r="K135" s="541">
        <f ca="1">IF(UPPER('VVP1'!$F$2)="Y",(OFFSET('VVP1'!$M8,0,5*(COLUMN()-8))-OFFSET('VVP1'!$J8,0,5*(COLUMN()-8)))/OFFSET('VVP1'!$J$17,0,5*(COLUMN()-8))*100,(K13-J13)/J$125*100)</f>
        <v>0.44530280759931107</v>
      </c>
      <c r="L135" s="541">
        <f ca="1">IF(UPPER('VVP1'!$F$2)="Y",(OFFSET('VVP1'!$M8,0,5*(COLUMN()-8))-OFFSET('VVP1'!$J8,0,5*(COLUMN()-8)))/OFFSET('VVP1'!$J$17,0,5*(COLUMN()-8))*100,(L13-K13)/K$125*100)</f>
        <v>-0.23039267367396973</v>
      </c>
      <c r="M135" s="541">
        <f ca="1">IF(UPPER('VVP1'!$F$2)="Y",(OFFSET('VVP1'!$M8,0,5*(COLUMN()-8))-OFFSET('VVP1'!$J8,0,5*(COLUMN()-8)))/OFFSET('VVP1'!$J$17,0,5*(COLUMN()-8))*100,(M13-L13)/L$125*100)</f>
        <v>4.2116545973500036E-2</v>
      </c>
      <c r="N135" s="541">
        <f ca="1">IF(UPPER('VVP1'!$F$2)="Y",(OFFSET('VVP1'!$M8,0,5*(COLUMN()-8))-OFFSET('VVP1'!$J8,0,5*(COLUMN()-8)))/OFFSET('VVP1'!$J$17,0,5*(COLUMN()-8))*100,(N13-M13)/M$125*100)</f>
        <v>0.51817836990416677</v>
      </c>
      <c r="O135" s="541">
        <f ca="1">IF(UPPER('VVP1'!$F$2)="Y",(OFFSET('VVP1'!$M8,0,5*(COLUMN()-8))-OFFSET('VVP1'!$J8,0,5*(COLUMN()-8)))/OFFSET('VVP1'!$J$17,0,5*(COLUMN()-8))*100,(O13-N13)/N$125*100)</f>
        <v>0.17059308044992924</v>
      </c>
      <c r="P135" s="541">
        <f ca="1">IF(UPPER('VVP1'!$F$2)="Y",(OFFSET('VVP1'!$M8,0,5*(COLUMN()-8))-OFFSET('VVP1'!$J8,0,5*(COLUMN()-8)))/OFFSET('VVP1'!$J$17,0,5*(COLUMN()-8))*100,(P13-O13)/O$125*100)</f>
        <v>-5.9045893420643959E-2</v>
      </c>
      <c r="Q135" s="541">
        <f ca="1">IF(UPPER('VVP1'!$F$2)="Y",(OFFSET('VVP1'!$M8,0,5*(COLUMN()-8))-OFFSET('VVP1'!$J8,0,5*(COLUMN()-8)))/OFFSET('VVP1'!$J$17,0,5*(COLUMN()-8))*100,(Q13-P13)/P$125*100)</f>
        <v>9.2819444367576359E-2</v>
      </c>
      <c r="R135" s="541">
        <f ca="1">IF(UPPER('VVP1'!$F$2)="Y",(OFFSET('VVP1'!$M8,0,5*(COLUMN()-8))-OFFSET('VVP1'!$J8,0,5*(COLUMN()-8)))/OFFSET('VVP1'!$J$17,0,5*(COLUMN()-8))*100,(R13-Q13)/Q$125*100)</f>
        <v>0.40012179904518103</v>
      </c>
      <c r="S135" s="541">
        <f ca="1">IF(UPPER('VVP1'!$F$2)="Y",(OFFSET('VVP1'!$M8,0,5*(COLUMN()-8))-OFFSET('VVP1'!$J8,0,5*(COLUMN()-8)))/OFFSET('VVP1'!$J$17,0,5*(COLUMN()-8))*100,(S13-R13)/R$125*100)</f>
        <v>0.12307510579440885</v>
      </c>
      <c r="T135" s="541">
        <f ca="1">IF(UPPER('VVP1'!$F$2)="Y",(OFFSET('VVP1'!$M8,0,5*(COLUMN()-8))-OFFSET('VVP1'!$J8,0,5*(COLUMN()-8)))/OFFSET('VVP1'!$J$17,0,5*(COLUMN()-8))*100,(T13-S13)/S$125*100)</f>
        <v>0.32110729829721302</v>
      </c>
      <c r="U135" s="541">
        <f ca="1">IF(UPPER('VVP1'!$F$2)="Y",(OFFSET('VVP1'!$M8,0,5*(COLUMN()-8))-OFFSET('VVP1'!$J8,0,5*(COLUMN()-8)))/OFFSET('VVP1'!$J$17,0,5*(COLUMN()-8))*100,(U13-T13)/T$125*100)</f>
        <v>0.55410164560133723</v>
      </c>
      <c r="V135" s="541">
        <f ca="1">IF(UPPER('VVP1'!$F$2)="Y",(OFFSET('VVP1'!$M8,0,5*(COLUMN()-8))-OFFSET('VVP1'!$J8,0,5*(COLUMN()-8)))/OFFSET('VVP1'!$J$17,0,5*(COLUMN()-8))*100,(V13-U13)/U$125*100)</f>
        <v>0.34349998917577768</v>
      </c>
      <c r="W135" s="541">
        <f ca="1">IF(UPPER('VVP1'!$F$2)="Y",(OFFSET('VVP1'!$M8,0,5*(COLUMN()-8))-OFFSET('VVP1'!$J8,0,5*(COLUMN()-8)))/OFFSET('VVP1'!$J$17,0,5*(COLUMN()-8))*100,(W13-V13)/V$125*100)</f>
        <v>0.20780947062055433</v>
      </c>
      <c r="X135" s="541">
        <f ca="1">IF(UPPER('VVP1'!$F$2)="Y",(OFFSET('VVP1'!$M8,0,5*(COLUMN()-8))-OFFSET('VVP1'!$J8,0,5*(COLUMN()-8)))/OFFSET('VVP1'!$J$17,0,5*(COLUMN()-8))*100,(X13-W13)/W$125*100)</f>
        <v>0.27869007410561975</v>
      </c>
      <c r="Y135" s="541">
        <f ca="1">IF(UPPER('VVP1'!$F$2)="Y",(OFFSET('VVP1'!$M8,0,5*(COLUMN()-8))-OFFSET('VVP1'!$J8,0,5*(COLUMN()-8)))/OFFSET('VVP1'!$J$17,0,5*(COLUMN()-8))*100,(Y13-X13)/X$125*100)</f>
        <v>0.3340553220537526</v>
      </c>
      <c r="Z135" s="541">
        <f ca="1">IF(UPPER('VVP1'!$F$2)="Y",(OFFSET('VVP1'!$M8,0,5*(COLUMN()-8))-OFFSET('VVP1'!$J8,0,5*(COLUMN()-8)))/OFFSET('VVP1'!$J$17,0,5*(COLUMN()-8))*100,(Z13-Y13)/Y$125*100)</f>
        <v>0.39757971385180568</v>
      </c>
      <c r="AA135" s="541">
        <f ca="1">IF(UPPER('VVP1'!$F$2)="Y",(OFFSET('VVP1'!$M8,0,5*(COLUMN()-8))-OFFSET('VVP1'!$J8,0,5*(COLUMN()-8)))/OFFSET('VVP1'!$J$17,0,5*(COLUMN()-8))*100,(AA13-Z13)/Z$125*100)</f>
        <v>0.63066094609143852</v>
      </c>
      <c r="AB135" s="541">
        <f ca="1">IF(UPPER('VVP1'!$F$2)="Y",(OFFSET('VVP1'!$M8,0,5*(COLUMN()-8))-OFFSET('VVP1'!$J8,0,5*(COLUMN()-8)))/OFFSET('VVP1'!$J$17,0,5*(COLUMN()-8))*100,(AB13-AA13)/AA$125*100)</f>
        <v>0.93146732581883307</v>
      </c>
      <c r="AC135" s="541">
        <f ca="1">IF(UPPER('VVP1'!$F$2)="Y",(OFFSET('VVP1'!$M8,0,5*(COLUMN()-8))-OFFSET('VVP1'!$J8,0,5*(COLUMN()-8)))/OFFSET('VVP1'!$J$17,0,5*(COLUMN()-8))*100,(AC13-AB13)/AB$125*100)</f>
        <v>-7.2419166354893943E-4</v>
      </c>
      <c r="AD135" s="541">
        <f ca="1">IF(UPPER('VVP1'!$F$2)="Y",(OFFSET('VVP1'!$M8,0,5*(COLUMN()-8))-OFFSET('VVP1'!$J8,0,5*(COLUMN()-8)))/OFFSET('VVP1'!$J$17,0,5*(COLUMN()-8))*100,(AD13-AC13)/AC$125*100)</f>
        <v>0.27678879573452114</v>
      </c>
      <c r="AE135" s="541">
        <f ca="1">IF(UPPER('VVP1'!$F$2)="Y",(OFFSET('VVP1'!$M8,0,5*(COLUMN()-8))-OFFSET('VVP1'!$J8,0,5*(COLUMN()-8)))/OFFSET('VVP1'!$J$17,0,5*(COLUMN()-8))*100,(AE13-AD13)/AD$125*100)</f>
        <v>0.23410873810280297</v>
      </c>
      <c r="AF135" s="541">
        <f ca="1">IF(UPPER('VVP1'!$F$2)="Y",(OFFSET('VVP1'!$M8,0,5*(COLUMN()-8))-OFFSET('VVP1'!$J8,0,5*(COLUMN()-8)))/OFFSET('VVP1'!$J$17,0,5*(COLUMN()-8))*100,(AF13-AE13)/AE$125*100)</f>
        <v>0.24178165305323468</v>
      </c>
    </row>
    <row r="136" spans="1:32" ht="12.75">
      <c r="A136" s="701"/>
      <c r="C136" s="1529"/>
      <c r="D136" s="2024"/>
      <c r="E136" s="113" t="s">
        <v>1341</v>
      </c>
      <c r="F136" s="1563" t="s">
        <v>1752</v>
      </c>
      <c r="G136" s="1573"/>
      <c r="H136" s="1573">
        <f ca="1">IF(UPPER('VVP1'!$F$2)="Y",(OFFSET('VVP1'!$M9,0,5*(COLUMN()-8))-OFFSET('VVP1'!$J9,0,5*(COLUMN()-8)))/OFFSET('VVP1'!$J$17,0,5*(COLUMN()-8))*100,(H29-G29)/G$125*100)</f>
        <v>1.0219229764411402</v>
      </c>
      <c r="I136" s="1573">
        <f ca="1">IF(UPPER('VVP1'!$F$2)="Y",(OFFSET('VVP1'!$M9,0,5*(COLUMN()-8))-OFFSET('VVP1'!$J9,0,5*(COLUMN()-8)))/OFFSET('VVP1'!$J$17,0,5*(COLUMN()-8))*100,(I29-H29)/H$125*100)</f>
        <v>0.28794025453479416</v>
      </c>
      <c r="J136" s="1573">
        <f ca="1">IF(UPPER('VVP1'!$F$2)="Y",(OFFSET('VVP1'!$M9,0,5*(COLUMN()-8))-OFFSET('VVP1'!$J9,0,5*(COLUMN()-8)))/OFFSET('VVP1'!$J$17,0,5*(COLUMN()-8))*100,(J29-I29)/I$125*100)</f>
        <v>1.5647520084596609</v>
      </c>
      <c r="K136" s="1573">
        <f ca="1">IF(UPPER('VVP1'!$F$2)="Y",(OFFSET('VVP1'!$M9,0,5*(COLUMN()-8))-OFFSET('VVP1'!$J9,0,5*(COLUMN()-8)))/OFFSET('VVP1'!$J$17,0,5*(COLUMN()-8))*100,(K29-J29)/J$125*100)</f>
        <v>1.4094816486041759</v>
      </c>
      <c r="L136" s="1573">
        <f ca="1">IF(UPPER('VVP1'!$F$2)="Y",(OFFSET('VVP1'!$M9,0,5*(COLUMN()-8))-OFFSET('VVP1'!$J9,0,5*(COLUMN()-8)))/OFFSET('VVP1'!$J$17,0,5*(COLUMN()-8))*100,(L29-K29)/K$125*100)</f>
        <v>1.403336816948463</v>
      </c>
      <c r="M136" s="1573">
        <f ca="1">IF(UPPER('VVP1'!$F$2)="Y",(OFFSET('VVP1'!$M9,0,5*(COLUMN()-8))-OFFSET('VVP1'!$J9,0,5*(COLUMN()-8)))/OFFSET('VVP1'!$J$17,0,5*(COLUMN()-8))*100,(M29-L29)/L$125*100)</f>
        <v>0.55731746797363579</v>
      </c>
      <c r="N136" s="1573">
        <f ca="1">IF(UPPER('VVP1'!$F$2)="Y",(OFFSET('VVP1'!$M9,0,5*(COLUMN()-8))-OFFSET('VVP1'!$J9,0,5*(COLUMN()-8)))/OFFSET('VVP1'!$J$17,0,5*(COLUMN()-8))*100,(N29-M29)/M$125*100)</f>
        <v>-0.5020840019155236</v>
      </c>
      <c r="O136" s="1573">
        <f ca="1">IF(UPPER('VVP1'!$F$2)="Y",(OFFSET('VVP1'!$M9,0,5*(COLUMN()-8))-OFFSET('VVP1'!$J9,0,5*(COLUMN()-8)))/OFFSET('VVP1'!$J$17,0,5*(COLUMN()-8))*100,(O29-N29)/N$125*100)</f>
        <v>0.50956425790680171</v>
      </c>
      <c r="P136" s="1573">
        <f ca="1">IF(UPPER('VVP1'!$F$2)="Y",(OFFSET('VVP1'!$M9,0,5*(COLUMN()-8))-OFFSET('VVP1'!$J9,0,5*(COLUMN()-8)))/OFFSET('VVP1'!$J$17,0,5*(COLUMN()-8))*100,(P29-O29)/O$125*100)</f>
        <v>1.2303647933567374</v>
      </c>
      <c r="Q136" s="1573">
        <f ca="1">IF(UPPER('VVP1'!$F$2)="Y",(OFFSET('VVP1'!$M9,0,5*(COLUMN()-8))-OFFSET('VVP1'!$J9,0,5*(COLUMN()-8)))/OFFSET('VVP1'!$J$17,0,5*(COLUMN()-8))*100,(Q29-P29)/P$125*100)</f>
        <v>1.0939189582014559</v>
      </c>
      <c r="R136" s="1573">
        <f ca="1">IF(UPPER('VVP1'!$F$2)="Y",(OFFSET('VVP1'!$M9,0,5*(COLUMN()-8))-OFFSET('VVP1'!$J9,0,5*(COLUMN()-8)))/OFFSET('VVP1'!$J$17,0,5*(COLUMN()-8))*100,(R29-Q29)/Q$125*100)</f>
        <v>2.0826070731353705</v>
      </c>
      <c r="S136" s="1573">
        <f ca="1">IF(UPPER('VVP1'!$F$2)="Y",(OFFSET('VVP1'!$M9,0,5*(COLUMN()-8))-OFFSET('VVP1'!$J9,0,5*(COLUMN()-8)))/OFFSET('VVP1'!$J$17,0,5*(COLUMN()-8))*100,(S29-R29)/R$125*100)</f>
        <v>1.8693044815667426</v>
      </c>
      <c r="T136" s="1573">
        <f ca="1">IF(UPPER('VVP1'!$F$2)="Y",(OFFSET('VVP1'!$M9,0,5*(COLUMN()-8))-OFFSET('VVP1'!$J9,0,5*(COLUMN()-8)))/OFFSET('VVP1'!$J$17,0,5*(COLUMN()-8))*100,(T29-S29)/S$125*100)</f>
        <v>0.13284106816967156</v>
      </c>
      <c r="U136" s="1573">
        <f ca="1">IF(UPPER('VVP1'!$F$2)="Y",(OFFSET('VVP1'!$M9,0,5*(COLUMN()-8))-OFFSET('VVP1'!$J9,0,5*(COLUMN()-8)))/OFFSET('VVP1'!$J$17,0,5*(COLUMN()-8))*100,(U29-T29)/T$125*100)</f>
        <v>-3.2651865712623009</v>
      </c>
      <c r="V136" s="1573">
        <f ca="1">IF(UPPER('VVP1'!$F$2)="Y",(OFFSET('VVP1'!$M9,0,5*(COLUMN()-8))-OFFSET('VVP1'!$J9,0,5*(COLUMN()-8)))/OFFSET('VVP1'!$J$17,0,5*(COLUMN()-8))*100,(V29-U29)/U$125*100)</f>
        <v>1.3515029934785161</v>
      </c>
      <c r="W136" s="1573">
        <f ca="1">IF(UPPER('VVP1'!$F$2)="Y",(OFFSET('VVP1'!$M9,0,5*(COLUMN()-8))-OFFSET('VVP1'!$J9,0,5*(COLUMN()-8)))/OFFSET('VVP1'!$J$17,0,5*(COLUMN()-8))*100,(W29-V29)/V$125*100)</f>
        <v>1.2740014824803949</v>
      </c>
      <c r="X136" s="1573">
        <f ca="1">IF(UPPER('VVP1'!$F$2)="Y",(OFFSET('VVP1'!$M9,0,5*(COLUMN()-8))-OFFSET('VVP1'!$J9,0,5*(COLUMN()-8)))/OFFSET('VVP1'!$J$17,0,5*(COLUMN()-8))*100,(X29-W29)/W$125*100)</f>
        <v>-6.4596628906079881E-2</v>
      </c>
      <c r="Y136" s="1573">
        <f ca="1">IF(UPPER('VVP1'!$F$2)="Y",(OFFSET('VVP1'!$M9,0,5*(COLUMN()-8))-OFFSET('VVP1'!$J9,0,5*(COLUMN()-8)))/OFFSET('VVP1'!$J$17,0,5*(COLUMN()-8))*100,(Y29-X29)/X$125*100)</f>
        <v>0.14150082402298531</v>
      </c>
      <c r="Z136" s="1573">
        <f ca="1">IF(UPPER('VVP1'!$F$2)="Y",(OFFSET('VVP1'!$M9,0,5*(COLUMN()-8))-OFFSET('VVP1'!$J9,0,5*(COLUMN()-8)))/OFFSET('VVP1'!$J$17,0,5*(COLUMN()-8))*100,(Z29-Y29)/Y$125*100)</f>
        <v>1.2193204508310556</v>
      </c>
      <c r="AA136" s="1573">
        <f ca="1">IF(UPPER('VVP1'!$F$2)="Y",(OFFSET('VVP1'!$M9,0,5*(COLUMN()-8))-OFFSET('VVP1'!$J9,0,5*(COLUMN()-8)))/OFFSET('VVP1'!$J$17,0,5*(COLUMN()-8))*100,(AA29-Z29)/Z$125*100)</f>
        <v>1.5383422236275897</v>
      </c>
      <c r="AB136" s="1573">
        <f ca="1">IF(UPPER('VVP1'!$F$2)="Y",(OFFSET('VVP1'!$M9,0,5*(COLUMN()-8))-OFFSET('VVP1'!$J9,0,5*(COLUMN()-8)))/OFFSET('VVP1'!$J$17,0,5*(COLUMN()-8))*100,(AB29-AA29)/AA$125*100)</f>
        <v>0.98152021196543027</v>
      </c>
      <c r="AC136" s="1573">
        <f ca="1">IF(UPPER('VVP1'!$F$2)="Y",(OFFSET('VVP1'!$M9,0,5*(COLUMN()-8))-OFFSET('VVP1'!$J9,0,5*(COLUMN()-8)))/OFFSET('VVP1'!$J$17,0,5*(COLUMN()-8))*100,(AC29-AB29)/AB$125*100)</f>
        <v>1.4493525261209479</v>
      </c>
      <c r="AD136" s="1573">
        <f ca="1">IF(UPPER('VVP1'!$F$2)="Y",(OFFSET('VVP1'!$M9,0,5*(COLUMN()-8))-OFFSET('VVP1'!$J9,0,5*(COLUMN()-8)))/OFFSET('VVP1'!$J$17,0,5*(COLUMN()-8))*100,(AD29-AC29)/AC$125*100)</f>
        <v>0.88315987096461457</v>
      </c>
      <c r="AE136" s="1573">
        <f ca="1">IF(UPPER('VVP1'!$F$2)="Y",(OFFSET('VVP1'!$M9,0,5*(COLUMN()-8))-OFFSET('VVP1'!$J9,0,5*(COLUMN()-8)))/OFFSET('VVP1'!$J$17,0,5*(COLUMN()-8))*100,(AE29-AD29)/AD$125*100)</f>
        <v>0.50808698416815756</v>
      </c>
      <c r="AF136" s="1573">
        <f ca="1">IF(UPPER('VVP1'!$F$2)="Y",(OFFSET('VVP1'!$M9,0,5*(COLUMN()-8))-OFFSET('VVP1'!$J9,0,5*(COLUMN()-8)))/OFFSET('VVP1'!$J$17,0,5*(COLUMN()-8))*100,(AF29-AE29)/AE$125*100)</f>
        <v>0.55253104443438428</v>
      </c>
    </row>
    <row r="137" spans="1:32" ht="12.75">
      <c r="A137" s="701"/>
      <c r="C137" s="1529"/>
      <c r="D137" s="1493"/>
      <c r="E137" s="50" t="s">
        <v>1538</v>
      </c>
      <c r="F137" s="30"/>
      <c r="G137" s="1574"/>
      <c r="H137" s="1574">
        <f ca="1">IF(UPPER('VVP1'!$F$2)="Y",(OFFSET('VVP1'!$M10,0,5*(COLUMN()-8))-OFFSET('VVP1'!$J10,0,5*(COLUMN()-8)))/OFFSET('VVP1'!$J$17,0,5*(COLUMN()-8))*100,(H54-G54)/G$125*100)</f>
        <v>1.848923476999333</v>
      </c>
      <c r="I137" s="1574">
        <f ca="1">IF(UPPER('VVP1'!$F$2)="Y",(OFFSET('VVP1'!$M10,0,5*(COLUMN()-8))-OFFSET('VVP1'!$J10,0,5*(COLUMN()-8)))/OFFSET('VVP1'!$J$17,0,5*(COLUMN()-8))*100,(I54-H54)/H$125*100)</f>
        <v>1.5036301953091413</v>
      </c>
      <c r="J137" s="1574">
        <f ca="1">IF(UPPER('VVP1'!$F$2)="Y",(OFFSET('VVP1'!$M10,0,5*(COLUMN()-8))-OFFSET('VVP1'!$J10,0,5*(COLUMN()-8)))/OFFSET('VVP1'!$J$17,0,5*(COLUMN()-8))*100,(J54-I54)/I$125*100)</f>
        <v>4.0911522777577156</v>
      </c>
      <c r="K137" s="1574">
        <f ca="1">IF(UPPER('VVP1'!$F$2)="Y",(OFFSET('VVP1'!$M10,0,5*(COLUMN()-8))-OFFSET('VVP1'!$J10,0,5*(COLUMN()-8)))/OFFSET('VVP1'!$J$17,0,5*(COLUMN()-8))*100,(K54-J54)/J$125*100)</f>
        <v>3.7396460866161449</v>
      </c>
      <c r="L137" s="1574">
        <f ca="1">IF(UPPER('VVP1'!$F$2)="Y",(OFFSET('VVP1'!$M10,0,5*(COLUMN()-8))-OFFSET('VVP1'!$J10,0,5*(COLUMN()-8)))/OFFSET('VVP1'!$J$17,0,5*(COLUMN()-8))*100,(L54-K54)/K$125*100)</f>
        <v>3.6301889727750227</v>
      </c>
      <c r="M137" s="1574">
        <f ca="1">IF(UPPER('VVP1'!$F$2)="Y",(OFFSET('VVP1'!$M10,0,5*(COLUMN()-8))-OFFSET('VVP1'!$J10,0,5*(COLUMN()-8)))/OFFSET('VVP1'!$J$17,0,5*(COLUMN()-8))*100,(M54-L54)/L$125*100)</f>
        <v>0.94139093180972566</v>
      </c>
      <c r="N137" s="1574">
        <f ca="1">IF(UPPER('VVP1'!$F$2)="Y",(OFFSET('VVP1'!$M10,0,5*(COLUMN()-8))-OFFSET('VVP1'!$J10,0,5*(COLUMN()-8)))/OFFSET('VVP1'!$J$17,0,5*(COLUMN()-8))*100,(N54-M54)/M$125*100)</f>
        <v>1.2212524799470952</v>
      </c>
      <c r="O137" s="1574">
        <f ca="1">IF(UPPER('VVP1'!$F$2)="Y",(OFFSET('VVP1'!$M10,0,5*(COLUMN()-8))-OFFSET('VVP1'!$J10,0,5*(COLUMN()-8)))/OFFSET('VVP1'!$J$17,0,5*(COLUMN()-8))*100,(O54-N54)/N$125*100)</f>
        <v>1.7539939233447266</v>
      </c>
      <c r="P137" s="1574">
        <f ca="1">IF(UPPER('VVP1'!$F$2)="Y",(OFFSET('VVP1'!$M10,0,5*(COLUMN()-8))-OFFSET('VVP1'!$J10,0,5*(COLUMN()-8)))/OFFSET('VVP1'!$J$17,0,5*(COLUMN()-8))*100,(P54-O54)/O$125*100)</f>
        <v>2.4631524502325357</v>
      </c>
      <c r="Q137" s="1574">
        <f ca="1">IF(UPPER('VVP1'!$F$2)="Y",(OFFSET('VVP1'!$M10,0,5*(COLUMN()-8))-OFFSET('VVP1'!$J10,0,5*(COLUMN()-8)))/OFFSET('VVP1'!$J$17,0,5*(COLUMN()-8))*100,(Q54-P54)/P$125*100)</f>
        <v>2.4541639444981871</v>
      </c>
      <c r="R137" s="1574">
        <f ca="1">IF(UPPER('VVP1'!$F$2)="Y",(OFFSET('VVP1'!$M10,0,5*(COLUMN()-8))-OFFSET('VVP1'!$J10,0,5*(COLUMN()-8)))/OFFSET('VVP1'!$J$17,0,5*(COLUMN()-8))*100,(R54-Q54)/Q$125*100)</f>
        <v>3.7093406425102229</v>
      </c>
      <c r="S137" s="1574">
        <f ca="1">IF(UPPER('VVP1'!$F$2)="Y",(OFFSET('VVP1'!$M10,0,5*(COLUMN()-8))-OFFSET('VVP1'!$J10,0,5*(COLUMN()-8)))/OFFSET('VVP1'!$J$17,0,5*(COLUMN()-8))*100,(S54-R54)/R$125*100)</f>
        <v>3.6907234170354837</v>
      </c>
      <c r="T137" s="1574">
        <f ca="1">IF(UPPER('VVP1'!$F$2)="Y",(OFFSET('VVP1'!$M10,0,5*(COLUMN()-8))-OFFSET('VVP1'!$J10,0,5*(COLUMN()-8)))/OFFSET('VVP1'!$J$17,0,5*(COLUMN()-8))*100,(T54-S54)/S$125*100)</f>
        <v>0.55487525008877314</v>
      </c>
      <c r="U137" s="1574">
        <f ca="1">IF(UPPER('VVP1'!$F$2)="Y",(OFFSET('VVP1'!$M10,0,5*(COLUMN()-8))-OFFSET('VVP1'!$J10,0,5*(COLUMN()-8)))/OFFSET('VVP1'!$J$17,0,5*(COLUMN()-8))*100,(U54-T54)/T$125*100)</f>
        <v>-2.5547726370054447</v>
      </c>
      <c r="V137" s="1574">
        <f ca="1">IF(UPPER('VVP1'!$F$2)="Y",(OFFSET('VVP1'!$M10,0,5*(COLUMN()-8))-OFFSET('VVP1'!$J10,0,5*(COLUMN()-8)))/OFFSET('VVP1'!$J$17,0,5*(COLUMN()-8))*100,(V54-U54)/U$125*100)</f>
        <v>3.5271973489617228</v>
      </c>
      <c r="W137" s="1574">
        <f ca="1">IF(UPPER('VVP1'!$F$2)="Y",(OFFSET('VVP1'!$M10,0,5*(COLUMN()-8))-OFFSET('VVP1'!$J10,0,5*(COLUMN()-8)))/OFFSET('VVP1'!$J$17,0,5*(COLUMN()-8))*100,(W54-V54)/V$125*100)</f>
        <v>2.3476825176285896</v>
      </c>
      <c r="X137" s="1574">
        <f ca="1">IF(UPPER('VVP1'!$F$2)="Y",(OFFSET('VVP1'!$M10,0,5*(COLUMN()-8))-OFFSET('VVP1'!$J10,0,5*(COLUMN()-8)))/OFFSET('VVP1'!$J$17,0,5*(COLUMN()-8))*100,(X54-W54)/W$125*100)</f>
        <v>0.57915220321163352</v>
      </c>
      <c r="Y137" s="1574">
        <f ca="1">IF(UPPER('VVP1'!$F$2)="Y",(OFFSET('VVP1'!$M10,0,5*(COLUMN()-8))-OFFSET('VVP1'!$J10,0,5*(COLUMN()-8)))/OFFSET('VVP1'!$J$17,0,5*(COLUMN()-8))*100,(Y54-X54)/X$125*100)</f>
        <v>1.3397571482540038</v>
      </c>
      <c r="Z137" s="1574">
        <f ca="1">IF(UPPER('VVP1'!$F$2)="Y",(OFFSET('VVP1'!$M10,0,5*(COLUMN()-8))-OFFSET('VVP1'!$J10,0,5*(COLUMN()-8)))/OFFSET('VVP1'!$J$17,0,5*(COLUMN()-8))*100,(Z54-Y54)/Y$125*100)</f>
        <v>2.6087727184707372</v>
      </c>
      <c r="AA137" s="1574">
        <f ca="1">IF(UPPER('VVP1'!$F$2)="Y",(OFFSET('VVP1'!$M10,0,5*(COLUMN()-8))-OFFSET('VVP1'!$J10,0,5*(COLUMN()-8)))/OFFSET('VVP1'!$J$17,0,5*(COLUMN()-8))*100,(AA54-Z54)/Z$125*100)</f>
        <v>3.6064106478112881</v>
      </c>
      <c r="AB137" s="1574">
        <f ca="1">IF(UPPER('VVP1'!$F$2)="Y",(OFFSET('VVP1'!$M10,0,5*(COLUMN()-8))-OFFSET('VVP1'!$J10,0,5*(COLUMN()-8)))/OFFSET('VVP1'!$J$17,0,5*(COLUMN()-8))*100,(AB54-AA54)/AA$125*100)</f>
        <v>3.2005859565595784</v>
      </c>
      <c r="AC137" s="1574">
        <f ca="1">IF(UPPER('VVP1'!$F$2)="Y",(OFFSET('VVP1'!$M10,0,5*(COLUMN()-8))-OFFSET('VVP1'!$J10,0,5*(COLUMN()-8)))/OFFSET('VVP1'!$J$17,0,5*(COLUMN()-8))*100,(AC54-AB54)/AB$125*100)</f>
        <v>2.438977769393559</v>
      </c>
      <c r="AD137" s="1574">
        <f ca="1">IF(UPPER('VVP1'!$F$2)="Y",(OFFSET('VVP1'!$M10,0,5*(COLUMN()-8))-OFFSET('VVP1'!$J10,0,5*(COLUMN()-8)))/OFFSET('VVP1'!$J$17,0,5*(COLUMN()-8))*100,(AD54-AC54)/AC$125*100)</f>
        <v>2.2296217038200603</v>
      </c>
      <c r="AE137" s="1574">
        <f ca="1">IF(UPPER('VVP1'!$F$2)="Y",(OFFSET('VVP1'!$M10,0,5*(COLUMN()-8))-OFFSET('VVP1'!$J10,0,5*(COLUMN()-8)))/OFFSET('VVP1'!$J$17,0,5*(COLUMN()-8))*100,(AE54-AD54)/AD$125*100)</f>
        <v>1.7731734392687861</v>
      </c>
      <c r="AF137" s="1574">
        <f ca="1">IF(UPPER('VVP1'!$F$2)="Y",(OFFSET('VVP1'!$M10,0,5*(COLUMN()-8))-OFFSET('VVP1'!$J10,0,5*(COLUMN()-8)))/OFFSET('VVP1'!$J$17,0,5*(COLUMN()-8))*100,(AF54-AE54)/AE$125*100)</f>
        <v>1.7261016949502119</v>
      </c>
    </row>
    <row r="138" spans="1:32" ht="12.75">
      <c r="A138" s="701"/>
      <c r="C138" s="1529"/>
      <c r="D138" s="2024"/>
      <c r="E138" s="113" t="s">
        <v>1487</v>
      </c>
      <c r="F138" s="1531" t="s">
        <v>71</v>
      </c>
      <c r="G138" s="1573"/>
      <c r="H138" s="1573">
        <f ca="1">IF(UPPER('VVP1'!$F$2)="Y",(OFFSET('VVP1'!$M11,0,5*(COLUMN()-8))-OFFSET('VVP1'!$J11,0,5*(COLUMN()-8)))/OFFSET('VVP1'!$J$17,0,5*(COLUMN()-8))*100,(H64-G64)/G$125*100)</f>
        <v>-0.80929959025938769</v>
      </c>
      <c r="I138" s="1573">
        <f ca="1">IF(UPPER('VVP1'!$F$2)="Y",(OFFSET('VVP1'!$M11,0,5*(COLUMN()-8))-OFFSET('VVP1'!$J11,0,5*(COLUMN()-8)))/OFFSET('VVP1'!$J$17,0,5*(COLUMN()-8))*100,(I64-H64)/H$125*100)</f>
        <v>0.11403454352134981</v>
      </c>
      <c r="J138" s="1573">
        <f ca="1">IF(UPPER('VVP1'!$F$2)="Y",(OFFSET('VVP1'!$M11,0,5*(COLUMN()-8))-OFFSET('VVP1'!$J11,0,5*(COLUMN()-8)))/OFFSET('VVP1'!$J$17,0,5*(COLUMN()-8))*100,(J64-I64)/I$125*100)</f>
        <v>0.31442871348371887</v>
      </c>
      <c r="K138" s="1573">
        <f ca="1">IF(UPPER('VVP1'!$F$2)="Y",(OFFSET('VVP1'!$M11,0,5*(COLUMN()-8))-OFFSET('VVP1'!$J11,0,5*(COLUMN()-8)))/OFFSET('VVP1'!$J$17,0,5*(COLUMN()-8))*100,(K64-J64)/J$125*100)</f>
        <v>-0.43522966471514835</v>
      </c>
      <c r="L138" s="1573">
        <f ca="1">IF(UPPER('VVP1'!$F$2)="Y",(OFFSET('VVP1'!$M11,0,5*(COLUMN()-8))-OFFSET('VVP1'!$J11,0,5*(COLUMN()-8)))/OFFSET('VVP1'!$J$17,0,5*(COLUMN()-8))*100,(L64-K64)/K$125*100)</f>
        <v>0.42435229902229854</v>
      </c>
      <c r="M138" s="1573">
        <f ca="1">IF(UPPER('VVP1'!$F$2)="Y",(OFFSET('VVP1'!$M11,0,5*(COLUMN()-8))-OFFSET('VVP1'!$J11,0,5*(COLUMN()-8)))/OFFSET('VVP1'!$J$17,0,5*(COLUMN()-8))*100,(M64-L64)/L$125*100)</f>
        <v>-0.3304801097305281</v>
      </c>
      <c r="N138" s="1573">
        <f ca="1">IF(UPPER('VVP1'!$F$2)="Y",(OFFSET('VVP1'!$M11,0,5*(COLUMN()-8))-OFFSET('VVP1'!$J11,0,5*(COLUMN()-8)))/OFFSET('VVP1'!$J$17,0,5*(COLUMN()-8))*100,(N64-M64)/M$125*100)</f>
        <v>-0.191773566239645</v>
      </c>
      <c r="O138" s="1573">
        <f ca="1">IF(UPPER('VVP1'!$F$2)="Y",(OFFSET('VVP1'!$M11,0,5*(COLUMN()-8))-OFFSET('VVP1'!$J11,0,5*(COLUMN()-8)))/OFFSET('VVP1'!$J$17,0,5*(COLUMN()-8))*100,(O64-N64)/N$125*100)</f>
        <v>0.22161792400190519</v>
      </c>
      <c r="P138" s="1573">
        <f ca="1">IF(UPPER('VVP1'!$F$2)="Y",(OFFSET('VVP1'!$M11,0,5*(COLUMN()-8))-OFFSET('VVP1'!$J11,0,5*(COLUMN()-8)))/OFFSET('VVP1'!$J$17,0,5*(COLUMN()-8))*100,(P64-O64)/O$125*100)</f>
        <v>-0.27156252990640856</v>
      </c>
      <c r="Q138" s="1573">
        <f ca="1">IF(UPPER('VVP1'!$F$2)="Y",(OFFSET('VVP1'!$M11,0,5*(COLUMN()-8))-OFFSET('VVP1'!$J11,0,5*(COLUMN()-8)))/OFFSET('VVP1'!$J$17,0,5*(COLUMN()-8))*100,(Q64-P64)/P$125*100)</f>
        <v>-1.0374939051756715E-2</v>
      </c>
      <c r="R138" s="1573">
        <f ca="1">IF(UPPER('VVP1'!$F$2)="Y",(OFFSET('VVP1'!$M11,0,5*(COLUMN()-8))-OFFSET('VVP1'!$J11,0,5*(COLUMN()-8)))/OFFSET('VVP1'!$J$17,0,5*(COLUMN()-8))*100,(R64-Q64)/Q$125*100)</f>
        <v>0.20071621600241807</v>
      </c>
      <c r="S138" s="1573">
        <f ca="1">IF(UPPER('VVP1'!$F$2)="Y",(OFFSET('VVP1'!$M11,0,5*(COLUMN()-8))-OFFSET('VVP1'!$J11,0,5*(COLUMN()-8)))/OFFSET('VVP1'!$J$17,0,5*(COLUMN()-8))*100,(S64-R64)/R$125*100)</f>
        <v>0.65749560423257569</v>
      </c>
      <c r="T138" s="1573">
        <f ca="1">IF(UPPER('VVP1'!$F$2)="Y",(OFFSET('VVP1'!$M11,0,5*(COLUMN()-8))-OFFSET('VVP1'!$J11,0,5*(COLUMN()-8)))/OFFSET('VVP1'!$J$17,0,5*(COLUMN()-8))*100,(T64-S64)/S$125*100)</f>
        <v>-0.50585296299918114</v>
      </c>
      <c r="U138" s="1573">
        <f ca="1">IF(UPPER('VVP1'!$F$2)="Y",(OFFSET('VVP1'!$M11,0,5*(COLUMN()-8))-OFFSET('VVP1'!$J11,0,5*(COLUMN()-8)))/OFFSET('VVP1'!$J$17,0,5*(COLUMN()-8))*100,(U64-T64)/T$125*100)</f>
        <v>-1.5571230389942272</v>
      </c>
      <c r="V138" s="1573">
        <f ca="1">IF(UPPER('VVP1'!$F$2)="Y",(OFFSET('VVP1'!$M11,0,5*(COLUMN()-8))-OFFSET('VVP1'!$J11,0,5*(COLUMN()-8)))/OFFSET('VVP1'!$J$17,0,5*(COLUMN()-8))*100,(V64-U64)/U$125*100)</f>
        <v>2.1003356247694964</v>
      </c>
      <c r="W138" s="1573">
        <f ca="1">IF(UPPER('VVP1'!$F$2)="Y",(OFFSET('VVP1'!$M11,0,5*(COLUMN()-8))-OFFSET('VVP1'!$J11,0,5*(COLUMN()-8)))/OFFSET('VVP1'!$J$17,0,5*(COLUMN()-8))*100,(W64-V64)/V$125*100)</f>
        <v>0.50345647228690515</v>
      </c>
      <c r="X138" s="1573">
        <f ca="1">IF(UPPER('VVP1'!$F$2)="Y",(OFFSET('VVP1'!$M11,0,5*(COLUMN()-8))-OFFSET('VVP1'!$J11,0,5*(COLUMN()-8)))/OFFSET('VVP1'!$J$17,0,5*(COLUMN()-8))*100,(X64-W64)/W$125*100)</f>
        <v>-1.1331193335575804</v>
      </c>
      <c r="Y138" s="1573">
        <f ca="1">IF(UPPER('VVP1'!$F$2)="Y",(OFFSET('VVP1'!$M11,0,5*(COLUMN()-8))-OFFSET('VVP1'!$J11,0,5*(COLUMN()-8)))/OFFSET('VVP1'!$J$17,0,5*(COLUMN()-8))*100,(Y64-X64)/X$125*100)</f>
        <v>0.20722614809082282</v>
      </c>
      <c r="Z138" s="1573">
        <f ca="1">IF(UPPER('VVP1'!$F$2)="Y",(OFFSET('VVP1'!$M11,0,5*(COLUMN()-8))-OFFSET('VVP1'!$J11,0,5*(COLUMN()-8)))/OFFSET('VVP1'!$J$17,0,5*(COLUMN()-8))*100,(Z64-Y64)/Y$125*100)</f>
        <v>0.15816561083965672</v>
      </c>
      <c r="AA138" s="1573">
        <f ca="1">IF(UPPER('VVP1'!$F$2)="Y",(OFFSET('VVP1'!$M11,0,5*(COLUMN()-8))-OFFSET('VVP1'!$J11,0,5*(COLUMN()-8)))/OFFSET('VVP1'!$J$17,0,5*(COLUMN()-8))*100,(AA64-Z64)/Z$125*100)</f>
        <v>0.42564083224590887</v>
      </c>
      <c r="AB138" s="3366">
        <f ca="1">IF(UPPER('VVP1'!$F$2)="Y",(OFFSET('VVP1'!$M11,0,5*(COLUMN()-8))-OFFSET('VVP1'!$J11,0,5*(COLUMN()-8)))/OFFSET('VVP1'!$J$17,0,5*(COLUMN()-8))*100,(AB64-AA64)/AA$125*100)</f>
        <v>-0.1166950596518746</v>
      </c>
      <c r="AC138" s="3366">
        <f ca="1">IF(UPPER('VVP1'!$F$2)="Y",(OFFSET('VVP1'!$M11,0,5*(COLUMN()-8))-OFFSET('VVP1'!$J11,0,5*(COLUMN()-8)))/OFFSET('VVP1'!$J$17,0,5*(COLUMN()-8))*100,(AC64-AB64)/AB$125*100)</f>
        <v>0.13857636961230191</v>
      </c>
      <c r="AD138" s="3366">
        <f ca="1">IF(UPPER('VVP1'!$F$2)="Y",(OFFSET('VVP1'!$M11,0,5*(COLUMN()-8))-OFFSET('VVP1'!$J11,0,5*(COLUMN()-8)))/OFFSET('VVP1'!$J$17,0,5*(COLUMN()-8))*100,(AD64-AC64)/AC$125*100)</f>
        <v>0.1343423386276919</v>
      </c>
      <c r="AE138" s="3366">
        <f ca="1">IF(UPPER('VVP1'!$F$2)="Y",(OFFSET('VVP1'!$M11,0,5*(COLUMN()-8))-OFFSET('VVP1'!$J11,0,5*(COLUMN()-8)))/OFFSET('VVP1'!$J$17,0,5*(COLUMN()-8))*100,(AE64-AD64)/AD$125*100)</f>
        <v>-0.13729301205835828</v>
      </c>
      <c r="AF138" s="3366">
        <f ca="1">IF(UPPER('VVP1'!$F$2)="Y",(OFFSET('VVP1'!$M11,0,5*(COLUMN()-8))-OFFSET('VVP1'!$J11,0,5*(COLUMN()-8)))/OFFSET('VVP1'!$J$17,0,5*(COLUMN()-8))*100,(AF64-AE64)/AE$125*100)</f>
        <v>0</v>
      </c>
    </row>
    <row r="139" spans="1:32" ht="12.75">
      <c r="A139" s="701"/>
      <c r="C139" s="1529"/>
      <c r="D139" s="1493"/>
      <c r="E139" s="50" t="s">
        <v>1233</v>
      </c>
      <c r="F139" s="1532"/>
      <c r="G139" s="1574"/>
      <c r="H139" s="1574">
        <f ca="1">IF(UPPER('VVP1'!$F$2)="Y",(OFFSET('VVP1'!$M12,0,5*(COLUMN()-8))-OFFSET('VVP1'!$J12,0,5*(COLUMN()-8)))/OFFSET('VVP1'!$J$17,0,5*(COLUMN()-8))*100,(H72-G72)/G$125*100)</f>
        <v>1.0396238867399477</v>
      </c>
      <c r="I139" s="1574">
        <f ca="1">IF(UPPER('VVP1'!$F$2)="Y",(OFFSET('VVP1'!$M12,0,5*(COLUMN()-8))-OFFSET('VVP1'!$J12,0,5*(COLUMN()-8)))/OFFSET('VVP1'!$J$17,0,5*(COLUMN()-8))*100,(I72-H72)/H$125*100)</f>
        <v>1.6176647388304897</v>
      </c>
      <c r="J139" s="1574">
        <f ca="1">IF(UPPER('VVP1'!$F$2)="Y",(OFFSET('VVP1'!$M12,0,5*(COLUMN()-8))-OFFSET('VVP1'!$J12,0,5*(COLUMN()-8)))/OFFSET('VVP1'!$J$17,0,5*(COLUMN()-8))*100,(J72-I72)/I$125*100)</f>
        <v>4.4055809912414396</v>
      </c>
      <c r="K139" s="1574">
        <f ca="1">IF(UPPER('VVP1'!$F$2)="Y",(OFFSET('VVP1'!$M12,0,5*(COLUMN()-8))-OFFSET('VVP1'!$J12,0,5*(COLUMN()-8)))/OFFSET('VVP1'!$J$17,0,5*(COLUMN()-8))*100,(K72-J72)/J$125*100)</f>
        <v>3.3044164219009984</v>
      </c>
      <c r="L139" s="1574">
        <f ca="1">IF(UPPER('VVP1'!$F$2)="Y",(OFFSET('VVP1'!$M12,0,5*(COLUMN()-8))-OFFSET('VVP1'!$J12,0,5*(COLUMN()-8)))/OFFSET('VVP1'!$J$17,0,5*(COLUMN()-8))*100,(L72-K72)/K$125*100)</f>
        <v>4.0545412717973175</v>
      </c>
      <c r="M139" s="1574">
        <f ca="1">IF(UPPER('VVP1'!$F$2)="Y",(OFFSET('VVP1'!$M12,0,5*(COLUMN()-8))-OFFSET('VVP1'!$J12,0,5*(COLUMN()-8)))/OFFSET('VVP1'!$J$17,0,5*(COLUMN()-8))*100,(M72-L72)/L$125*100)</f>
        <v>0.61091082207920167</v>
      </c>
      <c r="N139" s="1574">
        <f ca="1">IF(UPPER('VVP1'!$F$2)="Y",(OFFSET('VVP1'!$M12,0,5*(COLUMN()-8))-OFFSET('VVP1'!$J12,0,5*(COLUMN()-8)))/OFFSET('VVP1'!$J$17,0,5*(COLUMN()-8))*100,(N72-M72)/M$125*100)</f>
        <v>1.0294789137074534</v>
      </c>
      <c r="O139" s="1574">
        <f ca="1">IF(UPPER('VVP1'!$F$2)="Y",(OFFSET('VVP1'!$M12,0,5*(COLUMN()-8))-OFFSET('VVP1'!$J12,0,5*(COLUMN()-8)))/OFFSET('VVP1'!$J$17,0,5*(COLUMN()-8))*100,(O72-N72)/N$125*100)</f>
        <v>1.9756118473466373</v>
      </c>
      <c r="P139" s="1574">
        <f ca="1">IF(UPPER('VVP1'!$F$2)="Y",(OFFSET('VVP1'!$M12,0,5*(COLUMN()-8))-OFFSET('VVP1'!$J12,0,5*(COLUMN()-8)))/OFFSET('VVP1'!$J$17,0,5*(COLUMN()-8))*100,(P72-O72)/O$125*100)</f>
        <v>2.1915899203261278</v>
      </c>
      <c r="Q139" s="1574">
        <f ca="1">IF(UPPER('VVP1'!$F$2)="Y",(OFFSET('VVP1'!$M12,0,5*(COLUMN()-8))-OFFSET('VVP1'!$J12,0,5*(COLUMN()-8)))/OFFSET('VVP1'!$J$17,0,5*(COLUMN()-8))*100,(Q72-P72)/P$125*100)</f>
        <v>2.4437890054464284</v>
      </c>
      <c r="R139" s="1574">
        <f ca="1">IF(UPPER('VVP1'!$F$2)="Y",(OFFSET('VVP1'!$M12,0,5*(COLUMN()-8))-OFFSET('VVP1'!$J12,0,5*(COLUMN()-8)))/OFFSET('VVP1'!$J$17,0,5*(COLUMN()-8))*100,(R72-Q72)/Q$125*100)</f>
        <v>3.9100568585126396</v>
      </c>
      <c r="S139" s="1574">
        <f ca="1">IF(UPPER('VVP1'!$F$2)="Y",(OFFSET('VVP1'!$M12,0,5*(COLUMN()-8))-OFFSET('VVP1'!$J12,0,5*(COLUMN()-8)))/OFFSET('VVP1'!$J$17,0,5*(COLUMN()-8))*100,(S72-R72)/R$125*100)</f>
        <v>4.3482190212680596</v>
      </c>
      <c r="T139" s="1574">
        <f ca="1">IF(UPPER('VVP1'!$F$2)="Y",(OFFSET('VVP1'!$M12,0,5*(COLUMN()-8))-OFFSET('VVP1'!$J12,0,5*(COLUMN()-8)))/OFFSET('VVP1'!$J$17,0,5*(COLUMN()-8))*100,(T72-S72)/S$125*100)</f>
        <v>4.9022287089592366E-2</v>
      </c>
      <c r="U139" s="1574">
        <f ca="1">IF(UPPER('VVP1'!$F$2)="Y",(OFFSET('VVP1'!$M12,0,5*(COLUMN()-8))-OFFSET('VVP1'!$J12,0,5*(COLUMN()-8)))/OFFSET('VVP1'!$J$17,0,5*(COLUMN()-8))*100,(U72-T72)/T$125*100)</f>
        <v>-4.1118956759996754</v>
      </c>
      <c r="V139" s="1574">
        <f ca="1">IF(UPPER('VVP1'!$F$2)="Y",(OFFSET('VVP1'!$M12,0,5*(COLUMN()-8))-OFFSET('VVP1'!$J12,0,5*(COLUMN()-8)))/OFFSET('VVP1'!$J$17,0,5*(COLUMN()-8))*100,(V72-U72)/U$125*100)</f>
        <v>5.627532973731217</v>
      </c>
      <c r="W139" s="1574">
        <f ca="1">IF(UPPER('VVP1'!$F$2)="Y",(OFFSET('VVP1'!$M12,0,5*(COLUMN()-8))-OFFSET('VVP1'!$J12,0,5*(COLUMN()-8)))/OFFSET('VVP1'!$J$17,0,5*(COLUMN()-8))*100,(W72-V72)/V$125*100)</f>
        <v>2.8511389899154937</v>
      </c>
      <c r="X139" s="1574">
        <f ca="1">IF(UPPER('VVP1'!$F$2)="Y",(OFFSET('VVP1'!$M12,0,5*(COLUMN()-8))-OFFSET('VVP1'!$J12,0,5*(COLUMN()-8)))/OFFSET('VVP1'!$J$17,0,5*(COLUMN()-8))*100,(X72-W72)/W$125*100)</f>
        <v>-0.55396713034594791</v>
      </c>
      <c r="Y139" s="1574">
        <f ca="1">IF(UPPER('VVP1'!$F$2)="Y",(OFFSET('VVP1'!$M12,0,5*(COLUMN()-8))-OFFSET('VVP1'!$J12,0,5*(COLUMN()-8)))/OFFSET('VVP1'!$J$17,0,5*(COLUMN()-8))*100,(Y72-X72)/X$125*100)</f>
        <v>1.5469832963448222</v>
      </c>
      <c r="Z139" s="1574">
        <f ca="1">IF(UPPER('VVP1'!$F$2)="Y",(OFFSET('VVP1'!$M12,0,5*(COLUMN()-8))-OFFSET('VVP1'!$J12,0,5*(COLUMN()-8)))/OFFSET('VVP1'!$J$17,0,5*(COLUMN()-8))*100,(Z72-Y72)/Y$125*100)</f>
        <v>2.7669383293103893</v>
      </c>
      <c r="AA139" s="1574">
        <f ca="1">IF(UPPER('VVP1'!$F$2)="Y",(OFFSET('VVP1'!$M12,0,5*(COLUMN()-8))-OFFSET('VVP1'!$J12,0,5*(COLUMN()-8)))/OFFSET('VVP1'!$J$17,0,5*(COLUMN()-8))*100,(AA72-Z72)/Z$125*100)</f>
        <v>4.0320514800571914</v>
      </c>
      <c r="AB139" s="1574">
        <f ca="1">IF(UPPER('VVP1'!$F$2)="Y",(OFFSET('VVP1'!$M12,0,5*(COLUMN()-8))-OFFSET('VVP1'!$J12,0,5*(COLUMN()-8)))/OFFSET('VVP1'!$J$17,0,5*(COLUMN()-8))*100,(AB72-AA72)/AA$125*100)</f>
        <v>3.0838908969077061</v>
      </c>
      <c r="AC139" s="1574">
        <f ca="1">IF(UPPER('VVP1'!$F$2)="Y",(OFFSET('VVP1'!$M12,0,5*(COLUMN()-8))-OFFSET('VVP1'!$J12,0,5*(COLUMN()-8)))/OFFSET('VVP1'!$J$17,0,5*(COLUMN()-8))*100,(AC72-AB72)/AB$125*100)</f>
        <v>2.5775541390058518</v>
      </c>
      <c r="AD139" s="1574">
        <f ca="1">IF(UPPER('VVP1'!$F$2)="Y",(OFFSET('VVP1'!$M12,0,5*(COLUMN()-8))-OFFSET('VVP1'!$J12,0,5*(COLUMN()-8)))/OFFSET('VVP1'!$J$17,0,5*(COLUMN()-8))*100,(AD72-AC72)/AC$125*100)</f>
        <v>2.3639640424477659</v>
      </c>
      <c r="AE139" s="1574">
        <f ca="1">IF(UPPER('VVP1'!$F$2)="Y",(OFFSET('VVP1'!$M12,0,5*(COLUMN()-8))-OFFSET('VVP1'!$J12,0,5*(COLUMN()-8)))/OFFSET('VVP1'!$J$17,0,5*(COLUMN()-8))*100,(AE72-AD72)/AD$125*100)</f>
        <v>1.6358804272104301</v>
      </c>
      <c r="AF139" s="1574">
        <f ca="1">IF(UPPER('VVP1'!$F$2)="Y",(OFFSET('VVP1'!$M12,0,5*(COLUMN()-8))-OFFSET('VVP1'!$J12,0,5*(COLUMN()-8)))/OFFSET('VVP1'!$J$17,0,5*(COLUMN()-8))*100,(AF72-AE72)/AE$125*100)</f>
        <v>1.7261016949502119</v>
      </c>
    </row>
    <row r="140" spans="1:32" ht="12.75">
      <c r="A140" s="701"/>
      <c r="C140" s="1529"/>
      <c r="D140" s="2024"/>
      <c r="E140" s="113" t="s">
        <v>375</v>
      </c>
      <c r="F140" s="1531" t="s">
        <v>1748</v>
      </c>
      <c r="G140" s="1573"/>
      <c r="H140" s="1573">
        <f ca="1">IF(UPPER('VVP1'!$F$2)="Y",(OFFSET('VVP1'!$M13,0,5*(COLUMN()-8))-OFFSET('VVP1'!$J13,0,5*(COLUMN()-8)))/OFFSET('VVP1'!$J$17,0,5*(COLUMN()-8))*100,(H83-G83)/G$125*100)</f>
        <v>1.5666082088260713</v>
      </c>
      <c r="I140" s="1573">
        <f ca="1">IF(UPPER('VVP1'!$F$2)="Y",(OFFSET('VVP1'!$M13,0,5*(COLUMN()-8))-OFFSET('VVP1'!$J13,0,5*(COLUMN()-8)))/OFFSET('VVP1'!$J$17,0,5*(COLUMN()-8))*100,(I83-H83)/H$125*100)</f>
        <v>5.1058061115325977</v>
      </c>
      <c r="J140" s="1573">
        <f ca="1">IF(UPPER('VVP1'!$F$2)="Y",(OFFSET('VVP1'!$M13,0,5*(COLUMN()-8))-OFFSET('VVP1'!$J13,0,5*(COLUMN()-8)))/OFFSET('VVP1'!$J$17,0,5*(COLUMN()-8))*100,(J83-I83)/I$125*100)</f>
        <v>3.5741447030029407</v>
      </c>
      <c r="K140" s="1573">
        <f ca="1">IF(UPPER('VVP1'!$F$2)="Y",(OFFSET('VVP1'!$M13,0,5*(COLUMN()-8))-OFFSET('VVP1'!$J13,0,5*(COLUMN()-8)))/OFFSET('VVP1'!$J$17,0,5*(COLUMN()-8))*100,(K83-J83)/J$125*100)</f>
        <v>2.9563576261490887</v>
      </c>
      <c r="L140" s="1573">
        <f ca="1">IF(UPPER('VVP1'!$F$2)="Y",(OFFSET('VVP1'!$M13,0,5*(COLUMN()-8))-OFFSET('VVP1'!$J13,0,5*(COLUMN()-8)))/OFFSET('VVP1'!$J$17,0,5*(COLUMN()-8))*100,(L83-K83)/K$125*100)</f>
        <v>4.794870314612858</v>
      </c>
      <c r="M140" s="1573">
        <f ca="1">IF(UPPER('VVP1'!$F$2)="Y",(OFFSET('VVP1'!$M13,0,5*(COLUMN()-8))-OFFSET('VVP1'!$J13,0,5*(COLUMN()-8)))/OFFSET('VVP1'!$J$17,0,5*(COLUMN()-8))*100,(M83-L83)/L$125*100)</f>
        <v>0.30678721705322215</v>
      </c>
      <c r="N140" s="1573">
        <f ca="1">IF(UPPER('VVP1'!$F$2)="Y",(OFFSET('VVP1'!$M13,0,5*(COLUMN()-8))-OFFSET('VVP1'!$J13,0,5*(COLUMN()-8)))/OFFSET('VVP1'!$J$17,0,5*(COLUMN()-8))*100,(N83-M83)/M$125*100)</f>
        <v>0.57553866763122707</v>
      </c>
      <c r="O140" s="1573">
        <f ca="1">IF(UPPER('VVP1'!$F$2)="Y",(OFFSET('VVP1'!$M13,0,5*(COLUMN()-8))-OFFSET('VVP1'!$J13,0,5*(COLUMN()-8)))/OFFSET('VVP1'!$J$17,0,5*(COLUMN()-8))*100,(O83-N83)/N$125*100)</f>
        <v>1.7485768751346391</v>
      </c>
      <c r="P140" s="1573">
        <f ca="1">IF(UPPER('VVP1'!$F$2)="Y",(OFFSET('VVP1'!$M13,0,5*(COLUMN()-8))-OFFSET('VVP1'!$J13,0,5*(COLUMN()-8)))/OFFSET('VVP1'!$J$17,0,5*(COLUMN()-8))*100,(P83-O83)/O$125*100)</f>
        <v>4.4218778668215286</v>
      </c>
      <c r="Q140" s="1573">
        <f ca="1">IF(UPPER('VVP1'!$F$2)="Y",(OFFSET('VVP1'!$M13,0,5*(COLUMN()-8))-OFFSET('VVP1'!$J13,0,5*(COLUMN()-8)))/OFFSET('VVP1'!$J$17,0,5*(COLUMN()-8))*100,(Q83-P83)/P$125*100)</f>
        <v>2.8766784555159841</v>
      </c>
      <c r="R140" s="1573">
        <f ca="1">IF(UPPER('VVP1'!$F$2)="Y",(OFFSET('VVP1'!$M13,0,5*(COLUMN()-8))-OFFSET('VVP1'!$J13,0,5*(COLUMN()-8)))/OFFSET('VVP1'!$J$17,0,5*(COLUMN()-8))*100,(R83-Q83)/Q$125*100)</f>
        <v>3.9691184408239213</v>
      </c>
      <c r="S140" s="1573">
        <f ca="1">IF(UPPER('VVP1'!$F$2)="Y",(OFFSET('VVP1'!$M13,0,5*(COLUMN()-8))-OFFSET('VVP1'!$J13,0,5*(COLUMN()-8)))/OFFSET('VVP1'!$J$17,0,5*(COLUMN()-8))*100,(S83-R83)/R$125*100)</f>
        <v>2.1556974506000062</v>
      </c>
      <c r="T140" s="1573">
        <f ca="1">IF(UPPER('VVP1'!$F$2)="Y",(OFFSET('VVP1'!$M13,0,5*(COLUMN()-8))-OFFSET('VVP1'!$J13,0,5*(COLUMN()-8)))/OFFSET('VVP1'!$J$17,0,5*(COLUMN()-8))*100,(T83-S83)/S$125*100)</f>
        <v>0.95719458741297925</v>
      </c>
      <c r="U140" s="1573">
        <f ca="1">IF(UPPER('VVP1'!$F$2)="Y",(OFFSET('VVP1'!$M13,0,5*(COLUMN()-8))-OFFSET('VVP1'!$J13,0,5*(COLUMN()-8)))/OFFSET('VVP1'!$J$17,0,5*(COLUMN()-8))*100,(U83-T83)/T$125*100)</f>
        <v>-7.2068398440804291</v>
      </c>
      <c r="V140" s="1573">
        <f ca="1">IF(UPPER('VVP1'!$F$2)="Y",(OFFSET('VVP1'!$M13,0,5*(COLUMN()-8))-OFFSET('VVP1'!$J13,0,5*(COLUMN()-8)))/OFFSET('VVP1'!$J$17,0,5*(COLUMN()-8))*100,(V83-U83)/U$125*100)</f>
        <v>5.3030459254324533</v>
      </c>
      <c r="W140" s="1573">
        <f ca="1">IF(UPPER('VVP1'!$F$2)="Y",(OFFSET('VVP1'!$M13,0,5*(COLUMN()-8))-OFFSET('VVP1'!$J13,0,5*(COLUMN()-8)))/OFFSET('VVP1'!$J$17,0,5*(COLUMN()-8))*100,(W83-V83)/V$125*100)</f>
        <v>2.8148636254251187</v>
      </c>
      <c r="X140" s="1573">
        <f ca="1">IF(UPPER('VVP1'!$F$2)="Y",(OFFSET('VVP1'!$M13,0,5*(COLUMN()-8))-OFFSET('VVP1'!$J13,0,5*(COLUMN()-8)))/OFFSET('VVP1'!$J$17,0,5*(COLUMN()-8))*100,(X83-W83)/W$125*100)</f>
        <v>0.45758851924698934</v>
      </c>
      <c r="Y140" s="1573">
        <f ca="1">IF(UPPER('VVP1'!$F$2)="Y",(OFFSET('VVP1'!$M13,0,5*(COLUMN()-8))-OFFSET('VVP1'!$J13,0,5*(COLUMN()-8)))/OFFSET('VVP1'!$J$17,0,5*(COLUMN()-8))*100,(Y83-X83)/X$125*100)</f>
        <v>-0.35751332078467762</v>
      </c>
      <c r="Z140" s="1573">
        <f ca="1">IF(UPPER('VVP1'!$F$2)="Y",(OFFSET('VVP1'!$M13,0,5*(COLUMN()-8))-OFFSET('VVP1'!$J13,0,5*(COLUMN()-8)))/OFFSET('VVP1'!$J$17,0,5*(COLUMN()-8))*100,(Z83-Y83)/Y$125*100)</f>
        <v>2.3002600487173104</v>
      </c>
      <c r="AA140" s="1573">
        <f ca="1">IF(UPPER('VVP1'!$F$2)="Y",(OFFSET('VVP1'!$M13,0,5*(COLUMN()-8))-OFFSET('VVP1'!$J13,0,5*(COLUMN()-8)))/OFFSET('VVP1'!$J$17,0,5*(COLUMN()-8))*100,(AA83-Z83)/Z$125*100)</f>
        <v>2.5573312201980247</v>
      </c>
      <c r="AB140" s="1573">
        <f ca="1">IF(UPPER('VVP1'!$F$2)="Y",(OFFSET('VVP1'!$M13,0,5*(COLUMN()-8))-OFFSET('VVP1'!$J13,0,5*(COLUMN()-8)))/OFFSET('VVP1'!$J$17,0,5*(COLUMN()-8))*100,(AB83-AA83)/AA$125*100)</f>
        <v>1.3511940297641287</v>
      </c>
      <c r="AC140" s="1573">
        <f ca="1">IF(UPPER('VVP1'!$F$2)="Y",(OFFSET('VVP1'!$M13,0,5*(COLUMN()-8))-OFFSET('VVP1'!$J13,0,5*(COLUMN()-8)))/OFFSET('VVP1'!$J$17,0,5*(COLUMN()-8))*100,(AC83-AB83)/AB$125*100)</f>
        <v>1.4358840392405794</v>
      </c>
      <c r="AD140" s="1573">
        <f ca="1">IF(UPPER('VVP1'!$F$2)="Y",(OFFSET('VVP1'!$M13,0,5*(COLUMN()-8))-OFFSET('VVP1'!$J13,0,5*(COLUMN()-8)))/OFFSET('VVP1'!$J$17,0,5*(COLUMN()-8))*100,(AD83-AC83)/AC$125*100)</f>
        <v>1.5591934130890457</v>
      </c>
      <c r="AE140" s="1573">
        <f ca="1">IF(UPPER('VVP1'!$F$2)="Y",(OFFSET('VVP1'!$M13,0,5*(COLUMN()-8))-OFFSET('VVP1'!$J13,0,5*(COLUMN()-8)))/OFFSET('VVP1'!$J$17,0,5*(COLUMN()-8))*100,(AE83-AD83)/AD$125*100)</f>
        <v>1.5228334813381026</v>
      </c>
      <c r="AF140" s="1573">
        <f ca="1">IF(UPPER('VVP1'!$F$2)="Y",(OFFSET('VVP1'!$M13,0,5*(COLUMN()-8))-OFFSET('VVP1'!$J13,0,5*(COLUMN()-8)))/OFFSET('VVP1'!$J$17,0,5*(COLUMN()-8))*100,(AF83-AE83)/AE$125*100)</f>
        <v>1.4414827853314915</v>
      </c>
    </row>
    <row r="141" spans="1:32" ht="12.75">
      <c r="A141" s="701"/>
      <c r="C141" s="1529"/>
      <c r="D141" s="1493"/>
      <c r="E141" s="50" t="s">
        <v>376</v>
      </c>
      <c r="F141" s="1532"/>
      <c r="G141" s="1574"/>
      <c r="H141" s="1574">
        <f ca="1">IF(UPPER('VVP1'!$F$2)="Y",(OFFSET('VVP1'!$M14,0,5*(COLUMN()-8))-OFFSET('VVP1'!$J14,0,5*(COLUMN()-8)))/OFFSET('VVP1'!$J$17,0,5*(COLUMN()-8))*100,(H94-G94)/G$125*100)</f>
        <v>2.6062320959084211</v>
      </c>
      <c r="I141" s="1574">
        <f ca="1">IF(UPPER('VVP1'!$F$2)="Y",(OFFSET('VVP1'!$M14,0,5*(COLUMN()-8))-OFFSET('VVP1'!$J14,0,5*(COLUMN()-8)))/OFFSET('VVP1'!$J$17,0,5*(COLUMN()-8))*100,(I94-H94)/H$125*100)</f>
        <v>6.7234708503499174</v>
      </c>
      <c r="J141" s="1574">
        <f ca="1">IF(UPPER('VVP1'!$F$2)="Y",(OFFSET('VVP1'!$M14,0,5*(COLUMN()-8))-OFFSET('VVP1'!$J14,0,5*(COLUMN()-8)))/OFFSET('VVP1'!$J$17,0,5*(COLUMN()-8))*100,(J94-I94)/I$125*100)</f>
        <v>7.9797256943307149</v>
      </c>
      <c r="K141" s="1574">
        <f ca="1">IF(UPPER('VVP1'!$F$2)="Y",(OFFSET('VVP1'!$M14,0,5*(COLUMN()-8))-OFFSET('VVP1'!$J14,0,5*(COLUMN()-8)))/OFFSET('VVP1'!$J$17,0,5*(COLUMN()-8))*100,(K94-J94)/J$125*100)</f>
        <v>6.2607740477989324</v>
      </c>
      <c r="L141" s="1574">
        <f ca="1">IF(UPPER('VVP1'!$F$2)="Y",(OFFSET('VVP1'!$M14,0,5*(COLUMN()-8))-OFFSET('VVP1'!$J14,0,5*(COLUMN()-8)))/OFFSET('VVP1'!$J$17,0,5*(COLUMN()-8))*100,(L94-K94)/K$125*100)</f>
        <v>8.8494115865876335</v>
      </c>
      <c r="M141" s="1574">
        <f ca="1">IF(UPPER('VVP1'!$F$2)="Y",(OFFSET('VVP1'!$M14,0,5*(COLUMN()-8))-OFFSET('VVP1'!$J14,0,5*(COLUMN()-8)))/OFFSET('VVP1'!$J$17,0,5*(COLUMN()-8))*100,(M94-L94)/L$125*100)</f>
        <v>0.91769803918799797</v>
      </c>
      <c r="N141" s="1574">
        <f ca="1">IF(UPPER('VVP1'!$F$2)="Y",(OFFSET('VVP1'!$M14,0,5*(COLUMN()-8))-OFFSET('VVP1'!$J14,0,5*(COLUMN()-8)))/OFFSET('VVP1'!$J$17,0,5*(COLUMN()-8))*100,(N94-M94)/M$125*100)</f>
        <v>1.605017581283356</v>
      </c>
      <c r="O141" s="1574">
        <f ca="1">IF(UPPER('VVP1'!$F$2)="Y",(OFFSET('VVP1'!$M14,0,5*(COLUMN()-8))-OFFSET('VVP1'!$J14,0,5*(COLUMN()-8)))/OFFSET('VVP1'!$J$17,0,5*(COLUMN()-8))*100,(O94-N94)/N$125*100)</f>
        <v>3.7241887225822361</v>
      </c>
      <c r="P141" s="1574">
        <f ca="1">IF(UPPER('VVP1'!$F$2)="Y",(OFFSET('VVP1'!$M14,0,5*(COLUMN()-8))-OFFSET('VVP1'!$J14,0,5*(COLUMN()-8)))/OFFSET('VVP1'!$J$17,0,5*(COLUMN()-8))*100,(P94-O94)/O$125*100)</f>
        <v>6.6134677869042662</v>
      </c>
      <c r="Q141" s="1574">
        <f ca="1">IF(UPPER('VVP1'!$F$2)="Y",(OFFSET('VVP1'!$M14,0,5*(COLUMN()-8))-OFFSET('VVP1'!$J14,0,5*(COLUMN()-8)))/OFFSET('VVP1'!$J$17,0,5*(COLUMN()-8))*100,(Q94-P94)/P$125*100)</f>
        <v>5.3204674612426217</v>
      </c>
      <c r="R141" s="1574">
        <f ca="1">IF(UPPER('VVP1'!$F$2)="Y",(OFFSET('VVP1'!$M14,0,5*(COLUMN()-8))-OFFSET('VVP1'!$J14,0,5*(COLUMN()-8)))/OFFSET('VVP1'!$J$17,0,5*(COLUMN()-8))*100,(R94-Q94)/Q$125*100)</f>
        <v>7.8791752990305071</v>
      </c>
      <c r="S141" s="1574">
        <f ca="1">IF(UPPER('VVP1'!$F$2)="Y",(OFFSET('VVP1'!$M14,0,5*(COLUMN()-8))-OFFSET('VVP1'!$J14,0,5*(COLUMN()-8)))/OFFSET('VVP1'!$J$17,0,5*(COLUMN()-8))*100,(S94-R94)/R$125*100)</f>
        <v>6.5039164720987346</v>
      </c>
      <c r="T141" s="1574">
        <f ca="1">IF(UPPER('VVP1'!$F$2)="Y",(OFFSET('VVP1'!$M14,0,5*(COLUMN()-8))-OFFSET('VVP1'!$J14,0,5*(COLUMN()-8)))/OFFSET('VVP1'!$J$17,0,5*(COLUMN()-8))*100,(T94-S94)/S$125*100)</f>
        <v>1.0062168742996564</v>
      </c>
      <c r="U141" s="1574">
        <f ca="1">IF(UPPER('VVP1'!$F$2)="Y",(OFFSET('VVP1'!$M14,0,5*(COLUMN()-8))-OFFSET('VVP1'!$J14,0,5*(COLUMN()-8)))/OFFSET('VVP1'!$J$17,0,5*(COLUMN()-8))*100,(U94-T94)/T$125*100)</f>
        <v>-11.318735520181137</v>
      </c>
      <c r="V141" s="1574">
        <f ca="1">IF(UPPER('VVP1'!$F$2)="Y",(OFFSET('VVP1'!$M14,0,5*(COLUMN()-8))-OFFSET('VVP1'!$J14,0,5*(COLUMN()-8)))/OFFSET('VVP1'!$J$17,0,5*(COLUMN()-8))*100,(V94-U94)/U$125*100)</f>
        <v>10.930578899372305</v>
      </c>
      <c r="W141" s="1574">
        <f ca="1">IF(UPPER('VVP1'!$F$2)="Y",(OFFSET('VVP1'!$M14,0,5*(COLUMN()-8))-OFFSET('VVP1'!$J14,0,5*(COLUMN()-8)))/OFFSET('VVP1'!$J$17,0,5*(COLUMN()-8))*100,(W94-V94)/V$125*100)</f>
        <v>5.6660026153406058</v>
      </c>
      <c r="X141" s="1574">
        <f ca="1">IF(UPPER('VVP1'!$F$2)="Y",(OFFSET('VVP1'!$M14,0,5*(COLUMN()-8))-OFFSET('VVP1'!$J14,0,5*(COLUMN()-8)))/OFFSET('VVP1'!$J$17,0,5*(COLUMN()-8))*100,(X94-W94)/W$125*100)</f>
        <v>-9.6378611055757513E-2</v>
      </c>
      <c r="Y141" s="1574">
        <f ca="1">IF(UPPER('VVP1'!$F$2)="Y",(OFFSET('VVP1'!$M14,0,5*(COLUMN()-8))-OFFSET('VVP1'!$J14,0,5*(COLUMN()-8)))/OFFSET('VVP1'!$J$17,0,5*(COLUMN()-8))*100,(Y94-X94)/X$125*100)</f>
        <v>1.1894699754700302</v>
      </c>
      <c r="Z141" s="1574">
        <f ca="1">IF(UPPER('VVP1'!$F$2)="Y",(OFFSET('VVP1'!$M14,0,5*(COLUMN()-8))-OFFSET('VVP1'!$J14,0,5*(COLUMN()-8)))/OFFSET('VVP1'!$J$17,0,5*(COLUMN()-8))*100,(Z94-Y94)/Y$125*100)</f>
        <v>5.0671983781625416</v>
      </c>
      <c r="AA141" s="1574">
        <f ca="1">IF(UPPER('VVP1'!$F$2)="Y",(OFFSET('VVP1'!$M14,0,5*(COLUMN()-8))-OFFSET('VVP1'!$J14,0,5*(COLUMN()-8)))/OFFSET('VVP1'!$J$17,0,5*(COLUMN()-8))*100,(AA94-Z94)/Z$125*100)</f>
        <v>6.5893827001855669</v>
      </c>
      <c r="AB141" s="1574">
        <f ca="1">IF(UPPER('VVP1'!$F$2)="Y",(OFFSET('VVP1'!$M14,0,5*(COLUMN()-8))-OFFSET('VVP1'!$J14,0,5*(COLUMN()-8)))/OFFSET('VVP1'!$J$17,0,5*(COLUMN()-8))*100,(AB94-AA94)/AA$125*100)</f>
        <v>4.4350849265023093</v>
      </c>
      <c r="AC141" s="1574">
        <f ca="1">IF(UPPER('VVP1'!$F$2)="Y",(OFFSET('VVP1'!$M14,0,5*(COLUMN()-8))-OFFSET('VVP1'!$J14,0,5*(COLUMN()-8)))/OFFSET('VVP1'!$J$17,0,5*(COLUMN()-8))*100,(AC94-AB94)/AB$125*100)</f>
        <v>4.0134381786070046</v>
      </c>
      <c r="AD141" s="1574">
        <f ca="1">IF(UPPER('VVP1'!$F$2)="Y",(OFFSET('VVP1'!$M14,0,5*(COLUMN()-8))-OFFSET('VVP1'!$J14,0,5*(COLUMN()-8)))/OFFSET('VVP1'!$J$17,0,5*(COLUMN()-8))*100,(AD94-AC94)/AC$125*100)</f>
        <v>3.9231574555368214</v>
      </c>
      <c r="AE141" s="1574">
        <f ca="1">IF(UPPER('VVP1'!$F$2)="Y",(OFFSET('VVP1'!$M14,0,5*(COLUMN()-8))-OFFSET('VVP1'!$J14,0,5*(COLUMN()-8)))/OFFSET('VVP1'!$J$17,0,5*(COLUMN()-8))*100,(AE94-AD94)/AD$125*100)</f>
        <v>3.158713908548533</v>
      </c>
      <c r="AF141" s="1574">
        <f ca="1">IF(UPPER('VVP1'!$F$2)="Y",(OFFSET('VVP1'!$M14,0,5*(COLUMN()-8))-OFFSET('VVP1'!$J14,0,5*(COLUMN()-8)))/OFFSET('VVP1'!$J$17,0,5*(COLUMN()-8))*100,(AF94-AE94)/AE$125*100)</f>
        <v>3.1675844802817035</v>
      </c>
    </row>
    <row r="142" spans="1:32" ht="12.75">
      <c r="A142" s="701"/>
      <c r="C142" s="1529"/>
      <c r="D142" s="1110"/>
      <c r="E142" s="1" t="s">
        <v>1825</v>
      </c>
      <c r="F142" s="1530" t="s">
        <v>1749</v>
      </c>
      <c r="G142" s="541"/>
      <c r="H142" s="541">
        <f ca="1">IF(UPPER('VVP1'!$F$2)="Y",-(OFFSET('VVP1'!$M15,0,5*(COLUMN()-8))-OFFSET('VVP1'!$J15,0,5*(COLUMN()-8)))/OFFSET('VVP1'!$J$17,0,5*(COLUMN()-8))*100,-(H105-G105)/G$125*100)</f>
        <v>-1.0871656865772554</v>
      </c>
      <c r="I142" s="541">
        <f ca="1">IF(UPPER('VVP1'!$F$2)="Y",-(OFFSET('VVP1'!$M15,0,5*(COLUMN()-8))-OFFSET('VVP1'!$J15,0,5*(COLUMN()-8)))/OFFSET('VVP1'!$J$17,0,5*(COLUMN()-8))*100,-(I105-H105)/H$125*100)</f>
        <v>-3.81119839039724</v>
      </c>
      <c r="J142" s="541">
        <f ca="1">IF(UPPER('VVP1'!$F$2)="Y",-(OFFSET('VVP1'!$M15,0,5*(COLUMN()-8))-OFFSET('VVP1'!$J15,0,5*(COLUMN()-8)))/OFFSET('VVP1'!$J$17,0,5*(COLUMN()-8))*100,-(J105-I105)/I$125*100)</f>
        <v>-3.7387768624300053</v>
      </c>
      <c r="K142" s="541">
        <f ca="1">IF(UPPER('VVP1'!$F$2)="Y",-(OFFSET('VVP1'!$M15,0,5*(COLUMN()-8))-OFFSET('VVP1'!$J15,0,5*(COLUMN()-8)))/OFFSET('VVP1'!$J$17,0,5*(COLUMN()-8))*100,-(K105-J105)/J$125*100)</f>
        <v>-1.7740492802664585</v>
      </c>
      <c r="L142" s="541">
        <f ca="1">IF(UPPER('VVP1'!$F$2)="Y",-(OFFSET('VVP1'!$M15,0,5*(COLUMN()-8))-OFFSET('VVP1'!$J15,0,5*(COLUMN()-8)))/OFFSET('VVP1'!$J$17,0,5*(COLUMN()-8))*100,-(L105-K105)/K$125*100)</f>
        <v>-4.1038126531470036</v>
      </c>
      <c r="M142" s="541">
        <f ca="1">IF(UPPER('VVP1'!$F$2)="Y",-(OFFSET('VVP1'!$M15,0,5*(COLUMN()-8))-OFFSET('VVP1'!$J15,0,5*(COLUMN()-8)))/OFFSET('VVP1'!$J$17,0,5*(COLUMN()-8))*100,-(M105-L105)/L$125*100)</f>
        <v>0.65572963945330609</v>
      </c>
      <c r="N142" s="541">
        <f ca="1">IF(UPPER('VVP1'!$F$2)="Y",-(OFFSET('VVP1'!$M15,0,5*(COLUMN()-8))-OFFSET('VVP1'!$J15,0,5*(COLUMN()-8)))/OFFSET('VVP1'!$J$17,0,5*(COLUMN()-8))*100,-(N105-M105)/M$125*100)</f>
        <v>0.4702757581540879</v>
      </c>
      <c r="O142" s="541">
        <f ca="1">IF(UPPER('VVP1'!$F$2)="Y",-(OFFSET('VVP1'!$M15,0,5*(COLUMN()-8))-OFFSET('VVP1'!$J15,0,5*(COLUMN()-8)))/OFFSET('VVP1'!$J$17,0,5*(COLUMN()-8))*100,-(O105-N105)/N$125*100)</f>
        <v>-1.3643977554272757</v>
      </c>
      <c r="P142" s="541">
        <f ca="1">IF(UPPER('VVP1'!$F$2)="Y",-(OFFSET('VVP1'!$M15,0,5*(COLUMN()-8))-OFFSET('VVP1'!$J15,0,5*(COLUMN()-8)))/OFFSET('VVP1'!$J$17,0,5*(COLUMN()-8))*100,-(P105-O105)/O$125*100)</f>
        <v>-2.302639642466878</v>
      </c>
      <c r="Q142" s="541">
        <f ca="1">IF(UPPER('VVP1'!$F$2)="Y",-(OFFSET('VVP1'!$M15,0,5*(COLUMN()-8))-OFFSET('VVP1'!$J15,0,5*(COLUMN()-8)))/OFFSET('VVP1'!$J$17,0,5*(COLUMN()-8))*100,-(Q105-P105)/P$125*100)</f>
        <v>-2.5037701267447678</v>
      </c>
      <c r="R142" s="541">
        <f ca="1">IF(UPPER('VVP1'!$F$2)="Y",-(OFFSET('VVP1'!$M15,0,5*(COLUMN()-8))-OFFSET('VVP1'!$J15,0,5*(COLUMN()-8)))/OFFSET('VVP1'!$J$17,0,5*(COLUMN()-8))*100,-(R105-Q105)/Q$125*100)</f>
        <v>-3.1796128132302988</v>
      </c>
      <c r="S142" s="541">
        <f ca="1">IF(UPPER('VVP1'!$F$2)="Y",-(OFFSET('VVP1'!$M15,0,5*(COLUMN()-8))-OFFSET('VVP1'!$J15,0,5*(COLUMN()-8)))/OFFSET('VVP1'!$J$17,0,5*(COLUMN()-8))*100,-(S105-R105)/R$125*100)</f>
        <v>-3.0957990862210276</v>
      </c>
      <c r="T142" s="541">
        <f ca="1">IF(UPPER('VVP1'!$F$2)="Y",-(OFFSET('VVP1'!$M15,0,5*(COLUMN()-8))-OFFSET('VVP1'!$J15,0,5*(COLUMN()-8)))/OFFSET('VVP1'!$J$17,0,5*(COLUMN()-8))*100,-(T105-S105)/S$125*100)</f>
        <v>-1.5632757524445755</v>
      </c>
      <c r="U142" s="541">
        <f ca="1">IF(UPPER('VVP1'!$F$2)="Y",-(OFFSET('VVP1'!$M15,0,5*(COLUMN()-8))-OFFSET('VVP1'!$J15,0,5*(COLUMN()-8)))/OFFSET('VVP1'!$J$17,0,5*(COLUMN()-8))*100,-(U105-T105)/T$125*100)</f>
        <v>6.1228328776671734</v>
      </c>
      <c r="V142" s="541">
        <f ca="1">IF(UPPER('VVP1'!$F$2)="Y",-(OFFSET('VVP1'!$M15,0,5*(COLUMN()-8))-OFFSET('VVP1'!$J15,0,5*(COLUMN()-8)))/OFFSET('VVP1'!$J$17,0,5*(COLUMN()-8))*100,-(V105-U105)/U$125*100)</f>
        <v>-4.9386187403253823</v>
      </c>
      <c r="W142" s="541">
        <f ca="1">IF(UPPER('VVP1'!$F$2)="Y",-(OFFSET('VVP1'!$M15,0,5*(COLUMN()-8))-OFFSET('VVP1'!$J15,0,5*(COLUMN()-8)))/OFFSET('VVP1'!$J$17,0,5*(COLUMN()-8))*100,-(W105-V105)/V$125*100)</f>
        <v>-2.9867745948719255</v>
      </c>
      <c r="X142" s="541">
        <f ca="1">IF(UPPER('VVP1'!$F$2)="Y",-(OFFSET('VVP1'!$M15,0,5*(COLUMN()-8))-OFFSET('VVP1'!$J15,0,5*(COLUMN()-8)))/OFFSET('VVP1'!$J$17,0,5*(COLUMN()-8))*100,-(X105-W105)/W$125*100)</f>
        <v>-0.20216302499571673</v>
      </c>
      <c r="Y142" s="541">
        <f ca="1">IF(UPPER('VVP1'!$F$2)="Y",-(OFFSET('VVP1'!$M15,0,5*(COLUMN()-8))-OFFSET('VVP1'!$J15,0,5*(COLUMN()-8)))/OFFSET('VVP1'!$J$17,0,5*(COLUMN()-8))*100,-(Y105-X105)/X$125*100)</f>
        <v>4.8871089050897404E-2</v>
      </c>
      <c r="Z142" s="541">
        <f ca="1">IF(UPPER('VVP1'!$F$2)="Y",-(OFFSET('VVP1'!$M15,0,5*(COLUMN()-8))-OFFSET('VVP1'!$J15,0,5*(COLUMN()-8)))/OFFSET('VVP1'!$J$17,0,5*(COLUMN()-8))*100,-(Z105-Y105)/Y$125*100)</f>
        <v>-2.4652706785825957</v>
      </c>
      <c r="AA142" s="541">
        <f ca="1">IF(UPPER('VVP1'!$F$2)="Y",-(OFFSET('VVP1'!$M15,0,5*(COLUMN()-8))-OFFSET('VVP1'!$J15,0,5*(COLUMN()-8)))/OFFSET('VVP1'!$J$17,0,5*(COLUMN()-8))*100,-(AA105-Z105)/Z$125*100)</f>
        <v>-2.1328354018122697</v>
      </c>
      <c r="AB142" s="541">
        <f ca="1">IF(UPPER('VVP1'!$F$2)="Y",-(OFFSET('VVP1'!$M15,0,5*(COLUMN()-8))-OFFSET('VVP1'!$J15,0,5*(COLUMN()-8)))/OFFSET('VVP1'!$J$17,0,5*(COLUMN()-8))*100,-(AB105-AA105)/AA$125*100)</f>
        <v>-1.7511183873334841</v>
      </c>
      <c r="AC142" s="541">
        <f ca="1">IF(UPPER('VVP1'!$F$2)="Y",-(OFFSET('VVP1'!$M15,0,5*(COLUMN()-8))-OFFSET('VVP1'!$J15,0,5*(COLUMN()-8)))/OFFSET('VVP1'!$J$17,0,5*(COLUMN()-8))*100,-(AC105-AB105)/AB$125*100)</f>
        <v>-1.8992544187889271</v>
      </c>
      <c r="AD142" s="541">
        <f ca="1">IF(UPPER('VVP1'!$F$2)="Y",-(OFFSET('VVP1'!$M15,0,5*(COLUMN()-8))-OFFSET('VVP1'!$J15,0,5*(COLUMN()-8)))/OFFSET('VVP1'!$J$17,0,5*(COLUMN()-8))*100,-(AD105-AC105)/AC$125*100)</f>
        <v>-1.5476994840899569</v>
      </c>
      <c r="AE142" s="541">
        <f ca="1">IF(UPPER('VVP1'!$F$2)="Y",-(OFFSET('VVP1'!$M15,0,5*(COLUMN()-8))-OFFSET('VVP1'!$J15,0,5*(COLUMN()-8)))/OFFSET('VVP1'!$J$17,0,5*(COLUMN()-8))*100,-(AE105-AD105)/AD$125*100)</f>
        <v>-1.3979632531675503</v>
      </c>
      <c r="AF142" s="541">
        <f ca="1">IF(UPPER('VVP1'!$F$2)="Y",-(OFFSET('VVP1'!$M15,0,5*(COLUMN()-8))-OFFSET('VVP1'!$J15,0,5*(COLUMN()-8)))/OFFSET('VVP1'!$J$17,0,5*(COLUMN()-8))*100,-(AF105-AE105)/AE$125*100)</f>
        <v>-1.4066639492535786</v>
      </c>
    </row>
    <row r="143" spans="1:32" ht="12.75">
      <c r="A143" s="701"/>
      <c r="C143" s="1533"/>
      <c r="D143" s="2025"/>
      <c r="E143" s="1534" t="s">
        <v>786</v>
      </c>
      <c r="F143" s="1572" t="s">
        <v>787</v>
      </c>
      <c r="G143" s="1575"/>
      <c r="H143" s="1575">
        <f t="shared" ref="H143:AE143" ca="1" si="154">+H140+H142</f>
        <v>0.47944252224881589</v>
      </c>
      <c r="I143" s="1575">
        <f t="shared" ca="1" si="154"/>
        <v>1.2946077211353577</v>
      </c>
      <c r="J143" s="1575">
        <f t="shared" ca="1" si="154"/>
        <v>-0.16463215942706455</v>
      </c>
      <c r="K143" s="1575">
        <f t="shared" ca="1" si="154"/>
        <v>1.1823083458826302</v>
      </c>
      <c r="L143" s="1575">
        <f t="shared" ca="1" si="154"/>
        <v>0.69105766146585434</v>
      </c>
      <c r="M143" s="1575">
        <f t="shared" ca="1" si="154"/>
        <v>0.9625168565065283</v>
      </c>
      <c r="N143" s="1575">
        <f t="shared" ca="1" si="154"/>
        <v>1.045814425785315</v>
      </c>
      <c r="O143" s="1575">
        <f t="shared" ca="1" si="154"/>
        <v>0.3841791197073634</v>
      </c>
      <c r="P143" s="1575">
        <f t="shared" ca="1" si="154"/>
        <v>2.1192382243546506</v>
      </c>
      <c r="Q143" s="1575">
        <f t="shared" ca="1" si="154"/>
        <v>0.37290832877121627</v>
      </c>
      <c r="R143" s="1575">
        <f t="shared" ca="1" si="154"/>
        <v>0.78950562759362253</v>
      </c>
      <c r="S143" s="1575">
        <f t="shared" ca="1" si="154"/>
        <v>-0.94010163562102145</v>
      </c>
      <c r="T143" s="1575">
        <f t="shared" ca="1" si="154"/>
        <v>-0.60608116503159626</v>
      </c>
      <c r="U143" s="1575">
        <f t="shared" ca="1" si="154"/>
        <v>-1.0840069664132557</v>
      </c>
      <c r="V143" s="1575">
        <f t="shared" ca="1" si="154"/>
        <v>0.36442718510707106</v>
      </c>
      <c r="W143" s="1575">
        <f t="shared" ca="1" si="154"/>
        <v>-0.17191096944680684</v>
      </c>
      <c r="X143" s="1575">
        <f t="shared" ca="1" si="154"/>
        <v>0.25542549425127259</v>
      </c>
      <c r="Y143" s="1575">
        <f t="shared" ca="1" si="154"/>
        <v>-0.30864223173378025</v>
      </c>
      <c r="Z143" s="1575">
        <f t="shared" ca="1" si="154"/>
        <v>-0.16501062986528536</v>
      </c>
      <c r="AA143" s="1575">
        <f t="shared" ca="1" si="154"/>
        <v>0.42449581838575501</v>
      </c>
      <c r="AB143" s="1575">
        <f t="shared" ca="1" si="154"/>
        <v>-0.3999243575693554</v>
      </c>
      <c r="AC143" s="1575">
        <f t="shared" ref="AC143" ca="1" si="155">+AC140+AC142</f>
        <v>-0.4633703795483477</v>
      </c>
      <c r="AD143" s="1575">
        <f t="shared" ca="1" si="154"/>
        <v>1.1493928999088743E-2</v>
      </c>
      <c r="AE143" s="1575">
        <f t="shared" ca="1" si="154"/>
        <v>0.12487022817055227</v>
      </c>
      <c r="AF143" s="1575">
        <f t="shared" ref="AF143" ca="1" si="156">+AF140+AF142</f>
        <v>3.4818836077912918E-2</v>
      </c>
    </row>
    <row r="144" spans="1:32" ht="12.75">
      <c r="A144" s="701"/>
      <c r="C144" s="545"/>
      <c r="D144" s="2026"/>
      <c r="E144" s="45" t="s">
        <v>1216</v>
      </c>
      <c r="F144" s="1525" t="s">
        <v>1838</v>
      </c>
      <c r="G144" s="1574"/>
      <c r="H144" s="1574">
        <f ca="1">IF(UPPER('VVP1'!$F$2)="Y",(OFFSET('VVP1'!$M17,0,5*(COLUMN()-8))-OFFSET('VVP1'!$J17,0,5*(COLUMN()-8)))/OFFSET('VVP1'!$J$17,0,5*(COLUMN()-8))*100,(H125-G125)/G$125*100)</f>
        <v>1.519034578965889</v>
      </c>
      <c r="I144" s="1574">
        <f ca="1">IF(UPPER('VVP1'!$F$2)="Y",(OFFSET('VVP1'!$M17,0,5*(COLUMN()-8))-OFFSET('VVP1'!$J17,0,5*(COLUMN()-8)))/OFFSET('VVP1'!$J$17,0,5*(COLUMN()-8))*100,(I125-H125)/H$125*100)</f>
        <v>2.9123066792213508</v>
      </c>
      <c r="J144" s="1574">
        <f ca="1">IF(UPPER('VVP1'!$F$2)="Y",(OFFSET('VVP1'!$M17,0,5*(COLUMN()-8))-OFFSET('VVP1'!$J17,0,5*(COLUMN()-8)))/OFFSET('VVP1'!$J$17,0,5*(COLUMN()-8))*100,(J125-I125)/I$125*100)</f>
        <v>4.2409560508338533</v>
      </c>
      <c r="K144" s="1574">
        <f ca="1">IF(UPPER('VVP1'!$F$2)="Y",(OFFSET('VVP1'!$M17,0,5*(COLUMN()-8))-OFFSET('VVP1'!$J17,0,5*(COLUMN()-8)))/OFFSET('VVP1'!$J$17,0,5*(COLUMN()-8))*100,(K125-J125)/J$125*100)</f>
        <v>4.4867022926030025</v>
      </c>
      <c r="L144" s="1574">
        <f ca="1">IF(UPPER('VVP1'!$F$2)="Y",(OFFSET('VVP1'!$M17,0,5*(COLUMN()-8))-OFFSET('VVP1'!$J17,0,5*(COLUMN()-8)))/OFFSET('VVP1'!$J$17,0,5*(COLUMN()-8))*100,(L125-K125)/K$125*100)</f>
        <v>4.7456166368949884</v>
      </c>
      <c r="M144" s="1574">
        <f ca="1">IF(UPPER('VVP1'!$F$2)="Y",(OFFSET('VVP1'!$M17,0,5*(COLUMN()-8))-OFFSET('VVP1'!$J17,0,5*(COLUMN()-8)))/OFFSET('VVP1'!$J$17,0,5*(COLUMN()-8))*100,(M125-L125)/L$125*100)</f>
        <v>1.5734459634978788</v>
      </c>
      <c r="N144" s="1574">
        <f ca="1">IF(UPPER('VVP1'!$F$2)="Y",(OFFSET('VVP1'!$M17,0,5*(COLUMN()-8))-OFFSET('VVP1'!$J17,0,5*(COLUMN()-8)))/OFFSET('VVP1'!$J$17,0,5*(COLUMN()-8))*100,(N125-M125)/M$125*100)</f>
        <v>2.0753008012419145</v>
      </c>
      <c r="O144" s="1574">
        <f ca="1">IF(UPPER('VVP1'!$F$2)="Y",(OFFSET('VVP1'!$M17,0,5*(COLUMN()-8))-OFFSET('VVP1'!$J17,0,5*(COLUMN()-8)))/OFFSET('VVP1'!$J$17,0,5*(COLUMN()-8))*100,(O125-N125)/N$125*100)</f>
        <v>2.3597762270645997</v>
      </c>
      <c r="P144" s="1574">
        <f ca="1">IF(UPPER('VVP1'!$F$2)="Y",(OFFSET('VVP1'!$M17,0,5*(COLUMN()-8))-OFFSET('VVP1'!$J17,0,5*(COLUMN()-8)))/OFFSET('VVP1'!$J$17,0,5*(COLUMN()-8))*100,(P125-O125)/O$125*100)</f>
        <v>4.3107832390854295</v>
      </c>
      <c r="Q144" s="1574">
        <f ca="1">IF(UPPER('VVP1'!$F$2)="Y",(OFFSET('VVP1'!$M17,0,5*(COLUMN()-8))-OFFSET('VVP1'!$J17,0,5*(COLUMN()-8)))/OFFSET('VVP1'!$J$17,0,5*(COLUMN()-8))*100,(Q125-P125)/P$125*100)</f>
        <v>2.8166773859818992</v>
      </c>
      <c r="R144" s="1574">
        <f ca="1">IF(UPPER('VVP1'!$F$2)="Y",(OFFSET('VVP1'!$M17,0,5*(COLUMN()-8))-OFFSET('VVP1'!$J17,0,5*(COLUMN()-8)))/OFFSET('VVP1'!$J$17,0,5*(COLUMN()-8))*100,(R125-Q125)/Q$125*100)</f>
        <v>4.6995582969571199</v>
      </c>
      <c r="S144" s="1574">
        <f ca="1">IF(UPPER('VVP1'!$F$2)="Y",(OFFSET('VVP1'!$M17,0,5*(COLUMN()-8))-OFFSET('VVP1'!$J17,0,5*(COLUMN()-8)))/OFFSET('VVP1'!$J$17,0,5*(COLUMN()-8))*100,(S125-R125)/R$125*100)</f>
        <v>3.4080983285069859</v>
      </c>
      <c r="T144" s="1574">
        <f ca="1">IF(UPPER('VVP1'!$F$2)="Y",(OFFSET('VVP1'!$M17,0,5*(COLUMN()-8))-OFFSET('VVP1'!$J17,0,5*(COLUMN()-8)))/OFFSET('VVP1'!$J$17,0,5*(COLUMN()-8))*100,(T125-S125)/S$125*100)</f>
        <v>-0.55705795199625985</v>
      </c>
      <c r="U144" s="1574">
        <f ca="1">IF(UPPER('VVP1'!$F$2)="Y",(OFFSET('VVP1'!$M17,0,5*(COLUMN()-8))-OFFSET('VVP1'!$J17,0,5*(COLUMN()-8)))/OFFSET('VVP1'!$J$17,0,5*(COLUMN()-8))*100,(U125-T125)/T$125*100)</f>
        <v>-5.195897928463646</v>
      </c>
      <c r="V144" s="1574">
        <f ca="1">IF(UPPER('VVP1'!$F$2)="Y",(OFFSET('VVP1'!$M17,0,5*(COLUMN()-8))-OFFSET('VVP1'!$J17,0,5*(COLUMN()-8)))/OFFSET('VVP1'!$J$17,0,5*(COLUMN()-8))*100,(V125-U125)/U$125*100)</f>
        <v>5.9919680665020794</v>
      </c>
      <c r="W144" s="1574">
        <f ca="1">IF(UPPER('VVP1'!$F$2)="Y",(OFFSET('VVP1'!$M17,0,5*(COLUMN()-8))-OFFSET('VVP1'!$J17,0,5*(COLUMN()-8)))/OFFSET('VVP1'!$J$17,0,5*(COLUMN()-8))*100,(W125-V125)/V$125*100)</f>
        <v>2.6792280204686674</v>
      </c>
      <c r="X144" s="1574">
        <f ca="1">IF(UPPER('VVP1'!$F$2)="Y",(OFFSET('VVP1'!$M17,0,5*(COLUMN()-8))-OFFSET('VVP1'!$J17,0,5*(COLUMN()-8)))/OFFSET('VVP1'!$J$17,0,5*(COLUMN()-8))*100,(X125-W125)/W$125*100)</f>
        <v>-0.29851237313676698</v>
      </c>
      <c r="Y144" s="1574">
        <f ca="1">IF(UPPER('VVP1'!$F$2)="Y",(OFFSET('VVP1'!$M17,0,5*(COLUMN()-8))-OFFSET('VVP1'!$J17,0,5*(COLUMN()-8)))/OFFSET('VVP1'!$J$17,0,5*(COLUMN()-8))*100,(Y125-X125)/X$125*100)</f>
        <v>1.2383493376899561</v>
      </c>
      <c r="Z144" s="1574">
        <f ca="1">IF(UPPER('VVP1'!$F$2)="Y",(OFFSET('VVP1'!$M17,0,5*(COLUMN()-8))-OFFSET('VVP1'!$J17,0,5*(COLUMN()-8)))/OFFSET('VVP1'!$J$17,0,5*(COLUMN()-8))*100,(Z125-Y125)/Y$125*100)</f>
        <v>2.6019029277959</v>
      </c>
      <c r="AA144" s="1574">
        <f ca="1">IF(UPPER('VVP1'!$F$2)="Y",(OFFSET('VVP1'!$M17,0,5*(COLUMN()-8))-OFFSET('VVP1'!$J17,0,5*(COLUMN()-8)))/OFFSET('VVP1'!$J$17,0,5*(COLUMN()-8))*100,(AA125-Z125)/Z$125*100)</f>
        <v>4.4565689253719656</v>
      </c>
      <c r="AB144" s="1574">
        <f ca="1">IF(UPPER('VVP1'!$F$2)="Y",(OFFSET('VVP1'!$M17,0,5*(COLUMN()-8))-OFFSET('VVP1'!$J17,0,5*(COLUMN()-8)))/OFFSET('VVP1'!$J$17,0,5*(COLUMN()-8))*100,(AB125-AA125)/AA$125*100)</f>
        <v>2.6839662785306051</v>
      </c>
      <c r="AC144" s="1574">
        <f ca="1">IF(UPPER('VVP1'!$F$2)="Y",(OFFSET('VVP1'!$M17,0,5*(COLUMN()-8))-OFFSET('VVP1'!$J17,0,5*(COLUMN()-8)))/OFFSET('VVP1'!$J$17,0,5*(COLUMN()-8))*100,(AC125-AB125)/AB$125*100)</f>
        <v>2.1141964181437434</v>
      </c>
      <c r="AD144" s="1574">
        <f ca="1">IF(UPPER('VVP1'!$F$2)="Y",(OFFSET('VVP1'!$M17,0,5*(COLUMN()-8))-OFFSET('VVP1'!$J17,0,5*(COLUMN()-8)))/OFFSET('VVP1'!$J$17,0,5*(COLUMN()-8))*100,(AD125-AC125)/AC$125*100)</f>
        <v>2.3754579714468549</v>
      </c>
      <c r="AE144" s="1574">
        <f ca="1">IF(UPPER('VVP1'!$F$2)="Y",(OFFSET('VVP1'!$M17,0,5*(COLUMN()-8))-OFFSET('VVP1'!$J17,0,5*(COLUMN()-8)))/OFFSET('VVP1'!$J$17,0,5*(COLUMN()-8))*100,(AE125-AD125)/AD$125*100)</f>
        <v>1.7607506553809729</v>
      </c>
      <c r="AF144" s="1574">
        <f ca="1">IF(UPPER('VVP1'!$F$2)="Y",(OFFSET('VVP1'!$M17,0,5*(COLUMN()-8))-OFFSET('VVP1'!$J17,0,5*(COLUMN()-8)))/OFFSET('VVP1'!$J$17,0,5*(COLUMN()-8))*100,(AF125-AE125)/AE$125*100)</f>
        <v>1.7609205310281157</v>
      </c>
    </row>
    <row r="145" spans="1:34">
      <c r="V145" s="564" t="s">
        <v>2607</v>
      </c>
      <c r="W145" s="564" t="s">
        <v>2606</v>
      </c>
      <c r="X145" s="3698">
        <f ca="1">IF(UPPER('VVP1'!$F$2)="Y",(OFFSET('VVP1'!$M58,0,5*(COLUMN()-8))-OFFSET('VVP1'!$J58,0,5*(COLUMN()-8)))/OFFSET('VVP1'!$J$17,0,5*(COLUMN()-8))*100,(X22-W22)/W$125*100)</f>
        <v>-0.458031020971359</v>
      </c>
      <c r="Y145" s="3698">
        <f ca="1">IF(UPPER('VVP1'!$F$2)="Y",(OFFSET('VVP1'!$M58,0,5*(COLUMN()-8))-OFFSET('VVP1'!$J58,0,5*(COLUMN()-8)))/OFFSET('VVP1'!$J$17,0,5*(COLUMN()-8))*100,(Y22-X22)/X$125*100)</f>
        <v>2.9664599676907343E-2</v>
      </c>
      <c r="Z145" s="3698">
        <f ca="1">IF(UPPER('VVP1'!$F$2)="Y",(OFFSET('VVP1'!$M58,0,5*(COLUMN()-8))-OFFSET('VVP1'!$J58,0,5*(COLUMN()-8)))/OFFSET('VVP1'!$J$17,0,5*(COLUMN()-8))*100,(Z22-Y22)/Y$125*100)</f>
        <v>0.54680219151342768</v>
      </c>
      <c r="AA145" s="3698">
        <f ca="1">IF(UPPER('VVP1'!$F$2)="Y",(OFFSET('VVP1'!$M58,0,5*(COLUMN()-8))-OFFSET('VVP1'!$J58,0,5*(COLUMN()-8)))/OFFSET('VVP1'!$J$17,0,5*(COLUMN()-8))*100,(AA22-Z22)/Z$125*100)</f>
        <v>0.71591515215829316</v>
      </c>
      <c r="AB145" s="3698">
        <f ca="1">IF(UPPER('VVP1'!$F$2)="Y",(OFFSET('VVP1'!$M58,0,5*(COLUMN()-8))-OFFSET('VVP1'!$J58,0,5*(COLUMN()-8)))/OFFSET('VVP1'!$J$17,0,5*(COLUMN()-8))*100,(AB22-AA22)/AA$125*100)</f>
        <v>0.49610363322099438</v>
      </c>
      <c r="AC145" s="3698">
        <f ca="1">IF(UPPER('VVP1'!$F$2)="Y",(OFFSET('VVP1'!$M58,0,5*(COLUMN()-8))-OFFSET('VVP1'!$J58,0,5*(COLUMN()-8)))/OFFSET('VVP1'!$J$17,0,5*(COLUMN()-8))*100,(AC22-AB22)/AB$125*100)</f>
        <v>0.59278474691330818</v>
      </c>
      <c r="AD145" s="3698">
        <f ca="1">IF(UPPER('VVP1'!$F$2)="Y",(OFFSET('VVP1'!$M58,0,5*(COLUMN()-8))-OFFSET('VVP1'!$J58,0,5*(COLUMN()-8)))/OFFSET('VVP1'!$J$17,0,5*(COLUMN()-8))*100,(AD22-AC22)/AC$125*100)</f>
        <v>9.7274967191894435E-2</v>
      </c>
      <c r="AE145" s="3698">
        <f ca="1">IF(UPPER('VVP1'!$F$2)="Y",(OFFSET('VVP1'!$M58,0,5*(COLUMN()-8))-OFFSET('VVP1'!$J58,0,5*(COLUMN()-8)))/OFFSET('VVP1'!$J$17,0,5*(COLUMN()-8))*100,(AE22-AD22)/AD$125*100)</f>
        <v>-0.27944871989722048</v>
      </c>
      <c r="AF145" s="3698">
        <f ca="1">IF(UPPER('VVP1'!$F$2)="Y",(OFFSET('VVP1'!$M58,0,5*(COLUMN()-8))-OFFSET('VVP1'!$J58,0,5*(COLUMN()-8)))/OFFSET('VVP1'!$J$17,0,5*(COLUMN()-8))*100,(AF22-AE22)/AE$125*100)</f>
        <v>-8.2262878438711967E-2</v>
      </c>
      <c r="AG145" s="3308"/>
      <c r="AH145" s="3308"/>
    </row>
    <row r="146" spans="1:34">
      <c r="A146" s="1170"/>
      <c r="D146" s="1526"/>
      <c r="E146" s="1561" t="s">
        <v>705</v>
      </c>
      <c r="F146" s="1562"/>
      <c r="G146" s="854">
        <f>+InputY!$G$3</f>
        <v>1995</v>
      </c>
      <c r="H146" s="854">
        <f>+G146+1</f>
        <v>1996</v>
      </c>
      <c r="I146" s="854">
        <f t="shared" ref="I146:O146" si="157">+H146+1</f>
        <v>1997</v>
      </c>
      <c r="J146" s="854">
        <f t="shared" si="157"/>
        <v>1998</v>
      </c>
      <c r="K146" s="854">
        <f t="shared" si="157"/>
        <v>1999</v>
      </c>
      <c r="L146" s="854">
        <f t="shared" si="157"/>
        <v>2000</v>
      </c>
      <c r="M146" s="854">
        <f t="shared" si="157"/>
        <v>2001</v>
      </c>
      <c r="N146" s="854">
        <f t="shared" si="157"/>
        <v>2002</v>
      </c>
      <c r="O146" s="854">
        <f t="shared" si="157"/>
        <v>2003</v>
      </c>
      <c r="P146" s="854">
        <f t="shared" ref="P146:U146" si="158">+O146+1</f>
        <v>2004</v>
      </c>
      <c r="Q146" s="854">
        <f t="shared" si="158"/>
        <v>2005</v>
      </c>
      <c r="R146" s="854">
        <f t="shared" si="158"/>
        <v>2006</v>
      </c>
      <c r="S146" s="854">
        <f t="shared" si="158"/>
        <v>2007</v>
      </c>
      <c r="T146" s="854">
        <f t="shared" si="158"/>
        <v>2008</v>
      </c>
      <c r="U146" s="854">
        <f t="shared" si="158"/>
        <v>2009</v>
      </c>
      <c r="V146" s="854">
        <f t="shared" ref="V146:AF146" si="159">+U146+1</f>
        <v>2010</v>
      </c>
      <c r="W146" s="854">
        <f t="shared" si="159"/>
        <v>2011</v>
      </c>
      <c r="X146" s="854">
        <f t="shared" si="159"/>
        <v>2012</v>
      </c>
      <c r="Y146" s="854">
        <f t="shared" si="159"/>
        <v>2013</v>
      </c>
      <c r="Z146" s="854">
        <f t="shared" si="159"/>
        <v>2014</v>
      </c>
      <c r="AA146" s="854">
        <f t="shared" si="159"/>
        <v>2015</v>
      </c>
      <c r="AB146" s="854">
        <f t="shared" si="159"/>
        <v>2016</v>
      </c>
      <c r="AC146" s="854">
        <f t="shared" si="159"/>
        <v>2017</v>
      </c>
      <c r="AD146" s="854">
        <f t="shared" si="159"/>
        <v>2018</v>
      </c>
      <c r="AE146" s="854">
        <f t="shared" si="159"/>
        <v>2019</v>
      </c>
      <c r="AF146" s="854">
        <f t="shared" si="159"/>
        <v>2020</v>
      </c>
    </row>
    <row r="147" spans="1:34" ht="12.75">
      <c r="A147" s="701"/>
      <c r="C147" s="1528"/>
      <c r="D147" s="2023" t="s">
        <v>664</v>
      </c>
      <c r="E147" s="23" t="s">
        <v>1998</v>
      </c>
      <c r="F147" s="1543" t="s">
        <v>1258</v>
      </c>
      <c r="G147" s="2027"/>
      <c r="H147" s="2027">
        <f ca="1">(H7-OFFSET('Q1'!$N$23,0,4*(COLUMN()-8)))/H7</f>
        <v>2.1671855473378646E-4</v>
      </c>
      <c r="I147" s="2027">
        <f ca="1">(I7-OFFSET('Q1'!$N$23,0,4*(COLUMN()-8)))/I7</f>
        <v>-3.3696825433028485E-4</v>
      </c>
      <c r="J147" s="2027">
        <f ca="1">(J7-OFFSET('Q1'!$N$23,0,4*(COLUMN()-8)))/J7</f>
        <v>1.6018786488839772E-4</v>
      </c>
      <c r="K147" s="2027">
        <f ca="1">(K7-OFFSET('Q1'!$N$23,0,4*(COLUMN()-8)))/K7</f>
        <v>8.9372078255930162E-4</v>
      </c>
      <c r="L147" s="2027">
        <f ca="1">(L7-OFFSET('Q1'!$N$23,0,4*(COLUMN()-8)))/L7</f>
        <v>1.0978562490450709E-4</v>
      </c>
      <c r="M147" s="2027">
        <f ca="1">(M7-OFFSET('Q1'!$N$23,0,4*(COLUMN()-8)))/M7</f>
        <v>-4.9994949436620246E-4</v>
      </c>
      <c r="N147" s="2027">
        <f ca="1">(N7-OFFSET('Q1'!$N$23,0,4*(COLUMN()-8)))/N7</f>
        <v>-8.3226278158356922E-5</v>
      </c>
      <c r="O147" s="2027">
        <f ca="1">(O7-OFFSET('Q1'!$N$23,0,4*(COLUMN()-8)))/O7</f>
        <v>-7.154115690407531E-4</v>
      </c>
      <c r="P147" s="2027">
        <f ca="1">(P7-OFFSET('Q1'!$N$23,0,4*(COLUMN()-8)))/P7</f>
        <v>9.4759734259964657E-4</v>
      </c>
      <c r="Q147" s="2027">
        <f ca="1">(Q7-OFFSET('Q1'!$N$23,0,4*(COLUMN()-8)))/Q7</f>
        <v>1.0561640291403271E-3</v>
      </c>
      <c r="R147" s="2027">
        <f ca="1">(R7-OFFSET('Q1'!$N$23,0,4*(COLUMN()-8)))/R7</f>
        <v>3.8568975430588556E-5</v>
      </c>
      <c r="S147" s="2027">
        <f ca="1">(S7-OFFSET('Q1'!$N$23,0,4*(COLUMN()-8)))/S7</f>
        <v>-5.9887614102780535E-4</v>
      </c>
      <c r="T147" s="2027">
        <f ca="1">(T7-OFFSET('Q1'!$N$23,0,4*(COLUMN()-8)))/T7</f>
        <v>-2.4099976655148026E-4</v>
      </c>
      <c r="U147" s="2027">
        <f ca="1">(U7-OFFSET('Q1'!$N$23,0,4*(COLUMN()-8)))/U7</f>
        <v>-3.4118507278985138E-4</v>
      </c>
      <c r="V147" s="2027">
        <f ca="1">(V7-OFFSET('Q1'!$N$23,0,4*(COLUMN()-8)))/V7</f>
        <v>6.4472911466751845E-4</v>
      </c>
      <c r="W147" s="2027">
        <f ca="1">(W7-OFFSET('Q1'!$N$23,0,4*(COLUMN()-8)))/W7</f>
        <v>6.8945043190464918E-4</v>
      </c>
      <c r="X147" s="2027">
        <f ca="1">(X7-OFFSET('Q1'!$N$23,0,4*(COLUMN()-8)))/X7</f>
        <v>-5.6897520511384669E-4</v>
      </c>
      <c r="Y147" s="2027">
        <f ca="1">(Y7-OFFSET('Q1'!$N$23,0,4*(COLUMN()-8)))/Y7</f>
        <v>-5.5519915069172801E-4</v>
      </c>
      <c r="Z147" s="2027">
        <f ca="1">(Z7-OFFSET('Q1'!$N$23,0,4*(COLUMN()-8)))/Z7</f>
        <v>-9.9027531869381818E-4</v>
      </c>
      <c r="AA147" s="2027">
        <f ca="1">(AA7-OFFSET('Q1'!$N$23,0,4*(COLUMN()-8)))/AA7</f>
        <v>-1.3378719739277499E-4</v>
      </c>
      <c r="AB147" s="2027">
        <f ca="1">(AB7-OFFSET('Q1'!$N$23,0,4*(COLUMN()-8)))/AB7</f>
        <v>7.1237401433390146E-4</v>
      </c>
      <c r="AC147" s="2027">
        <f ca="1">(AC7-OFFSET('Q1'!$N$23,0,4*(COLUMN()-8)))/AC7</f>
        <v>4.4234663532216026E-5</v>
      </c>
      <c r="AD147" s="2027">
        <f ca="1">(AD7-OFFSET('Q1'!$N$23,0,4*(COLUMN()-8)))/AD7</f>
        <v>1.2244678841574213E-5</v>
      </c>
      <c r="AE147" s="2027">
        <f ca="1">(AE7-OFFSET('Q1'!$N$23,0,4*(COLUMN()-8)))/AE7</f>
        <v>1.1555361428099972E-4</v>
      </c>
      <c r="AF147" s="2027">
        <f ca="1">(AF7-OFFSET('Q1'!$N$23,0,4*(COLUMN()-8)))/AF7</f>
        <v>7.7048107519678001E-5</v>
      </c>
    </row>
    <row r="148" spans="1:34" ht="12.75">
      <c r="A148" s="701"/>
      <c r="C148" s="1529"/>
      <c r="D148" s="1110" t="s">
        <v>666</v>
      </c>
      <c r="E148" s="1" t="s">
        <v>1998</v>
      </c>
      <c r="F148" s="1530" t="s">
        <v>699</v>
      </c>
      <c r="G148" s="2028"/>
      <c r="H148" s="2028">
        <f ca="1">(H13-OFFSET('Q1'!$N$42,0,4*(COLUMN()-8)))/H13</f>
        <v>-2.7521634650330916E-3</v>
      </c>
      <c r="I148" s="2028">
        <f ca="1">(I13-OFFSET('Q1'!$N$42,0,4*(COLUMN()-8)))/I13</f>
        <v>-7.1536067185414692E-3</v>
      </c>
      <c r="J148" s="2028">
        <f ca="1">(J13-OFFSET('Q1'!$N$42,0,4*(COLUMN()-8)))/J13</f>
        <v>-5.5261884710254613E-3</v>
      </c>
      <c r="K148" s="2028">
        <f ca="1">(K13-OFFSET('Q1'!$N$42,0,4*(COLUMN()-8)))/K13</f>
        <v>-2.0037675451693984E-3</v>
      </c>
      <c r="L148" s="2028">
        <f ca="1">(L13-OFFSET('Q1'!$N$42,0,4*(COLUMN()-8)))/L13</f>
        <v>-3.8877096172486168E-3</v>
      </c>
      <c r="M148" s="2028">
        <f ca="1">(M13-OFFSET('Q1'!$N$42,0,4*(COLUMN()-8)))/M13</f>
        <v>-5.2607909633019248E-3</v>
      </c>
      <c r="N148" s="2028">
        <f ca="1">(N13-OFFSET('Q1'!$N$42,0,4*(COLUMN()-8)))/N13</f>
        <v>-5.1840968451157829E-3</v>
      </c>
      <c r="O148" s="2028">
        <f ca="1">(O13-OFFSET('Q1'!$N$42,0,4*(COLUMN()-8)))/O13</f>
        <v>-7.1357827301319204E-3</v>
      </c>
      <c r="P148" s="2028">
        <f ca="1">(P13-OFFSET('Q1'!$N$42,0,4*(COLUMN()-8)))/P13</f>
        <v>-4.399281279546753E-4</v>
      </c>
      <c r="Q148" s="2028">
        <f ca="1">(Q13-OFFSET('Q1'!$N$42,0,4*(COLUMN()-8)))/Q13</f>
        <v>7.1890986958859362E-4</v>
      </c>
      <c r="R148" s="2028">
        <f ca="1">(R13-OFFSET('Q1'!$N$42,0,4*(COLUMN()-8)))/R13</f>
        <v>-1.7589424314439122E-3</v>
      </c>
      <c r="S148" s="2028">
        <f ca="1">(S13-OFFSET('Q1'!$N$42,0,4*(COLUMN()-8)))/S13</f>
        <v>-4.0844831638930205E-3</v>
      </c>
      <c r="T148" s="2028">
        <f ca="1">(T13-OFFSET('Q1'!$N$42,0,4*(COLUMN()-8)))/T13</f>
        <v>-1.8863543308910871E-3</v>
      </c>
      <c r="U148" s="2028">
        <f ca="1">(U13-OFFSET('Q1'!$N$42,0,4*(COLUMN()-8)))/U13</f>
        <v>-2.0401292553550027E-3</v>
      </c>
      <c r="V148" s="2028">
        <f ca="1">(V13-OFFSET('Q1'!$N$42,0,4*(COLUMN()-8)))/V13</f>
        <v>1.3651153240400605E-3</v>
      </c>
      <c r="W148" s="2028">
        <f ca="1">(W13-OFFSET('Q1'!$N$42,0,4*(COLUMN()-8)))/W13</f>
        <v>6.9670313862384278E-4</v>
      </c>
      <c r="X148" s="2028">
        <f ca="1">(X13-OFFSET('Q1'!$N$42,0,4*(COLUMN()-8)))/X13</f>
        <v>-4.2026798066798626E-3</v>
      </c>
      <c r="Y148" s="2028">
        <f ca="1">(Y13-OFFSET('Q1'!$N$42,0,4*(COLUMN()-8)))/Y13</f>
        <v>-4.2403892804208469E-3</v>
      </c>
      <c r="Z148" s="2028">
        <f ca="1">(Z13-OFFSET('Q1'!$N$42,0,4*(COLUMN()-8)))/Z13</f>
        <v>-6.0092920103428033E-3</v>
      </c>
      <c r="AA148" s="2028">
        <f ca="1">(AA13-OFFSET('Q1'!$N$42,0,4*(COLUMN()-8)))/AA13</f>
        <v>-2.7213422471750468E-3</v>
      </c>
      <c r="AB148" s="2028">
        <f ca="1">(AB13-OFFSET('Q1'!$N$42,0,4*(COLUMN()-8)))/AB13</f>
        <v>1.1876369018307632E-3</v>
      </c>
      <c r="AC148" s="2028">
        <f ca="1">(AC13-OFFSET('Q1'!$N$42,0,4*(COLUMN()-8)))/AC13</f>
        <v>-2.8953751757585001E-3</v>
      </c>
      <c r="AD148" s="2028">
        <f ca="1">(AD13-OFFSET('Q1'!$N$42,0,4*(COLUMN()-8)))/AD13</f>
        <v>-2.8813634722131528E-3</v>
      </c>
      <c r="AE148" s="2028">
        <f ca="1">(AE13-OFFSET('Q1'!$N$42,0,4*(COLUMN()-8)))/AE13</f>
        <v>-2.8570826591091136E-3</v>
      </c>
      <c r="AF148" s="2028">
        <f ca="1">(AF13-OFFSET('Q1'!$N$42,0,4*(COLUMN()-8)))/AF13</f>
        <v>-2.8639286606212703E-3</v>
      </c>
    </row>
    <row r="149" spans="1:34" ht="12.75">
      <c r="A149" s="701"/>
      <c r="C149" s="1529"/>
      <c r="D149" s="2024"/>
      <c r="E149" s="113" t="s">
        <v>1341</v>
      </c>
      <c r="F149" s="1563" t="s">
        <v>1752</v>
      </c>
      <c r="G149" s="2029"/>
      <c r="H149" s="2029">
        <f ca="1">(H29-OFFSET('Q1'!$N$72,0,4*(COLUMN()-8)))/H29</f>
        <v>-5.2856981242853005E-4</v>
      </c>
      <c r="I149" s="2029">
        <f ca="1">(I29-OFFSET('Q1'!$N$72,0,4*(COLUMN()-8)))/I29</f>
        <v>-2.07176169598456E-3</v>
      </c>
      <c r="J149" s="2029">
        <f ca="1">(J29-OFFSET('Q1'!$N$72,0,4*(COLUMN()-8)))/J29</f>
        <v>-7.7298287701820694E-4</v>
      </c>
      <c r="K149" s="2029">
        <f ca="1">(K29-OFFSET('Q1'!$N$72,0,4*(COLUMN()-8)))/K29</f>
        <v>1.4878659077963994E-3</v>
      </c>
      <c r="L149" s="2029">
        <f ca="1">(L29-OFFSET('Q1'!$N$72,0,4*(COLUMN()-8)))/L29</f>
        <v>1.2913697980702231E-3</v>
      </c>
      <c r="M149" s="2029">
        <f ca="1">(M29-OFFSET('Q1'!$N$72,0,4*(COLUMN()-8)))/M29</f>
        <v>-1.046329014799378E-3</v>
      </c>
      <c r="N149" s="2029">
        <f ca="1">(N29-OFFSET('Q1'!$N$72,0,4*(COLUMN()-8)))/N29</f>
        <v>-6.7913703702263031E-4</v>
      </c>
      <c r="O149" s="2029">
        <f ca="1">(O29-OFFSET('Q1'!$N$72,0,4*(COLUMN()-8)))/O29</f>
        <v>-3.2364484364639781E-3</v>
      </c>
      <c r="P149" s="2029">
        <f ca="1">(P29-OFFSET('Q1'!$N$72,0,4*(COLUMN()-8)))/P29</f>
        <v>4.0028635055919803E-3</v>
      </c>
      <c r="Q149" s="2029">
        <f ca="1">(Q29-OFFSET('Q1'!$N$72,0,4*(COLUMN()-8)))/Q29</f>
        <v>3.132223673507331E-3</v>
      </c>
      <c r="R149" s="2029">
        <f ca="1">(R29-OFFSET('Q1'!$N$72,0,4*(COLUMN()-8)))/R29</f>
        <v>1.0694403923168492E-3</v>
      </c>
      <c r="S149" s="2029">
        <f ca="1">(S29-OFFSET('Q1'!$N$72,0,4*(COLUMN()-8)))/S29</f>
        <v>-7.074350541837383E-4</v>
      </c>
      <c r="T149" s="2029">
        <f ca="1">(T29-OFFSET('Q1'!$N$72,0,4*(COLUMN()-8)))/T29</f>
        <v>1.6704408746149497E-3</v>
      </c>
      <c r="U149" s="2029">
        <f ca="1">(U29-OFFSET('Q1'!$N$72,0,4*(COLUMN()-8)))/U29</f>
        <v>8.3994894946697507E-4</v>
      </c>
      <c r="V149" s="2029">
        <f ca="1">(V29-OFFSET('Q1'!$N$72,0,4*(COLUMN()-8)))/V29</f>
        <v>5.0753037877392408E-3</v>
      </c>
      <c r="W149" s="2029">
        <f ca="1">(W29-OFFSET('Q1'!$N$72,0,4*(COLUMN()-8)))/W29</f>
        <v>3.274932314736335E-3</v>
      </c>
      <c r="X149" s="2029">
        <f ca="1">(X29-OFFSET('Q1'!$N$72,0,4*(COLUMN()-8)))/X29</f>
        <v>-1.2302457072023028E-3</v>
      </c>
      <c r="Y149" s="2029">
        <f ca="1">(Y29-OFFSET('Q1'!$N$72,0,4*(COLUMN()-8)))/Y29</f>
        <v>-1.0230626910682835E-3</v>
      </c>
      <c r="Z149" s="2029">
        <f ca="1">(Z29-OFFSET('Q1'!$N$72,0,4*(COLUMN()-8)))/Z29</f>
        <v>-2.2078250660664865E-3</v>
      </c>
      <c r="AA149" s="2029">
        <f ca="1">(AA29-OFFSET('Q1'!$N$72,0,4*(COLUMN()-8)))/AA29</f>
        <v>1.2247350919311905E-3</v>
      </c>
      <c r="AB149" s="2029">
        <f ca="1">(AB29-OFFSET('Q1'!$N$72,0,4*(COLUMN()-8)))/AB29</f>
        <v>3.6993544389349172E-3</v>
      </c>
      <c r="AC149" s="2029">
        <f ca="1">(AC29-OFFSET('Q1'!$N$72,0,4*(COLUMN()-8)))/AC29</f>
        <v>-2.9257160022392589E-4</v>
      </c>
      <c r="AD149" s="2029">
        <f ca="1">(AD29-OFFSET('Q1'!$N$72,0,4*(COLUMN()-8)))/AD29</f>
        <v>-3.7656467694727414E-4</v>
      </c>
      <c r="AE149" s="2029">
        <f ca="1">(AE29-OFFSET('Q1'!$N$72,0,4*(COLUMN()-8)))/AE29</f>
        <v>-6.0741202657406325E-4</v>
      </c>
      <c r="AF149" s="2029">
        <f ca="1">(AF29-OFFSET('Q1'!$N$72,0,4*(COLUMN()-8)))/AF29</f>
        <v>-4.6547023400844798E-4</v>
      </c>
    </row>
    <row r="150" spans="1:34" ht="12.75">
      <c r="A150" s="701"/>
      <c r="C150" s="1529"/>
      <c r="D150" s="1493"/>
      <c r="E150" s="50" t="s">
        <v>1538</v>
      </c>
      <c r="F150" s="30"/>
      <c r="G150" s="2030"/>
      <c r="H150" s="2030">
        <f ca="1">(H54-OFFSET('Q1'!$N$106,0,4*(COLUMN()-8)))/H54</f>
        <v>-6.560386915780563E-3</v>
      </c>
      <c r="I150" s="2030">
        <f ca="1">(I54-OFFSET('Q1'!$N$106,0,4*(COLUMN()-8)))/I54</f>
        <v>-7.1858209694416614E-3</v>
      </c>
      <c r="J150" s="2030">
        <f ca="1">(J54-OFFSET('Q1'!$N$106,0,4*(COLUMN()-8)))/J54</f>
        <v>-6.1915022233988287E-3</v>
      </c>
      <c r="K150" s="2030">
        <f ca="1">(K54-OFFSET('Q1'!$N$106,0,4*(COLUMN()-8)))/K54</f>
        <v>-3.2570903897149255E-3</v>
      </c>
      <c r="L150" s="2030">
        <f ca="1">(L54-OFFSET('Q1'!$N$106,0,4*(COLUMN()-8)))/L54</f>
        <v>-2.0937582215245307E-3</v>
      </c>
      <c r="M150" s="2030">
        <f ca="1">(M54-OFFSET('Q1'!$N$106,0,4*(COLUMN()-8)))/M54</f>
        <v>-3.022026900451052E-3</v>
      </c>
      <c r="N150" s="2030">
        <f ca="1">(N54-OFFSET('Q1'!$N$106,0,4*(COLUMN()-8)))/N54</f>
        <v>-2.971769567170629E-3</v>
      </c>
      <c r="O150" s="2030">
        <f ca="1">(O54-OFFSET('Q1'!$N$106,0,4*(COLUMN()-8)))/O54</f>
        <v>-4.0815354577439919E-3</v>
      </c>
      <c r="P150" s="2030">
        <f ca="1">(P54-OFFSET('Q1'!$N$106,0,4*(COLUMN()-8)))/P54</f>
        <v>7.8820813771803867E-4</v>
      </c>
      <c r="Q150" s="2030">
        <f ca="1">(Q54-OFFSET('Q1'!$N$106,0,4*(COLUMN()-8)))/Q54</f>
        <v>1.2373909170368337E-3</v>
      </c>
      <c r="R150" s="2030">
        <f ca="1">(R54-OFFSET('Q1'!$N$106,0,4*(COLUMN()-8)))/R54</f>
        <v>-3.3292392026515439E-4</v>
      </c>
      <c r="S150" s="2030">
        <f ca="1">(S54-OFFSET('Q1'!$N$106,0,4*(COLUMN()-8)))/S54</f>
        <v>-1.6692228029601542E-3</v>
      </c>
      <c r="T150" s="2030">
        <f ca="1">(T54-OFFSET('Q1'!$N$106,0,4*(COLUMN()-8)))/T54</f>
        <v>-2.9872405579704596E-4</v>
      </c>
      <c r="U150" s="2030">
        <f ca="1">(U54-OFFSET('Q1'!$N$106,0,4*(COLUMN()-8)))/U54</f>
        <v>-5.8572502157446741E-4</v>
      </c>
      <c r="V150" s="2030">
        <f ca="1">(V54-OFFSET('Q1'!$N$106,0,4*(COLUMN()-8)))/V54</f>
        <v>1.8919597830455814E-3</v>
      </c>
      <c r="W150" s="2030">
        <f ca="1">(W54-OFFSET('Q1'!$N$106,0,4*(COLUMN()-8)))/W54</f>
        <v>1.325612556862969E-3</v>
      </c>
      <c r="X150" s="2030">
        <f ca="1">(X54-OFFSET('Q1'!$N$106,0,4*(COLUMN()-8)))/X54</f>
        <v>-1.6445545564505695E-3</v>
      </c>
      <c r="Y150" s="2030">
        <f ca="1">(Y54-OFFSET('Q1'!$N$106,0,4*(COLUMN()-8)))/Y54</f>
        <v>-1.5846166953160019E-3</v>
      </c>
      <c r="Z150" s="2030">
        <f ca="1">(Z54-OFFSET('Q1'!$N$106,0,4*(COLUMN()-8)))/Z54</f>
        <v>-2.8114525875112795E-3</v>
      </c>
      <c r="AA150" s="2030">
        <f ca="1">(AA54-OFFSET('Q1'!$N$106,0,4*(COLUMN()-8)))/AA54</f>
        <v>-9.2641332523926484E-4</v>
      </c>
      <c r="AB150" s="2030">
        <f ca="1">(AB54-OFFSET('Q1'!$N$106,0,4*(COLUMN()-8)))/AB54</f>
        <v>1.1893435805707796E-3</v>
      </c>
      <c r="AC150" s="2030">
        <f ca="1">(AC54-OFFSET('Q1'!$N$106,0,4*(COLUMN()-8)))/AC54</f>
        <v>-1.7589932183158519E-3</v>
      </c>
      <c r="AD150" s="2030">
        <f ca="1">(AD54-OFFSET('Q1'!$N$106,0,4*(COLUMN()-8)))/AD54</f>
        <v>-2.1082157519058454E-3</v>
      </c>
      <c r="AE150" s="2030">
        <f ca="1">(AE54-OFFSET('Q1'!$N$106,0,4*(COLUMN()-8)))/AE54</f>
        <v>-2.4250722766356492E-3</v>
      </c>
      <c r="AF150" s="2030">
        <f ca="1">(AF54-OFFSET('Q1'!$N$106,0,4*(COLUMN()-8)))/AF54</f>
        <v>-2.6808999222134641E-3</v>
      </c>
    </row>
    <row r="151" spans="1:34" ht="12.75">
      <c r="A151" s="701"/>
      <c r="C151" s="1529"/>
      <c r="D151" s="2024"/>
      <c r="E151" s="113" t="s">
        <v>1487</v>
      </c>
      <c r="F151" s="1531" t="s">
        <v>71</v>
      </c>
      <c r="G151" s="2029"/>
      <c r="H151" s="2029">
        <f ca="1">(H64-OFFSET('Q1'!$N$125,0,4*(COLUMN()-8)))/H64</f>
        <v>1.5571244285925008</v>
      </c>
      <c r="I151" s="2029">
        <f ca="1">(I64-OFFSET('Q1'!$N$125,0,4*(COLUMN()-8)))/I64</f>
        <v>1.8365667645957573</v>
      </c>
      <c r="J151" s="2029">
        <f ca="1">(J64-OFFSET('Q1'!$N$125,0,4*(COLUMN()-8)))/J64</f>
        <v>1.8275941926732697</v>
      </c>
      <c r="K151" s="2029">
        <f ca="1">(K64-OFFSET('Q1'!$N$125,0,4*(COLUMN()-8)))/K64</f>
        <v>1.3281392883108467</v>
      </c>
      <c r="L151" s="2029">
        <f ca="1">(L64-OFFSET('Q1'!$N$125,0,4*(COLUMN()-8)))/L64</f>
        <v>1.6898030411862606</v>
      </c>
      <c r="M151" s="2029">
        <f ca="1">(M64-OFFSET('Q1'!$N$125,0,4*(COLUMN()-8)))/M64</f>
        <v>1.5113814637002991</v>
      </c>
      <c r="N151" s="2029">
        <f ca="1">(N64-OFFSET('Q1'!$N$125,0,4*(COLUMN()-8)))/N64</f>
        <v>1.1368745915029725</v>
      </c>
      <c r="O151" s="2029">
        <f ca="1">(O64-OFFSET('Q1'!$N$125,0,4*(COLUMN()-8)))/O64</f>
        <v>1.5383705027417516</v>
      </c>
      <c r="P151" s="2029">
        <f ca="1">(P64-OFFSET('Q1'!$N$125,0,4*(COLUMN()-8)))/P64</f>
        <v>-1.0123096227694006</v>
      </c>
      <c r="Q151" s="2029">
        <f ca="1">(Q64-OFFSET('Q1'!$N$125,0,4*(COLUMN()-8)))/Q64</f>
        <v>-0.79055896638103551</v>
      </c>
      <c r="R151" s="2029">
        <f ca="1">(R64-OFFSET('Q1'!$N$125,0,4*(COLUMN()-8)))/R64</f>
        <v>-4.7808353099643126</v>
      </c>
      <c r="S151" s="2029">
        <f ca="1">(S64-OFFSET('Q1'!$N$125,0,4*(COLUMN()-8)))/S64</f>
        <v>-0.2401303500784919</v>
      </c>
      <c r="T151" s="2029">
        <f ca="1">(T64-OFFSET('Q1'!$N$125,0,4*(COLUMN()-8)))/T64</f>
        <v>-0.34547347876999784</v>
      </c>
      <c r="U151" s="2029">
        <f ca="1">(U64-OFFSET('Q1'!$N$125,0,4*(COLUMN()-8)))/U64</f>
        <v>2.7643229095009925E-2</v>
      </c>
      <c r="V151" s="2029">
        <f ca="1">(V64-OFFSET('Q1'!$N$125,0,4*(COLUMN()-8)))/V64</f>
        <v>-9.1038345540716409E-2</v>
      </c>
      <c r="W151" s="2029">
        <f ca="1">(W64-OFFSET('Q1'!$N$125,0,4*(COLUMN()-8)))/W64</f>
        <v>-1.421653042227085E-2</v>
      </c>
      <c r="X151" s="2029">
        <f ca="1">(X64-OFFSET('Q1'!$N$125,0,4*(COLUMN()-8)))/X64</f>
        <v>3.0243218196276085</v>
      </c>
      <c r="Y151" s="2029">
        <f ca="1">(Y64-OFFSET('Q1'!$N$125,0,4*(COLUMN()-8)))/Y64</f>
        <v>-2.5555428943305478</v>
      </c>
      <c r="Z151" s="2029">
        <f ca="1">(Z64-OFFSET('Q1'!$N$125,0,4*(COLUMN()-8)))/Z64</f>
        <v>-2.1153025388554307</v>
      </c>
      <c r="AA151" s="2029">
        <f ca="1">(AA64-OFFSET('Q1'!$N$125,0,4*(COLUMN()-8)))/AA64</f>
        <v>-1.7216856522273412</v>
      </c>
      <c r="AB151" s="2029">
        <f ca="1">(AB64-OFFSET('Q1'!$N$125,0,4*(COLUMN()-8)))/AB64</f>
        <v>-1.7396910426397971</v>
      </c>
      <c r="AC151" s="2029">
        <f ca="1">(AC64-OFFSET('Q1'!$N$125,0,4*(COLUMN()-8)))/AC64</f>
        <v>-1.5890474404112112</v>
      </c>
      <c r="AD151" s="2029">
        <f ca="1">(AD64-OFFSET('Q1'!$N$125,0,4*(COLUMN()-8)))/AD64</f>
        <v>-1.9596022656628831</v>
      </c>
      <c r="AE151" s="2029">
        <f ca="1">(AE64-OFFSET('Q1'!$N$125,0,4*(COLUMN()-8)))/AE64</f>
        <v>-2.0887638514368607</v>
      </c>
      <c r="AF151" s="2029">
        <f ca="1">(AF64-OFFSET('Q1'!$N$125,0,4*(COLUMN()-8)))/AF64</f>
        <v>-2.5896444759941897</v>
      </c>
    </row>
    <row r="152" spans="1:34" ht="12.75">
      <c r="A152" s="701"/>
      <c r="C152" s="1529"/>
      <c r="D152" s="1493"/>
      <c r="E152" s="50" t="s">
        <v>1233</v>
      </c>
      <c r="F152" s="1532"/>
      <c r="G152" s="2030"/>
      <c r="H152" s="2030">
        <f ca="1">(H72-OFFSET('Q1'!$N$145,0,4*(COLUMN()-8)))/H72</f>
        <v>-3.8061165274343709E-3</v>
      </c>
      <c r="I152" s="2030">
        <f ca="1">(I72-OFFSET('Q1'!$N$145,0,4*(COLUMN()-8)))/I72</f>
        <v>-8.4186058555919662E-3</v>
      </c>
      <c r="J152" s="2030">
        <f ca="1">(J72-OFFSET('Q1'!$N$145,0,4*(COLUMN()-8)))/J72</f>
        <v>-9.0436272187051688E-3</v>
      </c>
      <c r="K152" s="2030">
        <f ca="1">(K72-OFFSET('Q1'!$N$145,0,4*(COLUMN()-8)))/K72</f>
        <v>-7.0131417417564339E-4</v>
      </c>
      <c r="L152" s="2030">
        <f ca="1">(L72-OFFSET('Q1'!$N$145,0,4*(COLUMN()-8)))/L72</f>
        <v>-6.3616886071344086E-3</v>
      </c>
      <c r="M152" s="2030">
        <f ca="1">(M72-OFFSET('Q1'!$N$145,0,4*(COLUMN()-8)))/M72</f>
        <v>-4.0365694878536163E-3</v>
      </c>
      <c r="N152" s="2030">
        <f ca="1">(N72-OFFSET('Q1'!$N$145,0,4*(COLUMN()-8)))/N72</f>
        <v>-2.5117398723299399E-3</v>
      </c>
      <c r="O152" s="2030">
        <f ca="1">(O72-OFFSET('Q1'!$N$145,0,4*(COLUMN()-8)))/O72</f>
        <v>-5.9885624517987991E-3</v>
      </c>
      <c r="P152" s="2030">
        <f ca="1">(P72-OFFSET('Q1'!$N$145,0,4*(COLUMN()-8)))/P72</f>
        <v>2.1768173515107968E-3</v>
      </c>
      <c r="Q152" s="2030">
        <f ca="1">(Q72-OFFSET('Q1'!$N$145,0,4*(COLUMN()-8)))/Q72</f>
        <v>2.3563033888116085E-3</v>
      </c>
      <c r="R152" s="2030">
        <f ca="1">(R72-OFFSET('Q1'!$N$145,0,4*(COLUMN()-8)))/R72</f>
        <v>-2.6723206406167378E-3</v>
      </c>
      <c r="S152" s="2030">
        <f ca="1">(S72-OFFSET('Q1'!$N$145,0,4*(COLUMN()-8)))/S72</f>
        <v>-1.0994865678226167E-2</v>
      </c>
      <c r="T152" s="2030">
        <f ca="1">(T72-OFFSET('Q1'!$N$145,0,4*(COLUMN()-8)))/T72</f>
        <v>-3.1232955217805379E-3</v>
      </c>
      <c r="U152" s="2030">
        <f ca="1">(U72-OFFSET('Q1'!$N$145,0,4*(COLUMN()-8)))/U72</f>
        <v>1.2537232262262155E-2</v>
      </c>
      <c r="V152" s="2030">
        <f ca="1">(V72-OFFSET('Q1'!$N$145,0,4*(COLUMN()-8)))/V72</f>
        <v>-6.4100112656454728E-3</v>
      </c>
      <c r="W152" s="2030">
        <f ca="1">(W72-OFFSET('Q1'!$N$145,0,4*(COLUMN()-8)))/W72</f>
        <v>-1.0944339614911506E-2</v>
      </c>
      <c r="X152" s="2030">
        <f ca="1">(X72-OFFSET('Q1'!$N$145,0,4*(COLUMN()-8)))/X72</f>
        <v>-2.1428638747778843E-3</v>
      </c>
      <c r="Y152" s="2030">
        <f ca="1">(Y72-OFFSET('Q1'!$N$145,0,4*(COLUMN()-8)))/Y72</f>
        <v>-4.3129292897356288E-3</v>
      </c>
      <c r="Z152" s="2030">
        <f ca="1">(Z72-OFFSET('Q1'!$N$145,0,4*(COLUMN()-8)))/Z72</f>
        <v>-7.3932498225503882E-3</v>
      </c>
      <c r="AA152" s="2030">
        <f ca="1">(AA72-OFFSET('Q1'!$N$145,0,4*(COLUMN()-8)))/AA72</f>
        <v>-9.7450321974963273E-3</v>
      </c>
      <c r="AB152" s="2030">
        <f ca="1">(AB72-OFFSET('Q1'!$N$145,0,4*(COLUMN()-8)))/AB72</f>
        <v>-6.0730569925897182E-3</v>
      </c>
      <c r="AC152" s="2030">
        <f ca="1">(AC72-OFFSET('Q1'!$N$145,0,4*(COLUMN()-8)))/AC72</f>
        <v>-9.3523370909338044E-3</v>
      </c>
      <c r="AD152" s="2030">
        <f ca="1">(AD72-OFFSET('Q1'!$N$145,0,4*(COLUMN()-8)))/AD72</f>
        <v>-1.6282838275192779E-2</v>
      </c>
      <c r="AE152" s="2030">
        <f ca="1">(AE72-OFFSET('Q1'!$N$145,0,4*(COLUMN()-8)))/AE72</f>
        <v>-1.8912277546776948E-2</v>
      </c>
      <c r="AF152" s="2030">
        <f ca="1">(AF72-OFFSET('Q1'!$N$145,0,4*(COLUMN()-8)))/AF72</f>
        <v>-2.0569974515043016E-2</v>
      </c>
    </row>
    <row r="153" spans="1:34" ht="12.75">
      <c r="A153" s="701"/>
      <c r="C153" s="1529"/>
      <c r="D153" s="2024"/>
      <c r="E153" s="113" t="s">
        <v>375</v>
      </c>
      <c r="F153" s="1531" t="s">
        <v>1748</v>
      </c>
      <c r="G153" s="2029"/>
      <c r="H153" s="2029">
        <f ca="1">(H83-OFFSET('Q1'!$N$172,0,4*(COLUMN()-8)))/H83</f>
        <v>-2.5857335250660345E-4</v>
      </c>
      <c r="I153" s="2029">
        <f ca="1">(I83-OFFSET('Q1'!$N$172,0,4*(COLUMN()-8)))/I83</f>
        <v>-3.5549173045098569E-3</v>
      </c>
      <c r="J153" s="2029">
        <f ca="1">(J83-OFFSET('Q1'!$N$172,0,4*(COLUMN()-8)))/J83</f>
        <v>-2.089408924836513E-3</v>
      </c>
      <c r="K153" s="2029">
        <f ca="1">(K83-OFFSET('Q1'!$N$172,0,4*(COLUMN()-8)))/K83</f>
        <v>1.7376449478726443E-3</v>
      </c>
      <c r="L153" s="2029">
        <f ca="1">(L83-OFFSET('Q1'!$N$172,0,4*(COLUMN()-8)))/L83</f>
        <v>-5.1770941225126241E-4</v>
      </c>
      <c r="M153" s="2029">
        <f ca="1">(M83-OFFSET('Q1'!$N$172,0,4*(COLUMN()-8)))/M83</f>
        <v>-2.7902801091421983E-3</v>
      </c>
      <c r="N153" s="2029">
        <f ca="1">(N83-OFFSET('Q1'!$N$172,0,4*(COLUMN()-8)))/N83</f>
        <v>-2.5199653461896302E-3</v>
      </c>
      <c r="O153" s="2029">
        <f ca="1">(O83-OFFSET('Q1'!$N$172,0,4*(COLUMN()-8)))/O83</f>
        <v>-4.6089306975847658E-3</v>
      </c>
      <c r="P153" s="2029">
        <f ca="1">(P83-OFFSET('Q1'!$N$172,0,4*(COLUMN()-8)))/P83</f>
        <v>3.7336587728877707E-3</v>
      </c>
      <c r="Q153" s="2029">
        <f ca="1">(Q83-OFFSET('Q1'!$N$172,0,4*(COLUMN()-8)))/Q83</f>
        <v>3.8158343404500351E-3</v>
      </c>
      <c r="R153" s="2029">
        <f ca="1">(R83-OFFSET('Q1'!$N$172,0,4*(COLUMN()-8)))/R83</f>
        <v>-3.9118467456549113E-4</v>
      </c>
      <c r="S153" s="2029">
        <f ca="1">(S83-OFFSET('Q1'!$N$172,0,4*(COLUMN()-8)))/S83</f>
        <v>-2.7063155606292652E-3</v>
      </c>
      <c r="T153" s="2029">
        <f ca="1">(T83-OFFSET('Q1'!$N$172,0,4*(COLUMN()-8)))/T83</f>
        <v>1.1221135941018991E-3</v>
      </c>
      <c r="U153" s="2029">
        <f ca="1">(U83-OFFSET('Q1'!$N$172,0,4*(COLUMN()-8)))/U83</f>
        <v>-6.2763443788513024E-4</v>
      </c>
      <c r="V153" s="2029">
        <f ca="1">(V83-OFFSET('Q1'!$N$172,0,4*(COLUMN()-8)))/V83</f>
        <v>4.1175703505409063E-3</v>
      </c>
      <c r="W153" s="2029">
        <f ca="1">(W83-OFFSET('Q1'!$N$172,0,4*(COLUMN()-8)))/W83</f>
        <v>3.0143309072855912E-3</v>
      </c>
      <c r="X153" s="2029">
        <f ca="1">(X83-OFFSET('Q1'!$N$172,0,4*(COLUMN()-8)))/X83</f>
        <v>-2.5541280706628732E-3</v>
      </c>
      <c r="Y153" s="2029">
        <f ca="1">(Y83-OFFSET('Q1'!$N$172,0,4*(COLUMN()-8)))/Y83</f>
        <v>-2.378057399880357E-3</v>
      </c>
      <c r="Z153" s="2029">
        <f ca="1">(Z83-OFFSET('Q1'!$N$172,0,4*(COLUMN()-8)))/Z83</f>
        <v>-4.1496281650234331E-3</v>
      </c>
      <c r="AA153" s="2029">
        <f ca="1">(AA83-OFFSET('Q1'!$N$172,0,4*(COLUMN()-8)))/AA83</f>
        <v>9.2169162624022177E-5</v>
      </c>
      <c r="AB153" s="2029">
        <f ca="1">(AB83-OFFSET('Q1'!$N$172,0,4*(COLUMN()-8)))/AB83</f>
        <v>3.9986907815596053E-3</v>
      </c>
      <c r="AC153" s="2029">
        <f ca="1">(AC83-OFFSET('Q1'!$N$172,0,4*(COLUMN()-8)))/AC83</f>
        <v>-3.3046290514496496E-4</v>
      </c>
      <c r="AD153" s="2029">
        <f ca="1">(AD83-OFFSET('Q1'!$N$172,0,4*(COLUMN()-8)))/AD83</f>
        <v>-2.0312623631286287E-4</v>
      </c>
      <c r="AE153" s="2029">
        <f ca="1">(AE83-OFFSET('Q1'!$N$172,0,4*(COLUMN()-8)))/AE83</f>
        <v>-1.3508375188457986E-4</v>
      </c>
      <c r="AF153" s="2029">
        <f ca="1">(AF83-OFFSET('Q1'!$N$172,0,4*(COLUMN()-8)))/AF83</f>
        <v>-2.6005391385883691E-4</v>
      </c>
    </row>
    <row r="154" spans="1:34" ht="12.75">
      <c r="A154" s="701"/>
      <c r="C154" s="1529"/>
      <c r="D154" s="1493"/>
      <c r="E154" s="50" t="s">
        <v>376</v>
      </c>
      <c r="F154" s="1532"/>
      <c r="G154" s="2030"/>
      <c r="H154" s="2030">
        <f ca="1">(H94-OFFSET('Q1'!$N$202,0,4*(COLUMN()-8)))/H94</f>
        <v>-7.684923816097553E-3</v>
      </c>
      <c r="I154" s="2030">
        <f ca="1">(I94-OFFSET('Q1'!$N$202,0,4*(COLUMN()-8)))/I94</f>
        <v>-5.022606895502997E-3</v>
      </c>
      <c r="J154" s="2030">
        <f ca="1">(J94-OFFSET('Q1'!$N$202,0,4*(COLUMN()-8)))/J94</f>
        <v>-4.0075097917514777E-4</v>
      </c>
      <c r="K154" s="2030">
        <f ca="1">(K94-OFFSET('Q1'!$N$202,0,4*(COLUMN()-8)))/K94</f>
        <v>-2.8223757442012384E-4</v>
      </c>
      <c r="L154" s="2030">
        <f ca="1">(L94-OFFSET('Q1'!$N$202,0,4*(COLUMN()-8)))/L94</f>
        <v>2.7733213709018045E-3</v>
      </c>
      <c r="M154" s="2030">
        <f ca="1">(M94-OFFSET('Q1'!$N$202,0,4*(COLUMN()-8)))/M94</f>
        <v>-1.1529665296455566E-3</v>
      </c>
      <c r="N154" s="2030">
        <f ca="1">(N94-OFFSET('Q1'!$N$202,0,4*(COLUMN()-8)))/N94</f>
        <v>-2.5396735173631437E-3</v>
      </c>
      <c r="O154" s="2030">
        <f ca="1">(O94-OFFSET('Q1'!$N$202,0,4*(COLUMN()-8)))/O94</f>
        <v>-2.3370545715167526E-3</v>
      </c>
      <c r="P154" s="2030">
        <f ca="1">(P94-OFFSET('Q1'!$N$202,0,4*(COLUMN()-8)))/P94</f>
        <v>1.6868972264878041E-3</v>
      </c>
      <c r="Q154" s="2030">
        <f ca="1">(Q94-OFFSET('Q1'!$N$202,0,4*(COLUMN()-8)))/Q94</f>
        <v>1.6639648088591671E-3</v>
      </c>
      <c r="R154" s="2030">
        <f ca="1">(R94-OFFSET('Q1'!$N$202,0,4*(COLUMN()-8)))/R94</f>
        <v>5.9764114750941429E-4</v>
      </c>
      <c r="S154" s="2030">
        <f ca="1">(S94-OFFSET('Q1'!$N$202,0,4*(COLUMN()-8)))/S94</f>
        <v>3.4335247880532263E-3</v>
      </c>
      <c r="T154" s="2030">
        <f ca="1">(T94-OFFSET('Q1'!$N$202,0,4*(COLUMN()-8)))/T94</f>
        <v>2.3690823905690166E-3</v>
      </c>
      <c r="U154" s="2030">
        <f ca="1">(U94-OFFSET('Q1'!$N$202,0,4*(COLUMN()-8)))/U94</f>
        <v>-1.114360739816472E-2</v>
      </c>
      <c r="V154" s="2030">
        <f ca="1">(V94-OFFSET('Q1'!$N$202,0,4*(COLUMN()-8)))/V94</f>
        <v>7.2594911160453997E-3</v>
      </c>
      <c r="W154" s="2030">
        <f ca="1">(W94-OFFSET('Q1'!$N$202,0,4*(COLUMN()-8)))/W94</f>
        <v>9.8330400396764057E-3</v>
      </c>
      <c r="X154" s="2030">
        <f ca="1">(X94-OFFSET('Q1'!$N$202,0,4*(COLUMN()-8)))/X94</f>
        <v>-2.0859935467512666E-3</v>
      </c>
      <c r="Y154" s="2030">
        <f ca="1">(Y94-OFFSET('Q1'!$N$202,0,4*(COLUMN()-8)))/Y94</f>
        <v>-2.5672194651637348E-4</v>
      </c>
      <c r="Z154" s="2030">
        <f ca="1">(Z94-OFFSET('Q1'!$N$202,0,4*(COLUMN()-8)))/Z94</f>
        <v>-1.0217824281426398E-3</v>
      </c>
      <c r="AA154" s="2030">
        <f ca="1">(AA94-OFFSET('Q1'!$N$202,0,4*(COLUMN()-8)))/AA94</f>
        <v>4.2799685448214921E-3</v>
      </c>
      <c r="AB154" s="2030">
        <f ca="1">(AB94-OFFSET('Q1'!$N$202,0,4*(COLUMN()-8)))/AB94</f>
        <v>6.0317747644056952E-3</v>
      </c>
      <c r="AC154" s="2030">
        <f ca="1">(AC94-OFFSET('Q1'!$N$202,0,4*(COLUMN()-8)))/AC94</f>
        <v>3.5467881532113012E-3</v>
      </c>
      <c r="AD154" s="2030">
        <f ca="1">(AD94-OFFSET('Q1'!$N$202,0,4*(COLUMN()-8)))/AD94</f>
        <v>6.3967895389325791E-3</v>
      </c>
      <c r="AE154" s="2030">
        <f ca="1">(AE94-OFFSET('Q1'!$N$202,0,4*(COLUMN()-8)))/AE94</f>
        <v>7.5165387782304225E-3</v>
      </c>
      <c r="AF154" s="2030">
        <f ca="1">(AF94-OFFSET('Q1'!$N$202,0,4*(COLUMN()-8)))/AF94</f>
        <v>6.1992472619205883E-3</v>
      </c>
    </row>
    <row r="155" spans="1:34" ht="12.75">
      <c r="A155" s="701"/>
      <c r="C155" s="1533"/>
      <c r="D155" s="2024"/>
      <c r="E155" s="113" t="s">
        <v>1825</v>
      </c>
      <c r="F155" s="1531" t="s">
        <v>1749</v>
      </c>
      <c r="G155" s="2029"/>
      <c r="H155" s="2029">
        <f ca="1">(H105-OFFSET('Q1'!$N$229,0,4*(COLUMN()-8)))/H105</f>
        <v>1.2093799709431057E-4</v>
      </c>
      <c r="I155" s="2029">
        <f ca="1">(I105-OFFSET('Q1'!$N$229,0,4*(COLUMN()-8)))/I105</f>
        <v>-2.9650237353841709E-3</v>
      </c>
      <c r="J155" s="2029">
        <f ca="1">(J105-OFFSET('Q1'!$N$229,0,4*(COLUMN()-8)))/J105</f>
        <v>-1.4984925139268288E-3</v>
      </c>
      <c r="K155" s="2029">
        <f ca="1">(K105-OFFSET('Q1'!$N$229,0,4*(COLUMN()-8)))/K105</f>
        <v>2.2910384181678393E-3</v>
      </c>
      <c r="L155" s="2029">
        <f ca="1">(L105-OFFSET('Q1'!$N$229,0,4*(COLUMN()-8)))/L105</f>
        <v>-6.5213434779243926E-5</v>
      </c>
      <c r="M155" s="2029">
        <f ca="1">(M105-OFFSET('Q1'!$N$229,0,4*(COLUMN()-8)))/M105</f>
        <v>-1.5007064045372408E-3</v>
      </c>
      <c r="N155" s="2029">
        <f ca="1">(N105-OFFSET('Q1'!$N$229,0,4*(COLUMN()-8)))/N105</f>
        <v>-1.2133041322082176E-3</v>
      </c>
      <c r="O155" s="2029">
        <f ca="1">(O105-OFFSET('Q1'!$N$229,0,4*(COLUMN()-8)))/O105</f>
        <v>-2.7247057582289844E-3</v>
      </c>
      <c r="P155" s="2029">
        <f ca="1">(P105-OFFSET('Q1'!$N$229,0,4*(COLUMN()-8)))/P105</f>
        <v>4.6256421723780946E-3</v>
      </c>
      <c r="Q155" s="2029">
        <f ca="1">(Q105-OFFSET('Q1'!$N$229,0,4*(COLUMN()-8)))/Q105</f>
        <v>4.8869015976968624E-3</v>
      </c>
      <c r="R155" s="2029">
        <f ca="1">(R105-OFFSET('Q1'!$N$229,0,4*(COLUMN()-8)))/R105</f>
        <v>7.9819888626788738E-4</v>
      </c>
      <c r="S155" s="2029">
        <f ca="1">(S105-OFFSET('Q1'!$N$229,0,4*(COLUMN()-8)))/S105</f>
        <v>-1.6984063128256128E-3</v>
      </c>
      <c r="T155" s="2029">
        <f ca="1">(T105-OFFSET('Q1'!$N$229,0,4*(COLUMN()-8)))/T105</f>
        <v>1.2307781718259761E-3</v>
      </c>
      <c r="U155" s="2029">
        <f ca="1">(U105-OFFSET('Q1'!$N$229,0,4*(COLUMN()-8)))/U105</f>
        <v>2.2332744644437967E-4</v>
      </c>
      <c r="V155" s="2029">
        <f ca="1">(V105-OFFSET('Q1'!$N$229,0,4*(COLUMN()-8)))/V105</f>
        <v>4.1709139799576108E-3</v>
      </c>
      <c r="W155" s="2029">
        <f ca="1">(W105-OFFSET('Q1'!$N$229,0,4*(COLUMN()-8)))/W105</f>
        <v>3.6058838523314362E-3</v>
      </c>
      <c r="X155" s="2029">
        <f ca="1">(X105-OFFSET('Q1'!$N$229,0,4*(COLUMN()-8)))/X105</f>
        <v>-1.6563794555852604E-3</v>
      </c>
      <c r="Y155" s="2029">
        <f ca="1">(Y105-OFFSET('Q1'!$N$229,0,4*(COLUMN()-8)))/Y105</f>
        <v>-1.2490263899455813E-3</v>
      </c>
      <c r="Z155" s="2029">
        <f ca="1">(Z105-OFFSET('Q1'!$N$229,0,4*(COLUMN()-8)))/Z105</f>
        <v>-2.7701207103167235E-3</v>
      </c>
      <c r="AA155" s="2029">
        <f ca="1">(AA105-OFFSET('Q1'!$N$229,0,4*(COLUMN()-8)))/AA105</f>
        <v>8.1985665014919966E-4</v>
      </c>
      <c r="AB155" s="2029">
        <f ca="1">(AB105-OFFSET('Q1'!$N$229,0,4*(COLUMN()-8)))/AB105</f>
        <v>4.1901928186784754E-3</v>
      </c>
      <c r="AC155" s="2029">
        <f ca="1">(AC105-OFFSET('Q1'!$N$229,0,4*(COLUMN()-8)))/AC105</f>
        <v>6.4669081849523904E-4</v>
      </c>
      <c r="AD155" s="2029">
        <f ca="1">(AD105-OFFSET('Q1'!$N$229,0,4*(COLUMN()-8)))/AD105</f>
        <v>5.062793123994172E-4</v>
      </c>
      <c r="AE155" s="2029">
        <f ca="1">(AE105-OFFSET('Q1'!$N$229,0,4*(COLUMN()-8)))/AE105</f>
        <v>4.6941345694414492E-4</v>
      </c>
      <c r="AF155" s="2029">
        <f ca="1">(AF105-OFFSET('Q1'!$N$229,0,4*(COLUMN()-8)))/AF105</f>
        <v>4.628209344556986E-4</v>
      </c>
    </row>
    <row r="156" spans="1:34" ht="12.75">
      <c r="A156" s="701"/>
      <c r="C156" s="545"/>
      <c r="D156" s="2026"/>
      <c r="E156" s="45" t="s">
        <v>1216</v>
      </c>
      <c r="F156" s="1525" t="s">
        <v>1838</v>
      </c>
      <c r="G156" s="2030"/>
      <c r="H156" s="2030">
        <f ca="1">(H125-OFFSET('Q1'!$N$259,0,4*(COLUMN()-8)))/H125</f>
        <v>-8.7226417377930592E-5</v>
      </c>
      <c r="I156" s="2030">
        <f ca="1">(I125-OFFSET('Q1'!$N$259,0,4*(COLUMN()-8)))/I125</f>
        <v>-2.1493808637086946E-3</v>
      </c>
      <c r="J156" s="2030">
        <f ca="1">(J125-OFFSET('Q1'!$N$259,0,4*(COLUMN()-8)))/J125</f>
        <v>-1.2347829630809082E-3</v>
      </c>
      <c r="K156" s="2030">
        <f ca="1">(K125-OFFSET('Q1'!$N$259,0,4*(COLUMN()-8)))/K125</f>
        <v>1.1874306936019889E-3</v>
      </c>
      <c r="L156" s="2030">
        <f ca="1">(L125-OFFSET('Q1'!$N$259,0,4*(COLUMN()-8)))/L125</f>
        <v>-2.0802971496424065E-4</v>
      </c>
      <c r="M156" s="2030">
        <f ca="1">(M125-OFFSET('Q1'!$N$259,0,4*(COLUMN()-8)))/M125</f>
        <v>-1.6888516518167517E-3</v>
      </c>
      <c r="N156" s="2030">
        <f ca="1">(N125-OFFSET('Q1'!$N$259,0,4*(COLUMN()-8)))/N125</f>
        <v>-1.7859408246882248E-3</v>
      </c>
      <c r="O156" s="2030">
        <f ca="1">(O125-OFFSET('Q1'!$N$259,0,4*(COLUMN()-8)))/O125</f>
        <v>-3.0866944495376337E-3</v>
      </c>
      <c r="P156" s="2030">
        <f ca="1">(P125-OFFSET('Q1'!$N$259,0,4*(COLUMN()-8)))/P125</f>
        <v>1.7916017326820995E-3</v>
      </c>
      <c r="Q156" s="2030">
        <f ca="1">(Q125-OFFSET('Q1'!$N$259,0,4*(COLUMN()-8)))/Q125</f>
        <v>1.8451555815517987E-3</v>
      </c>
      <c r="R156" s="2030">
        <f ca="1">(R125-OFFSET('Q1'!$N$259,0,4*(COLUMN()-8)))/R125</f>
        <v>-5.1013633708771843E-4</v>
      </c>
      <c r="S156" s="2030">
        <f ca="1">(S125-OFFSET('Q1'!$N$259,0,4*(COLUMN()-8)))/S125</f>
        <v>-1.7164985043455537E-3</v>
      </c>
      <c r="T156" s="2030">
        <f ca="1">(T125-OFFSET('Q1'!$N$259,0,4*(COLUMN()-8)))/T125</f>
        <v>-1.1812963910343389E-4</v>
      </c>
      <c r="U156" s="2030">
        <f ca="1">(U125-OFFSET('Q1'!$N$259,0,4*(COLUMN()-8)))/U125</f>
        <v>-8.1348386717155097E-4</v>
      </c>
      <c r="V156" s="2030">
        <f ca="1">(V125-OFFSET('Q1'!$N$259,0,4*(COLUMN()-8)))/V125</f>
        <v>1.9135461929994059E-3</v>
      </c>
      <c r="W156" s="2030">
        <f ca="1">(W125-OFFSET('Q1'!$N$259,0,4*(COLUMN()-8)))/W125</f>
        <v>1.2479232693788837E-3</v>
      </c>
      <c r="X156" s="2030">
        <f ca="1">(X125-OFFSET('Q1'!$N$259,0,4*(COLUMN()-8)))/X125</f>
        <v>-1.9643600449116795E-3</v>
      </c>
      <c r="Y156" s="2030">
        <f ca="1">(Y125-OFFSET('Q1'!$N$259,0,4*(COLUMN()-8)))/Y125</f>
        <v>-1.7610546267013152E-3</v>
      </c>
      <c r="Z156" s="2030">
        <f ca="1">(Z125-OFFSET('Q1'!$N$259,0,4*(COLUMN()-8)))/Z125</f>
        <v>-2.7694465749336377E-3</v>
      </c>
      <c r="AA156" s="2030">
        <f ca="1">(AA125-OFFSET('Q1'!$N$259,0,4*(COLUMN()-8)))/AA125</f>
        <v>-4.1605469397374719E-4</v>
      </c>
      <c r="AB156" s="2030">
        <f ca="1">(AB125-OFFSET('Q1'!$N$259,0,4*(COLUMN()-8)))/AB125</f>
        <v>1.8136044016555297E-3</v>
      </c>
      <c r="AC156" s="2030">
        <f ca="1">(AC125-OFFSET('Q1'!$N$259,0,4*(COLUMN()-8)))/AC125</f>
        <v>-5.9249024925837478E-4</v>
      </c>
      <c r="AD156" s="2030">
        <f ca="1">(AD125-OFFSET('Q1'!$N$259,0,4*(COLUMN()-8)))/AD125</f>
        <v>-6.4598750433816541E-4</v>
      </c>
      <c r="AE156" s="2030">
        <f ca="1">(AE125-OFFSET('Q1'!$N$259,0,4*(COLUMN()-8)))/AE125</f>
        <v>1.9633838773829193E-3</v>
      </c>
      <c r="AF156" s="2030">
        <f ca="1">(AF125-OFFSET('Q1'!$N$259,0,4*(COLUMN()-8)))/AF125</f>
        <v>4.8870120102689832E-3</v>
      </c>
    </row>
    <row r="158" spans="1:34">
      <c r="A158" s="1170"/>
      <c r="D158" s="1205"/>
      <c r="E158" s="1206" t="s">
        <v>1492</v>
      </c>
      <c r="F158" s="1207"/>
      <c r="G158" s="1208">
        <f>+InputY!$G$3</f>
        <v>1995</v>
      </c>
      <c r="H158" s="1208">
        <f>+G158+1</f>
        <v>1996</v>
      </c>
      <c r="I158" s="1208">
        <f t="shared" ref="I158:O158" si="160">+H158+1</f>
        <v>1997</v>
      </c>
      <c r="J158" s="1208">
        <f t="shared" si="160"/>
        <v>1998</v>
      </c>
      <c r="K158" s="1208">
        <f t="shared" si="160"/>
        <v>1999</v>
      </c>
      <c r="L158" s="1208">
        <f t="shared" si="160"/>
        <v>2000</v>
      </c>
      <c r="M158" s="1208">
        <f t="shared" si="160"/>
        <v>2001</v>
      </c>
      <c r="N158" s="1208">
        <f t="shared" si="160"/>
        <v>2002</v>
      </c>
      <c r="O158" s="1208">
        <f t="shared" si="160"/>
        <v>2003</v>
      </c>
      <c r="P158" s="1208">
        <f>+O158+1</f>
        <v>2004</v>
      </c>
      <c r="Q158" s="1208">
        <f>+P158+1</f>
        <v>2005</v>
      </c>
      <c r="R158" s="1208">
        <f>+Q158+1</f>
        <v>2006</v>
      </c>
      <c r="S158" s="1208">
        <f>+R158+1</f>
        <v>2007</v>
      </c>
      <c r="T158" s="1208">
        <f t="shared" ref="T158:AF158" si="161">+S158+1</f>
        <v>2008</v>
      </c>
      <c r="U158" s="1208">
        <f t="shared" si="161"/>
        <v>2009</v>
      </c>
      <c r="V158" s="1208">
        <f t="shared" si="161"/>
        <v>2010</v>
      </c>
      <c r="W158" s="1208">
        <f t="shared" si="161"/>
        <v>2011</v>
      </c>
      <c r="X158" s="1208">
        <f t="shared" si="161"/>
        <v>2012</v>
      </c>
      <c r="Y158" s="1208">
        <f t="shared" si="161"/>
        <v>2013</v>
      </c>
      <c r="Z158" s="1165">
        <f t="shared" si="161"/>
        <v>2014</v>
      </c>
      <c r="AA158" s="1165">
        <f t="shared" si="161"/>
        <v>2015</v>
      </c>
      <c r="AB158" s="1165">
        <f t="shared" si="161"/>
        <v>2016</v>
      </c>
      <c r="AC158" s="1165">
        <f t="shared" si="161"/>
        <v>2017</v>
      </c>
      <c r="AD158" s="1165">
        <f t="shared" si="161"/>
        <v>2018</v>
      </c>
      <c r="AE158" s="1165">
        <f t="shared" si="161"/>
        <v>2019</v>
      </c>
      <c r="AF158" s="1165">
        <f t="shared" si="161"/>
        <v>2020</v>
      </c>
    </row>
    <row r="159" spans="1:34">
      <c r="A159" s="701">
        <f>+ROW(InputY!A53)</f>
        <v>53</v>
      </c>
      <c r="B159" s="702" t="s">
        <v>330</v>
      </c>
      <c r="C159" s="1122"/>
      <c r="D159" s="1126"/>
      <c r="E159" s="1127" t="s">
        <v>1491</v>
      </c>
      <c r="F159" s="1126" t="s">
        <v>1495</v>
      </c>
      <c r="G159" s="1128">
        <f>+InputY!G53/1000</f>
        <v>2094.6835700000001</v>
      </c>
      <c r="H159" s="1128">
        <f>+InputY!H53/1000</f>
        <v>2129.4191700000001</v>
      </c>
      <c r="I159" s="1128">
        <f>+InputY!I53/1000</f>
        <v>2199.18021</v>
      </c>
      <c r="J159" s="1128">
        <f>+InputY!J53/1000</f>
        <v>2291.63013</v>
      </c>
      <c r="K159" s="1128">
        <f>+InputY!K53/1000</f>
        <v>2393.2321400000001</v>
      </c>
      <c r="L159" s="1128">
        <f>+InputY!L53/1000</f>
        <v>2520.7557999999999</v>
      </c>
      <c r="M159" s="1128">
        <f>+InputY!M53/1000</f>
        <v>2556.3664800000001</v>
      </c>
      <c r="N159" s="1128">
        <f>+InputY!N53/1000</f>
        <v>2605.6895099999997</v>
      </c>
      <c r="O159" s="1128">
        <f>+InputY!O53/1000</f>
        <v>2668.29943</v>
      </c>
      <c r="P159" s="1128">
        <f>+InputY!P53/1000</f>
        <v>2790.6924599999998</v>
      </c>
      <c r="Q159" s="1128">
        <f>+InputY!Q53/1000</f>
        <v>2864.7722200000003</v>
      </c>
      <c r="R159" s="1128">
        <f>+InputY!R53/1000</f>
        <v>3002.1762799999997</v>
      </c>
      <c r="S159" s="1128">
        <f>+InputY!S53/1000</f>
        <v>3104.5400399999999</v>
      </c>
      <c r="T159" s="1128">
        <f>+InputY!T53/1000</f>
        <v>3095.3247700000002</v>
      </c>
      <c r="U159" s="1128">
        <f>+InputY!U53/1000</f>
        <v>2916.7112000000002</v>
      </c>
      <c r="V159" s="1128">
        <f>+InputY!V53/1000</f>
        <v>3098.6170000000002</v>
      </c>
      <c r="W159" s="1128">
        <f>+InputY!W53/1000</f>
        <v>3190.39806</v>
      </c>
      <c r="X159" s="1128">
        <f>+InputY!X53/1000</f>
        <v>3186.0310299999996</v>
      </c>
      <c r="Y159" s="1128">
        <f>+InputY!Y53/1000</f>
        <v>3228.6795000000002</v>
      </c>
      <c r="Z159" s="1128">
        <f>+InputY!Z53/1000</f>
        <v>3314.5096600000002</v>
      </c>
      <c r="AA159" s="1128">
        <f>+InputY!AA53/1000</f>
        <v>3457.0619999999999</v>
      </c>
      <c r="AB159" s="1128">
        <f>+InputY!AB53/1000</f>
        <v>3545.4923199999998</v>
      </c>
      <c r="AC159" s="1128">
        <f>+InputY!AC53/1000</f>
        <v>3621.9288500000002</v>
      </c>
      <c r="AD159" s="1388">
        <f ca="1">+AC159*(1+AD162/100)</f>
        <v>3707.7891151285635</v>
      </c>
      <c r="AE159" s="1388">
        <f ca="1">+AD159*(1+AE162/100)</f>
        <v>3770.3096568780084</v>
      </c>
      <c r="AF159" s="1388">
        <f ca="1">+AE159*(1+AF162/100)</f>
        <v>3837.0732963856485</v>
      </c>
    </row>
    <row r="161" spans="1:32" s="736" customFormat="1" ht="12.75" customHeight="1">
      <c r="A161" s="701"/>
      <c r="B161" s="701"/>
      <c r="C161" s="811"/>
      <c r="D161" s="1132"/>
      <c r="E161" s="1133" t="s">
        <v>1492</v>
      </c>
      <c r="F161" s="1134"/>
      <c r="G161" s="933">
        <f>+InputY!$G$3</f>
        <v>1995</v>
      </c>
      <c r="H161" s="933">
        <f>+G161+1</f>
        <v>1996</v>
      </c>
      <c r="I161" s="933">
        <f t="shared" ref="I161:O161" si="162">+H161+1</f>
        <v>1997</v>
      </c>
      <c r="J161" s="933">
        <f t="shared" si="162"/>
        <v>1998</v>
      </c>
      <c r="K161" s="933">
        <f t="shared" si="162"/>
        <v>1999</v>
      </c>
      <c r="L161" s="933">
        <f t="shared" si="162"/>
        <v>2000</v>
      </c>
      <c r="M161" s="933">
        <f t="shared" si="162"/>
        <v>2001</v>
      </c>
      <c r="N161" s="933">
        <f t="shared" si="162"/>
        <v>2002</v>
      </c>
      <c r="O161" s="933">
        <f t="shared" si="162"/>
        <v>2003</v>
      </c>
      <c r="P161" s="933">
        <f>+O161+1</f>
        <v>2004</v>
      </c>
      <c r="Q161" s="933">
        <f>+P161+1</f>
        <v>2005</v>
      </c>
      <c r="R161" s="933">
        <f>+Q161+1</f>
        <v>2006</v>
      </c>
      <c r="S161" s="933">
        <f>+R161+1</f>
        <v>2007</v>
      </c>
      <c r="T161" s="933">
        <f t="shared" ref="T161:AF161" si="163">+S161+1</f>
        <v>2008</v>
      </c>
      <c r="U161" s="933">
        <f t="shared" si="163"/>
        <v>2009</v>
      </c>
      <c r="V161" s="933">
        <f t="shared" si="163"/>
        <v>2010</v>
      </c>
      <c r="W161" s="933">
        <f t="shared" si="163"/>
        <v>2011</v>
      </c>
      <c r="X161" s="933">
        <f t="shared" si="163"/>
        <v>2012</v>
      </c>
      <c r="Y161" s="933">
        <f t="shared" si="163"/>
        <v>2013</v>
      </c>
      <c r="Z161" s="933">
        <f t="shared" si="163"/>
        <v>2014</v>
      </c>
      <c r="AA161" s="933">
        <f t="shared" si="163"/>
        <v>2015</v>
      </c>
      <c r="AB161" s="933">
        <f t="shared" si="163"/>
        <v>2016</v>
      </c>
      <c r="AC161" s="933">
        <f t="shared" si="163"/>
        <v>2017</v>
      </c>
      <c r="AD161" s="933">
        <f t="shared" si="163"/>
        <v>2018</v>
      </c>
      <c r="AE161" s="933">
        <f t="shared" si="163"/>
        <v>2019</v>
      </c>
      <c r="AF161" s="933">
        <f t="shared" si="163"/>
        <v>2020</v>
      </c>
    </row>
    <row r="162" spans="1:32" s="736" customFormat="1" ht="12.75" customHeight="1">
      <c r="A162" s="701"/>
      <c r="B162" s="701"/>
      <c r="C162" s="835"/>
      <c r="D162" s="870"/>
      <c r="E162" s="871" t="s">
        <v>1491</v>
      </c>
      <c r="F162" s="872" t="s">
        <v>1495</v>
      </c>
      <c r="G162" s="1155"/>
      <c r="H162" s="1155">
        <f t="shared" ref="H162:AC162" si="164">+(H159/G159-1)*100</f>
        <v>1.6582743330535665</v>
      </c>
      <c r="I162" s="1155">
        <f t="shared" si="164"/>
        <v>3.2760595463221964</v>
      </c>
      <c r="J162" s="1155">
        <f t="shared" si="164"/>
        <v>4.2038355738023059</v>
      </c>
      <c r="K162" s="1155">
        <f t="shared" si="164"/>
        <v>4.4336129408457436</v>
      </c>
      <c r="L162" s="1155">
        <f t="shared" si="164"/>
        <v>5.328511926135171</v>
      </c>
      <c r="M162" s="1155">
        <f t="shared" si="164"/>
        <v>1.4126985247837176</v>
      </c>
      <c r="N162" s="1155">
        <f t="shared" si="164"/>
        <v>1.9294193686970829</v>
      </c>
      <c r="O162" s="1155">
        <f t="shared" si="164"/>
        <v>2.4028158289665313</v>
      </c>
      <c r="P162" s="1155">
        <f t="shared" si="164"/>
        <v>4.5869301107634541</v>
      </c>
      <c r="Q162" s="1155">
        <f t="shared" si="164"/>
        <v>2.6545296933220941</v>
      </c>
      <c r="R162" s="1155">
        <f t="shared" si="164"/>
        <v>4.7963345581450545</v>
      </c>
      <c r="S162" s="1155">
        <f t="shared" si="164"/>
        <v>3.4096518809348497</v>
      </c>
      <c r="T162" s="1155">
        <f t="shared" si="164"/>
        <v>-0.29683205503123755</v>
      </c>
      <c r="U162" s="1155">
        <f t="shared" si="164"/>
        <v>-5.7704306743876828</v>
      </c>
      <c r="V162" s="1155">
        <f t="shared" si="164"/>
        <v>6.2366750605956423</v>
      </c>
      <c r="W162" s="1155">
        <f t="shared" si="164"/>
        <v>2.9620007893844225</v>
      </c>
      <c r="X162" s="1155">
        <f t="shared" si="164"/>
        <v>-0.1368804117189204</v>
      </c>
      <c r="Y162" s="1155">
        <f t="shared" si="164"/>
        <v>1.3386081176993692</v>
      </c>
      <c r="Z162" s="1155">
        <f t="shared" si="164"/>
        <v>2.6583672984574536</v>
      </c>
      <c r="AA162" s="1155">
        <f t="shared" si="164"/>
        <v>4.3008575814499128</v>
      </c>
      <c r="AB162" s="1155">
        <f t="shared" si="164"/>
        <v>2.5579616448880627</v>
      </c>
      <c r="AC162" s="1155">
        <f t="shared" si="164"/>
        <v>2.1558791586946846</v>
      </c>
      <c r="AD162" s="1474">
        <f ca="1">OFFSET('VVP1'!$G$119,0,5*(COLUMN()-7))</f>
        <v>2.3705674154411716</v>
      </c>
      <c r="AE162" s="1474">
        <f ca="1">OFFSET('VVP1'!$G$119,0,5*(COLUMN()-7))</f>
        <v>1.6861946515336568</v>
      </c>
      <c r="AF162" s="1474">
        <f ca="1">OFFSET('VVP1'!$G$119,0,5*(COLUMN()-7))</f>
        <v>1.7707733736364695</v>
      </c>
    </row>
    <row r="164" spans="1:32">
      <c r="A164" s="701"/>
      <c r="D164" s="1526"/>
      <c r="E164" s="1561" t="s">
        <v>1263</v>
      </c>
      <c r="F164" s="1562"/>
      <c r="G164" s="854">
        <f>+InputY!$G$3</f>
        <v>1995</v>
      </c>
      <c r="H164" s="854">
        <f>+G164+1</f>
        <v>1996</v>
      </c>
      <c r="I164" s="854">
        <f t="shared" ref="I164:O164" si="165">+H164+1</f>
        <v>1997</v>
      </c>
      <c r="J164" s="854">
        <f t="shared" si="165"/>
        <v>1998</v>
      </c>
      <c r="K164" s="854">
        <f t="shared" si="165"/>
        <v>1999</v>
      </c>
      <c r="L164" s="854">
        <f t="shared" si="165"/>
        <v>2000</v>
      </c>
      <c r="M164" s="854">
        <f t="shared" si="165"/>
        <v>2001</v>
      </c>
      <c r="N164" s="854">
        <f t="shared" si="165"/>
        <v>2002</v>
      </c>
      <c r="O164" s="854">
        <f t="shared" si="165"/>
        <v>2003</v>
      </c>
      <c r="P164" s="854">
        <f t="shared" ref="P164:U164" si="166">+O164+1</f>
        <v>2004</v>
      </c>
      <c r="Q164" s="854">
        <f t="shared" si="166"/>
        <v>2005</v>
      </c>
      <c r="R164" s="854">
        <f t="shared" si="166"/>
        <v>2006</v>
      </c>
      <c r="S164" s="854">
        <f t="shared" si="166"/>
        <v>2007</v>
      </c>
      <c r="T164" s="854">
        <f t="shared" si="166"/>
        <v>2008</v>
      </c>
      <c r="U164" s="854">
        <f t="shared" si="166"/>
        <v>2009</v>
      </c>
      <c r="V164" s="854">
        <f t="shared" ref="V164:AF164" si="167">+U164+1</f>
        <v>2010</v>
      </c>
      <c r="W164" s="854">
        <f t="shared" si="167"/>
        <v>2011</v>
      </c>
      <c r="X164" s="854">
        <f t="shared" si="167"/>
        <v>2012</v>
      </c>
      <c r="Y164" s="854">
        <f t="shared" si="167"/>
        <v>2013</v>
      </c>
      <c r="Z164" s="854">
        <f t="shared" si="167"/>
        <v>2014</v>
      </c>
      <c r="AA164" s="854">
        <f t="shared" si="167"/>
        <v>2015</v>
      </c>
      <c r="AB164" s="854">
        <f t="shared" si="167"/>
        <v>2016</v>
      </c>
      <c r="AC164" s="854">
        <f t="shared" si="167"/>
        <v>2017</v>
      </c>
      <c r="AD164" s="854">
        <f t="shared" si="167"/>
        <v>2018</v>
      </c>
      <c r="AE164" s="854">
        <f t="shared" si="167"/>
        <v>2019</v>
      </c>
      <c r="AF164" s="854">
        <f t="shared" si="167"/>
        <v>2020</v>
      </c>
    </row>
    <row r="165" spans="1:32" ht="12.75">
      <c r="A165" s="701"/>
      <c r="B165" s="702">
        <v>1</v>
      </c>
      <c r="C165" s="1528"/>
      <c r="D165" s="23"/>
      <c r="E165" s="23" t="str">
        <f>+Transfer!B101</f>
        <v>VOL. PRIVATE CONSUMPTION EXPEND.</v>
      </c>
      <c r="F165" s="1543"/>
      <c r="G165" s="1966"/>
      <c r="H165" s="1966">
        <f ca="1">IF(UPPER('VVP1'!$F$3)="Y",OFFSET('VVP1'!$H7,0,5*(COLUMN()-7)),H7)</f>
        <v>909.90277087035986</v>
      </c>
      <c r="I165" s="1966">
        <f ca="1">IF(UPPER('VVP1'!$F$3)="Y",OFFSET('VVP1'!$H7,0,5*(COLUMN()-7)),I7)</f>
        <v>944.05087579691576</v>
      </c>
      <c r="J165" s="1966">
        <f ca="1">IF(UPPER('VVP1'!$F$3)="Y",OFFSET('VVP1'!$H7,0,5*(COLUMN()-7)),J7)</f>
        <v>989.22385330145448</v>
      </c>
      <c r="K165" s="1966">
        <f ca="1">IF(UPPER('VVP1'!$F$3)="Y",OFFSET('VVP1'!$H7,0,5*(COLUMN()-7)),K7)</f>
        <v>1033.7760362386175</v>
      </c>
      <c r="L165" s="1966">
        <f ca="1">IF(UPPER('VVP1'!$F$3)="Y",OFFSET('VVP1'!$H7,0,5*(COLUMN()-7)),L7)</f>
        <v>1104.0900121104023</v>
      </c>
      <c r="M165" s="1966">
        <f ca="1">IF(UPPER('VVP1'!$F$3)="Y",OFFSET('VVP1'!$H7,0,5*(COLUMN()-7)),M7)</f>
        <v>1123.1133239371541</v>
      </c>
      <c r="N165" s="1966">
        <f ca="1">IF(UPPER('VVP1'!$F$3)="Y",OFFSET('VVP1'!$H7,0,5*(COLUMN()-7)),N7)</f>
        <v>1177.194343673739</v>
      </c>
      <c r="O165" s="1966">
        <f ca="1">IF(UPPER('VVP1'!$F$3)="Y",OFFSET('VVP1'!$H7,0,5*(COLUMN()-7)),O7)</f>
        <v>1221.8137248657636</v>
      </c>
      <c r="P165" s="1966">
        <f ca="1">IF(UPPER('VVP1'!$F$3)="Y",OFFSET('VVP1'!$H7,0,5*(COLUMN()-7)),P7)</f>
        <v>1276.2553387672247</v>
      </c>
      <c r="Q165" s="1966">
        <f ca="1">IF(UPPER('VVP1'!$F$3)="Y",OFFSET('VVP1'!$H7,0,5*(COLUMN()-7)),Q7)</f>
        <v>1321.7844247247824</v>
      </c>
      <c r="R165" s="1966">
        <f ca="1">IF(UPPER('VVP1'!$F$3)="Y",OFFSET('VVP1'!$H7,0,5*(COLUMN()-7)),R7)</f>
        <v>1372.1520021805659</v>
      </c>
      <c r="S165" s="1966">
        <f ca="1">IF(UPPER('VVP1'!$F$3)="Y",OFFSET('VVP1'!$H7,0,5*(COLUMN()-7)),S7)</f>
        <v>1441.3730396499086</v>
      </c>
      <c r="T165" s="1966">
        <f ca="1">IF(UPPER('VVP1'!$F$3)="Y",OFFSET('VVP1'!$H7,0,5*(COLUMN()-7)),T7)</f>
        <v>1465.5436126277848</v>
      </c>
      <c r="U165" s="1966">
        <f ca="1">IF(UPPER('VVP1'!$F$3)="Y",OFFSET('VVP1'!$H7,0,5*(COLUMN()-7)),U7)</f>
        <v>1516.6050872563424</v>
      </c>
      <c r="V165" s="1966">
        <f ca="1">IF(UPPER('VVP1'!$F$3)="Y",OFFSET('VVP1'!$H7,0,5*(COLUMN()-7)),V7)</f>
        <v>1610.7030625375403</v>
      </c>
      <c r="W165" s="1966">
        <f ca="1">IF(UPPER('VVP1'!$F$3)="Y",OFFSET('VVP1'!$H7,0,5*(COLUMN()-7)),W7)</f>
        <v>1665.1523400000001</v>
      </c>
      <c r="X165" s="1966">
        <f ca="1">IF(UPPER('VVP1'!$F$3)="Y",OFFSET('VVP1'!$H7,0,5*(COLUMN()-7)),X7)</f>
        <v>1706.2597678423522</v>
      </c>
      <c r="Y165" s="1966">
        <f ca="1">IF(UPPER('VVP1'!$F$3)="Y",OFFSET('VVP1'!$H7,0,5*(COLUMN()-7)),Y7)</f>
        <v>1746.907344213995</v>
      </c>
      <c r="Z165" s="1966">
        <f ca="1">IF(UPPER('VVP1'!$F$3)="Y",OFFSET('VVP1'!$H7,0,5*(COLUMN()-7)),Z7)</f>
        <v>1796.740188218467</v>
      </c>
      <c r="AA165" s="1966">
        <f ca="1">IF(UPPER('VVP1'!$F$3)="Y",OFFSET('VVP1'!$H7,0,5*(COLUMN()-7)),AA7)</f>
        <v>1872.8257340779505</v>
      </c>
      <c r="AB165" s="1966">
        <f ca="1">IF(UPPER('VVP1'!$F$3)="Y",OFFSET('VVP1'!$H7,0,5*(COLUMN()-7)),AB7)</f>
        <v>1943.1999999518584</v>
      </c>
      <c r="AC165" s="1966">
        <f ca="1">IF(UPPER('VVP1'!$F$3)="Y",OFFSET('VVP1'!$H7,0,5*(COLUMN()-7)),AC7)</f>
        <v>2006.0415340095806</v>
      </c>
      <c r="AD165" s="1966">
        <f ca="1">IF(UPPER('VVP1'!$F$3)="Y",OFFSET('VVP1'!$H7,0,5*(COLUMN()-7)),AD7)</f>
        <v>2089.7812479999998</v>
      </c>
      <c r="AE165" s="1966">
        <f ca="1">IF(UPPER('VVP1'!$F$3)="Y",OFFSET('VVP1'!$H7,0,5*(COLUMN()-7)),AE7)</f>
        <v>2174.8271946467326</v>
      </c>
      <c r="AF165" s="1966">
        <f ca="1">IF(UPPER('VVP1'!$F$3)="Y",OFFSET('VVP1'!$H7,0,5*(COLUMN()-7)),AF7)</f>
        <v>2258.2470413517967</v>
      </c>
    </row>
    <row r="166" spans="1:32" ht="12.75">
      <c r="A166" s="701"/>
      <c r="B166" s="702">
        <v>2</v>
      </c>
      <c r="C166" s="1529"/>
      <c r="D166" s="1"/>
      <c r="E166" s="1" t="str">
        <f>+Transfer!B102</f>
        <v xml:space="preserve">VOL. GOVERNMENT CONSUMPTION EXPEND. </v>
      </c>
      <c r="F166" s="1530"/>
      <c r="G166" s="1102"/>
      <c r="H166" s="1102">
        <f ca="1">IF(UPPER('VVP1'!$F$3)="Y",OFFSET('VVP1'!$H8,0,5*(COLUMN()-7)),H13)</f>
        <v>480.08482065041068</v>
      </c>
      <c r="I166" s="1102">
        <f ca="1">IF(UPPER('VVP1'!$F$3)="Y",OFFSET('VVP1'!$H8,0,5*(COLUMN()-7)),I13)</f>
        <v>497.89516290647055</v>
      </c>
      <c r="J166" s="1102">
        <f ca="1">IF(UPPER('VVP1'!$F$3)="Y",OFFSET('VVP1'!$H8,0,5*(COLUMN()-7)),J13)</f>
        <v>532.56713724122199</v>
      </c>
      <c r="K166" s="1102">
        <f ca="1">IF(UPPER('VVP1'!$F$3)="Y",OFFSET('VVP1'!$H8,0,5*(COLUMN()-7)),K13)</f>
        <v>550.35703956280827</v>
      </c>
      <c r="L166" s="1102">
        <f ca="1">IF(UPPER('VVP1'!$F$3)="Y",OFFSET('VVP1'!$H8,0,5*(COLUMN()-7)),L13)</f>
        <v>563.90988395968293</v>
      </c>
      <c r="M166" s="1102">
        <f ca="1">IF(UPPER('VVP1'!$F$3)="Y",OFFSET('VVP1'!$H8,0,5*(COLUMN()-7)),M13)</f>
        <v>585.07790094012626</v>
      </c>
      <c r="N166" s="1102">
        <f ca="1">IF(UPPER('VVP1'!$F$3)="Y",OFFSET('VVP1'!$H8,0,5*(COLUMN()-7)),N13)</f>
        <v>625.49975187119071</v>
      </c>
      <c r="O166" s="1102">
        <f ca="1">IF(UPPER('VVP1'!$F$3)="Y",OFFSET('VVP1'!$H8,0,5*(COLUMN()-7)),O13)</f>
        <v>659.04899594761821</v>
      </c>
      <c r="P166" s="1102">
        <f ca="1">IF(UPPER('VVP1'!$F$3)="Y",OFFSET('VVP1'!$H8,0,5*(COLUMN()-7)),P13)</f>
        <v>686.8410604902665</v>
      </c>
      <c r="Q166" s="1102">
        <f ca="1">IF(UPPER('VVP1'!$F$3)="Y",OFFSET('VVP1'!$H8,0,5*(COLUMN()-7)),Q13)</f>
        <v>703.62674406020233</v>
      </c>
      <c r="R166" s="1102">
        <f ca="1">IF(UPPER('VVP1'!$F$3)="Y",OFFSET('VVP1'!$H8,0,5*(COLUMN()-7)),R13)</f>
        <v>734.2882771841023</v>
      </c>
      <c r="S166" s="1102">
        <f ca="1">IF(UPPER('VVP1'!$F$3)="Y",OFFSET('VVP1'!$H8,0,5*(COLUMN()-7)),S13)</f>
        <v>765.37381622812484</v>
      </c>
      <c r="T166" s="1102">
        <f ca="1">IF(UPPER('VVP1'!$F$3)="Y",OFFSET('VVP1'!$H8,0,5*(COLUMN()-7)),T13)</f>
        <v>804.05869732855024</v>
      </c>
      <c r="U166" s="1102">
        <f ca="1">IF(UPPER('VVP1'!$F$3)="Y",OFFSET('VVP1'!$H8,0,5*(COLUMN()-7)),U13)</f>
        <v>852.1583602345479</v>
      </c>
      <c r="V166" s="1102">
        <f ca="1">IF(UPPER('VVP1'!$F$3)="Y",OFFSET('VVP1'!$H8,0,5*(COLUMN()-7)),V13)</f>
        <v>871.87605055866561</v>
      </c>
      <c r="W166" s="1102">
        <f ca="1">IF(UPPER('VVP1'!$F$3)="Y",OFFSET('VVP1'!$H8,0,5*(COLUMN()-7)),W13)</f>
        <v>893.69484</v>
      </c>
      <c r="X166" s="1102">
        <f ca="1">IF(UPPER('VVP1'!$F$3)="Y",OFFSET('VVP1'!$H8,0,5*(COLUMN()-7)),X13)</f>
        <v>931.02096344973859</v>
      </c>
      <c r="Y166" s="1102">
        <f ca="1">IF(UPPER('VVP1'!$F$3)="Y",OFFSET('VVP1'!$H8,0,5*(COLUMN()-7)),Y13)</f>
        <v>967.23386989919743</v>
      </c>
      <c r="Z166" s="1102">
        <f ca="1">IF(UPPER('VVP1'!$F$3)="Y",OFFSET('VVP1'!$H8,0,5*(COLUMN()-7)),Z13)</f>
        <v>1007.6354158771417</v>
      </c>
      <c r="AA166" s="1102">
        <f ca="1">IF(UPPER('VVP1'!$F$3)="Y",OFFSET('VVP1'!$H8,0,5*(COLUMN()-7)),AA13)</f>
        <v>1056.362874889754</v>
      </c>
      <c r="AB166" s="1102">
        <f ca="1">IF(UPPER('VVP1'!$F$3)="Y",OFFSET('VVP1'!$H8,0,5*(COLUMN()-7)),AB13)</f>
        <v>1125.7660002252285</v>
      </c>
      <c r="AC166" s="1102">
        <f ca="1">IF(UPPER('VVP1'!$F$3)="Y",OFFSET('VVP1'!$H8,0,5*(COLUMN()-7)),AC13)</f>
        <v>1153.4962405963208</v>
      </c>
      <c r="AD166" s="1102">
        <f ca="1">IF(UPPER('VVP1'!$F$3)="Y",OFFSET('VVP1'!$H8,0,5*(COLUMN()-7)),AD13)</f>
        <v>1208.3228793999999</v>
      </c>
      <c r="AE166" s="1102">
        <f ca="1">IF(UPPER('VVP1'!$F$3)="Y",OFFSET('VVP1'!$H8,0,5*(COLUMN()-7)),AE13)</f>
        <v>1260.6505100152963</v>
      </c>
      <c r="AF166" s="1102">
        <f ca="1">IF(UPPER('VVP1'!$F$3)="Y",OFFSET('VVP1'!$H8,0,5*(COLUMN()-7)),AF13)</f>
        <v>1308.0010474316748</v>
      </c>
    </row>
    <row r="167" spans="1:32" ht="12.75">
      <c r="A167" s="701"/>
      <c r="B167" s="702">
        <v>3</v>
      </c>
      <c r="C167" s="1529"/>
      <c r="D167" s="1"/>
      <c r="E167" s="1" t="str">
        <f>+Transfer!B103</f>
        <v>VOL. G.F.C.F. TOTAL</v>
      </c>
      <c r="F167" s="3"/>
      <c r="G167" s="1102"/>
      <c r="H167" s="1102">
        <f ca="1">IF(UPPER('VVP1'!$F$3)="Y",OFFSET('VVP1'!$H9,0,5*(COLUMN()-7)),H29)</f>
        <v>388.80887016680282</v>
      </c>
      <c r="I167" s="1102">
        <f ca="1">IF(UPPER('VVP1'!$F$3)="Y",OFFSET('VVP1'!$H9,0,5*(COLUMN()-7)),I29)</f>
        <v>394.81285293686506</v>
      </c>
      <c r="J167" s="1102">
        <f ca="1">IF(UPPER('VVP1'!$F$3)="Y",OFFSET('VVP1'!$H9,0,5*(COLUMN()-7)),J29)</f>
        <v>432.94794136561251</v>
      </c>
      <c r="K167" s="1102">
        <f ca="1">IF(UPPER('VVP1'!$F$3)="Y",OFFSET('VVP1'!$H9,0,5*(COLUMN()-7)),K29)</f>
        <v>470.27711271184603</v>
      </c>
      <c r="L167" s="1102">
        <f ca="1">IF(UPPER('VVP1'!$F$3)="Y",OFFSET('VVP1'!$H9,0,5*(COLUMN()-7)),L29)</f>
        <v>512.51378581960671</v>
      </c>
      <c r="M167" s="1102">
        <f ca="1">IF(UPPER('VVP1'!$F$3)="Y",OFFSET('VVP1'!$H9,0,5*(COLUMN()-7)),M29)</f>
        <v>542.52536406916124</v>
      </c>
      <c r="N167" s="1102">
        <f ca="1">IF(UPPER('VVP1'!$F$3)="Y",OFFSET('VVP1'!$H9,0,5*(COLUMN()-7)),N29)</f>
        <v>548.06069682301836</v>
      </c>
      <c r="O167" s="1102">
        <f ca="1">IF(UPPER('VVP1'!$F$3)="Y",OFFSET('VVP1'!$H9,0,5*(COLUMN()-7)),O29)</f>
        <v>573.65997507717532</v>
      </c>
      <c r="P167" s="1102">
        <f ca="1">IF(UPPER('VVP1'!$F$3)="Y",OFFSET('VVP1'!$H9,0,5*(COLUMN()-7)),P29)</f>
        <v>605.92139451012724</v>
      </c>
      <c r="Q167" s="1102">
        <f ca="1">IF(UPPER('VVP1'!$F$3)="Y",OFFSET('VVP1'!$H9,0,5*(COLUMN()-7)),Q29)</f>
        <v>639.5356528396984</v>
      </c>
      <c r="R167" s="1102">
        <f ca="1">IF(UPPER('VVP1'!$F$3)="Y",OFFSET('VVP1'!$H9,0,5*(COLUMN()-7)),R29)</f>
        <v>707.5650900345488</v>
      </c>
      <c r="S167" s="1102">
        <f ca="1">IF(UPPER('VVP1'!$F$3)="Y",OFFSET('VVP1'!$H9,0,5*(COLUMN()-7)),S29)</f>
        <v>774.54041501757661</v>
      </c>
      <c r="T167" s="1102">
        <f ca="1">IF(UPPER('VVP1'!$F$3)="Y",OFFSET('VVP1'!$H9,0,5*(COLUMN()-7)),T29)</f>
        <v>795.94106107729931</v>
      </c>
      <c r="U167" s="1102">
        <f ca="1">IF(UPPER('VVP1'!$F$3)="Y",OFFSET('VVP1'!$H9,0,5*(COLUMN()-7)),U29)</f>
        <v>717.20128744794511</v>
      </c>
      <c r="V167" s="1102">
        <f ca="1">IF(UPPER('VVP1'!$F$3)="Y",OFFSET('VVP1'!$H9,0,5*(COLUMN()-7)),V29)</f>
        <v>781.89460018058219</v>
      </c>
      <c r="W167" s="1102">
        <f ca="1">IF(UPPER('VVP1'!$F$3)="Y",OFFSET('VVP1'!$H9,0,5*(COLUMN()-7)),W29)</f>
        <v>832.03856999999994</v>
      </c>
      <c r="X167" s="1102">
        <f ca="1">IF(UPPER('VVP1'!$F$3)="Y",OFFSET('VVP1'!$H9,0,5*(COLUMN()-7)),X29)</f>
        <v>831.83608963919801</v>
      </c>
      <c r="Y167" s="1102">
        <f ca="1">IF(UPPER('VVP1'!$F$3)="Y",OFFSET('VVP1'!$H9,0,5*(COLUMN()-7)),Y29)</f>
        <v>843.47078286214492</v>
      </c>
      <c r="Z167" s="1102">
        <f ca="1">IF(UPPER('VVP1'!$F$3)="Y",OFFSET('VVP1'!$H9,0,5*(COLUMN()-7)),Z29)</f>
        <v>892.19441002888902</v>
      </c>
      <c r="AA167" s="1102">
        <f ca="1">IF(UPPER('VVP1'!$F$3)="Y",OFFSET('VVP1'!$H9,0,5*(COLUMN()-7)),AA29)</f>
        <v>972.15291327649561</v>
      </c>
      <c r="AB167" s="1102">
        <f ca="1">IF(UPPER('VVP1'!$F$3)="Y",OFFSET('VVP1'!$H9,0,5*(COLUMN()-7)),AB29)</f>
        <v>1032.6519937594187</v>
      </c>
      <c r="AC167" s="1102">
        <f ca="1">IF(UPPER('VVP1'!$F$3)="Y",OFFSET('VVP1'!$H9,0,5*(COLUMN()-7)),AC29)</f>
        <v>1113.3623115524583</v>
      </c>
      <c r="AD167" s="1102">
        <f ca="1">IF(UPPER('VVP1'!$F$3)="Y",OFFSET('VVP1'!$H9,0,5*(COLUMN()-7)),AD29)</f>
        <v>1183.0519985000001</v>
      </c>
      <c r="AE167" s="1102">
        <f ca="1">IF(UPPER('VVP1'!$F$3)="Y",OFFSET('VVP1'!$H9,0,5*(COLUMN()-7)),AE29)</f>
        <v>1255.1855524673097</v>
      </c>
      <c r="AF167" s="1102">
        <f ca="1">IF(UPPER('VVP1'!$F$3)="Y",OFFSET('VVP1'!$H9,0,5*(COLUMN()-7)),AF29)</f>
        <v>1312.6626811448639</v>
      </c>
    </row>
    <row r="168" spans="1:32" ht="12.75">
      <c r="A168" s="701"/>
      <c r="B168" s="702">
        <v>4</v>
      </c>
      <c r="C168" s="1529"/>
      <c r="D168" s="1"/>
      <c r="E168" s="1" t="str">
        <f>+Transfer!B104</f>
        <v>VOL. G.F.C.F. CONSTRUCTION</v>
      </c>
      <c r="F168" s="1530"/>
      <c r="G168" s="1102"/>
      <c r="H168" s="1102">
        <f ca="1">IF(UPPER('VVP1'!$F$3)="Y",OFFSET('VVP1'!$H59,0,5*(COLUMN()-7)),H23)</f>
        <v>127.43103316802171</v>
      </c>
      <c r="I168" s="1102">
        <f ca="1">IF(UPPER('VVP1'!$F$3)="Y",OFFSET('VVP1'!$H59,0,5*(COLUMN()-7)),I23)</f>
        <v>121.08277764186582</v>
      </c>
      <c r="J168" s="1102">
        <f ca="1">IF(UPPER('VVP1'!$F$3)="Y",OFFSET('VVP1'!$H59,0,5*(COLUMN()-7)),J23)</f>
        <v>129.17293075665214</v>
      </c>
      <c r="K168" s="1102">
        <f ca="1">IF(UPPER('VVP1'!$F$3)="Y",OFFSET('VVP1'!$H59,0,5*(COLUMN()-7)),K23)</f>
        <v>136.98078595706372</v>
      </c>
      <c r="L168" s="1102">
        <f ca="1">IF(UPPER('VVP1'!$F$3)="Y",OFFSET('VVP1'!$H59,0,5*(COLUMN()-7)),L23)</f>
        <v>150.25695061859111</v>
      </c>
      <c r="M168" s="1102">
        <f ca="1">IF(UPPER('VVP1'!$F$3)="Y",OFFSET('VVP1'!$H59,0,5*(COLUMN()-7)),M23)</f>
        <v>168.22588871080271</v>
      </c>
      <c r="N168" s="1102">
        <f ca="1">IF(UPPER('VVP1'!$F$3)="Y",OFFSET('VVP1'!$H59,0,5*(COLUMN()-7)),N23)</f>
        <v>186.52397788726705</v>
      </c>
      <c r="O168" s="1102">
        <f ca="1">IF(UPPER('VVP1'!$F$3)="Y",OFFSET('VVP1'!$H59,0,5*(COLUMN()-7)),O23)</f>
        <v>195.85837155935548</v>
      </c>
      <c r="P168" s="1102">
        <f ca="1">IF(UPPER('VVP1'!$F$3)="Y",OFFSET('VVP1'!$H59,0,5*(COLUMN()-7)),P23)</f>
        <v>219.47640755551461</v>
      </c>
      <c r="Q168" s="1102">
        <f ca="1">IF(UPPER('VVP1'!$F$3)="Y",OFFSET('VVP1'!$H59,0,5*(COLUMN()-7)),Q23)</f>
        <v>233.61510905931823</v>
      </c>
      <c r="R168" s="1102">
        <f ca="1">IF(UPPER('VVP1'!$F$3)="Y",OFFSET('VVP1'!$H59,0,5*(COLUMN()-7)),R23)</f>
        <v>274.13301724141002</v>
      </c>
      <c r="S168" s="1102">
        <f ca="1">IF(UPPER('VVP1'!$F$3)="Y",OFFSET('VVP1'!$H59,0,5*(COLUMN()-7)),S23)</f>
        <v>304.06231960641901</v>
      </c>
      <c r="T168" s="1102">
        <f ca="1">IF(UPPER('VVP1'!$F$3)="Y",OFFSET('VVP1'!$H59,0,5*(COLUMN()-7)),T23)</f>
        <v>311.5219379047669</v>
      </c>
      <c r="U168" s="1102">
        <f ca="1">IF(UPPER('VVP1'!$F$3)="Y",OFFSET('VVP1'!$H59,0,5*(COLUMN()-7)),U23)</f>
        <v>288.86153118129755</v>
      </c>
      <c r="V168" s="1102">
        <f ca="1">IF(UPPER('VVP1'!$F$3)="Y",OFFSET('VVP1'!$H59,0,5*(COLUMN()-7)),V23)</f>
        <v>302.28025616035086</v>
      </c>
      <c r="W168" s="1102">
        <f ca="1">IF(UPPER('VVP1'!$F$3)="Y",OFFSET('VVP1'!$H59,0,5*(COLUMN()-7)),W23)</f>
        <v>315.56439999999998</v>
      </c>
      <c r="X168" s="1102">
        <f ca="1">IF(UPPER('VVP1'!$F$3)="Y",OFFSET('VVP1'!$H59,0,5*(COLUMN()-7)),X23)</f>
        <v>325.05190226407666</v>
      </c>
      <c r="Y168" s="1102">
        <f ca="1">IF(UPPER('VVP1'!$F$3)="Y",OFFSET('VVP1'!$H59,0,5*(COLUMN()-7)),Y23)</f>
        <v>327.72841275816376</v>
      </c>
      <c r="Z168" s="1102">
        <f ca="1">IF(UPPER('VVP1'!$F$3)="Y",OFFSET('VVP1'!$H59,0,5*(COLUMN()-7)),Z23)</f>
        <v>364.31880777376284</v>
      </c>
      <c r="AA168" s="1102">
        <f ca="1">IF(UPPER('VVP1'!$F$3)="Y",OFFSET('VVP1'!$H59,0,5*(COLUMN()-7)),AA23)</f>
        <v>403.56775423267982</v>
      </c>
      <c r="AB168" s="1102">
        <f ca="1">IF(UPPER('VVP1'!$F$3)="Y",OFFSET('VVP1'!$H59,0,5*(COLUMN()-7)),AB23)</f>
        <v>442.21200644149195</v>
      </c>
      <c r="AC168" s="1102">
        <f ca="1">IF(UPPER('VVP1'!$F$3)="Y",OFFSET('VVP1'!$H59,0,5*(COLUMN()-7)),AC23)</f>
        <v>493.1752835839344</v>
      </c>
      <c r="AD168" s="1102">
        <f ca="1">IF(UPPER('VVP1'!$F$3)="Y",OFFSET('VVP1'!$H59,0,5*(COLUMN()-7)),AD23)</f>
        <v>525.3200945000001</v>
      </c>
      <c r="AE168" s="1102">
        <f ca="1">IF(UPPER('VVP1'!$F$3)="Y",OFFSET('VVP1'!$H59,0,5*(COLUMN()-7)),AE23)</f>
        <v>542.47952414735767</v>
      </c>
      <c r="AF168" s="1102">
        <f ca="1">IF(UPPER('VVP1'!$F$3)="Y",OFFSET('VVP1'!$H59,0,5*(COLUMN()-7)),AF23)</f>
        <v>559.51059974063946</v>
      </c>
    </row>
    <row r="169" spans="1:32" ht="12.75">
      <c r="A169" s="701"/>
      <c r="B169" s="702">
        <v>5</v>
      </c>
      <c r="C169" s="1529"/>
      <c r="D169" s="1"/>
      <c r="E169" s="1" t="str">
        <f>+Transfer!B105</f>
        <v>VOL. G.F.C.F. EQUIPMENT</v>
      </c>
      <c r="F169" s="1530"/>
      <c r="G169" s="1102"/>
      <c r="H169" s="1102">
        <f ca="1">IF(UPPER('VVP1'!$F$3)="Y",OFFSET('VVP1'!$H62,0,5*(COLUMN()-7)),H27)</f>
        <v>167.94440214181779</v>
      </c>
      <c r="I169" s="1102">
        <f ca="1">IF(UPPER('VVP1'!$F$3)="Y",OFFSET('VVP1'!$H62,0,5*(COLUMN()-7)),I27)</f>
        <v>167.06735766735946</v>
      </c>
      <c r="J169" s="1102">
        <f ca="1">IF(UPPER('VVP1'!$F$3)="Y",OFFSET('VVP1'!$H62,0,5*(COLUMN()-7)),J27)</f>
        <v>181.12529999423489</v>
      </c>
      <c r="K169" s="1102">
        <f ca="1">IF(UPPER('VVP1'!$F$3)="Y",OFFSET('VVP1'!$H62,0,5*(COLUMN()-7)),K27)</f>
        <v>199.70222264408434</v>
      </c>
      <c r="L169" s="1102">
        <f ca="1">IF(UPPER('VVP1'!$F$3)="Y",OFFSET('VVP1'!$H62,0,5*(COLUMN()-7)),L27)</f>
        <v>206.2990929248823</v>
      </c>
      <c r="M169" s="1102">
        <f ca="1">IF(UPPER('VVP1'!$F$3)="Y",OFFSET('VVP1'!$H62,0,5*(COLUMN()-7)),M27)</f>
        <v>206.37774390848563</v>
      </c>
      <c r="N169" s="1102">
        <f ca="1">IF(UPPER('VVP1'!$F$3)="Y",OFFSET('VVP1'!$H62,0,5*(COLUMN()-7)),N27)</f>
        <v>197.9015607163615</v>
      </c>
      <c r="O169" s="1102">
        <f ca="1">IF(UPPER('VVP1'!$F$3)="Y",OFFSET('VVP1'!$H62,0,5*(COLUMN()-7)),O27)</f>
        <v>208.33977943355887</v>
      </c>
      <c r="P169" s="1102">
        <f ca="1">IF(UPPER('VVP1'!$F$3)="Y",OFFSET('VVP1'!$H62,0,5*(COLUMN()-7)),P27)</f>
        <v>208.44617308816595</v>
      </c>
      <c r="Q169" s="1102">
        <f ca="1">IF(UPPER('VVP1'!$F$3)="Y",OFFSET('VVP1'!$H62,0,5*(COLUMN()-7)),Q27)</f>
        <v>224.82825366427187</v>
      </c>
      <c r="R169" s="1102">
        <f ca="1">IF(UPPER('VVP1'!$F$3)="Y",OFFSET('VVP1'!$H62,0,5*(COLUMN()-7)),R27)</f>
        <v>244.38728014863491</v>
      </c>
      <c r="S169" s="1102">
        <f ca="1">IF(UPPER('VVP1'!$F$3)="Y",OFFSET('VVP1'!$H62,0,5*(COLUMN()-7)),S27)</f>
        <v>272.69949149603895</v>
      </c>
      <c r="T169" s="1102">
        <f ca="1">IF(UPPER('VVP1'!$F$3)="Y",OFFSET('VVP1'!$H62,0,5*(COLUMN()-7)),T27)</f>
        <v>278.63240841338637</v>
      </c>
      <c r="U169" s="1102">
        <f ca="1">IF(UPPER('VVP1'!$F$3)="Y",OFFSET('VVP1'!$H62,0,5*(COLUMN()-7)),U27)</f>
        <v>220.34005781960786</v>
      </c>
      <c r="V169" s="1102">
        <f ca="1">IF(UPPER('VVP1'!$F$3)="Y",OFFSET('VVP1'!$H62,0,5*(COLUMN()-7)),V27)</f>
        <v>258.6658670549906</v>
      </c>
      <c r="W169" s="1102">
        <f ca="1">IF(UPPER('VVP1'!$F$3)="Y",OFFSET('VVP1'!$H62,0,5*(COLUMN()-7)),W27)</f>
        <v>284.17725000000002</v>
      </c>
      <c r="X169" s="1102">
        <f ca="1">IF(UPPER('VVP1'!$F$3)="Y",OFFSET('VVP1'!$H62,0,5*(COLUMN()-7)),X27)</f>
        <v>280.66396144849739</v>
      </c>
      <c r="Y169" s="1102">
        <f ca="1">IF(UPPER('VVP1'!$F$3)="Y",OFFSET('VVP1'!$H62,0,5*(COLUMN()-7)),Y27)</f>
        <v>277.9574215021251</v>
      </c>
      <c r="Z169" s="1102">
        <f ca="1">IF(UPPER('VVP1'!$F$3)="Y",OFFSET('VVP1'!$H62,0,5*(COLUMN()-7)),Z27)</f>
        <v>270.8011513677161</v>
      </c>
      <c r="AA169" s="1102">
        <f ca="1">IF(UPPER('VVP1'!$F$3)="Y",OFFSET('VVP1'!$H62,0,5*(COLUMN()-7)),AA27)</f>
        <v>292.04091396731513</v>
      </c>
      <c r="AB169" s="1102">
        <f ca="1">IF(UPPER('VVP1'!$F$3)="Y",OFFSET('VVP1'!$H62,0,5*(COLUMN()-7)),AB27)</f>
        <v>318.69800076561222</v>
      </c>
      <c r="AC169" s="1102">
        <f ca="1">IF(UPPER('VVP1'!$F$3)="Y",OFFSET('VVP1'!$H62,0,5*(COLUMN()-7)),AC27)</f>
        <v>338.34666774569848</v>
      </c>
      <c r="AD169" s="1102">
        <f ca="1">IF(UPPER('VVP1'!$F$3)="Y",OFFSET('VVP1'!$H62,0,5*(COLUMN()-7)),AD27)</f>
        <v>359.73663599999998</v>
      </c>
      <c r="AE169" s="1102">
        <f ca="1">IF(UPPER('VVP1'!$F$3)="Y",OFFSET('VVP1'!$H62,0,5*(COLUMN()-7)),AE27)</f>
        <v>389.65143530816994</v>
      </c>
      <c r="AF169" s="1102">
        <f ca="1">IF(UPPER('VVP1'!$F$3)="Y",OFFSET('VVP1'!$H62,0,5*(COLUMN()-7)),AF27)</f>
        <v>414.17638888504268</v>
      </c>
    </row>
    <row r="170" spans="1:32" ht="12.75">
      <c r="A170" s="701"/>
      <c r="B170" s="702">
        <v>6</v>
      </c>
      <c r="C170" s="1529"/>
      <c r="D170" s="1"/>
      <c r="E170" s="1" t="str">
        <f>+Transfer!B106</f>
        <v>VOL. G.F.C.F. OTHER</v>
      </c>
      <c r="F170" s="1530"/>
      <c r="G170" s="1102"/>
      <c r="H170" s="1102">
        <f ca="1">IF(UPPER('VVP1'!$F$3)="Y",OFFSET('VVP1'!$H63,0,5*(COLUMN()-7)),H28)</f>
        <v>93.432557447758214</v>
      </c>
      <c r="I170" s="1102">
        <f ca="1">IF(UPPER('VVP1'!$F$3)="Y",OFFSET('VVP1'!$H63,0,5*(COLUMN()-7)),I28)</f>
        <v>106.66261198559313</v>
      </c>
      <c r="J170" s="1102">
        <f ca="1">IF(UPPER('VVP1'!$F$3)="Y",OFFSET('VVP1'!$H63,0,5*(COLUMN()-7)),J28)</f>
        <v>122.64957744324057</v>
      </c>
      <c r="K170" s="1102">
        <f ca="1">IF(UPPER('VVP1'!$F$3)="Y",OFFSET('VVP1'!$H63,0,5*(COLUMN()-7)),K28)</f>
        <v>133.59386360321523</v>
      </c>
      <c r="L170" s="1102">
        <f ca="1">IF(UPPER('VVP1'!$F$3)="Y",OFFSET('VVP1'!$H63,0,5*(COLUMN()-7)),L28)</f>
        <v>155.95851941956863</v>
      </c>
      <c r="M170" s="1102">
        <f ca="1">IF(UPPER('VVP1'!$F$3)="Y",OFFSET('VVP1'!$H63,0,5*(COLUMN()-7)),M28)</f>
        <v>167.92070088398759</v>
      </c>
      <c r="N170" s="1102">
        <f ca="1">IF(UPPER('VVP1'!$F$3)="Y",OFFSET('VVP1'!$H63,0,5*(COLUMN()-7)),N28)</f>
        <v>163.63558691292909</v>
      </c>
      <c r="O170" s="1102">
        <f ca="1">IF(UPPER('VVP1'!$F$3)="Y",OFFSET('VVP1'!$H63,0,5*(COLUMN()-7)),O28)</f>
        <v>169.46192912202494</v>
      </c>
      <c r="P170" s="1102">
        <f ca="1">IF(UPPER('VVP1'!$F$3)="Y",OFFSET('VVP1'!$H63,0,5*(COLUMN()-7)),P28)</f>
        <v>177.99938114849823</v>
      </c>
      <c r="Q170" s="1102">
        <f ca="1">IF(UPPER('VVP1'!$F$3)="Y",OFFSET('VVP1'!$H63,0,5*(COLUMN()-7)),Q28)</f>
        <v>181.0923535600852</v>
      </c>
      <c r="R170" s="1102">
        <f ca="1">IF(UPPER('VVP1'!$F$3)="Y",OFFSET('VVP1'!$H63,0,5*(COLUMN()-7)),R28)</f>
        <v>189.04501186505811</v>
      </c>
      <c r="S170" s="1102">
        <f ca="1">IF(UPPER('VVP1'!$F$3)="Y",OFFSET('VVP1'!$H63,0,5*(COLUMN()-7)),S28)</f>
        <v>197.77824589471038</v>
      </c>
      <c r="T170" s="1102">
        <f ca="1">IF(UPPER('VVP1'!$F$3)="Y",OFFSET('VVP1'!$H63,0,5*(COLUMN()-7)),T28)</f>
        <v>205.7870760875104</v>
      </c>
      <c r="U170" s="1102">
        <f ca="1">IF(UPPER('VVP1'!$F$3)="Y",OFFSET('VVP1'!$H63,0,5*(COLUMN()-7)),U28)</f>
        <v>208.00030574383092</v>
      </c>
      <c r="V170" s="1102">
        <f ca="1">IF(UPPER('VVP1'!$F$3)="Y",OFFSET('VVP1'!$H63,0,5*(COLUMN()-7)),V28)</f>
        <v>220.94904803902267</v>
      </c>
      <c r="W170" s="1102">
        <f ca="1">IF(UPPER('VVP1'!$F$3)="Y",OFFSET('VVP1'!$H63,0,5*(COLUMN()-7)),W28)</f>
        <v>232.29651000000004</v>
      </c>
      <c r="X170" s="1102">
        <f ca="1">IF(UPPER('VVP1'!$F$3)="Y",OFFSET('VVP1'!$H63,0,5*(COLUMN()-7)),X28)</f>
        <v>226.11975745065121</v>
      </c>
      <c r="Y170" s="1102">
        <f ca="1">IF(UPPER('VVP1'!$F$3)="Y",OFFSET('VVP1'!$H63,0,5*(COLUMN()-7)),Y28)</f>
        <v>237.78540057282993</v>
      </c>
      <c r="Z170" s="1102">
        <f ca="1">IF(UPPER('VVP1'!$F$3)="Y",OFFSET('VVP1'!$H63,0,5*(COLUMN()-7)),Z28)</f>
        <v>257.07460841354504</v>
      </c>
      <c r="AA170" s="1102">
        <f ca="1">IF(UPPER('VVP1'!$F$3)="Y",OFFSET('VVP1'!$H63,0,5*(COLUMN()-7)),AA28)</f>
        <v>276.5437959450062</v>
      </c>
      <c r="AB170" s="1102">
        <f ca="1">IF(UPPER('VVP1'!$F$3)="Y",OFFSET('VVP1'!$H63,0,5*(COLUMN()-7)),AB28)</f>
        <v>271.74200039759739</v>
      </c>
      <c r="AC170" s="1102">
        <f ca="1">IF(UPPER('VVP1'!$F$3)="Y",OFFSET('VVP1'!$H63,0,5*(COLUMN()-7)),AC28)</f>
        <v>281.83918770711443</v>
      </c>
      <c r="AD170" s="1102">
        <f ca="1">IF(UPPER('VVP1'!$F$3)="Y",OFFSET('VVP1'!$H63,0,5*(COLUMN()-7)),AD28)</f>
        <v>297.99526800000001</v>
      </c>
      <c r="AE170" s="1102">
        <f ca="1">IF(UPPER('VVP1'!$F$3)="Y",OFFSET('VVP1'!$H63,0,5*(COLUMN()-7)),AE28)</f>
        <v>323.054593011782</v>
      </c>
      <c r="AF170" s="1102">
        <f ca="1">IF(UPPER('VVP1'!$F$3)="Y",OFFSET('VVP1'!$H63,0,5*(COLUMN()-7)),AF28)</f>
        <v>338.97569251918168</v>
      </c>
    </row>
    <row r="171" spans="1:32" ht="12.75">
      <c r="A171" s="701"/>
      <c r="B171" s="702">
        <v>7</v>
      </c>
      <c r="C171" s="1529"/>
      <c r="D171" s="1"/>
      <c r="E171" s="1" t="str">
        <f>+Transfer!B107</f>
        <v>VOL. CHANGE IN INVENTORIES</v>
      </c>
      <c r="F171" s="1530"/>
      <c r="G171" s="1102"/>
      <c r="H171" s="1102">
        <f ca="1">IF(UPPER('VVP1'!$F$3)="Y",OFFSET('VVP1'!$H11,0,5*(COLUMN()-7)),H64)</f>
        <v>6.3084584622656621</v>
      </c>
      <c r="I171" s="1102">
        <f ca="1">IF(UPPER('VVP1'!$F$3)="Y",OFFSET('VVP1'!$H11,0,5*(COLUMN()-7)),I64)</f>
        <v>9.5508591222774157</v>
      </c>
      <c r="J171" s="1102">
        <f ca="1">IF(UPPER('VVP1'!$F$3)="Y",OFFSET('VVP1'!$H11,0,5*(COLUMN()-7)),J64)</f>
        <v>15.996679412323829</v>
      </c>
      <c r="K171" s="1102">
        <f ca="1">IF(UPPER('VVP1'!$F$3)="Y",OFFSET('VVP1'!$H11,0,5*(COLUMN()-7)),K64)</f>
        <v>6.3419548890115038</v>
      </c>
      <c r="L171" s="1102">
        <f ca="1">IF(UPPER('VVP1'!$F$3)="Y",OFFSET('VVP1'!$H11,0,5*(COLUMN()-7)),L64)</f>
        <v>15.148923036772885</v>
      </c>
      <c r="M171" s="1102">
        <f ca="1">IF(UPPER('VVP1'!$F$3)="Y",OFFSET('VVP1'!$H11,0,5*(COLUMN()-7)),M64)</f>
        <v>7.7805901796346006</v>
      </c>
      <c r="N171" s="1102">
        <f ca="1">IF(UPPER('VVP1'!$F$3)="Y",OFFSET('VVP1'!$H11,0,5*(COLUMN()-7)),N64)</f>
        <v>2.2823411757276517</v>
      </c>
      <c r="O171" s="1102">
        <f ca="1">IF(UPPER('VVP1'!$F$3)="Y",OFFSET('VVP1'!$H11,0,5*(COLUMN()-7)),O64)</f>
        <v>7.9603545004601983</v>
      </c>
      <c r="P171" s="1102">
        <f ca="1">IF(UPPER('VVP1'!$F$3)="Y",OFFSET('VVP1'!$H11,0,5*(COLUMN()-7)),P64)</f>
        <v>0.83578061387515845</v>
      </c>
      <c r="Q171" s="1102">
        <f ca="1">IF(UPPER('VVP1'!$F$3)="Y",OFFSET('VVP1'!$H11,0,5*(COLUMN()-7)),Q64)</f>
        <v>-1.1013700995777072</v>
      </c>
      <c r="R171" s="1102">
        <f ca="1">IF(UPPER('VVP1'!$F$3)="Y",OFFSET('VVP1'!$H11,0,5*(COLUMN()-7)),R64)</f>
        <v>1.9562127774256624</v>
      </c>
      <c r="S171" s="1102">
        <f ca="1">IF(UPPER('VVP1'!$F$3)="Y",OFFSET('VVP1'!$H11,0,5*(COLUMN()-7)),S64)</f>
        <v>21.228997156633795</v>
      </c>
      <c r="T171" s="1102">
        <f ca="1">IF(UPPER('VVP1'!$F$3)="Y",OFFSET('VVP1'!$H11,0,5*(COLUMN()-7)),T64)</f>
        <v>7.0428796864007381</v>
      </c>
      <c r="U171" s="1102">
        <f ca="1">IF(UPPER('VVP1'!$F$3)="Y",OFFSET('VVP1'!$H11,0,5*(COLUMN()-7)),U64)</f>
        <v>-46.048646260189798</v>
      </c>
      <c r="V171" s="1102">
        <f ca="1">IF(UPPER('VVP1'!$F$3)="Y",OFFSET('VVP1'!$H11,0,5*(COLUMN()-7)),V64)</f>
        <v>23.33323779761804</v>
      </c>
      <c r="W171" s="1102">
        <f ca="1">IF(UPPER('VVP1'!$F$3)="Y",OFFSET('VVP1'!$H11,0,5*(COLUMN()-7)),W64)</f>
        <v>40.950919999999314</v>
      </c>
      <c r="X171" s="1102">
        <f ca="1">IF(UPPER('VVP1'!$F$3)="Y",OFFSET('VVP1'!$H11,0,5*(COLUMN()-7)),X64)</f>
        <v>-0.36998604285645342</v>
      </c>
      <c r="Y171" s="1102">
        <f ca="1">IF(UPPER('VVP1'!$F$3)="Y",OFFSET('VVP1'!$H11,0,5*(COLUMN()-7)),Y64)</f>
        <v>6.618305281339417</v>
      </c>
      <c r="Z171" s="1102">
        <f ca="1">IF(UPPER('VVP1'!$F$3)="Y",OFFSET('VVP1'!$H11,0,5*(COLUMN()-7)),Z64)</f>
        <v>11.856073672066032</v>
      </c>
      <c r="AA171" s="1102">
        <f ca="1">IF(UPPER('VVP1'!$F$3)="Y",OFFSET('VVP1'!$H11,0,5*(COLUMN()-7)),AA64)</f>
        <v>28.583185968187081</v>
      </c>
      <c r="AB171" s="1102">
        <f ca="1">IF(UPPER('VVP1'!$F$3)="Y",OFFSET('VVP1'!$H11,0,5*(COLUMN()-7)),AB64)</f>
        <v>25.31300688985084</v>
      </c>
      <c r="AC171" s="1102">
        <f ca="1">IF(UPPER('VVP1'!$F$3)="Y",OFFSET('VVP1'!$H11,0,5*(COLUMN()-7)),AC64)</f>
        <v>31.512262532056411</v>
      </c>
      <c r="AD171" s="1102">
        <f ca="1">IF(UPPER('VVP1'!$F$3)="Y",OFFSET('VVP1'!$H11,0,5*(COLUMN()-7)),AD64)</f>
        <v>36.9084</v>
      </c>
      <c r="AE171" s="1102">
        <f ca="1">IF(UPPER('VVP1'!$F$3)="Y",OFFSET('VVP1'!$H11,0,5*(COLUMN()-7)),AE64)</f>
        <v>32.196304571999995</v>
      </c>
      <c r="AF171" s="1102">
        <f ca="1">IF(UPPER('VVP1'!$F$3)="Y",OFFSET('VVP1'!$H11,0,5*(COLUMN()-7)),AF64)</f>
        <v>33.19439001373199</v>
      </c>
    </row>
    <row r="172" spans="1:32" ht="12.75">
      <c r="A172" s="701"/>
      <c r="B172" s="702">
        <v>8</v>
      </c>
      <c r="C172" s="1529"/>
      <c r="D172" s="1"/>
      <c r="E172" s="1" t="str">
        <f>+Transfer!B108</f>
        <v>VOL. EXPORTS OF GOODS (FOB)</v>
      </c>
      <c r="F172" s="1530"/>
      <c r="G172" s="1102"/>
      <c r="H172" s="1102">
        <f ca="1">IF(UPPER('VVP1'!$F$3)="Y",OFFSET('VVP1'!$H87,0,5*(COLUMN()-7)),H82)</f>
        <v>625.67450947151144</v>
      </c>
      <c r="I172" s="1102">
        <f ca="1">IF(UPPER('VVP1'!$F$3)="Y",OFFSET('VVP1'!$H87,0,5*(COLUMN()-7)),I82)</f>
        <v>672.20559148087307</v>
      </c>
      <c r="J172" s="1102">
        <f ca="1">IF(UPPER('VVP1'!$F$3)="Y",OFFSET('VVP1'!$H87,0,5*(COLUMN()-7)),J82)</f>
        <v>726.88130241506394</v>
      </c>
      <c r="K172" s="1102">
        <f ca="1">IF(UPPER('VVP1'!$F$3)="Y",OFFSET('VVP1'!$H87,0,5*(COLUMN()-7)),K82)</f>
        <v>760.67796131547686</v>
      </c>
      <c r="L172" s="1102">
        <f ca="1">IF(UPPER('VVP1'!$F$3)="Y",OFFSET('VVP1'!$H87,0,5*(COLUMN()-7)),L82)</f>
        <v>832.04175028910265</v>
      </c>
      <c r="M172" s="1102">
        <f ca="1">IF(UPPER('VVP1'!$F$3)="Y",OFFSET('VVP1'!$H87,0,5*(COLUMN()-7)),M82)</f>
        <v>827.58415457956301</v>
      </c>
      <c r="N172" s="1102">
        <f ca="1">IF(UPPER('VVP1'!$F$3)="Y",OFFSET('VVP1'!$H87,0,5*(COLUMN()-7)),N82)</f>
        <v>866.85469080654343</v>
      </c>
      <c r="O172" s="1102">
        <f ca="1">IF(UPPER('VVP1'!$F$3)="Y",OFFSET('VVP1'!$H87,0,5*(COLUMN()-7)),O82)</f>
        <v>888.14049020936636</v>
      </c>
      <c r="P172" s="1102">
        <f ca="1">IF(UPPER('VVP1'!$F$3)="Y",OFFSET('VVP1'!$H87,0,5*(COLUMN()-7)),P82)</f>
        <v>961.47811623510279</v>
      </c>
      <c r="Q172" s="1102">
        <f ca="1">IF(UPPER('VVP1'!$F$3)="Y",OFFSET('VVP1'!$H87,0,5*(COLUMN()-7)),Q82)</f>
        <v>1007.5040829929483</v>
      </c>
      <c r="R172" s="1102">
        <f ca="1">IF(UPPER('VVP1'!$F$3)="Y",OFFSET('VVP1'!$H87,0,5*(COLUMN()-7)),R82)</f>
        <v>1122.5039369582112</v>
      </c>
      <c r="S172" s="1102">
        <f ca="1">IF(UPPER('VVP1'!$F$3)="Y",OFFSET('VVP1'!$H87,0,5*(COLUMN()-7)),S82)</f>
        <v>1193.5095068183707</v>
      </c>
      <c r="T172" s="1102">
        <f ca="1">IF(UPPER('VVP1'!$F$3)="Y",OFFSET('VVP1'!$H87,0,5*(COLUMN()-7)),T82)</f>
        <v>1224.3990010072407</v>
      </c>
      <c r="U172" s="1102">
        <f ca="1">IF(UPPER('VVP1'!$F$3)="Y",OFFSET('VVP1'!$H87,0,5*(COLUMN()-7)),U82)</f>
        <v>1034.9637830336915</v>
      </c>
      <c r="V172" s="1102">
        <f ca="1">IF(UPPER('VVP1'!$F$3)="Y",OFFSET('VVP1'!$H87,0,5*(COLUMN()-7)),V82)</f>
        <v>1214.9566704924114</v>
      </c>
      <c r="W172" s="1102">
        <f ca="1">IF(UPPER('VVP1'!$F$3)="Y",OFFSET('VVP1'!$H87,0,5*(COLUMN()-7)),W82)</f>
        <v>1285.5298700000003</v>
      </c>
      <c r="X172" s="1102">
        <f ca="1">IF(UPPER('VVP1'!$F$3)="Y",OFFSET('VVP1'!$H87,0,5*(COLUMN()-7)),X82)</f>
        <v>1268.8155531771424</v>
      </c>
      <c r="Y172" s="1102">
        <f ca="1">IF(UPPER('VVP1'!$F$3)="Y",OFFSET('VVP1'!$H87,0,5*(COLUMN()-7)),Y82)</f>
        <v>1211.7971776449267</v>
      </c>
      <c r="Z172" s="1102">
        <f ca="1">IF(UPPER('VVP1'!$F$3)="Y",OFFSET('VVP1'!$H87,0,5*(COLUMN()-7)),Z82)</f>
        <v>1210.36871093688</v>
      </c>
      <c r="AA172" s="1102">
        <f ca="1">IF(UPPER('VVP1'!$F$3)="Y",OFFSET('VVP1'!$H87,0,5*(COLUMN()-7)),AA82)</f>
        <v>1279.2298565182473</v>
      </c>
      <c r="AB172" s="1102">
        <f ca="1">IF(UPPER('VVP1'!$F$3)="Y",OFFSET('VVP1'!$H87,0,5*(COLUMN()-7)),AB82)</f>
        <v>1329.7309981940457</v>
      </c>
      <c r="AC172" s="1102">
        <f ca="1">IF(UPPER('VVP1'!$F$3)="Y",OFFSET('VVP1'!$H87,0,5*(COLUMN()-7)),AC82)</f>
        <v>1373.9064326571938</v>
      </c>
      <c r="AD172" s="1102">
        <f ca="1">IF(UPPER('VVP1'!$F$3)="Y",OFFSET('VVP1'!$H87,0,5*(COLUMN()-7)),AD82)</f>
        <v>1480.9275735000001</v>
      </c>
      <c r="AE172" s="1102">
        <f ca="1">IF(UPPER('VVP1'!$F$3)="Y",OFFSET('VVP1'!$H87,0,5*(COLUMN()-7)),AE82)</f>
        <v>1614.718272808924</v>
      </c>
      <c r="AF172" s="1102">
        <f ca="1">IF(UPPER('VVP1'!$F$3)="Y",OFFSET('VVP1'!$H87,0,5*(COLUMN()-7)),AF82)</f>
        <v>1703.5726992757643</v>
      </c>
    </row>
    <row r="173" spans="1:32" ht="12.75">
      <c r="A173" s="701"/>
      <c r="B173" s="702">
        <v>9</v>
      </c>
      <c r="C173" s="1529"/>
      <c r="D173" s="1"/>
      <c r="E173" s="1" t="str">
        <f>+Transfer!B109</f>
        <v>VOL. EXPORTS OF SERVICES</v>
      </c>
      <c r="F173" s="1530"/>
      <c r="G173" s="1102"/>
      <c r="H173" s="1102">
        <f ca="1">IF(UPPER('VVP1'!$F$3)="Y",OFFSET('VVP1'!$H86,0,5*(COLUMN()-7)),H81)</f>
        <v>119.6751800316397</v>
      </c>
      <c r="I173" s="1102">
        <f ca="1">IF(UPPER('VVP1'!$F$3)="Y",OFFSET('VVP1'!$H86,0,5*(COLUMN()-7)),I81)</f>
        <v>138.19036853836101</v>
      </c>
      <c r="J173" s="1102">
        <f ca="1">IF(UPPER('VVP1'!$F$3)="Y",OFFSET('VVP1'!$H86,0,5*(COLUMN()-7)),J81)</f>
        <v>154.13625721311814</v>
      </c>
      <c r="K173" s="1102">
        <f ca="1">IF(UPPER('VVP1'!$F$3)="Y",OFFSET('VVP1'!$H86,0,5*(COLUMN()-7)),K81)</f>
        <v>172.33123387932642</v>
      </c>
      <c r="L173" s="1102">
        <f ca="1">IF(UPPER('VVP1'!$F$3)="Y",OFFSET('VVP1'!$H86,0,5*(COLUMN()-7)),L81)</f>
        <v>193.75832622514991</v>
      </c>
      <c r="M173" s="1102">
        <f ca="1">IF(UPPER('VVP1'!$F$3)="Y",OFFSET('VVP1'!$H86,0,5*(COLUMN()-7)),M81)</f>
        <v>229.41786803853773</v>
      </c>
      <c r="N173" s="1102">
        <f ca="1">IF(UPPER('VVP1'!$F$3)="Y",OFFSET('VVP1'!$H86,0,5*(COLUMN()-7)),N81)</f>
        <v>231.70895765578805</v>
      </c>
      <c r="O173" s="1102">
        <f ca="1">IF(UPPER('VVP1'!$F$3)="Y",OFFSET('VVP1'!$H86,0,5*(COLUMN()-7)),O81)</f>
        <v>238.5298771948801</v>
      </c>
      <c r="P173" s="1102">
        <f ca="1">IF(UPPER('VVP1'!$F$3)="Y",OFFSET('VVP1'!$H86,0,5*(COLUMN()-7)),P81)</f>
        <v>261.36016863385652</v>
      </c>
      <c r="Q173" s="1102">
        <f ca="1">IF(UPPER('VVP1'!$F$3)="Y",OFFSET('VVP1'!$H86,0,5*(COLUMN()-7)),Q81)</f>
        <v>292.02102587244053</v>
      </c>
      <c r="R173" s="1102">
        <f ca="1">IF(UPPER('VVP1'!$F$3)="Y",OFFSET('VVP1'!$H86,0,5*(COLUMN()-7)),R81)</f>
        <v>326.72118727906042</v>
      </c>
      <c r="S173" s="1102">
        <f ca="1">IF(UPPER('VVP1'!$F$3)="Y",OFFSET('VVP1'!$H86,0,5*(COLUMN()-7)),S81)</f>
        <v>366.82466898830921</v>
      </c>
      <c r="T173" s="1102">
        <f ca="1">IF(UPPER('VVP1'!$F$3)="Y",OFFSET('VVP1'!$H86,0,5*(COLUMN()-7)),T81)</f>
        <v>398.29210649053874</v>
      </c>
      <c r="U173" s="1102">
        <f ca="1">IF(UPPER('VVP1'!$F$3)="Y",OFFSET('VVP1'!$H86,0,5*(COLUMN()-7)),U81)</f>
        <v>408.07082761522383</v>
      </c>
      <c r="V173" s="1102">
        <f ca="1">IF(UPPER('VVP1'!$F$3)="Y",OFFSET('VVP1'!$H86,0,5*(COLUMN()-7)),V81)</f>
        <v>421.43828289403723</v>
      </c>
      <c r="W173" s="1102">
        <f ca="1">IF(UPPER('VVP1'!$F$3)="Y",OFFSET('VVP1'!$H86,0,5*(COLUMN()-7)),W81)</f>
        <v>439.37660999999991</v>
      </c>
      <c r="X173" s="1102">
        <f ca="1">IF(UPPER('VVP1'!$F$3)="Y",OFFSET('VVP1'!$H86,0,5*(COLUMN()-7)),X81)</f>
        <v>454.93337407491947</v>
      </c>
      <c r="Y173" s="1102">
        <f ca="1">IF(UPPER('VVP1'!$F$3)="Y",OFFSET('VVP1'!$H86,0,5*(COLUMN()-7)),Y81)</f>
        <v>481.92975133536225</v>
      </c>
      <c r="Z173" s="1102">
        <f ca="1">IF(UPPER('VVP1'!$F$3)="Y",OFFSET('VVP1'!$H86,0,5*(COLUMN()-7)),Z81)</f>
        <v>527.68656710070502</v>
      </c>
      <c r="AA173" s="1102">
        <f ca="1">IF(UPPER('VVP1'!$F$3)="Y",OFFSET('VVP1'!$H86,0,5*(COLUMN()-7)),AA81)</f>
        <v>594.43620416444867</v>
      </c>
      <c r="AB173" s="1102">
        <f ca="1">IF(UPPER('VVP1'!$F$3)="Y",OFFSET('VVP1'!$H86,0,5*(COLUMN()-7)),AB81)</f>
        <v>640.12799041609833</v>
      </c>
      <c r="AC173" s="1102">
        <f ca="1">IF(UPPER('VVP1'!$F$3)="Y",OFFSET('VVP1'!$H86,0,5*(COLUMN()-7)),AC81)</f>
        <v>636.21698495744249</v>
      </c>
      <c r="AD173" s="1102">
        <f ca="1">IF(UPPER('VVP1'!$F$3)="Y",OFFSET('VVP1'!$H86,0,5*(COLUMN()-7)),AD81)</f>
        <v>667.12231810000003</v>
      </c>
      <c r="AE173" s="1102">
        <f ca="1">IF(UPPER('VVP1'!$F$3)="Y",OFFSET('VVP1'!$H86,0,5*(COLUMN()-7)),AE81)</f>
        <v>716.61325425387122</v>
      </c>
      <c r="AF173" s="1102">
        <f ca="1">IF(UPPER('VVP1'!$F$3)="Y",OFFSET('VVP1'!$H86,0,5*(COLUMN()-7)),AF81)</f>
        <v>754.86730234074014</v>
      </c>
    </row>
    <row r="174" spans="1:32" ht="12.75">
      <c r="A174" s="701"/>
      <c r="B174" s="702">
        <v>10</v>
      </c>
      <c r="C174" s="1529"/>
      <c r="D174" s="1"/>
      <c r="E174" s="1" t="str">
        <f>+Transfer!B110</f>
        <v>VOL. IMPORTS OF GOODS (FOB)</v>
      </c>
      <c r="F174" s="1530"/>
      <c r="G174" s="1102"/>
      <c r="H174" s="1102">
        <f ca="1">IF(UPPER('VVP1'!$F$3)="Y",OFFSET('VVP1'!$H102,0,5*(COLUMN()-7)),H104)</f>
        <v>467.67623314612922</v>
      </c>
      <c r="I174" s="1102">
        <f ca="1">IF(UPPER('VVP1'!$F$3)="Y",OFFSET('VVP1'!$H102,0,5*(COLUMN()-7)),I104)</f>
        <v>496.76663807613608</v>
      </c>
      <c r="J174" s="1102">
        <f ca="1">IF(UPPER('VVP1'!$F$3)="Y",OFFSET('VVP1'!$H102,0,5*(COLUMN()-7)),J104)</f>
        <v>548.44719949980424</v>
      </c>
      <c r="K174" s="1102">
        <f ca="1">IF(UPPER('VVP1'!$F$3)="Y",OFFSET('VVP1'!$H102,0,5*(COLUMN()-7)),K104)</f>
        <v>565.04230074131385</v>
      </c>
      <c r="L174" s="1102">
        <f ca="1">IF(UPPER('VVP1'!$F$3)="Y",OFFSET('VVP1'!$H102,0,5*(COLUMN()-7)),L104)</f>
        <v>639.16749000919947</v>
      </c>
      <c r="M174" s="1102">
        <f ca="1">IF(UPPER('VVP1'!$F$3)="Y",OFFSET('VVP1'!$H102,0,5*(COLUMN()-7)),M104)</f>
        <v>639.17682382570854</v>
      </c>
      <c r="N174" s="1102">
        <f ca="1">IF(UPPER('VVP1'!$F$3)="Y",OFFSET('VVP1'!$H102,0,5*(COLUMN()-7)),N104)</f>
        <v>656.58673421235517</v>
      </c>
      <c r="O174" s="1102">
        <f ca="1">IF(UPPER('VVP1'!$F$3)="Y",OFFSET('VVP1'!$H102,0,5*(COLUMN()-7)),O104)</f>
        <v>692.62313949937936</v>
      </c>
      <c r="P174" s="1102">
        <f ca="1">IF(UPPER('VVP1'!$F$3)="Y",OFFSET('VVP1'!$H102,0,5*(COLUMN()-7)),P104)</f>
        <v>726.87782840612556</v>
      </c>
      <c r="Q174" s="1102">
        <f ca="1">IF(UPPER('VVP1'!$F$3)="Y",OFFSET('VVP1'!$H102,0,5*(COLUMN()-7)),Q104)</f>
        <v>786.46558022575653</v>
      </c>
      <c r="R174" s="1102">
        <f ca="1">IF(UPPER('VVP1'!$F$3)="Y",OFFSET('VVP1'!$H102,0,5*(COLUMN()-7)),R104)</f>
        <v>905.81769499800157</v>
      </c>
      <c r="S174" s="1102">
        <f ca="1">IF(UPPER('VVP1'!$F$3)="Y",OFFSET('VVP1'!$H102,0,5*(COLUMN()-7)),S104)</f>
        <v>1006.8914177650182</v>
      </c>
      <c r="T174" s="1102">
        <f ca="1">IF(UPPER('VVP1'!$F$3)="Y",OFFSET('VVP1'!$H102,0,5*(COLUMN()-7)),T104)</f>
        <v>1037.6550006495299</v>
      </c>
      <c r="U174" s="1102">
        <f ca="1">IF(UPPER('VVP1'!$F$3)="Y",OFFSET('VVP1'!$H102,0,5*(COLUMN()-7)),U104)</f>
        <v>904.57039287810608</v>
      </c>
      <c r="V174" s="1102">
        <f ca="1">IF(UPPER('VVP1'!$F$3)="Y",OFFSET('VVP1'!$H102,0,5*(COLUMN()-7)),V104)</f>
        <v>1049.4854707272641</v>
      </c>
      <c r="W174" s="1102">
        <f ca="1">IF(UPPER('VVP1'!$F$3)="Y",OFFSET('VVP1'!$H102,0,5*(COLUMN()-7)),W104)</f>
        <v>1144.30413</v>
      </c>
      <c r="X174" s="1102">
        <f ca="1">IF(UPPER('VVP1'!$F$3)="Y",OFFSET('VVP1'!$H102,0,5*(COLUMN()-7)),X104)</f>
        <v>1131.2252113705822</v>
      </c>
      <c r="Y174" s="1102">
        <f ca="1">IF(UPPER('VVP1'!$F$3)="Y",OFFSET('VVP1'!$H102,0,5*(COLUMN()-7)),Y104)</f>
        <v>1091.487555212999</v>
      </c>
      <c r="Z174" s="1102">
        <f ca="1">IF(UPPER('VVP1'!$F$3)="Y",OFFSET('VVP1'!$H102,0,5*(COLUMN()-7)),Z104)</f>
        <v>1099.6532882862516</v>
      </c>
      <c r="AA174" s="1102">
        <f ca="1">IF(UPPER('VVP1'!$F$3)="Y",OFFSET('VVP1'!$H102,0,5*(COLUMN()-7)),AA104)</f>
        <v>1173.1390079395323</v>
      </c>
      <c r="AB174" s="1102">
        <f ca="1">IF(UPPER('VVP1'!$F$3)="Y",OFFSET('VVP1'!$H102,0,5*(COLUMN()-7)),AB104)</f>
        <v>1241.2610007782423</v>
      </c>
      <c r="AC174" s="1102">
        <f ca="1">IF(UPPER('VVP1'!$F$3)="Y",OFFSET('VVP1'!$H102,0,5*(COLUMN()-7)),AC104)</f>
        <v>1262.2438072276314</v>
      </c>
      <c r="AD174" s="1102">
        <f ca="1">IF(UPPER('VVP1'!$F$3)="Y",OFFSET('VVP1'!$H102,0,5*(COLUMN()-7)),AD104)</f>
        <v>1374.4994307000002</v>
      </c>
      <c r="AE174" s="1102">
        <f ca="1">IF(UPPER('VVP1'!$F$3)="Y",OFFSET('VVP1'!$H102,0,5*(COLUMN()-7)),AE104)</f>
        <v>1508.7649334889547</v>
      </c>
      <c r="AF174" s="1102">
        <f ca="1">IF(UPPER('VVP1'!$F$3)="Y",OFFSET('VVP1'!$H102,0,5*(COLUMN()-7)),AF104)</f>
        <v>1598.0016200379241</v>
      </c>
    </row>
    <row r="175" spans="1:32" ht="12.75">
      <c r="A175" s="701"/>
      <c r="B175" s="702">
        <v>11</v>
      </c>
      <c r="C175" s="1529"/>
      <c r="D175" s="1"/>
      <c r="E175" s="1" t="str">
        <f>+Transfer!B111</f>
        <v>VOL. IMPORTS OF SERVICES</v>
      </c>
      <c r="F175" s="1530"/>
      <c r="G175" s="1102"/>
      <c r="H175" s="1102">
        <f ca="1">IF(UPPER('VVP1'!$F$3)="Y",OFFSET('VVP1'!$H101,0,5*(COLUMN()-7)),H103)</f>
        <v>148.48632113037542</v>
      </c>
      <c r="I175" s="1102">
        <f ca="1">IF(UPPER('VVP1'!$F$3)="Y",OFFSET('VVP1'!$H101,0,5*(COLUMN()-7)),I103)</f>
        <v>169.22617274135962</v>
      </c>
      <c r="J175" s="1102">
        <f ca="1">IF(UPPER('VVP1'!$F$3)="Y",OFFSET('VVP1'!$H101,0,5*(COLUMN()-7)),J103)</f>
        <v>195.57726061471277</v>
      </c>
      <c r="K175" s="1102">
        <f ca="1">IF(UPPER('VVP1'!$F$3)="Y",OFFSET('VVP1'!$H101,0,5*(COLUMN()-7)),K103)</f>
        <v>208.9969804544088</v>
      </c>
      <c r="L175" s="1102">
        <f ca="1">IF(UPPER('VVP1'!$F$3)="Y",OFFSET('VVP1'!$H101,0,5*(COLUMN()-7)),L103)</f>
        <v>235.39391810468831</v>
      </c>
      <c r="M175" s="1102">
        <f ca="1">IF(UPPER('VVP1'!$F$3)="Y",OFFSET('VVP1'!$H101,0,5*(COLUMN()-7)),M103)</f>
        <v>255.19106381892385</v>
      </c>
      <c r="N175" s="1102">
        <f ca="1">IF(UPPER('VVP1'!$F$3)="Y",OFFSET('VVP1'!$H101,0,5*(COLUMN()-7)),N103)</f>
        <v>261.59088562726049</v>
      </c>
      <c r="O175" s="1102">
        <f ca="1">IF(UPPER('VVP1'!$F$3)="Y",OFFSET('VVP1'!$H101,0,5*(COLUMN()-7)),O103)</f>
        <v>261.83122747802685</v>
      </c>
      <c r="P175" s="1102">
        <f ca="1">IF(UPPER('VVP1'!$F$3)="Y",OFFSET('VVP1'!$H101,0,5*(COLUMN()-7)),P103)</f>
        <v>269.38376005925323</v>
      </c>
      <c r="Q175" s="1102">
        <f ca="1">IF(UPPER('VVP1'!$F$3)="Y",OFFSET('VVP1'!$H101,0,5*(COLUMN()-7)),Q103)</f>
        <v>289.39677644848354</v>
      </c>
      <c r="R175" s="1102">
        <f ca="1">IF(UPPER('VVP1'!$F$3)="Y",OFFSET('VVP1'!$H101,0,5*(COLUMN()-7)),R103)</f>
        <v>311.89624526287594</v>
      </c>
      <c r="S175" s="1102">
        <f ca="1">IF(UPPER('VVP1'!$F$3)="Y",OFFSET('VVP1'!$H101,0,5*(COLUMN()-7)),S103)</f>
        <v>347.37795464625549</v>
      </c>
      <c r="T175" s="1102">
        <f ca="1">IF(UPPER('VVP1'!$F$3)="Y",OFFSET('VVP1'!$H101,0,5*(COLUMN()-7)),T103)</f>
        <v>375.02795925635775</v>
      </c>
      <c r="U175" s="1102">
        <f ca="1">IF(UPPER('VVP1'!$F$3)="Y",OFFSET('VVP1'!$H101,0,5*(COLUMN()-7)),U103)</f>
        <v>362.9282323706725</v>
      </c>
      <c r="V175" s="1102">
        <f ca="1">IF(UPPER('VVP1'!$F$3)="Y",OFFSET('VVP1'!$H101,0,5*(COLUMN()-7)),V103)</f>
        <v>385.45139524016315</v>
      </c>
      <c r="W175" s="1102">
        <f ca="1">IF(UPPER('VVP1'!$F$3)="Y",OFFSET('VVP1'!$H101,0,5*(COLUMN()-7)),W103)</f>
        <v>394.20377000000002</v>
      </c>
      <c r="X175" s="1102">
        <f ca="1">IF(UPPER('VVP1'!$F$3)="Y",OFFSET('VVP1'!$H101,0,5*(COLUMN()-7)),X103)</f>
        <v>411.15655670974428</v>
      </c>
      <c r="Y175" s="1102">
        <f ca="1">IF(UPPER('VVP1'!$F$3)="Y",OFFSET('VVP1'!$H101,0,5*(COLUMN()-7)),Y103)</f>
        <v>431.9171103845116</v>
      </c>
      <c r="Z175" s="1102">
        <f ca="1">IF(UPPER('VVP1'!$F$3)="Y",OFFSET('VVP1'!$H101,0,5*(COLUMN()-7)),Z103)</f>
        <v>474.69514540821763</v>
      </c>
      <c r="AA175" s="1102">
        <f ca="1">IF(UPPER('VVP1'!$F$3)="Y",OFFSET('VVP1'!$H101,0,5*(COLUMN()-7)),AA103)</f>
        <v>513.89742655256441</v>
      </c>
      <c r="AB175" s="1102">
        <f ca="1">IF(UPPER('VVP1'!$F$3)="Y",OFFSET('VVP1'!$H101,0,5*(COLUMN()-7)),AB103)</f>
        <v>541.21799987145334</v>
      </c>
      <c r="AC175" s="1102">
        <f ca="1">IF(UPPER('VVP1'!$F$3)="Y",OFFSET('VVP1'!$H101,0,5*(COLUMN()-7)),AC103)</f>
        <v>574.07714544180521</v>
      </c>
      <c r="AD175" s="1102">
        <f ca="1">IF(UPPER('VVP1'!$F$3)="Y",OFFSET('VVP1'!$H101,0,5*(COLUMN()-7)),AD103)</f>
        <v>603.94616550000001</v>
      </c>
      <c r="AE175" s="1102">
        <f ca="1">IF(UPPER('VVP1'!$F$3)="Y",OFFSET('VVP1'!$H101,0,5*(COLUMN()-7)),AE103)</f>
        <v>657.67907466068539</v>
      </c>
      <c r="AF175" s="1102">
        <f ca="1">IF(UPPER('VVP1'!$F$3)="Y",OFFSET('VVP1'!$H101,0,5*(COLUMN()-7)),AF103)</f>
        <v>699.96883883356088</v>
      </c>
    </row>
    <row r="176" spans="1:32" ht="12.75">
      <c r="A176" s="701"/>
      <c r="B176" s="702">
        <v>12</v>
      </c>
      <c r="C176" s="1529"/>
      <c r="D176" s="1"/>
      <c r="E176" s="1" t="str">
        <f>+Transfer!B112</f>
        <v>VOL. GROSS DOMESTIC PRODUCT</v>
      </c>
      <c r="F176" s="1530"/>
      <c r="G176" s="1102"/>
      <c r="H176" s="1102">
        <f ca="1">IF(UPPER('VVP1'!$F$3)="Y",OFFSET('VVP1'!$H17,0,5*(COLUMN()-7)),H125)</f>
        <v>1914.2916451575786</v>
      </c>
      <c r="I176" s="1102">
        <f ca="1">IF(UPPER('VVP1'!$F$3)="Y",OFFSET('VVP1'!$H17,0,5*(COLUMN()-7)),I125)</f>
        <v>1990.7130196953883</v>
      </c>
      <c r="J176" s="1102">
        <f ca="1">IF(UPPER('VVP1'!$F$3)="Y",OFFSET('VVP1'!$H17,0,5*(COLUMN()-7)),J125)</f>
        <v>2107.7291983375294</v>
      </c>
      <c r="K176" s="1102">
        <f ca="1">IF(UPPER('VVP1'!$F$3)="Y",OFFSET('VVP1'!$H17,0,5*(COLUMN()-7)),K125)</f>
        <v>2219.7217727061957</v>
      </c>
      <c r="L176" s="1102">
        <f ca="1">IF(UPPER('VVP1'!$F$3)="Y",OFFSET('VVP1'!$H17,0,5*(COLUMN()-7)),L125)</f>
        <v>2346.902005049777</v>
      </c>
      <c r="M176" s="1102">
        <f ca="1">IF(UPPER('VVP1'!$F$3)="Y",OFFSET('VVP1'!$H17,0,5*(COLUMN()-7)),M125)</f>
        <v>2421.1310670818862</v>
      </c>
      <c r="N176" s="1102">
        <f ca="1">IF(UPPER('VVP1'!$F$3)="Y",OFFSET('VVP1'!$H17,0,5*(COLUMN()-7)),N125)</f>
        <v>2533.4232226341514</v>
      </c>
      <c r="O176" s="1102">
        <f ca="1">IF(UPPER('VVP1'!$F$3)="Y",OFFSET('VVP1'!$H17,0,5*(COLUMN()-7)),O125)</f>
        <v>2634.6986725763895</v>
      </c>
      <c r="P176" s="1102">
        <f ca="1">IF(UPPER('VVP1'!$F$3)="Y",OFFSET('VVP1'!$H17,0,5*(COLUMN()-7)),P125)</f>
        <v>2796.4291928668426</v>
      </c>
      <c r="Q176" s="1102">
        <f ca="1">IF(UPPER('VVP1'!$F$3)="Y",OFFSET('VVP1'!$H17,0,5*(COLUMN()-7)),Q125)</f>
        <v>2887.506652208237</v>
      </c>
      <c r="R176" s="1102">
        <f ca="1">IF(UPPER('VVP1'!$F$3)="Y",OFFSET('VVP1'!$H17,0,5*(COLUMN()-7)),R125)</f>
        <v>3047.4722444246204</v>
      </c>
      <c r="S176" s="1102">
        <f ca="1">IF(UPPER('VVP1'!$F$3)="Y",OFFSET('VVP1'!$H17,0,5*(COLUMN()-7)),S125)</f>
        <v>3208.5816336903463</v>
      </c>
      <c r="T176" s="1102">
        <f ca="1">IF(UPPER('VVP1'!$F$3)="Y",OFFSET('VVP1'!$H17,0,5*(COLUMN()-7)),T125)</f>
        <v>3282.5946117044555</v>
      </c>
      <c r="U176" s="1102">
        <f ca="1">IF(UPPER('VVP1'!$F$3)="Y",OFFSET('VVP1'!$H17,0,5*(COLUMN()-7)),U125)</f>
        <v>3215.452717180905</v>
      </c>
      <c r="V176" s="1102">
        <f ca="1">IF(UPPER('VVP1'!$F$3)="Y",OFFSET('VVP1'!$H17,0,5*(COLUMN()-7)),V125)</f>
        <v>3489.2651280263744</v>
      </c>
      <c r="W176" s="1102">
        <f ca="1">IF(UPPER('VVP1'!$F$3)="Y",OFFSET('VVP1'!$H17,0,5*(COLUMN()-7)),W125)</f>
        <v>3618.2352799999999</v>
      </c>
      <c r="X176" s="1102">
        <f ca="1">IF(UPPER('VVP1'!$F$3)="Y",OFFSET('VVP1'!$H17,0,5*(COLUMN()-7)),X125)</f>
        <v>3650.1143336591426</v>
      </c>
      <c r="Y176" s="1102">
        <f ca="1">IF(UPPER('VVP1'!$F$3)="Y",OFFSET('VVP1'!$H17,0,5*(COLUMN()-7)),Y125)</f>
        <v>3734.552109596737</v>
      </c>
      <c r="Z176" s="1102">
        <f ca="1">IF(UPPER('VVP1'!$F$3)="Y",OFFSET('VVP1'!$H17,0,5*(COLUMN()-7)),Z125)</f>
        <v>3872.1332293342311</v>
      </c>
      <c r="AA176" s="1102">
        <f ca="1">IF(UPPER('VVP1'!$F$3)="Y",OFFSET('VVP1'!$H17,0,5*(COLUMN()-7)),AA125)</f>
        <v>4116.5550389222153</v>
      </c>
      <c r="AB176" s="1102">
        <f ca="1">IF(UPPER('VVP1'!$F$3)="Y",OFFSET('VVP1'!$H17,0,5*(COLUMN()-7)),AB125)</f>
        <v>4314.3109972979628</v>
      </c>
      <c r="AC176" s="1102">
        <f ca="1">IF(UPPER('VVP1'!$F$3)="Y",OFFSET('VVP1'!$H17,0,5*(COLUMN()-7)),AC125)</f>
        <v>4478.2150204918016</v>
      </c>
      <c r="AD176" s="1102">
        <f ca="1">IF(UPPER('VVP1'!$F$3)="Y",OFFSET('VVP1'!$H17,0,5*(COLUMN()-7)),AD125)</f>
        <v>4687.6688213000007</v>
      </c>
      <c r="AE176" s="1102">
        <f ca="1">IF(UPPER('VVP1'!$F$3)="Y",OFFSET('VVP1'!$H17,0,5*(COLUMN()-7)),AE125)</f>
        <v>4887.7470806144938</v>
      </c>
      <c r="AF176" s="1102">
        <f ca="1">IF(UPPER('VVP1'!$F$3)="Y",OFFSET('VVP1'!$H17,0,5*(COLUMN()-7)),AF125)</f>
        <v>5072.5747026870877</v>
      </c>
    </row>
    <row r="177" spans="1:32" ht="12.75">
      <c r="A177" s="701"/>
      <c r="B177" s="702">
        <v>28</v>
      </c>
      <c r="C177" s="1529"/>
      <c r="D177" s="1"/>
      <c r="E177" s="1" t="str">
        <f>+Transfer!B128</f>
        <v xml:space="preserve">VOL. FIXED INVESTMENT GOVERNMENT  </v>
      </c>
      <c r="F177" s="1530"/>
      <c r="G177" s="1102"/>
      <c r="H177" s="1102">
        <f ca="1">IF(UPPER('VVP1'!$F$3)="Y",OFFSET('VVP1'!$H70,0,5*(COLUMN()-7)),H45)</f>
        <v>96.194801798868141</v>
      </c>
      <c r="I177" s="1102">
        <f ca="1">IF(UPPER('VVP1'!$F$3)="Y",OFFSET('VVP1'!$H70,0,5*(COLUMN()-7)),I45)</f>
        <v>87.438512218512145</v>
      </c>
      <c r="J177" s="1102">
        <f ca="1">IF(UPPER('VVP1'!$F$3)="Y",OFFSET('VVP1'!$H70,0,5*(COLUMN()-7)),J45)</f>
        <v>91.220902727240656</v>
      </c>
      <c r="K177" s="1102">
        <f ca="1">IF(UPPER('VVP1'!$F$3)="Y",OFFSET('VVP1'!$H70,0,5*(COLUMN()-7)),K45)</f>
        <v>95.554194560772274</v>
      </c>
      <c r="L177" s="1102">
        <f ca="1">IF(UPPER('VVP1'!$F$3)="Y",OFFSET('VVP1'!$H70,0,5*(COLUMN()-7)),L45)</f>
        <v>89.779515857894722</v>
      </c>
      <c r="M177" s="1102">
        <f ca="1">IF(UPPER('VVP1'!$F$3)="Y",OFFSET('VVP1'!$H70,0,5*(COLUMN()-7)),M45)</f>
        <v>99.49633717819907</v>
      </c>
      <c r="N177" s="1102">
        <f ca="1">IF(UPPER('VVP1'!$F$3)="Y",OFFSET('VVP1'!$H70,0,5*(COLUMN()-7)),N45)</f>
        <v>109.49142535602257</v>
      </c>
      <c r="O177" s="1102">
        <f ca="1">IF(UPPER('VVP1'!$F$3)="Y",OFFSET('VVP1'!$H70,0,5*(COLUMN()-7)),O45)</f>
        <v>111.03382864749682</v>
      </c>
      <c r="P177" s="1102">
        <f ca="1">IF(UPPER('VVP1'!$F$3)="Y",OFFSET('VVP1'!$H70,0,5*(COLUMN()-7)),P45)</f>
        <v>112.92576228860987</v>
      </c>
      <c r="Q177" s="2017">
        <f ca="1">IF(UPPER('VVP1'!$F$3)="Y",OFFSET('VVP1'!$H70,0,5*(COLUMN()-7)),Q45)</f>
        <v>116.31945826040746</v>
      </c>
      <c r="R177" s="2017">
        <f ca="1">IF(UPPER('VVP1'!$F$3)="Y",OFFSET('VVP1'!$H70,0,5*(COLUMN()-7)),R45)</f>
        <v>125.66565674556472</v>
      </c>
      <c r="S177" s="2017">
        <f ca="1">IF(UPPER('VVP1'!$F$3)="Y",OFFSET('VVP1'!$H70,0,5*(COLUMN()-7)),S45)</f>
        <v>131.4830292546917</v>
      </c>
      <c r="T177" s="2017">
        <f ca="1">IF(UPPER('VVP1'!$F$3)="Y",OFFSET('VVP1'!$H70,0,5*(COLUMN()-7)),T45)</f>
        <v>136.58961307750738</v>
      </c>
      <c r="U177" s="2017">
        <f ca="1">IF(UPPER('VVP1'!$F$3)="Y",OFFSET('VVP1'!$H70,0,5*(COLUMN()-7)),U45)</f>
        <v>144.3252428834445</v>
      </c>
      <c r="V177" s="2017">
        <f ca="1">IF(UPPER('VVP1'!$F$3)="Y",OFFSET('VVP1'!$H70,0,5*(COLUMN()-7)),V45)</f>
        <v>158.75931374793259</v>
      </c>
      <c r="W177" s="2017">
        <f ca="1">IF(UPPER('VVP1'!$F$3)="Y",OFFSET('VVP1'!$H70,0,5*(COLUMN()-7)),W45)</f>
        <v>158.6152042326876</v>
      </c>
      <c r="X177" s="2017">
        <f ca="1">IF(UPPER('VVP1'!$F$3)="Y",OFFSET('VVP1'!$H70,0,5*(COLUMN()-7)),X45)</f>
        <v>165.05021632973299</v>
      </c>
      <c r="Y177" s="2017">
        <f ca="1">IF(UPPER('VVP1'!$F$3)="Y",OFFSET('VVP1'!$H70,0,5*(COLUMN()-7)),Y45)</f>
        <v>167.43394131428573</v>
      </c>
      <c r="Z177" s="2017">
        <f ca="1">IF(UPPER('VVP1'!$F$3)="Y",OFFSET('VVP1'!$H70,0,5*(COLUMN()-7)),Z45)</f>
        <v>170.98272875224757</v>
      </c>
      <c r="AA177" s="2017">
        <f ca="1">IF(UPPER('VVP1'!$F$3)="Y",OFFSET('VVP1'!$H70,0,5*(COLUMN()-7)),AA45)</f>
        <v>173.74062038031624</v>
      </c>
      <c r="AB177" s="2017">
        <f ca="1">IF(UPPER('VVP1'!$F$3)="Y",OFFSET('VVP1'!$H70,0,5*(COLUMN()-7)),AB45)</f>
        <v>189.84800557812764</v>
      </c>
      <c r="AC177" s="2017">
        <f ca="1">IF(UPPER('VVP1'!$F$3)="Y",OFFSET('VVP1'!$H70,0,5*(COLUMN()-7)),AC45)</f>
        <v>203.28180170651078</v>
      </c>
      <c r="AD177" s="2017">
        <f ca="1">IF(UPPER('VVP1'!$F$3)="Y",OFFSET('VVP1'!$H70,0,5*(COLUMN()-7)),AD45)</f>
        <v>218.33621699999998</v>
      </c>
      <c r="AE177" s="2017">
        <f ca="1">IF(UPPER('VVP1'!$F$3)="Y",OFFSET('VVP1'!$H70,0,5*(COLUMN()-7)),AE45)</f>
        <v>232.30798819826396</v>
      </c>
      <c r="AF177" s="2017">
        <f ca="1">IF(UPPER('VVP1'!$F$3)="Y",OFFSET('VVP1'!$H70,0,5*(COLUMN()-7)),AF45)</f>
        <v>243.11611734918813</v>
      </c>
    </row>
    <row r="178" spans="1:32" ht="12.75">
      <c r="A178" s="701"/>
      <c r="B178" s="702">
        <v>31</v>
      </c>
      <c r="C178" s="1529"/>
      <c r="D178" s="1"/>
      <c r="E178" s="1" t="str">
        <f>+Transfer!B131</f>
        <v>VOL. FIXED INVESTMENT HOUSING</v>
      </c>
      <c r="F178" s="1530"/>
      <c r="G178" s="1102"/>
      <c r="H178" s="1102">
        <f ca="1">IF(UPPER('VVP1'!$F$3)="Y",OFFSET('VVP1'!$H58,0,5*(COLUMN()-7)),H22)</f>
        <v>35.090090117076464</v>
      </c>
      <c r="I178" s="1102">
        <f ca="1">IF(UPPER('VVP1'!$F$3)="Y",OFFSET('VVP1'!$H58,0,5*(COLUMN()-7)),I22)</f>
        <v>33.808975933386243</v>
      </c>
      <c r="J178" s="1102">
        <f ca="1">IF(UPPER('VVP1'!$F$3)="Y",OFFSET('VVP1'!$H58,0,5*(COLUMN()-7)),J22)</f>
        <v>37.92886230782026</v>
      </c>
      <c r="K178" s="1102">
        <f ca="1">IF(UPPER('VVP1'!$F$3)="Y",OFFSET('VVP1'!$H58,0,5*(COLUMN()-7)),K22)</f>
        <v>44.310054241575436</v>
      </c>
      <c r="L178" s="1102">
        <f ca="1">IF(UPPER('VVP1'!$F$3)="Y",OFFSET('VVP1'!$H58,0,5*(COLUMN()-7)),L22)</f>
        <v>51.941063122201413</v>
      </c>
      <c r="M178" s="1102">
        <f ca="1">IF(UPPER('VVP1'!$F$3)="Y",OFFSET('VVP1'!$H58,0,5*(COLUMN()-7)),M22)</f>
        <v>59.854998929494435</v>
      </c>
      <c r="N178" s="1102">
        <f ca="1">IF(UPPER('VVP1'!$F$3)="Y",OFFSET('VVP1'!$H58,0,5*(COLUMN()-7)),N22)</f>
        <v>71.813148012957811</v>
      </c>
      <c r="O178" s="1102">
        <f ca="1">IF(UPPER('VVP1'!$F$3)="Y",OFFSET('VVP1'!$H58,0,5*(COLUMN()-7)),O22)</f>
        <v>78.37229024212516</v>
      </c>
      <c r="P178" s="1102">
        <f ca="1">IF(UPPER('VVP1'!$F$3)="Y",OFFSET('VVP1'!$H58,0,5*(COLUMN()-7)),P22)</f>
        <v>90.661179516528136</v>
      </c>
      <c r="Q178" s="1102">
        <f ca="1">IF(UPPER('VVP1'!$F$3)="Y",OFFSET('VVP1'!$H58,0,5*(COLUMN()-7)),Q22)</f>
        <v>102.49897060283858</v>
      </c>
      <c r="R178" s="1102">
        <f ca="1">IF(UPPER('VVP1'!$F$3)="Y",OFFSET('VVP1'!$H58,0,5*(COLUMN()-7)),R22)</f>
        <v>120.64494808761663</v>
      </c>
      <c r="S178" s="1102">
        <f ca="1">IF(UPPER('VVP1'!$F$3)="Y",OFFSET('VVP1'!$H58,0,5*(COLUMN()-7)),S22)</f>
        <v>135.01407329250043</v>
      </c>
      <c r="T178" s="1102">
        <f ca="1">IF(UPPER('VVP1'!$F$3)="Y",OFFSET('VVP1'!$H58,0,5*(COLUMN()-7)),T22)</f>
        <v>124.32780436067496</v>
      </c>
      <c r="U178" s="1102">
        <f ca="1">IF(UPPER('VVP1'!$F$3)="Y",OFFSET('VVP1'!$H58,0,5*(COLUMN()-7)),U22)</f>
        <v>106.88418128571851</v>
      </c>
      <c r="V178" s="1102">
        <f ca="1">IF(UPPER('VVP1'!$F$3)="Y",OFFSET('VVP1'!$H58,0,5*(COLUMN()-7)),V22)</f>
        <v>123.06124323158761</v>
      </c>
      <c r="W178" s="1102">
        <f ca="1">IF(UPPER('VVP1'!$F$3)="Y",OFFSET('VVP1'!$H58,0,5*(COLUMN()-7)),W22)</f>
        <v>138.02961999999999</v>
      </c>
      <c r="X178" s="1102">
        <f ca="1">IF(UPPER('VVP1'!$F$3)="Y",OFFSET('VVP1'!$H58,0,5*(COLUMN()-7)),X22)</f>
        <v>124.80328736889953</v>
      </c>
      <c r="Y178" s="1102">
        <f ca="1">IF(UPPER('VVP1'!$F$3)="Y",OFFSET('VVP1'!$H58,0,5*(COLUMN()-7)),Y22)</f>
        <v>128.17228881474753</v>
      </c>
      <c r="Z178" s="1102">
        <f ca="1">IF(UPPER('VVP1'!$F$3)="Y",OFFSET('VVP1'!$H58,0,5*(COLUMN()-7)),Z22)</f>
        <v>152.52398115837994</v>
      </c>
      <c r="AA178" s="1102">
        <f ca="1">IF(UPPER('VVP1'!$F$3)="Y",OFFSET('VVP1'!$H58,0,5*(COLUMN()-7)),AA22)</f>
        <v>185.3126792101942</v>
      </c>
      <c r="AB178" s="1102">
        <f ca="1">IF(UPPER('VVP1'!$F$3)="Y",OFFSET('VVP1'!$H58,0,5*(COLUMN()-7)),AB22)</f>
        <v>212.10300747434235</v>
      </c>
      <c r="AC178" s="1102">
        <f ca="1">IF(UPPER('VVP1'!$F$3)="Y",OFFSET('VVP1'!$H58,0,5*(COLUMN()-7)),AC22)</f>
        <v>250.84455729234074</v>
      </c>
      <c r="AD178" s="1102">
        <f ca="1">IF(UPPER('VVP1'!$F$3)="Y",OFFSET('VVP1'!$H58,0,5*(COLUMN()-7)),AD22)</f>
        <v>264.92912250000001</v>
      </c>
      <c r="AE178" s="1102">
        <f ca="1">IF(UPPER('VVP1'!$F$3)="Y",OFFSET('VVP1'!$H58,0,5*(COLUMN()-7)),AE22)</f>
        <v>261.62700352850044</v>
      </c>
      <c r="AF178" s="1102">
        <f ca="1">IF(UPPER('VVP1'!$F$3)="Y",OFFSET('VVP1'!$H58,0,5*(COLUMN()-7)),AF22)</f>
        <v>260.45658896551538</v>
      </c>
    </row>
    <row r="179" spans="1:32" ht="12.75">
      <c r="A179" s="701"/>
      <c r="B179" s="702">
        <v>58</v>
      </c>
      <c r="C179" s="1533"/>
      <c r="D179" s="113"/>
      <c r="E179" s="113" t="str">
        <f>+Transfer!B158</f>
        <v>VOL GROSS VALUE ADDED</v>
      </c>
      <c r="F179" s="1531"/>
      <c r="G179" s="1564"/>
      <c r="H179" s="1564">
        <f ca="1">IF(UPPER('VVP1'!$F$3)="Y",OFFSET('VVP1'!$H119,0,5*(COLUMN()-7)),H159)</f>
        <v>1676.9670923909716</v>
      </c>
      <c r="I179" s="1564">
        <f ca="1">IF(UPPER('VVP1'!$F$3)="Y",OFFSET('VVP1'!$H119,0,5*(COLUMN()-7)),I159)</f>
        <v>1755.6289811305587</v>
      </c>
      <c r="J179" s="1564">
        <f ca="1">IF(UPPER('VVP1'!$F$3)="Y",OFFSET('VVP1'!$H119,0,5*(COLUMN()-7)),J159)</f>
        <v>1857.3520901112786</v>
      </c>
      <c r="K179" s="1564">
        <f ca="1">IF(UPPER('VVP1'!$F$3)="Y",OFFSET('VVP1'!$H119,0,5*(COLUMN()-7)),K159)</f>
        <v>1952.7237144989101</v>
      </c>
      <c r="L179" s="1564">
        <f ca="1">IF(UPPER('VVP1'!$F$3)="Y",OFFSET('VVP1'!$H119,0,5*(COLUMN()-7)),L159)</f>
        <v>2077.0603493363583</v>
      </c>
      <c r="M179" s="1564">
        <f ca="1">IF(UPPER('VVP1'!$F$3)="Y",OFFSET('VVP1'!$H119,0,5*(COLUMN()-7)),M159)</f>
        <v>2136.811193631529</v>
      </c>
      <c r="N179" s="1564">
        <f ca="1">IF(UPPER('VVP1'!$F$3)="Y",OFFSET('VVP1'!$H119,0,5*(COLUMN()-7)),N159)</f>
        <v>2233.3530833152608</v>
      </c>
      <c r="O179" s="1564">
        <f ca="1">IF(UPPER('VVP1'!$F$3)="Y",OFFSET('VVP1'!$H119,0,5*(COLUMN()-7)),O159)</f>
        <v>2323.3898395831479</v>
      </c>
      <c r="P179" s="1564">
        <f ca="1">IF(UPPER('VVP1'!$F$3)="Y",OFFSET('VVP1'!$H119,0,5*(COLUMN()-7)),P159)</f>
        <v>2472.2195787424198</v>
      </c>
      <c r="Q179" s="1564">
        <f ca="1">IF(UPPER('VVP1'!$F$3)="Y",OFFSET('VVP1'!$H119,0,5*(COLUMN()-7)),Q159)</f>
        <v>2546.0776807203551</v>
      </c>
      <c r="R179" s="1564">
        <f ca="1">IF(UPPER('VVP1'!$F$3)="Y",OFFSET('VVP1'!$H119,0,5*(COLUMN()-7)),R159)</f>
        <v>2684.6347720301192</v>
      </c>
      <c r="S179" s="1564">
        <f ca="1">IF(UPPER('VVP1'!$F$3)="Y",OFFSET('VVP1'!$H119,0,5*(COLUMN()-7)),S159)</f>
        <v>2828.0450914467683</v>
      </c>
      <c r="T179" s="1564">
        <f ca="1">IF(UPPER('VVP1'!$F$3)="Y",OFFSET('VVP1'!$H119,0,5*(COLUMN()-7)),T159)</f>
        <v>2903.1000134158717</v>
      </c>
      <c r="U179" s="1564">
        <f ca="1">IF(UPPER('VVP1'!$F$3)="Y",OFFSET('VVP1'!$H119,0,5*(COLUMN()-7)),U159)</f>
        <v>2823.2036459034312</v>
      </c>
      <c r="V179" s="1564">
        <f ca="1">IF(UPPER('VVP1'!$F$3)="Y",OFFSET('VVP1'!$H119,0,5*(COLUMN()-7)),V159)</f>
        <v>3071.6050505257426</v>
      </c>
      <c r="W179" s="1564">
        <f ca="1">IF(UPPER('VVP1'!$F$3)="Y",OFFSET('VVP1'!$H119,0,5*(COLUMN()-7)),W159)</f>
        <v>3190.39806</v>
      </c>
      <c r="X179" s="1564">
        <f ca="1">IF(UPPER('VVP1'!$F$3)="Y",OFFSET('VVP1'!$H119,0,5*(COLUMN()-7)),X159)</f>
        <v>3222.9793256985959</v>
      </c>
      <c r="Y179" s="1564">
        <f ca="1">IF(UPPER('VVP1'!$F$3)="Y",OFFSET('VVP1'!$H119,0,5*(COLUMN()-7)),Y159)</f>
        <v>3301.6584682343796</v>
      </c>
      <c r="Z179" s="1564">
        <f ca="1">IF(UPPER('VVP1'!$F$3)="Y",OFFSET('VVP1'!$H119,0,5*(COLUMN()-7)),Z159)</f>
        <v>3426.1881047411357</v>
      </c>
      <c r="AA179" s="1564">
        <f ca="1">IF(UPPER('VVP1'!$F$3)="Y",OFFSET('VVP1'!$H119,0,5*(COLUMN()-7)),AA159)</f>
        <v>3641.1074758768386</v>
      </c>
      <c r="AB179" s="1564">
        <f ca="1">IF(UPPER('VVP1'!$F$3)="Y",OFFSET('VVP1'!$H119,0,5*(COLUMN()-7)),AB159)</f>
        <v>3816.6330078375222</v>
      </c>
      <c r="AC179" s="1564">
        <f ca="1">IF(UPPER('VVP1'!$F$3)="Y",OFFSET('VVP1'!$H119,0,5*(COLUMN()-7)),AC159)</f>
        <v>3959.9459822966428</v>
      </c>
      <c r="AD179" s="1564">
        <f ca="1">IF(UPPER('VVP1'!$F$3)="Y",OFFSET('VVP1'!$H119,0,5*(COLUMN()-7)),AD159)</f>
        <v>4145.0825503959322</v>
      </c>
      <c r="AE179" s="1564">
        <f ca="1">IF(UPPER('VVP1'!$F$3)="Y",OFFSET('VVP1'!$H119,0,5*(COLUMN()-7)),AE159)</f>
        <v>4318.8356805793464</v>
      </c>
      <c r="AF179" s="1564">
        <f ca="1">IF(UPPER('VVP1'!$F$3)="Y",OFFSET('VVP1'!$H119,0,5*(COLUMN()-7)),AF159)</f>
        <v>4482.5841901922358</v>
      </c>
    </row>
    <row r="182" spans="1:32" s="217" customFormat="1" ht="22.5" customHeight="1">
      <c r="A182" s="702"/>
      <c r="B182" s="702"/>
      <c r="C182" s="3816" t="s">
        <v>1882</v>
      </c>
      <c r="D182" s="3816"/>
      <c r="E182" s="3816"/>
      <c r="F182" s="3816"/>
      <c r="Q182" s="564"/>
      <c r="R182" s="564"/>
      <c r="S182" s="564"/>
      <c r="T182" s="564"/>
      <c r="U182" s="564"/>
      <c r="V182" s="564"/>
      <c r="W182" s="564"/>
      <c r="X182" s="564"/>
      <c r="Y182" s="564"/>
      <c r="Z182" s="564"/>
      <c r="AA182" s="564"/>
      <c r="AB182" s="564"/>
      <c r="AC182" s="564"/>
      <c r="AD182" s="564"/>
      <c r="AE182" s="564"/>
      <c r="AF182" s="564"/>
    </row>
    <row r="184" spans="1:32">
      <c r="A184" s="1170"/>
      <c r="B184" s="1170"/>
      <c r="D184" s="1114"/>
      <c r="E184" s="1115" t="s">
        <v>461</v>
      </c>
      <c r="F184" s="1116"/>
      <c r="G184" s="735">
        <f>+InputY!$G$3</f>
        <v>1995</v>
      </c>
      <c r="H184" s="735">
        <f>+G184+1</f>
        <v>1996</v>
      </c>
      <c r="I184" s="735">
        <f t="shared" ref="I184:O184" si="168">+H184+1</f>
        <v>1997</v>
      </c>
      <c r="J184" s="735">
        <f t="shared" si="168"/>
        <v>1998</v>
      </c>
      <c r="K184" s="735">
        <f t="shared" si="168"/>
        <v>1999</v>
      </c>
      <c r="L184" s="735">
        <f t="shared" si="168"/>
        <v>2000</v>
      </c>
      <c r="M184" s="735">
        <f t="shared" si="168"/>
        <v>2001</v>
      </c>
      <c r="N184" s="735">
        <f t="shared" si="168"/>
        <v>2002</v>
      </c>
      <c r="O184" s="735">
        <f t="shared" si="168"/>
        <v>2003</v>
      </c>
      <c r="P184" s="735">
        <f>+O184+1</f>
        <v>2004</v>
      </c>
      <c r="Q184" s="735">
        <f>+P184+1</f>
        <v>2005</v>
      </c>
      <c r="R184" s="735">
        <f>+Q184+1</f>
        <v>2006</v>
      </c>
      <c r="S184" s="735">
        <f>+R184+1</f>
        <v>2007</v>
      </c>
      <c r="T184" s="735">
        <f t="shared" ref="T184:AF184" si="169">+S184+1</f>
        <v>2008</v>
      </c>
      <c r="U184" s="735">
        <f t="shared" si="169"/>
        <v>2009</v>
      </c>
      <c r="V184" s="735">
        <f t="shared" si="169"/>
        <v>2010</v>
      </c>
      <c r="W184" s="735">
        <f t="shared" si="169"/>
        <v>2011</v>
      </c>
      <c r="X184" s="735">
        <f t="shared" si="169"/>
        <v>2012</v>
      </c>
      <c r="Y184" s="735">
        <f t="shared" si="169"/>
        <v>2013</v>
      </c>
      <c r="Z184" s="735">
        <f t="shared" si="169"/>
        <v>2014</v>
      </c>
      <c r="AA184" s="735">
        <f t="shared" si="169"/>
        <v>2015</v>
      </c>
      <c r="AB184" s="735">
        <f t="shared" si="169"/>
        <v>2016</v>
      </c>
      <c r="AC184" s="735">
        <f t="shared" si="169"/>
        <v>2017</v>
      </c>
      <c r="AD184" s="735">
        <f t="shared" si="169"/>
        <v>2018</v>
      </c>
      <c r="AE184" s="735">
        <f t="shared" si="169"/>
        <v>2019</v>
      </c>
      <c r="AF184" s="735">
        <f t="shared" si="169"/>
        <v>2020</v>
      </c>
    </row>
    <row r="185" spans="1:32">
      <c r="A185" s="701">
        <f>+ROW(InputY!A60)</f>
        <v>60</v>
      </c>
      <c r="B185" s="1170" t="s">
        <v>205</v>
      </c>
      <c r="C185" s="1122" t="s">
        <v>1793</v>
      </c>
      <c r="D185" s="1126"/>
      <c r="E185" s="3664" t="s">
        <v>1998</v>
      </c>
      <c r="F185" s="1126" t="s">
        <v>2014</v>
      </c>
      <c r="G185" s="1128">
        <f>+InputY!G60/1000</f>
        <v>893.70299999999997</v>
      </c>
      <c r="H185" s="1128">
        <f>+InputY!H60/1000</f>
        <v>918.23099999999999</v>
      </c>
      <c r="I185" s="1128">
        <f>+InputY!I60/1000</f>
        <v>957.61099999999999</v>
      </c>
      <c r="J185" s="1128">
        <f>+InputY!J60/1000</f>
        <v>993.73400000000004</v>
      </c>
      <c r="K185" s="1128">
        <f>+InputY!K60/1000</f>
        <v>1049.0340000000001</v>
      </c>
      <c r="L185" s="1128">
        <f>+InputY!L60/1000</f>
        <v>1114.962</v>
      </c>
      <c r="M185" s="1128">
        <f>+InputY!M60/1000</f>
        <v>1147.2829999999999</v>
      </c>
      <c r="N185" s="1128">
        <f>+InputY!N60/1000</f>
        <v>1194.174</v>
      </c>
      <c r="O185" s="1128">
        <f>+InputY!O60/1000</f>
        <v>1241.623</v>
      </c>
      <c r="P185" s="1128">
        <f>+InputY!P60/1000</f>
        <v>1286.19</v>
      </c>
      <c r="Q185" s="1128">
        <f>+InputY!Q60/1000</f>
        <v>1336.4490000000001</v>
      </c>
      <c r="R185" s="1128">
        <f>+InputY!R60/1000</f>
        <v>1388.6759999999999</v>
      </c>
      <c r="S185" s="1128">
        <f>+InputY!S60/1000</f>
        <v>1462.213</v>
      </c>
      <c r="T185" s="1128">
        <f>+InputY!T60/1000</f>
        <v>1511.3030000000001</v>
      </c>
      <c r="U185" s="1128">
        <f>+InputY!U60/1000</f>
        <v>1550.3869999999999</v>
      </c>
      <c r="V185" s="1128">
        <f>+InputY!V60/1000</f>
        <v>1634.64</v>
      </c>
      <c r="W185" s="1128">
        <f>+InputY!W60/1000</f>
        <v>1692.895</v>
      </c>
      <c r="X185" s="1128">
        <f>+InputY!X60/1000</f>
        <v>1715.028</v>
      </c>
      <c r="Y185" s="1128">
        <f>+InputY!Y60/1000</f>
        <v>1759.307</v>
      </c>
      <c r="Z185" s="1128">
        <f>+InputY!Z60/1000</f>
        <v>1816.1790000000001</v>
      </c>
      <c r="AA185" s="1128">
        <f>+InputY!AA60/1000</f>
        <v>1889.1010000000001</v>
      </c>
      <c r="AB185" s="1128">
        <f>+InputY!AB60/1000</f>
        <v>1962.61</v>
      </c>
      <c r="AC185" s="1128">
        <f>+InputY!AC60/1000</f>
        <v>2040.8019999999999</v>
      </c>
      <c r="AD185" s="1385">
        <f ca="1">+AC185*(1+AD188/100)</f>
        <v>2125.3075292159997</v>
      </c>
      <c r="AE185" s="1385">
        <f ca="1">+AD185*(1+AE188/100)</f>
        <v>2211.7992569557268</v>
      </c>
      <c r="AF185" s="1385">
        <f ca="1">+AE185*(1+AF188/100)</f>
        <v>2298.8954880961292</v>
      </c>
    </row>
    <row r="187" spans="1:32" s="736" customFormat="1" ht="12.75" customHeight="1">
      <c r="A187" s="701"/>
      <c r="B187" s="701"/>
      <c r="C187" s="811"/>
      <c r="D187" s="1132"/>
      <c r="E187" s="1133" t="s">
        <v>461</v>
      </c>
      <c r="F187" s="1134"/>
      <c r="G187" s="933">
        <f>+InputY!$G$3</f>
        <v>1995</v>
      </c>
      <c r="H187" s="933">
        <f>+G187+1</f>
        <v>1996</v>
      </c>
      <c r="I187" s="933">
        <f t="shared" ref="I187:O187" si="170">+H187+1</f>
        <v>1997</v>
      </c>
      <c r="J187" s="933">
        <f t="shared" si="170"/>
        <v>1998</v>
      </c>
      <c r="K187" s="933">
        <f t="shared" si="170"/>
        <v>1999</v>
      </c>
      <c r="L187" s="933">
        <f t="shared" si="170"/>
        <v>2000</v>
      </c>
      <c r="M187" s="933">
        <f t="shared" si="170"/>
        <v>2001</v>
      </c>
      <c r="N187" s="933">
        <f t="shared" si="170"/>
        <v>2002</v>
      </c>
      <c r="O187" s="933">
        <f t="shared" si="170"/>
        <v>2003</v>
      </c>
      <c r="P187" s="933">
        <f>+O187+1</f>
        <v>2004</v>
      </c>
      <c r="Q187" s="933">
        <f>+P187+1</f>
        <v>2005</v>
      </c>
      <c r="R187" s="933">
        <f>+Q187+1</f>
        <v>2006</v>
      </c>
      <c r="S187" s="933">
        <f>+R187+1</f>
        <v>2007</v>
      </c>
      <c r="T187" s="933">
        <f t="shared" ref="T187:AF187" si="171">+S187+1</f>
        <v>2008</v>
      </c>
      <c r="U187" s="933">
        <f t="shared" si="171"/>
        <v>2009</v>
      </c>
      <c r="V187" s="933">
        <f t="shared" si="171"/>
        <v>2010</v>
      </c>
      <c r="W187" s="933">
        <f t="shared" si="171"/>
        <v>2011</v>
      </c>
      <c r="X187" s="933">
        <f t="shared" si="171"/>
        <v>2012</v>
      </c>
      <c r="Y187" s="933">
        <f t="shared" si="171"/>
        <v>2013</v>
      </c>
      <c r="Z187" s="933">
        <f t="shared" si="171"/>
        <v>2014</v>
      </c>
      <c r="AA187" s="933">
        <f t="shared" si="171"/>
        <v>2015</v>
      </c>
      <c r="AB187" s="933">
        <f t="shared" si="171"/>
        <v>2016</v>
      </c>
      <c r="AC187" s="933">
        <f t="shared" si="171"/>
        <v>2017</v>
      </c>
      <c r="AD187" s="933">
        <f t="shared" si="171"/>
        <v>2018</v>
      </c>
      <c r="AE187" s="933">
        <f t="shared" si="171"/>
        <v>2019</v>
      </c>
      <c r="AF187" s="933">
        <f t="shared" si="171"/>
        <v>2020</v>
      </c>
    </row>
    <row r="188" spans="1:32" s="736" customFormat="1" ht="12.75" customHeight="1">
      <c r="A188" s="701"/>
      <c r="B188" s="701"/>
      <c r="C188" s="835" t="s">
        <v>1793</v>
      </c>
      <c r="D188" s="870" t="s">
        <v>664</v>
      </c>
      <c r="E188" s="871" t="s">
        <v>1998</v>
      </c>
      <c r="F188" s="872" t="s">
        <v>2014</v>
      </c>
      <c r="G188" s="1155"/>
      <c r="H188" s="1155">
        <f>+(H185/G185-1)*100</f>
        <v>2.7445359364352662</v>
      </c>
      <c r="I188" s="1155">
        <f t="shared" ref="I188:AC188" si="172">+(I185/H185-1)*100</f>
        <v>4.2886811706422501</v>
      </c>
      <c r="J188" s="1155">
        <f t="shared" si="172"/>
        <v>3.7721997763183746</v>
      </c>
      <c r="K188" s="1155">
        <f t="shared" si="172"/>
        <v>5.5648694721122549</v>
      </c>
      <c r="L188" s="1155">
        <f t="shared" si="172"/>
        <v>6.2846390107470285</v>
      </c>
      <c r="M188" s="1155">
        <f t="shared" si="172"/>
        <v>2.8988431892746025</v>
      </c>
      <c r="N188" s="1155">
        <f t="shared" si="172"/>
        <v>4.0871345605225651</v>
      </c>
      <c r="O188" s="1155">
        <f t="shared" si="172"/>
        <v>3.9733740644160687</v>
      </c>
      <c r="P188" s="1155">
        <f t="shared" si="172"/>
        <v>3.5894148223736266</v>
      </c>
      <c r="Q188" s="1155">
        <f t="shared" si="172"/>
        <v>3.9075875259487303</v>
      </c>
      <c r="R188" s="1155">
        <f t="shared" si="172"/>
        <v>3.9078932304936309</v>
      </c>
      <c r="S188" s="1155">
        <f t="shared" si="172"/>
        <v>5.2954756905138511</v>
      </c>
      <c r="T188" s="1155">
        <f t="shared" si="172"/>
        <v>3.3572400190670093</v>
      </c>
      <c r="U188" s="1155">
        <f t="shared" si="172"/>
        <v>2.5861127781788174</v>
      </c>
      <c r="V188" s="1155">
        <f t="shared" si="172"/>
        <v>5.4343205922134485</v>
      </c>
      <c r="W188" s="1155">
        <f t="shared" si="172"/>
        <v>3.5637816277590106</v>
      </c>
      <c r="X188" s="1155">
        <f t="shared" si="172"/>
        <v>1.3074053618210346</v>
      </c>
      <c r="Y188" s="1155">
        <f t="shared" si="172"/>
        <v>2.5818237369885422</v>
      </c>
      <c r="Z188" s="1155">
        <f t="shared" si="172"/>
        <v>3.2326364869803781</v>
      </c>
      <c r="AA188" s="1155">
        <f t="shared" si="172"/>
        <v>4.0151328696125255</v>
      </c>
      <c r="AB188" s="1155">
        <f t="shared" si="172"/>
        <v>3.8912159805113644</v>
      </c>
      <c r="AC188" s="1155">
        <f t="shared" si="172"/>
        <v>3.9840824208579484</v>
      </c>
      <c r="AD188" s="1474">
        <f ca="1">OFFSET('VVP1'!$K$35,0,5*(COLUMN()-7))</f>
        <v>4.1407999999999889</v>
      </c>
      <c r="AE188" s="1474">
        <f ca="1">OFFSET('VVP1'!$K$35,0,5*(COLUMN()-7))</f>
        <v>4.0696099999999902</v>
      </c>
      <c r="AF188" s="1474">
        <f ca="1">OFFSET('VVP1'!$K$35,0,5*(COLUMN()-7))</f>
        <v>3.9377999999999913</v>
      </c>
    </row>
    <row r="190" spans="1:32" s="736" customFormat="1" ht="12.75" customHeight="1">
      <c r="A190" s="701"/>
      <c r="B190" s="701"/>
      <c r="C190" s="811"/>
      <c r="D190" s="812"/>
      <c r="E190" s="813" t="s">
        <v>462</v>
      </c>
      <c r="F190" s="814"/>
      <c r="G190" s="815">
        <f>+InputY!$G$3</f>
        <v>1995</v>
      </c>
      <c r="H190" s="815">
        <f>+G190+1</f>
        <v>1996</v>
      </c>
      <c r="I190" s="815">
        <f t="shared" ref="I190:Q190" si="173">+H190+1</f>
        <v>1997</v>
      </c>
      <c r="J190" s="815">
        <f t="shared" si="173"/>
        <v>1998</v>
      </c>
      <c r="K190" s="815">
        <f t="shared" si="173"/>
        <v>1999</v>
      </c>
      <c r="L190" s="815">
        <f t="shared" si="173"/>
        <v>2000</v>
      </c>
      <c r="M190" s="815">
        <f t="shared" si="173"/>
        <v>2001</v>
      </c>
      <c r="N190" s="815">
        <f t="shared" si="173"/>
        <v>2002</v>
      </c>
      <c r="O190" s="815">
        <f t="shared" si="173"/>
        <v>2003</v>
      </c>
      <c r="P190" s="815">
        <f>+O190+1</f>
        <v>2004</v>
      </c>
      <c r="Q190" s="815">
        <f t="shared" si="173"/>
        <v>2005</v>
      </c>
      <c r="R190" s="815">
        <f>+Q190+1</f>
        <v>2006</v>
      </c>
      <c r="S190" s="815">
        <f>+R190+1</f>
        <v>2007</v>
      </c>
      <c r="T190" s="815">
        <f t="shared" ref="T190:AF190" si="174">+S190+1</f>
        <v>2008</v>
      </c>
      <c r="U190" s="815">
        <f t="shared" si="174"/>
        <v>2009</v>
      </c>
      <c r="V190" s="815">
        <f t="shared" si="174"/>
        <v>2010</v>
      </c>
      <c r="W190" s="815">
        <f t="shared" si="174"/>
        <v>2011</v>
      </c>
      <c r="X190" s="815">
        <f t="shared" si="174"/>
        <v>2012</v>
      </c>
      <c r="Y190" s="815">
        <f t="shared" si="174"/>
        <v>2013</v>
      </c>
      <c r="Z190" s="815">
        <f t="shared" si="174"/>
        <v>2014</v>
      </c>
      <c r="AA190" s="815">
        <f t="shared" si="174"/>
        <v>2015</v>
      </c>
      <c r="AB190" s="815">
        <f t="shared" si="174"/>
        <v>2016</v>
      </c>
      <c r="AC190" s="815">
        <f t="shared" si="174"/>
        <v>2017</v>
      </c>
      <c r="AD190" s="815">
        <f t="shared" si="174"/>
        <v>2018</v>
      </c>
      <c r="AE190" s="815">
        <f t="shared" si="174"/>
        <v>2019</v>
      </c>
      <c r="AF190" s="815">
        <f t="shared" si="174"/>
        <v>2020</v>
      </c>
    </row>
    <row r="191" spans="1:32" s="736" customFormat="1" ht="12.75" customHeight="1">
      <c r="A191" s="701">
        <f>+ROW(InputY!A61)</f>
        <v>61</v>
      </c>
      <c r="B191" s="701">
        <v>119</v>
      </c>
      <c r="C191" s="816" t="s">
        <v>1791</v>
      </c>
      <c r="D191" s="705"/>
      <c r="E191" s="737" t="s">
        <v>1754</v>
      </c>
      <c r="F191" s="738" t="s">
        <v>906</v>
      </c>
      <c r="G191" s="817">
        <f>+InputY!G61/1000</f>
        <v>333.61399999999998</v>
      </c>
      <c r="H191" s="817">
        <f>+InputY!H61/1000</f>
        <v>350.78</v>
      </c>
      <c r="I191" s="817">
        <f>+InputY!I61/1000</f>
        <v>357.50400000000002</v>
      </c>
      <c r="J191" s="817">
        <f>+InputY!J61/1000</f>
        <v>380.68099999999998</v>
      </c>
      <c r="K191" s="817">
        <f>+InputY!K61/1000</f>
        <v>397.43200000000002</v>
      </c>
      <c r="L191" s="817">
        <f>+InputY!L61/1000</f>
        <v>405.01900000000001</v>
      </c>
      <c r="M191" s="817">
        <f>+InputY!M61/1000</f>
        <v>440.12200000000001</v>
      </c>
      <c r="N191" s="817">
        <f>+InputY!N61/1000</f>
        <v>473.24400000000003</v>
      </c>
      <c r="O191" s="817">
        <f>+InputY!O61/1000</f>
        <v>499.90300000000002</v>
      </c>
      <c r="P191" s="817">
        <f>+InputY!P61/1000</f>
        <v>508.31900000000002</v>
      </c>
      <c r="Q191" s="817">
        <f>+InputY!Q61/1000</f>
        <v>526.24900000000002</v>
      </c>
      <c r="R191" s="817">
        <f>+InputY!R61/1000</f>
        <v>555.07299999999998</v>
      </c>
      <c r="S191" s="817">
        <f>+InputY!S61/1000</f>
        <v>580.89300000000003</v>
      </c>
      <c r="T191" s="817">
        <f>+InputY!T61/1000</f>
        <v>606.57299999999998</v>
      </c>
      <c r="U191" s="817">
        <f>+InputY!U61/1000</f>
        <v>621.86199999999997</v>
      </c>
      <c r="V191" s="817">
        <f>+InputY!V61/1000</f>
        <v>640.00199999999995</v>
      </c>
      <c r="W191" s="817">
        <f>+InputY!W61/1000</f>
        <v>663.51400000000001</v>
      </c>
      <c r="X191" s="817">
        <f>+InputY!X61/1000</f>
        <v>683.65700000000004</v>
      </c>
      <c r="Y191" s="817">
        <f>+InputY!Y61/1000</f>
        <v>709.53599999999994</v>
      </c>
      <c r="Z191" s="817">
        <f>+InputY!Z61/1000</f>
        <v>740.25599999999997</v>
      </c>
      <c r="AA191" s="817">
        <f>+InputY!AA61/1000</f>
        <v>786.80799999999999</v>
      </c>
      <c r="AB191" s="817">
        <v>847.62199999999996</v>
      </c>
      <c r="AC191" s="817">
        <v>881.56100000000004</v>
      </c>
      <c r="AD191" s="818">
        <f t="shared" ref="AD191:AF192" ca="1" si="175">+AC191*(1+AD197/100)</f>
        <v>923.69660129960005</v>
      </c>
      <c r="AE191" s="818">
        <f t="shared" ca="1" si="175"/>
        <v>959.81677210372459</v>
      </c>
      <c r="AF191" s="818">
        <f t="shared" ca="1" si="175"/>
        <v>996.80155976371464</v>
      </c>
    </row>
    <row r="192" spans="1:32" s="736" customFormat="1" ht="12.75" customHeight="1">
      <c r="A192" s="701">
        <f>+ROW(InputY!A62)</f>
        <v>62</v>
      </c>
      <c r="B192" s="701">
        <v>118</v>
      </c>
      <c r="C192" s="819" t="s">
        <v>1791</v>
      </c>
      <c r="D192" s="711"/>
      <c r="E192" s="820" t="s">
        <v>1755</v>
      </c>
      <c r="F192" s="741" t="s">
        <v>907</v>
      </c>
      <c r="G192" s="1173">
        <f>+InputY!G62/1000</f>
        <v>147.077</v>
      </c>
      <c r="H192" s="1173">
        <f>+InputY!H62/1000</f>
        <v>149.41900000000001</v>
      </c>
      <c r="I192" s="1173">
        <f>+InputY!I62/1000</f>
        <v>155.59299999999999</v>
      </c>
      <c r="J192" s="1173">
        <f>+InputY!J62/1000</f>
        <v>160.21600000000001</v>
      </c>
      <c r="K192" s="1173">
        <f>+InputY!K62/1000</f>
        <v>171.64</v>
      </c>
      <c r="L192" s="1173">
        <f>+InputY!L62/1000</f>
        <v>179.05500000000001</v>
      </c>
      <c r="M192" s="1173">
        <f>+InputY!M62/1000</f>
        <v>172.517</v>
      </c>
      <c r="N192" s="1173">
        <f>+InputY!N62/1000</f>
        <v>181.41399999999999</v>
      </c>
      <c r="O192" s="1173">
        <f>+InputY!O62/1000</f>
        <v>188.52099999999999</v>
      </c>
      <c r="P192" s="1173">
        <f>+InputY!P62/1000</f>
        <v>192.70099999999999</v>
      </c>
      <c r="Q192" s="1173">
        <f>+InputY!Q62/1000</f>
        <v>196.393</v>
      </c>
      <c r="R192" s="1173">
        <f>+InputY!R62/1000</f>
        <v>206.482</v>
      </c>
      <c r="S192" s="1173">
        <f>+InputY!S62/1000</f>
        <v>212.566</v>
      </c>
      <c r="T192" s="1173">
        <f>+InputY!T62/1000</f>
        <v>226.792</v>
      </c>
      <c r="U192" s="1173">
        <f>+InputY!U62/1000</f>
        <v>238.70599999999999</v>
      </c>
      <c r="V192" s="1173">
        <f>+InputY!V62/1000</f>
        <v>246.37</v>
      </c>
      <c r="W192" s="1173">
        <f>+InputY!W62/1000</f>
        <v>257.30399999999997</v>
      </c>
      <c r="X192" s="1173">
        <f>+InputY!X62/1000</f>
        <v>271.25400000000002</v>
      </c>
      <c r="Y192" s="1173">
        <f>+InputY!Y62/1000</f>
        <v>283.09500000000003</v>
      </c>
      <c r="Z192" s="1173">
        <f>+InputY!Z62/1000</f>
        <v>291.25299999999999</v>
      </c>
      <c r="AA192" s="1173">
        <f>+InputY!AA62/1000</f>
        <v>299.822</v>
      </c>
      <c r="AB192" s="1173">
        <v>305.90600000000001</v>
      </c>
      <c r="AC192" s="1173">
        <v>314.08800000000002</v>
      </c>
      <c r="AD192" s="1475">
        <f t="shared" ca="1" si="175"/>
        <v>325.70925599999998</v>
      </c>
      <c r="AE192" s="1475">
        <f t="shared" ca="1" si="175"/>
        <v>336.13195219199997</v>
      </c>
      <c r="AF192" s="1475">
        <f t="shared" ca="1" si="175"/>
        <v>345.20751490118397</v>
      </c>
    </row>
    <row r="193" spans="1:43" s="736" customFormat="1" ht="12.75" customHeight="1">
      <c r="A193" s="701">
        <f>+ROW(InputY!A63)</f>
        <v>63</v>
      </c>
      <c r="B193" s="701">
        <v>37</v>
      </c>
      <c r="C193" s="821" t="s">
        <v>1791</v>
      </c>
      <c r="D193" s="789"/>
      <c r="E193" s="790" t="s">
        <v>1998</v>
      </c>
      <c r="F193" s="791" t="s">
        <v>2016</v>
      </c>
      <c r="G193" s="822">
        <f>+InputY!G63/1000</f>
        <v>480.69099999999997</v>
      </c>
      <c r="H193" s="822">
        <f>+InputY!H63/1000</f>
        <v>500.19900000000001</v>
      </c>
      <c r="I193" s="822">
        <f>+InputY!I63/1000</f>
        <v>513.09699999999998</v>
      </c>
      <c r="J193" s="822">
        <f>+InputY!J63/1000</f>
        <v>540.89700000000005</v>
      </c>
      <c r="K193" s="822">
        <f>+InputY!K63/1000</f>
        <v>569.072</v>
      </c>
      <c r="L193" s="822">
        <f>+InputY!L63/1000</f>
        <v>584.07399999999996</v>
      </c>
      <c r="M193" s="822">
        <f>+InputY!M63/1000</f>
        <v>612.63900000000001</v>
      </c>
      <c r="N193" s="822">
        <f>+InputY!N63/1000</f>
        <v>654.65800000000002</v>
      </c>
      <c r="O193" s="822">
        <f>+InputY!O63/1000</f>
        <v>688.42399999999998</v>
      </c>
      <c r="P193" s="822">
        <f>+InputY!P63/1000</f>
        <v>701.02</v>
      </c>
      <c r="Q193" s="822">
        <f>+InputY!Q63/1000</f>
        <v>722.64200000000005</v>
      </c>
      <c r="R193" s="822">
        <f>+InputY!R63/1000</f>
        <v>761.55499999999995</v>
      </c>
      <c r="S193" s="822">
        <f>+InputY!S63/1000</f>
        <v>793.45899999999995</v>
      </c>
      <c r="T193" s="822">
        <f>+InputY!T63/1000</f>
        <v>833.36500000000001</v>
      </c>
      <c r="U193" s="822">
        <f>+InputY!U63/1000</f>
        <v>860.56799999999998</v>
      </c>
      <c r="V193" s="822">
        <f>+InputY!V63/1000</f>
        <v>886.37199999999996</v>
      </c>
      <c r="W193" s="822">
        <f>+InputY!W63/1000</f>
        <v>920.81799999999998</v>
      </c>
      <c r="X193" s="822">
        <f>+InputY!X63/1000</f>
        <v>954.91099999999994</v>
      </c>
      <c r="Y193" s="822">
        <f>+InputY!Y63/1000</f>
        <v>992.63099999999997</v>
      </c>
      <c r="Z193" s="822">
        <f>+InputY!Z63/1000</f>
        <v>1031.509</v>
      </c>
      <c r="AA193" s="822">
        <f>+InputY!AA63/1000</f>
        <v>1086.6300000000001</v>
      </c>
      <c r="AB193" s="822">
        <v>1153.528</v>
      </c>
      <c r="AC193" s="822">
        <v>1195.6489999999999</v>
      </c>
      <c r="AD193" s="818">
        <f ca="1">+AD191+AD192</f>
        <v>1249.4058572996</v>
      </c>
      <c r="AE193" s="818">
        <f ca="1">+AE191+AE192</f>
        <v>1295.9487242957246</v>
      </c>
      <c r="AF193" s="818">
        <f ca="1">+AF191+AF192</f>
        <v>1342.0090746648987</v>
      </c>
    </row>
    <row r="194" spans="1:43" s="736" customFormat="1" ht="12.75" customHeight="1">
      <c r="A194" s="701"/>
      <c r="B194" s="701"/>
      <c r="C194" s="811"/>
      <c r="D194" s="2033"/>
      <c r="E194" s="2033" t="s">
        <v>90</v>
      </c>
      <c r="F194" s="2033"/>
      <c r="G194" s="1040">
        <f t="shared" ref="G194:R194" si="176">ABS(G193-G191-G192)</f>
        <v>0</v>
      </c>
      <c r="H194" s="1040">
        <f t="shared" si="176"/>
        <v>2.8421709430404007E-14</v>
      </c>
      <c r="I194" s="1040">
        <f t="shared" si="176"/>
        <v>2.8421709430404007E-14</v>
      </c>
      <c r="J194" s="1040">
        <f t="shared" si="176"/>
        <v>5.6843418860808015E-14</v>
      </c>
      <c r="K194" s="1040">
        <f t="shared" si="176"/>
        <v>0</v>
      </c>
      <c r="L194" s="1040">
        <f t="shared" si="176"/>
        <v>5.6843418860808015E-14</v>
      </c>
      <c r="M194" s="1040">
        <f t="shared" si="176"/>
        <v>0</v>
      </c>
      <c r="N194" s="1040">
        <f t="shared" si="176"/>
        <v>0</v>
      </c>
      <c r="O194" s="1040">
        <f t="shared" si="176"/>
        <v>2.8421709430404007E-14</v>
      </c>
      <c r="P194" s="1040">
        <f t="shared" si="176"/>
        <v>2.8421709430404007E-14</v>
      </c>
      <c r="Q194" s="1040">
        <f t="shared" si="176"/>
        <v>2.8421709430404007E-14</v>
      </c>
      <c r="R194" s="1040">
        <f t="shared" si="176"/>
        <v>2.8421709430404007E-14</v>
      </c>
      <c r="S194" s="1040">
        <f t="shared" ref="S194:Z194" si="177">ABS(S193-S191-S192)</f>
        <v>8.5265128291212022E-14</v>
      </c>
      <c r="T194" s="3179">
        <f t="shared" si="177"/>
        <v>2.8421709430404007E-14</v>
      </c>
      <c r="U194" s="3179">
        <f t="shared" si="177"/>
        <v>2.8421709430404007E-14</v>
      </c>
      <c r="V194" s="3179">
        <f t="shared" si="177"/>
        <v>0</v>
      </c>
      <c r="W194" s="3179">
        <f t="shared" si="177"/>
        <v>0</v>
      </c>
      <c r="X194" s="3179">
        <f t="shared" si="177"/>
        <v>1.1368683772161603E-13</v>
      </c>
      <c r="Y194" s="3179">
        <f t="shared" si="177"/>
        <v>0</v>
      </c>
      <c r="Z194" s="2999">
        <f t="shared" si="177"/>
        <v>5.6843418860808015E-14</v>
      </c>
      <c r="AA194" s="2999">
        <f t="shared" ref="AA194:AB194" si="178">ABS(AA193-AA191-AA192)</f>
        <v>1.1368683772161603E-13</v>
      </c>
      <c r="AB194" s="2999">
        <f t="shared" si="178"/>
        <v>5.6843418860808015E-14</v>
      </c>
      <c r="AC194" s="2999">
        <f t="shared" ref="AC194" si="179">ABS(AC193-AC191-AC192)</f>
        <v>1.7053025658242404E-13</v>
      </c>
      <c r="AD194" s="2999">
        <f ca="1">ABS(AD193-AD191-AD192)</f>
        <v>0</v>
      </c>
      <c r="AE194" s="2999">
        <f ca="1">ABS(AE193-AE191-AE192)</f>
        <v>0</v>
      </c>
      <c r="AF194" s="2999">
        <f ca="1">ABS(AF193-AF191-AF192)</f>
        <v>5.6843418860808015E-14</v>
      </c>
    </row>
    <row r="196" spans="1:43" s="736" customFormat="1" ht="12.75" customHeight="1">
      <c r="A196" s="701"/>
      <c r="B196" s="701"/>
      <c r="C196" s="811"/>
      <c r="D196" s="1132"/>
      <c r="E196" s="1133" t="s">
        <v>462</v>
      </c>
      <c r="F196" s="1134"/>
      <c r="G196" s="933">
        <f>+InputY!$G$3</f>
        <v>1995</v>
      </c>
      <c r="H196" s="933">
        <f>+G196+1</f>
        <v>1996</v>
      </c>
      <c r="I196" s="933">
        <f t="shared" ref="I196:Q196" si="180">+H196+1</f>
        <v>1997</v>
      </c>
      <c r="J196" s="933">
        <f t="shared" si="180"/>
        <v>1998</v>
      </c>
      <c r="K196" s="933">
        <f t="shared" si="180"/>
        <v>1999</v>
      </c>
      <c r="L196" s="933">
        <f t="shared" si="180"/>
        <v>2000</v>
      </c>
      <c r="M196" s="933">
        <f t="shared" si="180"/>
        <v>2001</v>
      </c>
      <c r="N196" s="933">
        <f t="shared" si="180"/>
        <v>2002</v>
      </c>
      <c r="O196" s="933">
        <f t="shared" si="180"/>
        <v>2003</v>
      </c>
      <c r="P196" s="933">
        <f>+O196+1</f>
        <v>2004</v>
      </c>
      <c r="Q196" s="933">
        <f t="shared" si="180"/>
        <v>2005</v>
      </c>
      <c r="R196" s="933">
        <f>+Q196+1</f>
        <v>2006</v>
      </c>
      <c r="S196" s="933">
        <f>+R196+1</f>
        <v>2007</v>
      </c>
      <c r="T196" s="933">
        <f t="shared" ref="T196:AF196" si="181">+S196+1</f>
        <v>2008</v>
      </c>
      <c r="U196" s="933">
        <f t="shared" si="181"/>
        <v>2009</v>
      </c>
      <c r="V196" s="933">
        <f t="shared" si="181"/>
        <v>2010</v>
      </c>
      <c r="W196" s="933">
        <f t="shared" si="181"/>
        <v>2011</v>
      </c>
      <c r="X196" s="933">
        <f t="shared" si="181"/>
        <v>2012</v>
      </c>
      <c r="Y196" s="933">
        <f t="shared" si="181"/>
        <v>2013</v>
      </c>
      <c r="Z196" s="933">
        <f t="shared" si="181"/>
        <v>2014</v>
      </c>
      <c r="AA196" s="933">
        <f t="shared" si="181"/>
        <v>2015</v>
      </c>
      <c r="AB196" s="933">
        <f t="shared" si="181"/>
        <v>2016</v>
      </c>
      <c r="AC196" s="933">
        <f t="shared" si="181"/>
        <v>2017</v>
      </c>
      <c r="AD196" s="933">
        <f t="shared" si="181"/>
        <v>2018</v>
      </c>
      <c r="AE196" s="933">
        <f t="shared" si="181"/>
        <v>2019</v>
      </c>
      <c r="AF196" s="933">
        <f t="shared" si="181"/>
        <v>2020</v>
      </c>
    </row>
    <row r="197" spans="1:43" s="736" customFormat="1" ht="12.75" customHeight="1">
      <c r="A197" s="701"/>
      <c r="B197" s="701"/>
      <c r="C197" s="831" t="s">
        <v>1791</v>
      </c>
      <c r="D197" s="726"/>
      <c r="E197" s="775" t="s">
        <v>1754</v>
      </c>
      <c r="F197" s="770" t="s">
        <v>906</v>
      </c>
      <c r="G197" s="1135"/>
      <c r="H197" s="1135">
        <f>(H191/G191-1)*100</f>
        <v>5.145467516351232</v>
      </c>
      <c r="I197" s="1135">
        <f t="shared" ref="I197:AC197" si="182">(I191/H191-1)*100</f>
        <v>1.9168709732596101</v>
      </c>
      <c r="J197" s="1135">
        <f t="shared" si="182"/>
        <v>6.4830043859648967</v>
      </c>
      <c r="K197" s="1135">
        <f t="shared" si="182"/>
        <v>4.4002721438684889</v>
      </c>
      <c r="L197" s="1135">
        <f t="shared" si="182"/>
        <v>1.9090058173473645</v>
      </c>
      <c r="M197" s="1135">
        <f t="shared" si="182"/>
        <v>8.6670008073695293</v>
      </c>
      <c r="N197" s="1135">
        <f t="shared" si="182"/>
        <v>7.5256406178286994</v>
      </c>
      <c r="O197" s="1135">
        <f t="shared" si="182"/>
        <v>5.6332462746490064</v>
      </c>
      <c r="P197" s="1135">
        <f t="shared" si="182"/>
        <v>1.6835266041612007</v>
      </c>
      <c r="Q197" s="1135">
        <f t="shared" si="182"/>
        <v>3.527312573403707</v>
      </c>
      <c r="R197" s="1135">
        <f t="shared" si="182"/>
        <v>5.4772550636675632</v>
      </c>
      <c r="S197" s="1135">
        <f t="shared" si="182"/>
        <v>4.6516404148643664</v>
      </c>
      <c r="T197" s="1135">
        <f t="shared" si="182"/>
        <v>4.4207797305183538</v>
      </c>
      <c r="U197" s="1135">
        <f t="shared" si="182"/>
        <v>2.5205539976226987</v>
      </c>
      <c r="V197" s="1135">
        <f t="shared" si="182"/>
        <v>2.9170459040751773</v>
      </c>
      <c r="W197" s="1135">
        <f t="shared" si="182"/>
        <v>3.6737385195671379</v>
      </c>
      <c r="X197" s="1135">
        <f t="shared" si="182"/>
        <v>3.0358063281257008</v>
      </c>
      <c r="Y197" s="1135">
        <f t="shared" si="182"/>
        <v>3.7853777552193435</v>
      </c>
      <c r="Z197" s="1135">
        <f t="shared" si="182"/>
        <v>4.3295900419429101</v>
      </c>
      <c r="AA197" s="1135">
        <f t="shared" si="182"/>
        <v>6.2886352829291559</v>
      </c>
      <c r="AB197" s="1135">
        <f t="shared" si="182"/>
        <v>7.7292045835832823</v>
      </c>
      <c r="AC197" s="1135">
        <f t="shared" si="182"/>
        <v>4.0040253792374525</v>
      </c>
      <c r="AD197" s="1468">
        <f ca="1">OFFSET('VVP1'!$K$47,0,5*(COLUMN()-7))</f>
        <v>4.7796580497095391</v>
      </c>
      <c r="AE197" s="1468">
        <f ca="1">OFFSET('VVP1'!$K$47,0,5*(COLUMN()-7))</f>
        <v>3.9103933860214539</v>
      </c>
      <c r="AF197" s="1468">
        <f ca="1">OFFSET('VVP1'!$K$47,0,5*(COLUMN()-7))</f>
        <v>3.8533175013108831</v>
      </c>
    </row>
    <row r="198" spans="1:43" s="736" customFormat="1" ht="12.75" customHeight="1">
      <c r="A198" s="701"/>
      <c r="B198" s="701"/>
      <c r="C198" s="833" t="s">
        <v>1791</v>
      </c>
      <c r="D198" s="728"/>
      <c r="E198" s="834" t="s">
        <v>1755</v>
      </c>
      <c r="F198" s="773" t="s">
        <v>907</v>
      </c>
      <c r="G198" s="1136"/>
      <c r="H198" s="1136">
        <f>(H192/G192-1)*100</f>
        <v>1.5923631839104724</v>
      </c>
      <c r="I198" s="1136">
        <f t="shared" ref="I198:AC198" si="183">(I192/H192-1)*100</f>
        <v>4.1320046312717684</v>
      </c>
      <c r="J198" s="1136">
        <f t="shared" si="183"/>
        <v>2.9712133579274269</v>
      </c>
      <c r="K198" s="1136">
        <f t="shared" si="183"/>
        <v>7.130373995106587</v>
      </c>
      <c r="L198" s="1136">
        <f t="shared" si="183"/>
        <v>4.3200885574458336</v>
      </c>
      <c r="M198" s="1136">
        <f t="shared" si="183"/>
        <v>-3.6513920303817282</v>
      </c>
      <c r="N198" s="1136">
        <f t="shared" si="183"/>
        <v>5.1571729162922963</v>
      </c>
      <c r="O198" s="1136">
        <f t="shared" si="183"/>
        <v>3.9175587330636086</v>
      </c>
      <c r="P198" s="1136">
        <f t="shared" si="183"/>
        <v>2.2172596156396329</v>
      </c>
      <c r="Q198" s="1136">
        <f t="shared" si="183"/>
        <v>1.9159215572311483</v>
      </c>
      <c r="R198" s="1136">
        <f t="shared" si="183"/>
        <v>5.137148472705233</v>
      </c>
      <c r="S198" s="1136">
        <f t="shared" si="183"/>
        <v>2.946503811470258</v>
      </c>
      <c r="T198" s="1136">
        <f t="shared" si="183"/>
        <v>6.6925096205413759</v>
      </c>
      <c r="U198" s="1136">
        <f t="shared" si="183"/>
        <v>5.2532717203428669</v>
      </c>
      <c r="V198" s="1136">
        <f t="shared" si="183"/>
        <v>3.2106440558678839</v>
      </c>
      <c r="W198" s="1136">
        <f t="shared" si="183"/>
        <v>4.4380403458213147</v>
      </c>
      <c r="X198" s="1136">
        <f t="shared" si="183"/>
        <v>5.421602462456887</v>
      </c>
      <c r="Y198" s="1136">
        <f t="shared" si="183"/>
        <v>4.3652812493087723</v>
      </c>
      <c r="Z198" s="1136">
        <f t="shared" si="183"/>
        <v>2.8817181511506584</v>
      </c>
      <c r="AA198" s="1136">
        <f t="shared" si="183"/>
        <v>2.9421156176932195</v>
      </c>
      <c r="AB198" s="1136">
        <f t="shared" si="183"/>
        <v>2.029203994369988</v>
      </c>
      <c r="AC198" s="1136">
        <f t="shared" si="183"/>
        <v>2.6746778422129802</v>
      </c>
      <c r="AD198" s="1469">
        <f ca="1">OFFSET('VVP1'!$K$48,0,5*(COLUMN()-7))</f>
        <v>3.7</v>
      </c>
      <c r="AE198" s="1469">
        <f ca="1">OFFSET('VVP1'!$K$48,0,5*(COLUMN()-7))</f>
        <v>3.2</v>
      </c>
      <c r="AF198" s="1469">
        <f ca="1">OFFSET('VVP1'!$K$48,0,5*(COLUMN()-7))</f>
        <v>2.7</v>
      </c>
    </row>
    <row r="199" spans="1:43" s="736" customFormat="1" ht="12.75" customHeight="1">
      <c r="A199" s="701"/>
      <c r="B199" s="701"/>
      <c r="C199" s="811" t="s">
        <v>1791</v>
      </c>
      <c r="D199" s="754" t="s">
        <v>664</v>
      </c>
      <c r="E199" s="759" t="s">
        <v>1998</v>
      </c>
      <c r="F199" s="760" t="s">
        <v>2016</v>
      </c>
      <c r="G199" s="758"/>
      <c r="H199" s="758">
        <f>(H193/G193-1)*100</f>
        <v>4.0583243705415883</v>
      </c>
      <c r="I199" s="758">
        <f t="shared" ref="I199:AC199" si="184">(I193/H193-1)*100</f>
        <v>2.5785737276563969</v>
      </c>
      <c r="J199" s="758">
        <f t="shared" si="184"/>
        <v>5.4180788427919291</v>
      </c>
      <c r="K199" s="758">
        <f t="shared" si="184"/>
        <v>5.2089399645403711</v>
      </c>
      <c r="L199" s="758">
        <f t="shared" si="184"/>
        <v>2.636221778615</v>
      </c>
      <c r="M199" s="758">
        <f t="shared" si="184"/>
        <v>4.8906474179641668</v>
      </c>
      <c r="N199" s="758">
        <f t="shared" si="184"/>
        <v>6.8586883956130773</v>
      </c>
      <c r="O199" s="758">
        <f t="shared" si="184"/>
        <v>5.1578075880841512</v>
      </c>
      <c r="P199" s="758">
        <f t="shared" si="184"/>
        <v>1.8296863560828713</v>
      </c>
      <c r="Q199" s="758">
        <f t="shared" si="184"/>
        <v>3.0843627856552036</v>
      </c>
      <c r="R199" s="758">
        <f t="shared" si="184"/>
        <v>5.3848240207460707</v>
      </c>
      <c r="S199" s="758">
        <f t="shared" si="184"/>
        <v>4.1893231611636716</v>
      </c>
      <c r="T199" s="758">
        <f t="shared" si="184"/>
        <v>5.0293713978920129</v>
      </c>
      <c r="U199" s="758">
        <f t="shared" si="184"/>
        <v>3.2642359590335568</v>
      </c>
      <c r="V199" s="758">
        <f t="shared" si="184"/>
        <v>2.9984847217186861</v>
      </c>
      <c r="W199" s="758">
        <f t="shared" si="184"/>
        <v>3.8861787150316074</v>
      </c>
      <c r="X199" s="758">
        <f t="shared" si="184"/>
        <v>3.7024688917896897</v>
      </c>
      <c r="Y199" s="758">
        <f t="shared" si="184"/>
        <v>3.9501063449892238</v>
      </c>
      <c r="Z199" s="758">
        <f t="shared" si="184"/>
        <v>3.916661881404071</v>
      </c>
      <c r="AA199" s="758">
        <f t="shared" si="184"/>
        <v>5.3437245821413182</v>
      </c>
      <c r="AB199" s="758">
        <f t="shared" si="184"/>
        <v>6.1564654022068233</v>
      </c>
      <c r="AC199" s="758">
        <f t="shared" si="184"/>
        <v>3.6514935051424668</v>
      </c>
      <c r="AD199" s="1457">
        <f ca="1">OFFSET('VVP1'!$K$49,0,5*(COLUMN()-7))</f>
        <v>4.4960400000000122</v>
      </c>
      <c r="AE199" s="1457">
        <f ca="1">OFFSET('VVP1'!$K$49,0,5*(COLUMN()-7))</f>
        <v>3.7251999999999841</v>
      </c>
      <c r="AF199" s="1457">
        <f ca="1">OFFSET('VVP1'!$K$49,0,5*(COLUMN()-7))</f>
        <v>3.5541800000000068</v>
      </c>
    </row>
    <row r="201" spans="1:43">
      <c r="A201" s="1170"/>
      <c r="B201" s="1170"/>
      <c r="D201" s="732"/>
      <c r="E201" s="733" t="s">
        <v>463</v>
      </c>
      <c r="F201" s="734"/>
      <c r="G201" s="735">
        <f>+InputY!$G$3</f>
        <v>1995</v>
      </c>
      <c r="H201" s="735">
        <f>+G201+1</f>
        <v>1996</v>
      </c>
      <c r="I201" s="735">
        <f t="shared" ref="I201:Q201" si="185">+H201+1</f>
        <v>1997</v>
      </c>
      <c r="J201" s="735">
        <f t="shared" si="185"/>
        <v>1998</v>
      </c>
      <c r="K201" s="735">
        <f t="shared" si="185"/>
        <v>1999</v>
      </c>
      <c r="L201" s="735">
        <f t="shared" si="185"/>
        <v>2000</v>
      </c>
      <c r="M201" s="735">
        <f t="shared" si="185"/>
        <v>2001</v>
      </c>
      <c r="N201" s="735">
        <f t="shared" si="185"/>
        <v>2002</v>
      </c>
      <c r="O201" s="735">
        <f t="shared" si="185"/>
        <v>2003</v>
      </c>
      <c r="P201" s="735">
        <f>+O201+1</f>
        <v>2004</v>
      </c>
      <c r="Q201" s="735">
        <f t="shared" si="185"/>
        <v>2005</v>
      </c>
      <c r="R201" s="735">
        <f>+Q201+1</f>
        <v>2006</v>
      </c>
      <c r="S201" s="735">
        <f>+R201+1</f>
        <v>2007</v>
      </c>
      <c r="T201" s="735">
        <f t="shared" ref="T201:AF201" si="186">+S201+1</f>
        <v>2008</v>
      </c>
      <c r="U201" s="735">
        <f t="shared" si="186"/>
        <v>2009</v>
      </c>
      <c r="V201" s="735">
        <f t="shared" si="186"/>
        <v>2010</v>
      </c>
      <c r="W201" s="735">
        <f t="shared" si="186"/>
        <v>2011</v>
      </c>
      <c r="X201" s="735">
        <f t="shared" si="186"/>
        <v>2012</v>
      </c>
      <c r="Y201" s="735">
        <f t="shared" si="186"/>
        <v>2013</v>
      </c>
      <c r="Z201" s="735">
        <f t="shared" si="186"/>
        <v>2014</v>
      </c>
      <c r="AA201" s="735">
        <f t="shared" si="186"/>
        <v>2015</v>
      </c>
      <c r="AB201" s="735">
        <f t="shared" si="186"/>
        <v>2016</v>
      </c>
      <c r="AC201" s="735">
        <f t="shared" si="186"/>
        <v>2017</v>
      </c>
      <c r="AD201" s="735">
        <f t="shared" si="186"/>
        <v>2018</v>
      </c>
      <c r="AE201" s="735">
        <f t="shared" si="186"/>
        <v>2019</v>
      </c>
      <c r="AF201" s="735">
        <f t="shared" si="186"/>
        <v>2020</v>
      </c>
    </row>
    <row r="202" spans="1:43">
      <c r="A202" s="701"/>
      <c r="B202" s="701"/>
      <c r="C202" s="1119" t="s">
        <v>1791</v>
      </c>
      <c r="D202" s="1098" t="s">
        <v>666</v>
      </c>
      <c r="E202" s="1099" t="s">
        <v>809</v>
      </c>
      <c r="F202" s="1109" t="s">
        <v>908</v>
      </c>
      <c r="G202" s="1094"/>
      <c r="H202" s="1094"/>
      <c r="I202" s="1094"/>
      <c r="J202" s="1094"/>
      <c r="K202" s="1094"/>
      <c r="L202" s="1094"/>
      <c r="M202" s="1094"/>
      <c r="N202" s="1094"/>
      <c r="O202" s="1094"/>
      <c r="P202" s="1094"/>
      <c r="Q202" s="1094"/>
      <c r="R202" s="1094"/>
      <c r="S202" s="1094"/>
      <c r="T202" s="1094"/>
      <c r="U202" s="1094"/>
      <c r="V202" s="1094"/>
      <c r="W202" s="1094"/>
      <c r="X202" s="1094"/>
      <c r="Y202" s="1094"/>
      <c r="Z202" s="1384"/>
      <c r="AA202" s="1384"/>
      <c r="AB202" s="1384"/>
      <c r="AC202" s="1384"/>
      <c r="AD202" s="1384"/>
      <c r="AE202" s="1384"/>
      <c r="AF202" s="1384"/>
    </row>
    <row r="203" spans="1:43">
      <c r="A203" s="701"/>
      <c r="B203" s="701"/>
      <c r="C203" s="1120" t="s">
        <v>1791</v>
      </c>
      <c r="D203" s="1110" t="s">
        <v>814</v>
      </c>
      <c r="E203" s="1" t="s">
        <v>809</v>
      </c>
      <c r="F203" s="1110" t="s">
        <v>179</v>
      </c>
      <c r="G203" s="918"/>
      <c r="H203" s="918"/>
      <c r="I203" s="918"/>
      <c r="J203" s="918"/>
      <c r="K203" s="918"/>
      <c r="L203" s="918"/>
      <c r="M203" s="918"/>
      <c r="N203" s="918"/>
      <c r="O203" s="918"/>
      <c r="P203" s="918"/>
      <c r="Q203" s="918"/>
      <c r="R203" s="918"/>
      <c r="S203" s="918"/>
      <c r="T203" s="918"/>
      <c r="U203" s="918"/>
      <c r="V203" s="918"/>
      <c r="W203" s="918"/>
      <c r="X203" s="918"/>
      <c r="Y203" s="918"/>
      <c r="Z203" s="972"/>
      <c r="AA203" s="972"/>
      <c r="AB203" s="972"/>
      <c r="AC203" s="972"/>
      <c r="AD203" s="972"/>
      <c r="AE203" s="972"/>
      <c r="AF203" s="972"/>
    </row>
    <row r="204" spans="1:43">
      <c r="A204" s="701">
        <f>+ROW(InputY!A67)</f>
        <v>67</v>
      </c>
      <c r="B204" s="1170"/>
      <c r="C204" s="1120" t="s">
        <v>1793</v>
      </c>
      <c r="D204" s="1111"/>
      <c r="E204" s="1107" t="s">
        <v>809</v>
      </c>
      <c r="F204" s="1111" t="s">
        <v>910</v>
      </c>
      <c r="G204" s="1108">
        <f>+InputY!G67/1000</f>
        <v>93.424000000000007</v>
      </c>
      <c r="H204" s="1108">
        <f>+InputY!H67/1000</f>
        <v>92.168000000000006</v>
      </c>
      <c r="I204" s="1108">
        <f>+InputY!I67/1000</f>
        <v>89.076999999999998</v>
      </c>
      <c r="J204" s="1108">
        <f>+InputY!J67/1000</f>
        <v>94.093000000000004</v>
      </c>
      <c r="K204" s="1108">
        <f>+InputY!K67/1000</f>
        <v>94.602000000000004</v>
      </c>
      <c r="L204" s="1108">
        <f>+InputY!L67/1000</f>
        <v>101.303</v>
      </c>
      <c r="M204" s="1108">
        <f>+InputY!M67/1000</f>
        <v>113.217</v>
      </c>
      <c r="N204" s="1108">
        <f>+InputY!N67/1000</f>
        <v>118.712</v>
      </c>
      <c r="O204" s="1108">
        <f>+InputY!O67/1000</f>
        <v>122.41200000000001</v>
      </c>
      <c r="P204" s="1108">
        <f>+InputY!P67/1000</f>
        <v>134.93700000000001</v>
      </c>
      <c r="Q204" s="1108">
        <f>+InputY!Q67/1000</f>
        <v>134.256</v>
      </c>
      <c r="R204" s="1108">
        <f>+InputY!R67/1000</f>
        <v>156.946</v>
      </c>
      <c r="S204" s="1108">
        <f>+InputY!S67/1000</f>
        <v>177.483</v>
      </c>
      <c r="T204" s="1108">
        <f>+InputY!T67/1000</f>
        <v>199.21199999999999</v>
      </c>
      <c r="U204" s="1108">
        <f>+InputY!U67/1000</f>
        <v>182.839</v>
      </c>
      <c r="V204" s="1108">
        <f>+InputY!V67/1000</f>
        <v>184.369</v>
      </c>
      <c r="W204" s="1108">
        <f>+InputY!W67/1000</f>
        <v>184.38399999999999</v>
      </c>
      <c r="X204" s="1108">
        <f>+InputY!X67/1000</f>
        <v>204.99700000000001</v>
      </c>
      <c r="Y204" s="1108">
        <f>+InputY!Y67/1000</f>
        <v>201.00200000000001</v>
      </c>
      <c r="Z204" s="1108">
        <f>+InputY!Z67/1000</f>
        <v>214.63800000000001</v>
      </c>
      <c r="AA204" s="1108">
        <f>+InputY!AA67/1000</f>
        <v>219.518</v>
      </c>
      <c r="AB204" s="1108">
        <f>+InputY!AB67/1000</f>
        <v>231.41800000000001</v>
      </c>
      <c r="AC204" s="1108">
        <f>+InputY!AC67/1000</f>
        <v>251.464</v>
      </c>
      <c r="AD204" s="976">
        <f t="shared" ref="AD204:AF206" ca="1" si="187">+AC204*(1+AD218/100)</f>
        <v>271.06700185200003</v>
      </c>
      <c r="AE204" s="976">
        <f t="shared" ca="1" si="187"/>
        <v>290.68235884051722</v>
      </c>
      <c r="AF204" s="976">
        <f t="shared" ca="1" si="187"/>
        <v>305.33414500140168</v>
      </c>
    </row>
    <row r="205" spans="1:43">
      <c r="A205" s="701">
        <f>+ROW(InputY!A69)</f>
        <v>69</v>
      </c>
      <c r="B205" s="701">
        <v>33</v>
      </c>
      <c r="C205" s="1120" t="s">
        <v>1791</v>
      </c>
      <c r="D205" s="3"/>
      <c r="E205" s="1" t="s">
        <v>810</v>
      </c>
      <c r="F205" s="3" t="s">
        <v>911</v>
      </c>
      <c r="G205" s="1102">
        <f>+InputY!G69/1000</f>
        <v>33.368000000000002</v>
      </c>
      <c r="H205" s="1102">
        <f>+InputY!H69/1000</f>
        <v>36.085999999999999</v>
      </c>
      <c r="I205" s="1102">
        <f>+InputY!I69/1000</f>
        <v>35.15</v>
      </c>
      <c r="J205" s="1102">
        <f>+InputY!J69/1000</f>
        <v>39.835000000000001</v>
      </c>
      <c r="K205" s="1102">
        <f>+InputY!K69/1000</f>
        <v>45.582999999999998</v>
      </c>
      <c r="L205" s="1102">
        <f>+InputY!L69/1000</f>
        <v>55.929000000000002</v>
      </c>
      <c r="M205" s="1102">
        <f>+InputY!M69/1000</f>
        <v>64.808000000000007</v>
      </c>
      <c r="N205" s="1102">
        <f>+InputY!N69/1000</f>
        <v>74.521000000000001</v>
      </c>
      <c r="O205" s="1102">
        <f>+InputY!O69/1000</f>
        <v>80.239000000000004</v>
      </c>
      <c r="P205" s="1102">
        <f>+InputY!P69/1000</f>
        <v>93.268000000000001</v>
      </c>
      <c r="Q205" s="1102">
        <f>+InputY!Q69/1000</f>
        <v>105.322</v>
      </c>
      <c r="R205" s="1102">
        <f>+InputY!R69/1000</f>
        <v>126.44</v>
      </c>
      <c r="S205" s="1102">
        <f>+InputY!S69/1000</f>
        <v>143.286</v>
      </c>
      <c r="T205" s="1102">
        <f>+InputY!T69/1000</f>
        <v>132.03</v>
      </c>
      <c r="U205" s="1102">
        <f>+InputY!U69/1000</f>
        <v>109.181</v>
      </c>
      <c r="V205" s="1102">
        <f>+InputY!V69/1000</f>
        <v>127.752</v>
      </c>
      <c r="W205" s="1102">
        <f>+InputY!W69/1000</f>
        <v>141.572</v>
      </c>
      <c r="X205" s="1102">
        <f>+InputY!X69/1000</f>
        <v>127.078</v>
      </c>
      <c r="Y205" s="1102">
        <f>+InputY!Y69/1000</f>
        <v>131.88800000000001</v>
      </c>
      <c r="Z205" s="1102">
        <f>+InputY!Z69/1000</f>
        <v>157.09899999999999</v>
      </c>
      <c r="AA205" s="1102">
        <f>+InputY!AA69/1000</f>
        <v>191.25899999999999</v>
      </c>
      <c r="AB205" s="1102">
        <f>+InputY!AB69/1000</f>
        <v>224.84800000000001</v>
      </c>
      <c r="AC205" s="1102">
        <f>+InputY!AC69/1000</f>
        <v>260.47500000000002</v>
      </c>
      <c r="AD205" s="976">
        <f t="shared" ca="1" si="187"/>
        <v>275.0494149795</v>
      </c>
      <c r="AE205" s="976">
        <f t="shared" ca="1" si="187"/>
        <v>264.55722596801968</v>
      </c>
      <c r="AF205" s="976">
        <f t="shared" ca="1" si="187"/>
        <v>263.03510919627399</v>
      </c>
    </row>
    <row r="206" spans="1:43" s="736" customFormat="1" ht="12.75" customHeight="1">
      <c r="A206" s="701">
        <f>+ROW(InputY!A73)</f>
        <v>73</v>
      </c>
      <c r="B206" s="701">
        <v>39</v>
      </c>
      <c r="C206" s="819" t="s">
        <v>1793</v>
      </c>
      <c r="D206" s="783"/>
      <c r="E206" s="784" t="s">
        <v>811</v>
      </c>
      <c r="F206" s="785" t="s">
        <v>2019</v>
      </c>
      <c r="G206" s="836">
        <f>+InputY!G73/1000</f>
        <v>126.792</v>
      </c>
      <c r="H206" s="836">
        <f>+InputY!H73/1000</f>
        <v>128.25399999999999</v>
      </c>
      <c r="I206" s="836">
        <f>+InputY!I73/1000</f>
        <v>124.227</v>
      </c>
      <c r="J206" s="836">
        <f>+InputY!J73/1000</f>
        <v>133.928</v>
      </c>
      <c r="K206" s="836">
        <f>+InputY!K73/1000</f>
        <v>140.185</v>
      </c>
      <c r="L206" s="836">
        <f>+InputY!L73/1000</f>
        <v>157.232</v>
      </c>
      <c r="M206" s="836">
        <f>+InputY!M73/1000</f>
        <v>178.02500000000001</v>
      </c>
      <c r="N206" s="836">
        <f>+InputY!N73/1000</f>
        <v>193.233</v>
      </c>
      <c r="O206" s="836">
        <f>+InputY!O73/1000</f>
        <v>202.65100000000001</v>
      </c>
      <c r="P206" s="836">
        <f>+InputY!P73/1000</f>
        <v>228.20500000000001</v>
      </c>
      <c r="Q206" s="836">
        <f>+InputY!Q73/1000</f>
        <v>239.578</v>
      </c>
      <c r="R206" s="2971">
        <f>+InputY!R73/1000</f>
        <v>283.38600000000002</v>
      </c>
      <c r="S206" s="2971">
        <f>+InputY!S73/1000</f>
        <v>320.76900000000001</v>
      </c>
      <c r="T206" s="2971">
        <f>+InputY!T73/1000</f>
        <v>331.24200000000002</v>
      </c>
      <c r="U206" s="2971">
        <f>+InputY!U73/1000</f>
        <v>292.02</v>
      </c>
      <c r="V206" s="2971">
        <f>+InputY!V73/1000</f>
        <v>312.12099999999998</v>
      </c>
      <c r="W206" s="2971">
        <f>+InputY!W73/1000</f>
        <v>325.95600000000002</v>
      </c>
      <c r="X206" s="2971">
        <f>+InputY!X73/1000</f>
        <v>332.07499999999999</v>
      </c>
      <c r="Y206" s="2971">
        <f>+InputY!Y73/1000</f>
        <v>332.89</v>
      </c>
      <c r="Z206" s="2971">
        <f>+InputY!Z73/1000</f>
        <v>371.73700000000002</v>
      </c>
      <c r="AA206" s="2971">
        <f>+InputY!AA73/1000</f>
        <v>410.77699999999999</v>
      </c>
      <c r="AB206" s="2971">
        <f>+InputY!AB73/1000</f>
        <v>456.26600000000002</v>
      </c>
      <c r="AC206" s="2971">
        <f>+InputY!AC73/1000</f>
        <v>511.93900000000002</v>
      </c>
      <c r="AD206" s="2969">
        <f t="shared" ca="1" si="187"/>
        <v>546.11641683150003</v>
      </c>
      <c r="AE206" s="2969">
        <f t="shared" ca="1" si="187"/>
        <v>555.23958480853685</v>
      </c>
      <c r="AF206" s="2969">
        <f t="shared" ca="1" si="187"/>
        <v>568.36925419767567</v>
      </c>
      <c r="AG206" s="2939"/>
      <c r="AH206" s="2939"/>
      <c r="AI206" s="2939"/>
      <c r="AJ206" s="2939"/>
      <c r="AK206" s="2939"/>
      <c r="AL206" s="2939"/>
      <c r="AM206" s="2939"/>
      <c r="AN206" s="2939"/>
      <c r="AO206" s="2939"/>
      <c r="AP206" s="2939"/>
      <c r="AQ206" s="2939"/>
    </row>
    <row r="207" spans="1:43" s="736" customFormat="1" ht="12.75" customHeight="1">
      <c r="A207" s="701"/>
      <c r="B207" s="701"/>
      <c r="C207" s="819"/>
      <c r="D207" s="2033"/>
      <c r="E207" s="2033" t="s">
        <v>90</v>
      </c>
      <c r="F207" s="2033"/>
      <c r="G207" s="1040">
        <f t="shared" ref="G207:V207" si="188">ABS(G206-G204-G205)</f>
        <v>7.1054273576010019E-15</v>
      </c>
      <c r="H207" s="1040">
        <f t="shared" si="188"/>
        <v>1.4210854715202004E-14</v>
      </c>
      <c r="I207" s="1040">
        <f t="shared" si="188"/>
        <v>7.1054273576010019E-15</v>
      </c>
      <c r="J207" s="1040">
        <f t="shared" si="188"/>
        <v>7.1054273576010019E-15</v>
      </c>
      <c r="K207" s="1040">
        <f t="shared" si="188"/>
        <v>0</v>
      </c>
      <c r="L207" s="1040">
        <f t="shared" si="188"/>
        <v>0</v>
      </c>
      <c r="M207" s="1040">
        <f t="shared" si="188"/>
        <v>0</v>
      </c>
      <c r="N207" s="1040">
        <f t="shared" si="188"/>
        <v>0</v>
      </c>
      <c r="O207" s="1040">
        <f t="shared" si="188"/>
        <v>0</v>
      </c>
      <c r="P207" s="1040">
        <f t="shared" si="188"/>
        <v>0</v>
      </c>
      <c r="Q207" s="1040">
        <f t="shared" si="188"/>
        <v>0</v>
      </c>
      <c r="R207" s="1040">
        <f t="shared" si="188"/>
        <v>2.8421709430404007E-14</v>
      </c>
      <c r="S207" s="1040">
        <f t="shared" si="188"/>
        <v>0</v>
      </c>
      <c r="T207" s="1040">
        <f t="shared" si="188"/>
        <v>2.8421709430404007E-14</v>
      </c>
      <c r="U207" s="1040">
        <f t="shared" si="188"/>
        <v>1.4210854715202004E-14</v>
      </c>
      <c r="V207" s="1040">
        <f t="shared" si="188"/>
        <v>1.4210854715202004E-14</v>
      </c>
      <c r="W207" s="1040">
        <f t="shared" ref="W207:Z207" si="189">ABS(W206-W204-W205)</f>
        <v>2.8421709430404007E-14</v>
      </c>
      <c r="X207" s="1040">
        <f t="shared" si="189"/>
        <v>2.8421709430404007E-14</v>
      </c>
      <c r="Y207" s="1040">
        <f t="shared" si="189"/>
        <v>2.8421709430404007E-14</v>
      </c>
      <c r="Z207" s="2999">
        <f t="shared" si="189"/>
        <v>2.8421709430404007E-14</v>
      </c>
      <c r="AA207" s="2999">
        <f t="shared" ref="AA207:AB207" si="190">ABS(AA206-AA204-AA205)</f>
        <v>0</v>
      </c>
      <c r="AB207" s="2999">
        <f t="shared" si="190"/>
        <v>0</v>
      </c>
      <c r="AC207" s="2999">
        <f t="shared" ref="AC207" si="191">ABS(AC206-AC204-AC205)</f>
        <v>0</v>
      </c>
      <c r="AD207" s="2999">
        <f ca="1">ABS(AD206-AD204-AD205)</f>
        <v>0</v>
      </c>
      <c r="AE207" s="2999">
        <f ca="1">ABS(AE206-AE204-AE205)</f>
        <v>5.6843418860808015E-14</v>
      </c>
      <c r="AF207" s="2999">
        <f ca="1">ABS(AF206-AF204-AF205)</f>
        <v>0</v>
      </c>
    </row>
    <row r="208" spans="1:43">
      <c r="A208" s="1170"/>
      <c r="B208" s="1170"/>
      <c r="C208" s="1120" t="s">
        <v>1791</v>
      </c>
      <c r="D208" s="1110" t="s">
        <v>666</v>
      </c>
      <c r="E208" s="1" t="s">
        <v>812</v>
      </c>
      <c r="F208" s="3" t="s">
        <v>1499</v>
      </c>
      <c r="G208" s="918"/>
      <c r="H208" s="918"/>
      <c r="I208" s="918"/>
      <c r="J208" s="918"/>
      <c r="K208" s="918"/>
      <c r="L208" s="918"/>
      <c r="M208" s="918"/>
      <c r="N208" s="918"/>
      <c r="O208" s="918"/>
      <c r="P208" s="918"/>
      <c r="Q208" s="918"/>
      <c r="R208" s="918"/>
      <c r="S208" s="918"/>
      <c r="T208" s="918"/>
      <c r="U208" s="918"/>
      <c r="V208" s="918"/>
      <c r="W208" s="918"/>
      <c r="X208" s="918"/>
      <c r="Y208" s="918"/>
      <c r="Z208" s="972"/>
      <c r="AA208" s="972"/>
      <c r="AB208" s="972"/>
      <c r="AC208" s="972"/>
      <c r="AD208" s="972"/>
      <c r="AE208" s="972"/>
      <c r="AF208" s="972"/>
    </row>
    <row r="209" spans="1:32">
      <c r="A209" s="1170"/>
      <c r="B209" s="1170"/>
      <c r="C209" s="1120" t="s">
        <v>1791</v>
      </c>
      <c r="D209" s="1110" t="s">
        <v>814</v>
      </c>
      <c r="E209" s="1" t="s">
        <v>812</v>
      </c>
      <c r="F209" s="3" t="s">
        <v>180</v>
      </c>
      <c r="G209" s="918"/>
      <c r="H209" s="918"/>
      <c r="I209" s="918"/>
      <c r="J209" s="918"/>
      <c r="K209" s="918"/>
      <c r="L209" s="918"/>
      <c r="M209" s="918"/>
      <c r="N209" s="918"/>
      <c r="O209" s="918"/>
      <c r="P209" s="918"/>
      <c r="Q209" s="918"/>
      <c r="R209" s="918"/>
      <c r="S209" s="918"/>
      <c r="T209" s="918"/>
      <c r="U209" s="918"/>
      <c r="V209" s="918"/>
      <c r="W209" s="918"/>
      <c r="X209" s="918"/>
      <c r="Y209" s="918"/>
      <c r="Z209" s="972"/>
      <c r="AA209" s="972"/>
      <c r="AB209" s="972"/>
      <c r="AC209" s="972"/>
      <c r="AD209" s="972"/>
      <c r="AE209" s="972"/>
      <c r="AF209" s="972"/>
    </row>
    <row r="210" spans="1:32">
      <c r="A210" s="701">
        <f>+ROW(InputY!A72)</f>
        <v>72</v>
      </c>
      <c r="B210" s="1170">
        <v>40</v>
      </c>
      <c r="C210" s="1121" t="s">
        <v>1793</v>
      </c>
      <c r="D210" s="1112"/>
      <c r="E210" s="1103" t="s">
        <v>812</v>
      </c>
      <c r="F210" s="1112" t="s">
        <v>1501</v>
      </c>
      <c r="G210" s="1104">
        <f>+InputY!G72/1000</f>
        <v>149.22999999999999</v>
      </c>
      <c r="H210" s="1104">
        <f>+InputY!H72/1000</f>
        <v>160.98699999999999</v>
      </c>
      <c r="I210" s="1104">
        <f>+InputY!I72/1000</f>
        <v>164.7</v>
      </c>
      <c r="J210" s="1104">
        <f>+InputY!J72/1000</f>
        <v>178.44399999999999</v>
      </c>
      <c r="K210" s="1104">
        <f>+InputY!K72/1000</f>
        <v>201.81100000000001</v>
      </c>
      <c r="L210" s="1104">
        <f>+InputY!L72/1000</f>
        <v>208.20699999999999</v>
      </c>
      <c r="M210" s="1104">
        <f>+InputY!M72/1000</f>
        <v>206.14</v>
      </c>
      <c r="N210" s="1104">
        <f>+InputY!N72/1000</f>
        <v>197.90799999999999</v>
      </c>
      <c r="O210" s="1104">
        <f>+InputY!O72/1000</f>
        <v>201.179</v>
      </c>
      <c r="P210" s="1104">
        <f>+InputY!P72/1000</f>
        <v>202.30799999999999</v>
      </c>
      <c r="Q210" s="1104">
        <f>+InputY!Q72/1000</f>
        <v>224.69</v>
      </c>
      <c r="R210" s="1104">
        <f>+InputY!R72/1000</f>
        <v>243.76499999999999</v>
      </c>
      <c r="S210" s="1104">
        <f>+InputY!S72/1000</f>
        <v>267.45100000000002</v>
      </c>
      <c r="T210" s="1104">
        <f>+InputY!T72/1000</f>
        <v>281.11599999999999</v>
      </c>
      <c r="U210" s="1104">
        <f>+InputY!U72/1000</f>
        <v>233.41399999999999</v>
      </c>
      <c r="V210" s="1104">
        <f>+InputY!V72/1000</f>
        <v>252.77500000000001</v>
      </c>
      <c r="W210" s="1104">
        <f>+InputY!W72/1000</f>
        <v>273.01900000000001</v>
      </c>
      <c r="X210" s="1104">
        <f>+InputY!X72/1000</f>
        <v>277.77999999999997</v>
      </c>
      <c r="Y210" s="1104">
        <f>+InputY!Y72/1000</f>
        <v>273.92500000000001</v>
      </c>
      <c r="Z210" s="1104">
        <f>+InputY!Z72/1000</f>
        <v>277.91300000000001</v>
      </c>
      <c r="AA210" s="1104">
        <f>+InputY!AA72/1000</f>
        <v>302.709</v>
      </c>
      <c r="AB210" s="1104">
        <f>+InputY!AB72/1000</f>
        <v>319.94400000000002</v>
      </c>
      <c r="AC210" s="1104">
        <f>+InputY!AC72/1000</f>
        <v>343.58800000000002</v>
      </c>
      <c r="AD210" s="977">
        <f t="shared" ref="AD210:AF212" ca="1" si="192">+AC210*(1+AD223/100)</f>
        <v>373.76636480399986</v>
      </c>
      <c r="AE210" s="977">
        <f t="shared" ca="1" si="192"/>
        <v>399.97719834383645</v>
      </c>
      <c r="AF210" s="977">
        <f t="shared" ca="1" si="192"/>
        <v>419.68493485721376</v>
      </c>
    </row>
    <row r="211" spans="1:32">
      <c r="A211" s="701">
        <f>+ROW(InputY!A76)</f>
        <v>76</v>
      </c>
      <c r="B211" s="701">
        <v>41</v>
      </c>
      <c r="C211" s="1122" t="s">
        <v>1793</v>
      </c>
      <c r="D211" s="1105"/>
      <c r="E211" s="1077" t="s">
        <v>813</v>
      </c>
      <c r="F211" s="1105" t="s">
        <v>594</v>
      </c>
      <c r="G211" s="1106">
        <f>+InputY!G76/1000</f>
        <v>93.516999999999996</v>
      </c>
      <c r="H211" s="1106">
        <f>+InputY!H76/1000</f>
        <v>100.002</v>
      </c>
      <c r="I211" s="1106">
        <f>+InputY!I76/1000</f>
        <v>112.38200000000001</v>
      </c>
      <c r="J211" s="1106">
        <f>+InputY!J76/1000</f>
        <v>127.962</v>
      </c>
      <c r="K211" s="1106">
        <f>+InputY!K76/1000</f>
        <v>139.07499999999999</v>
      </c>
      <c r="L211" s="1106">
        <f>+InputY!L76/1000</f>
        <v>163.80199999999999</v>
      </c>
      <c r="M211" s="1106">
        <f>+InputY!M76/1000</f>
        <v>176.357</v>
      </c>
      <c r="N211" s="1106">
        <f>+InputY!N76/1000</f>
        <v>169.40299999999999</v>
      </c>
      <c r="O211" s="1106">
        <f>+InputY!O76/1000</f>
        <v>169.107</v>
      </c>
      <c r="P211" s="1106">
        <f>+InputY!P76/1000</f>
        <v>178.30099999999999</v>
      </c>
      <c r="Q211" s="1106">
        <f>+InputY!Q76/1000</f>
        <v>182.679</v>
      </c>
      <c r="R211" s="1106">
        <f>+InputY!R76/1000</f>
        <v>189.38800000000001</v>
      </c>
      <c r="S211" s="1106">
        <f>+InputY!S76/1000</f>
        <v>203.33600000000001</v>
      </c>
      <c r="T211" s="1106">
        <f>+InputY!T76/1000</f>
        <v>215.58799999999999</v>
      </c>
      <c r="U211" s="1106">
        <f>+InputY!U76/1000</f>
        <v>211.96899999999999</v>
      </c>
      <c r="V211" s="1106">
        <f>+InputY!V76/1000</f>
        <v>222.249</v>
      </c>
      <c r="W211" s="1106">
        <f>+InputY!W76/1000</f>
        <v>235.226</v>
      </c>
      <c r="X211" s="1106">
        <f>+InputY!X76/1000</f>
        <v>228.39599999999999</v>
      </c>
      <c r="Y211" s="1106">
        <f>+InputY!Y76/1000</f>
        <v>239.363</v>
      </c>
      <c r="Z211" s="1106">
        <f>+InputY!Z76/1000</f>
        <v>261.87799999999999</v>
      </c>
      <c r="AA211" s="1106">
        <f>+InputY!AA76/1000</f>
        <v>277.92700000000002</v>
      </c>
      <c r="AB211" s="1106">
        <f>+InputY!AB76/1000</f>
        <v>273.59100000000001</v>
      </c>
      <c r="AC211" s="1106">
        <f>+InputY!AC76/1000</f>
        <v>287.08600000000001</v>
      </c>
      <c r="AD211" s="1385">
        <f t="shared" ca="1" si="192"/>
        <v>310.89846310439998</v>
      </c>
      <c r="AE211" s="1385">
        <f t="shared" ca="1" si="192"/>
        <v>329.90335038363179</v>
      </c>
      <c r="AF211" s="1385">
        <f t="shared" ca="1" si="192"/>
        <v>342.70442513689267</v>
      </c>
    </row>
    <row r="212" spans="1:32">
      <c r="A212" s="701">
        <f>+ROW(InputY!A77)</f>
        <v>77</v>
      </c>
      <c r="B212" s="1170">
        <v>38</v>
      </c>
      <c r="C212" s="1123" t="s">
        <v>815</v>
      </c>
      <c r="D212" s="1095"/>
      <c r="E212" s="1096" t="s">
        <v>1341</v>
      </c>
      <c r="F212" s="1095" t="s">
        <v>200</v>
      </c>
      <c r="G212" s="1097">
        <f>+InputY!G77/1000</f>
        <v>369.53899999999999</v>
      </c>
      <c r="H212" s="1097">
        <f>+InputY!H77/1000</f>
        <v>389.24299999999999</v>
      </c>
      <c r="I212" s="1097">
        <f>+InputY!I77/1000</f>
        <v>401.30900000000003</v>
      </c>
      <c r="J212" s="1097">
        <f>+InputY!J77/1000</f>
        <v>440.334</v>
      </c>
      <c r="K212" s="1097">
        <f>+InputY!K77/1000</f>
        <v>481.07100000000003</v>
      </c>
      <c r="L212" s="1097">
        <f>+InputY!L77/1000</f>
        <v>529.24099999999999</v>
      </c>
      <c r="M212" s="1097">
        <f>+InputY!M77/1000</f>
        <v>560.52200000000005</v>
      </c>
      <c r="N212" s="1097">
        <f>+InputY!N77/1000</f>
        <v>560.54399999999998</v>
      </c>
      <c r="O212" s="1097">
        <f>+InputY!O77/1000</f>
        <v>572.93700000000001</v>
      </c>
      <c r="P212" s="1097">
        <f>+InputY!P77/1000</f>
        <v>608.81399999999996</v>
      </c>
      <c r="Q212" s="1097">
        <f>+InputY!Q77/1000</f>
        <v>646.947</v>
      </c>
      <c r="R212" s="1097">
        <f>+InputY!R77/1000</f>
        <v>716.53899999999999</v>
      </c>
      <c r="S212" s="1097">
        <f>+InputY!S77/1000</f>
        <v>791.55600000000004</v>
      </c>
      <c r="T212" s="1097">
        <f>+InputY!T77/1000</f>
        <v>827.94600000000003</v>
      </c>
      <c r="U212" s="1097">
        <f>+InputY!U77/1000</f>
        <v>737.40300000000002</v>
      </c>
      <c r="V212" s="1097">
        <f>+InputY!V77/1000</f>
        <v>787.14499999999998</v>
      </c>
      <c r="W212" s="1097">
        <f>+InputY!W77/1000</f>
        <v>834.20100000000002</v>
      </c>
      <c r="X212" s="1097">
        <f>+InputY!X77/1000</f>
        <v>838.25099999999998</v>
      </c>
      <c r="Y212" s="1097">
        <f>+InputY!Y77/1000</f>
        <v>846.178</v>
      </c>
      <c r="Z212" s="1097">
        <f>+InputY!Z77/1000</f>
        <v>911.52800000000002</v>
      </c>
      <c r="AA212" s="1097">
        <f>+InputY!AA77/1000</f>
        <v>991.41300000000001</v>
      </c>
      <c r="AB212" s="1097">
        <f>+InputY!AB77/1000</f>
        <v>1049.8009999999999</v>
      </c>
      <c r="AC212" s="1097">
        <f>+InputY!AC77/1000</f>
        <v>1142.6130000000001</v>
      </c>
      <c r="AD212" s="1035">
        <f t="shared" ca="1" si="192"/>
        <v>1230.7812447398999</v>
      </c>
      <c r="AE212" s="1035">
        <f t="shared" ca="1" si="192"/>
        <v>1285.1201335360051</v>
      </c>
      <c r="AF212" s="1035">
        <f t="shared" ca="1" si="192"/>
        <v>1330.758614191782</v>
      </c>
    </row>
    <row r="213" spans="1:32" s="736" customFormat="1" ht="12.75" customHeight="1">
      <c r="A213" s="701"/>
      <c r="B213" s="701"/>
      <c r="C213" s="811"/>
      <c r="D213" s="2033"/>
      <c r="E213" s="2033" t="s">
        <v>90</v>
      </c>
      <c r="F213" s="2033"/>
      <c r="G213" s="1040">
        <f>ABS(G212-G211-G210-G206)</f>
        <v>0</v>
      </c>
      <c r="H213" s="1040">
        <f t="shared" ref="H213:V213" si="193">ABS(H212-H211-H210-H206)</f>
        <v>0</v>
      </c>
      <c r="I213" s="1040">
        <f t="shared" si="193"/>
        <v>2.8421709430404007E-14</v>
      </c>
      <c r="J213" s="1040">
        <f t="shared" si="193"/>
        <v>2.8421709430404007E-14</v>
      </c>
      <c r="K213" s="1040">
        <f t="shared" si="193"/>
        <v>2.8421709430404007E-14</v>
      </c>
      <c r="L213" s="1040">
        <f t="shared" si="193"/>
        <v>2.8421709430404007E-14</v>
      </c>
      <c r="M213" s="1040">
        <f t="shared" si="193"/>
        <v>8.5265128291212022E-14</v>
      </c>
      <c r="N213" s="1040">
        <f t="shared" si="193"/>
        <v>2.8421709430404007E-14</v>
      </c>
      <c r="O213" s="1040">
        <f t="shared" si="193"/>
        <v>2.8421709430404007E-14</v>
      </c>
      <c r="P213" s="1040">
        <f t="shared" si="193"/>
        <v>2.8421709430404007E-14</v>
      </c>
      <c r="Q213" s="1040">
        <f t="shared" si="193"/>
        <v>2.8421709430404007E-14</v>
      </c>
      <c r="R213" s="1040">
        <f t="shared" si="193"/>
        <v>5.6843418860808015E-14</v>
      </c>
      <c r="S213" s="1040">
        <f t="shared" si="193"/>
        <v>0</v>
      </c>
      <c r="T213" s="1040">
        <f t="shared" si="193"/>
        <v>5.6843418860808015E-14</v>
      </c>
      <c r="U213" s="1040">
        <f t="shared" si="193"/>
        <v>0</v>
      </c>
      <c r="V213" s="1040">
        <f t="shared" si="193"/>
        <v>0</v>
      </c>
      <c r="W213" s="1040">
        <f t="shared" ref="W213:Z213" si="194">ABS(W212-W211-W210-W206)</f>
        <v>0</v>
      </c>
      <c r="X213" s="1040">
        <f t="shared" si="194"/>
        <v>5.6843418860808015E-14</v>
      </c>
      <c r="Y213" s="1040">
        <f t="shared" si="194"/>
        <v>5.6843418860808015E-14</v>
      </c>
      <c r="Z213" s="2999">
        <f t="shared" si="194"/>
        <v>5.6843418860808015E-14</v>
      </c>
      <c r="AA213" s="2999">
        <f t="shared" ref="AA213:AB213" si="195">ABS(AA212-AA211-AA210-AA206)</f>
        <v>0</v>
      </c>
      <c r="AB213" s="2999">
        <f t="shared" si="195"/>
        <v>1.1368683772161603E-13</v>
      </c>
      <c r="AC213" s="2999">
        <f t="shared" ref="AC213" si="196">ABS(AC212-AC211-AC210-AC206)</f>
        <v>0</v>
      </c>
      <c r="AD213" s="2999">
        <f ca="1">ABS(AD212-AD211-AD210-AD206)</f>
        <v>0</v>
      </c>
      <c r="AE213" s="2999">
        <f ca="1">ABS(AE212-AE211-AE210-AE206)</f>
        <v>1.1368683772161603E-13</v>
      </c>
      <c r="AF213" s="2999">
        <f ca="1">ABS(AF212-AF211-AF210-AF206)</f>
        <v>1.1368683772161603E-13</v>
      </c>
    </row>
    <row r="214" spans="1:32">
      <c r="AA214" s="2016">
        <f t="shared" ref="AA214:AB214" si="197">AA212/AA341</f>
        <v>0.23596402559726273</v>
      </c>
      <c r="AB214" s="2016">
        <f t="shared" si="197"/>
        <v>0.2393801660336331</v>
      </c>
      <c r="AC214" s="2016">
        <f t="shared" ref="AC214" si="198">AC212/AC341</f>
        <v>0.24953880834672265</v>
      </c>
      <c r="AD214" s="2016">
        <f t="shared" ref="AD214:AE214" ca="1" si="199">AD212/AD341</f>
        <v>0.25624325745912035</v>
      </c>
      <c r="AE214" s="2016">
        <f t="shared" ca="1" si="199"/>
        <v>0.2578079485203173</v>
      </c>
      <c r="AF214" s="2016">
        <f t="shared" ref="AF214" ca="1" si="200">AF212/AF341</f>
        <v>0.25782322741148089</v>
      </c>
    </row>
    <row r="215" spans="1:32" s="736" customFormat="1" ht="12.75" customHeight="1">
      <c r="A215" s="701"/>
      <c r="B215" s="701"/>
      <c r="C215" s="811"/>
      <c r="D215" s="1132"/>
      <c r="E215" s="1133" t="s">
        <v>463</v>
      </c>
      <c r="F215" s="781"/>
      <c r="G215" s="782">
        <f>+InputY!$G$3</f>
        <v>1995</v>
      </c>
      <c r="H215" s="782">
        <f>+G215+1</f>
        <v>1996</v>
      </c>
      <c r="I215" s="782">
        <f t="shared" ref="I215:O215" si="201">+H215+1</f>
        <v>1997</v>
      </c>
      <c r="J215" s="782">
        <f t="shared" si="201"/>
        <v>1998</v>
      </c>
      <c r="K215" s="782">
        <f t="shared" si="201"/>
        <v>1999</v>
      </c>
      <c r="L215" s="782">
        <f t="shared" si="201"/>
        <v>2000</v>
      </c>
      <c r="M215" s="782">
        <f t="shared" si="201"/>
        <v>2001</v>
      </c>
      <c r="N215" s="782">
        <f t="shared" si="201"/>
        <v>2002</v>
      </c>
      <c r="O215" s="782">
        <f t="shared" si="201"/>
        <v>2003</v>
      </c>
      <c r="P215" s="782">
        <f>+O215+1</f>
        <v>2004</v>
      </c>
      <c r="Q215" s="782">
        <f>+P215+1</f>
        <v>2005</v>
      </c>
      <c r="R215" s="782">
        <f>+Q215+1</f>
        <v>2006</v>
      </c>
      <c r="S215" s="782">
        <f>+R215+1</f>
        <v>2007</v>
      </c>
      <c r="T215" s="782">
        <f t="shared" ref="T215:AF215" si="202">+S215+1</f>
        <v>2008</v>
      </c>
      <c r="U215" s="782">
        <f t="shared" si="202"/>
        <v>2009</v>
      </c>
      <c r="V215" s="782">
        <f t="shared" si="202"/>
        <v>2010</v>
      </c>
      <c r="W215" s="782">
        <f t="shared" si="202"/>
        <v>2011</v>
      </c>
      <c r="X215" s="782">
        <f t="shared" si="202"/>
        <v>2012</v>
      </c>
      <c r="Y215" s="782">
        <f t="shared" si="202"/>
        <v>2013</v>
      </c>
      <c r="Z215" s="782">
        <f t="shared" si="202"/>
        <v>2014</v>
      </c>
      <c r="AA215" s="782">
        <f t="shared" si="202"/>
        <v>2015</v>
      </c>
      <c r="AB215" s="782">
        <f t="shared" si="202"/>
        <v>2016</v>
      </c>
      <c r="AC215" s="782">
        <f t="shared" si="202"/>
        <v>2017</v>
      </c>
      <c r="AD215" s="782">
        <f t="shared" si="202"/>
        <v>2018</v>
      </c>
      <c r="AE215" s="782">
        <f t="shared" si="202"/>
        <v>2019</v>
      </c>
      <c r="AF215" s="782">
        <f t="shared" si="202"/>
        <v>2020</v>
      </c>
    </row>
    <row r="216" spans="1:32" s="736" customFormat="1" ht="12.75" customHeight="1">
      <c r="A216" s="701"/>
      <c r="B216" s="701"/>
      <c r="C216" s="831" t="s">
        <v>1791</v>
      </c>
      <c r="D216" s="726" t="s">
        <v>666</v>
      </c>
      <c r="E216" s="775" t="s">
        <v>809</v>
      </c>
      <c r="F216" s="1018" t="s">
        <v>908</v>
      </c>
      <c r="G216" s="918"/>
      <c r="H216" s="918"/>
      <c r="I216" s="918"/>
      <c r="J216" s="918"/>
      <c r="K216" s="918"/>
      <c r="L216" s="918"/>
      <c r="M216" s="918"/>
      <c r="N216" s="918"/>
      <c r="O216" s="918"/>
      <c r="P216" s="918"/>
      <c r="Q216" s="918"/>
      <c r="R216" s="918"/>
      <c r="S216" s="918"/>
      <c r="T216" s="918"/>
      <c r="U216" s="918"/>
      <c r="V216" s="918"/>
      <c r="W216" s="918"/>
      <c r="X216" s="918"/>
      <c r="Y216" s="918"/>
      <c r="Z216" s="972"/>
      <c r="AA216" s="972"/>
      <c r="AB216" s="972"/>
      <c r="AC216" s="972"/>
      <c r="AD216" s="972"/>
      <c r="AE216" s="972"/>
      <c r="AF216" s="972"/>
    </row>
    <row r="217" spans="1:32">
      <c r="A217" s="701"/>
      <c r="B217" s="701"/>
      <c r="C217" s="1140" t="s">
        <v>1791</v>
      </c>
      <c r="D217" s="1110" t="s">
        <v>814</v>
      </c>
      <c r="E217" s="1" t="s">
        <v>809</v>
      </c>
      <c r="F217" s="711" t="s">
        <v>179</v>
      </c>
      <c r="G217" s="918"/>
      <c r="H217" s="918"/>
      <c r="I217" s="918"/>
      <c r="J217" s="918"/>
      <c r="K217" s="918"/>
      <c r="L217" s="918"/>
      <c r="M217" s="918"/>
      <c r="N217" s="918"/>
      <c r="O217" s="918"/>
      <c r="P217" s="918"/>
      <c r="Q217" s="918"/>
      <c r="R217" s="918"/>
      <c r="S217" s="918"/>
      <c r="T217" s="918"/>
      <c r="U217" s="918"/>
      <c r="V217" s="918"/>
      <c r="W217" s="918"/>
      <c r="X217" s="918"/>
      <c r="Y217" s="918"/>
      <c r="Z217" s="972"/>
      <c r="AA217" s="972"/>
      <c r="AB217" s="972"/>
      <c r="AC217" s="972"/>
      <c r="AD217" s="972"/>
      <c r="AE217" s="972"/>
      <c r="AF217" s="972"/>
    </row>
    <row r="218" spans="1:32">
      <c r="A218" s="1170"/>
      <c r="B218" s="1170"/>
      <c r="C218" s="1140" t="s">
        <v>1793</v>
      </c>
      <c r="D218" s="1151"/>
      <c r="E218" s="1152" t="s">
        <v>809</v>
      </c>
      <c r="F218" s="1151" t="s">
        <v>910</v>
      </c>
      <c r="G218" s="1153"/>
      <c r="H218" s="1153">
        <f>(H204/G204-1)*100</f>
        <v>-1.3444082890905928</v>
      </c>
      <c r="I218" s="1153">
        <f t="shared" ref="I218:AC218" si="203">(I204/H204-1)*100</f>
        <v>-3.3536585365853799</v>
      </c>
      <c r="J218" s="1153">
        <f t="shared" si="203"/>
        <v>5.6310832201353911</v>
      </c>
      <c r="K218" s="1153">
        <f t="shared" si="203"/>
        <v>0.54095416237127658</v>
      </c>
      <c r="L218" s="1153">
        <f t="shared" si="203"/>
        <v>7.0833597598359388</v>
      </c>
      <c r="M218" s="1153">
        <f t="shared" si="203"/>
        <v>11.760757331964511</v>
      </c>
      <c r="N218" s="1153">
        <f t="shared" si="203"/>
        <v>4.8535113984649048</v>
      </c>
      <c r="O218" s="1153">
        <f t="shared" si="203"/>
        <v>3.1167868454747616</v>
      </c>
      <c r="P218" s="1153">
        <f t="shared" si="203"/>
        <v>10.231840015684735</v>
      </c>
      <c r="Q218" s="1153">
        <f t="shared" si="203"/>
        <v>-0.50467996175994623</v>
      </c>
      <c r="R218" s="1153">
        <f t="shared" si="203"/>
        <v>16.900548206411624</v>
      </c>
      <c r="S218" s="1153">
        <f t="shared" si="203"/>
        <v>13.085392427968866</v>
      </c>
      <c r="T218" s="1153">
        <f t="shared" si="203"/>
        <v>12.242862696708979</v>
      </c>
      <c r="U218" s="1153">
        <f t="shared" si="203"/>
        <v>-8.2188823966427691</v>
      </c>
      <c r="V218" s="1153">
        <f t="shared" si="203"/>
        <v>0.83680177642626585</v>
      </c>
      <c r="W218" s="1153">
        <f t="shared" si="203"/>
        <v>8.1358579804513553E-3</v>
      </c>
      <c r="X218" s="1153">
        <f t="shared" si="203"/>
        <v>11.17938649774386</v>
      </c>
      <c r="Y218" s="1153">
        <f t="shared" si="203"/>
        <v>-1.9488090069610831</v>
      </c>
      <c r="Z218" s="1153">
        <f t="shared" si="203"/>
        <v>6.7840120993820863</v>
      </c>
      <c r="AA218" s="1153">
        <f t="shared" si="203"/>
        <v>2.2735955422618526</v>
      </c>
      <c r="AB218" s="1153">
        <f t="shared" si="203"/>
        <v>5.4209677566304348</v>
      </c>
      <c r="AC218" s="1153">
        <f t="shared" si="203"/>
        <v>8.6622475347639227</v>
      </c>
      <c r="AD218" s="1470">
        <f ca="1">OFFSET('VVP1'!$K$57,0,5*(COLUMN()-7))</f>
        <v>7.7955500000000066</v>
      </c>
      <c r="AE218" s="1470">
        <f ca="1">OFFSET('VVP1'!$K$57,0,5*(COLUMN()-7))</f>
        <v>7.2363500000000025</v>
      </c>
      <c r="AF218" s="1470">
        <f ca="1">OFFSET('VVP1'!$K$57,0,5*(COLUMN()-7))</f>
        <v>5.0404799999999916</v>
      </c>
    </row>
    <row r="219" spans="1:32">
      <c r="A219" s="701"/>
      <c r="B219" s="701"/>
      <c r="C219" s="1140" t="s">
        <v>1791</v>
      </c>
      <c r="D219" s="3"/>
      <c r="E219" s="1" t="s">
        <v>810</v>
      </c>
      <c r="F219" s="3" t="s">
        <v>911</v>
      </c>
      <c r="G219" s="1102"/>
      <c r="H219" s="1102">
        <f>(H205/G205-1)*100</f>
        <v>8.1455286502037705</v>
      </c>
      <c r="I219" s="1102">
        <f t="shared" ref="I219:AC219" si="204">(I205/H205-1)*100</f>
        <v>-2.5938036911821727</v>
      </c>
      <c r="J219" s="1102">
        <f t="shared" si="204"/>
        <v>13.328591749644382</v>
      </c>
      <c r="K219" s="1102">
        <f t="shared" si="204"/>
        <v>14.429521777331477</v>
      </c>
      <c r="L219" s="1102">
        <f t="shared" si="204"/>
        <v>22.697058113770495</v>
      </c>
      <c r="M219" s="1102">
        <f t="shared" si="204"/>
        <v>15.875484989897902</v>
      </c>
      <c r="N219" s="1102">
        <f t="shared" si="204"/>
        <v>14.987347241081327</v>
      </c>
      <c r="O219" s="1102">
        <f t="shared" si="204"/>
        <v>7.6730049247863086</v>
      </c>
      <c r="P219" s="1102">
        <f t="shared" si="204"/>
        <v>16.237739752489432</v>
      </c>
      <c r="Q219" s="1102">
        <f t="shared" si="204"/>
        <v>12.924046832782942</v>
      </c>
      <c r="R219" s="1102">
        <f t="shared" si="204"/>
        <v>20.05089155162263</v>
      </c>
      <c r="S219" s="1102">
        <f t="shared" si="204"/>
        <v>13.323315406516922</v>
      </c>
      <c r="T219" s="1102">
        <f t="shared" si="204"/>
        <v>-7.8556174364557645</v>
      </c>
      <c r="U219" s="1102">
        <f t="shared" si="204"/>
        <v>-17.305915322275244</v>
      </c>
      <c r="V219" s="1102">
        <f t="shared" si="204"/>
        <v>17.009369762138093</v>
      </c>
      <c r="W219" s="1102">
        <f t="shared" si="204"/>
        <v>10.817834554449245</v>
      </c>
      <c r="X219" s="1102">
        <f t="shared" si="204"/>
        <v>-10.237900149747126</v>
      </c>
      <c r="Y219" s="1102">
        <f t="shared" si="204"/>
        <v>3.7850768819150504</v>
      </c>
      <c r="Z219" s="1102">
        <f t="shared" si="204"/>
        <v>19.115461603785011</v>
      </c>
      <c r="AA219" s="1102">
        <f t="shared" si="204"/>
        <v>21.744250440804834</v>
      </c>
      <c r="AB219" s="1102">
        <f t="shared" si="204"/>
        <v>17.562049367611476</v>
      </c>
      <c r="AC219" s="1102">
        <f t="shared" si="204"/>
        <v>15.844926350245503</v>
      </c>
      <c r="AD219" s="1470">
        <f ca="1">OFFSET('VVP1'!$K$58,0,5*(COLUMN()-7))</f>
        <v>5.5953219999999915</v>
      </c>
      <c r="AE219" s="1470">
        <f ca="1">OFFSET('VVP1'!$K$58,0,5*(COLUMN()-7))</f>
        <v>-3.8146559999999718</v>
      </c>
      <c r="AF219" s="1470">
        <f ca="1">OFFSET('VVP1'!$K$58,0,5*(COLUMN()-7))</f>
        <v>-0.57534499999999378</v>
      </c>
    </row>
    <row r="220" spans="1:32">
      <c r="A220" s="1170"/>
      <c r="B220" s="1170"/>
      <c r="C220" s="1016" t="s">
        <v>1793</v>
      </c>
      <c r="D220" s="1141"/>
      <c r="E220" s="1142" t="s">
        <v>811</v>
      </c>
      <c r="F220" s="1141" t="s">
        <v>2019</v>
      </c>
      <c r="G220" s="1143"/>
      <c r="H220" s="1143">
        <f>(H206/G206-1)*100</f>
        <v>1.1530695942961522</v>
      </c>
      <c r="I220" s="1143">
        <f t="shared" ref="I220:AC220" si="205">(I206/H206-1)*100</f>
        <v>-3.1398630841922959</v>
      </c>
      <c r="J220" s="1143">
        <f t="shared" si="205"/>
        <v>7.8090914213496232</v>
      </c>
      <c r="K220" s="1143">
        <f t="shared" si="205"/>
        <v>4.6719132668299412</v>
      </c>
      <c r="L220" s="1143">
        <f t="shared" si="205"/>
        <v>12.160359524913499</v>
      </c>
      <c r="M220" s="1143">
        <f t="shared" si="205"/>
        <v>13.224407245344461</v>
      </c>
      <c r="N220" s="1143">
        <f t="shared" si="205"/>
        <v>8.542620418480551</v>
      </c>
      <c r="O220" s="1143">
        <f t="shared" si="205"/>
        <v>4.873908700894769</v>
      </c>
      <c r="P220" s="1143">
        <f t="shared" si="205"/>
        <v>12.609856354027361</v>
      </c>
      <c r="Q220" s="1143">
        <f t="shared" si="205"/>
        <v>4.9836769571218742</v>
      </c>
      <c r="R220" s="1143">
        <f t="shared" si="205"/>
        <v>18.285485311673042</v>
      </c>
      <c r="S220" s="1143">
        <f t="shared" si="205"/>
        <v>13.191547924032943</v>
      </c>
      <c r="T220" s="1143">
        <f t="shared" si="205"/>
        <v>3.2649663776736615</v>
      </c>
      <c r="U220" s="1143">
        <f t="shared" si="205"/>
        <v>-11.840889742242844</v>
      </c>
      <c r="V220" s="1143">
        <f t="shared" si="205"/>
        <v>6.8834326415998959</v>
      </c>
      <c r="W220" s="1143">
        <f t="shared" si="205"/>
        <v>4.4325758279641692</v>
      </c>
      <c r="X220" s="1143">
        <f t="shared" si="205"/>
        <v>1.8772472358232317</v>
      </c>
      <c r="Y220" s="1143">
        <f t="shared" si="205"/>
        <v>0.2454264849808041</v>
      </c>
      <c r="Z220" s="1143">
        <f t="shared" si="205"/>
        <v>11.669620595391873</v>
      </c>
      <c r="AA220" s="1143">
        <f t="shared" si="205"/>
        <v>10.502048491272053</v>
      </c>
      <c r="AB220" s="1143">
        <f t="shared" si="205"/>
        <v>11.073891673584457</v>
      </c>
      <c r="AC220" s="1143">
        <f t="shared" si="205"/>
        <v>12.201873468546864</v>
      </c>
      <c r="AD220" s="1471">
        <f ca="1">OFFSET('VVP1'!$K$59,0,5*(COLUMN()-7))</f>
        <v>6.6760721163068304</v>
      </c>
      <c r="AE220" s="1471">
        <f ca="1">OFFSET('VVP1'!$K$59,0,5*(COLUMN()-7))</f>
        <v>1.6705536943877775</v>
      </c>
      <c r="AF220" s="1471">
        <f ca="1">OFFSET('VVP1'!$K$59,0,5*(COLUMN()-7))</f>
        <v>2.3646853985863192</v>
      </c>
    </row>
    <row r="221" spans="1:32">
      <c r="A221" s="1170"/>
      <c r="B221" s="1170"/>
      <c r="C221" s="1144" t="s">
        <v>1791</v>
      </c>
      <c r="D221" s="1145" t="s">
        <v>666</v>
      </c>
      <c r="E221" s="1146" t="s">
        <v>812</v>
      </c>
      <c r="F221" s="1145" t="s">
        <v>1499</v>
      </c>
      <c r="G221" s="1025"/>
      <c r="H221" s="1025"/>
      <c r="I221" s="1025"/>
      <c r="J221" s="1025"/>
      <c r="K221" s="1025"/>
      <c r="L221" s="1025"/>
      <c r="M221" s="1025"/>
      <c r="N221" s="1025"/>
      <c r="O221" s="1025"/>
      <c r="P221" s="1025"/>
      <c r="Q221" s="1025"/>
      <c r="R221" s="1025"/>
      <c r="S221" s="1025"/>
      <c r="T221" s="1025"/>
      <c r="U221" s="1025"/>
      <c r="V221" s="1025"/>
      <c r="W221" s="1025"/>
      <c r="X221" s="1025"/>
      <c r="Y221" s="1025"/>
      <c r="Z221" s="1026"/>
      <c r="AA221" s="1026"/>
      <c r="AB221" s="1026"/>
      <c r="AC221" s="1026"/>
      <c r="AD221" s="1026"/>
      <c r="AE221" s="1026"/>
      <c r="AF221" s="1026"/>
    </row>
    <row r="222" spans="1:32">
      <c r="A222" s="1170"/>
      <c r="B222" s="1170"/>
      <c r="C222" s="1140" t="s">
        <v>1791</v>
      </c>
      <c r="D222" s="1110" t="s">
        <v>814</v>
      </c>
      <c r="E222" s="1" t="s">
        <v>812</v>
      </c>
      <c r="F222" s="3" t="s">
        <v>180</v>
      </c>
      <c r="G222" s="918"/>
      <c r="H222" s="918"/>
      <c r="I222" s="918"/>
      <c r="J222" s="918"/>
      <c r="K222" s="918"/>
      <c r="L222" s="918"/>
      <c r="M222" s="918"/>
      <c r="N222" s="918"/>
      <c r="O222" s="918"/>
      <c r="P222" s="918"/>
      <c r="Q222" s="918"/>
      <c r="R222" s="918"/>
      <c r="S222" s="918"/>
      <c r="T222" s="918"/>
      <c r="U222" s="918"/>
      <c r="V222" s="918"/>
      <c r="W222" s="918"/>
      <c r="X222" s="918"/>
      <c r="Y222" s="918"/>
      <c r="Z222" s="972"/>
      <c r="AA222" s="972"/>
      <c r="AB222" s="972"/>
      <c r="AC222" s="972"/>
      <c r="AD222" s="972"/>
      <c r="AE222" s="972"/>
      <c r="AF222" s="972"/>
    </row>
    <row r="223" spans="1:32">
      <c r="A223" s="1170"/>
      <c r="B223" s="1170"/>
      <c r="C223" s="1016" t="s">
        <v>1793</v>
      </c>
      <c r="D223" s="1141"/>
      <c r="E223" s="1142" t="s">
        <v>812</v>
      </c>
      <c r="F223" s="1141" t="s">
        <v>1501</v>
      </c>
      <c r="G223" s="1143"/>
      <c r="H223" s="1143">
        <f>(H210/G210-1)*100</f>
        <v>7.878442672384911</v>
      </c>
      <c r="I223" s="1143">
        <f t="shared" ref="I223:AC223" si="206">(I210/H210-1)*100</f>
        <v>2.3063974109710728</v>
      </c>
      <c r="J223" s="1143">
        <f t="shared" si="206"/>
        <v>8.3448694596235597</v>
      </c>
      <c r="K223" s="1143">
        <f t="shared" si="206"/>
        <v>13.09486449530386</v>
      </c>
      <c r="L223" s="1143">
        <f t="shared" si="206"/>
        <v>3.1693019706557024</v>
      </c>
      <c r="M223" s="1143">
        <f t="shared" si="206"/>
        <v>-0.99276201088340787</v>
      </c>
      <c r="N223" s="1143">
        <f t="shared" si="206"/>
        <v>-3.9934025419617769</v>
      </c>
      <c r="O223" s="1143">
        <f t="shared" si="206"/>
        <v>1.6527881641975162</v>
      </c>
      <c r="P223" s="1143">
        <f t="shared" si="206"/>
        <v>0.56119177448938906</v>
      </c>
      <c r="Q223" s="1143">
        <f t="shared" si="206"/>
        <v>11.063329181248394</v>
      </c>
      <c r="R223" s="1143">
        <f t="shared" si="206"/>
        <v>8.4894743869331037</v>
      </c>
      <c r="S223" s="1143">
        <f t="shared" si="206"/>
        <v>9.716735380386865</v>
      </c>
      <c r="T223" s="1143">
        <f t="shared" si="206"/>
        <v>5.1093471327458007</v>
      </c>
      <c r="U223" s="1143">
        <f t="shared" si="206"/>
        <v>-16.968795799598745</v>
      </c>
      <c r="V223" s="1143">
        <f t="shared" si="206"/>
        <v>8.2947038309613141</v>
      </c>
      <c r="W223" s="1143">
        <f t="shared" si="206"/>
        <v>8.0087033923449624</v>
      </c>
      <c r="X223" s="1143">
        <f t="shared" si="206"/>
        <v>1.7438346781725622</v>
      </c>
      <c r="Y223" s="1143">
        <f t="shared" si="206"/>
        <v>-1.387788897688802</v>
      </c>
      <c r="Z223" s="1143">
        <f t="shared" si="206"/>
        <v>1.4558729579264407</v>
      </c>
      <c r="AA223" s="1143">
        <f t="shared" si="206"/>
        <v>8.9222166649275181</v>
      </c>
      <c r="AB223" s="1143">
        <f t="shared" si="206"/>
        <v>5.6935869102008985</v>
      </c>
      <c r="AC223" s="1143">
        <f t="shared" si="206"/>
        <v>7.390043257570067</v>
      </c>
      <c r="AD223" s="1471">
        <f ca="1">OFFSET('VVP1'!$K$62,0,5*(COLUMN()-7))</f>
        <v>8.7832999999999615</v>
      </c>
      <c r="AE223" s="1471">
        <f ca="1">OFFSET('VVP1'!$K$62,0,5*(COLUMN()-7))</f>
        <v>7.0126250000000168</v>
      </c>
      <c r="AF223" s="1471">
        <f ca="1">OFFSET('VVP1'!$K$62,0,5*(COLUMN()-7))</f>
        <v>4.9272150000000181</v>
      </c>
    </row>
    <row r="224" spans="1:32">
      <c r="A224" s="701"/>
      <c r="B224" s="701"/>
      <c r="C224" s="1147" t="s">
        <v>1793</v>
      </c>
      <c r="D224" s="1148"/>
      <c r="E224" s="1149" t="s">
        <v>813</v>
      </c>
      <c r="F224" s="1148" t="s">
        <v>594</v>
      </c>
      <c r="G224" s="1150"/>
      <c r="H224" s="1150">
        <f>(H211/G211-1)*100</f>
        <v>6.9345680464514503</v>
      </c>
      <c r="I224" s="1150">
        <f t="shared" ref="I224:AC224" si="207">(I211/H211-1)*100</f>
        <v>12.379752404951905</v>
      </c>
      <c r="J224" s="1150">
        <f t="shared" si="207"/>
        <v>13.863430086668682</v>
      </c>
      <c r="K224" s="1150">
        <f t="shared" si="207"/>
        <v>8.6846094934433626</v>
      </c>
      <c r="L224" s="1150">
        <f t="shared" si="207"/>
        <v>17.779615315477272</v>
      </c>
      <c r="M224" s="1150">
        <f t="shared" si="207"/>
        <v>7.6647415782469031</v>
      </c>
      <c r="N224" s="1150">
        <f t="shared" si="207"/>
        <v>-3.9431380665355009</v>
      </c>
      <c r="O224" s="1150">
        <f t="shared" si="207"/>
        <v>-0.17473126213820578</v>
      </c>
      <c r="P224" s="1150">
        <f t="shared" si="207"/>
        <v>5.4367944555813619</v>
      </c>
      <c r="Q224" s="1150">
        <f t="shared" si="207"/>
        <v>2.4553984554208874</v>
      </c>
      <c r="R224" s="1150">
        <f t="shared" si="207"/>
        <v>3.6725622540084046</v>
      </c>
      <c r="S224" s="1150">
        <f t="shared" si="207"/>
        <v>7.3647749593427347</v>
      </c>
      <c r="T224" s="1150">
        <f t="shared" si="207"/>
        <v>6.0254947476098497</v>
      </c>
      <c r="U224" s="1150">
        <f t="shared" si="207"/>
        <v>-1.6786648607529209</v>
      </c>
      <c r="V224" s="1150">
        <f t="shared" si="207"/>
        <v>4.8497657676358275</v>
      </c>
      <c r="W224" s="1150">
        <f t="shared" si="207"/>
        <v>5.8389464069579677</v>
      </c>
      <c r="X224" s="1150">
        <f t="shared" si="207"/>
        <v>-2.9035905894756575</v>
      </c>
      <c r="Y224" s="1150">
        <f t="shared" si="207"/>
        <v>4.8017478414683401</v>
      </c>
      <c r="Z224" s="1150">
        <f t="shared" si="207"/>
        <v>9.4062156640750683</v>
      </c>
      <c r="AA224" s="1150">
        <f t="shared" si="207"/>
        <v>6.1284262137331291</v>
      </c>
      <c r="AB224" s="1150">
        <f t="shared" si="207"/>
        <v>-1.5601219025139779</v>
      </c>
      <c r="AC224" s="1150">
        <f t="shared" si="207"/>
        <v>4.9325452957151406</v>
      </c>
      <c r="AD224" s="1472">
        <f ca="1">OFFSET('VVP1'!$K$63,0,5*(COLUMN()-7))</f>
        <v>8.2945399999999836</v>
      </c>
      <c r="AE224" s="1472">
        <f ca="1">OFFSET('VVP1'!$K$63,0,5*(COLUMN()-7))</f>
        <v>6.1128920000000031</v>
      </c>
      <c r="AF224" s="1472">
        <f ca="1">OFFSET('VVP1'!$K$63,0,5*(COLUMN()-7))</f>
        <v>3.8802500000000073</v>
      </c>
    </row>
    <row r="225" spans="1:32" ht="12.75" customHeight="1">
      <c r="A225" s="1170"/>
      <c r="B225" s="1170"/>
      <c r="C225" s="1123" t="s">
        <v>815</v>
      </c>
      <c r="D225" s="1137"/>
      <c r="E225" s="1138" t="s">
        <v>1341</v>
      </c>
      <c r="F225" s="1137" t="s">
        <v>200</v>
      </c>
      <c r="G225" s="1139"/>
      <c r="H225" s="1139">
        <f>(H212/G212-1)*100</f>
        <v>5.3320488500537166</v>
      </c>
      <c r="I225" s="1139">
        <f t="shared" ref="I225:AC225" si="208">(I212/H212-1)*100</f>
        <v>3.0998630675439287</v>
      </c>
      <c r="J225" s="1139">
        <f t="shared" si="208"/>
        <v>9.7244268132536291</v>
      </c>
      <c r="K225" s="1139">
        <f t="shared" si="208"/>
        <v>9.2513864475602716</v>
      </c>
      <c r="L225" s="1139">
        <f t="shared" si="208"/>
        <v>10.013074993088322</v>
      </c>
      <c r="M225" s="1139">
        <f t="shared" si="208"/>
        <v>5.9105398107856422</v>
      </c>
      <c r="N225" s="1139">
        <f t="shared" si="208"/>
        <v>3.9249128490848051E-3</v>
      </c>
      <c r="O225" s="1139">
        <f t="shared" si="208"/>
        <v>2.2108879945196058</v>
      </c>
      <c r="P225" s="1139">
        <f t="shared" si="208"/>
        <v>6.2619450306054425</v>
      </c>
      <c r="Q225" s="1139">
        <f t="shared" si="208"/>
        <v>6.2634893415723036</v>
      </c>
      <c r="R225" s="1139">
        <f t="shared" si="208"/>
        <v>10.756986275537251</v>
      </c>
      <c r="S225" s="1139">
        <f t="shared" si="208"/>
        <v>10.469353377834301</v>
      </c>
      <c r="T225" s="1139">
        <f t="shared" si="208"/>
        <v>4.5972742294922986</v>
      </c>
      <c r="U225" s="1139">
        <f t="shared" si="208"/>
        <v>-10.935858135675513</v>
      </c>
      <c r="V225" s="1139">
        <f t="shared" si="208"/>
        <v>6.7455651794201987</v>
      </c>
      <c r="W225" s="1139">
        <f t="shared" si="208"/>
        <v>5.9780599508349797</v>
      </c>
      <c r="X225" s="1139">
        <f t="shared" si="208"/>
        <v>0.48549450312334042</v>
      </c>
      <c r="Y225" s="1139">
        <f t="shared" si="208"/>
        <v>0.94565947431020092</v>
      </c>
      <c r="Z225" s="1139">
        <f t="shared" si="208"/>
        <v>7.722961362739289</v>
      </c>
      <c r="AA225" s="1139">
        <f t="shared" si="208"/>
        <v>8.7638558552233228</v>
      </c>
      <c r="AB225" s="1139">
        <f t="shared" si="208"/>
        <v>5.8893720376876235</v>
      </c>
      <c r="AC225" s="1139">
        <f t="shared" si="208"/>
        <v>8.8409136588744062</v>
      </c>
      <c r="AD225" s="1473">
        <f ca="1">OFFSET('VVP1'!$K$64,0,5*(COLUMN()-7))</f>
        <v>7.7163698242449286</v>
      </c>
      <c r="AE225" s="1473">
        <f ca="1">OFFSET('VVP1'!$K$64,0,5*(COLUMN()-7))</f>
        <v>4.4149916183999549</v>
      </c>
      <c r="AF225" s="1473">
        <f ca="1">OFFSET('VVP1'!$K$64,0,5*(COLUMN()-7))</f>
        <v>3.5513007278317854</v>
      </c>
    </row>
    <row r="227" spans="1:32">
      <c r="A227" s="1170"/>
      <c r="B227" s="1170"/>
      <c r="D227" s="1114"/>
      <c r="E227" s="1115" t="s">
        <v>464</v>
      </c>
      <c r="F227" s="1116"/>
      <c r="G227" s="735">
        <f>+InputY!$G$3</f>
        <v>1995</v>
      </c>
      <c r="H227" s="735">
        <f>+G227+1</f>
        <v>1996</v>
      </c>
      <c r="I227" s="735">
        <f t="shared" ref="I227:O227" si="209">+H227+1</f>
        <v>1997</v>
      </c>
      <c r="J227" s="735">
        <f t="shared" si="209"/>
        <v>1998</v>
      </c>
      <c r="K227" s="735">
        <f t="shared" si="209"/>
        <v>1999</v>
      </c>
      <c r="L227" s="735">
        <f t="shared" si="209"/>
        <v>2000</v>
      </c>
      <c r="M227" s="735">
        <f t="shared" si="209"/>
        <v>2001</v>
      </c>
      <c r="N227" s="735">
        <f t="shared" si="209"/>
        <v>2002</v>
      </c>
      <c r="O227" s="735">
        <f t="shared" si="209"/>
        <v>2003</v>
      </c>
      <c r="P227" s="735">
        <f>+O227+1</f>
        <v>2004</v>
      </c>
      <c r="Q227" s="735">
        <f>+P227+1</f>
        <v>2005</v>
      </c>
      <c r="R227" s="735">
        <f>+Q227+1</f>
        <v>2006</v>
      </c>
      <c r="S227" s="735">
        <f>+R227+1</f>
        <v>2007</v>
      </c>
      <c r="T227" s="735">
        <f t="shared" ref="T227:AF227" si="210">+S227+1</f>
        <v>2008</v>
      </c>
      <c r="U227" s="735">
        <f t="shared" si="210"/>
        <v>2009</v>
      </c>
      <c r="V227" s="735">
        <f t="shared" si="210"/>
        <v>2010</v>
      </c>
      <c r="W227" s="735">
        <f t="shared" si="210"/>
        <v>2011</v>
      </c>
      <c r="X227" s="735">
        <f t="shared" si="210"/>
        <v>2012</v>
      </c>
      <c r="Y227" s="735">
        <f t="shared" si="210"/>
        <v>2013</v>
      </c>
      <c r="Z227" s="735">
        <f t="shared" si="210"/>
        <v>2014</v>
      </c>
      <c r="AA227" s="735">
        <f t="shared" si="210"/>
        <v>2015</v>
      </c>
      <c r="AB227" s="735">
        <f t="shared" si="210"/>
        <v>2016</v>
      </c>
      <c r="AC227" s="735">
        <f t="shared" si="210"/>
        <v>2017</v>
      </c>
      <c r="AD227" s="735">
        <f t="shared" si="210"/>
        <v>2018</v>
      </c>
      <c r="AE227" s="735">
        <f t="shared" si="210"/>
        <v>2019</v>
      </c>
      <c r="AF227" s="735">
        <f t="shared" si="210"/>
        <v>2020</v>
      </c>
    </row>
    <row r="228" spans="1:32">
      <c r="A228" s="701">
        <f>+ROW(InputY!A206)</f>
        <v>206</v>
      </c>
      <c r="B228" s="1170" t="s">
        <v>868</v>
      </c>
      <c r="C228" s="1119" t="s">
        <v>1791</v>
      </c>
      <c r="D228" s="1098" t="s">
        <v>664</v>
      </c>
      <c r="E228" s="3665" t="s">
        <v>1341</v>
      </c>
      <c r="F228" s="1098" t="s">
        <v>1571</v>
      </c>
      <c r="G228" s="1124">
        <f>+InputY!G206/1000</f>
        <v>29.338000000000001</v>
      </c>
      <c r="H228" s="1124">
        <f>+InputY!H206/1000</f>
        <v>30.954000000000001</v>
      </c>
      <c r="I228" s="1124">
        <f>+InputY!I206/1000</f>
        <v>33.084000000000003</v>
      </c>
      <c r="J228" s="1124">
        <f>+InputY!J206/1000</f>
        <v>38.485999999999997</v>
      </c>
      <c r="K228" s="1124">
        <f>+InputY!K206/1000</f>
        <v>43.835999999999999</v>
      </c>
      <c r="L228" s="1124">
        <f>+InputY!L206/1000</f>
        <v>49.478000000000002</v>
      </c>
      <c r="M228" s="1124">
        <f>+InputY!M206/1000</f>
        <v>52.545999999999999</v>
      </c>
      <c r="N228" s="1124">
        <f>+InputY!N206/1000</f>
        <v>59.432000000000002</v>
      </c>
      <c r="O228" s="1124">
        <f>+InputY!O206/1000</f>
        <v>66.695999999999998</v>
      </c>
      <c r="P228" s="1124">
        <f>+InputY!P206/1000</f>
        <v>77.59</v>
      </c>
      <c r="Q228" s="1124">
        <f>+InputY!Q206/1000</f>
        <v>83.100999999999999</v>
      </c>
      <c r="R228" s="1124">
        <f>+InputY!R206/1000</f>
        <v>95.426000000000002</v>
      </c>
      <c r="S228" s="1124">
        <f>+InputY!S206/1000</f>
        <v>107.449</v>
      </c>
      <c r="T228" s="1124">
        <f>+InputY!T206/1000</f>
        <v>103.60899999999999</v>
      </c>
      <c r="U228" s="1124">
        <f>+InputY!U206/1000</f>
        <v>91.816000000000003</v>
      </c>
      <c r="V228" s="1124">
        <f>+InputY!V206/1000</f>
        <v>105.845</v>
      </c>
      <c r="W228" s="1124">
        <f>+InputY!W206/1000</f>
        <v>103.506</v>
      </c>
      <c r="X228" s="1124">
        <f>+InputY!X206/1000</f>
        <v>89.721999999999994</v>
      </c>
      <c r="Y228" s="1124">
        <f>+InputY!Y206/1000</f>
        <v>92.082999999999998</v>
      </c>
      <c r="Z228" s="1124">
        <f>+InputY!Z206/1000</f>
        <v>96.292000000000002</v>
      </c>
      <c r="AA228" s="1124">
        <f>+InputY!AA206/1000</f>
        <v>124.821</v>
      </c>
      <c r="AB228" s="1124">
        <f>+InputY!AB206/1000</f>
        <v>141.32300000000001</v>
      </c>
      <c r="AC228" s="1124">
        <f>+InputY!AC206/1000</f>
        <v>154.51400000000001</v>
      </c>
      <c r="AD228" s="1386">
        <f t="shared" ref="AD228:AF230" ca="1" si="211">+AC228*(1+AD235/100)</f>
        <v>163.78484000000003</v>
      </c>
      <c r="AE228" s="1386">
        <f t="shared" ca="1" si="211"/>
        <v>168.86217004000002</v>
      </c>
      <c r="AF228" s="1386">
        <f t="shared" ca="1" si="211"/>
        <v>172.57713778088004</v>
      </c>
    </row>
    <row r="229" spans="1:32">
      <c r="A229" s="701">
        <f>+ROW(InputY!A171)</f>
        <v>171</v>
      </c>
      <c r="B229" s="701">
        <v>126</v>
      </c>
      <c r="C229" s="1120" t="s">
        <v>1791</v>
      </c>
      <c r="D229" s="3" t="s">
        <v>666</v>
      </c>
      <c r="E229" s="3666" t="s">
        <v>1341</v>
      </c>
      <c r="F229" s="3" t="s">
        <v>1226</v>
      </c>
      <c r="G229" s="1102">
        <f>+InputY!G171/1000</f>
        <v>96.528000000000006</v>
      </c>
      <c r="H229" s="1102">
        <f>+InputY!H171/1000</f>
        <v>95.433000000000007</v>
      </c>
      <c r="I229" s="1102">
        <f>+InputY!I171/1000</f>
        <v>87.947000000000003</v>
      </c>
      <c r="J229" s="1102">
        <f>+InputY!J171/1000</f>
        <v>92.037000000000006</v>
      </c>
      <c r="K229" s="1102">
        <f>+InputY!K171/1000</f>
        <v>97.268000000000001</v>
      </c>
      <c r="L229" s="1102">
        <f>+InputY!L171/1000</f>
        <v>93.668999999999997</v>
      </c>
      <c r="M229" s="1102">
        <f>+InputY!M171/1000</f>
        <v>102.95699999999999</v>
      </c>
      <c r="N229" s="1102">
        <f>+InputY!N171/1000</f>
        <v>111.72499999999999</v>
      </c>
      <c r="O229" s="1102">
        <f>+InputY!O171/1000</f>
        <v>112.456</v>
      </c>
      <c r="P229" s="1102">
        <f>+InputY!P171/1000</f>
        <v>115.19499999999999</v>
      </c>
      <c r="Q229" s="1102">
        <f>+InputY!Q171/1000</f>
        <v>119.395</v>
      </c>
      <c r="R229" s="1102">
        <f>+InputY!R171/1000</f>
        <v>127.952</v>
      </c>
      <c r="S229" s="1102">
        <f>+InputY!S171/1000</f>
        <v>135.08099999999999</v>
      </c>
      <c r="T229" s="1102">
        <f>+InputY!T171/1000</f>
        <v>144.477</v>
      </c>
      <c r="U229" s="1102">
        <f>+InputY!U171/1000</f>
        <v>147.809</v>
      </c>
      <c r="V229" s="1102">
        <f>+InputY!V171/1000</f>
        <v>158.89099999999999</v>
      </c>
      <c r="W229" s="1102">
        <f>+InputY!W171/1000</f>
        <v>162.20400000000001</v>
      </c>
      <c r="X229" s="1102">
        <f>+InputY!X171/1000</f>
        <v>167.86799999999999</v>
      </c>
      <c r="Y229" s="1102">
        <f>+InputY!Y171/1000</f>
        <v>168.19200000000001</v>
      </c>
      <c r="Z229" s="3372">
        <f>+InputY!Z171/1000</f>
        <v>173.15700000000001</v>
      </c>
      <c r="AA229" s="3372">
        <f>+InputY!AA171/1000</f>
        <v>175.76900000000001</v>
      </c>
      <c r="AB229" s="3372">
        <f>+InputY!AB171/1000</f>
        <v>192.80699999999999</v>
      </c>
      <c r="AC229" s="3372">
        <f>+InputY!AC171/1000</f>
        <v>209.73699999999999</v>
      </c>
      <c r="AD229" s="976">
        <f t="shared" ca="1" si="211"/>
        <v>225.10463972699998</v>
      </c>
      <c r="AE229" s="976">
        <f t="shared" ca="1" si="211"/>
        <v>237.1864559504275</v>
      </c>
      <c r="AF229" s="976">
        <f t="shared" ca="1" si="211"/>
        <v>245.79039464002921</v>
      </c>
    </row>
    <row r="230" spans="1:32">
      <c r="A230" s="701">
        <f>+ROW(InputY!A133)</f>
        <v>133</v>
      </c>
      <c r="B230" s="1170" t="s">
        <v>869</v>
      </c>
      <c r="C230" s="1121" t="s">
        <v>1791</v>
      </c>
      <c r="D230" s="1117" t="s">
        <v>665</v>
      </c>
      <c r="E230" s="1079" t="s">
        <v>1341</v>
      </c>
      <c r="F230" s="1117" t="s">
        <v>744</v>
      </c>
      <c r="G230" s="1125">
        <f>+InputY!G133/1000</f>
        <v>243.673</v>
      </c>
      <c r="H230" s="1125">
        <f>+InputY!H133/1000</f>
        <v>262.85599999999999</v>
      </c>
      <c r="I230" s="1125">
        <f>+InputY!I133/1000</f>
        <v>280.27800000000002</v>
      </c>
      <c r="J230" s="1125">
        <f>+InputY!J133/1000</f>
        <v>309.81099999999998</v>
      </c>
      <c r="K230" s="1125">
        <f>+InputY!K133/1000</f>
        <v>339.96699999999998</v>
      </c>
      <c r="L230" s="1125">
        <f>+InputY!L133/1000</f>
        <v>386.09399999999999</v>
      </c>
      <c r="M230" s="1125">
        <f>+InputY!M133/1000</f>
        <v>405.01900000000001</v>
      </c>
      <c r="N230" s="1125">
        <f>+InputY!N133/1000</f>
        <v>389.387</v>
      </c>
      <c r="O230" s="1125">
        <f>+InputY!O133/1000</f>
        <v>393.78500000000003</v>
      </c>
      <c r="P230" s="1125">
        <f>+InputY!P133/1000</f>
        <v>416.029</v>
      </c>
      <c r="Q230" s="1125">
        <f>+InputY!Q133/1000</f>
        <v>444.45100000000002</v>
      </c>
      <c r="R230" s="1125">
        <f>+InputY!R133/1000</f>
        <v>493.161</v>
      </c>
      <c r="S230" s="1125">
        <f>+InputY!S133/1000</f>
        <v>549.02599999999995</v>
      </c>
      <c r="T230" s="1125">
        <f>+InputY!T133/1000</f>
        <v>579.86</v>
      </c>
      <c r="U230" s="1125">
        <f>+InputY!U133/1000</f>
        <v>497.77800000000002</v>
      </c>
      <c r="V230" s="1125">
        <f>+InputY!V133/1000</f>
        <v>522.40899999999999</v>
      </c>
      <c r="W230" s="1125">
        <f>+InputY!W133/1000</f>
        <v>568.49099999999999</v>
      </c>
      <c r="X230" s="1125">
        <f>+InputY!X133/1000</f>
        <v>580.66099999999994</v>
      </c>
      <c r="Y230" s="1125">
        <f>+InputY!Y133/1000</f>
        <v>585.90300000000002</v>
      </c>
      <c r="Z230" s="1125">
        <f>+InputY!Z133/1000</f>
        <v>642.07899999999995</v>
      </c>
      <c r="AA230" s="1125">
        <f>+InputY!AA133/1000</f>
        <v>690.82299999999998</v>
      </c>
      <c r="AB230" s="1125">
        <f>+InputY!AB133/1000</f>
        <v>715.67100000000005</v>
      </c>
      <c r="AC230" s="1125">
        <f>+InputY!AC133/1000</f>
        <v>778.36199999999997</v>
      </c>
      <c r="AD230" s="977">
        <f t="shared" ca="1" si="211"/>
        <v>841.89176501290001</v>
      </c>
      <c r="AE230" s="977">
        <f t="shared" ca="1" si="211"/>
        <v>879.0715075455779</v>
      </c>
      <c r="AF230" s="977">
        <f t="shared" ca="1" si="211"/>
        <v>912.39108177087292</v>
      </c>
    </row>
    <row r="231" spans="1:32">
      <c r="A231" s="701"/>
      <c r="B231" s="701"/>
      <c r="C231" s="731" t="s">
        <v>1793</v>
      </c>
      <c r="D231" s="1095"/>
      <c r="E231" s="1096" t="s">
        <v>1341</v>
      </c>
      <c r="F231" s="1095" t="s">
        <v>200</v>
      </c>
      <c r="G231" s="1097">
        <f>+G212</f>
        <v>369.53899999999999</v>
      </c>
      <c r="H231" s="1097">
        <f t="shared" ref="H231:S231" si="212">+H212</f>
        <v>389.24299999999999</v>
      </c>
      <c r="I231" s="1097">
        <f t="shared" si="212"/>
        <v>401.30900000000003</v>
      </c>
      <c r="J231" s="1097">
        <f t="shared" si="212"/>
        <v>440.334</v>
      </c>
      <c r="K231" s="1097">
        <f t="shared" si="212"/>
        <v>481.07100000000003</v>
      </c>
      <c r="L231" s="1097">
        <f t="shared" si="212"/>
        <v>529.24099999999999</v>
      </c>
      <c r="M231" s="1097">
        <f t="shared" si="212"/>
        <v>560.52200000000005</v>
      </c>
      <c r="N231" s="1097">
        <f t="shared" si="212"/>
        <v>560.54399999999998</v>
      </c>
      <c r="O231" s="1097">
        <f t="shared" si="212"/>
        <v>572.93700000000001</v>
      </c>
      <c r="P231" s="1097">
        <f t="shared" si="212"/>
        <v>608.81399999999996</v>
      </c>
      <c r="Q231" s="1097">
        <f t="shared" si="212"/>
        <v>646.947</v>
      </c>
      <c r="R231" s="1097">
        <f t="shared" si="212"/>
        <v>716.53899999999999</v>
      </c>
      <c r="S231" s="1097">
        <f t="shared" si="212"/>
        <v>791.55600000000004</v>
      </c>
      <c r="T231" s="1097">
        <f t="shared" ref="T231:Z231" si="213">+T212</f>
        <v>827.94600000000003</v>
      </c>
      <c r="U231" s="1097">
        <f t="shared" si="213"/>
        <v>737.40300000000002</v>
      </c>
      <c r="V231" s="1097">
        <f t="shared" si="213"/>
        <v>787.14499999999998</v>
      </c>
      <c r="W231" s="1097">
        <f t="shared" si="213"/>
        <v>834.20100000000002</v>
      </c>
      <c r="X231" s="1097">
        <f t="shared" si="213"/>
        <v>838.25099999999998</v>
      </c>
      <c r="Y231" s="1097">
        <f t="shared" si="213"/>
        <v>846.178</v>
      </c>
      <c r="Z231" s="1097">
        <f t="shared" si="213"/>
        <v>911.52800000000002</v>
      </c>
      <c r="AA231" s="1097">
        <f t="shared" ref="AA231" si="214">+AA212</f>
        <v>991.41300000000001</v>
      </c>
      <c r="AB231" s="1097">
        <f t="shared" ref="AB231" si="215">+AB212</f>
        <v>1049.8009999999999</v>
      </c>
      <c r="AC231" s="1097">
        <f t="shared" ref="AC231" si="216">+AC212</f>
        <v>1142.6130000000001</v>
      </c>
      <c r="AD231" s="2371">
        <f ca="1">+AD212</f>
        <v>1230.7812447398999</v>
      </c>
      <c r="AE231" s="2371">
        <f ca="1">+AE212</f>
        <v>1285.1201335360051</v>
      </c>
      <c r="AF231" s="2371">
        <f ca="1">+AF212</f>
        <v>1330.758614191782</v>
      </c>
    </row>
    <row r="232" spans="1:32" s="736" customFormat="1" ht="12.75" customHeight="1">
      <c r="A232" s="701"/>
      <c r="B232" s="701"/>
      <c r="C232" s="811"/>
      <c r="D232" s="2033"/>
      <c r="E232" s="2033" t="s">
        <v>90</v>
      </c>
      <c r="F232" s="2033"/>
      <c r="G232" s="1040">
        <f>ABS(G231-G230-G229-G228)</f>
        <v>2.1316282072803006E-14</v>
      </c>
      <c r="H232" s="1040">
        <f t="shared" ref="H232:V232" si="217">ABS(H231-H230-H229-H228)</f>
        <v>7.1054273576010019E-15</v>
      </c>
      <c r="I232" s="1040">
        <f t="shared" si="217"/>
        <v>0</v>
      </c>
      <c r="J232" s="1040">
        <f t="shared" si="217"/>
        <v>2.1316282072803006E-14</v>
      </c>
      <c r="K232" s="1040">
        <f t="shared" si="217"/>
        <v>4.2632564145606011E-14</v>
      </c>
      <c r="L232" s="1040">
        <f t="shared" si="217"/>
        <v>7.1054273576010019E-15</v>
      </c>
      <c r="M232" s="1040">
        <f t="shared" si="217"/>
        <v>4.9737991503207013E-14</v>
      </c>
      <c r="N232" s="1040">
        <f t="shared" si="217"/>
        <v>1.4210854715202004E-14</v>
      </c>
      <c r="O232" s="1040">
        <f t="shared" si="217"/>
        <v>1.4210854715202004E-14</v>
      </c>
      <c r="P232" s="1040">
        <f t="shared" si="217"/>
        <v>2.8421709430404007E-14</v>
      </c>
      <c r="Q232" s="1040">
        <f t="shared" si="217"/>
        <v>1.4210854715202004E-14</v>
      </c>
      <c r="R232" s="1040">
        <f t="shared" si="217"/>
        <v>1.4210854715202004E-14</v>
      </c>
      <c r="S232" s="1040">
        <f t="shared" si="217"/>
        <v>9.9475983006414026E-14</v>
      </c>
      <c r="T232" s="1040">
        <f t="shared" si="217"/>
        <v>1.4210854715202004E-14</v>
      </c>
      <c r="U232" s="1040">
        <f t="shared" si="217"/>
        <v>0</v>
      </c>
      <c r="V232" s="1040">
        <f t="shared" si="217"/>
        <v>0</v>
      </c>
      <c r="W232" s="1040">
        <f t="shared" ref="W232:AB232" si="218">ABS(W231-W230-W229-W228)</f>
        <v>2.8421709430404007E-14</v>
      </c>
      <c r="X232" s="1040">
        <f t="shared" si="218"/>
        <v>4.2632564145606011E-14</v>
      </c>
      <c r="Y232" s="1040">
        <f t="shared" si="218"/>
        <v>2.8421709430404007E-14</v>
      </c>
      <c r="Z232" s="2999">
        <f>ABS(Z231-Z230-Z229-Z228)</f>
        <v>5.6843418860808015E-14</v>
      </c>
      <c r="AA232" s="2999">
        <f>ABS(AA231-AA230-AA229-AA228)</f>
        <v>2.8421709430404007E-14</v>
      </c>
      <c r="AB232" s="2999">
        <f t="shared" si="218"/>
        <v>1.1368683772161603E-13</v>
      </c>
      <c r="AC232" s="2999">
        <f t="shared" ref="AC232" si="219">ABS(AC231-AC230-AC229-AC228)</f>
        <v>8.5265128291212022E-14</v>
      </c>
      <c r="AD232" s="2999">
        <f ca="1">ABS(AD231-AD230-AD229-AD228)</f>
        <v>1.4210854715202004E-13</v>
      </c>
      <c r="AE232" s="2999">
        <f ca="1">ABS(AE231-AE230-AE229-AE228)</f>
        <v>2.8421709430404007E-13</v>
      </c>
      <c r="AF232" s="2999">
        <f ca="1">ABS(AF231-AF230-AF229-AF228)</f>
        <v>1.1368683772161603E-13</v>
      </c>
    </row>
    <row r="233" spans="1:32">
      <c r="AA233" s="3155">
        <f>AA230+AA228</f>
        <v>815.64400000000001</v>
      </c>
    </row>
    <row r="234" spans="1:32" s="736" customFormat="1" ht="12.75" customHeight="1">
      <c r="A234" s="701"/>
      <c r="B234" s="701"/>
      <c r="C234" s="811"/>
      <c r="D234" s="1132"/>
      <c r="E234" s="1133" t="s">
        <v>464</v>
      </c>
      <c r="F234" s="1134"/>
      <c r="G234" s="933">
        <f>+InputY!$G$3</f>
        <v>1995</v>
      </c>
      <c r="H234" s="933">
        <f>+G234+1</f>
        <v>1996</v>
      </c>
      <c r="I234" s="933">
        <f t="shared" ref="I234:O234" si="220">+H234+1</f>
        <v>1997</v>
      </c>
      <c r="J234" s="933">
        <f t="shared" si="220"/>
        <v>1998</v>
      </c>
      <c r="K234" s="933">
        <f t="shared" si="220"/>
        <v>1999</v>
      </c>
      <c r="L234" s="933">
        <f t="shared" si="220"/>
        <v>2000</v>
      </c>
      <c r="M234" s="933">
        <f t="shared" si="220"/>
        <v>2001</v>
      </c>
      <c r="N234" s="933">
        <f t="shared" si="220"/>
        <v>2002</v>
      </c>
      <c r="O234" s="933">
        <f t="shared" si="220"/>
        <v>2003</v>
      </c>
      <c r="P234" s="933">
        <f>+O234+1</f>
        <v>2004</v>
      </c>
      <c r="Q234" s="933">
        <f>+P234+1</f>
        <v>2005</v>
      </c>
      <c r="R234" s="933">
        <f>+Q234+1</f>
        <v>2006</v>
      </c>
      <c r="S234" s="933">
        <f>+R234+1</f>
        <v>2007</v>
      </c>
      <c r="T234" s="933">
        <f t="shared" ref="T234:AF234" si="221">+S234+1</f>
        <v>2008</v>
      </c>
      <c r="U234" s="933">
        <f t="shared" si="221"/>
        <v>2009</v>
      </c>
      <c r="V234" s="933">
        <f t="shared" si="221"/>
        <v>2010</v>
      </c>
      <c r="W234" s="933">
        <f t="shared" si="221"/>
        <v>2011</v>
      </c>
      <c r="X234" s="933">
        <f t="shared" si="221"/>
        <v>2012</v>
      </c>
      <c r="Y234" s="933">
        <f t="shared" si="221"/>
        <v>2013</v>
      </c>
      <c r="Z234" s="933">
        <f t="shared" si="221"/>
        <v>2014</v>
      </c>
      <c r="AA234" s="933">
        <f t="shared" si="221"/>
        <v>2015</v>
      </c>
      <c r="AB234" s="933">
        <f t="shared" si="221"/>
        <v>2016</v>
      </c>
      <c r="AC234" s="933">
        <f t="shared" si="221"/>
        <v>2017</v>
      </c>
      <c r="AD234" s="933">
        <f t="shared" si="221"/>
        <v>2018</v>
      </c>
      <c r="AE234" s="933">
        <f t="shared" si="221"/>
        <v>2019</v>
      </c>
      <c r="AF234" s="933">
        <f t="shared" si="221"/>
        <v>2020</v>
      </c>
    </row>
    <row r="235" spans="1:32" s="736" customFormat="1" ht="12.75" customHeight="1">
      <c r="A235" s="701"/>
      <c r="B235" s="701"/>
      <c r="C235" s="831" t="s">
        <v>1791</v>
      </c>
      <c r="D235" s="726" t="s">
        <v>664</v>
      </c>
      <c r="E235" s="775" t="s">
        <v>1341</v>
      </c>
      <c r="F235" s="770" t="s">
        <v>1571</v>
      </c>
      <c r="G235" s="1135"/>
      <c r="H235" s="1135">
        <f>+(H228/G228-1)*100</f>
        <v>5.5082146022223721</v>
      </c>
      <c r="I235" s="1135">
        <f t="shared" ref="I235:AC235" si="222">+(I228/H228-1)*100</f>
        <v>6.8811785229695666</v>
      </c>
      <c r="J235" s="1135">
        <f t="shared" si="222"/>
        <v>16.328134445653465</v>
      </c>
      <c r="K235" s="1135">
        <f t="shared" si="222"/>
        <v>13.90115886296317</v>
      </c>
      <c r="L235" s="1135">
        <f t="shared" si="222"/>
        <v>12.870699881376035</v>
      </c>
      <c r="M235" s="1135">
        <f t="shared" si="222"/>
        <v>6.2007356805044545</v>
      </c>
      <c r="N235" s="1135">
        <f t="shared" si="222"/>
        <v>13.104708255623642</v>
      </c>
      <c r="O235" s="1135">
        <f t="shared" si="222"/>
        <v>12.222371786243102</v>
      </c>
      <c r="P235" s="1135">
        <f t="shared" si="222"/>
        <v>16.333813122226239</v>
      </c>
      <c r="Q235" s="1135">
        <f t="shared" si="222"/>
        <v>7.1027194226060075</v>
      </c>
      <c r="R235" s="1135">
        <f t="shared" si="222"/>
        <v>14.83134980325147</v>
      </c>
      <c r="S235" s="1135">
        <f t="shared" si="222"/>
        <v>12.599291597677787</v>
      </c>
      <c r="T235" s="1135">
        <f t="shared" si="222"/>
        <v>-3.5737884950069354</v>
      </c>
      <c r="U235" s="1135">
        <f t="shared" si="222"/>
        <v>-11.382215830671072</v>
      </c>
      <c r="V235" s="1135">
        <f t="shared" si="222"/>
        <v>15.279471987453164</v>
      </c>
      <c r="W235" s="1135">
        <f t="shared" si="222"/>
        <v>-2.2098351362841884</v>
      </c>
      <c r="X235" s="1135">
        <f t="shared" si="222"/>
        <v>-13.317102390199608</v>
      </c>
      <c r="Y235" s="1135">
        <f t="shared" si="222"/>
        <v>2.6314616259111467</v>
      </c>
      <c r="Z235" s="1135">
        <f t="shared" si="222"/>
        <v>4.5708762746652587</v>
      </c>
      <c r="AA235" s="1135">
        <f t="shared" si="222"/>
        <v>29.627591077140369</v>
      </c>
      <c r="AB235" s="1135">
        <f t="shared" si="222"/>
        <v>13.220531801539813</v>
      </c>
      <c r="AC235" s="1135">
        <f t="shared" si="222"/>
        <v>9.333937151065296</v>
      </c>
      <c r="AD235" s="1468">
        <f ca="1">OFFSET('VVP1'!$K$71,0,5*(COLUMN()-7))</f>
        <v>6</v>
      </c>
      <c r="AE235" s="1468">
        <f ca="1">OFFSET('VVP1'!$K$71,0,5*(COLUMN()-7))</f>
        <v>3.1</v>
      </c>
      <c r="AF235" s="1468">
        <f ca="1">OFFSET('VVP1'!$K$71,0,5*(COLUMN()-7))</f>
        <v>2.2000000000000002</v>
      </c>
    </row>
    <row r="236" spans="1:32" s="736" customFormat="1" ht="12.75" customHeight="1">
      <c r="A236" s="701"/>
      <c r="B236" s="701"/>
      <c r="C236" s="832" t="s">
        <v>1791</v>
      </c>
      <c r="D236" s="3" t="s">
        <v>666</v>
      </c>
      <c r="E236" s="29" t="s">
        <v>1341</v>
      </c>
      <c r="F236" s="741" t="s">
        <v>1226</v>
      </c>
      <c r="G236" s="1084"/>
      <c r="H236" s="1084">
        <f>+(H229/G229-1)*100</f>
        <v>-1.1343858776727944</v>
      </c>
      <c r="I236" s="1084">
        <f t="shared" ref="I236:Y236" si="223">+(I229/H229-1)*100</f>
        <v>-7.844246749028116</v>
      </c>
      <c r="J236" s="1084">
        <f t="shared" si="223"/>
        <v>4.650528159004863</v>
      </c>
      <c r="K236" s="1084">
        <f t="shared" si="223"/>
        <v>5.6835837760900398</v>
      </c>
      <c r="L236" s="1084">
        <f t="shared" si="223"/>
        <v>-3.7000863593370958</v>
      </c>
      <c r="M236" s="1084">
        <f t="shared" si="223"/>
        <v>9.915767222880568</v>
      </c>
      <c r="N236" s="1084">
        <f t="shared" si="223"/>
        <v>8.5161766562739771</v>
      </c>
      <c r="O236" s="1084">
        <f t="shared" si="223"/>
        <v>0.65428507496085864</v>
      </c>
      <c r="P236" s="1084">
        <f t="shared" si="223"/>
        <v>2.4356192644234165</v>
      </c>
      <c r="Q236" s="1084">
        <f t="shared" si="223"/>
        <v>3.6459915794956332</v>
      </c>
      <c r="R236" s="1084">
        <f t="shared" si="223"/>
        <v>7.166966790904139</v>
      </c>
      <c r="S236" s="1084">
        <f t="shared" si="223"/>
        <v>5.5716206077278896</v>
      </c>
      <c r="T236" s="1084">
        <f t="shared" si="223"/>
        <v>6.955826504097562</v>
      </c>
      <c r="U236" s="1084">
        <f t="shared" si="223"/>
        <v>2.3062494376267395</v>
      </c>
      <c r="V236" s="1084">
        <f t="shared" si="223"/>
        <v>7.4975136831992639</v>
      </c>
      <c r="W236" s="1084">
        <f t="shared" si="223"/>
        <v>2.0850771912820809</v>
      </c>
      <c r="X236" s="1084">
        <f t="shared" si="223"/>
        <v>3.4918990900347557</v>
      </c>
      <c r="Y236" s="1084">
        <f t="shared" si="223"/>
        <v>0.19300879262278414</v>
      </c>
      <c r="Z236" s="1084">
        <f>+(Z229/Y229-1)*100</f>
        <v>2.9519834474885931</v>
      </c>
      <c r="AA236" s="1084">
        <f>+(AA229/Z229-1)*100</f>
        <v>1.508457642486305</v>
      </c>
      <c r="AB236" s="1084">
        <f>+(AB229/AA229-1)*100</f>
        <v>9.693404411471862</v>
      </c>
      <c r="AC236" s="1084">
        <f>+(AC229/AB229-1)*100</f>
        <v>8.780801526915516</v>
      </c>
      <c r="AD236" s="1457">
        <f ca="1">OFFSET('VVP1'!$K$70,0,5*(COLUMN()-7))</f>
        <v>7.3270999999999864</v>
      </c>
      <c r="AE236" s="1457">
        <f ca="1">OFFSET('VVP1'!$K$70,0,5*(COLUMN()-7))</f>
        <v>5.3671999999999942</v>
      </c>
      <c r="AF236" s="1457">
        <f ca="1">OFFSET('VVP1'!$K$70,0,5*(COLUMN()-7))</f>
        <v>3.6274999999999835</v>
      </c>
    </row>
    <row r="237" spans="1:32" s="736" customFormat="1" ht="12.75" customHeight="1">
      <c r="A237" s="701"/>
      <c r="B237" s="701"/>
      <c r="C237" s="833" t="s">
        <v>1791</v>
      </c>
      <c r="D237" s="728" t="s">
        <v>665</v>
      </c>
      <c r="E237" s="834" t="s">
        <v>1341</v>
      </c>
      <c r="F237" s="773" t="s">
        <v>744</v>
      </c>
      <c r="G237" s="1136"/>
      <c r="H237" s="1136">
        <f>+(H230/G230-1)*100</f>
        <v>7.8724356001690809</v>
      </c>
      <c r="I237" s="1136">
        <f t="shared" ref="I237:AC237" si="224">+(I230/H230-1)*100</f>
        <v>6.6279635998417463</v>
      </c>
      <c r="J237" s="1136">
        <f t="shared" si="224"/>
        <v>10.537038226332406</v>
      </c>
      <c r="K237" s="1136">
        <f t="shared" si="224"/>
        <v>9.733676338154563</v>
      </c>
      <c r="L237" s="1136">
        <f t="shared" si="224"/>
        <v>13.568081607920778</v>
      </c>
      <c r="M237" s="1136">
        <f t="shared" si="224"/>
        <v>4.9016560733914583</v>
      </c>
      <c r="N237" s="1136">
        <f t="shared" si="224"/>
        <v>-3.8595720200780725</v>
      </c>
      <c r="O237" s="1136">
        <f t="shared" si="224"/>
        <v>1.1294675990723979</v>
      </c>
      <c r="P237" s="1136">
        <f t="shared" si="224"/>
        <v>5.6487677285828486</v>
      </c>
      <c r="Q237" s="1136">
        <f t="shared" si="224"/>
        <v>6.8317352876842818</v>
      </c>
      <c r="R237" s="1136">
        <f t="shared" si="224"/>
        <v>10.959588346071891</v>
      </c>
      <c r="S237" s="1136">
        <f t="shared" si="224"/>
        <v>11.32794361273497</v>
      </c>
      <c r="T237" s="1136">
        <f t="shared" si="224"/>
        <v>5.6161274693730556</v>
      </c>
      <c r="U237" s="1136">
        <f t="shared" si="224"/>
        <v>-14.155485806918911</v>
      </c>
      <c r="V237" s="1136">
        <f t="shared" si="224"/>
        <v>4.9481897552724252</v>
      </c>
      <c r="W237" s="1136">
        <f t="shared" si="224"/>
        <v>8.8210578301675557</v>
      </c>
      <c r="X237" s="1136">
        <f t="shared" si="224"/>
        <v>2.1407550867120095</v>
      </c>
      <c r="Y237" s="1136">
        <f t="shared" si="224"/>
        <v>0.90276426348594452</v>
      </c>
      <c r="Z237" s="1136">
        <f t="shared" si="224"/>
        <v>9.5879352042914867</v>
      </c>
      <c r="AA237" s="1136">
        <f t="shared" si="224"/>
        <v>7.591589196967985</v>
      </c>
      <c r="AB237" s="1136">
        <f t="shared" si="224"/>
        <v>3.5968692414699577</v>
      </c>
      <c r="AC237" s="1136">
        <f t="shared" si="224"/>
        <v>8.7597513382545742</v>
      </c>
      <c r="AD237" s="1469">
        <f ca="1">OFFSET('VVP1'!$K$72,0,5*(COLUMN()-7))</f>
        <v>8.1619818301638567</v>
      </c>
      <c r="AE237" s="1469">
        <f ca="1">OFFSET('VVP1'!$K$72,0,5*(COLUMN()-7))</f>
        <v>4.416214064299373</v>
      </c>
      <c r="AF237" s="1469">
        <f ca="1">OFFSET('VVP1'!$K$72,0,5*(COLUMN()-7))</f>
        <v>3.7903144328184757</v>
      </c>
    </row>
    <row r="238" spans="1:32" s="736" customFormat="1" ht="12.75" customHeight="1">
      <c r="A238" s="701"/>
      <c r="B238" s="701"/>
      <c r="C238" s="811" t="s">
        <v>1793</v>
      </c>
      <c r="D238" s="754"/>
      <c r="E238" s="759" t="s">
        <v>1341</v>
      </c>
      <c r="F238" s="760" t="s">
        <v>200</v>
      </c>
      <c r="G238" s="758"/>
      <c r="H238" s="758">
        <f>+(H231/G231-1)*100</f>
        <v>5.3320488500537166</v>
      </c>
      <c r="I238" s="758">
        <f t="shared" ref="I238:AC238" si="225">+(I231/H231-1)*100</f>
        <v>3.0998630675439287</v>
      </c>
      <c r="J238" s="758">
        <f t="shared" si="225"/>
        <v>9.7244268132536291</v>
      </c>
      <c r="K238" s="758">
        <f t="shared" si="225"/>
        <v>9.2513864475602716</v>
      </c>
      <c r="L238" s="758">
        <f t="shared" si="225"/>
        <v>10.013074993088322</v>
      </c>
      <c r="M238" s="758">
        <f t="shared" si="225"/>
        <v>5.9105398107856422</v>
      </c>
      <c r="N238" s="758">
        <f t="shared" si="225"/>
        <v>3.9249128490848051E-3</v>
      </c>
      <c r="O238" s="758">
        <f t="shared" si="225"/>
        <v>2.2108879945196058</v>
      </c>
      <c r="P238" s="758">
        <f t="shared" si="225"/>
        <v>6.2619450306054425</v>
      </c>
      <c r="Q238" s="758">
        <f t="shared" si="225"/>
        <v>6.2634893415723036</v>
      </c>
      <c r="R238" s="758">
        <f t="shared" si="225"/>
        <v>10.756986275537251</v>
      </c>
      <c r="S238" s="758">
        <f t="shared" si="225"/>
        <v>10.469353377834301</v>
      </c>
      <c r="T238" s="758">
        <f t="shared" si="225"/>
        <v>4.5972742294922986</v>
      </c>
      <c r="U238" s="758">
        <f t="shared" si="225"/>
        <v>-10.935858135675513</v>
      </c>
      <c r="V238" s="758">
        <f t="shared" si="225"/>
        <v>6.7455651794201987</v>
      </c>
      <c r="W238" s="758">
        <f t="shared" si="225"/>
        <v>5.9780599508349797</v>
      </c>
      <c r="X238" s="758">
        <f t="shared" si="225"/>
        <v>0.48549450312334042</v>
      </c>
      <c r="Y238" s="758">
        <f t="shared" si="225"/>
        <v>0.94565947431020092</v>
      </c>
      <c r="Z238" s="758">
        <f t="shared" si="225"/>
        <v>7.722961362739289</v>
      </c>
      <c r="AA238" s="758">
        <f t="shared" si="225"/>
        <v>8.7638558552233228</v>
      </c>
      <c r="AB238" s="758">
        <f t="shared" si="225"/>
        <v>5.8893720376876235</v>
      </c>
      <c r="AC238" s="758">
        <f t="shared" si="225"/>
        <v>8.8409136588744062</v>
      </c>
      <c r="AD238" s="1457">
        <f ca="1">OFFSET('VVP1'!$K$73,0,5*(COLUMN()-7))</f>
        <v>7.7163698242449508</v>
      </c>
      <c r="AE238" s="1457">
        <f ca="1">OFFSET('VVP1'!$K$73,0,5*(COLUMN()-7))</f>
        <v>4.4149916183999549</v>
      </c>
      <c r="AF238" s="1457">
        <f ca="1">OFFSET('VVP1'!$K$73,0,5*(COLUMN()-7))</f>
        <v>3.5513007278317854</v>
      </c>
    </row>
    <row r="240" spans="1:32" s="736" customFormat="1" ht="12.75" customHeight="1">
      <c r="A240" s="701"/>
      <c r="B240" s="701"/>
      <c r="C240" s="811"/>
      <c r="D240" s="1019"/>
      <c r="E240" s="1020" t="s">
        <v>464</v>
      </c>
      <c r="F240" s="1937"/>
      <c r="G240" s="1021">
        <f>+InputY!$G$3</f>
        <v>1995</v>
      </c>
      <c r="H240" s="1021">
        <f>+G240+1</f>
        <v>1996</v>
      </c>
      <c r="I240" s="1021">
        <f t="shared" ref="I240:O240" si="226">+H240+1</f>
        <v>1997</v>
      </c>
      <c r="J240" s="1021">
        <f t="shared" si="226"/>
        <v>1998</v>
      </c>
      <c r="K240" s="1021">
        <f t="shared" si="226"/>
        <v>1999</v>
      </c>
      <c r="L240" s="1021">
        <f t="shared" si="226"/>
        <v>2000</v>
      </c>
      <c r="M240" s="1021">
        <f t="shared" si="226"/>
        <v>2001</v>
      </c>
      <c r="N240" s="1021">
        <f t="shared" si="226"/>
        <v>2002</v>
      </c>
      <c r="O240" s="1021">
        <f t="shared" si="226"/>
        <v>2003</v>
      </c>
      <c r="P240" s="1021">
        <f t="shared" ref="P240:AF240" si="227">+O240+1</f>
        <v>2004</v>
      </c>
      <c r="Q240" s="1021">
        <f t="shared" si="227"/>
        <v>2005</v>
      </c>
      <c r="R240" s="1021">
        <f t="shared" si="227"/>
        <v>2006</v>
      </c>
      <c r="S240" s="1021">
        <f t="shared" si="227"/>
        <v>2007</v>
      </c>
      <c r="T240" s="1021">
        <f t="shared" si="227"/>
        <v>2008</v>
      </c>
      <c r="U240" s="1021">
        <f t="shared" si="227"/>
        <v>2009</v>
      </c>
      <c r="V240" s="1021">
        <f t="shared" si="227"/>
        <v>2010</v>
      </c>
      <c r="W240" s="1021">
        <f t="shared" si="227"/>
        <v>2011</v>
      </c>
      <c r="X240" s="1021">
        <f t="shared" si="227"/>
        <v>2012</v>
      </c>
      <c r="Y240" s="1021">
        <f t="shared" si="227"/>
        <v>2013</v>
      </c>
      <c r="Z240" s="1021">
        <f t="shared" si="227"/>
        <v>2014</v>
      </c>
      <c r="AA240" s="1021">
        <f t="shared" si="227"/>
        <v>2015</v>
      </c>
      <c r="AB240" s="1021">
        <f t="shared" si="227"/>
        <v>2016</v>
      </c>
      <c r="AC240" s="1021">
        <f t="shared" si="227"/>
        <v>2017</v>
      </c>
      <c r="AD240" s="1021">
        <f t="shared" si="227"/>
        <v>2018</v>
      </c>
      <c r="AE240" s="1021">
        <f t="shared" si="227"/>
        <v>2019</v>
      </c>
      <c r="AF240" s="1021">
        <f t="shared" si="227"/>
        <v>2020</v>
      </c>
    </row>
    <row r="241" spans="1:32" s="736" customFormat="1" ht="12.75" customHeight="1">
      <c r="A241" s="701"/>
      <c r="B241" s="701"/>
      <c r="C241" s="1934" t="s">
        <v>1791</v>
      </c>
      <c r="D241" s="900" t="s">
        <v>664</v>
      </c>
      <c r="E241" s="901" t="s">
        <v>1341</v>
      </c>
      <c r="F241" s="902" t="s">
        <v>1571</v>
      </c>
      <c r="G241" s="1938">
        <f t="shared" ref="G241:S241" si="228">+G228/G$341</f>
        <v>1.5558577210592858E-2</v>
      </c>
      <c r="H241" s="1938">
        <f t="shared" si="228"/>
        <v>1.6002043033988188E-2</v>
      </c>
      <c r="I241" s="1938">
        <f t="shared" si="228"/>
        <v>1.6362195830023869E-2</v>
      </c>
      <c r="J241" s="1938">
        <f t="shared" si="228"/>
        <v>1.8116122812682697E-2</v>
      </c>
      <c r="K241" s="1938">
        <f t="shared" si="228"/>
        <v>1.9564638152829657E-2</v>
      </c>
      <c r="L241" s="1938">
        <f t="shared" si="228"/>
        <v>2.075745104307471E-2</v>
      </c>
      <c r="M241" s="1938">
        <f t="shared" si="228"/>
        <v>2.1171546498753382E-2</v>
      </c>
      <c r="N241" s="1938">
        <f t="shared" si="228"/>
        <v>2.3089722874373681E-2</v>
      </c>
      <c r="O241" s="1938">
        <f t="shared" si="228"/>
        <v>2.4878555897858264E-2</v>
      </c>
      <c r="P241" s="1938">
        <f t="shared" si="228"/>
        <v>2.7627801280656662E-2</v>
      </c>
      <c r="Q241" s="1938">
        <f t="shared" si="228"/>
        <v>2.8550343682221663E-2</v>
      </c>
      <c r="R241" s="1938">
        <f t="shared" si="228"/>
        <v>3.0754465111572198E-2</v>
      </c>
      <c r="S241" s="1938">
        <f t="shared" si="228"/>
        <v>3.2550606894976436E-2</v>
      </c>
      <c r="T241" s="1938">
        <f t="shared" ref="T241:U244" si="229">+T228/T$341</f>
        <v>3.0547979010997789E-2</v>
      </c>
      <c r="U241" s="1938">
        <f t="shared" si="229"/>
        <v>2.78905677353859E-2</v>
      </c>
      <c r="V241" s="1938">
        <f t="shared" ref="V241:W244" si="230">+V228/V$341</f>
        <v>3.0036971199469666E-2</v>
      </c>
      <c r="W241" s="1938">
        <f t="shared" si="230"/>
        <v>2.8272271044071321E-2</v>
      </c>
      <c r="X241" s="1938">
        <f t="shared" ref="X241:Z244" si="231">+X228/X$341</f>
        <v>2.4322346864392923E-2</v>
      </c>
      <c r="Y241" s="1938">
        <f>+Y228/Y$341</f>
        <v>2.4399705453638759E-2</v>
      </c>
      <c r="Z241" s="1938">
        <f t="shared" si="231"/>
        <v>2.4433857533447095E-2</v>
      </c>
      <c r="AA241" s="1938">
        <f t="shared" ref="AA241" si="232">+AA228/AA$341</f>
        <v>2.9708371424498097E-2</v>
      </c>
      <c r="AB241" s="1938">
        <f t="shared" ref="AB241:AB244" si="233">+AB228/AB$341</f>
        <v>3.2225081900637484E-2</v>
      </c>
      <c r="AC241" s="1938">
        <f t="shared" ref="AC241" si="234">+AC228/AC$341</f>
        <v>3.3744793235229692E-2</v>
      </c>
      <c r="AD241" s="1938">
        <f t="shared" ref="AD241:AE244" ca="1" si="235">+AD228/AD$341</f>
        <v>3.4099285395667589E-2</v>
      </c>
      <c r="AE241" s="1938">
        <f t="shared" ca="1" si="235"/>
        <v>3.3875439738787427E-2</v>
      </c>
      <c r="AF241" s="1938">
        <f t="shared" ref="AF241" ca="1" si="236">+AF228/AF$341</f>
        <v>3.34353609780128E-2</v>
      </c>
    </row>
    <row r="242" spans="1:32" s="736" customFormat="1" ht="12.75" customHeight="1">
      <c r="A242" s="701"/>
      <c r="B242" s="701"/>
      <c r="C242" s="1935" t="s">
        <v>1791</v>
      </c>
      <c r="D242" s="711" t="s">
        <v>666</v>
      </c>
      <c r="E242" s="820" t="s">
        <v>1341</v>
      </c>
      <c r="F242" s="741" t="s">
        <v>1226</v>
      </c>
      <c r="G242" s="1552">
        <f t="shared" ref="G242:S242" si="237">+G229/G$341</f>
        <v>5.1190890346448546E-2</v>
      </c>
      <c r="H242" s="1552">
        <f t="shared" si="237"/>
        <v>4.9335238510777112E-2</v>
      </c>
      <c r="I242" s="1552">
        <f t="shared" si="237"/>
        <v>4.349552764669052E-2</v>
      </c>
      <c r="J242" s="1552">
        <f t="shared" si="237"/>
        <v>4.3323639643269699E-2</v>
      </c>
      <c r="K242" s="1552">
        <f t="shared" si="237"/>
        <v>4.3412109313108745E-2</v>
      </c>
      <c r="L242" s="1552">
        <f t="shared" si="237"/>
        <v>3.9296852778078435E-2</v>
      </c>
      <c r="M242" s="1552">
        <f t="shared" si="237"/>
        <v>4.1482870491990863E-2</v>
      </c>
      <c r="N242" s="1552">
        <f t="shared" si="237"/>
        <v>4.3405897296732388E-2</v>
      </c>
      <c r="O242" s="1552">
        <f t="shared" si="237"/>
        <v>4.1947686248793768E-2</v>
      </c>
      <c r="P242" s="1552">
        <f t="shared" si="237"/>
        <v>4.1017973560062426E-2</v>
      </c>
      <c r="Q242" s="1552">
        <f t="shared" si="237"/>
        <v>4.1019582001887531E-2</v>
      </c>
      <c r="R242" s="1552">
        <f t="shared" si="237"/>
        <v>4.1237139982351623E-2</v>
      </c>
      <c r="S242" s="1552">
        <f t="shared" si="237"/>
        <v>4.0921446732685378E-2</v>
      </c>
      <c r="T242" s="1552">
        <f t="shared" si="229"/>
        <v>4.2597461258886082E-2</v>
      </c>
      <c r="U242" s="1552">
        <f t="shared" si="229"/>
        <v>4.4899330469631155E-2</v>
      </c>
      <c r="V242" s="1552">
        <f t="shared" si="230"/>
        <v>4.50905039525243E-2</v>
      </c>
      <c r="W242" s="1552">
        <f t="shared" si="230"/>
        <v>4.4305406956432911E-2</v>
      </c>
      <c r="X242" s="1552">
        <f t="shared" si="231"/>
        <v>4.5506606221795233E-2</v>
      </c>
      <c r="Y242" s="1552">
        <f>+Y229/Y$341</f>
        <v>4.4566698083885303E-2</v>
      </c>
      <c r="Z242" s="1552">
        <f>+Z229/Z$341</f>
        <v>4.3938161725990729E-2</v>
      </c>
      <c r="AA242" s="1552">
        <f>+AA229/AA$341</f>
        <v>4.1834392745712712E-2</v>
      </c>
      <c r="AB242" s="1552">
        <f t="shared" si="233"/>
        <v>4.3964686328596271E-2</v>
      </c>
      <c r="AC242" s="1552">
        <f t="shared" ref="AC242" si="238">+AC229/AC$341</f>
        <v>4.580511603335212E-2</v>
      </c>
      <c r="AD242" s="1552">
        <f t="shared" ca="1" si="235"/>
        <v>4.6865798775637006E-2</v>
      </c>
      <c r="AE242" s="1552">
        <f t="shared" ca="1" si="235"/>
        <v>4.7581974657212957E-2</v>
      </c>
      <c r="AF242" s="1552">
        <f t="shared" ref="AF242" ca="1" si="239">+AF229/AF$341</f>
        <v>4.7619810337520205E-2</v>
      </c>
    </row>
    <row r="243" spans="1:32" s="736" customFormat="1" ht="12.75" customHeight="1">
      <c r="A243" s="701"/>
      <c r="B243" s="701"/>
      <c r="C243" s="1936" t="s">
        <v>1791</v>
      </c>
      <c r="D243" s="905" t="s">
        <v>665</v>
      </c>
      <c r="E243" s="2925" t="s">
        <v>1341</v>
      </c>
      <c r="F243" s="907" t="s">
        <v>744</v>
      </c>
      <c r="G243" s="1939">
        <f t="shared" ref="G243:S243" si="240">+G230/G$341</f>
        <v>0.1292250727601334</v>
      </c>
      <c r="H243" s="1939">
        <f t="shared" si="240"/>
        <v>0.13588657439238866</v>
      </c>
      <c r="I243" s="1939">
        <f t="shared" si="240"/>
        <v>0.13861575150669295</v>
      </c>
      <c r="J243" s="1939">
        <f t="shared" si="240"/>
        <v>0.14583417670633578</v>
      </c>
      <c r="K243" s="1939">
        <f t="shared" si="240"/>
        <v>0.1517321685122511</v>
      </c>
      <c r="L243" s="1939">
        <f t="shared" si="240"/>
        <v>0.16197759212225407</v>
      </c>
      <c r="M243" s="1939">
        <f t="shared" si="240"/>
        <v>0.16318803698432985</v>
      </c>
      <c r="N243" s="1939">
        <f t="shared" si="240"/>
        <v>0.15127941043349954</v>
      </c>
      <c r="O243" s="1939">
        <f t="shared" si="240"/>
        <v>0.14688740155688673</v>
      </c>
      <c r="P243" s="1939">
        <f t="shared" si="240"/>
        <v>0.14813721534979132</v>
      </c>
      <c r="Q243" s="1939">
        <f t="shared" si="240"/>
        <v>0.15269646333867343</v>
      </c>
      <c r="R243" s="1939">
        <f t="shared" si="240"/>
        <v>0.15893889263814953</v>
      </c>
      <c r="S243" s="1939">
        <f t="shared" si="240"/>
        <v>0.16632197136428753</v>
      </c>
      <c r="T243" s="1939">
        <f t="shared" si="229"/>
        <v>0.170965370858875</v>
      </c>
      <c r="U243" s="1939">
        <f t="shared" si="229"/>
        <v>0.151207970573592</v>
      </c>
      <c r="V243" s="1939">
        <f t="shared" si="230"/>
        <v>0.14825059367323679</v>
      </c>
      <c r="W243" s="1939">
        <f t="shared" si="230"/>
        <v>0.15528115894841987</v>
      </c>
      <c r="X243" s="1939">
        <f t="shared" si="231"/>
        <v>0.15740886574781279</v>
      </c>
      <c r="Y243" s="1939">
        <f>+Y230/Y$341</f>
        <v>0.15524972714185364</v>
      </c>
      <c r="Z243" s="1939">
        <f t="shared" si="231"/>
        <v>0.16292596281329888</v>
      </c>
      <c r="AA243" s="1939">
        <f t="shared" ref="AA243" si="241">+AA230/AA$341</f>
        <v>0.16442126142705193</v>
      </c>
      <c r="AB243" s="1939">
        <f t="shared" si="233"/>
        <v>0.16319039780439937</v>
      </c>
      <c r="AC243" s="1939">
        <f t="shared" ref="AC243" si="242">+AC230/AC$341</f>
        <v>0.16998889907814083</v>
      </c>
      <c r="AD243" s="1939">
        <f t="shared" ca="1" si="235"/>
        <v>0.17527817328781581</v>
      </c>
      <c r="AE243" s="1939">
        <f t="shared" ca="1" si="235"/>
        <v>0.17635053412431698</v>
      </c>
      <c r="AF243" s="1939">
        <f t="shared" ref="AF243" ca="1" si="243">+AF230/AF$341</f>
        <v>0.1767680560959479</v>
      </c>
    </row>
    <row r="244" spans="1:32" s="736" customFormat="1" ht="12.75" customHeight="1">
      <c r="A244" s="701"/>
      <c r="B244" s="701"/>
      <c r="C244" s="811" t="s">
        <v>1793</v>
      </c>
      <c r="D244" s="843"/>
      <c r="E244" s="844" t="s">
        <v>1341</v>
      </c>
      <c r="F244" s="845" t="s">
        <v>200</v>
      </c>
      <c r="G244" s="878">
        <f t="shared" ref="G244:S244" si="244">+G231/G$341</f>
        <v>0.19597454031717479</v>
      </c>
      <c r="H244" s="878">
        <f t="shared" si="244"/>
        <v>0.20122385593715397</v>
      </c>
      <c r="I244" s="878">
        <f t="shared" si="244"/>
        <v>0.19847347498340734</v>
      </c>
      <c r="J244" s="878">
        <f t="shared" si="244"/>
        <v>0.2072739391622882</v>
      </c>
      <c r="K244" s="878">
        <f t="shared" si="244"/>
        <v>0.21470891597818953</v>
      </c>
      <c r="L244" s="878">
        <f t="shared" si="244"/>
        <v>0.22203189594340719</v>
      </c>
      <c r="M244" s="878">
        <f t="shared" si="244"/>
        <v>0.2258424539750741</v>
      </c>
      <c r="N244" s="878">
        <f t="shared" si="244"/>
        <v>0.2177750306046056</v>
      </c>
      <c r="O244" s="878">
        <f t="shared" si="244"/>
        <v>0.21371364370353876</v>
      </c>
      <c r="P244" s="878">
        <f t="shared" si="244"/>
        <v>0.21678299019051042</v>
      </c>
      <c r="Q244" s="878">
        <f t="shared" si="244"/>
        <v>0.22226638902278262</v>
      </c>
      <c r="R244" s="878">
        <f t="shared" si="244"/>
        <v>0.23093049773207333</v>
      </c>
      <c r="S244" s="878">
        <f t="shared" si="244"/>
        <v>0.23979402499194938</v>
      </c>
      <c r="T244" s="878">
        <f t="shared" si="229"/>
        <v>0.24411081112875888</v>
      </c>
      <c r="U244" s="878">
        <f t="shared" si="229"/>
        <v>0.22399786877860905</v>
      </c>
      <c r="V244" s="878">
        <f t="shared" si="230"/>
        <v>0.22337806882523076</v>
      </c>
      <c r="W244" s="878">
        <f t="shared" si="230"/>
        <v>0.22785883694892411</v>
      </c>
      <c r="X244" s="878">
        <f t="shared" si="231"/>
        <v>0.22723781883400096</v>
      </c>
      <c r="Y244" s="878">
        <f>+Y231/Y$341</f>
        <v>0.22421613067937771</v>
      </c>
      <c r="Z244" s="878">
        <f t="shared" si="231"/>
        <v>0.23129798207273672</v>
      </c>
      <c r="AA244" s="878">
        <f t="shared" ref="AA244" si="245">+AA231/AA$341</f>
        <v>0.23596402559726273</v>
      </c>
      <c r="AB244" s="878">
        <f t="shared" si="233"/>
        <v>0.2393801660336331</v>
      </c>
      <c r="AC244" s="878">
        <f t="shared" ref="AC244" si="246">+AC231/AC$341</f>
        <v>0.24953880834672265</v>
      </c>
      <c r="AD244" s="878">
        <f t="shared" ca="1" si="235"/>
        <v>0.25624325745912035</v>
      </c>
      <c r="AE244" s="878">
        <f t="shared" ca="1" si="235"/>
        <v>0.2578079485203173</v>
      </c>
      <c r="AF244" s="878">
        <f t="shared" ref="AF244" ca="1" si="247">+AF231/AF$341</f>
        <v>0.25782322741148089</v>
      </c>
    </row>
    <row r="246" spans="1:32">
      <c r="A246" s="1170"/>
      <c r="B246" s="1170"/>
      <c r="D246" s="1114"/>
      <c r="E246" s="1115" t="s">
        <v>1239</v>
      </c>
      <c r="F246" s="1116"/>
      <c r="G246" s="735">
        <f>+InputY!$G$3</f>
        <v>1995</v>
      </c>
      <c r="H246" s="735">
        <f>+G246+1</f>
        <v>1996</v>
      </c>
      <c r="I246" s="735">
        <f t="shared" ref="I246:O246" si="248">+H246+1</f>
        <v>1997</v>
      </c>
      <c r="J246" s="735">
        <f t="shared" si="248"/>
        <v>1998</v>
      </c>
      <c r="K246" s="735">
        <f t="shared" si="248"/>
        <v>1999</v>
      </c>
      <c r="L246" s="735">
        <f t="shared" si="248"/>
        <v>2000</v>
      </c>
      <c r="M246" s="735">
        <f t="shared" si="248"/>
        <v>2001</v>
      </c>
      <c r="N246" s="735">
        <f t="shared" si="248"/>
        <v>2002</v>
      </c>
      <c r="O246" s="735">
        <f t="shared" si="248"/>
        <v>2003</v>
      </c>
      <c r="P246" s="735">
        <f t="shared" ref="P246:AF246" si="249">+O246+1</f>
        <v>2004</v>
      </c>
      <c r="Q246" s="735">
        <f t="shared" si="249"/>
        <v>2005</v>
      </c>
      <c r="R246" s="735">
        <f t="shared" si="249"/>
        <v>2006</v>
      </c>
      <c r="S246" s="735">
        <f t="shared" si="249"/>
        <v>2007</v>
      </c>
      <c r="T246" s="735">
        <f t="shared" si="249"/>
        <v>2008</v>
      </c>
      <c r="U246" s="735">
        <f t="shared" si="249"/>
        <v>2009</v>
      </c>
      <c r="V246" s="735">
        <f t="shared" si="249"/>
        <v>2010</v>
      </c>
      <c r="W246" s="735">
        <f t="shared" si="249"/>
        <v>2011</v>
      </c>
      <c r="X246" s="735">
        <f t="shared" si="249"/>
        <v>2012</v>
      </c>
      <c r="Y246" s="735">
        <f t="shared" si="249"/>
        <v>2013</v>
      </c>
      <c r="Z246" s="735">
        <f t="shared" si="249"/>
        <v>2014</v>
      </c>
      <c r="AA246" s="735">
        <f t="shared" si="249"/>
        <v>2015</v>
      </c>
      <c r="AB246" s="735">
        <f t="shared" si="249"/>
        <v>2016</v>
      </c>
      <c r="AC246" s="735">
        <f t="shared" si="249"/>
        <v>2017</v>
      </c>
      <c r="AD246" s="735">
        <f t="shared" si="249"/>
        <v>2018</v>
      </c>
      <c r="AE246" s="735">
        <f t="shared" si="249"/>
        <v>2019</v>
      </c>
      <c r="AF246" s="735">
        <f t="shared" si="249"/>
        <v>2020</v>
      </c>
    </row>
    <row r="247" spans="1:32">
      <c r="A247" s="701"/>
      <c r="B247" s="1170"/>
      <c r="C247" s="1119" t="s">
        <v>1791</v>
      </c>
      <c r="D247" s="1098" t="s">
        <v>664</v>
      </c>
      <c r="E247" s="1078" t="s">
        <v>1998</v>
      </c>
      <c r="F247" s="1098" t="s">
        <v>2014</v>
      </c>
      <c r="G247" s="1124">
        <f t="shared" ref="G247:S247" si="250">+G185</f>
        <v>893.70299999999997</v>
      </c>
      <c r="H247" s="1124">
        <f t="shared" si="250"/>
        <v>918.23099999999999</v>
      </c>
      <c r="I247" s="1124">
        <f t="shared" si="250"/>
        <v>957.61099999999999</v>
      </c>
      <c r="J247" s="1124">
        <f t="shared" si="250"/>
        <v>993.73400000000004</v>
      </c>
      <c r="K247" s="1124">
        <f t="shared" si="250"/>
        <v>1049.0340000000001</v>
      </c>
      <c r="L247" s="1124">
        <f t="shared" si="250"/>
        <v>1114.962</v>
      </c>
      <c r="M247" s="1124">
        <f t="shared" si="250"/>
        <v>1147.2829999999999</v>
      </c>
      <c r="N247" s="1124">
        <f t="shared" si="250"/>
        <v>1194.174</v>
      </c>
      <c r="O247" s="1124">
        <f t="shared" si="250"/>
        <v>1241.623</v>
      </c>
      <c r="P247" s="1124">
        <f t="shared" si="250"/>
        <v>1286.19</v>
      </c>
      <c r="Q247" s="1124">
        <f t="shared" si="250"/>
        <v>1336.4490000000001</v>
      </c>
      <c r="R247" s="1124">
        <f t="shared" si="250"/>
        <v>1388.6759999999999</v>
      </c>
      <c r="S247" s="1124">
        <f t="shared" si="250"/>
        <v>1462.213</v>
      </c>
      <c r="T247" s="1124">
        <f t="shared" ref="T247:Z247" si="251">+T185</f>
        <v>1511.3030000000001</v>
      </c>
      <c r="U247" s="1124">
        <f t="shared" si="251"/>
        <v>1550.3869999999999</v>
      </c>
      <c r="V247" s="1124">
        <f t="shared" si="251"/>
        <v>1634.64</v>
      </c>
      <c r="W247" s="1124">
        <f t="shared" si="251"/>
        <v>1692.895</v>
      </c>
      <c r="X247" s="1124">
        <f t="shared" si="251"/>
        <v>1715.028</v>
      </c>
      <c r="Y247" s="1124">
        <f t="shared" si="251"/>
        <v>1759.307</v>
      </c>
      <c r="Z247" s="1124">
        <f t="shared" si="251"/>
        <v>1816.1790000000001</v>
      </c>
      <c r="AA247" s="1124">
        <f t="shared" ref="AA247:AB247" si="252">+AA185</f>
        <v>1889.1010000000001</v>
      </c>
      <c r="AB247" s="1124">
        <f t="shared" si="252"/>
        <v>1962.61</v>
      </c>
      <c r="AC247" s="1124">
        <f t="shared" ref="AC247" si="253">+AC185</f>
        <v>2040.8019999999999</v>
      </c>
      <c r="AD247" s="1386">
        <f ca="1">+AD185</f>
        <v>2125.3075292159997</v>
      </c>
      <c r="AE247" s="1386">
        <f ca="1">+AE185</f>
        <v>2211.7992569557268</v>
      </c>
      <c r="AF247" s="1386">
        <f ca="1">+AF185</f>
        <v>2298.8954880961292</v>
      </c>
    </row>
    <row r="248" spans="1:32">
      <c r="A248" s="701"/>
      <c r="B248" s="1240"/>
      <c r="C248" s="1120" t="s">
        <v>1791</v>
      </c>
      <c r="D248" s="3" t="s">
        <v>666</v>
      </c>
      <c r="E248" s="29" t="s">
        <v>1998</v>
      </c>
      <c r="F248" s="3" t="s">
        <v>2016</v>
      </c>
      <c r="G248" s="1102">
        <f t="shared" ref="G248:S248" si="254">+G193</f>
        <v>480.69099999999997</v>
      </c>
      <c r="H248" s="1102">
        <f t="shared" si="254"/>
        <v>500.19900000000001</v>
      </c>
      <c r="I248" s="1102">
        <f t="shared" si="254"/>
        <v>513.09699999999998</v>
      </c>
      <c r="J248" s="1102">
        <f t="shared" si="254"/>
        <v>540.89700000000005</v>
      </c>
      <c r="K248" s="1102">
        <f t="shared" si="254"/>
        <v>569.072</v>
      </c>
      <c r="L248" s="1102">
        <f t="shared" si="254"/>
        <v>584.07399999999996</v>
      </c>
      <c r="M248" s="1102">
        <f t="shared" si="254"/>
        <v>612.63900000000001</v>
      </c>
      <c r="N248" s="1102">
        <f t="shared" si="254"/>
        <v>654.65800000000002</v>
      </c>
      <c r="O248" s="1102">
        <f t="shared" si="254"/>
        <v>688.42399999999998</v>
      </c>
      <c r="P248" s="1102">
        <f t="shared" si="254"/>
        <v>701.02</v>
      </c>
      <c r="Q248" s="1102">
        <f t="shared" si="254"/>
        <v>722.64200000000005</v>
      </c>
      <c r="R248" s="1102">
        <f t="shared" si="254"/>
        <v>761.55499999999995</v>
      </c>
      <c r="S248" s="1102">
        <f t="shared" si="254"/>
        <v>793.45899999999995</v>
      </c>
      <c r="T248" s="1102">
        <f t="shared" ref="T248:Z248" si="255">+T193</f>
        <v>833.36500000000001</v>
      </c>
      <c r="U248" s="1102">
        <f t="shared" si="255"/>
        <v>860.56799999999998</v>
      </c>
      <c r="V248" s="1102">
        <f t="shared" si="255"/>
        <v>886.37199999999996</v>
      </c>
      <c r="W248" s="1102">
        <f t="shared" si="255"/>
        <v>920.81799999999998</v>
      </c>
      <c r="X248" s="1102">
        <f t="shared" si="255"/>
        <v>954.91099999999994</v>
      </c>
      <c r="Y248" s="1102">
        <f t="shared" si="255"/>
        <v>992.63099999999997</v>
      </c>
      <c r="Z248" s="1102">
        <f t="shared" si="255"/>
        <v>1031.509</v>
      </c>
      <c r="AA248" s="1102">
        <f t="shared" ref="AA248" si="256">+AA193</f>
        <v>1086.6300000000001</v>
      </c>
      <c r="AB248" s="1102">
        <f t="shared" ref="AB248" si="257">+AB193</f>
        <v>1153.528</v>
      </c>
      <c r="AC248" s="1102">
        <f t="shared" ref="AC248" si="258">+AC193</f>
        <v>1195.6489999999999</v>
      </c>
      <c r="AD248" s="976">
        <f ca="1">+AD193</f>
        <v>1249.4058572996</v>
      </c>
      <c r="AE248" s="976">
        <f ca="1">+AE193</f>
        <v>1295.9487242957246</v>
      </c>
      <c r="AF248" s="976">
        <f ca="1">+AF193</f>
        <v>1342.0090746648987</v>
      </c>
    </row>
    <row r="249" spans="1:32">
      <c r="A249" s="701"/>
      <c r="B249" s="1170"/>
      <c r="C249" s="1121" t="s">
        <v>1791</v>
      </c>
      <c r="D249" s="1117"/>
      <c r="E249" s="1079" t="s">
        <v>1341</v>
      </c>
      <c r="F249" s="1117" t="s">
        <v>200</v>
      </c>
      <c r="G249" s="1125">
        <f t="shared" ref="G249:S249" si="259">+G212</f>
        <v>369.53899999999999</v>
      </c>
      <c r="H249" s="1125">
        <f t="shared" si="259"/>
        <v>389.24299999999999</v>
      </c>
      <c r="I249" s="1125">
        <f t="shared" si="259"/>
        <v>401.30900000000003</v>
      </c>
      <c r="J249" s="1125">
        <f t="shared" si="259"/>
        <v>440.334</v>
      </c>
      <c r="K249" s="1125">
        <f t="shared" si="259"/>
        <v>481.07100000000003</v>
      </c>
      <c r="L249" s="1125">
        <f t="shared" si="259"/>
        <v>529.24099999999999</v>
      </c>
      <c r="M249" s="1125">
        <f t="shared" si="259"/>
        <v>560.52200000000005</v>
      </c>
      <c r="N249" s="1125">
        <f t="shared" si="259"/>
        <v>560.54399999999998</v>
      </c>
      <c r="O249" s="1125">
        <f t="shared" si="259"/>
        <v>572.93700000000001</v>
      </c>
      <c r="P249" s="1125">
        <f t="shared" si="259"/>
        <v>608.81399999999996</v>
      </c>
      <c r="Q249" s="1125">
        <f t="shared" si="259"/>
        <v>646.947</v>
      </c>
      <c r="R249" s="1125">
        <f t="shared" si="259"/>
        <v>716.53899999999999</v>
      </c>
      <c r="S249" s="1125">
        <f t="shared" si="259"/>
        <v>791.55600000000004</v>
      </c>
      <c r="T249" s="1125">
        <f t="shared" ref="T249:Z249" si="260">+T212</f>
        <v>827.94600000000003</v>
      </c>
      <c r="U249" s="1125">
        <f t="shared" si="260"/>
        <v>737.40300000000002</v>
      </c>
      <c r="V249" s="1125">
        <f t="shared" si="260"/>
        <v>787.14499999999998</v>
      </c>
      <c r="W249" s="1125">
        <f t="shared" si="260"/>
        <v>834.20100000000002</v>
      </c>
      <c r="X249" s="1125">
        <f t="shared" si="260"/>
        <v>838.25099999999998</v>
      </c>
      <c r="Y249" s="1125">
        <f t="shared" si="260"/>
        <v>846.178</v>
      </c>
      <c r="Z249" s="1125">
        <f t="shared" si="260"/>
        <v>911.52800000000002</v>
      </c>
      <c r="AA249" s="1125">
        <f t="shared" ref="AA249:AB249" si="261">+AA212</f>
        <v>991.41300000000001</v>
      </c>
      <c r="AB249" s="1125">
        <f t="shared" si="261"/>
        <v>1049.8009999999999</v>
      </c>
      <c r="AC249" s="1125">
        <f t="shared" ref="AC249" si="262">+AC212</f>
        <v>1142.6130000000001</v>
      </c>
      <c r="AD249" s="977">
        <f ca="1">+AD212</f>
        <v>1230.7812447398999</v>
      </c>
      <c r="AE249" s="977">
        <f ca="1">+AE212</f>
        <v>1285.1201335360051</v>
      </c>
      <c r="AF249" s="977">
        <f ca="1">+AF212</f>
        <v>1330.758614191782</v>
      </c>
    </row>
    <row r="250" spans="1:32">
      <c r="A250" s="701">
        <f>+ROW(InputY!A80)</f>
        <v>80</v>
      </c>
      <c r="B250" s="701"/>
      <c r="C250" s="731" t="s">
        <v>1793</v>
      </c>
      <c r="D250" s="1095"/>
      <c r="E250" s="1096" t="s">
        <v>1239</v>
      </c>
      <c r="F250" s="1095"/>
      <c r="G250" s="1097">
        <f>+InputY!G80/1000</f>
        <v>1743.933</v>
      </c>
      <c r="H250" s="1097">
        <f>+InputY!H80/1000</f>
        <v>1807.673</v>
      </c>
      <c r="I250" s="1097">
        <f>+InputY!I80/1000</f>
        <v>1872.0170000000001</v>
      </c>
      <c r="J250" s="1097">
        <f>+InputY!J80/1000</f>
        <v>1974.9649999999999</v>
      </c>
      <c r="K250" s="1097">
        <f>+InputY!K80/1000</f>
        <v>2099.1770000000001</v>
      </c>
      <c r="L250" s="1097">
        <f>+InputY!L80/1000</f>
        <v>2228.277</v>
      </c>
      <c r="M250" s="1097">
        <f>+InputY!M80/1000</f>
        <v>2320.444</v>
      </c>
      <c r="N250" s="1097">
        <f>+InputY!N80/1000</f>
        <v>2409.3760000000002</v>
      </c>
      <c r="O250" s="1097">
        <f>+InputY!O80/1000</f>
        <v>2502.9839999999999</v>
      </c>
      <c r="P250" s="1097">
        <f>+InputY!P80/1000</f>
        <v>2596.0239999999999</v>
      </c>
      <c r="Q250" s="1097">
        <f>+InputY!Q80/1000</f>
        <v>2706.038</v>
      </c>
      <c r="R250" s="1097">
        <f>+InputY!R80/1000</f>
        <v>2866.77</v>
      </c>
      <c r="S250" s="1097">
        <f>+InputY!S80/1000</f>
        <v>3047.2280000000001</v>
      </c>
      <c r="T250" s="1097">
        <f>+InputY!T80/1000</f>
        <v>3172.614</v>
      </c>
      <c r="U250" s="1097">
        <f>+InputY!U80/1000</f>
        <v>3148.3580000000002</v>
      </c>
      <c r="V250" s="1097">
        <f>+InputY!V80/1000</f>
        <v>3308.1570000000002</v>
      </c>
      <c r="W250" s="1097">
        <f>+InputY!W80/1000</f>
        <v>3447.9140000000002</v>
      </c>
      <c r="X250" s="1097">
        <f>+InputY!X80/1000</f>
        <v>3508.19</v>
      </c>
      <c r="Y250" s="1097">
        <f>+InputY!Y80/1000</f>
        <v>3598.116</v>
      </c>
      <c r="Z250" s="1097">
        <f>+InputY!Z80/1000</f>
        <v>3759.2159999999999</v>
      </c>
      <c r="AA250" s="1097">
        <f>+InputY!AA80/1000</f>
        <v>3967.1439999999998</v>
      </c>
      <c r="AB250" s="1097">
        <f>+InputY!AB80/1000</f>
        <v>4165.9390000000003</v>
      </c>
      <c r="AC250" s="1097">
        <f>+InputY!AC80/1000</f>
        <v>4379.0640000000003</v>
      </c>
      <c r="AD250" s="2371">
        <f ca="1">+AD247+AD248+AD249</f>
        <v>4605.4946312554994</v>
      </c>
      <c r="AE250" s="2371">
        <f ca="1">+AE247+AE248+AE249</f>
        <v>4792.8681147874559</v>
      </c>
      <c r="AF250" s="2371">
        <f ca="1">+AF247+AF248+AF249</f>
        <v>4971.6631769528094</v>
      </c>
    </row>
    <row r="251" spans="1:32" s="736" customFormat="1" ht="12.75" customHeight="1">
      <c r="A251" s="701"/>
      <c r="B251" s="701"/>
      <c r="C251" s="811"/>
      <c r="D251" s="2033"/>
      <c r="E251" s="2033" t="s">
        <v>90</v>
      </c>
      <c r="F251" s="2033"/>
      <c r="G251" s="1040">
        <f t="shared" ref="G251:V251" si="263">ABS(G250-G249-G248-G247)</f>
        <v>0</v>
      </c>
      <c r="H251" s="1040">
        <f t="shared" si="263"/>
        <v>0</v>
      </c>
      <c r="I251" s="1040">
        <f t="shared" si="263"/>
        <v>1.1368683772161603E-13</v>
      </c>
      <c r="J251" s="1040">
        <f t="shared" si="263"/>
        <v>2.2737367544323206E-13</v>
      </c>
      <c r="K251" s="1040">
        <f t="shared" si="263"/>
        <v>0</v>
      </c>
      <c r="L251" s="1040">
        <f t="shared" si="263"/>
        <v>0</v>
      </c>
      <c r="M251" s="1040">
        <f t="shared" si="263"/>
        <v>0</v>
      </c>
      <c r="N251" s="1040">
        <f t="shared" si="263"/>
        <v>4.5474735088646412E-13</v>
      </c>
      <c r="O251" s="1040">
        <f t="shared" si="263"/>
        <v>0</v>
      </c>
      <c r="P251" s="1040">
        <f t="shared" si="263"/>
        <v>0</v>
      </c>
      <c r="Q251" s="1040">
        <f t="shared" si="263"/>
        <v>2.2737367544323206E-13</v>
      </c>
      <c r="R251" s="1040">
        <f t="shared" si="263"/>
        <v>0</v>
      </c>
      <c r="S251" s="1040">
        <f t="shared" si="263"/>
        <v>2.2737367544323206E-13</v>
      </c>
      <c r="T251" s="1040">
        <f t="shared" si="263"/>
        <v>0</v>
      </c>
      <c r="U251" s="1040">
        <f t="shared" si="263"/>
        <v>0</v>
      </c>
      <c r="V251" s="1040">
        <f t="shared" si="263"/>
        <v>2.2737367544323206E-13</v>
      </c>
      <c r="W251" s="1040">
        <f t="shared" ref="W251:Z251" si="264">ABS(W250-W249-W248-W247)</f>
        <v>2.2737367544323206E-13</v>
      </c>
      <c r="X251" s="1040">
        <f t="shared" si="264"/>
        <v>2.2737367544323206E-13</v>
      </c>
      <c r="Y251" s="1040">
        <f t="shared" si="264"/>
        <v>2.2737367544323206E-13</v>
      </c>
      <c r="Z251" s="2999">
        <f t="shared" si="264"/>
        <v>0</v>
      </c>
      <c r="AA251" s="2999">
        <f t="shared" ref="AA251:AB251" si="265">ABS(AA250-AA249-AA248-AA247)</f>
        <v>4.5474735088646412E-13</v>
      </c>
      <c r="AB251" s="2999">
        <f t="shared" si="265"/>
        <v>4.5474735088646412E-13</v>
      </c>
      <c r="AC251" s="2999">
        <f t="shared" ref="AC251" si="266">ABS(AC250-AC249-AC248-AC247)</f>
        <v>2.2737367544323206E-13</v>
      </c>
      <c r="AD251" s="2999">
        <f ca="1">ABS(AD250-AD249-AD248-AD247)</f>
        <v>4.5474735088646412E-13</v>
      </c>
      <c r="AE251" s="2999">
        <f ca="1">ABS(AE250-AE249-AE248-AE247)</f>
        <v>4.5474735088646412E-13</v>
      </c>
      <c r="AF251" s="2999">
        <f ca="1">ABS(AF250-AF249-AF248-AF247)</f>
        <v>0</v>
      </c>
    </row>
    <row r="253" spans="1:32" s="736" customFormat="1" ht="12.75" customHeight="1">
      <c r="A253" s="701"/>
      <c r="B253" s="701"/>
      <c r="C253" s="811"/>
      <c r="D253" s="1132"/>
      <c r="E253" s="1133"/>
      <c r="F253" s="1134"/>
      <c r="G253" s="933">
        <f>+InputY!$G$3</f>
        <v>1995</v>
      </c>
      <c r="H253" s="933">
        <f>+G253+1</f>
        <v>1996</v>
      </c>
      <c r="I253" s="933">
        <f t="shared" ref="I253:O253" si="267">+H253+1</f>
        <v>1997</v>
      </c>
      <c r="J253" s="933">
        <f t="shared" si="267"/>
        <v>1998</v>
      </c>
      <c r="K253" s="933">
        <f t="shared" si="267"/>
        <v>1999</v>
      </c>
      <c r="L253" s="933">
        <f t="shared" si="267"/>
        <v>2000</v>
      </c>
      <c r="M253" s="933">
        <f t="shared" si="267"/>
        <v>2001</v>
      </c>
      <c r="N253" s="933">
        <f t="shared" si="267"/>
        <v>2002</v>
      </c>
      <c r="O253" s="933">
        <f t="shared" si="267"/>
        <v>2003</v>
      </c>
      <c r="P253" s="933">
        <f t="shared" ref="P253:AF253" si="268">+O253+1</f>
        <v>2004</v>
      </c>
      <c r="Q253" s="933">
        <f t="shared" si="268"/>
        <v>2005</v>
      </c>
      <c r="R253" s="933">
        <f t="shared" si="268"/>
        <v>2006</v>
      </c>
      <c r="S253" s="933">
        <f t="shared" si="268"/>
        <v>2007</v>
      </c>
      <c r="T253" s="933">
        <f t="shared" si="268"/>
        <v>2008</v>
      </c>
      <c r="U253" s="933">
        <f t="shared" si="268"/>
        <v>2009</v>
      </c>
      <c r="V253" s="933">
        <f t="shared" si="268"/>
        <v>2010</v>
      </c>
      <c r="W253" s="933">
        <f t="shared" si="268"/>
        <v>2011</v>
      </c>
      <c r="X253" s="933">
        <f t="shared" si="268"/>
        <v>2012</v>
      </c>
      <c r="Y253" s="933">
        <f t="shared" si="268"/>
        <v>2013</v>
      </c>
      <c r="Z253" s="933">
        <f t="shared" si="268"/>
        <v>2014</v>
      </c>
      <c r="AA253" s="933">
        <f t="shared" si="268"/>
        <v>2015</v>
      </c>
      <c r="AB253" s="933">
        <f t="shared" si="268"/>
        <v>2016</v>
      </c>
      <c r="AC253" s="933">
        <f t="shared" si="268"/>
        <v>2017</v>
      </c>
      <c r="AD253" s="933">
        <f t="shared" si="268"/>
        <v>2018</v>
      </c>
      <c r="AE253" s="933">
        <f t="shared" si="268"/>
        <v>2019</v>
      </c>
      <c r="AF253" s="933">
        <f t="shared" si="268"/>
        <v>2020</v>
      </c>
    </row>
    <row r="254" spans="1:32" s="736" customFormat="1" ht="12.75" customHeight="1">
      <c r="A254" s="701"/>
      <c r="B254" s="701"/>
      <c r="C254" s="831" t="s">
        <v>1791</v>
      </c>
      <c r="D254" s="726" t="s">
        <v>664</v>
      </c>
      <c r="E254" s="775" t="s">
        <v>1998</v>
      </c>
      <c r="F254" s="770" t="s">
        <v>2014</v>
      </c>
      <c r="G254" s="1135"/>
      <c r="H254" s="1135">
        <f t="shared" ref="H254:AC254" si="269">+(H247/G247-1)*100</f>
        <v>2.7445359364352662</v>
      </c>
      <c r="I254" s="1135">
        <f t="shared" si="269"/>
        <v>4.2886811706422501</v>
      </c>
      <c r="J254" s="1135">
        <f t="shared" si="269"/>
        <v>3.7721997763183746</v>
      </c>
      <c r="K254" s="1135">
        <f t="shared" si="269"/>
        <v>5.5648694721122549</v>
      </c>
      <c r="L254" s="1135">
        <f t="shared" si="269"/>
        <v>6.2846390107470285</v>
      </c>
      <c r="M254" s="1135">
        <f t="shared" si="269"/>
        <v>2.8988431892746025</v>
      </c>
      <c r="N254" s="1135">
        <f t="shared" si="269"/>
        <v>4.0871345605225651</v>
      </c>
      <c r="O254" s="1135">
        <f t="shared" si="269"/>
        <v>3.9733740644160687</v>
      </c>
      <c r="P254" s="1135">
        <f t="shared" si="269"/>
        <v>3.5894148223736266</v>
      </c>
      <c r="Q254" s="1135">
        <f t="shared" si="269"/>
        <v>3.9075875259487303</v>
      </c>
      <c r="R254" s="1135">
        <f t="shared" si="269"/>
        <v>3.9078932304936309</v>
      </c>
      <c r="S254" s="1135">
        <f t="shared" si="269"/>
        <v>5.2954756905138511</v>
      </c>
      <c r="T254" s="1135">
        <f t="shared" si="269"/>
        <v>3.3572400190670093</v>
      </c>
      <c r="U254" s="1135">
        <f t="shared" si="269"/>
        <v>2.5861127781788174</v>
      </c>
      <c r="V254" s="1135">
        <f t="shared" si="269"/>
        <v>5.4343205922134485</v>
      </c>
      <c r="W254" s="1135">
        <f t="shared" si="269"/>
        <v>3.5637816277590106</v>
      </c>
      <c r="X254" s="1135">
        <f t="shared" si="269"/>
        <v>1.3074053618210346</v>
      </c>
      <c r="Y254" s="1135">
        <f t="shared" si="269"/>
        <v>2.5818237369885422</v>
      </c>
      <c r="Z254" s="1135">
        <f t="shared" si="269"/>
        <v>3.2326364869803781</v>
      </c>
      <c r="AA254" s="1135">
        <f t="shared" si="269"/>
        <v>4.0151328696125255</v>
      </c>
      <c r="AB254" s="1135">
        <f t="shared" si="269"/>
        <v>3.8912159805113644</v>
      </c>
      <c r="AC254" s="1135">
        <f t="shared" si="269"/>
        <v>3.9840824208579484</v>
      </c>
      <c r="AD254" s="1135">
        <f t="shared" ref="AD254:AF257" ca="1" si="270">+(AD247/AC247-1)*100</f>
        <v>4.1407999999999889</v>
      </c>
      <c r="AE254" s="1135">
        <f t="shared" ca="1" si="270"/>
        <v>4.0696099999999902</v>
      </c>
      <c r="AF254" s="1135">
        <f t="shared" ca="1" si="270"/>
        <v>3.9377999999999913</v>
      </c>
    </row>
    <row r="255" spans="1:32" s="736" customFormat="1" ht="12.75" customHeight="1">
      <c r="A255" s="701"/>
      <c r="B255" s="701"/>
      <c r="C255" s="832" t="s">
        <v>1791</v>
      </c>
      <c r="D255" s="3" t="s">
        <v>666</v>
      </c>
      <c r="E255" s="29" t="s">
        <v>1998</v>
      </c>
      <c r="F255" s="741" t="s">
        <v>2016</v>
      </c>
      <c r="G255" s="1084"/>
      <c r="H255" s="1084">
        <f t="shared" ref="H255:Y255" si="271">+(H248/G248-1)*100</f>
        <v>4.0583243705415883</v>
      </c>
      <c r="I255" s="1084">
        <f t="shared" si="271"/>
        <v>2.5785737276563969</v>
      </c>
      <c r="J255" s="1084">
        <f t="shared" si="271"/>
        <v>5.4180788427919291</v>
      </c>
      <c r="K255" s="1084">
        <f t="shared" si="271"/>
        <v>5.2089399645403711</v>
      </c>
      <c r="L255" s="1084">
        <f t="shared" si="271"/>
        <v>2.636221778615</v>
      </c>
      <c r="M255" s="1084">
        <f t="shared" si="271"/>
        <v>4.8906474179641668</v>
      </c>
      <c r="N255" s="1084">
        <f t="shared" si="271"/>
        <v>6.8586883956130773</v>
      </c>
      <c r="O255" s="1084">
        <f t="shared" si="271"/>
        <v>5.1578075880841512</v>
      </c>
      <c r="P255" s="1084">
        <f t="shared" si="271"/>
        <v>1.8296863560828713</v>
      </c>
      <c r="Q255" s="1084">
        <f t="shared" si="271"/>
        <v>3.0843627856552036</v>
      </c>
      <c r="R255" s="1084">
        <f t="shared" si="271"/>
        <v>5.3848240207460707</v>
      </c>
      <c r="S255" s="1084">
        <f t="shared" si="271"/>
        <v>4.1893231611636716</v>
      </c>
      <c r="T255" s="1084">
        <f t="shared" si="271"/>
        <v>5.0293713978920129</v>
      </c>
      <c r="U255" s="1084">
        <f t="shared" si="271"/>
        <v>3.2642359590335568</v>
      </c>
      <c r="V255" s="1084">
        <f t="shared" si="271"/>
        <v>2.9984847217186861</v>
      </c>
      <c r="W255" s="1084">
        <f t="shared" si="271"/>
        <v>3.8861787150316074</v>
      </c>
      <c r="X255" s="1084">
        <f t="shared" si="271"/>
        <v>3.7024688917896897</v>
      </c>
      <c r="Y255" s="1084">
        <f t="shared" si="271"/>
        <v>3.9501063449892238</v>
      </c>
      <c r="Z255" s="1084">
        <f t="shared" ref="Z255:AC257" si="272">+(Z248/Y248-1)*100</f>
        <v>3.916661881404071</v>
      </c>
      <c r="AA255" s="1084">
        <f t="shared" si="272"/>
        <v>5.3437245821413182</v>
      </c>
      <c r="AB255" s="1084">
        <f t="shared" si="272"/>
        <v>6.1564654022068233</v>
      </c>
      <c r="AC255" s="1084">
        <f t="shared" si="272"/>
        <v>3.6514935051424668</v>
      </c>
      <c r="AD255" s="1084">
        <f t="shared" ca="1" si="270"/>
        <v>4.4960400000000122</v>
      </c>
      <c r="AE255" s="1084">
        <f t="shared" ca="1" si="270"/>
        <v>3.7251999999999841</v>
      </c>
      <c r="AF255" s="1084">
        <f t="shared" ca="1" si="270"/>
        <v>3.554180000000029</v>
      </c>
    </row>
    <row r="256" spans="1:32" s="736" customFormat="1" ht="12.75" customHeight="1">
      <c r="A256" s="701"/>
      <c r="B256" s="701"/>
      <c r="C256" s="833" t="s">
        <v>1791</v>
      </c>
      <c r="D256" s="728"/>
      <c r="E256" s="834" t="s">
        <v>1341</v>
      </c>
      <c r="F256" s="773" t="s">
        <v>200</v>
      </c>
      <c r="G256" s="1136"/>
      <c r="H256" s="1136">
        <f t="shared" ref="H256:Y256" si="273">+(H249/G249-1)*100</f>
        <v>5.3320488500537166</v>
      </c>
      <c r="I256" s="1136">
        <f t="shared" si="273"/>
        <v>3.0998630675439287</v>
      </c>
      <c r="J256" s="1136">
        <f t="shared" si="273"/>
        <v>9.7244268132536291</v>
      </c>
      <c r="K256" s="1136">
        <f t="shared" si="273"/>
        <v>9.2513864475602716</v>
      </c>
      <c r="L256" s="1136">
        <f t="shared" si="273"/>
        <v>10.013074993088322</v>
      </c>
      <c r="M256" s="1136">
        <f t="shared" si="273"/>
        <v>5.9105398107856422</v>
      </c>
      <c r="N256" s="1136">
        <f t="shared" si="273"/>
        <v>3.9249128490848051E-3</v>
      </c>
      <c r="O256" s="1136">
        <f t="shared" si="273"/>
        <v>2.2108879945196058</v>
      </c>
      <c r="P256" s="1136">
        <f t="shared" si="273"/>
        <v>6.2619450306054425</v>
      </c>
      <c r="Q256" s="1136">
        <f t="shared" si="273"/>
        <v>6.2634893415723036</v>
      </c>
      <c r="R256" s="1136">
        <f t="shared" si="273"/>
        <v>10.756986275537251</v>
      </c>
      <c r="S256" s="1136">
        <f t="shared" si="273"/>
        <v>10.469353377834301</v>
      </c>
      <c r="T256" s="1136">
        <f t="shared" si="273"/>
        <v>4.5972742294922986</v>
      </c>
      <c r="U256" s="1136">
        <f t="shared" si="273"/>
        <v>-10.935858135675513</v>
      </c>
      <c r="V256" s="1136">
        <f t="shared" si="273"/>
        <v>6.7455651794201987</v>
      </c>
      <c r="W256" s="1136">
        <f t="shared" si="273"/>
        <v>5.9780599508349797</v>
      </c>
      <c r="X256" s="1136">
        <f t="shared" si="273"/>
        <v>0.48549450312334042</v>
      </c>
      <c r="Y256" s="1136">
        <f t="shared" si="273"/>
        <v>0.94565947431020092</v>
      </c>
      <c r="Z256" s="1136">
        <f t="shared" si="272"/>
        <v>7.722961362739289</v>
      </c>
      <c r="AA256" s="1136">
        <f t="shared" si="272"/>
        <v>8.7638558552233228</v>
      </c>
      <c r="AB256" s="1136">
        <f t="shared" si="272"/>
        <v>5.8893720376876235</v>
      </c>
      <c r="AC256" s="1136">
        <f t="shared" si="272"/>
        <v>8.8409136588744062</v>
      </c>
      <c r="AD256" s="1136">
        <f t="shared" ca="1" si="270"/>
        <v>7.7163698242449286</v>
      </c>
      <c r="AE256" s="1136">
        <f t="shared" ca="1" si="270"/>
        <v>4.4149916183999549</v>
      </c>
      <c r="AF256" s="1136">
        <f t="shared" ca="1" si="270"/>
        <v>3.5513007278317854</v>
      </c>
    </row>
    <row r="257" spans="1:32" s="736" customFormat="1" ht="12.75" customHeight="1">
      <c r="A257" s="701"/>
      <c r="B257" s="701"/>
      <c r="C257" s="811" t="s">
        <v>1793</v>
      </c>
      <c r="D257" s="754"/>
      <c r="E257" s="759" t="s">
        <v>1239</v>
      </c>
      <c r="F257" s="760"/>
      <c r="G257" s="758"/>
      <c r="H257" s="758">
        <f t="shared" ref="H257:Y257" si="274">+(H250/G250-1)*100</f>
        <v>3.6549569278177652</v>
      </c>
      <c r="I257" s="758">
        <f t="shared" si="274"/>
        <v>3.5594933375671323</v>
      </c>
      <c r="J257" s="758">
        <f t="shared" si="274"/>
        <v>5.4993090340525574</v>
      </c>
      <c r="K257" s="758">
        <f t="shared" si="274"/>
        <v>6.2893266462950015</v>
      </c>
      <c r="L257" s="758">
        <f t="shared" si="274"/>
        <v>6.1500292733771333</v>
      </c>
      <c r="M257" s="758">
        <f t="shared" si="274"/>
        <v>4.1362451795714739</v>
      </c>
      <c r="N257" s="758">
        <f t="shared" si="274"/>
        <v>3.8325423927489943</v>
      </c>
      <c r="O257" s="758">
        <f t="shared" si="274"/>
        <v>3.8851553265243588</v>
      </c>
      <c r="P257" s="758">
        <f t="shared" si="274"/>
        <v>3.7171631940116301</v>
      </c>
      <c r="Q257" s="758">
        <f t="shared" si="274"/>
        <v>4.2377882484907703</v>
      </c>
      <c r="R257" s="758">
        <f t="shared" si="274"/>
        <v>5.9397539871945515</v>
      </c>
      <c r="S257" s="758">
        <f t="shared" si="274"/>
        <v>6.2948196053398187</v>
      </c>
      <c r="T257" s="758">
        <f t="shared" si="274"/>
        <v>4.1147560996420252</v>
      </c>
      <c r="U257" s="758">
        <f t="shared" si="274"/>
        <v>-0.76454305503285136</v>
      </c>
      <c r="V257" s="758">
        <f t="shared" si="274"/>
        <v>5.0756298997763238</v>
      </c>
      <c r="W257" s="758">
        <f t="shared" si="274"/>
        <v>4.2246181181848419</v>
      </c>
      <c r="X257" s="758">
        <f t="shared" si="274"/>
        <v>1.7481874547915055</v>
      </c>
      <c r="Y257" s="758">
        <f t="shared" si="274"/>
        <v>2.5633161259794868</v>
      </c>
      <c r="Z257" s="758">
        <f t="shared" si="272"/>
        <v>4.4773431429114607</v>
      </c>
      <c r="AA257" s="758">
        <f t="shared" si="272"/>
        <v>5.5311533043060024</v>
      </c>
      <c r="AB257" s="758">
        <f t="shared" si="272"/>
        <v>5.0110356468028527</v>
      </c>
      <c r="AC257" s="758">
        <f t="shared" si="272"/>
        <v>5.1158934396303035</v>
      </c>
      <c r="AD257" s="758">
        <f t="shared" ca="1" si="270"/>
        <v>5.1707540984899714</v>
      </c>
      <c r="AE257" s="758">
        <f t="shared" ca="1" si="270"/>
        <v>4.0684768637082591</v>
      </c>
      <c r="AF257" s="758">
        <f t="shared" ca="1" si="270"/>
        <v>3.7304398511136982</v>
      </c>
    </row>
    <row r="259" spans="1:32">
      <c r="A259" s="1170"/>
      <c r="B259" s="1170"/>
      <c r="D259" s="1114"/>
      <c r="E259" s="1115" t="s">
        <v>175</v>
      </c>
      <c r="F259" s="1116"/>
      <c r="G259" s="735">
        <f>+InputY!$G$3</f>
        <v>1995</v>
      </c>
      <c r="H259" s="735">
        <f>+G259+1</f>
        <v>1996</v>
      </c>
      <c r="I259" s="735">
        <f t="shared" ref="I259:O259" si="275">+H259+1</f>
        <v>1997</v>
      </c>
      <c r="J259" s="735">
        <f t="shared" si="275"/>
        <v>1998</v>
      </c>
      <c r="K259" s="735">
        <f t="shared" si="275"/>
        <v>1999</v>
      </c>
      <c r="L259" s="735">
        <f t="shared" si="275"/>
        <v>2000</v>
      </c>
      <c r="M259" s="735">
        <f t="shared" si="275"/>
        <v>2001</v>
      </c>
      <c r="N259" s="735">
        <f t="shared" si="275"/>
        <v>2002</v>
      </c>
      <c r="O259" s="735">
        <f t="shared" si="275"/>
        <v>2003</v>
      </c>
      <c r="P259" s="735">
        <f>+O259+1</f>
        <v>2004</v>
      </c>
      <c r="Q259" s="735">
        <f>+P259+1</f>
        <v>2005</v>
      </c>
      <c r="R259" s="735">
        <f>+Q259+1</f>
        <v>2006</v>
      </c>
      <c r="S259" s="735">
        <f>+R259+1</f>
        <v>2007</v>
      </c>
      <c r="T259" s="735">
        <f t="shared" ref="T259:AF259" si="276">+S259+1</f>
        <v>2008</v>
      </c>
      <c r="U259" s="735">
        <f t="shared" si="276"/>
        <v>2009</v>
      </c>
      <c r="V259" s="735">
        <f t="shared" si="276"/>
        <v>2010</v>
      </c>
      <c r="W259" s="735">
        <f t="shared" si="276"/>
        <v>2011</v>
      </c>
      <c r="X259" s="735">
        <f t="shared" si="276"/>
        <v>2012</v>
      </c>
      <c r="Y259" s="735">
        <f t="shared" si="276"/>
        <v>2013</v>
      </c>
      <c r="Z259" s="735">
        <f t="shared" si="276"/>
        <v>2014</v>
      </c>
      <c r="AA259" s="735">
        <f t="shared" si="276"/>
        <v>2015</v>
      </c>
      <c r="AB259" s="735">
        <f t="shared" si="276"/>
        <v>2016</v>
      </c>
      <c r="AC259" s="735">
        <f t="shared" si="276"/>
        <v>2017</v>
      </c>
      <c r="AD259" s="735">
        <f t="shared" si="276"/>
        <v>2018</v>
      </c>
      <c r="AE259" s="735">
        <f t="shared" si="276"/>
        <v>2019</v>
      </c>
      <c r="AF259" s="735">
        <f t="shared" si="276"/>
        <v>2020</v>
      </c>
    </row>
    <row r="260" spans="1:32">
      <c r="A260" s="701">
        <f>+ROW(InputY!A78)</f>
        <v>78</v>
      </c>
      <c r="B260" s="1170">
        <v>42</v>
      </c>
      <c r="C260" s="1122"/>
      <c r="D260" s="1126"/>
      <c r="E260" s="1127" t="s">
        <v>816</v>
      </c>
      <c r="F260" s="1126" t="s">
        <v>596</v>
      </c>
      <c r="G260" s="1128">
        <f>+InputY!G78/1000</f>
        <v>21.568999999999999</v>
      </c>
      <c r="H260" s="1128">
        <f>+InputY!H78/1000</f>
        <v>7.3449999999999998</v>
      </c>
      <c r="I260" s="1128">
        <f>+InputY!I78/1000</f>
        <v>9.6389999999999993</v>
      </c>
      <c r="J260" s="1128">
        <f>+InputY!J78/1000</f>
        <v>15.587999999999999</v>
      </c>
      <c r="K260" s="1128">
        <f>+InputY!K78/1000</f>
        <v>5.641</v>
      </c>
      <c r="L260" s="1128">
        <f>+InputY!L78/1000</f>
        <v>15.657999999999999</v>
      </c>
      <c r="M260" s="1128">
        <f>+InputY!M78/1000</f>
        <v>7.0419999999999998</v>
      </c>
      <c r="N260" s="1128">
        <f>+InputY!N78/1000</f>
        <v>2.2559999999999998</v>
      </c>
      <c r="O260" s="1128">
        <f>+InputY!O78/1000</f>
        <v>8.1159999999999997</v>
      </c>
      <c r="P260" s="1128">
        <f>+InputY!P78/1000</f>
        <v>-0.81</v>
      </c>
      <c r="Q260" s="1128">
        <f>+InputY!Q78/1000</f>
        <v>-3.8860000000000001</v>
      </c>
      <c r="R260" s="1128">
        <f>+InputY!R78/1000</f>
        <v>0.82799999999999996</v>
      </c>
      <c r="S260" s="1128">
        <f>+InputY!S78/1000</f>
        <v>23.741</v>
      </c>
      <c r="T260" s="1128">
        <f>+InputY!T78/1000</f>
        <v>6.7640000000000002</v>
      </c>
      <c r="U260" s="1128">
        <f>+InputY!U78/1000</f>
        <v>-45.81</v>
      </c>
      <c r="V260" s="1128">
        <f>+InputY!V78/1000</f>
        <v>23.21</v>
      </c>
      <c r="W260" s="1128">
        <f>+InputY!W78/1000</f>
        <v>41.113999999999997</v>
      </c>
      <c r="X260" s="1128">
        <f>+InputY!X78/1000</f>
        <v>-1.026</v>
      </c>
      <c r="Y260" s="1128">
        <f>+InputY!Y78/1000</f>
        <v>5.8869999999999996</v>
      </c>
      <c r="Z260" s="1128">
        <f>+InputY!Z78/1000</f>
        <v>11.808999999999999</v>
      </c>
      <c r="AA260" s="1128">
        <f>+InputY!AA78/1000</f>
        <v>30.216000000000001</v>
      </c>
      <c r="AB260" s="1128">
        <f>+InputY!AB78/1000</f>
        <v>25.434999999999999</v>
      </c>
      <c r="AC260" s="1128">
        <f>+InputY!AC78/1000</f>
        <v>30.757000000000001</v>
      </c>
      <c r="AD260" s="1385">
        <f ca="1">+AC260*(1+AD263/100)</f>
        <v>38.790728399999999</v>
      </c>
      <c r="AE260" s="1385">
        <f ca="1">+AD260*(1+AE263/100)</f>
        <v>33.19439001373199</v>
      </c>
      <c r="AF260" s="1385">
        <f ca="1">+AE260*(1+AF263/100)</f>
        <v>33.19439001373199</v>
      </c>
    </row>
    <row r="262" spans="1:32" s="736" customFormat="1" ht="12.75" customHeight="1">
      <c r="A262" s="701"/>
      <c r="B262" s="701"/>
      <c r="C262" s="811"/>
      <c r="D262" s="1132"/>
      <c r="E262" s="1133" t="s">
        <v>175</v>
      </c>
      <c r="F262" s="1134"/>
      <c r="G262" s="933">
        <f>+InputY!$G$3</f>
        <v>1995</v>
      </c>
      <c r="H262" s="933">
        <f>+G262+1</f>
        <v>1996</v>
      </c>
      <c r="I262" s="933">
        <f t="shared" ref="I262:O262" si="277">+H262+1</f>
        <v>1997</v>
      </c>
      <c r="J262" s="933">
        <f t="shared" si="277"/>
        <v>1998</v>
      </c>
      <c r="K262" s="933">
        <f t="shared" si="277"/>
        <v>1999</v>
      </c>
      <c r="L262" s="933">
        <f t="shared" si="277"/>
        <v>2000</v>
      </c>
      <c r="M262" s="933">
        <f t="shared" si="277"/>
        <v>2001</v>
      </c>
      <c r="N262" s="933">
        <f t="shared" si="277"/>
        <v>2002</v>
      </c>
      <c r="O262" s="933">
        <f t="shared" si="277"/>
        <v>2003</v>
      </c>
      <c r="P262" s="933">
        <f>+O262+1</f>
        <v>2004</v>
      </c>
      <c r="Q262" s="933">
        <f>+P262+1</f>
        <v>2005</v>
      </c>
      <c r="R262" s="933">
        <f>+Q262+1</f>
        <v>2006</v>
      </c>
      <c r="S262" s="933">
        <f>+R262+1</f>
        <v>2007</v>
      </c>
      <c r="T262" s="933">
        <f t="shared" ref="T262:AF262" si="278">+S262+1</f>
        <v>2008</v>
      </c>
      <c r="U262" s="933">
        <f t="shared" si="278"/>
        <v>2009</v>
      </c>
      <c r="V262" s="933">
        <f t="shared" si="278"/>
        <v>2010</v>
      </c>
      <c r="W262" s="933">
        <f t="shared" si="278"/>
        <v>2011</v>
      </c>
      <c r="X262" s="933">
        <f t="shared" si="278"/>
        <v>2012</v>
      </c>
      <c r="Y262" s="933">
        <f t="shared" si="278"/>
        <v>2013</v>
      </c>
      <c r="Z262" s="933">
        <f t="shared" si="278"/>
        <v>2014</v>
      </c>
      <c r="AA262" s="933">
        <f t="shared" si="278"/>
        <v>2015</v>
      </c>
      <c r="AB262" s="933">
        <f t="shared" si="278"/>
        <v>2016</v>
      </c>
      <c r="AC262" s="933">
        <f t="shared" si="278"/>
        <v>2017</v>
      </c>
      <c r="AD262" s="933">
        <f t="shared" si="278"/>
        <v>2018</v>
      </c>
      <c r="AE262" s="933">
        <f t="shared" si="278"/>
        <v>2019</v>
      </c>
      <c r="AF262" s="933">
        <f t="shared" si="278"/>
        <v>2020</v>
      </c>
    </row>
    <row r="263" spans="1:32" s="736" customFormat="1" ht="12.75" customHeight="1">
      <c r="A263" s="701"/>
      <c r="B263" s="701"/>
      <c r="C263" s="835"/>
      <c r="D263" s="870"/>
      <c r="E263" s="871" t="s">
        <v>816</v>
      </c>
      <c r="F263" s="872" t="s">
        <v>596</v>
      </c>
      <c r="G263" s="1155"/>
      <c r="H263" s="1155">
        <f>+(H260/G260-1)*100</f>
        <v>-65.946497287774122</v>
      </c>
      <c r="I263" s="1155">
        <f t="shared" ref="I263:AC263" si="279">+(I260/H260-1)*100</f>
        <v>31.232130701157246</v>
      </c>
      <c r="J263" s="1155">
        <f t="shared" si="279"/>
        <v>61.718020541549954</v>
      </c>
      <c r="K263" s="1155">
        <f t="shared" si="279"/>
        <v>-63.811906594816527</v>
      </c>
      <c r="L263" s="1155">
        <f t="shared" si="279"/>
        <v>177.57489806771849</v>
      </c>
      <c r="M263" s="1155">
        <f t="shared" si="279"/>
        <v>-55.026184697917998</v>
      </c>
      <c r="N263" s="1155">
        <f t="shared" si="279"/>
        <v>-67.963646691280886</v>
      </c>
      <c r="O263" s="1155">
        <f t="shared" si="279"/>
        <v>259.75177304964541</v>
      </c>
      <c r="P263" s="1155">
        <f t="shared" si="279"/>
        <v>-109.98028585510104</v>
      </c>
      <c r="Q263" s="1155">
        <f t="shared" si="279"/>
        <v>379.75308641975306</v>
      </c>
      <c r="R263" s="1155">
        <f t="shared" si="279"/>
        <v>-121.30725681935152</v>
      </c>
      <c r="S263" s="1155">
        <f t="shared" si="279"/>
        <v>2767.2705314009663</v>
      </c>
      <c r="T263" s="1155">
        <f t="shared" si="279"/>
        <v>-71.509203487637421</v>
      </c>
      <c r="U263" s="1155">
        <f t="shared" si="279"/>
        <v>-777.26197516262573</v>
      </c>
      <c r="V263" s="1155">
        <f t="shared" si="279"/>
        <v>-150.66579349487012</v>
      </c>
      <c r="W263" s="1155">
        <f t="shared" si="279"/>
        <v>77.13916415338214</v>
      </c>
      <c r="X263" s="1155">
        <f t="shared" si="279"/>
        <v>-102.49550031619398</v>
      </c>
      <c r="Y263" s="1155">
        <f t="shared" si="279"/>
        <v>-673.78167641325535</v>
      </c>
      <c r="Z263" s="1155">
        <f t="shared" si="279"/>
        <v>100.59453032104639</v>
      </c>
      <c r="AA263" s="1155">
        <f t="shared" si="279"/>
        <v>155.87263951223647</v>
      </c>
      <c r="AB263" s="1155">
        <f t="shared" si="279"/>
        <v>-15.822742917659527</v>
      </c>
      <c r="AC263" s="1155">
        <f t="shared" si="279"/>
        <v>20.923923727147642</v>
      </c>
      <c r="AD263" s="1474">
        <f ca="1">OFFSET('VVP1'!$K$81,0,5*(COLUMN()-7))</f>
        <v>26.119999999999987</v>
      </c>
      <c r="AE263" s="1474">
        <f ca="1">OFFSET('VVP1'!$K$81,0,5*(COLUMN()-7))</f>
        <v>-14.427000000000023</v>
      </c>
      <c r="AF263" s="1474">
        <f ca="1">OFFSET('VVP1'!$K$81,0,5*(COLUMN()-7))</f>
        <v>0</v>
      </c>
    </row>
    <row r="265" spans="1:32">
      <c r="A265" s="1170"/>
      <c r="B265" s="1170"/>
      <c r="D265" s="1114"/>
      <c r="E265" s="1115" t="s">
        <v>1240</v>
      </c>
      <c r="F265" s="1116"/>
      <c r="G265" s="735">
        <f>+InputY!$G$3</f>
        <v>1995</v>
      </c>
      <c r="H265" s="735">
        <f>+G265+1</f>
        <v>1996</v>
      </c>
      <c r="I265" s="735">
        <f t="shared" ref="I265:O265" si="280">+H265+1</f>
        <v>1997</v>
      </c>
      <c r="J265" s="735">
        <f t="shared" si="280"/>
        <v>1998</v>
      </c>
      <c r="K265" s="735">
        <f t="shared" si="280"/>
        <v>1999</v>
      </c>
      <c r="L265" s="735">
        <f t="shared" si="280"/>
        <v>2000</v>
      </c>
      <c r="M265" s="735">
        <f t="shared" si="280"/>
        <v>2001</v>
      </c>
      <c r="N265" s="735">
        <f t="shared" si="280"/>
        <v>2002</v>
      </c>
      <c r="O265" s="735">
        <f t="shared" si="280"/>
        <v>2003</v>
      </c>
      <c r="P265" s="735">
        <f t="shared" ref="P265:AF265" si="281">+O265+1</f>
        <v>2004</v>
      </c>
      <c r="Q265" s="735">
        <f t="shared" si="281"/>
        <v>2005</v>
      </c>
      <c r="R265" s="735">
        <f t="shared" si="281"/>
        <v>2006</v>
      </c>
      <c r="S265" s="735">
        <f t="shared" si="281"/>
        <v>2007</v>
      </c>
      <c r="T265" s="735">
        <f t="shared" si="281"/>
        <v>2008</v>
      </c>
      <c r="U265" s="735">
        <f t="shared" si="281"/>
        <v>2009</v>
      </c>
      <c r="V265" s="735">
        <f t="shared" si="281"/>
        <v>2010</v>
      </c>
      <c r="W265" s="735">
        <f t="shared" si="281"/>
        <v>2011</v>
      </c>
      <c r="X265" s="735">
        <f t="shared" si="281"/>
        <v>2012</v>
      </c>
      <c r="Y265" s="735">
        <f t="shared" si="281"/>
        <v>2013</v>
      </c>
      <c r="Z265" s="735">
        <f t="shared" si="281"/>
        <v>2014</v>
      </c>
      <c r="AA265" s="735">
        <f t="shared" si="281"/>
        <v>2015</v>
      </c>
      <c r="AB265" s="735">
        <f t="shared" si="281"/>
        <v>2016</v>
      </c>
      <c r="AC265" s="735">
        <f t="shared" si="281"/>
        <v>2017</v>
      </c>
      <c r="AD265" s="735">
        <f t="shared" si="281"/>
        <v>2018</v>
      </c>
      <c r="AE265" s="735">
        <f t="shared" si="281"/>
        <v>2019</v>
      </c>
      <c r="AF265" s="735">
        <f t="shared" si="281"/>
        <v>2020</v>
      </c>
    </row>
    <row r="266" spans="1:32">
      <c r="A266" s="701"/>
      <c r="B266" s="1170"/>
      <c r="C266" s="1119" t="s">
        <v>1791</v>
      </c>
      <c r="D266" s="1098"/>
      <c r="E266" s="1078" t="s">
        <v>1239</v>
      </c>
      <c r="F266" s="1098"/>
      <c r="G266" s="1124">
        <f>+G250</f>
        <v>1743.933</v>
      </c>
      <c r="H266" s="1124">
        <f t="shared" ref="H266:R266" si="282">+H250</f>
        <v>1807.673</v>
      </c>
      <c r="I266" s="1124">
        <f t="shared" si="282"/>
        <v>1872.0170000000001</v>
      </c>
      <c r="J266" s="1124">
        <f t="shared" si="282"/>
        <v>1974.9649999999999</v>
      </c>
      <c r="K266" s="1124">
        <f t="shared" si="282"/>
        <v>2099.1770000000001</v>
      </c>
      <c r="L266" s="1124">
        <f t="shared" si="282"/>
        <v>2228.277</v>
      </c>
      <c r="M266" s="1124">
        <f t="shared" si="282"/>
        <v>2320.444</v>
      </c>
      <c r="N266" s="1124">
        <f t="shared" si="282"/>
        <v>2409.3760000000002</v>
      </c>
      <c r="O266" s="1124">
        <f t="shared" si="282"/>
        <v>2502.9839999999999</v>
      </c>
      <c r="P266" s="1124">
        <f t="shared" si="282"/>
        <v>2596.0239999999999</v>
      </c>
      <c r="Q266" s="1124">
        <f t="shared" si="282"/>
        <v>2706.038</v>
      </c>
      <c r="R266" s="1124">
        <f t="shared" si="282"/>
        <v>2866.77</v>
      </c>
      <c r="S266" s="1124">
        <f t="shared" ref="S266:X266" si="283">+S250</f>
        <v>3047.2280000000001</v>
      </c>
      <c r="T266" s="1124">
        <f t="shared" si="283"/>
        <v>3172.614</v>
      </c>
      <c r="U266" s="1124">
        <f t="shared" si="283"/>
        <v>3148.3580000000002</v>
      </c>
      <c r="V266" s="1124">
        <f t="shared" si="283"/>
        <v>3308.1570000000002</v>
      </c>
      <c r="W266" s="1124">
        <f t="shared" si="283"/>
        <v>3447.9140000000002</v>
      </c>
      <c r="X266" s="1124">
        <f t="shared" si="283"/>
        <v>3508.19</v>
      </c>
      <c r="Y266" s="1124">
        <f t="shared" ref="Y266:AA266" si="284">+Y250</f>
        <v>3598.116</v>
      </c>
      <c r="Z266" s="1124">
        <f t="shared" si="284"/>
        <v>3759.2159999999999</v>
      </c>
      <c r="AA266" s="1124">
        <f t="shared" si="284"/>
        <v>3967.1439999999998</v>
      </c>
      <c r="AB266" s="1124">
        <f t="shared" ref="AB266" si="285">+AB250</f>
        <v>4165.9390000000003</v>
      </c>
      <c r="AC266" s="1124">
        <f t="shared" ref="AC266" si="286">+AC250</f>
        <v>4379.0640000000003</v>
      </c>
      <c r="AD266" s="1386">
        <f ca="1">+AD250</f>
        <v>4605.4946312554994</v>
      </c>
      <c r="AE266" s="1386">
        <f ca="1">+AE250</f>
        <v>4792.8681147874559</v>
      </c>
      <c r="AF266" s="1386">
        <f ca="1">+AF250</f>
        <v>4971.6631769528094</v>
      </c>
    </row>
    <row r="267" spans="1:32">
      <c r="A267" s="701"/>
      <c r="B267" s="1170"/>
      <c r="C267" s="1121" t="s">
        <v>1791</v>
      </c>
      <c r="D267" s="1117"/>
      <c r="E267" s="1079" t="s">
        <v>816</v>
      </c>
      <c r="F267" s="1117" t="s">
        <v>596</v>
      </c>
      <c r="G267" s="1125">
        <f>+G260</f>
        <v>21.568999999999999</v>
      </c>
      <c r="H267" s="1125">
        <f t="shared" ref="H267:R267" si="287">+H260</f>
        <v>7.3449999999999998</v>
      </c>
      <c r="I267" s="1125">
        <f t="shared" si="287"/>
        <v>9.6389999999999993</v>
      </c>
      <c r="J267" s="1125">
        <f t="shared" si="287"/>
        <v>15.587999999999999</v>
      </c>
      <c r="K267" s="1125">
        <f t="shared" si="287"/>
        <v>5.641</v>
      </c>
      <c r="L267" s="1125">
        <f t="shared" si="287"/>
        <v>15.657999999999999</v>
      </c>
      <c r="M267" s="1125">
        <f t="shared" si="287"/>
        <v>7.0419999999999998</v>
      </c>
      <c r="N267" s="1125">
        <f t="shared" si="287"/>
        <v>2.2559999999999998</v>
      </c>
      <c r="O267" s="1125">
        <f t="shared" si="287"/>
        <v>8.1159999999999997</v>
      </c>
      <c r="P267" s="1125">
        <f t="shared" si="287"/>
        <v>-0.81</v>
      </c>
      <c r="Q267" s="1125">
        <f t="shared" si="287"/>
        <v>-3.8860000000000001</v>
      </c>
      <c r="R267" s="1125">
        <f t="shared" si="287"/>
        <v>0.82799999999999996</v>
      </c>
      <c r="S267" s="1125">
        <f t="shared" ref="S267:X267" si="288">+S260</f>
        <v>23.741</v>
      </c>
      <c r="T267" s="1125">
        <f t="shared" si="288"/>
        <v>6.7640000000000002</v>
      </c>
      <c r="U267" s="1125">
        <f t="shared" si="288"/>
        <v>-45.81</v>
      </c>
      <c r="V267" s="1125">
        <f t="shared" si="288"/>
        <v>23.21</v>
      </c>
      <c r="W267" s="1125">
        <f t="shared" si="288"/>
        <v>41.113999999999997</v>
      </c>
      <c r="X267" s="1125">
        <f t="shared" si="288"/>
        <v>-1.026</v>
      </c>
      <c r="Y267" s="1125">
        <f t="shared" ref="Y267:AA267" si="289">+Y260</f>
        <v>5.8869999999999996</v>
      </c>
      <c r="Z267" s="1125">
        <f t="shared" si="289"/>
        <v>11.808999999999999</v>
      </c>
      <c r="AA267" s="1125">
        <f t="shared" si="289"/>
        <v>30.216000000000001</v>
      </c>
      <c r="AB267" s="1125">
        <f t="shared" ref="AB267" si="290">+AB260</f>
        <v>25.434999999999999</v>
      </c>
      <c r="AC267" s="1125">
        <f t="shared" ref="AC267" si="291">+AC260</f>
        <v>30.757000000000001</v>
      </c>
      <c r="AD267" s="977">
        <f ca="1">+AD260</f>
        <v>38.790728399999999</v>
      </c>
      <c r="AE267" s="977">
        <f ca="1">+AE260</f>
        <v>33.19439001373199</v>
      </c>
      <c r="AF267" s="977">
        <f ca="1">+AF260</f>
        <v>33.19439001373199</v>
      </c>
    </row>
    <row r="268" spans="1:32">
      <c r="A268" s="701">
        <f>+ROW(InputY!A81)</f>
        <v>81</v>
      </c>
      <c r="B268" s="701"/>
      <c r="C268" s="731" t="s">
        <v>1793</v>
      </c>
      <c r="D268" s="1095"/>
      <c r="E268" s="1096" t="s">
        <v>1239</v>
      </c>
      <c r="F268" s="1095"/>
      <c r="G268" s="1097">
        <f>+InputY!G81/1000</f>
        <v>1765.502</v>
      </c>
      <c r="H268" s="1097">
        <f>+InputY!H81/1000</f>
        <v>1815.018</v>
      </c>
      <c r="I268" s="1097">
        <f>+InputY!I81/1000</f>
        <v>1881.6559999999999</v>
      </c>
      <c r="J268" s="1097">
        <f>+InputY!J81/1000</f>
        <v>1990.5530000000001</v>
      </c>
      <c r="K268" s="1097">
        <f>+InputY!K81/1000</f>
        <v>2104.8180000000002</v>
      </c>
      <c r="L268" s="1097">
        <f>+InputY!L81/1000</f>
        <v>2243.9349999999999</v>
      </c>
      <c r="M268" s="1097">
        <f>+InputY!M81/1000</f>
        <v>2327.4859999999999</v>
      </c>
      <c r="N268" s="1097">
        <f>+InputY!N81/1000</f>
        <v>2411.6320000000001</v>
      </c>
      <c r="O268" s="1097">
        <f>+InputY!O81/1000</f>
        <v>2511.1</v>
      </c>
      <c r="P268" s="1097">
        <f>+InputY!P81/1000</f>
        <v>2595.2139999999999</v>
      </c>
      <c r="Q268" s="1097">
        <f>+InputY!Q81/1000</f>
        <v>2702.152</v>
      </c>
      <c r="R268" s="1097">
        <f>+InputY!R81/1000</f>
        <v>2867.598</v>
      </c>
      <c r="S268" s="1097">
        <f>+InputY!S81/1000</f>
        <v>3070.9690000000001</v>
      </c>
      <c r="T268" s="1097">
        <f>+InputY!T81/1000</f>
        <v>3179.3780000000002</v>
      </c>
      <c r="U268" s="1097">
        <f>+InputY!U81/1000</f>
        <v>3102.5479999999998</v>
      </c>
      <c r="V268" s="1097">
        <f>+InputY!V81/1000</f>
        <v>3331.3670000000002</v>
      </c>
      <c r="W268" s="1097">
        <f>+InputY!W81/1000</f>
        <v>3489.0279999999998</v>
      </c>
      <c r="X268" s="1097">
        <f>+InputY!X81/1000</f>
        <v>3507.1640000000002</v>
      </c>
      <c r="Y268" s="1097">
        <f>+InputY!Y81/1000</f>
        <v>3604.0030000000002</v>
      </c>
      <c r="Z268" s="1097">
        <f>+InputY!Z81/1000</f>
        <v>3771.0250000000001</v>
      </c>
      <c r="AA268" s="1097">
        <f>+InputY!AA81/1000</f>
        <v>3997.36</v>
      </c>
      <c r="AB268" s="1097">
        <f>+InputY!AB81/1000</f>
        <v>4191.3739999999998</v>
      </c>
      <c r="AC268" s="1097">
        <f>+InputY!AC81/1000</f>
        <v>4409.8209999999999</v>
      </c>
      <c r="AD268" s="2371">
        <f ca="1">+AD266+AD267</f>
        <v>4644.2853596554996</v>
      </c>
      <c r="AE268" s="2371">
        <f ca="1">+AE266+AE267</f>
        <v>4826.062504801188</v>
      </c>
      <c r="AF268" s="2371">
        <f ca="1">+AF266+AF267</f>
        <v>5004.8575669665415</v>
      </c>
    </row>
    <row r="269" spans="1:32" s="736" customFormat="1" ht="12.75" customHeight="1">
      <c r="A269" s="701"/>
      <c r="B269" s="701"/>
      <c r="C269" s="811"/>
      <c r="D269" s="2033"/>
      <c r="E269" s="2033" t="s">
        <v>90</v>
      </c>
      <c r="F269" s="2033"/>
      <c r="G269" s="1040">
        <f>ABS(G268-G267-G266)</f>
        <v>0</v>
      </c>
      <c r="H269" s="1040">
        <f t="shared" ref="H269:V269" si="292">ABS(H268-H267-H266)</f>
        <v>0</v>
      </c>
      <c r="I269" s="1040">
        <f t="shared" si="292"/>
        <v>0</v>
      </c>
      <c r="J269" s="1040">
        <f t="shared" si="292"/>
        <v>2.2737367544323206E-13</v>
      </c>
      <c r="K269" s="1040">
        <f t="shared" si="292"/>
        <v>0</v>
      </c>
      <c r="L269" s="1040">
        <f t="shared" si="292"/>
        <v>0</v>
      </c>
      <c r="M269" s="1040">
        <f t="shared" si="292"/>
        <v>0</v>
      </c>
      <c r="N269" s="1040">
        <f t="shared" si="292"/>
        <v>0</v>
      </c>
      <c r="O269" s="1040">
        <f t="shared" si="292"/>
        <v>0</v>
      </c>
      <c r="P269" s="1040">
        <f t="shared" si="292"/>
        <v>0</v>
      </c>
      <c r="Q269" s="1040">
        <f t="shared" si="292"/>
        <v>0</v>
      </c>
      <c r="R269" s="1040">
        <f t="shared" si="292"/>
        <v>0</v>
      </c>
      <c r="S269" s="1040">
        <f t="shared" si="292"/>
        <v>0</v>
      </c>
      <c r="T269" s="1040">
        <f t="shared" si="292"/>
        <v>0</v>
      </c>
      <c r="U269" s="1040">
        <f t="shared" si="292"/>
        <v>4.5474735088646412E-13</v>
      </c>
      <c r="V269" s="1040">
        <f t="shared" si="292"/>
        <v>0</v>
      </c>
      <c r="W269" s="1040">
        <f t="shared" ref="W269:Z269" si="293">ABS(W268-W267-W266)</f>
        <v>4.5474735088646412E-13</v>
      </c>
      <c r="X269" s="1040">
        <f t="shared" si="293"/>
        <v>0</v>
      </c>
      <c r="Y269" s="1040">
        <f t="shared" si="293"/>
        <v>0</v>
      </c>
      <c r="Z269" s="2999">
        <f t="shared" si="293"/>
        <v>0</v>
      </c>
      <c r="AA269" s="2999">
        <f t="shared" ref="AA269" si="294">ABS(AA268-AA267-AA266)</f>
        <v>4.5474735088646412E-13</v>
      </c>
      <c r="AB269" s="2999">
        <f t="shared" ref="AB269" si="295">ABS(AB268-AB267-AB266)</f>
        <v>9.0949470177292824E-13</v>
      </c>
      <c r="AC269" s="2999">
        <f t="shared" ref="AC269" si="296">ABS(AC268-AC267-AC266)</f>
        <v>0</v>
      </c>
      <c r="AD269" s="2999">
        <f ca="1">ABS(AD268-AD267-AD266)</f>
        <v>0</v>
      </c>
      <c r="AE269" s="2999">
        <f ca="1">ABS(AE268-AE267-AE266)</f>
        <v>0</v>
      </c>
      <c r="AF269" s="2999">
        <f ca="1">ABS(AF268-AF267-AF266)</f>
        <v>0</v>
      </c>
    </row>
    <row r="271" spans="1:32" s="736" customFormat="1" ht="12.75" customHeight="1">
      <c r="A271" s="701"/>
      <c r="B271" s="701"/>
      <c r="C271" s="811"/>
      <c r="D271" s="1132"/>
      <c r="E271" s="1133" t="s">
        <v>1240</v>
      </c>
      <c r="F271" s="1134"/>
      <c r="G271" s="933">
        <f>+InputY!$G$3</f>
        <v>1995</v>
      </c>
      <c r="H271" s="933">
        <f>+G271+1</f>
        <v>1996</v>
      </c>
      <c r="I271" s="933">
        <f t="shared" ref="I271:O271" si="297">+H271+1</f>
        <v>1997</v>
      </c>
      <c r="J271" s="933">
        <f t="shared" si="297"/>
        <v>1998</v>
      </c>
      <c r="K271" s="933">
        <f t="shared" si="297"/>
        <v>1999</v>
      </c>
      <c r="L271" s="933">
        <f t="shared" si="297"/>
        <v>2000</v>
      </c>
      <c r="M271" s="933">
        <f t="shared" si="297"/>
        <v>2001</v>
      </c>
      <c r="N271" s="933">
        <f t="shared" si="297"/>
        <v>2002</v>
      </c>
      <c r="O271" s="933">
        <f t="shared" si="297"/>
        <v>2003</v>
      </c>
      <c r="P271" s="933">
        <f t="shared" ref="P271:AF271" si="298">+O271+1</f>
        <v>2004</v>
      </c>
      <c r="Q271" s="933">
        <f t="shared" si="298"/>
        <v>2005</v>
      </c>
      <c r="R271" s="933">
        <f t="shared" si="298"/>
        <v>2006</v>
      </c>
      <c r="S271" s="933">
        <f t="shared" si="298"/>
        <v>2007</v>
      </c>
      <c r="T271" s="933">
        <f t="shared" si="298"/>
        <v>2008</v>
      </c>
      <c r="U271" s="933">
        <f t="shared" si="298"/>
        <v>2009</v>
      </c>
      <c r="V271" s="933">
        <f t="shared" si="298"/>
        <v>2010</v>
      </c>
      <c r="W271" s="933">
        <f t="shared" si="298"/>
        <v>2011</v>
      </c>
      <c r="X271" s="933">
        <f t="shared" si="298"/>
        <v>2012</v>
      </c>
      <c r="Y271" s="933">
        <f t="shared" si="298"/>
        <v>2013</v>
      </c>
      <c r="Z271" s="933">
        <f t="shared" si="298"/>
        <v>2014</v>
      </c>
      <c r="AA271" s="933">
        <f t="shared" si="298"/>
        <v>2015</v>
      </c>
      <c r="AB271" s="933">
        <f t="shared" si="298"/>
        <v>2016</v>
      </c>
      <c r="AC271" s="933">
        <f t="shared" si="298"/>
        <v>2017</v>
      </c>
      <c r="AD271" s="933">
        <f t="shared" si="298"/>
        <v>2018</v>
      </c>
      <c r="AE271" s="933">
        <f t="shared" si="298"/>
        <v>2019</v>
      </c>
      <c r="AF271" s="933">
        <f t="shared" si="298"/>
        <v>2020</v>
      </c>
    </row>
    <row r="272" spans="1:32" s="736" customFormat="1" ht="12.75" customHeight="1">
      <c r="A272" s="701"/>
      <c r="B272" s="701"/>
      <c r="C272" s="831" t="s">
        <v>1791</v>
      </c>
      <c r="D272" s="726"/>
      <c r="E272" s="775" t="s">
        <v>1239</v>
      </c>
      <c r="F272" s="770"/>
      <c r="G272" s="1135"/>
      <c r="H272" s="1135">
        <f t="shared" ref="H272:AC272" si="299">+(H266/G266-1)*100</f>
        <v>3.6549569278177652</v>
      </c>
      <c r="I272" s="1135">
        <f t="shared" si="299"/>
        <v>3.5594933375671323</v>
      </c>
      <c r="J272" s="1135">
        <f t="shared" si="299"/>
        <v>5.4993090340525574</v>
      </c>
      <c r="K272" s="1135">
        <f t="shared" si="299"/>
        <v>6.2893266462950015</v>
      </c>
      <c r="L272" s="1135">
        <f t="shared" si="299"/>
        <v>6.1500292733771333</v>
      </c>
      <c r="M272" s="1135">
        <f t="shared" si="299"/>
        <v>4.1362451795714739</v>
      </c>
      <c r="N272" s="1135">
        <f t="shared" si="299"/>
        <v>3.8325423927489943</v>
      </c>
      <c r="O272" s="1135">
        <f t="shared" si="299"/>
        <v>3.8851553265243588</v>
      </c>
      <c r="P272" s="1135">
        <f t="shared" si="299"/>
        <v>3.7171631940116301</v>
      </c>
      <c r="Q272" s="1135">
        <f t="shared" si="299"/>
        <v>4.2377882484907703</v>
      </c>
      <c r="R272" s="1135">
        <f t="shared" si="299"/>
        <v>5.9397539871945515</v>
      </c>
      <c r="S272" s="1135">
        <f t="shared" si="299"/>
        <v>6.2948196053398187</v>
      </c>
      <c r="T272" s="1135">
        <f t="shared" si="299"/>
        <v>4.1147560996420252</v>
      </c>
      <c r="U272" s="1135">
        <f t="shared" si="299"/>
        <v>-0.76454305503285136</v>
      </c>
      <c r="V272" s="1135">
        <f t="shared" si="299"/>
        <v>5.0756298997763238</v>
      </c>
      <c r="W272" s="1135">
        <f t="shared" si="299"/>
        <v>4.2246181181848419</v>
      </c>
      <c r="X272" s="1135">
        <f t="shared" si="299"/>
        <v>1.7481874547915055</v>
      </c>
      <c r="Y272" s="1135">
        <f t="shared" si="299"/>
        <v>2.5633161259794868</v>
      </c>
      <c r="Z272" s="1135">
        <f t="shared" si="299"/>
        <v>4.4773431429114607</v>
      </c>
      <c r="AA272" s="1135">
        <f t="shared" si="299"/>
        <v>5.5311533043060024</v>
      </c>
      <c r="AB272" s="1135">
        <f t="shared" si="299"/>
        <v>5.0110356468028527</v>
      </c>
      <c r="AC272" s="1135">
        <f t="shared" si="299"/>
        <v>5.1158934396303035</v>
      </c>
      <c r="AD272" s="1135">
        <f t="shared" ref="AD272:AF274" ca="1" si="300">+(AD266/AC266-1)*100</f>
        <v>5.1707540984899714</v>
      </c>
      <c r="AE272" s="1135">
        <f t="shared" ca="1" si="300"/>
        <v>4.0684768637082591</v>
      </c>
      <c r="AF272" s="1135">
        <f t="shared" ca="1" si="300"/>
        <v>3.7304398511136982</v>
      </c>
    </row>
    <row r="273" spans="1:32" s="736" customFormat="1" ht="12.75" customHeight="1">
      <c r="A273" s="701"/>
      <c r="B273" s="701"/>
      <c r="C273" s="833" t="s">
        <v>1791</v>
      </c>
      <c r="D273" s="728"/>
      <c r="E273" s="834" t="s">
        <v>816</v>
      </c>
      <c r="F273" s="773" t="s">
        <v>596</v>
      </c>
      <c r="G273" s="1136"/>
      <c r="H273" s="1136">
        <f t="shared" ref="H273:Q273" si="301">+(H267/G267-1)*100</f>
        <v>-65.946497287774122</v>
      </c>
      <c r="I273" s="1136">
        <f t="shared" si="301"/>
        <v>31.232130701157246</v>
      </c>
      <c r="J273" s="1136">
        <f t="shared" si="301"/>
        <v>61.718020541549954</v>
      </c>
      <c r="K273" s="1136">
        <f t="shared" si="301"/>
        <v>-63.811906594816527</v>
      </c>
      <c r="L273" s="1136">
        <f t="shared" si="301"/>
        <v>177.57489806771849</v>
      </c>
      <c r="M273" s="1136">
        <f t="shared" si="301"/>
        <v>-55.026184697917998</v>
      </c>
      <c r="N273" s="1136">
        <f t="shared" si="301"/>
        <v>-67.963646691280886</v>
      </c>
      <c r="O273" s="1136">
        <f t="shared" si="301"/>
        <v>259.75177304964541</v>
      </c>
      <c r="P273" s="1136">
        <f t="shared" si="301"/>
        <v>-109.98028585510104</v>
      </c>
      <c r="Q273" s="1136">
        <f t="shared" si="301"/>
        <v>379.75308641975306</v>
      </c>
      <c r="R273" s="1136">
        <f t="shared" ref="R273:AC274" si="302">+(R267/Q267-1)*100</f>
        <v>-121.30725681935152</v>
      </c>
      <c r="S273" s="1136">
        <f t="shared" si="302"/>
        <v>2767.2705314009663</v>
      </c>
      <c r="T273" s="1136">
        <f t="shared" si="302"/>
        <v>-71.509203487637421</v>
      </c>
      <c r="U273" s="1136">
        <f t="shared" si="302"/>
        <v>-777.26197516262573</v>
      </c>
      <c r="V273" s="1136">
        <f t="shared" si="302"/>
        <v>-150.66579349487012</v>
      </c>
      <c r="W273" s="1136">
        <f t="shared" si="302"/>
        <v>77.13916415338214</v>
      </c>
      <c r="X273" s="1136">
        <f t="shared" si="302"/>
        <v>-102.49550031619398</v>
      </c>
      <c r="Y273" s="1136">
        <f t="shared" si="302"/>
        <v>-673.78167641325535</v>
      </c>
      <c r="Z273" s="1136">
        <f t="shared" si="302"/>
        <v>100.59453032104639</v>
      </c>
      <c r="AA273" s="1136">
        <f t="shared" si="302"/>
        <v>155.87263951223647</v>
      </c>
      <c r="AB273" s="1136">
        <f t="shared" si="302"/>
        <v>-15.822742917659527</v>
      </c>
      <c r="AC273" s="1136">
        <f t="shared" si="302"/>
        <v>20.923923727147642</v>
      </c>
      <c r="AD273" s="1136">
        <f t="shared" ca="1" si="300"/>
        <v>26.119999999999987</v>
      </c>
      <c r="AE273" s="1136">
        <f t="shared" ca="1" si="300"/>
        <v>-14.427000000000023</v>
      </c>
      <c r="AF273" s="1136">
        <f t="shared" ca="1" si="300"/>
        <v>0</v>
      </c>
    </row>
    <row r="274" spans="1:32" s="736" customFormat="1" ht="12.75" customHeight="1">
      <c r="A274" s="701"/>
      <c r="B274" s="701"/>
      <c r="C274" s="811" t="s">
        <v>1793</v>
      </c>
      <c r="D274" s="754"/>
      <c r="E274" s="759" t="s">
        <v>1239</v>
      </c>
      <c r="F274" s="760"/>
      <c r="G274" s="758"/>
      <c r="H274" s="758">
        <f t="shared" ref="H274:Q274" si="303">+(H268/G268-1)*100</f>
        <v>2.8046413994433417</v>
      </c>
      <c r="I274" s="758">
        <f t="shared" si="303"/>
        <v>3.6714787401557425</v>
      </c>
      <c r="J274" s="758">
        <f t="shared" si="303"/>
        <v>5.7872958712963607</v>
      </c>
      <c r="K274" s="758">
        <f t="shared" si="303"/>
        <v>5.7403646122459406</v>
      </c>
      <c r="L274" s="758">
        <f t="shared" si="303"/>
        <v>6.6094550692743947</v>
      </c>
      <c r="M274" s="758">
        <f t="shared" si="303"/>
        <v>3.7234144482794607</v>
      </c>
      <c r="N274" s="758">
        <f t="shared" si="303"/>
        <v>3.6153171275788543</v>
      </c>
      <c r="O274" s="758">
        <f t="shared" si="303"/>
        <v>4.124509875470217</v>
      </c>
      <c r="P274" s="758">
        <f t="shared" si="303"/>
        <v>3.3496873879973021</v>
      </c>
      <c r="Q274" s="758">
        <f t="shared" si="303"/>
        <v>4.1205850461657478</v>
      </c>
      <c r="R274" s="758">
        <f t="shared" si="302"/>
        <v>6.1227495714526681</v>
      </c>
      <c r="S274" s="758">
        <f t="shared" si="302"/>
        <v>7.0920331231923095</v>
      </c>
      <c r="T274" s="758">
        <f t="shared" si="302"/>
        <v>3.530123553835951</v>
      </c>
      <c r="U274" s="758">
        <f t="shared" si="302"/>
        <v>-2.4165103992038861</v>
      </c>
      <c r="V274" s="758">
        <f t="shared" si="302"/>
        <v>7.3751961291171231</v>
      </c>
      <c r="W274" s="758">
        <f t="shared" si="302"/>
        <v>4.7326217735842224</v>
      </c>
      <c r="X274" s="758">
        <f t="shared" si="302"/>
        <v>0.51980093023042961</v>
      </c>
      <c r="Y274" s="758">
        <f t="shared" si="302"/>
        <v>2.7611768368972722</v>
      </c>
      <c r="Z274" s="758">
        <f t="shared" si="302"/>
        <v>4.6343468637512153</v>
      </c>
      <c r="AA274" s="758">
        <f t="shared" si="302"/>
        <v>6.001949072201862</v>
      </c>
      <c r="AB274" s="758">
        <f t="shared" si="302"/>
        <v>4.8535533452078283</v>
      </c>
      <c r="AC274" s="758">
        <f t="shared" si="302"/>
        <v>5.2118231396196091</v>
      </c>
      <c r="AD274" s="758">
        <f t="shared" ca="1" si="300"/>
        <v>5.3168679557628273</v>
      </c>
      <c r="AE274" s="758">
        <f t="shared" ca="1" si="300"/>
        <v>3.9139960417757802</v>
      </c>
      <c r="AF274" s="758">
        <f t="shared" ca="1" si="300"/>
        <v>3.7047813199161839</v>
      </c>
    </row>
    <row r="276" spans="1:32">
      <c r="A276" s="1170"/>
      <c r="B276" s="1170"/>
      <c r="D276" s="1113"/>
      <c r="E276" s="938" t="s">
        <v>176</v>
      </c>
      <c r="F276" s="1105"/>
      <c r="G276" s="815">
        <f>+InputY!$G$3</f>
        <v>1995</v>
      </c>
      <c r="H276" s="815">
        <f>+G276+1</f>
        <v>1996</v>
      </c>
      <c r="I276" s="815">
        <f t="shared" ref="I276:O276" si="304">+H276+1</f>
        <v>1997</v>
      </c>
      <c r="J276" s="815">
        <f t="shared" si="304"/>
        <v>1998</v>
      </c>
      <c r="K276" s="815">
        <f t="shared" si="304"/>
        <v>1999</v>
      </c>
      <c r="L276" s="815">
        <f t="shared" si="304"/>
        <v>2000</v>
      </c>
      <c r="M276" s="815">
        <f t="shared" si="304"/>
        <v>2001</v>
      </c>
      <c r="N276" s="815">
        <f t="shared" si="304"/>
        <v>2002</v>
      </c>
      <c r="O276" s="815">
        <f t="shared" si="304"/>
        <v>2003</v>
      </c>
      <c r="P276" s="815">
        <f>+O276+1</f>
        <v>2004</v>
      </c>
      <c r="Q276" s="815">
        <f>+P276+1</f>
        <v>2005</v>
      </c>
      <c r="R276" s="815">
        <f>+Q276+1</f>
        <v>2006</v>
      </c>
      <c r="S276" s="815">
        <f>+R276+1</f>
        <v>2007</v>
      </c>
      <c r="T276" s="815">
        <f t="shared" ref="T276:AF276" si="305">+S276+1</f>
        <v>2008</v>
      </c>
      <c r="U276" s="815">
        <f t="shared" si="305"/>
        <v>2009</v>
      </c>
      <c r="V276" s="815">
        <f t="shared" si="305"/>
        <v>2010</v>
      </c>
      <c r="W276" s="815">
        <f t="shared" si="305"/>
        <v>2011</v>
      </c>
      <c r="X276" s="815">
        <f t="shared" si="305"/>
        <v>2012</v>
      </c>
      <c r="Y276" s="815">
        <f t="shared" si="305"/>
        <v>2013</v>
      </c>
      <c r="Z276" s="815">
        <f t="shared" si="305"/>
        <v>2014</v>
      </c>
      <c r="AA276" s="815">
        <f t="shared" si="305"/>
        <v>2015</v>
      </c>
      <c r="AB276" s="815">
        <f t="shared" si="305"/>
        <v>2016</v>
      </c>
      <c r="AC276" s="815">
        <f t="shared" si="305"/>
        <v>2017</v>
      </c>
      <c r="AD276" s="815">
        <f t="shared" si="305"/>
        <v>2018</v>
      </c>
      <c r="AE276" s="815">
        <f t="shared" si="305"/>
        <v>2019</v>
      </c>
      <c r="AF276" s="815">
        <f t="shared" si="305"/>
        <v>2020</v>
      </c>
    </row>
    <row r="277" spans="1:32">
      <c r="A277" s="701">
        <f>+ROW(InputY!A87)</f>
        <v>87</v>
      </c>
      <c r="B277" s="702">
        <v>44</v>
      </c>
      <c r="C277" s="1119" t="s">
        <v>1791</v>
      </c>
      <c r="D277" s="1098"/>
      <c r="E277" s="1078" t="s">
        <v>817</v>
      </c>
      <c r="F277" s="1098" t="s">
        <v>599</v>
      </c>
      <c r="G277" s="1124">
        <f>+InputY!G87/1000</f>
        <v>118.816</v>
      </c>
      <c r="H277" s="1124">
        <f>+InputY!H87/1000</f>
        <v>119.556</v>
      </c>
      <c r="I277" s="1124">
        <f>+InputY!I87/1000</f>
        <v>139.38</v>
      </c>
      <c r="J277" s="1124">
        <f>+InputY!J87/1000</f>
        <v>154.88999999999999</v>
      </c>
      <c r="K277" s="1124">
        <f>+InputY!K87/1000</f>
        <v>173.797</v>
      </c>
      <c r="L277" s="1124">
        <f>+InputY!L87/1000</f>
        <v>203.04599999999999</v>
      </c>
      <c r="M277" s="1124">
        <f>+InputY!M87/1000</f>
        <v>236.82</v>
      </c>
      <c r="N277" s="1124">
        <f>+InputY!N87/1000</f>
        <v>234.77600000000001</v>
      </c>
      <c r="O277" s="1124">
        <f>+InputY!O87/1000</f>
        <v>239.71299999999999</v>
      </c>
      <c r="P277" s="1124">
        <f>+InputY!P87/1000</f>
        <v>266.36099999999999</v>
      </c>
      <c r="Q277" s="1124">
        <f>+InputY!Q87/1000</f>
        <v>299.14499999999998</v>
      </c>
      <c r="R277" s="1124">
        <f>+InputY!R87/1000</f>
        <v>333.07100000000003</v>
      </c>
      <c r="S277" s="1124">
        <f>+InputY!S87/1000</f>
        <v>376.18</v>
      </c>
      <c r="T277" s="1124">
        <f>+InputY!T87/1000</f>
        <v>413.82400000000001</v>
      </c>
      <c r="U277" s="1124">
        <f>+InputY!U87/1000</f>
        <v>412.49400000000003</v>
      </c>
      <c r="V277" s="1124">
        <f>+InputY!V87/1000</f>
        <v>422.536</v>
      </c>
      <c r="W277" s="1124">
        <f>+InputY!W87/1000</f>
        <v>441.50299999999999</v>
      </c>
      <c r="X277" s="1124">
        <f>+InputY!X87/1000</f>
        <v>459.18</v>
      </c>
      <c r="Y277" s="1124">
        <f>+InputY!Y87/1000</f>
        <v>477.76499999999999</v>
      </c>
      <c r="Z277" s="1124">
        <f>+InputY!Z87/1000</f>
        <v>537.14099999999996</v>
      </c>
      <c r="AA277" s="1124">
        <f>+InputY!AA87/1000</f>
        <v>613.41</v>
      </c>
      <c r="AB277" s="1124">
        <f>+InputY!AB87/1000</f>
        <v>638.101</v>
      </c>
      <c r="AC277" s="1124">
        <f>+InputY!AC87/1000</f>
        <v>646.49900000000002</v>
      </c>
      <c r="AD277" s="1463">
        <f t="shared" ref="AD277:AF279" ca="1" si="306">+AC277*(1+AD283/100)</f>
        <v>695.80857777829999</v>
      </c>
      <c r="AE277" s="1463">
        <f t="shared" ca="1" si="306"/>
        <v>732.9520364508594</v>
      </c>
      <c r="AF277" s="1463">
        <f t="shared" ca="1" si="306"/>
        <v>763.39730285719065</v>
      </c>
    </row>
    <row r="278" spans="1:32">
      <c r="A278" s="701">
        <f>+ROW(InputY!A86)</f>
        <v>86</v>
      </c>
      <c r="B278" s="1170">
        <v>43</v>
      </c>
      <c r="C278" s="1121" t="s">
        <v>1791</v>
      </c>
      <c r="D278" s="1117"/>
      <c r="E278" s="1118" t="s">
        <v>1821</v>
      </c>
      <c r="F278" s="1117" t="s">
        <v>632</v>
      </c>
      <c r="G278" s="1125">
        <f>+InputY!G86/1000</f>
        <v>596.99199999999996</v>
      </c>
      <c r="H278" s="1125">
        <f>+InputY!H86/1000</f>
        <v>592.07399999999996</v>
      </c>
      <c r="I278" s="1125">
        <f>+InputY!I86/1000</f>
        <v>669.36900000000003</v>
      </c>
      <c r="J278" s="1125">
        <f>+InputY!J86/1000</f>
        <v>715.31399999999996</v>
      </c>
      <c r="K278" s="1125">
        <f>+InputY!K86/1000</f>
        <v>744.57</v>
      </c>
      <c r="L278" s="1125">
        <f>+InputY!L86/1000</f>
        <v>846.64300000000003</v>
      </c>
      <c r="M278" s="1125">
        <f>+InputY!M86/1000</f>
        <v>847.46</v>
      </c>
      <c r="N278" s="1125">
        <f>+InputY!N86/1000</f>
        <v>846.88599999999997</v>
      </c>
      <c r="O278" s="1125">
        <f>+InputY!O86/1000</f>
        <v>864.58100000000002</v>
      </c>
      <c r="P278" s="1125">
        <f>+InputY!P86/1000</f>
        <v>952.375</v>
      </c>
      <c r="Q278" s="1125">
        <f>+InputY!Q86/1000</f>
        <v>1034.5519999999999</v>
      </c>
      <c r="R278" s="1125">
        <f>+InputY!R86/1000</f>
        <v>1160.376</v>
      </c>
      <c r="S278" s="1125">
        <f>+InputY!S86/1000</f>
        <v>1214.914</v>
      </c>
      <c r="T278" s="1125">
        <f>+InputY!T86/1000</f>
        <v>1273.644</v>
      </c>
      <c r="U278" s="1125">
        <f>+InputY!U86/1000</f>
        <v>1049.3240000000001</v>
      </c>
      <c r="V278" s="1125">
        <f>+InputY!V86/1000</f>
        <v>1203.18</v>
      </c>
      <c r="W278" s="1125">
        <f>+InputY!W86/1000</f>
        <v>1265.4929999999999</v>
      </c>
      <c r="X278" s="1125">
        <f>+InputY!X86/1000</f>
        <v>1247.7349999999999</v>
      </c>
      <c r="Y278" s="1125">
        <f>+InputY!Y86/1000</f>
        <v>1173.481</v>
      </c>
      <c r="Z278" s="1125">
        <f>+InputY!Z86/1000</f>
        <v>1235.742</v>
      </c>
      <c r="AA278" s="1125">
        <f>+InputY!AA86/1000</f>
        <v>1299.6780000000001</v>
      </c>
      <c r="AB278" s="1125">
        <f>+InputY!AB86/1000</f>
        <v>1309.0509999999999</v>
      </c>
      <c r="AC278" s="1125">
        <f>+InputY!AC86/1000</f>
        <v>1430.1569999999999</v>
      </c>
      <c r="AD278" s="1387">
        <f t="shared" ca="1" si="306"/>
        <v>1562.3785900425</v>
      </c>
      <c r="AE278" s="1387">
        <f t="shared" ca="1" si="306"/>
        <v>1653.6329831836192</v>
      </c>
      <c r="AF278" s="1387">
        <f t="shared" ca="1" si="306"/>
        <v>1723.3341425873634</v>
      </c>
    </row>
    <row r="279" spans="1:32">
      <c r="A279" s="701">
        <f>+ROW(InputY!A88)</f>
        <v>88</v>
      </c>
      <c r="B279" s="701"/>
      <c r="C279" s="731" t="s">
        <v>1793</v>
      </c>
      <c r="D279" s="1095"/>
      <c r="E279" s="1096" t="s">
        <v>375</v>
      </c>
      <c r="F279" s="1095" t="s">
        <v>201</v>
      </c>
      <c r="G279" s="1097">
        <f>+InputY!G88/1000</f>
        <v>715.80799999999999</v>
      </c>
      <c r="H279" s="1097">
        <f>+InputY!H88/1000</f>
        <v>711.63</v>
      </c>
      <c r="I279" s="1097">
        <f>+InputY!I88/1000</f>
        <v>808.74900000000002</v>
      </c>
      <c r="J279" s="1097">
        <f>+InputY!J88/1000</f>
        <v>870.20399999999995</v>
      </c>
      <c r="K279" s="1097">
        <f>+InputY!K88/1000</f>
        <v>918.36699999999996</v>
      </c>
      <c r="L279" s="1097">
        <f>+InputY!L88/1000</f>
        <v>1049.6890000000001</v>
      </c>
      <c r="M279" s="1097">
        <f>+InputY!M88/1000</f>
        <v>1084.28</v>
      </c>
      <c r="N279" s="1097">
        <f>+InputY!N88/1000</f>
        <v>1081.662</v>
      </c>
      <c r="O279" s="1097">
        <f>+InputY!O88/1000</f>
        <v>1104.2940000000001</v>
      </c>
      <c r="P279" s="1097">
        <f>+InputY!P88/1000</f>
        <v>1218.7360000000001</v>
      </c>
      <c r="Q279" s="1097">
        <f>+InputY!Q88/1000</f>
        <v>1333.6969999999999</v>
      </c>
      <c r="R279" s="1097">
        <f>+InputY!R88/1000</f>
        <v>1493.4469999999999</v>
      </c>
      <c r="S279" s="1097">
        <f>+InputY!S88/1000</f>
        <v>1591.0940000000001</v>
      </c>
      <c r="T279" s="1097">
        <f>+InputY!T88/1000</f>
        <v>1687.4680000000001</v>
      </c>
      <c r="U279" s="1097">
        <f>+InputY!U88/1000</f>
        <v>1461.818</v>
      </c>
      <c r="V279" s="1097">
        <f>+InputY!V88/1000</f>
        <v>1625.7159999999999</v>
      </c>
      <c r="W279" s="1097">
        <f>+InputY!W88/1000</f>
        <v>1706.9960000000001</v>
      </c>
      <c r="X279" s="1097">
        <f>+InputY!X88/1000</f>
        <v>1706.915</v>
      </c>
      <c r="Y279" s="1097">
        <f>+InputY!Y88/1000</f>
        <v>1651.2460000000001</v>
      </c>
      <c r="Z279" s="1097">
        <f>+InputY!Z88/1000</f>
        <v>1772.883</v>
      </c>
      <c r="AA279" s="1097">
        <f>+InputY!AA88/1000</f>
        <v>1913.088</v>
      </c>
      <c r="AB279" s="1097">
        <f>+InputY!AB88/1000</f>
        <v>1947.152</v>
      </c>
      <c r="AC279" s="1097">
        <f>+InputY!AC88/1000</f>
        <v>2076.6559999999999</v>
      </c>
      <c r="AD279" s="909">
        <f t="shared" ca="1" si="306"/>
        <v>2258.1871678207999</v>
      </c>
      <c r="AE279" s="909">
        <f t="shared" ca="1" si="306"/>
        <v>2386.5850196344782</v>
      </c>
      <c r="AF279" s="909">
        <f t="shared" ca="1" si="306"/>
        <v>2486.7314454445536</v>
      </c>
    </row>
    <row r="280" spans="1:32" s="736" customFormat="1" ht="12.75" customHeight="1">
      <c r="A280" s="701"/>
      <c r="B280" s="701"/>
      <c r="C280" s="811"/>
      <c r="D280" s="2033"/>
      <c r="E280" s="2033" t="s">
        <v>90</v>
      </c>
      <c r="F280" s="2033"/>
      <c r="G280" s="1040">
        <f t="shared" ref="G280:V280" si="307">ABS(G279-G278-G277)</f>
        <v>2.8421709430404007E-14</v>
      </c>
      <c r="H280" s="1040">
        <f t="shared" si="307"/>
        <v>4.2632564145606011E-14</v>
      </c>
      <c r="I280" s="1040">
        <f t="shared" si="307"/>
        <v>0</v>
      </c>
      <c r="J280" s="1040">
        <f t="shared" si="307"/>
        <v>0</v>
      </c>
      <c r="K280" s="1040">
        <f t="shared" si="307"/>
        <v>8.5265128291212022E-14</v>
      </c>
      <c r="L280" s="1040">
        <f t="shared" si="307"/>
        <v>5.6843418860808015E-14</v>
      </c>
      <c r="M280" s="1040">
        <f t="shared" si="307"/>
        <v>5.6843418860808015E-14</v>
      </c>
      <c r="N280" s="1040">
        <f t="shared" si="307"/>
        <v>5.6843418860808015E-14</v>
      </c>
      <c r="O280" s="1040">
        <f t="shared" si="307"/>
        <v>8.5265128291212022E-14</v>
      </c>
      <c r="P280" s="1040">
        <f t="shared" si="307"/>
        <v>1.1368683772161603E-13</v>
      </c>
      <c r="Q280" s="1040">
        <f t="shared" si="307"/>
        <v>0</v>
      </c>
      <c r="R280" s="1040">
        <f t="shared" si="307"/>
        <v>1.1368683772161603E-13</v>
      </c>
      <c r="S280" s="1040">
        <f t="shared" si="307"/>
        <v>5.6843418860808015E-14</v>
      </c>
      <c r="T280" s="1040">
        <f t="shared" si="307"/>
        <v>5.6843418860808015E-14</v>
      </c>
      <c r="U280" s="1040">
        <f t="shared" si="307"/>
        <v>1.1368683772161603E-13</v>
      </c>
      <c r="V280" s="1040">
        <f t="shared" si="307"/>
        <v>1.7053025658242404E-13</v>
      </c>
      <c r="W280" s="1040">
        <f t="shared" ref="W280:Z280" si="308">ABS(W279-W278-W277)</f>
        <v>1.7053025658242404E-13</v>
      </c>
      <c r="X280" s="1040">
        <f t="shared" si="308"/>
        <v>5.6843418860808015E-14</v>
      </c>
      <c r="Y280" s="1040">
        <f t="shared" si="308"/>
        <v>1.1368683772161603E-13</v>
      </c>
      <c r="Z280" s="2999">
        <f t="shared" si="308"/>
        <v>1.1368683772161603E-13</v>
      </c>
      <c r="AA280" s="2999">
        <f t="shared" ref="AA280" si="309">ABS(AA279-AA278-AA277)</f>
        <v>1.1368683772161603E-13</v>
      </c>
      <c r="AB280" s="2999">
        <f t="shared" ref="AB280" si="310">ABS(AB279-AB278-AB277)</f>
        <v>1.1368683772161603E-13</v>
      </c>
      <c r="AC280" s="2999">
        <f t="shared" ref="AC280" si="311">ABS(AC279-AC278-AC277)</f>
        <v>0</v>
      </c>
      <c r="AD280" s="2999">
        <f ca="1">ABS(AD279-AD278-AD277)</f>
        <v>1.1368683772161603E-13</v>
      </c>
      <c r="AE280" s="2999">
        <f ca="1">ABS(AE279-AE278-AE277)</f>
        <v>4.5474735088646412E-13</v>
      </c>
      <c r="AF280" s="2999">
        <f ca="1">ABS(AF279-AF278-AF277)</f>
        <v>4.5474735088646412E-13</v>
      </c>
    </row>
    <row r="282" spans="1:32">
      <c r="A282" s="1170"/>
      <c r="B282" s="1170"/>
      <c r="D282" s="1156"/>
      <c r="E282" s="964" t="s">
        <v>176</v>
      </c>
      <c r="F282" s="1148"/>
      <c r="G282" s="933">
        <f>+InputY!$G$3</f>
        <v>1995</v>
      </c>
      <c r="H282" s="933">
        <f>+G282+1</f>
        <v>1996</v>
      </c>
      <c r="I282" s="933">
        <f t="shared" ref="I282:O282" si="312">+H282+1</f>
        <v>1997</v>
      </c>
      <c r="J282" s="933">
        <f t="shared" si="312"/>
        <v>1998</v>
      </c>
      <c r="K282" s="933">
        <f t="shared" si="312"/>
        <v>1999</v>
      </c>
      <c r="L282" s="933">
        <f t="shared" si="312"/>
        <v>2000</v>
      </c>
      <c r="M282" s="933">
        <f t="shared" si="312"/>
        <v>2001</v>
      </c>
      <c r="N282" s="933">
        <f t="shared" si="312"/>
        <v>2002</v>
      </c>
      <c r="O282" s="933">
        <f t="shared" si="312"/>
        <v>2003</v>
      </c>
      <c r="P282" s="933">
        <f>+O282+1</f>
        <v>2004</v>
      </c>
      <c r="Q282" s="933">
        <f>+P282+1</f>
        <v>2005</v>
      </c>
      <c r="R282" s="933">
        <f>+Q282+1</f>
        <v>2006</v>
      </c>
      <c r="S282" s="933">
        <f>+R282+1</f>
        <v>2007</v>
      </c>
      <c r="T282" s="933">
        <f t="shared" ref="T282:AF282" si="313">+S282+1</f>
        <v>2008</v>
      </c>
      <c r="U282" s="933">
        <f t="shared" si="313"/>
        <v>2009</v>
      </c>
      <c r="V282" s="933">
        <f t="shared" si="313"/>
        <v>2010</v>
      </c>
      <c r="W282" s="933">
        <f t="shared" si="313"/>
        <v>2011</v>
      </c>
      <c r="X282" s="933">
        <f t="shared" si="313"/>
        <v>2012</v>
      </c>
      <c r="Y282" s="933">
        <f t="shared" si="313"/>
        <v>2013</v>
      </c>
      <c r="Z282" s="933">
        <f t="shared" si="313"/>
        <v>2014</v>
      </c>
      <c r="AA282" s="933">
        <f t="shared" si="313"/>
        <v>2015</v>
      </c>
      <c r="AB282" s="933">
        <f t="shared" si="313"/>
        <v>2016</v>
      </c>
      <c r="AC282" s="933">
        <f t="shared" si="313"/>
        <v>2017</v>
      </c>
      <c r="AD282" s="933">
        <f t="shared" si="313"/>
        <v>2018</v>
      </c>
      <c r="AE282" s="933">
        <f t="shared" si="313"/>
        <v>2019</v>
      </c>
      <c r="AF282" s="933">
        <f t="shared" si="313"/>
        <v>2020</v>
      </c>
    </row>
    <row r="283" spans="1:32" s="1341" customFormat="1">
      <c r="A283" s="1496"/>
      <c r="B283" s="1496"/>
      <c r="C283" s="1498" t="s">
        <v>1793</v>
      </c>
      <c r="D283" s="1343"/>
      <c r="E283" s="1343" t="s">
        <v>817</v>
      </c>
      <c r="F283" s="1497" t="s">
        <v>599</v>
      </c>
      <c r="G283" s="1499"/>
      <c r="H283" s="1499">
        <f>+(H277/G277-1)*100</f>
        <v>0.62281174252625249</v>
      </c>
      <c r="I283" s="1499">
        <f t="shared" ref="I283:AC283" si="314">+(I277/H277-1)*100</f>
        <v>16.581350998695179</v>
      </c>
      <c r="J283" s="1499">
        <f t="shared" si="314"/>
        <v>11.12785191562633</v>
      </c>
      <c r="K283" s="1499">
        <f t="shared" si="314"/>
        <v>12.20672735489703</v>
      </c>
      <c r="L283" s="1499">
        <f t="shared" si="314"/>
        <v>16.829404420099301</v>
      </c>
      <c r="M283" s="1499">
        <f t="shared" si="314"/>
        <v>16.633669217812709</v>
      </c>
      <c r="N283" s="1499">
        <f t="shared" si="314"/>
        <v>-0.86310277848153927</v>
      </c>
      <c r="O283" s="1499">
        <f t="shared" si="314"/>
        <v>2.1028554877840833</v>
      </c>
      <c r="P283" s="1499">
        <f t="shared" si="314"/>
        <v>11.116626966414</v>
      </c>
      <c r="Q283" s="1499">
        <f t="shared" si="314"/>
        <v>12.308108168988706</v>
      </c>
      <c r="R283" s="1499">
        <f t="shared" si="314"/>
        <v>11.340988483845639</v>
      </c>
      <c r="S283" s="1499">
        <f t="shared" si="314"/>
        <v>12.94288605132239</v>
      </c>
      <c r="T283" s="1499">
        <f t="shared" si="314"/>
        <v>10.006911584879585</v>
      </c>
      <c r="U283" s="1499">
        <f t="shared" si="314"/>
        <v>-0.32139266934735344</v>
      </c>
      <c r="V283" s="1499">
        <f t="shared" si="314"/>
        <v>2.4344596527464679</v>
      </c>
      <c r="W283" s="1499">
        <f t="shared" si="314"/>
        <v>4.4888482874831936</v>
      </c>
      <c r="X283" s="1499">
        <f t="shared" si="314"/>
        <v>4.0038233035789128</v>
      </c>
      <c r="Y283" s="1499">
        <f t="shared" si="314"/>
        <v>4.0474323794590372</v>
      </c>
      <c r="Z283" s="1499">
        <f t="shared" si="314"/>
        <v>12.427867256915004</v>
      </c>
      <c r="AA283" s="1499">
        <f t="shared" si="314"/>
        <v>14.199065049958959</v>
      </c>
      <c r="AB283" s="1499">
        <f t="shared" si="314"/>
        <v>4.0252033713177315</v>
      </c>
      <c r="AC283" s="1499">
        <f t="shared" si="314"/>
        <v>1.3160925934922574</v>
      </c>
      <c r="AD283" s="1468">
        <f ca="1">OFFSET('VVP1'!$K$86,0,5*(COLUMN()-7))</f>
        <v>7.6271699999999942</v>
      </c>
      <c r="AE283" s="1468">
        <f ca="1">OFFSET('VVP1'!$K$86,0,5*(COLUMN()-7))</f>
        <v>5.3381719999999966</v>
      </c>
      <c r="AF283" s="1468">
        <f ca="1">OFFSET('VVP1'!$K$86,0,5*(COLUMN()-7))</f>
        <v>4.1537870000000199</v>
      </c>
    </row>
    <row r="284" spans="1:32">
      <c r="A284" s="1170"/>
      <c r="B284" s="1170"/>
      <c r="C284" s="1016" t="s">
        <v>1791</v>
      </c>
      <c r="D284" s="1161"/>
      <c r="E284" s="1162" t="s">
        <v>1821</v>
      </c>
      <c r="F284" s="1161" t="s">
        <v>632</v>
      </c>
      <c r="G284" s="1163"/>
      <c r="H284" s="1163">
        <f>+(H278/G278-1)*100</f>
        <v>-0.82379663379074097</v>
      </c>
      <c r="I284" s="1163">
        <f t="shared" ref="I284:AC284" si="315">+(I278/H278-1)*100</f>
        <v>13.054955968341808</v>
      </c>
      <c r="J284" s="1163">
        <f t="shared" si="315"/>
        <v>6.8639270716152057</v>
      </c>
      <c r="K284" s="1163">
        <f t="shared" si="315"/>
        <v>4.0899521049497345</v>
      </c>
      <c r="L284" s="1163">
        <f t="shared" si="315"/>
        <v>13.708986394831912</v>
      </c>
      <c r="M284" s="1163">
        <f t="shared" si="315"/>
        <v>9.6498760398411321E-2</v>
      </c>
      <c r="N284" s="1163">
        <f t="shared" si="315"/>
        <v>-6.7731810350935007E-2</v>
      </c>
      <c r="O284" s="1163">
        <f t="shared" si="315"/>
        <v>2.0894193551434403</v>
      </c>
      <c r="P284" s="1163">
        <f t="shared" si="315"/>
        <v>10.154514151941797</v>
      </c>
      <c r="Q284" s="1163">
        <f t="shared" si="315"/>
        <v>8.6286389289933041</v>
      </c>
      <c r="R284" s="1163">
        <f t="shared" si="315"/>
        <v>12.162172611913192</v>
      </c>
      <c r="S284" s="1163">
        <f t="shared" si="315"/>
        <v>4.7000282666997517</v>
      </c>
      <c r="T284" s="1163">
        <f t="shared" si="315"/>
        <v>4.8340870217974397</v>
      </c>
      <c r="U284" s="1163">
        <f t="shared" si="315"/>
        <v>-17.612456856075941</v>
      </c>
      <c r="V284" s="1163">
        <f t="shared" si="315"/>
        <v>14.662392168672401</v>
      </c>
      <c r="W284" s="1163">
        <f t="shared" si="315"/>
        <v>5.1790255822071307</v>
      </c>
      <c r="X284" s="1163">
        <f t="shared" si="315"/>
        <v>-1.4032475880941253</v>
      </c>
      <c r="Y284" s="1163">
        <f t="shared" si="315"/>
        <v>-5.9511033993596367</v>
      </c>
      <c r="Z284" s="1163">
        <f t="shared" si="315"/>
        <v>5.3056674969598872</v>
      </c>
      <c r="AA284" s="1163">
        <f t="shared" si="315"/>
        <v>5.1738955218807892</v>
      </c>
      <c r="AB284" s="1163">
        <f t="shared" si="315"/>
        <v>0.7211786303991996</v>
      </c>
      <c r="AC284" s="1163">
        <f t="shared" si="315"/>
        <v>9.2514348180475778</v>
      </c>
      <c r="AD284" s="1471">
        <f ca="1">OFFSET('VVP1'!$K$87,0,5*(COLUMN()-7))</f>
        <v>9.2452500000000057</v>
      </c>
      <c r="AE284" s="1471">
        <f ca="1">OFFSET('VVP1'!$K$87,0,5*(COLUMN()-7))</f>
        <v>5.8407350000000191</v>
      </c>
      <c r="AF284" s="1471">
        <f ca="1">OFFSET('VVP1'!$K$87,0,5*(COLUMN()-7))</f>
        <v>4.2150319999999963</v>
      </c>
    </row>
    <row r="285" spans="1:32">
      <c r="A285" s="701"/>
      <c r="B285" s="701"/>
      <c r="C285" s="731" t="s">
        <v>1793</v>
      </c>
      <c r="D285" s="1137"/>
      <c r="E285" s="1138" t="s">
        <v>1822</v>
      </c>
      <c r="F285" s="1137" t="s">
        <v>201</v>
      </c>
      <c r="G285" s="1139"/>
      <c r="H285" s="1139">
        <f>+(H279/G279-1)*100</f>
        <v>-0.58367606956055695</v>
      </c>
      <c r="I285" s="1139">
        <f t="shared" ref="I285:AC285" si="316">+(I279/H279-1)*100</f>
        <v>13.647401037055772</v>
      </c>
      <c r="J285" s="1139">
        <f t="shared" si="316"/>
        <v>7.5987729196573817</v>
      </c>
      <c r="K285" s="1139">
        <f t="shared" si="316"/>
        <v>5.5346792246415699</v>
      </c>
      <c r="L285" s="1139">
        <f t="shared" si="316"/>
        <v>14.299512068704567</v>
      </c>
      <c r="M285" s="1139">
        <f t="shared" si="316"/>
        <v>3.2953570057416837</v>
      </c>
      <c r="N285" s="1139">
        <f t="shared" si="316"/>
        <v>-0.24145054782896969</v>
      </c>
      <c r="O285" s="1139">
        <f t="shared" si="316"/>
        <v>2.0923356834205098</v>
      </c>
      <c r="P285" s="1139">
        <f t="shared" si="316"/>
        <v>10.36336337967969</v>
      </c>
      <c r="Q285" s="1139">
        <f t="shared" si="316"/>
        <v>9.4328057922306243</v>
      </c>
      <c r="R285" s="1139">
        <f t="shared" si="316"/>
        <v>11.97798300513535</v>
      </c>
      <c r="S285" s="1139">
        <f t="shared" si="316"/>
        <v>6.5383639325667486</v>
      </c>
      <c r="T285" s="1139">
        <f t="shared" si="316"/>
        <v>6.0570902787641767</v>
      </c>
      <c r="U285" s="1139">
        <f t="shared" si="316"/>
        <v>-13.372105426591796</v>
      </c>
      <c r="V285" s="1139">
        <f t="shared" si="316"/>
        <v>11.211929255215081</v>
      </c>
      <c r="W285" s="1139">
        <f t="shared" si="316"/>
        <v>4.9996432341196329</v>
      </c>
      <c r="X285" s="1139">
        <f t="shared" si="316"/>
        <v>-4.7451780789242726E-3</v>
      </c>
      <c r="Y285" s="1139">
        <f t="shared" si="316"/>
        <v>-3.2613809123477111</v>
      </c>
      <c r="Z285" s="1139">
        <f t="shared" si="316"/>
        <v>7.3663766634408212</v>
      </c>
      <c r="AA285" s="1139">
        <f t="shared" si="316"/>
        <v>7.9083052857972014</v>
      </c>
      <c r="AB285" s="1139">
        <f t="shared" si="316"/>
        <v>1.7805767429412533</v>
      </c>
      <c r="AC285" s="1139">
        <f t="shared" si="316"/>
        <v>6.6509445590277494</v>
      </c>
      <c r="AD285" s="1473">
        <f ca="1">OFFSET('VVP1'!$K$88,0,5*(COLUMN()-7))</f>
        <v>8.7415136556463935</v>
      </c>
      <c r="AE285" s="1473">
        <f ca="1">OFFSET('VVP1'!$K$88,0,5*(COLUMN()-7))</f>
        <v>5.6858817392707595</v>
      </c>
      <c r="AF285" s="1473">
        <f ca="1">OFFSET('VVP1'!$K$88,0,5*(COLUMN()-7))</f>
        <v>4.1962228450346029</v>
      </c>
    </row>
    <row r="287" spans="1:32">
      <c r="D287" s="1464"/>
      <c r="E287" s="1115" t="s">
        <v>506</v>
      </c>
      <c r="F287" s="1465"/>
      <c r="G287" s="735">
        <f>+InputY!$G$3</f>
        <v>1995</v>
      </c>
      <c r="H287" s="735">
        <f>+G287+1</f>
        <v>1996</v>
      </c>
      <c r="I287" s="735">
        <f t="shared" ref="I287:O287" si="317">+H287+1</f>
        <v>1997</v>
      </c>
      <c r="J287" s="735">
        <f t="shared" si="317"/>
        <v>1998</v>
      </c>
      <c r="K287" s="735">
        <f t="shared" si="317"/>
        <v>1999</v>
      </c>
      <c r="L287" s="735">
        <f t="shared" si="317"/>
        <v>2000</v>
      </c>
      <c r="M287" s="735">
        <f t="shared" si="317"/>
        <v>2001</v>
      </c>
      <c r="N287" s="735">
        <f t="shared" si="317"/>
        <v>2002</v>
      </c>
      <c r="O287" s="735">
        <f t="shared" si="317"/>
        <v>2003</v>
      </c>
      <c r="P287" s="735">
        <f>+O287+1</f>
        <v>2004</v>
      </c>
      <c r="Q287" s="735">
        <f>+P287+1</f>
        <v>2005</v>
      </c>
      <c r="R287" s="735">
        <f>+Q287+1</f>
        <v>2006</v>
      </c>
      <c r="S287" s="735">
        <f>+R287+1</f>
        <v>2007</v>
      </c>
      <c r="T287" s="735">
        <f t="shared" ref="T287:AF287" si="318">+S287+1</f>
        <v>2008</v>
      </c>
      <c r="U287" s="735">
        <f t="shared" si="318"/>
        <v>2009</v>
      </c>
      <c r="V287" s="735">
        <f t="shared" si="318"/>
        <v>2010</v>
      </c>
      <c r="W287" s="735">
        <f t="shared" si="318"/>
        <v>2011</v>
      </c>
      <c r="X287" s="735">
        <f t="shared" si="318"/>
        <v>2012</v>
      </c>
      <c r="Y287" s="735">
        <f t="shared" si="318"/>
        <v>2013</v>
      </c>
      <c r="Z287" s="735">
        <f t="shared" si="318"/>
        <v>2014</v>
      </c>
      <c r="AA287" s="735">
        <f t="shared" si="318"/>
        <v>2015</v>
      </c>
      <c r="AB287" s="735">
        <f t="shared" si="318"/>
        <v>2016</v>
      </c>
      <c r="AC287" s="735">
        <f t="shared" si="318"/>
        <v>2017</v>
      </c>
      <c r="AD287" s="735">
        <f t="shared" si="318"/>
        <v>2018</v>
      </c>
      <c r="AE287" s="735">
        <f t="shared" si="318"/>
        <v>2019</v>
      </c>
      <c r="AF287" s="735">
        <f t="shared" si="318"/>
        <v>2020</v>
      </c>
    </row>
    <row r="288" spans="1:32">
      <c r="A288" s="701">
        <f>+ROW(InputY!A259)</f>
        <v>259</v>
      </c>
      <c r="B288" s="702">
        <v>147</v>
      </c>
      <c r="C288" s="1119"/>
      <c r="D288" s="1098"/>
      <c r="E288" s="1078" t="s">
        <v>509</v>
      </c>
      <c r="F288" s="1098" t="s">
        <v>507</v>
      </c>
      <c r="G288" s="1124">
        <f>+InputY!G259</f>
        <v>341.81329852800002</v>
      </c>
      <c r="H288" s="1124">
        <f>+InputY!H259</f>
        <v>325.22909659200002</v>
      </c>
      <c r="I288" s="1124">
        <f>+InputY!I259</f>
        <v>350.79715744700002</v>
      </c>
      <c r="J288" s="1124">
        <f>+InputY!J259</f>
        <v>390.64968976400002</v>
      </c>
      <c r="K288" s="1124">
        <f>+InputY!K259</f>
        <v>440.18409642022561</v>
      </c>
      <c r="L288" s="1124">
        <f>+InputY!L259</f>
        <v>481.39430880911704</v>
      </c>
      <c r="M288" s="1124">
        <f>+InputY!M259</f>
        <v>461.69397031073913</v>
      </c>
      <c r="N288" s="1124">
        <f>+InputY!N259</f>
        <v>463.06559079816827</v>
      </c>
      <c r="O288" s="1124">
        <f>+InputY!O259</f>
        <v>484.54479441903516</v>
      </c>
      <c r="P288" s="1124">
        <f>+InputY!P259</f>
        <v>535.03717180924968</v>
      </c>
      <c r="Q288" s="1124">
        <f>+InputY!Q259</f>
        <v>577.97340728445647</v>
      </c>
      <c r="R288" s="1124">
        <f>+InputY!R259</f>
        <v>656.57929981164921</v>
      </c>
      <c r="S288" s="1124">
        <f>+InputY!S259</f>
        <v>698.34703713144108</v>
      </c>
      <c r="T288" s="1124">
        <f>+InputY!T259</f>
        <v>721.34184791625</v>
      </c>
      <c r="U288" s="1124">
        <f>+InputY!U259</f>
        <v>582.27566633733011</v>
      </c>
      <c r="V288" s="1124">
        <f>+InputY!V259</f>
        <v>652.18015087417928</v>
      </c>
      <c r="W288" s="1124">
        <f>+InputY!W259</f>
        <v>680.47013745995127</v>
      </c>
      <c r="X288" s="1124">
        <f>+InputY!X259</f>
        <v>664.96540183095385</v>
      </c>
      <c r="Y288" s="1124">
        <f>+InputY!Y259</f>
        <v>629.63555079701314</v>
      </c>
      <c r="Z288" s="1124">
        <f>+InputY!Z259</f>
        <v>659.16806977592148</v>
      </c>
      <c r="AA288" s="1124">
        <f>+InputY!AA259</f>
        <v>690.53141321015619</v>
      </c>
      <c r="AB288" s="1124">
        <f>+InputY!AB259</f>
        <v>704.95398159727733</v>
      </c>
      <c r="AC288" s="1124">
        <f>+InputY!AC259</f>
        <v>772.37506491564704</v>
      </c>
      <c r="AD288" s="1463">
        <f t="shared" ref="AD288:AF290" ca="1" si="319">+AC288*(1+AD293/100)</f>
        <v>845.0894603337656</v>
      </c>
      <c r="AE288" s="1463">
        <f t="shared" ca="1" si="319"/>
        <v>899.56125659960571</v>
      </c>
      <c r="AF288" s="1463">
        <f t="shared" ca="1" si="319"/>
        <v>933.74311046855007</v>
      </c>
    </row>
    <row r="289" spans="1:32">
      <c r="A289" s="701">
        <f>+ROW(InputY!A260)</f>
        <v>260</v>
      </c>
      <c r="B289" s="702">
        <v>149</v>
      </c>
      <c r="C289" s="1121" t="s">
        <v>1791</v>
      </c>
      <c r="D289" s="1117"/>
      <c r="E289" s="1079" t="s">
        <v>510</v>
      </c>
      <c r="F289" s="1117" t="s">
        <v>508</v>
      </c>
      <c r="G289" s="1125">
        <f>+InputY!G260</f>
        <v>191.490065208</v>
      </c>
      <c r="H289" s="1125">
        <f>+InputY!H260</f>
        <v>196.25578128000006</v>
      </c>
      <c r="I289" s="1125">
        <f>+InputY!I260</f>
        <v>280.52283842000008</v>
      </c>
      <c r="J289" s="1125">
        <f>+InputY!J260</f>
        <v>283.49893461700003</v>
      </c>
      <c r="K289" s="1125">
        <f>+InputY!K260</f>
        <v>261.32270098616323</v>
      </c>
      <c r="L289" s="1125">
        <f>+InputY!L260</f>
        <v>315.32559379960662</v>
      </c>
      <c r="M289" s="1125">
        <f>+InputY!M260</f>
        <v>320.01951331988778</v>
      </c>
      <c r="N289" s="1125">
        <f>+InputY!N260</f>
        <v>326.50608037654371</v>
      </c>
      <c r="O289" s="1125">
        <f>+InputY!O260</f>
        <v>339.02341572971875</v>
      </c>
      <c r="P289" s="1125">
        <f>+InputY!P260</f>
        <v>369.16017365405719</v>
      </c>
      <c r="Q289" s="1125">
        <f>+InputY!Q260</f>
        <v>399.12967445830736</v>
      </c>
      <c r="R289" s="1125">
        <f>+InputY!R260</f>
        <v>432.7267916009198</v>
      </c>
      <c r="S289" s="1125">
        <f>+InputY!S260</f>
        <v>441.07379859677786</v>
      </c>
      <c r="T289" s="1125">
        <f>+InputY!T260</f>
        <v>477.14558417625</v>
      </c>
      <c r="U289" s="1125">
        <f>+InputY!U260</f>
        <v>413.39872199357012</v>
      </c>
      <c r="V289" s="1125">
        <f>+InputY!V260</f>
        <v>488.44628415460801</v>
      </c>
      <c r="W289" s="1125">
        <f>+InputY!W260</f>
        <v>532.35178810596108</v>
      </c>
      <c r="X289" s="1125">
        <f>+InputY!X260</f>
        <v>502.61106965431037</v>
      </c>
      <c r="Y289" s="1125">
        <f>+InputY!Y260</f>
        <v>461.82167505815403</v>
      </c>
      <c r="Z289" s="1125">
        <f>+InputY!Z260</f>
        <v>468.32470259066656</v>
      </c>
      <c r="AA289" s="1125">
        <f>+InputY!AA260</f>
        <v>490.41972852890615</v>
      </c>
      <c r="AB289" s="1125">
        <f>+InputY!AB260</f>
        <v>487.1938828404675</v>
      </c>
      <c r="AC289" s="1125">
        <f>+InputY!AC260</f>
        <v>533.40548978858828</v>
      </c>
      <c r="AD289" s="1387">
        <f t="shared" ca="1" si="319"/>
        <v>608.08225835899066</v>
      </c>
      <c r="AE289" s="1387">
        <f t="shared" ca="1" si="319"/>
        <v>638.48637127694019</v>
      </c>
      <c r="AF289" s="1387">
        <f t="shared" ca="1" si="319"/>
        <v>669.13371709823332</v>
      </c>
    </row>
    <row r="290" spans="1:32">
      <c r="A290" s="701"/>
      <c r="B290" s="701"/>
      <c r="C290" s="731" t="s">
        <v>1793</v>
      </c>
      <c r="D290" s="808"/>
      <c r="E290" s="807" t="s">
        <v>1821</v>
      </c>
      <c r="F290" s="808" t="s">
        <v>537</v>
      </c>
      <c r="G290" s="1466">
        <f>+G288+G289</f>
        <v>533.30336373600005</v>
      </c>
      <c r="H290" s="1466">
        <f t="shared" ref="H290:Z290" si="320">+H288+H289</f>
        <v>521.48487787200008</v>
      </c>
      <c r="I290" s="1466">
        <f t="shared" si="320"/>
        <v>631.3199958670001</v>
      </c>
      <c r="J290" s="1466">
        <f t="shared" si="320"/>
        <v>674.14862438099999</v>
      </c>
      <c r="K290" s="1466">
        <f t="shared" si="320"/>
        <v>701.50679740638884</v>
      </c>
      <c r="L290" s="1466">
        <f t="shared" si="320"/>
        <v>796.71990260872371</v>
      </c>
      <c r="M290" s="1466">
        <f t="shared" si="320"/>
        <v>781.71348363062691</v>
      </c>
      <c r="N290" s="1466">
        <f t="shared" si="320"/>
        <v>789.57167117471204</v>
      </c>
      <c r="O290" s="1466">
        <f t="shared" si="320"/>
        <v>823.56821014875391</v>
      </c>
      <c r="P290" s="1466">
        <f t="shared" si="320"/>
        <v>904.19734546330687</v>
      </c>
      <c r="Q290" s="1466">
        <f t="shared" si="320"/>
        <v>977.10308174276383</v>
      </c>
      <c r="R290" s="1466">
        <f t="shared" si="320"/>
        <v>1089.306091412569</v>
      </c>
      <c r="S290" s="1466">
        <f t="shared" si="320"/>
        <v>1139.4208357282189</v>
      </c>
      <c r="T290" s="1466">
        <f t="shared" si="320"/>
        <v>1198.4874320925001</v>
      </c>
      <c r="U290" s="1466">
        <f t="shared" si="320"/>
        <v>995.67438833090023</v>
      </c>
      <c r="V290" s="1466">
        <f t="shared" si="320"/>
        <v>1140.6264350287872</v>
      </c>
      <c r="W290" s="1466">
        <f t="shared" si="320"/>
        <v>1212.8219255659124</v>
      </c>
      <c r="X290" s="1466">
        <f t="shared" si="320"/>
        <v>1167.5764714852642</v>
      </c>
      <c r="Y290" s="1466">
        <f t="shared" si="320"/>
        <v>1091.4572258551671</v>
      </c>
      <c r="Z290" s="1466">
        <f t="shared" si="320"/>
        <v>1127.492772366588</v>
      </c>
      <c r="AA290" s="1466">
        <f t="shared" ref="AA290:AB290" si="321">+AA288+AA289</f>
        <v>1180.9511417390622</v>
      </c>
      <c r="AB290" s="1466">
        <f t="shared" si="321"/>
        <v>1192.1478644377448</v>
      </c>
      <c r="AC290" s="1466">
        <f t="shared" ref="AC290" si="322">+AC288+AC289</f>
        <v>1305.7805547042353</v>
      </c>
      <c r="AD290" s="909">
        <f t="shared" ca="1" si="319"/>
        <v>1426.5032314380287</v>
      </c>
      <c r="AE290" s="909">
        <f t="shared" ca="1" si="319"/>
        <v>1509.821504952761</v>
      </c>
      <c r="AF290" s="909">
        <f t="shared" ca="1" si="319"/>
        <v>1573.4609645294013</v>
      </c>
    </row>
    <row r="292" spans="1:32" s="736" customFormat="1" ht="12.75" customHeight="1">
      <c r="A292" s="701"/>
      <c r="B292" s="701"/>
      <c r="C292" s="811"/>
      <c r="D292" s="1132"/>
      <c r="E292" s="1133" t="s">
        <v>506</v>
      </c>
      <c r="F292" s="1134"/>
      <c r="G292" s="933">
        <f>+InputY!$G$3</f>
        <v>1995</v>
      </c>
      <c r="H292" s="933">
        <f>+G292+1</f>
        <v>1996</v>
      </c>
      <c r="I292" s="933">
        <f t="shared" ref="I292:O292" si="323">+H292+1</f>
        <v>1997</v>
      </c>
      <c r="J292" s="933">
        <f t="shared" si="323"/>
        <v>1998</v>
      </c>
      <c r="K292" s="933">
        <f t="shared" si="323"/>
        <v>1999</v>
      </c>
      <c r="L292" s="933">
        <f t="shared" si="323"/>
        <v>2000</v>
      </c>
      <c r="M292" s="933">
        <f t="shared" si="323"/>
        <v>2001</v>
      </c>
      <c r="N292" s="933">
        <f t="shared" si="323"/>
        <v>2002</v>
      </c>
      <c r="O292" s="933">
        <f t="shared" si="323"/>
        <v>2003</v>
      </c>
      <c r="P292" s="933">
        <f>+O292+1</f>
        <v>2004</v>
      </c>
      <c r="Q292" s="933">
        <f>+P292+1</f>
        <v>2005</v>
      </c>
      <c r="R292" s="933">
        <f>+Q292+1</f>
        <v>2006</v>
      </c>
      <c r="S292" s="933">
        <f>+R292+1</f>
        <v>2007</v>
      </c>
      <c r="T292" s="933">
        <f t="shared" ref="T292:AF292" si="324">+S292+1</f>
        <v>2008</v>
      </c>
      <c r="U292" s="933">
        <f t="shared" si="324"/>
        <v>2009</v>
      </c>
      <c r="V292" s="933">
        <f t="shared" si="324"/>
        <v>2010</v>
      </c>
      <c r="W292" s="933">
        <f t="shared" si="324"/>
        <v>2011</v>
      </c>
      <c r="X292" s="933">
        <f t="shared" si="324"/>
        <v>2012</v>
      </c>
      <c r="Y292" s="933">
        <f t="shared" si="324"/>
        <v>2013</v>
      </c>
      <c r="Z292" s="933">
        <f t="shared" si="324"/>
        <v>2014</v>
      </c>
      <c r="AA292" s="933">
        <f t="shared" si="324"/>
        <v>2015</v>
      </c>
      <c r="AB292" s="933">
        <f t="shared" si="324"/>
        <v>2016</v>
      </c>
      <c r="AC292" s="933">
        <f t="shared" si="324"/>
        <v>2017</v>
      </c>
      <c r="AD292" s="933">
        <f t="shared" si="324"/>
        <v>2018</v>
      </c>
      <c r="AE292" s="933">
        <f t="shared" si="324"/>
        <v>2019</v>
      </c>
      <c r="AF292" s="933">
        <f t="shared" si="324"/>
        <v>2020</v>
      </c>
    </row>
    <row r="293" spans="1:32" s="736" customFormat="1" ht="12.75" customHeight="1">
      <c r="A293" s="701"/>
      <c r="B293" s="701"/>
      <c r="C293" s="831"/>
      <c r="D293" s="726"/>
      <c r="E293" s="775" t="s">
        <v>509</v>
      </c>
      <c r="F293" s="770" t="s">
        <v>507</v>
      </c>
      <c r="G293" s="1135"/>
      <c r="H293" s="1135">
        <f t="shared" ref="H293:AC293" si="325">+(H288/G288-1)*100</f>
        <v>-4.8518305190052402</v>
      </c>
      <c r="I293" s="1135">
        <f t="shared" si="325"/>
        <v>7.8615539393374512</v>
      </c>
      <c r="J293" s="1135">
        <f t="shared" si="325"/>
        <v>11.360563069277752</v>
      </c>
      <c r="K293" s="1135">
        <f t="shared" si="325"/>
        <v>12.680006654081932</v>
      </c>
      <c r="L293" s="1135">
        <f t="shared" si="325"/>
        <v>9.3620402745195221</v>
      </c>
      <c r="M293" s="1135">
        <f t="shared" si="325"/>
        <v>-4.0923496887848572</v>
      </c>
      <c r="N293" s="1135">
        <f t="shared" si="325"/>
        <v>0.29708434063064892</v>
      </c>
      <c r="O293" s="1135">
        <f t="shared" si="325"/>
        <v>4.6384797418966173</v>
      </c>
      <c r="P293" s="1135">
        <f t="shared" si="325"/>
        <v>10.42057988689249</v>
      </c>
      <c r="Q293" s="1135">
        <f t="shared" si="325"/>
        <v>8.0249070041276127</v>
      </c>
      <c r="R293" s="1135">
        <f t="shared" si="325"/>
        <v>13.600261108294532</v>
      </c>
      <c r="S293" s="1135">
        <f t="shared" si="325"/>
        <v>6.361415495702305</v>
      </c>
      <c r="T293" s="1135">
        <f t="shared" si="325"/>
        <v>3.2927483847090322</v>
      </c>
      <c r="U293" s="1135">
        <f t="shared" si="325"/>
        <v>-19.278817939184066</v>
      </c>
      <c r="V293" s="1135">
        <f t="shared" si="325"/>
        <v>12.005393420708632</v>
      </c>
      <c r="W293" s="1135">
        <f t="shared" si="325"/>
        <v>4.3377564539264446</v>
      </c>
      <c r="X293" s="1135">
        <f t="shared" si="325"/>
        <v>-2.2785328518417081</v>
      </c>
      <c r="Y293" s="1135">
        <f t="shared" si="325"/>
        <v>-5.3130359770089512</v>
      </c>
      <c r="Z293" s="1135">
        <f t="shared" si="325"/>
        <v>4.690414787018482</v>
      </c>
      <c r="AA293" s="1135">
        <f t="shared" si="325"/>
        <v>4.7580192172986147</v>
      </c>
      <c r="AB293" s="1135">
        <f t="shared" si="325"/>
        <v>2.088618723379021</v>
      </c>
      <c r="AC293" s="1135">
        <f t="shared" si="325"/>
        <v>9.5638985066241808</v>
      </c>
      <c r="AD293" s="1458">
        <f ca="1">OFFSET('VVP1'!$K$94,0,5*(COLUMN()-7))</f>
        <v>9.4143892936341622</v>
      </c>
      <c r="AE293" s="1458">
        <f ca="1">OFFSET('VVP1'!$K$94,0,5*(COLUMN()-7))</f>
        <v>6.4456840160243667</v>
      </c>
      <c r="AF293" s="1458">
        <f ca="1">OFFSET('VVP1'!$K$94,0,5*(COLUMN()-7))</f>
        <v>3.7998361554780313</v>
      </c>
    </row>
    <row r="294" spans="1:32" s="736" customFormat="1" ht="12.75" customHeight="1">
      <c r="A294" s="701"/>
      <c r="B294" s="701"/>
      <c r="C294" s="833"/>
      <c r="D294" s="728"/>
      <c r="E294" s="834" t="s">
        <v>510</v>
      </c>
      <c r="F294" s="773" t="s">
        <v>508</v>
      </c>
      <c r="G294" s="1136"/>
      <c r="H294" s="1136">
        <f t="shared" ref="H294:AC294" si="326">+(H289/G289-1)*100</f>
        <v>2.4887536942574284</v>
      </c>
      <c r="I294" s="1136">
        <f t="shared" si="326"/>
        <v>42.937362960928716</v>
      </c>
      <c r="J294" s="1136">
        <f t="shared" si="326"/>
        <v>1.0609104819280679</v>
      </c>
      <c r="K294" s="1136">
        <f t="shared" si="326"/>
        <v>-7.8223340277438265</v>
      </c>
      <c r="L294" s="1136">
        <f t="shared" si="326"/>
        <v>20.665213014273419</v>
      </c>
      <c r="M294" s="1136">
        <f t="shared" si="326"/>
        <v>1.4885945234322406</v>
      </c>
      <c r="N294" s="1136">
        <f t="shared" si="326"/>
        <v>2.026928604872924</v>
      </c>
      <c r="O294" s="1136">
        <f t="shared" si="326"/>
        <v>3.8337219750209206</v>
      </c>
      <c r="P294" s="1136">
        <f t="shared" si="326"/>
        <v>8.8892850835897708</v>
      </c>
      <c r="Q294" s="1136">
        <f t="shared" si="326"/>
        <v>8.1182919889768002</v>
      </c>
      <c r="R294" s="1136">
        <f t="shared" si="326"/>
        <v>8.4175944041770201</v>
      </c>
      <c r="S294" s="1136">
        <f t="shared" si="326"/>
        <v>1.9289323327953412</v>
      </c>
      <c r="T294" s="1136">
        <f t="shared" si="326"/>
        <v>8.1781746488297724</v>
      </c>
      <c r="U294" s="1136">
        <f t="shared" si="326"/>
        <v>-13.360044459540211</v>
      </c>
      <c r="V294" s="1136">
        <f t="shared" si="326"/>
        <v>18.153796363745212</v>
      </c>
      <c r="W294" s="1136">
        <f t="shared" si="326"/>
        <v>8.9888090821171431</v>
      </c>
      <c r="X294" s="1136">
        <f t="shared" si="326"/>
        <v>-5.5866663954420748</v>
      </c>
      <c r="Y294" s="1136">
        <f t="shared" si="326"/>
        <v>-8.1154986546975181</v>
      </c>
      <c r="Z294" s="1136">
        <f t="shared" si="326"/>
        <v>1.4081252318210558</v>
      </c>
      <c r="AA294" s="1136">
        <f t="shared" si="326"/>
        <v>4.7178860769066633</v>
      </c>
      <c r="AB294" s="1136">
        <f t="shared" si="326"/>
        <v>-0.65777241427767974</v>
      </c>
      <c r="AC294" s="1136">
        <f t="shared" si="326"/>
        <v>9.4852600937218376</v>
      </c>
      <c r="AD294" s="1459">
        <f ca="1">OFFSET('VVP1'!$K$95,0,5*(COLUMN()-7))</f>
        <v>14</v>
      </c>
      <c r="AE294" s="1459">
        <f ca="1">OFFSET('VVP1'!$K$95,0,5*(COLUMN()-7))</f>
        <v>5</v>
      </c>
      <c r="AF294" s="1459">
        <f ca="1">OFFSET('VVP1'!$K$95,0,5*(COLUMN()-7))</f>
        <v>4.8</v>
      </c>
    </row>
    <row r="295" spans="1:32" s="736" customFormat="1" ht="12.75" customHeight="1">
      <c r="A295" s="701"/>
      <c r="B295" s="701"/>
      <c r="C295" s="811"/>
      <c r="D295" s="754"/>
      <c r="E295" s="759" t="s">
        <v>1821</v>
      </c>
      <c r="F295" s="760" t="s">
        <v>537</v>
      </c>
      <c r="G295" s="758"/>
      <c r="H295" s="758">
        <f t="shared" ref="H295:AC295" si="327">+(H290/G290-1)*100</f>
        <v>-2.2160906282695847</v>
      </c>
      <c r="I295" s="758">
        <f t="shared" si="327"/>
        <v>21.061994825851759</v>
      </c>
      <c r="J295" s="758">
        <f t="shared" si="327"/>
        <v>6.7839809913168958</v>
      </c>
      <c r="K295" s="758">
        <f t="shared" si="327"/>
        <v>4.0581812431211173</v>
      </c>
      <c r="L295" s="758">
        <f t="shared" si="327"/>
        <v>13.572656110298119</v>
      </c>
      <c r="M295" s="758">
        <f t="shared" si="327"/>
        <v>-1.8835250542832971</v>
      </c>
      <c r="N295" s="758">
        <f t="shared" si="327"/>
        <v>1.0052516310180781</v>
      </c>
      <c r="O295" s="758">
        <f t="shared" si="327"/>
        <v>4.305693861009785</v>
      </c>
      <c r="P295" s="758">
        <f t="shared" si="327"/>
        <v>9.7902194767801376</v>
      </c>
      <c r="Q295" s="758">
        <f t="shared" si="327"/>
        <v>8.0630336557889759</v>
      </c>
      <c r="R295" s="758">
        <f t="shared" si="327"/>
        <v>11.483231581838794</v>
      </c>
      <c r="S295" s="758">
        <f t="shared" si="327"/>
        <v>4.6006117757648068</v>
      </c>
      <c r="T295" s="758">
        <f t="shared" si="327"/>
        <v>5.1839140124667837</v>
      </c>
      <c r="U295" s="758">
        <f t="shared" si="327"/>
        <v>-16.922417234488496</v>
      </c>
      <c r="V295" s="758">
        <f t="shared" si="327"/>
        <v>14.558177693098795</v>
      </c>
      <c r="W295" s="758">
        <f t="shared" si="327"/>
        <v>6.3294597003884956</v>
      </c>
      <c r="X295" s="758">
        <f t="shared" si="327"/>
        <v>-3.7305933481979525</v>
      </c>
      <c r="Y295" s="758">
        <f t="shared" si="327"/>
        <v>-6.5194227092694401</v>
      </c>
      <c r="Z295" s="758">
        <f t="shared" si="327"/>
        <v>3.3015995183124813</v>
      </c>
      <c r="AA295" s="758">
        <f t="shared" si="327"/>
        <v>4.7413491849057188</v>
      </c>
      <c r="AB295" s="758">
        <f t="shared" si="327"/>
        <v>0.94811057824071288</v>
      </c>
      <c r="AC295" s="758">
        <f t="shared" si="327"/>
        <v>9.5317614245849605</v>
      </c>
      <c r="AD295" s="1460">
        <f ca="1">OFFSET('VVP1'!$K$96,0,5*(COLUMN()-7))</f>
        <v>9.2452500000000057</v>
      </c>
      <c r="AE295" s="1460">
        <f ca="1">OFFSET('VVP1'!$K$96,0,5*(COLUMN()-7))</f>
        <v>5.8407350000000191</v>
      </c>
      <c r="AF295" s="1460">
        <f ca="1">OFFSET('VVP1'!$K$96,0,5*(COLUMN()-7))</f>
        <v>4.2150319999999963</v>
      </c>
    </row>
    <row r="297" spans="1:32">
      <c r="A297" s="1170"/>
      <c r="B297" s="1170"/>
      <c r="D297" s="1114"/>
      <c r="E297" s="1115" t="s">
        <v>376</v>
      </c>
      <c r="F297" s="1116"/>
      <c r="G297" s="735">
        <f>+InputY!$G$3</f>
        <v>1995</v>
      </c>
      <c r="H297" s="735">
        <f>+G297+1</f>
        <v>1996</v>
      </c>
      <c r="I297" s="735">
        <f t="shared" ref="I297:O297" si="328">+H297+1</f>
        <v>1997</v>
      </c>
      <c r="J297" s="735">
        <f t="shared" si="328"/>
        <v>1998</v>
      </c>
      <c r="K297" s="735">
        <f t="shared" si="328"/>
        <v>1999</v>
      </c>
      <c r="L297" s="735">
        <f t="shared" si="328"/>
        <v>2000</v>
      </c>
      <c r="M297" s="735">
        <f t="shared" si="328"/>
        <v>2001</v>
      </c>
      <c r="N297" s="735">
        <f t="shared" si="328"/>
        <v>2002</v>
      </c>
      <c r="O297" s="735">
        <f t="shared" si="328"/>
        <v>2003</v>
      </c>
      <c r="P297" s="735">
        <f t="shared" ref="P297:AF297" si="329">+O297+1</f>
        <v>2004</v>
      </c>
      <c r="Q297" s="735">
        <f t="shared" si="329"/>
        <v>2005</v>
      </c>
      <c r="R297" s="735">
        <f t="shared" si="329"/>
        <v>2006</v>
      </c>
      <c r="S297" s="735">
        <f t="shared" si="329"/>
        <v>2007</v>
      </c>
      <c r="T297" s="735">
        <f t="shared" si="329"/>
        <v>2008</v>
      </c>
      <c r="U297" s="735">
        <f t="shared" si="329"/>
        <v>2009</v>
      </c>
      <c r="V297" s="735">
        <f t="shared" si="329"/>
        <v>2010</v>
      </c>
      <c r="W297" s="735">
        <f t="shared" si="329"/>
        <v>2011</v>
      </c>
      <c r="X297" s="735">
        <f t="shared" si="329"/>
        <v>2012</v>
      </c>
      <c r="Y297" s="735">
        <f t="shared" si="329"/>
        <v>2013</v>
      </c>
      <c r="Z297" s="735">
        <f t="shared" si="329"/>
        <v>2014</v>
      </c>
      <c r="AA297" s="735">
        <f t="shared" si="329"/>
        <v>2015</v>
      </c>
      <c r="AB297" s="735">
        <f t="shared" si="329"/>
        <v>2016</v>
      </c>
      <c r="AC297" s="735">
        <f t="shared" si="329"/>
        <v>2017</v>
      </c>
      <c r="AD297" s="735">
        <f t="shared" si="329"/>
        <v>2018</v>
      </c>
      <c r="AE297" s="735">
        <f t="shared" si="329"/>
        <v>2019</v>
      </c>
      <c r="AF297" s="735">
        <f t="shared" si="329"/>
        <v>2020</v>
      </c>
    </row>
    <row r="298" spans="1:32">
      <c r="A298" s="701"/>
      <c r="B298" s="1170"/>
      <c r="C298" s="1119" t="s">
        <v>1791</v>
      </c>
      <c r="D298" s="1098"/>
      <c r="E298" s="1078" t="s">
        <v>1240</v>
      </c>
      <c r="F298" s="1098"/>
      <c r="G298" s="1124">
        <f>+G268</f>
        <v>1765.502</v>
      </c>
      <c r="H298" s="1124">
        <f t="shared" ref="H298:R298" si="330">+H268</f>
        <v>1815.018</v>
      </c>
      <c r="I298" s="1124">
        <f t="shared" si="330"/>
        <v>1881.6559999999999</v>
      </c>
      <c r="J298" s="1124">
        <f t="shared" si="330"/>
        <v>1990.5530000000001</v>
      </c>
      <c r="K298" s="1124">
        <f t="shared" si="330"/>
        <v>2104.8180000000002</v>
      </c>
      <c r="L298" s="1124">
        <f t="shared" si="330"/>
        <v>2243.9349999999999</v>
      </c>
      <c r="M298" s="1124">
        <f t="shared" si="330"/>
        <v>2327.4859999999999</v>
      </c>
      <c r="N298" s="1124">
        <f t="shared" si="330"/>
        <v>2411.6320000000001</v>
      </c>
      <c r="O298" s="1124">
        <f t="shared" si="330"/>
        <v>2511.1</v>
      </c>
      <c r="P298" s="1124">
        <f t="shared" si="330"/>
        <v>2595.2139999999999</v>
      </c>
      <c r="Q298" s="1124">
        <f t="shared" si="330"/>
        <v>2702.152</v>
      </c>
      <c r="R298" s="1124">
        <f t="shared" si="330"/>
        <v>2867.598</v>
      </c>
      <c r="S298" s="1124">
        <f t="shared" ref="S298:X298" si="331">+S268</f>
        <v>3070.9690000000001</v>
      </c>
      <c r="T298" s="1124">
        <f t="shared" si="331"/>
        <v>3179.3780000000002</v>
      </c>
      <c r="U298" s="1124">
        <f t="shared" si="331"/>
        <v>3102.5479999999998</v>
      </c>
      <c r="V298" s="1124">
        <f t="shared" si="331"/>
        <v>3331.3670000000002</v>
      </c>
      <c r="W298" s="1124">
        <f t="shared" si="331"/>
        <v>3489.0279999999998</v>
      </c>
      <c r="X298" s="1124">
        <f t="shared" si="331"/>
        <v>3507.1640000000002</v>
      </c>
      <c r="Y298" s="1124">
        <f t="shared" ref="Y298:AA298" si="332">+Y268</f>
        <v>3604.0030000000002</v>
      </c>
      <c r="Z298" s="1124">
        <f t="shared" si="332"/>
        <v>3771.0250000000001</v>
      </c>
      <c r="AA298" s="1124">
        <f t="shared" si="332"/>
        <v>3997.36</v>
      </c>
      <c r="AB298" s="1124">
        <f t="shared" ref="AB298" si="333">+AB268</f>
        <v>4191.3739999999998</v>
      </c>
      <c r="AC298" s="1124">
        <f t="shared" ref="AC298" si="334">+AC268</f>
        <v>4409.8209999999999</v>
      </c>
      <c r="AD298" s="1463">
        <f ca="1">+AD268</f>
        <v>4644.2853596554996</v>
      </c>
      <c r="AE298" s="1463">
        <f ca="1">+AE268</f>
        <v>4826.062504801188</v>
      </c>
      <c r="AF298" s="1463">
        <f ca="1">+AF268</f>
        <v>5004.8575669665415</v>
      </c>
    </row>
    <row r="299" spans="1:32">
      <c r="A299" s="701"/>
      <c r="B299" s="1170"/>
      <c r="C299" s="1121" t="s">
        <v>1791</v>
      </c>
      <c r="D299" s="1117"/>
      <c r="E299" s="1079" t="s">
        <v>1822</v>
      </c>
      <c r="F299" s="1117" t="s">
        <v>1748</v>
      </c>
      <c r="G299" s="1125">
        <f>+G279</f>
        <v>715.80799999999999</v>
      </c>
      <c r="H299" s="1125">
        <f t="shared" ref="H299:R299" si="335">+H279</f>
        <v>711.63</v>
      </c>
      <c r="I299" s="1125">
        <f t="shared" si="335"/>
        <v>808.74900000000002</v>
      </c>
      <c r="J299" s="1125">
        <f t="shared" si="335"/>
        <v>870.20399999999995</v>
      </c>
      <c r="K299" s="1125">
        <f t="shared" si="335"/>
        <v>918.36699999999996</v>
      </c>
      <c r="L299" s="1125">
        <f t="shared" si="335"/>
        <v>1049.6890000000001</v>
      </c>
      <c r="M299" s="1125">
        <f t="shared" si="335"/>
        <v>1084.28</v>
      </c>
      <c r="N299" s="1125">
        <f t="shared" si="335"/>
        <v>1081.662</v>
      </c>
      <c r="O299" s="1125">
        <f t="shared" si="335"/>
        <v>1104.2940000000001</v>
      </c>
      <c r="P299" s="1125">
        <f t="shared" si="335"/>
        <v>1218.7360000000001</v>
      </c>
      <c r="Q299" s="1125">
        <f t="shared" si="335"/>
        <v>1333.6969999999999</v>
      </c>
      <c r="R299" s="1125">
        <f t="shared" si="335"/>
        <v>1493.4469999999999</v>
      </c>
      <c r="S299" s="1125">
        <f t="shared" ref="S299:X299" si="336">+S279</f>
        <v>1591.0940000000001</v>
      </c>
      <c r="T299" s="1125">
        <f t="shared" si="336"/>
        <v>1687.4680000000001</v>
      </c>
      <c r="U299" s="1125">
        <f t="shared" si="336"/>
        <v>1461.818</v>
      </c>
      <c r="V299" s="1125">
        <f t="shared" si="336"/>
        <v>1625.7159999999999</v>
      </c>
      <c r="W299" s="1125">
        <f t="shared" si="336"/>
        <v>1706.9960000000001</v>
      </c>
      <c r="X299" s="1125">
        <f t="shared" si="336"/>
        <v>1706.915</v>
      </c>
      <c r="Y299" s="1125">
        <f t="shared" ref="Y299:AA299" si="337">+Y279</f>
        <v>1651.2460000000001</v>
      </c>
      <c r="Z299" s="1125">
        <f t="shared" si="337"/>
        <v>1772.883</v>
      </c>
      <c r="AA299" s="1125">
        <f t="shared" si="337"/>
        <v>1913.088</v>
      </c>
      <c r="AB299" s="1125">
        <f t="shared" ref="AB299" si="338">+AB279</f>
        <v>1947.152</v>
      </c>
      <c r="AC299" s="1125">
        <f t="shared" ref="AC299" si="339">+AC279</f>
        <v>2076.6559999999999</v>
      </c>
      <c r="AD299" s="1387">
        <f ca="1">+AD279</f>
        <v>2258.1871678207999</v>
      </c>
      <c r="AE299" s="1387">
        <f ca="1">+AE279</f>
        <v>2386.5850196344782</v>
      </c>
      <c r="AF299" s="1387">
        <f ca="1">+AF279</f>
        <v>2486.7314454445536</v>
      </c>
    </row>
    <row r="300" spans="1:32">
      <c r="A300" s="701">
        <f>+ROW(InputY!A82)</f>
        <v>82</v>
      </c>
      <c r="B300" s="701"/>
      <c r="C300" s="731" t="s">
        <v>1793</v>
      </c>
      <c r="D300" s="1095"/>
      <c r="E300" s="1096" t="s">
        <v>376</v>
      </c>
      <c r="F300" s="1095"/>
      <c r="G300" s="1097">
        <f>+InputY!G82/1000</f>
        <v>2481.31</v>
      </c>
      <c r="H300" s="1097">
        <f>+InputY!H82/1000</f>
        <v>2526.6480000000001</v>
      </c>
      <c r="I300" s="1097">
        <f>+InputY!I82/1000</f>
        <v>2690.4050000000002</v>
      </c>
      <c r="J300" s="1097">
        <f>+InputY!J82/1000</f>
        <v>2860.7570000000001</v>
      </c>
      <c r="K300" s="1097">
        <f>+InputY!K82/1000</f>
        <v>3023.1849999999999</v>
      </c>
      <c r="L300" s="1097">
        <f>+InputY!L82/1000</f>
        <v>3293.6239999999998</v>
      </c>
      <c r="M300" s="1097">
        <f>+InputY!M82/1000</f>
        <v>3411.7660000000001</v>
      </c>
      <c r="N300" s="1097">
        <f>+InputY!N82/1000</f>
        <v>3493.2939999999999</v>
      </c>
      <c r="O300" s="1097">
        <f>+InputY!O82/1000</f>
        <v>3615.3939999999998</v>
      </c>
      <c r="P300" s="1097">
        <f>+InputY!P82/1000</f>
        <v>3813.95</v>
      </c>
      <c r="Q300" s="1097">
        <f>+InputY!Q82/1000</f>
        <v>4035.8490000000002</v>
      </c>
      <c r="R300" s="1097">
        <f>+InputY!R82/1000</f>
        <v>4361.0450000000001</v>
      </c>
      <c r="S300" s="1097">
        <f>+InputY!S82/1000</f>
        <v>4662.0630000000001</v>
      </c>
      <c r="T300" s="1097">
        <f>+InputY!T82/1000</f>
        <v>4866.8459999999995</v>
      </c>
      <c r="U300" s="1097">
        <f>+InputY!U82/1000</f>
        <v>4564.366</v>
      </c>
      <c r="V300" s="1097">
        <f>+InputY!V82/1000</f>
        <v>4957.0829999999996</v>
      </c>
      <c r="W300" s="1097">
        <f>+InputY!W82/1000</f>
        <v>5196.0240000000003</v>
      </c>
      <c r="X300" s="1097">
        <f>+InputY!X82/1000</f>
        <v>5214.0789999999997</v>
      </c>
      <c r="Y300" s="1097">
        <f>+InputY!Y82/1000</f>
        <v>5255.2489999999998</v>
      </c>
      <c r="Z300" s="1097">
        <f>+InputY!Z82/1000</f>
        <v>5543.9080000000004</v>
      </c>
      <c r="AA300" s="1097">
        <f>+InputY!AA82/1000</f>
        <v>5910.4480000000003</v>
      </c>
      <c r="AB300" s="1097">
        <f>+InputY!AB82/1000</f>
        <v>6138.5259999999998</v>
      </c>
      <c r="AC300" s="1097">
        <f>+InputY!AC82/1000</f>
        <v>6486.4769999999999</v>
      </c>
      <c r="AD300" s="909">
        <f ca="1">+AD298+AD299</f>
        <v>6902.4725274762995</v>
      </c>
      <c r="AE300" s="909">
        <f ca="1">+AE298+AE299</f>
        <v>7212.6475244356661</v>
      </c>
      <c r="AF300" s="909">
        <f ca="1">+AF298+AF299</f>
        <v>7491.5890124110956</v>
      </c>
    </row>
    <row r="301" spans="1:32" s="736" customFormat="1" ht="12.75" customHeight="1">
      <c r="B301" s="701"/>
      <c r="C301" s="811"/>
      <c r="D301" s="2033"/>
      <c r="E301" s="2033" t="s">
        <v>90</v>
      </c>
      <c r="F301" s="2033"/>
      <c r="G301" s="1040">
        <f t="shared" ref="G301:V301" si="340">ABS(G300-G299-G298)</f>
        <v>0</v>
      </c>
      <c r="H301" s="1040">
        <f t="shared" si="340"/>
        <v>0</v>
      </c>
      <c r="I301" s="1040">
        <f t="shared" si="340"/>
        <v>2.2737367544323206E-13</v>
      </c>
      <c r="J301" s="1040">
        <f t="shared" si="340"/>
        <v>0</v>
      </c>
      <c r="K301" s="1040">
        <f t="shared" si="340"/>
        <v>0</v>
      </c>
      <c r="L301" s="1040">
        <f t="shared" si="340"/>
        <v>4.5474735088646412E-13</v>
      </c>
      <c r="M301" s="1040">
        <f t="shared" si="340"/>
        <v>0</v>
      </c>
      <c r="N301" s="1040">
        <f t="shared" si="340"/>
        <v>4.5474735088646412E-13</v>
      </c>
      <c r="O301" s="1040">
        <f t="shared" si="340"/>
        <v>4.5474735088646412E-13</v>
      </c>
      <c r="P301" s="1040">
        <f t="shared" si="340"/>
        <v>0</v>
      </c>
      <c r="Q301" s="1040">
        <f t="shared" si="340"/>
        <v>0</v>
      </c>
      <c r="R301" s="1040">
        <f t="shared" si="340"/>
        <v>0</v>
      </c>
      <c r="S301" s="1040">
        <f t="shared" si="340"/>
        <v>0</v>
      </c>
      <c r="T301" s="1040">
        <f t="shared" si="340"/>
        <v>4.5474735088646412E-13</v>
      </c>
      <c r="U301" s="1040">
        <f t="shared" si="340"/>
        <v>0</v>
      </c>
      <c r="V301" s="1040">
        <f t="shared" si="340"/>
        <v>4.5474735088646412E-13</v>
      </c>
      <c r="W301" s="1040">
        <f t="shared" ref="W301:Z301" si="341">ABS(W300-W299-W298)</f>
        <v>4.5474735088646412E-13</v>
      </c>
      <c r="X301" s="1040">
        <f t="shared" si="341"/>
        <v>4.5474735088646412E-13</v>
      </c>
      <c r="Y301" s="1040">
        <f t="shared" si="341"/>
        <v>4.5474735088646412E-13</v>
      </c>
      <c r="Z301" s="1040">
        <f t="shared" si="341"/>
        <v>4.5474735088646412E-13</v>
      </c>
      <c r="AA301" s="1040">
        <f t="shared" ref="AA301" si="342">ABS(AA300-AA299-AA298)</f>
        <v>4.5474735088646412E-13</v>
      </c>
      <c r="AB301" s="1040">
        <f t="shared" ref="AB301" si="343">ABS(AB300-AB299-AB298)</f>
        <v>0</v>
      </c>
      <c r="AC301" s="1040">
        <f t="shared" ref="AC301" si="344">ABS(AC300-AC299-AC298)</f>
        <v>0</v>
      </c>
      <c r="AD301" s="2999">
        <f ca="1">ABS(AD300-AD299-AD298)</f>
        <v>0</v>
      </c>
      <c r="AE301" s="2999">
        <f ca="1">ABS(AE300-AE299-AE298)</f>
        <v>0</v>
      </c>
      <c r="AF301" s="2999">
        <f ca="1">ABS(AF300-AF299-AF298)</f>
        <v>9.0949470177292824E-13</v>
      </c>
    </row>
    <row r="303" spans="1:32" s="736" customFormat="1" ht="12.75" customHeight="1">
      <c r="A303" s="701"/>
      <c r="B303" s="701"/>
      <c r="C303" s="811"/>
      <c r="D303" s="1132"/>
      <c r="E303" s="1133" t="s">
        <v>376</v>
      </c>
      <c r="F303" s="1134"/>
      <c r="G303" s="933">
        <f>+InputY!$G$3</f>
        <v>1995</v>
      </c>
      <c r="H303" s="933">
        <f>+G303+1</f>
        <v>1996</v>
      </c>
      <c r="I303" s="933">
        <f t="shared" ref="I303:O303" si="345">+H303+1</f>
        <v>1997</v>
      </c>
      <c r="J303" s="933">
        <f t="shared" si="345"/>
        <v>1998</v>
      </c>
      <c r="K303" s="933">
        <f t="shared" si="345"/>
        <v>1999</v>
      </c>
      <c r="L303" s="933">
        <f t="shared" si="345"/>
        <v>2000</v>
      </c>
      <c r="M303" s="933">
        <f t="shared" si="345"/>
        <v>2001</v>
      </c>
      <c r="N303" s="933">
        <f t="shared" si="345"/>
        <v>2002</v>
      </c>
      <c r="O303" s="933">
        <f t="shared" si="345"/>
        <v>2003</v>
      </c>
      <c r="P303" s="933">
        <f t="shared" ref="P303:AF303" si="346">+O303+1</f>
        <v>2004</v>
      </c>
      <c r="Q303" s="933">
        <f t="shared" si="346"/>
        <v>2005</v>
      </c>
      <c r="R303" s="933">
        <f t="shared" si="346"/>
        <v>2006</v>
      </c>
      <c r="S303" s="933">
        <f t="shared" si="346"/>
        <v>2007</v>
      </c>
      <c r="T303" s="933">
        <f t="shared" si="346"/>
        <v>2008</v>
      </c>
      <c r="U303" s="933">
        <f t="shared" si="346"/>
        <v>2009</v>
      </c>
      <c r="V303" s="933">
        <f t="shared" si="346"/>
        <v>2010</v>
      </c>
      <c r="W303" s="933">
        <f t="shared" si="346"/>
        <v>2011</v>
      </c>
      <c r="X303" s="933">
        <f t="shared" si="346"/>
        <v>2012</v>
      </c>
      <c r="Y303" s="933">
        <f t="shared" si="346"/>
        <v>2013</v>
      </c>
      <c r="Z303" s="933">
        <f t="shared" si="346"/>
        <v>2014</v>
      </c>
      <c r="AA303" s="933">
        <f t="shared" si="346"/>
        <v>2015</v>
      </c>
      <c r="AB303" s="933">
        <f t="shared" si="346"/>
        <v>2016</v>
      </c>
      <c r="AC303" s="933">
        <f t="shared" si="346"/>
        <v>2017</v>
      </c>
      <c r="AD303" s="933">
        <f t="shared" si="346"/>
        <v>2018</v>
      </c>
      <c r="AE303" s="933">
        <f t="shared" si="346"/>
        <v>2019</v>
      </c>
      <c r="AF303" s="933">
        <f t="shared" si="346"/>
        <v>2020</v>
      </c>
    </row>
    <row r="304" spans="1:32" s="736" customFormat="1" ht="12.75" customHeight="1">
      <c r="A304" s="701"/>
      <c r="B304" s="701"/>
      <c r="C304" s="831"/>
      <c r="D304" s="726"/>
      <c r="E304" s="775" t="s">
        <v>1240</v>
      </c>
      <c r="F304" s="770"/>
      <c r="G304" s="1135"/>
      <c r="H304" s="1135">
        <f t="shared" ref="H304:Y304" si="347">+(H298/G298-1)*100</f>
        <v>2.8046413994433417</v>
      </c>
      <c r="I304" s="1135">
        <f t="shared" si="347"/>
        <v>3.6714787401557425</v>
      </c>
      <c r="J304" s="1135">
        <f t="shared" si="347"/>
        <v>5.7872958712963607</v>
      </c>
      <c r="K304" s="1135">
        <f t="shared" si="347"/>
        <v>5.7403646122459406</v>
      </c>
      <c r="L304" s="1135">
        <f t="shared" si="347"/>
        <v>6.6094550692743947</v>
      </c>
      <c r="M304" s="1135">
        <f t="shared" si="347"/>
        <v>3.7234144482794607</v>
      </c>
      <c r="N304" s="1135">
        <f t="shared" si="347"/>
        <v>3.6153171275788543</v>
      </c>
      <c r="O304" s="1135">
        <f t="shared" si="347"/>
        <v>4.124509875470217</v>
      </c>
      <c r="P304" s="1135">
        <f t="shared" si="347"/>
        <v>3.3496873879973021</v>
      </c>
      <c r="Q304" s="1135">
        <f t="shared" si="347"/>
        <v>4.1205850461657478</v>
      </c>
      <c r="R304" s="1135">
        <f t="shared" si="347"/>
        <v>6.1227495714526681</v>
      </c>
      <c r="S304" s="1135">
        <f t="shared" si="347"/>
        <v>7.0920331231923095</v>
      </c>
      <c r="T304" s="1135">
        <f t="shared" si="347"/>
        <v>3.530123553835951</v>
      </c>
      <c r="U304" s="1135">
        <f t="shared" si="347"/>
        <v>-2.4165103992038861</v>
      </c>
      <c r="V304" s="1135">
        <f t="shared" si="347"/>
        <v>7.3751961291171231</v>
      </c>
      <c r="W304" s="1135">
        <f t="shared" si="347"/>
        <v>4.7326217735842224</v>
      </c>
      <c r="X304" s="1135">
        <f t="shared" si="347"/>
        <v>0.51980093023042961</v>
      </c>
      <c r="Y304" s="1135">
        <f t="shared" si="347"/>
        <v>2.7611768368972722</v>
      </c>
      <c r="Z304" s="1135">
        <f t="shared" ref="Z304:AB306" si="348">+(Z298/Y298-1)*100</f>
        <v>4.6343468637512153</v>
      </c>
      <c r="AA304" s="1135">
        <f t="shared" si="348"/>
        <v>6.001949072201862</v>
      </c>
      <c r="AB304" s="1135">
        <f t="shared" si="348"/>
        <v>4.8535533452078283</v>
      </c>
      <c r="AC304" s="1135">
        <f t="shared" ref="AC304:AF306" si="349">+(AC298/AB298-1)*100</f>
        <v>5.2118231396196091</v>
      </c>
      <c r="AD304" s="1135">
        <f t="shared" ca="1" si="349"/>
        <v>5.3168679557628273</v>
      </c>
      <c r="AE304" s="1135">
        <f t="shared" ca="1" si="349"/>
        <v>3.9139960417757802</v>
      </c>
      <c r="AF304" s="1135">
        <f t="shared" ca="1" si="349"/>
        <v>3.7047813199161839</v>
      </c>
    </row>
    <row r="305" spans="1:32" s="736" customFormat="1" ht="12.75" customHeight="1">
      <c r="A305" s="701"/>
      <c r="B305" s="701"/>
      <c r="C305" s="833"/>
      <c r="D305" s="728"/>
      <c r="E305" s="834" t="s">
        <v>1822</v>
      </c>
      <c r="F305" s="773" t="s">
        <v>1748</v>
      </c>
      <c r="G305" s="1136"/>
      <c r="H305" s="1136">
        <f t="shared" ref="H305:Y305" si="350">+(H299/G299-1)*100</f>
        <v>-0.58367606956055695</v>
      </c>
      <c r="I305" s="1136">
        <f t="shared" si="350"/>
        <v>13.647401037055772</v>
      </c>
      <c r="J305" s="1136">
        <f t="shared" si="350"/>
        <v>7.5987729196573817</v>
      </c>
      <c r="K305" s="1136">
        <f t="shared" si="350"/>
        <v>5.5346792246415699</v>
      </c>
      <c r="L305" s="1136">
        <f t="shared" si="350"/>
        <v>14.299512068704567</v>
      </c>
      <c r="M305" s="1136">
        <f t="shared" si="350"/>
        <v>3.2953570057416837</v>
      </c>
      <c r="N305" s="1136">
        <f t="shared" si="350"/>
        <v>-0.24145054782896969</v>
      </c>
      <c r="O305" s="1136">
        <f t="shared" si="350"/>
        <v>2.0923356834205098</v>
      </c>
      <c r="P305" s="1136">
        <f t="shared" si="350"/>
        <v>10.36336337967969</v>
      </c>
      <c r="Q305" s="1136">
        <f t="shared" si="350"/>
        <v>9.4328057922306243</v>
      </c>
      <c r="R305" s="1136">
        <f t="shared" si="350"/>
        <v>11.97798300513535</v>
      </c>
      <c r="S305" s="1136">
        <f t="shared" si="350"/>
        <v>6.5383639325667486</v>
      </c>
      <c r="T305" s="1136">
        <f t="shared" si="350"/>
        <v>6.0570902787641767</v>
      </c>
      <c r="U305" s="1136">
        <f t="shared" si="350"/>
        <v>-13.372105426591796</v>
      </c>
      <c r="V305" s="1136">
        <f t="shared" si="350"/>
        <v>11.211929255215081</v>
      </c>
      <c r="W305" s="1136">
        <f t="shared" si="350"/>
        <v>4.9996432341196329</v>
      </c>
      <c r="X305" s="1136">
        <f t="shared" si="350"/>
        <v>-4.7451780789242726E-3</v>
      </c>
      <c r="Y305" s="1136">
        <f t="shared" si="350"/>
        <v>-3.2613809123477111</v>
      </c>
      <c r="Z305" s="1136">
        <f t="shared" si="348"/>
        <v>7.3663766634408212</v>
      </c>
      <c r="AA305" s="1136">
        <f t="shared" si="348"/>
        <v>7.9083052857972014</v>
      </c>
      <c r="AB305" s="1136">
        <f t="shared" si="348"/>
        <v>1.7805767429412533</v>
      </c>
      <c r="AC305" s="1136">
        <f t="shared" si="349"/>
        <v>6.6509445590277494</v>
      </c>
      <c r="AD305" s="1136">
        <f t="shared" ca="1" si="349"/>
        <v>8.7415136556463935</v>
      </c>
      <c r="AE305" s="1136">
        <f t="shared" ca="1" si="349"/>
        <v>5.6858817392707595</v>
      </c>
      <c r="AF305" s="1136">
        <f t="shared" ca="1" si="349"/>
        <v>4.1962228450346029</v>
      </c>
    </row>
    <row r="306" spans="1:32" s="736" customFormat="1" ht="12.75" customHeight="1">
      <c r="A306" s="701"/>
      <c r="B306" s="701"/>
      <c r="C306" s="811"/>
      <c r="D306" s="754"/>
      <c r="E306" s="759" t="s">
        <v>376</v>
      </c>
      <c r="F306" s="760"/>
      <c r="G306" s="758"/>
      <c r="H306" s="758">
        <f t="shared" ref="H306:Y306" si="351">+(H300/G300-1)*100</f>
        <v>1.8271799976625314</v>
      </c>
      <c r="I306" s="758">
        <f t="shared" si="351"/>
        <v>6.4811956394400738</v>
      </c>
      <c r="J306" s="758">
        <f t="shared" si="351"/>
        <v>6.3318347981065948</v>
      </c>
      <c r="K306" s="758">
        <f t="shared" si="351"/>
        <v>5.6777978695848663</v>
      </c>
      <c r="L306" s="758">
        <f t="shared" si="351"/>
        <v>8.9454995311236232</v>
      </c>
      <c r="M306" s="758">
        <f t="shared" si="351"/>
        <v>3.5869911076674255</v>
      </c>
      <c r="N306" s="758">
        <f t="shared" si="351"/>
        <v>2.3896128866985444</v>
      </c>
      <c r="O306" s="758">
        <f t="shared" si="351"/>
        <v>3.4952683627544667</v>
      </c>
      <c r="P306" s="758">
        <f t="shared" si="351"/>
        <v>5.4919602123586042</v>
      </c>
      <c r="Q306" s="758">
        <f t="shared" si="351"/>
        <v>5.8180888580081191</v>
      </c>
      <c r="R306" s="758">
        <f t="shared" si="351"/>
        <v>8.0576850124967514</v>
      </c>
      <c r="S306" s="758">
        <f t="shared" si="351"/>
        <v>6.9024282024147787</v>
      </c>
      <c r="T306" s="758">
        <f t="shared" si="351"/>
        <v>4.3925403839458976</v>
      </c>
      <c r="U306" s="758">
        <f t="shared" si="351"/>
        <v>-6.215113443079967</v>
      </c>
      <c r="V306" s="758">
        <f t="shared" si="351"/>
        <v>8.6039769816881329</v>
      </c>
      <c r="W306" s="758">
        <f t="shared" si="351"/>
        <v>4.8201936501769405</v>
      </c>
      <c r="X306" s="758">
        <f t="shared" si="351"/>
        <v>0.34747722489347765</v>
      </c>
      <c r="Y306" s="758">
        <f t="shared" si="351"/>
        <v>0.78959294632858779</v>
      </c>
      <c r="Z306" s="758">
        <f t="shared" si="348"/>
        <v>5.4927749379715562</v>
      </c>
      <c r="AA306" s="758">
        <f t="shared" si="348"/>
        <v>6.6115815774720588</v>
      </c>
      <c r="AB306" s="758">
        <f t="shared" si="348"/>
        <v>3.8588952986304825</v>
      </c>
      <c r="AC306" s="758">
        <f t="shared" si="349"/>
        <v>5.6683151623044381</v>
      </c>
      <c r="AD306" s="758">
        <f t="shared" ca="1" si="349"/>
        <v>6.4132737613391555</v>
      </c>
      <c r="AE306" s="758">
        <f t="shared" ca="1" si="349"/>
        <v>4.4936795579362254</v>
      </c>
      <c r="AF306" s="758">
        <f t="shared" ca="1" si="349"/>
        <v>3.8673938665435337</v>
      </c>
    </row>
    <row r="308" spans="1:32">
      <c r="A308" s="1170"/>
      <c r="B308" s="1170"/>
      <c r="D308" s="1113"/>
      <c r="E308" s="938" t="s">
        <v>177</v>
      </c>
      <c r="F308" s="1105"/>
      <c r="G308" s="815">
        <f>+InputY!$G$3</f>
        <v>1995</v>
      </c>
      <c r="H308" s="815">
        <f>+G308+1</f>
        <v>1996</v>
      </c>
      <c r="I308" s="815">
        <f t="shared" ref="I308:O308" si="352">+H308+1</f>
        <v>1997</v>
      </c>
      <c r="J308" s="815">
        <f t="shared" si="352"/>
        <v>1998</v>
      </c>
      <c r="K308" s="815">
        <f t="shared" si="352"/>
        <v>1999</v>
      </c>
      <c r="L308" s="815">
        <f t="shared" si="352"/>
        <v>2000</v>
      </c>
      <c r="M308" s="815">
        <f t="shared" si="352"/>
        <v>2001</v>
      </c>
      <c r="N308" s="815">
        <f t="shared" si="352"/>
        <v>2002</v>
      </c>
      <c r="O308" s="815">
        <f t="shared" si="352"/>
        <v>2003</v>
      </c>
      <c r="P308" s="815">
        <f>+O308+1</f>
        <v>2004</v>
      </c>
      <c r="Q308" s="815">
        <f>+P308+1</f>
        <v>2005</v>
      </c>
      <c r="R308" s="815">
        <f>+Q308+1</f>
        <v>2006</v>
      </c>
      <c r="S308" s="815">
        <f>+R308+1</f>
        <v>2007</v>
      </c>
      <c r="T308" s="815">
        <f t="shared" ref="T308:AF308" si="353">+S308+1</f>
        <v>2008</v>
      </c>
      <c r="U308" s="815">
        <f t="shared" si="353"/>
        <v>2009</v>
      </c>
      <c r="V308" s="815">
        <f t="shared" si="353"/>
        <v>2010</v>
      </c>
      <c r="W308" s="815">
        <f t="shared" si="353"/>
        <v>2011</v>
      </c>
      <c r="X308" s="815">
        <f t="shared" si="353"/>
        <v>2012</v>
      </c>
      <c r="Y308" s="815">
        <f t="shared" si="353"/>
        <v>2013</v>
      </c>
      <c r="Z308" s="815">
        <f t="shared" si="353"/>
        <v>2014</v>
      </c>
      <c r="AA308" s="815">
        <f t="shared" si="353"/>
        <v>2015</v>
      </c>
      <c r="AB308" s="815">
        <f t="shared" si="353"/>
        <v>2016</v>
      </c>
      <c r="AC308" s="815">
        <f t="shared" si="353"/>
        <v>2017</v>
      </c>
      <c r="AD308" s="815">
        <f t="shared" si="353"/>
        <v>2018</v>
      </c>
      <c r="AE308" s="815">
        <f t="shared" si="353"/>
        <v>2019</v>
      </c>
      <c r="AF308" s="815">
        <f t="shared" si="353"/>
        <v>2020</v>
      </c>
    </row>
    <row r="309" spans="1:32">
      <c r="A309" s="701">
        <f>+ROW(InputY!A91)</f>
        <v>91</v>
      </c>
      <c r="B309" s="702">
        <v>46</v>
      </c>
      <c r="C309" s="1119" t="s">
        <v>1791</v>
      </c>
      <c r="D309" s="1098"/>
      <c r="E309" s="1078" t="s">
        <v>1823</v>
      </c>
      <c r="F309" s="1098" t="s">
        <v>602</v>
      </c>
      <c r="G309" s="1124">
        <f>+InputY!G91/1000</f>
        <v>139.92699999999999</v>
      </c>
      <c r="H309" s="1124">
        <f>+InputY!H91/1000</f>
        <v>146.41800000000001</v>
      </c>
      <c r="I309" s="1124">
        <f>+InputY!I91/1000</f>
        <v>170.32300000000001</v>
      </c>
      <c r="J309" s="1124">
        <f>+InputY!J91/1000</f>
        <v>194.06200000000001</v>
      </c>
      <c r="K309" s="1124">
        <f>+InputY!K91/1000</f>
        <v>212.73099999999999</v>
      </c>
      <c r="L309" s="1124">
        <f>+InputY!L91/1000</f>
        <v>241.79599999999999</v>
      </c>
      <c r="M309" s="1124">
        <f>+InputY!M91/1000</f>
        <v>270.61200000000002</v>
      </c>
      <c r="N309" s="1124">
        <f>+InputY!N91/1000</f>
        <v>265.79899999999998</v>
      </c>
      <c r="O309" s="1124">
        <f>+InputY!O91/1000</f>
        <v>260.53100000000001</v>
      </c>
      <c r="P309" s="1124">
        <f>+InputY!P91/1000</f>
        <v>273.72699999999998</v>
      </c>
      <c r="Q309" s="1124">
        <f>+InputY!Q91/1000</f>
        <v>298.72399999999999</v>
      </c>
      <c r="R309" s="1124">
        <f>+InputY!R91/1000</f>
        <v>316.64699999999999</v>
      </c>
      <c r="S309" s="1124">
        <f>+InputY!S91/1000</f>
        <v>352.87700000000001</v>
      </c>
      <c r="T309" s="1124">
        <f>+InputY!T91/1000</f>
        <v>390.834</v>
      </c>
      <c r="U309" s="1124">
        <f>+InputY!U91/1000</f>
        <v>376.85</v>
      </c>
      <c r="V309" s="1124">
        <f>+InputY!V91/1000</f>
        <v>380.23899999999998</v>
      </c>
      <c r="W309" s="1124">
        <f>+InputY!W91/1000</f>
        <v>394.08</v>
      </c>
      <c r="X309" s="1124">
        <f>+InputY!X91/1000</f>
        <v>415.01400000000001</v>
      </c>
      <c r="Y309" s="1124">
        <f>+InputY!Y91/1000</f>
        <v>430.11399999999998</v>
      </c>
      <c r="Z309" s="1124">
        <f>+InputY!Z91/1000</f>
        <v>489.98</v>
      </c>
      <c r="AA309" s="1124">
        <f>+InputY!AA91/1000</f>
        <v>536.44899999999996</v>
      </c>
      <c r="AB309" s="1124">
        <f>+InputY!AB91/1000</f>
        <v>539.59299999999996</v>
      </c>
      <c r="AC309" s="1124">
        <f>+InputY!AC91/1000</f>
        <v>586.07100000000003</v>
      </c>
      <c r="AD309" s="1463">
        <f t="shared" ref="AD309:AF311" ca="1" si="354">+AC309*(1+AD315/100)</f>
        <v>639.57898926450014</v>
      </c>
      <c r="AE309" s="1463">
        <f t="shared" ca="1" si="354"/>
        <v>678.19866179009898</v>
      </c>
      <c r="AF309" s="1463">
        <f t="shared" ca="1" si="354"/>
        <v>710.81835583548138</v>
      </c>
    </row>
    <row r="310" spans="1:32">
      <c r="A310" s="701">
        <f>+ROW(InputY!A90)</f>
        <v>90</v>
      </c>
      <c r="B310" s="1170">
        <v>45</v>
      </c>
      <c r="C310" s="1121" t="s">
        <v>1791</v>
      </c>
      <c r="D310" s="1117"/>
      <c r="E310" s="1118" t="s">
        <v>1824</v>
      </c>
      <c r="F310" s="1117" t="s">
        <v>1742</v>
      </c>
      <c r="G310" s="1125">
        <f>+InputY!G90/1000</f>
        <v>455.73500000000001</v>
      </c>
      <c r="H310" s="1125">
        <f>+InputY!H90/1000</f>
        <v>445.85199999999998</v>
      </c>
      <c r="I310" s="1125">
        <f>+InputY!I90/1000</f>
        <v>498.10399999999998</v>
      </c>
      <c r="J310" s="1125">
        <f>+InputY!J90/1000</f>
        <v>542.28899999999999</v>
      </c>
      <c r="K310" s="1125">
        <f>+InputY!K90/1000</f>
        <v>569.88099999999997</v>
      </c>
      <c r="L310" s="1125">
        <f>+InputY!L90/1000</f>
        <v>668.202</v>
      </c>
      <c r="M310" s="1125">
        <f>+InputY!M90/1000</f>
        <v>659.23800000000006</v>
      </c>
      <c r="N310" s="1125">
        <f>+InputY!N90/1000</f>
        <v>653.53599999999994</v>
      </c>
      <c r="O310" s="1125">
        <f>+InputY!O90/1000</f>
        <v>674</v>
      </c>
      <c r="P310" s="1125">
        <f>+InputY!P90/1000</f>
        <v>731.82</v>
      </c>
      <c r="Q310" s="1125">
        <f>+InputY!Q90/1000</f>
        <v>826.44200000000001</v>
      </c>
      <c r="R310" s="1125">
        <f>+InputY!R90/1000</f>
        <v>941.56399999999996</v>
      </c>
      <c r="S310" s="1125">
        <f>+InputY!S90/1000</f>
        <v>1008.203</v>
      </c>
      <c r="T310" s="1125">
        <f>+InputY!T90/1000</f>
        <v>1084.3309999999999</v>
      </c>
      <c r="U310" s="1125">
        <f>+InputY!U90/1000</f>
        <v>895.50699999999995</v>
      </c>
      <c r="V310" s="1125">
        <f>+InputY!V90/1000</f>
        <v>1053.02</v>
      </c>
      <c r="W310" s="1125">
        <f>+InputY!W90/1000</f>
        <v>1140.9010000000001</v>
      </c>
      <c r="X310" s="1125">
        <f>+InputY!X90/1000</f>
        <v>1110.194</v>
      </c>
      <c r="Y310" s="1125">
        <f>+InputY!Y90/1000</f>
        <v>1051.1959999999999</v>
      </c>
      <c r="Z310" s="1125">
        <f>+InputY!Z90/1000</f>
        <v>1113.0029999999999</v>
      </c>
      <c r="AA310" s="1125">
        <f>+InputY!AA90/1000</f>
        <v>1172.4559999999999</v>
      </c>
      <c r="AB310" s="1125">
        <f>+InputY!AB90/1000</f>
        <v>1213.4359999999999</v>
      </c>
      <c r="AC310" s="1125">
        <f>+InputY!AC90/1000</f>
        <v>1321.5070000000001</v>
      </c>
      <c r="AD310" s="1387">
        <f t="shared" ca="1" si="354"/>
        <v>1459.7183954034003</v>
      </c>
      <c r="AE310" s="1387">
        <f t="shared" ca="1" si="354"/>
        <v>1549.652463186505</v>
      </c>
      <c r="AF310" s="1387">
        <f t="shared" ca="1" si="354"/>
        <v>1619.2550415844285</v>
      </c>
    </row>
    <row r="311" spans="1:32">
      <c r="A311" s="701">
        <f>+ROW(InputY!A92)</f>
        <v>92</v>
      </c>
      <c r="B311" s="701"/>
      <c r="C311" s="731" t="s">
        <v>1793</v>
      </c>
      <c r="D311" s="1095"/>
      <c r="E311" s="1096" t="s">
        <v>1825</v>
      </c>
      <c r="F311" s="1095" t="s">
        <v>202</v>
      </c>
      <c r="G311" s="1097">
        <f>+InputY!G92/1000</f>
        <v>595.66200000000003</v>
      </c>
      <c r="H311" s="1097">
        <f>+InputY!H92/1000</f>
        <v>592.27</v>
      </c>
      <c r="I311" s="1097">
        <f>+InputY!I92/1000</f>
        <v>668.42700000000002</v>
      </c>
      <c r="J311" s="1097">
        <f>+InputY!J92/1000</f>
        <v>736.351</v>
      </c>
      <c r="K311" s="1097">
        <f>+InputY!K92/1000</f>
        <v>782.61199999999997</v>
      </c>
      <c r="L311" s="1097">
        <f>+InputY!L92/1000</f>
        <v>909.99800000000005</v>
      </c>
      <c r="M311" s="1097">
        <f>+InputY!M92/1000</f>
        <v>929.85</v>
      </c>
      <c r="N311" s="1097">
        <f>+InputY!N92/1000</f>
        <v>919.33500000000004</v>
      </c>
      <c r="O311" s="1097">
        <f>+InputY!O92/1000</f>
        <v>934.53099999999995</v>
      </c>
      <c r="P311" s="1097">
        <f>+InputY!P92/1000</f>
        <v>1005.547</v>
      </c>
      <c r="Q311" s="1097">
        <f>+InputY!Q92/1000</f>
        <v>1125.1659999999999</v>
      </c>
      <c r="R311" s="1097">
        <f>+InputY!R92/1000</f>
        <v>1258.211</v>
      </c>
      <c r="S311" s="1097">
        <f>+InputY!S92/1000</f>
        <v>1361.08</v>
      </c>
      <c r="T311" s="1097">
        <f>+InputY!T92/1000</f>
        <v>1475.165</v>
      </c>
      <c r="U311" s="1097">
        <f>+InputY!U92/1000</f>
        <v>1272.357</v>
      </c>
      <c r="V311" s="1097">
        <f>+InputY!V92/1000</f>
        <v>1433.259</v>
      </c>
      <c r="W311" s="1097">
        <f>+InputY!W92/1000</f>
        <v>1534.981</v>
      </c>
      <c r="X311" s="1097">
        <f>+InputY!X92/1000</f>
        <v>1525.2080000000001</v>
      </c>
      <c r="Y311" s="1097">
        <f>+InputY!Y92/1000</f>
        <v>1481.31</v>
      </c>
      <c r="Z311" s="1097">
        <f>+InputY!Z92/1000</f>
        <v>1602.9829999999999</v>
      </c>
      <c r="AA311" s="1097">
        <f>+InputY!AA92/1000</f>
        <v>1708.905</v>
      </c>
      <c r="AB311" s="1097">
        <f>+InputY!AB92/1000</f>
        <v>1753.029</v>
      </c>
      <c r="AC311" s="1097">
        <f>+InputY!AC92/1000</f>
        <v>1907.578</v>
      </c>
      <c r="AD311" s="909">
        <f t="shared" ca="1" si="354"/>
        <v>2099.2973846679006</v>
      </c>
      <c r="AE311" s="909">
        <f t="shared" ca="1" si="354"/>
        <v>2227.8511249766038</v>
      </c>
      <c r="AF311" s="909">
        <f t="shared" ca="1" si="354"/>
        <v>2330.0733974199097</v>
      </c>
    </row>
    <row r="312" spans="1:32" s="736" customFormat="1" ht="12.75" customHeight="1">
      <c r="A312" s="701"/>
      <c r="B312" s="701"/>
      <c r="C312" s="811"/>
      <c r="D312" s="2033"/>
      <c r="E312" s="2033" t="s">
        <v>90</v>
      </c>
      <c r="F312" s="2033"/>
      <c r="G312" s="1040">
        <f t="shared" ref="G312:V312" si="355">ABS(G311-G310-G309)</f>
        <v>2.8421709430404007E-14</v>
      </c>
      <c r="H312" s="1040">
        <f t="shared" si="355"/>
        <v>0</v>
      </c>
      <c r="I312" s="1040">
        <f t="shared" si="355"/>
        <v>2.8421709430404007E-14</v>
      </c>
      <c r="J312" s="1040">
        <f t="shared" si="355"/>
        <v>0</v>
      </c>
      <c r="K312" s="1040">
        <f t="shared" si="355"/>
        <v>0</v>
      </c>
      <c r="L312" s="1040">
        <f t="shared" si="355"/>
        <v>5.6843418860808015E-14</v>
      </c>
      <c r="M312" s="1040">
        <f t="shared" si="355"/>
        <v>5.6843418860808015E-14</v>
      </c>
      <c r="N312" s="1040">
        <f t="shared" si="355"/>
        <v>1.1368683772161603E-13</v>
      </c>
      <c r="O312" s="1040">
        <f t="shared" si="355"/>
        <v>5.6843418860808015E-14</v>
      </c>
      <c r="P312" s="1040">
        <f t="shared" si="355"/>
        <v>0</v>
      </c>
      <c r="Q312" s="1040">
        <f t="shared" si="355"/>
        <v>5.6843418860808015E-14</v>
      </c>
      <c r="R312" s="1040">
        <f t="shared" si="355"/>
        <v>5.6843418860808015E-14</v>
      </c>
      <c r="S312" s="1040">
        <f t="shared" si="355"/>
        <v>5.6843418860808015E-14</v>
      </c>
      <c r="T312" s="1040">
        <f t="shared" si="355"/>
        <v>5.6843418860808015E-14</v>
      </c>
      <c r="U312" s="1040">
        <f t="shared" si="355"/>
        <v>0</v>
      </c>
      <c r="V312" s="1040">
        <f t="shared" si="355"/>
        <v>5.6843418860808015E-14</v>
      </c>
      <c r="W312" s="1040">
        <f t="shared" ref="W312:Z312" si="356">ABS(W311-W310-W309)</f>
        <v>5.6843418860808015E-14</v>
      </c>
      <c r="X312" s="1040">
        <f t="shared" si="356"/>
        <v>1.1368683772161603E-13</v>
      </c>
      <c r="Y312" s="1040">
        <f t="shared" si="356"/>
        <v>5.6843418860808015E-14</v>
      </c>
      <c r="Z312" s="1040">
        <f t="shared" si="356"/>
        <v>0</v>
      </c>
      <c r="AA312" s="1040">
        <f t="shared" ref="AA312:AB312" si="357">ABS(AA311-AA310-AA309)</f>
        <v>1.1368683772161603E-13</v>
      </c>
      <c r="AB312" s="1040">
        <f t="shared" si="357"/>
        <v>1.1368683772161603E-13</v>
      </c>
      <c r="AC312" s="1040">
        <f t="shared" ref="AC312" si="358">ABS(AC311-AC310-AC309)</f>
        <v>1.1368683772161603E-13</v>
      </c>
      <c r="AD312" s="2999">
        <f ca="1">ABS(AD311-AD310-AD309)</f>
        <v>1.1368683772161603E-13</v>
      </c>
      <c r="AE312" s="2999">
        <f ca="1">ABS(AE311-AE310-AE309)</f>
        <v>1.1368683772161603E-13</v>
      </c>
      <c r="AF312" s="2999">
        <f ca="1">ABS(AF311-AF310-AF309)</f>
        <v>1.1368683772161603E-13</v>
      </c>
    </row>
    <row r="314" spans="1:32">
      <c r="A314" s="1170"/>
      <c r="B314" s="1170"/>
      <c r="D314" s="1157"/>
      <c r="E314" s="967" t="s">
        <v>177</v>
      </c>
      <c r="F314" s="1158"/>
      <c r="G314" s="933">
        <f>+InputY!$G$3</f>
        <v>1995</v>
      </c>
      <c r="H314" s="933">
        <f>+G314+1</f>
        <v>1996</v>
      </c>
      <c r="I314" s="933">
        <f t="shared" ref="I314:O314" si="359">+H314+1</f>
        <v>1997</v>
      </c>
      <c r="J314" s="933">
        <f t="shared" si="359"/>
        <v>1998</v>
      </c>
      <c r="K314" s="933">
        <f t="shared" si="359"/>
        <v>1999</v>
      </c>
      <c r="L314" s="933">
        <f t="shared" si="359"/>
        <v>2000</v>
      </c>
      <c r="M314" s="933">
        <f t="shared" si="359"/>
        <v>2001</v>
      </c>
      <c r="N314" s="933">
        <f t="shared" si="359"/>
        <v>2002</v>
      </c>
      <c r="O314" s="933">
        <f t="shared" si="359"/>
        <v>2003</v>
      </c>
      <c r="P314" s="933">
        <f>+O314+1</f>
        <v>2004</v>
      </c>
      <c r="Q314" s="933">
        <f>+P314+1</f>
        <v>2005</v>
      </c>
      <c r="R314" s="933">
        <f>+Q314+1</f>
        <v>2006</v>
      </c>
      <c r="S314" s="933">
        <f>+R314+1</f>
        <v>2007</v>
      </c>
      <c r="T314" s="933">
        <f t="shared" ref="T314:AF314" si="360">+S314+1</f>
        <v>2008</v>
      </c>
      <c r="U314" s="933">
        <f t="shared" si="360"/>
        <v>2009</v>
      </c>
      <c r="V314" s="933">
        <f t="shared" si="360"/>
        <v>2010</v>
      </c>
      <c r="W314" s="933">
        <f t="shared" si="360"/>
        <v>2011</v>
      </c>
      <c r="X314" s="933">
        <f t="shared" si="360"/>
        <v>2012</v>
      </c>
      <c r="Y314" s="933">
        <f t="shared" si="360"/>
        <v>2013</v>
      </c>
      <c r="Z314" s="933">
        <f t="shared" si="360"/>
        <v>2014</v>
      </c>
      <c r="AA314" s="933">
        <f t="shared" si="360"/>
        <v>2015</v>
      </c>
      <c r="AB314" s="933">
        <f t="shared" si="360"/>
        <v>2016</v>
      </c>
      <c r="AC314" s="933">
        <f t="shared" si="360"/>
        <v>2017</v>
      </c>
      <c r="AD314" s="933">
        <f t="shared" si="360"/>
        <v>2018</v>
      </c>
      <c r="AE314" s="933">
        <f t="shared" si="360"/>
        <v>2019</v>
      </c>
      <c r="AF314" s="933">
        <f t="shared" si="360"/>
        <v>2020</v>
      </c>
    </row>
    <row r="315" spans="1:32" s="1341" customFormat="1">
      <c r="A315" s="1496"/>
      <c r="B315" s="1496"/>
      <c r="C315" s="1498"/>
      <c r="D315" s="1499"/>
      <c r="E315" s="1499" t="s">
        <v>1823</v>
      </c>
      <c r="F315" s="1500" t="s">
        <v>602</v>
      </c>
      <c r="G315" s="1499"/>
      <c r="H315" s="1499">
        <f>+(H309/G309-1)*100</f>
        <v>4.6388473990009116</v>
      </c>
      <c r="I315" s="1499">
        <f t="shared" ref="I315:AC315" si="361">+(I309/H309-1)*100</f>
        <v>16.326544550533395</v>
      </c>
      <c r="J315" s="1499">
        <f t="shared" si="361"/>
        <v>13.93763613839587</v>
      </c>
      <c r="K315" s="1499">
        <f t="shared" si="361"/>
        <v>9.6201214044995922</v>
      </c>
      <c r="L315" s="1499">
        <f t="shared" si="361"/>
        <v>13.662794797185175</v>
      </c>
      <c r="M315" s="1499">
        <f t="shared" si="361"/>
        <v>11.917484160201175</v>
      </c>
      <c r="N315" s="1499">
        <f t="shared" si="361"/>
        <v>-1.7785611872348728</v>
      </c>
      <c r="O315" s="1499">
        <f t="shared" si="361"/>
        <v>-1.9819487657967039</v>
      </c>
      <c r="P315" s="1499">
        <f t="shared" si="361"/>
        <v>5.0650402447309339</v>
      </c>
      <c r="Q315" s="1499">
        <f t="shared" si="361"/>
        <v>9.1320914633923564</v>
      </c>
      <c r="R315" s="1499">
        <f t="shared" si="361"/>
        <v>5.9998527068464647</v>
      </c>
      <c r="S315" s="1499">
        <f t="shared" si="361"/>
        <v>11.441763225295043</v>
      </c>
      <c r="T315" s="1499">
        <f t="shared" si="361"/>
        <v>10.756439212530132</v>
      </c>
      <c r="U315" s="1499">
        <f t="shared" si="361"/>
        <v>-3.5779896324270588</v>
      </c>
      <c r="V315" s="1499">
        <f t="shared" si="361"/>
        <v>0.89929680244127397</v>
      </c>
      <c r="W315" s="1499">
        <f t="shared" si="361"/>
        <v>3.6400790029428975</v>
      </c>
      <c r="X315" s="1499">
        <f t="shared" si="361"/>
        <v>5.312119366626078</v>
      </c>
      <c r="Y315" s="1499">
        <f t="shared" si="361"/>
        <v>3.6384314746008561</v>
      </c>
      <c r="Z315" s="1499">
        <f t="shared" si="361"/>
        <v>13.918635524535361</v>
      </c>
      <c r="AA315" s="1499">
        <f t="shared" si="361"/>
        <v>9.4838564839381014</v>
      </c>
      <c r="AB315" s="1499">
        <f t="shared" si="361"/>
        <v>0.58607621600561544</v>
      </c>
      <c r="AC315" s="1499">
        <f t="shared" si="361"/>
        <v>8.6135290858109883</v>
      </c>
      <c r="AD315" s="1468">
        <f ca="1">OFFSET('VVP1'!$K$101,0,5*(COLUMN()-7))</f>
        <v>9.129950000000008</v>
      </c>
      <c r="AE315" s="1468">
        <f ca="1">OFFSET('VVP1'!$K$101,0,5*(COLUMN()-7))</f>
        <v>6.0382960000000097</v>
      </c>
      <c r="AF315" s="1468">
        <f ca="1">OFFSET('VVP1'!$K$101,0,5*(COLUMN()-7))</f>
        <v>4.8097550000000044</v>
      </c>
    </row>
    <row r="316" spans="1:32">
      <c r="A316" s="1170"/>
      <c r="B316" s="1170"/>
      <c r="C316" s="1016"/>
      <c r="D316" s="1161"/>
      <c r="E316" s="1162" t="s">
        <v>1824</v>
      </c>
      <c r="F316" s="1161" t="s">
        <v>1742</v>
      </c>
      <c r="G316" s="1163"/>
      <c r="H316" s="1163">
        <f>+(H310/G310-1)*100</f>
        <v>-2.168584813542962</v>
      </c>
      <c r="I316" s="1163">
        <f t="shared" ref="I316:AC316" si="362">+(I310/H310-1)*100</f>
        <v>11.719584077227418</v>
      </c>
      <c r="J316" s="1163">
        <f t="shared" si="362"/>
        <v>8.8706374572378408</v>
      </c>
      <c r="K316" s="1163">
        <f t="shared" si="362"/>
        <v>5.0880619005733152</v>
      </c>
      <c r="L316" s="1163">
        <f t="shared" si="362"/>
        <v>17.252900166876948</v>
      </c>
      <c r="M316" s="1163">
        <f t="shared" si="362"/>
        <v>-1.3415105013154571</v>
      </c>
      <c r="N316" s="1163">
        <f t="shared" si="362"/>
        <v>-0.86493800418060429</v>
      </c>
      <c r="O316" s="1163">
        <f t="shared" si="362"/>
        <v>3.131273564118886</v>
      </c>
      <c r="P316" s="1163">
        <f t="shared" si="362"/>
        <v>8.5786350148367987</v>
      </c>
      <c r="Q316" s="1163">
        <f t="shared" si="362"/>
        <v>12.929682162280344</v>
      </c>
      <c r="R316" s="1163">
        <f t="shared" si="362"/>
        <v>13.92983415654092</v>
      </c>
      <c r="S316" s="1163">
        <f t="shared" si="362"/>
        <v>7.0774795977756266</v>
      </c>
      <c r="T316" s="1163">
        <f t="shared" si="362"/>
        <v>7.5508602930163704</v>
      </c>
      <c r="U316" s="1163">
        <f t="shared" si="362"/>
        <v>-17.413870856777123</v>
      </c>
      <c r="V316" s="1163">
        <f t="shared" si="362"/>
        <v>17.58925390867967</v>
      </c>
      <c r="W316" s="1163">
        <f t="shared" si="362"/>
        <v>8.3456154678923653</v>
      </c>
      <c r="X316" s="1163">
        <f t="shared" si="362"/>
        <v>-2.6914692861168543</v>
      </c>
      <c r="Y316" s="1163">
        <f t="shared" si="362"/>
        <v>-5.3142063459179267</v>
      </c>
      <c r="Z316" s="1163">
        <f t="shared" si="362"/>
        <v>5.87968371264731</v>
      </c>
      <c r="AA316" s="1163">
        <f t="shared" si="362"/>
        <v>5.3416747304364742</v>
      </c>
      <c r="AB316" s="1163">
        <f t="shared" si="362"/>
        <v>3.4952271130004098</v>
      </c>
      <c r="AC316" s="1163">
        <f t="shared" si="362"/>
        <v>8.9061969481703418</v>
      </c>
      <c r="AD316" s="1471">
        <f ca="1">OFFSET('VVP1'!$K$102,0,5*(COLUMN()-7))</f>
        <v>10.458620000000018</v>
      </c>
      <c r="AE316" s="1471">
        <f ca="1">OFFSET('VVP1'!$K$102,0,5*(COLUMN()-7))</f>
        <v>6.161055999999987</v>
      </c>
      <c r="AF316" s="1471">
        <f ca="1">OFFSET('VVP1'!$K$102,0,5*(COLUMN()-7))</f>
        <v>4.4914960000000059</v>
      </c>
    </row>
    <row r="317" spans="1:32">
      <c r="A317" s="701"/>
      <c r="B317" s="701"/>
      <c r="D317" s="1137"/>
      <c r="E317" s="1138" t="s">
        <v>1825</v>
      </c>
      <c r="F317" s="1137" t="s">
        <v>202</v>
      </c>
      <c r="G317" s="1139"/>
      <c r="H317" s="1139">
        <f>+(H311/G311-1)*100</f>
        <v>-0.56945046016030343</v>
      </c>
      <c r="I317" s="1139">
        <f t="shared" ref="I317:AC317" si="363">+(I311/H311-1)*100</f>
        <v>12.858493592449394</v>
      </c>
      <c r="J317" s="1139">
        <f t="shared" si="363"/>
        <v>10.161767851986836</v>
      </c>
      <c r="K317" s="1139">
        <f t="shared" si="363"/>
        <v>6.2824658349075246</v>
      </c>
      <c r="L317" s="1139">
        <f t="shared" si="363"/>
        <v>16.277031274756858</v>
      </c>
      <c r="M317" s="1139">
        <f t="shared" si="363"/>
        <v>2.181543256139018</v>
      </c>
      <c r="N317" s="1139">
        <f t="shared" si="363"/>
        <v>-1.130827552831104</v>
      </c>
      <c r="O317" s="1139">
        <f t="shared" si="363"/>
        <v>1.6529339141879706</v>
      </c>
      <c r="P317" s="1139">
        <f t="shared" si="363"/>
        <v>7.5991058616568186</v>
      </c>
      <c r="Q317" s="1139">
        <f t="shared" si="363"/>
        <v>11.895913368544676</v>
      </c>
      <c r="R317" s="1139">
        <f t="shared" si="363"/>
        <v>11.824477454882221</v>
      </c>
      <c r="S317" s="1139">
        <f t="shared" si="363"/>
        <v>8.1758147083438324</v>
      </c>
      <c r="T317" s="1139">
        <f t="shared" si="363"/>
        <v>8.3819466893937147</v>
      </c>
      <c r="U317" s="1139">
        <f t="shared" si="363"/>
        <v>-13.748156985828707</v>
      </c>
      <c r="V317" s="1139">
        <f t="shared" si="363"/>
        <v>12.645979076627079</v>
      </c>
      <c r="W317" s="1139">
        <f t="shared" si="363"/>
        <v>7.0972517877089913</v>
      </c>
      <c r="X317" s="1139">
        <f t="shared" si="363"/>
        <v>-0.6366854052265114</v>
      </c>
      <c r="Y317" s="1139">
        <f t="shared" si="363"/>
        <v>-2.8781648142417349</v>
      </c>
      <c r="Z317" s="1139">
        <f t="shared" si="363"/>
        <v>8.2138782564081794</v>
      </c>
      <c r="AA317" s="1139">
        <f t="shared" si="363"/>
        <v>6.607805572485792</v>
      </c>
      <c r="AB317" s="1139">
        <f t="shared" si="363"/>
        <v>2.5820042658895703</v>
      </c>
      <c r="AC317" s="1139">
        <f t="shared" si="363"/>
        <v>8.8161119981472034</v>
      </c>
      <c r="AD317" s="1473">
        <f ca="1">OFFSET('VVP1'!$K$103,0,5*(COLUMN()-7))</f>
        <v>10.050408668369037</v>
      </c>
      <c r="AE317" s="1473">
        <f ca="1">OFFSET('VVP1'!$K$103,0,5*(COLUMN()-7))</f>
        <v>6.1236555262531356</v>
      </c>
      <c r="AF317" s="1473">
        <f ca="1">OFFSET('VVP1'!$K$103,0,5*(COLUMN()-7))</f>
        <v>4.5883798651213503</v>
      </c>
    </row>
    <row r="319" spans="1:32">
      <c r="A319" s="1170"/>
      <c r="D319" s="1464"/>
      <c r="E319" s="1115" t="s">
        <v>511</v>
      </c>
      <c r="F319" s="1465"/>
      <c r="G319" s="735">
        <f>+InputY!$G$3</f>
        <v>1995</v>
      </c>
      <c r="H319" s="735">
        <f>+G319+1</f>
        <v>1996</v>
      </c>
      <c r="I319" s="735">
        <f t="shared" ref="I319:O319" si="364">+H319+1</f>
        <v>1997</v>
      </c>
      <c r="J319" s="735">
        <f t="shared" si="364"/>
        <v>1998</v>
      </c>
      <c r="K319" s="735">
        <f t="shared" si="364"/>
        <v>1999</v>
      </c>
      <c r="L319" s="735">
        <f t="shared" si="364"/>
        <v>2000</v>
      </c>
      <c r="M319" s="735">
        <f t="shared" si="364"/>
        <v>2001</v>
      </c>
      <c r="N319" s="735">
        <f t="shared" si="364"/>
        <v>2002</v>
      </c>
      <c r="O319" s="735">
        <f t="shared" si="364"/>
        <v>2003</v>
      </c>
      <c r="P319" s="735">
        <f>+O319+1</f>
        <v>2004</v>
      </c>
      <c r="Q319" s="735">
        <f>+P319+1</f>
        <v>2005</v>
      </c>
      <c r="R319" s="735">
        <f>+Q319+1</f>
        <v>2006</v>
      </c>
      <c r="S319" s="735">
        <f>+R319+1</f>
        <v>2007</v>
      </c>
      <c r="T319" s="735">
        <f t="shared" ref="T319:AF319" si="365">+S319+1</f>
        <v>2008</v>
      </c>
      <c r="U319" s="735">
        <f t="shared" si="365"/>
        <v>2009</v>
      </c>
      <c r="V319" s="735">
        <f t="shared" si="365"/>
        <v>2010</v>
      </c>
      <c r="W319" s="735">
        <f t="shared" si="365"/>
        <v>2011</v>
      </c>
      <c r="X319" s="735">
        <f t="shared" si="365"/>
        <v>2012</v>
      </c>
      <c r="Y319" s="735">
        <f t="shared" si="365"/>
        <v>2013</v>
      </c>
      <c r="Z319" s="735">
        <f t="shared" si="365"/>
        <v>2014</v>
      </c>
      <c r="AA319" s="735">
        <f t="shared" si="365"/>
        <v>2015</v>
      </c>
      <c r="AB319" s="735">
        <f t="shared" si="365"/>
        <v>2016</v>
      </c>
      <c r="AC319" s="735">
        <f t="shared" si="365"/>
        <v>2017</v>
      </c>
      <c r="AD319" s="735">
        <f t="shared" si="365"/>
        <v>2018</v>
      </c>
      <c r="AE319" s="735">
        <f t="shared" si="365"/>
        <v>2019</v>
      </c>
      <c r="AF319" s="735">
        <f t="shared" si="365"/>
        <v>2020</v>
      </c>
    </row>
    <row r="320" spans="1:32">
      <c r="A320" s="701">
        <f>+ROW(InputY!A261)</f>
        <v>261</v>
      </c>
      <c r="B320" s="702">
        <v>150</v>
      </c>
      <c r="C320" s="1119" t="s">
        <v>1791</v>
      </c>
      <c r="D320" s="1098"/>
      <c r="E320" s="1078" t="s">
        <v>1297</v>
      </c>
      <c r="F320" s="1098" t="s">
        <v>1478</v>
      </c>
      <c r="G320" s="1124">
        <f>+InputY!G261</f>
        <v>318.45736915200001</v>
      </c>
      <c r="H320" s="1124">
        <f>+InputY!H261</f>
        <v>307.53295401600008</v>
      </c>
      <c r="I320" s="1124">
        <f>+InputY!I261</f>
        <v>338.95284060000006</v>
      </c>
      <c r="J320" s="1124">
        <f>+InputY!J261</f>
        <v>376.53398938800001</v>
      </c>
      <c r="K320" s="1124">
        <f>+InputY!K261</f>
        <v>404.03538384279125</v>
      </c>
      <c r="L320" s="1124">
        <f>+InputY!L261</f>
        <v>455.98104837235502</v>
      </c>
      <c r="M320" s="1124">
        <f>+InputY!M261</f>
        <v>457.295941739363</v>
      </c>
      <c r="N320" s="1124">
        <f>+InputY!N261</f>
        <v>461.32865166584747</v>
      </c>
      <c r="O320" s="1124">
        <f>+InputY!O261</f>
        <v>484.84224420837927</v>
      </c>
      <c r="P320" s="1124">
        <f>+InputY!P261</f>
        <v>532.67122835495798</v>
      </c>
      <c r="Q320" s="1124">
        <f>+InputY!Q261</f>
        <v>587.14514256817495</v>
      </c>
      <c r="R320" s="1124">
        <f>+InputY!R261</f>
        <v>655.64368131961567</v>
      </c>
      <c r="S320" s="1124">
        <f>+InputY!S261</f>
        <v>735.49916869763751</v>
      </c>
      <c r="T320" s="1124">
        <f>+InputY!T261</f>
        <v>762.09891663124995</v>
      </c>
      <c r="U320" s="1124">
        <f>+InputY!U261</f>
        <v>620.4532903566901</v>
      </c>
      <c r="V320" s="1124">
        <f>+InputY!V261</f>
        <v>718.70162403802885</v>
      </c>
      <c r="W320" s="1124">
        <f>+InputY!W261</f>
        <v>783.08800211828338</v>
      </c>
      <c r="X320" s="1124">
        <f>+InputY!X261</f>
        <v>749.86921378402576</v>
      </c>
      <c r="Y320" s="1124">
        <f>+InputY!Y261</f>
        <v>720.36076548604331</v>
      </c>
      <c r="Z320" s="1124">
        <f>+InputY!Z261</f>
        <v>764.15321227470588</v>
      </c>
      <c r="AA320" s="1124">
        <f>+InputY!AA261</f>
        <v>817.08748107890619</v>
      </c>
      <c r="AB320" s="1124">
        <f>+InputY!AB261</f>
        <v>857.80855307976776</v>
      </c>
      <c r="AC320" s="1124">
        <f>+InputY!AC261</f>
        <v>932.3927614641176</v>
      </c>
      <c r="AD320" s="1463">
        <f t="shared" ref="AD320:AF322" ca="1" si="366">+AC320*(1+AD325/100)</f>
        <v>1026.2529480381766</v>
      </c>
      <c r="AE320" s="1463">
        <f t="shared" ca="1" si="366"/>
        <v>1076.0907161863204</v>
      </c>
      <c r="AF320" s="1463">
        <f t="shared" ca="1" si="366"/>
        <v>1125.7824079670727</v>
      </c>
    </row>
    <row r="321" spans="1:32">
      <c r="A321" s="701">
        <f>+ROW(InputY!A262)</f>
        <v>262</v>
      </c>
      <c r="B321" s="702">
        <v>152</v>
      </c>
      <c r="C321" s="1121" t="s">
        <v>1791</v>
      </c>
      <c r="D321" s="1117"/>
      <c r="E321" s="1079" t="s">
        <v>296</v>
      </c>
      <c r="F321" s="1117" t="s">
        <v>1480</v>
      </c>
      <c r="G321" s="1124">
        <f>+InputY!G262</f>
        <v>115.80259485600001</v>
      </c>
      <c r="H321" s="1124">
        <f>+InputY!H262</f>
        <v>107.50174588799997</v>
      </c>
      <c r="I321" s="1124">
        <f>+InputY!I262</f>
        <v>161.45678570999999</v>
      </c>
      <c r="J321" s="1124">
        <f>+InputY!J262</f>
        <v>167.47058796900001</v>
      </c>
      <c r="K321" s="1124">
        <f>+InputY!K262</f>
        <v>162.69695029278003</v>
      </c>
      <c r="L321" s="1124">
        <f>+InputY!L262</f>
        <v>210.415242950319</v>
      </c>
      <c r="M321" s="1124">
        <f>+InputY!M262</f>
        <v>195.80759906572098</v>
      </c>
      <c r="N321" s="1124">
        <f>+InputY!N262</f>
        <v>187.33932904216348</v>
      </c>
      <c r="O321" s="1125">
        <f>+InputY!O262</f>
        <v>188.99101937623777</v>
      </c>
      <c r="P321" s="1125">
        <f>+InputY!P262</f>
        <v>204.03228447532962</v>
      </c>
      <c r="Q321" s="1125">
        <f>+InputY!Q262</f>
        <v>246.22038994984857</v>
      </c>
      <c r="R321" s="1125">
        <f>+InputY!R262</f>
        <v>284.439126842245</v>
      </c>
      <c r="S321" s="1125">
        <f>+InputY!S262</f>
        <v>298.69244466800563</v>
      </c>
      <c r="T321" s="1125">
        <f>+InputY!T262</f>
        <v>339.47172908000005</v>
      </c>
      <c r="U321" s="1125">
        <f>+InputY!U262</f>
        <v>292.20026955137979</v>
      </c>
      <c r="V321" s="1125">
        <f>+InputY!V262</f>
        <v>352.83304477358092</v>
      </c>
      <c r="W321" s="1125">
        <f>+InputY!W262</f>
        <v>365.26895881432114</v>
      </c>
      <c r="X321" s="1125">
        <f>+InputY!X262</f>
        <v>364.12502730674237</v>
      </c>
      <c r="Y321" s="1125">
        <f>+InputY!Y262</f>
        <v>325.88006401084317</v>
      </c>
      <c r="Z321" s="1125">
        <f>+InputY!Z262</f>
        <v>347.07230847137259</v>
      </c>
      <c r="AA321" s="1125">
        <f>+InputY!AA262</f>
        <v>350.29085349374986</v>
      </c>
      <c r="AB321" s="1125">
        <f>+InputY!AB262</f>
        <v>349.12026547276315</v>
      </c>
      <c r="AC321" s="1125">
        <f>+InputY!AC262</f>
        <v>380.87907800188225</v>
      </c>
      <c r="AD321" s="1387">
        <f t="shared" ca="1" si="366"/>
        <v>426.58456736210815</v>
      </c>
      <c r="AE321" s="1387">
        <f t="shared" ca="1" si="366"/>
        <v>466.25693212678419</v>
      </c>
      <c r="AF321" s="1387">
        <f t="shared" ca="1" si="366"/>
        <v>485.83972327610917</v>
      </c>
    </row>
    <row r="322" spans="1:32">
      <c r="A322" s="701"/>
      <c r="B322" s="701"/>
      <c r="C322" s="731" t="s">
        <v>1793</v>
      </c>
      <c r="D322" s="808"/>
      <c r="E322" s="807" t="s">
        <v>1383</v>
      </c>
      <c r="F322" s="808" t="s">
        <v>1385</v>
      </c>
      <c r="G322" s="1466">
        <f t="shared" ref="G322:O322" si="367">+G320+G321</f>
        <v>434.259964008</v>
      </c>
      <c r="H322" s="1466">
        <f t="shared" si="367"/>
        <v>415.03469990400004</v>
      </c>
      <c r="I322" s="1466">
        <f t="shared" si="367"/>
        <v>500.40962631000002</v>
      </c>
      <c r="J322" s="1466">
        <f t="shared" si="367"/>
        <v>544.00457735700002</v>
      </c>
      <c r="K322" s="1466">
        <f t="shared" si="367"/>
        <v>566.73233413557125</v>
      </c>
      <c r="L322" s="1466">
        <f t="shared" si="367"/>
        <v>666.39629132267396</v>
      </c>
      <c r="M322" s="1466">
        <f t="shared" si="367"/>
        <v>653.10354080508398</v>
      </c>
      <c r="N322" s="1466">
        <f t="shared" si="367"/>
        <v>648.66798070801099</v>
      </c>
      <c r="O322" s="1466">
        <f t="shared" si="367"/>
        <v>673.83326358461704</v>
      </c>
      <c r="P322" s="1466">
        <f t="shared" ref="P322:Z322" si="368">+P320+P321</f>
        <v>736.70351283028754</v>
      </c>
      <c r="Q322" s="1466">
        <f t="shared" si="368"/>
        <v>833.36553251802354</v>
      </c>
      <c r="R322" s="1466">
        <f t="shared" si="368"/>
        <v>940.08280816186061</v>
      </c>
      <c r="S322" s="1466">
        <f t="shared" si="368"/>
        <v>1034.1916133656432</v>
      </c>
      <c r="T322" s="1466">
        <f t="shared" si="368"/>
        <v>1101.5706457112501</v>
      </c>
      <c r="U322" s="1466">
        <f t="shared" si="368"/>
        <v>912.65355990806984</v>
      </c>
      <c r="V322" s="1466">
        <f t="shared" si="368"/>
        <v>1071.5346688116097</v>
      </c>
      <c r="W322" s="1466">
        <f t="shared" si="368"/>
        <v>1148.3569609326046</v>
      </c>
      <c r="X322" s="1466">
        <f t="shared" si="368"/>
        <v>1113.9942410907681</v>
      </c>
      <c r="Y322" s="1466">
        <f t="shared" si="368"/>
        <v>1046.2408294968864</v>
      </c>
      <c r="Z322" s="1466">
        <f t="shared" si="368"/>
        <v>1111.2255207460785</v>
      </c>
      <c r="AA322" s="1466">
        <f t="shared" ref="AA322:AB322" si="369">+AA320+AA321</f>
        <v>1167.3783345726561</v>
      </c>
      <c r="AB322" s="1466">
        <f t="shared" si="369"/>
        <v>1206.9288185525309</v>
      </c>
      <c r="AC322" s="1466">
        <f t="shared" ref="AC322" si="370">+AC320+AC321</f>
        <v>1313.2718394659998</v>
      </c>
      <c r="AD322" s="909">
        <f t="shared" ca="1" si="366"/>
        <v>1450.621950722759</v>
      </c>
      <c r="AE322" s="909">
        <f t="shared" ca="1" si="366"/>
        <v>1539.9955814550804</v>
      </c>
      <c r="AF322" s="909">
        <f t="shared" ca="1" si="366"/>
        <v>1609.164421396312</v>
      </c>
    </row>
    <row r="324" spans="1:32" s="736" customFormat="1" ht="12.75" customHeight="1">
      <c r="A324" s="701"/>
      <c r="B324" s="701"/>
      <c r="C324" s="811"/>
      <c r="D324" s="1132"/>
      <c r="E324" s="1133" t="s">
        <v>511</v>
      </c>
      <c r="F324" s="1134"/>
      <c r="G324" s="933">
        <f>+InputY!$G$3</f>
        <v>1995</v>
      </c>
      <c r="H324" s="933">
        <f>+G324+1</f>
        <v>1996</v>
      </c>
      <c r="I324" s="933">
        <f t="shared" ref="I324:O324" si="371">+H324+1</f>
        <v>1997</v>
      </c>
      <c r="J324" s="933">
        <f t="shared" si="371"/>
        <v>1998</v>
      </c>
      <c r="K324" s="933">
        <f t="shared" si="371"/>
        <v>1999</v>
      </c>
      <c r="L324" s="933">
        <f t="shared" si="371"/>
        <v>2000</v>
      </c>
      <c r="M324" s="933">
        <f t="shared" si="371"/>
        <v>2001</v>
      </c>
      <c r="N324" s="933">
        <f t="shared" si="371"/>
        <v>2002</v>
      </c>
      <c r="O324" s="933">
        <f t="shared" si="371"/>
        <v>2003</v>
      </c>
      <c r="P324" s="933">
        <f>+O324+1</f>
        <v>2004</v>
      </c>
      <c r="Q324" s="933">
        <f>+P324+1</f>
        <v>2005</v>
      </c>
      <c r="R324" s="933">
        <f>+Q324+1</f>
        <v>2006</v>
      </c>
      <c r="S324" s="933">
        <f>+R324+1</f>
        <v>2007</v>
      </c>
      <c r="T324" s="933">
        <f t="shared" ref="T324:AF324" si="372">+S324+1</f>
        <v>2008</v>
      </c>
      <c r="U324" s="933">
        <f t="shared" si="372"/>
        <v>2009</v>
      </c>
      <c r="V324" s="933">
        <f t="shared" si="372"/>
        <v>2010</v>
      </c>
      <c r="W324" s="933">
        <f t="shared" si="372"/>
        <v>2011</v>
      </c>
      <c r="X324" s="933">
        <f t="shared" si="372"/>
        <v>2012</v>
      </c>
      <c r="Y324" s="933">
        <f t="shared" si="372"/>
        <v>2013</v>
      </c>
      <c r="Z324" s="933">
        <f t="shared" si="372"/>
        <v>2014</v>
      </c>
      <c r="AA324" s="933">
        <f t="shared" si="372"/>
        <v>2015</v>
      </c>
      <c r="AB324" s="933">
        <f t="shared" si="372"/>
        <v>2016</v>
      </c>
      <c r="AC324" s="933">
        <f t="shared" si="372"/>
        <v>2017</v>
      </c>
      <c r="AD324" s="933">
        <f t="shared" si="372"/>
        <v>2018</v>
      </c>
      <c r="AE324" s="933">
        <f t="shared" si="372"/>
        <v>2019</v>
      </c>
      <c r="AF324" s="933">
        <f t="shared" si="372"/>
        <v>2020</v>
      </c>
    </row>
    <row r="325" spans="1:32" s="736" customFormat="1" ht="12.75" customHeight="1">
      <c r="A325" s="701"/>
      <c r="B325" s="701"/>
      <c r="C325" s="831"/>
      <c r="D325" s="726"/>
      <c r="E325" s="775" t="s">
        <v>1297</v>
      </c>
      <c r="F325" s="770" t="s">
        <v>1478</v>
      </c>
      <c r="G325" s="1135"/>
      <c r="H325" s="1135">
        <f t="shared" ref="H325:AC325" si="373">+(H320/G320-1)*100</f>
        <v>-3.4304168137449187</v>
      </c>
      <c r="I325" s="1135">
        <f t="shared" si="373"/>
        <v>10.216754391259574</v>
      </c>
      <c r="J325" s="1135">
        <f t="shared" si="373"/>
        <v>11.087427006504914</v>
      </c>
      <c r="K325" s="1135">
        <f t="shared" si="373"/>
        <v>7.3038278694283809</v>
      </c>
      <c r="L325" s="1135">
        <f t="shared" si="373"/>
        <v>12.856711715569858</v>
      </c>
      <c r="M325" s="1135">
        <f t="shared" si="373"/>
        <v>0.28836579320599132</v>
      </c>
      <c r="N325" s="1135">
        <f t="shared" si="373"/>
        <v>0.88185998571204127</v>
      </c>
      <c r="O325" s="1135">
        <f t="shared" si="373"/>
        <v>5.0969287204739588</v>
      </c>
      <c r="P325" s="1135">
        <f t="shared" si="373"/>
        <v>9.8648549539388739</v>
      </c>
      <c r="Q325" s="1135">
        <f t="shared" si="373"/>
        <v>10.226554638861973</v>
      </c>
      <c r="R325" s="1135">
        <f t="shared" si="373"/>
        <v>11.666372381423074</v>
      </c>
      <c r="S325" s="1135">
        <f t="shared" si="373"/>
        <v>12.179708224640628</v>
      </c>
      <c r="T325" s="1135">
        <f t="shared" si="373"/>
        <v>3.6165571717386324</v>
      </c>
      <c r="U325" s="1135">
        <f t="shared" si="373"/>
        <v>-18.586252149613891</v>
      </c>
      <c r="V325" s="1135">
        <f t="shared" si="373"/>
        <v>15.834928302960094</v>
      </c>
      <c r="W325" s="1135">
        <f t="shared" si="373"/>
        <v>8.9587077483558986</v>
      </c>
      <c r="X325" s="1135">
        <f t="shared" si="373"/>
        <v>-4.2420249377336239</v>
      </c>
      <c r="Y325" s="1135">
        <f t="shared" si="373"/>
        <v>-3.9351459902021491</v>
      </c>
      <c r="Z325" s="1135">
        <f t="shared" si="373"/>
        <v>6.0792381938117979</v>
      </c>
      <c r="AA325" s="1135">
        <f t="shared" si="373"/>
        <v>6.9271800411107698</v>
      </c>
      <c r="AB325" s="1135">
        <f t="shared" si="373"/>
        <v>4.9836857060999495</v>
      </c>
      <c r="AC325" s="1135">
        <f t="shared" si="373"/>
        <v>8.6947382509269708</v>
      </c>
      <c r="AD325" s="1458">
        <f ca="1">OFFSET('VVP1'!$K$109,0,5*(COLUMN()-7))</f>
        <v>10.066593226943565</v>
      </c>
      <c r="AE325" s="1458">
        <f ca="1">OFFSET('VVP1'!$K$109,0,5*(COLUMN()-7))</f>
        <v>4.8562850166146143</v>
      </c>
      <c r="AF325" s="1458">
        <f ca="1">OFFSET('VVP1'!$K$109,0,5*(COLUMN()-7))</f>
        <v>4.6177976478470439</v>
      </c>
    </row>
    <row r="326" spans="1:32" s="736" customFormat="1" ht="12.75" customHeight="1">
      <c r="A326" s="701"/>
      <c r="B326" s="701"/>
      <c r="C326" s="833"/>
      <c r="D326" s="728"/>
      <c r="E326" s="834" t="s">
        <v>296</v>
      </c>
      <c r="F326" s="773" t="s">
        <v>1480</v>
      </c>
      <c r="G326" s="1136"/>
      <c r="H326" s="1136">
        <f t="shared" ref="H326:AC326" si="374">+(H321/G321-1)*100</f>
        <v>-7.1681027340726793</v>
      </c>
      <c r="I326" s="1136">
        <f t="shared" si="374"/>
        <v>50.189919592759665</v>
      </c>
      <c r="J326" s="1136">
        <f t="shared" si="374"/>
        <v>3.7247132305740838</v>
      </c>
      <c r="K326" s="1136">
        <f t="shared" si="374"/>
        <v>-2.8504334606525683</v>
      </c>
      <c r="L326" s="1136">
        <f t="shared" si="374"/>
        <v>29.329555699518583</v>
      </c>
      <c r="M326" s="1136">
        <f t="shared" si="374"/>
        <v>-6.9422935714058553</v>
      </c>
      <c r="N326" s="1136">
        <f t="shared" si="374"/>
        <v>-4.3247913073665707</v>
      </c>
      <c r="O326" s="1136">
        <f t="shared" si="374"/>
        <v>0.88165701378302153</v>
      </c>
      <c r="P326" s="1136">
        <f t="shared" si="374"/>
        <v>7.9587194929871874</v>
      </c>
      <c r="Q326" s="1136">
        <f t="shared" si="374"/>
        <v>20.67717154812334</v>
      </c>
      <c r="R326" s="1136">
        <f t="shared" si="374"/>
        <v>15.5221656907379</v>
      </c>
      <c r="S326" s="1136">
        <f t="shared" si="374"/>
        <v>5.0110257277177439</v>
      </c>
      <c r="T326" s="1136">
        <f t="shared" si="374"/>
        <v>13.652599903328744</v>
      </c>
      <c r="U326" s="1136">
        <f t="shared" si="374"/>
        <v>-13.925006260972106</v>
      </c>
      <c r="V326" s="1136">
        <f t="shared" si="374"/>
        <v>20.750417278975043</v>
      </c>
      <c r="W326" s="1136">
        <f t="shared" si="374"/>
        <v>3.5245888175583273</v>
      </c>
      <c r="X326" s="1136">
        <f t="shared" si="374"/>
        <v>-0.31317512205034648</v>
      </c>
      <c r="Y326" s="1136">
        <f t="shared" si="374"/>
        <v>-10.503250374954664</v>
      </c>
      <c r="Z326" s="1136">
        <f t="shared" si="374"/>
        <v>6.5030809800701084</v>
      </c>
      <c r="AA326" s="1136">
        <f t="shared" si="374"/>
        <v>0.92734134755747544</v>
      </c>
      <c r="AB326" s="1136">
        <f t="shared" si="374"/>
        <v>-0.33417601667626862</v>
      </c>
      <c r="AC326" s="1136">
        <f t="shared" si="374"/>
        <v>9.0968115202687336</v>
      </c>
      <c r="AD326" s="1459">
        <f ca="1">OFFSET('VVP1'!$K$110,0,5*(COLUMN()-7))</f>
        <v>12</v>
      </c>
      <c r="AE326" s="1459">
        <f ca="1">OFFSET('VVP1'!$K$110,0,5*(COLUMN()-7))</f>
        <v>9.3000000000000007</v>
      </c>
      <c r="AF326" s="1459">
        <f ca="1">OFFSET('VVP1'!$K$110,0,5*(COLUMN()-7))</f>
        <v>4.2</v>
      </c>
    </row>
    <row r="327" spans="1:32" s="736" customFormat="1" ht="12.75" customHeight="1">
      <c r="A327" s="701"/>
      <c r="B327" s="701"/>
      <c r="C327" s="811"/>
      <c r="D327" s="754"/>
      <c r="E327" s="759" t="s">
        <v>1383</v>
      </c>
      <c r="F327" s="760" t="s">
        <v>1385</v>
      </c>
      <c r="G327" s="758"/>
      <c r="H327" s="758">
        <f t="shared" ref="H327:AC327" si="375">+(H322/G322-1)*100</f>
        <v>-4.4271325236985959</v>
      </c>
      <c r="I327" s="758">
        <f t="shared" si="375"/>
        <v>20.570551432385709</v>
      </c>
      <c r="J327" s="758">
        <f t="shared" si="375"/>
        <v>8.7118530010038775</v>
      </c>
      <c r="K327" s="758">
        <f t="shared" si="375"/>
        <v>4.1778613130411646</v>
      </c>
      <c r="L327" s="758">
        <f t="shared" si="375"/>
        <v>17.585719251243837</v>
      </c>
      <c r="M327" s="758">
        <f t="shared" si="375"/>
        <v>-1.9947215629316228</v>
      </c>
      <c r="N327" s="758">
        <f t="shared" si="375"/>
        <v>-0.67915113300491825</v>
      </c>
      <c r="O327" s="758">
        <f t="shared" si="375"/>
        <v>3.8795321528185323</v>
      </c>
      <c r="P327" s="758">
        <f t="shared" si="375"/>
        <v>9.330238301270132</v>
      </c>
      <c r="Q327" s="758">
        <f t="shared" si="375"/>
        <v>13.120884861316483</v>
      </c>
      <c r="R327" s="758">
        <f t="shared" si="375"/>
        <v>12.805578282244245</v>
      </c>
      <c r="S327" s="758">
        <f t="shared" si="375"/>
        <v>10.010693141787485</v>
      </c>
      <c r="T327" s="758">
        <f t="shared" si="375"/>
        <v>6.5151400837926587</v>
      </c>
      <c r="U327" s="758">
        <f t="shared" si="375"/>
        <v>-17.149793028589855</v>
      </c>
      <c r="V327" s="758">
        <f t="shared" si="375"/>
        <v>17.408698753067231</v>
      </c>
      <c r="W327" s="758">
        <f t="shared" si="375"/>
        <v>7.1693706565924664</v>
      </c>
      <c r="X327" s="758">
        <f t="shared" si="375"/>
        <v>-2.9923378366540132</v>
      </c>
      <c r="Y327" s="758">
        <f t="shared" si="375"/>
        <v>-6.0820253009154719</v>
      </c>
      <c r="Z327" s="758">
        <f t="shared" si="375"/>
        <v>6.2112555175696693</v>
      </c>
      <c r="AA327" s="758">
        <f t="shared" si="375"/>
        <v>5.0532329197116033</v>
      </c>
      <c r="AB327" s="758">
        <f t="shared" si="375"/>
        <v>3.3879748157527034</v>
      </c>
      <c r="AC327" s="758">
        <f t="shared" si="375"/>
        <v>8.8110433091659992</v>
      </c>
      <c r="AD327" s="1460">
        <f ca="1">OFFSET('VVP1'!$K$111,0,5*(COLUMN()-7))</f>
        <v>10.458620000000018</v>
      </c>
      <c r="AE327" s="1460">
        <f ca="1">OFFSET('VVP1'!$K$111,0,5*(COLUMN()-7))</f>
        <v>6.161055999999987</v>
      </c>
      <c r="AF327" s="1460">
        <f ca="1">OFFSET('VVP1'!$K$111,0,5*(COLUMN()-7))</f>
        <v>4.4914960000000059</v>
      </c>
    </row>
    <row r="329" spans="1:32">
      <c r="A329" s="1170"/>
      <c r="B329" s="1170"/>
      <c r="D329" s="1114"/>
      <c r="E329" s="1115" t="s">
        <v>178</v>
      </c>
      <c r="F329" s="1105"/>
      <c r="G329" s="815">
        <f>+InputY!$G$3</f>
        <v>1995</v>
      </c>
      <c r="H329" s="815">
        <f>+G329+1</f>
        <v>1996</v>
      </c>
      <c r="I329" s="815">
        <f t="shared" ref="I329:O329" si="376">+H329+1</f>
        <v>1997</v>
      </c>
      <c r="J329" s="815">
        <f t="shared" si="376"/>
        <v>1998</v>
      </c>
      <c r="K329" s="815">
        <f t="shared" si="376"/>
        <v>1999</v>
      </c>
      <c r="L329" s="815">
        <f t="shared" si="376"/>
        <v>2000</v>
      </c>
      <c r="M329" s="815">
        <f t="shared" si="376"/>
        <v>2001</v>
      </c>
      <c r="N329" s="815">
        <f t="shared" si="376"/>
        <v>2002</v>
      </c>
      <c r="O329" s="815">
        <f t="shared" si="376"/>
        <v>2003</v>
      </c>
      <c r="P329" s="815">
        <f t="shared" ref="P329:AF329" si="377">+O329+1</f>
        <v>2004</v>
      </c>
      <c r="Q329" s="815">
        <f t="shared" si="377"/>
        <v>2005</v>
      </c>
      <c r="R329" s="815">
        <f t="shared" si="377"/>
        <v>2006</v>
      </c>
      <c r="S329" s="815">
        <f t="shared" si="377"/>
        <v>2007</v>
      </c>
      <c r="T329" s="815">
        <f t="shared" si="377"/>
        <v>2008</v>
      </c>
      <c r="U329" s="815">
        <f t="shared" si="377"/>
        <v>2009</v>
      </c>
      <c r="V329" s="815">
        <f t="shared" si="377"/>
        <v>2010</v>
      </c>
      <c r="W329" s="815">
        <f t="shared" si="377"/>
        <v>2011</v>
      </c>
      <c r="X329" s="815">
        <f t="shared" si="377"/>
        <v>2012</v>
      </c>
      <c r="Y329" s="815">
        <f t="shared" si="377"/>
        <v>2013</v>
      </c>
      <c r="Z329" s="815">
        <f t="shared" si="377"/>
        <v>2014</v>
      </c>
      <c r="AA329" s="815">
        <f t="shared" si="377"/>
        <v>2015</v>
      </c>
      <c r="AB329" s="815">
        <f t="shared" si="377"/>
        <v>2016</v>
      </c>
      <c r="AC329" s="815">
        <f t="shared" si="377"/>
        <v>2017</v>
      </c>
      <c r="AD329" s="815">
        <f t="shared" si="377"/>
        <v>2018</v>
      </c>
      <c r="AE329" s="815">
        <f t="shared" si="377"/>
        <v>2019</v>
      </c>
      <c r="AF329" s="815">
        <f t="shared" si="377"/>
        <v>2020</v>
      </c>
    </row>
    <row r="330" spans="1:32" ht="12.75">
      <c r="A330" s="701"/>
      <c r="B330" s="701"/>
      <c r="C330" s="1130"/>
      <c r="D330" s="1131"/>
      <c r="E330" s="1078" t="s">
        <v>874</v>
      </c>
      <c r="F330" s="176" t="s">
        <v>203</v>
      </c>
      <c r="G330" s="1084">
        <f t="shared" ref="G330:R330" si="378">+G278-G310</f>
        <v>141.25699999999995</v>
      </c>
      <c r="H330" s="1084">
        <f t="shared" si="378"/>
        <v>146.22199999999998</v>
      </c>
      <c r="I330" s="1084">
        <f t="shared" si="378"/>
        <v>171.26500000000004</v>
      </c>
      <c r="J330" s="1084">
        <f t="shared" si="378"/>
        <v>173.02499999999998</v>
      </c>
      <c r="K330" s="1084">
        <f t="shared" si="378"/>
        <v>174.68900000000008</v>
      </c>
      <c r="L330" s="1084">
        <f t="shared" si="378"/>
        <v>178.44100000000003</v>
      </c>
      <c r="M330" s="1084">
        <f t="shared" si="378"/>
        <v>188.22199999999998</v>
      </c>
      <c r="N330" s="1084">
        <f t="shared" si="378"/>
        <v>193.35000000000002</v>
      </c>
      <c r="O330" s="1084">
        <f t="shared" si="378"/>
        <v>190.58100000000002</v>
      </c>
      <c r="P330" s="1084">
        <f t="shared" si="378"/>
        <v>220.55499999999995</v>
      </c>
      <c r="Q330" s="1084">
        <f t="shared" si="378"/>
        <v>208.1099999999999</v>
      </c>
      <c r="R330" s="1084">
        <f t="shared" si="378"/>
        <v>218.81200000000001</v>
      </c>
      <c r="S330" s="1084">
        <f t="shared" ref="S330:U331" si="379">+S278-S310</f>
        <v>206.71100000000001</v>
      </c>
      <c r="T330" s="1084">
        <f t="shared" si="379"/>
        <v>189.3130000000001</v>
      </c>
      <c r="U330" s="1084">
        <f t="shared" si="379"/>
        <v>153.81700000000012</v>
      </c>
      <c r="V330" s="1084">
        <f t="shared" ref="V330:Z331" si="380">+V278-V310</f>
        <v>150.16000000000008</v>
      </c>
      <c r="W330" s="1084">
        <f t="shared" si="380"/>
        <v>124.59199999999987</v>
      </c>
      <c r="X330" s="1084">
        <f t="shared" si="380"/>
        <v>137.54099999999994</v>
      </c>
      <c r="Y330" s="1084">
        <f>+Y278-Y310</f>
        <v>122.28500000000008</v>
      </c>
      <c r="Z330" s="1084">
        <f t="shared" si="380"/>
        <v>122.73900000000003</v>
      </c>
      <c r="AA330" s="1084">
        <f t="shared" ref="AA330" si="381">+AA278-AA310</f>
        <v>127.22200000000021</v>
      </c>
      <c r="AB330" s="1084">
        <f t="shared" ref="AB330:AB331" si="382">+AB278-AB310</f>
        <v>95.615000000000009</v>
      </c>
      <c r="AC330" s="1084">
        <f t="shared" ref="AC330:AE331" si="383">+AC278-AC310</f>
        <v>108.64999999999986</v>
      </c>
      <c r="AD330" s="1084">
        <f t="shared" ca="1" si="383"/>
        <v>102.6601946390997</v>
      </c>
      <c r="AE330" s="1084">
        <f t="shared" ca="1" si="383"/>
        <v>103.98051999711424</v>
      </c>
      <c r="AF330" s="1084">
        <f t="shared" ref="AF330" ca="1" si="384">+AF278-AF310</f>
        <v>104.07910100293498</v>
      </c>
    </row>
    <row r="331" spans="1:32" ht="12.75">
      <c r="A331" s="1170"/>
      <c r="B331" s="1170"/>
      <c r="C331" s="1121"/>
      <c r="D331" s="1117"/>
      <c r="E331" s="1118" t="s">
        <v>875</v>
      </c>
      <c r="F331" s="1117" t="s">
        <v>204</v>
      </c>
      <c r="G331" s="1125">
        <f t="shared" ref="G331:R331" si="385">+G279-G311</f>
        <v>120.14599999999996</v>
      </c>
      <c r="H331" s="1125">
        <f t="shared" si="385"/>
        <v>119.36000000000001</v>
      </c>
      <c r="I331" s="1125">
        <f t="shared" si="385"/>
        <v>140.322</v>
      </c>
      <c r="J331" s="1125">
        <f t="shared" si="385"/>
        <v>133.85299999999995</v>
      </c>
      <c r="K331" s="1125">
        <f t="shared" si="385"/>
        <v>135.755</v>
      </c>
      <c r="L331" s="1125">
        <f t="shared" si="385"/>
        <v>139.69100000000003</v>
      </c>
      <c r="M331" s="1125">
        <f t="shared" si="385"/>
        <v>154.42999999999995</v>
      </c>
      <c r="N331" s="1125">
        <f t="shared" si="385"/>
        <v>162.327</v>
      </c>
      <c r="O331" s="1125">
        <f t="shared" si="385"/>
        <v>169.76300000000015</v>
      </c>
      <c r="P331" s="1125">
        <f t="shared" si="385"/>
        <v>213.18900000000008</v>
      </c>
      <c r="Q331" s="1125">
        <f t="shared" si="385"/>
        <v>208.53099999999995</v>
      </c>
      <c r="R331" s="1125">
        <f t="shared" si="385"/>
        <v>235.23599999999988</v>
      </c>
      <c r="S331" s="1125">
        <f t="shared" si="379"/>
        <v>230.01400000000012</v>
      </c>
      <c r="T331" s="1125">
        <f t="shared" si="379"/>
        <v>212.30300000000011</v>
      </c>
      <c r="U331" s="1125">
        <f t="shared" si="379"/>
        <v>189.46100000000001</v>
      </c>
      <c r="V331" s="1125">
        <f t="shared" si="380"/>
        <v>192.45699999999988</v>
      </c>
      <c r="W331" s="1125">
        <f t="shared" si="380"/>
        <v>172.0150000000001</v>
      </c>
      <c r="X331" s="1125">
        <f t="shared" si="380"/>
        <v>181.70699999999988</v>
      </c>
      <c r="Y331" s="1125">
        <f>+Y279-Y311</f>
        <v>169.93600000000015</v>
      </c>
      <c r="Z331" s="1125">
        <f t="shared" si="380"/>
        <v>169.90000000000009</v>
      </c>
      <c r="AA331" s="1125">
        <f t="shared" ref="AA331" si="386">+AA279-AA311</f>
        <v>204.18299999999999</v>
      </c>
      <c r="AB331" s="1125">
        <f t="shared" si="382"/>
        <v>194.12300000000005</v>
      </c>
      <c r="AC331" s="1125">
        <f t="shared" si="383"/>
        <v>169.07799999999997</v>
      </c>
      <c r="AD331" s="1125">
        <f t="shared" ca="1" si="383"/>
        <v>158.88978315289933</v>
      </c>
      <c r="AE331" s="1125">
        <f t="shared" ca="1" si="383"/>
        <v>158.73389465787432</v>
      </c>
      <c r="AF331" s="1125">
        <f t="shared" ref="AF331" ca="1" si="387">+AF279-AF311</f>
        <v>156.6580480246439</v>
      </c>
    </row>
    <row r="333" spans="1:32">
      <c r="A333" s="1170"/>
      <c r="B333" s="1170"/>
      <c r="D333" s="1157"/>
      <c r="E333" s="967" t="s">
        <v>178</v>
      </c>
      <c r="F333" s="1158"/>
      <c r="G333" s="933">
        <f>+InputY!$G$3</f>
        <v>1995</v>
      </c>
      <c r="H333" s="933">
        <f>+G333+1</f>
        <v>1996</v>
      </c>
      <c r="I333" s="933">
        <f t="shared" ref="I333:O333" si="388">+H333+1</f>
        <v>1997</v>
      </c>
      <c r="J333" s="933">
        <f t="shared" si="388"/>
        <v>1998</v>
      </c>
      <c r="K333" s="933">
        <f t="shared" si="388"/>
        <v>1999</v>
      </c>
      <c r="L333" s="933">
        <f t="shared" si="388"/>
        <v>2000</v>
      </c>
      <c r="M333" s="933">
        <f t="shared" si="388"/>
        <v>2001</v>
      </c>
      <c r="N333" s="933">
        <f t="shared" si="388"/>
        <v>2002</v>
      </c>
      <c r="O333" s="933">
        <f t="shared" si="388"/>
        <v>2003</v>
      </c>
      <c r="P333" s="933">
        <f t="shared" ref="P333:AF333" si="389">+O333+1</f>
        <v>2004</v>
      </c>
      <c r="Q333" s="933">
        <f t="shared" si="389"/>
        <v>2005</v>
      </c>
      <c r="R333" s="933">
        <f t="shared" si="389"/>
        <v>2006</v>
      </c>
      <c r="S333" s="933">
        <f t="shared" si="389"/>
        <v>2007</v>
      </c>
      <c r="T333" s="933">
        <f t="shared" si="389"/>
        <v>2008</v>
      </c>
      <c r="U333" s="933">
        <f t="shared" si="389"/>
        <v>2009</v>
      </c>
      <c r="V333" s="933">
        <f t="shared" si="389"/>
        <v>2010</v>
      </c>
      <c r="W333" s="933">
        <f t="shared" si="389"/>
        <v>2011</v>
      </c>
      <c r="X333" s="933">
        <f t="shared" si="389"/>
        <v>2012</v>
      </c>
      <c r="Y333" s="933">
        <f t="shared" si="389"/>
        <v>2013</v>
      </c>
      <c r="Z333" s="933">
        <f t="shared" si="389"/>
        <v>2014</v>
      </c>
      <c r="AA333" s="933">
        <f t="shared" si="389"/>
        <v>2015</v>
      </c>
      <c r="AB333" s="933">
        <f t="shared" si="389"/>
        <v>2016</v>
      </c>
      <c r="AC333" s="933">
        <f t="shared" si="389"/>
        <v>2017</v>
      </c>
      <c r="AD333" s="933">
        <f t="shared" si="389"/>
        <v>2018</v>
      </c>
      <c r="AE333" s="933">
        <f t="shared" si="389"/>
        <v>2019</v>
      </c>
      <c r="AF333" s="933">
        <f t="shared" si="389"/>
        <v>2020</v>
      </c>
    </row>
    <row r="334" spans="1:32" ht="12.75">
      <c r="A334" s="701"/>
      <c r="B334" s="701"/>
      <c r="C334" s="1159"/>
      <c r="D334" s="1160"/>
      <c r="E334" s="1146" t="s">
        <v>874</v>
      </c>
      <c r="F334" s="1160" t="s">
        <v>203</v>
      </c>
      <c r="G334" s="1135"/>
      <c r="H334" s="1135">
        <f>+(H330/G330-1)*100</f>
        <v>3.5148700595369009</v>
      </c>
      <c r="I334" s="1135">
        <f t="shared" ref="I334:Y334" si="390">+(I330/H330-1)*100</f>
        <v>17.126697760938892</v>
      </c>
      <c r="J334" s="1135">
        <f t="shared" si="390"/>
        <v>1.0276472133827319</v>
      </c>
      <c r="K334" s="1135">
        <f t="shared" si="390"/>
        <v>0.96171073544291108</v>
      </c>
      <c r="L334" s="1135">
        <f t="shared" si="390"/>
        <v>2.1478169776001588</v>
      </c>
      <c r="M334" s="1135">
        <f t="shared" si="390"/>
        <v>5.4813635879646272</v>
      </c>
      <c r="N334" s="1135">
        <f t="shared" si="390"/>
        <v>2.7244424137454981</v>
      </c>
      <c r="O334" s="1135">
        <f t="shared" si="390"/>
        <v>-1.4321179208688917</v>
      </c>
      <c r="P334" s="1135">
        <f t="shared" si="390"/>
        <v>15.72769583536655</v>
      </c>
      <c r="Q334" s="1135">
        <f t="shared" si="390"/>
        <v>-5.6425834825780674</v>
      </c>
      <c r="R334" s="1135">
        <f t="shared" si="390"/>
        <v>5.1424727307674445</v>
      </c>
      <c r="S334" s="1135">
        <f t="shared" si="390"/>
        <v>-5.5303182640805808</v>
      </c>
      <c r="T334" s="1135">
        <f t="shared" si="390"/>
        <v>-8.416581604268714</v>
      </c>
      <c r="U334" s="1135">
        <f t="shared" si="390"/>
        <v>-18.749900957673248</v>
      </c>
      <c r="V334" s="1135">
        <f t="shared" si="390"/>
        <v>-2.3775005363516621</v>
      </c>
      <c r="W334" s="1135">
        <f t="shared" si="390"/>
        <v>-17.027171017581377</v>
      </c>
      <c r="X334" s="1135">
        <f t="shared" si="390"/>
        <v>10.393123153974649</v>
      </c>
      <c r="Y334" s="1135">
        <f t="shared" si="390"/>
        <v>-11.091965304890806</v>
      </c>
      <c r="Z334" s="1135">
        <f t="shared" ref="Z334:AB335" si="391">+(Z330/Y330-1)*100</f>
        <v>0.37126385084020885</v>
      </c>
      <c r="AA334" s="1135">
        <f t="shared" si="391"/>
        <v>3.6524658014161604</v>
      </c>
      <c r="AB334" s="1135">
        <f t="shared" si="391"/>
        <v>-24.843973526591423</v>
      </c>
      <c r="AC334" s="1135">
        <f t="shared" ref="AC334:AF335" si="392">+(AC330/AB330-1)*100</f>
        <v>13.632798201118913</v>
      </c>
      <c r="AD334" s="1135">
        <f t="shared" ca="1" si="392"/>
        <v>-5.512936365301579</v>
      </c>
      <c r="AE334" s="1135">
        <f t="shared" ca="1" si="392"/>
        <v>1.2861122683978099</v>
      </c>
      <c r="AF334" s="1135">
        <f t="shared" ca="1" si="392"/>
        <v>9.4807186791778797E-2</v>
      </c>
    </row>
    <row r="335" spans="1:32" ht="12.75">
      <c r="A335" s="1170"/>
      <c r="B335" s="1170"/>
      <c r="C335" s="1016"/>
      <c r="D335" s="1161"/>
      <c r="E335" s="1162" t="s">
        <v>875</v>
      </c>
      <c r="F335" s="1161" t="s">
        <v>204</v>
      </c>
      <c r="G335" s="1164"/>
      <c r="H335" s="1164">
        <f>+(H331/G331-1)*100</f>
        <v>-0.65420405173700624</v>
      </c>
      <c r="I335" s="1164">
        <f t="shared" ref="I335:Y335" si="393">+(I331/H331-1)*100</f>
        <v>17.561997319034852</v>
      </c>
      <c r="J335" s="1164">
        <f t="shared" si="393"/>
        <v>-4.6101110303445321</v>
      </c>
      <c r="K335" s="1164">
        <f t="shared" si="393"/>
        <v>1.4209618013791614</v>
      </c>
      <c r="L335" s="1164">
        <f t="shared" si="393"/>
        <v>2.8993407240985869</v>
      </c>
      <c r="M335" s="1164">
        <f t="shared" si="393"/>
        <v>10.55114502723864</v>
      </c>
      <c r="N335" s="1164">
        <f t="shared" si="393"/>
        <v>5.1136437220747677</v>
      </c>
      <c r="O335" s="1164">
        <f t="shared" si="393"/>
        <v>4.5808768719930448</v>
      </c>
      <c r="P335" s="1164">
        <f t="shared" si="393"/>
        <v>25.580367924694958</v>
      </c>
      <c r="Q335" s="1164">
        <f t="shared" si="393"/>
        <v>-2.1849157320500301</v>
      </c>
      <c r="R335" s="1164">
        <f t="shared" si="393"/>
        <v>12.806249430540273</v>
      </c>
      <c r="S335" s="1164">
        <f t="shared" si="393"/>
        <v>-2.2198983148836726</v>
      </c>
      <c r="T335" s="1164">
        <f t="shared" si="393"/>
        <v>-7.6999660890206716</v>
      </c>
      <c r="U335" s="1164">
        <f t="shared" si="393"/>
        <v>-10.759150836304753</v>
      </c>
      <c r="V335" s="1164">
        <f t="shared" si="393"/>
        <v>1.5813280833521848</v>
      </c>
      <c r="W335" s="1164">
        <f t="shared" si="393"/>
        <v>-10.621593394888096</v>
      </c>
      <c r="X335" s="1164">
        <f t="shared" si="393"/>
        <v>5.6343923495042691</v>
      </c>
      <c r="Y335" s="1164">
        <f t="shared" si="393"/>
        <v>-6.4780113039122007</v>
      </c>
      <c r="Z335" s="1164">
        <f t="shared" si="391"/>
        <v>-2.1184445909083749E-2</v>
      </c>
      <c r="AA335" s="1164">
        <f t="shared" si="391"/>
        <v>20.178340200117638</v>
      </c>
      <c r="AB335" s="1164">
        <f t="shared" si="391"/>
        <v>-4.9269527825528847</v>
      </c>
      <c r="AC335" s="1164">
        <f t="shared" si="392"/>
        <v>-12.901613925191791</v>
      </c>
      <c r="AD335" s="1164">
        <f t="shared" ca="1" si="392"/>
        <v>-6.025749563574589</v>
      </c>
      <c r="AE335" s="1164">
        <f t="shared" ca="1" si="392"/>
        <v>-9.8111088033270288E-2</v>
      </c>
      <c r="AF335" s="1164">
        <f t="shared" ca="1" si="392"/>
        <v>-1.3077525992193251</v>
      </c>
    </row>
    <row r="337" spans="1:32">
      <c r="A337" s="1170"/>
      <c r="B337" s="1170"/>
      <c r="D337" s="1114"/>
      <c r="E337" s="1115" t="s">
        <v>608</v>
      </c>
      <c r="F337" s="1105"/>
      <c r="G337" s="815">
        <f>+InputY!$G$3</f>
        <v>1995</v>
      </c>
      <c r="H337" s="815">
        <f>+G337+1</f>
        <v>1996</v>
      </c>
      <c r="I337" s="815">
        <f t="shared" ref="I337:O337" si="394">+H337+1</f>
        <v>1997</v>
      </c>
      <c r="J337" s="815">
        <f t="shared" si="394"/>
        <v>1998</v>
      </c>
      <c r="K337" s="815">
        <f t="shared" si="394"/>
        <v>1999</v>
      </c>
      <c r="L337" s="815">
        <f t="shared" si="394"/>
        <v>2000</v>
      </c>
      <c r="M337" s="815">
        <f t="shared" si="394"/>
        <v>2001</v>
      </c>
      <c r="N337" s="815">
        <f t="shared" si="394"/>
        <v>2002</v>
      </c>
      <c r="O337" s="815">
        <f t="shared" si="394"/>
        <v>2003</v>
      </c>
      <c r="P337" s="815">
        <f t="shared" ref="P337:AF337" si="395">+O337+1</f>
        <v>2004</v>
      </c>
      <c r="Q337" s="815">
        <f t="shared" si="395"/>
        <v>2005</v>
      </c>
      <c r="R337" s="815">
        <f t="shared" si="395"/>
        <v>2006</v>
      </c>
      <c r="S337" s="815">
        <f t="shared" si="395"/>
        <v>2007</v>
      </c>
      <c r="T337" s="815">
        <f t="shared" si="395"/>
        <v>2008</v>
      </c>
      <c r="U337" s="815">
        <f t="shared" si="395"/>
        <v>2009</v>
      </c>
      <c r="V337" s="815">
        <f t="shared" si="395"/>
        <v>2010</v>
      </c>
      <c r="W337" s="815">
        <f t="shared" si="395"/>
        <v>2011</v>
      </c>
      <c r="X337" s="815">
        <f t="shared" si="395"/>
        <v>2012</v>
      </c>
      <c r="Y337" s="815">
        <f t="shared" si="395"/>
        <v>2013</v>
      </c>
      <c r="Z337" s="815">
        <f t="shared" si="395"/>
        <v>2014</v>
      </c>
      <c r="AA337" s="815">
        <f t="shared" si="395"/>
        <v>2015</v>
      </c>
      <c r="AB337" s="815">
        <f t="shared" si="395"/>
        <v>2016</v>
      </c>
      <c r="AC337" s="815">
        <f t="shared" si="395"/>
        <v>2017</v>
      </c>
      <c r="AD337" s="815">
        <f t="shared" si="395"/>
        <v>2018</v>
      </c>
      <c r="AE337" s="815">
        <f t="shared" si="395"/>
        <v>2019</v>
      </c>
      <c r="AF337" s="815">
        <f t="shared" si="395"/>
        <v>2020</v>
      </c>
    </row>
    <row r="338" spans="1:32" ht="12.75">
      <c r="A338" s="701"/>
      <c r="B338" s="701"/>
      <c r="C338" s="1130" t="s">
        <v>1791</v>
      </c>
      <c r="D338" s="1131"/>
      <c r="E338" s="1078" t="s">
        <v>376</v>
      </c>
      <c r="F338" s="176"/>
      <c r="G338" s="1084">
        <f>+G300</f>
        <v>2481.31</v>
      </c>
      <c r="H338" s="1084">
        <f t="shared" ref="H338:R338" si="396">+H300</f>
        <v>2526.6480000000001</v>
      </c>
      <c r="I338" s="1084">
        <f t="shared" si="396"/>
        <v>2690.4050000000002</v>
      </c>
      <c r="J338" s="1084">
        <f t="shared" si="396"/>
        <v>2860.7570000000001</v>
      </c>
      <c r="K338" s="1084">
        <f t="shared" si="396"/>
        <v>3023.1849999999999</v>
      </c>
      <c r="L338" s="1084">
        <f t="shared" si="396"/>
        <v>3293.6239999999998</v>
      </c>
      <c r="M338" s="1084">
        <f t="shared" si="396"/>
        <v>3411.7660000000001</v>
      </c>
      <c r="N338" s="1084">
        <f t="shared" si="396"/>
        <v>3493.2939999999999</v>
      </c>
      <c r="O338" s="1084">
        <f t="shared" si="396"/>
        <v>3615.3939999999998</v>
      </c>
      <c r="P338" s="1084">
        <f t="shared" si="396"/>
        <v>3813.95</v>
      </c>
      <c r="Q338" s="1084">
        <f t="shared" si="396"/>
        <v>4035.8490000000002</v>
      </c>
      <c r="R338" s="1084">
        <f t="shared" si="396"/>
        <v>4361.0450000000001</v>
      </c>
      <c r="S338" s="1084">
        <f t="shared" ref="S338:Z338" si="397">+S300</f>
        <v>4662.0630000000001</v>
      </c>
      <c r="T338" s="1084">
        <f t="shared" si="397"/>
        <v>4866.8459999999995</v>
      </c>
      <c r="U338" s="1084">
        <f t="shared" si="397"/>
        <v>4564.366</v>
      </c>
      <c r="V338" s="1084">
        <f t="shared" si="397"/>
        <v>4957.0829999999996</v>
      </c>
      <c r="W338" s="1084">
        <f t="shared" si="397"/>
        <v>5196.0240000000003</v>
      </c>
      <c r="X338" s="1084">
        <f t="shared" si="397"/>
        <v>5214.0789999999997</v>
      </c>
      <c r="Y338" s="1084">
        <f>+Y300</f>
        <v>5255.2489999999998</v>
      </c>
      <c r="Z338" s="1084">
        <f t="shared" si="397"/>
        <v>5543.9080000000004</v>
      </c>
      <c r="AA338" s="1084">
        <f t="shared" ref="AA338" si="398">+AA300</f>
        <v>5910.4480000000003</v>
      </c>
      <c r="AB338" s="1084">
        <f t="shared" ref="AB338" si="399">+AB300</f>
        <v>6138.5259999999998</v>
      </c>
      <c r="AC338" s="1084">
        <f t="shared" ref="AC338" si="400">+AC300</f>
        <v>6486.4769999999999</v>
      </c>
      <c r="AD338" s="1084">
        <f ca="1">+AD300</f>
        <v>6902.4725274762995</v>
      </c>
      <c r="AE338" s="1084">
        <f ca="1">+AE300</f>
        <v>7212.6475244356661</v>
      </c>
      <c r="AF338" s="1084">
        <f ca="1">+AF300</f>
        <v>7491.5890124110956</v>
      </c>
    </row>
    <row r="339" spans="1:32" ht="12.75">
      <c r="A339" s="1170"/>
      <c r="B339" s="1170"/>
      <c r="C339" s="1121" t="s">
        <v>301</v>
      </c>
      <c r="D339" s="1117"/>
      <c r="E339" s="1118" t="s">
        <v>1825</v>
      </c>
      <c r="F339" s="1117"/>
      <c r="G339" s="1125">
        <f>+G311</f>
        <v>595.66200000000003</v>
      </c>
      <c r="H339" s="1125">
        <f t="shared" ref="H339:R339" si="401">+H311</f>
        <v>592.27</v>
      </c>
      <c r="I339" s="1125">
        <f t="shared" si="401"/>
        <v>668.42700000000002</v>
      </c>
      <c r="J339" s="1125">
        <f t="shared" si="401"/>
        <v>736.351</v>
      </c>
      <c r="K339" s="1125">
        <f t="shared" si="401"/>
        <v>782.61199999999997</v>
      </c>
      <c r="L339" s="1125">
        <f t="shared" si="401"/>
        <v>909.99800000000005</v>
      </c>
      <c r="M339" s="1125">
        <f t="shared" si="401"/>
        <v>929.85</v>
      </c>
      <c r="N339" s="1125">
        <f t="shared" si="401"/>
        <v>919.33500000000004</v>
      </c>
      <c r="O339" s="1125">
        <f t="shared" si="401"/>
        <v>934.53099999999995</v>
      </c>
      <c r="P339" s="1125">
        <f t="shared" si="401"/>
        <v>1005.547</v>
      </c>
      <c r="Q339" s="1125">
        <f t="shared" si="401"/>
        <v>1125.1659999999999</v>
      </c>
      <c r="R339" s="1125">
        <f t="shared" si="401"/>
        <v>1258.211</v>
      </c>
      <c r="S339" s="1125">
        <f t="shared" ref="S339:Z339" si="402">+S311</f>
        <v>1361.08</v>
      </c>
      <c r="T339" s="1125">
        <f t="shared" si="402"/>
        <v>1475.165</v>
      </c>
      <c r="U339" s="1125">
        <f t="shared" si="402"/>
        <v>1272.357</v>
      </c>
      <c r="V339" s="1125">
        <f t="shared" si="402"/>
        <v>1433.259</v>
      </c>
      <c r="W339" s="1125">
        <f t="shared" si="402"/>
        <v>1534.981</v>
      </c>
      <c r="X339" s="1125">
        <f t="shared" si="402"/>
        <v>1525.2080000000001</v>
      </c>
      <c r="Y339" s="1125">
        <f>+Y311</f>
        <v>1481.31</v>
      </c>
      <c r="Z339" s="1125">
        <f t="shared" si="402"/>
        <v>1602.9829999999999</v>
      </c>
      <c r="AA339" s="1125">
        <f t="shared" ref="AA339" si="403">+AA311</f>
        <v>1708.905</v>
      </c>
      <c r="AB339" s="1125">
        <f t="shared" ref="AB339" si="404">+AB311</f>
        <v>1753.029</v>
      </c>
      <c r="AC339" s="1125">
        <f t="shared" ref="AC339" si="405">+AC311</f>
        <v>1907.578</v>
      </c>
      <c r="AD339" s="1125">
        <f ca="1">+AD311</f>
        <v>2099.2973846679006</v>
      </c>
      <c r="AE339" s="1125">
        <f ca="1">+AE311</f>
        <v>2227.8511249766038</v>
      </c>
      <c r="AF339" s="1125">
        <f ca="1">+AF311</f>
        <v>2330.0733974199097</v>
      </c>
    </row>
    <row r="340" spans="1:32" ht="12.75">
      <c r="A340" s="701"/>
      <c r="B340" s="1170"/>
      <c r="C340" s="1122"/>
      <c r="D340" s="1126"/>
      <c r="E340" s="1127" t="s">
        <v>646</v>
      </c>
      <c r="F340" s="1126"/>
      <c r="G340" s="1128">
        <f>+G341-G338+G339</f>
        <v>0</v>
      </c>
      <c r="H340" s="1128">
        <f t="shared" ref="H340:V340" si="406">+H341-H338+H339</f>
        <v>0</v>
      </c>
      <c r="I340" s="1128">
        <f t="shared" si="406"/>
        <v>0</v>
      </c>
      <c r="J340" s="1128">
        <f t="shared" si="406"/>
        <v>0</v>
      </c>
      <c r="K340" s="1128">
        <f t="shared" si="406"/>
        <v>0</v>
      </c>
      <c r="L340" s="1128">
        <f t="shared" si="406"/>
        <v>0</v>
      </c>
      <c r="M340" s="1128">
        <f t="shared" si="406"/>
        <v>0</v>
      </c>
      <c r="N340" s="1128">
        <f t="shared" si="406"/>
        <v>0</v>
      </c>
      <c r="O340" s="1128">
        <f t="shared" si="406"/>
        <v>0</v>
      </c>
      <c r="P340" s="1128">
        <f t="shared" si="406"/>
        <v>0</v>
      </c>
      <c r="Q340" s="1128">
        <f t="shared" si="406"/>
        <v>0</v>
      </c>
      <c r="R340" s="1128">
        <f t="shared" si="406"/>
        <v>0</v>
      </c>
      <c r="S340" s="1128">
        <f t="shared" si="406"/>
        <v>0</v>
      </c>
      <c r="T340" s="1128">
        <f t="shared" si="406"/>
        <v>0</v>
      </c>
      <c r="U340" s="1128">
        <f t="shared" si="406"/>
        <v>0</v>
      </c>
      <c r="V340" s="1128">
        <f t="shared" si="406"/>
        <v>0</v>
      </c>
      <c r="W340" s="1128">
        <f t="shared" ref="W340:Z340" si="407">+W341-W338+W339</f>
        <v>0</v>
      </c>
      <c r="X340" s="1128">
        <f t="shared" si="407"/>
        <v>0</v>
      </c>
      <c r="Y340" s="1128">
        <f t="shared" si="407"/>
        <v>0</v>
      </c>
      <c r="Z340" s="1128">
        <f t="shared" si="407"/>
        <v>0</v>
      </c>
      <c r="AA340" s="1128">
        <f t="shared" ref="AA340" si="408">+AA341-AA338+AA339</f>
        <v>0</v>
      </c>
      <c r="AB340" s="1128">
        <f t="shared" ref="AB340" si="409">+AB341-AB338+AB339</f>
        <v>0</v>
      </c>
      <c r="AC340" s="1128">
        <f t="shared" ref="AC340" si="410">+AC341-AC338+AC339</f>
        <v>0</v>
      </c>
      <c r="AD340" s="1128">
        <f ca="1">+AD341-AD338+AD339</f>
        <v>0</v>
      </c>
      <c r="AE340" s="1128">
        <f ca="1">+AE341-AE338+AE339</f>
        <v>0</v>
      </c>
      <c r="AF340" s="1128">
        <f ca="1">+AF341-AF338+AF339</f>
        <v>0</v>
      </c>
    </row>
    <row r="341" spans="1:32">
      <c r="A341" s="701">
        <f>+ROW(InputY!A97)</f>
        <v>97</v>
      </c>
      <c r="B341" s="701">
        <v>47</v>
      </c>
      <c r="D341" s="1095"/>
      <c r="E341" s="1096" t="s">
        <v>1333</v>
      </c>
      <c r="F341" s="1095" t="s">
        <v>2026</v>
      </c>
      <c r="G341" s="1097">
        <f>+InputY!G97/1000</f>
        <v>1885.6479999999999</v>
      </c>
      <c r="H341" s="1097">
        <f>+InputY!H97/1000</f>
        <v>1934.3779999999999</v>
      </c>
      <c r="I341" s="1097">
        <f>+InputY!I97/1000</f>
        <v>2021.9780000000001</v>
      </c>
      <c r="J341" s="1097">
        <f>+InputY!J97/1000</f>
        <v>2124.4059999999999</v>
      </c>
      <c r="K341" s="1097">
        <f>+InputY!K97/1000</f>
        <v>2240.5729999999999</v>
      </c>
      <c r="L341" s="1097">
        <f>+InputY!L97/1000</f>
        <v>2383.6260000000002</v>
      </c>
      <c r="M341" s="1097">
        <f>+InputY!M97/1000</f>
        <v>2481.9160000000002</v>
      </c>
      <c r="N341" s="1097">
        <f>+InputY!N97/1000</f>
        <v>2573.9589999999998</v>
      </c>
      <c r="O341" s="1097">
        <f>+InputY!O97/1000</f>
        <v>2680.8629999999998</v>
      </c>
      <c r="P341" s="1097">
        <f>+InputY!P97/1000</f>
        <v>2808.4029999999998</v>
      </c>
      <c r="Q341" s="1097">
        <f>+InputY!Q97/1000</f>
        <v>2910.683</v>
      </c>
      <c r="R341" s="1097">
        <f>+InputY!R97/1000</f>
        <v>3102.8339999999998</v>
      </c>
      <c r="S341" s="1097">
        <f>+InputY!S97/1000</f>
        <v>3300.9830000000002</v>
      </c>
      <c r="T341" s="1097">
        <f>+InputY!T97/1000</f>
        <v>3391.681</v>
      </c>
      <c r="U341" s="1097">
        <f>+InputY!U97/1000</f>
        <v>3292.009</v>
      </c>
      <c r="V341" s="1097">
        <f>+InputY!V97/1000</f>
        <v>3523.8240000000001</v>
      </c>
      <c r="W341" s="1097">
        <f>+InputY!W97/1000</f>
        <v>3661.0430000000001</v>
      </c>
      <c r="X341" s="1097">
        <f>+InputY!X97/1000</f>
        <v>3688.8710000000001</v>
      </c>
      <c r="Y341" s="1097">
        <f>+InputY!Y97/1000</f>
        <v>3773.9389999999999</v>
      </c>
      <c r="Z341" s="1097">
        <f>+InputY!Z97/1000</f>
        <v>3940.9250000000002</v>
      </c>
      <c r="AA341" s="1097">
        <f>+InputY!AA97/1000</f>
        <v>4201.5429999999997</v>
      </c>
      <c r="AB341" s="1097">
        <f>+InputY!AB97/1000</f>
        <v>4385.4970000000003</v>
      </c>
      <c r="AC341" s="1097">
        <f>+InputY!AC97/1000</f>
        <v>4578.8990000000003</v>
      </c>
      <c r="AD341" s="1035">
        <f t="shared" ref="AD341:AF342" ca="1" si="411">+AC341*(1+AD348/100)</f>
        <v>4803.175142808399</v>
      </c>
      <c r="AE341" s="1035">
        <f t="shared" ca="1" si="411"/>
        <v>4984.7963994590627</v>
      </c>
      <c r="AF341" s="1035">
        <f t="shared" ca="1" si="411"/>
        <v>5161.5156149911854</v>
      </c>
    </row>
    <row r="342" spans="1:32">
      <c r="A342" s="701">
        <f>+ROW(InputY!A268)</f>
        <v>268</v>
      </c>
      <c r="B342" s="701">
        <v>136</v>
      </c>
      <c r="D342" s="1095"/>
      <c r="E342" s="1096" t="s">
        <v>1721</v>
      </c>
      <c r="F342" s="1095"/>
      <c r="G342" s="1097">
        <f>+InputY!G268</f>
        <v>1885.6479999999999</v>
      </c>
      <c r="H342" s="1097">
        <f>+InputY!H268</f>
        <v>1934.3779999999999</v>
      </c>
      <c r="I342" s="1097">
        <f>+InputY!I268</f>
        <v>2021.9780000000001</v>
      </c>
      <c r="J342" s="1097">
        <f>+InputY!J268</f>
        <v>2124.4059999999999</v>
      </c>
      <c r="K342" s="1097">
        <f>+InputY!K268</f>
        <v>2240.5729999999999</v>
      </c>
      <c r="L342" s="1097">
        <f>+InputY!L268</f>
        <v>2383.6260000000002</v>
      </c>
      <c r="M342" s="1097">
        <f>+InputY!M268</f>
        <v>2481.9160000000002</v>
      </c>
      <c r="N342" s="1097">
        <f>+InputY!N268</f>
        <v>2573.9589999999998</v>
      </c>
      <c r="O342" s="1097">
        <f>+InputY!O268</f>
        <v>2680.8629999999998</v>
      </c>
      <c r="P342" s="1097">
        <f>+InputY!P268</f>
        <v>2808.4029999999998</v>
      </c>
      <c r="Q342" s="1097">
        <f>+InputY!Q268</f>
        <v>2910.683</v>
      </c>
      <c r="R342" s="1097">
        <f>+InputY!R268</f>
        <v>3102.8339999999998</v>
      </c>
      <c r="S342" s="1097">
        <f>+InputY!S268</f>
        <v>3300.9830000000002</v>
      </c>
      <c r="T342" s="1097">
        <f>+InputY!T268</f>
        <v>3391.681</v>
      </c>
      <c r="U342" s="1097">
        <f>+InputY!U268</f>
        <v>3292.009</v>
      </c>
      <c r="V342" s="1097">
        <f>+InputY!V268</f>
        <v>3523.8240000000001</v>
      </c>
      <c r="W342" s="1097">
        <f>+InputY!W268</f>
        <v>3661.0430000000001</v>
      </c>
      <c r="X342" s="1097">
        <f>+InputY!X268</f>
        <v>3688.8710000000001</v>
      </c>
      <c r="Y342" s="1097">
        <f>+InputY!Y268</f>
        <v>3773.9389999999999</v>
      </c>
      <c r="Z342" s="1097">
        <f>+InputY!Z268</f>
        <v>3940.9250000000002</v>
      </c>
      <c r="AA342" s="1097">
        <f>+InputY!AA268</f>
        <v>4201.5429999999997</v>
      </c>
      <c r="AB342" s="1097">
        <f>+InputY!AB268</f>
        <v>4385.4970000000003</v>
      </c>
      <c r="AC342" s="1097">
        <f>+InputY!AC268</f>
        <v>4578.8990000000003</v>
      </c>
      <c r="AD342" s="1035">
        <f t="shared" ca="1" si="411"/>
        <v>4803.175142808399</v>
      </c>
      <c r="AE342" s="1035">
        <f t="shared" ca="1" si="411"/>
        <v>4984.7963994590627</v>
      </c>
      <c r="AF342" s="1035">
        <f t="shared" ca="1" si="411"/>
        <v>5161.5156149911854</v>
      </c>
    </row>
    <row r="344" spans="1:32" s="736" customFormat="1" ht="12.75" customHeight="1">
      <c r="A344" s="701"/>
      <c r="B344" s="701"/>
      <c r="C344" s="811"/>
      <c r="D344" s="1132"/>
      <c r="E344" s="1133" t="s">
        <v>608</v>
      </c>
      <c r="F344" s="1134"/>
      <c r="G344" s="933">
        <f>+InputY!$G$3</f>
        <v>1995</v>
      </c>
      <c r="H344" s="933">
        <f>+G344+1</f>
        <v>1996</v>
      </c>
      <c r="I344" s="933">
        <f t="shared" ref="I344:O344" si="412">+H344+1</f>
        <v>1997</v>
      </c>
      <c r="J344" s="933">
        <f t="shared" si="412"/>
        <v>1998</v>
      </c>
      <c r="K344" s="933">
        <f t="shared" si="412"/>
        <v>1999</v>
      </c>
      <c r="L344" s="933">
        <f t="shared" si="412"/>
        <v>2000</v>
      </c>
      <c r="M344" s="933">
        <f t="shared" si="412"/>
        <v>2001</v>
      </c>
      <c r="N344" s="933">
        <f t="shared" si="412"/>
        <v>2002</v>
      </c>
      <c r="O344" s="933">
        <f t="shared" si="412"/>
        <v>2003</v>
      </c>
      <c r="P344" s="933">
        <f t="shared" ref="P344:AF344" si="413">+O344+1</f>
        <v>2004</v>
      </c>
      <c r="Q344" s="933">
        <f t="shared" si="413"/>
        <v>2005</v>
      </c>
      <c r="R344" s="933">
        <f t="shared" si="413"/>
        <v>2006</v>
      </c>
      <c r="S344" s="933">
        <f t="shared" si="413"/>
        <v>2007</v>
      </c>
      <c r="T344" s="933">
        <f t="shared" si="413"/>
        <v>2008</v>
      </c>
      <c r="U344" s="933">
        <f t="shared" si="413"/>
        <v>2009</v>
      </c>
      <c r="V344" s="933">
        <f t="shared" si="413"/>
        <v>2010</v>
      </c>
      <c r="W344" s="933">
        <f t="shared" si="413"/>
        <v>2011</v>
      </c>
      <c r="X344" s="933">
        <f t="shared" si="413"/>
        <v>2012</v>
      </c>
      <c r="Y344" s="933">
        <f t="shared" si="413"/>
        <v>2013</v>
      </c>
      <c r="Z344" s="933">
        <f t="shared" si="413"/>
        <v>2014</v>
      </c>
      <c r="AA344" s="933">
        <f t="shared" si="413"/>
        <v>2015</v>
      </c>
      <c r="AB344" s="933">
        <f t="shared" si="413"/>
        <v>2016</v>
      </c>
      <c r="AC344" s="933">
        <f t="shared" si="413"/>
        <v>2017</v>
      </c>
      <c r="AD344" s="933">
        <f t="shared" si="413"/>
        <v>2018</v>
      </c>
      <c r="AE344" s="933">
        <f t="shared" si="413"/>
        <v>2019</v>
      </c>
      <c r="AF344" s="933">
        <f t="shared" si="413"/>
        <v>2020</v>
      </c>
    </row>
    <row r="345" spans="1:32" ht="12.75">
      <c r="A345" s="701"/>
      <c r="B345" s="701"/>
      <c r="C345" s="1159" t="s">
        <v>1791</v>
      </c>
      <c r="D345" s="1160"/>
      <c r="E345" s="1146" t="s">
        <v>376</v>
      </c>
      <c r="F345" s="1160"/>
      <c r="G345" s="1135"/>
      <c r="H345" s="1135">
        <f>+(H338/G338-1)*100</f>
        <v>1.8271799976625314</v>
      </c>
      <c r="I345" s="1135">
        <f t="shared" ref="I345:Q345" si="414">+(I338/H338-1)*100</f>
        <v>6.4811956394400738</v>
      </c>
      <c r="J345" s="1135">
        <f t="shared" si="414"/>
        <v>6.3318347981065948</v>
      </c>
      <c r="K345" s="1135">
        <f t="shared" si="414"/>
        <v>5.6777978695848663</v>
      </c>
      <c r="L345" s="1135">
        <f t="shared" si="414"/>
        <v>8.9454995311236232</v>
      </c>
      <c r="M345" s="1135">
        <f t="shared" si="414"/>
        <v>3.5869911076674255</v>
      </c>
      <c r="N345" s="1135">
        <f t="shared" si="414"/>
        <v>2.3896128866985444</v>
      </c>
      <c r="O345" s="1135">
        <f t="shared" si="414"/>
        <v>3.4952683627544667</v>
      </c>
      <c r="P345" s="1135">
        <f t="shared" si="414"/>
        <v>5.4919602123586042</v>
      </c>
      <c r="Q345" s="1135">
        <f t="shared" si="414"/>
        <v>5.8180888580081191</v>
      </c>
      <c r="R345" s="1135">
        <f t="shared" ref="R345:AC346" si="415">+(R338/Q338-1)*100</f>
        <v>8.0576850124967514</v>
      </c>
      <c r="S345" s="1135">
        <f t="shared" si="415"/>
        <v>6.9024282024147787</v>
      </c>
      <c r="T345" s="1135">
        <f t="shared" si="415"/>
        <v>4.3925403839458976</v>
      </c>
      <c r="U345" s="1135">
        <f t="shared" si="415"/>
        <v>-6.215113443079967</v>
      </c>
      <c r="V345" s="1135">
        <f t="shared" si="415"/>
        <v>8.6039769816881329</v>
      </c>
      <c r="W345" s="1135">
        <f t="shared" si="415"/>
        <v>4.8201936501769405</v>
      </c>
      <c r="X345" s="1135">
        <f t="shared" si="415"/>
        <v>0.34747722489347765</v>
      </c>
      <c r="Y345" s="1135">
        <f t="shared" si="415"/>
        <v>0.78959294632858779</v>
      </c>
      <c r="Z345" s="1135">
        <f t="shared" si="415"/>
        <v>5.4927749379715562</v>
      </c>
      <c r="AA345" s="1135">
        <f t="shared" si="415"/>
        <v>6.6115815774720588</v>
      </c>
      <c r="AB345" s="1135">
        <f t="shared" si="415"/>
        <v>3.8588952986304825</v>
      </c>
      <c r="AC345" s="1135">
        <f t="shared" si="415"/>
        <v>5.6683151623044381</v>
      </c>
      <c r="AD345" s="1135">
        <f t="shared" ref="AD345:AF346" ca="1" si="416">+(AD338/AC338-1)*100</f>
        <v>6.4132737613391555</v>
      </c>
      <c r="AE345" s="1135">
        <f t="shared" ca="1" si="416"/>
        <v>4.4936795579362254</v>
      </c>
      <c r="AF345" s="1135">
        <f t="shared" ca="1" si="416"/>
        <v>3.8673938665435337</v>
      </c>
    </row>
    <row r="346" spans="1:32" ht="12.75">
      <c r="A346" s="1170"/>
      <c r="B346" s="1170"/>
      <c r="C346" s="1016" t="s">
        <v>301</v>
      </c>
      <c r="D346" s="1161"/>
      <c r="E346" s="1162" t="s">
        <v>1825</v>
      </c>
      <c r="F346" s="1161"/>
      <c r="G346" s="1164"/>
      <c r="H346" s="1164">
        <f>+(H339/G339-1)*100</f>
        <v>-0.56945046016030343</v>
      </c>
      <c r="I346" s="1164">
        <f t="shared" ref="I346:Q346" si="417">+(I339/H339-1)*100</f>
        <v>12.858493592449394</v>
      </c>
      <c r="J346" s="1164">
        <f t="shared" si="417"/>
        <v>10.161767851986836</v>
      </c>
      <c r="K346" s="1164">
        <f t="shared" si="417"/>
        <v>6.2824658349075246</v>
      </c>
      <c r="L346" s="1164">
        <f t="shared" si="417"/>
        <v>16.277031274756858</v>
      </c>
      <c r="M346" s="1164">
        <f t="shared" si="417"/>
        <v>2.181543256139018</v>
      </c>
      <c r="N346" s="1164">
        <f t="shared" si="417"/>
        <v>-1.130827552831104</v>
      </c>
      <c r="O346" s="1164">
        <f t="shared" si="417"/>
        <v>1.6529339141879706</v>
      </c>
      <c r="P346" s="1164">
        <f t="shared" si="417"/>
        <v>7.5991058616568186</v>
      </c>
      <c r="Q346" s="1164">
        <f t="shared" si="417"/>
        <v>11.895913368544676</v>
      </c>
      <c r="R346" s="1164">
        <f t="shared" si="415"/>
        <v>11.824477454882221</v>
      </c>
      <c r="S346" s="1164">
        <f t="shared" si="415"/>
        <v>8.1758147083438324</v>
      </c>
      <c r="T346" s="1164">
        <f t="shared" si="415"/>
        <v>8.3819466893937147</v>
      </c>
      <c r="U346" s="1164">
        <f t="shared" si="415"/>
        <v>-13.748156985828707</v>
      </c>
      <c r="V346" s="1164">
        <f t="shared" si="415"/>
        <v>12.645979076627079</v>
      </c>
      <c r="W346" s="1164">
        <f t="shared" si="415"/>
        <v>7.0972517877089913</v>
      </c>
      <c r="X346" s="1164">
        <f t="shared" si="415"/>
        <v>-0.6366854052265114</v>
      </c>
      <c r="Y346" s="1164">
        <f t="shared" si="415"/>
        <v>-2.8781648142417349</v>
      </c>
      <c r="Z346" s="1164">
        <f t="shared" si="415"/>
        <v>8.2138782564081794</v>
      </c>
      <c r="AA346" s="1164">
        <f t="shared" si="415"/>
        <v>6.607805572485792</v>
      </c>
      <c r="AB346" s="1164">
        <f t="shared" si="415"/>
        <v>2.5820042658895703</v>
      </c>
      <c r="AC346" s="1164">
        <f t="shared" si="415"/>
        <v>8.8161119981472034</v>
      </c>
      <c r="AD346" s="1164">
        <f t="shared" ca="1" si="416"/>
        <v>10.050408668369037</v>
      </c>
      <c r="AE346" s="1164">
        <f t="shared" ca="1" si="416"/>
        <v>6.1236555262531356</v>
      </c>
      <c r="AF346" s="1164">
        <f t="shared" ca="1" si="416"/>
        <v>4.5883798651213503</v>
      </c>
    </row>
    <row r="347" spans="1:32" s="736" customFormat="1" ht="12.75" customHeight="1">
      <c r="A347" s="701"/>
      <c r="B347" s="701"/>
      <c r="C347" s="835"/>
      <c r="D347" s="870"/>
      <c r="E347" s="871" t="s">
        <v>646</v>
      </c>
      <c r="F347" s="872"/>
      <c r="G347" s="1155"/>
      <c r="H347" s="1155" t="e">
        <f>+(H340/G340-1)*100</f>
        <v>#DIV/0!</v>
      </c>
      <c r="I347" s="1155" t="e">
        <f t="shared" ref="I347:AC347" si="418">+(I340/H340-1)*100</f>
        <v>#DIV/0!</v>
      </c>
      <c r="J347" s="1155" t="e">
        <f t="shared" si="418"/>
        <v>#DIV/0!</v>
      </c>
      <c r="K347" s="1155" t="e">
        <f t="shared" si="418"/>
        <v>#DIV/0!</v>
      </c>
      <c r="L347" s="1155" t="e">
        <f t="shared" si="418"/>
        <v>#DIV/0!</v>
      </c>
      <c r="M347" s="1155" t="e">
        <f t="shared" si="418"/>
        <v>#DIV/0!</v>
      </c>
      <c r="N347" s="1155" t="e">
        <f t="shared" si="418"/>
        <v>#DIV/0!</v>
      </c>
      <c r="O347" s="1155" t="e">
        <f t="shared" si="418"/>
        <v>#DIV/0!</v>
      </c>
      <c r="P347" s="1155" t="e">
        <f t="shared" si="418"/>
        <v>#DIV/0!</v>
      </c>
      <c r="Q347" s="1155" t="e">
        <f t="shared" si="418"/>
        <v>#DIV/0!</v>
      </c>
      <c r="R347" s="1155" t="e">
        <f t="shared" si="418"/>
        <v>#DIV/0!</v>
      </c>
      <c r="S347" s="1155" t="e">
        <f t="shared" si="418"/>
        <v>#DIV/0!</v>
      </c>
      <c r="T347" s="1155" t="e">
        <f t="shared" si="418"/>
        <v>#DIV/0!</v>
      </c>
      <c r="U347" s="1155" t="e">
        <f t="shared" si="418"/>
        <v>#DIV/0!</v>
      </c>
      <c r="V347" s="1155" t="e">
        <f t="shared" si="418"/>
        <v>#DIV/0!</v>
      </c>
      <c r="W347" s="1155" t="e">
        <f t="shared" si="418"/>
        <v>#DIV/0!</v>
      </c>
      <c r="X347" s="1155" t="e">
        <f t="shared" si="418"/>
        <v>#DIV/0!</v>
      </c>
      <c r="Y347" s="1155" t="e">
        <f t="shared" si="418"/>
        <v>#DIV/0!</v>
      </c>
      <c r="Z347" s="1155" t="e">
        <f t="shared" si="418"/>
        <v>#DIV/0!</v>
      </c>
      <c r="AA347" s="1155" t="e">
        <f t="shared" si="418"/>
        <v>#DIV/0!</v>
      </c>
      <c r="AB347" s="1155" t="e">
        <f t="shared" si="418"/>
        <v>#DIV/0!</v>
      </c>
      <c r="AC347" s="1155" t="e">
        <f t="shared" si="418"/>
        <v>#DIV/0!</v>
      </c>
      <c r="AD347" s="1474" t="e">
        <f ca="1">OFFSET('VVP1'!$K$16,0,5*(COLUMN()-7))</f>
        <v>#DIV/0!</v>
      </c>
      <c r="AE347" s="1474" t="e">
        <f ca="1">OFFSET('VVP1'!$K$16,0,5*(COLUMN()-7))</f>
        <v>#DIV/0!</v>
      </c>
      <c r="AF347" s="1474" t="e">
        <f ca="1">OFFSET('VVP1'!$K$16,0,5*(COLUMN()-7))</f>
        <v>#DIV/0!</v>
      </c>
    </row>
    <row r="348" spans="1:32" s="736" customFormat="1" ht="12.75" customHeight="1">
      <c r="A348" s="701"/>
      <c r="B348" s="701"/>
      <c r="C348" s="811"/>
      <c r="D348" s="754"/>
      <c r="E348" s="759" t="s">
        <v>1333</v>
      </c>
      <c r="F348" s="760" t="s">
        <v>2026</v>
      </c>
      <c r="G348" s="758"/>
      <c r="H348" s="758">
        <f t="shared" ref="H348:AC348" si="419">(+H341/G341-1)*100</f>
        <v>2.5842575072335894</v>
      </c>
      <c r="I348" s="758">
        <f t="shared" si="419"/>
        <v>4.528587483935409</v>
      </c>
      <c r="J348" s="758">
        <f t="shared" si="419"/>
        <v>5.0657326637579603</v>
      </c>
      <c r="K348" s="758">
        <f t="shared" si="419"/>
        <v>5.4682108787114991</v>
      </c>
      <c r="L348" s="758">
        <f t="shared" si="419"/>
        <v>6.3846614236626298</v>
      </c>
      <c r="M348" s="758">
        <f t="shared" si="419"/>
        <v>4.1235495837014691</v>
      </c>
      <c r="N348" s="758">
        <f t="shared" si="419"/>
        <v>3.7085461393536079</v>
      </c>
      <c r="O348" s="758">
        <f t="shared" si="419"/>
        <v>4.1532907089817606</v>
      </c>
      <c r="P348" s="758">
        <f t="shared" si="419"/>
        <v>4.7574232625837265</v>
      </c>
      <c r="Q348" s="758">
        <f t="shared" si="419"/>
        <v>3.6419274584167605</v>
      </c>
      <c r="R348" s="758">
        <f t="shared" si="419"/>
        <v>6.6015777053014757</v>
      </c>
      <c r="S348" s="758">
        <f t="shared" si="419"/>
        <v>6.3860651262684476</v>
      </c>
      <c r="T348" s="758">
        <f t="shared" si="419"/>
        <v>2.7476057889422645</v>
      </c>
      <c r="U348" s="758">
        <f t="shared" si="419"/>
        <v>-2.9387197675724841</v>
      </c>
      <c r="V348" s="758">
        <f t="shared" si="419"/>
        <v>7.0417486707964771</v>
      </c>
      <c r="W348" s="758">
        <f t="shared" si="419"/>
        <v>3.8940367055789515</v>
      </c>
      <c r="X348" s="758">
        <f t="shared" si="419"/>
        <v>0.76011125791202172</v>
      </c>
      <c r="Y348" s="758">
        <f t="shared" si="419"/>
        <v>2.3060714240210611</v>
      </c>
      <c r="Z348" s="758">
        <f t="shared" si="419"/>
        <v>4.4247138069799297</v>
      </c>
      <c r="AA348" s="758">
        <f t="shared" si="419"/>
        <v>6.6131174787644964</v>
      </c>
      <c r="AB348" s="1636">
        <f t="shared" si="419"/>
        <v>4.3782486576955382</v>
      </c>
      <c r="AC348" s="758">
        <f t="shared" si="419"/>
        <v>4.4100360802891814</v>
      </c>
      <c r="AD348" s="1460">
        <f ca="1">OFFSET('VVP1'!$K$17,0,5*(COLUMN()-7))</f>
        <v>4.8980364670283993</v>
      </c>
      <c r="AE348" s="1460">
        <f ca="1">OFFSET('VVP1'!$K$17,0,5*(COLUMN()-7))</f>
        <v>3.7812749119215061</v>
      </c>
      <c r="AF348" s="1460">
        <f ca="1">OFFSET('VVP1'!$K$17,0,5*(COLUMN()-7))</f>
        <v>3.5451641625984909</v>
      </c>
    </row>
    <row r="349" spans="1:32" s="736" customFormat="1" ht="12.75" customHeight="1">
      <c r="A349" s="701"/>
      <c r="B349" s="701"/>
      <c r="C349" s="811"/>
      <c r="D349" s="754"/>
      <c r="E349" s="759" t="s">
        <v>1721</v>
      </c>
      <c r="F349" s="760"/>
      <c r="G349" s="758"/>
      <c r="H349" s="758">
        <f>(+H342/G342-1)*100</f>
        <v>2.5842575072335894</v>
      </c>
      <c r="I349" s="758">
        <f t="shared" ref="I349:Z349" si="420">(+I342/H342-1)*100</f>
        <v>4.528587483935409</v>
      </c>
      <c r="J349" s="758">
        <f t="shared" si="420"/>
        <v>5.0657326637579603</v>
      </c>
      <c r="K349" s="758">
        <f t="shared" si="420"/>
        <v>5.4682108787114991</v>
      </c>
      <c r="L349" s="758">
        <f t="shared" si="420"/>
        <v>6.3846614236626298</v>
      </c>
      <c r="M349" s="758">
        <f t="shared" si="420"/>
        <v>4.1235495837014691</v>
      </c>
      <c r="N349" s="758">
        <f t="shared" si="420"/>
        <v>3.7085461393536079</v>
      </c>
      <c r="O349" s="758">
        <f t="shared" si="420"/>
        <v>4.1532907089817606</v>
      </c>
      <c r="P349" s="758">
        <f t="shared" si="420"/>
        <v>4.7574232625837265</v>
      </c>
      <c r="Q349" s="758">
        <f t="shared" si="420"/>
        <v>3.6419274584167605</v>
      </c>
      <c r="R349" s="758">
        <f t="shared" si="420"/>
        <v>6.6015777053014757</v>
      </c>
      <c r="S349" s="758">
        <f t="shared" si="420"/>
        <v>6.3860651262684476</v>
      </c>
      <c r="T349" s="758">
        <f t="shared" si="420"/>
        <v>2.7476057889422645</v>
      </c>
      <c r="U349" s="758">
        <f t="shared" si="420"/>
        <v>-2.9387197675724841</v>
      </c>
      <c r="V349" s="758">
        <f t="shared" si="420"/>
        <v>7.0417486707964771</v>
      </c>
      <c r="W349" s="758">
        <f t="shared" si="420"/>
        <v>3.8940367055789515</v>
      </c>
      <c r="X349" s="758">
        <f t="shared" si="420"/>
        <v>0.76011125791202172</v>
      </c>
      <c r="Y349" s="758">
        <f t="shared" si="420"/>
        <v>2.3060714240210611</v>
      </c>
      <c r="Z349" s="758">
        <f t="shared" si="420"/>
        <v>4.4247138069799297</v>
      </c>
      <c r="AA349" s="758">
        <f>(+AA342/Z342-1)*100</f>
        <v>6.6131174787644964</v>
      </c>
      <c r="AB349" s="758">
        <f>(+AB342/AA342-1)*100</f>
        <v>4.3782486576955382</v>
      </c>
      <c r="AC349" s="758">
        <f>(+AC342/AB342-1)*100</f>
        <v>4.4100360802891814</v>
      </c>
      <c r="AD349" s="1460">
        <f ca="1">+AD348</f>
        <v>4.8980364670283993</v>
      </c>
      <c r="AE349" s="1460">
        <f ca="1">+AE348</f>
        <v>3.7812749119215061</v>
      </c>
      <c r="AF349" s="1460">
        <f ca="1">+AF348</f>
        <v>3.5451641625984909</v>
      </c>
    </row>
    <row r="351" spans="1:32" s="736" customFormat="1" ht="12.75" customHeight="1">
      <c r="A351" s="701"/>
      <c r="B351" s="701"/>
      <c r="C351" s="811"/>
      <c r="D351" s="812"/>
      <c r="E351" s="813" t="s">
        <v>859</v>
      </c>
      <c r="F351" s="814"/>
      <c r="G351" s="815">
        <f>+InputY!$G$3</f>
        <v>1995</v>
      </c>
      <c r="H351" s="815">
        <f t="shared" ref="H351:O351" si="421">+G351+1</f>
        <v>1996</v>
      </c>
      <c r="I351" s="815">
        <f t="shared" si="421"/>
        <v>1997</v>
      </c>
      <c r="J351" s="815">
        <f t="shared" si="421"/>
        <v>1998</v>
      </c>
      <c r="K351" s="815">
        <f t="shared" si="421"/>
        <v>1999</v>
      </c>
      <c r="L351" s="815">
        <f t="shared" si="421"/>
        <v>2000</v>
      </c>
      <c r="M351" s="815">
        <f t="shared" si="421"/>
        <v>2001</v>
      </c>
      <c r="N351" s="815">
        <f t="shared" si="421"/>
        <v>2002</v>
      </c>
      <c r="O351" s="815">
        <f t="shared" si="421"/>
        <v>2003</v>
      </c>
      <c r="P351" s="815">
        <f t="shared" ref="P351:AF351" si="422">+O351+1</f>
        <v>2004</v>
      </c>
      <c r="Q351" s="815">
        <f t="shared" si="422"/>
        <v>2005</v>
      </c>
      <c r="R351" s="815">
        <f t="shared" si="422"/>
        <v>2006</v>
      </c>
      <c r="S351" s="815">
        <f t="shared" si="422"/>
        <v>2007</v>
      </c>
      <c r="T351" s="815">
        <f t="shared" si="422"/>
        <v>2008</v>
      </c>
      <c r="U351" s="815">
        <f t="shared" si="422"/>
        <v>2009</v>
      </c>
      <c r="V351" s="815">
        <f t="shared" si="422"/>
        <v>2010</v>
      </c>
      <c r="W351" s="815">
        <f t="shared" si="422"/>
        <v>2011</v>
      </c>
      <c r="X351" s="815">
        <f t="shared" si="422"/>
        <v>2012</v>
      </c>
      <c r="Y351" s="815">
        <f t="shared" si="422"/>
        <v>2013</v>
      </c>
      <c r="Z351" s="815">
        <f t="shared" si="422"/>
        <v>2014</v>
      </c>
      <c r="AA351" s="815">
        <f t="shared" si="422"/>
        <v>2015</v>
      </c>
      <c r="AB351" s="815">
        <f t="shared" si="422"/>
        <v>2016</v>
      </c>
      <c r="AC351" s="815">
        <f t="shared" si="422"/>
        <v>2017</v>
      </c>
      <c r="AD351" s="815">
        <f t="shared" si="422"/>
        <v>2018</v>
      </c>
      <c r="AE351" s="815">
        <f t="shared" si="422"/>
        <v>2019</v>
      </c>
      <c r="AF351" s="815">
        <f t="shared" si="422"/>
        <v>2020</v>
      </c>
    </row>
    <row r="352" spans="1:32" s="736" customFormat="1" ht="12.75" customHeight="1">
      <c r="A352" s="701"/>
      <c r="B352" s="1172"/>
      <c r="C352" s="826"/>
      <c r="D352" s="715"/>
      <c r="E352" s="827" t="s">
        <v>1491</v>
      </c>
      <c r="F352" s="828" t="s">
        <v>1494</v>
      </c>
      <c r="G352" s="1357">
        <f>+Sector1!G88</f>
        <v>1649.6120000000001</v>
      </c>
      <c r="H352" s="1357">
        <f>+Sector1!H88</f>
        <v>1699.9380000000001</v>
      </c>
      <c r="I352" s="1357">
        <f>+Sector1!I88</f>
        <v>1782.422</v>
      </c>
      <c r="J352" s="1357">
        <f>+Sector1!J88</f>
        <v>1869.8230000000001</v>
      </c>
      <c r="K352" s="1357">
        <f>+Sector1!K88</f>
        <v>1971.9829999999999</v>
      </c>
      <c r="L352" s="1357">
        <f>+Sector1!L88</f>
        <v>2107.0450000000001</v>
      </c>
      <c r="M352" s="1357">
        <f>+Sector1!M88</f>
        <v>2191.078</v>
      </c>
      <c r="N352" s="1357">
        <f>+Sector1!N88</f>
        <v>2268.873</v>
      </c>
      <c r="O352" s="1357">
        <f>+Sector1!O88</f>
        <v>2363.7939999999999</v>
      </c>
      <c r="P352" s="1357">
        <f>+Sector1!P88</f>
        <v>2480.239</v>
      </c>
      <c r="Q352" s="1357">
        <f>+Sector1!Q88</f>
        <v>2561.7640000000001</v>
      </c>
      <c r="R352" s="1357">
        <f>+Sector1!R88</f>
        <v>2734.7979999999998</v>
      </c>
      <c r="S352" s="1357">
        <f>+Sector1!S88</f>
        <v>2911.7429999999999</v>
      </c>
      <c r="T352" s="1357">
        <f>+Sector1!T88</f>
        <v>2996.0909999999999</v>
      </c>
      <c r="U352" s="1357">
        <f>+Sector1!U88</f>
        <v>2891.2849999999999</v>
      </c>
      <c r="V352" s="1357">
        <f>+Sector1!V88</f>
        <v>3098.6170000000002</v>
      </c>
      <c r="W352" s="1357">
        <f>+Sector1!W88</f>
        <v>3227.3969999999999</v>
      </c>
      <c r="X352" s="1357">
        <f>+Sector1!X88</f>
        <v>3258.0459999999998</v>
      </c>
      <c r="Y352" s="1357">
        <f>+Sector1!Y88</f>
        <v>3337.4659999999999</v>
      </c>
      <c r="Z352" s="1357">
        <f>+Sector1!Z88</f>
        <v>3490.9659999999999</v>
      </c>
      <c r="AA352" s="1357">
        <f>+Sector1!AA88</f>
        <v>3721.44</v>
      </c>
      <c r="AB352" s="1357">
        <f>+Sector1!AB88</f>
        <v>3876.3760000000002</v>
      </c>
      <c r="AC352" s="1357">
        <f>+Sector1!AC88</f>
        <v>4049.096</v>
      </c>
      <c r="AD352" s="1357">
        <f ca="1">+Sector1!AD88</f>
        <v>4247.219295971765</v>
      </c>
      <c r="AE352" s="1357">
        <f ca="1">+Sector1!AE88</f>
        <v>4404.5889026853374</v>
      </c>
      <c r="AF352" s="1357">
        <f>+Sector1!AG88</f>
        <v>0</v>
      </c>
    </row>
    <row r="354" spans="1:32" s="736" customFormat="1" ht="12.75" customHeight="1">
      <c r="A354" s="701"/>
      <c r="B354" s="701"/>
      <c r="C354" s="811"/>
      <c r="D354" s="779"/>
      <c r="E354" s="780" t="s">
        <v>859</v>
      </c>
      <c r="F354" s="781"/>
      <c r="G354" s="782">
        <f>+InputY!$G$3</f>
        <v>1995</v>
      </c>
      <c r="H354" s="782">
        <f t="shared" ref="H354:O354" si="423">+G354+1</f>
        <v>1996</v>
      </c>
      <c r="I354" s="782">
        <f t="shared" si="423"/>
        <v>1997</v>
      </c>
      <c r="J354" s="782">
        <f t="shared" si="423"/>
        <v>1998</v>
      </c>
      <c r="K354" s="782">
        <f t="shared" si="423"/>
        <v>1999</v>
      </c>
      <c r="L354" s="782">
        <f t="shared" si="423"/>
        <v>2000</v>
      </c>
      <c r="M354" s="782">
        <f t="shared" si="423"/>
        <v>2001</v>
      </c>
      <c r="N354" s="782">
        <f t="shared" si="423"/>
        <v>2002</v>
      </c>
      <c r="O354" s="782">
        <f t="shared" si="423"/>
        <v>2003</v>
      </c>
      <c r="P354" s="782">
        <f t="shared" ref="P354:AF354" si="424">+O354+1</f>
        <v>2004</v>
      </c>
      <c r="Q354" s="782">
        <f t="shared" si="424"/>
        <v>2005</v>
      </c>
      <c r="R354" s="782">
        <f t="shared" si="424"/>
        <v>2006</v>
      </c>
      <c r="S354" s="782">
        <f t="shared" si="424"/>
        <v>2007</v>
      </c>
      <c r="T354" s="782">
        <f t="shared" si="424"/>
        <v>2008</v>
      </c>
      <c r="U354" s="782">
        <f t="shared" si="424"/>
        <v>2009</v>
      </c>
      <c r="V354" s="782">
        <f t="shared" si="424"/>
        <v>2010</v>
      </c>
      <c r="W354" s="782">
        <f t="shared" si="424"/>
        <v>2011</v>
      </c>
      <c r="X354" s="782">
        <f t="shared" si="424"/>
        <v>2012</v>
      </c>
      <c r="Y354" s="782">
        <f t="shared" si="424"/>
        <v>2013</v>
      </c>
      <c r="Z354" s="782">
        <f t="shared" si="424"/>
        <v>2014</v>
      </c>
      <c r="AA354" s="782">
        <f t="shared" si="424"/>
        <v>2015</v>
      </c>
      <c r="AB354" s="782">
        <f t="shared" si="424"/>
        <v>2016</v>
      </c>
      <c r="AC354" s="782">
        <f t="shared" si="424"/>
        <v>2017</v>
      </c>
      <c r="AD354" s="782">
        <f t="shared" si="424"/>
        <v>2018</v>
      </c>
      <c r="AE354" s="782">
        <f t="shared" si="424"/>
        <v>2019</v>
      </c>
      <c r="AF354" s="782">
        <f t="shared" si="424"/>
        <v>2020</v>
      </c>
    </row>
    <row r="355" spans="1:32" s="736" customFormat="1" ht="12.75" customHeight="1">
      <c r="A355" s="701"/>
      <c r="B355" s="701"/>
      <c r="C355" s="835"/>
      <c r="D355" s="870"/>
      <c r="E355" s="871" t="s">
        <v>1491</v>
      </c>
      <c r="F355" s="872" t="s">
        <v>1494</v>
      </c>
      <c r="G355" s="873"/>
      <c r="H355" s="873">
        <f t="shared" ref="H355:Y355" si="425">(+H352/G352-1)*100</f>
        <v>3.0507780011299612</v>
      </c>
      <c r="I355" s="873">
        <f t="shared" si="425"/>
        <v>4.8521769617480226</v>
      </c>
      <c r="J355" s="873">
        <f t="shared" si="425"/>
        <v>4.9034964783872814</v>
      </c>
      <c r="K355" s="873">
        <f t="shared" si="425"/>
        <v>5.4636187489403909</v>
      </c>
      <c r="L355" s="873">
        <f t="shared" si="425"/>
        <v>6.8490448447070751</v>
      </c>
      <c r="M355" s="873">
        <f t="shared" si="425"/>
        <v>3.9881919940010668</v>
      </c>
      <c r="N355" s="873">
        <f t="shared" si="425"/>
        <v>3.550535398557253</v>
      </c>
      <c r="O355" s="873">
        <f t="shared" si="425"/>
        <v>4.1836189156466697</v>
      </c>
      <c r="P355" s="873">
        <f t="shared" si="425"/>
        <v>4.9261906917438703</v>
      </c>
      <c r="Q355" s="873">
        <f t="shared" si="425"/>
        <v>3.2869816174973421</v>
      </c>
      <c r="R355" s="873">
        <f t="shared" si="425"/>
        <v>6.7544863617413409</v>
      </c>
      <c r="S355" s="873">
        <f t="shared" si="425"/>
        <v>6.4701305178664015</v>
      </c>
      <c r="T355" s="873">
        <f t="shared" si="425"/>
        <v>2.8968215944882525</v>
      </c>
      <c r="U355" s="873">
        <f t="shared" si="425"/>
        <v>-3.4980913463576346</v>
      </c>
      <c r="V355" s="873">
        <f t="shared" si="425"/>
        <v>7.1709291889246574</v>
      </c>
      <c r="W355" s="873">
        <f t="shared" si="425"/>
        <v>4.1560476819174408</v>
      </c>
      <c r="X355" s="873">
        <f t="shared" si="425"/>
        <v>0.94965075570188073</v>
      </c>
      <c r="Y355" s="873">
        <f t="shared" si="425"/>
        <v>2.4376574179738375</v>
      </c>
      <c r="Z355" s="873">
        <f t="shared" ref="Z355:AF355" si="426">(+Z352/Y352-1)*100</f>
        <v>4.5992977905992216</v>
      </c>
      <c r="AA355" s="873">
        <f t="shared" si="426"/>
        <v>6.6020121651141794</v>
      </c>
      <c r="AB355" s="873">
        <f>(+AB352/AA352-1)*100</f>
        <v>4.1633346231566337</v>
      </c>
      <c r="AC355" s="873">
        <f>(+AC352/AB352-1)*100</f>
        <v>4.4557081150022437</v>
      </c>
      <c r="AD355" s="873">
        <f t="shared" ca="1" si="426"/>
        <v>4.8930254054674105</v>
      </c>
      <c r="AE355" s="873">
        <f t="shared" ca="1" si="426"/>
        <v>3.7052385513229424</v>
      </c>
      <c r="AF355" s="873">
        <f t="shared" ca="1" si="426"/>
        <v>-100</v>
      </c>
    </row>
    <row r="358" spans="1:32" s="217" customFormat="1" ht="22.5" customHeight="1">
      <c r="A358" s="1481"/>
      <c r="B358" s="702"/>
      <c r="C358" s="3816" t="s">
        <v>1119</v>
      </c>
      <c r="D358" s="3816"/>
      <c r="E358" s="3816"/>
      <c r="F358" s="3816"/>
      <c r="Q358" s="564"/>
      <c r="R358" s="564"/>
      <c r="S358" s="564"/>
      <c r="T358" s="564"/>
      <c r="U358" s="564"/>
      <c r="V358" s="564"/>
      <c r="W358" s="564"/>
      <c r="X358" s="564"/>
      <c r="Y358" s="564"/>
      <c r="Z358" s="564"/>
      <c r="AA358" s="564"/>
      <c r="AB358" s="564"/>
      <c r="AC358" s="564"/>
      <c r="AD358" s="564"/>
      <c r="AE358" s="564"/>
      <c r="AF358" s="564"/>
    </row>
    <row r="360" spans="1:32" s="736" customFormat="1" ht="12.75" customHeight="1">
      <c r="A360" s="1481"/>
      <c r="B360" s="701"/>
      <c r="C360" s="811"/>
      <c r="D360" s="1174"/>
      <c r="E360" s="1175" t="s">
        <v>1695</v>
      </c>
      <c r="F360" s="1176"/>
      <c r="G360" s="1177">
        <f>+InputY!$G$3</f>
        <v>1995</v>
      </c>
      <c r="H360" s="1177">
        <f>+G360+1</f>
        <v>1996</v>
      </c>
      <c r="I360" s="1177">
        <f t="shared" ref="I360:O360" si="427">+H360+1</f>
        <v>1997</v>
      </c>
      <c r="J360" s="1177">
        <f t="shared" si="427"/>
        <v>1998</v>
      </c>
      <c r="K360" s="1177">
        <f t="shared" si="427"/>
        <v>1999</v>
      </c>
      <c r="L360" s="1177">
        <f t="shared" si="427"/>
        <v>2000</v>
      </c>
      <c r="M360" s="1177">
        <f t="shared" si="427"/>
        <v>2001</v>
      </c>
      <c r="N360" s="1177">
        <f t="shared" si="427"/>
        <v>2002</v>
      </c>
      <c r="O360" s="1177">
        <f t="shared" si="427"/>
        <v>2003</v>
      </c>
      <c r="P360" s="1177">
        <f t="shared" ref="P360:AF360" si="428">+O360+1</f>
        <v>2004</v>
      </c>
      <c r="Q360" s="1177">
        <f t="shared" si="428"/>
        <v>2005</v>
      </c>
      <c r="R360" s="1177">
        <f t="shared" si="428"/>
        <v>2006</v>
      </c>
      <c r="S360" s="1177">
        <f t="shared" si="428"/>
        <v>2007</v>
      </c>
      <c r="T360" s="1177">
        <f t="shared" si="428"/>
        <v>2008</v>
      </c>
      <c r="U360" s="1177">
        <f t="shared" si="428"/>
        <v>2009</v>
      </c>
      <c r="V360" s="1177">
        <f t="shared" si="428"/>
        <v>2010</v>
      </c>
      <c r="W360" s="1177">
        <f t="shared" si="428"/>
        <v>2011</v>
      </c>
      <c r="X360" s="1177">
        <f t="shared" si="428"/>
        <v>2012</v>
      </c>
      <c r="Y360" s="1177">
        <f t="shared" si="428"/>
        <v>2013</v>
      </c>
      <c r="Z360" s="1177">
        <f t="shared" si="428"/>
        <v>2014</v>
      </c>
      <c r="AA360" s="1177">
        <f t="shared" si="428"/>
        <v>2015</v>
      </c>
      <c r="AB360" s="1177">
        <f t="shared" si="428"/>
        <v>2016</v>
      </c>
      <c r="AC360" s="1177">
        <f t="shared" si="428"/>
        <v>2017</v>
      </c>
      <c r="AD360" s="1177">
        <f t="shared" si="428"/>
        <v>2018</v>
      </c>
      <c r="AE360" s="1177">
        <f t="shared" si="428"/>
        <v>2019</v>
      </c>
      <c r="AF360" s="1177">
        <f t="shared" si="428"/>
        <v>2020</v>
      </c>
    </row>
    <row r="361" spans="1:32" s="736" customFormat="1" ht="12.75" customHeight="1">
      <c r="A361" s="1481"/>
      <c r="B361" s="701"/>
      <c r="C361" s="816"/>
      <c r="D361" s="1034"/>
      <c r="E361" s="1034" t="s">
        <v>1696</v>
      </c>
      <c r="F361" s="1264" t="s">
        <v>1698</v>
      </c>
      <c r="G361" s="1707">
        <f t="shared" ref="G361:AC361" si="429">+G185/G7*100</f>
        <v>80.516440100933778</v>
      </c>
      <c r="H361" s="1707">
        <f t="shared" si="429"/>
        <v>81.253397260897273</v>
      </c>
      <c r="I361" s="1707">
        <f t="shared" si="429"/>
        <v>82.420501902212521</v>
      </c>
      <c r="J361" s="1707">
        <f t="shared" si="429"/>
        <v>82.796279895541446</v>
      </c>
      <c r="K361" s="1707">
        <f t="shared" si="429"/>
        <v>84.018307292133059</v>
      </c>
      <c r="L361" s="1034">
        <f t="shared" si="429"/>
        <v>84.845636594422984</v>
      </c>
      <c r="M361" s="1034">
        <f t="shared" si="429"/>
        <v>86.671535644969637</v>
      </c>
      <c r="N361" s="1034">
        <f t="shared" si="429"/>
        <v>87.921671526465801</v>
      </c>
      <c r="O361" s="1034">
        <f t="shared" si="429"/>
        <v>89.34714624989067</v>
      </c>
      <c r="P361" s="1034">
        <f t="shared" si="429"/>
        <v>90.042644715711234</v>
      </c>
      <c r="Q361" s="1034">
        <f t="shared" si="429"/>
        <v>91.041625424451382</v>
      </c>
      <c r="R361" s="1034">
        <f t="shared" si="429"/>
        <v>92.13798473275007</v>
      </c>
      <c r="S361" s="1034">
        <f t="shared" si="429"/>
        <v>93.470153363456674</v>
      </c>
      <c r="T361" s="1034">
        <f t="shared" si="429"/>
        <v>96.388617828550068</v>
      </c>
      <c r="U361" s="1034">
        <f t="shared" si="429"/>
        <v>98.53564470082344</v>
      </c>
      <c r="V361" s="1034">
        <f t="shared" si="429"/>
        <v>100</v>
      </c>
      <c r="W361" s="1034">
        <f t="shared" si="429"/>
        <v>101.66607338761568</v>
      </c>
      <c r="X361" s="1034">
        <f t="shared" si="429"/>
        <v>102.18852122986091</v>
      </c>
      <c r="Y361" s="1034">
        <f t="shared" si="429"/>
        <v>102.91386163942984</v>
      </c>
      <c r="Z361" s="1034">
        <f t="shared" si="429"/>
        <v>104.02727981710372</v>
      </c>
      <c r="AA361" s="1034">
        <f t="shared" si="429"/>
        <v>104.93129966869144</v>
      </c>
      <c r="AB361" s="1034">
        <f t="shared" si="429"/>
        <v>105.97942468498995</v>
      </c>
      <c r="AC361" s="1034">
        <f t="shared" si="429"/>
        <v>107.81582444291702</v>
      </c>
      <c r="AD361" s="1489">
        <f t="shared" ref="AD361:AF363" ca="1" si="430">+AC361*(1+AD366/100)</f>
        <v>109.6486934584466</v>
      </c>
      <c r="AE361" s="1489">
        <f t="shared" ca="1" si="430"/>
        <v>111.51272124724018</v>
      </c>
      <c r="AF361" s="1489">
        <f t="shared" ca="1" si="430"/>
        <v>113.51995022969051</v>
      </c>
    </row>
    <row r="362" spans="1:32" s="736" customFormat="1" ht="12.75" customHeight="1">
      <c r="A362" s="701">
        <f>+ROW(InputY!A266)</f>
        <v>266</v>
      </c>
      <c r="B362" s="701">
        <v>55</v>
      </c>
      <c r="C362" s="819"/>
      <c r="D362" s="1084"/>
      <c r="E362" s="1084" t="s">
        <v>1697</v>
      </c>
      <c r="F362" s="1083" t="s">
        <v>782</v>
      </c>
      <c r="G362" s="1708">
        <f>+InputY!G266</f>
        <v>90.8701854437235</v>
      </c>
      <c r="H362" s="1708">
        <f>+InputY!H266</f>
        <v>91.298145517118655</v>
      </c>
      <c r="I362" s="1708">
        <f>+InputY!I266</f>
        <v>91.761768925392545</v>
      </c>
      <c r="J362" s="1708">
        <f>+InputY!J266</f>
        <v>91.65477886590611</v>
      </c>
      <c r="K362" s="1708">
        <f>+InputY!K266</f>
        <v>92.047075604422517</v>
      </c>
      <c r="L362" s="1084">
        <f>+InputY!L266</f>
        <v>92.974322396576753</v>
      </c>
      <c r="M362" s="1084">
        <f>+InputY!M266</f>
        <v>95.256776034237049</v>
      </c>
      <c r="N362" s="1084">
        <f>+InputY!N266</f>
        <v>97.289586305278391</v>
      </c>
      <c r="O362" s="1084">
        <f>+InputY!O266</f>
        <v>99.179743223965971</v>
      </c>
      <c r="P362" s="1084">
        <f>+InputY!P266</f>
        <v>99.572039942938702</v>
      </c>
      <c r="Q362" s="1084">
        <f>+InputY!Q266</f>
        <v>100</v>
      </c>
      <c r="R362" s="1084">
        <f>+InputY!R266</f>
        <v>101.36021468627699</v>
      </c>
      <c r="S362" s="1084">
        <f>+InputY!S266</f>
        <v>103.60247376601488</v>
      </c>
      <c r="T362" s="1084">
        <f>+InputY!T266</f>
        <v>107.16334166441324</v>
      </c>
      <c r="U362" s="1084">
        <f>+InputY!U266</f>
        <v>106.63346122184541</v>
      </c>
      <c r="V362" s="1084">
        <f>+InputY!V266</f>
        <v>107.86826393573693</v>
      </c>
      <c r="W362" s="1084">
        <f>+InputY!W266</f>
        <v>111.06240582957605</v>
      </c>
      <c r="X362" s="1084">
        <f>+InputY!X266</f>
        <v>112.04905926161555</v>
      </c>
      <c r="Y362" s="1084">
        <f>+InputY!Y266</f>
        <v>111.99942940524403</v>
      </c>
      <c r="Z362" s="1084">
        <f>+InputY!Z266</f>
        <v>111.79823531684407</v>
      </c>
      <c r="AA362" s="1084">
        <f>+InputY!AA266</f>
        <v>111.74593079755535</v>
      </c>
      <c r="AB362" s="1084">
        <f>+InputY!AB266</f>
        <v>112.84581162646261</v>
      </c>
      <c r="AC362" s="1084">
        <f>+InputY!AC266</f>
        <v>114.8708286402906</v>
      </c>
      <c r="AD362" s="1490">
        <f t="shared" ca="1" si="430"/>
        <v>117.26982115896701</v>
      </c>
      <c r="AE362" s="1490">
        <f t="shared" ca="1" si="430"/>
        <v>119.50216377339488</v>
      </c>
      <c r="AF362" s="1490">
        <f t="shared" ca="1" si="430"/>
        <v>121.41116256203021</v>
      </c>
    </row>
    <row r="363" spans="1:32" s="736" customFormat="1" ht="12.75" customHeight="1">
      <c r="A363" s="701">
        <f>+ROW(InputY!A267)</f>
        <v>267</v>
      </c>
      <c r="B363" s="701">
        <v>54</v>
      </c>
      <c r="C363" s="879"/>
      <c r="D363" s="1486"/>
      <c r="E363" s="1486" t="s">
        <v>496</v>
      </c>
      <c r="F363" s="1487" t="s">
        <v>1628</v>
      </c>
      <c r="G363" s="1709">
        <f>+InputY!G267</f>
        <v>75.43471759152591</v>
      </c>
      <c r="H363" s="1709">
        <f>+InputY!H267</f>
        <v>76.158333333333303</v>
      </c>
      <c r="I363" s="1709">
        <f>+InputY!I267</f>
        <v>77.539166666666702</v>
      </c>
      <c r="J363" s="1709">
        <f>+InputY!J267</f>
        <v>78.317499999999995</v>
      </c>
      <c r="K363" s="1709">
        <f>+InputY!K267</f>
        <v>78.759166666666701</v>
      </c>
      <c r="L363" s="1486">
        <f>+InputY!L267</f>
        <v>79.778333333333407</v>
      </c>
      <c r="M363" s="1486">
        <f>+InputY!M267</f>
        <v>81.9166666666667</v>
      </c>
      <c r="N363" s="1486">
        <f>+InputY!N267</f>
        <v>83.504999999999995</v>
      </c>
      <c r="O363" s="1486">
        <f>+InputY!O267</f>
        <v>85.441666666666706</v>
      </c>
      <c r="P363" s="1486">
        <f>+InputY!P267</f>
        <v>86.314999999999998</v>
      </c>
      <c r="Q363" s="1486">
        <f>+InputY!Q267</f>
        <v>87.034166666666593</v>
      </c>
      <c r="R363" s="1486">
        <f>+InputY!R267</f>
        <v>88.336666666666702</v>
      </c>
      <c r="S363" s="1486">
        <f>+InputY!S267</f>
        <v>89.817499999999995</v>
      </c>
      <c r="T363" s="1486">
        <f>+InputY!T267</f>
        <v>92.825000000000003</v>
      </c>
      <c r="U363" s="1486">
        <f>+InputY!U267</f>
        <v>94.626666666666694</v>
      </c>
      <c r="V363" s="1486">
        <f>+InputY!V267</f>
        <v>96.430833333333297</v>
      </c>
      <c r="W363" s="1486">
        <f>+InputY!W267</f>
        <v>97.746666666666698</v>
      </c>
      <c r="X363" s="1486">
        <f>+InputY!X267</f>
        <v>98.663333333333298</v>
      </c>
      <c r="Y363" s="1486">
        <f>+InputY!Y267</f>
        <v>99.098333333333301</v>
      </c>
      <c r="Z363" s="1486">
        <f>+InputY!Z267</f>
        <v>99.302499999999995</v>
      </c>
      <c r="AA363" s="1486">
        <f>+InputY!AA267</f>
        <v>100</v>
      </c>
      <c r="AB363" s="1486">
        <f>+InputY!AB267</f>
        <v>101.135833333333</v>
      </c>
      <c r="AC363" s="1486">
        <f>+InputY!AC267</f>
        <v>103.023333333333</v>
      </c>
      <c r="AD363" s="1491">
        <f t="shared" ca="1" si="430"/>
        <v>105.17489965213888</v>
      </c>
      <c r="AE363" s="1491">
        <f t="shared" ca="1" si="430"/>
        <v>107.17700392876583</v>
      </c>
      <c r="AF363" s="1491">
        <f t="shared" ca="1" si="430"/>
        <v>108.88911326812098</v>
      </c>
    </row>
    <row r="365" spans="1:32" s="736" customFormat="1" ht="12.75" customHeight="1">
      <c r="A365" s="1481"/>
      <c r="B365" s="701"/>
      <c r="C365" s="811"/>
      <c r="D365" s="779"/>
      <c r="E365" s="780" t="s">
        <v>1695</v>
      </c>
      <c r="F365" s="781"/>
      <c r="G365" s="933">
        <f>+InputY!$G$3</f>
        <v>1995</v>
      </c>
      <c r="H365" s="933">
        <f>+G365+1</f>
        <v>1996</v>
      </c>
      <c r="I365" s="933">
        <f t="shared" ref="I365:O365" si="431">+H365+1</f>
        <v>1997</v>
      </c>
      <c r="J365" s="933">
        <f t="shared" si="431"/>
        <v>1998</v>
      </c>
      <c r="K365" s="933">
        <f t="shared" si="431"/>
        <v>1999</v>
      </c>
      <c r="L365" s="933">
        <f t="shared" si="431"/>
        <v>2000</v>
      </c>
      <c r="M365" s="933">
        <f t="shared" si="431"/>
        <v>2001</v>
      </c>
      <c r="N365" s="933">
        <f t="shared" si="431"/>
        <v>2002</v>
      </c>
      <c r="O365" s="933">
        <f t="shared" si="431"/>
        <v>2003</v>
      </c>
      <c r="P365" s="933">
        <f t="shared" ref="P365:AF365" si="432">+O365+1</f>
        <v>2004</v>
      </c>
      <c r="Q365" s="933">
        <f t="shared" si="432"/>
        <v>2005</v>
      </c>
      <c r="R365" s="933">
        <f t="shared" si="432"/>
        <v>2006</v>
      </c>
      <c r="S365" s="933">
        <f t="shared" si="432"/>
        <v>2007</v>
      </c>
      <c r="T365" s="933">
        <f t="shared" si="432"/>
        <v>2008</v>
      </c>
      <c r="U365" s="933">
        <f t="shared" si="432"/>
        <v>2009</v>
      </c>
      <c r="V365" s="933">
        <f t="shared" si="432"/>
        <v>2010</v>
      </c>
      <c r="W365" s="933">
        <f t="shared" si="432"/>
        <v>2011</v>
      </c>
      <c r="X365" s="933">
        <f t="shared" si="432"/>
        <v>2012</v>
      </c>
      <c r="Y365" s="933">
        <f t="shared" si="432"/>
        <v>2013</v>
      </c>
      <c r="Z365" s="933">
        <f t="shared" si="432"/>
        <v>2014</v>
      </c>
      <c r="AA365" s="933">
        <f t="shared" si="432"/>
        <v>2015</v>
      </c>
      <c r="AB365" s="933">
        <f t="shared" si="432"/>
        <v>2016</v>
      </c>
      <c r="AC365" s="933">
        <f t="shared" si="432"/>
        <v>2017</v>
      </c>
      <c r="AD365" s="933">
        <f t="shared" si="432"/>
        <v>2018</v>
      </c>
      <c r="AE365" s="933">
        <f t="shared" si="432"/>
        <v>2019</v>
      </c>
      <c r="AF365" s="933">
        <f t="shared" si="432"/>
        <v>2020</v>
      </c>
    </row>
    <row r="366" spans="1:32" s="736" customFormat="1" ht="12.75" customHeight="1">
      <c r="A366" s="1481"/>
      <c r="B366" s="701"/>
      <c r="C366" s="831" t="s">
        <v>1791</v>
      </c>
      <c r="D366" s="1084"/>
      <c r="E366" s="1084" t="s">
        <v>1696</v>
      </c>
      <c r="F366" s="1083" t="s">
        <v>1698</v>
      </c>
      <c r="G366" s="1135"/>
      <c r="H366" s="1135">
        <f>(H361/G361-1)*100</f>
        <v>0.91528780835274937</v>
      </c>
      <c r="I366" s="1135">
        <f t="shared" ref="I366:Q366" si="433">(I361/H361-1)*100</f>
        <v>1.4363764232131482</v>
      </c>
      <c r="J366" s="1135">
        <f t="shared" si="433"/>
        <v>0.45592781487155953</v>
      </c>
      <c r="K366" s="1135">
        <f t="shared" si="433"/>
        <v>1.4759448107250384</v>
      </c>
      <c r="L366" s="1135">
        <f t="shared" si="433"/>
        <v>0.98470122638067981</v>
      </c>
      <c r="M366" s="1135">
        <f t="shared" si="433"/>
        <v>2.1520246931197695</v>
      </c>
      <c r="N366" s="1135">
        <f t="shared" si="433"/>
        <v>1.4423834447990558</v>
      </c>
      <c r="O366" s="1135">
        <f t="shared" si="433"/>
        <v>1.6213007540419433</v>
      </c>
      <c r="P366" s="1135">
        <f t="shared" si="433"/>
        <v>0.77842269732415481</v>
      </c>
      <c r="Q366" s="1135">
        <f t="shared" si="433"/>
        <v>1.1094528730183351</v>
      </c>
      <c r="R366" s="1135">
        <f t="shared" ref="R366:AC368" si="434">(R361/Q361-1)*100</f>
        <v>1.2042396026952229</v>
      </c>
      <c r="S366" s="1135">
        <f t="shared" si="434"/>
        <v>1.4458408598480021</v>
      </c>
      <c r="T366" s="1135">
        <f t="shared" si="434"/>
        <v>3.12234907087936</v>
      </c>
      <c r="U366" s="1135">
        <f t="shared" si="434"/>
        <v>2.2274693015023495</v>
      </c>
      <c r="V366" s="1135">
        <f t="shared" si="434"/>
        <v>1.4861173371551795</v>
      </c>
      <c r="W366" s="1135">
        <f t="shared" si="434"/>
        <v>1.6660733876156852</v>
      </c>
      <c r="X366" s="1135">
        <f t="shared" si="434"/>
        <v>0.51388612231861863</v>
      </c>
      <c r="Y366" s="1135">
        <f t="shared" si="434"/>
        <v>0.70980615125779689</v>
      </c>
      <c r="Z366" s="1135">
        <f t="shared" si="434"/>
        <v>1.0818933037173073</v>
      </c>
      <c r="AA366" s="1135">
        <f t="shared" si="434"/>
        <v>0.86902190769297949</v>
      </c>
      <c r="AB366" s="1135">
        <f t="shared" si="434"/>
        <v>0.99886784935272477</v>
      </c>
      <c r="AC366" s="1135">
        <f t="shared" si="434"/>
        <v>1.7327889478410796</v>
      </c>
      <c r="AD366" s="1840">
        <f ca="1">OFFSET('VVP1'!$I$35,0,5*(COLUMN()-7))</f>
        <v>1.7</v>
      </c>
      <c r="AE366" s="1840">
        <f ca="1">OFFSET('VVP1'!$I$35,0,5*(COLUMN()-7))</f>
        <v>1.7</v>
      </c>
      <c r="AF366" s="1840">
        <f ca="1">OFFSET('VVP1'!$I$35,0,5*(COLUMN()-7))</f>
        <v>1.8</v>
      </c>
    </row>
    <row r="367" spans="1:32" s="736" customFormat="1" ht="12.75" customHeight="1">
      <c r="A367" s="1481"/>
      <c r="B367" s="701"/>
      <c r="C367" s="832" t="s">
        <v>1791</v>
      </c>
      <c r="D367" s="1084"/>
      <c r="E367" s="1084" t="s">
        <v>1697</v>
      </c>
      <c r="F367" s="1083" t="s">
        <v>782</v>
      </c>
      <c r="G367" s="1084"/>
      <c r="H367" s="1084">
        <f t="shared" ref="H367:Q368" si="435">(H362/G362-1)*100</f>
        <v>0.47095763181885797</v>
      </c>
      <c r="I367" s="1084">
        <f t="shared" si="435"/>
        <v>0.50781251431548657</v>
      </c>
      <c r="J367" s="1084">
        <f t="shared" si="435"/>
        <v>-0.11659546316442615</v>
      </c>
      <c r="K367" s="1084">
        <f t="shared" si="435"/>
        <v>0.4280155856252188</v>
      </c>
      <c r="L367" s="1084">
        <f t="shared" si="435"/>
        <v>1.0073614898306271</v>
      </c>
      <c r="M367" s="1084">
        <f t="shared" si="435"/>
        <v>2.4549290372072985</v>
      </c>
      <c r="N367" s="1084">
        <f t="shared" si="435"/>
        <v>2.1340321976787369</v>
      </c>
      <c r="O367" s="1084">
        <f t="shared" si="435"/>
        <v>1.9428152492668493</v>
      </c>
      <c r="P367" s="1084">
        <f t="shared" si="435"/>
        <v>0.3955411722400326</v>
      </c>
      <c r="Q367" s="1084">
        <f t="shared" si="435"/>
        <v>0.42979942693406326</v>
      </c>
      <c r="R367" s="1084">
        <f t="shared" si="434"/>
        <v>1.3602146862769837</v>
      </c>
      <c r="S367" s="1084">
        <f t="shared" si="434"/>
        <v>2.2121688343675894</v>
      </c>
      <c r="T367" s="1084">
        <f t="shared" si="434"/>
        <v>3.4370491060286223</v>
      </c>
      <c r="U367" s="1084">
        <f t="shared" si="434"/>
        <v>-0.49446054437829456</v>
      </c>
      <c r="V367" s="1084">
        <f t="shared" si="434"/>
        <v>1.157988027156498</v>
      </c>
      <c r="W367" s="1084">
        <f t="shared" si="434"/>
        <v>2.9611507382208746</v>
      </c>
      <c r="X367" s="1084">
        <f t="shared" si="434"/>
        <v>0.88837750692480899</v>
      </c>
      <c r="Y367" s="1084">
        <f t="shared" si="434"/>
        <v>-4.4292970149484301E-2</v>
      </c>
      <c r="Z367" s="1084">
        <f t="shared" si="434"/>
        <v>-0.17963849411409827</v>
      </c>
      <c r="AA367" s="1084">
        <f t="shared" si="434"/>
        <v>-4.6784744983219273E-2</v>
      </c>
      <c r="AB367" s="1084">
        <f t="shared" si="434"/>
        <v>0.98426924457755138</v>
      </c>
      <c r="AC367" s="1084">
        <f t="shared" si="434"/>
        <v>1.7944990466558952</v>
      </c>
      <c r="AD367" s="1460">
        <f ca="1">OFFSET('VVP1'!$I$42,0,5*(COLUMN()-7))</f>
        <v>2.0884262323802574</v>
      </c>
      <c r="AE367" s="1460">
        <f ca="1">OFFSET('VVP1'!$I$42,0,5*(COLUMN()-7))</f>
        <v>1.903595138430191</v>
      </c>
      <c r="AF367" s="1460">
        <f ca="1">OFFSET('VVP1'!$I$42,0,5*(COLUMN()-7))</f>
        <v>1.5974596010288593</v>
      </c>
    </row>
    <row r="368" spans="1:32" s="736" customFormat="1" ht="12.75" customHeight="1">
      <c r="A368" s="1481"/>
      <c r="B368" s="701"/>
      <c r="C368" s="833" t="s">
        <v>301</v>
      </c>
      <c r="D368" s="1136"/>
      <c r="E368" s="1136" t="s">
        <v>496</v>
      </c>
      <c r="F368" s="1488" t="s">
        <v>1628</v>
      </c>
      <c r="G368" s="1136"/>
      <c r="H368" s="1136">
        <f t="shared" si="435"/>
        <v>0.95926088797166909</v>
      </c>
      <c r="I368" s="1136">
        <f t="shared" si="435"/>
        <v>1.8131086552140019</v>
      </c>
      <c r="J368" s="1136">
        <f t="shared" si="435"/>
        <v>1.0037937816371745</v>
      </c>
      <c r="K368" s="1136">
        <f t="shared" si="435"/>
        <v>0.56394377586963529</v>
      </c>
      <c r="L368" s="1136">
        <f t="shared" si="435"/>
        <v>1.2940292664346487</v>
      </c>
      <c r="M368" s="1136">
        <f t="shared" si="435"/>
        <v>2.6803434516472269</v>
      </c>
      <c r="N368" s="1136">
        <f t="shared" si="435"/>
        <v>1.9389623601220318</v>
      </c>
      <c r="O368" s="1136">
        <f t="shared" si="435"/>
        <v>2.3192224018522278</v>
      </c>
      <c r="P368" s="1136">
        <f t="shared" si="435"/>
        <v>1.0221398615039012</v>
      </c>
      <c r="Q368" s="1136">
        <f t="shared" si="435"/>
        <v>0.83318851493552337</v>
      </c>
      <c r="R368" s="1136">
        <f t="shared" si="434"/>
        <v>1.4965387156386178</v>
      </c>
      <c r="S368" s="1136">
        <f t="shared" si="434"/>
        <v>1.6763518357797436</v>
      </c>
      <c r="T368" s="1136">
        <f t="shared" si="434"/>
        <v>3.3484565925348653</v>
      </c>
      <c r="U368" s="1136">
        <f t="shared" si="434"/>
        <v>1.9409282700422192</v>
      </c>
      <c r="V368" s="1136">
        <f t="shared" si="434"/>
        <v>1.9066154713258454</v>
      </c>
      <c r="W368" s="1136">
        <f t="shared" si="434"/>
        <v>1.3645358936025698</v>
      </c>
      <c r="X368" s="1136">
        <f t="shared" si="434"/>
        <v>0.93779839039687118</v>
      </c>
      <c r="Y368" s="1136">
        <f t="shared" si="434"/>
        <v>0.4408932734214055</v>
      </c>
      <c r="Z368" s="1136">
        <f t="shared" si="434"/>
        <v>0.20602431927885245</v>
      </c>
      <c r="AA368" s="1136">
        <f t="shared" si="434"/>
        <v>0.70239923466177689</v>
      </c>
      <c r="AB368" s="1136">
        <f t="shared" si="434"/>
        <v>1.1358333333330028</v>
      </c>
      <c r="AC368" s="1136">
        <f t="shared" si="434"/>
        <v>1.8663019206842435</v>
      </c>
      <c r="AD368" s="1459">
        <f ca="1">OFFSET('VVP1'!$I$41,0,5*(COLUMN()-7))</f>
        <v>2.0884262323802574</v>
      </c>
      <c r="AE368" s="1459">
        <f ca="1">OFFSET('VVP1'!$I$41,0,5*(COLUMN()-7))</f>
        <v>1.903595138430191</v>
      </c>
      <c r="AF368" s="1459">
        <f ca="1">OFFSET('VVP1'!$I$41,0,5*(COLUMN()-7))</f>
        <v>1.5974596010288593</v>
      </c>
    </row>
    <row r="370" spans="1:32">
      <c r="A370" s="701"/>
      <c r="D370" s="1526"/>
      <c r="E370" s="1561" t="s">
        <v>1103</v>
      </c>
      <c r="F370" s="1562"/>
      <c r="G370" s="854">
        <f>+InputY!$G$3</f>
        <v>1995</v>
      </c>
      <c r="H370" s="854">
        <f>+G370+1</f>
        <v>1996</v>
      </c>
      <c r="I370" s="854">
        <f>+H370+1</f>
        <v>1997</v>
      </c>
      <c r="J370" s="854">
        <f>+I370+1</f>
        <v>1998</v>
      </c>
      <c r="K370" s="854">
        <f t="shared" ref="K370:R370" si="436">+J370+1</f>
        <v>1999</v>
      </c>
      <c r="L370" s="854">
        <f t="shared" si="436"/>
        <v>2000</v>
      </c>
      <c r="M370" s="854">
        <f t="shared" si="436"/>
        <v>2001</v>
      </c>
      <c r="N370" s="854">
        <f t="shared" si="436"/>
        <v>2002</v>
      </c>
      <c r="O370" s="854">
        <f t="shared" si="436"/>
        <v>2003</v>
      </c>
      <c r="P370" s="854">
        <f t="shared" si="436"/>
        <v>2004</v>
      </c>
      <c r="Q370" s="854">
        <f t="shared" si="436"/>
        <v>2005</v>
      </c>
      <c r="R370" s="854">
        <f t="shared" si="436"/>
        <v>2006</v>
      </c>
      <c r="S370" s="854">
        <f t="shared" ref="S370:AF370" si="437">+R370+1</f>
        <v>2007</v>
      </c>
      <c r="T370" s="854">
        <f t="shared" si="437"/>
        <v>2008</v>
      </c>
      <c r="U370" s="854">
        <f t="shared" si="437"/>
        <v>2009</v>
      </c>
      <c r="V370" s="854">
        <f t="shared" si="437"/>
        <v>2010</v>
      </c>
      <c r="W370" s="854">
        <f t="shared" si="437"/>
        <v>2011</v>
      </c>
      <c r="X370" s="854">
        <f t="shared" si="437"/>
        <v>2012</v>
      </c>
      <c r="Y370" s="854">
        <f t="shared" si="437"/>
        <v>2013</v>
      </c>
      <c r="Z370" s="854">
        <f t="shared" si="437"/>
        <v>2014</v>
      </c>
      <c r="AA370" s="854">
        <f t="shared" si="437"/>
        <v>2015</v>
      </c>
      <c r="AB370" s="854">
        <f t="shared" si="437"/>
        <v>2016</v>
      </c>
      <c r="AC370" s="854">
        <f t="shared" si="437"/>
        <v>2017</v>
      </c>
      <c r="AD370" s="854">
        <f t="shared" si="437"/>
        <v>2018</v>
      </c>
      <c r="AE370" s="854">
        <f t="shared" si="437"/>
        <v>2019</v>
      </c>
      <c r="AF370" s="854">
        <f t="shared" si="437"/>
        <v>2020</v>
      </c>
    </row>
    <row r="371" spans="1:32" ht="12.75">
      <c r="A371" s="701"/>
      <c r="B371" s="702">
        <v>161</v>
      </c>
      <c r="C371" s="1528"/>
      <c r="D371" s="23"/>
      <c r="E371" s="23" t="s">
        <v>1680</v>
      </c>
      <c r="F371" s="1543"/>
      <c r="G371" s="1966"/>
      <c r="H371" s="1966">
        <f ca="1">OFFSET('Q1'!$F303,0,4*(COLUMN()-6))</f>
        <v>289.51</v>
      </c>
      <c r="I371" s="1966">
        <f ca="1">OFFSET('Q1'!$F303,0,4*(COLUMN()-6))</f>
        <v>284.02</v>
      </c>
      <c r="J371" s="1966">
        <f ca="1">OFFSET('Q1'!$F303,0,4*(COLUMN()-6))</f>
        <v>287.75</v>
      </c>
      <c r="K371" s="1966">
        <f ca="1">OFFSET('Q1'!$F303,0,4*(COLUMN()-6))</f>
        <v>299.40000000000003</v>
      </c>
      <c r="L371" s="1966">
        <f ca="1">OFFSET('Q1'!$F303,0,4*(COLUMN()-6))</f>
        <v>296.05</v>
      </c>
      <c r="M371" s="1966">
        <f ca="1">OFFSET('Q1'!$F303,0,4*(COLUMN()-6))</f>
        <v>300.08</v>
      </c>
      <c r="N371" s="1966">
        <f ca="1">OFFSET('Q1'!$F303,0,4*(COLUMN()-6))</f>
        <v>289.69</v>
      </c>
      <c r="O371" s="1966">
        <f ca="1">OFFSET('Q1'!$F303,0,4*(COLUMN()-6))</f>
        <v>295.95999999999998</v>
      </c>
      <c r="P371" s="1966">
        <f ca="1">OFFSET('Q1'!$F303,0,4*(COLUMN()-6))</f>
        <v>293.8</v>
      </c>
      <c r="Q371" s="1966">
        <f ca="1">OFFSET('Q1'!$F303,0,4*(COLUMN()-6))</f>
        <v>290.76</v>
      </c>
      <c r="R371" s="1966">
        <f ca="1">OFFSET('Q1'!$F303,0,4*(COLUMN()-6))</f>
        <v>286.68</v>
      </c>
      <c r="S371" s="1966">
        <f ca="1">OFFSET('Q1'!$F303,0,4*(COLUMN()-6))</f>
        <v>290.74</v>
      </c>
      <c r="T371" s="1966">
        <f ca="1">OFFSET('Q1'!$F303,0,4*(COLUMN()-6))</f>
        <v>291.77999999999997</v>
      </c>
      <c r="U371" s="1966">
        <f ca="1">OFFSET('Q1'!$F303,0,4*(COLUMN()-6))</f>
        <v>291.61</v>
      </c>
      <c r="V371" s="1966">
        <f ca="1">OFFSET('Q1'!$F303,0,4*(COLUMN()-6))</f>
        <v>285.77</v>
      </c>
      <c r="W371" s="1966">
        <f ca="1">OFFSET('Q1'!$F303,0,4*(COLUMN()-6))</f>
        <v>277.3</v>
      </c>
      <c r="X371" s="1966">
        <f ca="1">OFFSET('Q1'!$F303,0,4*(COLUMN()-6))</f>
        <v>284</v>
      </c>
      <c r="Y371" s="1966">
        <f ca="1">OFFSET('Q1'!$F303,0,4*(COLUMN()-6))</f>
        <v>280.81</v>
      </c>
      <c r="Z371" s="1966">
        <f ca="1">OFFSET('Q1'!$F303,0,4*(COLUMN()-6))</f>
        <v>277.39999999999998</v>
      </c>
      <c r="AA371" s="1966">
        <f ca="1">OFFSET('Q1'!$F303,0,4*(COLUMN()-6))</f>
        <v>276.72000000000003</v>
      </c>
      <c r="AB371" s="1966">
        <f ca="1">OFFSET('Q1'!$F303,0,4*(COLUMN()-6))</f>
        <v>286.07</v>
      </c>
      <c r="AC371" s="1966">
        <f ca="1">OFFSET('Q1'!$F303,0,4*(COLUMN()-6))</f>
        <v>291.72000000000003</v>
      </c>
      <c r="AD371" s="1966">
        <f ca="1">OFFSET('Q1'!$F303,0,4*(COLUMN()-6))</f>
        <v>290.10000000000002</v>
      </c>
      <c r="AE371" s="1966">
        <f ca="1">OFFSET('Q1'!$F303,0,4*(COLUMN()-6))</f>
        <v>290.10000000000002</v>
      </c>
      <c r="AF371" s="1966">
        <f ca="1">OFFSET('Q1'!$F303,0,4*(COLUMN()-6))</f>
        <v>290.10000000000002</v>
      </c>
    </row>
    <row r="372" spans="1:32" ht="12.75">
      <c r="A372" s="701"/>
      <c r="B372" s="702">
        <v>162</v>
      </c>
      <c r="C372" s="1529"/>
      <c r="D372" s="1"/>
      <c r="E372" s="1" t="s">
        <v>1681</v>
      </c>
      <c r="F372" s="1530"/>
      <c r="G372" s="1102"/>
      <c r="H372" s="1102">
        <f ca="1">OFFSET('Q1'!$F304,0,4*(COLUMN()-6))</f>
        <v>123.93</v>
      </c>
      <c r="I372" s="1102">
        <f ca="1">OFFSET('Q1'!$F304,0,4*(COLUMN()-6))</f>
        <v>126.76</v>
      </c>
      <c r="J372" s="1102">
        <f ca="1">OFFSET('Q1'!$F304,0,4*(COLUMN()-6))</f>
        <v>121.05</v>
      </c>
      <c r="K372" s="1102">
        <f ca="1">OFFSET('Q1'!$F304,0,4*(COLUMN()-6))</f>
        <v>113.52</v>
      </c>
      <c r="L372" s="1102">
        <f ca="1">OFFSET('Q1'!$F304,0,4*(COLUMN()-6))</f>
        <v>118.1</v>
      </c>
      <c r="M372" s="1102">
        <f ca="1">OFFSET('Q1'!$F304,0,4*(COLUMN()-6))</f>
        <v>111.07</v>
      </c>
      <c r="N372" s="1102">
        <f ca="1">OFFSET('Q1'!$F304,0,4*(COLUMN()-6))</f>
        <v>115.41</v>
      </c>
      <c r="O372" s="1102">
        <f ca="1">OFFSET('Q1'!$F304,0,4*(COLUMN()-6))</f>
        <v>115.9</v>
      </c>
      <c r="P372" s="1102">
        <f ca="1">OFFSET('Q1'!$F304,0,4*(COLUMN()-6))</f>
        <v>122.96</v>
      </c>
      <c r="Q372" s="1102">
        <f ca="1">OFFSET('Q1'!$F304,0,4*(COLUMN()-6))</f>
        <v>117.64</v>
      </c>
      <c r="R372" s="1102">
        <f ca="1">OFFSET('Q1'!$F304,0,4*(COLUMN()-6))</f>
        <v>126.07</v>
      </c>
      <c r="S372" s="1102">
        <f ca="1">OFFSET('Q1'!$F304,0,4*(COLUMN()-6))</f>
        <v>122.91</v>
      </c>
      <c r="T372" s="1102">
        <f ca="1">OFFSET('Q1'!$F304,0,4*(COLUMN()-6))</f>
        <v>114.62</v>
      </c>
      <c r="U372" s="1102">
        <f ca="1">OFFSET('Q1'!$F304,0,4*(COLUMN()-6))</f>
        <v>110.87</v>
      </c>
      <c r="V372" s="1102">
        <f ca="1">OFFSET('Q1'!$F304,0,4*(COLUMN()-6))</f>
        <v>109.94</v>
      </c>
      <c r="W372" s="1102">
        <f ca="1">OFFSET('Q1'!$F304,0,4*(COLUMN()-6))</f>
        <v>119.88</v>
      </c>
      <c r="X372" s="1102">
        <f ca="1">OFFSET('Q1'!$F304,0,4*(COLUMN()-6))</f>
        <v>116.8</v>
      </c>
      <c r="Y372" s="1102">
        <f ca="1">OFFSET('Q1'!$F304,0,4*(COLUMN()-6))</f>
        <v>110.13</v>
      </c>
      <c r="Z372" s="1102">
        <f ca="1">OFFSET('Q1'!$F304,0,4*(COLUMN()-6))</f>
        <v>106.88</v>
      </c>
      <c r="AA372" s="1102">
        <f ca="1">OFFSET('Q1'!$F304,0,4*(COLUMN()-6))</f>
        <v>96.35</v>
      </c>
      <c r="AB372" s="1102">
        <f ca="1">OFFSET('Q1'!$F304,0,4*(COLUMN()-6))</f>
        <v>86.62</v>
      </c>
      <c r="AC372" s="1102">
        <f ca="1">OFFSET('Q1'!$F304,0,4*(COLUMN()-6))</f>
        <v>88.08</v>
      </c>
      <c r="AD372" s="1102">
        <f ca="1">OFFSET('Q1'!$F304,0,4*(COLUMN()-6))</f>
        <v>89.18</v>
      </c>
      <c r="AE372" s="1102">
        <f ca="1">OFFSET('Q1'!$F304,0,4*(COLUMN()-6))</f>
        <v>89.18</v>
      </c>
      <c r="AF372" s="1102">
        <f ca="1">OFFSET('Q1'!$F304,0,4*(COLUMN()-6))</f>
        <v>89.18</v>
      </c>
    </row>
    <row r="373" spans="1:32" ht="12.75">
      <c r="A373" s="701"/>
      <c r="B373" s="702">
        <v>164</v>
      </c>
      <c r="C373" s="1529"/>
      <c r="D373" s="1"/>
      <c r="E373" s="1" t="s">
        <v>1683</v>
      </c>
      <c r="F373" s="3"/>
      <c r="G373" s="1102"/>
      <c r="H373" s="1102">
        <f ca="1">OFFSET('Q1'!$F305,0,4*(COLUMN()-6))</f>
        <v>76.820000000000007</v>
      </c>
      <c r="I373" s="1102">
        <f ca="1">OFFSET('Q1'!$F305,0,4*(COLUMN()-6))</f>
        <v>75.12</v>
      </c>
      <c r="J373" s="1102">
        <f ca="1">OFFSET('Q1'!$F305,0,4*(COLUMN()-6))</f>
        <v>74.460000000000008</v>
      </c>
      <c r="K373" s="1102">
        <f ca="1">OFFSET('Q1'!$F305,0,4*(COLUMN()-6))</f>
        <v>75.89</v>
      </c>
      <c r="L373" s="1102">
        <f ca="1">OFFSET('Q1'!$F305,0,4*(COLUMN()-6))</f>
        <v>65.25</v>
      </c>
      <c r="M373" s="1102">
        <f ca="1">OFFSET('Q1'!$F305,0,4*(COLUMN()-6))</f>
        <v>64.42</v>
      </c>
      <c r="N373" s="1102">
        <f ca="1">OFFSET('Q1'!$F305,0,4*(COLUMN()-6))</f>
        <v>62.93</v>
      </c>
      <c r="O373" s="1102">
        <f ca="1">OFFSET('Q1'!$F305,0,4*(COLUMN()-6))</f>
        <v>58.58</v>
      </c>
      <c r="P373" s="1102">
        <f ca="1">OFFSET('Q1'!$F305,0,4*(COLUMN()-6))</f>
        <v>58.94</v>
      </c>
      <c r="Q373" s="1102">
        <f ca="1">OFFSET('Q1'!$F305,0,4*(COLUMN()-6))</f>
        <v>59.97</v>
      </c>
      <c r="R373" s="1102">
        <f ca="1">OFFSET('Q1'!$F305,0,4*(COLUMN()-6))</f>
        <v>60.19</v>
      </c>
      <c r="S373" s="1102">
        <f ca="1">OFFSET('Q1'!$F305,0,4*(COLUMN()-6))</f>
        <v>60.93</v>
      </c>
      <c r="T373" s="1102">
        <f ca="1">OFFSET('Q1'!$F305,0,4*(COLUMN()-6))</f>
        <v>62.59</v>
      </c>
      <c r="U373" s="1102">
        <f ca="1">OFFSET('Q1'!$F305,0,4*(COLUMN()-6))</f>
        <v>66.05</v>
      </c>
      <c r="V373" s="1102">
        <f ca="1">OFFSET('Q1'!$F305,0,4*(COLUMN()-6))</f>
        <v>63.14</v>
      </c>
      <c r="W373" s="1102">
        <f ca="1">OFFSET('Q1'!$F305,0,4*(COLUMN()-6))</f>
        <v>61.58</v>
      </c>
      <c r="X373" s="1102">
        <f ca="1">OFFSET('Q1'!$F305,0,4*(COLUMN()-6))</f>
        <v>58.13</v>
      </c>
      <c r="Y373" s="1102">
        <f ca="1">OFFSET('Q1'!$F305,0,4*(COLUMN()-6))</f>
        <v>63.47</v>
      </c>
      <c r="Z373" s="1102">
        <f ca="1">OFFSET('Q1'!$F305,0,4*(COLUMN()-6))</f>
        <v>59.63</v>
      </c>
      <c r="AA373" s="1102">
        <f ca="1">OFFSET('Q1'!$F305,0,4*(COLUMN()-6))</f>
        <v>59.62</v>
      </c>
      <c r="AB373" s="1102">
        <f ca="1">OFFSET('Q1'!$F305,0,4*(COLUMN()-6))</f>
        <v>62.79</v>
      </c>
      <c r="AC373" s="1102">
        <f ca="1">OFFSET('Q1'!$F305,0,4*(COLUMN()-6))</f>
        <v>61.52</v>
      </c>
      <c r="AD373" s="1102">
        <f ca="1">OFFSET('Q1'!$F305,0,4*(COLUMN()-6))</f>
        <v>60.79</v>
      </c>
      <c r="AE373" s="1102">
        <f ca="1">OFFSET('Q1'!$F305,0,4*(COLUMN()-6))</f>
        <v>60.79</v>
      </c>
      <c r="AF373" s="1102">
        <f ca="1">OFFSET('Q1'!$F305,0,4*(COLUMN()-6))</f>
        <v>60.79</v>
      </c>
    </row>
    <row r="374" spans="1:32" ht="12.75">
      <c r="A374" s="701"/>
      <c r="B374" s="702">
        <v>163</v>
      </c>
      <c r="C374" s="1529"/>
      <c r="D374" s="1"/>
      <c r="E374" s="1" t="s">
        <v>1682</v>
      </c>
      <c r="F374" s="1530"/>
      <c r="G374" s="1102"/>
      <c r="H374" s="1102">
        <f ca="1">OFFSET('Q1'!$F306,0,4*(COLUMN()-6))</f>
        <v>166.84</v>
      </c>
      <c r="I374" s="1102">
        <f ca="1">OFFSET('Q1'!$F306,0,4*(COLUMN()-6))</f>
        <v>159.5</v>
      </c>
      <c r="J374" s="1102">
        <f ca="1">OFFSET('Q1'!$F306,0,4*(COLUMN()-6))</f>
        <v>162.08000000000001</v>
      </c>
      <c r="K374" s="1102">
        <f ca="1">OFFSET('Q1'!$F306,0,4*(COLUMN()-6))</f>
        <v>151.28</v>
      </c>
      <c r="L374" s="1102">
        <f ca="1">OFFSET('Q1'!$F306,0,4*(COLUMN()-6))</f>
        <v>144.69999999999999</v>
      </c>
      <c r="M374" s="1102">
        <f ca="1">OFFSET('Q1'!$F306,0,4*(COLUMN()-6))</f>
        <v>142.63999999999999</v>
      </c>
      <c r="N374" s="1102">
        <f ca="1">OFFSET('Q1'!$F306,0,4*(COLUMN()-6))</f>
        <v>144.35</v>
      </c>
      <c r="O374" s="1102">
        <f ca="1">OFFSET('Q1'!$F306,0,4*(COLUMN()-6))</f>
        <v>142.57</v>
      </c>
      <c r="P374" s="1102">
        <f ca="1">OFFSET('Q1'!$F306,0,4*(COLUMN()-6))</f>
        <v>135.78</v>
      </c>
      <c r="Q374" s="1102">
        <f ca="1">OFFSET('Q1'!$F306,0,4*(COLUMN()-6))</f>
        <v>136.49</v>
      </c>
      <c r="R374" s="1102">
        <f ca="1">OFFSET('Q1'!$F306,0,4*(COLUMN()-6))</f>
        <v>132.52000000000001</v>
      </c>
      <c r="S374" s="1102">
        <f ca="1">OFFSET('Q1'!$F306,0,4*(COLUMN()-6))</f>
        <v>128.94999999999999</v>
      </c>
      <c r="T374" s="1102">
        <f ca="1">OFFSET('Q1'!$F306,0,4*(COLUMN()-6))</f>
        <v>131.15</v>
      </c>
      <c r="U374" s="1102">
        <f ca="1">OFFSET('Q1'!$F306,0,4*(COLUMN()-6))</f>
        <v>136.58000000000001</v>
      </c>
      <c r="V374" s="1102">
        <f ca="1">OFFSET('Q1'!$F306,0,4*(COLUMN()-6))</f>
        <v>135.16</v>
      </c>
      <c r="W374" s="1102">
        <f ca="1">OFFSET('Q1'!$F306,0,4*(COLUMN()-6))</f>
        <v>135.9</v>
      </c>
      <c r="X374" s="1102">
        <f ca="1">OFFSET('Q1'!$F306,0,4*(COLUMN()-6))</f>
        <v>135.49</v>
      </c>
      <c r="Y374" s="1102">
        <f ca="1">OFFSET('Q1'!$F306,0,4*(COLUMN()-6))</f>
        <v>135.56</v>
      </c>
      <c r="Z374" s="1102">
        <f ca="1">OFFSET('Q1'!$F306,0,4*(COLUMN()-6))</f>
        <v>139.54</v>
      </c>
      <c r="AA374" s="1102">
        <f ca="1">OFFSET('Q1'!$F306,0,4*(COLUMN()-6))</f>
        <v>141.59</v>
      </c>
      <c r="AB374" s="1102">
        <f ca="1">OFFSET('Q1'!$F306,0,4*(COLUMN()-6))</f>
        <v>140.88999999999999</v>
      </c>
      <c r="AC374" s="1102">
        <f ca="1">OFFSET('Q1'!$F306,0,4*(COLUMN()-6))</f>
        <v>138.11000000000001</v>
      </c>
      <c r="AD374" s="1102">
        <f ca="1">OFFSET('Q1'!$F306,0,4*(COLUMN()-6))</f>
        <v>137.08000000000001</v>
      </c>
      <c r="AE374" s="1102">
        <f ca="1">OFFSET('Q1'!$F306,0,4*(COLUMN()-6))</f>
        <v>137.08000000000001</v>
      </c>
      <c r="AF374" s="1102">
        <f ca="1">OFFSET('Q1'!$F306,0,4*(COLUMN()-6))</f>
        <v>137.08000000000001</v>
      </c>
    </row>
    <row r="375" spans="1:32" ht="12.75">
      <c r="A375" s="701"/>
      <c r="B375" s="702">
        <v>165</v>
      </c>
      <c r="C375" s="1533"/>
      <c r="D375" s="113"/>
      <c r="E375" s="113" t="s">
        <v>1684</v>
      </c>
      <c r="F375" s="1531"/>
      <c r="G375" s="1564"/>
      <c r="H375" s="1564">
        <f ca="1">OFFSET('Q1'!$F307,0,4*(COLUMN()-6))</f>
        <v>335.82</v>
      </c>
      <c r="I375" s="1564">
        <f ca="1">OFFSET('Q1'!$F307,0,4*(COLUMN()-6))</f>
        <v>347.40000000000003</v>
      </c>
      <c r="J375" s="1564">
        <f ca="1">OFFSET('Q1'!$F307,0,4*(COLUMN()-6))</f>
        <v>348.02</v>
      </c>
      <c r="K375" s="1564">
        <f ca="1">OFFSET('Q1'!$F307,0,4*(COLUMN()-6))</f>
        <v>356.13</v>
      </c>
      <c r="L375" s="1564">
        <f ca="1">OFFSET('Q1'!$F307,0,4*(COLUMN()-6))</f>
        <v>375.9</v>
      </c>
      <c r="M375" s="1564">
        <f ca="1">OFFSET('Q1'!$F307,0,4*(COLUMN()-6))</f>
        <v>381.79</v>
      </c>
      <c r="N375" s="1564">
        <f ca="1">OFFSET('Q1'!$F307,0,4*(COLUMN()-6))</f>
        <v>387.62</v>
      </c>
      <c r="O375" s="1564">
        <f ca="1">OFFSET('Q1'!$F307,0,4*(COLUMN()-6))</f>
        <v>386.98</v>
      </c>
      <c r="P375" s="1564">
        <f ca="1">OFFSET('Q1'!$F307,0,4*(COLUMN()-6))</f>
        <v>388.52</v>
      </c>
      <c r="Q375" s="1564">
        <f ca="1">OFFSET('Q1'!$F307,0,4*(COLUMN()-6))</f>
        <v>395.14</v>
      </c>
      <c r="R375" s="1564">
        <f ca="1">OFFSET('Q1'!$F307,0,4*(COLUMN()-6))</f>
        <v>394.55</v>
      </c>
      <c r="S375" s="1564">
        <f ca="1">OFFSET('Q1'!$F307,0,4*(COLUMN()-6))</f>
        <v>396.47</v>
      </c>
      <c r="T375" s="1564">
        <f ca="1">OFFSET('Q1'!$F307,0,4*(COLUMN()-6))</f>
        <v>399.86</v>
      </c>
      <c r="U375" s="1564">
        <f ca="1">OFFSET('Q1'!$F307,0,4*(COLUMN()-6))</f>
        <v>394.89</v>
      </c>
      <c r="V375" s="1564">
        <f ca="1">OFFSET('Q1'!$F307,0,4*(COLUMN()-6))</f>
        <v>406</v>
      </c>
      <c r="W375" s="1564">
        <f ca="1">OFFSET('Q1'!$F307,0,4*(COLUMN()-6))</f>
        <v>405.34</v>
      </c>
      <c r="X375" s="1564">
        <f ca="1">OFFSET('Q1'!$F307,0,4*(COLUMN()-6))</f>
        <v>405.57</v>
      </c>
      <c r="Y375" s="1564">
        <f ca="1">OFFSET('Q1'!$F307,0,4*(COLUMN()-6))</f>
        <v>410.03</v>
      </c>
      <c r="Z375" s="1564">
        <f ca="1">OFFSET('Q1'!$F307,0,4*(COLUMN()-6))</f>
        <v>416.55</v>
      </c>
      <c r="AA375" s="1564">
        <f ca="1">OFFSET('Q1'!$F307,0,4*(COLUMN()-6))</f>
        <v>425.72</v>
      </c>
      <c r="AB375" s="1564">
        <f ca="1">OFFSET('Q1'!$F307,0,4*(COLUMN()-6))</f>
        <v>423.63</v>
      </c>
      <c r="AC375" s="1564">
        <f ca="1">OFFSET('Q1'!$F307,0,4*(COLUMN()-6))</f>
        <v>420.57</v>
      </c>
      <c r="AD375" s="1564">
        <f ca="1">OFFSET('Q1'!$F307,0,4*(COLUMN()-6))</f>
        <v>422.85</v>
      </c>
      <c r="AE375" s="1564">
        <f ca="1">OFFSET('Q1'!$F307,0,4*(COLUMN()-6))</f>
        <v>422.85</v>
      </c>
      <c r="AF375" s="1564">
        <f ca="1">OFFSET('Q1'!$F307,0,4*(COLUMN()-6))</f>
        <v>422.85</v>
      </c>
    </row>
    <row r="377" spans="1:32">
      <c r="A377" s="701"/>
      <c r="D377" s="1526"/>
      <c r="E377" s="1561" t="s">
        <v>1372</v>
      </c>
      <c r="F377" s="1562"/>
      <c r="G377" s="854">
        <f>+InputY!$G$3</f>
        <v>1995</v>
      </c>
      <c r="H377" s="854">
        <f>+G377+1</f>
        <v>1996</v>
      </c>
      <c r="I377" s="854">
        <f>+H377+1</f>
        <v>1997</v>
      </c>
      <c r="J377" s="854">
        <f>+I377+1</f>
        <v>1998</v>
      </c>
      <c r="K377" s="854">
        <f t="shared" ref="K377:R377" si="438">+J377+1</f>
        <v>1999</v>
      </c>
      <c r="L377" s="854">
        <f t="shared" si="438"/>
        <v>2000</v>
      </c>
      <c r="M377" s="854">
        <f t="shared" si="438"/>
        <v>2001</v>
      </c>
      <c r="N377" s="854">
        <f t="shared" si="438"/>
        <v>2002</v>
      </c>
      <c r="O377" s="854">
        <f t="shared" si="438"/>
        <v>2003</v>
      </c>
      <c r="P377" s="854">
        <f t="shared" si="438"/>
        <v>2004</v>
      </c>
      <c r="Q377" s="854">
        <f t="shared" si="438"/>
        <v>2005</v>
      </c>
      <c r="R377" s="854">
        <f t="shared" si="438"/>
        <v>2006</v>
      </c>
      <c r="S377" s="854">
        <f t="shared" ref="S377:AF377" si="439">+R377+1</f>
        <v>2007</v>
      </c>
      <c r="T377" s="854">
        <f t="shared" si="439"/>
        <v>2008</v>
      </c>
      <c r="U377" s="854">
        <f t="shared" si="439"/>
        <v>2009</v>
      </c>
      <c r="V377" s="854">
        <f t="shared" si="439"/>
        <v>2010</v>
      </c>
      <c r="W377" s="854">
        <f t="shared" si="439"/>
        <v>2011</v>
      </c>
      <c r="X377" s="854">
        <f t="shared" si="439"/>
        <v>2012</v>
      </c>
      <c r="Y377" s="854">
        <f t="shared" si="439"/>
        <v>2013</v>
      </c>
      <c r="Z377" s="854">
        <f t="shared" si="439"/>
        <v>2014</v>
      </c>
      <c r="AA377" s="854">
        <f t="shared" si="439"/>
        <v>2015</v>
      </c>
      <c r="AB377" s="854">
        <f t="shared" si="439"/>
        <v>2016</v>
      </c>
      <c r="AC377" s="854">
        <f t="shared" si="439"/>
        <v>2017</v>
      </c>
      <c r="AD377" s="854">
        <f t="shared" si="439"/>
        <v>2018</v>
      </c>
      <c r="AE377" s="854">
        <f t="shared" si="439"/>
        <v>2019</v>
      </c>
      <c r="AF377" s="854">
        <f t="shared" si="439"/>
        <v>2020</v>
      </c>
    </row>
    <row r="378" spans="1:32" ht="12.75">
      <c r="A378" s="701"/>
      <c r="B378" s="702">
        <v>172</v>
      </c>
      <c r="C378" s="1528"/>
      <c r="D378" s="23"/>
      <c r="E378" s="23" t="s">
        <v>1680</v>
      </c>
      <c r="F378" s="1543"/>
      <c r="G378" s="1966"/>
      <c r="H378" s="1966">
        <f ca="1">OFFSET('Q1'!$F290,0,4*(COLUMN()-6))</f>
        <v>103.02083333333333</v>
      </c>
      <c r="I378" s="1966">
        <f ca="1">OFFSET('Q1'!$F290,0,4*(COLUMN()-6))</f>
        <v>101.74333333333334</v>
      </c>
      <c r="J378" s="1966">
        <f ca="1">OFFSET('Q1'!$F290,0,4*(COLUMN()-6))</f>
        <v>100.90250000000002</v>
      </c>
      <c r="K378" s="1966">
        <f ca="1">OFFSET('Q1'!$F290,0,4*(COLUMN()-6))</f>
        <v>100.66500000000001</v>
      </c>
      <c r="L378" s="1966">
        <f ca="1">OFFSET('Q1'!$F290,0,4*(COLUMN()-6))</f>
        <v>100.75500000000001</v>
      </c>
      <c r="M378" s="1966">
        <f ca="1">OFFSET('Q1'!$F290,0,4*(COLUMN()-6))</f>
        <v>101.55833333333334</v>
      </c>
      <c r="N378" s="1966">
        <f ca="1">OFFSET('Q1'!$F290,0,4*(COLUMN()-6))</f>
        <v>102.3725</v>
      </c>
      <c r="O378" s="1966">
        <f ca="1">OFFSET('Q1'!$F290,0,4*(COLUMN()-6))</f>
        <v>102.27916666666667</v>
      </c>
      <c r="P378" s="1966">
        <f ca="1">OFFSET('Q1'!$F290,0,4*(COLUMN()-6))</f>
        <v>101.07666666666667</v>
      </c>
      <c r="Q378" s="1966">
        <f ca="1">OFFSET('Q1'!$F290,0,4*(COLUMN()-6))</f>
        <v>99.750833333333333</v>
      </c>
      <c r="R378" s="1966">
        <f ca="1">OFFSET('Q1'!$F290,0,4*(COLUMN()-6))</f>
        <v>99.374166666666667</v>
      </c>
      <c r="S378" s="1966">
        <f ca="1">OFFSET('Q1'!$F290,0,4*(COLUMN()-6))</f>
        <v>99.949166666666656</v>
      </c>
      <c r="T378" s="1966">
        <f ca="1">OFFSET('Q1'!$F290,0,4*(COLUMN()-6))</f>
        <v>99.887499999999989</v>
      </c>
      <c r="U378" s="1966">
        <f ca="1">OFFSET('Q1'!$F290,0,4*(COLUMN()-6))</f>
        <v>101.4025</v>
      </c>
      <c r="V378" s="1966">
        <f ca="1">OFFSET('Q1'!$F290,0,4*(COLUMN()-6))</f>
        <v>102.31083333333333</v>
      </c>
      <c r="W378" s="1966">
        <f ca="1">OFFSET('Q1'!$F290,0,4*(COLUMN()-6))</f>
        <v>101.82416666666666</v>
      </c>
      <c r="X378" s="1966">
        <f ca="1">OFFSET('Q1'!$F290,0,4*(COLUMN()-6))</f>
        <v>100.82083333333334</v>
      </c>
      <c r="Y378" s="1966">
        <f ca="1">OFFSET('Q1'!$F290,0,4*(COLUMN()-6))</f>
        <v>100.04499999999999</v>
      </c>
      <c r="Z378" s="1966">
        <f ca="1">OFFSET('Q1'!$F290,0,4*(COLUMN()-6))</f>
        <v>99.657499999999999</v>
      </c>
      <c r="AA378" s="1966">
        <f ca="1">OFFSET('Q1'!$F290,0,4*(COLUMN()-6))</f>
        <v>100.00083333333333</v>
      </c>
      <c r="AB378" s="1966">
        <f ca="1">OFFSET('Q1'!$F290,0,4*(COLUMN()-6))</f>
        <v>101.08916666666666</v>
      </c>
      <c r="AC378" s="1966">
        <f ca="1">OFFSET('Q1'!$F290,0,4*(COLUMN()-6))</f>
        <v>101.19</v>
      </c>
      <c r="AD378" s="1966">
        <f ca="1">OFFSET('Q1'!$F290,0,4*(COLUMN()-6))</f>
        <v>101.34324416666666</v>
      </c>
      <c r="AE378" s="1966">
        <f ca="1">OFFSET('Q1'!$F290,0,4*(COLUMN()-6))</f>
        <v>101.52536707749999</v>
      </c>
      <c r="AF378" s="1966">
        <f ca="1">OFFSET('Q1'!$F290,0,4*(COLUMN()-6))</f>
        <v>101.6246004435329</v>
      </c>
    </row>
    <row r="379" spans="1:32" ht="12.75">
      <c r="A379" s="701"/>
      <c r="B379" s="702">
        <v>173</v>
      </c>
      <c r="C379" s="1529"/>
      <c r="D379" s="1"/>
      <c r="E379" s="1" t="s">
        <v>1681</v>
      </c>
      <c r="F379" s="1530"/>
      <c r="G379" s="1102"/>
      <c r="H379" s="1102">
        <f ca="1">OFFSET('Q1'!$F291,0,4*(COLUMN()-6))</f>
        <v>57.506666666666675</v>
      </c>
      <c r="I379" s="1102">
        <f ca="1">OFFSET('Q1'!$F291,0,4*(COLUMN()-6))</f>
        <v>60.285000000000004</v>
      </c>
      <c r="J379" s="1102">
        <f ca="1">OFFSET('Q1'!$F291,0,4*(COLUMN()-6))</f>
        <v>60.3125</v>
      </c>
      <c r="K379" s="1102">
        <f ca="1">OFFSET('Q1'!$F291,0,4*(COLUMN()-6))</f>
        <v>60.196666666666665</v>
      </c>
      <c r="L379" s="1102">
        <f ca="1">OFFSET('Q1'!$F291,0,4*(COLUMN()-6))</f>
        <v>64.098333333333329</v>
      </c>
      <c r="M379" s="1102">
        <f ca="1">OFFSET('Q1'!$F291,0,4*(COLUMN()-6))</f>
        <v>68.150833333333324</v>
      </c>
      <c r="N379" s="1102">
        <f ca="1">OFFSET('Q1'!$F291,0,4*(COLUMN()-6))</f>
        <v>69.346666666666664</v>
      </c>
      <c r="O379" s="1102">
        <f ca="1">OFFSET('Q1'!$F291,0,4*(COLUMN()-6))</f>
        <v>76.847500000000011</v>
      </c>
      <c r="P379" s="1102">
        <f ca="1">OFFSET('Q1'!$F291,0,4*(COLUMN()-6))</f>
        <v>79.355833333333337</v>
      </c>
      <c r="Q379" s="1102">
        <f ca="1">OFFSET('Q1'!$F291,0,4*(COLUMN()-6))</f>
        <v>83.764999999999986</v>
      </c>
      <c r="R379" s="1102">
        <f ca="1">OFFSET('Q1'!$F291,0,4*(COLUMN()-6))</f>
        <v>89.561666666666667</v>
      </c>
      <c r="S379" s="1102">
        <f ca="1">OFFSET('Q1'!$F291,0,4*(COLUMN()-6))</f>
        <v>89.998333333333335</v>
      </c>
      <c r="T379" s="1102">
        <f ca="1">OFFSET('Q1'!$F291,0,4*(COLUMN()-6))</f>
        <v>98.525833333333338</v>
      </c>
      <c r="U379" s="1102">
        <f ca="1">OFFSET('Q1'!$F291,0,4*(COLUMN()-6))</f>
        <v>97.702500000000001</v>
      </c>
      <c r="V379" s="1102">
        <f ca="1">OFFSET('Q1'!$F291,0,4*(COLUMN()-6))</f>
        <v>103.06166666666667</v>
      </c>
      <c r="W379" s="1102">
        <f ca="1">OFFSET('Q1'!$F291,0,4*(COLUMN()-6))</f>
        <v>107.96583333333332</v>
      </c>
      <c r="X379" s="1102">
        <f ca="1">OFFSET('Q1'!$F291,0,4*(COLUMN()-6))</f>
        <v>108.55499999999999</v>
      </c>
      <c r="Y379" s="1102">
        <f ca="1">OFFSET('Q1'!$F291,0,4*(COLUMN()-6))</f>
        <v>107.08750000000001</v>
      </c>
      <c r="Z379" s="1102">
        <f ca="1">OFFSET('Q1'!$F291,0,4*(COLUMN()-6))</f>
        <v>104.89416666666665</v>
      </c>
      <c r="AA379" s="1102">
        <f ca="1">OFFSET('Q1'!$F291,0,4*(COLUMN()-6))</f>
        <v>100.00166666666667</v>
      </c>
      <c r="AB379" s="1102">
        <f ca="1">OFFSET('Q1'!$F291,0,4*(COLUMN()-6))</f>
        <v>101.04666666666668</v>
      </c>
      <c r="AC379" s="1102">
        <f ca="1">OFFSET('Q1'!$F291,0,4*(COLUMN()-6))</f>
        <v>106.40416666666667</v>
      </c>
      <c r="AD379" s="1102">
        <f ca="1">OFFSET('Q1'!$F291,0,4*(COLUMN()-6))</f>
        <v>116.8212</v>
      </c>
      <c r="AE379" s="1102">
        <f ca="1">OFFSET('Q1'!$F291,0,4*(COLUMN()-6))</f>
        <v>123.61814587155187</v>
      </c>
      <c r="AF379" s="1102">
        <f ca="1">OFFSET('Q1'!$F291,0,4*(COLUMN()-6))</f>
        <v>124.88057372260626</v>
      </c>
    </row>
    <row r="380" spans="1:32" ht="12.75">
      <c r="A380" s="701"/>
      <c r="B380" s="702">
        <v>175</v>
      </c>
      <c r="C380" s="1529"/>
      <c r="D380" s="1"/>
      <c r="E380" s="1" t="s">
        <v>1683</v>
      </c>
      <c r="F380" s="3"/>
      <c r="G380" s="1102"/>
      <c r="H380" s="1102">
        <f ca="1">OFFSET('Q1'!$F292,0,4*(COLUMN()-6))</f>
        <v>70.194166666666675</v>
      </c>
      <c r="I380" s="1102">
        <f ca="1">OFFSET('Q1'!$F292,0,4*(COLUMN()-6))</f>
        <v>69.862499999999997</v>
      </c>
      <c r="J380" s="1102">
        <f ca="1">OFFSET('Q1'!$F292,0,4*(COLUMN()-6))</f>
        <v>70.775000000000006</v>
      </c>
      <c r="K380" s="1102">
        <f ca="1">OFFSET('Q1'!$F292,0,4*(COLUMN()-6))</f>
        <v>72.212499999999991</v>
      </c>
      <c r="L380" s="1102">
        <f ca="1">OFFSET('Q1'!$F292,0,4*(COLUMN()-6))</f>
        <v>72.081666666666663</v>
      </c>
      <c r="M380" s="1102">
        <f ca="1">OFFSET('Q1'!$F292,0,4*(COLUMN()-6))</f>
        <v>76.963333333333338</v>
      </c>
      <c r="N380" s="1102">
        <f ca="1">OFFSET('Q1'!$F292,0,4*(COLUMN()-6))</f>
        <v>80.45416666666668</v>
      </c>
      <c r="O380" s="1102">
        <f ca="1">OFFSET('Q1'!$F292,0,4*(COLUMN()-6))</f>
        <v>80.272500000000008</v>
      </c>
      <c r="P380" s="1102">
        <f ca="1">OFFSET('Q1'!$F292,0,4*(COLUMN()-6))</f>
        <v>79.814166666666665</v>
      </c>
      <c r="Q380" s="1102">
        <f ca="1">OFFSET('Q1'!$F292,0,4*(COLUMN()-6))</f>
        <v>79.977500000000006</v>
      </c>
      <c r="R380" s="1102">
        <f ca="1">OFFSET('Q1'!$F292,0,4*(COLUMN()-6))</f>
        <v>82.036666666666662</v>
      </c>
      <c r="S380" s="1102">
        <f ca="1">OFFSET('Q1'!$F292,0,4*(COLUMN()-6))</f>
        <v>83.83</v>
      </c>
      <c r="T380" s="1102">
        <f ca="1">OFFSET('Q1'!$F292,0,4*(COLUMN()-6))</f>
        <v>89.254999999999995</v>
      </c>
      <c r="U380" s="1102">
        <f ca="1">OFFSET('Q1'!$F292,0,4*(COLUMN()-6))</f>
        <v>92.158333333333331</v>
      </c>
      <c r="V380" s="1102">
        <f ca="1">OFFSET('Q1'!$F292,0,4*(COLUMN()-6))</f>
        <v>92.986666666666665</v>
      </c>
      <c r="W380" s="1102">
        <f ca="1">OFFSET('Q1'!$F292,0,4*(COLUMN()-6))</f>
        <v>91.350000000000009</v>
      </c>
      <c r="X380" s="1102">
        <f ca="1">OFFSET('Q1'!$F292,0,4*(COLUMN()-6))</f>
        <v>92.840833333333336</v>
      </c>
      <c r="Y380" s="1102">
        <f ca="1">OFFSET('Q1'!$F292,0,4*(COLUMN()-6))</f>
        <v>96.08</v>
      </c>
      <c r="Z380" s="1102">
        <f ca="1">OFFSET('Q1'!$F292,0,4*(COLUMN()-6))</f>
        <v>96.066666666666663</v>
      </c>
      <c r="AA380" s="1102">
        <f ca="1">OFFSET('Q1'!$F292,0,4*(COLUMN()-6))</f>
        <v>100</v>
      </c>
      <c r="AB380" s="1102">
        <f ca="1">OFFSET('Q1'!$F292,0,4*(COLUMN()-6))</f>
        <v>102.59333333333335</v>
      </c>
      <c r="AC380" s="1102">
        <f ca="1">OFFSET('Q1'!$F292,0,4*(COLUMN()-6))</f>
        <v>104.90083333333334</v>
      </c>
      <c r="AD380" s="1102">
        <f ca="1">OFFSET('Q1'!$F292,0,4*(COLUMN()-6))</f>
        <v>108.49906666666666</v>
      </c>
      <c r="AE380" s="1102">
        <f ca="1">OFFSET('Q1'!$F292,0,4*(COLUMN()-6))</f>
        <v>111.61266546666666</v>
      </c>
      <c r="AF380" s="1102">
        <f ca="1">OFFSET('Q1'!$F292,0,4*(COLUMN()-6))</f>
        <v>113.68185169223332</v>
      </c>
    </row>
    <row r="381" spans="1:32" ht="12.75">
      <c r="A381" s="701"/>
      <c r="B381" s="702">
        <v>174</v>
      </c>
      <c r="C381" s="1529"/>
      <c r="D381" s="1"/>
      <c r="E381" s="1" t="s">
        <v>1682</v>
      </c>
      <c r="F381" s="1530"/>
      <c r="G381" s="1102"/>
      <c r="H381" s="1102">
        <f ca="1">OFFSET('Q1'!$F293,0,4*(COLUMN()-6))</f>
        <v>69.174999999999997</v>
      </c>
      <c r="I381" s="1102">
        <f ca="1">OFFSET('Q1'!$F293,0,4*(COLUMN()-6))</f>
        <v>72.355000000000004</v>
      </c>
      <c r="J381" s="1102">
        <f ca="1">OFFSET('Q1'!$F293,0,4*(COLUMN()-6))</f>
        <v>74.52000000000001</v>
      </c>
      <c r="K381" s="1102">
        <f ca="1">OFFSET('Q1'!$F293,0,4*(COLUMN()-6))</f>
        <v>74.031666666666666</v>
      </c>
      <c r="L381" s="1102">
        <f ca="1">OFFSET('Q1'!$F293,0,4*(COLUMN()-6))</f>
        <v>74.889166666666668</v>
      </c>
      <c r="M381" s="1102">
        <f ca="1">OFFSET('Q1'!$F293,0,4*(COLUMN()-6))</f>
        <v>75.63666666666667</v>
      </c>
      <c r="N381" s="1102">
        <f ca="1">OFFSET('Q1'!$F293,0,4*(COLUMN()-6))</f>
        <v>77.180000000000007</v>
      </c>
      <c r="O381" s="1102">
        <f ca="1">OFFSET('Q1'!$F293,0,4*(COLUMN()-6))</f>
        <v>78.205833333333331</v>
      </c>
      <c r="P381" s="1102">
        <f ca="1">OFFSET('Q1'!$F293,0,4*(COLUMN()-6))</f>
        <v>78.449166666666656</v>
      </c>
      <c r="Q381" s="1102">
        <f ca="1">OFFSET('Q1'!$F293,0,4*(COLUMN()-6))</f>
        <v>77.870833333333337</v>
      </c>
      <c r="R381" s="1102">
        <f ca="1">OFFSET('Q1'!$F293,0,4*(COLUMN()-6))</f>
        <v>77.986666666666665</v>
      </c>
      <c r="S381" s="1102">
        <f ca="1">OFFSET('Q1'!$F293,0,4*(COLUMN()-6))</f>
        <v>80.88000000000001</v>
      </c>
      <c r="T381" s="1102">
        <f ca="1">OFFSET('Q1'!$F293,0,4*(COLUMN()-6))</f>
        <v>87.026666666666657</v>
      </c>
      <c r="U381" s="1102">
        <f ca="1">OFFSET('Q1'!$F293,0,4*(COLUMN()-6))</f>
        <v>89.38666666666667</v>
      </c>
      <c r="V381" s="1102">
        <f ca="1">OFFSET('Q1'!$F293,0,4*(COLUMN()-6))</f>
        <v>90.98833333333333</v>
      </c>
      <c r="W381" s="1102">
        <f ca="1">OFFSET('Q1'!$F293,0,4*(COLUMN()-6))</f>
        <v>93.465833333333322</v>
      </c>
      <c r="X381" s="1102">
        <f ca="1">OFFSET('Q1'!$F293,0,4*(COLUMN()-6))</f>
        <v>95.688333333333318</v>
      </c>
      <c r="Y381" s="1102">
        <f ca="1">OFFSET('Q1'!$F293,0,4*(COLUMN()-6))</f>
        <v>96.952500000000001</v>
      </c>
      <c r="Z381" s="1102">
        <f ca="1">OFFSET('Q1'!$F293,0,4*(COLUMN()-6))</f>
        <v>97.960833333333341</v>
      </c>
      <c r="AA381" s="1102">
        <f ca="1">OFFSET('Q1'!$F293,0,4*(COLUMN()-6))</f>
        <v>100.00083333333333</v>
      </c>
      <c r="AB381" s="1102">
        <f ca="1">OFFSET('Q1'!$F293,0,4*(COLUMN()-6))</f>
        <v>100.50833333333333</v>
      </c>
      <c r="AC381" s="1102">
        <f ca="1">OFFSET('Q1'!$F293,0,4*(COLUMN()-6))</f>
        <v>102.59416666666668</v>
      </c>
      <c r="AD381" s="1102">
        <f ca="1">OFFSET('Q1'!$F293,0,4*(COLUMN()-6))</f>
        <v>104.54054208333335</v>
      </c>
      <c r="AE381" s="1102">
        <f ca="1">OFFSET('Q1'!$F293,0,4*(COLUMN()-6))</f>
        <v>106.72873700512501</v>
      </c>
      <c r="AF381" s="1102">
        <f ca="1">OFFSET('Q1'!$F293,0,4*(COLUMN()-6))</f>
        <v>108.945527655227</v>
      </c>
    </row>
    <row r="382" spans="1:32" ht="12.75">
      <c r="A382" s="701"/>
      <c r="B382" s="702">
        <v>176</v>
      </c>
      <c r="C382" s="1533"/>
      <c r="D382" s="113"/>
      <c r="E382" s="113" t="s">
        <v>1684</v>
      </c>
      <c r="F382" s="1531"/>
      <c r="G382" s="1564"/>
      <c r="H382" s="1564">
        <f ca="1">OFFSET('Q1'!$F294,0,4*(COLUMN()-6))</f>
        <v>69.989166666666662</v>
      </c>
      <c r="I382" s="1564">
        <f ca="1">OFFSET('Q1'!$F294,0,4*(COLUMN()-6))</f>
        <v>71.715833333333336</v>
      </c>
      <c r="J382" s="1564">
        <f ca="1">OFFSET('Q1'!$F294,0,4*(COLUMN()-6))</f>
        <v>73.039999999999992</v>
      </c>
      <c r="K382" s="1564">
        <f ca="1">OFFSET('Q1'!$F294,0,4*(COLUMN()-6))</f>
        <v>74.34</v>
      </c>
      <c r="L382" s="1564">
        <f ca="1">OFFSET('Q1'!$F294,0,4*(COLUMN()-6))</f>
        <v>75.092500000000001</v>
      </c>
      <c r="M382" s="1564">
        <f ca="1">OFFSET('Q1'!$F294,0,4*(COLUMN()-6))</f>
        <v>77.390833333333333</v>
      </c>
      <c r="N382" s="1564">
        <f ca="1">OFFSET('Q1'!$F294,0,4*(COLUMN()-6))</f>
        <v>79.154166666666683</v>
      </c>
      <c r="O382" s="1564">
        <f ca="1">OFFSET('Q1'!$F294,0,4*(COLUMN()-6))</f>
        <v>81.084166666666675</v>
      </c>
      <c r="P382" s="1564">
        <f ca="1">OFFSET('Q1'!$F294,0,4*(COLUMN()-6))</f>
        <v>83.085833333333326</v>
      </c>
      <c r="Q382" s="1564">
        <f ca="1">OFFSET('Q1'!$F294,0,4*(COLUMN()-6))</f>
        <v>84.446666666666673</v>
      </c>
      <c r="R382" s="1564">
        <f ca="1">OFFSET('Q1'!$F294,0,4*(COLUMN()-6))</f>
        <v>85.575833333333335</v>
      </c>
      <c r="S382" s="1564">
        <f ca="1">OFFSET('Q1'!$F294,0,4*(COLUMN()-6))</f>
        <v>87.399999999999991</v>
      </c>
      <c r="T382" s="1564">
        <f ca="1">OFFSET('Q1'!$F294,0,4*(COLUMN()-6))</f>
        <v>89.32</v>
      </c>
      <c r="U382" s="1564">
        <f ca="1">OFFSET('Q1'!$F294,0,4*(COLUMN()-6))</f>
        <v>91.681666666666658</v>
      </c>
      <c r="V382" s="1564">
        <f ca="1">OFFSET('Q1'!$F294,0,4*(COLUMN()-6))</f>
        <v>93.350833333333327</v>
      </c>
      <c r="W382" s="1564">
        <f ca="1">OFFSET('Q1'!$F294,0,4*(COLUMN()-6))</f>
        <v>94.94083333333333</v>
      </c>
      <c r="X382" s="1564">
        <f ca="1">OFFSET('Q1'!$F294,0,4*(COLUMN()-6))</f>
        <v>96.679999999999993</v>
      </c>
      <c r="Y382" s="1564">
        <f ca="1">OFFSET('Q1'!$F294,0,4*(COLUMN()-6))</f>
        <v>97.75833333333334</v>
      </c>
      <c r="Z382" s="1564">
        <f ca="1">OFFSET('Q1'!$F294,0,4*(COLUMN()-6))</f>
        <v>98.685833333333335</v>
      </c>
      <c r="AA382" s="1564">
        <f ca="1">OFFSET('Q1'!$F294,0,4*(COLUMN()-6))</f>
        <v>99.999166666666667</v>
      </c>
      <c r="AB382" s="1564">
        <f ca="1">OFFSET('Q1'!$F294,0,4*(COLUMN()-6))</f>
        <v>101.25000000000001</v>
      </c>
      <c r="AC382" s="1564">
        <f ca="1">OFFSET('Q1'!$F294,0,4*(COLUMN()-6))</f>
        <v>103.51416666666667</v>
      </c>
      <c r="AD382" s="1564">
        <f ca="1">OFFSET('Q1'!$F294,0,4*(COLUMN()-6))</f>
        <v>105.25701099999999</v>
      </c>
      <c r="AE382" s="1564">
        <f ca="1">OFFSET('Q1'!$F294,0,4*(COLUMN()-6))</f>
        <v>107.4182743563</v>
      </c>
      <c r="AF382" s="1564">
        <f ca="1">OFFSET('Q1'!$F294,0,4*(COLUMN()-6))</f>
        <v>110.16901297172068</v>
      </c>
    </row>
    <row r="383" spans="1:32" ht="12.75">
      <c r="A383" s="701"/>
      <c r="C383" s="545"/>
      <c r="D383" s="2026"/>
      <c r="E383" s="45" t="s">
        <v>1628</v>
      </c>
      <c r="F383" s="1525"/>
      <c r="G383" s="1574"/>
      <c r="H383" s="1574">
        <f ca="1">OFFSET('Q1'!$F296,0,4*(COLUMN()-6))</f>
        <v>76.158333333333331</v>
      </c>
      <c r="I383" s="1574">
        <f ca="1">OFFSET('Q1'!$F296,0,4*(COLUMN()-6))</f>
        <v>77.539166666666674</v>
      </c>
      <c r="J383" s="1574">
        <f ca="1">OFFSET('Q1'!$F296,0,4*(COLUMN()-6))</f>
        <v>78.317499999999995</v>
      </c>
      <c r="K383" s="1574">
        <f ca="1">OFFSET('Q1'!$F296,0,4*(COLUMN()-6))</f>
        <v>78.759166666666673</v>
      </c>
      <c r="L383" s="1574">
        <f ca="1">OFFSET('Q1'!$F296,0,4*(COLUMN()-6))</f>
        <v>79.778333333333336</v>
      </c>
      <c r="M383" s="1574">
        <f ca="1">OFFSET('Q1'!$F296,0,4*(COLUMN()-6))</f>
        <v>81.916666666666671</v>
      </c>
      <c r="N383" s="1574">
        <f ca="1">OFFSET('Q1'!$F296,0,4*(COLUMN()-6))</f>
        <v>83.504999999999995</v>
      </c>
      <c r="O383" s="1574">
        <f ca="1">OFFSET('Q1'!$F296,0,4*(COLUMN()-6))</f>
        <v>85.441666666666677</v>
      </c>
      <c r="P383" s="1574">
        <f ca="1">OFFSET('Q1'!$F296,0,4*(COLUMN()-6))</f>
        <v>86.314999999999998</v>
      </c>
      <c r="Q383" s="1574">
        <f ca="1">OFFSET('Q1'!$F296,0,4*(COLUMN()-6))</f>
        <v>87.034166666666664</v>
      </c>
      <c r="R383" s="1574">
        <f ca="1">OFFSET('Q1'!$F296,0,4*(COLUMN()-6))</f>
        <v>88.336666666666673</v>
      </c>
      <c r="S383" s="1574">
        <f ca="1">OFFSET('Q1'!$F296,0,4*(COLUMN()-6))</f>
        <v>89.817499999999995</v>
      </c>
      <c r="T383" s="1574">
        <f ca="1">OFFSET('Q1'!$F296,0,4*(COLUMN()-6))</f>
        <v>92.825000000000003</v>
      </c>
      <c r="U383" s="1574">
        <f ca="1">OFFSET('Q1'!$F296,0,4*(COLUMN()-6))</f>
        <v>94.626666666666679</v>
      </c>
      <c r="V383" s="1574">
        <f ca="1">OFFSET('Q1'!$F296,0,4*(COLUMN()-6))</f>
        <v>96.430833333333325</v>
      </c>
      <c r="W383" s="1574">
        <f ca="1">OFFSET('Q1'!$F296,0,4*(COLUMN()-6))</f>
        <v>97.746666666666684</v>
      </c>
      <c r="X383" s="1574">
        <f ca="1">OFFSET('Q1'!$F296,0,4*(COLUMN()-6))</f>
        <v>98.663333333333327</v>
      </c>
      <c r="Y383" s="1574">
        <f ca="1">OFFSET('Q1'!$F296,0,4*(COLUMN()-6))</f>
        <v>99.098333333333329</v>
      </c>
      <c r="Z383" s="1574">
        <f ca="1">OFFSET('Q1'!$F296,0,4*(COLUMN()-6))</f>
        <v>99.302500000000009</v>
      </c>
      <c r="AA383" s="1574">
        <f ca="1">OFFSET('Q1'!$F296,0,4*(COLUMN()-6))</f>
        <v>100</v>
      </c>
      <c r="AB383" s="1574">
        <f ca="1">OFFSET('Q1'!$F296,0,4*(COLUMN()-6))</f>
        <v>101.13583333333335</v>
      </c>
      <c r="AC383" s="1574">
        <f ca="1">OFFSET('Q1'!$F296,0,4*(COLUMN()-6))</f>
        <v>103.02333333333334</v>
      </c>
      <c r="AD383" s="1574">
        <f ca="1">OFFSET('Q1'!$F296,0,4*(COLUMN()-6))</f>
        <v>105.17489965213923</v>
      </c>
      <c r="AE383" s="1574">
        <f ca="1">OFFSET('Q1'!$F296,0,4*(COLUMN()-6))</f>
        <v>107.1770039287662</v>
      </c>
      <c r="AF383" s="1574">
        <f ca="1">OFFSET('Q1'!$F296,0,4*(COLUMN()-6))</f>
        <v>108.88911326812135</v>
      </c>
    </row>
    <row r="384" spans="1:32" ht="12.75">
      <c r="A384" s="701"/>
      <c r="B384" s="702">
        <v>177</v>
      </c>
      <c r="C384" s="545"/>
      <c r="D384" s="2026"/>
      <c r="E384" s="45" t="s">
        <v>1945</v>
      </c>
      <c r="F384" s="1525"/>
      <c r="G384" s="1574"/>
      <c r="H384" s="1574">
        <f ca="1">OFFSET('Q1'!$F299,0,4*(COLUMN()-6))</f>
        <v>79.961666666666673</v>
      </c>
      <c r="I384" s="1574">
        <f ca="1">OFFSET('Q1'!$F299,0,4*(COLUMN()-6))</f>
        <v>81.211666666666673</v>
      </c>
      <c r="J384" s="1574">
        <f ca="1">OFFSET('Q1'!$F299,0,4*(COLUMN()-6))</f>
        <v>82.127499999999998</v>
      </c>
      <c r="K384" s="1574">
        <f ca="1">OFFSET('Q1'!$F299,0,4*(COLUMN()-6))</f>
        <v>82.569166666666675</v>
      </c>
      <c r="L384" s="1574">
        <f ca="1">OFFSET('Q1'!$F299,0,4*(COLUMN()-6))</f>
        <v>83.152500000000003</v>
      </c>
      <c r="M384" s="1574">
        <f ca="1">OFFSET('Q1'!$F299,0,4*(COLUMN()-6))</f>
        <v>84.714166666666671</v>
      </c>
      <c r="N384" s="1574">
        <f ca="1">OFFSET('Q1'!$F299,0,4*(COLUMN()-6))</f>
        <v>86.19083333333333</v>
      </c>
      <c r="O384" s="1574">
        <f ca="1">OFFSET('Q1'!$F299,0,4*(COLUMN()-6))</f>
        <v>87.338333333333338</v>
      </c>
      <c r="P384" s="1574">
        <f ca="1">OFFSET('Q1'!$F299,0,4*(COLUMN()-6))</f>
        <v>88.036666666666676</v>
      </c>
      <c r="Q384" s="1574">
        <f ca="1">OFFSET('Q1'!$F299,0,4*(COLUMN()-6))</f>
        <v>88.214999999999989</v>
      </c>
      <c r="R384" s="1574">
        <f ca="1">OFFSET('Q1'!$F299,0,4*(COLUMN()-6))</f>
        <v>88.6875</v>
      </c>
      <c r="S384" s="1574">
        <f ca="1">OFFSET('Q1'!$F299,0,4*(COLUMN()-6))</f>
        <v>90.305833333333339</v>
      </c>
      <c r="T384" s="1574">
        <f ca="1">OFFSET('Q1'!$F299,0,4*(COLUMN()-6))</f>
        <v>92.342500000000001</v>
      </c>
      <c r="U384" s="1574">
        <f ca="1">OFFSET('Q1'!$F299,0,4*(COLUMN()-6))</f>
        <v>94.422499999999999</v>
      </c>
      <c r="V384" s="1574">
        <f ca="1">OFFSET('Q1'!$F299,0,4*(COLUMN()-6))</f>
        <v>95.851666666666688</v>
      </c>
      <c r="W384" s="1574">
        <f ca="1">OFFSET('Q1'!$F299,0,4*(COLUMN()-6))</f>
        <v>96.940833333333345</v>
      </c>
      <c r="X384" s="1574">
        <f ca="1">OFFSET('Q1'!$F299,0,4*(COLUMN()-6))</f>
        <v>97.865000000000009</v>
      </c>
      <c r="Y384" s="1574">
        <f ca="1">OFFSET('Q1'!$F299,0,4*(COLUMN()-6))</f>
        <v>98.360833333333332</v>
      </c>
      <c r="Z384" s="1574">
        <f ca="1">OFFSET('Q1'!$F299,0,4*(COLUMN()-6))</f>
        <v>98.878333333333345</v>
      </c>
      <c r="AA384" s="1574">
        <f ca="1">OFFSET('Q1'!$F299,0,4*(COLUMN()-6))</f>
        <v>99.998333333333321</v>
      </c>
      <c r="AB384" s="1574">
        <f ca="1">OFFSET('Q1'!$F299,0,4*(COLUMN()-6))</f>
        <v>101.06083333333333</v>
      </c>
      <c r="AC384" s="1574">
        <f ca="1">OFFSET('Q1'!$F299,0,4*(COLUMN()-6))</f>
        <v>102.55250000000001</v>
      </c>
      <c r="AD384" s="1574">
        <f ca="1">OFFSET('Q1'!$F299,0,4*(COLUMN()-6))</f>
        <v>103.77868574656189</v>
      </c>
      <c r="AE384" s="1574">
        <f ca="1">OFFSET('Q1'!$F299,0,4*(COLUMN()-6))</f>
        <v>105.25470141515319</v>
      </c>
      <c r="AF384" s="1574">
        <f ca="1">OFFSET('Q1'!$F299,0,4*(COLUMN()-6))</f>
        <v>106.98338858190908</v>
      </c>
    </row>
    <row r="387" spans="1:32">
      <c r="A387" s="1170"/>
      <c r="D387" s="1189"/>
      <c r="E387" s="1190" t="s">
        <v>1120</v>
      </c>
      <c r="F387" s="1191"/>
      <c r="G387" s="1181">
        <f>+InputY!$G$3</f>
        <v>1995</v>
      </c>
      <c r="H387" s="1181">
        <f>+G387+1</f>
        <v>1996</v>
      </c>
      <c r="I387" s="1181">
        <f t="shared" ref="I387:O387" si="440">+H387+1</f>
        <v>1997</v>
      </c>
      <c r="J387" s="1181">
        <f t="shared" si="440"/>
        <v>1998</v>
      </c>
      <c r="K387" s="1181">
        <f t="shared" si="440"/>
        <v>1999</v>
      </c>
      <c r="L387" s="1181">
        <f t="shared" si="440"/>
        <v>2000</v>
      </c>
      <c r="M387" s="1181">
        <f t="shared" si="440"/>
        <v>2001</v>
      </c>
      <c r="N387" s="1181">
        <f t="shared" si="440"/>
        <v>2002</v>
      </c>
      <c r="O387" s="1181">
        <f t="shared" si="440"/>
        <v>2003</v>
      </c>
      <c r="P387" s="1181">
        <f t="shared" ref="P387:AF387" si="441">+O387+1</f>
        <v>2004</v>
      </c>
      <c r="Q387" s="1181">
        <f t="shared" si="441"/>
        <v>2005</v>
      </c>
      <c r="R387" s="1181">
        <f t="shared" si="441"/>
        <v>2006</v>
      </c>
      <c r="S387" s="1181">
        <f t="shared" si="441"/>
        <v>2007</v>
      </c>
      <c r="T387" s="1181">
        <f t="shared" si="441"/>
        <v>2008</v>
      </c>
      <c r="U387" s="1181">
        <f t="shared" si="441"/>
        <v>2009</v>
      </c>
      <c r="V387" s="1181">
        <f t="shared" si="441"/>
        <v>2010</v>
      </c>
      <c r="W387" s="1181">
        <f t="shared" si="441"/>
        <v>2011</v>
      </c>
      <c r="X387" s="1181">
        <f t="shared" si="441"/>
        <v>2012</v>
      </c>
      <c r="Y387" s="1181">
        <f t="shared" si="441"/>
        <v>2013</v>
      </c>
      <c r="Z387" s="1181">
        <f t="shared" si="441"/>
        <v>2014</v>
      </c>
      <c r="AA387" s="1181">
        <f t="shared" si="441"/>
        <v>2015</v>
      </c>
      <c r="AB387" s="1181">
        <f t="shared" si="441"/>
        <v>2016</v>
      </c>
      <c r="AC387" s="1181">
        <f t="shared" si="441"/>
        <v>2017</v>
      </c>
      <c r="AD387" s="1181">
        <f t="shared" si="441"/>
        <v>2018</v>
      </c>
      <c r="AE387" s="1181">
        <f t="shared" si="441"/>
        <v>2019</v>
      </c>
      <c r="AF387" s="1181">
        <f t="shared" si="441"/>
        <v>2020</v>
      </c>
    </row>
    <row r="388" spans="1:32" ht="12.75">
      <c r="A388" s="1170"/>
      <c r="C388" s="1122" t="s">
        <v>1793</v>
      </c>
      <c r="D388" s="1126"/>
      <c r="E388" s="1127" t="s">
        <v>1998</v>
      </c>
      <c r="F388" s="1129" t="s">
        <v>1698</v>
      </c>
      <c r="G388" s="1128">
        <f>+$G$185/$G$7*100</f>
        <v>80.516440100933778</v>
      </c>
      <c r="H388" s="1128">
        <f t="shared" ref="H388:AB388" si="442">+H185/H7*100</f>
        <v>81.253397260897273</v>
      </c>
      <c r="I388" s="1128">
        <f t="shared" si="442"/>
        <v>82.420501902212521</v>
      </c>
      <c r="J388" s="1128">
        <f t="shared" si="442"/>
        <v>82.796279895541446</v>
      </c>
      <c r="K388" s="1128">
        <f t="shared" si="442"/>
        <v>84.018307292133059</v>
      </c>
      <c r="L388" s="1128">
        <f t="shared" si="442"/>
        <v>84.845636594422984</v>
      </c>
      <c r="M388" s="1128">
        <f t="shared" si="442"/>
        <v>86.671535644969637</v>
      </c>
      <c r="N388" s="1128">
        <f t="shared" si="442"/>
        <v>87.921671526465801</v>
      </c>
      <c r="O388" s="1128">
        <f t="shared" si="442"/>
        <v>89.34714624989067</v>
      </c>
      <c r="P388" s="1128">
        <f t="shared" si="442"/>
        <v>90.042644715711234</v>
      </c>
      <c r="Q388" s="1128">
        <f t="shared" si="442"/>
        <v>91.041625424451382</v>
      </c>
      <c r="R388" s="1128">
        <f t="shared" si="442"/>
        <v>92.13798473275007</v>
      </c>
      <c r="S388" s="1128">
        <f t="shared" si="442"/>
        <v>93.470153363456674</v>
      </c>
      <c r="T388" s="1128">
        <f t="shared" si="442"/>
        <v>96.388617828550068</v>
      </c>
      <c r="U388" s="1128">
        <f t="shared" si="442"/>
        <v>98.53564470082344</v>
      </c>
      <c r="V388" s="1128">
        <f t="shared" si="442"/>
        <v>100</v>
      </c>
      <c r="W388" s="1128">
        <f t="shared" si="442"/>
        <v>101.66607338761568</v>
      </c>
      <c r="X388" s="1128">
        <f t="shared" si="442"/>
        <v>102.18852122986091</v>
      </c>
      <c r="Y388" s="1128">
        <f t="shared" si="442"/>
        <v>102.91386163942984</v>
      </c>
      <c r="Z388" s="1128">
        <f t="shared" si="442"/>
        <v>104.02727981710372</v>
      </c>
      <c r="AA388" s="1128">
        <f t="shared" si="442"/>
        <v>104.93129966869144</v>
      </c>
      <c r="AB388" s="1128">
        <f t="shared" si="442"/>
        <v>105.97942468498995</v>
      </c>
      <c r="AC388" s="1128">
        <f t="shared" ref="AC388" si="443">+AC185/AC7*100</f>
        <v>107.81582444291702</v>
      </c>
      <c r="AD388" s="1128">
        <f ca="1">+AD185/AD7*100</f>
        <v>109.64869345844659</v>
      </c>
      <c r="AE388" s="1128">
        <f ca="1">+AE185/AE7*100</f>
        <v>111.51272124724019</v>
      </c>
      <c r="AF388" s="1128">
        <f ca="1">+AF185/AF7*100</f>
        <v>113.51995022969051</v>
      </c>
    </row>
    <row r="389" spans="1:32">
      <c r="Z389"/>
      <c r="AA389"/>
      <c r="AB389"/>
      <c r="AC389"/>
      <c r="AD389"/>
      <c r="AE389"/>
      <c r="AF389"/>
    </row>
    <row r="390" spans="1:32" s="736" customFormat="1" ht="12.75" customHeight="1">
      <c r="A390" s="701"/>
      <c r="B390" s="701"/>
      <c r="C390" s="811"/>
      <c r="D390" s="1132"/>
      <c r="E390" s="1133" t="s">
        <v>1120</v>
      </c>
      <c r="F390" s="1134"/>
      <c r="G390" s="933">
        <f>+InputY!$G$3</f>
        <v>1995</v>
      </c>
      <c r="H390" s="933">
        <f>+G390+1</f>
        <v>1996</v>
      </c>
      <c r="I390" s="933">
        <f t="shared" ref="I390:O390" si="444">+H390+1</f>
        <v>1997</v>
      </c>
      <c r="J390" s="933">
        <f t="shared" si="444"/>
        <v>1998</v>
      </c>
      <c r="K390" s="933">
        <f t="shared" si="444"/>
        <v>1999</v>
      </c>
      <c r="L390" s="933">
        <f t="shared" si="444"/>
        <v>2000</v>
      </c>
      <c r="M390" s="933">
        <f t="shared" si="444"/>
        <v>2001</v>
      </c>
      <c r="N390" s="933">
        <f t="shared" si="444"/>
        <v>2002</v>
      </c>
      <c r="O390" s="933">
        <f t="shared" si="444"/>
        <v>2003</v>
      </c>
      <c r="P390" s="933">
        <f t="shared" ref="P390:AF390" si="445">+O390+1</f>
        <v>2004</v>
      </c>
      <c r="Q390" s="933">
        <f t="shared" si="445"/>
        <v>2005</v>
      </c>
      <c r="R390" s="933">
        <f t="shared" si="445"/>
        <v>2006</v>
      </c>
      <c r="S390" s="933">
        <f t="shared" si="445"/>
        <v>2007</v>
      </c>
      <c r="T390" s="933">
        <f t="shared" si="445"/>
        <v>2008</v>
      </c>
      <c r="U390" s="933">
        <f t="shared" si="445"/>
        <v>2009</v>
      </c>
      <c r="V390" s="933">
        <f t="shared" si="445"/>
        <v>2010</v>
      </c>
      <c r="W390" s="933">
        <f t="shared" si="445"/>
        <v>2011</v>
      </c>
      <c r="X390" s="933">
        <f t="shared" si="445"/>
        <v>2012</v>
      </c>
      <c r="Y390" s="933">
        <f t="shared" si="445"/>
        <v>2013</v>
      </c>
      <c r="Z390" s="933">
        <f t="shared" si="445"/>
        <v>2014</v>
      </c>
      <c r="AA390" s="933">
        <f t="shared" si="445"/>
        <v>2015</v>
      </c>
      <c r="AB390" s="933">
        <f t="shared" si="445"/>
        <v>2016</v>
      </c>
      <c r="AC390" s="933">
        <f t="shared" si="445"/>
        <v>2017</v>
      </c>
      <c r="AD390" s="933">
        <f t="shared" si="445"/>
        <v>2018</v>
      </c>
      <c r="AE390" s="933">
        <f t="shared" si="445"/>
        <v>2019</v>
      </c>
      <c r="AF390" s="933">
        <f t="shared" si="445"/>
        <v>2020</v>
      </c>
    </row>
    <row r="391" spans="1:32" s="736" customFormat="1" ht="12.75" customHeight="1">
      <c r="A391" s="701"/>
      <c r="B391" s="701"/>
      <c r="C391" s="835" t="s">
        <v>1793</v>
      </c>
      <c r="D391" s="870"/>
      <c r="E391" s="871" t="s">
        <v>1998</v>
      </c>
      <c r="F391" s="1154" t="s">
        <v>1698</v>
      </c>
      <c r="G391" s="1155"/>
      <c r="H391" s="1155">
        <f>+(H388/G388-1)*100</f>
        <v>0.91528780835274937</v>
      </c>
      <c r="I391" s="1155">
        <f t="shared" ref="I391:Y391" si="446">+(I388/H388-1)*100</f>
        <v>1.4363764232131482</v>
      </c>
      <c r="J391" s="1155">
        <f t="shared" si="446"/>
        <v>0.45592781487155953</v>
      </c>
      <c r="K391" s="1155">
        <f t="shared" si="446"/>
        <v>1.4759448107250384</v>
      </c>
      <c r="L391" s="1155">
        <f t="shared" si="446"/>
        <v>0.98470122638067981</v>
      </c>
      <c r="M391" s="1155">
        <f t="shared" si="446"/>
        <v>2.1520246931197695</v>
      </c>
      <c r="N391" s="1155">
        <f t="shared" si="446"/>
        <v>1.4423834447990558</v>
      </c>
      <c r="O391" s="1155">
        <f t="shared" si="446"/>
        <v>1.6213007540419433</v>
      </c>
      <c r="P391" s="1155">
        <f t="shared" si="446"/>
        <v>0.77842269732415481</v>
      </c>
      <c r="Q391" s="1155">
        <f t="shared" si="446"/>
        <v>1.1094528730183351</v>
      </c>
      <c r="R391" s="1155">
        <f t="shared" si="446"/>
        <v>1.2042396026952229</v>
      </c>
      <c r="S391" s="1155">
        <f t="shared" si="446"/>
        <v>1.4458408598480021</v>
      </c>
      <c r="T391" s="1155">
        <f t="shared" si="446"/>
        <v>3.12234907087936</v>
      </c>
      <c r="U391" s="1155">
        <f t="shared" si="446"/>
        <v>2.2274693015023495</v>
      </c>
      <c r="V391" s="1155">
        <f t="shared" si="446"/>
        <v>1.4861173371551795</v>
      </c>
      <c r="W391" s="1155">
        <f t="shared" si="446"/>
        <v>1.6660733876156852</v>
      </c>
      <c r="X391" s="1155">
        <f t="shared" si="446"/>
        <v>0.51388612231861863</v>
      </c>
      <c r="Y391" s="1155">
        <f t="shared" si="446"/>
        <v>0.70980615125779689</v>
      </c>
      <c r="Z391" s="1155">
        <f t="shared" ref="Z391:AC391" si="447">+(Z388/Y388-1)*100</f>
        <v>1.0818933037173073</v>
      </c>
      <c r="AA391" s="1155">
        <f t="shared" si="447"/>
        <v>0.86902190769297949</v>
      </c>
      <c r="AB391" s="1155">
        <f t="shared" si="447"/>
        <v>0.99886784935272477</v>
      </c>
      <c r="AC391" s="1155">
        <f t="shared" si="447"/>
        <v>1.7327889478410796</v>
      </c>
      <c r="AD391" s="1155">
        <f ca="1">+(AD388/AC388-1)*100</f>
        <v>1.6999999999999904</v>
      </c>
      <c r="AE391" s="1155">
        <f ca="1">+(AE388/AD388-1)*100</f>
        <v>1.7000000000000126</v>
      </c>
      <c r="AF391" s="1155">
        <f ca="1">+(AF388/AE388-1)*100</f>
        <v>1.8000000000000016</v>
      </c>
    </row>
    <row r="392" spans="1:32">
      <c r="Z392"/>
      <c r="AA392"/>
      <c r="AB392"/>
      <c r="AC392"/>
      <c r="AD392"/>
      <c r="AE392"/>
      <c r="AF392"/>
    </row>
    <row r="393" spans="1:32">
      <c r="A393" s="1170"/>
      <c r="D393" s="1189"/>
      <c r="E393" s="1190" t="s">
        <v>172</v>
      </c>
      <c r="F393" s="1191"/>
      <c r="G393" s="1181">
        <f>+InputY!$G$3</f>
        <v>1995</v>
      </c>
      <c r="H393" s="1181">
        <f>+G393+1</f>
        <v>1996</v>
      </c>
      <c r="I393" s="1181">
        <f t="shared" ref="I393:O393" si="448">+H393+1</f>
        <v>1997</v>
      </c>
      <c r="J393" s="1181">
        <f t="shared" si="448"/>
        <v>1998</v>
      </c>
      <c r="K393" s="1181">
        <f t="shared" si="448"/>
        <v>1999</v>
      </c>
      <c r="L393" s="1181">
        <f t="shared" si="448"/>
        <v>2000</v>
      </c>
      <c r="M393" s="1181">
        <f t="shared" si="448"/>
        <v>2001</v>
      </c>
      <c r="N393" s="1181">
        <f t="shared" si="448"/>
        <v>2002</v>
      </c>
      <c r="O393" s="1181">
        <f t="shared" si="448"/>
        <v>2003</v>
      </c>
      <c r="P393" s="1181">
        <f t="shared" ref="P393:AF393" si="449">+O393+1</f>
        <v>2004</v>
      </c>
      <c r="Q393" s="1181">
        <f t="shared" si="449"/>
        <v>2005</v>
      </c>
      <c r="R393" s="1181">
        <f t="shared" si="449"/>
        <v>2006</v>
      </c>
      <c r="S393" s="1181">
        <f t="shared" si="449"/>
        <v>2007</v>
      </c>
      <c r="T393" s="1181">
        <f t="shared" si="449"/>
        <v>2008</v>
      </c>
      <c r="U393" s="1181">
        <f t="shared" si="449"/>
        <v>2009</v>
      </c>
      <c r="V393" s="1181">
        <f t="shared" si="449"/>
        <v>2010</v>
      </c>
      <c r="W393" s="1181">
        <f t="shared" si="449"/>
        <v>2011</v>
      </c>
      <c r="X393" s="1181">
        <f t="shared" si="449"/>
        <v>2012</v>
      </c>
      <c r="Y393" s="1181">
        <f t="shared" si="449"/>
        <v>2013</v>
      </c>
      <c r="Z393" s="1181">
        <f t="shared" si="449"/>
        <v>2014</v>
      </c>
      <c r="AA393" s="1181">
        <f t="shared" si="449"/>
        <v>2015</v>
      </c>
      <c r="AB393" s="1181">
        <f t="shared" si="449"/>
        <v>2016</v>
      </c>
      <c r="AC393" s="1181">
        <f t="shared" si="449"/>
        <v>2017</v>
      </c>
      <c r="AD393" s="1181">
        <f t="shared" si="449"/>
        <v>2018</v>
      </c>
      <c r="AE393" s="1181">
        <f t="shared" si="449"/>
        <v>2019</v>
      </c>
      <c r="AF393" s="1181">
        <f t="shared" si="449"/>
        <v>2020</v>
      </c>
    </row>
    <row r="394" spans="1:32" ht="12.75">
      <c r="A394" s="1170"/>
      <c r="C394" s="1122" t="s">
        <v>1791</v>
      </c>
      <c r="D394" s="1126"/>
      <c r="E394" s="1127" t="s">
        <v>1998</v>
      </c>
      <c r="F394" s="1129" t="s">
        <v>1916</v>
      </c>
      <c r="G394" s="1128">
        <f t="shared" ref="G394:AB394" si="450">+G193/G13*100</f>
        <v>62.36798049152209</v>
      </c>
      <c r="H394" s="1128">
        <f t="shared" si="450"/>
        <v>64.981020294735643</v>
      </c>
      <c r="I394" s="1128">
        <f t="shared" si="450"/>
        <v>66.965034115889125</v>
      </c>
      <c r="J394" s="1128">
        <f t="shared" si="450"/>
        <v>68.012431720464917</v>
      </c>
      <c r="K394" s="1128">
        <f t="shared" si="450"/>
        <v>70.325203025973849</v>
      </c>
      <c r="L394" s="1128">
        <f t="shared" si="450"/>
        <v>72.839869987328214</v>
      </c>
      <c r="M394" s="1128">
        <f t="shared" si="450"/>
        <v>76.271117123826215</v>
      </c>
      <c r="N394" s="1128">
        <f t="shared" si="450"/>
        <v>79.826565629609121</v>
      </c>
      <c r="O394" s="1128">
        <f t="shared" si="450"/>
        <v>83.384579833827502</v>
      </c>
      <c r="P394" s="1128">
        <f t="shared" si="450"/>
        <v>85.105945927847046</v>
      </c>
      <c r="Q394" s="1128">
        <f t="shared" si="450"/>
        <v>87.405903053521811</v>
      </c>
      <c r="R394" s="1128">
        <f t="shared" si="450"/>
        <v>90.651593615508077</v>
      </c>
      <c r="S394" s="1128">
        <f t="shared" si="450"/>
        <v>93.978029158406287</v>
      </c>
      <c r="T394" s="1128">
        <f t="shared" si="450"/>
        <v>97.403337007364485</v>
      </c>
      <c r="U394" s="1128">
        <f t="shared" si="450"/>
        <v>98.364574981911161</v>
      </c>
      <c r="V394" s="1128">
        <f t="shared" si="450"/>
        <v>100</v>
      </c>
      <c r="W394" s="1128">
        <f t="shared" si="450"/>
        <v>103.03494647009488</v>
      </c>
      <c r="X394" s="1128">
        <f t="shared" si="450"/>
        <v>105.67882747144644</v>
      </c>
      <c r="Y394" s="1128">
        <f t="shared" si="450"/>
        <v>108.45368783740147</v>
      </c>
      <c r="Z394" s="1128">
        <f t="shared" si="450"/>
        <v>111.02324642895471</v>
      </c>
      <c r="AA394" s="1128">
        <f t="shared" si="450"/>
        <v>114.20430718912347</v>
      </c>
      <c r="AB394" s="1128">
        <f t="shared" si="450"/>
        <v>117.02064730760998</v>
      </c>
      <c r="AC394" s="1128">
        <f t="shared" ref="AC394" si="451">+AC193/AC13*100</f>
        <v>121.2969882419076</v>
      </c>
      <c r="AD394" s="1128">
        <f ca="1">+AD193/AD13*100</f>
        <v>125.42108584213247</v>
      </c>
      <c r="AE394" s="1128">
        <f ca="1">+AE193/AE13*100</f>
        <v>128.93287624571218</v>
      </c>
      <c r="AF394" s="1128">
        <f ca="1">+AF193/AF13*100</f>
        <v>132.28513102810072</v>
      </c>
    </row>
    <row r="395" spans="1:32">
      <c r="Z395"/>
      <c r="AA395"/>
      <c r="AB395"/>
      <c r="AC395"/>
      <c r="AD395"/>
      <c r="AE395"/>
      <c r="AF395"/>
    </row>
    <row r="396" spans="1:32" s="736" customFormat="1" ht="12.75" customHeight="1">
      <c r="A396" s="701"/>
      <c r="B396" s="701"/>
      <c r="C396" s="811"/>
      <c r="D396" s="1132"/>
      <c r="E396" s="1133" t="s">
        <v>172</v>
      </c>
      <c r="F396" s="1134"/>
      <c r="G396" s="933">
        <f>+InputY!$G$3</f>
        <v>1995</v>
      </c>
      <c r="H396" s="933">
        <f>+G396+1</f>
        <v>1996</v>
      </c>
      <c r="I396" s="933">
        <f t="shared" ref="I396:O396" si="452">+H396+1</f>
        <v>1997</v>
      </c>
      <c r="J396" s="933">
        <f t="shared" si="452"/>
        <v>1998</v>
      </c>
      <c r="K396" s="933">
        <f t="shared" si="452"/>
        <v>1999</v>
      </c>
      <c r="L396" s="933">
        <f t="shared" si="452"/>
        <v>2000</v>
      </c>
      <c r="M396" s="933">
        <f t="shared" si="452"/>
        <v>2001</v>
      </c>
      <c r="N396" s="933">
        <f t="shared" si="452"/>
        <v>2002</v>
      </c>
      <c r="O396" s="933">
        <f t="shared" si="452"/>
        <v>2003</v>
      </c>
      <c r="P396" s="933">
        <f t="shared" ref="P396:AF396" si="453">+O396+1</f>
        <v>2004</v>
      </c>
      <c r="Q396" s="933">
        <f t="shared" si="453"/>
        <v>2005</v>
      </c>
      <c r="R396" s="933">
        <f t="shared" si="453"/>
        <v>2006</v>
      </c>
      <c r="S396" s="933">
        <f t="shared" si="453"/>
        <v>2007</v>
      </c>
      <c r="T396" s="933">
        <f t="shared" si="453"/>
        <v>2008</v>
      </c>
      <c r="U396" s="933">
        <f t="shared" si="453"/>
        <v>2009</v>
      </c>
      <c r="V396" s="933">
        <f t="shared" si="453"/>
        <v>2010</v>
      </c>
      <c r="W396" s="933">
        <f t="shared" si="453"/>
        <v>2011</v>
      </c>
      <c r="X396" s="933">
        <f t="shared" si="453"/>
        <v>2012</v>
      </c>
      <c r="Y396" s="933">
        <f t="shared" si="453"/>
        <v>2013</v>
      </c>
      <c r="Z396" s="933">
        <f t="shared" si="453"/>
        <v>2014</v>
      </c>
      <c r="AA396" s="933">
        <f t="shared" si="453"/>
        <v>2015</v>
      </c>
      <c r="AB396" s="933">
        <f t="shared" si="453"/>
        <v>2016</v>
      </c>
      <c r="AC396" s="933">
        <f t="shared" si="453"/>
        <v>2017</v>
      </c>
      <c r="AD396" s="933">
        <f t="shared" si="453"/>
        <v>2018</v>
      </c>
      <c r="AE396" s="933">
        <f t="shared" si="453"/>
        <v>2019</v>
      </c>
      <c r="AF396" s="933">
        <f t="shared" si="453"/>
        <v>2020</v>
      </c>
    </row>
    <row r="397" spans="1:32" s="736" customFormat="1" ht="12.75" customHeight="1">
      <c r="A397" s="701"/>
      <c r="B397" s="701"/>
      <c r="C397" s="835" t="s">
        <v>1791</v>
      </c>
      <c r="D397" s="870"/>
      <c r="E397" s="871" t="s">
        <v>1998</v>
      </c>
      <c r="F397" s="1154" t="s">
        <v>1916</v>
      </c>
      <c r="G397" s="1155"/>
      <c r="H397" s="1155">
        <f>(H394/G394-1)*100</f>
        <v>4.1897136681678493</v>
      </c>
      <c r="I397" s="1155">
        <f t="shared" ref="I397:Y397" si="454">(I394/H394-1)*100</f>
        <v>3.0532204821570152</v>
      </c>
      <c r="J397" s="1155">
        <f t="shared" si="454"/>
        <v>1.5640962756222621</v>
      </c>
      <c r="K397" s="1155">
        <f t="shared" si="454"/>
        <v>3.4005125930720359</v>
      </c>
      <c r="L397" s="1155">
        <f t="shared" si="454"/>
        <v>3.5757692166570765</v>
      </c>
      <c r="M397" s="1155">
        <f t="shared" si="454"/>
        <v>4.7106716927074688</v>
      </c>
      <c r="N397" s="1155">
        <f t="shared" si="454"/>
        <v>4.661592277468074</v>
      </c>
      <c r="O397" s="1155">
        <f t="shared" si="454"/>
        <v>4.4571806091813659</v>
      </c>
      <c r="P397" s="1155">
        <f t="shared" si="454"/>
        <v>2.0643698120803133</v>
      </c>
      <c r="Q397" s="1155">
        <f t="shared" si="454"/>
        <v>2.7024635007578457</v>
      </c>
      <c r="R397" s="1155">
        <f t="shared" si="454"/>
        <v>3.7133539596276632</v>
      </c>
      <c r="S397" s="1155">
        <f t="shared" si="454"/>
        <v>3.6694727695654628</v>
      </c>
      <c r="T397" s="1155">
        <f t="shared" si="454"/>
        <v>3.6447964270293509</v>
      </c>
      <c r="U397" s="1155">
        <f t="shared" si="454"/>
        <v>0.98686349367476112</v>
      </c>
      <c r="V397" s="1155">
        <f t="shared" si="454"/>
        <v>1.6626158537152103</v>
      </c>
      <c r="W397" s="1155">
        <f t="shared" si="454"/>
        <v>3.0349464700948792</v>
      </c>
      <c r="X397" s="1155">
        <f t="shared" si="454"/>
        <v>2.5660041490087382</v>
      </c>
      <c r="Y397" s="1155">
        <f t="shared" si="454"/>
        <v>2.6257486313469691</v>
      </c>
      <c r="Z397" s="1155">
        <f t="shared" ref="Z397:AC397" si="455">(Z394/Y394-1)*100</f>
        <v>2.3692680652829701</v>
      </c>
      <c r="AA397" s="1155">
        <f t="shared" si="455"/>
        <v>2.8652204493086586</v>
      </c>
      <c r="AB397" s="1155">
        <f t="shared" si="455"/>
        <v>2.4660542039124822</v>
      </c>
      <c r="AC397" s="1155">
        <f t="shared" si="455"/>
        <v>3.6543473589378594</v>
      </c>
      <c r="AD397" s="1155">
        <f ca="1">(AD394/AC394-1)*100</f>
        <v>3.400000000000003</v>
      </c>
      <c r="AE397" s="1155">
        <f ca="1">(AE394/AD394-1)*100</f>
        <v>2.8000000000000025</v>
      </c>
      <c r="AF397" s="1155">
        <f ca="1">(AF394/AE394-1)*100</f>
        <v>2.6000000000000245</v>
      </c>
    </row>
    <row r="398" spans="1:32">
      <c r="Z398"/>
      <c r="AA398"/>
      <c r="AB398"/>
      <c r="AC398"/>
      <c r="AD398"/>
      <c r="AE398"/>
      <c r="AF398"/>
    </row>
    <row r="399" spans="1:32">
      <c r="A399" s="1170"/>
      <c r="D399" s="1178"/>
      <c r="E399" s="1179" t="s">
        <v>173</v>
      </c>
      <c r="F399" s="1180"/>
      <c r="G399" s="1181">
        <f>+InputY!$G$3</f>
        <v>1995</v>
      </c>
      <c r="H399" s="1181">
        <f>+G399+1</f>
        <v>1996</v>
      </c>
      <c r="I399" s="1181">
        <f t="shared" ref="I399:O399" si="456">+H399+1</f>
        <v>1997</v>
      </c>
      <c r="J399" s="1181">
        <f t="shared" si="456"/>
        <v>1998</v>
      </c>
      <c r="K399" s="1181">
        <f t="shared" si="456"/>
        <v>1999</v>
      </c>
      <c r="L399" s="1181">
        <f t="shared" si="456"/>
        <v>2000</v>
      </c>
      <c r="M399" s="1181">
        <f t="shared" si="456"/>
        <v>2001</v>
      </c>
      <c r="N399" s="1181">
        <f t="shared" si="456"/>
        <v>2002</v>
      </c>
      <c r="O399" s="1181">
        <f t="shared" si="456"/>
        <v>2003</v>
      </c>
      <c r="P399" s="1181">
        <f t="shared" ref="P399:AF399" si="457">+O399+1</f>
        <v>2004</v>
      </c>
      <c r="Q399" s="1181">
        <f t="shared" si="457"/>
        <v>2005</v>
      </c>
      <c r="R399" s="1181">
        <f t="shared" si="457"/>
        <v>2006</v>
      </c>
      <c r="S399" s="1181">
        <f t="shared" si="457"/>
        <v>2007</v>
      </c>
      <c r="T399" s="1181">
        <f t="shared" si="457"/>
        <v>2008</v>
      </c>
      <c r="U399" s="1181">
        <f t="shared" si="457"/>
        <v>2009</v>
      </c>
      <c r="V399" s="1181">
        <f t="shared" si="457"/>
        <v>2010</v>
      </c>
      <c r="W399" s="1181">
        <f t="shared" si="457"/>
        <v>2011</v>
      </c>
      <c r="X399" s="1181">
        <f t="shared" si="457"/>
        <v>2012</v>
      </c>
      <c r="Y399" s="1181">
        <f t="shared" si="457"/>
        <v>2013</v>
      </c>
      <c r="Z399" s="1181">
        <f t="shared" si="457"/>
        <v>2014</v>
      </c>
      <c r="AA399" s="1181">
        <f t="shared" si="457"/>
        <v>2015</v>
      </c>
      <c r="AB399" s="1181">
        <f t="shared" si="457"/>
        <v>2016</v>
      </c>
      <c r="AC399" s="1181">
        <f t="shared" si="457"/>
        <v>2017</v>
      </c>
      <c r="AD399" s="1181">
        <f t="shared" si="457"/>
        <v>2018</v>
      </c>
      <c r="AE399" s="1181">
        <f t="shared" si="457"/>
        <v>2019</v>
      </c>
      <c r="AF399" s="1181">
        <f t="shared" si="457"/>
        <v>2020</v>
      </c>
    </row>
    <row r="400" spans="1:32" ht="12.75">
      <c r="A400" s="701"/>
      <c r="B400" s="701"/>
      <c r="C400" s="1119" t="s">
        <v>1791</v>
      </c>
      <c r="D400" s="1098" t="s">
        <v>666</v>
      </c>
      <c r="E400" s="1099" t="s">
        <v>809</v>
      </c>
      <c r="F400" s="1109" t="s">
        <v>1917</v>
      </c>
      <c r="G400" s="1094"/>
      <c r="H400" s="1094"/>
      <c r="I400" s="1094"/>
      <c r="J400" s="1094"/>
      <c r="K400" s="1094"/>
      <c r="L400" s="1094"/>
      <c r="M400" s="1094"/>
      <c r="N400" s="1094"/>
      <c r="O400" s="1094"/>
      <c r="P400" s="1094"/>
      <c r="Q400" s="1094"/>
      <c r="R400" s="1094"/>
      <c r="S400" s="1094"/>
      <c r="T400" s="1094"/>
      <c r="U400" s="1094"/>
      <c r="V400" s="1094"/>
      <c r="W400" s="1094"/>
      <c r="X400" s="1094"/>
      <c r="Y400" s="1094"/>
      <c r="Z400" s="1094"/>
      <c r="AA400" s="1094"/>
      <c r="AB400" s="1094"/>
      <c r="AC400" s="1094"/>
      <c r="AD400" s="1094"/>
      <c r="AE400" s="1094"/>
      <c r="AF400" s="1094"/>
    </row>
    <row r="401" spans="1:32" ht="12.75">
      <c r="A401" s="701"/>
      <c r="B401" s="701"/>
      <c r="C401" s="1120" t="s">
        <v>1791</v>
      </c>
      <c r="D401" s="1110" t="s">
        <v>814</v>
      </c>
      <c r="E401" s="1" t="s">
        <v>809</v>
      </c>
      <c r="F401" s="1110" t="s">
        <v>1918</v>
      </c>
      <c r="G401" s="918"/>
      <c r="H401" s="918"/>
      <c r="I401" s="918"/>
      <c r="J401" s="918"/>
      <c r="K401" s="918"/>
      <c r="L401" s="918"/>
      <c r="M401" s="918"/>
      <c r="N401" s="918"/>
      <c r="O401" s="918"/>
      <c r="P401" s="918"/>
      <c r="Q401" s="918"/>
      <c r="R401" s="918"/>
      <c r="S401" s="918"/>
      <c r="T401" s="918"/>
      <c r="U401" s="918"/>
      <c r="V401" s="918"/>
      <c r="W401" s="918"/>
      <c r="X401" s="918"/>
      <c r="Y401" s="918"/>
      <c r="Z401" s="918"/>
      <c r="AA401" s="918"/>
      <c r="AB401" s="918"/>
      <c r="AC401" s="918"/>
      <c r="AD401" s="918"/>
      <c r="AE401" s="918"/>
      <c r="AF401" s="918"/>
    </row>
    <row r="402" spans="1:32" ht="12.75">
      <c r="A402" s="1170"/>
      <c r="C402" s="1120" t="s">
        <v>1793</v>
      </c>
      <c r="D402" s="1111"/>
      <c r="E402" s="1107" t="s">
        <v>809</v>
      </c>
      <c r="F402" s="1111" t="s">
        <v>1919</v>
      </c>
      <c r="G402" s="1108">
        <f t="shared" ref="G402:AB402" si="458">+G204/G21*100</f>
        <v>63.424196496611515</v>
      </c>
      <c r="H402" s="1108">
        <f t="shared" si="458"/>
        <v>63.305410899632896</v>
      </c>
      <c r="I402" s="1108">
        <f t="shared" si="458"/>
        <v>64.613388855715513</v>
      </c>
      <c r="J402" s="1108">
        <f t="shared" si="458"/>
        <v>66.630825443850256</v>
      </c>
      <c r="K402" s="1108">
        <f t="shared" si="458"/>
        <v>68.019419205531278</v>
      </c>
      <c r="L402" s="1108">
        <f t="shared" si="458"/>
        <v>70.08604000071675</v>
      </c>
      <c r="M402" s="1108">
        <f t="shared" si="458"/>
        <v>73.220135100614073</v>
      </c>
      <c r="N402" s="1108">
        <f t="shared" si="458"/>
        <v>75.774089400174333</v>
      </c>
      <c r="O402" s="1108">
        <f t="shared" si="458"/>
        <v>78.951121083087727</v>
      </c>
      <c r="P402" s="1108">
        <f t="shared" si="458"/>
        <v>82.703167845685968</v>
      </c>
      <c r="Q402" s="1108">
        <f t="shared" si="458"/>
        <v>84.683675350734006</v>
      </c>
      <c r="R402" s="1108">
        <f t="shared" si="458"/>
        <v>86.591512844422454</v>
      </c>
      <c r="S402" s="1108">
        <f t="shared" si="458"/>
        <v>90.912043214146394</v>
      </c>
      <c r="T402" s="1108">
        <f t="shared" si="458"/>
        <v>96.748597885471128</v>
      </c>
      <c r="U402" s="1108">
        <f t="shared" si="458"/>
        <v>97.20669577247979</v>
      </c>
      <c r="V402" s="1108">
        <f t="shared" si="458"/>
        <v>100</v>
      </c>
      <c r="W402" s="1108">
        <f t="shared" si="458"/>
        <v>103.85795955023571</v>
      </c>
      <c r="X402" s="1108">
        <f t="shared" si="458"/>
        <v>106.32068613840107</v>
      </c>
      <c r="Y402" s="1108">
        <f t="shared" si="458"/>
        <v>107.09102849306949</v>
      </c>
      <c r="Z402" s="1108">
        <f t="shared" si="458"/>
        <v>108.52863849898196</v>
      </c>
      <c r="AA402" s="1108">
        <f t="shared" si="458"/>
        <v>109.15663548059564</v>
      </c>
      <c r="AB402" s="1108">
        <f t="shared" si="458"/>
        <v>109.77758533143991</v>
      </c>
      <c r="AC402" s="1108">
        <f t="shared" ref="AC402" si="459">+AC204/AC21*100</f>
        <v>113.91502489275052</v>
      </c>
      <c r="AD402" s="1108">
        <f t="shared" ref="AD402:AE404" ca="1" si="460">+AD204/AD21*100</f>
        <v>118.5855409133533</v>
      </c>
      <c r="AE402" s="1108">
        <f t="shared" ca="1" si="460"/>
        <v>122.73603484532065</v>
      </c>
      <c r="AF402" s="1108">
        <f t="shared" ref="AF402" ca="1" si="461">+AF204/AF21*100</f>
        <v>125.31349157707237</v>
      </c>
    </row>
    <row r="403" spans="1:32" ht="12.75" customHeight="1">
      <c r="A403" s="701"/>
      <c r="B403" s="701"/>
      <c r="C403" s="1120" t="s">
        <v>1791</v>
      </c>
      <c r="D403" s="3"/>
      <c r="E403" s="1" t="s">
        <v>810</v>
      </c>
      <c r="F403" s="3" t="s">
        <v>1920</v>
      </c>
      <c r="G403" s="1102">
        <f t="shared" ref="G403:AB403" si="462">+G205/G22*100</f>
        <v>52.784856782635799</v>
      </c>
      <c r="H403" s="1102">
        <f t="shared" si="462"/>
        <v>54.282970932902629</v>
      </c>
      <c r="I403" s="1102">
        <f t="shared" si="462"/>
        <v>56.436090582895716</v>
      </c>
      <c r="J403" s="1102">
        <f t="shared" si="462"/>
        <v>59.272320116654953</v>
      </c>
      <c r="K403" s="1102">
        <f t="shared" si="462"/>
        <v>60.975104050818686</v>
      </c>
      <c r="L403" s="1102">
        <f t="shared" si="462"/>
        <v>65.656657555023514</v>
      </c>
      <c r="M403" s="1102">
        <f t="shared" si="462"/>
        <v>71.089745867979829</v>
      </c>
      <c r="N403" s="1102">
        <f t="shared" si="462"/>
        <v>73.770320594660802</v>
      </c>
      <c r="O403" s="1102">
        <f t="shared" si="462"/>
        <v>75.527418375906834</v>
      </c>
      <c r="P403" s="1102">
        <f t="shared" si="462"/>
        <v>77.699091216873654</v>
      </c>
      <c r="Q403" s="1102">
        <f t="shared" si="462"/>
        <v>79.839081670903511</v>
      </c>
      <c r="R403" s="1102">
        <f t="shared" si="462"/>
        <v>83.674067140696181</v>
      </c>
      <c r="S403" s="1102">
        <f t="shared" si="462"/>
        <v>88.800538284239423</v>
      </c>
      <c r="T403" s="1102">
        <f t="shared" si="462"/>
        <v>94.301794598220653</v>
      </c>
      <c r="U403" s="1102">
        <f t="shared" si="462"/>
        <v>96.328232224613004</v>
      </c>
      <c r="V403" s="1102">
        <f t="shared" si="462"/>
        <v>100</v>
      </c>
      <c r="W403" s="1102">
        <f t="shared" si="462"/>
        <v>102.56639118473268</v>
      </c>
      <c r="X403" s="1102">
        <f t="shared" si="462"/>
        <v>104.43580560860661</v>
      </c>
      <c r="Y403" s="1102">
        <f t="shared" si="462"/>
        <v>107.46339678786391</v>
      </c>
      <c r="Z403" s="1102">
        <f t="shared" si="462"/>
        <v>110.68680507654769</v>
      </c>
      <c r="AA403" s="1102">
        <f t="shared" si="462"/>
        <v>114.23852778105461</v>
      </c>
      <c r="AB403" s="1102">
        <f t="shared" si="462"/>
        <v>121.10297161921095</v>
      </c>
      <c r="AC403" s="1102">
        <f t="shared" ref="AC403" si="463">+AC205/AC22*100</f>
        <v>125.7523658197273</v>
      </c>
      <c r="AD403" s="1102">
        <f t="shared" ca="1" si="460"/>
        <v>130.55610619404086</v>
      </c>
      <c r="AE403" s="1102">
        <f t="shared" ca="1" si="460"/>
        <v>132.01833458341417</v>
      </c>
      <c r="AF403" s="1102">
        <f t="shared" ref="AF403" ca="1" si="464">+AF205/AF22*100</f>
        <v>133.32531609578999</v>
      </c>
    </row>
    <row r="404" spans="1:32" ht="12.75">
      <c r="A404" s="1170"/>
      <c r="C404" s="1121" t="s">
        <v>1793</v>
      </c>
      <c r="D404" s="1182"/>
      <c r="E404" s="1183" t="s">
        <v>811</v>
      </c>
      <c r="F404" s="1182" t="s">
        <v>1921</v>
      </c>
      <c r="G404" s="1184">
        <f t="shared" ref="G404:AB404" si="465">+G206/G23*100</f>
        <v>59.574186507636242</v>
      </c>
      <c r="H404" s="1184">
        <f t="shared" si="465"/>
        <v>59.958924653726761</v>
      </c>
      <c r="I404" s="1184">
        <f t="shared" si="465"/>
        <v>61.515910667872816</v>
      </c>
      <c r="J404" s="1184">
        <f t="shared" si="465"/>
        <v>63.780413092172594</v>
      </c>
      <c r="K404" s="1184">
        <f t="shared" si="465"/>
        <v>65.272345658357438</v>
      </c>
      <c r="L404" s="1184">
        <f t="shared" si="465"/>
        <v>68.302340825303475</v>
      </c>
      <c r="M404" s="1184">
        <f t="shared" si="465"/>
        <v>72.280933206404512</v>
      </c>
      <c r="N404" s="1184">
        <f t="shared" si="465"/>
        <v>74.880783287976556</v>
      </c>
      <c r="O404" s="1184">
        <f t="shared" si="465"/>
        <v>77.477748298434619</v>
      </c>
      <c r="P404" s="1184">
        <f t="shared" si="465"/>
        <v>80.559043897242134</v>
      </c>
      <c r="Q404" s="1184">
        <f t="shared" si="465"/>
        <v>82.615267036713874</v>
      </c>
      <c r="R404" s="1184">
        <f t="shared" si="465"/>
        <v>85.403831687532417</v>
      </c>
      <c r="S404" s="1184">
        <f t="shared" si="465"/>
        <v>90.096338547877735</v>
      </c>
      <c r="T404" s="1184">
        <f t="shared" si="465"/>
        <v>95.799646002674663</v>
      </c>
      <c r="U404" s="1184">
        <f t="shared" si="465"/>
        <v>96.847138179699158</v>
      </c>
      <c r="V404" s="1184">
        <f t="shared" si="465"/>
        <v>100</v>
      </c>
      <c r="W404" s="1184">
        <f t="shared" si="465"/>
        <v>103.29302037872459</v>
      </c>
      <c r="X404" s="1184">
        <f t="shared" si="465"/>
        <v>105.52477774589144</v>
      </c>
      <c r="Y404" s="1184">
        <f t="shared" si="465"/>
        <v>107.18674944241791</v>
      </c>
      <c r="Z404" s="1184">
        <f t="shared" si="465"/>
        <v>109.36926622511561</v>
      </c>
      <c r="AA404" s="1184">
        <f t="shared" si="465"/>
        <v>111.32301478666888</v>
      </c>
      <c r="AB404" s="1184">
        <f t="shared" si="465"/>
        <v>114.86098505740475</v>
      </c>
      <c r="AC404" s="1184">
        <f t="shared" ref="AC404" si="466">+AC206/AC23*100</f>
        <v>119.23107217021189</v>
      </c>
      <c r="AD404" s="1184">
        <f t="shared" ca="1" si="460"/>
        <v>123.95118060456014</v>
      </c>
      <c r="AE404" s="1184">
        <f t="shared" ca="1" si="460"/>
        <v>126.86672766787994</v>
      </c>
      <c r="AF404" s="1184">
        <f t="shared" ref="AF404" ca="1" si="467">+AF206/AF23*100</f>
        <v>128.87539113739354</v>
      </c>
    </row>
    <row r="405" spans="1:32" ht="12.75">
      <c r="A405" s="1170"/>
      <c r="C405" s="1119" t="s">
        <v>1791</v>
      </c>
      <c r="D405" s="1098" t="s">
        <v>666</v>
      </c>
      <c r="E405" s="1078" t="s">
        <v>812</v>
      </c>
      <c r="F405" s="1098" t="s">
        <v>1699</v>
      </c>
      <c r="G405" s="1094"/>
      <c r="H405" s="1094"/>
      <c r="I405" s="1094"/>
      <c r="J405" s="1094"/>
      <c r="K405" s="1094"/>
      <c r="L405" s="1094"/>
      <c r="M405" s="1094"/>
      <c r="N405" s="1094"/>
      <c r="O405" s="1094"/>
      <c r="P405" s="1094"/>
      <c r="Q405" s="1094"/>
      <c r="R405" s="1094"/>
      <c r="S405" s="1094"/>
      <c r="T405" s="1094"/>
      <c r="U405" s="1094"/>
      <c r="V405" s="1094"/>
      <c r="W405" s="1094"/>
      <c r="X405" s="1094"/>
      <c r="Y405" s="1094"/>
      <c r="Z405" s="1094"/>
      <c r="AA405" s="1094"/>
      <c r="AB405" s="1094"/>
      <c r="AC405" s="1094"/>
      <c r="AD405" s="1094"/>
      <c r="AE405" s="1094"/>
      <c r="AF405" s="1094"/>
    </row>
    <row r="406" spans="1:32" ht="12.75">
      <c r="A406" s="1170"/>
      <c r="C406" s="1120" t="s">
        <v>1791</v>
      </c>
      <c r="D406" s="1110" t="s">
        <v>814</v>
      </c>
      <c r="E406" s="1" t="s">
        <v>812</v>
      </c>
      <c r="F406" s="3" t="s">
        <v>1700</v>
      </c>
      <c r="G406" s="918"/>
      <c r="H406" s="918"/>
      <c r="I406" s="918"/>
      <c r="J406" s="918"/>
      <c r="K406" s="918"/>
      <c r="L406" s="918"/>
      <c r="M406" s="918"/>
      <c r="N406" s="918"/>
      <c r="O406" s="918"/>
      <c r="P406" s="918"/>
      <c r="Q406" s="918"/>
      <c r="R406" s="918"/>
      <c r="S406" s="918"/>
      <c r="T406" s="918"/>
      <c r="U406" s="918"/>
      <c r="V406" s="918"/>
      <c r="W406" s="918"/>
      <c r="X406" s="918"/>
      <c r="Y406" s="918"/>
      <c r="Z406" s="918"/>
      <c r="AA406" s="918"/>
      <c r="AB406" s="918"/>
      <c r="AC406" s="918"/>
      <c r="AD406" s="918"/>
      <c r="AE406" s="918"/>
      <c r="AF406" s="918"/>
    </row>
    <row r="407" spans="1:32" ht="12.75">
      <c r="A407" s="1170"/>
      <c r="C407" s="1121" t="s">
        <v>1793</v>
      </c>
      <c r="D407" s="1196"/>
      <c r="E407" s="1197" t="s">
        <v>812</v>
      </c>
      <c r="F407" s="1196" t="s">
        <v>1700</v>
      </c>
      <c r="G407" s="1198">
        <f t="shared" ref="G407:AB407" si="468">+G210/G27*100</f>
        <v>110.17395938838574</v>
      </c>
      <c r="H407" s="1198">
        <f t="shared" si="468"/>
        <v>105.60980285059283</v>
      </c>
      <c r="I407" s="1198">
        <f t="shared" si="468"/>
        <v>104.11330359414042</v>
      </c>
      <c r="J407" s="1198">
        <f t="shared" si="468"/>
        <v>102.57205562748071</v>
      </c>
      <c r="K407" s="1198">
        <f t="shared" si="468"/>
        <v>103.65517641298368</v>
      </c>
      <c r="L407" s="1198">
        <f t="shared" si="468"/>
        <v>104.61380614638205</v>
      </c>
      <c r="M407" s="1198">
        <f t="shared" si="468"/>
        <v>104.49329269040675</v>
      </c>
      <c r="N407" s="1198">
        <f t="shared" si="468"/>
        <v>104.49669267344639</v>
      </c>
      <c r="O407" s="1198">
        <f t="shared" si="468"/>
        <v>100.90507051753654</v>
      </c>
      <c r="P407" s="1198">
        <f t="shared" si="468"/>
        <v>97.933690524639019</v>
      </c>
      <c r="Q407" s="1198">
        <f t="shared" si="468"/>
        <v>97.873468148892073</v>
      </c>
      <c r="R407" s="1198">
        <f t="shared" si="468"/>
        <v>97.6242542116116</v>
      </c>
      <c r="S407" s="1198">
        <f t="shared" si="468"/>
        <v>95.74533590037511</v>
      </c>
      <c r="T407" s="1198">
        <f t="shared" si="468"/>
        <v>96.598762506611351</v>
      </c>
      <c r="U407" s="1198">
        <f t="shared" si="468"/>
        <v>102.33047851052936</v>
      </c>
      <c r="V407" s="1198">
        <f t="shared" si="468"/>
        <v>100</v>
      </c>
      <c r="W407" s="1198">
        <f t="shared" si="468"/>
        <v>96.073489345118219</v>
      </c>
      <c r="X407" s="1198">
        <f t="shared" si="468"/>
        <v>95.086286577566653</v>
      </c>
      <c r="Y407" s="1198">
        <f t="shared" si="468"/>
        <v>93.706837939424517</v>
      </c>
      <c r="Z407" s="1198">
        <f t="shared" si="468"/>
        <v>96.167790722931016</v>
      </c>
      <c r="AA407" s="1198">
        <f t="shared" si="468"/>
        <v>99.680744613769349</v>
      </c>
      <c r="AB407" s="1198">
        <f t="shared" si="468"/>
        <v>100.0704619360418</v>
      </c>
      <c r="AC407" s="1198">
        <f t="shared" ref="AC407" si="469">+AC210/AC27*100</f>
        <v>101.62065465211856</v>
      </c>
      <c r="AD407" s="1198">
        <f t="shared" ref="AD407:AE409" ca="1" si="470">+AD210/AD27*100</f>
        <v>105.58386018355115</v>
      </c>
      <c r="AE407" s="1198">
        <f t="shared" ca="1" si="470"/>
        <v>108.38183247841526</v>
      </c>
      <c r="AF407" s="1198">
        <f t="shared" ref="AF407" ca="1" si="471">+AF210/AF27*100</f>
        <v>109.82331085037819</v>
      </c>
    </row>
    <row r="408" spans="1:32" ht="12.75">
      <c r="A408" s="701"/>
      <c r="B408" s="701"/>
      <c r="C408" s="1122" t="s">
        <v>1793</v>
      </c>
      <c r="D408" s="1199"/>
      <c r="E408" s="1200" t="s">
        <v>813</v>
      </c>
      <c r="F408" s="1199" t="s">
        <v>717</v>
      </c>
      <c r="G408" s="1201">
        <f t="shared" ref="G408:AB408" si="472">+G211/G28*100</f>
        <v>64.104248578654435</v>
      </c>
      <c r="H408" s="1201">
        <f t="shared" si="472"/>
        <v>68.611555131057941</v>
      </c>
      <c r="I408" s="1201">
        <f t="shared" si="472"/>
        <v>72.290595975467355</v>
      </c>
      <c r="J408" s="1201">
        <f t="shared" si="472"/>
        <v>75.421778330167101</v>
      </c>
      <c r="K408" s="1201">
        <f t="shared" si="472"/>
        <v>78.516209789560591</v>
      </c>
      <c r="L408" s="1201">
        <f t="shared" si="472"/>
        <v>82.464954423874048</v>
      </c>
      <c r="M408" s="1201">
        <f t="shared" si="472"/>
        <v>86.607975614506017</v>
      </c>
      <c r="N408" s="1201">
        <f t="shared" si="472"/>
        <v>89.66051437717509</v>
      </c>
      <c r="O408" s="1201">
        <f t="shared" si="472"/>
        <v>89.472725132634622</v>
      </c>
      <c r="P408" s="1201">
        <f t="shared" si="472"/>
        <v>89.624336112521803</v>
      </c>
      <c r="Q408" s="1201">
        <f t="shared" si="472"/>
        <v>90.409582596026581</v>
      </c>
      <c r="R408" s="1201">
        <f t="shared" si="472"/>
        <v>90.57361450466864</v>
      </c>
      <c r="S408" s="1201">
        <f t="shared" si="472"/>
        <v>93.118817975186957</v>
      </c>
      <c r="T408" s="1201">
        <f t="shared" si="472"/>
        <v>97.553743953763345</v>
      </c>
      <c r="U408" s="1201">
        <f t="shared" si="472"/>
        <v>99.415092098962276</v>
      </c>
      <c r="V408" s="1201">
        <f t="shared" si="472"/>
        <v>100</v>
      </c>
      <c r="W408" s="1201">
        <f t="shared" si="472"/>
        <v>101.26109944570412</v>
      </c>
      <c r="X408" s="1201">
        <f t="shared" si="472"/>
        <v>102.28044789075297</v>
      </c>
      <c r="Y408" s="1201">
        <f t="shared" si="472"/>
        <v>102.95903276440137</v>
      </c>
      <c r="Z408" s="1201">
        <f t="shared" si="472"/>
        <v>104.88280327904707</v>
      </c>
      <c r="AA408" s="1201">
        <f t="shared" si="472"/>
        <v>105.40740126649766</v>
      </c>
      <c r="AB408" s="1201">
        <f t="shared" si="472"/>
        <v>106.12461922598453</v>
      </c>
      <c r="AC408" s="1201">
        <f t="shared" ref="AC408" si="473">+AC211/AC28*100</f>
        <v>108.10027052296221</v>
      </c>
      <c r="AD408" s="1201">
        <f t="shared" ca="1" si="470"/>
        <v>112.78101223660646</v>
      </c>
      <c r="AE408" s="1201">
        <f t="shared" ca="1" si="470"/>
        <v>115.17196969602253</v>
      </c>
      <c r="AF408" s="1201">
        <f t="shared" ref="AF408" ca="1" si="474">+AF211/AF28*100</f>
        <v>116.43886136267876</v>
      </c>
    </row>
    <row r="409" spans="1:32" ht="12.75">
      <c r="A409" s="1170"/>
      <c r="C409" s="1123" t="s">
        <v>815</v>
      </c>
      <c r="D409" s="1202"/>
      <c r="E409" s="1203" t="s">
        <v>1341</v>
      </c>
      <c r="F409" s="1202" t="s">
        <v>718</v>
      </c>
      <c r="G409" s="1204">
        <f t="shared" ref="G409:AB409" si="475">+G212/G29*100</f>
        <v>76.523917029576765</v>
      </c>
      <c r="H409" s="1204">
        <f t="shared" si="475"/>
        <v>76.609360850139282</v>
      </c>
      <c r="I409" s="1204">
        <f t="shared" si="475"/>
        <v>77.869871167352429</v>
      </c>
      <c r="J409" s="1204">
        <f t="shared" si="475"/>
        <v>79.198325189977211</v>
      </c>
      <c r="K409" s="1204">
        <f t="shared" si="475"/>
        <v>81.0160998007416</v>
      </c>
      <c r="L409" s="1204">
        <f t="shared" si="475"/>
        <v>83.660269949764896</v>
      </c>
      <c r="M409" s="1204">
        <f t="shared" si="475"/>
        <v>86.43544604267413</v>
      </c>
      <c r="N409" s="1204">
        <f t="shared" si="475"/>
        <v>88.404205861509979</v>
      </c>
      <c r="O409" s="1204">
        <f t="shared" si="475"/>
        <v>88.292791364539454</v>
      </c>
      <c r="P409" s="1204">
        <f t="shared" si="475"/>
        <v>88.714291934301883</v>
      </c>
      <c r="Q409" s="1204">
        <f t="shared" si="475"/>
        <v>89.742369747768606</v>
      </c>
      <c r="R409" s="1204">
        <f t="shared" si="475"/>
        <v>90.88055471130798</v>
      </c>
      <c r="S409" s="1204">
        <f t="shared" si="475"/>
        <v>92.877075192301788</v>
      </c>
      <c r="T409" s="1204">
        <f t="shared" si="475"/>
        <v>96.611679755641461</v>
      </c>
      <c r="U409" s="1204">
        <f t="shared" si="475"/>
        <v>99.332981875077934</v>
      </c>
      <c r="V409" s="1204">
        <f t="shared" si="475"/>
        <v>100</v>
      </c>
      <c r="W409" s="1204">
        <f t="shared" si="475"/>
        <v>100.25989540364699</v>
      </c>
      <c r="X409" s="1204">
        <f t="shared" si="475"/>
        <v>101.03307445876197</v>
      </c>
      <c r="Y409" s="1204">
        <f t="shared" si="475"/>
        <v>101.35735180923145</v>
      </c>
      <c r="Z409" s="1204">
        <f t="shared" si="475"/>
        <v>103.55373575695633</v>
      </c>
      <c r="AA409" s="1204">
        <f t="shared" si="475"/>
        <v>105.60532034203958</v>
      </c>
      <c r="AB409" s="1204">
        <f t="shared" si="475"/>
        <v>107.35908279882919</v>
      </c>
      <c r="AC409" s="1204">
        <f t="shared" ref="AC409" si="476">+AC212/AC29*100</f>
        <v>110.17966245235056</v>
      </c>
      <c r="AD409" s="1204">
        <f t="shared" ca="1" si="470"/>
        <v>114.62476904655348</v>
      </c>
      <c r="AE409" s="1204">
        <f t="shared" ca="1" si="470"/>
        <v>117.35842419001794</v>
      </c>
      <c r="AF409" s="1204">
        <f t="shared" ref="AF409" ca="1" si="477">+AF212/AF29*100</f>
        <v>118.97628856381286</v>
      </c>
    </row>
    <row r="410" spans="1:32">
      <c r="Z410"/>
      <c r="AA410"/>
      <c r="AB410"/>
      <c r="AC410"/>
      <c r="AD410"/>
      <c r="AE410"/>
      <c r="AF410"/>
    </row>
    <row r="411" spans="1:32" s="736" customFormat="1" ht="12.75" customHeight="1">
      <c r="A411" s="701"/>
      <c r="B411" s="701"/>
      <c r="C411" s="811"/>
      <c r="D411" s="1132"/>
      <c r="E411" s="1133" t="s">
        <v>173</v>
      </c>
      <c r="F411" s="781"/>
      <c r="G411" s="782">
        <f>+InputY!$G$3</f>
        <v>1995</v>
      </c>
      <c r="H411" s="782">
        <f>+G411+1</f>
        <v>1996</v>
      </c>
      <c r="I411" s="782">
        <f t="shared" ref="I411:O411" si="478">+H411+1</f>
        <v>1997</v>
      </c>
      <c r="J411" s="782">
        <f t="shared" si="478"/>
        <v>1998</v>
      </c>
      <c r="K411" s="782">
        <f t="shared" si="478"/>
        <v>1999</v>
      </c>
      <c r="L411" s="782">
        <f t="shared" si="478"/>
        <v>2000</v>
      </c>
      <c r="M411" s="782">
        <f t="shared" si="478"/>
        <v>2001</v>
      </c>
      <c r="N411" s="782">
        <f t="shared" si="478"/>
        <v>2002</v>
      </c>
      <c r="O411" s="782">
        <f t="shared" si="478"/>
        <v>2003</v>
      </c>
      <c r="P411" s="782">
        <f t="shared" ref="P411:AF411" si="479">+O411+1</f>
        <v>2004</v>
      </c>
      <c r="Q411" s="782">
        <f t="shared" si="479"/>
        <v>2005</v>
      </c>
      <c r="R411" s="782">
        <f t="shared" si="479"/>
        <v>2006</v>
      </c>
      <c r="S411" s="782">
        <f t="shared" si="479"/>
        <v>2007</v>
      </c>
      <c r="T411" s="782">
        <f t="shared" si="479"/>
        <v>2008</v>
      </c>
      <c r="U411" s="782">
        <f t="shared" si="479"/>
        <v>2009</v>
      </c>
      <c r="V411" s="782">
        <f t="shared" si="479"/>
        <v>2010</v>
      </c>
      <c r="W411" s="782">
        <f t="shared" si="479"/>
        <v>2011</v>
      </c>
      <c r="X411" s="782">
        <f t="shared" si="479"/>
        <v>2012</v>
      </c>
      <c r="Y411" s="782">
        <f t="shared" si="479"/>
        <v>2013</v>
      </c>
      <c r="Z411" s="782">
        <f t="shared" si="479"/>
        <v>2014</v>
      </c>
      <c r="AA411" s="782">
        <f t="shared" si="479"/>
        <v>2015</v>
      </c>
      <c r="AB411" s="782">
        <f t="shared" si="479"/>
        <v>2016</v>
      </c>
      <c r="AC411" s="782">
        <f t="shared" si="479"/>
        <v>2017</v>
      </c>
      <c r="AD411" s="782">
        <f t="shared" si="479"/>
        <v>2018</v>
      </c>
      <c r="AE411" s="782">
        <f t="shared" si="479"/>
        <v>2019</v>
      </c>
      <c r="AF411" s="782">
        <f t="shared" si="479"/>
        <v>2020</v>
      </c>
    </row>
    <row r="412" spans="1:32" s="736" customFormat="1" ht="12.75" customHeight="1">
      <c r="A412" s="701"/>
      <c r="B412" s="701"/>
      <c r="C412" s="831" t="s">
        <v>1791</v>
      </c>
      <c r="D412" s="726" t="s">
        <v>666</v>
      </c>
      <c r="E412" s="775" t="s">
        <v>809</v>
      </c>
      <c r="F412" s="741" t="s">
        <v>1917</v>
      </c>
      <c r="G412" s="918"/>
      <c r="H412" s="918"/>
      <c r="I412" s="918"/>
      <c r="J412" s="918"/>
      <c r="K412" s="918"/>
      <c r="L412" s="918"/>
      <c r="M412" s="918"/>
      <c r="N412" s="918"/>
      <c r="O412" s="918"/>
      <c r="P412" s="918"/>
      <c r="Q412" s="918"/>
      <c r="R412" s="918"/>
      <c r="S412" s="918"/>
      <c r="T412" s="918"/>
      <c r="U412" s="918"/>
      <c r="V412" s="918"/>
      <c r="W412" s="918"/>
      <c r="X412" s="918"/>
      <c r="Y412" s="918"/>
      <c r="Z412" s="918"/>
      <c r="AA412" s="918"/>
      <c r="AB412" s="918"/>
      <c r="AC412" s="918"/>
      <c r="AD412" s="918"/>
      <c r="AE412" s="918"/>
      <c r="AF412" s="918"/>
    </row>
    <row r="413" spans="1:32" ht="12.75">
      <c r="A413" s="701"/>
      <c r="B413" s="701"/>
      <c r="C413" s="1140" t="s">
        <v>1791</v>
      </c>
      <c r="D413" s="1110" t="s">
        <v>814</v>
      </c>
      <c r="E413" s="1" t="s">
        <v>809</v>
      </c>
      <c r="F413" s="1110" t="s">
        <v>1918</v>
      </c>
      <c r="G413" s="918"/>
      <c r="H413" s="918"/>
      <c r="I413" s="918"/>
      <c r="J413" s="918"/>
      <c r="K413" s="918"/>
      <c r="L413" s="918"/>
      <c r="M413" s="918"/>
      <c r="N413" s="918"/>
      <c r="O413" s="918"/>
      <c r="P413" s="918"/>
      <c r="Q413" s="918"/>
      <c r="R413" s="918"/>
      <c r="S413" s="918"/>
      <c r="T413" s="918"/>
      <c r="U413" s="918"/>
      <c r="V413" s="918"/>
      <c r="W413" s="918"/>
      <c r="X413" s="918"/>
      <c r="Y413" s="918"/>
      <c r="Z413" s="918"/>
      <c r="AA413" s="918"/>
      <c r="AB413" s="918"/>
      <c r="AC413" s="918"/>
      <c r="AD413" s="918"/>
      <c r="AE413" s="918"/>
      <c r="AF413" s="918"/>
    </row>
    <row r="414" spans="1:32" ht="12.75">
      <c r="A414" s="1170"/>
      <c r="C414" s="1140" t="s">
        <v>1793</v>
      </c>
      <c r="D414" s="1151"/>
      <c r="E414" s="1152" t="s">
        <v>809</v>
      </c>
      <c r="F414" s="1151" t="s">
        <v>1919</v>
      </c>
      <c r="G414" s="1153"/>
      <c r="H414" s="1153">
        <f>(H402/G402-1)*100</f>
        <v>-0.18728750782828207</v>
      </c>
      <c r="I414" s="1153">
        <f t="shared" ref="I414:Y414" si="480">(I402/H402-1)*100</f>
        <v>2.0661392722911787</v>
      </c>
      <c r="J414" s="1153">
        <f t="shared" si="480"/>
        <v>3.1223197294909966</v>
      </c>
      <c r="K414" s="1153">
        <f t="shared" si="480"/>
        <v>2.0840110450848215</v>
      </c>
      <c r="L414" s="1153">
        <f t="shared" si="480"/>
        <v>3.0382805665259527</v>
      </c>
      <c r="M414" s="1153">
        <f t="shared" si="480"/>
        <v>4.4717822548759667</v>
      </c>
      <c r="N414" s="1153">
        <f t="shared" si="480"/>
        <v>3.48804914939147</v>
      </c>
      <c r="O414" s="1153">
        <f t="shared" si="480"/>
        <v>4.1927678815577796</v>
      </c>
      <c r="P414" s="1153">
        <f t="shared" si="480"/>
        <v>4.752366668295438</v>
      </c>
      <c r="Q414" s="1153">
        <f t="shared" si="480"/>
        <v>2.3947178283949544</v>
      </c>
      <c r="R414" s="1153">
        <f t="shared" si="480"/>
        <v>2.2528987857302729</v>
      </c>
      <c r="S414" s="1153">
        <f t="shared" si="480"/>
        <v>4.9895540888476697</v>
      </c>
      <c r="T414" s="1153">
        <f t="shared" si="480"/>
        <v>6.4200016466207099</v>
      </c>
      <c r="U414" s="1153">
        <f t="shared" si="480"/>
        <v>0.47349305005013331</v>
      </c>
      <c r="V414" s="1153">
        <f t="shared" si="480"/>
        <v>2.8735718309551128</v>
      </c>
      <c r="W414" s="1153">
        <f t="shared" si="480"/>
        <v>3.8579595502357122</v>
      </c>
      <c r="X414" s="1153">
        <f t="shared" si="480"/>
        <v>2.3712449183773465</v>
      </c>
      <c r="Y414" s="1153">
        <f t="shared" si="480"/>
        <v>0.72454607155716388</v>
      </c>
      <c r="Z414" s="1153">
        <f t="shared" ref="Z414:AC416" si="481">(Z402/Y402-1)*100</f>
        <v>1.3424187125119502</v>
      </c>
      <c r="AA414" s="1153">
        <f t="shared" si="481"/>
        <v>0.57864632810220584</v>
      </c>
      <c r="AB414" s="1153">
        <f t="shared" si="481"/>
        <v>0.56886129561464216</v>
      </c>
      <c r="AC414" s="1153">
        <f t="shared" si="481"/>
        <v>3.7689292844426125</v>
      </c>
      <c r="AD414" s="1153">
        <f t="shared" ref="AD414:AF416" ca="1" si="482">(AD402/AC402-1)*100</f>
        <v>4.0999999999999925</v>
      </c>
      <c r="AE414" s="1153">
        <f t="shared" ca="1" si="482"/>
        <v>3.499999999999992</v>
      </c>
      <c r="AF414" s="1153">
        <f t="shared" ca="1" si="482"/>
        <v>2.0999999999999908</v>
      </c>
    </row>
    <row r="415" spans="1:32" ht="12.75">
      <c r="A415" s="701"/>
      <c r="B415" s="701"/>
      <c r="C415" s="1140" t="s">
        <v>1791</v>
      </c>
      <c r="D415" s="3"/>
      <c r="E415" s="1" t="s">
        <v>810</v>
      </c>
      <c r="F415" s="3" t="s">
        <v>1920</v>
      </c>
      <c r="G415" s="1102"/>
      <c r="H415" s="1102">
        <f>(H403/G403-1)*100</f>
        <v>2.8381513971629246</v>
      </c>
      <c r="I415" s="1102">
        <f t="shared" ref="I415:Y415" si="483">(I403/H403-1)*100</f>
        <v>3.9664734869697682</v>
      </c>
      <c r="J415" s="1102">
        <f t="shared" si="483"/>
        <v>5.0255598934395795</v>
      </c>
      <c r="K415" s="1102">
        <f t="shared" si="483"/>
        <v>2.8728147148828542</v>
      </c>
      <c r="L415" s="1102">
        <f t="shared" si="483"/>
        <v>7.6778114233361006</v>
      </c>
      <c r="M415" s="1102">
        <f t="shared" si="483"/>
        <v>8.2749998481161278</v>
      </c>
      <c r="N415" s="1102">
        <f t="shared" si="483"/>
        <v>3.7706911087557415</v>
      </c>
      <c r="O415" s="1102">
        <f t="shared" si="483"/>
        <v>2.3818491868845104</v>
      </c>
      <c r="P415" s="1102">
        <f t="shared" si="483"/>
        <v>2.8753436667968701</v>
      </c>
      <c r="Q415" s="1102">
        <f t="shared" si="483"/>
        <v>2.7542026818006438</v>
      </c>
      <c r="R415" s="1102">
        <f t="shared" si="483"/>
        <v>4.8033937634709645</v>
      </c>
      <c r="S415" s="1102">
        <f t="shared" si="483"/>
        <v>6.1267144274500085</v>
      </c>
      <c r="T415" s="1102">
        <f t="shared" si="483"/>
        <v>6.1950709086609379</v>
      </c>
      <c r="U415" s="1102">
        <f t="shared" si="483"/>
        <v>2.1488855382086003</v>
      </c>
      <c r="V415" s="1102">
        <f t="shared" si="483"/>
        <v>3.811725483371653</v>
      </c>
      <c r="W415" s="1102">
        <f t="shared" si="483"/>
        <v>2.5663911847326748</v>
      </c>
      <c r="X415" s="1102">
        <f t="shared" si="483"/>
        <v>1.8226383928307666</v>
      </c>
      <c r="Y415" s="1102">
        <f t="shared" si="483"/>
        <v>2.8989972946670939</v>
      </c>
      <c r="Z415" s="1102">
        <f t="shared" si="481"/>
        <v>2.9995406668997138</v>
      </c>
      <c r="AA415" s="1102">
        <f t="shared" si="481"/>
        <v>3.2088040684259189</v>
      </c>
      <c r="AB415" s="1102">
        <f t="shared" si="481"/>
        <v>6.0088693118598879</v>
      </c>
      <c r="AC415" s="1102">
        <f t="shared" si="481"/>
        <v>3.8392073607703248</v>
      </c>
      <c r="AD415" s="1102">
        <f t="shared" ca="1" si="482"/>
        <v>3.819999999999979</v>
      </c>
      <c r="AE415" s="1102">
        <f t="shared" ca="1" si="482"/>
        <v>1.1200000000000321</v>
      </c>
      <c r="AF415" s="1102">
        <f t="shared" ca="1" si="482"/>
        <v>0.99000000000000199</v>
      </c>
    </row>
    <row r="416" spans="1:32" ht="12.75">
      <c r="A416" s="1170"/>
      <c r="C416" s="1016" t="s">
        <v>1793</v>
      </c>
      <c r="D416" s="1141"/>
      <c r="E416" s="1142" t="s">
        <v>811</v>
      </c>
      <c r="F416" s="1141" t="s">
        <v>1921</v>
      </c>
      <c r="G416" s="1143"/>
      <c r="H416" s="1143">
        <f>(H404/G404-1)*100</f>
        <v>0.6458135119330688</v>
      </c>
      <c r="I416" s="1143">
        <f t="shared" ref="I416:Y416" si="484">(I404/H404-1)*100</f>
        <v>2.5967544000128795</v>
      </c>
      <c r="J416" s="1143">
        <f t="shared" si="484"/>
        <v>3.6811654086142509</v>
      </c>
      <c r="K416" s="1143">
        <f t="shared" si="484"/>
        <v>2.3391704347050402</v>
      </c>
      <c r="L416" s="1143">
        <f t="shared" si="484"/>
        <v>4.642081016676447</v>
      </c>
      <c r="M416" s="1143">
        <f t="shared" si="484"/>
        <v>5.8249722235392598</v>
      </c>
      <c r="N416" s="1143">
        <f t="shared" si="484"/>
        <v>3.5968684495922831</v>
      </c>
      <c r="O416" s="1143">
        <f t="shared" si="484"/>
        <v>3.4681328058103533</v>
      </c>
      <c r="P416" s="1143">
        <f t="shared" si="484"/>
        <v>3.977007162028956</v>
      </c>
      <c r="Q416" s="1143">
        <f t="shared" si="484"/>
        <v>2.5524423329732926</v>
      </c>
      <c r="R416" s="1143">
        <f t="shared" si="484"/>
        <v>3.3753623886240369</v>
      </c>
      <c r="S416" s="1143">
        <f t="shared" si="484"/>
        <v>5.4944921880248021</v>
      </c>
      <c r="T416" s="1143">
        <f t="shared" si="484"/>
        <v>6.3302322233285357</v>
      </c>
      <c r="U416" s="1143">
        <f t="shared" si="484"/>
        <v>1.0934196740092883</v>
      </c>
      <c r="V416" s="1143">
        <f t="shared" si="484"/>
        <v>3.255503342236854</v>
      </c>
      <c r="W416" s="1143">
        <f t="shared" si="484"/>
        <v>3.2930203787245871</v>
      </c>
      <c r="X416" s="1143">
        <f t="shared" si="484"/>
        <v>2.1606081020615786</v>
      </c>
      <c r="Y416" s="1143">
        <f t="shared" si="484"/>
        <v>1.5749587272560372</v>
      </c>
      <c r="Z416" s="1143">
        <f t="shared" si="481"/>
        <v>2.0361815187521559</v>
      </c>
      <c r="AA416" s="1143">
        <f t="shared" si="481"/>
        <v>1.7863780465819934</v>
      </c>
      <c r="AB416" s="1143">
        <f t="shared" si="481"/>
        <v>3.1781121608283502</v>
      </c>
      <c r="AC416" s="1143">
        <f t="shared" si="481"/>
        <v>3.80467493868617</v>
      </c>
      <c r="AD416" s="1143">
        <f t="shared" ca="1" si="482"/>
        <v>3.9587905639311138</v>
      </c>
      <c r="AE416" s="1143">
        <f t="shared" ca="1" si="482"/>
        <v>2.3521736937877513</v>
      </c>
      <c r="AF416" s="1143">
        <f t="shared" ca="1" si="482"/>
        <v>1.5832862614475252</v>
      </c>
    </row>
    <row r="417" spans="1:32" ht="12.75">
      <c r="A417" s="1170"/>
      <c r="C417" s="1144" t="s">
        <v>1791</v>
      </c>
      <c r="D417" s="1145" t="s">
        <v>666</v>
      </c>
      <c r="E417" s="1146" t="s">
        <v>812</v>
      </c>
      <c r="F417" s="1145" t="s">
        <v>1699</v>
      </c>
      <c r="G417" s="1025"/>
      <c r="H417" s="1025"/>
      <c r="I417" s="1025"/>
      <c r="J417" s="1025"/>
      <c r="K417" s="1025"/>
      <c r="L417" s="1025"/>
      <c r="M417" s="1025"/>
      <c r="N417" s="1025"/>
      <c r="O417" s="1025"/>
      <c r="P417" s="1025"/>
      <c r="Q417" s="1025"/>
      <c r="R417" s="1025"/>
      <c r="S417" s="1025"/>
      <c r="T417" s="1025"/>
      <c r="U417" s="1025"/>
      <c r="V417" s="1025"/>
      <c r="W417" s="1025"/>
      <c r="X417" s="1025"/>
      <c r="Y417" s="1025"/>
      <c r="Z417" s="1025"/>
      <c r="AA417" s="1025"/>
      <c r="AB417" s="1025"/>
      <c r="AC417" s="1025"/>
      <c r="AD417" s="1025"/>
      <c r="AE417" s="1025"/>
      <c r="AF417" s="1025"/>
    </row>
    <row r="418" spans="1:32" ht="12.75">
      <c r="A418" s="1170"/>
      <c r="C418" s="1140" t="s">
        <v>1791</v>
      </c>
      <c r="D418" s="1110" t="s">
        <v>814</v>
      </c>
      <c r="E418" s="1" t="s">
        <v>812</v>
      </c>
      <c r="F418" s="3" t="s">
        <v>1700</v>
      </c>
      <c r="G418" s="918"/>
      <c r="H418" s="918"/>
      <c r="I418" s="918"/>
      <c r="J418" s="918"/>
      <c r="K418" s="918"/>
      <c r="L418" s="918"/>
      <c r="M418" s="918"/>
      <c r="N418" s="918"/>
      <c r="O418" s="918"/>
      <c r="P418" s="918"/>
      <c r="Q418" s="918"/>
      <c r="R418" s="918"/>
      <c r="S418" s="918"/>
      <c r="T418" s="918"/>
      <c r="U418" s="918"/>
      <c r="V418" s="918"/>
      <c r="W418" s="918"/>
      <c r="X418" s="918"/>
      <c r="Y418" s="918"/>
      <c r="Z418" s="918"/>
      <c r="AA418" s="918"/>
      <c r="AB418" s="918"/>
      <c r="AC418" s="918"/>
      <c r="AD418" s="918"/>
      <c r="AE418" s="918"/>
      <c r="AF418" s="918"/>
    </row>
    <row r="419" spans="1:32" ht="12.75">
      <c r="A419" s="1170"/>
      <c r="C419" s="1016" t="s">
        <v>1793</v>
      </c>
      <c r="D419" s="1141"/>
      <c r="E419" s="1142" t="s">
        <v>812</v>
      </c>
      <c r="F419" s="1141" t="s">
        <v>1700</v>
      </c>
      <c r="G419" s="1143"/>
      <c r="H419" s="1143">
        <f>(H407/G407-1)*100</f>
        <v>-4.1426817762837409</v>
      </c>
      <c r="I419" s="1143">
        <f t="shared" ref="I419:Y419" si="485">(I407/H407-1)*100</f>
        <v>-1.417007906519363</v>
      </c>
      <c r="J419" s="1143">
        <f t="shared" si="485"/>
        <v>-1.4803564131130487</v>
      </c>
      <c r="K419" s="1143">
        <f t="shared" si="485"/>
        <v>1.0559608841579804</v>
      </c>
      <c r="L419" s="1143">
        <f t="shared" si="485"/>
        <v>0.92482572175556221</v>
      </c>
      <c r="M419" s="1143">
        <f t="shared" si="485"/>
        <v>-0.1151984240078896</v>
      </c>
      <c r="N419" s="1143">
        <f t="shared" si="485"/>
        <v>3.2537811299748753E-3</v>
      </c>
      <c r="O419" s="1143">
        <f t="shared" si="485"/>
        <v>-3.4370677808279737</v>
      </c>
      <c r="P419" s="1143">
        <f t="shared" si="485"/>
        <v>-2.9447281268002445</v>
      </c>
      <c r="Q419" s="1143">
        <f t="shared" si="485"/>
        <v>-6.1493011673852127E-2</v>
      </c>
      <c r="R419" s="1143">
        <f t="shared" si="485"/>
        <v>-0.25462869763780427</v>
      </c>
      <c r="S419" s="1143">
        <f t="shared" si="485"/>
        <v>-1.9246429346991167</v>
      </c>
      <c r="T419" s="1143">
        <f t="shared" si="485"/>
        <v>0.89135057933709128</v>
      </c>
      <c r="U419" s="1143">
        <f t="shared" si="485"/>
        <v>5.9335294316277931</v>
      </c>
      <c r="V419" s="1143">
        <f t="shared" si="485"/>
        <v>-2.277404097440594</v>
      </c>
      <c r="W419" s="1143">
        <f t="shared" si="485"/>
        <v>-3.9265106548817763</v>
      </c>
      <c r="X419" s="1143">
        <f t="shared" si="485"/>
        <v>-1.027549612573464</v>
      </c>
      <c r="Y419" s="1143">
        <f t="shared" si="485"/>
        <v>-1.4507335261398135</v>
      </c>
      <c r="Z419" s="1143">
        <f t="shared" ref="Z419:AC421" si="486">(Z407/Y407-1)*100</f>
        <v>2.626225404273419</v>
      </c>
      <c r="AA419" s="1143">
        <f t="shared" si="486"/>
        <v>3.6529422839290282</v>
      </c>
      <c r="AB419" s="1143">
        <f t="shared" si="486"/>
        <v>0.39096550069170899</v>
      </c>
      <c r="AC419" s="1143">
        <f t="shared" si="486"/>
        <v>1.5491011893874695</v>
      </c>
      <c r="AD419" s="1143">
        <f t="shared" ref="AD419:AF421" ca="1" si="487">(AD407/AC407-1)*100</f>
        <v>3.8999999999999702</v>
      </c>
      <c r="AE419" s="1143">
        <f t="shared" ca="1" si="487"/>
        <v>2.6499999999999968</v>
      </c>
      <c r="AF419" s="1143">
        <f t="shared" ca="1" si="487"/>
        <v>1.330000000000009</v>
      </c>
    </row>
    <row r="420" spans="1:32" ht="12.75">
      <c r="A420" s="701"/>
      <c r="B420" s="701"/>
      <c r="C420" s="1147" t="s">
        <v>1793</v>
      </c>
      <c r="D420" s="1148"/>
      <c r="E420" s="1149" t="s">
        <v>813</v>
      </c>
      <c r="F420" s="1148" t="s">
        <v>717</v>
      </c>
      <c r="G420" s="1150"/>
      <c r="H420" s="1150">
        <f>(H408/G408-1)*100</f>
        <v>7.0312134567385831</v>
      </c>
      <c r="I420" s="1150">
        <f t="shared" ref="I420:Y420" si="488">(I408/H408-1)*100</f>
        <v>5.3621300922008119</v>
      </c>
      <c r="J420" s="1150">
        <f t="shared" si="488"/>
        <v>4.3313826818668799</v>
      </c>
      <c r="K420" s="1150">
        <f t="shared" si="488"/>
        <v>4.102835451382858</v>
      </c>
      <c r="L420" s="1150">
        <f t="shared" si="488"/>
        <v>5.0292094395499864</v>
      </c>
      <c r="M420" s="1150">
        <f t="shared" si="488"/>
        <v>5.0239780274862422</v>
      </c>
      <c r="N420" s="1150">
        <f t="shared" si="488"/>
        <v>3.5245469496435256</v>
      </c>
      <c r="O420" s="1150">
        <f t="shared" si="488"/>
        <v>-0.20944475485663583</v>
      </c>
      <c r="P420" s="1150">
        <f t="shared" si="488"/>
        <v>0.16944938210212701</v>
      </c>
      <c r="Q420" s="1150">
        <f t="shared" si="488"/>
        <v>0.8761531940598255</v>
      </c>
      <c r="R420" s="1150">
        <f t="shared" si="488"/>
        <v>0.18143199418914069</v>
      </c>
      <c r="S420" s="1150">
        <f t="shared" si="488"/>
        <v>2.8100937391508429</v>
      </c>
      <c r="T420" s="1150">
        <f t="shared" si="488"/>
        <v>4.7626527859901957</v>
      </c>
      <c r="U420" s="1150">
        <f t="shared" si="488"/>
        <v>1.9080232800507746</v>
      </c>
      <c r="V420" s="1150">
        <f t="shared" si="488"/>
        <v>0.58834920200594443</v>
      </c>
      <c r="W420" s="1150">
        <f t="shared" si="488"/>
        <v>1.2610994457041169</v>
      </c>
      <c r="X420" s="1150">
        <f t="shared" si="488"/>
        <v>1.0066535428004286</v>
      </c>
      <c r="Y420" s="1150">
        <f t="shared" si="488"/>
        <v>0.66345512523879879</v>
      </c>
      <c r="Z420" s="1150">
        <f t="shared" si="486"/>
        <v>1.8684815338619432</v>
      </c>
      <c r="AA420" s="1150">
        <f t="shared" si="486"/>
        <v>0.50017540631028812</v>
      </c>
      <c r="AB420" s="1150">
        <f t="shared" si="486"/>
        <v>0.68042466740410035</v>
      </c>
      <c r="AC420" s="1150">
        <f t="shared" si="486"/>
        <v>1.8616333433156163</v>
      </c>
      <c r="AD420" s="1150">
        <f t="shared" ca="1" si="487"/>
        <v>4.3299999999999894</v>
      </c>
      <c r="AE420" s="1150">
        <f t="shared" ca="1" si="487"/>
        <v>2.1200000000000108</v>
      </c>
      <c r="AF420" s="1150">
        <f t="shared" ca="1" si="487"/>
        <v>1.0999999999999899</v>
      </c>
    </row>
    <row r="421" spans="1:32" ht="12.75">
      <c r="A421" s="1170"/>
      <c r="C421" s="1123" t="s">
        <v>815</v>
      </c>
      <c r="D421" s="1137"/>
      <c r="E421" s="1138" t="s">
        <v>1341</v>
      </c>
      <c r="F421" s="1137" t="s">
        <v>718</v>
      </c>
      <c r="G421" s="1139"/>
      <c r="H421" s="1139">
        <f>(H409/G409-1)*100</f>
        <v>0.11165636036312154</v>
      </c>
      <c r="I421" s="1139">
        <f t="shared" ref="I421:Y421" si="489">(I409/H409-1)*100</f>
        <v>1.6453737548847602</v>
      </c>
      <c r="J421" s="1139">
        <f t="shared" si="489"/>
        <v>1.7059923211761419</v>
      </c>
      <c r="K421" s="1139">
        <f t="shared" si="489"/>
        <v>2.2952184991336555</v>
      </c>
      <c r="L421" s="1139">
        <f t="shared" si="489"/>
        <v>3.2637588769721226</v>
      </c>
      <c r="M421" s="1139">
        <f t="shared" si="489"/>
        <v>3.3171971529324829</v>
      </c>
      <c r="N421" s="1139">
        <f t="shared" si="489"/>
        <v>2.277722750298361</v>
      </c>
      <c r="O421" s="1139">
        <f t="shared" si="489"/>
        <v>-0.12602850269936017</v>
      </c>
      <c r="P421" s="1139">
        <f t="shared" si="489"/>
        <v>0.47738956176179848</v>
      </c>
      <c r="Q421" s="1139">
        <f t="shared" si="489"/>
        <v>1.1588637986628791</v>
      </c>
      <c r="R421" s="1139">
        <f t="shared" si="489"/>
        <v>1.2682804863949793</v>
      </c>
      <c r="S421" s="1139">
        <f t="shared" si="489"/>
        <v>2.19686212010477</v>
      </c>
      <c r="T421" s="1139">
        <f t="shared" si="489"/>
        <v>4.0210187019855903</v>
      </c>
      <c r="U421" s="1139">
        <f t="shared" si="489"/>
        <v>2.8167423714393847</v>
      </c>
      <c r="V421" s="1139">
        <f t="shared" si="489"/>
        <v>0.67149713250420628</v>
      </c>
      <c r="W421" s="1139">
        <f t="shared" si="489"/>
        <v>0.25989540364699248</v>
      </c>
      <c r="X421" s="1139">
        <f t="shared" si="489"/>
        <v>0.77117480723689624</v>
      </c>
      <c r="Y421" s="1139">
        <f t="shared" si="489"/>
        <v>0.32096157838077399</v>
      </c>
      <c r="Z421" s="1139">
        <f t="shared" si="486"/>
        <v>2.1669705339764311</v>
      </c>
      <c r="AA421" s="1139">
        <f t="shared" si="486"/>
        <v>1.9811787282096427</v>
      </c>
      <c r="AB421" s="1139">
        <f t="shared" si="486"/>
        <v>1.6606762340282133</v>
      </c>
      <c r="AC421" s="1139">
        <f t="shared" si="486"/>
        <v>2.6272389629171888</v>
      </c>
      <c r="AD421" s="1139">
        <f t="shared" ca="1" si="487"/>
        <v>4.0344166021794692</v>
      </c>
      <c r="AE421" s="1139">
        <f t="shared" ca="1" si="487"/>
        <v>2.3848729783300326</v>
      </c>
      <c r="AF421" s="1139">
        <f t="shared" ca="1" si="487"/>
        <v>1.3785668859828792</v>
      </c>
    </row>
    <row r="422" spans="1:32">
      <c r="Z422"/>
      <c r="AA422"/>
      <c r="AB422"/>
      <c r="AC422"/>
      <c r="AD422"/>
      <c r="AE422"/>
      <c r="AF422"/>
    </row>
    <row r="423" spans="1:32">
      <c r="A423" s="1170"/>
      <c r="D423" s="1189"/>
      <c r="E423" s="1190" t="s">
        <v>174</v>
      </c>
      <c r="F423" s="1191"/>
      <c r="G423" s="1181">
        <f>+InputY!$G$3</f>
        <v>1995</v>
      </c>
      <c r="H423" s="1181">
        <f>+G423+1</f>
        <v>1996</v>
      </c>
      <c r="I423" s="1181">
        <f t="shared" ref="I423:O423" si="490">+H423+1</f>
        <v>1997</v>
      </c>
      <c r="J423" s="1181">
        <f t="shared" si="490"/>
        <v>1998</v>
      </c>
      <c r="K423" s="1181">
        <f t="shared" si="490"/>
        <v>1999</v>
      </c>
      <c r="L423" s="1181">
        <f t="shared" si="490"/>
        <v>2000</v>
      </c>
      <c r="M423" s="1181">
        <f t="shared" si="490"/>
        <v>2001</v>
      </c>
      <c r="N423" s="1181">
        <f t="shared" si="490"/>
        <v>2002</v>
      </c>
      <c r="O423" s="1181">
        <f t="shared" si="490"/>
        <v>2003</v>
      </c>
      <c r="P423" s="1181">
        <f t="shared" ref="P423:AF423" si="491">+O423+1</f>
        <v>2004</v>
      </c>
      <c r="Q423" s="1181">
        <f t="shared" si="491"/>
        <v>2005</v>
      </c>
      <c r="R423" s="1181">
        <f t="shared" si="491"/>
        <v>2006</v>
      </c>
      <c r="S423" s="1181">
        <f t="shared" si="491"/>
        <v>2007</v>
      </c>
      <c r="T423" s="1181">
        <f t="shared" si="491"/>
        <v>2008</v>
      </c>
      <c r="U423" s="1181">
        <f t="shared" si="491"/>
        <v>2009</v>
      </c>
      <c r="V423" s="1181">
        <f t="shared" si="491"/>
        <v>2010</v>
      </c>
      <c r="W423" s="1181">
        <f t="shared" si="491"/>
        <v>2011</v>
      </c>
      <c r="X423" s="1181">
        <f t="shared" si="491"/>
        <v>2012</v>
      </c>
      <c r="Y423" s="1181">
        <f t="shared" si="491"/>
        <v>2013</v>
      </c>
      <c r="Z423" s="1181">
        <f t="shared" si="491"/>
        <v>2014</v>
      </c>
      <c r="AA423" s="1181">
        <f t="shared" si="491"/>
        <v>2015</v>
      </c>
      <c r="AB423" s="1181">
        <f t="shared" si="491"/>
        <v>2016</v>
      </c>
      <c r="AC423" s="1181">
        <f t="shared" si="491"/>
        <v>2017</v>
      </c>
      <c r="AD423" s="1181">
        <f t="shared" si="491"/>
        <v>2018</v>
      </c>
      <c r="AE423" s="1181">
        <f t="shared" si="491"/>
        <v>2019</v>
      </c>
      <c r="AF423" s="1181">
        <f t="shared" si="491"/>
        <v>2020</v>
      </c>
    </row>
    <row r="424" spans="1:32" ht="12.75">
      <c r="A424" s="1170"/>
      <c r="C424" s="1122"/>
      <c r="D424" s="1126" t="s">
        <v>666</v>
      </c>
      <c r="E424" s="1127" t="s">
        <v>1341</v>
      </c>
      <c r="F424" s="1129" t="s">
        <v>719</v>
      </c>
      <c r="G424" s="1128">
        <f t="shared" ref="G424:AB424" si="492">+G229/G45*100</f>
        <v>77.678316267992017</v>
      </c>
      <c r="H424" s="1128">
        <f t="shared" si="492"/>
        <v>77.06315328663122</v>
      </c>
      <c r="I424" s="1128">
        <f t="shared" si="492"/>
        <v>77.511304460009484</v>
      </c>
      <c r="J424" s="1128">
        <f t="shared" si="492"/>
        <v>78.204750394950267</v>
      </c>
      <c r="K424" s="1128">
        <f t="shared" si="492"/>
        <v>79.607386116138528</v>
      </c>
      <c r="L424" s="1128">
        <f t="shared" si="492"/>
        <v>83.056186913675305</v>
      </c>
      <c r="M424" s="1128">
        <f t="shared" si="492"/>
        <v>85.945031531723046</v>
      </c>
      <c r="N424" s="1128">
        <f t="shared" si="492"/>
        <v>87.698270587483833</v>
      </c>
      <c r="O424" s="1128">
        <f t="shared" si="492"/>
        <v>88.821549588242704</v>
      </c>
      <c r="P424" s="1128">
        <f t="shared" si="492"/>
        <v>90.606414315519189</v>
      </c>
      <c r="Q424" s="1128">
        <f t="shared" si="492"/>
        <v>93.002090956983082</v>
      </c>
      <c r="R424" s="1128">
        <f t="shared" si="492"/>
        <v>94.69415789726412</v>
      </c>
      <c r="S424" s="1128">
        <f t="shared" si="492"/>
        <v>97.28541862343728</v>
      </c>
      <c r="T424" s="1128">
        <f t="shared" si="492"/>
        <v>102.90317916401588</v>
      </c>
      <c r="U424" s="1128">
        <f t="shared" si="492"/>
        <v>105.38708063243978</v>
      </c>
      <c r="V424" s="1128">
        <f t="shared" si="492"/>
        <v>105.47449616313958</v>
      </c>
      <c r="W424" s="1128">
        <f t="shared" si="492"/>
        <v>107.86094093822172</v>
      </c>
      <c r="X424" s="1128">
        <f t="shared" si="492"/>
        <v>109.70237322952011</v>
      </c>
      <c r="Y424" s="1128">
        <f t="shared" si="492"/>
        <v>110.19905171786797</v>
      </c>
      <c r="Z424" s="1128">
        <f t="shared" si="492"/>
        <v>111.60037822276267</v>
      </c>
      <c r="AA424" s="1128">
        <f t="shared" si="492"/>
        <v>112.90328558110257</v>
      </c>
      <c r="AB424" s="1128">
        <f t="shared" si="492"/>
        <v>114.66301011035532</v>
      </c>
      <c r="AC424" s="1128">
        <f t="shared" ref="AC424" si="493">+AC229/AC45*100</f>
        <v>118.30412535518835</v>
      </c>
      <c r="AD424" s="1128">
        <f ca="1">+AD229/AD45*100</f>
        <v>121.97155324119919</v>
      </c>
      <c r="AE424" s="1128">
        <f ca="1">+AE229/AE45*100</f>
        <v>124.53295585926436</v>
      </c>
      <c r="AF424" s="1128">
        <f ca="1">+AF229/AF45*100</f>
        <v>125.90281837371624</v>
      </c>
    </row>
    <row r="425" spans="1:32">
      <c r="Z425"/>
      <c r="AA425"/>
      <c r="AB425"/>
      <c r="AC425"/>
      <c r="AD425"/>
      <c r="AE425"/>
      <c r="AF425"/>
    </row>
    <row r="426" spans="1:32" s="736" customFormat="1" ht="12.75" customHeight="1">
      <c r="A426" s="701"/>
      <c r="B426" s="701"/>
      <c r="C426" s="811"/>
      <c r="D426" s="1132"/>
      <c r="E426" s="1133" t="s">
        <v>174</v>
      </c>
      <c r="F426" s="1134"/>
      <c r="G426" s="933">
        <f>+InputY!$G$3</f>
        <v>1995</v>
      </c>
      <c r="H426" s="933">
        <f>+G426+1</f>
        <v>1996</v>
      </c>
      <c r="I426" s="933">
        <f t="shared" ref="I426:O426" si="494">+H426+1</f>
        <v>1997</v>
      </c>
      <c r="J426" s="933">
        <f t="shared" si="494"/>
        <v>1998</v>
      </c>
      <c r="K426" s="933">
        <f t="shared" si="494"/>
        <v>1999</v>
      </c>
      <c r="L426" s="933">
        <f t="shared" si="494"/>
        <v>2000</v>
      </c>
      <c r="M426" s="933">
        <f t="shared" si="494"/>
        <v>2001</v>
      </c>
      <c r="N426" s="933">
        <f t="shared" si="494"/>
        <v>2002</v>
      </c>
      <c r="O426" s="933">
        <f t="shared" si="494"/>
        <v>2003</v>
      </c>
      <c r="P426" s="933">
        <f t="shared" ref="P426:AF426" si="495">+O426+1</f>
        <v>2004</v>
      </c>
      <c r="Q426" s="933">
        <f t="shared" si="495"/>
        <v>2005</v>
      </c>
      <c r="R426" s="933">
        <f t="shared" si="495"/>
        <v>2006</v>
      </c>
      <c r="S426" s="933">
        <f t="shared" si="495"/>
        <v>2007</v>
      </c>
      <c r="T426" s="933">
        <f t="shared" si="495"/>
        <v>2008</v>
      </c>
      <c r="U426" s="933">
        <f t="shared" si="495"/>
        <v>2009</v>
      </c>
      <c r="V426" s="933">
        <f t="shared" si="495"/>
        <v>2010</v>
      </c>
      <c r="W426" s="933">
        <f t="shared" si="495"/>
        <v>2011</v>
      </c>
      <c r="X426" s="933">
        <f t="shared" si="495"/>
        <v>2012</v>
      </c>
      <c r="Y426" s="933">
        <f t="shared" si="495"/>
        <v>2013</v>
      </c>
      <c r="Z426" s="933">
        <f t="shared" si="495"/>
        <v>2014</v>
      </c>
      <c r="AA426" s="933">
        <f t="shared" si="495"/>
        <v>2015</v>
      </c>
      <c r="AB426" s="933">
        <f t="shared" si="495"/>
        <v>2016</v>
      </c>
      <c r="AC426" s="933">
        <f t="shared" si="495"/>
        <v>2017</v>
      </c>
      <c r="AD426" s="933">
        <f t="shared" si="495"/>
        <v>2018</v>
      </c>
      <c r="AE426" s="933">
        <f t="shared" si="495"/>
        <v>2019</v>
      </c>
      <c r="AF426" s="933">
        <f t="shared" si="495"/>
        <v>2020</v>
      </c>
    </row>
    <row r="427" spans="1:32" s="736" customFormat="1" ht="12.75" customHeight="1">
      <c r="A427" s="701"/>
      <c r="B427" s="701"/>
      <c r="C427" s="835"/>
      <c r="D427" s="870" t="s">
        <v>666</v>
      </c>
      <c r="E427" s="871" t="s">
        <v>1341</v>
      </c>
      <c r="F427" s="1154" t="s">
        <v>719</v>
      </c>
      <c r="G427" s="1155"/>
      <c r="H427" s="1155">
        <f>+(H424/G424-1)*100</f>
        <v>-0.79193655438986044</v>
      </c>
      <c r="I427" s="1155">
        <f t="shared" ref="I427:Y427" si="496">+(I424/H424-1)*100</f>
        <v>0.58153754974363814</v>
      </c>
      <c r="J427" s="1155">
        <f t="shared" si="496"/>
        <v>0.89463845276729348</v>
      </c>
      <c r="K427" s="1155">
        <f t="shared" si="496"/>
        <v>1.7935428654968666</v>
      </c>
      <c r="L427" s="1155">
        <f t="shared" si="496"/>
        <v>4.3322623261431437</v>
      </c>
      <c r="M427" s="1155">
        <f t="shared" si="496"/>
        <v>3.4781811270125695</v>
      </c>
      <c r="N427" s="1155">
        <f t="shared" si="496"/>
        <v>2.0399539385981269</v>
      </c>
      <c r="O427" s="1155">
        <f t="shared" si="496"/>
        <v>1.2808450990357212</v>
      </c>
      <c r="P427" s="1155">
        <f t="shared" si="496"/>
        <v>2.0094951456608445</v>
      </c>
      <c r="Q427" s="1155">
        <f t="shared" si="496"/>
        <v>2.6440475098389982</v>
      </c>
      <c r="R427" s="1155">
        <f t="shared" si="496"/>
        <v>1.8193859115099631</v>
      </c>
      <c r="S427" s="1155">
        <f t="shared" si="496"/>
        <v>2.7364525792440864</v>
      </c>
      <c r="T427" s="1155">
        <f t="shared" si="496"/>
        <v>5.7745144339906407</v>
      </c>
      <c r="U427" s="1155">
        <f t="shared" si="496"/>
        <v>2.4138238377114041</v>
      </c>
      <c r="V427" s="1155">
        <f t="shared" si="496"/>
        <v>8.2947103359543028E-2</v>
      </c>
      <c r="W427" s="1155">
        <f t="shared" si="496"/>
        <v>2.2625799239571309</v>
      </c>
      <c r="X427" s="1155">
        <f t="shared" si="496"/>
        <v>1.7072280987731059</v>
      </c>
      <c r="Y427" s="1155">
        <f t="shared" si="496"/>
        <v>0.452750905678867</v>
      </c>
      <c r="Z427" s="1155">
        <f t="shared" ref="Z427:AC427" si="497">+(Z424/Y424-1)*100</f>
        <v>1.2716320903399136</v>
      </c>
      <c r="AA427" s="1155">
        <f t="shared" si="497"/>
        <v>1.1674757550903525</v>
      </c>
      <c r="AB427" s="1155">
        <f t="shared" si="497"/>
        <v>1.5586123293007903</v>
      </c>
      <c r="AC427" s="1155">
        <f t="shared" si="497"/>
        <v>3.1754924638108806</v>
      </c>
      <c r="AD427" s="1155">
        <f ca="1">+(AD424/AC424-1)*100</f>
        <v>3.0999999999999917</v>
      </c>
      <c r="AE427" s="1155">
        <f ca="1">+(AE424/AD424-1)*100</f>
        <v>2.0999999999999908</v>
      </c>
      <c r="AF427" s="1155">
        <f ca="1">+(AF424/AE424-1)*100</f>
        <v>1.0999999999999677</v>
      </c>
    </row>
    <row r="428" spans="1:32">
      <c r="Z428"/>
      <c r="AA428"/>
      <c r="AB428"/>
      <c r="AC428"/>
      <c r="AD428"/>
      <c r="AE428"/>
      <c r="AF428"/>
    </row>
    <row r="429" spans="1:32">
      <c r="A429" s="1170"/>
      <c r="D429" s="1189"/>
      <c r="E429" s="1190" t="s">
        <v>1182</v>
      </c>
      <c r="F429" s="1191"/>
      <c r="G429" s="1181">
        <f>+InputY!$G$3</f>
        <v>1995</v>
      </c>
      <c r="H429" s="1181">
        <f>+G429+1</f>
        <v>1996</v>
      </c>
      <c r="I429" s="1181">
        <f t="shared" ref="I429:O429" si="498">+H429+1</f>
        <v>1997</v>
      </c>
      <c r="J429" s="1181">
        <f t="shared" si="498"/>
        <v>1998</v>
      </c>
      <c r="K429" s="1181">
        <f t="shared" si="498"/>
        <v>1999</v>
      </c>
      <c r="L429" s="1181">
        <f t="shared" si="498"/>
        <v>2000</v>
      </c>
      <c r="M429" s="1181">
        <f t="shared" si="498"/>
        <v>2001</v>
      </c>
      <c r="N429" s="1181">
        <f t="shared" si="498"/>
        <v>2002</v>
      </c>
      <c r="O429" s="1181">
        <f t="shared" si="498"/>
        <v>2003</v>
      </c>
      <c r="P429" s="1181">
        <f t="shared" ref="P429:AF429" si="499">+O429+1</f>
        <v>2004</v>
      </c>
      <c r="Q429" s="1181">
        <f t="shared" si="499"/>
        <v>2005</v>
      </c>
      <c r="R429" s="1181">
        <f t="shared" si="499"/>
        <v>2006</v>
      </c>
      <c r="S429" s="1181">
        <f t="shared" si="499"/>
        <v>2007</v>
      </c>
      <c r="T429" s="1181">
        <f t="shared" si="499"/>
        <v>2008</v>
      </c>
      <c r="U429" s="1181">
        <f t="shared" si="499"/>
        <v>2009</v>
      </c>
      <c r="V429" s="1181">
        <f t="shared" si="499"/>
        <v>2010</v>
      </c>
      <c r="W429" s="1181">
        <f t="shared" si="499"/>
        <v>2011</v>
      </c>
      <c r="X429" s="1181">
        <f t="shared" si="499"/>
        <v>2012</v>
      </c>
      <c r="Y429" s="1181">
        <f t="shared" si="499"/>
        <v>2013</v>
      </c>
      <c r="Z429" s="1181">
        <f t="shared" si="499"/>
        <v>2014</v>
      </c>
      <c r="AA429" s="1181">
        <f t="shared" si="499"/>
        <v>2015</v>
      </c>
      <c r="AB429" s="1181">
        <f t="shared" si="499"/>
        <v>2016</v>
      </c>
      <c r="AC429" s="1181">
        <f t="shared" si="499"/>
        <v>2017</v>
      </c>
      <c r="AD429" s="1181">
        <f t="shared" si="499"/>
        <v>2018</v>
      </c>
      <c r="AE429" s="1181">
        <f t="shared" si="499"/>
        <v>2019</v>
      </c>
      <c r="AF429" s="1181">
        <f t="shared" si="499"/>
        <v>2020</v>
      </c>
    </row>
    <row r="430" spans="1:32" ht="12.75">
      <c r="A430" s="1170"/>
      <c r="C430" s="1122"/>
      <c r="D430" s="1126"/>
      <c r="E430" s="1127" t="s">
        <v>816</v>
      </c>
      <c r="F430" s="1129" t="s">
        <v>713</v>
      </c>
      <c r="G430" s="1128">
        <f t="shared" ref="G430:AB430" si="500">+G260/G64*100</f>
        <v>-67.701660826075141</v>
      </c>
      <c r="H430" s="1128">
        <f t="shared" si="500"/>
        <v>-78.825707010034847</v>
      </c>
      <c r="I430" s="1128">
        <f t="shared" si="500"/>
        <v>-79.55315644855574</v>
      </c>
      <c r="J430" s="1128">
        <f t="shared" si="500"/>
        <v>-77.520751111030052</v>
      </c>
      <c r="K430" s="1128">
        <f t="shared" si="500"/>
        <v>-68.952643895009359</v>
      </c>
      <c r="L430" s="1128">
        <f t="shared" si="500"/>
        <v>-71.26978567399847</v>
      </c>
      <c r="M430" s="1128">
        <f t="shared" si="500"/>
        <v>-64.504339531731986</v>
      </c>
      <c r="N430" s="1128">
        <f t="shared" si="500"/>
        <v>-63.759875785813612</v>
      </c>
      <c r="O430" s="1128">
        <f t="shared" si="500"/>
        <v>-65.006546161601378</v>
      </c>
      <c r="P430" s="1128">
        <f t="shared" si="500"/>
        <v>63.001344868708465</v>
      </c>
      <c r="Q430" s="1128">
        <f t="shared" si="500"/>
        <v>222.2896985290634</v>
      </c>
      <c r="R430" s="1128">
        <f t="shared" si="500"/>
        <v>94.087858719762181</v>
      </c>
      <c r="S430" s="1128">
        <f t="shared" si="500"/>
        <v>105.2211666531343</v>
      </c>
      <c r="T430" s="1128">
        <f t="shared" si="500"/>
        <v>101.05468265340392</v>
      </c>
      <c r="U430" s="1128">
        <f t="shared" si="500"/>
        <v>100.53096856387857</v>
      </c>
      <c r="V430" s="1128">
        <f t="shared" si="500"/>
        <v>100</v>
      </c>
      <c r="W430" s="1128">
        <f t="shared" si="500"/>
        <v>100.39823281137518</v>
      </c>
      <c r="X430" s="1128">
        <f t="shared" si="500"/>
        <v>278.41208940186658</v>
      </c>
      <c r="Y430" s="1128">
        <f t="shared" si="500"/>
        <v>247.64828881489706</v>
      </c>
      <c r="Z430" s="1128">
        <f t="shared" si="500"/>
        <v>246.66501958740409</v>
      </c>
      <c r="AA430" s="1128">
        <f t="shared" si="500"/>
        <v>260.7557546100843</v>
      </c>
      <c r="AB430" s="1128">
        <f t="shared" si="500"/>
        <v>262.01243685837642</v>
      </c>
      <c r="AC430" s="1128">
        <f t="shared" ref="AC430" si="501">+AC260/AC64*100</f>
        <v>255.732717133862</v>
      </c>
      <c r="AD430" s="1128">
        <f ca="1">+AD260/AD64*100</f>
        <v>268.77508570768896</v>
      </c>
      <c r="AE430" s="1128">
        <f ca="1">+AE260/AE64*100</f>
        <v>277.10711336462725</v>
      </c>
      <c r="AF430" s="1128">
        <f ca="1">+AF260/AF64*100</f>
        <v>277.10711336462725</v>
      </c>
    </row>
    <row r="431" spans="1:32">
      <c r="Z431"/>
      <c r="AA431"/>
      <c r="AB431"/>
      <c r="AC431"/>
      <c r="AD431"/>
      <c r="AE431"/>
      <c r="AF431"/>
    </row>
    <row r="432" spans="1:32" s="736" customFormat="1" ht="12.75" customHeight="1">
      <c r="A432" s="701"/>
      <c r="B432" s="701"/>
      <c r="C432" s="811"/>
      <c r="D432" s="1132"/>
      <c r="E432" s="1133" t="s">
        <v>1182</v>
      </c>
      <c r="F432" s="1134"/>
      <c r="G432" s="933">
        <f>+InputY!$G$3</f>
        <v>1995</v>
      </c>
      <c r="H432" s="933">
        <f>+G432+1</f>
        <v>1996</v>
      </c>
      <c r="I432" s="933">
        <f t="shared" ref="I432:O432" si="502">+H432+1</f>
        <v>1997</v>
      </c>
      <c r="J432" s="933">
        <f t="shared" si="502"/>
        <v>1998</v>
      </c>
      <c r="K432" s="933">
        <f t="shared" si="502"/>
        <v>1999</v>
      </c>
      <c r="L432" s="933">
        <f t="shared" si="502"/>
        <v>2000</v>
      </c>
      <c r="M432" s="933">
        <f t="shared" si="502"/>
        <v>2001</v>
      </c>
      <c r="N432" s="933">
        <f t="shared" si="502"/>
        <v>2002</v>
      </c>
      <c r="O432" s="933">
        <f t="shared" si="502"/>
        <v>2003</v>
      </c>
      <c r="P432" s="933">
        <f t="shared" ref="P432:AF432" si="503">+O432+1</f>
        <v>2004</v>
      </c>
      <c r="Q432" s="933">
        <f t="shared" si="503"/>
        <v>2005</v>
      </c>
      <c r="R432" s="933">
        <f t="shared" si="503"/>
        <v>2006</v>
      </c>
      <c r="S432" s="933">
        <f t="shared" si="503"/>
        <v>2007</v>
      </c>
      <c r="T432" s="933">
        <f t="shared" si="503"/>
        <v>2008</v>
      </c>
      <c r="U432" s="933">
        <f t="shared" si="503"/>
        <v>2009</v>
      </c>
      <c r="V432" s="933">
        <f t="shared" si="503"/>
        <v>2010</v>
      </c>
      <c r="W432" s="933">
        <f t="shared" si="503"/>
        <v>2011</v>
      </c>
      <c r="X432" s="933">
        <f t="shared" si="503"/>
        <v>2012</v>
      </c>
      <c r="Y432" s="933">
        <f t="shared" si="503"/>
        <v>2013</v>
      </c>
      <c r="Z432" s="933">
        <f t="shared" si="503"/>
        <v>2014</v>
      </c>
      <c r="AA432" s="933">
        <f t="shared" si="503"/>
        <v>2015</v>
      </c>
      <c r="AB432" s="933">
        <f t="shared" si="503"/>
        <v>2016</v>
      </c>
      <c r="AC432" s="933">
        <f t="shared" si="503"/>
        <v>2017</v>
      </c>
      <c r="AD432" s="933">
        <f t="shared" si="503"/>
        <v>2018</v>
      </c>
      <c r="AE432" s="933">
        <f t="shared" si="503"/>
        <v>2019</v>
      </c>
      <c r="AF432" s="933">
        <f t="shared" si="503"/>
        <v>2020</v>
      </c>
    </row>
    <row r="433" spans="1:32" s="736" customFormat="1" ht="12.75" customHeight="1">
      <c r="A433" s="701"/>
      <c r="B433" s="701"/>
      <c r="C433" s="835"/>
      <c r="D433" s="870"/>
      <c r="E433" s="871" t="s">
        <v>816</v>
      </c>
      <c r="F433" s="1154" t="s">
        <v>713</v>
      </c>
      <c r="G433" s="1155"/>
      <c r="H433" s="1155">
        <f>+(H430/G430-1)*100</f>
        <v>16.430979754746723</v>
      </c>
      <c r="I433" s="1155">
        <f t="shared" ref="I433:Y433" si="504">+(I430/H430-1)*100</f>
        <v>0.92285812092784969</v>
      </c>
      <c r="J433" s="1155">
        <f t="shared" si="504"/>
        <v>-2.554776489402999</v>
      </c>
      <c r="K433" s="1155">
        <f t="shared" si="504"/>
        <v>-11.052662794441858</v>
      </c>
      <c r="L433" s="1155">
        <f t="shared" si="504"/>
        <v>3.3604828591015323</v>
      </c>
      <c r="M433" s="1155">
        <f t="shared" si="504"/>
        <v>-9.4927269365070348</v>
      </c>
      <c r="N433" s="1155">
        <f t="shared" si="504"/>
        <v>-1.1541297086719915</v>
      </c>
      <c r="O433" s="1155">
        <f t="shared" si="504"/>
        <v>1.9552584763114389</v>
      </c>
      <c r="P433" s="1155">
        <f t="shared" si="504"/>
        <v>-196.91538558607908</v>
      </c>
      <c r="Q433" s="1155">
        <f t="shared" si="504"/>
        <v>252.83325934121504</v>
      </c>
      <c r="R433" s="1155">
        <f t="shared" si="504"/>
        <v>-57.673315793596878</v>
      </c>
      <c r="S433" s="1155">
        <f t="shared" si="504"/>
        <v>11.832884800293254</v>
      </c>
      <c r="T433" s="1155">
        <f t="shared" si="504"/>
        <v>-3.9597394062977576</v>
      </c>
      <c r="U433" s="1155">
        <f t="shared" si="504"/>
        <v>-0.51824821549494304</v>
      </c>
      <c r="V433" s="1155">
        <f t="shared" si="504"/>
        <v>-0.52816417812705518</v>
      </c>
      <c r="W433" s="1155">
        <f t="shared" si="504"/>
        <v>0.39823281137518762</v>
      </c>
      <c r="X433" s="1155">
        <f t="shared" si="504"/>
        <v>177.30775891736843</v>
      </c>
      <c r="Y433" s="1155">
        <f t="shared" si="504"/>
        <v>-11.04973589798549</v>
      </c>
      <c r="Z433" s="1155">
        <f t="shared" ref="Z433:AC433" si="505">+(Z430/Y430-1)*100</f>
        <v>-0.39704260917704515</v>
      </c>
      <c r="AA433" s="1155">
        <f t="shared" si="505"/>
        <v>5.7124982886709086</v>
      </c>
      <c r="AB433" s="1155">
        <f t="shared" si="505"/>
        <v>0.4819384523924608</v>
      </c>
      <c r="AC433" s="1155">
        <f t="shared" si="505"/>
        <v>-2.3967258195109031</v>
      </c>
      <c r="AD433" s="1155">
        <f ca="1">+(AD430/AC430-1)*100</f>
        <v>5.0999999999999934</v>
      </c>
      <c r="AE433" s="1155">
        <f ca="1">+(AE430/AD430-1)*100</f>
        <v>3.0999999999999694</v>
      </c>
      <c r="AF433" s="1155">
        <f ca="1">+(AF430/AE430-1)*100</f>
        <v>0</v>
      </c>
    </row>
    <row r="434" spans="1:32">
      <c r="Z434"/>
      <c r="AA434"/>
      <c r="AB434"/>
      <c r="AC434"/>
      <c r="AD434"/>
      <c r="AE434"/>
      <c r="AF434"/>
    </row>
    <row r="435" spans="1:32">
      <c r="A435" s="1170"/>
      <c r="D435" s="1225"/>
      <c r="E435" s="1226" t="s">
        <v>1183</v>
      </c>
      <c r="F435" s="1185"/>
      <c r="G435" s="1177">
        <f>+InputY!$G$3</f>
        <v>1995</v>
      </c>
      <c r="H435" s="1177">
        <f>+G435+1</f>
        <v>1996</v>
      </c>
      <c r="I435" s="1177">
        <f t="shared" ref="I435:O435" si="506">+H435+1</f>
        <v>1997</v>
      </c>
      <c r="J435" s="1177">
        <f t="shared" si="506"/>
        <v>1998</v>
      </c>
      <c r="K435" s="1177">
        <f t="shared" si="506"/>
        <v>1999</v>
      </c>
      <c r="L435" s="1177">
        <f t="shared" si="506"/>
        <v>2000</v>
      </c>
      <c r="M435" s="1177">
        <f t="shared" si="506"/>
        <v>2001</v>
      </c>
      <c r="N435" s="1177">
        <f t="shared" si="506"/>
        <v>2002</v>
      </c>
      <c r="O435" s="1177">
        <f t="shared" si="506"/>
        <v>2003</v>
      </c>
      <c r="P435" s="1177">
        <f t="shared" ref="P435:AF435" si="507">+O435+1</f>
        <v>2004</v>
      </c>
      <c r="Q435" s="1177">
        <f t="shared" si="507"/>
        <v>2005</v>
      </c>
      <c r="R435" s="1177">
        <f t="shared" si="507"/>
        <v>2006</v>
      </c>
      <c r="S435" s="1177">
        <f t="shared" si="507"/>
        <v>2007</v>
      </c>
      <c r="T435" s="1177">
        <f t="shared" si="507"/>
        <v>2008</v>
      </c>
      <c r="U435" s="1177">
        <f t="shared" si="507"/>
        <v>2009</v>
      </c>
      <c r="V435" s="1177">
        <f t="shared" si="507"/>
        <v>2010</v>
      </c>
      <c r="W435" s="1177">
        <f t="shared" si="507"/>
        <v>2011</v>
      </c>
      <c r="X435" s="1177">
        <f t="shared" si="507"/>
        <v>2012</v>
      </c>
      <c r="Y435" s="1177">
        <f t="shared" si="507"/>
        <v>2013</v>
      </c>
      <c r="Z435" s="1177">
        <f t="shared" si="507"/>
        <v>2014</v>
      </c>
      <c r="AA435" s="1177">
        <f t="shared" si="507"/>
        <v>2015</v>
      </c>
      <c r="AB435" s="1177">
        <f t="shared" si="507"/>
        <v>2016</v>
      </c>
      <c r="AC435" s="1177">
        <f t="shared" si="507"/>
        <v>2017</v>
      </c>
      <c r="AD435" s="1177">
        <f t="shared" si="507"/>
        <v>2018</v>
      </c>
      <c r="AE435" s="1177">
        <f t="shared" si="507"/>
        <v>2019</v>
      </c>
      <c r="AF435" s="1177">
        <f t="shared" si="507"/>
        <v>2020</v>
      </c>
    </row>
    <row r="436" spans="1:32" ht="12.75">
      <c r="A436" s="701"/>
      <c r="B436" s="701"/>
      <c r="C436" s="1130" t="s">
        <v>1793</v>
      </c>
      <c r="D436" s="1131"/>
      <c r="E436" s="1078" t="s">
        <v>817</v>
      </c>
      <c r="F436" s="176" t="s">
        <v>714</v>
      </c>
      <c r="G436" s="1084">
        <f t="shared" ref="G436:AB436" si="508">+G277/G81*100</f>
        <v>77.358306544790352</v>
      </c>
      <c r="H436" s="1084">
        <f t="shared" si="508"/>
        <v>77.281268303283923</v>
      </c>
      <c r="I436" s="1084">
        <f t="shared" si="508"/>
        <v>77.946555103958659</v>
      </c>
      <c r="J436" s="1084">
        <f t="shared" si="508"/>
        <v>78.327722096943717</v>
      </c>
      <c r="K436" s="1084">
        <f t="shared" si="508"/>
        <v>78.993939814851018</v>
      </c>
      <c r="L436" s="1084">
        <f t="shared" si="508"/>
        <v>82.780460670413859</v>
      </c>
      <c r="M436" s="1084">
        <f t="shared" si="508"/>
        <v>85.451359406209406</v>
      </c>
      <c r="N436" s="1084">
        <f t="shared" si="508"/>
        <v>86.582446181277689</v>
      </c>
      <c r="O436" s="1084">
        <f t="shared" si="508"/>
        <v>87.011900419064631</v>
      </c>
      <c r="P436" s="1084">
        <f t="shared" si="508"/>
        <v>88.676774768962176</v>
      </c>
      <c r="Q436" s="1084">
        <f t="shared" si="508"/>
        <v>90.840081494161652</v>
      </c>
      <c r="R436" s="1084">
        <f t="shared" si="508"/>
        <v>92.605554709555378</v>
      </c>
      <c r="S436" s="1084">
        <f t="shared" si="508"/>
        <v>94.967325034922297</v>
      </c>
      <c r="T436" s="1084">
        <f t="shared" si="508"/>
        <v>98.670693380124092</v>
      </c>
      <c r="U436" s="1084">
        <f t="shared" si="508"/>
        <v>99.740207436534931</v>
      </c>
      <c r="V436" s="1084">
        <f t="shared" si="508"/>
        <v>100</v>
      </c>
      <c r="W436" s="1084">
        <f t="shared" si="508"/>
        <v>100.48395612137844</v>
      </c>
      <c r="X436" s="1084">
        <f t="shared" si="508"/>
        <v>101.42193472975687</v>
      </c>
      <c r="Y436" s="1084">
        <f t="shared" si="508"/>
        <v>100.5454643791915</v>
      </c>
      <c r="Z436" s="1084">
        <f t="shared" si="508"/>
        <v>102.34691320424771</v>
      </c>
      <c r="AA436" s="1084">
        <f t="shared" si="508"/>
        <v>105.61372202566845</v>
      </c>
      <c r="AB436" s="1084">
        <f t="shared" si="508"/>
        <v>105.27929202798103</v>
      </c>
      <c r="AC436" s="1084">
        <f t="shared" ref="AC436" si="509">+AC277/AC81*100</f>
        <v>106.98072925756699</v>
      </c>
      <c r="AD436" s="1084">
        <f t="shared" ref="AD436:AE438" ca="1" si="510">+AD277/AD81*100</f>
        <v>111.58090061564236</v>
      </c>
      <c r="AE436" s="1084">
        <f t="shared" ca="1" si="510"/>
        <v>114.12494514967899</v>
      </c>
      <c r="AF436" s="1084">
        <f t="shared" ref="AF436" ca="1" si="511">+AF277/AF81*100</f>
        <v>115.41455702987039</v>
      </c>
    </row>
    <row r="437" spans="1:32" ht="12.75">
      <c r="A437" s="1170"/>
      <c r="B437" s="1170"/>
      <c r="C437" s="1121" t="s">
        <v>1791</v>
      </c>
      <c r="D437" s="1117"/>
      <c r="E437" s="1118" t="s">
        <v>1821</v>
      </c>
      <c r="F437" s="1117" t="s">
        <v>715</v>
      </c>
      <c r="G437" s="1125">
        <f t="shared" ref="G437:AB437" si="512">+G278/G82*100</f>
        <v>99.453985306201417</v>
      </c>
      <c r="H437" s="1125">
        <f t="shared" si="512"/>
        <v>94.113022034286729</v>
      </c>
      <c r="I437" s="1125">
        <f t="shared" si="512"/>
        <v>93.715881338158994</v>
      </c>
      <c r="J437" s="1125">
        <f t="shared" si="512"/>
        <v>92.224523757587036</v>
      </c>
      <c r="K437" s="1125">
        <f t="shared" si="512"/>
        <v>90.271596058122128</v>
      </c>
      <c r="L437" s="1125">
        <f t="shared" si="512"/>
        <v>91.8557450691398</v>
      </c>
      <c r="M437" s="1125">
        <f t="shared" si="512"/>
        <v>94.061817502825789</v>
      </c>
      <c r="N437" s="1125">
        <f t="shared" si="512"/>
        <v>91.895028339271931</v>
      </c>
      <c r="O437" s="1125">
        <f t="shared" si="512"/>
        <v>89.457350917383266</v>
      </c>
      <c r="P437" s="1125">
        <f t="shared" si="512"/>
        <v>88.610383472430826</v>
      </c>
      <c r="Q437" s="1125">
        <f t="shared" si="512"/>
        <v>90.989258494957269</v>
      </c>
      <c r="R437" s="1125">
        <f t="shared" si="512"/>
        <v>94.059137201293538</v>
      </c>
      <c r="S437" s="1125">
        <f t="shared" si="512"/>
        <v>95.746001151176955</v>
      </c>
      <c r="T437" s="1125">
        <f t="shared" si="512"/>
        <v>99.596879603684414</v>
      </c>
      <c r="U437" s="1125">
        <f t="shared" si="512"/>
        <v>100.97879539989123</v>
      </c>
      <c r="V437" s="1125">
        <f t="shared" si="512"/>
        <v>100</v>
      </c>
      <c r="W437" s="1125">
        <f t="shared" si="512"/>
        <v>98.441353214141955</v>
      </c>
      <c r="X437" s="1125">
        <f t="shared" si="512"/>
        <v>96.805813536160983</v>
      </c>
      <c r="Y437" s="1125">
        <f t="shared" si="512"/>
        <v>93.74488154445433</v>
      </c>
      <c r="Z437" s="1125">
        <f t="shared" si="512"/>
        <v>95.710081037899769</v>
      </c>
      <c r="AA437" s="1125">
        <f t="shared" si="512"/>
        <v>97.239980812940914</v>
      </c>
      <c r="AB437" s="1125">
        <f t="shared" si="512"/>
        <v>95.727703043729122</v>
      </c>
      <c r="AC437" s="1125">
        <f t="shared" ref="AC437" si="513">+AC278/AC82*100</f>
        <v>99.646992944875535</v>
      </c>
      <c r="AD437" s="1125">
        <f t="shared" ca="1" si="510"/>
        <v>105.12757755684368</v>
      </c>
      <c r="AE437" s="1125">
        <f t="shared" ca="1" si="510"/>
        <v>107.66115217596364</v>
      </c>
      <c r="AF437" s="1125">
        <f t="shared" ref="AF437" ca="1" si="514">+AF278/AF82*100</f>
        <v>108.91002154120481</v>
      </c>
    </row>
    <row r="438" spans="1:32" ht="12.75">
      <c r="A438" s="701"/>
      <c r="B438" s="701"/>
      <c r="C438" s="731" t="s">
        <v>1793</v>
      </c>
      <c r="D438" s="1186"/>
      <c r="E438" s="1187" t="s">
        <v>1822</v>
      </c>
      <c r="F438" s="1186" t="s">
        <v>716</v>
      </c>
      <c r="G438" s="1188">
        <f t="shared" ref="G438:AB438" si="515">+G279/G83*100</f>
        <v>94.729573052445332</v>
      </c>
      <c r="H438" s="1188">
        <f t="shared" si="515"/>
        <v>90.444116414057206</v>
      </c>
      <c r="I438" s="1188">
        <f t="shared" si="515"/>
        <v>90.260348890524</v>
      </c>
      <c r="J438" s="1188">
        <f t="shared" si="515"/>
        <v>89.152512651925093</v>
      </c>
      <c r="K438" s="1188">
        <f t="shared" si="515"/>
        <v>87.753410934444958</v>
      </c>
      <c r="L438" s="1188">
        <f t="shared" si="515"/>
        <v>89.797064548794509</v>
      </c>
      <c r="M438" s="1188">
        <f t="shared" si="515"/>
        <v>92.114482734974047</v>
      </c>
      <c r="N438" s="1188">
        <f t="shared" si="515"/>
        <v>90.697219815800807</v>
      </c>
      <c r="O438" s="1188">
        <f t="shared" si="515"/>
        <v>88.895973628881848</v>
      </c>
      <c r="P438" s="1188">
        <f t="shared" si="515"/>
        <v>88.597737486937007</v>
      </c>
      <c r="Q438" s="1188">
        <f t="shared" si="515"/>
        <v>90.927501806435657</v>
      </c>
      <c r="R438" s="1188">
        <f t="shared" si="515"/>
        <v>93.702055988297133</v>
      </c>
      <c r="S438" s="1188">
        <f t="shared" si="515"/>
        <v>95.549229141030992</v>
      </c>
      <c r="T438" s="1188">
        <f t="shared" si="515"/>
        <v>99.363516178742216</v>
      </c>
      <c r="U438" s="1188">
        <f t="shared" si="515"/>
        <v>100.65686436864556</v>
      </c>
      <c r="V438" s="1188">
        <f t="shared" si="515"/>
        <v>100</v>
      </c>
      <c r="W438" s="1188">
        <f t="shared" si="515"/>
        <v>98.961634357018383</v>
      </c>
      <c r="X438" s="1188">
        <f t="shared" si="515"/>
        <v>97.995210373326202</v>
      </c>
      <c r="Y438" s="1188">
        <f t="shared" si="515"/>
        <v>95.537367446752597</v>
      </c>
      <c r="Z438" s="1188">
        <f t="shared" si="515"/>
        <v>97.451713034939402</v>
      </c>
      <c r="AA438" s="1188">
        <f t="shared" si="515"/>
        <v>99.502126847247041</v>
      </c>
      <c r="AB438" s="1188">
        <f t="shared" si="515"/>
        <v>98.355143933890659</v>
      </c>
      <c r="AC438" s="1188">
        <f t="shared" ref="AC438" si="516">+AC279/AC83*100</f>
        <v>101.610615467858</v>
      </c>
      <c r="AD438" s="1188">
        <f t="shared" ca="1" si="510"/>
        <v>106.82051141418216</v>
      </c>
      <c r="AE438" s="1188">
        <f t="shared" ca="1" si="510"/>
        <v>109.35220039338238</v>
      </c>
      <c r="AF438" s="1188">
        <f t="shared" ref="AF438" ca="1" si="517">+AF279/AF83*100</f>
        <v>110.61061289597293</v>
      </c>
    </row>
    <row r="439" spans="1:32">
      <c r="Z439"/>
      <c r="AA439"/>
      <c r="AB439"/>
      <c r="AC439"/>
      <c r="AD439"/>
      <c r="AE439"/>
      <c r="AF439"/>
    </row>
    <row r="440" spans="1:32">
      <c r="A440" s="1170"/>
      <c r="D440" s="1156"/>
      <c r="E440" s="964" t="s">
        <v>1184</v>
      </c>
      <c r="F440" s="1148"/>
      <c r="G440" s="933">
        <f>+InputY!$G$3</f>
        <v>1995</v>
      </c>
      <c r="H440" s="933">
        <f>+G440+1</f>
        <v>1996</v>
      </c>
      <c r="I440" s="933">
        <f t="shared" ref="I440:O440" si="518">+H440+1</f>
        <v>1997</v>
      </c>
      <c r="J440" s="933">
        <f t="shared" si="518"/>
        <v>1998</v>
      </c>
      <c r="K440" s="933">
        <f t="shared" si="518"/>
        <v>1999</v>
      </c>
      <c r="L440" s="933">
        <f t="shared" si="518"/>
        <v>2000</v>
      </c>
      <c r="M440" s="933">
        <f t="shared" si="518"/>
        <v>2001</v>
      </c>
      <c r="N440" s="933">
        <f t="shared" si="518"/>
        <v>2002</v>
      </c>
      <c r="O440" s="933">
        <f t="shared" si="518"/>
        <v>2003</v>
      </c>
      <c r="P440" s="933">
        <f t="shared" ref="P440:AF440" si="519">+O440+1</f>
        <v>2004</v>
      </c>
      <c r="Q440" s="933">
        <f t="shared" si="519"/>
        <v>2005</v>
      </c>
      <c r="R440" s="933">
        <f t="shared" si="519"/>
        <v>2006</v>
      </c>
      <c r="S440" s="933">
        <f t="shared" si="519"/>
        <v>2007</v>
      </c>
      <c r="T440" s="933">
        <f t="shared" si="519"/>
        <v>2008</v>
      </c>
      <c r="U440" s="933">
        <f t="shared" si="519"/>
        <v>2009</v>
      </c>
      <c r="V440" s="933">
        <f t="shared" si="519"/>
        <v>2010</v>
      </c>
      <c r="W440" s="933">
        <f t="shared" si="519"/>
        <v>2011</v>
      </c>
      <c r="X440" s="933">
        <f t="shared" si="519"/>
        <v>2012</v>
      </c>
      <c r="Y440" s="933">
        <f t="shared" si="519"/>
        <v>2013</v>
      </c>
      <c r="Z440" s="933">
        <f t="shared" si="519"/>
        <v>2014</v>
      </c>
      <c r="AA440" s="933">
        <f t="shared" si="519"/>
        <v>2015</v>
      </c>
      <c r="AB440" s="933">
        <f t="shared" si="519"/>
        <v>2016</v>
      </c>
      <c r="AC440" s="933">
        <f t="shared" si="519"/>
        <v>2017</v>
      </c>
      <c r="AD440" s="933">
        <f t="shared" si="519"/>
        <v>2018</v>
      </c>
      <c r="AE440" s="933">
        <f t="shared" si="519"/>
        <v>2019</v>
      </c>
      <c r="AF440" s="933">
        <f t="shared" si="519"/>
        <v>2020</v>
      </c>
    </row>
    <row r="441" spans="1:32" ht="12.75">
      <c r="A441" s="701"/>
      <c r="B441" s="701"/>
      <c r="C441" s="1159" t="s">
        <v>1793</v>
      </c>
      <c r="D441" s="1160"/>
      <c r="E441" s="1146" t="s">
        <v>817</v>
      </c>
      <c r="F441" s="1160" t="s">
        <v>714</v>
      </c>
      <c r="G441" s="1135"/>
      <c r="H441" s="1135">
        <f>+(H436/G436-1)*100</f>
        <v>-9.9586256405215234E-2</v>
      </c>
      <c r="I441" s="1135">
        <f t="shared" ref="I441:Y441" si="520">+(I436/H436-1)*100</f>
        <v>0.86086423693756409</v>
      </c>
      <c r="J441" s="1135">
        <f t="shared" si="520"/>
        <v>0.48901069774884842</v>
      </c>
      <c r="K441" s="1135">
        <f t="shared" si="520"/>
        <v>0.8505516311105632</v>
      </c>
      <c r="L441" s="1135">
        <f t="shared" si="520"/>
        <v>4.7934320840786526</v>
      </c>
      <c r="M441" s="1135">
        <f t="shared" si="520"/>
        <v>3.2264845039091883</v>
      </c>
      <c r="N441" s="1135">
        <f t="shared" si="520"/>
        <v>1.3236615343840796</v>
      </c>
      <c r="O441" s="1135">
        <f t="shared" si="520"/>
        <v>0.49600612679363554</v>
      </c>
      <c r="P441" s="1135">
        <f t="shared" si="520"/>
        <v>1.9133869526802849</v>
      </c>
      <c r="Q441" s="1135">
        <f t="shared" si="520"/>
        <v>2.4395415043406032</v>
      </c>
      <c r="R441" s="1135">
        <f t="shared" si="520"/>
        <v>1.9434958515610612</v>
      </c>
      <c r="S441" s="1135">
        <f t="shared" si="520"/>
        <v>2.5503549250088575</v>
      </c>
      <c r="T441" s="1135">
        <f t="shared" si="520"/>
        <v>3.8996237325205962</v>
      </c>
      <c r="U441" s="1135">
        <f t="shared" si="520"/>
        <v>1.0839227127862339</v>
      </c>
      <c r="V441" s="1135">
        <f t="shared" si="520"/>
        <v>0.26046924318898768</v>
      </c>
      <c r="W441" s="1135">
        <f t="shared" si="520"/>
        <v>0.48395612137843713</v>
      </c>
      <c r="X441" s="1135">
        <f t="shared" si="520"/>
        <v>0.93346106640685989</v>
      </c>
      <c r="Y441" s="1135">
        <f t="shared" si="520"/>
        <v>-0.86418224312202474</v>
      </c>
      <c r="Z441" s="1135">
        <f t="shared" ref="Z441:AC443" si="521">+(Z436/Y436-1)*100</f>
        <v>1.7916758713872216</v>
      </c>
      <c r="AA441" s="1135">
        <f t="shared" si="521"/>
        <v>3.1918977516218305</v>
      </c>
      <c r="AB441" s="1135">
        <f t="shared" si="521"/>
        <v>-0.31665392647192148</v>
      </c>
      <c r="AC441" s="1135">
        <f t="shared" si="521"/>
        <v>1.6161176588590287</v>
      </c>
      <c r="AD441" s="1135">
        <f t="shared" ref="AD441:AF443" ca="1" si="522">+(AD436/AC436-1)*100</f>
        <v>4.2999999999999927</v>
      </c>
      <c r="AE441" s="1135">
        <f t="shared" ca="1" si="522"/>
        <v>2.2799999999999931</v>
      </c>
      <c r="AF441" s="1135">
        <f t="shared" ca="1" si="522"/>
        <v>1.130000000000031</v>
      </c>
    </row>
    <row r="442" spans="1:32" ht="12.75">
      <c r="A442" s="1170"/>
      <c r="B442" s="1170"/>
      <c r="C442" s="1016" t="s">
        <v>1791</v>
      </c>
      <c r="D442" s="1161"/>
      <c r="E442" s="1162" t="s">
        <v>1821</v>
      </c>
      <c r="F442" s="1161" t="s">
        <v>715</v>
      </c>
      <c r="G442" s="1164"/>
      <c r="H442" s="1164">
        <f>+(H437/G437-1)*100</f>
        <v>-5.370285821599607</v>
      </c>
      <c r="I442" s="1164">
        <f t="shared" ref="I442:Y442" si="523">+(I437/H437-1)*100</f>
        <v>-0.42198272624063282</v>
      </c>
      <c r="J442" s="1164">
        <f t="shared" si="523"/>
        <v>-1.5913605669359621</v>
      </c>
      <c r="K442" s="1164">
        <f t="shared" si="523"/>
        <v>-2.1175795980234002</v>
      </c>
      <c r="L442" s="1164">
        <f t="shared" si="523"/>
        <v>1.7548698374599603</v>
      </c>
      <c r="M442" s="1164">
        <f t="shared" si="523"/>
        <v>2.4016706108316743</v>
      </c>
      <c r="N442" s="1164">
        <f t="shared" si="523"/>
        <v>-2.3035799446345595</v>
      </c>
      <c r="O442" s="1164">
        <f t="shared" si="523"/>
        <v>-2.6526760652261672</v>
      </c>
      <c r="P442" s="1164">
        <f t="shared" si="523"/>
        <v>-0.94678350774621833</v>
      </c>
      <c r="Q442" s="1164">
        <f t="shared" si="523"/>
        <v>2.684645895101645</v>
      </c>
      <c r="R442" s="1164">
        <f t="shared" si="523"/>
        <v>3.3738913330153109</v>
      </c>
      <c r="S442" s="1164">
        <f t="shared" si="523"/>
        <v>1.7934078496524952</v>
      </c>
      <c r="T442" s="1164">
        <f t="shared" si="523"/>
        <v>4.021973143742219</v>
      </c>
      <c r="U442" s="1164">
        <f t="shared" si="523"/>
        <v>1.3875091285045604</v>
      </c>
      <c r="V442" s="1164">
        <f t="shared" si="523"/>
        <v>-0.96930785915503304</v>
      </c>
      <c r="W442" s="1164">
        <f t="shared" si="523"/>
        <v>-1.5586467858580422</v>
      </c>
      <c r="X442" s="1164">
        <f t="shared" si="523"/>
        <v>-1.6614355904099987</v>
      </c>
      <c r="Y442" s="1164">
        <f t="shared" si="523"/>
        <v>-3.1619299295111758</v>
      </c>
      <c r="Z442" s="1164">
        <f t="shared" si="521"/>
        <v>2.0963272458918603</v>
      </c>
      <c r="AA442" s="1164">
        <f t="shared" si="521"/>
        <v>1.5984729700890377</v>
      </c>
      <c r="AB442" s="1164">
        <f t="shared" si="521"/>
        <v>-1.5552016326709661</v>
      </c>
      <c r="AC442" s="1164">
        <f t="shared" si="521"/>
        <v>4.094206563544156</v>
      </c>
      <c r="AD442" s="1164">
        <f t="shared" ca="1" si="522"/>
        <v>5.4999999999999938</v>
      </c>
      <c r="AE442" s="1164">
        <f t="shared" ca="1" si="522"/>
        <v>2.4100000000000232</v>
      </c>
      <c r="AF442" s="1164">
        <f t="shared" ca="1" si="522"/>
        <v>1.1600000000000055</v>
      </c>
    </row>
    <row r="443" spans="1:32" ht="12.75" customHeight="1">
      <c r="A443" s="701"/>
      <c r="B443" s="701"/>
      <c r="C443" s="731" t="s">
        <v>1793</v>
      </c>
      <c r="D443" s="1137"/>
      <c r="E443" s="1138" t="s">
        <v>1822</v>
      </c>
      <c r="F443" s="1137" t="s">
        <v>716</v>
      </c>
      <c r="G443" s="1139"/>
      <c r="H443" s="1139">
        <f>+(H438/G438-1)*100</f>
        <v>-4.5238846753965163</v>
      </c>
      <c r="I443" s="1139">
        <f t="shared" ref="I443:Y443" si="524">+(I438/H438-1)*100</f>
        <v>-0.20318350249772799</v>
      </c>
      <c r="J443" s="1139">
        <f t="shared" si="524"/>
        <v>-1.2273786354876526</v>
      </c>
      <c r="K443" s="1139">
        <f t="shared" si="524"/>
        <v>-1.5693351492431784</v>
      </c>
      <c r="L443" s="1139">
        <f t="shared" si="524"/>
        <v>2.3288594626552417</v>
      </c>
      <c r="M443" s="1139">
        <f t="shared" si="524"/>
        <v>2.5807282207095827</v>
      </c>
      <c r="N443" s="1139">
        <f t="shared" si="524"/>
        <v>-1.5385885879106498</v>
      </c>
      <c r="O443" s="1139">
        <f t="shared" si="524"/>
        <v>-1.9859993399766296</v>
      </c>
      <c r="P443" s="1139">
        <f t="shared" si="524"/>
        <v>-0.33548892010554221</v>
      </c>
      <c r="Q443" s="1139">
        <f t="shared" si="524"/>
        <v>2.6295979847591022</v>
      </c>
      <c r="R443" s="1139">
        <f t="shared" si="524"/>
        <v>3.0513916326084578</v>
      </c>
      <c r="S443" s="1139">
        <f t="shared" si="524"/>
        <v>1.9713261712897223</v>
      </c>
      <c r="T443" s="1139">
        <f t="shared" si="524"/>
        <v>3.9919600314946901</v>
      </c>
      <c r="U443" s="1139">
        <f t="shared" si="524"/>
        <v>1.3016328725492965</v>
      </c>
      <c r="V443" s="1139">
        <f t="shared" si="524"/>
        <v>-0.65257781748481181</v>
      </c>
      <c r="W443" s="1139">
        <f t="shared" si="524"/>
        <v>-1.0383656429816202</v>
      </c>
      <c r="X443" s="1139">
        <f t="shared" si="524"/>
        <v>-0.97656429177964688</v>
      </c>
      <c r="Y443" s="1139">
        <f t="shared" si="524"/>
        <v>-2.5081255677804171</v>
      </c>
      <c r="Z443" s="1139">
        <f t="shared" si="521"/>
        <v>2.0037663161000863</v>
      </c>
      <c r="AA443" s="1139">
        <f t="shared" si="521"/>
        <v>2.1040305485163779</v>
      </c>
      <c r="AB443" s="1139">
        <f t="shared" si="521"/>
        <v>-1.1527220067538813</v>
      </c>
      <c r="AC443" s="1139">
        <f t="shared" si="521"/>
        <v>3.3099148694810454</v>
      </c>
      <c r="AD443" s="1139">
        <f t="shared" ca="1" si="522"/>
        <v>5.1273146239057876</v>
      </c>
      <c r="AE443" s="1139">
        <f t="shared" ca="1" si="522"/>
        <v>2.3700401221483869</v>
      </c>
      <c r="AF443" s="1139">
        <f t="shared" ca="1" si="522"/>
        <v>1.1507884597324658</v>
      </c>
    </row>
    <row r="444" spans="1:32">
      <c r="Z444"/>
      <c r="AA444"/>
      <c r="AB444"/>
      <c r="AC444"/>
      <c r="AD444"/>
      <c r="AE444"/>
      <c r="AF444"/>
    </row>
    <row r="445" spans="1:32">
      <c r="A445" s="1170"/>
      <c r="D445" s="1225"/>
      <c r="E445" s="1226" t="s">
        <v>207</v>
      </c>
      <c r="F445" s="1185"/>
      <c r="G445" s="1177">
        <f>+InputY!$G$3</f>
        <v>1995</v>
      </c>
      <c r="H445" s="1177">
        <f>+G445+1</f>
        <v>1996</v>
      </c>
      <c r="I445" s="1177">
        <f t="shared" ref="I445:O445" si="525">+H445+1</f>
        <v>1997</v>
      </c>
      <c r="J445" s="1177">
        <f t="shared" si="525"/>
        <v>1998</v>
      </c>
      <c r="K445" s="1177">
        <f t="shared" si="525"/>
        <v>1999</v>
      </c>
      <c r="L445" s="1177">
        <f t="shared" si="525"/>
        <v>2000</v>
      </c>
      <c r="M445" s="1177">
        <f t="shared" si="525"/>
        <v>2001</v>
      </c>
      <c r="N445" s="1177">
        <f t="shared" si="525"/>
        <v>2002</v>
      </c>
      <c r="O445" s="1177">
        <f t="shared" si="525"/>
        <v>2003</v>
      </c>
      <c r="P445" s="1177">
        <f t="shared" ref="P445:AF445" si="526">+O445+1</f>
        <v>2004</v>
      </c>
      <c r="Q445" s="1177">
        <f t="shared" si="526"/>
        <v>2005</v>
      </c>
      <c r="R445" s="1177">
        <f t="shared" si="526"/>
        <v>2006</v>
      </c>
      <c r="S445" s="1177">
        <f t="shared" si="526"/>
        <v>2007</v>
      </c>
      <c r="T445" s="1177">
        <f t="shared" si="526"/>
        <v>2008</v>
      </c>
      <c r="U445" s="1177">
        <f t="shared" si="526"/>
        <v>2009</v>
      </c>
      <c r="V445" s="1177">
        <f t="shared" si="526"/>
        <v>2010</v>
      </c>
      <c r="W445" s="1177">
        <f t="shared" si="526"/>
        <v>2011</v>
      </c>
      <c r="X445" s="1177">
        <f t="shared" si="526"/>
        <v>2012</v>
      </c>
      <c r="Y445" s="1177">
        <f t="shared" si="526"/>
        <v>2013</v>
      </c>
      <c r="Z445" s="1177">
        <f t="shared" si="526"/>
        <v>2014</v>
      </c>
      <c r="AA445" s="1177">
        <f t="shared" si="526"/>
        <v>2015</v>
      </c>
      <c r="AB445" s="1177">
        <f t="shared" si="526"/>
        <v>2016</v>
      </c>
      <c r="AC445" s="1177">
        <f t="shared" si="526"/>
        <v>2017</v>
      </c>
      <c r="AD445" s="1177">
        <f t="shared" si="526"/>
        <v>2018</v>
      </c>
      <c r="AE445" s="1177">
        <f t="shared" si="526"/>
        <v>2019</v>
      </c>
      <c r="AF445" s="1177">
        <f t="shared" si="526"/>
        <v>2020</v>
      </c>
    </row>
    <row r="446" spans="1:32" ht="12.75">
      <c r="A446" s="701"/>
      <c r="B446" s="701"/>
      <c r="C446" s="1130" t="s">
        <v>1793</v>
      </c>
      <c r="D446" s="1131"/>
      <c r="E446" s="1078" t="s">
        <v>1823</v>
      </c>
      <c r="F446" s="176" t="s">
        <v>602</v>
      </c>
      <c r="G446" s="1084">
        <f t="shared" ref="G446:AB446" si="527">+G309/G103*100</f>
        <v>78.450670049131247</v>
      </c>
      <c r="H446" s="1084">
        <f t="shared" si="527"/>
        <v>77.357901521232591</v>
      </c>
      <c r="I446" s="1084">
        <f t="shared" si="527"/>
        <v>77.859291192139963</v>
      </c>
      <c r="J446" s="1084">
        <f t="shared" si="527"/>
        <v>77.256066067388289</v>
      </c>
      <c r="K446" s="1084">
        <f t="shared" si="527"/>
        <v>78.636352328385456</v>
      </c>
      <c r="L446" s="1084">
        <f t="shared" si="527"/>
        <v>80.775049757819502</v>
      </c>
      <c r="M446" s="1084">
        <f t="shared" si="527"/>
        <v>85.656203779037313</v>
      </c>
      <c r="N446" s="1084">
        <f t="shared" si="527"/>
        <v>87.034122972867607</v>
      </c>
      <c r="O446" s="1084">
        <f t="shared" si="527"/>
        <v>86.60192029289972</v>
      </c>
      <c r="P446" s="1084">
        <f t="shared" si="527"/>
        <v>87.998191987521366</v>
      </c>
      <c r="Q446" s="1084">
        <f t="shared" si="527"/>
        <v>90.834363208464424</v>
      </c>
      <c r="R446" s="1084">
        <f t="shared" si="527"/>
        <v>92.217937996107509</v>
      </c>
      <c r="S446" s="1084">
        <f t="shared" si="527"/>
        <v>93.677761847007318</v>
      </c>
      <c r="T446" s="1084">
        <f t="shared" si="527"/>
        <v>97.625932867277498</v>
      </c>
      <c r="U446" s="1084">
        <f t="shared" si="527"/>
        <v>101.37082078381312</v>
      </c>
      <c r="V446" s="1084">
        <f t="shared" si="527"/>
        <v>100</v>
      </c>
      <c r="W446" s="1084">
        <f t="shared" si="527"/>
        <v>99.968602532644468</v>
      </c>
      <c r="X446" s="1084">
        <f t="shared" si="527"/>
        <v>100.90650126922725</v>
      </c>
      <c r="Y446" s="1084">
        <f t="shared" si="527"/>
        <v>100.48525016356649</v>
      </c>
      <c r="Z446" s="1084">
        <f t="shared" si="527"/>
        <v>103.72080555575019</v>
      </c>
      <c r="AA446" s="1084">
        <f t="shared" si="527"/>
        <v>108.27242859112734</v>
      </c>
      <c r="AB446" s="1084">
        <f t="shared" si="527"/>
        <v>107.9473420592967</v>
      </c>
      <c r="AC446" s="1084">
        <f t="shared" ref="AC446" si="528">+AC309/AC103*100</f>
        <v>110.20262208722139</v>
      </c>
      <c r="AD446" s="1084">
        <f t="shared" ref="AD446:AE448" ca="1" si="529">+AD309/AD103*100</f>
        <v>116.70457679036745</v>
      </c>
      <c r="AE446" s="1084">
        <f t="shared" ca="1" si="529"/>
        <v>120.34575958622695</v>
      </c>
      <c r="AF446" s="1084">
        <f t="shared" ref="AF446" ca="1" si="530">+AF309/AF103*100</f>
        <v>122.21111885981348</v>
      </c>
    </row>
    <row r="447" spans="1:32" ht="12.75">
      <c r="A447" s="1170"/>
      <c r="B447" s="1170"/>
      <c r="C447" s="1121" t="s">
        <v>1791</v>
      </c>
      <c r="D447" s="1117"/>
      <c r="E447" s="1118" t="s">
        <v>1824</v>
      </c>
      <c r="F447" s="1117" t="s">
        <v>1742</v>
      </c>
      <c r="G447" s="1125">
        <f t="shared" ref="G447:AB447" si="531">+G310/G104*100</f>
        <v>87.879497903173416</v>
      </c>
      <c r="H447" s="1125">
        <f t="shared" si="531"/>
        <v>83.778578260322192</v>
      </c>
      <c r="I447" s="1125">
        <f t="shared" si="531"/>
        <v>84.004121346377076</v>
      </c>
      <c r="J447" s="1125">
        <f t="shared" si="531"/>
        <v>83.06088717811339</v>
      </c>
      <c r="K447" s="1125">
        <f t="shared" si="531"/>
        <v>83.772173134381191</v>
      </c>
      <c r="L447" s="1125">
        <f t="shared" si="531"/>
        <v>87.577566925273544</v>
      </c>
      <c r="M447" s="1125">
        <f t="shared" si="531"/>
        <v>90.326272656635908</v>
      </c>
      <c r="N447" s="1125">
        <f t="shared" si="531"/>
        <v>89.906584844029268</v>
      </c>
      <c r="O447" s="1125">
        <f t="shared" si="531"/>
        <v>87.489191060920405</v>
      </c>
      <c r="P447" s="1125">
        <f t="shared" si="531"/>
        <v>88.084045626481256</v>
      </c>
      <c r="Q447" s="1125">
        <f t="shared" si="531"/>
        <v>92.56139959074126</v>
      </c>
      <c r="R447" s="1125">
        <f t="shared" si="531"/>
        <v>96.214152279779626</v>
      </c>
      <c r="S447" s="1125">
        <f t="shared" si="531"/>
        <v>96.339481357630049</v>
      </c>
      <c r="T447" s="1125">
        <f t="shared" si="531"/>
        <v>100.67304267276714</v>
      </c>
      <c r="U447" s="1125">
        <f t="shared" si="531"/>
        <v>99.664343576310429</v>
      </c>
      <c r="V447" s="1125">
        <f t="shared" si="531"/>
        <v>100</v>
      </c>
      <c r="W447" s="1125">
        <f t="shared" si="531"/>
        <v>99.70260266385651</v>
      </c>
      <c r="X447" s="1125">
        <f t="shared" si="531"/>
        <v>97.848978390154016</v>
      </c>
      <c r="Y447" s="1125">
        <f t="shared" si="531"/>
        <v>94.236946813144357</v>
      </c>
      <c r="Z447" s="1125">
        <f t="shared" si="531"/>
        <v>95.380976559738286</v>
      </c>
      <c r="AA447" s="1125">
        <f t="shared" si="531"/>
        <v>95.325445234098467</v>
      </c>
      <c r="AB447" s="1125">
        <f t="shared" si="531"/>
        <v>93.188561382787512</v>
      </c>
      <c r="AC447" s="1125">
        <f t="shared" ref="AC447" si="532">+AC310/AC104*100</f>
        <v>97.56382679964679</v>
      </c>
      <c r="AD447" s="1125">
        <f t="shared" ca="1" si="529"/>
        <v>103.61278406122491</v>
      </c>
      <c r="AE447" s="1125">
        <f t="shared" ca="1" si="529"/>
        <v>106.42069050928409</v>
      </c>
      <c r="AF447" s="1125">
        <f t="shared" ref="AF447" ca="1" si="533">+AF310/AF104*100</f>
        <v>107.83608569305758</v>
      </c>
    </row>
    <row r="448" spans="1:32" ht="12.75">
      <c r="A448" s="701"/>
      <c r="B448" s="701"/>
      <c r="C448" s="731" t="s">
        <v>1793</v>
      </c>
      <c r="D448" s="1186"/>
      <c r="E448" s="1187" t="s">
        <v>1825</v>
      </c>
      <c r="F448" s="1186" t="s">
        <v>202</v>
      </c>
      <c r="G448" s="1188">
        <f t="shared" ref="G448:AB448" si="534">+G311/G105*100</f>
        <v>85.104399770967831</v>
      </c>
      <c r="H448" s="1188">
        <f t="shared" si="534"/>
        <v>81.804417015871223</v>
      </c>
      <c r="I448" s="1188">
        <f t="shared" si="534"/>
        <v>82.103389122691084</v>
      </c>
      <c r="J448" s="1188">
        <f t="shared" si="534"/>
        <v>81.256643233313255</v>
      </c>
      <c r="K448" s="1188">
        <f t="shared" si="534"/>
        <v>82.15661395059432</v>
      </c>
      <c r="L448" s="1188">
        <f t="shared" si="534"/>
        <v>85.485588046976744</v>
      </c>
      <c r="M448" s="1188">
        <f t="shared" si="534"/>
        <v>88.877046899753836</v>
      </c>
      <c r="N448" s="1188">
        <f t="shared" si="534"/>
        <v>88.98902663717773</v>
      </c>
      <c r="O448" s="1188">
        <f t="shared" si="534"/>
        <v>87.131491585432954</v>
      </c>
      <c r="P448" s="1188">
        <f t="shared" si="534"/>
        <v>87.943576988829548</v>
      </c>
      <c r="Q448" s="1188">
        <f t="shared" si="534"/>
        <v>91.973724212655952</v>
      </c>
      <c r="R448" s="1188">
        <f t="shared" si="534"/>
        <v>95.032420409721951</v>
      </c>
      <c r="S448" s="1188">
        <f t="shared" si="534"/>
        <v>95.510399997552383</v>
      </c>
      <c r="T448" s="1188">
        <f t="shared" si="534"/>
        <v>99.734726511960275</v>
      </c>
      <c r="U448" s="1188">
        <f t="shared" si="534"/>
        <v>100.11706002942931</v>
      </c>
      <c r="V448" s="1188">
        <f t="shared" si="534"/>
        <v>100</v>
      </c>
      <c r="W448" s="1188">
        <f t="shared" si="534"/>
        <v>99.770772674985935</v>
      </c>
      <c r="X448" s="1188">
        <f t="shared" si="534"/>
        <v>98.65983491214547</v>
      </c>
      <c r="Y448" s="1188">
        <f t="shared" si="534"/>
        <v>95.933635536816865</v>
      </c>
      <c r="Z448" s="1188">
        <f t="shared" si="534"/>
        <v>97.678534413533285</v>
      </c>
      <c r="AA448" s="1188">
        <f t="shared" si="534"/>
        <v>98.944712480441552</v>
      </c>
      <c r="AB448" s="1188">
        <f t="shared" si="534"/>
        <v>97.309954928473132</v>
      </c>
      <c r="AC448" s="1188">
        <f t="shared" ref="AC448" si="535">+AC311/AC105*100</f>
        <v>101.08600561831858</v>
      </c>
      <c r="AD448" s="1188">
        <f t="shared" ca="1" si="529"/>
        <v>107.26076452577307</v>
      </c>
      <c r="AE448" s="1188">
        <f t="shared" ca="1" si="529"/>
        <v>110.30103432891892</v>
      </c>
      <c r="AF448" s="1188">
        <f t="shared" ref="AF448" ca="1" si="536">+AF311/AF105*100</f>
        <v>111.84195375772129</v>
      </c>
    </row>
    <row r="449" spans="1:32">
      <c r="Z449"/>
      <c r="AA449"/>
      <c r="AB449"/>
      <c r="AC449"/>
      <c r="AD449"/>
      <c r="AE449"/>
      <c r="AF449"/>
    </row>
    <row r="450" spans="1:32">
      <c r="A450" s="1170"/>
      <c r="D450" s="1157"/>
      <c r="E450" s="967" t="s">
        <v>207</v>
      </c>
      <c r="F450" s="1158"/>
      <c r="G450" s="933">
        <f>+InputY!$G$3</f>
        <v>1995</v>
      </c>
      <c r="H450" s="933">
        <f>+G450+1</f>
        <v>1996</v>
      </c>
      <c r="I450" s="933">
        <f t="shared" ref="I450:O450" si="537">+H450+1</f>
        <v>1997</v>
      </c>
      <c r="J450" s="933">
        <f t="shared" si="537"/>
        <v>1998</v>
      </c>
      <c r="K450" s="933">
        <f t="shared" si="537"/>
        <v>1999</v>
      </c>
      <c r="L450" s="933">
        <f t="shared" si="537"/>
        <v>2000</v>
      </c>
      <c r="M450" s="933">
        <f t="shared" si="537"/>
        <v>2001</v>
      </c>
      <c r="N450" s="933">
        <f t="shared" si="537"/>
        <v>2002</v>
      </c>
      <c r="O450" s="933">
        <f t="shared" si="537"/>
        <v>2003</v>
      </c>
      <c r="P450" s="933">
        <f t="shared" ref="P450:AF450" si="538">+O450+1</f>
        <v>2004</v>
      </c>
      <c r="Q450" s="933">
        <f t="shared" si="538"/>
        <v>2005</v>
      </c>
      <c r="R450" s="933">
        <f t="shared" si="538"/>
        <v>2006</v>
      </c>
      <c r="S450" s="933">
        <f t="shared" si="538"/>
        <v>2007</v>
      </c>
      <c r="T450" s="933">
        <f t="shared" si="538"/>
        <v>2008</v>
      </c>
      <c r="U450" s="933">
        <f t="shared" si="538"/>
        <v>2009</v>
      </c>
      <c r="V450" s="933">
        <f t="shared" si="538"/>
        <v>2010</v>
      </c>
      <c r="W450" s="933">
        <f t="shared" si="538"/>
        <v>2011</v>
      </c>
      <c r="X450" s="933">
        <f t="shared" si="538"/>
        <v>2012</v>
      </c>
      <c r="Y450" s="933">
        <f t="shared" si="538"/>
        <v>2013</v>
      </c>
      <c r="Z450" s="933">
        <f t="shared" si="538"/>
        <v>2014</v>
      </c>
      <c r="AA450" s="933">
        <f t="shared" si="538"/>
        <v>2015</v>
      </c>
      <c r="AB450" s="933">
        <f t="shared" si="538"/>
        <v>2016</v>
      </c>
      <c r="AC450" s="933">
        <f t="shared" si="538"/>
        <v>2017</v>
      </c>
      <c r="AD450" s="933">
        <f t="shared" si="538"/>
        <v>2018</v>
      </c>
      <c r="AE450" s="933">
        <f t="shared" si="538"/>
        <v>2019</v>
      </c>
      <c r="AF450" s="933">
        <f t="shared" si="538"/>
        <v>2020</v>
      </c>
    </row>
    <row r="451" spans="1:32" ht="12.75">
      <c r="A451" s="701"/>
      <c r="B451" s="701"/>
      <c r="C451" s="1159" t="s">
        <v>1793</v>
      </c>
      <c r="D451" s="1160"/>
      <c r="E451" s="1146" t="s">
        <v>1823</v>
      </c>
      <c r="F451" s="1160" t="s">
        <v>602</v>
      </c>
      <c r="G451" s="1135"/>
      <c r="H451" s="1135">
        <f>+(H446/G446-1)*100</f>
        <v>-1.3929371504593724</v>
      </c>
      <c r="I451" s="1135">
        <f t="shared" ref="I451:Y451" si="539">+(I446/H446-1)*100</f>
        <v>0.64814280254197332</v>
      </c>
      <c r="J451" s="1135">
        <f t="shared" si="539"/>
        <v>-0.77476318563323154</v>
      </c>
      <c r="K451" s="1135">
        <f t="shared" si="539"/>
        <v>1.7866380353785738</v>
      </c>
      <c r="L451" s="1135">
        <f t="shared" si="539"/>
        <v>2.7197312262181805</v>
      </c>
      <c r="M451" s="1135">
        <f t="shared" si="539"/>
        <v>6.0428981917715063</v>
      </c>
      <c r="N451" s="1135">
        <f t="shared" si="539"/>
        <v>1.6086624588043108</v>
      </c>
      <c r="O451" s="1135">
        <f t="shared" si="539"/>
        <v>-0.49658991807457475</v>
      </c>
      <c r="P451" s="1135">
        <f t="shared" si="539"/>
        <v>1.6122872216912221</v>
      </c>
      <c r="Q451" s="1135">
        <f t="shared" si="539"/>
        <v>3.2229880601924776</v>
      </c>
      <c r="R451" s="1135">
        <f t="shared" si="539"/>
        <v>1.5231843310970161</v>
      </c>
      <c r="S451" s="1135">
        <f t="shared" si="539"/>
        <v>1.583015064771276</v>
      </c>
      <c r="T451" s="1135">
        <f t="shared" si="539"/>
        <v>4.2146299638523121</v>
      </c>
      <c r="U451" s="1135">
        <f t="shared" si="539"/>
        <v>3.8359560892768041</v>
      </c>
      <c r="V451" s="1135">
        <f t="shared" si="539"/>
        <v>-1.3522834018840357</v>
      </c>
      <c r="W451" s="1135">
        <f t="shared" si="539"/>
        <v>-3.1397467355531727E-2</v>
      </c>
      <c r="X451" s="1135">
        <f t="shared" si="539"/>
        <v>0.93819330551960789</v>
      </c>
      <c r="Y451" s="1135">
        <f t="shared" si="539"/>
        <v>-0.41746676414518014</v>
      </c>
      <c r="Z451" s="1135">
        <f t="shared" ref="Z451:AC453" si="540">+(Z446/Y446-1)*100</f>
        <v>3.2199306733246669</v>
      </c>
      <c r="AA451" s="1135">
        <f t="shared" si="540"/>
        <v>4.3883413853073483</v>
      </c>
      <c r="AB451" s="1135">
        <f t="shared" si="540"/>
        <v>-0.30024867462635774</v>
      </c>
      <c r="AC451" s="1135">
        <f t="shared" si="540"/>
        <v>2.0892409066318951</v>
      </c>
      <c r="AD451" s="1135">
        <f t="shared" ref="AD451:AF453" ca="1" si="541">+(AD446/AC446-1)*100</f>
        <v>5.9000000000000163</v>
      </c>
      <c r="AE451" s="1135">
        <f t="shared" ca="1" si="541"/>
        <v>3.1200000000000339</v>
      </c>
      <c r="AF451" s="1135">
        <f t="shared" ca="1" si="541"/>
        <v>1.5500000000000069</v>
      </c>
    </row>
    <row r="452" spans="1:32" ht="12.75">
      <c r="A452" s="1170"/>
      <c r="B452" s="1170"/>
      <c r="C452" s="1016" t="s">
        <v>1791</v>
      </c>
      <c r="D452" s="1161"/>
      <c r="E452" s="1162" t="s">
        <v>1824</v>
      </c>
      <c r="F452" s="1161" t="s">
        <v>1742</v>
      </c>
      <c r="G452" s="1164"/>
      <c r="H452" s="1164">
        <f>+(H447/G447-1)*100</f>
        <v>-4.6665260279134309</v>
      </c>
      <c r="I452" s="1164">
        <f t="shared" ref="I452:Y452" si="542">+(I447/H447-1)*100</f>
        <v>0.26921331292357742</v>
      </c>
      <c r="J452" s="1164">
        <f t="shared" si="542"/>
        <v>-1.1228427286018694</v>
      </c>
      <c r="K452" s="1164">
        <f t="shared" si="542"/>
        <v>0.85634283527762367</v>
      </c>
      <c r="L452" s="1164">
        <f t="shared" si="542"/>
        <v>4.5425511223016857</v>
      </c>
      <c r="M452" s="1164">
        <f t="shared" si="542"/>
        <v>3.1385956790826564</v>
      </c>
      <c r="N452" s="1164">
        <f t="shared" si="542"/>
        <v>-0.46463537159562307</v>
      </c>
      <c r="O452" s="1164">
        <f t="shared" si="542"/>
        <v>-2.6887839053197027</v>
      </c>
      <c r="P452" s="1164">
        <f t="shared" si="542"/>
        <v>0.67991777995368707</v>
      </c>
      <c r="Q452" s="1164">
        <f t="shared" si="542"/>
        <v>5.0830475966625599</v>
      </c>
      <c r="R452" s="1164">
        <f t="shared" si="542"/>
        <v>3.9463023519404006</v>
      </c>
      <c r="S452" s="1164">
        <f t="shared" si="542"/>
        <v>0.13026054367342166</v>
      </c>
      <c r="T452" s="1164">
        <f t="shared" si="542"/>
        <v>4.4982194776927553</v>
      </c>
      <c r="U452" s="1164">
        <f t="shared" si="542"/>
        <v>-1.0019555083235487</v>
      </c>
      <c r="V452" s="1164">
        <f t="shared" si="542"/>
        <v>0.33678687045439748</v>
      </c>
      <c r="W452" s="1164">
        <f t="shared" si="542"/>
        <v>-0.29739733614349007</v>
      </c>
      <c r="X452" s="1164">
        <f t="shared" si="542"/>
        <v>-1.8591533462290033</v>
      </c>
      <c r="Y452" s="1164">
        <f t="shared" si="542"/>
        <v>-3.6914351446852844</v>
      </c>
      <c r="Z452" s="1164">
        <f t="shared" si="540"/>
        <v>1.2139927971800191</v>
      </c>
      <c r="AA452" s="1164">
        <f t="shared" si="540"/>
        <v>-5.822054632145246E-2</v>
      </c>
      <c r="AB452" s="1164">
        <f t="shared" si="540"/>
        <v>-2.2416720384187405</v>
      </c>
      <c r="AC452" s="1164">
        <f t="shared" si="540"/>
        <v>4.6950670253263604</v>
      </c>
      <c r="AD452" s="1164">
        <f t="shared" ca="1" si="541"/>
        <v>6.2000000000000277</v>
      </c>
      <c r="AE452" s="1164">
        <f t="shared" ca="1" si="541"/>
        <v>2.709999999999968</v>
      </c>
      <c r="AF452" s="1164">
        <f t="shared" ca="1" si="541"/>
        <v>1.330000000000009</v>
      </c>
    </row>
    <row r="453" spans="1:32" ht="12.75">
      <c r="A453" s="701"/>
      <c r="B453" s="701"/>
      <c r="C453" s="731" t="s">
        <v>1793</v>
      </c>
      <c r="D453" s="1137"/>
      <c r="E453" s="1138" t="s">
        <v>1825</v>
      </c>
      <c r="F453" s="1137" t="s">
        <v>202</v>
      </c>
      <c r="G453" s="1139"/>
      <c r="H453" s="1139">
        <f>+(H448/G448-1)*100</f>
        <v>-3.8775700950567704</v>
      </c>
      <c r="I453" s="1139">
        <f t="shared" ref="I453:Y453" si="543">+(I448/H448-1)*100</f>
        <v>0.36547183847279729</v>
      </c>
      <c r="J453" s="1139">
        <f t="shared" si="543"/>
        <v>-1.0313166099787829</v>
      </c>
      <c r="K453" s="1139">
        <f t="shared" si="543"/>
        <v>1.1075657096699887</v>
      </c>
      <c r="L453" s="1139">
        <f t="shared" si="543"/>
        <v>4.0519855143790862</v>
      </c>
      <c r="M453" s="1139">
        <f t="shared" si="543"/>
        <v>3.9672872705904361</v>
      </c>
      <c r="N453" s="1139">
        <f t="shared" si="543"/>
        <v>0.12599398982078291</v>
      </c>
      <c r="O453" s="1139">
        <f t="shared" si="543"/>
        <v>-2.0873754011471957</v>
      </c>
      <c r="P453" s="1139">
        <f t="shared" si="543"/>
        <v>0.93202284113356182</v>
      </c>
      <c r="Q453" s="1139">
        <f t="shared" si="543"/>
        <v>4.5826510153644362</v>
      </c>
      <c r="R453" s="1139">
        <f t="shared" si="543"/>
        <v>3.3256195976079761</v>
      </c>
      <c r="S453" s="1139">
        <f t="shared" si="543"/>
        <v>0.50296476273010704</v>
      </c>
      <c r="T453" s="1139">
        <f t="shared" si="543"/>
        <v>4.422896893444217</v>
      </c>
      <c r="U453" s="1139">
        <f t="shared" si="543"/>
        <v>0.3833504445647451</v>
      </c>
      <c r="V453" s="1139">
        <f t="shared" si="543"/>
        <v>-0.11692315914481055</v>
      </c>
      <c r="W453" s="1139">
        <f t="shared" si="543"/>
        <v>-0.22922732501406973</v>
      </c>
      <c r="X453" s="1139">
        <f t="shared" si="543"/>
        <v>-1.1134901866095226</v>
      </c>
      <c r="Y453" s="1139">
        <f t="shared" si="543"/>
        <v>-2.7632312356454136</v>
      </c>
      <c r="Z453" s="1139">
        <f t="shared" si="540"/>
        <v>1.8188603683707782</v>
      </c>
      <c r="AA453" s="1139">
        <f t="shared" si="540"/>
        <v>1.296270541435196</v>
      </c>
      <c r="AB453" s="1139">
        <f t="shared" si="540"/>
        <v>-1.6521929378404798</v>
      </c>
      <c r="AC453" s="1139">
        <f t="shared" si="540"/>
        <v>3.880436171839774</v>
      </c>
      <c r="AD453" s="1139">
        <f t="shared" ca="1" si="541"/>
        <v>6.1084211109984965</v>
      </c>
      <c r="AE453" s="1139">
        <f t="shared" ca="1" si="541"/>
        <v>2.8344659080024703</v>
      </c>
      <c r="AF453" s="1139">
        <f t="shared" ca="1" si="541"/>
        <v>1.3970126737046895</v>
      </c>
    </row>
    <row r="454" spans="1:32">
      <c r="Z454"/>
      <c r="AA454"/>
      <c r="AB454"/>
      <c r="AC454"/>
      <c r="AD454"/>
      <c r="AE454"/>
      <c r="AF454"/>
    </row>
    <row r="455" spans="1:32">
      <c r="A455" s="1170"/>
      <c r="D455" s="1192"/>
      <c r="E455" s="1193" t="s">
        <v>208</v>
      </c>
      <c r="F455" s="1195"/>
      <c r="G455" s="1194">
        <f>+InputY!$G$3</f>
        <v>1995</v>
      </c>
      <c r="H455" s="1194">
        <f>+G455+1</f>
        <v>1996</v>
      </c>
      <c r="I455" s="1194">
        <f t="shared" ref="I455:O455" si="544">+H455+1</f>
        <v>1997</v>
      </c>
      <c r="J455" s="1194">
        <f t="shared" si="544"/>
        <v>1998</v>
      </c>
      <c r="K455" s="1194">
        <f t="shared" si="544"/>
        <v>1999</v>
      </c>
      <c r="L455" s="1194">
        <f t="shared" si="544"/>
        <v>2000</v>
      </c>
      <c r="M455" s="1194">
        <f t="shared" si="544"/>
        <v>2001</v>
      </c>
      <c r="N455" s="1194">
        <f t="shared" si="544"/>
        <v>2002</v>
      </c>
      <c r="O455" s="1194">
        <f t="shared" si="544"/>
        <v>2003</v>
      </c>
      <c r="P455" s="1194">
        <f t="shared" ref="P455:AF455" si="545">+O455+1</f>
        <v>2004</v>
      </c>
      <c r="Q455" s="1194">
        <f t="shared" si="545"/>
        <v>2005</v>
      </c>
      <c r="R455" s="1194">
        <f t="shared" si="545"/>
        <v>2006</v>
      </c>
      <c r="S455" s="1194">
        <f t="shared" si="545"/>
        <v>2007</v>
      </c>
      <c r="T455" s="1194">
        <f t="shared" si="545"/>
        <v>2008</v>
      </c>
      <c r="U455" s="1194">
        <f t="shared" si="545"/>
        <v>2009</v>
      </c>
      <c r="V455" s="1194">
        <f t="shared" si="545"/>
        <v>2010</v>
      </c>
      <c r="W455" s="1194">
        <f t="shared" si="545"/>
        <v>2011</v>
      </c>
      <c r="X455" s="1194">
        <f t="shared" si="545"/>
        <v>2012</v>
      </c>
      <c r="Y455" s="1194">
        <f t="shared" si="545"/>
        <v>2013</v>
      </c>
      <c r="Z455" s="1194">
        <f t="shared" si="545"/>
        <v>2014</v>
      </c>
      <c r="AA455" s="1194">
        <f t="shared" si="545"/>
        <v>2015</v>
      </c>
      <c r="AB455" s="1194">
        <f t="shared" si="545"/>
        <v>2016</v>
      </c>
      <c r="AC455" s="1194">
        <f t="shared" si="545"/>
        <v>2017</v>
      </c>
      <c r="AD455" s="1194">
        <f t="shared" si="545"/>
        <v>2018</v>
      </c>
      <c r="AE455" s="1194">
        <f t="shared" si="545"/>
        <v>2019</v>
      </c>
      <c r="AF455" s="1194">
        <f t="shared" si="545"/>
        <v>2020</v>
      </c>
    </row>
    <row r="456" spans="1:32" ht="12.75">
      <c r="A456" s="1170"/>
      <c r="C456" s="1122"/>
      <c r="D456" s="1126"/>
      <c r="E456" s="1127" t="s">
        <v>1333</v>
      </c>
      <c r="F456" s="1126" t="s">
        <v>2026</v>
      </c>
      <c r="G456" s="1128">
        <f t="shared" ref="G456:AB456" si="546">+G341/G125*100</f>
        <v>78.540358430727778</v>
      </c>
      <c r="H456" s="1128">
        <f t="shared" si="546"/>
        <v>79.364469800006972</v>
      </c>
      <c r="I456" s="1128">
        <f t="shared" si="546"/>
        <v>80.610921981026436</v>
      </c>
      <c r="J456" s="1128">
        <f t="shared" si="546"/>
        <v>81.24873273905304</v>
      </c>
      <c r="K456" s="1128">
        <f t="shared" si="546"/>
        <v>82.011952622962241</v>
      </c>
      <c r="L456" s="1128">
        <f t="shared" si="546"/>
        <v>83.295264208832961</v>
      </c>
      <c r="M456" s="1128">
        <f t="shared" si="546"/>
        <v>85.386475674486036</v>
      </c>
      <c r="N456" s="1128">
        <f t="shared" si="546"/>
        <v>86.752693184877586</v>
      </c>
      <c r="O456" s="1128">
        <f t="shared" si="546"/>
        <v>88.272745468181171</v>
      </c>
      <c r="P456" s="1128">
        <f t="shared" si="546"/>
        <v>88.65071349685374</v>
      </c>
      <c r="Q456" s="1128">
        <f t="shared" si="546"/>
        <v>89.362261560793172</v>
      </c>
      <c r="R456" s="1128">
        <f t="shared" si="546"/>
        <v>90.985656717629411</v>
      </c>
      <c r="S456" s="1128">
        <f t="shared" si="546"/>
        <v>93.605879593374198</v>
      </c>
      <c r="T456" s="1128">
        <f t="shared" si="546"/>
        <v>96.716567489972789</v>
      </c>
      <c r="U456" s="1128">
        <f t="shared" si="546"/>
        <v>99.019279283709253</v>
      </c>
      <c r="V456" s="1128">
        <f t="shared" si="546"/>
        <v>100</v>
      </c>
      <c r="W456" s="1128">
        <f t="shared" si="546"/>
        <v>101.18311045820106</v>
      </c>
      <c r="X456" s="1128">
        <f t="shared" si="546"/>
        <v>102.25746585994744</v>
      </c>
      <c r="Y456" s="1128">
        <f t="shared" si="546"/>
        <v>103.33593617781804</v>
      </c>
      <c r="Z456" s="1128">
        <f t="shared" si="546"/>
        <v>105.17178778778428</v>
      </c>
      <c r="AA456" s="1128">
        <f t="shared" si="546"/>
        <v>107.3431023268775</v>
      </c>
      <c r="AB456" s="1128">
        <f t="shared" si="546"/>
        <v>109.11426031179604</v>
      </c>
      <c r="AC456" s="1128">
        <f t="shared" ref="AC456" si="547">+AC341/AC125*100</f>
        <v>111.56748283438912</v>
      </c>
      <c r="AD456" s="1128">
        <f ca="1">+AD341/AD125*100</f>
        <v>114.31655706156072</v>
      </c>
      <c r="AE456" s="1128">
        <f ca="1">+AE341/AE125*100</f>
        <v>116.58638481911441</v>
      </c>
      <c r="AF456" s="1128">
        <f ca="1">+AF341/AF125*100</f>
        <v>118.63057342861003</v>
      </c>
    </row>
    <row r="457" spans="1:32">
      <c r="Z457"/>
      <c r="AA457"/>
      <c r="AB457"/>
      <c r="AC457"/>
      <c r="AD457"/>
      <c r="AE457"/>
      <c r="AF457"/>
    </row>
    <row r="458" spans="1:32" s="736" customFormat="1" ht="12.75" customHeight="1">
      <c r="A458" s="701"/>
      <c r="B458" s="701"/>
      <c r="C458" s="811"/>
      <c r="D458" s="1132"/>
      <c r="E458" s="1133" t="s">
        <v>208</v>
      </c>
      <c r="F458" s="1134"/>
      <c r="G458" s="933">
        <f>+InputY!$G$3</f>
        <v>1995</v>
      </c>
      <c r="H458" s="933">
        <f>+G458+1</f>
        <v>1996</v>
      </c>
      <c r="I458" s="933">
        <f t="shared" ref="I458:O458" si="548">+H458+1</f>
        <v>1997</v>
      </c>
      <c r="J458" s="933">
        <f t="shared" si="548"/>
        <v>1998</v>
      </c>
      <c r="K458" s="933">
        <f t="shared" si="548"/>
        <v>1999</v>
      </c>
      <c r="L458" s="933">
        <f t="shared" si="548"/>
        <v>2000</v>
      </c>
      <c r="M458" s="933">
        <f t="shared" si="548"/>
        <v>2001</v>
      </c>
      <c r="N458" s="933">
        <f t="shared" si="548"/>
        <v>2002</v>
      </c>
      <c r="O458" s="933">
        <f t="shared" si="548"/>
        <v>2003</v>
      </c>
      <c r="P458" s="933">
        <f t="shared" ref="P458:AF458" si="549">+O458+1</f>
        <v>2004</v>
      </c>
      <c r="Q458" s="933">
        <f t="shared" si="549"/>
        <v>2005</v>
      </c>
      <c r="R458" s="933">
        <f t="shared" si="549"/>
        <v>2006</v>
      </c>
      <c r="S458" s="933">
        <f t="shared" si="549"/>
        <v>2007</v>
      </c>
      <c r="T458" s="933">
        <f t="shared" si="549"/>
        <v>2008</v>
      </c>
      <c r="U458" s="933">
        <f t="shared" si="549"/>
        <v>2009</v>
      </c>
      <c r="V458" s="933">
        <f t="shared" si="549"/>
        <v>2010</v>
      </c>
      <c r="W458" s="933">
        <f t="shared" si="549"/>
        <v>2011</v>
      </c>
      <c r="X458" s="933">
        <f t="shared" si="549"/>
        <v>2012</v>
      </c>
      <c r="Y458" s="933">
        <f t="shared" si="549"/>
        <v>2013</v>
      </c>
      <c r="Z458" s="933">
        <f t="shared" si="549"/>
        <v>2014</v>
      </c>
      <c r="AA458" s="933">
        <f t="shared" si="549"/>
        <v>2015</v>
      </c>
      <c r="AB458" s="933">
        <f t="shared" si="549"/>
        <v>2016</v>
      </c>
      <c r="AC458" s="933">
        <f t="shared" si="549"/>
        <v>2017</v>
      </c>
      <c r="AD458" s="933">
        <f t="shared" si="549"/>
        <v>2018</v>
      </c>
      <c r="AE458" s="933">
        <f t="shared" si="549"/>
        <v>2019</v>
      </c>
      <c r="AF458" s="933">
        <f t="shared" si="549"/>
        <v>2020</v>
      </c>
    </row>
    <row r="459" spans="1:32" s="736" customFormat="1" ht="12.75" customHeight="1">
      <c r="A459" s="701"/>
      <c r="B459" s="701"/>
      <c r="C459" s="835"/>
      <c r="D459" s="870"/>
      <c r="E459" s="871" t="s">
        <v>1333</v>
      </c>
      <c r="F459" s="872" t="s">
        <v>2026</v>
      </c>
      <c r="G459" s="1155"/>
      <c r="H459" s="1155">
        <f>+(H456/G456-1)*100</f>
        <v>1.0492839423518197</v>
      </c>
      <c r="I459" s="1155">
        <f t="shared" ref="I459:Y459" si="550">+(I456/H456-1)*100</f>
        <v>1.5705418106621849</v>
      </c>
      <c r="J459" s="1155">
        <f t="shared" si="550"/>
        <v>0.79122126673694115</v>
      </c>
      <c r="K459" s="1155">
        <f t="shared" si="550"/>
        <v>0.93936220071326737</v>
      </c>
      <c r="L459" s="1155">
        <f t="shared" si="550"/>
        <v>1.5647860401160729</v>
      </c>
      <c r="M459" s="1155">
        <f t="shared" si="550"/>
        <v>2.5106006752197985</v>
      </c>
      <c r="N459" s="1155">
        <f t="shared" si="550"/>
        <v>1.6000397013689938</v>
      </c>
      <c r="O459" s="1155">
        <f t="shared" si="550"/>
        <v>1.7521672555619983</v>
      </c>
      <c r="P459" s="1155">
        <f t="shared" si="550"/>
        <v>0.42818202455117138</v>
      </c>
      <c r="Q459" s="1155">
        <f t="shared" si="550"/>
        <v>0.80264223024519854</v>
      </c>
      <c r="R459" s="1155">
        <f t="shared" si="550"/>
        <v>1.8166451122455518</v>
      </c>
      <c r="S459" s="1155">
        <f t="shared" si="550"/>
        <v>2.8798197103490075</v>
      </c>
      <c r="T459" s="1155">
        <f t="shared" si="550"/>
        <v>3.3231757557447006</v>
      </c>
      <c r="U459" s="1155">
        <f t="shared" si="550"/>
        <v>2.3808865983330207</v>
      </c>
      <c r="V459" s="1155">
        <f t="shared" si="550"/>
        <v>0.99043410877672766</v>
      </c>
      <c r="W459" s="1155">
        <f t="shared" si="550"/>
        <v>1.1831104582010532</v>
      </c>
      <c r="X459" s="1155">
        <f t="shared" si="550"/>
        <v>1.0617932151732123</v>
      </c>
      <c r="Y459" s="1155">
        <f t="shared" si="550"/>
        <v>1.0546616902747052</v>
      </c>
      <c r="Z459" s="1155">
        <f t="shared" ref="Z459:AC459" si="551">+(Z456/Y456-1)*100</f>
        <v>1.7765858401932455</v>
      </c>
      <c r="AA459" s="1155">
        <f t="shared" si="551"/>
        <v>2.064540866676623</v>
      </c>
      <c r="AB459" s="1155">
        <f t="shared" si="551"/>
        <v>1.6499970156676369</v>
      </c>
      <c r="AC459" s="1155">
        <f t="shared" si="551"/>
        <v>2.2483060560397394</v>
      </c>
      <c r="AD459" s="1155">
        <f ca="1">+(AD456/AC456-1)*100</f>
        <v>2.4640461157058757</v>
      </c>
      <c r="AE459" s="1155">
        <f ca="1">+(AE456/AD456-1)*100</f>
        <v>1.9855634353397988</v>
      </c>
      <c r="AF459" s="1155">
        <f ca="1">+(AF456/AE456-1)*100</f>
        <v>1.7533682107625292</v>
      </c>
    </row>
    <row r="460" spans="1:32">
      <c r="A460" s="1171"/>
      <c r="B460" s="1171"/>
    </row>
    <row r="461" spans="1:32">
      <c r="A461" s="701"/>
      <c r="B461" s="701"/>
    </row>
    <row r="462" spans="1:32">
      <c r="A462" s="701"/>
      <c r="B462" s="701"/>
    </row>
    <row r="463" spans="1:32">
      <c r="A463" s="701"/>
      <c r="B463" s="701"/>
    </row>
    <row r="464" spans="1:32">
      <c r="A464" s="701"/>
      <c r="B464" s="701"/>
    </row>
    <row r="465" spans="1:2">
      <c r="A465" s="701"/>
      <c r="B465" s="701"/>
    </row>
    <row r="466" spans="1:2">
      <c r="A466" s="701"/>
      <c r="B466" s="701"/>
    </row>
    <row r="467" spans="1:2" ht="12.75" customHeight="1">
      <c r="A467" s="701"/>
      <c r="B467" s="701"/>
    </row>
    <row r="468" spans="1:2">
      <c r="A468" s="701"/>
      <c r="B468" s="701"/>
    </row>
    <row r="469" spans="1:2">
      <c r="A469" s="701"/>
      <c r="B469" s="701"/>
    </row>
    <row r="470" spans="1:2">
      <c r="A470" s="701"/>
      <c r="B470" s="701"/>
    </row>
    <row r="471" spans="1:2">
      <c r="A471" s="701"/>
      <c r="B471" s="701"/>
    </row>
    <row r="472" spans="1:2">
      <c r="A472" s="701"/>
      <c r="B472" s="701"/>
    </row>
    <row r="473" spans="1:2">
      <c r="A473" s="701"/>
      <c r="B473" s="701"/>
    </row>
    <row r="474" spans="1:2">
      <c r="A474" s="701"/>
      <c r="B474" s="701"/>
    </row>
    <row r="475" spans="1:2">
      <c r="A475" s="701"/>
      <c r="B475" s="701"/>
    </row>
    <row r="476" spans="1:2">
      <c r="A476" s="1170"/>
      <c r="B476" s="1170"/>
    </row>
    <row r="477" spans="1:2">
      <c r="A477" s="1170"/>
      <c r="B477" s="1170"/>
    </row>
    <row r="478" spans="1:2">
      <c r="A478" s="1170"/>
      <c r="B478" s="1170"/>
    </row>
    <row r="479" spans="1:2">
      <c r="A479" s="1170"/>
      <c r="B479" s="1170"/>
    </row>
    <row r="480" spans="1:2">
      <c r="A480" s="701"/>
      <c r="B480" s="701"/>
    </row>
    <row r="481" spans="1:2">
      <c r="A481" s="1170"/>
      <c r="B481" s="1170"/>
    </row>
    <row r="482" spans="1:2">
      <c r="A482" s="1170"/>
      <c r="B482" s="1170"/>
    </row>
    <row r="483" spans="1:2">
      <c r="A483" s="1170"/>
      <c r="B483" s="1170"/>
    </row>
    <row r="484" spans="1:2">
      <c r="A484" s="1170"/>
      <c r="B484" s="1170"/>
    </row>
    <row r="485" spans="1:2">
      <c r="A485" s="701"/>
      <c r="B485" s="701"/>
    </row>
    <row r="486" spans="1:2">
      <c r="A486" s="1170"/>
      <c r="B486" s="1170"/>
    </row>
    <row r="487" spans="1:2">
      <c r="A487" s="701"/>
      <c r="B487" s="701"/>
    </row>
    <row r="488" spans="1:2">
      <c r="A488" s="1170"/>
      <c r="B488" s="1170"/>
    </row>
    <row r="489" spans="1:2">
      <c r="A489" s="1170"/>
      <c r="B489" s="1170"/>
    </row>
    <row r="490" spans="1:2">
      <c r="A490" s="701"/>
      <c r="B490" s="701"/>
    </row>
    <row r="491" spans="1:2">
      <c r="A491" s="701"/>
      <c r="B491" s="701"/>
    </row>
    <row r="492" spans="1:2">
      <c r="A492" s="1171"/>
      <c r="B492" s="1171"/>
    </row>
    <row r="493" spans="1:2">
      <c r="A493" s="1170"/>
      <c r="B493" s="1170"/>
    </row>
    <row r="494" spans="1:2">
      <c r="A494" s="1170"/>
      <c r="B494" s="1170"/>
    </row>
    <row r="495" spans="1:2" ht="12.75" customHeight="1">
      <c r="A495" s="1170"/>
      <c r="B495" s="1170"/>
    </row>
    <row r="497" spans="1:2">
      <c r="A497" s="701"/>
      <c r="B497" s="701"/>
    </row>
    <row r="498" spans="1:2">
      <c r="A498" s="701"/>
      <c r="B498" s="701"/>
    </row>
    <row r="499" spans="1:2">
      <c r="A499" s="701"/>
      <c r="B499" s="701"/>
    </row>
    <row r="500" spans="1:2">
      <c r="A500" s="701"/>
      <c r="B500" s="701"/>
    </row>
    <row r="502" spans="1:2">
      <c r="A502" s="701"/>
      <c r="B502" s="701"/>
    </row>
    <row r="503" spans="1:2">
      <c r="A503" s="701"/>
      <c r="B503" s="701"/>
    </row>
    <row r="505" spans="1:2">
      <c r="A505" s="701"/>
      <c r="B505" s="701"/>
    </row>
    <row r="507" spans="1:2">
      <c r="A507" s="701"/>
      <c r="B507" s="701"/>
    </row>
    <row r="508" spans="1:2">
      <c r="A508" s="701"/>
      <c r="B508" s="701"/>
    </row>
    <row r="510" spans="1:2">
      <c r="A510" s="701"/>
      <c r="B510" s="701"/>
    </row>
    <row r="511" spans="1:2">
      <c r="A511" s="700"/>
      <c r="B511" s="700"/>
    </row>
    <row r="512" spans="1:2">
      <c r="A512" s="701"/>
      <c r="B512" s="701"/>
    </row>
    <row r="515" spans="1:2">
      <c r="A515" s="701"/>
      <c r="B515" s="701"/>
    </row>
    <row r="518" spans="1:2">
      <c r="A518" s="701"/>
      <c r="B518" s="701"/>
    </row>
    <row r="519" spans="1:2">
      <c r="A519" s="701"/>
      <c r="B519" s="701"/>
    </row>
    <row r="520" spans="1:2">
      <c r="A520" s="701"/>
      <c r="B520" s="701"/>
    </row>
    <row r="522" spans="1:2">
      <c r="A522" s="701"/>
      <c r="B522" s="701"/>
    </row>
    <row r="527" spans="1:2">
      <c r="A527" s="701"/>
      <c r="B527" s="701"/>
    </row>
    <row r="531" spans="1:2">
      <c r="A531" s="701"/>
      <c r="B531" s="701"/>
    </row>
    <row r="532" spans="1:2">
      <c r="A532" s="701"/>
      <c r="B532" s="701"/>
    </row>
    <row r="534" spans="1:2">
      <c r="A534" s="1170"/>
      <c r="B534" s="1170"/>
    </row>
    <row r="535" spans="1:2">
      <c r="A535" s="1170"/>
      <c r="B535" s="1170"/>
    </row>
    <row r="536" spans="1:2">
      <c r="A536" s="1170"/>
      <c r="B536" s="1170"/>
    </row>
    <row r="537" spans="1:2">
      <c r="A537" s="701"/>
      <c r="B537" s="701"/>
    </row>
    <row r="538" spans="1:2">
      <c r="A538" s="1170"/>
      <c r="B538" s="1170"/>
    </row>
    <row r="539" spans="1:2">
      <c r="A539" s="1170"/>
      <c r="B539" s="1170"/>
    </row>
    <row r="540" spans="1:2">
      <c r="A540" s="1170"/>
      <c r="B540" s="1170"/>
    </row>
    <row r="543" spans="1:2">
      <c r="A543" s="701"/>
      <c r="B543" s="701"/>
    </row>
    <row r="545" spans="1:2">
      <c r="A545" s="701"/>
      <c r="B545" s="701"/>
    </row>
    <row r="549" spans="1:2">
      <c r="A549" s="701"/>
      <c r="B549" s="701"/>
    </row>
    <row r="550" spans="1:2">
      <c r="A550" s="701"/>
      <c r="B550" s="701"/>
    </row>
    <row r="551" spans="1:2">
      <c r="A551" s="700"/>
      <c r="B551" s="700"/>
    </row>
    <row r="552" spans="1:2">
      <c r="A552" s="700"/>
      <c r="B552" s="700"/>
    </row>
    <row r="553" spans="1:2">
      <c r="A553" s="700"/>
      <c r="B553" s="700"/>
    </row>
    <row r="554" spans="1:2">
      <c r="A554" s="701"/>
      <c r="B554" s="701"/>
    </row>
  </sheetData>
  <mergeCells count="4">
    <mergeCell ref="C4:F4"/>
    <mergeCell ref="C182:F182"/>
    <mergeCell ref="C358:F358"/>
    <mergeCell ref="C2:E2"/>
  </mergeCells>
  <phoneticPr fontId="67" type="noConversion"/>
  <conditionalFormatting sqref="G194:V194 G30:V30 G24:V24 G55:V55 G73:V73 G95:V95 G84:V84 G106:V106 G280:V280 G301:V301 G269:V269 G251:V251 G213:V213 G232:V232 G207:V207 G312:V312 Z207 Z232 Z213 Z251 Z269 Z280 Z84 Z95 Z73 AB55 Z194 AB232">
    <cfRule type="cellIs" dxfId="89" priority="31" stopIfTrue="1" operator="notBetween">
      <formula>-0.001</formula>
      <formula>0.001</formula>
    </cfRule>
  </conditionalFormatting>
  <conditionalFormatting sqref="G2:V2 Z2:AC2">
    <cfRule type="cellIs" dxfId="88" priority="32" stopIfTrue="1" operator="notEqual">
      <formula>"ok"</formula>
    </cfRule>
  </conditionalFormatting>
  <conditionalFormatting sqref="W194:X194 W30:X30 W24:X24 W55:X55 W73:X73 W95:X95 W84:X84 W106:X106 W280:X280 W301:X301 W269:X269 W251:X251 W213:X213 W232:X232 W207:X207 W312:X312">
    <cfRule type="cellIs" dxfId="87" priority="29" stopIfTrue="1" operator="notBetween">
      <formula>-0.001</formula>
      <formula>0.001</formula>
    </cfRule>
  </conditionalFormatting>
  <conditionalFormatting sqref="W2:X2">
    <cfRule type="cellIs" dxfId="86" priority="30" stopIfTrue="1" operator="notEqual">
      <formula>"ok"</formula>
    </cfRule>
  </conditionalFormatting>
  <conditionalFormatting sqref="Y194 Y30 Y24 Y55 Y73 Y95 Y84 Y106 Y280 Y301 Y269 Y251 Y213 Y232 Y207 Y312">
    <cfRule type="cellIs" dxfId="85" priority="27" stopIfTrue="1" operator="notBetween">
      <formula>-0.001</formula>
      <formula>0.001</formula>
    </cfRule>
  </conditionalFormatting>
  <conditionalFormatting sqref="Y2">
    <cfRule type="cellIs" dxfId="84" priority="28" stopIfTrue="1" operator="notEqual">
      <formula>"ok"</formula>
    </cfRule>
  </conditionalFormatting>
  <conditionalFormatting sqref="Z24">
    <cfRule type="cellIs" dxfId="83" priority="26" stopIfTrue="1" operator="notBetween">
      <formula>-0.001</formula>
      <formula>0.001</formula>
    </cfRule>
  </conditionalFormatting>
  <conditionalFormatting sqref="Z30">
    <cfRule type="cellIs" dxfId="82" priority="25" stopIfTrue="1" operator="notBetween">
      <formula>-0.001</formula>
      <formula>0.001</formula>
    </cfRule>
  </conditionalFormatting>
  <conditionalFormatting sqref="Z55">
    <cfRule type="cellIs" dxfId="81" priority="24" stopIfTrue="1" operator="notBetween">
      <formula>-0.001</formula>
      <formula>0.001</formula>
    </cfRule>
  </conditionalFormatting>
  <conditionalFormatting sqref="Z106">
    <cfRule type="cellIs" dxfId="80" priority="23" stopIfTrue="1" operator="notBetween">
      <formula>-0.001</formula>
      <formula>0.001</formula>
    </cfRule>
  </conditionalFormatting>
  <conditionalFormatting sqref="Z301">
    <cfRule type="cellIs" dxfId="79" priority="22" stopIfTrue="1" operator="notBetween">
      <formula>-0.001</formula>
      <formula>0.001</formula>
    </cfRule>
  </conditionalFormatting>
  <conditionalFormatting sqref="Z312">
    <cfRule type="cellIs" dxfId="78" priority="21" stopIfTrue="1" operator="notBetween">
      <formula>-0.001</formula>
      <formula>0.001</formula>
    </cfRule>
  </conditionalFormatting>
  <conditionalFormatting sqref="AA232 AA84:AB84 AA73:AB73 AA95:AB95 AA207:AB207 AA213:AB213 AA194:AB194 AA251:AB251 AA269:AB269 AA280:AB280">
    <cfRule type="cellIs" dxfId="77" priority="19" stopIfTrue="1" operator="notBetween">
      <formula>-0.001</formula>
      <formula>0.001</formula>
    </cfRule>
  </conditionalFormatting>
  <conditionalFormatting sqref="AA24:AB24">
    <cfRule type="cellIs" dxfId="76" priority="18" stopIfTrue="1" operator="notBetween">
      <formula>-0.001</formula>
      <formula>0.001</formula>
    </cfRule>
  </conditionalFormatting>
  <conditionalFormatting sqref="AA30:AB30">
    <cfRule type="cellIs" dxfId="75" priority="17" stopIfTrue="1" operator="notBetween">
      <formula>-0.001</formula>
      <formula>0.001</formula>
    </cfRule>
  </conditionalFormatting>
  <conditionalFormatting sqref="AA55">
    <cfRule type="cellIs" dxfId="74" priority="16" stopIfTrue="1" operator="notBetween">
      <formula>-0.001</formula>
      <formula>0.001</formula>
    </cfRule>
  </conditionalFormatting>
  <conditionalFormatting sqref="AA106:AB106">
    <cfRule type="cellIs" dxfId="73" priority="15" stopIfTrue="1" operator="notBetween">
      <formula>-0.001</formula>
      <formula>0.001</formula>
    </cfRule>
  </conditionalFormatting>
  <conditionalFormatting sqref="AA301:AB301">
    <cfRule type="cellIs" dxfId="72" priority="14" stopIfTrue="1" operator="notBetween">
      <formula>-0.001</formula>
      <formula>0.001</formula>
    </cfRule>
  </conditionalFormatting>
  <conditionalFormatting sqref="AA312:AC312">
    <cfRule type="cellIs" dxfId="71" priority="13" stopIfTrue="1" operator="notBetween">
      <formula>-0.001</formula>
      <formula>0.001</formula>
    </cfRule>
  </conditionalFormatting>
  <conditionalFormatting sqref="AD312 AD301 AD106 AD55 AD24 AD30 AD194 AD73 AD95 AD84 AD280 AD269 AD251 AD213 AD232 AD207">
    <cfRule type="cellIs" dxfId="70" priority="11" stopIfTrue="1" operator="notBetween">
      <formula>-0.001</formula>
      <formula>0.001</formula>
    </cfRule>
  </conditionalFormatting>
  <conditionalFormatting sqref="AD2">
    <cfRule type="cellIs" dxfId="69" priority="12" stopIfTrue="1" operator="notEqual">
      <formula>"ok"</formula>
    </cfRule>
  </conditionalFormatting>
  <conditionalFormatting sqref="AE312 AE301 AE106 AE55 AE24 AE30 AE194 AE73 AE95 AE84 AE280 AE269 AE251 AE213 AE232 AE207">
    <cfRule type="cellIs" dxfId="68" priority="9" stopIfTrue="1" operator="notBetween">
      <formula>-0.001</formula>
      <formula>0.001</formula>
    </cfRule>
  </conditionalFormatting>
  <conditionalFormatting sqref="AE2">
    <cfRule type="cellIs" dxfId="67" priority="10" stopIfTrue="1" operator="notEqual">
      <formula>"ok"</formula>
    </cfRule>
  </conditionalFormatting>
  <conditionalFormatting sqref="AC55 AC232">
    <cfRule type="cellIs" dxfId="66" priority="8" stopIfTrue="1" operator="notBetween">
      <formula>-0.001</formula>
      <formula>0.001</formula>
    </cfRule>
  </conditionalFormatting>
  <conditionalFormatting sqref="AC84 AC73 AC95 AC207 AC213 AC194 AC251 AC269 AC280">
    <cfRule type="cellIs" dxfId="65" priority="7" stopIfTrue="1" operator="notBetween">
      <formula>-0.001</formula>
      <formula>0.001</formula>
    </cfRule>
  </conditionalFormatting>
  <conditionalFormatting sqref="AC24">
    <cfRule type="cellIs" dxfId="64" priority="6" stopIfTrue="1" operator="notBetween">
      <formula>-0.001</formula>
      <formula>0.001</formula>
    </cfRule>
  </conditionalFormatting>
  <conditionalFormatting sqref="AC30">
    <cfRule type="cellIs" dxfId="63" priority="5" stopIfTrue="1" operator="notBetween">
      <formula>-0.001</formula>
      <formula>0.001</formula>
    </cfRule>
  </conditionalFormatting>
  <conditionalFormatting sqref="AC106">
    <cfRule type="cellIs" dxfId="62" priority="4" stopIfTrue="1" operator="notBetween">
      <formula>-0.001</formula>
      <formula>0.001</formula>
    </cfRule>
  </conditionalFormatting>
  <conditionalFormatting sqref="AC301">
    <cfRule type="cellIs" dxfId="61" priority="3" stopIfTrue="1" operator="notBetween">
      <formula>-0.001</formula>
      <formula>0.001</formula>
    </cfRule>
  </conditionalFormatting>
  <conditionalFormatting sqref="AF312 AF301 AF106 AF55 AF24 AF30 AF194 AF73 AF95 AF84 AF280 AF269 AF251 AF213 AF232 AF207">
    <cfRule type="cellIs" dxfId="60" priority="1" stopIfTrue="1" operator="notBetween">
      <formula>-0.001</formula>
      <formula>0.001</formula>
    </cfRule>
  </conditionalFormatting>
  <conditionalFormatting sqref="AF2">
    <cfRule type="cellIs" dxfId="59" priority="2" stopIfTrue="1" operator="notEqual">
      <formula>"ok"</formula>
    </cfRule>
  </conditionalFormatting>
  <pageMargins left="0.75" right="0.75" top="1" bottom="1" header="0.5" footer="0.5"/>
  <pageSetup paperSize="9" orientation="portrait" r:id="rId1"/>
  <headerFooter alignWithMargins="0"/>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09">
    <tabColor indexed="42"/>
    <pageSetUpPr fitToPage="1"/>
  </sheetPr>
  <dimension ref="A1:N280"/>
  <sheetViews>
    <sheetView workbookViewId="0"/>
  </sheetViews>
  <sheetFormatPr defaultRowHeight="12.75"/>
  <sheetData>
    <row r="1" spans="1:14">
      <c r="A1" s="1553"/>
      <c r="B1" s="1553"/>
      <c r="C1" s="1553"/>
      <c r="D1" s="1553"/>
      <c r="E1" s="1553"/>
      <c r="F1" s="1553"/>
      <c r="G1" s="1553"/>
      <c r="H1" s="1553"/>
      <c r="I1" s="1553"/>
      <c r="J1" s="1553"/>
      <c r="K1" s="1553"/>
      <c r="L1" s="1553"/>
      <c r="M1" s="1553"/>
      <c r="N1" s="1553"/>
    </row>
    <row r="2" spans="1:14" ht="17.649999999999999">
      <c r="A2" s="1554" t="s">
        <v>835</v>
      </c>
      <c r="B2" s="1553"/>
      <c r="C2" s="1553"/>
      <c r="D2" s="1553"/>
      <c r="E2" s="1553"/>
      <c r="F2" s="1553"/>
      <c r="G2" s="1553"/>
      <c r="H2" s="1553"/>
      <c r="I2" s="1553"/>
      <c r="J2" s="1553"/>
      <c r="K2" s="1553"/>
      <c r="L2" s="1553"/>
      <c r="M2" s="1553"/>
      <c r="N2" s="1553"/>
    </row>
    <row r="3" spans="1:14">
      <c r="A3" s="1553"/>
      <c r="B3" s="1553"/>
      <c r="C3" s="1553"/>
      <c r="D3" s="1553"/>
      <c r="E3" s="1553"/>
      <c r="F3" s="1553"/>
      <c r="G3" s="1553"/>
      <c r="H3" s="1553"/>
      <c r="I3" s="1553"/>
      <c r="J3" s="1553"/>
      <c r="K3" s="1553"/>
      <c r="L3" s="1553"/>
      <c r="M3" s="1553"/>
      <c r="N3" s="1553"/>
    </row>
    <row r="29" spans="1:14">
      <c r="A29" s="1553"/>
      <c r="B29" s="1553"/>
      <c r="C29" s="1553"/>
      <c r="D29" s="1553"/>
      <c r="E29" s="1553"/>
      <c r="F29" s="1553"/>
      <c r="G29" s="1553"/>
      <c r="H29" s="1553"/>
      <c r="I29" s="1553"/>
      <c r="J29" s="1553"/>
      <c r="K29" s="1553"/>
      <c r="L29" s="1553"/>
      <c r="M29" s="1553"/>
      <c r="N29" s="1553"/>
    </row>
    <row r="30" spans="1:14" ht="17.649999999999999">
      <c r="A30" s="1554" t="s">
        <v>1193</v>
      </c>
      <c r="B30" s="1553"/>
      <c r="C30" s="1553"/>
      <c r="D30" s="1553"/>
      <c r="E30" s="1553"/>
      <c r="F30" s="1553"/>
      <c r="G30" s="1553"/>
      <c r="H30" s="1553"/>
      <c r="I30" s="1553"/>
      <c r="J30" s="1553"/>
      <c r="K30" s="1553"/>
      <c r="L30" s="1553"/>
      <c r="M30" s="1553"/>
      <c r="N30" s="1553"/>
    </row>
    <row r="31" spans="1:14">
      <c r="A31" s="1553"/>
      <c r="B31" s="1553"/>
      <c r="C31" s="1553"/>
      <c r="D31" s="1553"/>
      <c r="E31" s="1553"/>
      <c r="F31" s="1553"/>
      <c r="G31" s="1553"/>
      <c r="H31" s="1553"/>
      <c r="I31" s="1553"/>
      <c r="J31" s="1553"/>
      <c r="K31" s="1553"/>
      <c r="L31" s="1553"/>
      <c r="M31" s="1553"/>
      <c r="N31" s="1553"/>
    </row>
    <row r="74" spans="1:14">
      <c r="A74" s="1553"/>
      <c r="B74" s="1553"/>
      <c r="C74" s="1553"/>
      <c r="D74" s="1553"/>
      <c r="E74" s="1553"/>
      <c r="F74" s="1553"/>
      <c r="G74" s="1553"/>
      <c r="H74" s="1553"/>
      <c r="I74" s="1553"/>
      <c r="J74" s="1553"/>
      <c r="K74" s="1553"/>
      <c r="L74" s="1553"/>
      <c r="M74" s="1553"/>
      <c r="N74" s="1553"/>
    </row>
    <row r="75" spans="1:14" ht="17.649999999999999">
      <c r="A75" s="1554" t="s">
        <v>1141</v>
      </c>
      <c r="B75" s="1553"/>
      <c r="C75" s="1553"/>
      <c r="D75" s="1553"/>
      <c r="E75" s="1553"/>
      <c r="F75" s="1553"/>
      <c r="G75" s="1553"/>
      <c r="H75" s="1553"/>
      <c r="I75" s="1553"/>
      <c r="J75" s="1553"/>
      <c r="K75" s="1553"/>
      <c r="L75" s="1553"/>
      <c r="M75" s="1553"/>
      <c r="N75" s="1553"/>
    </row>
    <row r="76" spans="1:14">
      <c r="A76" s="1553"/>
      <c r="B76" s="1553"/>
      <c r="C76" s="1553"/>
      <c r="D76" s="1553"/>
      <c r="E76" s="1553"/>
      <c r="F76" s="1553"/>
      <c r="G76" s="1553"/>
      <c r="H76" s="1553"/>
      <c r="I76" s="1553"/>
      <c r="J76" s="1553"/>
      <c r="K76" s="1553"/>
      <c r="L76" s="1553"/>
      <c r="M76" s="1553"/>
      <c r="N76" s="1553"/>
    </row>
    <row r="140" spans="1:14">
      <c r="A140" s="1553"/>
      <c r="B140" s="1553"/>
      <c r="C140" s="1553"/>
      <c r="D140" s="1553"/>
      <c r="E140" s="1553"/>
      <c r="F140" s="1553"/>
      <c r="G140" s="1553"/>
      <c r="H140" s="1553"/>
      <c r="I140" s="1553"/>
      <c r="J140" s="1553"/>
      <c r="K140" s="1553"/>
      <c r="L140" s="1553"/>
      <c r="M140" s="1553"/>
      <c r="N140" s="1553"/>
    </row>
    <row r="141" spans="1:14" ht="17.649999999999999">
      <c r="A141" s="1554" t="s">
        <v>1189</v>
      </c>
      <c r="B141" s="1553"/>
      <c r="C141" s="1553"/>
      <c r="D141" s="1553"/>
      <c r="E141" s="1553"/>
      <c r="F141" s="1553"/>
      <c r="G141" s="1553"/>
      <c r="H141" s="1553"/>
      <c r="I141" s="1553"/>
      <c r="J141" s="1553"/>
      <c r="K141" s="1553"/>
      <c r="L141" s="1553"/>
      <c r="M141" s="1553"/>
      <c r="N141" s="1553"/>
    </row>
    <row r="142" spans="1:14">
      <c r="A142" s="1553"/>
      <c r="B142" s="1553"/>
      <c r="C142" s="1553"/>
      <c r="D142" s="1553"/>
      <c r="E142" s="1553"/>
      <c r="F142" s="1553"/>
      <c r="G142" s="1553"/>
      <c r="H142" s="1553"/>
      <c r="I142" s="1553"/>
      <c r="J142" s="1553"/>
      <c r="K142" s="1553"/>
      <c r="L142" s="1553"/>
      <c r="M142" s="1553"/>
      <c r="N142" s="1553"/>
    </row>
    <row r="164" spans="1:14">
      <c r="A164" s="1553"/>
      <c r="B164" s="1553"/>
      <c r="C164" s="1553"/>
      <c r="D164" s="1553"/>
      <c r="E164" s="1553"/>
      <c r="F164" s="1553"/>
      <c r="G164" s="1553"/>
      <c r="H164" s="1553"/>
      <c r="I164" s="1553"/>
      <c r="J164" s="1553"/>
      <c r="K164" s="1553"/>
      <c r="L164" s="1553"/>
      <c r="M164" s="1553"/>
      <c r="N164" s="1553"/>
    </row>
    <row r="165" spans="1:14" ht="17.649999999999999">
      <c r="A165" s="1554" t="s">
        <v>832</v>
      </c>
      <c r="B165" s="1553"/>
      <c r="C165" s="1553"/>
      <c r="D165" s="1553"/>
      <c r="E165" s="1553"/>
      <c r="F165" s="1553"/>
      <c r="G165" s="1553"/>
      <c r="H165" s="1553"/>
      <c r="I165" s="1553"/>
      <c r="J165" s="1553"/>
      <c r="K165" s="1553"/>
      <c r="L165" s="1553"/>
      <c r="M165" s="1553"/>
      <c r="N165" s="1553"/>
    </row>
    <row r="166" spans="1:14">
      <c r="A166" s="1553"/>
      <c r="B166" s="1553"/>
      <c r="C166" s="1553"/>
      <c r="D166" s="1553"/>
      <c r="E166" s="1553"/>
      <c r="F166" s="1553"/>
      <c r="G166" s="1553"/>
      <c r="H166" s="1553"/>
      <c r="I166" s="1553"/>
      <c r="J166" s="1553"/>
      <c r="K166" s="1553"/>
      <c r="L166" s="1553"/>
      <c r="M166" s="1553"/>
      <c r="N166" s="1553"/>
    </row>
    <row r="209" spans="1:14">
      <c r="A209" s="1553"/>
      <c r="B209" s="1553"/>
      <c r="C209" s="1553"/>
      <c r="D209" s="1553"/>
      <c r="E209" s="1553"/>
      <c r="F209" s="1553"/>
      <c r="G209" s="1553"/>
      <c r="H209" s="1553"/>
      <c r="I209" s="1553"/>
      <c r="J209" s="1553"/>
      <c r="K209" s="1553"/>
      <c r="L209" s="1553"/>
      <c r="M209" s="1553"/>
      <c r="N209" s="1553"/>
    </row>
    <row r="210" spans="1:14" ht="17.649999999999999">
      <c r="A210" s="1554" t="s">
        <v>834</v>
      </c>
      <c r="B210" s="1553"/>
      <c r="C210" s="1553"/>
      <c r="D210" s="1553"/>
      <c r="E210" s="1553"/>
      <c r="F210" s="1553"/>
      <c r="G210" s="1553"/>
      <c r="H210" s="1553"/>
      <c r="I210" s="1553"/>
      <c r="J210" s="1553"/>
      <c r="K210" s="1553"/>
      <c r="L210" s="1553"/>
      <c r="M210" s="1553"/>
      <c r="N210" s="1553"/>
    </row>
    <row r="211" spans="1:14">
      <c r="A211" s="1553"/>
      <c r="B211" s="1553"/>
      <c r="C211" s="1553"/>
      <c r="D211" s="1553"/>
      <c r="E211" s="1553"/>
      <c r="F211" s="1553"/>
      <c r="G211" s="1553"/>
      <c r="H211" s="1553"/>
      <c r="I211" s="1553"/>
      <c r="J211" s="1553"/>
      <c r="K211" s="1553"/>
      <c r="L211" s="1553"/>
      <c r="M211" s="1553"/>
      <c r="N211" s="1553"/>
    </row>
    <row r="254" spans="1:14">
      <c r="A254" s="1553"/>
      <c r="B254" s="1553"/>
      <c r="C254" s="1553"/>
      <c r="D254" s="1553"/>
      <c r="E254" s="1553"/>
      <c r="F254" s="1553"/>
      <c r="G254" s="1553"/>
      <c r="H254" s="1553"/>
      <c r="I254" s="1553"/>
      <c r="J254" s="1553"/>
      <c r="K254" s="1553"/>
      <c r="L254" s="1553"/>
      <c r="M254" s="1553"/>
      <c r="N254" s="1553"/>
    </row>
    <row r="255" spans="1:14" ht="17.649999999999999">
      <c r="A255" s="1554" t="s">
        <v>1367</v>
      </c>
      <c r="B255" s="1553"/>
      <c r="C255" s="1553"/>
      <c r="D255" s="1553"/>
      <c r="E255" s="1553"/>
      <c r="F255" s="1553"/>
      <c r="G255" s="1553"/>
      <c r="H255" s="1553"/>
      <c r="I255" s="1553"/>
      <c r="J255" s="1553"/>
      <c r="K255" s="1553"/>
      <c r="L255" s="1553"/>
      <c r="M255" s="1553"/>
      <c r="N255" s="1553"/>
    </row>
    <row r="256" spans="1:14">
      <c r="A256" s="1553"/>
      <c r="B256" s="1553"/>
      <c r="C256" s="1553"/>
      <c r="D256" s="1553"/>
      <c r="E256" s="1553"/>
      <c r="F256" s="1553"/>
      <c r="G256" s="1553"/>
      <c r="H256" s="1553"/>
      <c r="I256" s="1553"/>
      <c r="J256" s="1553"/>
      <c r="K256" s="1553"/>
      <c r="L256" s="1553"/>
      <c r="M256" s="1553"/>
      <c r="N256" s="1553"/>
    </row>
    <row r="278" spans="1:14">
      <c r="A278" s="1553"/>
      <c r="B278" s="1553"/>
      <c r="C278" s="1553"/>
      <c r="D278" s="1553"/>
      <c r="E278" s="1553"/>
      <c r="F278" s="1553"/>
      <c r="G278" s="1553"/>
      <c r="H278" s="1553"/>
      <c r="I278" s="1553"/>
      <c r="J278" s="1553"/>
      <c r="K278" s="1553"/>
      <c r="L278" s="1553"/>
      <c r="M278" s="1553"/>
      <c r="N278" s="1553"/>
    </row>
    <row r="279" spans="1:14" ht="17.649999999999999">
      <c r="A279" s="1554" t="s">
        <v>1368</v>
      </c>
      <c r="B279" s="1553"/>
      <c r="C279" s="1553"/>
      <c r="D279" s="1553"/>
      <c r="E279" s="1553"/>
      <c r="F279" s="1553"/>
      <c r="G279" s="1553"/>
      <c r="H279" s="1553"/>
      <c r="I279" s="1553"/>
      <c r="J279" s="1553"/>
      <c r="K279" s="1553"/>
      <c r="L279" s="1553"/>
      <c r="M279" s="1553"/>
      <c r="N279" s="1553"/>
    </row>
    <row r="280" spans="1:14">
      <c r="A280" s="1553"/>
      <c r="B280" s="1553"/>
      <c r="C280" s="1553"/>
      <c r="D280" s="1553"/>
      <c r="E280" s="1553"/>
      <c r="F280" s="1553"/>
      <c r="G280" s="1553"/>
      <c r="H280" s="1553"/>
      <c r="I280" s="1553"/>
      <c r="J280" s="1553"/>
      <c r="K280" s="1553"/>
      <c r="L280" s="1553"/>
      <c r="M280" s="1553"/>
      <c r="N280" s="1553"/>
    </row>
  </sheetData>
  <phoneticPr fontId="67" type="noConversion"/>
  <pageMargins left="0.75" right="0.75" top="1" bottom="1" header="0.5" footer="0.5"/>
  <pageSetup paperSize="9" scale="67" fitToHeight="0"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05">
    <tabColor indexed="43"/>
    <pageSetUpPr fitToPage="1"/>
  </sheetPr>
  <dimension ref="A1:DS350"/>
  <sheetViews>
    <sheetView zoomScale="80" zoomScaleNormal="80" workbookViewId="0">
      <pane xSplit="6" ySplit="2" topLeftCell="CT29" activePane="bottomRight" state="frozen"/>
      <selection pane="topRight" activeCell="G1" sqref="G1"/>
      <selection pane="bottomLeft" activeCell="A3" sqref="A3"/>
      <selection pane="bottomRight" activeCell="CU32" sqref="CU32:CX32"/>
    </sheetView>
  </sheetViews>
  <sheetFormatPr defaultColWidth="7.73046875" defaultRowHeight="13.15"/>
  <cols>
    <col min="1" max="2" width="3.73046875" style="702" customWidth="1"/>
    <col min="3" max="4" width="3.73046875" style="707" customWidth="1"/>
    <col min="5" max="5" width="34" style="217" customWidth="1"/>
    <col min="6" max="6" width="7.73046875" style="731" customWidth="1"/>
    <col min="7" max="7" width="9.265625" style="217" customWidth="1"/>
    <col min="8" max="9" width="9.1328125" style="217" customWidth="1"/>
    <col min="10" max="10" width="9.265625" style="217" bestFit="1" customWidth="1"/>
    <col min="11" max="13" width="9.1328125" style="217" customWidth="1"/>
    <col min="14" max="14" width="9.265625" style="217" bestFit="1" customWidth="1"/>
    <col min="15" max="50" width="9.1328125" style="217" customWidth="1"/>
    <col min="51" max="51" width="9.1328125" style="564" customWidth="1"/>
    <col min="52" max="52" width="9.1328125" style="217" customWidth="1"/>
    <col min="53" max="53" width="9.59765625" style="564" bestFit="1" customWidth="1"/>
    <col min="54" max="110" width="9.1328125" style="564" customWidth="1"/>
    <col min="111" max="16384" width="7.73046875" style="217"/>
  </cols>
  <sheetData>
    <row r="1" spans="1:110">
      <c r="A1" s="702" t="s">
        <v>1820</v>
      </c>
      <c r="B1" s="1481" t="s">
        <v>1415</v>
      </c>
    </row>
    <row r="2" spans="1:110">
      <c r="A2" s="702" t="s">
        <v>1618</v>
      </c>
      <c r="B2" s="1481" t="s">
        <v>1202</v>
      </c>
    </row>
    <row r="3" spans="1:110">
      <c r="A3" s="2926"/>
    </row>
    <row r="4" spans="1:110">
      <c r="C4" s="3817" t="s">
        <v>996</v>
      </c>
      <c r="D4" s="3818"/>
      <c r="E4" s="3818"/>
      <c r="F4" s="3819"/>
      <c r="G4" s="3820">
        <f ca="1">OFFSET(InputY!$G$3,0,(COLUMN()-7)/4)</f>
        <v>1995</v>
      </c>
      <c r="H4" s="3821"/>
      <c r="I4" s="3821"/>
      <c r="J4" s="3821"/>
      <c r="K4" s="3817">
        <f ca="1">OFFSET(InputY!$G$3,0,(COLUMN()-7)/4)</f>
        <v>1996</v>
      </c>
      <c r="L4" s="3818"/>
      <c r="M4" s="3818"/>
      <c r="N4" s="3819"/>
      <c r="O4" s="3817">
        <f ca="1">OFFSET(InputY!$G$3,0,(COLUMN()-7)/4)</f>
        <v>1997</v>
      </c>
      <c r="P4" s="3818"/>
      <c r="Q4" s="3818"/>
      <c r="R4" s="3819"/>
      <c r="S4" s="3817">
        <f ca="1">OFFSET(InputY!$G$3,0,(COLUMN()-7)/4)</f>
        <v>1998</v>
      </c>
      <c r="T4" s="3818"/>
      <c r="U4" s="3818"/>
      <c r="V4" s="3819"/>
      <c r="W4" s="3817">
        <f ca="1">OFFSET(InputY!$G$3,0,(COLUMN()-7)/4)</f>
        <v>1999</v>
      </c>
      <c r="X4" s="3818"/>
      <c r="Y4" s="3818"/>
      <c r="Z4" s="3819"/>
      <c r="AA4" s="3817">
        <f ca="1">OFFSET(InputY!$G$3,0,(COLUMN()-7)/4)</f>
        <v>2000</v>
      </c>
      <c r="AB4" s="3818"/>
      <c r="AC4" s="3818"/>
      <c r="AD4" s="3819"/>
      <c r="AE4" s="3817">
        <f ca="1">OFFSET(InputY!$G$3,0,(COLUMN()-7)/4)</f>
        <v>2001</v>
      </c>
      <c r="AF4" s="3818"/>
      <c r="AG4" s="3818"/>
      <c r="AH4" s="3819"/>
      <c r="AI4" s="3817">
        <f ca="1">OFFSET(InputY!$G$3,0,(COLUMN()-7)/4)</f>
        <v>2002</v>
      </c>
      <c r="AJ4" s="3818"/>
      <c r="AK4" s="3818"/>
      <c r="AL4" s="3819"/>
      <c r="AM4" s="3817">
        <f ca="1">OFFSET(InputY!$G$3,0,(COLUMN()-7)/4)</f>
        <v>2003</v>
      </c>
      <c r="AN4" s="3818"/>
      <c r="AO4" s="3818"/>
      <c r="AP4" s="3819"/>
      <c r="AQ4" s="3817">
        <f ca="1">OFFSET(InputY!$G$3,0,(COLUMN()-7)/4)</f>
        <v>2004</v>
      </c>
      <c r="AR4" s="3818"/>
      <c r="AS4" s="3818"/>
      <c r="AT4" s="3819"/>
      <c r="AU4" s="3817">
        <f ca="1">OFFSET(InputY!$G$3,0,(COLUMN()-7)/4)</f>
        <v>2005</v>
      </c>
      <c r="AV4" s="3818"/>
      <c r="AW4" s="3818"/>
      <c r="AX4" s="3819"/>
      <c r="AY4" s="3817">
        <f ca="1">OFFSET(InputY!$G$3,0,(COLUMN()-7)/4)</f>
        <v>2006</v>
      </c>
      <c r="AZ4" s="3818"/>
      <c r="BA4" s="3818"/>
      <c r="BB4" s="3819"/>
      <c r="BC4" s="3817">
        <f ca="1">OFFSET(InputY!$G$3,0,(COLUMN()-7)/4)</f>
        <v>2007</v>
      </c>
      <c r="BD4" s="3818"/>
      <c r="BE4" s="3818"/>
      <c r="BF4" s="3819"/>
      <c r="BG4" s="3817">
        <f ca="1">OFFSET(InputY!$G$3,0,(COLUMN()-7)/4)</f>
        <v>2008</v>
      </c>
      <c r="BH4" s="3818"/>
      <c r="BI4" s="3818"/>
      <c r="BJ4" s="3819"/>
      <c r="BK4" s="3817">
        <f ca="1">OFFSET(InputY!$G$3,0,(COLUMN()-7)/4)</f>
        <v>2009</v>
      </c>
      <c r="BL4" s="3818"/>
      <c r="BM4" s="3818"/>
      <c r="BN4" s="3819"/>
      <c r="BO4" s="3817">
        <f ca="1">OFFSET(InputY!$G$3,0,(COLUMN()-7)/4)</f>
        <v>2010</v>
      </c>
      <c r="BP4" s="3818"/>
      <c r="BQ4" s="3818"/>
      <c r="BR4" s="3819"/>
      <c r="BS4" s="3817">
        <f ca="1">OFFSET(InputY!$G$3,0,(COLUMN()-7)/4)</f>
        <v>2011</v>
      </c>
      <c r="BT4" s="3818"/>
      <c r="BU4" s="3818"/>
      <c r="BV4" s="3819"/>
      <c r="BW4" s="3817">
        <f ca="1">OFFSET(InputY!$G$3,0,(COLUMN()-7)/4)</f>
        <v>2012</v>
      </c>
      <c r="BX4" s="3818"/>
      <c r="BY4" s="3818"/>
      <c r="BZ4" s="3819"/>
      <c r="CA4" s="3817">
        <f ca="1">OFFSET(InputY!$G$3,0,(COLUMN()-7)/4)</f>
        <v>2013</v>
      </c>
      <c r="CB4" s="3818"/>
      <c r="CC4" s="3818"/>
      <c r="CD4" s="3819"/>
      <c r="CE4" s="3817">
        <f ca="1">OFFSET(InputY!$G$3,0,(COLUMN()-7)/4)</f>
        <v>2014</v>
      </c>
      <c r="CF4" s="3818"/>
      <c r="CG4" s="3818"/>
      <c r="CH4" s="3819"/>
      <c r="CI4" s="3817">
        <f ca="1">OFFSET(InputY!$G$3,0,(COLUMN()-7)/4)</f>
        <v>2015</v>
      </c>
      <c r="CJ4" s="3818"/>
      <c r="CK4" s="3818"/>
      <c r="CL4" s="3819"/>
      <c r="CM4" s="3817">
        <f ca="1">OFFSET(InputY!$G$3,0,(COLUMN()-7)/4)</f>
        <v>2016</v>
      </c>
      <c r="CN4" s="3818"/>
      <c r="CO4" s="3818"/>
      <c r="CP4" s="3819"/>
      <c r="CQ4" s="3817">
        <f ca="1">OFFSET(InputY!$G$3,0,(COLUMN()-7)/4)</f>
        <v>2017</v>
      </c>
      <c r="CR4" s="3818"/>
      <c r="CS4" s="3818"/>
      <c r="CT4" s="3819"/>
      <c r="CU4" s="3817">
        <f ca="1">OFFSET(InputY!$G$3,0,(COLUMN()-7)/4)</f>
        <v>2018</v>
      </c>
      <c r="CV4" s="3818"/>
      <c r="CW4" s="3818"/>
      <c r="CX4" s="3819"/>
      <c r="CY4" s="3817">
        <f ca="1">OFFSET(InputY!$G$3,0,(COLUMN()-7)/4)</f>
        <v>2019</v>
      </c>
      <c r="CZ4" s="3818"/>
      <c r="DA4" s="3818"/>
      <c r="DB4" s="3819"/>
      <c r="DC4" s="3817">
        <f ca="1">OFFSET(InputY!$G$3,0,(COLUMN()-7)/4)</f>
        <v>2020</v>
      </c>
      <c r="DD4" s="3818"/>
      <c r="DE4" s="3818"/>
      <c r="DF4" s="3819"/>
    </row>
    <row r="5" spans="1:110" s="736" customFormat="1" ht="12.75" customHeight="1">
      <c r="A5" s="701"/>
      <c r="B5" s="701"/>
      <c r="C5" s="1603"/>
      <c r="D5" s="779"/>
      <c r="E5" s="780" t="s">
        <v>994</v>
      </c>
      <c r="F5" s="781"/>
      <c r="G5" s="1630" t="s">
        <v>131</v>
      </c>
      <c r="H5" s="1631" t="s">
        <v>132</v>
      </c>
      <c r="I5" s="1631" t="s">
        <v>133</v>
      </c>
      <c r="J5" s="1632" t="s">
        <v>134</v>
      </c>
      <c r="K5" s="1630" t="s">
        <v>131</v>
      </c>
      <c r="L5" s="1631" t="s">
        <v>132</v>
      </c>
      <c r="M5" s="1631" t="s">
        <v>133</v>
      </c>
      <c r="N5" s="1632" t="s">
        <v>134</v>
      </c>
      <c r="O5" s="1630" t="s">
        <v>131</v>
      </c>
      <c r="P5" s="1631" t="s">
        <v>132</v>
      </c>
      <c r="Q5" s="1631" t="s">
        <v>133</v>
      </c>
      <c r="R5" s="1632" t="s">
        <v>134</v>
      </c>
      <c r="S5" s="1630" t="s">
        <v>131</v>
      </c>
      <c r="T5" s="1631" t="s">
        <v>132</v>
      </c>
      <c r="U5" s="1631" t="s">
        <v>133</v>
      </c>
      <c r="V5" s="1632" t="s">
        <v>134</v>
      </c>
      <c r="W5" s="1630" t="s">
        <v>131</v>
      </c>
      <c r="X5" s="1631" t="s">
        <v>132</v>
      </c>
      <c r="Y5" s="1631" t="s">
        <v>133</v>
      </c>
      <c r="Z5" s="1632" t="s">
        <v>134</v>
      </c>
      <c r="AA5" s="1630" t="s">
        <v>131</v>
      </c>
      <c r="AB5" s="1631" t="s">
        <v>132</v>
      </c>
      <c r="AC5" s="1631" t="s">
        <v>133</v>
      </c>
      <c r="AD5" s="1632" t="s">
        <v>134</v>
      </c>
      <c r="AE5" s="1630" t="s">
        <v>131</v>
      </c>
      <c r="AF5" s="1631" t="s">
        <v>132</v>
      </c>
      <c r="AG5" s="1631" t="s">
        <v>133</v>
      </c>
      <c r="AH5" s="1632" t="s">
        <v>134</v>
      </c>
      <c r="AI5" s="1630" t="s">
        <v>131</v>
      </c>
      <c r="AJ5" s="1631" t="s">
        <v>132</v>
      </c>
      <c r="AK5" s="1631" t="s">
        <v>133</v>
      </c>
      <c r="AL5" s="1632" t="s">
        <v>134</v>
      </c>
      <c r="AM5" s="1630" t="s">
        <v>131</v>
      </c>
      <c r="AN5" s="1631" t="s">
        <v>132</v>
      </c>
      <c r="AO5" s="1631" t="s">
        <v>133</v>
      </c>
      <c r="AP5" s="1632" t="s">
        <v>134</v>
      </c>
      <c r="AQ5" s="1630" t="s">
        <v>131</v>
      </c>
      <c r="AR5" s="1631" t="s">
        <v>132</v>
      </c>
      <c r="AS5" s="1631" t="s">
        <v>133</v>
      </c>
      <c r="AT5" s="1632" t="s">
        <v>134</v>
      </c>
      <c r="AU5" s="1630" t="s">
        <v>131</v>
      </c>
      <c r="AV5" s="1631" t="s">
        <v>132</v>
      </c>
      <c r="AW5" s="1631" t="s">
        <v>133</v>
      </c>
      <c r="AX5" s="1632" t="s">
        <v>134</v>
      </c>
      <c r="AY5" s="1630" t="s">
        <v>131</v>
      </c>
      <c r="AZ5" s="1631" t="s">
        <v>132</v>
      </c>
      <c r="BA5" s="1631" t="s">
        <v>133</v>
      </c>
      <c r="BB5" s="1631" t="s">
        <v>134</v>
      </c>
      <c r="BC5" s="1631" t="s">
        <v>131</v>
      </c>
      <c r="BD5" s="1631" t="s">
        <v>132</v>
      </c>
      <c r="BE5" s="1631" t="s">
        <v>133</v>
      </c>
      <c r="BF5" s="1631" t="s">
        <v>134</v>
      </c>
      <c r="BG5" s="1631" t="s">
        <v>131</v>
      </c>
      <c r="BH5" s="1631" t="s">
        <v>132</v>
      </c>
      <c r="BI5" s="1631" t="s">
        <v>133</v>
      </c>
      <c r="BJ5" s="1631" t="s">
        <v>134</v>
      </c>
      <c r="BK5" s="1631" t="s">
        <v>131</v>
      </c>
      <c r="BL5" s="1631" t="s">
        <v>132</v>
      </c>
      <c r="BM5" s="1631" t="s">
        <v>133</v>
      </c>
      <c r="BN5" s="1631" t="s">
        <v>134</v>
      </c>
      <c r="BO5" s="1631" t="s">
        <v>131</v>
      </c>
      <c r="BP5" s="1631" t="s">
        <v>132</v>
      </c>
      <c r="BQ5" s="1631" t="s">
        <v>133</v>
      </c>
      <c r="BR5" s="1631" t="s">
        <v>134</v>
      </c>
      <c r="BS5" s="1631" t="s">
        <v>131</v>
      </c>
      <c r="BT5" s="1631" t="s">
        <v>132</v>
      </c>
      <c r="BU5" s="1631" t="s">
        <v>133</v>
      </c>
      <c r="BV5" s="1631" t="s">
        <v>134</v>
      </c>
      <c r="BW5" s="1631" t="s">
        <v>131</v>
      </c>
      <c r="BX5" s="1631" t="s">
        <v>132</v>
      </c>
      <c r="BY5" s="1631" t="s">
        <v>133</v>
      </c>
      <c r="BZ5" s="1631" t="s">
        <v>134</v>
      </c>
      <c r="CA5" s="1631" t="s">
        <v>131</v>
      </c>
      <c r="CB5" s="1631" t="s">
        <v>132</v>
      </c>
      <c r="CC5" s="1631" t="s">
        <v>133</v>
      </c>
      <c r="CD5" s="1631" t="s">
        <v>134</v>
      </c>
      <c r="CE5" s="1631" t="s">
        <v>131</v>
      </c>
      <c r="CF5" s="1631" t="s">
        <v>132</v>
      </c>
      <c r="CG5" s="1631" t="s">
        <v>133</v>
      </c>
      <c r="CH5" s="1631" t="s">
        <v>134</v>
      </c>
      <c r="CI5" s="1631" t="s">
        <v>131</v>
      </c>
      <c r="CJ5" s="1631" t="s">
        <v>132</v>
      </c>
      <c r="CK5" s="1631" t="s">
        <v>133</v>
      </c>
      <c r="CL5" s="1631" t="s">
        <v>134</v>
      </c>
      <c r="CM5" s="1631" t="s">
        <v>131</v>
      </c>
      <c r="CN5" s="1631" t="s">
        <v>132</v>
      </c>
      <c r="CO5" s="1631" t="s">
        <v>133</v>
      </c>
      <c r="CP5" s="1631" t="s">
        <v>134</v>
      </c>
      <c r="CQ5" s="1631" t="s">
        <v>131</v>
      </c>
      <c r="CR5" s="1631" t="s">
        <v>132</v>
      </c>
      <c r="CS5" s="1631" t="s">
        <v>133</v>
      </c>
      <c r="CT5" s="1631" t="s">
        <v>134</v>
      </c>
      <c r="CU5" s="1631" t="s">
        <v>131</v>
      </c>
      <c r="CV5" s="1631" t="s">
        <v>132</v>
      </c>
      <c r="CW5" s="1631" t="s">
        <v>133</v>
      </c>
      <c r="CX5" s="1631" t="s">
        <v>134</v>
      </c>
      <c r="CY5" s="1631" t="s">
        <v>131</v>
      </c>
      <c r="CZ5" s="1631" t="s">
        <v>132</v>
      </c>
      <c r="DA5" s="1631" t="s">
        <v>133</v>
      </c>
      <c r="DB5" s="1631" t="s">
        <v>134</v>
      </c>
      <c r="DC5" s="1631" t="s">
        <v>131</v>
      </c>
      <c r="DD5" s="1631" t="s">
        <v>132</v>
      </c>
      <c r="DE5" s="1631" t="s">
        <v>133</v>
      </c>
      <c r="DF5" s="1631" t="s">
        <v>134</v>
      </c>
    </row>
    <row r="6" spans="1:110" ht="12.75">
      <c r="B6" s="702">
        <v>15</v>
      </c>
      <c r="C6" s="799"/>
      <c r="D6" s="726"/>
      <c r="E6" s="769" t="s">
        <v>140</v>
      </c>
      <c r="F6" s="800"/>
      <c r="G6" s="2929"/>
      <c r="H6" s="2929">
        <f t="shared" ref="H6:BD6" si="0">+H27</f>
        <v>0.79157451320683858</v>
      </c>
      <c r="I6" s="2929">
        <f t="shared" si="0"/>
        <v>-0.2070988897198256</v>
      </c>
      <c r="J6" s="2929">
        <f t="shared" si="0"/>
        <v>0.18248832651177604</v>
      </c>
      <c r="K6" s="2929">
        <f t="shared" si="0"/>
        <v>0.67946133637346584</v>
      </c>
      <c r="L6" s="2929">
        <f t="shared" si="0"/>
        <v>7.7550171853491001E-2</v>
      </c>
      <c r="M6" s="2929">
        <f t="shared" si="0"/>
        <v>1.6483506677674287</v>
      </c>
      <c r="N6" s="2929">
        <f t="shared" si="0"/>
        <v>5.6042671086387053E-2</v>
      </c>
      <c r="O6" s="2929">
        <f t="shared" si="0"/>
        <v>0.78903610762308674</v>
      </c>
      <c r="P6" s="2929">
        <f t="shared" si="0"/>
        <v>1.6170776998853276</v>
      </c>
      <c r="Q6" s="2929">
        <f t="shared" si="0"/>
        <v>-0.46718179793376891</v>
      </c>
      <c r="R6" s="2929">
        <f t="shared" si="0"/>
        <v>0.78582553337402938</v>
      </c>
      <c r="S6" s="2929">
        <f t="shared" si="0"/>
        <v>0.7569148452865937</v>
      </c>
      <c r="T6" s="2929">
        <f t="shared" si="0"/>
        <v>1.227276934170618</v>
      </c>
      <c r="U6" s="2929">
        <f t="shared" si="0"/>
        <v>0.89369979322830861</v>
      </c>
      <c r="V6" s="2929">
        <f t="shared" si="0"/>
        <v>1.309771302870244</v>
      </c>
      <c r="W6" s="2929">
        <f t="shared" si="0"/>
        <v>0.40356547822852917</v>
      </c>
      <c r="X6" s="2929">
        <f t="shared" si="0"/>
        <v>0.45826831164204052</v>
      </c>
      <c r="Y6" s="2929">
        <f t="shared" si="0"/>
        <v>1.3582683240184412</v>
      </c>
      <c r="Z6" s="2929">
        <f t="shared" si="0"/>
        <v>2.929827338987212</v>
      </c>
      <c r="AA6" s="2929">
        <f t="shared" si="0"/>
        <v>0.83870053726529115</v>
      </c>
      <c r="AB6" s="2929">
        <f t="shared" si="0"/>
        <v>1.6840143384227124</v>
      </c>
      <c r="AC6" s="2929">
        <f t="shared" si="0"/>
        <v>0.41602024105489299</v>
      </c>
      <c r="AD6" s="2929">
        <f t="shared" si="0"/>
        <v>-0.17164583742212969</v>
      </c>
      <c r="AE6" s="2929">
        <f t="shared" si="0"/>
        <v>8.1184247953669519E-2</v>
      </c>
      <c r="AF6" s="2929">
        <f t="shared" si="0"/>
        <v>0.38407137449969486</v>
      </c>
      <c r="AG6" s="2929">
        <f t="shared" si="0"/>
        <v>5.4515269401322897E-2</v>
      </c>
      <c r="AH6" s="2929">
        <f t="shared" si="0"/>
        <v>-0.39719013594270436</v>
      </c>
      <c r="AI6" s="2929">
        <f t="shared" si="0"/>
        <v>1.6442318456460159</v>
      </c>
      <c r="AJ6" s="2929">
        <f t="shared" si="0"/>
        <v>0.74297345358231848</v>
      </c>
      <c r="AK6" s="2929">
        <f t="shared" si="0"/>
        <v>0.3047481499122151</v>
      </c>
      <c r="AL6" s="2929">
        <f t="shared" si="0"/>
        <v>1.4721269443269236</v>
      </c>
      <c r="AM6" s="2929">
        <f t="shared" si="0"/>
        <v>2.8275132717503482E-2</v>
      </c>
      <c r="AN6" s="2929">
        <f t="shared" si="0"/>
        <v>0.21940408573359882</v>
      </c>
      <c r="AO6" s="2929">
        <f t="shared" si="0"/>
        <v>1.2435796119431686</v>
      </c>
      <c r="AP6" s="2929">
        <f t="shared" si="0"/>
        <v>0.4348148175691291</v>
      </c>
      <c r="AQ6" s="2929">
        <f t="shared" si="0"/>
        <v>1.2232717235817203</v>
      </c>
      <c r="AR6" s="2929">
        <f t="shared" si="0"/>
        <v>-0.41883806269319424</v>
      </c>
      <c r="AS6" s="2929">
        <f t="shared" si="0"/>
        <v>1.0961810666568761</v>
      </c>
      <c r="AT6" s="2929">
        <f t="shared" si="0"/>
        <v>0.56817975395364595</v>
      </c>
      <c r="AU6" s="2929">
        <f t="shared" si="0"/>
        <v>0.58044795198133325</v>
      </c>
      <c r="AV6" s="2929">
        <f t="shared" si="0"/>
        <v>0.6481027150801344</v>
      </c>
      <c r="AW6" s="2929">
        <f t="shared" si="0"/>
        <v>1.3165718075425659</v>
      </c>
      <c r="AX6" s="2929">
        <f t="shared" si="0"/>
        <v>0.53601986286302417</v>
      </c>
      <c r="AY6" s="2929">
        <f t="shared" si="0"/>
        <v>0.16797405982496016</v>
      </c>
      <c r="AZ6" s="2929">
        <f t="shared" si="0"/>
        <v>1.253697612946203</v>
      </c>
      <c r="BA6" s="2929">
        <f t="shared" si="0"/>
        <v>0.19619909425314663</v>
      </c>
      <c r="BB6" s="2929">
        <f t="shared" si="0"/>
        <v>1.2955235184735292</v>
      </c>
      <c r="BC6" s="2929">
        <f t="shared" si="0"/>
        <v>0.74206213425394019</v>
      </c>
      <c r="BD6" s="2929">
        <f t="shared" si="0"/>
        <v>0.721419836147974</v>
      </c>
      <c r="BE6" s="2929">
        <f t="shared" ref="BE6:BJ6" si="1">+BE27</f>
        <v>1.7198990574237794</v>
      </c>
      <c r="BF6" s="2929">
        <f t="shared" si="1"/>
        <v>1.1154010827570726</v>
      </c>
      <c r="BG6" s="2929">
        <f t="shared" si="1"/>
        <v>-1.0314303037022743</v>
      </c>
      <c r="BH6" s="2929">
        <f t="shared" si="1"/>
        <v>-9.3780454887282261E-4</v>
      </c>
      <c r="BI6" s="2929">
        <f t="shared" si="1"/>
        <v>-0.69986221747738719</v>
      </c>
      <c r="BJ6" s="2929">
        <f t="shared" si="1"/>
        <v>-1.1016056212057257</v>
      </c>
      <c r="BK6" s="2929">
        <f t="shared" ref="BK6:BZ6" si="2">+BK27</f>
        <v>0.33848847539010851</v>
      </c>
      <c r="BL6" s="2929">
        <f t="shared" si="2"/>
        <v>1.3183911383949365</v>
      </c>
      <c r="BM6" s="2929">
        <f t="shared" si="2"/>
        <v>0.32049166427179365</v>
      </c>
      <c r="BN6" s="2929">
        <f t="shared" si="2"/>
        <v>0.24949564375900124</v>
      </c>
      <c r="BO6" s="2929">
        <f t="shared" ref="BO6:BV6" si="3">+BO27</f>
        <v>2.2381558583249417</v>
      </c>
      <c r="BP6" s="2929">
        <f t="shared" si="3"/>
        <v>7.0541572615345771E-2</v>
      </c>
      <c r="BQ6" s="2929">
        <f t="shared" si="3"/>
        <v>1.2543452906289998</v>
      </c>
      <c r="BR6" s="2929">
        <f t="shared" si="3"/>
        <v>0.61499263241848734</v>
      </c>
      <c r="BS6" s="2929">
        <f t="shared" si="3"/>
        <v>0.26798081000680707</v>
      </c>
      <c r="BT6" s="2929">
        <f t="shared" si="3"/>
        <v>0.95372276751337637</v>
      </c>
      <c r="BU6" s="2929">
        <f t="shared" si="3"/>
        <v>-0.40434713847836701</v>
      </c>
      <c r="BV6" s="2929">
        <f t="shared" si="3"/>
        <v>-0.11963455247668842</v>
      </c>
      <c r="BW6" s="2929">
        <f t="shared" si="2"/>
        <v>0.50751654100815724</v>
      </c>
      <c r="BX6" s="2929">
        <f t="shared" si="2"/>
        <v>0.22551939576882507</v>
      </c>
      <c r="BY6" s="2929">
        <f t="shared" si="2"/>
        <v>0.40172178074611153</v>
      </c>
      <c r="BZ6" s="2929">
        <f t="shared" si="2"/>
        <v>0.36660707954037086</v>
      </c>
      <c r="CA6" s="2929">
        <f t="shared" ref="CA6:CL6" si="4">+CA27</f>
        <v>0.43118491975879802</v>
      </c>
      <c r="CB6" s="2929">
        <f t="shared" si="4"/>
        <v>0.38358811898382417</v>
      </c>
      <c r="CC6" s="2929">
        <f t="shared" si="4"/>
        <v>0.9613341731454339</v>
      </c>
      <c r="CD6" s="2929">
        <f t="shared" si="4"/>
        <v>0.44715519071543142</v>
      </c>
      <c r="CE6" s="2929">
        <f>+CE27</f>
        <v>5.5689029492933528E-2</v>
      </c>
      <c r="CF6" s="2929">
        <f>+CF27</f>
        <v>1.4309882068894497</v>
      </c>
      <c r="CG6" s="2929">
        <f t="shared" si="4"/>
        <v>-0.18320622540369813</v>
      </c>
      <c r="CH6" s="2929">
        <f>+CH27</f>
        <v>0.84473467781693845</v>
      </c>
      <c r="CI6" s="2929">
        <f>+CI27</f>
        <v>0.90646352640126882</v>
      </c>
      <c r="CJ6" s="2929">
        <f>+CJ27</f>
        <v>0.67896741019379814</v>
      </c>
      <c r="CK6" s="2929">
        <f t="shared" si="4"/>
        <v>0.85642274632733439</v>
      </c>
      <c r="CL6" s="2929">
        <f t="shared" si="4"/>
        <v>1.0185687034055535</v>
      </c>
      <c r="CM6" s="2929">
        <f>+CM27</f>
        <v>1.0152243099768699</v>
      </c>
      <c r="CN6" s="2929">
        <f t="shared" ref="CN6:CT6" si="5">+CN27</f>
        <v>-0.10746463734319089</v>
      </c>
      <c r="CO6" s="2929">
        <f t="shared" si="5"/>
        <v>0.71880895003371137</v>
      </c>
      <c r="CP6" s="2929">
        <f t="shared" si="5"/>
        <v>0.3974467657472891</v>
      </c>
      <c r="CQ6" s="2929">
        <f t="shared" si="5"/>
        <v>0.83079710168274534</v>
      </c>
      <c r="CR6" s="2929">
        <f t="shared" si="5"/>
        <v>0.50425982492889876</v>
      </c>
      <c r="CS6" s="2929">
        <f t="shared" si="5"/>
        <v>0.4679010351687829</v>
      </c>
      <c r="CT6" s="2929">
        <f t="shared" si="5"/>
        <v>0.75456444399344402</v>
      </c>
      <c r="CU6" s="2929">
        <f t="shared" ref="CU6:CX6" si="6">+CU27</f>
        <v>0.49077426875407948</v>
      </c>
      <c r="CV6" s="2929">
        <f t="shared" si="6"/>
        <v>0.85425419505966715</v>
      </c>
      <c r="CW6" s="2929">
        <f t="shared" si="6"/>
        <v>0.32</v>
      </c>
      <c r="CX6" s="2929">
        <f t="shared" si="6"/>
        <v>0.66</v>
      </c>
      <c r="CY6" s="2929">
        <f t="shared" ref="CY6:DB6" si="7">+CY27</f>
        <v>0.74</v>
      </c>
      <c r="CZ6" s="2929">
        <f t="shared" si="7"/>
        <v>0.52</v>
      </c>
      <c r="DA6" s="2929">
        <f t="shared" si="7"/>
        <v>0.43</v>
      </c>
      <c r="DB6" s="2929">
        <f t="shared" si="7"/>
        <v>0.35</v>
      </c>
      <c r="DC6" s="2929">
        <f t="shared" ref="DC6:DF6" si="8">+DC27</f>
        <v>0.71</v>
      </c>
      <c r="DD6" s="2929">
        <f t="shared" si="8"/>
        <v>0.53</v>
      </c>
      <c r="DE6" s="2929">
        <f t="shared" si="8"/>
        <v>0.55000000000000004</v>
      </c>
      <c r="DF6" s="2929">
        <f t="shared" si="8"/>
        <v>0.39</v>
      </c>
    </row>
    <row r="7" spans="1:110" ht="12.75">
      <c r="B7" s="702">
        <v>16</v>
      </c>
      <c r="C7" s="969"/>
      <c r="D7" s="711"/>
      <c r="E7" s="220" t="s">
        <v>135</v>
      </c>
      <c r="F7" s="747"/>
      <c r="G7" s="2930"/>
      <c r="H7" s="2930">
        <f t="shared" ref="H7:BD7" si="9">+H46</f>
        <v>-4.0278434397478247E-2</v>
      </c>
      <c r="I7" s="2930">
        <f t="shared" si="9"/>
        <v>0.12135072693753024</v>
      </c>
      <c r="J7" s="2930">
        <f t="shared" si="9"/>
        <v>0.12156622044041665</v>
      </c>
      <c r="K7" s="2930">
        <f t="shared" si="9"/>
        <v>-0.52944103980275825</v>
      </c>
      <c r="L7" s="2930">
        <f t="shared" si="9"/>
        <v>5.0344610942265611E-2</v>
      </c>
      <c r="M7" s="2930">
        <f t="shared" si="9"/>
        <v>-0.14269258040167099</v>
      </c>
      <c r="N7" s="2930">
        <f t="shared" si="9"/>
        <v>1.582324772211563</v>
      </c>
      <c r="O7" s="2930">
        <f t="shared" si="9"/>
        <v>-2.9675094433799565</v>
      </c>
      <c r="P7" s="2930">
        <f t="shared" si="9"/>
        <v>1.3080286882215519</v>
      </c>
      <c r="Q7" s="2930">
        <f t="shared" si="9"/>
        <v>1.937935395550161</v>
      </c>
      <c r="R7" s="2930">
        <f t="shared" si="9"/>
        <v>-0.28198819577159862</v>
      </c>
      <c r="S7" s="2930">
        <f t="shared" si="9"/>
        <v>1.2002233975609844</v>
      </c>
      <c r="T7" s="2930">
        <f t="shared" si="9"/>
        <v>0.47083804205159119</v>
      </c>
      <c r="U7" s="2930">
        <f t="shared" si="9"/>
        <v>1.7858538944941049</v>
      </c>
      <c r="V7" s="2930">
        <f t="shared" si="9"/>
        <v>0.24866364352196246</v>
      </c>
      <c r="W7" s="2930">
        <f t="shared" si="9"/>
        <v>0.34606933744603108</v>
      </c>
      <c r="X7" s="2930">
        <f t="shared" si="9"/>
        <v>0.12827548292959623</v>
      </c>
      <c r="Y7" s="2930">
        <f t="shared" si="9"/>
        <v>-0.52621998317434748</v>
      </c>
      <c r="Z7" s="2930">
        <f t="shared" si="9"/>
        <v>8.7887021901034146E-2</v>
      </c>
      <c r="AA7" s="2930">
        <f t="shared" si="9"/>
        <v>-0.64298353849476797</v>
      </c>
      <c r="AB7" s="2930">
        <f t="shared" si="9"/>
        <v>-3.4117827858148875E-2</v>
      </c>
      <c r="AC7" s="2930">
        <f t="shared" si="9"/>
        <v>0.50094701822345211</v>
      </c>
      <c r="AD7" s="2930">
        <f t="shared" si="9"/>
        <v>-0.54547830710147682</v>
      </c>
      <c r="AE7" s="2930">
        <f t="shared" si="9"/>
        <v>0.12219748407575892</v>
      </c>
      <c r="AF7" s="2930">
        <f t="shared" si="9"/>
        <v>7.9542708966151565E-4</v>
      </c>
      <c r="AG7" s="2930">
        <f t="shared" si="9"/>
        <v>0.19602150420032771</v>
      </c>
      <c r="AH7" s="2930">
        <f t="shared" si="9"/>
        <v>1.0278562132558511</v>
      </c>
      <c r="AI7" s="2930">
        <f t="shared" si="9"/>
        <v>0.67474620280301156</v>
      </c>
      <c r="AJ7" s="2930">
        <f t="shared" si="9"/>
        <v>0.50450946186957335</v>
      </c>
      <c r="AK7" s="2930">
        <f t="shared" si="9"/>
        <v>3.2471724360205734E-2</v>
      </c>
      <c r="AL7" s="2930">
        <f t="shared" si="9"/>
        <v>0.5583420632405911</v>
      </c>
      <c r="AM7" s="2930">
        <f t="shared" si="9"/>
        <v>0.12005230574736458</v>
      </c>
      <c r="AN7" s="2930">
        <f t="shared" si="9"/>
        <v>1.6337995043658182E-2</v>
      </c>
      <c r="AO7" s="2930">
        <f t="shared" si="9"/>
        <v>0.52340505296450957</v>
      </c>
      <c r="AP7" s="2930">
        <f t="shared" si="9"/>
        <v>-0.35899198463750226</v>
      </c>
      <c r="AQ7" s="2930">
        <f t="shared" si="9"/>
        <v>-0.52255572179753518</v>
      </c>
      <c r="AR7" s="2930">
        <f t="shared" si="9"/>
        <v>-9.8753825380792915E-2</v>
      </c>
      <c r="AS7" s="2930">
        <f t="shared" si="9"/>
        <v>-0.51623497017513342</v>
      </c>
      <c r="AT7" s="2930">
        <f t="shared" si="9"/>
        <v>-0.14437520619816624</v>
      </c>
      <c r="AU7" s="2930">
        <f t="shared" si="9"/>
        <v>0.63846946656953563</v>
      </c>
      <c r="AV7" s="2930">
        <f t="shared" si="9"/>
        <v>0.2485477172395667</v>
      </c>
      <c r="AW7" s="2930">
        <f t="shared" si="9"/>
        <v>-0.52223558563126993</v>
      </c>
      <c r="AX7" s="2930">
        <f t="shared" si="9"/>
        <v>0.34716860935422034</v>
      </c>
      <c r="AY7" s="2930">
        <f t="shared" si="9"/>
        <v>1.205612125411526</v>
      </c>
      <c r="AZ7" s="2930">
        <f t="shared" si="9"/>
        <v>7.3867461215981756E-2</v>
      </c>
      <c r="BA7" s="2930">
        <f t="shared" si="9"/>
        <v>0.99840955813044197</v>
      </c>
      <c r="BB7" s="2930">
        <f t="shared" si="9"/>
        <v>0.13765197890092118</v>
      </c>
      <c r="BC7" s="2930">
        <f t="shared" si="9"/>
        <v>-0.58612986593366001</v>
      </c>
      <c r="BD7" s="2930">
        <f t="shared" si="9"/>
        <v>0.71569458059261848</v>
      </c>
      <c r="BE7" s="2930">
        <f t="shared" ref="BE7:BJ7" si="10">+BE46</f>
        <v>-0.10218952618689103</v>
      </c>
      <c r="BF7" s="2930">
        <f t="shared" si="10"/>
        <v>0.87568626987968301</v>
      </c>
      <c r="BG7" s="2930">
        <f t="shared" si="10"/>
        <v>-0.44471660844948024</v>
      </c>
      <c r="BH7" s="2930">
        <f t="shared" si="10"/>
        <v>0.81520154547352064</v>
      </c>
      <c r="BI7" s="2930">
        <f t="shared" si="10"/>
        <v>0.35628273679999545</v>
      </c>
      <c r="BJ7" s="2930">
        <f t="shared" si="10"/>
        <v>-5.5683609264689515E-2</v>
      </c>
      <c r="BK7" s="2930">
        <f t="shared" ref="BK7:BZ7" si="11">+BK46</f>
        <v>2.0371651018047832</v>
      </c>
      <c r="BL7" s="2930">
        <f t="shared" si="11"/>
        <v>-0.75768659468098409</v>
      </c>
      <c r="BM7" s="2930">
        <f t="shared" si="11"/>
        <v>0.71148325336878315</v>
      </c>
      <c r="BN7" s="2930">
        <f t="shared" si="11"/>
        <v>0.42445785632365673</v>
      </c>
      <c r="BO7" s="2930">
        <f t="shared" ref="BO7:BV7" si="12">+BO46</f>
        <v>-8.1826409042129455E-2</v>
      </c>
      <c r="BP7" s="2930">
        <f t="shared" si="12"/>
        <v>0.63637822034965374</v>
      </c>
      <c r="BQ7" s="2930">
        <f t="shared" si="12"/>
        <v>-0.23482404453709638</v>
      </c>
      <c r="BR7" s="2930">
        <f t="shared" si="12"/>
        <v>0.8295673050808805</v>
      </c>
      <c r="BS7" s="2930">
        <f t="shared" si="12"/>
        <v>-0.15846999687099128</v>
      </c>
      <c r="BT7" s="2930">
        <f t="shared" si="12"/>
        <v>0.37135440717510626</v>
      </c>
      <c r="BU7" s="2930">
        <f t="shared" si="12"/>
        <v>0.19253857043022293</v>
      </c>
      <c r="BV7" s="2930">
        <f t="shared" si="12"/>
        <v>5.6559619203988554E-2</v>
      </c>
      <c r="BW7" s="2930">
        <f t="shared" si="11"/>
        <v>0.54154826768455511</v>
      </c>
      <c r="BX7" s="2930">
        <f t="shared" si="11"/>
        <v>0.4897416045248848</v>
      </c>
      <c r="BY7" s="2930">
        <f t="shared" si="11"/>
        <v>0.8482158850516619</v>
      </c>
      <c r="BZ7" s="2930">
        <f t="shared" si="11"/>
        <v>0.11784265921808146</v>
      </c>
      <c r="CA7" s="2930">
        <f t="shared" ref="CA7:CL7" si="13">+CA46</f>
        <v>0.41605960279404997</v>
      </c>
      <c r="CB7" s="2930">
        <f t="shared" si="13"/>
        <v>0.17671867747597325</v>
      </c>
      <c r="CC7" s="2930">
        <f t="shared" si="13"/>
        <v>4.2806224538893822E-2</v>
      </c>
      <c r="CD7" s="2930">
        <f t="shared" si="13"/>
        <v>0.34365263356748166</v>
      </c>
      <c r="CE7" s="2930">
        <f>+CE46</f>
        <v>0.32668581985733081</v>
      </c>
      <c r="CF7" s="2930">
        <f>+CF46</f>
        <v>0.66585841255897282</v>
      </c>
      <c r="CG7" s="2930">
        <f t="shared" si="13"/>
        <v>0.8479067985451394</v>
      </c>
      <c r="CH7" s="2930">
        <f>+CH46</f>
        <v>0.42002687456479393</v>
      </c>
      <c r="CI7" s="2930">
        <f>+CI46</f>
        <v>0.54410729970688632</v>
      </c>
      <c r="CJ7" s="2930">
        <f>+CJ46</f>
        <v>-0.29464666865769429</v>
      </c>
      <c r="CK7" s="2930">
        <f t="shared" si="13"/>
        <v>1.0617895789183596</v>
      </c>
      <c r="CL7" s="2930">
        <f t="shared" si="13"/>
        <v>1.2098387942135247</v>
      </c>
      <c r="CM7" s="2930">
        <f t="shared" ref="CM7:CT7" si="14">+CM46</f>
        <v>1.0056054479394838</v>
      </c>
      <c r="CN7" s="2930">
        <f t="shared" si="14"/>
        <v>1.3279906304771494</v>
      </c>
      <c r="CO7" s="2930">
        <f t="shared" si="14"/>
        <v>-0.46435705945993</v>
      </c>
      <c r="CP7" s="2930">
        <f t="shared" si="14"/>
        <v>0.14698126070131767</v>
      </c>
      <c r="CQ7" s="2930">
        <f t="shared" si="14"/>
        <v>-0.24800133305277194</v>
      </c>
      <c r="CR7" s="2930">
        <f t="shared" si="14"/>
        <v>0.23821310501290771</v>
      </c>
      <c r="CS7" s="2930">
        <f t="shared" si="14"/>
        <v>0.4411127280423921</v>
      </c>
      <c r="CT7" s="2930">
        <f t="shared" si="14"/>
        <v>0.19352947872992576</v>
      </c>
      <c r="CU7" s="2930">
        <f t="shared" ref="CU7:CX7" si="15">+CU46</f>
        <v>0.18852218590648118</v>
      </c>
      <c r="CV7" s="2930">
        <f t="shared" si="15"/>
        <v>0.31118609032760869</v>
      </c>
      <c r="CW7" s="2930">
        <f t="shared" si="15"/>
        <v>0.32</v>
      </c>
      <c r="CX7" s="2930">
        <f t="shared" si="15"/>
        <v>0.19</v>
      </c>
      <c r="CY7" s="2930">
        <f t="shared" ref="CY7:DB7" si="16">+CY46</f>
        <v>0.38</v>
      </c>
      <c r="CZ7" s="2930">
        <f t="shared" si="16"/>
        <v>0.11</v>
      </c>
      <c r="DA7" s="2930">
        <f t="shared" si="16"/>
        <v>0.08</v>
      </c>
      <c r="DB7" s="2930">
        <f t="shared" si="16"/>
        <v>0.05</v>
      </c>
      <c r="DC7" s="2930">
        <f t="shared" ref="DC7:DF7" si="17">+DC46</f>
        <v>0.42</v>
      </c>
      <c r="DD7" s="2930">
        <f t="shared" si="17"/>
        <v>0.3</v>
      </c>
      <c r="DE7" s="2930">
        <f t="shared" si="17"/>
        <v>0.26</v>
      </c>
      <c r="DF7" s="2930">
        <f t="shared" si="17"/>
        <v>0.19</v>
      </c>
    </row>
    <row r="8" spans="1:110" ht="12.75">
      <c r="B8" s="702">
        <v>17</v>
      </c>
      <c r="C8" s="969"/>
      <c r="D8" s="711"/>
      <c r="E8" s="220" t="s">
        <v>138</v>
      </c>
      <c r="F8" s="747"/>
      <c r="G8" s="2930"/>
      <c r="H8" s="2930">
        <f>+H86</f>
        <v>0.53126567392081103</v>
      </c>
      <c r="I8" s="2930">
        <f t="shared" ref="I8:BI8" si="18">+I86</f>
        <v>4.5882291841379041</v>
      </c>
      <c r="J8" s="2930">
        <f t="shared" si="18"/>
        <v>2.1274136302953384</v>
      </c>
      <c r="K8" s="2930">
        <f t="shared" si="18"/>
        <v>-0.57788540173795422</v>
      </c>
      <c r="L8" s="2930">
        <f t="shared" si="18"/>
        <v>0.60665873501992706</v>
      </c>
      <c r="M8" s="2930">
        <f t="shared" si="18"/>
        <v>3.2388470393046154</v>
      </c>
      <c r="N8" s="2930">
        <f t="shared" si="18"/>
        <v>-0.750192005619299</v>
      </c>
      <c r="O8" s="2930">
        <f t="shared" si="18"/>
        <v>-1.5130469678398817</v>
      </c>
      <c r="P8" s="2930">
        <f t="shared" si="18"/>
        <v>2.7651672785248493</v>
      </c>
      <c r="Q8" s="2930">
        <f t="shared" si="18"/>
        <v>-1.7758867907710085</v>
      </c>
      <c r="R8" s="2930">
        <f t="shared" si="18"/>
        <v>3.1283761530259468</v>
      </c>
      <c r="S8" s="2930">
        <f t="shared" si="18"/>
        <v>2.1903181172700847</v>
      </c>
      <c r="T8" s="2930">
        <f t="shared" si="18"/>
        <v>2.6667804888911961</v>
      </c>
      <c r="U8" s="2930">
        <f t="shared" si="18"/>
        <v>1.6887976255463455</v>
      </c>
      <c r="V8" s="2930">
        <f t="shared" si="18"/>
        <v>1.5058887438389457</v>
      </c>
      <c r="W8" s="2930">
        <f t="shared" si="18"/>
        <v>2.6664499846244416</v>
      </c>
      <c r="X8" s="2930">
        <f t="shared" si="18"/>
        <v>-0.71196739755620131</v>
      </c>
      <c r="Y8" s="2930">
        <f t="shared" si="18"/>
        <v>4.3069030017413246</v>
      </c>
      <c r="Z8" s="2930">
        <f t="shared" si="18"/>
        <v>-1.814352357241622</v>
      </c>
      <c r="AA8" s="2930">
        <f t="shared" si="18"/>
        <v>1.2426552832643489</v>
      </c>
      <c r="AB8" s="2930">
        <f t="shared" si="18"/>
        <v>4.9469903776119484</v>
      </c>
      <c r="AC8" s="2930">
        <f t="shared" si="18"/>
        <v>1.2085093914131706</v>
      </c>
      <c r="AD8" s="2930">
        <f t="shared" si="18"/>
        <v>1.2597821868421066</v>
      </c>
      <c r="AE8" s="2930">
        <f t="shared" si="18"/>
        <v>-1.7763832472295626</v>
      </c>
      <c r="AF8" s="2930">
        <f t="shared" si="18"/>
        <v>1.0075783239859248</v>
      </c>
      <c r="AG8" s="2930">
        <f t="shared" si="18"/>
        <v>0.60021824988929495</v>
      </c>
      <c r="AH8" s="2930">
        <f t="shared" si="18"/>
        <v>2.9669485011529551</v>
      </c>
      <c r="AI8" s="2930">
        <f t="shared" si="18"/>
        <v>-8.751518465621233</v>
      </c>
      <c r="AJ8" s="2930">
        <f t="shared" si="18"/>
        <v>6.3501909525549349</v>
      </c>
      <c r="AK8" s="2930">
        <f t="shared" si="18"/>
        <v>-1.3405755015186926</v>
      </c>
      <c r="AL8" s="2930">
        <f t="shared" si="18"/>
        <v>0.69502068841991171</v>
      </c>
      <c r="AM8" s="2930">
        <f t="shared" si="18"/>
        <v>1.9255730353850087</v>
      </c>
      <c r="AN8" s="2930">
        <f t="shared" si="18"/>
        <v>-2.0082423851905618</v>
      </c>
      <c r="AO8" s="2930">
        <f t="shared" si="18"/>
        <v>0.95097307859475233</v>
      </c>
      <c r="AP8" s="2930">
        <f t="shared" si="18"/>
        <v>1.4104931760676953</v>
      </c>
      <c r="AQ8" s="2930">
        <f t="shared" si="18"/>
        <v>0.10431410284093001</v>
      </c>
      <c r="AR8" s="2930">
        <f t="shared" si="18"/>
        <v>2.447459818640052</v>
      </c>
      <c r="AS8" s="2930">
        <f t="shared" si="18"/>
        <v>2.5654955790632483</v>
      </c>
      <c r="AT8" s="2930">
        <f t="shared" si="18"/>
        <v>2.5826854886649375</v>
      </c>
      <c r="AU8" s="2930">
        <f t="shared" si="18"/>
        <v>-1.2659619264402955</v>
      </c>
      <c r="AV8" s="2930">
        <f t="shared" si="18"/>
        <v>2.2349615678644241</v>
      </c>
      <c r="AW8" s="2930">
        <f t="shared" si="18"/>
        <v>2.7328800591955638</v>
      </c>
      <c r="AX8" s="2930">
        <f t="shared" si="18"/>
        <v>-1.9064889770234239</v>
      </c>
      <c r="AY8" s="2930">
        <f t="shared" si="18"/>
        <v>4.1515289214979934</v>
      </c>
      <c r="AZ8" s="2930">
        <f t="shared" si="18"/>
        <v>4.9908058502034613</v>
      </c>
      <c r="BA8" s="2930">
        <f t="shared" si="18"/>
        <v>0.85437469846791902</v>
      </c>
      <c r="BB8" s="2930">
        <f t="shared" si="18"/>
        <v>2.1621866073066043</v>
      </c>
      <c r="BC8" s="2930">
        <f t="shared" si="18"/>
        <v>3.3201271921087683</v>
      </c>
      <c r="BD8" s="2930">
        <f t="shared" si="18"/>
        <v>1.183158720547195</v>
      </c>
      <c r="BE8" s="2930">
        <f t="shared" si="18"/>
        <v>-0.26770146534795813</v>
      </c>
      <c r="BF8" s="2930">
        <f t="shared" si="18"/>
        <v>2.9660649151906027</v>
      </c>
      <c r="BG8" s="2930">
        <f t="shared" si="18"/>
        <v>0.39538422137483931</v>
      </c>
      <c r="BH8" s="2930">
        <f t="shared" si="18"/>
        <v>-2.1027993667735112</v>
      </c>
      <c r="BI8" s="2930">
        <f t="shared" si="18"/>
        <v>-1.3027925106678051</v>
      </c>
      <c r="BJ8" s="2930">
        <f t="shared" ref="BJ8:BR8" si="19">+BJ86</f>
        <v>-0.7375938109564717</v>
      </c>
      <c r="BK8" s="2930">
        <f t="shared" si="19"/>
        <v>-10.588849930507727</v>
      </c>
      <c r="BL8" s="2930">
        <f t="shared" si="19"/>
        <v>-1.513413122029883</v>
      </c>
      <c r="BM8" s="2930">
        <f t="shared" si="19"/>
        <v>-1.0418811135948669</v>
      </c>
      <c r="BN8" s="2930">
        <f t="shared" si="19"/>
        <v>1.3471594821255151</v>
      </c>
      <c r="BO8" s="2930">
        <f t="shared" si="19"/>
        <v>-1.1792050023679002</v>
      </c>
      <c r="BP8" s="2930">
        <f t="shared" si="19"/>
        <v>4.5316907589927791</v>
      </c>
      <c r="BQ8" s="2930">
        <f t="shared" si="19"/>
        <v>5.518344934632502</v>
      </c>
      <c r="BR8" s="2930">
        <f t="shared" si="19"/>
        <v>1.668513650711434</v>
      </c>
      <c r="BS8" s="2930">
        <f t="shared" ref="BS8:BZ8" si="20">+BS86</f>
        <v>-1.7884906902415953</v>
      </c>
      <c r="BT8" s="2930">
        <f t="shared" si="20"/>
        <v>5.2156169511511141</v>
      </c>
      <c r="BU8" s="2930">
        <f t="shared" si="20"/>
        <v>-0.8013373186910866</v>
      </c>
      <c r="BV8" s="2930">
        <f t="shared" si="20"/>
        <v>-3.2833668893457957</v>
      </c>
      <c r="BW8" s="2930">
        <f t="shared" si="20"/>
        <v>4.3342251915958974</v>
      </c>
      <c r="BX8" s="2930">
        <f t="shared" si="20"/>
        <v>-2.3751968794460954</v>
      </c>
      <c r="BY8" s="2930">
        <f t="shared" si="20"/>
        <v>-2.6107864231595279</v>
      </c>
      <c r="BZ8" s="2930">
        <f t="shared" si="20"/>
        <v>2.8068380124678161</v>
      </c>
      <c r="CA8" s="2930">
        <f t="shared" ref="CA8:CF8" si="21">+CA86</f>
        <v>-1.4587030982594174</v>
      </c>
      <c r="CB8" s="2930">
        <f t="shared" si="21"/>
        <v>0.83513399035355373</v>
      </c>
      <c r="CC8" s="2930">
        <f t="shared" si="21"/>
        <v>2.6299793937763161</v>
      </c>
      <c r="CD8" s="2930">
        <f t="shared" si="21"/>
        <v>-1.7446978867075025E-3</v>
      </c>
      <c r="CE8" s="2930">
        <f t="shared" si="21"/>
        <v>2.2250473198615284</v>
      </c>
      <c r="CF8" s="2930">
        <f t="shared" si="21"/>
        <v>0.2954987868220238</v>
      </c>
      <c r="CG8" s="2930">
        <f t="shared" ref="CG8:CL8" si="22">+CG86</f>
        <v>1.3404983566868145</v>
      </c>
      <c r="CH8" s="2930">
        <f t="shared" si="22"/>
        <v>3.3106836125063932</v>
      </c>
      <c r="CI8" s="2930">
        <f t="shared" si="22"/>
        <v>0.71987734804690451</v>
      </c>
      <c r="CJ8" s="2930">
        <f t="shared" si="22"/>
        <v>1.6915516626997862</v>
      </c>
      <c r="CK8" s="2930">
        <f t="shared" si="22"/>
        <v>7.9818831411127E-2</v>
      </c>
      <c r="CL8" s="2930">
        <f t="shared" si="22"/>
        <v>3.6578095998484716</v>
      </c>
      <c r="CM8" s="2930">
        <f t="shared" ref="CM8:CT8" si="23">+CM86</f>
        <v>-0.6685293429394279</v>
      </c>
      <c r="CN8" s="2930">
        <f t="shared" si="23"/>
        <v>1.3619154805766254</v>
      </c>
      <c r="CO8" s="2930">
        <f t="shared" si="23"/>
        <v>0.32308227387833899</v>
      </c>
      <c r="CP8" s="2930">
        <f t="shared" si="23"/>
        <v>0.73871513174941228</v>
      </c>
      <c r="CQ8" s="2930">
        <f t="shared" si="23"/>
        <v>2.5520384493961989</v>
      </c>
      <c r="CR8" s="2930">
        <f t="shared" si="23"/>
        <v>1.955768971719718</v>
      </c>
      <c r="CS8" s="2930">
        <f t="shared" si="23"/>
        <v>3.1442645170717043</v>
      </c>
      <c r="CT8" s="2930">
        <f t="shared" si="23"/>
        <v>-1.2249189804611316</v>
      </c>
      <c r="CU8" s="2930">
        <f t="shared" ref="CU8:CX8" si="24">+CU86</f>
        <v>2.4601178204925356</v>
      </c>
      <c r="CV8" s="2930">
        <f t="shared" si="24"/>
        <v>-0.51308796836075921</v>
      </c>
      <c r="CW8" s="2930">
        <f t="shared" si="24"/>
        <v>0.5</v>
      </c>
      <c r="CX8" s="2930">
        <f t="shared" si="24"/>
        <v>0.41</v>
      </c>
      <c r="CY8" s="2930">
        <f t="shared" ref="CY8:DB8" si="25">+CY86</f>
        <v>0.71</v>
      </c>
      <c r="CZ8" s="2930">
        <f t="shared" si="25"/>
        <v>0.63</v>
      </c>
      <c r="DA8" s="2930">
        <f t="shared" si="25"/>
        <v>0.52</v>
      </c>
      <c r="DB8" s="2930">
        <f t="shared" si="25"/>
        <v>0.48</v>
      </c>
      <c r="DC8" s="2930">
        <f t="shared" ref="DC8:DF8" si="26">+DC86</f>
        <v>0.55000000000000004</v>
      </c>
      <c r="DD8" s="2930">
        <f t="shared" si="26"/>
        <v>0.65</v>
      </c>
      <c r="DE8" s="2930">
        <f t="shared" si="26"/>
        <v>0.42</v>
      </c>
      <c r="DF8" s="2930">
        <f t="shared" si="26"/>
        <v>0.35</v>
      </c>
    </row>
    <row r="9" spans="1:110" ht="12.75">
      <c r="B9" s="702">
        <v>18</v>
      </c>
      <c r="C9" s="969"/>
      <c r="D9" s="754"/>
      <c r="E9" s="755" t="s">
        <v>927</v>
      </c>
      <c r="F9" s="961"/>
      <c r="G9" s="2931"/>
      <c r="H9" s="2931">
        <f t="shared" ref="H9:BD9" si="27">+H110</f>
        <v>0.65572016498887109</v>
      </c>
      <c r="I9" s="2931">
        <f t="shared" si="27"/>
        <v>1.437312877301844</v>
      </c>
      <c r="J9" s="2931">
        <f t="shared" si="27"/>
        <v>1.0515197118096564</v>
      </c>
      <c r="K9" s="2931">
        <f t="shared" si="27"/>
        <v>-0.25348513065036604</v>
      </c>
      <c r="L9" s="2931">
        <f t="shared" si="27"/>
        <v>-1.5315683674607894</v>
      </c>
      <c r="M9" s="2931">
        <f t="shared" si="27"/>
        <v>1.4610592494033181</v>
      </c>
      <c r="N9" s="2931">
        <f t="shared" si="27"/>
        <v>0.66302611261668254</v>
      </c>
      <c r="O9" s="2931">
        <f t="shared" si="27"/>
        <v>-7.9677827452329097E-2</v>
      </c>
      <c r="P9" s="2931">
        <f t="shared" si="27"/>
        <v>0.12143824663533032</v>
      </c>
      <c r="Q9" s="2931">
        <f t="shared" si="27"/>
        <v>1.3397962417631692</v>
      </c>
      <c r="R9" s="2931">
        <f t="shared" si="27"/>
        <v>1.8299888570848521</v>
      </c>
      <c r="S9" s="2931">
        <f t="shared" si="27"/>
        <v>1.199294397214401</v>
      </c>
      <c r="T9" s="2931">
        <f t="shared" si="27"/>
        <v>1.7807838964432054</v>
      </c>
      <c r="U9" s="2931">
        <f t="shared" si="27"/>
        <v>-0.54906452797163219</v>
      </c>
      <c r="V9" s="2931">
        <f t="shared" si="27"/>
        <v>0.65056621215622279</v>
      </c>
      <c r="W9" s="2931">
        <f t="shared" si="27"/>
        <v>1.9149742259164437</v>
      </c>
      <c r="X9" s="2931">
        <f t="shared" si="27"/>
        <v>-0.44144864694368735</v>
      </c>
      <c r="Y9" s="2931">
        <f t="shared" si="27"/>
        <v>0.68724192686453467</v>
      </c>
      <c r="Z9" s="2931">
        <f t="shared" si="27"/>
        <v>2.4991492028626938</v>
      </c>
      <c r="AA9" s="2931">
        <f t="shared" si="27"/>
        <v>0.59748991417232222</v>
      </c>
      <c r="AB9" s="2931">
        <f t="shared" si="27"/>
        <v>2.201505825271588</v>
      </c>
      <c r="AC9" s="2931">
        <f t="shared" si="27"/>
        <v>0.57745809494742506</v>
      </c>
      <c r="AD9" s="2931">
        <f t="shared" si="27"/>
        <v>-1.0105380796481045</v>
      </c>
      <c r="AE9" s="2931">
        <f t="shared" si="27"/>
        <v>0.93136119682961649</v>
      </c>
      <c r="AF9" s="2931">
        <f t="shared" si="27"/>
        <v>-2.812168241945745E-2</v>
      </c>
      <c r="AG9" s="2931">
        <f t="shared" si="27"/>
        <v>-0.62464622841115203</v>
      </c>
      <c r="AH9" s="2931">
        <f t="shared" si="27"/>
        <v>0.41724886543414996</v>
      </c>
      <c r="AI9" s="2931">
        <f t="shared" si="27"/>
        <v>-4.9894590310939346E-2</v>
      </c>
      <c r="AJ9" s="2931">
        <f t="shared" si="27"/>
        <v>0.78888913657679804</v>
      </c>
      <c r="AK9" s="2931">
        <f t="shared" si="27"/>
        <v>0.86189478154259369</v>
      </c>
      <c r="AL9" s="2931">
        <f t="shared" si="27"/>
        <v>0.63865486775742664</v>
      </c>
      <c r="AM9" s="2931">
        <f t="shared" si="27"/>
        <v>1.2187371416947812</v>
      </c>
      <c r="AN9" s="2931">
        <f t="shared" si="27"/>
        <v>-0.96716951222374226</v>
      </c>
      <c r="AO9" s="2931">
        <f t="shared" si="27"/>
        <v>0.9341364391745488</v>
      </c>
      <c r="AP9" s="2931">
        <f t="shared" si="27"/>
        <v>0.67613230590530815</v>
      </c>
      <c r="AQ9" s="2931">
        <f t="shared" si="27"/>
        <v>5.187744887711343E-2</v>
      </c>
      <c r="AR9" s="2931">
        <f t="shared" si="27"/>
        <v>2.1104373957347988E-2</v>
      </c>
      <c r="AS9" s="2931">
        <f t="shared" si="27"/>
        <v>1.4992390237659636</v>
      </c>
      <c r="AT9" s="2931">
        <f t="shared" si="27"/>
        <v>1.1101335951113622</v>
      </c>
      <c r="AU9" s="2931">
        <f t="shared" si="27"/>
        <v>0.17088997974905595</v>
      </c>
      <c r="AV9" s="2931">
        <f t="shared" si="27"/>
        <v>0.56443575808855506</v>
      </c>
      <c r="AW9" s="2931">
        <f t="shared" si="27"/>
        <v>-5.6760411833811641E-2</v>
      </c>
      <c r="AX9" s="2931">
        <f t="shared" si="27"/>
        <v>1.8899872360025993</v>
      </c>
      <c r="AY9" s="2931">
        <f t="shared" si="27"/>
        <v>0.40409926002469287</v>
      </c>
      <c r="AZ9" s="2931">
        <f t="shared" si="27"/>
        <v>2.5168775578580771</v>
      </c>
      <c r="BA9" s="2931">
        <f t="shared" si="27"/>
        <v>0.62475143254396848</v>
      </c>
      <c r="BB9" s="2931">
        <f t="shared" si="27"/>
        <v>1.0425953457958936</v>
      </c>
      <c r="BC9" s="2931">
        <f t="shared" si="27"/>
        <v>1.4986013979886748</v>
      </c>
      <c r="BD9" s="2931">
        <f t="shared" si="27"/>
        <v>0.51857414185845219</v>
      </c>
      <c r="BE9" s="2931">
        <f t="shared" ref="BE9:BJ9" si="28">+BE110</f>
        <v>1.5322133728091103</v>
      </c>
      <c r="BF9" s="2931">
        <f t="shared" si="28"/>
        <v>1.594002013845075</v>
      </c>
      <c r="BG9" s="2931">
        <f t="shared" si="28"/>
        <v>-1.6379534484526337</v>
      </c>
      <c r="BH9" s="2931">
        <f t="shared" si="28"/>
        <v>0.92711978953103902</v>
      </c>
      <c r="BI9" s="2931">
        <f t="shared" si="28"/>
        <v>-1.2163657352078805</v>
      </c>
      <c r="BJ9" s="2931">
        <f t="shared" si="28"/>
        <v>-2.6104600815518686</v>
      </c>
      <c r="BK9" s="2931">
        <f t="shared" ref="BK9:BZ9" si="29">+BK110</f>
        <v>-1.7997276653317296</v>
      </c>
      <c r="BL9" s="2931">
        <f t="shared" si="29"/>
        <v>-1.1463466691421398</v>
      </c>
      <c r="BM9" s="2931">
        <f t="shared" si="29"/>
        <v>0.84950220130604048</v>
      </c>
      <c r="BN9" s="2931">
        <f t="shared" si="29"/>
        <v>1.0557252793998328</v>
      </c>
      <c r="BO9" s="2931">
        <f t="shared" ref="BO9:BV9" si="30">+BO110</f>
        <v>2.4343892746944595</v>
      </c>
      <c r="BP9" s="2931">
        <f t="shared" si="30"/>
        <v>1.8283951164968171</v>
      </c>
      <c r="BQ9" s="2931">
        <f t="shared" si="30"/>
        <v>1.5627110032758962</v>
      </c>
      <c r="BR9" s="2931">
        <f t="shared" si="30"/>
        <v>0.22059707721051591</v>
      </c>
      <c r="BS9" s="2931">
        <f t="shared" si="30"/>
        <v>1.7064956076696003</v>
      </c>
      <c r="BT9" s="2931">
        <f t="shared" si="30"/>
        <v>0.57126750042231222</v>
      </c>
      <c r="BU9" s="2931">
        <f t="shared" si="30"/>
        <v>-0.72112960512086266</v>
      </c>
      <c r="BV9" s="2931">
        <f t="shared" si="30"/>
        <v>-0.66709211491681186</v>
      </c>
      <c r="BW9" s="2931">
        <f t="shared" si="29"/>
        <v>7.3155133665059324E-2</v>
      </c>
      <c r="BX9" s="2931">
        <f t="shared" si="29"/>
        <v>0.10897126684439318</v>
      </c>
      <c r="BY9" s="2931">
        <f t="shared" si="29"/>
        <v>1.0794456563299581</v>
      </c>
      <c r="BZ9" s="2931">
        <f t="shared" si="29"/>
        <v>-0.97501524875934775</v>
      </c>
      <c r="CA9" s="2931">
        <f t="shared" ref="CA9:CL9" si="31">+CA110</f>
        <v>1.259633030856544</v>
      </c>
      <c r="CB9" s="2931">
        <f t="shared" si="31"/>
        <v>-0.20890347610661442</v>
      </c>
      <c r="CC9" s="2931">
        <f t="shared" si="31"/>
        <v>0.72859227333292864</v>
      </c>
      <c r="CD9" s="2931">
        <f t="shared" si="31"/>
        <v>1.2887160077948545</v>
      </c>
      <c r="CE9" s="2931">
        <f>+CE110</f>
        <v>0.19303992114227952</v>
      </c>
      <c r="CF9" s="2931">
        <f>+CF110</f>
        <v>1.3397228435885422</v>
      </c>
      <c r="CG9" s="2931">
        <f t="shared" si="31"/>
        <v>8.0744556404899193E-2</v>
      </c>
      <c r="CH9" s="2931">
        <f>+CH110</f>
        <v>1.951589219950578</v>
      </c>
      <c r="CI9" s="2931">
        <f>+CI110</f>
        <v>0.72671212476711489</v>
      </c>
      <c r="CJ9" s="2931">
        <f>+CJ110</f>
        <v>0.18917046739910237</v>
      </c>
      <c r="CK9" s="2931">
        <f t="shared" si="31"/>
        <v>1.671002496015328</v>
      </c>
      <c r="CL9" s="2931">
        <f t="shared" si="31"/>
        <v>1.6647271731596858</v>
      </c>
      <c r="CM9" s="2931">
        <f t="shared" ref="CM9:CT9" si="32">+CM110</f>
        <v>0.36349714744534634</v>
      </c>
      <c r="CN9" s="2931">
        <f t="shared" si="32"/>
        <v>0.59968248527340062</v>
      </c>
      <c r="CO9" s="2931">
        <f t="shared" si="32"/>
        <v>-9.1195896851514746E-2</v>
      </c>
      <c r="CP9" s="2931">
        <f t="shared" si="32"/>
        <v>0.43278327013567264</v>
      </c>
      <c r="CQ9" s="2931">
        <f t="shared" si="32"/>
        <v>1.2199383426239052</v>
      </c>
      <c r="CR9" s="2931">
        <f t="shared" si="32"/>
        <v>1.0763564256726088</v>
      </c>
      <c r="CS9" s="2931">
        <f t="shared" si="32"/>
        <v>0.72711718984166396</v>
      </c>
      <c r="CT9" s="2931">
        <f t="shared" si="32"/>
        <v>0.3356311002365775</v>
      </c>
      <c r="CU9" s="2931">
        <f t="shared" ref="CU9:CX9" si="33">+CU110</f>
        <v>0.70887817615747917</v>
      </c>
      <c r="CV9" s="2931">
        <f t="shared" si="33"/>
        <v>1.2869502052488491</v>
      </c>
      <c r="CW9" s="2931">
        <f t="shared" si="33"/>
        <v>0.36807132961220779</v>
      </c>
      <c r="CX9" s="2931">
        <f t="shared" si="33"/>
        <v>0.47605012399969693</v>
      </c>
      <c r="CY9" s="2931">
        <f t="shared" ref="CY9:DB9" si="34">+CY110</f>
        <v>0.64254735494379445</v>
      </c>
      <c r="CZ9" s="2931">
        <f t="shared" si="34"/>
        <v>0.44782452243838627</v>
      </c>
      <c r="DA9" s="2931">
        <f t="shared" si="34"/>
        <v>0.36767852739945034</v>
      </c>
      <c r="DB9" s="2931">
        <f t="shared" si="34"/>
        <v>0.31100734637281979</v>
      </c>
      <c r="DC9" s="2931">
        <f t="shared" ref="DC9:DF9" si="35">+DC110</f>
        <v>0.59577368524738072</v>
      </c>
      <c r="DD9" s="2931">
        <f t="shared" si="35"/>
        <v>0.50584688193292138</v>
      </c>
      <c r="DE9" s="2931">
        <f t="shared" si="35"/>
        <v>0.44407239423216671</v>
      </c>
      <c r="DF9" s="2931">
        <f t="shared" si="35"/>
        <v>0.33039716192603147</v>
      </c>
    </row>
    <row r="10" spans="1:110" ht="12.75">
      <c r="B10" s="702">
        <v>19</v>
      </c>
      <c r="C10" s="969"/>
      <c r="D10" s="843"/>
      <c r="E10" s="334" t="s">
        <v>928</v>
      </c>
      <c r="F10" s="187"/>
      <c r="G10" s="2933"/>
      <c r="H10" s="2933">
        <f t="shared" ref="H10:BD10" si="36">+H134</f>
        <v>0.7055771742388578</v>
      </c>
      <c r="I10" s="2933">
        <f t="shared" si="36"/>
        <v>1.3428853626478841</v>
      </c>
      <c r="J10" s="2933">
        <f t="shared" si="36"/>
        <v>1.6426943964410603</v>
      </c>
      <c r="K10" s="2933">
        <f t="shared" si="36"/>
        <v>1.4227572000209088</v>
      </c>
      <c r="L10" s="2933">
        <f t="shared" si="36"/>
        <v>-0.21698610559143106</v>
      </c>
      <c r="M10" s="2933">
        <f t="shared" si="36"/>
        <v>-0.30950716960582081</v>
      </c>
      <c r="N10" s="2933">
        <f t="shared" si="36"/>
        <v>-4.7856184824697563E-2</v>
      </c>
      <c r="O10" s="2933">
        <f t="shared" si="36"/>
        <v>0.64700512240089492</v>
      </c>
      <c r="P10" s="2933">
        <f t="shared" si="36"/>
        <v>-0.7383142140294755</v>
      </c>
      <c r="Q10" s="2933">
        <f t="shared" si="36"/>
        <v>0.4085317237017515</v>
      </c>
      <c r="R10" s="2933">
        <f t="shared" si="36"/>
        <v>1.2752343032197466</v>
      </c>
      <c r="S10" s="2933">
        <f t="shared" si="36"/>
        <v>1.3204653628177756</v>
      </c>
      <c r="T10" s="2933">
        <f t="shared" si="36"/>
        <v>1.9031866157852715</v>
      </c>
      <c r="U10" s="2933">
        <f t="shared" si="36"/>
        <v>-0.13697410369026763</v>
      </c>
      <c r="V10" s="2933">
        <f t="shared" si="36"/>
        <v>-0.51024118015008058</v>
      </c>
      <c r="W10" s="2933">
        <f t="shared" si="36"/>
        <v>0.54011947337720789</v>
      </c>
      <c r="X10" s="2933">
        <f t="shared" si="36"/>
        <v>0.14140119683794605</v>
      </c>
      <c r="Y10" s="2933">
        <f t="shared" si="36"/>
        <v>-0.82659112642258747</v>
      </c>
      <c r="Z10" s="2933">
        <f t="shared" si="36"/>
        <v>0.53673318028500416</v>
      </c>
      <c r="AA10" s="2933">
        <f t="shared" si="36"/>
        <v>0.72998900526953114</v>
      </c>
      <c r="AB10" s="2933">
        <f t="shared" si="36"/>
        <v>0.94913775651413634</v>
      </c>
      <c r="AC10" s="2933">
        <f t="shared" si="36"/>
        <v>0.68472962626028777</v>
      </c>
      <c r="AD10" s="2933">
        <f t="shared" si="36"/>
        <v>-0.23422551643770426</v>
      </c>
      <c r="AE10" s="2933">
        <f t="shared" si="36"/>
        <v>1.0482757360215469</v>
      </c>
      <c r="AF10" s="2933">
        <f t="shared" si="36"/>
        <v>0.62110790827956697</v>
      </c>
      <c r="AG10" s="2933">
        <f t="shared" si="36"/>
        <v>-0.26831883764860665</v>
      </c>
      <c r="AH10" s="2933">
        <f t="shared" si="36"/>
        <v>-0.61770508504817967</v>
      </c>
      <c r="AI10" s="2933">
        <f t="shared" si="36"/>
        <v>0.36562909391156362</v>
      </c>
      <c r="AJ10" s="2933">
        <f t="shared" si="36"/>
        <v>-0.58035600292973255</v>
      </c>
      <c r="AK10" s="2933">
        <f t="shared" si="36"/>
        <v>0.37807520618076834</v>
      </c>
      <c r="AL10" s="2933">
        <f t="shared" si="36"/>
        <v>-9.3391368730436741E-2</v>
      </c>
      <c r="AM10" s="2933">
        <f t="shared" si="36"/>
        <v>0.5641277070574362</v>
      </c>
      <c r="AN10" s="2933">
        <f t="shared" si="36"/>
        <v>6.3484052514432357E-2</v>
      </c>
      <c r="AO10" s="2933">
        <f t="shared" si="36"/>
        <v>5.4605187885128491E-2</v>
      </c>
      <c r="AP10" s="2933">
        <f t="shared" si="36"/>
        <v>0.20150884688044357</v>
      </c>
      <c r="AQ10" s="2933">
        <f t="shared" si="36"/>
        <v>-0.23797779539438532</v>
      </c>
      <c r="AR10" s="2933">
        <f t="shared" si="36"/>
        <v>-0.46876090080677102</v>
      </c>
      <c r="AS10" s="2933">
        <f t="shared" si="36"/>
        <v>5.3456808523963083E-2</v>
      </c>
      <c r="AT10" s="2933">
        <f t="shared" si="36"/>
        <v>0.31697572643446381</v>
      </c>
      <c r="AU10" s="2933">
        <f t="shared" si="36"/>
        <v>0.15330942778086309</v>
      </c>
      <c r="AV10" s="2933">
        <f t="shared" si="36"/>
        <v>-8.5752998761619265E-2</v>
      </c>
      <c r="AW10" s="2933">
        <f t="shared" si="36"/>
        <v>-1.1740399251382256</v>
      </c>
      <c r="AX10" s="2933">
        <f t="shared" si="36"/>
        <v>0.72096425414360688</v>
      </c>
      <c r="AY10" s="2933">
        <f t="shared" si="36"/>
        <v>-0.27491254922625952</v>
      </c>
      <c r="AZ10" s="2933">
        <f t="shared" si="36"/>
        <v>0.2867555086684222</v>
      </c>
      <c r="BA10" s="2933">
        <f t="shared" si="36"/>
        <v>0.36130497359331931</v>
      </c>
      <c r="BB10" s="2933">
        <f t="shared" si="36"/>
        <v>0.2144162272180597</v>
      </c>
      <c r="BC10" s="2933">
        <f t="shared" si="36"/>
        <v>0.7188945756199111</v>
      </c>
      <c r="BD10" s="2933">
        <f t="shared" si="36"/>
        <v>0.29268261586382543</v>
      </c>
      <c r="BE10" s="2933">
        <f t="shared" ref="BE10:BJ10" si="37">+BE134</f>
        <v>1.0287745078104171</v>
      </c>
      <c r="BF10" s="2933">
        <f t="shared" si="37"/>
        <v>1.1189222978681153</v>
      </c>
      <c r="BG10" s="2933">
        <f t="shared" si="37"/>
        <v>7.6671548265659556E-2</v>
      </c>
      <c r="BH10" s="2933">
        <f t="shared" si="37"/>
        <v>1.2692344482064104</v>
      </c>
      <c r="BI10" s="2933">
        <f t="shared" si="37"/>
        <v>0.72614093811019598</v>
      </c>
      <c r="BJ10" s="2933">
        <f t="shared" si="37"/>
        <v>-1.0978431993160045</v>
      </c>
      <c r="BK10" s="2933">
        <f t="shared" ref="BK10:BZ10" si="38">+BK134</f>
        <v>-1.066940868337418</v>
      </c>
      <c r="BL10" s="2933">
        <f t="shared" si="38"/>
        <v>-2.0940609028312074</v>
      </c>
      <c r="BM10" s="2933">
        <f t="shared" si="38"/>
        <v>-1.284003674323271</v>
      </c>
      <c r="BN10" s="2933">
        <f t="shared" si="38"/>
        <v>-0.88440197574989854</v>
      </c>
      <c r="BO10" s="2933">
        <f t="shared" ref="BO10:BV10" si="39">+BO134</f>
        <v>0.57496185582988213</v>
      </c>
      <c r="BP10" s="2933">
        <f t="shared" si="39"/>
        <v>1.1280290043685672</v>
      </c>
      <c r="BQ10" s="2933">
        <f t="shared" si="39"/>
        <v>0.8999322295287967</v>
      </c>
      <c r="BR10" s="2933">
        <f t="shared" si="39"/>
        <v>0.28533280695178509</v>
      </c>
      <c r="BS10" s="2933">
        <f t="shared" si="39"/>
        <v>2.1717023429395717</v>
      </c>
      <c r="BT10" s="2933">
        <f t="shared" si="39"/>
        <v>0.95002107321081108</v>
      </c>
      <c r="BU10" s="2933">
        <f t="shared" si="39"/>
        <v>0.58128204088298896</v>
      </c>
      <c r="BV10" s="2933">
        <f t="shared" si="39"/>
        <v>0.90102222127589648</v>
      </c>
      <c r="BW10" s="2933">
        <f t="shared" si="38"/>
        <v>-0.42513092864696744</v>
      </c>
      <c r="BX10" s="2933">
        <f t="shared" si="38"/>
        <v>-6.9551930030206821E-2</v>
      </c>
      <c r="BY10" s="2933">
        <f t="shared" si="38"/>
        <v>1.1114224401083617</v>
      </c>
      <c r="BZ10" s="2933">
        <f t="shared" si="38"/>
        <v>-0.53927453470058162</v>
      </c>
      <c r="CA10" s="2933">
        <f t="shared" ref="CA10:CL10" si="40">+CA134</f>
        <v>0.63773874090178029</v>
      </c>
      <c r="CB10" s="2933">
        <f t="shared" si="40"/>
        <v>3.6321164477879773E-2</v>
      </c>
      <c r="CC10" s="2933">
        <f t="shared" si="40"/>
        <v>-0.35899360719516926</v>
      </c>
      <c r="CD10" s="2933">
        <f t="shared" si="40"/>
        <v>0.60606875341770072</v>
      </c>
      <c r="CE10" s="2933">
        <f>+CE134</f>
        <v>0.15411310957133278</v>
      </c>
      <c r="CF10" s="2933">
        <f>+CF134</f>
        <v>0.55064854363620863</v>
      </c>
      <c r="CG10" s="2933">
        <f t="shared" si="40"/>
        <v>0.17360270777246251</v>
      </c>
      <c r="CH10" s="2933">
        <f>+CH134</f>
        <v>0.70306389724369978</v>
      </c>
      <c r="CI10" s="2933">
        <f>+CI134</f>
        <v>0.66970936149117488</v>
      </c>
      <c r="CJ10" s="2933">
        <f>+CJ134</f>
        <v>0.29466931308872013</v>
      </c>
      <c r="CK10" s="2933">
        <f t="shared" si="40"/>
        <v>1.1752177512967674</v>
      </c>
      <c r="CL10" s="2933">
        <f t="shared" si="40"/>
        <v>1.068559361086177</v>
      </c>
      <c r="CM10" s="2933">
        <f t="shared" ref="CM10:CT10" si="41">+CM134</f>
        <v>0.85358259137495573</v>
      </c>
      <c r="CN10" s="2933">
        <f t="shared" si="41"/>
        <v>0.81674442589406948</v>
      </c>
      <c r="CO10" s="2933">
        <f t="shared" si="41"/>
        <v>0.51753606255975926</v>
      </c>
      <c r="CP10" s="2933">
        <f t="shared" si="41"/>
        <v>0.46698780783771648</v>
      </c>
      <c r="CQ10" s="2933">
        <f t="shared" si="41"/>
        <v>0.75896322461786747</v>
      </c>
      <c r="CR10" s="2933">
        <f t="shared" si="41"/>
        <v>0.98124109379745783</v>
      </c>
      <c r="CS10" s="2933">
        <f t="shared" si="41"/>
        <v>0.52316802351367464</v>
      </c>
      <c r="CT10" s="2933">
        <f t="shared" si="41"/>
        <v>0.77052099774586091</v>
      </c>
      <c r="CU10" s="2933">
        <f t="shared" ref="CU10:CX10" si="42">+CU134</f>
        <v>0.62079825686999546</v>
      </c>
      <c r="CV10" s="2933">
        <f t="shared" si="42"/>
        <v>1.5457349479050868</v>
      </c>
      <c r="CW10" s="2933">
        <f t="shared" si="42"/>
        <v>1.1392274399101172</v>
      </c>
      <c r="CX10" s="2933">
        <f t="shared" si="42"/>
        <v>0.75643428010060354</v>
      </c>
      <c r="CY10" s="2933">
        <f t="shared" ref="CY10:DB10" si="43">+CY134</f>
        <v>0.84820068842145613</v>
      </c>
      <c r="CZ10" s="2933">
        <f t="shared" si="43"/>
        <v>0.84478278935385764</v>
      </c>
      <c r="DA10" s="2933">
        <f t="shared" si="43"/>
        <v>0.84193609937917235</v>
      </c>
      <c r="DB10" s="2933">
        <f t="shared" si="43"/>
        <v>0.93298104952654282</v>
      </c>
      <c r="DC10" s="2933">
        <f t="shared" ref="DC10:DF10" si="44">+DC134</f>
        <v>0.92957655481314938</v>
      </c>
      <c r="DD10" s="2933">
        <f t="shared" si="44"/>
        <v>1.0181544438258585</v>
      </c>
      <c r="DE10" s="2933">
        <f t="shared" si="44"/>
        <v>1.0138647182542915</v>
      </c>
      <c r="DF10" s="2933">
        <f t="shared" si="44"/>
        <v>1.0105185754332144</v>
      </c>
    </row>
    <row r="11" spans="1:110" ht="12.75">
      <c r="B11" s="702">
        <v>20</v>
      </c>
      <c r="C11" s="969"/>
      <c r="D11" s="754"/>
      <c r="E11" s="755" t="s">
        <v>995</v>
      </c>
      <c r="F11" s="961"/>
      <c r="G11" s="2931"/>
      <c r="H11" s="2931">
        <f t="shared" ref="H11:BD11" si="45">+H149</f>
        <v>0.4703737077352832</v>
      </c>
      <c r="I11" s="2931">
        <f t="shared" si="45"/>
        <v>0.7911233825471653</v>
      </c>
      <c r="J11" s="2931">
        <f t="shared" si="45"/>
        <v>0.73831813602625029</v>
      </c>
      <c r="K11" s="2931">
        <f t="shared" si="45"/>
        <v>-3.7899396473173308E-2</v>
      </c>
      <c r="L11" s="2931">
        <f t="shared" si="45"/>
        <v>0.13050760634389924</v>
      </c>
      <c r="M11" s="2931">
        <f t="shared" si="45"/>
        <v>1.5536331684971927</v>
      </c>
      <c r="N11" s="2931">
        <f t="shared" si="45"/>
        <v>0.39745891433149438</v>
      </c>
      <c r="O11" s="2931">
        <f t="shared" si="45"/>
        <v>-0.78665414666263533</v>
      </c>
      <c r="P11" s="2931">
        <f t="shared" si="45"/>
        <v>1.5532920051553045</v>
      </c>
      <c r="Q11" s="2931">
        <f t="shared" si="45"/>
        <v>0.15195900317777067</v>
      </c>
      <c r="R11" s="2931">
        <f t="shared" si="45"/>
        <v>0.92116631340786181</v>
      </c>
      <c r="S11" s="2931">
        <f t="shared" si="45"/>
        <v>1.1646598712776957</v>
      </c>
      <c r="T11" s="2931">
        <f t="shared" si="45"/>
        <v>1.1728482881663505</v>
      </c>
      <c r="U11" s="2931">
        <f t="shared" si="45"/>
        <v>1.552272755344708</v>
      </c>
      <c r="V11" s="2931">
        <f t="shared" si="45"/>
        <v>1.0378360441724244</v>
      </c>
      <c r="W11" s="2931">
        <f t="shared" si="45"/>
        <v>0.81996877852741346</v>
      </c>
      <c r="X11" s="2931">
        <f t="shared" si="45"/>
        <v>-3.2942246211142834E-2</v>
      </c>
      <c r="Y11" s="2931">
        <f t="shared" si="45"/>
        <v>1.6991366501732719</v>
      </c>
      <c r="Z11" s="2931">
        <f t="shared" si="45"/>
        <v>1.0658357242501859</v>
      </c>
      <c r="AA11" s="2931">
        <f t="shared" si="45"/>
        <v>0.39508408665838157</v>
      </c>
      <c r="AB11" s="2931">
        <f t="shared" si="45"/>
        <v>1.9689376133090075</v>
      </c>
      <c r="AC11" s="2931">
        <f t="shared" si="45"/>
        <v>0.85238282555788469</v>
      </c>
      <c r="AD11" s="2931">
        <f t="shared" si="45"/>
        <v>-5.9682419111972695E-2</v>
      </c>
      <c r="AE11" s="2931">
        <f t="shared" si="45"/>
        <v>-0.40890122523093986</v>
      </c>
      <c r="AF11" s="2931">
        <f t="shared" si="45"/>
        <v>0.41601679898883859</v>
      </c>
      <c r="AG11" s="2931">
        <f t="shared" si="45"/>
        <v>0.30447920397942418</v>
      </c>
      <c r="AH11" s="2931">
        <f t="shared" si="45"/>
        <v>0.78700602331078784</v>
      </c>
      <c r="AI11" s="2931">
        <f t="shared" si="45"/>
        <v>-1.0805170737921643</v>
      </c>
      <c r="AJ11" s="2931">
        <f t="shared" si="45"/>
        <v>1.8028517143203748</v>
      </c>
      <c r="AK11" s="2931">
        <f t="shared" si="45"/>
        <v>-0.15553310400225895</v>
      </c>
      <c r="AL11" s="2931">
        <f t="shared" si="45"/>
        <v>1.1408803503845322</v>
      </c>
      <c r="AM11" s="2931">
        <f t="shared" si="45"/>
        <v>0.51903031576334691</v>
      </c>
      <c r="AN11" s="2931">
        <f t="shared" si="45"/>
        <v>-0.44266580827166946</v>
      </c>
      <c r="AO11" s="2931">
        <f t="shared" si="45"/>
        <v>0.94338086911613939</v>
      </c>
      <c r="AP11" s="2931">
        <f t="shared" si="45"/>
        <v>0.51904023364663932</v>
      </c>
      <c r="AQ11" s="2931">
        <f t="shared" si="45"/>
        <v>0.52357961551054988</v>
      </c>
      <c r="AR11" s="2931">
        <f t="shared" si="45"/>
        <v>0.2727469347614031</v>
      </c>
      <c r="AS11" s="2931">
        <f t="shared" si="45"/>
        <v>0.92729243561422425</v>
      </c>
      <c r="AT11" s="2931">
        <f t="shared" si="45"/>
        <v>0.82359460346437263</v>
      </c>
      <c r="AU11" s="2931">
        <f t="shared" si="45"/>
        <v>0.34791107057556836</v>
      </c>
      <c r="AV11" s="2931">
        <f t="shared" si="45"/>
        <v>0.82370954835788712</v>
      </c>
      <c r="AW11" s="2931">
        <f t="shared" si="45"/>
        <v>1.1297196484884253</v>
      </c>
      <c r="AX11" s="2931">
        <f t="shared" si="45"/>
        <v>-0.18042646326837941</v>
      </c>
      <c r="AY11" s="2931">
        <f t="shared" si="45"/>
        <v>1.4950012159311798</v>
      </c>
      <c r="AZ11" s="2931">
        <f t="shared" si="45"/>
        <v>1.892794705294687</v>
      </c>
      <c r="BA11" s="2931">
        <f t="shared" si="45"/>
        <v>0.54077571442139316</v>
      </c>
      <c r="BB11" s="2931">
        <f t="shared" si="45"/>
        <v>1.2057059619440258</v>
      </c>
      <c r="BC11" s="2931">
        <f t="shared" si="45"/>
        <v>0.94804496777367575</v>
      </c>
      <c r="BD11" s="2931">
        <f t="shared" si="45"/>
        <v>0.98234268845718287</v>
      </c>
      <c r="BE11" s="2931">
        <f t="shared" ref="BE11:BJ11" si="46">+BE149</f>
        <v>0.73265451602393394</v>
      </c>
      <c r="BF11" s="2931">
        <f t="shared" si="46"/>
        <v>1.4986240691558628</v>
      </c>
      <c r="BG11" s="2931">
        <f t="shared" si="46"/>
        <v>-0.53167708682174686</v>
      </c>
      <c r="BH11" s="2931">
        <f t="shared" si="46"/>
        <v>-0.35176742953334506</v>
      </c>
      <c r="BI11" s="2931">
        <f t="shared" si="46"/>
        <v>-0.64650950569604682</v>
      </c>
      <c r="BJ11" s="2931">
        <f t="shared" si="46"/>
        <v>-0.70316834638641801</v>
      </c>
      <c r="BK11" s="2931">
        <f t="shared" ref="BK11:BZ11" si="47">+BK149</f>
        <v>-1.8395470611465403</v>
      </c>
      <c r="BL11" s="2931">
        <f t="shared" si="47"/>
        <v>-6.3407087547939778E-2</v>
      </c>
      <c r="BM11" s="2931">
        <f t="shared" si="47"/>
        <v>-1.2184997118758201E-2</v>
      </c>
      <c r="BN11" s="2931">
        <f t="shared" si="47"/>
        <v>0.6300197857764589</v>
      </c>
      <c r="BO11" s="2931">
        <f t="shared" ref="BO11:BV11" si="48">+BO149</f>
        <v>0.87656041797725681</v>
      </c>
      <c r="BP11" s="2931">
        <f t="shared" si="48"/>
        <v>1.2284122538567033</v>
      </c>
      <c r="BQ11" s="2931">
        <f t="shared" si="48"/>
        <v>1.8127590399484195</v>
      </c>
      <c r="BR11" s="2931">
        <f t="shared" si="48"/>
        <v>0.86998632935177955</v>
      </c>
      <c r="BS11" s="2931">
        <f t="shared" si="48"/>
        <v>-0.30893257178250533</v>
      </c>
      <c r="BT11" s="2931">
        <f t="shared" si="48"/>
        <v>1.8944835370754864</v>
      </c>
      <c r="BU11" s="2931">
        <f t="shared" si="48"/>
        <v>-0.34430873777812065</v>
      </c>
      <c r="BV11" s="2931">
        <f t="shared" si="48"/>
        <v>-0.99777339262339115</v>
      </c>
      <c r="BW11" s="2931">
        <f t="shared" si="47"/>
        <v>1.4873761172556899</v>
      </c>
      <c r="BX11" s="2931">
        <f t="shared" si="47"/>
        <v>-0.26554917208080342</v>
      </c>
      <c r="BY11" s="2931">
        <f t="shared" si="47"/>
        <v>-0.1755150265763783</v>
      </c>
      <c r="BZ11" s="2931">
        <f t="shared" si="47"/>
        <v>0.76670186427534315</v>
      </c>
      <c r="CA11" s="2931">
        <f t="shared" ref="CA11:CL11" si="49">+CA149</f>
        <v>7.9486568052011819E-3</v>
      </c>
      <c r="CB11" s="2931">
        <f t="shared" si="49"/>
        <v>0.42912342840040196</v>
      </c>
      <c r="CC11" s="2931">
        <f t="shared" si="49"/>
        <v>1.1484211906604758</v>
      </c>
      <c r="CD11" s="2931">
        <f t="shared" si="49"/>
        <v>0.2655871552644129</v>
      </c>
      <c r="CE11" s="2931">
        <f>+CE149</f>
        <v>0.67011560827243688</v>
      </c>
      <c r="CF11" s="2931">
        <f>+CF149</f>
        <v>0.91885297215856809</v>
      </c>
      <c r="CG11" s="2931">
        <f t="shared" si="49"/>
        <v>0.47786401654674737</v>
      </c>
      <c r="CH11" s="2931">
        <f>+CH149</f>
        <v>1.3874197516680065</v>
      </c>
      <c r="CI11" s="2931">
        <f>+CI149</f>
        <v>0.7597644037171003</v>
      </c>
      <c r="CJ11" s="2931">
        <f>+CJ149</f>
        <v>0.5838692380437438</v>
      </c>
      <c r="CK11" s="2931">
        <f t="shared" si="49"/>
        <v>0.72495094216460387</v>
      </c>
      <c r="CL11" s="2931">
        <f t="shared" si="49"/>
        <v>1.7867595640707057</v>
      </c>
      <c r="CM11" s="2931">
        <f t="shared" ref="CM11:CT11" si="50">+CM149</f>
        <v>0.59476418132198283</v>
      </c>
      <c r="CN11" s="2931">
        <f t="shared" si="50"/>
        <v>0.64177341295750256</v>
      </c>
      <c r="CO11" s="2931">
        <f t="shared" si="50"/>
        <v>0.21976278104853808</v>
      </c>
      <c r="CP11" s="2931">
        <f t="shared" si="50"/>
        <v>0.4858763543564848</v>
      </c>
      <c r="CQ11" s="2931">
        <f t="shared" si="50"/>
        <v>0.91499039134339544</v>
      </c>
      <c r="CR11" s="2931">
        <f t="shared" si="50"/>
        <v>0.84005640430420137</v>
      </c>
      <c r="CS11" s="2931">
        <f t="shared" si="50"/>
        <v>1.2140899698802832</v>
      </c>
      <c r="CT11" s="2931">
        <f t="shared" si="50"/>
        <v>7.3810944688901259E-2</v>
      </c>
      <c r="CU11" s="2931">
        <f t="shared" ref="CU11:CX11" si="51">+CU149</f>
        <v>0.86823099301969187</v>
      </c>
      <c r="CV11" s="2931">
        <f t="shared" si="51"/>
        <v>0.31488978405880275</v>
      </c>
      <c r="CW11" s="2931">
        <f t="shared" si="51"/>
        <v>-4.8709418819823949E-2</v>
      </c>
      <c r="CX11" s="2931">
        <f t="shared" si="51"/>
        <v>8.2689695087010268E-2</v>
      </c>
      <c r="CY11" s="2931">
        <f t="shared" ref="CY11:DB11" si="52">+CY149</f>
        <v>0.73444292775006503</v>
      </c>
      <c r="CZ11" s="2931">
        <f t="shared" si="52"/>
        <v>0.44394850613538561</v>
      </c>
      <c r="DA11" s="2931">
        <f t="shared" si="52"/>
        <v>0.36451025718467456</v>
      </c>
      <c r="DB11" s="2931">
        <f t="shared" si="52"/>
        <v>0.40373338472212578</v>
      </c>
      <c r="DC11" s="2931">
        <f t="shared" ref="DC11:DF11" si="53">+DC149</f>
        <v>0.59011308191282286</v>
      </c>
      <c r="DD11" s="2931">
        <f t="shared" si="53"/>
        <v>0.59552414415939792</v>
      </c>
      <c r="DE11" s="2931">
        <f t="shared" si="53"/>
        <v>0.4394857620603585</v>
      </c>
      <c r="DF11" s="2931">
        <f t="shared" si="53"/>
        <v>0.32699956414378489</v>
      </c>
    </row>
    <row r="12" spans="1:110" ht="12.75">
      <c r="B12" s="702">
        <v>21</v>
      </c>
      <c r="C12" s="969"/>
      <c r="D12" s="711"/>
      <c r="E12" s="220" t="s">
        <v>64</v>
      </c>
      <c r="F12" s="747"/>
      <c r="G12" s="2930"/>
      <c r="H12" s="2930">
        <f>+H183</f>
        <v>2.0698722384612234</v>
      </c>
      <c r="I12" s="2930">
        <f t="shared" ref="I12:BI12" si="54">+I183</f>
        <v>-2.7646835321478047</v>
      </c>
      <c r="J12" s="2930">
        <f t="shared" si="54"/>
        <v>2.0782028628293592</v>
      </c>
      <c r="K12" s="2930">
        <f t="shared" si="54"/>
        <v>0.38306419808915582</v>
      </c>
      <c r="L12" s="2930">
        <f t="shared" si="54"/>
        <v>4.1129249812079882</v>
      </c>
      <c r="M12" s="2930">
        <f t="shared" si="54"/>
        <v>-2.4888645599432047</v>
      </c>
      <c r="N12" s="2930">
        <f t="shared" si="54"/>
        <v>5.0239796089479372</v>
      </c>
      <c r="O12" s="2930">
        <f t="shared" si="54"/>
        <v>4.369152163499912</v>
      </c>
      <c r="P12" s="2930">
        <f t="shared" si="54"/>
        <v>6.1640231066725448</v>
      </c>
      <c r="Q12" s="2930">
        <f t="shared" si="54"/>
        <v>0.18028187998617717</v>
      </c>
      <c r="R12" s="2930">
        <f t="shared" si="54"/>
        <v>4.134772461818792</v>
      </c>
      <c r="S12" s="2930">
        <f t="shared" si="54"/>
        <v>0.70795143751500866</v>
      </c>
      <c r="T12" s="2930">
        <f t="shared" si="54"/>
        <v>1.706265704776766</v>
      </c>
      <c r="U12" s="2930">
        <f t="shared" si="54"/>
        <v>2.047775621884762</v>
      </c>
      <c r="V12" s="2930">
        <f t="shared" si="54"/>
        <v>3.3848497244317599</v>
      </c>
      <c r="W12" s="2930">
        <f t="shared" si="54"/>
        <v>-1.0713365650288575</v>
      </c>
      <c r="X12" s="2930">
        <f t="shared" si="54"/>
        <v>2.9278976625322084</v>
      </c>
      <c r="Y12" s="2930">
        <f t="shared" si="54"/>
        <v>2.5525979641790375</v>
      </c>
      <c r="Z12" s="2930">
        <f t="shared" si="54"/>
        <v>1.2384106159812003</v>
      </c>
      <c r="AA12" s="2930">
        <f t="shared" si="54"/>
        <v>2.5823915806266529</v>
      </c>
      <c r="AB12" s="2930">
        <f t="shared" si="54"/>
        <v>4.9904834715599256</v>
      </c>
      <c r="AC12" s="2930">
        <f t="shared" si="54"/>
        <v>3.4005535921484586</v>
      </c>
      <c r="AD12" s="2930">
        <f t="shared" si="54"/>
        <v>1.893995832100015</v>
      </c>
      <c r="AE12" s="2930">
        <f t="shared" si="54"/>
        <v>-3.0778532009987924</v>
      </c>
      <c r="AF12" s="2930">
        <f t="shared" si="54"/>
        <v>-1.3230285653202944</v>
      </c>
      <c r="AG12" s="2930">
        <f t="shared" si="54"/>
        <v>0.93614771854275691</v>
      </c>
      <c r="AH12" s="2930">
        <f t="shared" si="54"/>
        <v>1.4223081414048266</v>
      </c>
      <c r="AI12" s="2930">
        <f t="shared" si="54"/>
        <v>0.71598230153095965</v>
      </c>
      <c r="AJ12" s="2930">
        <f t="shared" si="54"/>
        <v>0.77772251089562872</v>
      </c>
      <c r="AK12" s="2930">
        <f t="shared" si="54"/>
        <v>-3.1890925131119241</v>
      </c>
      <c r="AL12" s="2930">
        <f t="shared" si="54"/>
        <v>1.661999545385906</v>
      </c>
      <c r="AM12" s="2930">
        <f t="shared" si="54"/>
        <v>2.7531857521271519</v>
      </c>
      <c r="AN12" s="2930">
        <f t="shared" si="54"/>
        <v>0.79357130576653834</v>
      </c>
      <c r="AO12" s="2930">
        <f t="shared" si="54"/>
        <v>1.2617888115608933</v>
      </c>
      <c r="AP12" s="2930">
        <f t="shared" si="54"/>
        <v>2.160734342826709</v>
      </c>
      <c r="AQ12" s="2930">
        <f t="shared" si="54"/>
        <v>3.4256355896408408</v>
      </c>
      <c r="AR12" s="2930">
        <f t="shared" si="54"/>
        <v>5.0069350854823114</v>
      </c>
      <c r="AS12" s="2930">
        <f t="shared" si="54"/>
        <v>-0.91320872778521966</v>
      </c>
      <c r="AT12" s="2930">
        <f t="shared" si="54"/>
        <v>1.4164690585869888</v>
      </c>
      <c r="AU12" s="2930">
        <f t="shared" si="54"/>
        <v>0.37649931038672424</v>
      </c>
      <c r="AV12" s="2930">
        <f t="shared" si="54"/>
        <v>3.123679069608043</v>
      </c>
      <c r="AW12" s="2930">
        <f t="shared" si="54"/>
        <v>3.3526832821427544</v>
      </c>
      <c r="AX12" s="2930">
        <f t="shared" si="54"/>
        <v>0.97077908592360096</v>
      </c>
      <c r="AY12" s="2930">
        <f t="shared" si="54"/>
        <v>3.6764869802641709</v>
      </c>
      <c r="AZ12" s="2930">
        <f t="shared" si="54"/>
        <v>-0.16277994041212773</v>
      </c>
      <c r="BA12" s="2930">
        <f t="shared" si="54"/>
        <v>2.3140695902867048</v>
      </c>
      <c r="BB12" s="2930">
        <f t="shared" si="54"/>
        <v>3.9358519484542054</v>
      </c>
      <c r="BC12" s="2930">
        <f t="shared" si="54"/>
        <v>-1.7044690110791016</v>
      </c>
      <c r="BD12" s="2930">
        <f t="shared" si="54"/>
        <v>1.553170435919915</v>
      </c>
      <c r="BE12" s="2930">
        <f t="shared" si="54"/>
        <v>0.88904143570276428</v>
      </c>
      <c r="BF12" s="2930">
        <f t="shared" si="54"/>
        <v>3.0297465766346399</v>
      </c>
      <c r="BG12" s="2930">
        <f t="shared" si="54"/>
        <v>2.0038885234183956</v>
      </c>
      <c r="BH12" s="2930">
        <f t="shared" si="54"/>
        <v>-1.95937324659331</v>
      </c>
      <c r="BI12" s="2930">
        <f t="shared" si="54"/>
        <v>-0.89735269453271593</v>
      </c>
      <c r="BJ12" s="2930">
        <f t="shared" ref="BJ12:BR12" si="55">+BJ183</f>
        <v>-6.088852625063323</v>
      </c>
      <c r="BK12" s="2930">
        <f t="shared" si="55"/>
        <v>-8.7106538557947921</v>
      </c>
      <c r="BL12" s="2930">
        <f t="shared" si="55"/>
        <v>-2.7582719441995307</v>
      </c>
      <c r="BM12" s="2930">
        <f t="shared" si="55"/>
        <v>2.3749852697195317</v>
      </c>
      <c r="BN12" s="2930">
        <f t="shared" si="55"/>
        <v>1.092046638971067</v>
      </c>
      <c r="BO12" s="2930">
        <f t="shared" si="55"/>
        <v>3.5481576836982942</v>
      </c>
      <c r="BP12" s="2930">
        <f t="shared" si="55"/>
        <v>5.0337999381685927</v>
      </c>
      <c r="BQ12" s="2930">
        <f t="shared" si="55"/>
        <v>2.6756997707242824</v>
      </c>
      <c r="BR12" s="2930">
        <f t="shared" si="55"/>
        <v>3.8737444801416387</v>
      </c>
      <c r="BS12" s="2930">
        <f t="shared" ref="BS12:BZ12" si="56">+BS183</f>
        <v>-0.13745081336582476</v>
      </c>
      <c r="BT12" s="2930">
        <f t="shared" si="56"/>
        <v>0.23417802738205928</v>
      </c>
      <c r="BU12" s="2930">
        <f t="shared" si="56"/>
        <v>3.1155859813025044</v>
      </c>
      <c r="BV12" s="2930">
        <f t="shared" si="56"/>
        <v>-3.3905883923111668</v>
      </c>
      <c r="BW12" s="2930">
        <f t="shared" si="56"/>
        <v>2.8492432842890159</v>
      </c>
      <c r="BX12" s="2930">
        <f t="shared" si="56"/>
        <v>1.3863887645172213</v>
      </c>
      <c r="BY12" s="2930">
        <f t="shared" si="56"/>
        <v>-1.9352447473666379</v>
      </c>
      <c r="BZ12" s="2930">
        <f t="shared" si="56"/>
        <v>-1.3254421337945854</v>
      </c>
      <c r="CA12" s="2930">
        <f t="shared" ref="CA12:CF12" si="57">+CA183</f>
        <v>-0.11230196678626569</v>
      </c>
      <c r="CB12" s="2930">
        <f t="shared" si="57"/>
        <v>1.4461584652882609</v>
      </c>
      <c r="CC12" s="2930">
        <f t="shared" si="57"/>
        <v>0.19952268970282461</v>
      </c>
      <c r="CD12" s="2930">
        <f t="shared" si="57"/>
        <v>-0.87142297255243806</v>
      </c>
      <c r="CE12" s="2930">
        <f t="shared" si="57"/>
        <v>4.1284930030051514</v>
      </c>
      <c r="CF12" s="2930">
        <f t="shared" si="57"/>
        <v>1.1681556231500023</v>
      </c>
      <c r="CG12" s="2930">
        <f t="shared" ref="CG12:CL12" si="58">+CG183</f>
        <v>0.56770392519687185</v>
      </c>
      <c r="CH12" s="2930">
        <f t="shared" si="58"/>
        <v>1.1872586640730542</v>
      </c>
      <c r="CI12" s="2930">
        <f t="shared" si="58"/>
        <v>1.0074178427464053</v>
      </c>
      <c r="CJ12" s="2930">
        <f t="shared" si="58"/>
        <v>1.1773933134195502</v>
      </c>
      <c r="CK12" s="2930">
        <f t="shared" si="58"/>
        <v>2.9379276237921914</v>
      </c>
      <c r="CL12" s="2930">
        <f t="shared" si="58"/>
        <v>1.2147094433228034</v>
      </c>
      <c r="CM12" s="2930">
        <f t="shared" ref="CM12:CT12" si="59">+CM183</f>
        <v>-0.92159239231772716</v>
      </c>
      <c r="CN12" s="2930">
        <f t="shared" si="59"/>
        <v>-0.83551379577616602</v>
      </c>
      <c r="CO12" s="2930">
        <f t="shared" si="59"/>
        <v>2.2986006607331966</v>
      </c>
      <c r="CP12" s="2930">
        <f t="shared" si="59"/>
        <v>1.2847562437576565</v>
      </c>
      <c r="CQ12" s="2930">
        <f t="shared" si="59"/>
        <v>-0.68774594174347836</v>
      </c>
      <c r="CR12" s="2930">
        <f t="shared" si="59"/>
        <v>2.5547081626569268</v>
      </c>
      <c r="CS12" s="2930">
        <f t="shared" si="59"/>
        <v>-7.6216711144327931E-2</v>
      </c>
      <c r="CT12" s="2930">
        <f t="shared" si="59"/>
        <v>2.282474372414911</v>
      </c>
      <c r="CU12" s="2930">
        <f t="shared" ref="CU12:CX12" si="60">+CU183</f>
        <v>1.6754481058645077E-2</v>
      </c>
      <c r="CV12" s="2930">
        <f t="shared" si="60"/>
        <v>0.40267124188804182</v>
      </c>
      <c r="CW12" s="2930">
        <f t="shared" si="60"/>
        <v>1.08</v>
      </c>
      <c r="CX12" s="2930">
        <f t="shared" si="60"/>
        <v>0.95</v>
      </c>
      <c r="CY12" s="2930">
        <f t="shared" ref="CY12:DB12" si="61">+CY183</f>
        <v>0.71</v>
      </c>
      <c r="CZ12" s="2930">
        <f t="shared" si="61"/>
        <v>0.88</v>
      </c>
      <c r="DA12" s="2930">
        <f t="shared" si="61"/>
        <v>0.65</v>
      </c>
      <c r="DB12" s="2930">
        <f t="shared" si="61"/>
        <v>0.59</v>
      </c>
      <c r="DC12" s="2930">
        <f t="shared" ref="DC12:DF12" si="62">+DC183</f>
        <v>0.88</v>
      </c>
      <c r="DD12" s="2930">
        <f t="shared" si="62"/>
        <v>0.78</v>
      </c>
      <c r="DE12" s="2930">
        <f t="shared" si="62"/>
        <v>0.76</v>
      </c>
      <c r="DF12" s="2930">
        <f t="shared" si="62"/>
        <v>0.63</v>
      </c>
    </row>
    <row r="13" spans="1:110" ht="12.75">
      <c r="B13" s="702">
        <v>22</v>
      </c>
      <c r="C13" s="969"/>
      <c r="D13" s="754"/>
      <c r="E13" s="755" t="s">
        <v>376</v>
      </c>
      <c r="F13" s="961"/>
      <c r="G13" s="2931"/>
      <c r="H13" s="2931">
        <f t="shared" ref="H13:BD13" si="63">+H206</f>
        <v>0.86047481829130135</v>
      </c>
      <c r="I13" s="2931">
        <f t="shared" si="63"/>
        <v>-8.6499774701243037E-2</v>
      </c>
      <c r="J13" s="2931">
        <f t="shared" si="63"/>
        <v>1.060156045831584</v>
      </c>
      <c r="K13" s="2931">
        <f t="shared" si="63"/>
        <v>6.4233900700894075E-2</v>
      </c>
      <c r="L13" s="2931">
        <f t="shared" si="63"/>
        <v>1.0997918678663954</v>
      </c>
      <c r="M13" s="2931">
        <f t="shared" si="63"/>
        <v>0.54040196029223608</v>
      </c>
      <c r="N13" s="2931">
        <f t="shared" si="63"/>
        <v>1.5221334929448549</v>
      </c>
      <c r="O13" s="2931">
        <f t="shared" si="63"/>
        <v>0.50991803110582712</v>
      </c>
      <c r="P13" s="2931">
        <f t="shared" si="63"/>
        <v>2.7573104385949732</v>
      </c>
      <c r="Q13" s="2931">
        <f t="shared" si="63"/>
        <v>0.15960026962900109</v>
      </c>
      <c r="R13" s="2931">
        <f t="shared" si="63"/>
        <v>1.788348397469619</v>
      </c>
      <c r="S13" s="2931">
        <f t="shared" si="63"/>
        <v>1.0385774955516069</v>
      </c>
      <c r="T13" s="2931">
        <f t="shared" si="63"/>
        <v>1.3196256516200489</v>
      </c>
      <c r="U13" s="2931">
        <f t="shared" si="63"/>
        <v>1.689137689908371</v>
      </c>
      <c r="V13" s="2931">
        <f t="shared" si="63"/>
        <v>1.6884009350061513</v>
      </c>
      <c r="W13" s="2931">
        <f t="shared" si="63"/>
        <v>0.2869750078696276</v>
      </c>
      <c r="X13" s="2931">
        <f t="shared" si="63"/>
        <v>0.79015854563877497</v>
      </c>
      <c r="Y13" s="2931">
        <f t="shared" si="63"/>
        <v>1.9414274410313626</v>
      </c>
      <c r="Z13" s="2931">
        <f t="shared" si="63"/>
        <v>1.1151220715903909</v>
      </c>
      <c r="AA13" s="2931">
        <f t="shared" si="63"/>
        <v>1.0205275709782358</v>
      </c>
      <c r="AB13" s="2931">
        <f t="shared" si="63"/>
        <v>2.8462830251127835</v>
      </c>
      <c r="AC13" s="2931">
        <f t="shared" si="63"/>
        <v>1.6077033455883294</v>
      </c>
      <c r="AD13" s="2931">
        <f t="shared" si="63"/>
        <v>0.52963872749656193</v>
      </c>
      <c r="AE13" s="2931">
        <f t="shared" si="63"/>
        <v>-1.2249088455547952</v>
      </c>
      <c r="AF13" s="2931">
        <f t="shared" si="63"/>
        <v>-0.10570616406174738</v>
      </c>
      <c r="AG13" s="2931">
        <f t="shared" si="63"/>
        <v>0.49167384074104703</v>
      </c>
      <c r="AH13" s="2931">
        <f t="shared" si="63"/>
        <v>0.97611019974197522</v>
      </c>
      <c r="AI13" s="2931">
        <f t="shared" si="63"/>
        <v>-0.54340768892294777</v>
      </c>
      <c r="AJ13" s="2931">
        <f t="shared" si="63"/>
        <v>1.4924821733225402</v>
      </c>
      <c r="AK13" s="2931">
        <f t="shared" si="63"/>
        <v>-1.0675096265705175</v>
      </c>
      <c r="AL13" s="2931">
        <f t="shared" si="63"/>
        <v>1.2941843811224096</v>
      </c>
      <c r="AM13" s="2931">
        <f t="shared" si="63"/>
        <v>1.1786658210368728</v>
      </c>
      <c r="AN13" s="2931">
        <f t="shared" si="63"/>
        <v>-7.1986141567281781E-2</v>
      </c>
      <c r="AO13" s="2931">
        <f t="shared" si="63"/>
        <v>1.0396809066117729</v>
      </c>
      <c r="AP13" s="2931">
        <f t="shared" si="63"/>
        <v>1.0166494698037543</v>
      </c>
      <c r="AQ13" s="2931">
        <f t="shared" si="63"/>
        <v>1.4131760303109919</v>
      </c>
      <c r="AR13" s="2931">
        <f t="shared" si="63"/>
        <v>1.752763470841634</v>
      </c>
      <c r="AS13" s="2931">
        <f t="shared" si="63"/>
        <v>0.33350784955890056</v>
      </c>
      <c r="AT13" s="2931">
        <f t="shared" si="63"/>
        <v>1.0124917208190531</v>
      </c>
      <c r="AU13" s="2931">
        <f t="shared" si="63"/>
        <v>0.35705606426734704</v>
      </c>
      <c r="AV13" s="2931">
        <f t="shared" si="63"/>
        <v>1.5595814275016329</v>
      </c>
      <c r="AW13" s="2931">
        <f t="shared" si="63"/>
        <v>1.8519071705235257</v>
      </c>
      <c r="AX13" s="2931">
        <f t="shared" si="63"/>
        <v>0.19908341768346549</v>
      </c>
      <c r="AY13" s="2931">
        <f t="shared" si="63"/>
        <v>2.2196950314104402</v>
      </c>
      <c r="AZ13" s="2931">
        <f t="shared" si="63"/>
        <v>1.2001968918718742</v>
      </c>
      <c r="BA13" s="2931">
        <f t="shared" si="63"/>
        <v>1.1302158448741162</v>
      </c>
      <c r="BB13" s="2931">
        <f t="shared" si="63"/>
        <v>2.123825609858665</v>
      </c>
      <c r="BC13" s="2931">
        <f t="shared" si="63"/>
        <v>4.020479357988993E-2</v>
      </c>
      <c r="BD13" s="2931">
        <f t="shared" si="63"/>
        <v>1.1743050096388208</v>
      </c>
      <c r="BE13" s="2931">
        <f t="shared" ref="BE13:BJ13" si="64">+BE206</f>
        <v>0.78544244202025659</v>
      </c>
      <c r="BF13" s="2931">
        <f t="shared" si="64"/>
        <v>2.015981037938297</v>
      </c>
      <c r="BG13" s="2931">
        <f t="shared" si="64"/>
        <v>0.33358890931858287</v>
      </c>
      <c r="BH13" s="2931">
        <f t="shared" si="64"/>
        <v>-0.90949836474916168</v>
      </c>
      <c r="BI13" s="2931">
        <f t="shared" si="64"/>
        <v>-0.73261314934244259</v>
      </c>
      <c r="BJ13" s="2931">
        <f t="shared" si="64"/>
        <v>-2.5487734122864425</v>
      </c>
      <c r="BK13" s="2931">
        <f t="shared" ref="BK13:BZ13" si="65">+BK206</f>
        <v>-4.1086511510100454</v>
      </c>
      <c r="BL13" s="2931">
        <f t="shared" si="65"/>
        <v>-0.91064499642656838</v>
      </c>
      <c r="BM13" s="2931">
        <f t="shared" si="65"/>
        <v>0.72432297442901472</v>
      </c>
      <c r="BN13" s="2931">
        <f t="shared" si="65"/>
        <v>0.7749038994249613</v>
      </c>
      <c r="BO13" s="2931">
        <f t="shared" ref="BO13:BV13" si="66">+BO206</f>
        <v>1.7169664043134247</v>
      </c>
      <c r="BP13" s="2931">
        <f t="shared" si="66"/>
        <v>2.4470258866333916</v>
      </c>
      <c r="BQ13" s="2931">
        <f t="shared" si="66"/>
        <v>2.0960794194975207</v>
      </c>
      <c r="BR13" s="2931">
        <f t="shared" si="66"/>
        <v>1.8617779056969042</v>
      </c>
      <c r="BS13" s="2931">
        <f t="shared" si="66"/>
        <v>-0.25119375010008715</v>
      </c>
      <c r="BT13" s="2931">
        <f t="shared" si="66"/>
        <v>1.3348123635304798</v>
      </c>
      <c r="BU13" s="2931">
        <f t="shared" si="66"/>
        <v>0.80931711244558446</v>
      </c>
      <c r="BV13" s="2931">
        <f t="shared" si="66"/>
        <v>-1.8138573845738581</v>
      </c>
      <c r="BW13" s="2931">
        <f t="shared" si="65"/>
        <v>1.9443903492830428</v>
      </c>
      <c r="BX13" s="2931">
        <f t="shared" si="65"/>
        <v>0.29372719696982852</v>
      </c>
      <c r="BY13" s="2931">
        <f t="shared" si="65"/>
        <v>-0.7777758242517252</v>
      </c>
      <c r="BZ13" s="2931">
        <f t="shared" si="65"/>
        <v>5.9026316799815071E-2</v>
      </c>
      <c r="CA13" s="2931">
        <f t="shared" ref="CA13:CL13" si="67">+CA206</f>
        <v>-3.2163763811265955E-2</v>
      </c>
      <c r="CB13" s="2931">
        <f t="shared" si="67"/>
        <v>0.76810739766830505</v>
      </c>
      <c r="CC13" s="2931">
        <f t="shared" si="67"/>
        <v>0.8300193932575084</v>
      </c>
      <c r="CD13" s="2931">
        <f t="shared" si="67"/>
        <v>-0.11354959679531484</v>
      </c>
      <c r="CE13" s="2931">
        <f>+CE206</f>
        <v>1.8145640385550443</v>
      </c>
      <c r="CF13" s="2931">
        <f>+CF206</f>
        <v>1.0032273178117501</v>
      </c>
      <c r="CG13" s="2931">
        <f t="shared" si="67"/>
        <v>0.5083192129416243</v>
      </c>
      <c r="CH13" s="2931">
        <f>+CH206</f>
        <v>1.3195262389061879</v>
      </c>
      <c r="CI13" s="2931">
        <f>+CI206</f>
        <v>0.84365739314873345</v>
      </c>
      <c r="CJ13" s="2931">
        <f>+CJ206</f>
        <v>0.78525294362927767</v>
      </c>
      <c r="CK13" s="2931">
        <f t="shared" si="67"/>
        <v>1.4787391196831534</v>
      </c>
      <c r="CL13" s="2931">
        <f t="shared" si="67"/>
        <v>1.5891049651467704</v>
      </c>
      <c r="CM13" s="2931">
        <f t="shared" ref="CM13:CT13" si="68">+CM206</f>
        <v>7.2763969632139158E-2</v>
      </c>
      <c r="CN13" s="2931">
        <f t="shared" si="68"/>
        <v>0.13827581706344905</v>
      </c>
      <c r="CO13" s="2931">
        <f t="shared" si="68"/>
        <v>0.92139438365705884</v>
      </c>
      <c r="CP13" s="2931">
        <f t="shared" si="68"/>
        <v>0.75918694435221923</v>
      </c>
      <c r="CQ13" s="2931">
        <f t="shared" si="68"/>
        <v>0.36380653858978373</v>
      </c>
      <c r="CR13" s="2931">
        <f t="shared" si="68"/>
        <v>1.423549938004931</v>
      </c>
      <c r="CS13" s="2931">
        <f t="shared" si="68"/>
        <v>0.77010337258220596</v>
      </c>
      <c r="CT13" s="2931">
        <f t="shared" si="68"/>
        <v>0.82741568032811408</v>
      </c>
      <c r="CU13" s="2931">
        <f t="shared" ref="CU13:CX13" si="69">+CU206</f>
        <v>0.57351117440500587</v>
      </c>
      <c r="CV13" s="2931">
        <f t="shared" si="69"/>
        <v>0.34510520182786664</v>
      </c>
      <c r="CW13" s="2931">
        <f t="shared" si="69"/>
        <v>0.34002861904447018</v>
      </c>
      <c r="CX13" s="2931">
        <f t="shared" si="69"/>
        <v>0.383602319405422</v>
      </c>
      <c r="CY13" s="2931">
        <f t="shared" ref="CY13:DB13" si="70">+CY206</f>
        <v>0.72591462375418048</v>
      </c>
      <c r="CZ13" s="2931">
        <f t="shared" si="70"/>
        <v>0.59606580447937196</v>
      </c>
      <c r="DA13" s="2931">
        <f t="shared" si="70"/>
        <v>0.46438493964670896</v>
      </c>
      <c r="DB13" s="2931">
        <f t="shared" si="70"/>
        <v>0.46901660582402693</v>
      </c>
      <c r="DC13" s="2931">
        <f t="shared" ref="DC13:DF13" si="71">+DC206</f>
        <v>0.69183576937864744</v>
      </c>
      <c r="DD13" s="2931">
        <f t="shared" si="71"/>
        <v>0.66037856076563273</v>
      </c>
      <c r="DE13" s="2931">
        <f t="shared" si="71"/>
        <v>0.55229980007213553</v>
      </c>
      <c r="DF13" s="2931">
        <f t="shared" si="71"/>
        <v>0.43386941955108188</v>
      </c>
    </row>
    <row r="14" spans="1:110" ht="12.75">
      <c r="B14" s="702">
        <v>23</v>
      </c>
      <c r="C14" s="727"/>
      <c r="D14" s="728"/>
      <c r="E14" s="772" t="s">
        <v>1398</v>
      </c>
      <c r="F14" s="970"/>
      <c r="G14" s="2932"/>
      <c r="H14" s="2932">
        <f>+H240</f>
        <v>1.402588865883736</v>
      </c>
      <c r="I14" s="2932">
        <f t="shared" ref="I14:BI14" si="72">+I240</f>
        <v>1.8496531828447571</v>
      </c>
      <c r="J14" s="2932">
        <f t="shared" si="72"/>
        <v>-0.13000085764455216</v>
      </c>
      <c r="K14" s="2932">
        <f t="shared" si="72"/>
        <v>-0.46423938639270634</v>
      </c>
      <c r="L14" s="2932">
        <f t="shared" si="72"/>
        <v>1.3582324644179966</v>
      </c>
      <c r="M14" s="2932">
        <f t="shared" si="72"/>
        <v>1.4890485769198047</v>
      </c>
      <c r="N14" s="2932">
        <f t="shared" si="72"/>
        <v>3.7042003118699318</v>
      </c>
      <c r="O14" s="2932">
        <f t="shared" si="72"/>
        <v>3.2704683613339114</v>
      </c>
      <c r="P14" s="2932">
        <f t="shared" si="72"/>
        <v>4.6499262452141865</v>
      </c>
      <c r="Q14" s="2932">
        <f t="shared" si="72"/>
        <v>1.5724659194019441</v>
      </c>
      <c r="R14" s="2932">
        <f t="shared" si="72"/>
        <v>3.2587684432983766</v>
      </c>
      <c r="S14" s="2932">
        <f t="shared" si="72"/>
        <v>4.7637645395437467</v>
      </c>
      <c r="T14" s="2932">
        <f t="shared" si="72"/>
        <v>1.4054164497260935</v>
      </c>
      <c r="U14" s="2932">
        <f t="shared" si="72"/>
        <v>0.54790646706375234</v>
      </c>
      <c r="V14" s="2932">
        <f t="shared" si="72"/>
        <v>1.2984056671764277</v>
      </c>
      <c r="W14" s="2932">
        <f t="shared" si="72"/>
        <v>0.51221071829232745</v>
      </c>
      <c r="X14" s="2932">
        <f t="shared" si="72"/>
        <v>0.83309127274093786</v>
      </c>
      <c r="Y14" s="2932">
        <f t="shared" si="72"/>
        <v>2.837538497098957</v>
      </c>
      <c r="Z14" s="2932">
        <f t="shared" si="72"/>
        <v>1.9101305053972784</v>
      </c>
      <c r="AA14" s="2932">
        <f t="shared" si="72"/>
        <v>3.8419831424397088</v>
      </c>
      <c r="AB14" s="2932">
        <f t="shared" si="72"/>
        <v>4.3026764587423827</v>
      </c>
      <c r="AC14" s="2932">
        <f t="shared" si="72"/>
        <v>3.8798457534302333</v>
      </c>
      <c r="AD14" s="2932">
        <f t="shared" si="72"/>
        <v>-2.1081435457206976</v>
      </c>
      <c r="AE14" s="2932">
        <f t="shared" si="72"/>
        <v>0.77113568131386145</v>
      </c>
      <c r="AF14" s="2932">
        <f t="shared" si="72"/>
        <v>-3.7839649938711584</v>
      </c>
      <c r="AG14" s="2932">
        <f t="shared" si="72"/>
        <v>-1.7952765180967445</v>
      </c>
      <c r="AH14" s="2932">
        <f t="shared" si="72"/>
        <v>0.40514873433372678</v>
      </c>
      <c r="AI14" s="2932">
        <f t="shared" si="72"/>
        <v>1.4390431410393978</v>
      </c>
      <c r="AJ14" s="2932">
        <f t="shared" si="72"/>
        <v>-0.94902802919238916</v>
      </c>
      <c r="AK14" s="2932">
        <f t="shared" si="72"/>
        <v>-1.7926306650406509</v>
      </c>
      <c r="AL14" s="2932">
        <f t="shared" si="72"/>
        <v>1.9629339762188502</v>
      </c>
      <c r="AM14" s="2932">
        <f t="shared" si="72"/>
        <v>3.2094739816714846</v>
      </c>
      <c r="AN14" s="2932">
        <f t="shared" si="72"/>
        <v>-0.68479974659458875</v>
      </c>
      <c r="AO14" s="2932">
        <f t="shared" si="72"/>
        <v>0.64450127877238028</v>
      </c>
      <c r="AP14" s="2932">
        <f t="shared" si="72"/>
        <v>2.5017040766296406</v>
      </c>
      <c r="AQ14" s="2932">
        <f t="shared" si="72"/>
        <v>-0.33453887884267175</v>
      </c>
      <c r="AR14" s="2932">
        <f t="shared" si="72"/>
        <v>4.1239285599318665</v>
      </c>
      <c r="AS14" s="2932">
        <f t="shared" si="72"/>
        <v>0.87228257050913083</v>
      </c>
      <c r="AT14" s="2932">
        <f t="shared" si="72"/>
        <v>2.0349887105666431</v>
      </c>
      <c r="AU14" s="2932">
        <f t="shared" si="72"/>
        <v>-0.11004543470165551</v>
      </c>
      <c r="AV14" s="2932">
        <f t="shared" si="72"/>
        <v>3.0285240776019018</v>
      </c>
      <c r="AW14" s="2932">
        <f t="shared" si="72"/>
        <v>1.5577903780433333</v>
      </c>
      <c r="AX14" s="2932">
        <f t="shared" si="72"/>
        <v>3.5286552606681898</v>
      </c>
      <c r="AY14" s="2932">
        <f t="shared" si="72"/>
        <v>0.35620069000477095</v>
      </c>
      <c r="AZ14" s="2932">
        <f t="shared" si="72"/>
        <v>2.4861893214182862</v>
      </c>
      <c r="BA14" s="2932">
        <f t="shared" si="72"/>
        <v>2.002232165448925</v>
      </c>
      <c r="BB14" s="2932">
        <f t="shared" si="72"/>
        <v>4.0810104293891758</v>
      </c>
      <c r="BC14" s="2932">
        <f t="shared" si="72"/>
        <v>-0.16111419260903537</v>
      </c>
      <c r="BD14" s="2932">
        <f t="shared" si="72"/>
        <v>1.0337844113748496</v>
      </c>
      <c r="BE14" s="2932">
        <f t="shared" si="72"/>
        <v>4.142315854591061</v>
      </c>
      <c r="BF14" s="2932">
        <f t="shared" si="72"/>
        <v>1.5007812873834236</v>
      </c>
      <c r="BG14" s="2932">
        <f t="shared" si="72"/>
        <v>2.7133915796210051</v>
      </c>
      <c r="BH14" s="2932">
        <f t="shared" si="72"/>
        <v>-0.48435423962952528</v>
      </c>
      <c r="BI14" s="2932">
        <f t="shared" si="72"/>
        <v>-1.4578288822357788</v>
      </c>
      <c r="BJ14" s="2932">
        <f t="shared" ref="BJ14:BR14" si="73">+BJ240</f>
        <v>-6.0882822717263867</v>
      </c>
      <c r="BK14" s="2932">
        <f t="shared" si="73"/>
        <v>-8.0322536665173523</v>
      </c>
      <c r="BL14" s="2932">
        <f t="shared" si="73"/>
        <v>-5.6636909618884683</v>
      </c>
      <c r="BM14" s="2932">
        <f t="shared" si="73"/>
        <v>5.5251553546556087</v>
      </c>
      <c r="BN14" s="2932">
        <f t="shared" si="73"/>
        <v>2.2880143761911942</v>
      </c>
      <c r="BO14" s="2932">
        <f t="shared" si="73"/>
        <v>3.187063584062555</v>
      </c>
      <c r="BP14" s="2932">
        <f t="shared" si="73"/>
        <v>4.6107100386159949</v>
      </c>
      <c r="BQ14" s="2932">
        <f t="shared" si="73"/>
        <v>4.3368557654029249</v>
      </c>
      <c r="BR14" s="2932">
        <f t="shared" si="73"/>
        <v>0.13858017105947695</v>
      </c>
      <c r="BS14" s="2932">
        <f t="shared" ref="BS14:BZ14" si="74">+BS240</f>
        <v>3.8210165946746866</v>
      </c>
      <c r="BT14" s="2932">
        <f t="shared" si="74"/>
        <v>0.47809158315368361</v>
      </c>
      <c r="BU14" s="2932">
        <f t="shared" si="74"/>
        <v>0.15114454165168212</v>
      </c>
      <c r="BV14" s="2932">
        <f t="shared" si="74"/>
        <v>-1.3062033301812215</v>
      </c>
      <c r="BW14" s="2932">
        <f t="shared" si="74"/>
        <v>2.1143871007447856</v>
      </c>
      <c r="BX14" s="2932">
        <f t="shared" si="74"/>
        <v>-6.4700012929697071E-2</v>
      </c>
      <c r="BY14" s="2932">
        <f t="shared" si="74"/>
        <v>0.39577095181417832</v>
      </c>
      <c r="BZ14" s="2932">
        <f t="shared" si="74"/>
        <v>-1.757108039322508</v>
      </c>
      <c r="CA14" s="2932">
        <f t="shared" ref="CA14:CF14" si="75">+CA240</f>
        <v>-0.81961215929626796</v>
      </c>
      <c r="CB14" s="2932">
        <f t="shared" si="75"/>
        <v>2.2107901693713128</v>
      </c>
      <c r="CC14" s="2932">
        <f t="shared" si="75"/>
        <v>6.1090693129317586E-3</v>
      </c>
      <c r="CD14" s="2932">
        <f t="shared" si="75"/>
        <v>0.66497152497027034</v>
      </c>
      <c r="CE14" s="2932">
        <f t="shared" si="75"/>
        <v>2.6903757098297287</v>
      </c>
      <c r="CF14" s="2932">
        <f t="shared" si="75"/>
        <v>2.7226937104219306</v>
      </c>
      <c r="CG14" s="2932">
        <f t="shared" ref="CG14:CL14" si="76">+CG240</f>
        <v>-0.36866019399565131</v>
      </c>
      <c r="CH14" s="2932">
        <f t="shared" si="76"/>
        <v>2.8431794123415344</v>
      </c>
      <c r="CI14" s="2932">
        <f t="shared" si="76"/>
        <v>0.19325818421642715</v>
      </c>
      <c r="CJ14" s="2932">
        <f t="shared" si="76"/>
        <v>-0.4470080535218024</v>
      </c>
      <c r="CK14" s="2932">
        <f t="shared" si="76"/>
        <v>3.5113956663123114</v>
      </c>
      <c r="CL14" s="2932">
        <f t="shared" si="76"/>
        <v>2.3025896906591958</v>
      </c>
      <c r="CM14" s="2932">
        <f t="shared" ref="CM14:CT14" si="77">+CM240</f>
        <v>-3.2161458596158266E-2</v>
      </c>
      <c r="CN14" s="2932">
        <f t="shared" si="77"/>
        <v>-0.2555572082680202</v>
      </c>
      <c r="CO14" s="2932">
        <f t="shared" si="77"/>
        <v>1.0115323505013984</v>
      </c>
      <c r="CP14" s="2932">
        <f t="shared" si="77"/>
        <v>1.2105813979380597</v>
      </c>
      <c r="CQ14" s="2932">
        <f t="shared" si="77"/>
        <v>1.2933456479774952</v>
      </c>
      <c r="CR14" s="2932">
        <f t="shared" si="77"/>
        <v>2.0233698489938945</v>
      </c>
      <c r="CS14" s="2932">
        <f t="shared" si="77"/>
        <v>1.2087816403315133</v>
      </c>
      <c r="CT14" s="2932">
        <f t="shared" si="77"/>
        <v>1.0391486053393573</v>
      </c>
      <c r="CU14" s="2932">
        <f t="shared" ref="CU14:CX14" si="78">+CU240</f>
        <v>0.88212718145459501</v>
      </c>
      <c r="CV14" s="2932">
        <f t="shared" si="78"/>
        <v>0.79031962162392499</v>
      </c>
      <c r="CW14" s="2932">
        <f t="shared" si="78"/>
        <v>0.49</v>
      </c>
      <c r="CX14" s="2932">
        <f t="shared" si="78"/>
        <v>0.33</v>
      </c>
      <c r="CY14" s="2932">
        <f t="shared" ref="CY14:DB14" si="79">+CY240</f>
        <v>1.05</v>
      </c>
      <c r="CZ14" s="2932">
        <f t="shared" si="79"/>
        <v>0.99</v>
      </c>
      <c r="DA14" s="2932">
        <f t="shared" si="79"/>
        <v>0.92</v>
      </c>
      <c r="DB14" s="2932">
        <f t="shared" si="79"/>
        <v>0.88</v>
      </c>
      <c r="DC14" s="2932">
        <f t="shared" ref="DC14:DF14" si="80">+DC240</f>
        <v>0.77</v>
      </c>
      <c r="DD14" s="2932">
        <f t="shared" si="80"/>
        <v>0.74</v>
      </c>
      <c r="DE14" s="2932">
        <f t="shared" si="80"/>
        <v>0.62</v>
      </c>
      <c r="DF14" s="2932">
        <f t="shared" si="80"/>
        <v>0.45</v>
      </c>
    </row>
    <row r="15" spans="1:110" ht="12.75">
      <c r="B15" s="702">
        <v>24</v>
      </c>
      <c r="C15" s="711"/>
      <c r="D15" s="754"/>
      <c r="E15" s="755" t="s">
        <v>1484</v>
      </c>
      <c r="F15" s="961"/>
      <c r="G15" s="2931"/>
      <c r="H15" s="2931">
        <f t="shared" ref="H15:BD15" si="81">+H263</f>
        <v>0.53028225275537633</v>
      </c>
      <c r="I15" s="2931">
        <f t="shared" si="81"/>
        <v>0.35919501777073037</v>
      </c>
      <c r="J15" s="2931">
        <f t="shared" si="81"/>
        <v>1.3361851862099039</v>
      </c>
      <c r="K15" s="2931">
        <f t="shared" si="81"/>
        <v>0.37016380397996151</v>
      </c>
      <c r="L15" s="2931">
        <f t="shared" si="81"/>
        <v>-0.75227975604164055</v>
      </c>
      <c r="M15" s="2931">
        <f t="shared" si="81"/>
        <v>0.47670239237831424</v>
      </c>
      <c r="N15" s="2931">
        <f t="shared" si="81"/>
        <v>0.7458407971366654</v>
      </c>
      <c r="O15" s="2931">
        <f t="shared" si="81"/>
        <v>0.58981850696857574</v>
      </c>
      <c r="P15" s="2931">
        <f t="shared" si="81"/>
        <v>1.2868755300363466</v>
      </c>
      <c r="Q15" s="2931">
        <f t="shared" si="81"/>
        <v>0.99734374659805614</v>
      </c>
      <c r="R15" s="2931">
        <f t="shared" si="81"/>
        <v>1.6847871745164333</v>
      </c>
      <c r="S15" s="2931">
        <f t="shared" si="81"/>
        <v>0.25551139848023485</v>
      </c>
      <c r="T15" s="2931">
        <f t="shared" si="81"/>
        <v>1.6184890028857035</v>
      </c>
      <c r="U15" s="2931">
        <f t="shared" si="81"/>
        <v>0.52628277122037659</v>
      </c>
      <c r="V15" s="2931">
        <f t="shared" si="81"/>
        <v>1.1064171127064482</v>
      </c>
      <c r="W15" s="2931">
        <f t="shared" si="81"/>
        <v>1.4809233509144315</v>
      </c>
      <c r="X15" s="2931">
        <f t="shared" si="81"/>
        <v>0.31750877773881747</v>
      </c>
      <c r="Y15" s="2931">
        <f t="shared" si="81"/>
        <v>0.99696568588378831</v>
      </c>
      <c r="Z15" s="2931">
        <f t="shared" si="81"/>
        <v>1.8291919586361782</v>
      </c>
      <c r="AA15" s="2931">
        <f t="shared" si="81"/>
        <v>0.7262462352613408</v>
      </c>
      <c r="AB15" s="2931">
        <f t="shared" si="81"/>
        <v>2.1751779470431387</v>
      </c>
      <c r="AC15" s="2931">
        <f t="shared" si="81"/>
        <v>0.86950155702743004</v>
      </c>
      <c r="AD15" s="2931">
        <f t="shared" si="81"/>
        <v>0.28043775270838456</v>
      </c>
      <c r="AE15" s="2931">
        <f t="shared" si="81"/>
        <v>-0.24571717994025244</v>
      </c>
      <c r="AF15" s="2931">
        <f t="shared" si="81"/>
        <v>0.43490656155062979</v>
      </c>
      <c r="AG15" s="2931">
        <f t="shared" si="81"/>
        <v>0.61187118045795685</v>
      </c>
      <c r="AH15" s="2931">
        <f t="shared" si="81"/>
        <v>0.60264175255966279</v>
      </c>
      <c r="AI15" s="2931">
        <f t="shared" si="81"/>
        <v>-3.5548824130704482E-2</v>
      </c>
      <c r="AJ15" s="2931">
        <f t="shared" si="81"/>
        <v>1.3835590214738014</v>
      </c>
      <c r="AK15" s="2931">
        <f t="shared" si="81"/>
        <v>0.18701913062175723</v>
      </c>
      <c r="AL15" s="2931">
        <f t="shared" si="81"/>
        <v>0.44236878302037486</v>
      </c>
      <c r="AM15" s="2931">
        <f t="shared" si="81"/>
        <v>1.1931471862928644</v>
      </c>
      <c r="AN15" s="2931">
        <f t="shared" si="81"/>
        <v>-0.42209606865875049</v>
      </c>
      <c r="AO15" s="2931">
        <f t="shared" si="81"/>
        <v>1.3574586869907757</v>
      </c>
      <c r="AP15" s="2931">
        <f t="shared" si="81"/>
        <v>0.60580899298801061</v>
      </c>
      <c r="AQ15" s="2931">
        <f t="shared" si="81"/>
        <v>1.5515947259894247</v>
      </c>
      <c r="AR15" s="2931">
        <f t="shared" si="81"/>
        <v>0.71573799353772394</v>
      </c>
      <c r="AS15" s="2931">
        <f t="shared" si="81"/>
        <v>0.86402058034196205</v>
      </c>
      <c r="AT15" s="2931">
        <f t="shared" si="81"/>
        <v>0.82613006093168462</v>
      </c>
      <c r="AU15" s="2931">
        <f t="shared" si="81"/>
        <v>0.10531286405131013</v>
      </c>
      <c r="AV15" s="2931">
        <f t="shared" si="81"/>
        <v>1.0788205434633324</v>
      </c>
      <c r="AW15" s="2931">
        <f t="shared" si="81"/>
        <v>0.94251733460315457</v>
      </c>
      <c r="AX15" s="2931">
        <f t="shared" si="81"/>
        <v>0.66924410796282974</v>
      </c>
      <c r="AY15" s="2931">
        <f t="shared" si="81"/>
        <v>1.9550471022039551</v>
      </c>
      <c r="AZ15" s="2931">
        <f t="shared" si="81"/>
        <v>1.144861057953217</v>
      </c>
      <c r="BA15" s="2931">
        <f t="shared" si="81"/>
        <v>1.3177578177496985</v>
      </c>
      <c r="BB15" s="2931">
        <f t="shared" si="81"/>
        <v>0.57870674616624651</v>
      </c>
      <c r="BC15" s="2931">
        <f t="shared" si="81"/>
        <v>0.86343556295680468</v>
      </c>
      <c r="BD15" s="2931">
        <f t="shared" si="81"/>
        <v>0.71931879691298217</v>
      </c>
      <c r="BE15" s="2931">
        <f t="shared" ref="BE15:BJ15" si="82">+BE263</f>
        <v>0.77042770639212943</v>
      </c>
      <c r="BF15" s="2931">
        <f t="shared" si="82"/>
        <v>1.2901196076039234</v>
      </c>
      <c r="BG15" s="2931">
        <f t="shared" si="82"/>
        <v>-1.3344917211147944</v>
      </c>
      <c r="BH15" s="2931">
        <f t="shared" si="82"/>
        <v>0.20929535422187229</v>
      </c>
      <c r="BI15" s="2931">
        <f t="shared" si="82"/>
        <v>-0.2235220652464176</v>
      </c>
      <c r="BJ15" s="2931">
        <f t="shared" si="82"/>
        <v>-3.7401159094177294</v>
      </c>
      <c r="BK15" s="2931">
        <f t="shared" ref="BK15:BZ15" si="83">+BK263</f>
        <v>-2.5160619376266569</v>
      </c>
      <c r="BL15" s="2931">
        <f t="shared" si="83"/>
        <v>4.6780539873680915E-2</v>
      </c>
      <c r="BM15" s="2931">
        <f t="shared" si="83"/>
        <v>7.5900044109444842E-2</v>
      </c>
      <c r="BN15" s="2931">
        <f t="shared" si="83"/>
        <v>0.56664668426498199</v>
      </c>
      <c r="BO15" s="2931">
        <f t="shared" ref="BO15:BV15" si="84">+BO263</f>
        <v>2.3685834612188206</v>
      </c>
      <c r="BP15" s="2931">
        <f t="shared" si="84"/>
        <v>2.18550257384027</v>
      </c>
      <c r="BQ15" s="2931">
        <f t="shared" si="84"/>
        <v>1.2834275244796078</v>
      </c>
      <c r="BR15" s="2931">
        <f t="shared" si="84"/>
        <v>1.8368496770541087</v>
      </c>
      <c r="BS15" s="2931">
        <f t="shared" si="84"/>
        <v>-9.9639147705476994E-2</v>
      </c>
      <c r="BT15" s="2931">
        <f t="shared" si="84"/>
        <v>0.29541918764997011</v>
      </c>
      <c r="BU15" s="2931">
        <f t="shared" si="84"/>
        <v>0.97332999231447559</v>
      </c>
      <c r="BV15" s="2931">
        <f t="shared" si="84"/>
        <v>-1.6742426650561137</v>
      </c>
      <c r="BW15" s="2931">
        <f t="shared" si="83"/>
        <v>0.41482137798822816</v>
      </c>
      <c r="BX15" s="2931">
        <f t="shared" si="83"/>
        <v>0.63936165748439411</v>
      </c>
      <c r="BY15" s="2931">
        <f t="shared" si="83"/>
        <v>-7.9722727728537279E-2</v>
      </c>
      <c r="BZ15" s="2931">
        <f t="shared" si="83"/>
        <v>-0.47940249562206105</v>
      </c>
      <c r="CA15" s="2931">
        <f t="shared" ref="CA15:CL15" si="85">+CA263</f>
        <v>1.1844449143037838</v>
      </c>
      <c r="CB15" s="2931">
        <f t="shared" si="85"/>
        <v>-0.3609686787724109</v>
      </c>
      <c r="CC15" s="2931">
        <f t="shared" si="85"/>
        <v>0.69682500647805234</v>
      </c>
      <c r="CD15" s="2931">
        <f t="shared" si="85"/>
        <v>0.7904655913467451</v>
      </c>
      <c r="CE15" s="2931">
        <f>+CE263</f>
        <v>0.71437275396584177</v>
      </c>
      <c r="CF15" s="2931">
        <f>+CF263</f>
        <v>0.74897227427979107</v>
      </c>
      <c r="CG15" s="2931">
        <f t="shared" si="85"/>
        <v>0.43474502775733281</v>
      </c>
      <c r="CH15" s="2931">
        <f>+CH263</f>
        <v>1.3324292389980119</v>
      </c>
      <c r="CI15" s="2931">
        <f>+CI263</f>
        <v>1.0568109643114054</v>
      </c>
      <c r="CJ15" s="2931">
        <f>+CJ263</f>
        <v>0.88414683554614015</v>
      </c>
      <c r="CK15" s="2931">
        <f t="shared" si="85"/>
        <v>1.4833864934650443</v>
      </c>
      <c r="CL15" s="2931">
        <f t="shared" si="85"/>
        <v>1.1124189267073037</v>
      </c>
      <c r="CM15" s="2931">
        <f t="shared" ref="CM15:CT15" si="86">+CM263</f>
        <v>8.611215031302244E-2</v>
      </c>
      <c r="CN15" s="2931">
        <f t="shared" si="86"/>
        <v>0.25172725343065583</v>
      </c>
      <c r="CO15" s="2931">
        <f t="shared" si="86"/>
        <v>0.49016867263103059</v>
      </c>
      <c r="CP15" s="2931">
        <f t="shared" si="86"/>
        <v>0.51339577405928871</v>
      </c>
      <c r="CQ15" s="2931">
        <f t="shared" si="86"/>
        <v>0.40423031820462363</v>
      </c>
      <c r="CR15" s="2931">
        <f t="shared" si="86"/>
        <v>1.1457377241083533</v>
      </c>
      <c r="CS15" s="2931">
        <f t="shared" si="86"/>
        <v>0.42094558459544462</v>
      </c>
      <c r="CT15" s="2931">
        <f t="shared" si="86"/>
        <v>0.68827524174299715</v>
      </c>
      <c r="CU15" s="2931">
        <f t="shared" ref="CU15:CX15" si="87">+CU263</f>
        <v>0.54930177229954857</v>
      </c>
      <c r="CV15" s="2931">
        <f t="shared" si="87"/>
        <v>0.76488268205716636</v>
      </c>
      <c r="CW15" s="2931">
        <f t="shared" si="87"/>
        <v>0.25200539014402779</v>
      </c>
      <c r="CX15" s="2931">
        <f t="shared" si="87"/>
        <v>0.40329740728684005</v>
      </c>
      <c r="CY15" s="2931">
        <f t="shared" ref="CY15:DB15" si="88">+CY263</f>
        <v>0.32868125784137892</v>
      </c>
      <c r="CZ15" s="2931">
        <f t="shared" si="88"/>
        <v>0.40458909801095455</v>
      </c>
      <c r="DA15" s="2931">
        <f t="shared" si="88"/>
        <v>0.33811235517571259</v>
      </c>
      <c r="DB15" s="2931">
        <f t="shared" si="88"/>
        <v>0.26833399675958436</v>
      </c>
      <c r="DC15" s="2931">
        <f t="shared" ref="DC15:DF15" si="89">+DC263</f>
        <v>0.36624145647452533</v>
      </c>
      <c r="DD15" s="2931">
        <f t="shared" si="89"/>
        <v>0.43016720058188795</v>
      </c>
      <c r="DE15" s="2931">
        <f t="shared" si="89"/>
        <v>0.42310630741280164</v>
      </c>
      <c r="DF15" s="2931">
        <f t="shared" si="89"/>
        <v>0.33113125304427005</v>
      </c>
    </row>
    <row r="18" spans="1:110" ht="30" customHeight="1">
      <c r="C18" s="3816" t="s">
        <v>140</v>
      </c>
      <c r="D18" s="3816"/>
      <c r="E18" s="3816"/>
      <c r="F18" s="3816"/>
      <c r="AX18" s="217">
        <f>+AX23/AT23</f>
        <v>1.0275626360480246</v>
      </c>
    </row>
    <row r="19" spans="1:110">
      <c r="C19" s="702"/>
      <c r="D19" s="702"/>
      <c r="E19" s="702"/>
      <c r="F19" s="702"/>
    </row>
    <row r="20" spans="1:110">
      <c r="G20" s="3820">
        <f ca="1">OFFSET(InputY!$G$3,0,(COLUMN()-7)/4)</f>
        <v>1995</v>
      </c>
      <c r="H20" s="3821"/>
      <c r="I20" s="3821"/>
      <c r="J20" s="3821"/>
      <c r="K20" s="3817">
        <f ca="1">OFFSET(InputY!$G$3,0,(COLUMN()-7)/4)</f>
        <v>1996</v>
      </c>
      <c r="L20" s="3818"/>
      <c r="M20" s="3818"/>
      <c r="N20" s="3819"/>
      <c r="O20" s="3817">
        <f ca="1">OFFSET(InputY!$G$3,0,(COLUMN()-7)/4)</f>
        <v>1997</v>
      </c>
      <c r="P20" s="3818"/>
      <c r="Q20" s="3818"/>
      <c r="R20" s="3819"/>
      <c r="S20" s="3817">
        <f ca="1">OFFSET(InputY!$G$3,0,(COLUMN()-7)/4)</f>
        <v>1998</v>
      </c>
      <c r="T20" s="3818"/>
      <c r="U20" s="3818"/>
      <c r="V20" s="3819"/>
      <c r="W20" s="3817">
        <f ca="1">OFFSET(InputY!$G$3,0,(COLUMN()-7)/4)</f>
        <v>1999</v>
      </c>
      <c r="X20" s="3818"/>
      <c r="Y20" s="3818"/>
      <c r="Z20" s="3819"/>
      <c r="AA20" s="3817">
        <f ca="1">OFFSET(InputY!$G$3,0,(COLUMN()-7)/4)</f>
        <v>2000</v>
      </c>
      <c r="AB20" s="3818"/>
      <c r="AC20" s="3818"/>
      <c r="AD20" s="3819"/>
      <c r="AE20" s="3817">
        <f ca="1">OFFSET(InputY!$G$3,0,(COLUMN()-7)/4)</f>
        <v>2001</v>
      </c>
      <c r="AF20" s="3818"/>
      <c r="AG20" s="3818"/>
      <c r="AH20" s="3819"/>
      <c r="AI20" s="3817">
        <f ca="1">OFFSET(InputY!$G$3,0,(COLUMN()-7)/4)</f>
        <v>2002</v>
      </c>
      <c r="AJ20" s="3818"/>
      <c r="AK20" s="3818"/>
      <c r="AL20" s="3819"/>
      <c r="AM20" s="3817">
        <f ca="1">OFFSET(InputY!$G$3,0,(COLUMN()-7)/4)</f>
        <v>2003</v>
      </c>
      <c r="AN20" s="3818"/>
      <c r="AO20" s="3818"/>
      <c r="AP20" s="3819"/>
      <c r="AQ20" s="3817">
        <f ca="1">OFFSET(InputY!$G$3,0,(COLUMN()-7)/4)</f>
        <v>2004</v>
      </c>
      <c r="AR20" s="3818"/>
      <c r="AS20" s="3818"/>
      <c r="AT20" s="3819"/>
      <c r="AU20" s="3817">
        <f ca="1">OFFSET(InputY!$G$3,0,(COLUMN()-7)/4)</f>
        <v>2005</v>
      </c>
      <c r="AV20" s="3818"/>
      <c r="AW20" s="3818"/>
      <c r="AX20" s="3819"/>
      <c r="AY20" s="3817">
        <f ca="1">OFFSET(InputY!$G$3,0,(COLUMN()-7)/4)</f>
        <v>2006</v>
      </c>
      <c r="AZ20" s="3818"/>
      <c r="BA20" s="3818"/>
      <c r="BB20" s="3819"/>
      <c r="BC20" s="3817">
        <f ca="1">OFFSET(InputY!$G$3,0,(COLUMN()-7)/4)</f>
        <v>2007</v>
      </c>
      <c r="BD20" s="3818"/>
      <c r="BE20" s="3818"/>
      <c r="BF20" s="3819"/>
      <c r="BG20" s="3817">
        <f ca="1">OFFSET(InputY!$G$3,0,(COLUMN()-7)/4)</f>
        <v>2008</v>
      </c>
      <c r="BH20" s="3818"/>
      <c r="BI20" s="3818"/>
      <c r="BJ20" s="3819"/>
      <c r="BK20" s="3817">
        <f ca="1">OFFSET(InputY!$G$3,0,(COLUMN()-7)/4)</f>
        <v>2009</v>
      </c>
      <c r="BL20" s="3818"/>
      <c r="BM20" s="3818"/>
      <c r="BN20" s="3819"/>
      <c r="BO20" s="3817">
        <f ca="1">OFFSET(InputY!$G$3,0,(COLUMN()-7)/4)</f>
        <v>2010</v>
      </c>
      <c r="BP20" s="3818"/>
      <c r="BQ20" s="3818"/>
      <c r="BR20" s="3819"/>
      <c r="BS20" s="3817">
        <f ca="1">OFFSET(InputY!$G$3,0,(COLUMN()-7)/4)</f>
        <v>2011</v>
      </c>
      <c r="BT20" s="3818"/>
      <c r="BU20" s="3818"/>
      <c r="BV20" s="3819"/>
      <c r="BW20" s="3817">
        <f ca="1">OFFSET(InputY!$G$3,0,(COLUMN()-7)/4)</f>
        <v>2012</v>
      </c>
      <c r="BX20" s="3818"/>
      <c r="BY20" s="3818"/>
      <c r="BZ20" s="3819"/>
      <c r="CA20" s="3817">
        <f ca="1">OFFSET(InputY!$G$3,0,(COLUMN()-7)/4)</f>
        <v>2013</v>
      </c>
      <c r="CB20" s="3818"/>
      <c r="CC20" s="3818"/>
      <c r="CD20" s="3819"/>
      <c r="CE20" s="3817">
        <f ca="1">OFFSET(InputY!$G$3,0,(COLUMN()-7)/4)</f>
        <v>2014</v>
      </c>
      <c r="CF20" s="3818"/>
      <c r="CG20" s="3818"/>
      <c r="CH20" s="3819"/>
      <c r="CI20" s="3817">
        <f ca="1">OFFSET(InputY!$G$3,0,(COLUMN()-7)/4)</f>
        <v>2015</v>
      </c>
      <c r="CJ20" s="3818"/>
      <c r="CK20" s="3818"/>
      <c r="CL20" s="3819"/>
      <c r="CM20" s="3817">
        <f ca="1">OFFSET(InputY!$G$3,0,(COLUMN()-7)/4)</f>
        <v>2016</v>
      </c>
      <c r="CN20" s="3818"/>
      <c r="CO20" s="3818"/>
      <c r="CP20" s="3819"/>
      <c r="CQ20" s="3817">
        <f ca="1">OFFSET(InputY!$G$3,0,(COLUMN()-7)/4)</f>
        <v>2017</v>
      </c>
      <c r="CR20" s="3822"/>
      <c r="CS20" s="3822"/>
      <c r="CT20" s="3823"/>
      <c r="CU20" s="3817">
        <f ca="1">OFFSET(InputY!$G$3,0,(COLUMN()-7)/4)</f>
        <v>2018</v>
      </c>
      <c r="CV20" s="3818"/>
      <c r="CW20" s="3818"/>
      <c r="CX20" s="3819"/>
      <c r="CY20" s="3817">
        <f ca="1">OFFSET(InputY!$G$3,0,(COLUMN()-7)/4)</f>
        <v>2019</v>
      </c>
      <c r="CZ20" s="3818"/>
      <c r="DA20" s="3818"/>
      <c r="DB20" s="3819"/>
      <c r="DC20" s="3817">
        <f ca="1">OFFSET(InputY!$G$3,0,(COLUMN()-7)/4)</f>
        <v>2020</v>
      </c>
      <c r="DD20" s="3818"/>
      <c r="DE20" s="3818"/>
      <c r="DF20" s="3819"/>
    </row>
    <row r="21" spans="1:110" s="736" customFormat="1" ht="12.75" customHeight="1">
      <c r="A21" s="701"/>
      <c r="B21" s="701"/>
      <c r="C21" s="703"/>
      <c r="D21" s="732"/>
      <c r="E21" s="733" t="s">
        <v>214</v>
      </c>
      <c r="F21" s="734"/>
      <c r="G21" s="1618" t="s">
        <v>131</v>
      </c>
      <c r="H21" s="1619" t="s">
        <v>132</v>
      </c>
      <c r="I21" s="1619" t="s">
        <v>133</v>
      </c>
      <c r="J21" s="1620" t="s">
        <v>134</v>
      </c>
      <c r="K21" s="1618" t="s">
        <v>131</v>
      </c>
      <c r="L21" s="1619" t="s">
        <v>132</v>
      </c>
      <c r="M21" s="1619" t="s">
        <v>133</v>
      </c>
      <c r="N21" s="1620" t="s">
        <v>134</v>
      </c>
      <c r="O21" s="1618" t="s">
        <v>131</v>
      </c>
      <c r="P21" s="1619" t="s">
        <v>132</v>
      </c>
      <c r="Q21" s="1619" t="s">
        <v>133</v>
      </c>
      <c r="R21" s="1620" t="s">
        <v>134</v>
      </c>
      <c r="S21" s="1618" t="s">
        <v>131</v>
      </c>
      <c r="T21" s="1619" t="s">
        <v>132</v>
      </c>
      <c r="U21" s="1619" t="s">
        <v>133</v>
      </c>
      <c r="V21" s="1620" t="s">
        <v>134</v>
      </c>
      <c r="W21" s="1618" t="s">
        <v>131</v>
      </c>
      <c r="X21" s="1619" t="s">
        <v>132</v>
      </c>
      <c r="Y21" s="1619" t="s">
        <v>133</v>
      </c>
      <c r="Z21" s="1620" t="s">
        <v>134</v>
      </c>
      <c r="AA21" s="1618" t="s">
        <v>131</v>
      </c>
      <c r="AB21" s="1619" t="s">
        <v>132</v>
      </c>
      <c r="AC21" s="1619" t="s">
        <v>133</v>
      </c>
      <c r="AD21" s="1620" t="s">
        <v>134</v>
      </c>
      <c r="AE21" s="1618" t="s">
        <v>131</v>
      </c>
      <c r="AF21" s="1619" t="s">
        <v>132</v>
      </c>
      <c r="AG21" s="1619" t="s">
        <v>133</v>
      </c>
      <c r="AH21" s="1620" t="s">
        <v>134</v>
      </c>
      <c r="AI21" s="1618" t="s">
        <v>131</v>
      </c>
      <c r="AJ21" s="1619" t="s">
        <v>132</v>
      </c>
      <c r="AK21" s="1619" t="s">
        <v>133</v>
      </c>
      <c r="AL21" s="1620" t="s">
        <v>134</v>
      </c>
      <c r="AM21" s="1618" t="s">
        <v>131</v>
      </c>
      <c r="AN21" s="1619" t="s">
        <v>132</v>
      </c>
      <c r="AO21" s="1619" t="s">
        <v>133</v>
      </c>
      <c r="AP21" s="1620" t="s">
        <v>134</v>
      </c>
      <c r="AQ21" s="1618" t="s">
        <v>131</v>
      </c>
      <c r="AR21" s="1619" t="s">
        <v>132</v>
      </c>
      <c r="AS21" s="1619" t="s">
        <v>133</v>
      </c>
      <c r="AT21" s="1620" t="s">
        <v>134</v>
      </c>
      <c r="AU21" s="1618" t="s">
        <v>131</v>
      </c>
      <c r="AV21" s="1619" t="s">
        <v>132</v>
      </c>
      <c r="AW21" s="1619" t="s">
        <v>133</v>
      </c>
      <c r="AX21" s="1620" t="s">
        <v>134</v>
      </c>
      <c r="AY21" s="1618" t="s">
        <v>131</v>
      </c>
      <c r="AZ21" s="1619" t="s">
        <v>132</v>
      </c>
      <c r="BA21" s="1619" t="s">
        <v>133</v>
      </c>
      <c r="BB21" s="1620" t="s">
        <v>134</v>
      </c>
      <c r="BC21" s="1618" t="s">
        <v>131</v>
      </c>
      <c r="BD21" s="1619" t="s">
        <v>132</v>
      </c>
      <c r="BE21" s="1619" t="s">
        <v>133</v>
      </c>
      <c r="BF21" s="1620" t="s">
        <v>134</v>
      </c>
      <c r="BG21" s="1618" t="s">
        <v>131</v>
      </c>
      <c r="BH21" s="1619" t="s">
        <v>132</v>
      </c>
      <c r="BI21" s="1619" t="s">
        <v>133</v>
      </c>
      <c r="BJ21" s="1620" t="s">
        <v>134</v>
      </c>
      <c r="BK21" s="1618" t="s">
        <v>131</v>
      </c>
      <c r="BL21" s="1619" t="s">
        <v>132</v>
      </c>
      <c r="BM21" s="1619" t="s">
        <v>133</v>
      </c>
      <c r="BN21" s="1620" t="s">
        <v>134</v>
      </c>
      <c r="BO21" s="1618" t="s">
        <v>131</v>
      </c>
      <c r="BP21" s="1619" t="s">
        <v>132</v>
      </c>
      <c r="BQ21" s="1619" t="s">
        <v>133</v>
      </c>
      <c r="BR21" s="1620" t="s">
        <v>134</v>
      </c>
      <c r="BS21" s="1618" t="s">
        <v>131</v>
      </c>
      <c r="BT21" s="1619" t="s">
        <v>132</v>
      </c>
      <c r="BU21" s="1619" t="s">
        <v>133</v>
      </c>
      <c r="BV21" s="1620" t="s">
        <v>134</v>
      </c>
      <c r="BW21" s="1618" t="s">
        <v>131</v>
      </c>
      <c r="BX21" s="1619" t="s">
        <v>132</v>
      </c>
      <c r="BY21" s="1619" t="s">
        <v>133</v>
      </c>
      <c r="BZ21" s="1620" t="s">
        <v>134</v>
      </c>
      <c r="CA21" s="1618" t="s">
        <v>131</v>
      </c>
      <c r="CB21" s="1619" t="s">
        <v>132</v>
      </c>
      <c r="CC21" s="1619" t="s">
        <v>133</v>
      </c>
      <c r="CD21" s="1620" t="s">
        <v>134</v>
      </c>
      <c r="CE21" s="1618" t="s">
        <v>131</v>
      </c>
      <c r="CF21" s="1619" t="s">
        <v>132</v>
      </c>
      <c r="CG21" s="1619" t="s">
        <v>133</v>
      </c>
      <c r="CH21" s="1620" t="s">
        <v>134</v>
      </c>
      <c r="CI21" s="1618" t="s">
        <v>131</v>
      </c>
      <c r="CJ21" s="1619" t="s">
        <v>132</v>
      </c>
      <c r="CK21" s="1619" t="s">
        <v>133</v>
      </c>
      <c r="CL21" s="1620" t="s">
        <v>134</v>
      </c>
      <c r="CM21" s="1618" t="s">
        <v>131</v>
      </c>
      <c r="CN21" s="1619" t="s">
        <v>132</v>
      </c>
      <c r="CO21" s="1619" t="s">
        <v>133</v>
      </c>
      <c r="CP21" s="1620" t="s">
        <v>134</v>
      </c>
      <c r="CQ21" s="1618" t="s">
        <v>131</v>
      </c>
      <c r="CR21" s="1619" t="s">
        <v>132</v>
      </c>
      <c r="CS21" s="1619" t="s">
        <v>133</v>
      </c>
      <c r="CT21" s="1620" t="s">
        <v>134</v>
      </c>
      <c r="CU21" s="1618" t="s">
        <v>131</v>
      </c>
      <c r="CV21" s="1619" t="s">
        <v>132</v>
      </c>
      <c r="CW21" s="1619" t="s">
        <v>133</v>
      </c>
      <c r="CX21" s="1620" t="s">
        <v>134</v>
      </c>
      <c r="CY21" s="1618" t="s">
        <v>131</v>
      </c>
      <c r="CZ21" s="1619" t="s">
        <v>132</v>
      </c>
      <c r="DA21" s="1619" t="s">
        <v>133</v>
      </c>
      <c r="DB21" s="1620" t="s">
        <v>134</v>
      </c>
      <c r="DC21" s="1618" t="s">
        <v>131</v>
      </c>
      <c r="DD21" s="1619" t="s">
        <v>132</v>
      </c>
      <c r="DE21" s="1619" t="s">
        <v>133</v>
      </c>
      <c r="DF21" s="1620" t="s">
        <v>134</v>
      </c>
    </row>
    <row r="22" spans="1:110" s="736" customFormat="1" ht="12.75" customHeight="1">
      <c r="A22" s="701" t="str">
        <f>"Q" &amp; ROW(InputQ!A5)</f>
        <v>Q5</v>
      </c>
      <c r="C22" s="704"/>
      <c r="D22" s="705"/>
      <c r="E22" s="737" t="s">
        <v>215</v>
      </c>
      <c r="F22" s="738"/>
      <c r="G22" s="1617">
        <f>InputQ!G5/1000</f>
        <v>275.94370000000004</v>
      </c>
      <c r="H22" s="817">
        <f>InputQ!H5/1000</f>
        <v>278.12799999999999</v>
      </c>
      <c r="I22" s="817">
        <f>InputQ!I5/1000</f>
        <v>277.55200000000002</v>
      </c>
      <c r="J22" s="817">
        <f>InputQ!J5/1000</f>
        <v>278.05849999999998</v>
      </c>
      <c r="K22" s="817">
        <f>InputQ!K5/1000</f>
        <v>279.94779999999997</v>
      </c>
      <c r="L22" s="817">
        <f>InputQ!L5/1000</f>
        <v>280.16490000000005</v>
      </c>
      <c r="M22" s="817">
        <f>InputQ!M5/1000</f>
        <v>284.78300000000002</v>
      </c>
      <c r="N22" s="1641">
        <f>InputQ!N5/1000</f>
        <v>284.94259999999997</v>
      </c>
      <c r="O22" s="817">
        <f>InputQ!O5/1000</f>
        <v>287.1909</v>
      </c>
      <c r="P22" s="817">
        <f>InputQ!P5/1000</f>
        <v>291.83499999999998</v>
      </c>
      <c r="Q22" s="817">
        <f>InputQ!Q5/1000</f>
        <v>290.47159999999997</v>
      </c>
      <c r="R22" s="1641">
        <f>InputQ!R5/1000</f>
        <v>292.75420000000003</v>
      </c>
      <c r="S22" s="817">
        <f>InputQ!S5/1000</f>
        <v>294.9701</v>
      </c>
      <c r="T22" s="817">
        <f>InputQ!T5/1000</f>
        <v>298.59020000000004</v>
      </c>
      <c r="U22" s="817">
        <f>InputQ!U5/1000</f>
        <v>301.25870000000003</v>
      </c>
      <c r="V22" s="1641">
        <f>InputQ!V5/1000</f>
        <v>305.2045</v>
      </c>
      <c r="W22" s="817">
        <f>InputQ!W5/1000</f>
        <v>306.43619999999999</v>
      </c>
      <c r="X22" s="817">
        <f>InputQ!X5/1000</f>
        <v>307.84050000000002</v>
      </c>
      <c r="Y22" s="817">
        <f>InputQ!Y5/1000</f>
        <v>312.02179999999998</v>
      </c>
      <c r="Z22" s="1641">
        <f>InputQ!Z5/1000</f>
        <v>321.1635</v>
      </c>
      <c r="AA22" s="817">
        <f>InputQ!AA5/1000</f>
        <v>323.8571</v>
      </c>
      <c r="AB22" s="817">
        <f>InputQ!AB5/1000</f>
        <v>329.3109</v>
      </c>
      <c r="AC22" s="817">
        <f>InputQ!AC5/1000</f>
        <v>330.68090000000001</v>
      </c>
      <c r="AD22" s="1641">
        <f>InputQ!AD5/1000</f>
        <v>330.11329999999998</v>
      </c>
      <c r="AE22" s="817">
        <f>InputQ!AE5/1000</f>
        <v>330.38130000000001</v>
      </c>
      <c r="AF22" s="817">
        <f>InputQ!AF5/1000</f>
        <v>331.65019999999998</v>
      </c>
      <c r="AG22" s="817">
        <f>InputQ!AG5/1000</f>
        <v>331.83100000000002</v>
      </c>
      <c r="AH22" s="1641">
        <f>InputQ!AH5/1000</f>
        <v>330.51299999999998</v>
      </c>
      <c r="AI22" s="817">
        <f>InputQ!AI5/1000</f>
        <v>335.94740000000002</v>
      </c>
      <c r="AJ22" s="817">
        <f>InputQ!AJ5/1000</f>
        <v>338.4434</v>
      </c>
      <c r="AK22" s="817">
        <f>InputQ!AK5/1000</f>
        <v>339.47480000000002</v>
      </c>
      <c r="AL22" s="1641">
        <f>InputQ!AL5/1000</f>
        <v>344.47229999999996</v>
      </c>
      <c r="AM22" s="817">
        <f>InputQ!AM5/1000</f>
        <v>344.56970000000001</v>
      </c>
      <c r="AN22" s="817">
        <f>InputQ!AN5/1000</f>
        <v>345.32569999999998</v>
      </c>
      <c r="AO22" s="817">
        <f>InputQ!AO5/1000</f>
        <v>349.62009999999998</v>
      </c>
      <c r="AP22" s="1641">
        <f>InputQ!AP5/1000</f>
        <v>351.14029999999997</v>
      </c>
      <c r="AQ22" s="817">
        <f>InputQ!AQ5/1000</f>
        <v>355.4357</v>
      </c>
      <c r="AR22" s="817">
        <f>InputQ!AR5/1000</f>
        <v>353.947</v>
      </c>
      <c r="AS22" s="817">
        <f>InputQ!AS5/1000</f>
        <v>357.82690000000002</v>
      </c>
      <c r="AT22" s="1641">
        <f>InputQ!AT5/1000</f>
        <v>359.86</v>
      </c>
      <c r="AU22" s="817">
        <f>InputQ!AU5/1000</f>
        <v>361.94880000000001</v>
      </c>
      <c r="AV22" s="817">
        <f>InputQ!AV5/1000</f>
        <v>364.2946</v>
      </c>
      <c r="AW22" s="817">
        <f>InputQ!AW5/1000</f>
        <v>369.0908</v>
      </c>
      <c r="AX22" s="1641">
        <f>InputQ!AX5/1000</f>
        <v>371.06920000000002</v>
      </c>
      <c r="AY22" s="817">
        <f>InputQ!AY5/1000</f>
        <v>371.6925</v>
      </c>
      <c r="AZ22" s="817">
        <f>InputQ!AZ5/1000</f>
        <v>376.35240000000005</v>
      </c>
      <c r="BA22" s="817">
        <f>InputQ!BA5/1000</f>
        <v>377.0908</v>
      </c>
      <c r="BB22" s="1641">
        <f>InputQ!BB5/1000</f>
        <v>381.97609999999997</v>
      </c>
      <c r="BC22" s="817">
        <f>InputQ!BC5/1000</f>
        <v>384.81059999999997</v>
      </c>
      <c r="BD22" s="817">
        <f>InputQ!BD5/1000</f>
        <v>387.58670000000001</v>
      </c>
      <c r="BE22" s="817">
        <f>InputQ!BE5/1000</f>
        <v>394.25279999999998</v>
      </c>
      <c r="BF22" s="1641">
        <f>InputQ!BF5/1000</f>
        <v>398.65030000000002</v>
      </c>
      <c r="BG22" s="817">
        <f>InputQ!BG5/1000</f>
        <v>394.5385</v>
      </c>
      <c r="BH22" s="817">
        <f>InputQ!BH5/1000</f>
        <v>394.53479999999996</v>
      </c>
      <c r="BI22" s="817">
        <f>InputQ!BI5/1000</f>
        <v>391.77359999999999</v>
      </c>
      <c r="BJ22" s="1641">
        <f>InputQ!BJ5/1000</f>
        <v>387.45779999999996</v>
      </c>
      <c r="BK22" s="817">
        <f>InputQ!BK5/1000</f>
        <v>388.76929999999999</v>
      </c>
      <c r="BL22" s="817">
        <f>InputQ!BL5/1000</f>
        <v>393.89479999999998</v>
      </c>
      <c r="BM22" s="817">
        <f>InputQ!BM5/1000</f>
        <v>395.15719999999999</v>
      </c>
      <c r="BN22" s="1641">
        <f>InputQ!BN5/1000</f>
        <v>396.1431</v>
      </c>
      <c r="BO22" s="817">
        <f>InputQ!BO5/1000</f>
        <v>405.00940000000003</v>
      </c>
      <c r="BP22" s="817">
        <f>InputQ!BP5/1000</f>
        <v>405.29509999999999</v>
      </c>
      <c r="BQ22" s="817">
        <f>InputQ!BQ5/1000</f>
        <v>410.37890000000004</v>
      </c>
      <c r="BR22" s="1641">
        <f>InputQ!BR5/1000</f>
        <v>412.90270000000004</v>
      </c>
      <c r="BS22" s="817">
        <f>InputQ!BS5/1000</f>
        <v>414.00920000000002</v>
      </c>
      <c r="BT22" s="817">
        <f>InputQ!BT5/1000</f>
        <v>417.95769999999999</v>
      </c>
      <c r="BU22" s="817">
        <f>InputQ!BU5/1000</f>
        <v>416.26769999999999</v>
      </c>
      <c r="BV22" s="1641">
        <f>InputQ!BV5/1000</f>
        <v>415.7697</v>
      </c>
      <c r="BW22" s="817">
        <f>InputQ!BW5/1000</f>
        <v>417.87979999999999</v>
      </c>
      <c r="BX22" s="817">
        <f>InputQ!BX5/1000</f>
        <v>418.82220000000001</v>
      </c>
      <c r="BY22" s="817">
        <f>InputQ!BY5/1000</f>
        <v>420.50470000000001</v>
      </c>
      <c r="BZ22" s="1641">
        <f>InputQ!BZ5/1000</f>
        <v>422.04629999999997</v>
      </c>
      <c r="CA22" s="1641">
        <f>InputQ!CA5/1000</f>
        <v>423.86609999999996</v>
      </c>
      <c r="CB22" s="1641">
        <f>InputQ!CB5/1000</f>
        <v>425.49200000000002</v>
      </c>
      <c r="CC22" s="817">
        <f>InputQ!CC5/1000</f>
        <v>429.58240000000001</v>
      </c>
      <c r="CD22" s="1641">
        <f>InputQ!CD5/1000</f>
        <v>431.50329999999997</v>
      </c>
      <c r="CE22" s="1641">
        <f>InputQ!CE5/1000</f>
        <v>431.74359999999996</v>
      </c>
      <c r="CF22" s="1641">
        <f>InputQ!CF5/1000</f>
        <v>437.92179999999996</v>
      </c>
      <c r="CG22" s="1641">
        <f>InputQ!CG5/1000</f>
        <v>437.11950000000002</v>
      </c>
      <c r="CH22" s="1641">
        <f>InputQ!CH5/1000</f>
        <v>440.81200000000001</v>
      </c>
      <c r="CI22" s="1641">
        <f>InputQ!CI5/1000</f>
        <v>444.80779999999999</v>
      </c>
      <c r="CJ22" s="1641">
        <f>InputQ!CJ5/1000</f>
        <v>447.8279</v>
      </c>
      <c r="CK22" s="1641">
        <f>InputQ!CK5/1000</f>
        <v>451.66320000000002</v>
      </c>
      <c r="CL22" s="1641">
        <f>InputQ!CL5/1000</f>
        <v>456.26370000000003</v>
      </c>
      <c r="CM22" s="1641">
        <f>InputQ!CM5/1000</f>
        <v>460.89580000000001</v>
      </c>
      <c r="CN22" s="1641">
        <f>InputQ!CN5/1000</f>
        <v>460.40050000000002</v>
      </c>
      <c r="CO22" s="1641">
        <f>InputQ!CO5/1000</f>
        <v>463.7099</v>
      </c>
      <c r="CP22" s="1641">
        <f>InputQ!CP5/1000</f>
        <v>465.55290000000002</v>
      </c>
      <c r="CQ22" s="1641">
        <f>InputQ!CQ5/1000</f>
        <v>469.42070000000001</v>
      </c>
      <c r="CR22" s="1641">
        <f>InputQ!CR5/1000</f>
        <v>471.7878</v>
      </c>
      <c r="CS22" s="1641">
        <f>InputQ!CS5/1000</f>
        <v>473.99529999999999</v>
      </c>
      <c r="CT22" s="1641">
        <f>InputQ!CT5/1000</f>
        <v>477.57190000000003</v>
      </c>
      <c r="CU22" s="1641">
        <f>InputQ!CU5/1000</f>
        <v>479.91570000000002</v>
      </c>
      <c r="CV22" s="1641">
        <f>InputQ!CV5/1000</f>
        <v>484.0154</v>
      </c>
      <c r="CW22" s="1643">
        <f t="shared" ref="CW22:CX22" si="90">CV22*(1+CW27/100)</f>
        <v>485.56424928000007</v>
      </c>
      <c r="CX22" s="1643">
        <f t="shared" si="90"/>
        <v>488.76897332524806</v>
      </c>
      <c r="CY22" s="1643">
        <f t="shared" ref="CY22" si="91">CX22*(1+CY27/100)</f>
        <v>492.38586372785494</v>
      </c>
      <c r="CZ22" s="1643">
        <f t="shared" ref="CZ22" si="92">CY22*(1+CZ27/100)</f>
        <v>494.94627021923981</v>
      </c>
      <c r="DA22" s="1643">
        <f t="shared" ref="DA22" si="93">CZ22*(1+DA27/100)</f>
        <v>497.0745391811825</v>
      </c>
      <c r="DB22" s="1643">
        <f t="shared" ref="DB22" si="94">DA22*(1+DB27/100)</f>
        <v>498.8143000683167</v>
      </c>
      <c r="DC22" s="1643">
        <f t="shared" ref="DC22" si="95">DB22*(1+DC27/100)</f>
        <v>502.35588159880177</v>
      </c>
      <c r="DD22" s="1643">
        <f t="shared" ref="DD22" si="96">DC22*(1+DD27/100)</f>
        <v>505.01836777127545</v>
      </c>
      <c r="DE22" s="1643">
        <f t="shared" ref="DE22" si="97">DD22*(1+DE27/100)</f>
        <v>507.79596879401748</v>
      </c>
      <c r="DF22" s="1643">
        <f t="shared" ref="DF22" si="98">DE22*(1+DF27/100)</f>
        <v>509.77637307231419</v>
      </c>
    </row>
    <row r="23" spans="1:110" s="26" customFormat="1" ht="12.75">
      <c r="A23" s="710"/>
      <c r="B23" s="710"/>
      <c r="C23" s="724"/>
      <c r="D23" s="720"/>
      <c r="E23" s="721" t="s">
        <v>353</v>
      </c>
      <c r="F23" s="722"/>
      <c r="G23" s="1622"/>
      <c r="H23" s="1623"/>
      <c r="I23" s="1623"/>
      <c r="J23" s="1627">
        <f>SUM(G22:J22)</f>
        <v>1109.6822</v>
      </c>
      <c r="K23" s="1622"/>
      <c r="L23" s="1623"/>
      <c r="M23" s="1623"/>
      <c r="N23" s="1627">
        <f>SUM(K22:N22)</f>
        <v>1129.8382999999999</v>
      </c>
      <c r="O23" s="1622"/>
      <c r="P23" s="1623"/>
      <c r="Q23" s="1623"/>
      <c r="R23" s="1627">
        <f>SUM(O22:R22)</f>
        <v>1162.2517</v>
      </c>
      <c r="S23" s="1622"/>
      <c r="T23" s="1623"/>
      <c r="U23" s="1623"/>
      <c r="V23" s="1627">
        <f>SUM(S22:V22)</f>
        <v>1200.0235000000002</v>
      </c>
      <c r="W23" s="1622"/>
      <c r="X23" s="1623"/>
      <c r="Y23" s="1623"/>
      <c r="Z23" s="1627">
        <f>SUM(W22:Z22)</f>
        <v>1247.462</v>
      </c>
      <c r="AA23" s="1622"/>
      <c r="AB23" s="1623"/>
      <c r="AC23" s="1623"/>
      <c r="AD23" s="1627">
        <f>SUM(AA22:AD22)</f>
        <v>1313.9621999999999</v>
      </c>
      <c r="AE23" s="1622"/>
      <c r="AF23" s="1623"/>
      <c r="AG23" s="1623"/>
      <c r="AH23" s="1627">
        <f>SUM(AE22:AH22)</f>
        <v>1324.3755000000001</v>
      </c>
      <c r="AI23" s="1622"/>
      <c r="AJ23" s="1623"/>
      <c r="AK23" s="1623"/>
      <c r="AL23" s="1627">
        <f>SUM(AI22:AL22)</f>
        <v>1358.3379</v>
      </c>
      <c r="AM23" s="1622"/>
      <c r="AN23" s="1623"/>
      <c r="AO23" s="1623"/>
      <c r="AP23" s="1627">
        <f>SUM(AM22:AP22)</f>
        <v>1390.6558</v>
      </c>
      <c r="AQ23" s="1622"/>
      <c r="AR23" s="1623"/>
      <c r="AS23" s="1623"/>
      <c r="AT23" s="1627">
        <f>SUM(AQ22:AT22)</f>
        <v>1427.0696000000003</v>
      </c>
      <c r="AU23" s="1622"/>
      <c r="AV23" s="1623"/>
      <c r="AW23" s="1623"/>
      <c r="AX23" s="1627">
        <f>SUM(AU22:AX22)</f>
        <v>1466.4034000000001</v>
      </c>
      <c r="AY23" s="1622"/>
      <c r="AZ23" s="1623"/>
      <c r="BA23" s="1623"/>
      <c r="BB23" s="1627">
        <f>SUM(AY22:BB22)</f>
        <v>1507.1118000000001</v>
      </c>
      <c r="BC23" s="1622"/>
      <c r="BD23" s="1623"/>
      <c r="BE23" s="1623"/>
      <c r="BF23" s="1627">
        <f>SUM(BC22:BF22)</f>
        <v>1565.3003999999999</v>
      </c>
      <c r="BG23" s="1622"/>
      <c r="BH23" s="1623"/>
      <c r="BI23" s="1623"/>
      <c r="BJ23" s="1627">
        <f>SUM(BG22:BJ22)</f>
        <v>1568.3046999999999</v>
      </c>
      <c r="BK23" s="1622"/>
      <c r="BL23" s="1623"/>
      <c r="BM23" s="1623"/>
      <c r="BN23" s="1627">
        <f>SUM(BK22:BN22)</f>
        <v>1573.9644000000001</v>
      </c>
      <c r="BO23" s="1622"/>
      <c r="BP23" s="1623"/>
      <c r="BQ23" s="1623"/>
      <c r="BR23" s="1627">
        <f>SUM(BO22:BR22)</f>
        <v>1633.5861</v>
      </c>
      <c r="BS23" s="1622"/>
      <c r="BT23" s="1623"/>
      <c r="BU23" s="1623"/>
      <c r="BV23" s="1627">
        <f>SUM(BS22:BV22)</f>
        <v>1664.0043000000001</v>
      </c>
      <c r="BW23" s="1622"/>
      <c r="BX23" s="1623"/>
      <c r="BY23" s="1623"/>
      <c r="BZ23" s="1627">
        <f>SUM(BW22:BZ22)</f>
        <v>1679.2529999999999</v>
      </c>
      <c r="CA23" s="1622"/>
      <c r="CB23" s="1623"/>
      <c r="CC23" s="1623"/>
      <c r="CD23" s="1627">
        <f>SUM(CA22:CD22)</f>
        <v>1710.4438</v>
      </c>
      <c r="CE23" s="1622"/>
      <c r="CF23" s="1623"/>
      <c r="CG23" s="1623"/>
      <c r="CH23" s="1627">
        <f>SUM(CE22:CH22)</f>
        <v>1747.5969</v>
      </c>
      <c r="CI23" s="1622"/>
      <c r="CJ23" s="1623"/>
      <c r="CK23" s="1623"/>
      <c r="CL23" s="1627">
        <f>SUM(CI22:CL22)</f>
        <v>1800.5626</v>
      </c>
      <c r="CM23" s="1622"/>
      <c r="CN23" s="1623"/>
      <c r="CO23" s="1623"/>
      <c r="CP23" s="1627">
        <f>SUM(CM22:CP22)</f>
        <v>1850.5590999999999</v>
      </c>
      <c r="CQ23" s="1622"/>
      <c r="CR23" s="1623"/>
      <c r="CS23" s="1623"/>
      <c r="CT23" s="1627">
        <f>SUM(CQ22:CT22)</f>
        <v>1892.7757000000001</v>
      </c>
      <c r="CU23" s="1622"/>
      <c r="CV23" s="1623"/>
      <c r="CW23" s="1623"/>
      <c r="CX23" s="1627">
        <f>SUM(CU22:CX22)</f>
        <v>1938.264322605248</v>
      </c>
      <c r="CY23" s="1622"/>
      <c r="CZ23" s="1623"/>
      <c r="DA23" s="1623"/>
      <c r="DB23" s="1627">
        <f>SUM(CY22:DB22)</f>
        <v>1983.2209731965938</v>
      </c>
      <c r="DC23" s="1622"/>
      <c r="DD23" s="1623"/>
      <c r="DE23" s="1623"/>
      <c r="DF23" s="1627">
        <f>SUM(DC22:DF22)</f>
        <v>2024.9465912364089</v>
      </c>
    </row>
    <row r="24" spans="1:110" s="736" customFormat="1" ht="12.75" customHeight="1">
      <c r="A24" s="701"/>
      <c r="B24" s="701"/>
      <c r="C24" s="706"/>
      <c r="D24" s="716"/>
      <c r="E24" s="1624" t="s">
        <v>136</v>
      </c>
      <c r="F24" s="716"/>
      <c r="G24" s="1625"/>
      <c r="H24" s="2916" t="s">
        <v>1694</v>
      </c>
      <c r="I24" s="2917">
        <f ca="1">+J24/J23*100</f>
        <v>100.0253387861858</v>
      </c>
      <c r="J24" s="1626">
        <f ca="1">OFFSET('VVP2'!$G$7,0,(COLUMN()-10)/4)</f>
        <v>1109.9633799999999</v>
      </c>
      <c r="K24" s="1625"/>
      <c r="L24" s="2916" t="s">
        <v>1694</v>
      </c>
      <c r="M24" s="2917">
        <f ca="1">+N24/N23*100</f>
        <v>100.02167655318466</v>
      </c>
      <c r="N24" s="1626">
        <f ca="1">OFFSET('VVP2'!$G$7,0,(COLUMN()-10)/4)</f>
        <v>1130.08321</v>
      </c>
      <c r="O24" s="1625"/>
      <c r="P24" s="2916" t="s">
        <v>1694</v>
      </c>
      <c r="Q24" s="2917">
        <f ca="1">+R24/R23*100</f>
        <v>99.966314525502511</v>
      </c>
      <c r="R24" s="1626">
        <f ca="1">OFFSET('VVP2'!$G$7,0,(COLUMN()-10)/4)</f>
        <v>1161.8601899999999</v>
      </c>
      <c r="S24" s="1625"/>
      <c r="T24" s="2916" t="s">
        <v>1694</v>
      </c>
      <c r="U24" s="2917">
        <f ca="1">+V24/V23*100</f>
        <v>100.01602135291516</v>
      </c>
      <c r="V24" s="1626">
        <f ca="1">OFFSET('VVP2'!$G$7,0,(COLUMN()-10)/4)</f>
        <v>1200.21576</v>
      </c>
      <c r="W24" s="1625"/>
      <c r="X24" s="2916" t="s">
        <v>1694</v>
      </c>
      <c r="Y24" s="2917">
        <f ca="1">+Z24/Z23*100</f>
        <v>100.08945202338828</v>
      </c>
      <c r="Z24" s="1626">
        <f ca="1">OFFSET('VVP2'!$G$7,0,(COLUMN()-10)/4)</f>
        <v>1248.5778799999998</v>
      </c>
      <c r="AA24" s="1625"/>
      <c r="AB24" s="2916" t="s">
        <v>1694</v>
      </c>
      <c r="AC24" s="2917">
        <f ca="1">+AD24/AD23*100</f>
        <v>100.01097976791114</v>
      </c>
      <c r="AD24" s="1626">
        <f ca="1">OFFSET('VVP2'!$G$7,0,(COLUMN()-10)/4)</f>
        <v>1314.1064699999999</v>
      </c>
      <c r="AE24" s="1625"/>
      <c r="AF24" s="2916" t="s">
        <v>1694</v>
      </c>
      <c r="AG24" s="2917">
        <f ca="1">+AH24/AH23*100</f>
        <v>99.950030033023111</v>
      </c>
      <c r="AH24" s="1626">
        <f ca="1">OFFSET('VVP2'!$G$7,0,(COLUMN()-10)/4)</f>
        <v>1323.71371</v>
      </c>
      <c r="AI24" s="1625"/>
      <c r="AJ24" s="2916" t="s">
        <v>1694</v>
      </c>
      <c r="AK24" s="2917">
        <f ca="1">+AL24/AL23*100</f>
        <v>99.991678064787862</v>
      </c>
      <c r="AL24" s="1626">
        <f ca="1">OFFSET('VVP2'!$G$7,0,(COLUMN()-10)/4)</f>
        <v>1358.22486</v>
      </c>
      <c r="AM24" s="1625"/>
      <c r="AN24" s="2916" t="s">
        <v>1694</v>
      </c>
      <c r="AO24" s="2917">
        <f ca="1">+AP24/AP23*100</f>
        <v>99.928509987877661</v>
      </c>
      <c r="AP24" s="1626">
        <f ca="1">OFFSET('VVP2'!$G$7,0,(COLUMN()-10)/4)</f>
        <v>1389.6616200000001</v>
      </c>
      <c r="AQ24" s="1625"/>
      <c r="AR24" s="2916" t="s">
        <v>1694</v>
      </c>
      <c r="AS24" s="2917">
        <f ca="1">+AT24/AT23*100</f>
        <v>100.09484961350165</v>
      </c>
      <c r="AT24" s="1626">
        <f ca="1">OFFSET('VVP2'!$G$7,0,(COLUMN()-10)/4)</f>
        <v>1428.42317</v>
      </c>
      <c r="AU24" s="1625"/>
      <c r="AV24" s="2916" t="s">
        <v>1694</v>
      </c>
      <c r="AW24" s="2917">
        <f ca="1">+AX24/AX23*100</f>
        <v>100.10572806909748</v>
      </c>
      <c r="AX24" s="1626">
        <f ca="1">OFFSET('VVP2'!$G$7,0,(COLUMN()-10)/4)</f>
        <v>1467.9538</v>
      </c>
      <c r="AY24" s="1625"/>
      <c r="AZ24" s="2916" t="s">
        <v>1694</v>
      </c>
      <c r="BA24" s="2917">
        <f ca="1">+BB24/BB23*100</f>
        <v>100.00385704630538</v>
      </c>
      <c r="BB24" s="1626">
        <f ca="1">OFFSET('VVP2'!$G$7,0,(COLUMN()-10)/4)</f>
        <v>1507.16993</v>
      </c>
      <c r="BC24" s="1625"/>
      <c r="BD24" s="2916" t="s">
        <v>1694</v>
      </c>
      <c r="BE24" s="2917">
        <f ca="1">+BF24/BF23*100</f>
        <v>99.940148229694458</v>
      </c>
      <c r="BF24" s="1626">
        <f ca="1">OFFSET('VVP2'!$G$7,0,(COLUMN()-10)/4)</f>
        <v>1564.3635400000001</v>
      </c>
      <c r="BG24" s="1625"/>
      <c r="BH24" s="2916" t="s">
        <v>1694</v>
      </c>
      <c r="BI24" s="2917">
        <f ca="1">+BJ24/BJ23*100</f>
        <v>99.975905830034179</v>
      </c>
      <c r="BJ24" s="1626">
        <f ca="1">OFFSET('VVP2'!$G$7,0,(COLUMN()-10)/4)</f>
        <v>1567.9268300000001</v>
      </c>
      <c r="BK24" s="1625"/>
      <c r="BL24" s="2916" t="s">
        <v>1694</v>
      </c>
      <c r="BM24" s="2917">
        <f ca="1">+BN24/BN23*100</f>
        <v>99.965893129476115</v>
      </c>
      <c r="BN24" s="1626">
        <f ca="1">OFFSET('VVP2'!$G$7,0,(COLUMN()-10)/4)</f>
        <v>1573.4275700000001</v>
      </c>
      <c r="BO24" s="1625"/>
      <c r="BP24" s="2916" t="s">
        <v>1694</v>
      </c>
      <c r="BQ24" s="2917">
        <f ca="1">+BR24/BR23*100</f>
        <v>100.06451450584699</v>
      </c>
      <c r="BR24" s="1626">
        <f ca="1">OFFSET('VVP2'!$G$7,0,(COLUMN()-10)/4)</f>
        <v>1634.64</v>
      </c>
      <c r="BS24" s="1625"/>
      <c r="BT24" s="2916" t="s">
        <v>1694</v>
      </c>
      <c r="BU24" s="2917">
        <f ca="1">+BV24/BV23*100</f>
        <v>100.06899261017534</v>
      </c>
      <c r="BV24" s="1626">
        <f ca="1">OFFSET('VVP2'!$G$7,0,(COLUMN()-10)/4)</f>
        <v>1665.1523400000001</v>
      </c>
      <c r="BW24" s="1625"/>
      <c r="BX24" s="2916" t="s">
        <v>1694</v>
      </c>
      <c r="BY24" s="2917">
        <f ca="1">+BZ24/BZ23*100</f>
        <v>99.943134834357906</v>
      </c>
      <c r="BZ24" s="1626">
        <f ca="1">OFFSET('VVP2'!$G$7,0,(COLUMN()-10)/4)</f>
        <v>1678.29809</v>
      </c>
      <c r="CA24" s="1625"/>
      <c r="CB24" s="2916" t="s">
        <v>1694</v>
      </c>
      <c r="CC24" s="2917">
        <f ca="1">+CD24/CD23*100</f>
        <v>99.944510892436227</v>
      </c>
      <c r="CD24" s="1626">
        <f ca="1">OFFSET('VVP2'!$G$7,0,(COLUMN()-10)/4)</f>
        <v>1709.49469</v>
      </c>
      <c r="CE24" s="1625"/>
      <c r="CF24" s="2916" t="s">
        <v>1694</v>
      </c>
      <c r="CG24" s="2917">
        <f ca="1">+CH24/CH23*100</f>
        <v>99.901070435636498</v>
      </c>
      <c r="CH24" s="1626">
        <f ca="1">OFFSET('VVP2'!$G$7,0,(COLUMN()-10)/4)</f>
        <v>1745.8680099999999</v>
      </c>
      <c r="CI24" s="1625"/>
      <c r="CJ24" s="2916" t="s">
        <v>1694</v>
      </c>
      <c r="CK24" s="2917">
        <f ca="1">+CL24/CL23*100</f>
        <v>99.986623069922715</v>
      </c>
      <c r="CL24" s="1626">
        <f ca="1">OFFSET('VVP2'!$G$7,0,(COLUMN()-10)/4)</f>
        <v>1800.3217400000001</v>
      </c>
      <c r="CM24" s="1625"/>
      <c r="CN24" s="2916" t="s">
        <v>1694</v>
      </c>
      <c r="CO24" s="2917">
        <f ca="1">+CP24/CP23*100</f>
        <v>100.07128818528412</v>
      </c>
      <c r="CP24" s="1626">
        <f ca="1">OFFSET('VVP2'!$G$7,0,(COLUMN()-10)/4)</f>
        <v>1851.87833</v>
      </c>
      <c r="CQ24" s="1625"/>
      <c r="CR24" s="2916" t="s">
        <v>1694</v>
      </c>
      <c r="CS24" s="2917">
        <f ca="1">+CT24/CT23*100</f>
        <v>100.00442366203242</v>
      </c>
      <c r="CT24" s="1626">
        <f ca="1">OFFSET('VVP2'!$G$7,0,(COLUMN()-10)/4)</f>
        <v>1892.85943</v>
      </c>
      <c r="CU24" s="1625"/>
      <c r="CV24" s="2916" t="s">
        <v>1694</v>
      </c>
      <c r="CW24" s="2917">
        <f ca="1">+CX24/CX23*100</f>
        <v>100.00122448287756</v>
      </c>
      <c r="CX24" s="1626">
        <f ca="1">OFFSET('VVP2'!$G$7,0,(COLUMN()-10)/4)</f>
        <v>1938.2880563200001</v>
      </c>
      <c r="CY24" s="1625"/>
      <c r="CZ24" s="2916" t="s">
        <v>1694</v>
      </c>
      <c r="DA24" s="2917">
        <f ca="1">+DB24/DB23*100</f>
        <v>100.01155669684618</v>
      </c>
      <c r="DB24" s="1626">
        <f ca="1">OFFSET('VVP2'!$G$7,0,(COLUMN()-10)/4)</f>
        <v>1983.4501680322562</v>
      </c>
      <c r="DC24" s="1625"/>
      <c r="DD24" s="2916" t="s">
        <v>1694</v>
      </c>
      <c r="DE24" s="2917">
        <f ca="1">+DF24/DF23*100</f>
        <v>100.00770540443879</v>
      </c>
      <c r="DF24" s="1626">
        <f ca="1">OFFSET('VVP2'!$G$7,0,(COLUMN()-10)/4)</f>
        <v>2025.1026215609334</v>
      </c>
    </row>
    <row r="25" spans="1:110">
      <c r="AY25" s="217"/>
      <c r="BA25" s="217"/>
      <c r="BB25" s="217"/>
      <c r="BC25" s="217"/>
      <c r="BD25" s="217"/>
      <c r="BE25" s="217"/>
      <c r="BF25" s="217"/>
      <c r="BG25" s="217"/>
      <c r="BH25" s="217"/>
      <c r="BI25" s="217"/>
      <c r="BJ25" s="217"/>
      <c r="BK25" s="217"/>
      <c r="BL25" s="217"/>
      <c r="BM25" s="217"/>
      <c r="BN25" s="217"/>
      <c r="BO25" s="217"/>
      <c r="BP25" s="217"/>
      <c r="BQ25" s="217"/>
      <c r="BR25" s="217"/>
      <c r="BS25" s="217"/>
      <c r="BT25" s="217"/>
      <c r="BU25" s="217"/>
      <c r="BV25" s="217"/>
      <c r="BW25" s="217"/>
      <c r="BX25" s="217"/>
      <c r="BY25" s="217"/>
      <c r="BZ25" s="217"/>
      <c r="CC25" s="217"/>
      <c r="CD25" s="217"/>
      <c r="CH25" s="217"/>
    </row>
    <row r="26" spans="1:110" s="736" customFormat="1" ht="12.75" customHeight="1">
      <c r="A26" s="701"/>
      <c r="C26" s="1603"/>
      <c r="D26" s="779"/>
      <c r="E26" s="780" t="s">
        <v>1641</v>
      </c>
      <c r="F26" s="781"/>
      <c r="G26" s="1630" t="str">
        <f t="shared" ref="G26:N26" si="99">G21</f>
        <v>Q1</v>
      </c>
      <c r="H26" s="1631" t="str">
        <f t="shared" si="99"/>
        <v>Q2</v>
      </c>
      <c r="I26" s="1631" t="str">
        <f t="shared" si="99"/>
        <v>Q3</v>
      </c>
      <c r="J26" s="1632" t="str">
        <f t="shared" si="99"/>
        <v>Q4</v>
      </c>
      <c r="K26" s="1630" t="str">
        <f t="shared" si="99"/>
        <v>Q1</v>
      </c>
      <c r="L26" s="1631" t="str">
        <f t="shared" si="99"/>
        <v>Q2</v>
      </c>
      <c r="M26" s="1631" t="str">
        <f t="shared" si="99"/>
        <v>Q3</v>
      </c>
      <c r="N26" s="1632" t="str">
        <f t="shared" si="99"/>
        <v>Q4</v>
      </c>
      <c r="O26" s="1630" t="str">
        <f t="shared" ref="O26:AX26" si="100">O21</f>
        <v>Q1</v>
      </c>
      <c r="P26" s="1631" t="str">
        <f t="shared" si="100"/>
        <v>Q2</v>
      </c>
      <c r="Q26" s="1631" t="str">
        <f t="shared" si="100"/>
        <v>Q3</v>
      </c>
      <c r="R26" s="1632" t="str">
        <f t="shared" si="100"/>
        <v>Q4</v>
      </c>
      <c r="S26" s="1630" t="str">
        <f t="shared" si="100"/>
        <v>Q1</v>
      </c>
      <c r="T26" s="1631" t="str">
        <f t="shared" si="100"/>
        <v>Q2</v>
      </c>
      <c r="U26" s="1631" t="str">
        <f t="shared" si="100"/>
        <v>Q3</v>
      </c>
      <c r="V26" s="1632" t="str">
        <f t="shared" si="100"/>
        <v>Q4</v>
      </c>
      <c r="W26" s="1630" t="str">
        <f t="shared" si="100"/>
        <v>Q1</v>
      </c>
      <c r="X26" s="1631" t="str">
        <f t="shared" si="100"/>
        <v>Q2</v>
      </c>
      <c r="Y26" s="1631" t="str">
        <f t="shared" si="100"/>
        <v>Q3</v>
      </c>
      <c r="Z26" s="1632" t="str">
        <f t="shared" si="100"/>
        <v>Q4</v>
      </c>
      <c r="AA26" s="1630" t="str">
        <f t="shared" si="100"/>
        <v>Q1</v>
      </c>
      <c r="AB26" s="1631" t="str">
        <f t="shared" si="100"/>
        <v>Q2</v>
      </c>
      <c r="AC26" s="1631" t="str">
        <f t="shared" si="100"/>
        <v>Q3</v>
      </c>
      <c r="AD26" s="1632" t="str">
        <f t="shared" si="100"/>
        <v>Q4</v>
      </c>
      <c r="AE26" s="1630" t="str">
        <f t="shared" si="100"/>
        <v>Q1</v>
      </c>
      <c r="AF26" s="1631" t="str">
        <f t="shared" si="100"/>
        <v>Q2</v>
      </c>
      <c r="AG26" s="1631" t="str">
        <f t="shared" si="100"/>
        <v>Q3</v>
      </c>
      <c r="AH26" s="1632" t="str">
        <f t="shared" si="100"/>
        <v>Q4</v>
      </c>
      <c r="AI26" s="1630" t="str">
        <f t="shared" si="100"/>
        <v>Q1</v>
      </c>
      <c r="AJ26" s="1631" t="str">
        <f t="shared" si="100"/>
        <v>Q2</v>
      </c>
      <c r="AK26" s="1631" t="str">
        <f t="shared" si="100"/>
        <v>Q3</v>
      </c>
      <c r="AL26" s="1632" t="str">
        <f t="shared" si="100"/>
        <v>Q4</v>
      </c>
      <c r="AM26" s="1630" t="str">
        <f t="shared" si="100"/>
        <v>Q1</v>
      </c>
      <c r="AN26" s="1631" t="str">
        <f t="shared" si="100"/>
        <v>Q2</v>
      </c>
      <c r="AO26" s="1631" t="str">
        <f t="shared" si="100"/>
        <v>Q3</v>
      </c>
      <c r="AP26" s="1632" t="str">
        <f t="shared" si="100"/>
        <v>Q4</v>
      </c>
      <c r="AQ26" s="1630" t="str">
        <f t="shared" si="100"/>
        <v>Q1</v>
      </c>
      <c r="AR26" s="1631" t="str">
        <f t="shared" si="100"/>
        <v>Q2</v>
      </c>
      <c r="AS26" s="1631" t="str">
        <f t="shared" si="100"/>
        <v>Q3</v>
      </c>
      <c r="AT26" s="1632" t="str">
        <f t="shared" si="100"/>
        <v>Q4</v>
      </c>
      <c r="AU26" s="1630" t="str">
        <f t="shared" si="100"/>
        <v>Q1</v>
      </c>
      <c r="AV26" s="1631" t="str">
        <f t="shared" si="100"/>
        <v>Q2</v>
      </c>
      <c r="AW26" s="1631" t="str">
        <f t="shared" si="100"/>
        <v>Q3</v>
      </c>
      <c r="AX26" s="1632" t="str">
        <f t="shared" si="100"/>
        <v>Q4</v>
      </c>
      <c r="AY26" s="1630" t="str">
        <f t="shared" ref="AY26:BF26" si="101">AY21</f>
        <v>Q1</v>
      </c>
      <c r="AZ26" s="1631" t="str">
        <f t="shared" si="101"/>
        <v>Q2</v>
      </c>
      <c r="BA26" s="1631" t="str">
        <f t="shared" si="101"/>
        <v>Q3</v>
      </c>
      <c r="BB26" s="1632" t="str">
        <f t="shared" si="101"/>
        <v>Q4</v>
      </c>
      <c r="BC26" s="1630" t="str">
        <f t="shared" si="101"/>
        <v>Q1</v>
      </c>
      <c r="BD26" s="1631" t="str">
        <f t="shared" si="101"/>
        <v>Q2</v>
      </c>
      <c r="BE26" s="1631" t="str">
        <f t="shared" si="101"/>
        <v>Q3</v>
      </c>
      <c r="BF26" s="1632" t="str">
        <f t="shared" si="101"/>
        <v>Q4</v>
      </c>
      <c r="BG26" s="1630" t="str">
        <f t="shared" ref="BG26:BN26" si="102">BG21</f>
        <v>Q1</v>
      </c>
      <c r="BH26" s="1631" t="str">
        <f t="shared" si="102"/>
        <v>Q2</v>
      </c>
      <c r="BI26" s="1631" t="str">
        <f t="shared" si="102"/>
        <v>Q3</v>
      </c>
      <c r="BJ26" s="1632" t="str">
        <f t="shared" si="102"/>
        <v>Q4</v>
      </c>
      <c r="BK26" s="1630" t="str">
        <f t="shared" si="102"/>
        <v>Q1</v>
      </c>
      <c r="BL26" s="1631" t="str">
        <f t="shared" si="102"/>
        <v>Q2</v>
      </c>
      <c r="BM26" s="1631" t="str">
        <f t="shared" si="102"/>
        <v>Q3</v>
      </c>
      <c r="BN26" s="1632" t="str">
        <f t="shared" si="102"/>
        <v>Q4</v>
      </c>
      <c r="BO26" s="1630" t="str">
        <f t="shared" ref="BO26:BV26" si="103">BO21</f>
        <v>Q1</v>
      </c>
      <c r="BP26" s="1631" t="str">
        <f t="shared" si="103"/>
        <v>Q2</v>
      </c>
      <c r="BQ26" s="1631" t="str">
        <f t="shared" si="103"/>
        <v>Q3</v>
      </c>
      <c r="BR26" s="1632" t="str">
        <f t="shared" si="103"/>
        <v>Q4</v>
      </c>
      <c r="BS26" s="1630" t="str">
        <f t="shared" si="103"/>
        <v>Q1</v>
      </c>
      <c r="BT26" s="1631" t="str">
        <f t="shared" si="103"/>
        <v>Q2</v>
      </c>
      <c r="BU26" s="1631" t="str">
        <f t="shared" si="103"/>
        <v>Q3</v>
      </c>
      <c r="BV26" s="1632" t="str">
        <f t="shared" si="103"/>
        <v>Q4</v>
      </c>
      <c r="BW26" s="1630" t="str">
        <f t="shared" ref="BW26:CB26" si="104">BW21</f>
        <v>Q1</v>
      </c>
      <c r="BX26" s="1631" t="str">
        <f t="shared" si="104"/>
        <v>Q2</v>
      </c>
      <c r="BY26" s="1631" t="str">
        <f t="shared" si="104"/>
        <v>Q3</v>
      </c>
      <c r="BZ26" s="1632" t="str">
        <f t="shared" si="104"/>
        <v>Q4</v>
      </c>
      <c r="CA26" s="1631" t="str">
        <f t="shared" si="104"/>
        <v>Q1</v>
      </c>
      <c r="CB26" s="1631" t="str">
        <f t="shared" si="104"/>
        <v>Q2</v>
      </c>
      <c r="CC26" s="1631" t="str">
        <f t="shared" ref="CC26:CL26" si="105">CC21</f>
        <v>Q3</v>
      </c>
      <c r="CD26" s="1632" t="str">
        <f t="shared" si="105"/>
        <v>Q4</v>
      </c>
      <c r="CE26" s="1631" t="str">
        <f t="shared" si="105"/>
        <v>Q1</v>
      </c>
      <c r="CF26" s="1631" t="str">
        <f t="shared" si="105"/>
        <v>Q2</v>
      </c>
      <c r="CG26" s="1631" t="str">
        <f t="shared" si="105"/>
        <v>Q3</v>
      </c>
      <c r="CH26" s="1632" t="str">
        <f>CH21</f>
        <v>Q4</v>
      </c>
      <c r="CI26" s="1631" t="str">
        <f>CI21</f>
        <v>Q1</v>
      </c>
      <c r="CJ26" s="1631" t="str">
        <f>CJ21</f>
        <v>Q2</v>
      </c>
      <c r="CK26" s="1631" t="str">
        <f t="shared" si="105"/>
        <v>Q3</v>
      </c>
      <c r="CL26" s="1631" t="str">
        <f t="shared" si="105"/>
        <v>Q4</v>
      </c>
      <c r="CM26" s="1631" t="str">
        <f>CM21</f>
        <v>Q1</v>
      </c>
      <c r="CN26" s="1631" t="str">
        <f>CN21</f>
        <v>Q2</v>
      </c>
      <c r="CO26" s="1631" t="str">
        <f>CO21</f>
        <v>Q3</v>
      </c>
      <c r="CP26" s="1631" t="str">
        <f t="shared" ref="CP26" si="106">CP21</f>
        <v>Q4</v>
      </c>
      <c r="CQ26" s="1631" t="str">
        <f>CQ21</f>
        <v>Q1</v>
      </c>
      <c r="CR26" s="1631" t="str">
        <f>CR21</f>
        <v>Q2</v>
      </c>
      <c r="CS26" s="1631" t="str">
        <f>CS21</f>
        <v>Q3</v>
      </c>
      <c r="CT26" s="1631" t="str">
        <f t="shared" ref="CT26" si="107">CT21</f>
        <v>Q4</v>
      </c>
      <c r="CU26" s="1631" t="str">
        <f t="shared" ref="CU26:CX26" si="108">CU21</f>
        <v>Q1</v>
      </c>
      <c r="CV26" s="1631" t="str">
        <f>CV21</f>
        <v>Q2</v>
      </c>
      <c r="CW26" s="1631" t="str">
        <f t="shared" si="108"/>
        <v>Q3</v>
      </c>
      <c r="CX26" s="1631" t="str">
        <f t="shared" si="108"/>
        <v>Q4</v>
      </c>
      <c r="CY26" s="1631" t="str">
        <f t="shared" ref="CY26:DB26" si="109">CY21</f>
        <v>Q1</v>
      </c>
      <c r="CZ26" s="1631" t="str">
        <f t="shared" si="109"/>
        <v>Q2</v>
      </c>
      <c r="DA26" s="1631" t="str">
        <f t="shared" si="109"/>
        <v>Q3</v>
      </c>
      <c r="DB26" s="1631" t="str">
        <f t="shared" si="109"/>
        <v>Q4</v>
      </c>
      <c r="DC26" s="1631" t="str">
        <f t="shared" ref="DC26:DF26" si="110">DC21</f>
        <v>Q1</v>
      </c>
      <c r="DD26" s="1631" t="str">
        <f t="shared" si="110"/>
        <v>Q2</v>
      </c>
      <c r="DE26" s="1631" t="str">
        <f t="shared" si="110"/>
        <v>Q3</v>
      </c>
      <c r="DF26" s="1631" t="str">
        <f t="shared" si="110"/>
        <v>Q4</v>
      </c>
    </row>
    <row r="27" spans="1:110" s="736" customFormat="1" ht="12.75" customHeight="1">
      <c r="B27" s="701"/>
      <c r="C27" s="1628"/>
      <c r="D27" s="726"/>
      <c r="E27" s="775" t="str">
        <f>E22</f>
        <v xml:space="preserve">Household final consumption expenditure (domestic)            </v>
      </c>
      <c r="F27" s="770" t="s">
        <v>1968</v>
      </c>
      <c r="G27" s="1621"/>
      <c r="H27" s="1015">
        <f t="shared" ref="H27:AX27" si="111">(H22/G22-1)*100</f>
        <v>0.79157451320683858</v>
      </c>
      <c r="I27" s="1015">
        <f t="shared" si="111"/>
        <v>-0.2070988897198256</v>
      </c>
      <c r="J27" s="1015">
        <f t="shared" si="111"/>
        <v>0.18248832651177604</v>
      </c>
      <c r="K27" s="1015">
        <f t="shared" si="111"/>
        <v>0.67946133637346584</v>
      </c>
      <c r="L27" s="1015">
        <f t="shared" si="111"/>
        <v>7.7550171853491001E-2</v>
      </c>
      <c r="M27" s="1015">
        <f t="shared" si="111"/>
        <v>1.6483506677674287</v>
      </c>
      <c r="N27" s="1642">
        <f t="shared" si="111"/>
        <v>5.6042671086387053E-2</v>
      </c>
      <c r="O27" s="1015">
        <f t="shared" si="111"/>
        <v>0.78903610762308674</v>
      </c>
      <c r="P27" s="1015">
        <f t="shared" si="111"/>
        <v>1.6170776998853276</v>
      </c>
      <c r="Q27" s="1015">
        <f t="shared" si="111"/>
        <v>-0.46718179793376891</v>
      </c>
      <c r="R27" s="1642">
        <f t="shared" si="111"/>
        <v>0.78582553337402938</v>
      </c>
      <c r="S27" s="1015">
        <f t="shared" si="111"/>
        <v>0.7569148452865937</v>
      </c>
      <c r="T27" s="1015">
        <f t="shared" si="111"/>
        <v>1.227276934170618</v>
      </c>
      <c r="U27" s="1015">
        <f t="shared" si="111"/>
        <v>0.89369979322830861</v>
      </c>
      <c r="V27" s="1642">
        <f t="shared" si="111"/>
        <v>1.309771302870244</v>
      </c>
      <c r="W27" s="1015">
        <f t="shared" si="111"/>
        <v>0.40356547822852917</v>
      </c>
      <c r="X27" s="1015">
        <f t="shared" si="111"/>
        <v>0.45826831164204052</v>
      </c>
      <c r="Y27" s="1015">
        <f t="shared" si="111"/>
        <v>1.3582683240184412</v>
      </c>
      <c r="Z27" s="1642">
        <f t="shared" si="111"/>
        <v>2.929827338987212</v>
      </c>
      <c r="AA27" s="1015">
        <f t="shared" si="111"/>
        <v>0.83870053726529115</v>
      </c>
      <c r="AB27" s="1015">
        <f t="shared" si="111"/>
        <v>1.6840143384227124</v>
      </c>
      <c r="AC27" s="1015">
        <f t="shared" si="111"/>
        <v>0.41602024105489299</v>
      </c>
      <c r="AD27" s="1642">
        <f t="shared" si="111"/>
        <v>-0.17164583742212969</v>
      </c>
      <c r="AE27" s="1015">
        <f t="shared" si="111"/>
        <v>8.1184247953669519E-2</v>
      </c>
      <c r="AF27" s="1015">
        <f t="shared" si="111"/>
        <v>0.38407137449969486</v>
      </c>
      <c r="AG27" s="1015">
        <f t="shared" si="111"/>
        <v>5.4515269401322897E-2</v>
      </c>
      <c r="AH27" s="1642">
        <f t="shared" si="111"/>
        <v>-0.39719013594270436</v>
      </c>
      <c r="AI27" s="1015">
        <f t="shared" si="111"/>
        <v>1.6442318456460159</v>
      </c>
      <c r="AJ27" s="1015">
        <f t="shared" si="111"/>
        <v>0.74297345358231848</v>
      </c>
      <c r="AK27" s="1015">
        <f t="shared" si="111"/>
        <v>0.3047481499122151</v>
      </c>
      <c r="AL27" s="1642">
        <f t="shared" si="111"/>
        <v>1.4721269443269236</v>
      </c>
      <c r="AM27" s="1015">
        <f t="shared" si="111"/>
        <v>2.8275132717503482E-2</v>
      </c>
      <c r="AN27" s="1015">
        <f t="shared" si="111"/>
        <v>0.21940408573359882</v>
      </c>
      <c r="AO27" s="1015">
        <f t="shared" si="111"/>
        <v>1.2435796119431686</v>
      </c>
      <c r="AP27" s="1642">
        <f t="shared" si="111"/>
        <v>0.4348148175691291</v>
      </c>
      <c r="AQ27" s="1015">
        <f t="shared" si="111"/>
        <v>1.2232717235817203</v>
      </c>
      <c r="AR27" s="1015">
        <f t="shared" si="111"/>
        <v>-0.41883806269319424</v>
      </c>
      <c r="AS27" s="1015">
        <f t="shared" si="111"/>
        <v>1.0961810666568761</v>
      </c>
      <c r="AT27" s="1642">
        <f t="shared" si="111"/>
        <v>0.56817975395364595</v>
      </c>
      <c r="AU27" s="1015">
        <f t="shared" si="111"/>
        <v>0.58044795198133325</v>
      </c>
      <c r="AV27" s="1015">
        <f t="shared" si="111"/>
        <v>0.6481027150801344</v>
      </c>
      <c r="AW27" s="1015">
        <f t="shared" si="111"/>
        <v>1.3165718075425659</v>
      </c>
      <c r="AX27" s="1642">
        <f t="shared" si="111"/>
        <v>0.53601986286302417</v>
      </c>
      <c r="AY27" s="1015">
        <f t="shared" ref="AY27:BF27" si="112">(AY22/AX22-1)*100</f>
        <v>0.16797405982496016</v>
      </c>
      <c r="AZ27" s="1015">
        <f t="shared" si="112"/>
        <v>1.253697612946203</v>
      </c>
      <c r="BA27" s="1015">
        <f t="shared" si="112"/>
        <v>0.19619909425314663</v>
      </c>
      <c r="BB27" s="1642">
        <f t="shared" si="112"/>
        <v>1.2955235184735292</v>
      </c>
      <c r="BC27" s="1015">
        <f t="shared" si="112"/>
        <v>0.74206213425394019</v>
      </c>
      <c r="BD27" s="1015">
        <f t="shared" si="112"/>
        <v>0.721419836147974</v>
      </c>
      <c r="BE27" s="1015">
        <f t="shared" si="112"/>
        <v>1.7198990574237794</v>
      </c>
      <c r="BF27" s="1642">
        <f t="shared" si="112"/>
        <v>1.1154010827570726</v>
      </c>
      <c r="BG27" s="1015">
        <f t="shared" ref="BG27:BN27" si="113">(BG22/BF22-1)*100</f>
        <v>-1.0314303037022743</v>
      </c>
      <c r="BH27" s="1015">
        <f t="shared" si="113"/>
        <v>-9.3780454887282261E-4</v>
      </c>
      <c r="BI27" s="1015">
        <f t="shared" si="113"/>
        <v>-0.69986221747738719</v>
      </c>
      <c r="BJ27" s="1642">
        <f t="shared" si="113"/>
        <v>-1.1016056212057257</v>
      </c>
      <c r="BK27" s="1015">
        <f t="shared" si="113"/>
        <v>0.33848847539010851</v>
      </c>
      <c r="BL27" s="1015">
        <f t="shared" si="113"/>
        <v>1.3183911383949365</v>
      </c>
      <c r="BM27" s="1015">
        <f t="shared" si="113"/>
        <v>0.32049166427179365</v>
      </c>
      <c r="BN27" s="1642">
        <f t="shared" si="113"/>
        <v>0.24949564375900124</v>
      </c>
      <c r="BO27" s="1015">
        <f t="shared" ref="BO27:BV27" si="114">(BO22/BN22-1)*100</f>
        <v>2.2381558583249417</v>
      </c>
      <c r="BP27" s="1015">
        <f t="shared" si="114"/>
        <v>7.0541572615345771E-2</v>
      </c>
      <c r="BQ27" s="1015">
        <f t="shared" si="114"/>
        <v>1.2543452906289998</v>
      </c>
      <c r="BR27" s="1642">
        <f t="shared" si="114"/>
        <v>0.61499263241848734</v>
      </c>
      <c r="BS27" s="1015">
        <f t="shared" si="114"/>
        <v>0.26798081000680707</v>
      </c>
      <c r="BT27" s="1015">
        <f t="shared" si="114"/>
        <v>0.95372276751337637</v>
      </c>
      <c r="BU27" s="1015">
        <f t="shared" si="114"/>
        <v>-0.40434713847836701</v>
      </c>
      <c r="BV27" s="1642">
        <f t="shared" si="114"/>
        <v>-0.11963455247668842</v>
      </c>
      <c r="BW27" s="1015">
        <f t="shared" ref="BW27:CL27" si="115">(BW22/BV22-1)*100</f>
        <v>0.50751654100815724</v>
      </c>
      <c r="BX27" s="1015">
        <f t="shared" si="115"/>
        <v>0.22551939576882507</v>
      </c>
      <c r="BY27" s="1015">
        <f t="shared" si="115"/>
        <v>0.40172178074611153</v>
      </c>
      <c r="BZ27" s="1642">
        <f t="shared" si="115"/>
        <v>0.36660707954037086</v>
      </c>
      <c r="CA27" s="1642">
        <f t="shared" si="115"/>
        <v>0.43118491975879802</v>
      </c>
      <c r="CB27" s="1642">
        <f t="shared" si="115"/>
        <v>0.38358811898382417</v>
      </c>
      <c r="CC27" s="1015">
        <f t="shared" si="115"/>
        <v>0.9613341731454339</v>
      </c>
      <c r="CD27" s="1642">
        <f t="shared" si="115"/>
        <v>0.44715519071543142</v>
      </c>
      <c r="CE27" s="1642">
        <f t="shared" si="115"/>
        <v>5.5689029492933528E-2</v>
      </c>
      <c r="CF27" s="1642">
        <f t="shared" si="115"/>
        <v>1.4309882068894497</v>
      </c>
      <c r="CG27" s="1642">
        <f t="shared" si="115"/>
        <v>-0.18320622540369813</v>
      </c>
      <c r="CH27" s="1642">
        <f t="shared" si="115"/>
        <v>0.84473467781693845</v>
      </c>
      <c r="CI27" s="1642">
        <f t="shared" si="115"/>
        <v>0.90646352640126882</v>
      </c>
      <c r="CJ27" s="1642">
        <f t="shared" si="115"/>
        <v>0.67896741019379814</v>
      </c>
      <c r="CK27" s="1642">
        <f t="shared" si="115"/>
        <v>0.85642274632733439</v>
      </c>
      <c r="CL27" s="1642">
        <f t="shared" si="115"/>
        <v>1.0185687034055535</v>
      </c>
      <c r="CM27" s="1642">
        <f t="shared" ref="CM27" si="116">(CM22/CL22-1)*100</f>
        <v>1.0152243099768699</v>
      </c>
      <c r="CN27" s="1642">
        <f t="shared" ref="CN27:CP27" si="117">(CN22/CM22-1)*100</f>
        <v>-0.10746463734319089</v>
      </c>
      <c r="CO27" s="1642">
        <f t="shared" si="117"/>
        <v>0.71880895003371137</v>
      </c>
      <c r="CP27" s="1642">
        <f t="shared" si="117"/>
        <v>0.3974467657472891</v>
      </c>
      <c r="CQ27" s="873">
        <f t="shared" ref="CQ27" si="118">(CQ22/CP22-1)*100</f>
        <v>0.83079710168274534</v>
      </c>
      <c r="CR27" s="873">
        <f t="shared" ref="CR27" si="119">(CR22/CQ22-1)*100</f>
        <v>0.50425982492889876</v>
      </c>
      <c r="CS27" s="873">
        <f t="shared" ref="CS27" si="120">(CS22/CR22-1)*100</f>
        <v>0.4679010351687829</v>
      </c>
      <c r="CT27" s="873">
        <f t="shared" ref="CT27:CV27" si="121">(CT22/CS22-1)*100</f>
        <v>0.75456444399344402</v>
      </c>
      <c r="CU27" s="873">
        <f t="shared" si="121"/>
        <v>0.49077426875407948</v>
      </c>
      <c r="CV27" s="873">
        <f t="shared" si="121"/>
        <v>0.85425419505966715</v>
      </c>
      <c r="CW27" s="777">
        <v>0.32</v>
      </c>
      <c r="CX27" s="777">
        <v>0.66</v>
      </c>
      <c r="CY27" s="3679">
        <v>0.74</v>
      </c>
      <c r="CZ27" s="3679">
        <v>0.52</v>
      </c>
      <c r="DA27" s="3679">
        <v>0.43</v>
      </c>
      <c r="DB27" s="3679">
        <v>0.35</v>
      </c>
      <c r="DC27" s="3679">
        <v>0.71</v>
      </c>
      <c r="DD27" s="3679">
        <v>0.53</v>
      </c>
      <c r="DE27" s="3679">
        <v>0.55000000000000004</v>
      </c>
      <c r="DF27" s="3679">
        <v>0.39</v>
      </c>
    </row>
    <row r="28" spans="1:110" s="26" customFormat="1" ht="12.75">
      <c r="A28" s="710"/>
      <c r="B28" s="710"/>
      <c r="C28" s="1655"/>
      <c r="D28" s="1656"/>
      <c r="E28" s="1634" t="s">
        <v>1783</v>
      </c>
      <c r="F28" s="1704"/>
      <c r="G28" s="1657"/>
      <c r="H28" s="1658"/>
      <c r="I28" s="1658"/>
      <c r="J28" s="1658"/>
      <c r="K28" s="1659"/>
      <c r="L28" s="1659"/>
      <c r="M28" s="1659"/>
      <c r="N28" s="1660">
        <f>N23/J23*100-100</f>
        <v>1.8163849073185077</v>
      </c>
      <c r="O28" s="1659"/>
      <c r="P28" s="1659"/>
      <c r="Q28" s="1659"/>
      <c r="R28" s="1660">
        <f>R23/N23*100-100</f>
        <v>2.8688530031244568</v>
      </c>
      <c r="S28" s="1659"/>
      <c r="T28" s="1659"/>
      <c r="U28" s="1659"/>
      <c r="V28" s="1660">
        <f>V23/R23*100-100</f>
        <v>3.2498812434518527</v>
      </c>
      <c r="W28" s="1659"/>
      <c r="X28" s="1659"/>
      <c r="Y28" s="1659"/>
      <c r="Z28" s="1660">
        <f>Z23/V23*100-100</f>
        <v>3.9531309178528318</v>
      </c>
      <c r="AA28" s="1659"/>
      <c r="AB28" s="1659"/>
      <c r="AC28" s="1659"/>
      <c r="AD28" s="1660">
        <f>AD23/Z23*100-100</f>
        <v>5.3308397370020089</v>
      </c>
      <c r="AE28" s="1659"/>
      <c r="AF28" s="1659"/>
      <c r="AG28" s="1659"/>
      <c r="AH28" s="1660">
        <f>AH23/AD23*100-100</f>
        <v>0.79251138274756272</v>
      </c>
      <c r="AI28" s="1659"/>
      <c r="AJ28" s="1659"/>
      <c r="AK28" s="1659"/>
      <c r="AL28" s="1660">
        <f>AL23/AH23*100-100</f>
        <v>2.5644086590245649</v>
      </c>
      <c r="AM28" s="1659"/>
      <c r="AN28" s="1659"/>
      <c r="AO28" s="1659"/>
      <c r="AP28" s="1660">
        <f>AP23/AL23*100-100</f>
        <v>2.3792239029773157</v>
      </c>
      <c r="AQ28" s="1659"/>
      <c r="AR28" s="1659"/>
      <c r="AS28" s="1659"/>
      <c r="AT28" s="1660">
        <f>AT23/AP23*100-100</f>
        <v>2.6184624549079842</v>
      </c>
      <c r="AU28" s="1659"/>
      <c r="AV28" s="1659"/>
      <c r="AW28" s="1659"/>
      <c r="AX28" s="1660">
        <f>AX23/AT23*100-100</f>
        <v>2.7562636048024558</v>
      </c>
      <c r="AY28" s="1659"/>
      <c r="AZ28" s="1659"/>
      <c r="BA28" s="1659"/>
      <c r="BB28" s="1660">
        <f>BB23/AX23*100-100</f>
        <v>2.7760710320229691</v>
      </c>
      <c r="BC28" s="1659"/>
      <c r="BD28" s="1659"/>
      <c r="BE28" s="1659"/>
      <c r="BF28" s="1660">
        <f>BF23/BB23*100-100</f>
        <v>3.8609345371723407</v>
      </c>
      <c r="BG28" s="1659"/>
      <c r="BH28" s="1659"/>
      <c r="BI28" s="1659"/>
      <c r="BJ28" s="1660">
        <f>BJ23/BF23*100-100</f>
        <v>0.1919312101370565</v>
      </c>
      <c r="BK28" s="1659"/>
      <c r="BL28" s="1659"/>
      <c r="BM28" s="1659"/>
      <c r="BN28" s="1660">
        <f>BN23/BJ23*100-100</f>
        <v>0.36088012743952902</v>
      </c>
      <c r="BO28" s="1659"/>
      <c r="BP28" s="1659"/>
      <c r="BQ28" s="1659"/>
      <c r="BR28" s="1660">
        <f>BR23/BN23*100-100</f>
        <v>3.7879954591094815</v>
      </c>
      <c r="BS28" s="1659"/>
      <c r="BT28" s="1659"/>
      <c r="BU28" s="1659"/>
      <c r="BV28" s="1660">
        <f>BV23/BR23*100-100</f>
        <v>1.8620506136774821</v>
      </c>
      <c r="BW28" s="1659"/>
      <c r="BX28" s="1659"/>
      <c r="BY28" s="1659"/>
      <c r="BZ28" s="1660">
        <f>BZ23/BV23*100-100</f>
        <v>0.91638585308943732</v>
      </c>
      <c r="CA28" s="1661"/>
      <c r="CB28" s="1661"/>
      <c r="CC28" s="1659"/>
      <c r="CD28" s="1660">
        <f>CD23/BZ23*100-100</f>
        <v>1.8574211271321133</v>
      </c>
      <c r="CE28" s="1661"/>
      <c r="CF28" s="1661"/>
      <c r="CG28" s="1661"/>
      <c r="CH28" s="1660">
        <f>CH23/CD23*100-100</f>
        <v>2.1721321682711903</v>
      </c>
      <c r="CI28" s="1661"/>
      <c r="CJ28" s="1661"/>
      <c r="CK28" s="1661"/>
      <c r="CL28" s="1662">
        <f>CL23/CH23*100-100</f>
        <v>3.0307732864483796</v>
      </c>
      <c r="CM28" s="1661"/>
      <c r="CN28" s="1661"/>
      <c r="CO28" s="1661"/>
      <c r="CP28" s="1662">
        <f>CP23/CL23*100-100</f>
        <v>2.7767154554915123</v>
      </c>
      <c r="CQ28" s="1661"/>
      <c r="CR28" s="1661"/>
      <c r="CS28" s="1661"/>
      <c r="CT28" s="1662">
        <f>CT23/CP23*100-100</f>
        <v>2.2812889358681048</v>
      </c>
      <c r="CU28" s="1661"/>
      <c r="CV28" s="1661"/>
      <c r="CW28" s="1661"/>
      <c r="CX28" s="1662">
        <f>CX23/CT23*100-100</f>
        <v>2.4032759193415245</v>
      </c>
      <c r="CY28" s="1661"/>
      <c r="CZ28" s="1661"/>
      <c r="DA28" s="1661"/>
      <c r="DB28" s="1662">
        <f>DB23/CX23*100-100</f>
        <v>2.3194282671890107</v>
      </c>
      <c r="DC28" s="1661"/>
      <c r="DD28" s="1661"/>
      <c r="DE28" s="1661"/>
      <c r="DF28" s="1662">
        <f>DF23/DB23*100-100</f>
        <v>2.1039318665817035</v>
      </c>
    </row>
    <row r="29" spans="1:110" s="1652" customFormat="1" ht="12.75" customHeight="1">
      <c r="A29" s="1036"/>
      <c r="B29" s="1036"/>
      <c r="C29" s="1647"/>
      <c r="D29" s="1038"/>
      <c r="E29" s="1648" t="s">
        <v>136</v>
      </c>
      <c r="F29" s="1038"/>
      <c r="G29" s="1649"/>
      <c r="H29" s="1649"/>
      <c r="I29" s="1649"/>
      <c r="J29" s="1650"/>
      <c r="K29" s="1649"/>
      <c r="L29" s="1649"/>
      <c r="M29" s="1649"/>
      <c r="N29" s="1651">
        <f ca="1">N24/J24*100-100</f>
        <v>1.8126570986513286</v>
      </c>
      <c r="O29" s="1649"/>
      <c r="P29" s="1649"/>
      <c r="Q29" s="1649"/>
      <c r="R29" s="1651">
        <f ca="1">R24/N24*100-100</f>
        <v>2.8119150624315523</v>
      </c>
      <c r="S29" s="1649"/>
      <c r="T29" s="1649"/>
      <c r="U29" s="1649"/>
      <c r="V29" s="1651">
        <f ca="1">V24/R24*100-100</f>
        <v>3.3012207776910003</v>
      </c>
      <c r="W29" s="1649"/>
      <c r="X29" s="1649"/>
      <c r="Y29" s="1649"/>
      <c r="Z29" s="1651">
        <f ca="1">Z24/V24*100-100</f>
        <v>4.0294521711662838</v>
      </c>
      <c r="AA29" s="1649"/>
      <c r="AB29" s="1649"/>
      <c r="AC29" s="1649"/>
      <c r="AD29" s="1651">
        <f ca="1">AD24/Z24*100-100</f>
        <v>5.2482581222727021</v>
      </c>
      <c r="AE29" s="1649"/>
      <c r="AF29" s="1649"/>
      <c r="AG29" s="1649"/>
      <c r="AH29" s="1651">
        <f ca="1">AH24/AD24*100-100</f>
        <v>0.73108535870764513</v>
      </c>
      <c r="AI29" s="1649"/>
      <c r="AJ29" s="1649"/>
      <c r="AK29" s="1649"/>
      <c r="AL29" s="1651">
        <f ca="1">AL24/AH24*100-100</f>
        <v>2.6071460723935616</v>
      </c>
      <c r="AM29" s="1649"/>
      <c r="AN29" s="1649"/>
      <c r="AO29" s="1649"/>
      <c r="AP29" s="1651">
        <f ca="1">AP24/AL24*100-100</f>
        <v>2.3145475337566808</v>
      </c>
      <c r="AQ29" s="1649"/>
      <c r="AR29" s="1649"/>
      <c r="AS29" s="1649"/>
      <c r="AT29" s="1651">
        <f ca="1">AT24/AP24*100-100</f>
        <v>2.7892797384733115</v>
      </c>
      <c r="AU29" s="1649"/>
      <c r="AV29" s="1649"/>
      <c r="AW29" s="1649"/>
      <c r="AX29" s="1651">
        <f ca="1">AX24/AT24*100-100</f>
        <v>2.7674313067884526</v>
      </c>
      <c r="AY29" s="1649"/>
      <c r="AZ29" s="1649"/>
      <c r="BA29" s="1649"/>
      <c r="BB29" s="1651">
        <f ca="1">BB24/AX24*100-100</f>
        <v>2.6714825766315045</v>
      </c>
      <c r="BC29" s="1649"/>
      <c r="BD29" s="1649"/>
      <c r="BE29" s="1649"/>
      <c r="BF29" s="1651">
        <f ca="1">BF24/BB24*100-100</f>
        <v>3.794768516911688</v>
      </c>
      <c r="BG29" s="1649"/>
      <c r="BH29" s="1649"/>
      <c r="BI29" s="1649"/>
      <c r="BJ29" s="1651">
        <f ca="1">BJ24/BF24*100-100</f>
        <v>0.22777889594640044</v>
      </c>
      <c r="BK29" s="1649"/>
      <c r="BL29" s="1649"/>
      <c r="BM29" s="1649"/>
      <c r="BN29" s="1651">
        <f ca="1">BN24/BJ24*100-100</f>
        <v>0.35082887126817752</v>
      </c>
      <c r="BO29" s="1649"/>
      <c r="BP29" s="1649"/>
      <c r="BQ29" s="1649"/>
      <c r="BR29" s="1651">
        <f ca="1">BR24/BN24*100-100</f>
        <v>3.8903875314705516</v>
      </c>
      <c r="BS29" s="1649"/>
      <c r="BT29" s="1649"/>
      <c r="BU29" s="1649"/>
      <c r="BV29" s="1651">
        <f ca="1">BV24/BR24*100-100</f>
        <v>1.866609161650274</v>
      </c>
      <c r="BW29" s="1649"/>
      <c r="BX29" s="1649"/>
      <c r="BY29" s="1649"/>
      <c r="BZ29" s="1651">
        <f ca="1">BZ24/BV24*100-100</f>
        <v>0.78946230229000491</v>
      </c>
      <c r="CA29" s="1663"/>
      <c r="CB29" s="1663"/>
      <c r="CC29" s="1649"/>
      <c r="CD29" s="1651">
        <f ca="1">CD24/BZ24*100-100</f>
        <v>1.858823541889393</v>
      </c>
      <c r="CE29" s="1663"/>
      <c r="CF29" s="1663"/>
      <c r="CG29" s="1649"/>
      <c r="CH29" s="1651">
        <f ca="1">CH24/CD24*100-100</f>
        <v>2.1277234853534424</v>
      </c>
      <c r="CI29" s="1663"/>
      <c r="CJ29" s="1663"/>
      <c r="CK29" s="1649"/>
      <c r="CL29" s="1664">
        <f ca="1">CL24/CH24*100-100</f>
        <v>3.1190061154737805</v>
      </c>
      <c r="CM29" s="1663"/>
      <c r="CN29" s="1663"/>
      <c r="CO29" s="1663"/>
      <c r="CP29" s="1664">
        <f ca="1">CP24/CL24*100-100</f>
        <v>2.8637431218266443</v>
      </c>
      <c r="CQ29" s="1663"/>
      <c r="CR29" s="1663"/>
      <c r="CS29" s="1663"/>
      <c r="CT29" s="1664">
        <f ca="1">CT24/CP24*100-100</f>
        <v>2.2129477588303672</v>
      </c>
      <c r="CU29" s="1663"/>
      <c r="CV29" s="1663"/>
      <c r="CW29" s="1649"/>
      <c r="CX29" s="1664">
        <f ca="1">CX24/CT24*100-100</f>
        <v>2.4000000000000057</v>
      </c>
      <c r="CY29" s="1663"/>
      <c r="CZ29" s="1663"/>
      <c r="DA29" s="1649"/>
      <c r="DB29" s="1664">
        <f ca="1">DB24/CX24*100-100</f>
        <v>2.3300000000000125</v>
      </c>
      <c r="DC29" s="1663"/>
      <c r="DD29" s="1663"/>
      <c r="DE29" s="1649"/>
      <c r="DF29" s="1664">
        <f ca="1">DF24/DB24*100-100</f>
        <v>2.0999999999999943</v>
      </c>
    </row>
    <row r="30" spans="1:110" s="26" customFormat="1" ht="12.75">
      <c r="A30" s="710"/>
      <c r="B30" s="710"/>
      <c r="C30" s="1045"/>
      <c r="D30" s="1045"/>
      <c r="F30" s="1653"/>
      <c r="BW30" s="1654"/>
      <c r="BX30" s="1654"/>
      <c r="BY30" s="1654"/>
      <c r="BZ30" s="1654"/>
      <c r="CA30" s="1654"/>
      <c r="CB30" s="1654"/>
      <c r="CC30" s="1654"/>
      <c r="CD30" s="1654"/>
      <c r="CE30" s="1654"/>
      <c r="CF30" s="1654"/>
      <c r="CG30" s="1654"/>
      <c r="CH30" s="1654"/>
      <c r="CI30" s="1654"/>
      <c r="CJ30" s="1654"/>
      <c r="CK30" s="1654"/>
      <c r="CL30" s="1654"/>
      <c r="CM30" s="1654"/>
      <c r="CN30" s="1654"/>
      <c r="CO30" s="1654"/>
      <c r="CP30" s="1654"/>
      <c r="CQ30" s="1654"/>
      <c r="CR30" s="1654"/>
      <c r="CS30" s="1654"/>
      <c r="CT30" s="1654"/>
      <c r="CU30" s="1654"/>
      <c r="CV30" s="1654"/>
      <c r="CW30" s="1654"/>
      <c r="CX30" s="1654"/>
      <c r="CY30" s="1654"/>
      <c r="CZ30" s="1654"/>
      <c r="DA30" s="1654"/>
      <c r="DB30" s="1654"/>
      <c r="DC30" s="1654"/>
      <c r="DD30" s="1654"/>
      <c r="DE30" s="1654"/>
      <c r="DF30" s="1654"/>
    </row>
    <row r="31" spans="1:110" s="736" customFormat="1" ht="12.75" customHeight="1">
      <c r="A31" s="701"/>
      <c r="B31" s="701"/>
      <c r="C31" s="703"/>
      <c r="D31" s="895"/>
      <c r="E31" s="896"/>
      <c r="F31" s="897"/>
      <c r="G31" s="1640" t="str">
        <f t="shared" ref="G31:N31" si="122">G26</f>
        <v>Q1</v>
      </c>
      <c r="H31" s="1640" t="str">
        <f t="shared" si="122"/>
        <v>Q2</v>
      </c>
      <c r="I31" s="1640" t="str">
        <f t="shared" si="122"/>
        <v>Q3</v>
      </c>
      <c r="J31" s="1640" t="str">
        <f t="shared" si="122"/>
        <v>Q4</v>
      </c>
      <c r="K31" s="1645" t="str">
        <f t="shared" si="122"/>
        <v>Q1</v>
      </c>
      <c r="L31" s="1640" t="str">
        <f t="shared" si="122"/>
        <v>Q2</v>
      </c>
      <c r="M31" s="1640" t="str">
        <f t="shared" si="122"/>
        <v>Q3</v>
      </c>
      <c r="N31" s="1646" t="str">
        <f t="shared" si="122"/>
        <v>Q4</v>
      </c>
      <c r="O31" s="1645" t="str">
        <f t="shared" ref="O31:AX31" si="123">O26</f>
        <v>Q1</v>
      </c>
      <c r="P31" s="1640" t="str">
        <f t="shared" si="123"/>
        <v>Q2</v>
      </c>
      <c r="Q31" s="1640" t="str">
        <f t="shared" si="123"/>
        <v>Q3</v>
      </c>
      <c r="R31" s="1646" t="str">
        <f t="shared" si="123"/>
        <v>Q4</v>
      </c>
      <c r="S31" s="1645" t="str">
        <f t="shared" si="123"/>
        <v>Q1</v>
      </c>
      <c r="T31" s="1640" t="str">
        <f t="shared" si="123"/>
        <v>Q2</v>
      </c>
      <c r="U31" s="1640" t="str">
        <f t="shared" si="123"/>
        <v>Q3</v>
      </c>
      <c r="V31" s="1646" t="str">
        <f t="shared" si="123"/>
        <v>Q4</v>
      </c>
      <c r="W31" s="1645" t="str">
        <f t="shared" si="123"/>
        <v>Q1</v>
      </c>
      <c r="X31" s="1640" t="str">
        <f t="shared" si="123"/>
        <v>Q2</v>
      </c>
      <c r="Y31" s="1640" t="str">
        <f t="shared" si="123"/>
        <v>Q3</v>
      </c>
      <c r="Z31" s="1646" t="str">
        <f t="shared" si="123"/>
        <v>Q4</v>
      </c>
      <c r="AA31" s="1645" t="str">
        <f t="shared" si="123"/>
        <v>Q1</v>
      </c>
      <c r="AB31" s="1640" t="str">
        <f t="shared" si="123"/>
        <v>Q2</v>
      </c>
      <c r="AC31" s="1640" t="str">
        <f t="shared" si="123"/>
        <v>Q3</v>
      </c>
      <c r="AD31" s="1646" t="str">
        <f t="shared" si="123"/>
        <v>Q4</v>
      </c>
      <c r="AE31" s="1645" t="str">
        <f t="shared" si="123"/>
        <v>Q1</v>
      </c>
      <c r="AF31" s="1640" t="str">
        <f t="shared" si="123"/>
        <v>Q2</v>
      </c>
      <c r="AG31" s="1640" t="str">
        <f t="shared" si="123"/>
        <v>Q3</v>
      </c>
      <c r="AH31" s="1646" t="str">
        <f t="shared" si="123"/>
        <v>Q4</v>
      </c>
      <c r="AI31" s="1645" t="str">
        <f t="shared" si="123"/>
        <v>Q1</v>
      </c>
      <c r="AJ31" s="1640" t="str">
        <f t="shared" si="123"/>
        <v>Q2</v>
      </c>
      <c r="AK31" s="1640" t="str">
        <f t="shared" si="123"/>
        <v>Q3</v>
      </c>
      <c r="AL31" s="1646" t="str">
        <f t="shared" si="123"/>
        <v>Q4</v>
      </c>
      <c r="AM31" s="1645" t="str">
        <f t="shared" si="123"/>
        <v>Q1</v>
      </c>
      <c r="AN31" s="1640" t="str">
        <f t="shared" si="123"/>
        <v>Q2</v>
      </c>
      <c r="AO31" s="1640" t="str">
        <f t="shared" si="123"/>
        <v>Q3</v>
      </c>
      <c r="AP31" s="1646" t="str">
        <f t="shared" si="123"/>
        <v>Q4</v>
      </c>
      <c r="AQ31" s="1645" t="str">
        <f t="shared" si="123"/>
        <v>Q1</v>
      </c>
      <c r="AR31" s="1640" t="str">
        <f t="shared" si="123"/>
        <v>Q2</v>
      </c>
      <c r="AS31" s="1640" t="str">
        <f t="shared" si="123"/>
        <v>Q3</v>
      </c>
      <c r="AT31" s="1646" t="str">
        <f t="shared" si="123"/>
        <v>Q4</v>
      </c>
      <c r="AU31" s="1645" t="str">
        <f t="shared" si="123"/>
        <v>Q1</v>
      </c>
      <c r="AV31" s="1640" t="str">
        <f t="shared" si="123"/>
        <v>Q2</v>
      </c>
      <c r="AW31" s="1640" t="str">
        <f t="shared" si="123"/>
        <v>Q3</v>
      </c>
      <c r="AX31" s="1646" t="str">
        <f t="shared" si="123"/>
        <v>Q4</v>
      </c>
      <c r="AY31" s="1645" t="str">
        <f t="shared" ref="AY31:BF31" si="124">AY26</f>
        <v>Q1</v>
      </c>
      <c r="AZ31" s="1640" t="str">
        <f t="shared" si="124"/>
        <v>Q2</v>
      </c>
      <c r="BA31" s="1640" t="str">
        <f t="shared" si="124"/>
        <v>Q3</v>
      </c>
      <c r="BB31" s="1646" t="str">
        <f t="shared" si="124"/>
        <v>Q4</v>
      </c>
      <c r="BC31" s="1645" t="str">
        <f t="shared" si="124"/>
        <v>Q1</v>
      </c>
      <c r="BD31" s="1640" t="str">
        <f t="shared" si="124"/>
        <v>Q2</v>
      </c>
      <c r="BE31" s="1640" t="str">
        <f t="shared" si="124"/>
        <v>Q3</v>
      </c>
      <c r="BF31" s="1646" t="str">
        <f t="shared" si="124"/>
        <v>Q4</v>
      </c>
      <c r="BG31" s="1645" t="str">
        <f t="shared" ref="BG31:BZ31" si="125">BG26</f>
        <v>Q1</v>
      </c>
      <c r="BH31" s="1640" t="str">
        <f t="shared" si="125"/>
        <v>Q2</v>
      </c>
      <c r="BI31" s="1640" t="str">
        <f t="shared" si="125"/>
        <v>Q3</v>
      </c>
      <c r="BJ31" s="1646" t="str">
        <f t="shared" si="125"/>
        <v>Q4</v>
      </c>
      <c r="BK31" s="1645" t="str">
        <f t="shared" si="125"/>
        <v>Q1</v>
      </c>
      <c r="BL31" s="1640" t="str">
        <f t="shared" si="125"/>
        <v>Q2</v>
      </c>
      <c r="BM31" s="1640" t="str">
        <f t="shared" si="125"/>
        <v>Q3</v>
      </c>
      <c r="BN31" s="1646" t="str">
        <f t="shared" si="125"/>
        <v>Q4</v>
      </c>
      <c r="BO31" s="1645" t="str">
        <f t="shared" ref="BO31:BV31" si="126">BO26</f>
        <v>Q1</v>
      </c>
      <c r="BP31" s="1640" t="str">
        <f t="shared" si="126"/>
        <v>Q2</v>
      </c>
      <c r="BQ31" s="1640" t="str">
        <f t="shared" si="126"/>
        <v>Q3</v>
      </c>
      <c r="BR31" s="1646" t="str">
        <f t="shared" si="126"/>
        <v>Q4</v>
      </c>
      <c r="BS31" s="1645" t="str">
        <f t="shared" si="126"/>
        <v>Q1</v>
      </c>
      <c r="BT31" s="1640" t="str">
        <f t="shared" si="126"/>
        <v>Q2</v>
      </c>
      <c r="BU31" s="1640" t="str">
        <f t="shared" si="126"/>
        <v>Q3</v>
      </c>
      <c r="BV31" s="1646" t="str">
        <f t="shared" si="126"/>
        <v>Q4</v>
      </c>
      <c r="BW31" s="1645" t="str">
        <f t="shared" si="125"/>
        <v>Q1</v>
      </c>
      <c r="BX31" s="1640" t="str">
        <f t="shared" si="125"/>
        <v>Q2</v>
      </c>
      <c r="BY31" s="1640" t="str">
        <f t="shared" si="125"/>
        <v>Q3</v>
      </c>
      <c r="BZ31" s="1646" t="str">
        <f t="shared" si="125"/>
        <v>Q4</v>
      </c>
      <c r="CA31" s="1645" t="str">
        <f t="shared" ref="CA31:CL31" si="127">CA26</f>
        <v>Q1</v>
      </c>
      <c r="CB31" s="1640" t="str">
        <f t="shared" si="127"/>
        <v>Q2</v>
      </c>
      <c r="CC31" s="1640" t="str">
        <f t="shared" si="127"/>
        <v>Q3</v>
      </c>
      <c r="CD31" s="1646" t="str">
        <f t="shared" si="127"/>
        <v>Q4</v>
      </c>
      <c r="CE31" s="1645" t="str">
        <f>CE26</f>
        <v>Q1</v>
      </c>
      <c r="CF31" s="1640" t="str">
        <f>CF26</f>
        <v>Q2</v>
      </c>
      <c r="CG31" s="1640" t="str">
        <f t="shared" si="127"/>
        <v>Q3</v>
      </c>
      <c r="CH31" s="1646" t="str">
        <f>CH26</f>
        <v>Q4</v>
      </c>
      <c r="CI31" s="1645" t="str">
        <f>CI26</f>
        <v>Q1</v>
      </c>
      <c r="CJ31" s="1640" t="str">
        <f>CJ26</f>
        <v>Q2</v>
      </c>
      <c r="CK31" s="1640" t="str">
        <f t="shared" si="127"/>
        <v>Q3</v>
      </c>
      <c r="CL31" s="1646" t="str">
        <f t="shared" si="127"/>
        <v>Q4</v>
      </c>
      <c r="CM31" s="1645" t="str">
        <f>CM26</f>
        <v>Q1</v>
      </c>
      <c r="CN31" s="1640" t="str">
        <f>CN26</f>
        <v>Q2</v>
      </c>
      <c r="CO31" s="1640" t="str">
        <f t="shared" ref="CO31:CP31" si="128">CO26</f>
        <v>Q3</v>
      </c>
      <c r="CP31" s="1646" t="str">
        <f t="shared" si="128"/>
        <v>Q4</v>
      </c>
      <c r="CQ31" s="1645" t="str">
        <f>CQ26</f>
        <v>Q1</v>
      </c>
      <c r="CR31" s="1640" t="str">
        <f>CR26</f>
        <v>Q2</v>
      </c>
      <c r="CS31" s="1640" t="str">
        <f t="shared" ref="CS31:CT31" si="129">CS26</f>
        <v>Q3</v>
      </c>
      <c r="CT31" s="1646" t="str">
        <f t="shared" si="129"/>
        <v>Q4</v>
      </c>
      <c r="CU31" s="1645" t="str">
        <f t="shared" ref="CU31:CX31" si="130">CU26</f>
        <v>Q1</v>
      </c>
      <c r="CV31" s="1640" t="str">
        <f>CV26</f>
        <v>Q2</v>
      </c>
      <c r="CW31" s="1640" t="str">
        <f t="shared" si="130"/>
        <v>Q3</v>
      </c>
      <c r="CX31" s="1646" t="str">
        <f t="shared" si="130"/>
        <v>Q4</v>
      </c>
      <c r="CY31" s="1645" t="str">
        <f t="shared" ref="CY31:DB31" si="131">CY26</f>
        <v>Q1</v>
      </c>
      <c r="CZ31" s="1640" t="str">
        <f t="shared" si="131"/>
        <v>Q2</v>
      </c>
      <c r="DA31" s="1640" t="str">
        <f t="shared" si="131"/>
        <v>Q3</v>
      </c>
      <c r="DB31" s="1646" t="str">
        <f t="shared" si="131"/>
        <v>Q4</v>
      </c>
      <c r="DC31" s="1645" t="str">
        <f t="shared" ref="DC31:DF31" si="132">DC26</f>
        <v>Q1</v>
      </c>
      <c r="DD31" s="1640" t="str">
        <f t="shared" si="132"/>
        <v>Q2</v>
      </c>
      <c r="DE31" s="1640" t="str">
        <f t="shared" si="132"/>
        <v>Q3</v>
      </c>
      <c r="DF31" s="1646" t="str">
        <f t="shared" si="132"/>
        <v>Q4</v>
      </c>
    </row>
    <row r="32" spans="1:110" s="736" customFormat="1" ht="12.75" customHeight="1">
      <c r="A32" s="701"/>
      <c r="B32" s="701"/>
      <c r="C32" s="899"/>
      <c r="D32" s="900"/>
      <c r="E32" s="901" t="s">
        <v>137</v>
      </c>
      <c r="F32" s="902"/>
      <c r="G32" s="742"/>
      <c r="H32" s="742"/>
      <c r="I32" s="742"/>
      <c r="J32" s="742"/>
      <c r="K32" s="1616">
        <f t="shared" ref="K32:AX32" si="133">(K22/G22-1)*100</f>
        <v>1.4510568641356691</v>
      </c>
      <c r="L32" s="1616">
        <f t="shared" si="133"/>
        <v>0.73236063970547605</v>
      </c>
      <c r="M32" s="1616">
        <f t="shared" si="133"/>
        <v>2.6052775696085773</v>
      </c>
      <c r="N32" s="1616">
        <f t="shared" si="133"/>
        <v>2.4757739828129566</v>
      </c>
      <c r="O32" s="1616">
        <f t="shared" si="133"/>
        <v>2.587303775918226</v>
      </c>
      <c r="P32" s="1616">
        <f t="shared" si="133"/>
        <v>4.1654397106846375</v>
      </c>
      <c r="Q32" s="1616">
        <f t="shared" si="133"/>
        <v>1.9975209194368793</v>
      </c>
      <c r="R32" s="1616">
        <f t="shared" si="133"/>
        <v>2.7414644212553796</v>
      </c>
      <c r="S32" s="1616">
        <f t="shared" si="133"/>
        <v>2.7087209239568644</v>
      </c>
      <c r="T32" s="1616">
        <f t="shared" si="133"/>
        <v>2.3147326400192014</v>
      </c>
      <c r="U32" s="1616">
        <f t="shared" si="133"/>
        <v>3.7136504911323698</v>
      </c>
      <c r="V32" s="1616">
        <f t="shared" si="133"/>
        <v>4.2528168682123058</v>
      </c>
      <c r="W32" s="1616">
        <f t="shared" si="133"/>
        <v>3.8872075508670223</v>
      </c>
      <c r="X32" s="1616">
        <f t="shared" si="133"/>
        <v>3.0979918296045739</v>
      </c>
      <c r="Y32" s="1616">
        <f t="shared" si="133"/>
        <v>3.5727100993265815</v>
      </c>
      <c r="Z32" s="1616">
        <f t="shared" si="133"/>
        <v>5.2289530462362066</v>
      </c>
      <c r="AA32" s="1616">
        <f t="shared" si="133"/>
        <v>5.685000662454387</v>
      </c>
      <c r="AB32" s="1616">
        <f t="shared" si="133"/>
        <v>6.9745208963732708</v>
      </c>
      <c r="AC32" s="1616">
        <f t="shared" si="133"/>
        <v>5.9800629315003073</v>
      </c>
      <c r="AD32" s="1616">
        <f t="shared" si="133"/>
        <v>2.7866803045800692</v>
      </c>
      <c r="AE32" s="1616">
        <f t="shared" si="133"/>
        <v>2.0145304827345223</v>
      </c>
      <c r="AF32" s="1616">
        <f t="shared" si="133"/>
        <v>0.71036215321145235</v>
      </c>
      <c r="AG32" s="1616">
        <f t="shared" si="133"/>
        <v>0.34779752927973639</v>
      </c>
      <c r="AH32" s="1616">
        <f t="shared" si="133"/>
        <v>0.1210796414443216</v>
      </c>
      <c r="AI32" s="1616">
        <f t="shared" si="133"/>
        <v>1.6847503172848999</v>
      </c>
      <c r="AJ32" s="1616">
        <f t="shared" si="133"/>
        <v>2.0483026996516163</v>
      </c>
      <c r="AK32" s="1616">
        <f t="shared" si="133"/>
        <v>2.3035219735347168</v>
      </c>
      <c r="AL32" s="1616">
        <f t="shared" si="133"/>
        <v>4.2235252471158446</v>
      </c>
      <c r="AM32" s="1616">
        <f t="shared" si="133"/>
        <v>2.566562503534775</v>
      </c>
      <c r="AN32" s="1616">
        <f t="shared" si="133"/>
        <v>2.0335157961419714</v>
      </c>
      <c r="AO32" s="1616">
        <f t="shared" si="133"/>
        <v>2.988528161736892</v>
      </c>
      <c r="AP32" s="1616">
        <f t="shared" si="133"/>
        <v>1.9357144246431535</v>
      </c>
      <c r="AQ32" s="1616">
        <f t="shared" si="133"/>
        <v>3.1534984068535277</v>
      </c>
      <c r="AR32" s="1616">
        <f t="shared" si="133"/>
        <v>2.4965706288295531</v>
      </c>
      <c r="AS32" s="1616">
        <f t="shared" si="133"/>
        <v>2.3473478784543644</v>
      </c>
      <c r="AT32" s="1616">
        <f t="shared" si="133"/>
        <v>2.4832524207560436</v>
      </c>
      <c r="AU32" s="1616">
        <f t="shared" si="133"/>
        <v>1.8324270747142268</v>
      </c>
      <c r="AV32" s="1616">
        <f t="shared" si="133"/>
        <v>2.9234885448951475</v>
      </c>
      <c r="AW32" s="1616">
        <f t="shared" si="133"/>
        <v>3.147862835354176</v>
      </c>
      <c r="AX32" s="1616">
        <f t="shared" si="133"/>
        <v>3.1148780081142746</v>
      </c>
      <c r="AY32" s="1616">
        <f t="shared" ref="AY32:BF32" si="134">(AY22/AU22-1)*100</f>
        <v>2.6920105827122454</v>
      </c>
      <c r="AZ32" s="1616">
        <f t="shared" si="134"/>
        <v>3.3099035780382202</v>
      </c>
      <c r="BA32" s="1616">
        <f t="shared" si="134"/>
        <v>2.1674883253660182</v>
      </c>
      <c r="BB32" s="1616">
        <f t="shared" si="134"/>
        <v>2.939316979151041</v>
      </c>
      <c r="BC32" s="1616">
        <f t="shared" si="134"/>
        <v>3.5292883230089389</v>
      </c>
      <c r="BD32" s="1616">
        <f t="shared" si="134"/>
        <v>2.9850480560240866</v>
      </c>
      <c r="BE32" s="1616">
        <f t="shared" si="134"/>
        <v>4.5511585008173094</v>
      </c>
      <c r="BF32" s="1616">
        <f t="shared" si="134"/>
        <v>4.3652469356067147</v>
      </c>
      <c r="BG32" s="1616">
        <f t="shared" ref="BG32:BZ32" si="135">(BG22/BC22-1)*100</f>
        <v>2.5279709030884279</v>
      </c>
      <c r="BH32" s="1616">
        <f t="shared" si="135"/>
        <v>1.7926569719755481</v>
      </c>
      <c r="BI32" s="1616">
        <f t="shared" si="135"/>
        <v>-0.62883510275639765</v>
      </c>
      <c r="BJ32" s="1616">
        <f t="shared" si="135"/>
        <v>-2.807598539371492</v>
      </c>
      <c r="BK32" s="1616">
        <f t="shared" si="135"/>
        <v>-1.4622654062911522</v>
      </c>
      <c r="BL32" s="1616">
        <f t="shared" si="135"/>
        <v>-0.16221636215613122</v>
      </c>
      <c r="BM32" s="1616">
        <f t="shared" si="135"/>
        <v>0.86366207421837426</v>
      </c>
      <c r="BN32" s="1616">
        <f t="shared" si="135"/>
        <v>2.2416118606981339</v>
      </c>
      <c r="BO32" s="1616">
        <f t="shared" ref="BO32:BV32" si="136">(BO22/BK22-1)*100</f>
        <v>4.1773102968778675</v>
      </c>
      <c r="BP32" s="1616">
        <f t="shared" si="136"/>
        <v>2.8942499367851537</v>
      </c>
      <c r="BQ32" s="1616">
        <f t="shared" si="136"/>
        <v>3.8520619135878231</v>
      </c>
      <c r="BR32" s="1616">
        <f t="shared" si="136"/>
        <v>4.2306934034696209</v>
      </c>
      <c r="BS32" s="1616">
        <f t="shared" si="136"/>
        <v>2.2221212643459554</v>
      </c>
      <c r="BT32" s="1616">
        <f t="shared" si="136"/>
        <v>3.12429141136914</v>
      </c>
      <c r="BU32" s="1616">
        <f t="shared" si="136"/>
        <v>1.4349665638267339</v>
      </c>
      <c r="BV32" s="1616">
        <f t="shared" si="136"/>
        <v>0.69435244671443019</v>
      </c>
      <c r="BW32" s="1616">
        <f t="shared" si="135"/>
        <v>0.93490676052607746</v>
      </c>
      <c r="BX32" s="1616">
        <f t="shared" si="135"/>
        <v>0.20683911314471892</v>
      </c>
      <c r="BY32" s="1616">
        <f t="shared" si="135"/>
        <v>1.0178546161520696</v>
      </c>
      <c r="BZ32" s="1616">
        <f t="shared" si="135"/>
        <v>1.5096338189146463</v>
      </c>
      <c r="CA32" s="1616">
        <f t="shared" ref="CA32:CL32" si="137">(CA22/BW22-1)*100</f>
        <v>1.4325411278554245</v>
      </c>
      <c r="CB32" s="1616">
        <f t="shared" si="137"/>
        <v>1.592513481854585</v>
      </c>
      <c r="CC32" s="1616">
        <f t="shared" si="137"/>
        <v>2.1587630292836169</v>
      </c>
      <c r="CD32" s="1616">
        <f t="shared" si="137"/>
        <v>2.2407494154077501</v>
      </c>
      <c r="CE32" s="1616">
        <f t="shared" si="137"/>
        <v>1.858487857368174</v>
      </c>
      <c r="CF32" s="1616">
        <f t="shared" si="137"/>
        <v>2.9212770157840628</v>
      </c>
      <c r="CG32" s="1616">
        <f t="shared" si="137"/>
        <v>1.7545178759651225</v>
      </c>
      <c r="CH32" s="1616">
        <f t="shared" si="137"/>
        <v>2.1572720301328063</v>
      </c>
      <c r="CI32" s="1616">
        <f t="shared" si="137"/>
        <v>3.0259163077344997</v>
      </c>
      <c r="CJ32" s="1616">
        <f t="shared" si="137"/>
        <v>2.2620705340542724</v>
      </c>
      <c r="CK32" s="1616">
        <f t="shared" si="137"/>
        <v>3.3271679712298274</v>
      </c>
      <c r="CL32" s="1616">
        <f t="shared" si="137"/>
        <v>3.5052811629447511</v>
      </c>
      <c r="CM32" s="1616">
        <f t="shared" ref="CM32" si="138">(CM22/CI22-1)*100</f>
        <v>3.6168430499645021</v>
      </c>
      <c r="CN32" s="1616">
        <f t="shared" ref="CN32" si="139">(CN22/CJ22-1)*100</f>
        <v>2.8074624202734988</v>
      </c>
      <c r="CO32" s="1616">
        <f t="shared" ref="CO32:CP32" si="140">(CO22/CK22-1)*100</f>
        <v>2.6671865230552205</v>
      </c>
      <c r="CP32" s="1616">
        <f t="shared" si="140"/>
        <v>2.0359279074798176</v>
      </c>
      <c r="CQ32" s="1616">
        <f t="shared" ref="CQ32" si="141">(CQ22/CM22-1)*100</f>
        <v>1.849637163107154</v>
      </c>
      <c r="CR32" s="1616">
        <f t="shared" ref="CR32" si="142">(CR22/CN22-1)*100</f>
        <v>2.4733465754272599</v>
      </c>
      <c r="CS32" s="1616">
        <f t="shared" ref="CS32" si="143">(CS22/CO22-1)*100</f>
        <v>2.218067804892665</v>
      </c>
      <c r="CT32" s="1616">
        <f t="shared" ref="CT32" si="144">(CT22/CP22-1)*100</f>
        <v>2.5816615039880642</v>
      </c>
      <c r="CU32" s="1616">
        <f t="shared" ref="CU32:CV32" si="145">(CU22/CQ22-1)*100</f>
        <v>2.2357343849557454</v>
      </c>
      <c r="CV32" s="1616">
        <f t="shared" si="145"/>
        <v>2.591758413422296</v>
      </c>
      <c r="CW32" s="1616">
        <f t="shared" ref="CW32" si="146">(CW22/CS22-1)*100</f>
        <v>2.4407308004952943</v>
      </c>
      <c r="CX32" s="1616">
        <f t="shared" ref="CX32" si="147">(CX22/CT22-1)*100</f>
        <v>2.3445837841899797</v>
      </c>
      <c r="CY32" s="1616">
        <f t="shared" ref="CY32" si="148">(CY22/CU22-1)*100</f>
        <v>2.598407121887214</v>
      </c>
      <c r="CZ32" s="1616">
        <f t="shared" ref="CZ32" si="149">(CZ22/CV22-1)*100</f>
        <v>2.2583724028697905</v>
      </c>
      <c r="DA32" s="1616">
        <f t="shared" ref="DA32" si="150">(DA22/CW22-1)*100</f>
        <v>2.3704978112062403</v>
      </c>
      <c r="DB32" s="1616">
        <f t="shared" ref="DB32" si="151">(DB22/CX22-1)*100</f>
        <v>2.0552300353124275</v>
      </c>
      <c r="DC32" s="1616">
        <f t="shared" ref="DC32" si="152">(DC22/CY22-1)*100</f>
        <v>2.0248383646646051</v>
      </c>
      <c r="DD32" s="1616">
        <f t="shared" ref="DD32" si="153">(DD22/CZ22-1)*100</f>
        <v>2.0349880700331724</v>
      </c>
      <c r="DE32" s="1616">
        <f t="shared" ref="DE32" si="154">(DE22/DA22-1)*100</f>
        <v>2.1569058094377702</v>
      </c>
      <c r="DF32" s="1616">
        <f t="shared" ref="DF32" si="155">(DF22/DB22-1)*100</f>
        <v>2.1976260509163792</v>
      </c>
    </row>
    <row r="33" spans="1:110" s="736" customFormat="1" ht="12.75" customHeight="1">
      <c r="A33" s="701"/>
      <c r="B33" s="701"/>
      <c r="C33" s="981"/>
      <c r="D33" s="711"/>
      <c r="E33" s="820" t="s">
        <v>156</v>
      </c>
      <c r="F33" s="741"/>
      <c r="G33" s="742"/>
      <c r="H33" s="742"/>
      <c r="I33" s="742"/>
      <c r="J33" s="742"/>
      <c r="K33" s="1616">
        <f>(4*K22/J23-1)*100</f>
        <v>0.91098154048068203</v>
      </c>
      <c r="L33" s="1616">
        <f>((K22+3*L22)/J23-1)*100</f>
        <v>0.96967402018344195</v>
      </c>
      <c r="M33" s="1616">
        <f>((K22+L22+2*M22)/J23-1)*100</f>
        <v>1.8020024111407684</v>
      </c>
      <c r="N33" s="1674"/>
      <c r="O33" s="1616">
        <f>(4*O22/N23-1)*100</f>
        <v>1.6750450042276155</v>
      </c>
      <c r="P33" s="1616">
        <f>((O22+3*P22)/N23-1)*100</f>
        <v>2.9081683635614031</v>
      </c>
      <c r="Q33" s="1616">
        <f>((O22+P22+2*Q22)/N23-1)*100</f>
        <v>2.6668240933237941</v>
      </c>
      <c r="R33" s="1674"/>
      <c r="S33" s="1616">
        <f>(4*S22/R23-1)*100</f>
        <v>1.5167712811261058</v>
      </c>
      <c r="T33" s="1616">
        <f>((S22+3*T22)/R23-1)*100</f>
        <v>2.4511902198121049</v>
      </c>
      <c r="U33" s="1616">
        <f>((S22+T22+2*U22)/R23-1)*100</f>
        <v>2.9103850740764825</v>
      </c>
      <c r="V33" s="1674"/>
      <c r="W33" s="1616">
        <f>(4*W22/V23-1)*100</f>
        <v>2.1433996917560094</v>
      </c>
      <c r="X33" s="1616">
        <f>((W22+3*X22)/V23-1)*100</f>
        <v>2.4944678166719081</v>
      </c>
      <c r="Y33" s="1616">
        <f>((W22+X22+2*Y22)/V23-1)*100</f>
        <v>3.1913375029738678</v>
      </c>
      <c r="Z33" s="1674"/>
      <c r="AA33" s="1616">
        <f>(4*AA22/Z23-1)*100</f>
        <v>3.8451191298813026</v>
      </c>
      <c r="AB33" s="1616">
        <f>((AA22+3*AB22)/Z23-1)*100</f>
        <v>5.1566941518058185</v>
      </c>
      <c r="AC33" s="1616">
        <f>((AA22+AB22+2*AC22)/Z23-1)*100</f>
        <v>5.3763401209816486</v>
      </c>
      <c r="AD33" s="1674"/>
      <c r="AE33" s="1616">
        <f>(4*AE22/AD23-1)*100</f>
        <v>0.57558733424751818</v>
      </c>
      <c r="AF33" s="1616">
        <f>((AE22+3*AF22)/AD23-1)*100</f>
        <v>0.86529886476185425</v>
      </c>
      <c r="AG33" s="1616">
        <f>((AE22+AF22+2*AG22)/AD23-1)*100</f>
        <v>0.89281868230304262</v>
      </c>
      <c r="AH33" s="1674"/>
      <c r="AI33" s="1616">
        <f>(4*AI22/AH23-1)*100</f>
        <v>1.4659060062648388</v>
      </c>
      <c r="AJ33" s="1616">
        <f>((AI22+3*AJ22)/AH23-1)*100</f>
        <v>2.0313045658123308</v>
      </c>
      <c r="AK33" s="1616">
        <f>((AI22+AJ22+2*AK22)/AH23-1)*100</f>
        <v>2.187060995918455</v>
      </c>
      <c r="AL33" s="1674"/>
      <c r="AM33" s="1616">
        <f>(4*AM22/AL23-1)*100</f>
        <v>1.4680367823057816</v>
      </c>
      <c r="AN33" s="1616">
        <f>((AM22+3*AN22)/AL23-1)*100</f>
        <v>1.6350055461163304</v>
      </c>
      <c r="AO33" s="1616">
        <f>((AM22+AN22+2*AO22)/AL23-1)*100</f>
        <v>2.2673077148182452</v>
      </c>
      <c r="AP33" s="1674"/>
      <c r="AQ33" s="1616">
        <f>(4*AQ22/AP23-1)*100</f>
        <v>2.235420152132539</v>
      </c>
      <c r="AR33" s="1616">
        <f>((AQ22+3*AR22)/AP23-1)*100</f>
        <v>1.9142695122689624</v>
      </c>
      <c r="AS33" s="1616">
        <f>((AQ22+AR22+2*AS22)/AP23-1)*100</f>
        <v>2.4722652434916004</v>
      </c>
      <c r="AT33" s="1674"/>
      <c r="AU33" s="1616">
        <f>(4*AU22/AT23-1)*100</f>
        <v>1.4523187937014237</v>
      </c>
      <c r="AV33" s="1616">
        <f>((AU22+3*AV22)/AT23-1)*100</f>
        <v>1.9454552181617402</v>
      </c>
      <c r="AW33" s="1616">
        <f>((AU22+AV22+2*AW22)/AT23-1)*100</f>
        <v>2.6176298619212446</v>
      </c>
      <c r="AX33" s="1674"/>
      <c r="AY33" s="1616">
        <f>(4*AY22/AX23-1)*100</f>
        <v>1.3888811223432773</v>
      </c>
      <c r="AZ33" s="1616">
        <f>((AY22+3*AZ22)/AX23-1)*100</f>
        <v>2.3422136091610257</v>
      </c>
      <c r="BA33" s="1616">
        <f>((AY22+AZ22+2*BA22)/AX23-1)*100</f>
        <v>2.4429225955149958</v>
      </c>
      <c r="BB33" s="1674"/>
      <c r="BC33" s="1616">
        <f>(4*BC22/BB23-1)*100</f>
        <v>2.1319320836052036</v>
      </c>
      <c r="BD33" s="1616">
        <f>((BC22+3*BD22)/BB23-1)*100</f>
        <v>2.6845320964244301</v>
      </c>
      <c r="BE33" s="1616">
        <f>((BC22+BD22+2*BE22)/BB23-1)*100</f>
        <v>3.5691512733162734</v>
      </c>
      <c r="BF33" s="1674"/>
      <c r="BG33" s="1616">
        <f>(4*BG22/BF23-1)*100</f>
        <v>0.82115867344059179</v>
      </c>
      <c r="BH33" s="1616">
        <f>((BG22+3*BH22)/BF23-1)*100</f>
        <v>0.82044954438138529</v>
      </c>
      <c r="BI33" s="1616">
        <f>((BG22+BH22+2*BI22)/BF23-1)*100</f>
        <v>0.4676482546097871</v>
      </c>
      <c r="BJ33" s="1674"/>
      <c r="BK33" s="1616">
        <f>(4*BK22/BJ23-1)*100</f>
        <v>-0.84342666319879855</v>
      </c>
      <c r="BL33" s="1616">
        <f>((BK22+3*BL22)/BJ23-1)*100</f>
        <v>0.13702694380752778</v>
      </c>
      <c r="BM33" s="1616">
        <f>((BK22+BL22+2*BM22)/BJ23-1)*100</f>
        <v>0.29801606792354551</v>
      </c>
      <c r="BN33" s="1674"/>
      <c r="BO33" s="1616">
        <f>(4*BO22/BN23-1)*100</f>
        <v>2.9272072481436151</v>
      </c>
      <c r="BP33" s="1616">
        <f>((BO22+3*BP22)/BN23-1)*100</f>
        <v>2.9816621011250266</v>
      </c>
      <c r="BQ33" s="1616">
        <f>((BO22+BP22+2*BQ22)/BN23-1)*100</f>
        <v>3.6276487574941285</v>
      </c>
      <c r="BR33" s="1674"/>
      <c r="BS33" s="1616">
        <f>(4*BS22/BR23-1)*100</f>
        <v>1.3743199700340325</v>
      </c>
      <c r="BT33" s="1616">
        <f>((BS22+3*BT22)/BR23-1)*100</f>
        <v>2.0994424475085927</v>
      </c>
      <c r="BU33" s="1616">
        <f>((BS22+BT22+2*BU22)/BR23-1)*100</f>
        <v>1.892535691874464</v>
      </c>
      <c r="BV33" s="1674"/>
      <c r="BW33" s="1616">
        <f>(4*BW22/BV23-1)*100</f>
        <v>0.4516154195034261</v>
      </c>
      <c r="BX33" s="1616">
        <f>((BW22+3*BX22)/BV23-1)*100</f>
        <v>0.62151882660399504</v>
      </c>
      <c r="BY33" s="1616">
        <f>((BW22+BX22+2*BY22)/BV23-1)*100</f>
        <v>0.82374186172475827</v>
      </c>
      <c r="BZ33" s="1674"/>
      <c r="CA33" s="1616">
        <f>(4*CA22/BZ23-1)*100</f>
        <v>0.96539354105664721</v>
      </c>
      <c r="CB33" s="1616">
        <f>((CA22+3*CB22)/BZ23-1)*100</f>
        <v>1.2558619814882155</v>
      </c>
      <c r="CC33" s="1616">
        <f>((CA22+CB22+2*CC22)/BZ23-1)*100</f>
        <v>1.7430309786553799</v>
      </c>
      <c r="CD33" s="1674"/>
      <c r="CE33" s="1616">
        <f>(4*CE22/CD23-1)*100</f>
        <v>0.96645092928513421</v>
      </c>
      <c r="CF33" s="1616">
        <f>((CE22+3*CF22)/CD23-1)*100</f>
        <v>2.0500644335698093</v>
      </c>
      <c r="CG33" s="1616">
        <f>((CE22+CF22+2*CG22)/CD23-1)*100</f>
        <v>1.9562525234678718</v>
      </c>
      <c r="CH33" s="1674"/>
      <c r="CI33" s="1616">
        <f>(4*CI22/CH23-1)*100</f>
        <v>1.8101599974227334</v>
      </c>
      <c r="CJ33" s="1616">
        <f>((CI22+3*CJ22)/CH23-1)*100</f>
        <v>2.3286033524092531</v>
      </c>
      <c r="CK33" s="1616">
        <f>((CI22+CJ22+2*CK22)/CH23-1)*100</f>
        <v>2.7675260811002911</v>
      </c>
      <c r="CL33" s="1674"/>
      <c r="CM33" s="1616">
        <f>(4*CM22/CL23-1)*100</f>
        <v>2.3892865485487746</v>
      </c>
      <c r="CN33" s="1616">
        <f>((CM22+3*CN22)/CL23-1)*100</f>
        <v>2.306762341948021</v>
      </c>
      <c r="CO33" s="1616">
        <f>((CM22+CN22+2*CO22)/CL23-1)*100</f>
        <v>2.6743585588193453</v>
      </c>
      <c r="CP33" s="1674"/>
      <c r="CQ33" s="1616">
        <f>(4*CQ22/CP23-1)*100</f>
        <v>1.4657029867352067</v>
      </c>
      <c r="CR33" s="1616">
        <f>((CQ22+3*CR22)/CP23-1)*100</f>
        <v>1.849441068918023</v>
      </c>
      <c r="CS33" s="1616">
        <f>((CQ22+CR22+2*CS22)/CP23-1)*100</f>
        <v>2.0880176158653896</v>
      </c>
      <c r="CT33" s="1674"/>
      <c r="CU33" s="1616">
        <f>(4*CU22/CT23-1)*100</f>
        <v>1.4205116855631639</v>
      </c>
      <c r="CV33" s="1616">
        <f>((CU22+3*CV22)/CT23-1)*100</f>
        <v>2.0703034173568335</v>
      </c>
      <c r="CW33" s="1616">
        <f>((CU22+CV22+2*CW22)/CT23-1)*100</f>
        <v>2.2339624584149176</v>
      </c>
      <c r="CX33" s="1674"/>
      <c r="CY33" s="1616">
        <f>(4*CY22/CX23-1)*100</f>
        <v>1.6137702139679799</v>
      </c>
      <c r="CZ33" s="1616">
        <f>((CY22+3*CZ22)/CX23-1)*100</f>
        <v>2.0100639178024515</v>
      </c>
      <c r="DA33" s="1616">
        <f>((CY22+CZ22+2*DA22)/CX23-1)*100</f>
        <v>2.229669565713488</v>
      </c>
      <c r="DB33" s="1674"/>
      <c r="DC33" s="1616">
        <f>(4*DC22/DB23-1)*100</f>
        <v>1.3212119855902538</v>
      </c>
      <c r="DD33" s="1616">
        <f>((DC22+3*DD22)/DB23-1)*100</f>
        <v>1.7239638032329863</v>
      </c>
      <c r="DE33" s="1616">
        <f>((DC22+DD22+2*DE22)/DB23-1)*100</f>
        <v>2.0040738928580604</v>
      </c>
      <c r="DF33" s="1674"/>
    </row>
    <row r="34" spans="1:110" ht="12.75">
      <c r="C34" s="1607"/>
      <c r="D34" s="865"/>
      <c r="E34" s="1614" t="s">
        <v>155</v>
      </c>
      <c r="F34" s="865"/>
      <c r="G34" s="913"/>
      <c r="H34" s="913"/>
      <c r="I34" s="913"/>
      <c r="J34" s="913"/>
      <c r="K34" s="1673"/>
      <c r="L34" s="920">
        <f>(4*L22/(K22+3*L22)-1)*100</f>
        <v>1.9376273213489448E-2</v>
      </c>
      <c r="M34" s="920">
        <f>(4*M22/(K22+L22+2*M22)-1)*100</f>
        <v>0.836813157581906</v>
      </c>
      <c r="N34" s="920">
        <f>+(4*N22/N23-1)*100</f>
        <v>0.87907269562379486</v>
      </c>
      <c r="O34" s="1673"/>
      <c r="P34" s="920">
        <f>(4*P22/(O22+3*P22)-1)*100</f>
        <v>0.39942516353588253</v>
      </c>
      <c r="Q34" s="920">
        <f>(4*Q22/(O22+P22+2*Q22)-1)*100</f>
        <v>0.16528888571256672</v>
      </c>
      <c r="R34" s="920">
        <f>+(4*R22/R23-1)*100</f>
        <v>0.75414817633736586</v>
      </c>
      <c r="S34" s="1673"/>
      <c r="T34" s="920">
        <f>(4*T22/(S22+3*T22)-1)*100</f>
        <v>0.30402085021534742</v>
      </c>
      <c r="U34" s="920">
        <f>(4*U22/(S22+T22+2*U22)-1)*100</f>
        <v>0.74887275299921896</v>
      </c>
      <c r="V34" s="920">
        <f>+(4*V22/V23-1)*100</f>
        <v>1.7328410651957782</v>
      </c>
      <c r="W34" s="1673"/>
      <c r="X34" s="920">
        <f>(4*X22/(W22+3*X22)-1)*100</f>
        <v>0.11417465820167116</v>
      </c>
      <c r="Y34" s="920">
        <f>(4*Y22/(W22+X22+2*Y22)-1)*100</f>
        <v>0.78872162557619419</v>
      </c>
      <c r="Z34" s="920">
        <f>+(4*Z22/Z23-1)*100</f>
        <v>2.9814134618930233</v>
      </c>
      <c r="AA34" s="1673"/>
      <c r="AB34" s="920">
        <f>(4*AB22/(AA22+3*AB22)-1)*100</f>
        <v>0.41575258475099464</v>
      </c>
      <c r="AC34" s="920">
        <f>(4*AC22/(AA22+AB22+2*AC22)-1)*100</f>
        <v>0.62332554195423384</v>
      </c>
      <c r="AD34" s="920">
        <f>+(4*AD22/AD23-1)*100</f>
        <v>0.49400203445730817</v>
      </c>
      <c r="AE34" s="1673"/>
      <c r="AF34" s="920">
        <f>(4*AF22/(AE22+3*AF22)-1)*100</f>
        <v>9.5742055254244285E-2</v>
      </c>
      <c r="AG34" s="920">
        <f>(4*AG22/(AE22+AF22+2*AG22)-1)*100</f>
        <v>0.12299223010447946</v>
      </c>
      <c r="AH34" s="920">
        <f>+(4*AH22/AH23-1)*100</f>
        <v>-0.17544117963524952</v>
      </c>
      <c r="AI34" s="1673"/>
      <c r="AJ34" s="920">
        <f>(4*AJ22/(AI22+3*AJ22)-1)*100</f>
        <v>0.18471408095568354</v>
      </c>
      <c r="AK34" s="920">
        <f>(4*AK22/(AI22+AJ22+2*AK22)-1)*100</f>
        <v>0.33685538390784142</v>
      </c>
      <c r="AL34" s="920">
        <f>+(4*AL22/AL23-1)*100</f>
        <v>1.4393546701450211</v>
      </c>
      <c r="AM34" s="1673"/>
      <c r="AN34" s="920">
        <f>(4*AN22/(AM22+3*AN22)-1)*100</f>
        <v>5.4760910676820984E-2</v>
      </c>
      <c r="AO34" s="920">
        <f>(4*AO22/(AM22+AN22+2*AO22)-1)*100</f>
        <v>0.67270610586898094</v>
      </c>
      <c r="AP34" s="920">
        <f>+(4*AP22/AP23-1)*100</f>
        <v>0.99991672993418046</v>
      </c>
      <c r="AQ34" s="1673"/>
      <c r="AR34" s="920">
        <f>(4*AR22/(AQ22+3*AR22)-1)*100</f>
        <v>-0.10503947464880481</v>
      </c>
      <c r="AS34" s="920">
        <f>(4*AS22/(AQ22+AR22+2*AS22)-1)*100</f>
        <v>0.44006592111851539</v>
      </c>
      <c r="AT34" s="920">
        <f>+(4*AT22/AT23-1)*100</f>
        <v>0.86683929080961786</v>
      </c>
      <c r="AU34" s="1673"/>
      <c r="AV34" s="920">
        <f>(4*AV22/(AU22+3*AV22)-1)*100</f>
        <v>0.16124191882969097</v>
      </c>
      <c r="AW34" s="920">
        <f>(4*AW22/(AU22+AV22+2*AW22)-1)*100</f>
        <v>0.81521416255525558</v>
      </c>
      <c r="AX34" s="920">
        <f>+(4*AX22/AX23-1)*100</f>
        <v>1.2188596944060492</v>
      </c>
      <c r="AY34" s="1673"/>
      <c r="AZ34" s="920">
        <f>(4*AZ22/(AY22+3*AZ22)-1)*100</f>
        <v>0.31050480969609939</v>
      </c>
      <c r="BA34" s="920">
        <f>(4*BA22/(AY22+AZ22+2*BA22)-1)*100</f>
        <v>0.40850697281666903</v>
      </c>
      <c r="BB34" s="920">
        <f>+(4*BB22/BB23-1)*100</f>
        <v>1.3796322210468892</v>
      </c>
      <c r="BC34" s="1673"/>
      <c r="BD34" s="920">
        <f>(4*BD22/(BC22+3*BD22)-1)*100</f>
        <v>0.1793843731985989</v>
      </c>
      <c r="BE34" s="920">
        <f>(4*BE22/(BC22+BD22+2*BE22)-1)*100</f>
        <v>1.0319860383371626</v>
      </c>
      <c r="BF34" s="920">
        <f>+(4*BF22/BF23-1)*100</f>
        <v>1.8718962826560492</v>
      </c>
      <c r="BG34" s="1673"/>
      <c r="BH34" s="920">
        <f>(4*BH22/(BG22+3*BH22)-1)*100</f>
        <v>-2.344527862407908E-4</v>
      </c>
      <c r="BI34" s="920">
        <f>(4*BI22/(BG22+BH22+2*BI22)-1)*100</f>
        <v>-0.35139437645637095</v>
      </c>
      <c r="BJ34" s="920">
        <f>+(4*BJ22/BJ23-1)*100</f>
        <v>-1.1779279881007909</v>
      </c>
      <c r="BK34" s="1673"/>
      <c r="BL34" s="920">
        <f>(4*BL22/(BK22+3*BL22)-1)*100</f>
        <v>0.326370653270458</v>
      </c>
      <c r="BM34" s="920">
        <f>(4*BM22/(BK22+BL22+2*BM22)-1)*100</f>
        <v>0.4863575694136868</v>
      </c>
      <c r="BN34" s="920">
        <f>+(4*BN22/BN23-1)*100</f>
        <v>0.67396695884607283</v>
      </c>
      <c r="BO34" s="1673"/>
      <c r="BP34" s="920">
        <f>(4*BP22/(BO22+3*BP22)-1)*100</f>
        <v>1.7626067874743079E-2</v>
      </c>
      <c r="BQ34" s="920">
        <f>(4*BQ22/(BO22+BP22+2*BQ22)-1)*100</f>
        <v>0.64088906965724668</v>
      </c>
      <c r="BR34" s="920">
        <f>+(4*BR22/BR23-1)*100</f>
        <v>1.1033823071829651</v>
      </c>
      <c r="BS34" s="1673"/>
      <c r="BT34" s="920">
        <f>(4*BT22/(BS22+3*BT22)-1)*100</f>
        <v>0.23673732852731444</v>
      </c>
      <c r="BU34" s="920">
        <f>(4*BU22/(BS22+BT22+2*BU22)-1)*100</f>
        <v>3.4154353526560932E-2</v>
      </c>
      <c r="BV34" s="920">
        <f>+(4*BV22/BV23-1)*100</f>
        <v>-5.5618846658034293E-2</v>
      </c>
      <c r="BW34" s="1673"/>
      <c r="BX34" s="920">
        <f>(4*BX22/(BW22+3*BX22)-1)*100</f>
        <v>5.6284649341376003E-2</v>
      </c>
      <c r="BY34" s="920">
        <f>(4*BY22/(BW22+BX22+2*BY22)-1)*100</f>
        <v>0.25674260781680669</v>
      </c>
      <c r="BZ34" s="920">
        <f>+(4*BZ22/BZ23-1)*100</f>
        <v>0.5319150836711195</v>
      </c>
      <c r="CA34" s="1673"/>
      <c r="CB34" s="920">
        <f>(4*CB22/(CA22+3*CB22)-1)*100</f>
        <v>9.5621933962575234E-2</v>
      </c>
      <c r="CC34" s="920">
        <f>(4*CC22/(CA22+CB22+2*CC22)-1)*100</f>
        <v>0.57398703874558255</v>
      </c>
      <c r="CD34" s="920">
        <f>+(4*CD22/CD23-1)*100</f>
        <v>0.91025498762367096</v>
      </c>
      <c r="CE34" s="1673"/>
      <c r="CF34" s="920">
        <f>(4*CF22/(CE22+3*CF22)-1)*100</f>
        <v>0.35394833254942526</v>
      </c>
      <c r="CG34" s="920">
        <f>(4*CG22/(CE22+CF22+2*CG22)-1)*100</f>
        <v>0.26226208271509233</v>
      </c>
      <c r="CH34" s="920">
        <f>+(4*CH22/CH23-1)*100</f>
        <v>0.89557837965952292</v>
      </c>
      <c r="CI34" s="1673"/>
      <c r="CJ34" s="920">
        <f>(4*CJ22/(CI22+3*CJ22)-1)*100</f>
        <v>0.16888186294012897</v>
      </c>
      <c r="CK34" s="920">
        <f>(4*CK22/(CI22+CJ22+2*CK22)-1)*100</f>
        <v>0.59526311830297995</v>
      </c>
      <c r="CL34" s="920">
        <f>+(4*CL22/CL23-1)*100</f>
        <v>1.3602526232634249</v>
      </c>
      <c r="CM34" s="1673"/>
      <c r="CN34" s="920">
        <f>(4*CN22/(CM22+3*CN22)-1)*100</f>
        <v>-2.6887830517963174E-2</v>
      </c>
      <c r="CO34" s="920">
        <f>(4*CO22/(CM22+CN22+2*CO22)-1)*100</f>
        <v>0.33122987353222388</v>
      </c>
      <c r="CP34" s="920">
        <f>+(4*CP22/CP23-1)*100</f>
        <v>0.62967456699978275</v>
      </c>
      <c r="CQ34" s="1673"/>
      <c r="CR34" s="920">
        <f>(4*CR22/(CQ22+3*CR22)-1)*100</f>
        <v>0.12558998136711352</v>
      </c>
      <c r="CS34" s="920">
        <f>(4*CS22/(CQ22+CR22+2*CS22)-1)*100</f>
        <v>0.35899339566698441</v>
      </c>
      <c r="CT34" s="920">
        <f>+(4*CT22/CT23-1)*100</f>
        <v>0.92519678903315583</v>
      </c>
      <c r="CU34" s="1673"/>
      <c r="CV34" s="920">
        <f>(4*CV22/(CU22+3*CV22)-1)*100</f>
        <v>0.21220397772854227</v>
      </c>
      <c r="CW34" s="920">
        <f>(4*CW22/(CU22+CV22+2*CW22)-1)*100</f>
        <v>0.37194712583301648</v>
      </c>
      <c r="CX34" s="920">
        <f>+(4*CX22/CX23-1)*100</f>
        <v>0.86735181056976085</v>
      </c>
      <c r="CY34" s="1673"/>
      <c r="CZ34" s="920">
        <f>(4*CZ22/(CY22+3*CZ22)-1)*100</f>
        <v>0.12949496961849327</v>
      </c>
      <c r="DA34" s="920">
        <f>(4*DA22/(CY22+CZ22+2*DA22)-1)*100</f>
        <v>0.34403275554275581</v>
      </c>
      <c r="DB34" s="920">
        <f>+(4*DB22/DB23-1)*100</f>
        <v>0.60690297447150154</v>
      </c>
      <c r="DC34" s="1673"/>
      <c r="DD34" s="920">
        <f>(4*DD22/(DC22+3*DD22)-1)*100</f>
        <v>0.13197539779377099</v>
      </c>
      <c r="DE34" s="920">
        <f>(4*DE22/(DC22+DD22+2*DE22)-1)*100</f>
        <v>0.40621975151815537</v>
      </c>
      <c r="DF34" s="920">
        <f>+(4*DF22/DF23-1)*100</f>
        <v>0.69922343207098336</v>
      </c>
    </row>
    <row r="35" spans="1:110" s="921" customFormat="1" ht="30" customHeight="1">
      <c r="A35" s="701"/>
      <c r="B35" s="701"/>
      <c r="C35" s="703"/>
      <c r="D35" s="1081"/>
      <c r="E35" s="1608"/>
      <c r="F35" s="1081"/>
      <c r="G35" s="1084"/>
      <c r="J35" s="1084"/>
      <c r="K35" s="1084"/>
      <c r="L35" s="1084"/>
      <c r="M35" s="1084"/>
      <c r="N35" s="1084"/>
      <c r="O35" s="1084"/>
      <c r="P35" s="1084"/>
      <c r="Q35" s="1084"/>
      <c r="R35" s="1084"/>
      <c r="S35" s="1084"/>
      <c r="T35" s="1084"/>
      <c r="U35" s="1084"/>
      <c r="V35" s="1084"/>
      <c r="W35" s="1084"/>
      <c r="X35" s="1084"/>
      <c r="Y35" s="1084"/>
      <c r="Z35" s="1084"/>
      <c r="AA35" s="1084"/>
      <c r="AB35" s="1084"/>
      <c r="AC35" s="1084"/>
      <c r="AD35" s="1084"/>
      <c r="AE35" s="1084"/>
      <c r="AF35" s="1084"/>
      <c r="AG35" s="1084"/>
      <c r="AH35" s="1084"/>
      <c r="AI35" s="1084"/>
      <c r="AJ35" s="1084"/>
      <c r="AK35" s="1084"/>
      <c r="AL35" s="1084"/>
      <c r="AM35" s="1084"/>
      <c r="AN35" s="1084"/>
      <c r="AO35" s="1084"/>
      <c r="AP35" s="1084"/>
      <c r="AQ35" s="1084"/>
      <c r="AR35" s="1084"/>
      <c r="AS35" s="1084"/>
      <c r="AT35" s="1084"/>
      <c r="AU35" s="1084"/>
      <c r="AV35" s="1084"/>
      <c r="AW35" s="1084"/>
      <c r="AX35" s="1084"/>
      <c r="AY35" s="1610"/>
      <c r="AZ35" s="1084"/>
      <c r="BA35" s="1610"/>
      <c r="BB35" s="1610"/>
      <c r="BC35" s="1610"/>
      <c r="BD35" s="1610"/>
      <c r="BE35" s="1610"/>
      <c r="BF35" s="1610"/>
      <c r="BG35" s="1610"/>
      <c r="BH35" s="1610"/>
      <c r="BI35" s="1610"/>
      <c r="BJ35" s="1610"/>
      <c r="BK35" s="1610"/>
      <c r="BL35" s="1610"/>
      <c r="BM35" s="1610"/>
      <c r="BN35" s="1610"/>
      <c r="BO35" s="1610"/>
      <c r="BP35" s="1610"/>
      <c r="BQ35" s="1610"/>
      <c r="BR35" s="1610"/>
      <c r="BS35" s="1610"/>
      <c r="BT35" s="1610"/>
      <c r="BU35" s="1610"/>
      <c r="BV35" s="1610"/>
      <c r="BW35" s="1610"/>
      <c r="BX35" s="1610"/>
      <c r="BY35" s="1610"/>
      <c r="BZ35" s="1610"/>
      <c r="CA35" s="1610"/>
      <c r="CB35" s="1610"/>
      <c r="CC35" s="1610"/>
      <c r="CD35" s="1610"/>
      <c r="CE35" s="1610"/>
      <c r="CF35" s="1610"/>
      <c r="CG35" s="1610"/>
      <c r="CH35" s="1610"/>
      <c r="CI35" s="1610"/>
      <c r="CJ35" s="1610"/>
      <c r="CK35" s="1610"/>
      <c r="CL35" s="1610"/>
      <c r="CM35" s="1610"/>
      <c r="CN35" s="1610"/>
      <c r="CO35" s="1610"/>
      <c r="CP35" s="1610"/>
      <c r="CQ35" s="1610"/>
      <c r="CR35" s="1610"/>
      <c r="CS35" s="1610"/>
      <c r="CT35" s="1610"/>
      <c r="CU35" s="1610"/>
      <c r="CV35" s="1610"/>
      <c r="CW35" s="1610"/>
      <c r="CX35" s="1610"/>
      <c r="CY35" s="1610"/>
      <c r="CZ35" s="1610"/>
      <c r="DA35" s="1610"/>
      <c r="DB35" s="1610"/>
      <c r="DC35" s="1610"/>
      <c r="DD35" s="1610"/>
      <c r="DE35" s="1610"/>
      <c r="DF35" s="1610"/>
    </row>
    <row r="36" spans="1:110" s="921" customFormat="1" ht="30" customHeight="1">
      <c r="A36" s="701"/>
      <c r="B36" s="701"/>
      <c r="C36" s="703"/>
      <c r="D36" s="1081"/>
      <c r="E36" s="1608"/>
      <c r="F36" s="1081"/>
      <c r="G36" s="1084"/>
      <c r="M36" s="1609"/>
      <c r="N36" s="1609"/>
      <c r="Q36" s="1609"/>
      <c r="R36" s="1609"/>
      <c r="U36" s="1609"/>
      <c r="V36" s="1609"/>
      <c r="Y36" s="1609"/>
      <c r="Z36" s="1609"/>
      <c r="AC36" s="1609"/>
      <c r="AD36" s="1609"/>
      <c r="AG36" s="1609"/>
      <c r="AH36" s="1609"/>
      <c r="AK36" s="1609"/>
      <c r="AL36" s="1609"/>
      <c r="AO36" s="1609"/>
      <c r="AP36" s="1609"/>
      <c r="AS36" s="1609"/>
      <c r="AT36" s="1609"/>
      <c r="AW36" s="1609"/>
      <c r="AX36" s="1609"/>
      <c r="AY36" s="1610"/>
      <c r="BA36" s="1610"/>
      <c r="BB36" s="1610"/>
      <c r="BC36" s="1610"/>
      <c r="BD36" s="1610"/>
      <c r="BE36" s="1610"/>
      <c r="BF36" s="1610"/>
      <c r="BG36" s="1610"/>
      <c r="BH36" s="1610"/>
      <c r="BI36" s="1610"/>
      <c r="BJ36" s="1610"/>
      <c r="BK36" s="1610"/>
      <c r="BL36" s="1610"/>
      <c r="BM36" s="1610"/>
      <c r="BN36" s="1610"/>
      <c r="BO36" s="1610"/>
      <c r="BP36" s="1610"/>
      <c r="BQ36" s="1610"/>
      <c r="BR36" s="1610"/>
      <c r="BS36" s="1610"/>
      <c r="BT36" s="1610"/>
      <c r="BU36" s="1610"/>
      <c r="BV36" s="1610"/>
      <c r="BW36" s="1610"/>
      <c r="BX36" s="1610"/>
      <c r="BY36" s="1610"/>
      <c r="BZ36" s="1610"/>
      <c r="CA36" s="1610"/>
      <c r="CB36" s="1610"/>
      <c r="CC36" s="1610"/>
      <c r="CD36" s="1610"/>
      <c r="CE36" s="1610"/>
      <c r="CF36" s="1610"/>
      <c r="CG36" s="1610"/>
      <c r="CH36" s="1610"/>
      <c r="CI36" s="1610"/>
      <c r="CJ36" s="1610"/>
      <c r="CK36" s="1610"/>
      <c r="CL36" s="1610"/>
      <c r="CM36" s="1610"/>
      <c r="CN36" s="1610"/>
      <c r="CO36" s="1610"/>
      <c r="CP36" s="1610"/>
      <c r="CQ36" s="1610"/>
      <c r="CR36" s="1610"/>
      <c r="CS36" s="1610"/>
      <c r="CT36" s="1610"/>
      <c r="CU36" s="1610"/>
      <c r="CV36" s="1610"/>
      <c r="CW36" s="1610"/>
      <c r="CX36" s="1610"/>
      <c r="CY36" s="1610"/>
      <c r="CZ36" s="1610"/>
      <c r="DA36" s="1610"/>
      <c r="DB36" s="1610"/>
      <c r="DC36" s="1610"/>
      <c r="DD36" s="1610"/>
      <c r="DE36" s="1610"/>
      <c r="DF36" s="1610"/>
    </row>
    <row r="37" spans="1:110" ht="30" customHeight="1">
      <c r="C37" s="3816" t="s">
        <v>135</v>
      </c>
      <c r="D37" s="3816"/>
      <c r="E37" s="3816"/>
      <c r="F37" s="3816"/>
    </row>
    <row r="38" spans="1:110">
      <c r="C38" s="702"/>
      <c r="D38" s="702"/>
      <c r="E38" s="702"/>
      <c r="F38" s="702"/>
    </row>
    <row r="39" spans="1:110">
      <c r="G39" s="3820">
        <f ca="1">OFFSET(InputY!$G$3,0,(COLUMN()-7)/4)</f>
        <v>1995</v>
      </c>
      <c r="H39" s="3821"/>
      <c r="I39" s="3821"/>
      <c r="J39" s="3821"/>
      <c r="K39" s="3817">
        <f ca="1">OFFSET(InputY!$G$3,0,(COLUMN()-7)/4)</f>
        <v>1996</v>
      </c>
      <c r="L39" s="3818"/>
      <c r="M39" s="3818"/>
      <c r="N39" s="3819"/>
      <c r="O39" s="3817">
        <f ca="1">OFFSET(InputY!$G$3,0,(COLUMN()-7)/4)</f>
        <v>1997</v>
      </c>
      <c r="P39" s="3818"/>
      <c r="Q39" s="3818"/>
      <c r="R39" s="3819"/>
      <c r="S39" s="3817">
        <f ca="1">OFFSET(InputY!$G$3,0,(COLUMN()-7)/4)</f>
        <v>1998</v>
      </c>
      <c r="T39" s="3818"/>
      <c r="U39" s="3818"/>
      <c r="V39" s="3819"/>
      <c r="W39" s="3817">
        <f ca="1">OFFSET(InputY!$G$3,0,(COLUMN()-7)/4)</f>
        <v>1999</v>
      </c>
      <c r="X39" s="3818"/>
      <c r="Y39" s="3818"/>
      <c r="Z39" s="3819"/>
      <c r="AA39" s="3817">
        <f ca="1">OFFSET(InputY!$G$3,0,(COLUMN()-7)/4)</f>
        <v>2000</v>
      </c>
      <c r="AB39" s="3818"/>
      <c r="AC39" s="3818"/>
      <c r="AD39" s="3819"/>
      <c r="AE39" s="3817">
        <f ca="1">OFFSET(InputY!$G$3,0,(COLUMN()-7)/4)</f>
        <v>2001</v>
      </c>
      <c r="AF39" s="3818"/>
      <c r="AG39" s="3818"/>
      <c r="AH39" s="3819"/>
      <c r="AI39" s="3817">
        <f ca="1">OFFSET(InputY!$G$3,0,(COLUMN()-7)/4)</f>
        <v>2002</v>
      </c>
      <c r="AJ39" s="3818"/>
      <c r="AK39" s="3818"/>
      <c r="AL39" s="3819"/>
      <c r="AM39" s="3817">
        <f ca="1">OFFSET(InputY!$G$3,0,(COLUMN()-7)/4)</f>
        <v>2003</v>
      </c>
      <c r="AN39" s="3818"/>
      <c r="AO39" s="3818"/>
      <c r="AP39" s="3819"/>
      <c r="AQ39" s="3817">
        <f ca="1">OFFSET(InputY!$G$3,0,(COLUMN()-7)/4)</f>
        <v>2004</v>
      </c>
      <c r="AR39" s="3818"/>
      <c r="AS39" s="3818"/>
      <c r="AT39" s="3819"/>
      <c r="AU39" s="3817">
        <f ca="1">OFFSET(InputY!$G$3,0,(COLUMN()-7)/4)</f>
        <v>2005</v>
      </c>
      <c r="AV39" s="3818"/>
      <c r="AW39" s="3818"/>
      <c r="AX39" s="3819"/>
      <c r="AY39" s="3817">
        <f ca="1">OFFSET(InputY!$G$3,0,(COLUMN()-7)/4)</f>
        <v>2006</v>
      </c>
      <c r="AZ39" s="3818"/>
      <c r="BA39" s="3818"/>
      <c r="BB39" s="3819"/>
      <c r="BC39" s="3817">
        <f ca="1">OFFSET(InputY!$G$3,0,(COLUMN()-7)/4)</f>
        <v>2007</v>
      </c>
      <c r="BD39" s="3818"/>
      <c r="BE39" s="3818"/>
      <c r="BF39" s="3819"/>
      <c r="BG39" s="3817">
        <f ca="1">OFFSET(InputY!$G$3,0,(COLUMN()-7)/4)</f>
        <v>2008</v>
      </c>
      <c r="BH39" s="3818"/>
      <c r="BI39" s="3818"/>
      <c r="BJ39" s="3819"/>
      <c r="BK39" s="3817">
        <f ca="1">OFFSET(InputY!$G$3,0,(COLUMN()-7)/4)</f>
        <v>2009</v>
      </c>
      <c r="BL39" s="3818"/>
      <c r="BM39" s="3818"/>
      <c r="BN39" s="3819"/>
      <c r="BO39" s="3817">
        <f ca="1">OFFSET(InputY!$G$3,0,(COLUMN()-7)/4)</f>
        <v>2010</v>
      </c>
      <c r="BP39" s="3818"/>
      <c r="BQ39" s="3818"/>
      <c r="BR39" s="3819"/>
      <c r="BS39" s="3817">
        <f ca="1">OFFSET(InputY!$G$3,0,(COLUMN()-7)/4)</f>
        <v>2011</v>
      </c>
      <c r="BT39" s="3818"/>
      <c r="BU39" s="3818"/>
      <c r="BV39" s="3819"/>
      <c r="BW39" s="3817">
        <f ca="1">OFFSET(InputY!$G$3,0,(COLUMN()-7)/4)</f>
        <v>2012</v>
      </c>
      <c r="BX39" s="3818"/>
      <c r="BY39" s="3818"/>
      <c r="BZ39" s="3819"/>
      <c r="CA39" s="3817">
        <f ca="1">OFFSET(InputY!$G$3,0,(COLUMN()-7)/4)</f>
        <v>2013</v>
      </c>
      <c r="CB39" s="3818"/>
      <c r="CC39" s="3818"/>
      <c r="CD39" s="3819"/>
      <c r="CE39" s="3817">
        <f ca="1">OFFSET(InputY!$G$3,0,(COLUMN()-7)/4)</f>
        <v>2014</v>
      </c>
      <c r="CF39" s="3818"/>
      <c r="CG39" s="3818"/>
      <c r="CH39" s="3819"/>
      <c r="CI39" s="3817">
        <f ca="1">OFFSET(InputY!$G$3,0,(COLUMN()-7)/4)</f>
        <v>2015</v>
      </c>
      <c r="CJ39" s="3818"/>
      <c r="CK39" s="3818"/>
      <c r="CL39" s="3819"/>
      <c r="CM39" s="3817">
        <f ca="1">OFFSET(InputY!$G$3,0,(COLUMN()-7)/4)</f>
        <v>2016</v>
      </c>
      <c r="CN39" s="3818"/>
      <c r="CO39" s="3818"/>
      <c r="CP39" s="3819"/>
      <c r="CQ39" s="3817">
        <f ca="1">OFFSET(InputY!$G$3,0,(COLUMN()-7)/4)</f>
        <v>2017</v>
      </c>
      <c r="CR39" s="3818"/>
      <c r="CS39" s="3818"/>
      <c r="CT39" s="3819"/>
      <c r="CU39" s="3817">
        <f ca="1">OFFSET(InputY!$G$3,0,(COLUMN()-7)/4)</f>
        <v>2018</v>
      </c>
      <c r="CV39" s="3818"/>
      <c r="CW39" s="3818"/>
      <c r="CX39" s="3819"/>
      <c r="CY39" s="3817">
        <f ca="1">OFFSET(InputY!$G$3,0,(COLUMN()-7)/4)</f>
        <v>2019</v>
      </c>
      <c r="CZ39" s="3818"/>
      <c r="DA39" s="3818"/>
      <c r="DB39" s="3819"/>
      <c r="DC39" s="3817">
        <f ca="1">OFFSET(InputY!$G$3,0,(COLUMN()-7)/4)</f>
        <v>2020</v>
      </c>
      <c r="DD39" s="3818"/>
      <c r="DE39" s="3818"/>
      <c r="DF39" s="3819"/>
    </row>
    <row r="40" spans="1:110" s="736" customFormat="1" ht="12.75" customHeight="1">
      <c r="A40" s="701"/>
      <c r="B40" s="701"/>
      <c r="C40" s="703"/>
      <c r="D40" s="732"/>
      <c r="E40" s="733" t="s">
        <v>214</v>
      </c>
      <c r="F40" s="734"/>
      <c r="G40" s="1618" t="s">
        <v>131</v>
      </c>
      <c r="H40" s="1619" t="s">
        <v>132</v>
      </c>
      <c r="I40" s="1619" t="s">
        <v>133</v>
      </c>
      <c r="J40" s="1620" t="s">
        <v>134</v>
      </c>
      <c r="K40" s="1618" t="s">
        <v>131</v>
      </c>
      <c r="L40" s="1619" t="s">
        <v>132</v>
      </c>
      <c r="M40" s="1619" t="s">
        <v>133</v>
      </c>
      <c r="N40" s="1620" t="s">
        <v>134</v>
      </c>
      <c r="O40" s="1618" t="s">
        <v>131</v>
      </c>
      <c r="P40" s="1619" t="s">
        <v>132</v>
      </c>
      <c r="Q40" s="1619" t="s">
        <v>133</v>
      </c>
      <c r="R40" s="1620" t="s">
        <v>134</v>
      </c>
      <c r="S40" s="1618" t="s">
        <v>131</v>
      </c>
      <c r="T40" s="1619" t="s">
        <v>132</v>
      </c>
      <c r="U40" s="1619" t="s">
        <v>133</v>
      </c>
      <c r="V40" s="1620" t="s">
        <v>134</v>
      </c>
      <c r="W40" s="1618" t="s">
        <v>131</v>
      </c>
      <c r="X40" s="1619" t="s">
        <v>132</v>
      </c>
      <c r="Y40" s="1619" t="s">
        <v>133</v>
      </c>
      <c r="Z40" s="1620" t="s">
        <v>134</v>
      </c>
      <c r="AA40" s="1618" t="s">
        <v>131</v>
      </c>
      <c r="AB40" s="1619" t="s">
        <v>132</v>
      </c>
      <c r="AC40" s="1619" t="s">
        <v>133</v>
      </c>
      <c r="AD40" s="1620" t="s">
        <v>134</v>
      </c>
      <c r="AE40" s="1618" t="s">
        <v>131</v>
      </c>
      <c r="AF40" s="1619" t="s">
        <v>132</v>
      </c>
      <c r="AG40" s="1619" t="s">
        <v>133</v>
      </c>
      <c r="AH40" s="1620" t="s">
        <v>134</v>
      </c>
      <c r="AI40" s="1618" t="s">
        <v>131</v>
      </c>
      <c r="AJ40" s="1619" t="s">
        <v>132</v>
      </c>
      <c r="AK40" s="1619" t="s">
        <v>133</v>
      </c>
      <c r="AL40" s="1620" t="s">
        <v>134</v>
      </c>
      <c r="AM40" s="1618" t="s">
        <v>131</v>
      </c>
      <c r="AN40" s="1619" t="s">
        <v>132</v>
      </c>
      <c r="AO40" s="1619" t="s">
        <v>133</v>
      </c>
      <c r="AP40" s="1620" t="s">
        <v>134</v>
      </c>
      <c r="AQ40" s="1618" t="s">
        <v>131</v>
      </c>
      <c r="AR40" s="1619" t="s">
        <v>132</v>
      </c>
      <c r="AS40" s="1619" t="s">
        <v>133</v>
      </c>
      <c r="AT40" s="1620" t="s">
        <v>134</v>
      </c>
      <c r="AU40" s="1618" t="s">
        <v>131</v>
      </c>
      <c r="AV40" s="1619" t="s">
        <v>132</v>
      </c>
      <c r="AW40" s="1619" t="s">
        <v>133</v>
      </c>
      <c r="AX40" s="1620" t="s">
        <v>134</v>
      </c>
      <c r="AY40" s="1618" t="s">
        <v>131</v>
      </c>
      <c r="AZ40" s="1619" t="s">
        <v>132</v>
      </c>
      <c r="BA40" s="1619" t="s">
        <v>133</v>
      </c>
      <c r="BB40" s="1620" t="s">
        <v>134</v>
      </c>
      <c r="BC40" s="1618" t="s">
        <v>131</v>
      </c>
      <c r="BD40" s="1619" t="s">
        <v>132</v>
      </c>
      <c r="BE40" s="1619" t="s">
        <v>133</v>
      </c>
      <c r="BF40" s="1620" t="s">
        <v>134</v>
      </c>
      <c r="BG40" s="1618" t="s">
        <v>131</v>
      </c>
      <c r="BH40" s="1619" t="s">
        <v>132</v>
      </c>
      <c r="BI40" s="1619" t="s">
        <v>133</v>
      </c>
      <c r="BJ40" s="1620" t="s">
        <v>134</v>
      </c>
      <c r="BK40" s="1618" t="s">
        <v>131</v>
      </c>
      <c r="BL40" s="1619" t="s">
        <v>132</v>
      </c>
      <c r="BM40" s="1619" t="s">
        <v>133</v>
      </c>
      <c r="BN40" s="1620" t="s">
        <v>134</v>
      </c>
      <c r="BO40" s="1618" t="s">
        <v>131</v>
      </c>
      <c r="BP40" s="1619" t="s">
        <v>132</v>
      </c>
      <c r="BQ40" s="1619" t="s">
        <v>133</v>
      </c>
      <c r="BR40" s="1620" t="s">
        <v>134</v>
      </c>
      <c r="BS40" s="1618" t="s">
        <v>131</v>
      </c>
      <c r="BT40" s="1619" t="s">
        <v>132</v>
      </c>
      <c r="BU40" s="1619" t="s">
        <v>133</v>
      </c>
      <c r="BV40" s="1620" t="s">
        <v>134</v>
      </c>
      <c r="BW40" s="1618" t="s">
        <v>131</v>
      </c>
      <c r="BX40" s="1619" t="s">
        <v>132</v>
      </c>
      <c r="BY40" s="1619" t="s">
        <v>133</v>
      </c>
      <c r="BZ40" s="1620" t="s">
        <v>134</v>
      </c>
      <c r="CA40" s="1618" t="s">
        <v>131</v>
      </c>
      <c r="CB40" s="1619" t="s">
        <v>132</v>
      </c>
      <c r="CC40" s="1619" t="s">
        <v>133</v>
      </c>
      <c r="CD40" s="1620" t="s">
        <v>134</v>
      </c>
      <c r="CE40" s="1618" t="s">
        <v>131</v>
      </c>
      <c r="CF40" s="1619" t="s">
        <v>132</v>
      </c>
      <c r="CG40" s="1619" t="s">
        <v>133</v>
      </c>
      <c r="CH40" s="1620" t="s">
        <v>134</v>
      </c>
      <c r="CI40" s="1618" t="s">
        <v>131</v>
      </c>
      <c r="CJ40" s="1619" t="s">
        <v>132</v>
      </c>
      <c r="CK40" s="1619" t="s">
        <v>133</v>
      </c>
      <c r="CL40" s="1620" t="s">
        <v>134</v>
      </c>
      <c r="CM40" s="1618" t="s">
        <v>131</v>
      </c>
      <c r="CN40" s="1619" t="s">
        <v>132</v>
      </c>
      <c r="CO40" s="1619" t="s">
        <v>133</v>
      </c>
      <c r="CP40" s="1620" t="s">
        <v>134</v>
      </c>
      <c r="CQ40" s="1618" t="s">
        <v>131</v>
      </c>
      <c r="CR40" s="1619" t="s">
        <v>132</v>
      </c>
      <c r="CS40" s="1619" t="s">
        <v>133</v>
      </c>
      <c r="CT40" s="1620" t="s">
        <v>134</v>
      </c>
      <c r="CU40" s="1618" t="s">
        <v>131</v>
      </c>
      <c r="CV40" s="1619" t="s">
        <v>132</v>
      </c>
      <c r="CW40" s="1619" t="s">
        <v>133</v>
      </c>
      <c r="CX40" s="1620" t="s">
        <v>134</v>
      </c>
      <c r="CY40" s="1618" t="s">
        <v>131</v>
      </c>
      <c r="CZ40" s="1619" t="s">
        <v>132</v>
      </c>
      <c r="DA40" s="1619" t="s">
        <v>133</v>
      </c>
      <c r="DB40" s="1620" t="s">
        <v>134</v>
      </c>
      <c r="DC40" s="1618" t="s">
        <v>131</v>
      </c>
      <c r="DD40" s="1619" t="s">
        <v>132</v>
      </c>
      <c r="DE40" s="1619" t="s">
        <v>133</v>
      </c>
      <c r="DF40" s="1620" t="s">
        <v>134</v>
      </c>
    </row>
    <row r="41" spans="1:110" s="736" customFormat="1" ht="12.75" customHeight="1">
      <c r="A41" s="701" t="str">
        <f>"Q" &amp; ROW(InputQ!A6)</f>
        <v>Q6</v>
      </c>
      <c r="C41" s="704"/>
      <c r="D41" s="705"/>
      <c r="E41" s="737" t="s">
        <v>1784</v>
      </c>
      <c r="F41" s="738"/>
      <c r="G41" s="817">
        <f>InputQ!G6/1000</f>
        <v>192.90720000000002</v>
      </c>
      <c r="H41" s="817">
        <f>InputQ!H6/1000</f>
        <v>192.8295</v>
      </c>
      <c r="I41" s="817">
        <f>InputQ!I6/1000</f>
        <v>193.0635</v>
      </c>
      <c r="J41" s="817">
        <f>InputQ!J6/1000</f>
        <v>193.29820000000001</v>
      </c>
      <c r="K41" s="817">
        <f>InputQ!K6/1000</f>
        <v>192.2748</v>
      </c>
      <c r="L41" s="817">
        <f>InputQ!L6/1000</f>
        <v>192.3716</v>
      </c>
      <c r="M41" s="817">
        <f>InputQ!M6/1000</f>
        <v>192.09710000000001</v>
      </c>
      <c r="N41" s="817">
        <f>InputQ!N6/1000</f>
        <v>195.13670000000002</v>
      </c>
      <c r="O41" s="817">
        <f>InputQ!O6/1000</f>
        <v>189.346</v>
      </c>
      <c r="P41" s="817">
        <f>InputQ!P6/1000</f>
        <v>191.8227</v>
      </c>
      <c r="Q41" s="817">
        <f>InputQ!Q6/1000</f>
        <v>195.5401</v>
      </c>
      <c r="R41" s="817">
        <f>InputQ!R6/1000</f>
        <v>194.98870000000002</v>
      </c>
      <c r="S41" s="817">
        <f>InputQ!S6/1000</f>
        <v>197.32900000000001</v>
      </c>
      <c r="T41" s="817">
        <f>InputQ!T6/1000</f>
        <v>198.25810000000001</v>
      </c>
      <c r="U41" s="817">
        <f>InputQ!U6/1000</f>
        <v>201.79870000000003</v>
      </c>
      <c r="V41" s="817">
        <f>InputQ!V6/1000</f>
        <v>202.3005</v>
      </c>
      <c r="W41" s="817">
        <f>InputQ!W6/1000</f>
        <v>203.00060000000002</v>
      </c>
      <c r="X41" s="817">
        <f>InputQ!X6/1000</f>
        <v>203.261</v>
      </c>
      <c r="Y41" s="817">
        <f>InputQ!Y6/1000</f>
        <v>202.19139999999999</v>
      </c>
      <c r="Z41" s="817">
        <f>InputQ!Z6/1000</f>
        <v>202.3691</v>
      </c>
      <c r="AA41" s="817">
        <f>InputQ!AA6/1000</f>
        <v>201.06789999999998</v>
      </c>
      <c r="AB41" s="817">
        <f>InputQ!AB6/1000</f>
        <v>200.99929999999998</v>
      </c>
      <c r="AC41" s="817">
        <f>InputQ!AC6/1000</f>
        <v>202.00620000000001</v>
      </c>
      <c r="AD41" s="817">
        <f>InputQ!AD6/1000</f>
        <v>200.90429999999998</v>
      </c>
      <c r="AE41" s="817">
        <f>InputQ!AE6/1000</f>
        <v>201.1498</v>
      </c>
      <c r="AF41" s="817">
        <f>InputQ!AF6/1000</f>
        <v>201.1514</v>
      </c>
      <c r="AG41" s="817">
        <f>InputQ!AG6/1000</f>
        <v>201.54570000000001</v>
      </c>
      <c r="AH41" s="817">
        <f>InputQ!AH6/1000</f>
        <v>203.6173</v>
      </c>
      <c r="AI41" s="817">
        <f>InputQ!AI6/1000</f>
        <v>204.99120000000002</v>
      </c>
      <c r="AJ41" s="817">
        <f>InputQ!AJ6/1000</f>
        <v>206.02539999999999</v>
      </c>
      <c r="AK41" s="817">
        <f>InputQ!AK6/1000</f>
        <v>206.09229999999999</v>
      </c>
      <c r="AL41" s="817">
        <f>InputQ!AL6/1000</f>
        <v>207.24299999999999</v>
      </c>
      <c r="AM41" s="817">
        <f>InputQ!AM6/1000</f>
        <v>207.49179999999998</v>
      </c>
      <c r="AN41" s="817">
        <f>InputQ!AN6/1000</f>
        <v>207.5257</v>
      </c>
      <c r="AO41" s="817">
        <f>InputQ!AO6/1000</f>
        <v>208.61189999999999</v>
      </c>
      <c r="AP41" s="817">
        <f>InputQ!AP6/1000</f>
        <v>207.863</v>
      </c>
      <c r="AQ41" s="817">
        <f>InputQ!AQ6/1000</f>
        <v>206.77679999999998</v>
      </c>
      <c r="AR41" s="817">
        <f>InputQ!AR6/1000</f>
        <v>206.57259999999999</v>
      </c>
      <c r="AS41" s="817">
        <f>InputQ!AS6/1000</f>
        <v>205.50620000000001</v>
      </c>
      <c r="AT41" s="817">
        <f>InputQ!AT6/1000</f>
        <v>205.20949999999999</v>
      </c>
      <c r="AU41" s="817">
        <f>InputQ!AU6/1000</f>
        <v>206.5197</v>
      </c>
      <c r="AV41" s="817">
        <f>InputQ!AV6/1000</f>
        <v>207.03299999999999</v>
      </c>
      <c r="AW41" s="817">
        <f>InputQ!AW6/1000</f>
        <v>205.95179999999999</v>
      </c>
      <c r="AX41" s="817">
        <f>InputQ!AX6/1000</f>
        <v>206.66679999999999</v>
      </c>
      <c r="AY41" s="817">
        <f>InputQ!AY6/1000</f>
        <v>209.1584</v>
      </c>
      <c r="AZ41" s="817">
        <f>InputQ!AZ6/1000</f>
        <v>209.31289999999998</v>
      </c>
      <c r="BA41" s="817">
        <f>InputQ!BA6/1000</f>
        <v>211.40270000000001</v>
      </c>
      <c r="BB41" s="817">
        <f>InputQ!BB6/1000</f>
        <v>211.69370000000001</v>
      </c>
      <c r="BC41" s="817">
        <f>InputQ!BC6/1000</f>
        <v>210.4529</v>
      </c>
      <c r="BD41" s="817">
        <f>InputQ!BD6/1000</f>
        <v>211.95910000000001</v>
      </c>
      <c r="BE41" s="817">
        <f>InputQ!BE6/1000</f>
        <v>211.74250000000001</v>
      </c>
      <c r="BF41" s="817">
        <f>InputQ!BF6/1000</f>
        <v>213.5967</v>
      </c>
      <c r="BG41" s="817">
        <f>InputQ!BG6/1000</f>
        <v>212.64679999999998</v>
      </c>
      <c r="BH41" s="817">
        <f>InputQ!BH6/1000</f>
        <v>214.38029999999998</v>
      </c>
      <c r="BI41" s="817">
        <f>InputQ!BI6/1000</f>
        <v>215.14410000000001</v>
      </c>
      <c r="BJ41" s="817">
        <f>InputQ!BJ6/1000</f>
        <v>215.02429999999998</v>
      </c>
      <c r="BK41" s="817">
        <f>InputQ!BK6/1000</f>
        <v>219.40470000000002</v>
      </c>
      <c r="BL41" s="817">
        <f>InputQ!BL6/1000</f>
        <v>217.7423</v>
      </c>
      <c r="BM41" s="817">
        <f>InputQ!BM6/1000</f>
        <v>219.29150000000001</v>
      </c>
      <c r="BN41" s="817">
        <f>InputQ!BN6/1000</f>
        <v>220.22229999999999</v>
      </c>
      <c r="BO41" s="817">
        <f>InputQ!BO6/1000</f>
        <v>220.0421</v>
      </c>
      <c r="BP41" s="817">
        <f>InputQ!BP6/1000</f>
        <v>221.44239999999999</v>
      </c>
      <c r="BQ41" s="817">
        <f>InputQ!BQ6/1000</f>
        <v>220.92239999999998</v>
      </c>
      <c r="BR41" s="817">
        <f>InputQ!BR6/1000</f>
        <v>222.7551</v>
      </c>
      <c r="BS41" s="817">
        <f>InputQ!BS6/1000</f>
        <v>222.40210000000002</v>
      </c>
      <c r="BT41" s="817">
        <f>InputQ!BT6/1000</f>
        <v>223.22800000000001</v>
      </c>
      <c r="BU41" s="817">
        <f>InputQ!BU6/1000</f>
        <v>223.65779999999998</v>
      </c>
      <c r="BV41" s="817">
        <f>InputQ!BV6/1000</f>
        <v>223.7843</v>
      </c>
      <c r="BW41" s="817">
        <f>InputQ!BW6/1000</f>
        <v>224.99620000000002</v>
      </c>
      <c r="BX41" s="817">
        <f>InputQ!BX6/1000</f>
        <v>226.09810000000002</v>
      </c>
      <c r="BY41" s="817">
        <f>InputQ!BY6/1000</f>
        <v>228.01589999999999</v>
      </c>
      <c r="BZ41" s="817">
        <f>InputQ!BZ6/1000</f>
        <v>228.28460000000001</v>
      </c>
      <c r="CA41" s="817">
        <f>InputQ!CA6/1000</f>
        <v>229.23439999999999</v>
      </c>
      <c r="CB41" s="817">
        <f>InputQ!CB6/1000</f>
        <v>229.6395</v>
      </c>
      <c r="CC41" s="817">
        <f>InputQ!CC6/1000</f>
        <v>229.73779999999999</v>
      </c>
      <c r="CD41" s="817">
        <f>InputQ!CD6/1000</f>
        <v>230.5273</v>
      </c>
      <c r="CE41" s="817">
        <f>InputQ!CE6/1000</f>
        <v>231.28039999999999</v>
      </c>
      <c r="CF41" s="817">
        <f>InputQ!CF6/1000</f>
        <v>232.82040000000001</v>
      </c>
      <c r="CG41" s="817">
        <f>InputQ!CG6/1000</f>
        <v>234.7945</v>
      </c>
      <c r="CH41" s="817">
        <f>InputQ!CH6/1000</f>
        <v>235.78070000000002</v>
      </c>
      <c r="CI41" s="817">
        <f>InputQ!CI6/1000</f>
        <v>237.06360000000001</v>
      </c>
      <c r="CJ41" s="817">
        <f>InputQ!CJ6/1000</f>
        <v>236.36510000000001</v>
      </c>
      <c r="CK41" s="817">
        <f>InputQ!CK6/1000</f>
        <v>238.87479999999999</v>
      </c>
      <c r="CL41" s="817">
        <f>InputQ!CL6/1000</f>
        <v>241.76479999999998</v>
      </c>
      <c r="CM41" s="817">
        <f>InputQ!CM6/1000</f>
        <v>244.196</v>
      </c>
      <c r="CN41" s="817">
        <f>InputQ!CN6/1000</f>
        <v>247.43889999999999</v>
      </c>
      <c r="CO41" s="817">
        <f>InputQ!CO6/1000</f>
        <v>246.28989999999999</v>
      </c>
      <c r="CP41" s="817">
        <f>InputQ!CP6/1000</f>
        <v>246.65189999999998</v>
      </c>
      <c r="CQ41" s="817">
        <f>InputQ!CQ6/1000</f>
        <v>246.0402</v>
      </c>
      <c r="CR41" s="817">
        <f>InputQ!CR6/1000</f>
        <v>246.62629999999999</v>
      </c>
      <c r="CS41" s="817">
        <f>InputQ!CS6/1000</f>
        <v>247.71420000000001</v>
      </c>
      <c r="CT41" s="817">
        <f>InputQ!CT6/1000</f>
        <v>248.1936</v>
      </c>
      <c r="CU41" s="817">
        <f>InputQ!CU6/1000</f>
        <v>248.66149999999999</v>
      </c>
      <c r="CV41" s="817">
        <f>InputQ!CV6/1000</f>
        <v>249.43529999999998</v>
      </c>
      <c r="CW41" s="1643">
        <f t="shared" ref="CW41:CX41" si="156">CV41*(1+CW46/100)</f>
        <v>250.23349296000001</v>
      </c>
      <c r="CX41" s="1643">
        <f t="shared" si="156"/>
        <v>250.708936596624</v>
      </c>
      <c r="CY41" s="1643">
        <f t="shared" ref="CY41" si="157">CX41*(1+CY46/100)</f>
        <v>251.66163055569118</v>
      </c>
      <c r="CZ41" s="1643">
        <f t="shared" ref="CZ41" si="158">CY41*(1+CZ46/100)</f>
        <v>251.93845834930246</v>
      </c>
      <c r="DA41" s="1643">
        <f t="shared" ref="DA41" si="159">CZ41*(1+DA46/100)</f>
        <v>252.14000911598188</v>
      </c>
      <c r="DB41" s="1643">
        <f t="shared" ref="DB41" si="160">DA41*(1+DB46/100)</f>
        <v>252.26607912053987</v>
      </c>
      <c r="DC41" s="1643">
        <f t="shared" ref="DC41" si="161">DB41*(1+DC46/100)</f>
        <v>253.32559665284614</v>
      </c>
      <c r="DD41" s="1643">
        <f t="shared" ref="DD41" si="162">DC41*(1+DD46/100)</f>
        <v>254.08557344280464</v>
      </c>
      <c r="DE41" s="1643">
        <f t="shared" ref="DE41" si="163">DD41*(1+DE46/100)</f>
        <v>254.74619593375593</v>
      </c>
      <c r="DF41" s="1643">
        <f t="shared" ref="DF41" si="164">DE41*(1+DF46/100)</f>
        <v>255.23021370603007</v>
      </c>
    </row>
    <row r="42" spans="1:110" s="26" customFormat="1" ht="12.75">
      <c r="A42" s="710"/>
      <c r="B42" s="710"/>
      <c r="C42" s="724"/>
      <c r="D42" s="720"/>
      <c r="E42" s="721" t="s">
        <v>353</v>
      </c>
      <c r="F42" s="722"/>
      <c r="G42" s="1622"/>
      <c r="H42" s="1623"/>
      <c r="I42" s="1623"/>
      <c r="J42" s="1627">
        <f>SUM(G41:J41)</f>
        <v>772.09840000000008</v>
      </c>
      <c r="K42" s="1622"/>
      <c r="L42" s="1623"/>
      <c r="M42" s="1623"/>
      <c r="N42" s="1627">
        <f>SUM(K41:N41)</f>
        <v>771.88020000000006</v>
      </c>
      <c r="O42" s="1622"/>
      <c r="P42" s="1623"/>
      <c r="Q42" s="1623"/>
      <c r="R42" s="1627">
        <f>SUM(O41:R41)</f>
        <v>771.69749999999999</v>
      </c>
      <c r="S42" s="1622"/>
      <c r="T42" s="1623"/>
      <c r="U42" s="1623"/>
      <c r="V42" s="1627">
        <f>SUM(S41:V41)</f>
        <v>799.68630000000007</v>
      </c>
      <c r="W42" s="1622"/>
      <c r="X42" s="1623"/>
      <c r="Y42" s="1623"/>
      <c r="Z42" s="1627">
        <f>SUM(W41:Z41)</f>
        <v>810.82209999999998</v>
      </c>
      <c r="AA42" s="1622"/>
      <c r="AB42" s="1623"/>
      <c r="AC42" s="1623"/>
      <c r="AD42" s="1627">
        <f>SUM(AA41:AD41)</f>
        <v>804.97769999999991</v>
      </c>
      <c r="AE42" s="1622"/>
      <c r="AF42" s="1623"/>
      <c r="AG42" s="1623"/>
      <c r="AH42" s="1627">
        <f>SUM(AE41:AH41)</f>
        <v>807.46420000000001</v>
      </c>
      <c r="AI42" s="1622"/>
      <c r="AJ42" s="1623"/>
      <c r="AK42" s="1623"/>
      <c r="AL42" s="1627">
        <f>SUM(AI41:AL41)</f>
        <v>824.35190000000011</v>
      </c>
      <c r="AM42" s="1622"/>
      <c r="AN42" s="1623"/>
      <c r="AO42" s="1623"/>
      <c r="AP42" s="1627">
        <f>SUM(AM41:AP41)</f>
        <v>831.49240000000009</v>
      </c>
      <c r="AQ42" s="1622"/>
      <c r="AR42" s="1623"/>
      <c r="AS42" s="1623"/>
      <c r="AT42" s="1627">
        <f>SUM(AQ41:AT41)</f>
        <v>824.06510000000003</v>
      </c>
      <c r="AU42" s="1622"/>
      <c r="AV42" s="1623"/>
      <c r="AW42" s="1623"/>
      <c r="AX42" s="1627">
        <f>SUM(AU41:AX41)</f>
        <v>826.17129999999997</v>
      </c>
      <c r="AY42" s="1622"/>
      <c r="AZ42" s="1623"/>
      <c r="BA42" s="1623"/>
      <c r="BB42" s="1627">
        <f>SUM(AY41:BB41)</f>
        <v>841.56770000000006</v>
      </c>
      <c r="BC42" s="1622"/>
      <c r="BD42" s="1623"/>
      <c r="BE42" s="1623"/>
      <c r="BF42" s="1627">
        <f>SUM(BC41:BF41)</f>
        <v>847.75120000000015</v>
      </c>
      <c r="BG42" s="1622"/>
      <c r="BH42" s="1623"/>
      <c r="BI42" s="1623"/>
      <c r="BJ42" s="1627">
        <f>SUM(BG41:BJ41)</f>
        <v>857.19550000000004</v>
      </c>
      <c r="BK42" s="1622"/>
      <c r="BL42" s="1623"/>
      <c r="BM42" s="1623"/>
      <c r="BN42" s="1627">
        <f>SUM(BK41:BN41)</f>
        <v>876.66080000000011</v>
      </c>
      <c r="BO42" s="1622"/>
      <c r="BP42" s="1623"/>
      <c r="BQ42" s="1623"/>
      <c r="BR42" s="1627">
        <f>SUM(BO41:BR41)</f>
        <v>885.16199999999992</v>
      </c>
      <c r="BS42" s="1622"/>
      <c r="BT42" s="1623"/>
      <c r="BU42" s="1623"/>
      <c r="BV42" s="1627">
        <f>SUM(BS41:BV41)</f>
        <v>893.07220000000007</v>
      </c>
      <c r="BW42" s="1622"/>
      <c r="BX42" s="1623"/>
      <c r="BY42" s="1623"/>
      <c r="BZ42" s="1627">
        <f>SUM(BW41:BZ41)</f>
        <v>907.39480000000003</v>
      </c>
      <c r="CA42" s="1622"/>
      <c r="CB42" s="1623"/>
      <c r="CC42" s="1623"/>
      <c r="CD42" s="1627">
        <f>SUM(CA41:CD41)</f>
        <v>919.1389999999999</v>
      </c>
      <c r="CE42" s="1622"/>
      <c r="CF42" s="1623"/>
      <c r="CG42" s="1623"/>
      <c r="CH42" s="1627">
        <f>SUM(CE41:CH41)</f>
        <v>934.67600000000004</v>
      </c>
      <c r="CI42" s="1622"/>
      <c r="CJ42" s="1623"/>
      <c r="CK42" s="1623"/>
      <c r="CL42" s="1627">
        <f>SUM(CI41:CL41)</f>
        <v>954.06829999999991</v>
      </c>
      <c r="CM42" s="1622"/>
      <c r="CN42" s="1623"/>
      <c r="CO42" s="1623"/>
      <c r="CP42" s="1627">
        <f>SUM(CM41:CP41)</f>
        <v>984.57669999999996</v>
      </c>
      <c r="CQ42" s="1622"/>
      <c r="CR42" s="1623"/>
      <c r="CS42" s="1623"/>
      <c r="CT42" s="1627">
        <f>SUM(CQ41:CT41)</f>
        <v>988.57429999999999</v>
      </c>
      <c r="CU42" s="1622"/>
      <c r="CV42" s="1623"/>
      <c r="CW42" s="1623"/>
      <c r="CX42" s="1627">
        <f>SUM(CU41:CX41)</f>
        <v>999.03922955662392</v>
      </c>
      <c r="CY42" s="1622"/>
      <c r="CZ42" s="1623"/>
      <c r="DA42" s="1623"/>
      <c r="DB42" s="1627">
        <f>SUM(CY41:DB41)</f>
        <v>1008.0061771415154</v>
      </c>
      <c r="DC42" s="1622"/>
      <c r="DD42" s="1623"/>
      <c r="DE42" s="1623"/>
      <c r="DF42" s="1627">
        <f>SUM(DC41:DF41)</f>
        <v>1017.3875797354368</v>
      </c>
    </row>
    <row r="43" spans="1:110" s="736" customFormat="1" ht="12.75" customHeight="1">
      <c r="A43" s="701"/>
      <c r="B43" s="701"/>
      <c r="C43" s="706"/>
      <c r="D43" s="716"/>
      <c r="E43" s="1624" t="s">
        <v>136</v>
      </c>
      <c r="F43" s="716"/>
      <c r="G43" s="1625"/>
      <c r="H43" s="2916" t="s">
        <v>1694</v>
      </c>
      <c r="I43" s="2917">
        <f ca="1">+J43/J42*100</f>
        <v>99.823238851420996</v>
      </c>
      <c r="J43" s="1626">
        <f ca="1">OFFSET('VVP2'!$G$13,0,(COLUMN()-10)/4)</f>
        <v>770.73362999999995</v>
      </c>
      <c r="K43" s="1625"/>
      <c r="L43" s="2916" t="s">
        <v>1694</v>
      </c>
      <c r="M43" s="2917">
        <f ca="1">+N43/N42*100</f>
        <v>99.725539014992208</v>
      </c>
      <c r="N43" s="1626">
        <f ca="1">OFFSET('VVP2'!$G$13,0,(COLUMN()-10)/4)</f>
        <v>769.76168999999993</v>
      </c>
      <c r="O43" s="1625"/>
      <c r="P43" s="2916" t="s">
        <v>1694</v>
      </c>
      <c r="Q43" s="2917">
        <f ca="1">+R43/R42*100</f>
        <v>99.289720389142133</v>
      </c>
      <c r="R43" s="1626">
        <f ca="1">OFFSET('VVP2'!$G$13,0,(COLUMN()-10)/4)</f>
        <v>766.21629000000007</v>
      </c>
      <c r="S43" s="1625"/>
      <c r="T43" s="2916" t="s">
        <v>1694</v>
      </c>
      <c r="U43" s="2917">
        <f ca="1">+V43/V42*100</f>
        <v>99.450418245254411</v>
      </c>
      <c r="V43" s="1626">
        <f ca="1">OFFSET('VVP2'!$G$13,0,(COLUMN()-10)/4)</f>
        <v>795.29137000000003</v>
      </c>
      <c r="W43" s="1625"/>
      <c r="X43" s="2916" t="s">
        <v>1694</v>
      </c>
      <c r="Y43" s="2917">
        <f ca="1">+Z43/Z42*100</f>
        <v>99.800023950999858</v>
      </c>
      <c r="Z43" s="1626">
        <f ca="1">OFFSET('VVP2'!$G$13,0,(COLUMN()-10)/4)</f>
        <v>809.20065</v>
      </c>
      <c r="AA43" s="1625"/>
      <c r="AB43" s="2916" t="s">
        <v>1694</v>
      </c>
      <c r="AC43" s="2917">
        <f ca="1">+AD43/AD42*100</f>
        <v>99.612734613642104</v>
      </c>
      <c r="AD43" s="1626">
        <f ca="1">OFFSET('VVP2'!$G$13,0,(COLUMN()-10)/4)</f>
        <v>801.86030000000005</v>
      </c>
      <c r="AE43" s="1625"/>
      <c r="AF43" s="2916" t="s">
        <v>1694</v>
      </c>
      <c r="AG43" s="2917">
        <f ca="1">+AH43/AH42*100</f>
        <v>99.476674012296769</v>
      </c>
      <c r="AH43" s="1626">
        <f ca="1">OFFSET('VVP2'!$G$13,0,(COLUMN()-10)/4)</f>
        <v>803.23853000000008</v>
      </c>
      <c r="AI43" s="1625"/>
      <c r="AJ43" s="2916" t="s">
        <v>1694</v>
      </c>
      <c r="AK43" s="2917">
        <f ca="1">+AL43/AL42*100</f>
        <v>99.484263941163945</v>
      </c>
      <c r="AL43" s="1626">
        <f ca="1">OFFSET('VVP2'!$G$13,0,(COLUMN()-10)/4)</f>
        <v>820.10041999999999</v>
      </c>
      <c r="AM43" s="1625"/>
      <c r="AN43" s="2916" t="s">
        <v>1694</v>
      </c>
      <c r="AO43" s="2917">
        <f ca="1">+AP43/AP42*100</f>
        <v>99.291477588971333</v>
      </c>
      <c r="AP43" s="1626">
        <f ca="1">OFFSET('VVP2'!$G$13,0,(COLUMN()-10)/4)</f>
        <v>825.60109</v>
      </c>
      <c r="AQ43" s="1625"/>
      <c r="AR43" s="2916" t="s">
        <v>1694</v>
      </c>
      <c r="AS43" s="2917">
        <f ca="1">+AT43/AT42*100</f>
        <v>99.956026532369819</v>
      </c>
      <c r="AT43" s="1626">
        <f ca="1">OFFSET('VVP2'!$G$13,0,(COLUMN()-10)/4)</f>
        <v>823.70272999999997</v>
      </c>
      <c r="AU43" s="1625"/>
      <c r="AV43" s="2916" t="s">
        <v>1694</v>
      </c>
      <c r="AW43" s="2917">
        <f ca="1">+AX43/AX42*100</f>
        <v>100.07194270728117</v>
      </c>
      <c r="AX43" s="1626">
        <f ca="1">OFFSET('VVP2'!$G$13,0,(COLUMN()-10)/4)</f>
        <v>826.76567</v>
      </c>
      <c r="AY43" s="1625"/>
      <c r="AZ43" s="2916" t="s">
        <v>1694</v>
      </c>
      <c r="BA43" s="2917">
        <f ca="1">+BB43/BB42*100</f>
        <v>99.824414601463445</v>
      </c>
      <c r="BB43" s="1626">
        <f ca="1">OFFSET('VVP2'!$G$13,0,(COLUMN()-10)/4)</f>
        <v>840.09003000000007</v>
      </c>
      <c r="BC43" s="1625"/>
      <c r="BD43" s="2916" t="s">
        <v>1694</v>
      </c>
      <c r="BE43" s="2917">
        <f ca="1">+BF43/BF42*100</f>
        <v>99.593213197456976</v>
      </c>
      <c r="BF43" s="1626">
        <f ca="1">OFFSET('VVP2'!$G$13,0,(COLUMN()-10)/4)</f>
        <v>844.30266000000006</v>
      </c>
      <c r="BG43" s="1625"/>
      <c r="BH43" s="2916" t="s">
        <v>1694</v>
      </c>
      <c r="BI43" s="2917">
        <f ca="1">+BJ43/BJ42*100</f>
        <v>99.811719730213227</v>
      </c>
      <c r="BJ43" s="1626">
        <f ca="1">OFFSET('VVP2'!$G$13,0,(COLUMN()-10)/4)</f>
        <v>855.58156999999994</v>
      </c>
      <c r="BK43" s="1625"/>
      <c r="BL43" s="2916" t="s">
        <v>1694</v>
      </c>
      <c r="BM43" s="2917">
        <f ca="1">+BN43/BN42*100</f>
        <v>99.796402439803373</v>
      </c>
      <c r="BN43" s="1626">
        <f ca="1">OFFSET('VVP2'!$G$13,0,(COLUMN()-10)/4)</f>
        <v>874.8759399999999</v>
      </c>
      <c r="BO43" s="1625"/>
      <c r="BP43" s="2916" t="s">
        <v>1694</v>
      </c>
      <c r="BQ43" s="2917">
        <f ca="1">+BR43/BR42*100</f>
        <v>100.13669814113125</v>
      </c>
      <c r="BR43" s="1626">
        <f ca="1">OFFSET('VVP2'!$G$13,0,(COLUMN()-10)/4)</f>
        <v>886.37199999999996</v>
      </c>
      <c r="BS43" s="1625"/>
      <c r="BT43" s="2916" t="s">
        <v>1694</v>
      </c>
      <c r="BU43" s="2917">
        <f ca="1">+BV43/BV42*100</f>
        <v>100.06971888722993</v>
      </c>
      <c r="BV43" s="1626">
        <f ca="1">OFFSET('VVP2'!$G$13,0,(COLUMN()-10)/4)</f>
        <v>893.69484</v>
      </c>
      <c r="BW43" s="1625"/>
      <c r="BX43" s="2916" t="s">
        <v>1694</v>
      </c>
      <c r="BY43" s="2917">
        <f ca="1">+BZ43/BZ42*100</f>
        <v>99.58149087916307</v>
      </c>
      <c r="BZ43" s="1626">
        <f ca="1">OFFSET('VVP2'!$G$13,0,(COLUMN()-10)/4)</f>
        <v>903.59726999999998</v>
      </c>
      <c r="CA43" s="1625"/>
      <c r="CB43" s="2916" t="s">
        <v>1694</v>
      </c>
      <c r="CC43" s="2917">
        <f ca="1">+CD43/CD42*100</f>
        <v>99.577751569675527</v>
      </c>
      <c r="CD43" s="1626">
        <f ca="1">OFFSET('VVP2'!$G$13,0,(COLUMN()-10)/4)</f>
        <v>915.25794999999994</v>
      </c>
      <c r="CE43" s="1625"/>
      <c r="CF43" s="2916" t="s">
        <v>1694</v>
      </c>
      <c r="CG43" s="2917">
        <f ca="1">+CH43/CH42*100</f>
        <v>99.402660387128805</v>
      </c>
      <c r="CH43" s="1626">
        <f ca="1">OFFSET('VVP2'!$G$13,0,(COLUMN()-10)/4)</f>
        <v>929.0928100000001</v>
      </c>
      <c r="CI43" s="1625"/>
      <c r="CJ43" s="2916" t="s">
        <v>1694</v>
      </c>
      <c r="CK43" s="2917">
        <f ca="1">+CL43/CL42*100</f>
        <v>99.728604335769262</v>
      </c>
      <c r="CL43" s="1626">
        <f ca="1">OFFSET('VVP2'!$G$13,0,(COLUMN()-10)/4)</f>
        <v>951.47900000000004</v>
      </c>
      <c r="CM43" s="1625"/>
      <c r="CN43" s="2916" t="s">
        <v>1694</v>
      </c>
      <c r="CO43" s="2916" t="s">
        <v>1694</v>
      </c>
      <c r="CP43" s="1626">
        <f ca="1">OFFSET('VVP2'!$G$13,0,(COLUMN()-10)/4)</f>
        <v>985.74741000000006</v>
      </c>
      <c r="CQ43" s="1625"/>
      <c r="CR43" s="2916" t="s">
        <v>1694</v>
      </c>
      <c r="CS43" s="2916" t="s">
        <v>1694</v>
      </c>
      <c r="CT43" s="1626">
        <f ca="1">OFFSET('VVP2'!$G$13,0,(COLUMN()-10)/4)</f>
        <v>985.72027000000003</v>
      </c>
      <c r="CU43" s="1625"/>
      <c r="CV43" s="2916" t="s">
        <v>1694</v>
      </c>
      <c r="CW43" s="2917">
        <f ca="1">+CX43/CX42*100</f>
        <v>99.712691493015953</v>
      </c>
      <c r="CX43" s="1626">
        <f ca="1">OFFSET('VVP2'!$G$13,0,(COLUMN()-10)/4)</f>
        <v>996.16890486199998</v>
      </c>
      <c r="CY43" s="1625"/>
      <c r="CZ43" s="2916" t="s">
        <v>1694</v>
      </c>
      <c r="DA43" s="2917">
        <f ca="1">+DB43/DB42*100</f>
        <v>99.715105700651435</v>
      </c>
      <c r="DB43" s="1626">
        <f ca="1">OFFSET('VVP2'!$G$13,0,(COLUMN()-10)/4)</f>
        <v>1005.1344250057579</v>
      </c>
      <c r="DC43" s="1625"/>
      <c r="DD43" s="2916" t="s">
        <v>1694</v>
      </c>
      <c r="DE43" s="2917">
        <f ca="1">+DF43/DF42*100</f>
        <v>99.714425000364088</v>
      </c>
      <c r="DF43" s="1626">
        <f ca="1">OFFSET('VVP2'!$G$13,0,(COLUMN()-10)/4)</f>
        <v>1014.4821751583115</v>
      </c>
    </row>
    <row r="44" spans="1:110">
      <c r="AY44" s="217"/>
      <c r="BC44" s="217"/>
      <c r="BD44" s="217"/>
      <c r="BG44" s="217"/>
      <c r="BH44" s="217"/>
      <c r="BK44" s="217"/>
      <c r="BL44" s="217"/>
      <c r="BO44" s="217"/>
      <c r="BP44" s="217"/>
      <c r="BS44" s="217"/>
      <c r="BT44" s="217"/>
      <c r="BW44" s="217"/>
      <c r="BX44" s="217"/>
    </row>
    <row r="45" spans="1:110" s="736" customFormat="1" ht="12.75" customHeight="1">
      <c r="A45" s="701"/>
      <c r="B45" s="701"/>
      <c r="C45" s="1603"/>
      <c r="D45" s="779"/>
      <c r="E45" s="780" t="s">
        <v>1641</v>
      </c>
      <c r="F45" s="781"/>
      <c r="G45" s="1630" t="str">
        <f t="shared" ref="G45:N45" si="165">G40</f>
        <v>Q1</v>
      </c>
      <c r="H45" s="1631" t="str">
        <f t="shared" si="165"/>
        <v>Q2</v>
      </c>
      <c r="I45" s="1631" t="str">
        <f t="shared" si="165"/>
        <v>Q3</v>
      </c>
      <c r="J45" s="1632" t="str">
        <f t="shared" si="165"/>
        <v>Q4</v>
      </c>
      <c r="K45" s="1630" t="str">
        <f t="shared" si="165"/>
        <v>Q1</v>
      </c>
      <c r="L45" s="1631" t="str">
        <f t="shared" si="165"/>
        <v>Q2</v>
      </c>
      <c r="M45" s="1631" t="str">
        <f t="shared" si="165"/>
        <v>Q3</v>
      </c>
      <c r="N45" s="1632" t="str">
        <f t="shared" si="165"/>
        <v>Q4</v>
      </c>
      <c r="O45" s="1630" t="str">
        <f t="shared" ref="O45:AX45" si="166">O40</f>
        <v>Q1</v>
      </c>
      <c r="P45" s="1631" t="str">
        <f t="shared" si="166"/>
        <v>Q2</v>
      </c>
      <c r="Q45" s="1631" t="str">
        <f t="shared" si="166"/>
        <v>Q3</v>
      </c>
      <c r="R45" s="1632" t="str">
        <f t="shared" si="166"/>
        <v>Q4</v>
      </c>
      <c r="S45" s="1630" t="str">
        <f t="shared" si="166"/>
        <v>Q1</v>
      </c>
      <c r="T45" s="1631" t="str">
        <f t="shared" si="166"/>
        <v>Q2</v>
      </c>
      <c r="U45" s="1631" t="str">
        <f t="shared" si="166"/>
        <v>Q3</v>
      </c>
      <c r="V45" s="1632" t="str">
        <f t="shared" si="166"/>
        <v>Q4</v>
      </c>
      <c r="W45" s="1630" t="str">
        <f t="shared" si="166"/>
        <v>Q1</v>
      </c>
      <c r="X45" s="1631" t="str">
        <f t="shared" si="166"/>
        <v>Q2</v>
      </c>
      <c r="Y45" s="1631" t="str">
        <f t="shared" si="166"/>
        <v>Q3</v>
      </c>
      <c r="Z45" s="1632" t="str">
        <f t="shared" si="166"/>
        <v>Q4</v>
      </c>
      <c r="AA45" s="1630" t="str">
        <f t="shared" si="166"/>
        <v>Q1</v>
      </c>
      <c r="AB45" s="1631" t="str">
        <f t="shared" si="166"/>
        <v>Q2</v>
      </c>
      <c r="AC45" s="1631" t="str">
        <f t="shared" si="166"/>
        <v>Q3</v>
      </c>
      <c r="AD45" s="1632" t="str">
        <f t="shared" si="166"/>
        <v>Q4</v>
      </c>
      <c r="AE45" s="1630" t="str">
        <f t="shared" si="166"/>
        <v>Q1</v>
      </c>
      <c r="AF45" s="1631" t="str">
        <f t="shared" si="166"/>
        <v>Q2</v>
      </c>
      <c r="AG45" s="1631" t="str">
        <f t="shared" si="166"/>
        <v>Q3</v>
      </c>
      <c r="AH45" s="1632" t="str">
        <f t="shared" si="166"/>
        <v>Q4</v>
      </c>
      <c r="AI45" s="1630" t="str">
        <f t="shared" si="166"/>
        <v>Q1</v>
      </c>
      <c r="AJ45" s="1631" t="str">
        <f t="shared" si="166"/>
        <v>Q2</v>
      </c>
      <c r="AK45" s="1631" t="str">
        <f t="shared" si="166"/>
        <v>Q3</v>
      </c>
      <c r="AL45" s="1632" t="str">
        <f t="shared" si="166"/>
        <v>Q4</v>
      </c>
      <c r="AM45" s="1630" t="str">
        <f t="shared" si="166"/>
        <v>Q1</v>
      </c>
      <c r="AN45" s="1631" t="str">
        <f t="shared" si="166"/>
        <v>Q2</v>
      </c>
      <c r="AO45" s="1631" t="str">
        <f t="shared" si="166"/>
        <v>Q3</v>
      </c>
      <c r="AP45" s="1632" t="str">
        <f t="shared" si="166"/>
        <v>Q4</v>
      </c>
      <c r="AQ45" s="1630" t="str">
        <f t="shared" si="166"/>
        <v>Q1</v>
      </c>
      <c r="AR45" s="1631" t="str">
        <f t="shared" si="166"/>
        <v>Q2</v>
      </c>
      <c r="AS45" s="1631" t="str">
        <f t="shared" si="166"/>
        <v>Q3</v>
      </c>
      <c r="AT45" s="1632" t="str">
        <f t="shared" si="166"/>
        <v>Q4</v>
      </c>
      <c r="AU45" s="1630" t="str">
        <f t="shared" si="166"/>
        <v>Q1</v>
      </c>
      <c r="AV45" s="1631" t="str">
        <f t="shared" si="166"/>
        <v>Q2</v>
      </c>
      <c r="AW45" s="1631" t="str">
        <f t="shared" si="166"/>
        <v>Q3</v>
      </c>
      <c r="AX45" s="1632" t="str">
        <f t="shared" si="166"/>
        <v>Q4</v>
      </c>
      <c r="AY45" s="1630" t="str">
        <f t="shared" ref="AY45:BF45" si="167">AY40</f>
        <v>Q1</v>
      </c>
      <c r="AZ45" s="1631" t="str">
        <f t="shared" si="167"/>
        <v>Q2</v>
      </c>
      <c r="BA45" s="1631" t="str">
        <f t="shared" si="167"/>
        <v>Q3</v>
      </c>
      <c r="BB45" s="1631" t="str">
        <f t="shared" si="167"/>
        <v>Q4</v>
      </c>
      <c r="BC45" s="1630" t="str">
        <f t="shared" si="167"/>
        <v>Q1</v>
      </c>
      <c r="BD45" s="1631" t="str">
        <f t="shared" si="167"/>
        <v>Q2</v>
      </c>
      <c r="BE45" s="1631" t="str">
        <f t="shared" si="167"/>
        <v>Q3</v>
      </c>
      <c r="BF45" s="1631" t="str">
        <f t="shared" si="167"/>
        <v>Q4</v>
      </c>
      <c r="BG45" s="1630" t="str">
        <f t="shared" ref="BG45:BN45" si="168">BG40</f>
        <v>Q1</v>
      </c>
      <c r="BH45" s="1631" t="str">
        <f t="shared" si="168"/>
        <v>Q2</v>
      </c>
      <c r="BI45" s="1631" t="str">
        <f t="shared" si="168"/>
        <v>Q3</v>
      </c>
      <c r="BJ45" s="1631" t="str">
        <f t="shared" si="168"/>
        <v>Q4</v>
      </c>
      <c r="BK45" s="1630" t="str">
        <f t="shared" si="168"/>
        <v>Q1</v>
      </c>
      <c r="BL45" s="1631" t="str">
        <f t="shared" si="168"/>
        <v>Q2</v>
      </c>
      <c r="BM45" s="1631" t="str">
        <f t="shared" si="168"/>
        <v>Q3</v>
      </c>
      <c r="BN45" s="1631" t="str">
        <f t="shared" si="168"/>
        <v>Q4</v>
      </c>
      <c r="BO45" s="1630" t="str">
        <f t="shared" ref="BO45:BV45" si="169">BO40</f>
        <v>Q1</v>
      </c>
      <c r="BP45" s="1631" t="str">
        <f t="shared" si="169"/>
        <v>Q2</v>
      </c>
      <c r="BQ45" s="1631" t="str">
        <f t="shared" si="169"/>
        <v>Q3</v>
      </c>
      <c r="BR45" s="1631" t="str">
        <f t="shared" si="169"/>
        <v>Q4</v>
      </c>
      <c r="BS45" s="1630" t="str">
        <f t="shared" si="169"/>
        <v>Q1</v>
      </c>
      <c r="BT45" s="1631" t="str">
        <f t="shared" si="169"/>
        <v>Q2</v>
      </c>
      <c r="BU45" s="1631" t="str">
        <f t="shared" si="169"/>
        <v>Q3</v>
      </c>
      <c r="BV45" s="1631" t="str">
        <f t="shared" si="169"/>
        <v>Q4</v>
      </c>
      <c r="BW45" s="1630" t="str">
        <f t="shared" ref="BW45:CB45" si="170">BW40</f>
        <v>Q1</v>
      </c>
      <c r="BX45" s="1631" t="str">
        <f t="shared" si="170"/>
        <v>Q2</v>
      </c>
      <c r="BY45" s="1631" t="str">
        <f t="shared" si="170"/>
        <v>Q3</v>
      </c>
      <c r="BZ45" s="1631" t="str">
        <f t="shared" si="170"/>
        <v>Q4</v>
      </c>
      <c r="CA45" s="1631" t="str">
        <f t="shared" si="170"/>
        <v>Q1</v>
      </c>
      <c r="CB45" s="1631" t="str">
        <f t="shared" si="170"/>
        <v>Q2</v>
      </c>
      <c r="CC45" s="1631" t="str">
        <f t="shared" ref="CC45:CL45" si="171">CC40</f>
        <v>Q3</v>
      </c>
      <c r="CD45" s="1631" t="str">
        <f t="shared" si="171"/>
        <v>Q4</v>
      </c>
      <c r="CE45" s="1631" t="str">
        <f t="shared" si="171"/>
        <v>Q1</v>
      </c>
      <c r="CF45" s="1631" t="str">
        <f t="shared" si="171"/>
        <v>Q2</v>
      </c>
      <c r="CG45" s="1631" t="str">
        <f t="shared" si="171"/>
        <v>Q3</v>
      </c>
      <c r="CH45" s="1631" t="str">
        <f>CH40</f>
        <v>Q4</v>
      </c>
      <c r="CI45" s="1631" t="str">
        <f>CI40</f>
        <v>Q1</v>
      </c>
      <c r="CJ45" s="1631" t="str">
        <f>CJ40</f>
        <v>Q2</v>
      </c>
      <c r="CK45" s="1631" t="str">
        <f t="shared" si="171"/>
        <v>Q3</v>
      </c>
      <c r="CL45" s="1631" t="str">
        <f t="shared" si="171"/>
        <v>Q4</v>
      </c>
      <c r="CM45" s="1631" t="str">
        <f>CM40</f>
        <v>Q1</v>
      </c>
      <c r="CN45" s="1631" t="str">
        <f>CN40</f>
        <v>Q2</v>
      </c>
      <c r="CO45" s="1631" t="str">
        <f>CO40</f>
        <v>Q3</v>
      </c>
      <c r="CP45" s="1631" t="str">
        <f t="shared" ref="CP45" si="172">CP40</f>
        <v>Q4</v>
      </c>
      <c r="CQ45" s="3609" t="str">
        <f>CQ40</f>
        <v>Q1</v>
      </c>
      <c r="CR45" s="3609" t="str">
        <f>CR40</f>
        <v>Q2</v>
      </c>
      <c r="CS45" s="3609" t="str">
        <f>CS40</f>
        <v>Q3</v>
      </c>
      <c r="CT45" s="3609" t="str">
        <f t="shared" ref="CT45" si="173">CT40</f>
        <v>Q4</v>
      </c>
      <c r="CU45" s="1631" t="str">
        <f t="shared" ref="CU45:CX45" si="174">CU40</f>
        <v>Q1</v>
      </c>
      <c r="CV45" s="3609" t="str">
        <f>CV40</f>
        <v>Q2</v>
      </c>
      <c r="CW45" s="1631" t="str">
        <f t="shared" si="174"/>
        <v>Q3</v>
      </c>
      <c r="CX45" s="1631" t="str">
        <f t="shared" si="174"/>
        <v>Q4</v>
      </c>
      <c r="CY45" s="1631" t="str">
        <f t="shared" ref="CY45:DB45" si="175">CY40</f>
        <v>Q1</v>
      </c>
      <c r="CZ45" s="1631" t="str">
        <f t="shared" si="175"/>
        <v>Q2</v>
      </c>
      <c r="DA45" s="1631" t="str">
        <f t="shared" si="175"/>
        <v>Q3</v>
      </c>
      <c r="DB45" s="1631" t="str">
        <f t="shared" si="175"/>
        <v>Q4</v>
      </c>
      <c r="DC45" s="1631" t="str">
        <f t="shared" ref="DC45:DF45" si="176">DC40</f>
        <v>Q1</v>
      </c>
      <c r="DD45" s="1631" t="str">
        <f t="shared" si="176"/>
        <v>Q2</v>
      </c>
      <c r="DE45" s="1631" t="str">
        <f t="shared" si="176"/>
        <v>Q3</v>
      </c>
      <c r="DF45" s="1631" t="str">
        <f t="shared" si="176"/>
        <v>Q4</v>
      </c>
    </row>
    <row r="46" spans="1:110" s="736" customFormat="1" ht="12.75" customHeight="1">
      <c r="B46" s="701"/>
      <c r="C46" s="1628"/>
      <c r="D46" s="726"/>
      <c r="E46" s="775" t="str">
        <f>E41</f>
        <v xml:space="preserve">Government final consumption expenditure                                        </v>
      </c>
      <c r="F46" s="770" t="s">
        <v>1969</v>
      </c>
      <c r="G46" s="1015"/>
      <c r="H46" s="1015">
        <f t="shared" ref="H46:N46" si="177">(H41/G41-1)*100</f>
        <v>-4.0278434397478247E-2</v>
      </c>
      <c r="I46" s="1015">
        <f t="shared" si="177"/>
        <v>0.12135072693753024</v>
      </c>
      <c r="J46" s="1015">
        <f t="shared" si="177"/>
        <v>0.12156622044041665</v>
      </c>
      <c r="K46" s="1015">
        <f t="shared" si="177"/>
        <v>-0.52944103980275825</v>
      </c>
      <c r="L46" s="1015">
        <f t="shared" si="177"/>
        <v>5.0344610942265611E-2</v>
      </c>
      <c r="M46" s="1015">
        <f t="shared" si="177"/>
        <v>-0.14269258040167099</v>
      </c>
      <c r="N46" s="1015">
        <f t="shared" si="177"/>
        <v>1.582324772211563</v>
      </c>
      <c r="O46" s="1015">
        <f t="shared" ref="O46:AX46" si="178">(O41/N41-1)*100</f>
        <v>-2.9675094433799565</v>
      </c>
      <c r="P46" s="1015">
        <f t="shared" si="178"/>
        <v>1.3080286882215519</v>
      </c>
      <c r="Q46" s="1015">
        <f t="shared" si="178"/>
        <v>1.937935395550161</v>
      </c>
      <c r="R46" s="1015">
        <f t="shared" si="178"/>
        <v>-0.28198819577159862</v>
      </c>
      <c r="S46" s="1015">
        <f t="shared" si="178"/>
        <v>1.2002233975609844</v>
      </c>
      <c r="T46" s="1015">
        <f t="shared" si="178"/>
        <v>0.47083804205159119</v>
      </c>
      <c r="U46" s="1015">
        <f t="shared" si="178"/>
        <v>1.7858538944941049</v>
      </c>
      <c r="V46" s="1015">
        <f t="shared" si="178"/>
        <v>0.24866364352196246</v>
      </c>
      <c r="W46" s="1015">
        <f t="shared" si="178"/>
        <v>0.34606933744603108</v>
      </c>
      <c r="X46" s="1015">
        <f t="shared" si="178"/>
        <v>0.12827548292959623</v>
      </c>
      <c r="Y46" s="1015">
        <f t="shared" si="178"/>
        <v>-0.52621998317434748</v>
      </c>
      <c r="Z46" s="1015">
        <f t="shared" si="178"/>
        <v>8.7887021901034146E-2</v>
      </c>
      <c r="AA46" s="1015">
        <f t="shared" si="178"/>
        <v>-0.64298353849476797</v>
      </c>
      <c r="AB46" s="1015">
        <f t="shared" si="178"/>
        <v>-3.4117827858148875E-2</v>
      </c>
      <c r="AC46" s="1015">
        <f t="shared" si="178"/>
        <v>0.50094701822345211</v>
      </c>
      <c r="AD46" s="1015">
        <f t="shared" si="178"/>
        <v>-0.54547830710147682</v>
      </c>
      <c r="AE46" s="1015">
        <f t="shared" si="178"/>
        <v>0.12219748407575892</v>
      </c>
      <c r="AF46" s="1015">
        <f t="shared" si="178"/>
        <v>7.9542708966151565E-4</v>
      </c>
      <c r="AG46" s="1015">
        <f t="shared" si="178"/>
        <v>0.19602150420032771</v>
      </c>
      <c r="AH46" s="1015">
        <f t="shared" si="178"/>
        <v>1.0278562132558511</v>
      </c>
      <c r="AI46" s="1015">
        <f t="shared" si="178"/>
        <v>0.67474620280301156</v>
      </c>
      <c r="AJ46" s="1015">
        <f t="shared" si="178"/>
        <v>0.50450946186957335</v>
      </c>
      <c r="AK46" s="1015">
        <f t="shared" si="178"/>
        <v>3.2471724360205734E-2</v>
      </c>
      <c r="AL46" s="1015">
        <f t="shared" si="178"/>
        <v>0.5583420632405911</v>
      </c>
      <c r="AM46" s="1015">
        <f t="shared" si="178"/>
        <v>0.12005230574736458</v>
      </c>
      <c r="AN46" s="1015">
        <f t="shared" si="178"/>
        <v>1.6337995043658182E-2</v>
      </c>
      <c r="AO46" s="1015">
        <f t="shared" si="178"/>
        <v>0.52340505296450957</v>
      </c>
      <c r="AP46" s="1015">
        <f t="shared" si="178"/>
        <v>-0.35899198463750226</v>
      </c>
      <c r="AQ46" s="1015">
        <f t="shared" si="178"/>
        <v>-0.52255572179753518</v>
      </c>
      <c r="AR46" s="1015">
        <f t="shared" si="178"/>
        <v>-9.8753825380792915E-2</v>
      </c>
      <c r="AS46" s="1015">
        <f t="shared" si="178"/>
        <v>-0.51623497017513342</v>
      </c>
      <c r="AT46" s="1015">
        <f t="shared" si="178"/>
        <v>-0.14437520619816624</v>
      </c>
      <c r="AU46" s="1015">
        <f t="shared" si="178"/>
        <v>0.63846946656953563</v>
      </c>
      <c r="AV46" s="1015">
        <f t="shared" si="178"/>
        <v>0.2485477172395667</v>
      </c>
      <c r="AW46" s="1015">
        <f t="shared" si="178"/>
        <v>-0.52223558563126993</v>
      </c>
      <c r="AX46" s="1015">
        <f t="shared" si="178"/>
        <v>0.34716860935422034</v>
      </c>
      <c r="AY46" s="1015">
        <f t="shared" ref="AY46:BJ46" si="179">(AY41/AX41-1)*100</f>
        <v>1.205612125411526</v>
      </c>
      <c r="AZ46" s="1015">
        <f t="shared" si="179"/>
        <v>7.3867461215981756E-2</v>
      </c>
      <c r="BA46" s="1015">
        <f t="shared" si="179"/>
        <v>0.99840955813044197</v>
      </c>
      <c r="BB46" s="1015">
        <f t="shared" si="179"/>
        <v>0.13765197890092118</v>
      </c>
      <c r="BC46" s="1015">
        <f t="shared" si="179"/>
        <v>-0.58612986593366001</v>
      </c>
      <c r="BD46" s="1015">
        <f t="shared" si="179"/>
        <v>0.71569458059261848</v>
      </c>
      <c r="BE46" s="1015">
        <f t="shared" si="179"/>
        <v>-0.10218952618689103</v>
      </c>
      <c r="BF46" s="1015">
        <f t="shared" si="179"/>
        <v>0.87568626987968301</v>
      </c>
      <c r="BG46" s="1015">
        <f t="shared" si="179"/>
        <v>-0.44471660844948024</v>
      </c>
      <c r="BH46" s="1015">
        <f t="shared" si="179"/>
        <v>0.81520154547352064</v>
      </c>
      <c r="BI46" s="1015">
        <f t="shared" si="179"/>
        <v>0.35628273679999545</v>
      </c>
      <c r="BJ46" s="1015">
        <f t="shared" si="179"/>
        <v>-5.5683609264689515E-2</v>
      </c>
      <c r="BK46" s="1015">
        <f t="shared" ref="BK46:BR46" si="180">(BK41/BJ41-1)*100</f>
        <v>2.0371651018047832</v>
      </c>
      <c r="BL46" s="1015">
        <f t="shared" si="180"/>
        <v>-0.75768659468098409</v>
      </c>
      <c r="BM46" s="1015">
        <f t="shared" si="180"/>
        <v>0.71148325336878315</v>
      </c>
      <c r="BN46" s="1015">
        <f t="shared" si="180"/>
        <v>0.42445785632365673</v>
      </c>
      <c r="BO46" s="1015">
        <f t="shared" si="180"/>
        <v>-8.1826409042129455E-2</v>
      </c>
      <c r="BP46" s="1015">
        <f t="shared" si="180"/>
        <v>0.63637822034965374</v>
      </c>
      <c r="BQ46" s="1015">
        <f t="shared" si="180"/>
        <v>-0.23482404453709638</v>
      </c>
      <c r="BR46" s="1015">
        <f t="shared" si="180"/>
        <v>0.8295673050808805</v>
      </c>
      <c r="BS46" s="1015">
        <f>(BS41/BR41-1)*100</f>
        <v>-0.15846999687099128</v>
      </c>
      <c r="BT46" s="1015">
        <f>(BT41/BS41-1)*100</f>
        <v>0.37135440717510626</v>
      </c>
      <c r="BU46" s="1015">
        <f>(BU41/BT41-1)*100</f>
        <v>0.19253857043022293</v>
      </c>
      <c r="BV46" s="1015">
        <f>(BV41/BU41-1)*100</f>
        <v>5.6559619203988554E-2</v>
      </c>
      <c r="BW46" s="1015">
        <f t="shared" ref="BW46:CL46" si="181">(BW41/BV41-1)*100</f>
        <v>0.54154826768455511</v>
      </c>
      <c r="BX46" s="1015">
        <f t="shared" si="181"/>
        <v>0.4897416045248848</v>
      </c>
      <c r="BY46" s="1015">
        <f t="shared" si="181"/>
        <v>0.8482158850516619</v>
      </c>
      <c r="BZ46" s="1015">
        <f t="shared" si="181"/>
        <v>0.11784265921808146</v>
      </c>
      <c r="CA46" s="1015">
        <f t="shared" si="181"/>
        <v>0.41605960279404997</v>
      </c>
      <c r="CB46" s="1015">
        <f t="shared" si="181"/>
        <v>0.17671867747597325</v>
      </c>
      <c r="CC46" s="1015">
        <f t="shared" si="181"/>
        <v>4.2806224538893822E-2</v>
      </c>
      <c r="CD46" s="1015">
        <f t="shared" si="181"/>
        <v>0.34365263356748166</v>
      </c>
      <c r="CE46" s="1015">
        <f t="shared" si="181"/>
        <v>0.32668581985733081</v>
      </c>
      <c r="CF46" s="1015">
        <f t="shared" si="181"/>
        <v>0.66585841255897282</v>
      </c>
      <c r="CG46" s="1015">
        <f t="shared" si="181"/>
        <v>0.8479067985451394</v>
      </c>
      <c r="CH46" s="1015">
        <f t="shared" si="181"/>
        <v>0.42002687456479393</v>
      </c>
      <c r="CI46" s="1015">
        <f t="shared" si="181"/>
        <v>0.54410729970688632</v>
      </c>
      <c r="CJ46" s="1015">
        <f t="shared" si="181"/>
        <v>-0.29464666865769429</v>
      </c>
      <c r="CK46" s="1015">
        <f t="shared" si="181"/>
        <v>1.0617895789183596</v>
      </c>
      <c r="CL46" s="1015">
        <f t="shared" si="181"/>
        <v>1.2098387942135247</v>
      </c>
      <c r="CM46" s="1015">
        <f t="shared" ref="CM46" si="182">(CM41/CL41-1)*100</f>
        <v>1.0056054479394838</v>
      </c>
      <c r="CN46" s="1015">
        <f t="shared" ref="CN46:CP46" si="183">(CN41/CM41-1)*100</f>
        <v>1.3279906304771494</v>
      </c>
      <c r="CO46" s="1015">
        <f t="shared" si="183"/>
        <v>-0.46435705945993</v>
      </c>
      <c r="CP46" s="1015">
        <f t="shared" si="183"/>
        <v>0.14698126070131767</v>
      </c>
      <c r="CQ46" s="776">
        <f t="shared" ref="CQ46" si="184">(CQ41/CP41-1)*100</f>
        <v>-0.24800133305277194</v>
      </c>
      <c r="CR46" s="776">
        <f t="shared" ref="CR46" si="185">(CR41/CQ41-1)*100</f>
        <v>0.23821310501290771</v>
      </c>
      <c r="CS46" s="776">
        <f t="shared" ref="CS46" si="186">(CS41/CR41-1)*100</f>
        <v>0.4411127280423921</v>
      </c>
      <c r="CT46" s="776">
        <f t="shared" ref="CT46:CV46" si="187">(CT41/CS41-1)*100</f>
        <v>0.19352947872992576</v>
      </c>
      <c r="CU46" s="776">
        <f t="shared" si="187"/>
        <v>0.18852218590648118</v>
      </c>
      <c r="CV46" s="776">
        <f t="shared" si="187"/>
        <v>0.31118609032760869</v>
      </c>
      <c r="CW46" s="777">
        <v>0.32</v>
      </c>
      <c r="CX46" s="777">
        <v>0.19</v>
      </c>
      <c r="CY46" s="777">
        <v>0.38</v>
      </c>
      <c r="CZ46" s="777">
        <v>0.11</v>
      </c>
      <c r="DA46" s="777">
        <v>0.08</v>
      </c>
      <c r="DB46" s="777">
        <v>0.05</v>
      </c>
      <c r="DC46" s="777">
        <v>0.42</v>
      </c>
      <c r="DD46" s="777">
        <v>0.3</v>
      </c>
      <c r="DE46" s="777">
        <v>0.26</v>
      </c>
      <c r="DF46" s="777">
        <v>0.19</v>
      </c>
    </row>
    <row r="47" spans="1:110" ht="12.75">
      <c r="C47" s="1629"/>
      <c r="D47" s="1633"/>
      <c r="E47" s="1634" t="s">
        <v>1783</v>
      </c>
      <c r="F47" s="1704"/>
      <c r="G47" s="1657"/>
      <c r="H47" s="1658"/>
      <c r="I47" s="1658"/>
      <c r="J47" s="1658"/>
      <c r="K47" s="1659"/>
      <c r="L47" s="1659"/>
      <c r="M47" s="1659"/>
      <c r="N47" s="1660">
        <f>N42/J42*100-100</f>
        <v>-2.8260646570444692E-2</v>
      </c>
      <c r="O47" s="1659"/>
      <c r="P47" s="1659"/>
      <c r="Q47" s="1659"/>
      <c r="R47" s="1660">
        <f>R42/N42*100-100</f>
        <v>-2.3669476170013581E-2</v>
      </c>
      <c r="S47" s="1659"/>
      <c r="T47" s="1659"/>
      <c r="U47" s="1659"/>
      <c r="V47" s="1660">
        <f>V42/R42*100-100</f>
        <v>3.6269133954691029</v>
      </c>
      <c r="W47" s="1659"/>
      <c r="X47" s="1659"/>
      <c r="Y47" s="1659"/>
      <c r="Z47" s="1660">
        <f>Z42/V42*100-100</f>
        <v>1.3925210423137173</v>
      </c>
      <c r="AA47" s="1659"/>
      <c r="AB47" s="1659"/>
      <c r="AC47" s="1659"/>
      <c r="AD47" s="1660">
        <f>AD42/Z42*100-100</f>
        <v>-0.72079929740446858</v>
      </c>
      <c r="AE47" s="1659"/>
      <c r="AF47" s="1659"/>
      <c r="AG47" s="1659"/>
      <c r="AH47" s="1660">
        <f>AH42/AD42*100-100</f>
        <v>0.3088905444213168</v>
      </c>
      <c r="AI47" s="1659"/>
      <c r="AJ47" s="1659"/>
      <c r="AK47" s="1659"/>
      <c r="AL47" s="1660">
        <f>AL42/AH42*100-100</f>
        <v>2.0914487602051111</v>
      </c>
      <c r="AM47" s="1659"/>
      <c r="AN47" s="1659"/>
      <c r="AO47" s="1659"/>
      <c r="AP47" s="1660">
        <f>AP42/AL42*100-100</f>
        <v>0.86619561379066567</v>
      </c>
      <c r="AQ47" s="1659"/>
      <c r="AR47" s="1659"/>
      <c r="AS47" s="1659"/>
      <c r="AT47" s="1660">
        <f>AT42/AP42*100-100</f>
        <v>-0.89324929488230964</v>
      </c>
      <c r="AU47" s="1659"/>
      <c r="AV47" s="1659"/>
      <c r="AW47" s="1659"/>
      <c r="AX47" s="1660">
        <f>AX42/AT42*100-100</f>
        <v>0.25558660353411256</v>
      </c>
      <c r="AY47" s="1659"/>
      <c r="AZ47" s="1659"/>
      <c r="BA47" s="1659"/>
      <c r="BB47" s="1660">
        <f>BB42/AX42*100-100</f>
        <v>1.8635844648682536</v>
      </c>
      <c r="BC47" s="1659"/>
      <c r="BD47" s="1659"/>
      <c r="BE47" s="1659"/>
      <c r="BF47" s="1660">
        <f>BF42/BB42*100-100</f>
        <v>0.73475966342340371</v>
      </c>
      <c r="BG47" s="1659"/>
      <c r="BH47" s="1659"/>
      <c r="BI47" s="1659"/>
      <c r="BJ47" s="1660">
        <f>BJ42/BF42*100-100</f>
        <v>1.1140414782072554</v>
      </c>
      <c r="BK47" s="1659"/>
      <c r="BL47" s="1659"/>
      <c r="BM47" s="1659"/>
      <c r="BN47" s="1660">
        <f>BN42/BJ42*100-100</f>
        <v>2.2708122009506724</v>
      </c>
      <c r="BO47" s="1659"/>
      <c r="BP47" s="1659"/>
      <c r="BQ47" s="1659"/>
      <c r="BR47" s="1660">
        <f>BR42/BN42*100-100</f>
        <v>0.96972512059394944</v>
      </c>
      <c r="BS47" s="1659"/>
      <c r="BT47" s="1659"/>
      <c r="BU47" s="1659"/>
      <c r="BV47" s="1660">
        <f>BV42/BR42*100-100</f>
        <v>0.89364432725309939</v>
      </c>
      <c r="BW47" s="1659"/>
      <c r="BX47" s="1659"/>
      <c r="BY47" s="1659"/>
      <c r="BZ47" s="1660">
        <f>BZ42/BV42*100-100</f>
        <v>1.6037449155846559</v>
      </c>
      <c r="CA47" s="1661"/>
      <c r="CB47" s="1661"/>
      <c r="CC47" s="1659"/>
      <c r="CD47" s="1660">
        <f>CD42/BZ42*100-100</f>
        <v>1.2942767580329786</v>
      </c>
      <c r="CE47" s="1661"/>
      <c r="CF47" s="1661"/>
      <c r="CG47" s="1661"/>
      <c r="CH47" s="1660">
        <f>CH42/CD42*100-100</f>
        <v>1.6903863289448253</v>
      </c>
      <c r="CI47" s="1661"/>
      <c r="CJ47" s="1661"/>
      <c r="CK47" s="1661"/>
      <c r="CL47" s="1662">
        <f>CL42/CH42*100-100</f>
        <v>2.0747617356174715</v>
      </c>
      <c r="CM47" s="1661"/>
      <c r="CN47" s="1661"/>
      <c r="CO47" s="1661"/>
      <c r="CP47" s="1662">
        <f>CP42/CL42*100-100</f>
        <v>3.1977165576091409</v>
      </c>
      <c r="CQ47" s="1661"/>
      <c r="CR47" s="1661"/>
      <c r="CS47" s="1661"/>
      <c r="CT47" s="1662">
        <f>CT42/CP42*100-100</f>
        <v>0.40602220223169638</v>
      </c>
      <c r="CU47" s="1661"/>
      <c r="CV47" s="1661"/>
      <c r="CW47" s="1661"/>
      <c r="CX47" s="1662">
        <f>CX42/CT42*100-100</f>
        <v>1.0585880653203361</v>
      </c>
      <c r="CY47" s="1661"/>
      <c r="CZ47" s="1661"/>
      <c r="DA47" s="1661"/>
      <c r="DB47" s="1662">
        <f>DB42/CX42*100-100</f>
        <v>0.89755710482670281</v>
      </c>
      <c r="DC47" s="1661"/>
      <c r="DD47" s="1661"/>
      <c r="DE47" s="1661"/>
      <c r="DF47" s="1662">
        <f>DF42/DB42*100-100</f>
        <v>0.93068899840721997</v>
      </c>
    </row>
    <row r="48" spans="1:110" s="736" customFormat="1" ht="12.75" customHeight="1">
      <c r="A48" s="701"/>
      <c r="B48" s="701"/>
      <c r="C48" s="703"/>
      <c r="D48" s="754"/>
      <c r="E48" s="1648" t="s">
        <v>136</v>
      </c>
      <c r="F48" s="754"/>
      <c r="G48" s="1649"/>
      <c r="H48" s="1649"/>
      <c r="I48" s="1649"/>
      <c r="J48" s="1650"/>
      <c r="K48" s="1649"/>
      <c r="L48" s="1649"/>
      <c r="M48" s="1649"/>
      <c r="N48" s="1651">
        <f ca="1">N43/J43*100-100</f>
        <v>-0.12610582465435982</v>
      </c>
      <c r="O48" s="1649"/>
      <c r="P48" s="1649"/>
      <c r="Q48" s="1649"/>
      <c r="R48" s="1651">
        <f ca="1">R43/N43*100-100</f>
        <v>-0.46058410623160739</v>
      </c>
      <c r="S48" s="1649"/>
      <c r="T48" s="1649"/>
      <c r="U48" s="1649"/>
      <c r="V48" s="1651">
        <f ca="1">V43/R43*100-100</f>
        <v>3.7946308867956873</v>
      </c>
      <c r="W48" s="1649"/>
      <c r="X48" s="1649"/>
      <c r="Y48" s="1649"/>
      <c r="Z48" s="1651">
        <f ca="1">Z43/V43*100-100</f>
        <v>1.7489539714230773</v>
      </c>
      <c r="AA48" s="1649"/>
      <c r="AB48" s="1649"/>
      <c r="AC48" s="1649"/>
      <c r="AD48" s="1651">
        <f ca="1">AD43/Z43*100-100</f>
        <v>-0.9071112337836098</v>
      </c>
      <c r="AE48" s="1649"/>
      <c r="AF48" s="1649"/>
      <c r="AG48" s="1649"/>
      <c r="AH48" s="1651">
        <f ca="1">AH43/AD43*100-100</f>
        <v>0.17187906671523479</v>
      </c>
      <c r="AI48" s="1649"/>
      <c r="AJ48" s="1649"/>
      <c r="AK48" s="1649"/>
      <c r="AL48" s="1651">
        <f ca="1">AL43/AH43*100-100</f>
        <v>2.0992381926698584</v>
      </c>
      <c r="AM48" s="1649"/>
      <c r="AN48" s="1649"/>
      <c r="AO48" s="1649"/>
      <c r="AP48" s="1651">
        <f ca="1">AP43/AL43*100-100</f>
        <v>0.67073127459195803</v>
      </c>
      <c r="AQ48" s="1649"/>
      <c r="AR48" s="1649"/>
      <c r="AS48" s="1649"/>
      <c r="AT48" s="1651">
        <f ca="1">AT43/AP43*100-100</f>
        <v>-0.22993671192949705</v>
      </c>
      <c r="AU48" s="1649"/>
      <c r="AV48" s="1649"/>
      <c r="AW48" s="1649"/>
      <c r="AX48" s="1651">
        <f ca="1">AX43/AT43*100-100</f>
        <v>0.37185016978152419</v>
      </c>
      <c r="AY48" s="1649"/>
      <c r="AZ48" s="1649"/>
      <c r="BA48" s="1649"/>
      <c r="BB48" s="1651">
        <f ca="1">BB43/AX43*100-100</f>
        <v>1.6116247303785656</v>
      </c>
      <c r="BC48" s="1649"/>
      <c r="BD48" s="1649"/>
      <c r="BE48" s="1649"/>
      <c r="BF48" s="1651">
        <f ca="1">BF43/BB43*100-100</f>
        <v>0.50144982675249139</v>
      </c>
      <c r="BG48" s="1649"/>
      <c r="BH48" s="1649"/>
      <c r="BI48" s="1649"/>
      <c r="BJ48" s="1651">
        <f ca="1">BJ43/BF43*100-100</f>
        <v>1.3358846932923143</v>
      </c>
      <c r="BK48" s="1649"/>
      <c r="BL48" s="1649"/>
      <c r="BM48" s="1649"/>
      <c r="BN48" s="1651">
        <f ca="1">BN43/BJ43*100-100</f>
        <v>2.2551175336794671</v>
      </c>
      <c r="BO48" s="1649"/>
      <c r="BP48" s="1649"/>
      <c r="BQ48" s="1649"/>
      <c r="BR48" s="1651">
        <f ca="1">BR43/BN43*100-100</f>
        <v>1.3140217343272838</v>
      </c>
      <c r="BS48" s="1649"/>
      <c r="BT48" s="1649"/>
      <c r="BU48" s="1649"/>
      <c r="BV48" s="1651">
        <f ca="1">BV43/BR43*100-100</f>
        <v>0.82615876855317083</v>
      </c>
      <c r="BW48" s="1649"/>
      <c r="BX48" s="1649"/>
      <c r="BY48" s="1649"/>
      <c r="BZ48" s="1651">
        <f ca="1">BZ43/BV43*100-100</f>
        <v>1.1080325807856184</v>
      </c>
      <c r="CA48" s="1663"/>
      <c r="CB48" s="1663"/>
      <c r="CC48" s="1649"/>
      <c r="CD48" s="1651">
        <f ca="1">CD43/BZ43*100-100</f>
        <v>1.2904731330142312</v>
      </c>
      <c r="CE48" s="1663"/>
      <c r="CF48" s="1663"/>
      <c r="CG48" s="1663"/>
      <c r="CH48" s="1651">
        <f ca="1">CH43/CD43*100-100</f>
        <v>1.5115804238575663</v>
      </c>
      <c r="CI48" s="1663"/>
      <c r="CJ48" s="1663"/>
      <c r="CK48" s="1663"/>
      <c r="CL48" s="1664">
        <f ca="1">CL43/CH43*100-100</f>
        <v>2.4094675751499892</v>
      </c>
      <c r="CM48" s="1663"/>
      <c r="CN48" s="1663"/>
      <c r="CO48" s="1663"/>
      <c r="CP48" s="1664">
        <f ca="1">CP43/CL43*100-100</f>
        <v>3.6015939395404502</v>
      </c>
      <c r="CQ48" s="1663"/>
      <c r="CR48" s="1663"/>
      <c r="CS48" s="1663"/>
      <c r="CT48" s="1664">
        <f ca="1">CT43/CP43*100-100</f>
        <v>-2.7532408124670837E-3</v>
      </c>
      <c r="CU48" s="1663"/>
      <c r="CV48" s="1663"/>
      <c r="CW48" s="1663"/>
      <c r="CX48" s="1664">
        <f ca="1">CX43/CT43*100-100</f>
        <v>1.0599999999999881</v>
      </c>
      <c r="CY48" s="1663"/>
      <c r="CZ48" s="1663"/>
      <c r="DA48" s="1663"/>
      <c r="DB48" s="1664">
        <f ca="1">DB43/CX43*100-100</f>
        <v>0.89999999999999147</v>
      </c>
      <c r="DC48" s="1663"/>
      <c r="DD48" s="1663"/>
      <c r="DE48" s="1663"/>
      <c r="DF48" s="1664">
        <f ca="1">DF43/DB43*100-100</f>
        <v>0.93000000000000682</v>
      </c>
    </row>
    <row r="49" spans="1:110" ht="12.75">
      <c r="AY49" s="217"/>
      <c r="BA49" s="1654"/>
      <c r="BB49" s="1654"/>
      <c r="BC49" s="217"/>
      <c r="BD49" s="217"/>
      <c r="BE49" s="1654"/>
      <c r="BF49" s="1654"/>
      <c r="BG49" s="217"/>
      <c r="BH49" s="217"/>
      <c r="BI49" s="1654"/>
      <c r="BJ49" s="1654"/>
      <c r="BK49" s="217"/>
      <c r="BL49" s="217"/>
      <c r="BM49" s="1654"/>
      <c r="BN49" s="1654"/>
      <c r="BO49" s="217"/>
      <c r="BP49" s="217"/>
      <c r="BQ49" s="1654"/>
      <c r="BR49" s="1654"/>
      <c r="BS49" s="217"/>
      <c r="BT49" s="217"/>
      <c r="BU49" s="1654"/>
      <c r="BV49" s="1654"/>
      <c r="BW49" s="1654"/>
      <c r="BX49" s="1654"/>
      <c r="BY49" s="1654"/>
      <c r="BZ49" s="1654"/>
      <c r="CA49" s="1654"/>
      <c r="CB49" s="1654"/>
      <c r="CC49" s="1654"/>
      <c r="CD49" s="1654"/>
      <c r="CE49" s="1654"/>
      <c r="CF49" s="1654"/>
      <c r="CG49" s="1654"/>
      <c r="CH49" s="1654"/>
      <c r="CI49" s="1654"/>
      <c r="CJ49" s="1654"/>
      <c r="CK49" s="1654"/>
      <c r="CL49" s="1654"/>
      <c r="CM49" s="1654"/>
      <c r="CN49" s="1654"/>
      <c r="CO49" s="1654"/>
      <c r="CP49" s="1654"/>
      <c r="CQ49" s="1654"/>
      <c r="CR49" s="1654"/>
      <c r="CS49" s="1654"/>
      <c r="CT49" s="1654"/>
      <c r="CU49" s="1654"/>
      <c r="CV49" s="1654"/>
      <c r="CW49" s="1654"/>
      <c r="CX49" s="1654"/>
      <c r="CY49" s="1654"/>
      <c r="CZ49" s="1654"/>
      <c r="DA49" s="1654"/>
      <c r="DB49" s="1654"/>
      <c r="DC49" s="1654"/>
      <c r="DD49" s="1654"/>
      <c r="DE49" s="1654"/>
      <c r="DF49" s="1654"/>
    </row>
    <row r="50" spans="1:110" s="736" customFormat="1" ht="12.75" customHeight="1">
      <c r="A50" s="701"/>
      <c r="B50" s="701"/>
      <c r="C50" s="703"/>
      <c r="D50" s="895"/>
      <c r="E50" s="896"/>
      <c r="F50" s="897"/>
      <c r="G50" s="1640" t="str">
        <f t="shared" ref="G50:N50" si="188">G45</f>
        <v>Q1</v>
      </c>
      <c r="H50" s="1640" t="str">
        <f t="shared" si="188"/>
        <v>Q2</v>
      </c>
      <c r="I50" s="1640" t="str">
        <f t="shared" si="188"/>
        <v>Q3</v>
      </c>
      <c r="J50" s="1640" t="str">
        <f t="shared" si="188"/>
        <v>Q4</v>
      </c>
      <c r="K50" s="1645" t="str">
        <f t="shared" si="188"/>
        <v>Q1</v>
      </c>
      <c r="L50" s="1640" t="str">
        <f t="shared" si="188"/>
        <v>Q2</v>
      </c>
      <c r="M50" s="1640" t="str">
        <f t="shared" si="188"/>
        <v>Q3</v>
      </c>
      <c r="N50" s="1646" t="str">
        <f t="shared" si="188"/>
        <v>Q4</v>
      </c>
      <c r="O50" s="1645" t="str">
        <f t="shared" ref="O50:AX50" si="189">O45</f>
        <v>Q1</v>
      </c>
      <c r="P50" s="1640" t="str">
        <f t="shared" si="189"/>
        <v>Q2</v>
      </c>
      <c r="Q50" s="1640" t="str">
        <f t="shared" si="189"/>
        <v>Q3</v>
      </c>
      <c r="R50" s="1646" t="str">
        <f t="shared" si="189"/>
        <v>Q4</v>
      </c>
      <c r="S50" s="1645" t="str">
        <f t="shared" si="189"/>
        <v>Q1</v>
      </c>
      <c r="T50" s="1640" t="str">
        <f t="shared" si="189"/>
        <v>Q2</v>
      </c>
      <c r="U50" s="1640" t="str">
        <f t="shared" si="189"/>
        <v>Q3</v>
      </c>
      <c r="V50" s="1646" t="str">
        <f t="shared" si="189"/>
        <v>Q4</v>
      </c>
      <c r="W50" s="1645" t="str">
        <f t="shared" si="189"/>
        <v>Q1</v>
      </c>
      <c r="X50" s="1640" t="str">
        <f t="shared" si="189"/>
        <v>Q2</v>
      </c>
      <c r="Y50" s="1640" t="str">
        <f t="shared" si="189"/>
        <v>Q3</v>
      </c>
      <c r="Z50" s="1646" t="str">
        <f t="shared" si="189"/>
        <v>Q4</v>
      </c>
      <c r="AA50" s="1645" t="str">
        <f t="shared" si="189"/>
        <v>Q1</v>
      </c>
      <c r="AB50" s="1640" t="str">
        <f t="shared" si="189"/>
        <v>Q2</v>
      </c>
      <c r="AC50" s="1640" t="str">
        <f t="shared" si="189"/>
        <v>Q3</v>
      </c>
      <c r="AD50" s="1646" t="str">
        <f t="shared" si="189"/>
        <v>Q4</v>
      </c>
      <c r="AE50" s="1645" t="str">
        <f t="shared" si="189"/>
        <v>Q1</v>
      </c>
      <c r="AF50" s="1640" t="str">
        <f t="shared" si="189"/>
        <v>Q2</v>
      </c>
      <c r="AG50" s="1640" t="str">
        <f t="shared" si="189"/>
        <v>Q3</v>
      </c>
      <c r="AH50" s="1646" t="str">
        <f t="shared" si="189"/>
        <v>Q4</v>
      </c>
      <c r="AI50" s="1645" t="str">
        <f t="shared" si="189"/>
        <v>Q1</v>
      </c>
      <c r="AJ50" s="1640" t="str">
        <f t="shared" si="189"/>
        <v>Q2</v>
      </c>
      <c r="AK50" s="1640" t="str">
        <f t="shared" si="189"/>
        <v>Q3</v>
      </c>
      <c r="AL50" s="1646" t="str">
        <f t="shared" si="189"/>
        <v>Q4</v>
      </c>
      <c r="AM50" s="1645" t="str">
        <f t="shared" si="189"/>
        <v>Q1</v>
      </c>
      <c r="AN50" s="1640" t="str">
        <f t="shared" si="189"/>
        <v>Q2</v>
      </c>
      <c r="AO50" s="1640" t="str">
        <f t="shared" si="189"/>
        <v>Q3</v>
      </c>
      <c r="AP50" s="1646" t="str">
        <f t="shared" si="189"/>
        <v>Q4</v>
      </c>
      <c r="AQ50" s="1645" t="str">
        <f t="shared" si="189"/>
        <v>Q1</v>
      </c>
      <c r="AR50" s="1640" t="str">
        <f t="shared" si="189"/>
        <v>Q2</v>
      </c>
      <c r="AS50" s="1640" t="str">
        <f t="shared" si="189"/>
        <v>Q3</v>
      </c>
      <c r="AT50" s="1646" t="str">
        <f t="shared" si="189"/>
        <v>Q4</v>
      </c>
      <c r="AU50" s="1645" t="str">
        <f t="shared" si="189"/>
        <v>Q1</v>
      </c>
      <c r="AV50" s="1640" t="str">
        <f t="shared" si="189"/>
        <v>Q2</v>
      </c>
      <c r="AW50" s="1640" t="str">
        <f t="shared" si="189"/>
        <v>Q3</v>
      </c>
      <c r="AX50" s="1646" t="str">
        <f t="shared" si="189"/>
        <v>Q4</v>
      </c>
      <c r="AY50" s="1645" t="str">
        <f t="shared" ref="AY50:BF50" si="190">AY45</f>
        <v>Q1</v>
      </c>
      <c r="AZ50" s="1640" t="str">
        <f t="shared" si="190"/>
        <v>Q2</v>
      </c>
      <c r="BA50" s="1640" t="str">
        <f t="shared" si="190"/>
        <v>Q3</v>
      </c>
      <c r="BB50" s="1646" t="str">
        <f t="shared" si="190"/>
        <v>Q4</v>
      </c>
      <c r="BC50" s="1645" t="str">
        <f t="shared" si="190"/>
        <v>Q1</v>
      </c>
      <c r="BD50" s="1640" t="str">
        <f t="shared" si="190"/>
        <v>Q2</v>
      </c>
      <c r="BE50" s="1640" t="str">
        <f t="shared" si="190"/>
        <v>Q3</v>
      </c>
      <c r="BF50" s="1646" t="str">
        <f t="shared" si="190"/>
        <v>Q4</v>
      </c>
      <c r="BG50" s="1645" t="str">
        <f t="shared" ref="BG50:BZ50" si="191">BG45</f>
        <v>Q1</v>
      </c>
      <c r="BH50" s="1640" t="str">
        <f t="shared" si="191"/>
        <v>Q2</v>
      </c>
      <c r="BI50" s="1640" t="str">
        <f t="shared" si="191"/>
        <v>Q3</v>
      </c>
      <c r="BJ50" s="1646" t="str">
        <f t="shared" si="191"/>
        <v>Q4</v>
      </c>
      <c r="BK50" s="1645" t="str">
        <f t="shared" si="191"/>
        <v>Q1</v>
      </c>
      <c r="BL50" s="1640" t="str">
        <f t="shared" si="191"/>
        <v>Q2</v>
      </c>
      <c r="BM50" s="1640" t="str">
        <f t="shared" si="191"/>
        <v>Q3</v>
      </c>
      <c r="BN50" s="1646" t="str">
        <f t="shared" si="191"/>
        <v>Q4</v>
      </c>
      <c r="BO50" s="1645" t="str">
        <f t="shared" ref="BO50:BV50" si="192">BO45</f>
        <v>Q1</v>
      </c>
      <c r="BP50" s="1640" t="str">
        <f t="shared" si="192"/>
        <v>Q2</v>
      </c>
      <c r="BQ50" s="1640" t="str">
        <f t="shared" si="192"/>
        <v>Q3</v>
      </c>
      <c r="BR50" s="1646" t="str">
        <f t="shared" si="192"/>
        <v>Q4</v>
      </c>
      <c r="BS50" s="1645" t="str">
        <f t="shared" si="192"/>
        <v>Q1</v>
      </c>
      <c r="BT50" s="1640" t="str">
        <f t="shared" si="192"/>
        <v>Q2</v>
      </c>
      <c r="BU50" s="1640" t="str">
        <f t="shared" si="192"/>
        <v>Q3</v>
      </c>
      <c r="BV50" s="1646" t="str">
        <f t="shared" si="192"/>
        <v>Q4</v>
      </c>
      <c r="BW50" s="1645" t="str">
        <f t="shared" si="191"/>
        <v>Q1</v>
      </c>
      <c r="BX50" s="1640" t="str">
        <f t="shared" si="191"/>
        <v>Q2</v>
      </c>
      <c r="BY50" s="1640" t="str">
        <f t="shared" si="191"/>
        <v>Q3</v>
      </c>
      <c r="BZ50" s="1646" t="str">
        <f t="shared" si="191"/>
        <v>Q4</v>
      </c>
      <c r="CA50" s="1645" t="str">
        <f t="shared" ref="CA50:CL50" si="193">CA45</f>
        <v>Q1</v>
      </c>
      <c r="CB50" s="1640" t="str">
        <f t="shared" si="193"/>
        <v>Q2</v>
      </c>
      <c r="CC50" s="1640" t="str">
        <f t="shared" si="193"/>
        <v>Q3</v>
      </c>
      <c r="CD50" s="1646" t="str">
        <f t="shared" si="193"/>
        <v>Q4</v>
      </c>
      <c r="CE50" s="1645" t="str">
        <f>CE45</f>
        <v>Q1</v>
      </c>
      <c r="CF50" s="1640" t="str">
        <f>CF45</f>
        <v>Q2</v>
      </c>
      <c r="CG50" s="1640" t="str">
        <f t="shared" si="193"/>
        <v>Q3</v>
      </c>
      <c r="CH50" s="1646" t="str">
        <f>CH45</f>
        <v>Q4</v>
      </c>
      <c r="CI50" s="1645" t="str">
        <f>CI45</f>
        <v>Q1</v>
      </c>
      <c r="CJ50" s="1640" t="str">
        <f>CJ45</f>
        <v>Q2</v>
      </c>
      <c r="CK50" s="1640" t="str">
        <f t="shared" si="193"/>
        <v>Q3</v>
      </c>
      <c r="CL50" s="1646" t="str">
        <f t="shared" si="193"/>
        <v>Q4</v>
      </c>
      <c r="CM50" s="1645" t="str">
        <f>CM45</f>
        <v>Q1</v>
      </c>
      <c r="CN50" s="1640" t="str">
        <f>CN45</f>
        <v>Q2</v>
      </c>
      <c r="CO50" s="1640" t="str">
        <f t="shared" ref="CO50:CP50" si="194">CO45</f>
        <v>Q3</v>
      </c>
      <c r="CP50" s="1646" t="str">
        <f t="shared" si="194"/>
        <v>Q4</v>
      </c>
      <c r="CQ50" s="1645" t="str">
        <f>CQ45</f>
        <v>Q1</v>
      </c>
      <c r="CR50" s="1640" t="str">
        <f>CR45</f>
        <v>Q2</v>
      </c>
      <c r="CS50" s="1640" t="str">
        <f t="shared" ref="CS50:CT50" si="195">CS45</f>
        <v>Q3</v>
      </c>
      <c r="CT50" s="1646" t="str">
        <f t="shared" si="195"/>
        <v>Q4</v>
      </c>
      <c r="CU50" s="1645" t="str">
        <f t="shared" ref="CU50:CX50" si="196">CU45</f>
        <v>Q1</v>
      </c>
      <c r="CV50" s="1640" t="str">
        <f>CV45</f>
        <v>Q2</v>
      </c>
      <c r="CW50" s="1640" t="str">
        <f t="shared" si="196"/>
        <v>Q3</v>
      </c>
      <c r="CX50" s="1646" t="str">
        <f t="shared" si="196"/>
        <v>Q4</v>
      </c>
      <c r="CY50" s="1645" t="str">
        <f t="shared" ref="CY50:DB50" si="197">CY45</f>
        <v>Q1</v>
      </c>
      <c r="CZ50" s="1640" t="str">
        <f t="shared" si="197"/>
        <v>Q2</v>
      </c>
      <c r="DA50" s="1640" t="str">
        <f t="shared" si="197"/>
        <v>Q3</v>
      </c>
      <c r="DB50" s="1646" t="str">
        <f t="shared" si="197"/>
        <v>Q4</v>
      </c>
      <c r="DC50" s="1645" t="str">
        <f t="shared" ref="DC50:DF50" si="198">DC45</f>
        <v>Q1</v>
      </c>
      <c r="DD50" s="1640" t="str">
        <f t="shared" si="198"/>
        <v>Q2</v>
      </c>
      <c r="DE50" s="1640" t="str">
        <f t="shared" si="198"/>
        <v>Q3</v>
      </c>
      <c r="DF50" s="1646" t="str">
        <f t="shared" si="198"/>
        <v>Q4</v>
      </c>
    </row>
    <row r="51" spans="1:110" s="736" customFormat="1" ht="12.75" customHeight="1">
      <c r="A51" s="701"/>
      <c r="B51" s="701"/>
      <c r="C51" s="899"/>
      <c r="D51" s="900"/>
      <c r="E51" s="901" t="s">
        <v>137</v>
      </c>
      <c r="F51" s="902"/>
      <c r="G51" s="742"/>
      <c r="H51" s="742"/>
      <c r="I51" s="742"/>
      <c r="J51" s="742"/>
      <c r="K51" s="1616">
        <f t="shared" ref="K51:BB51" si="199">(K41/G41-1)*100</f>
        <v>-0.32782602204584066</v>
      </c>
      <c r="L51" s="1616">
        <f t="shared" si="199"/>
        <v>-0.23746366608843328</v>
      </c>
      <c r="M51" s="1616">
        <f t="shared" si="199"/>
        <v>-0.50056069635119327</v>
      </c>
      <c r="N51" s="1616">
        <f t="shared" si="199"/>
        <v>0.95112111752722051</v>
      </c>
      <c r="O51" s="1616">
        <f t="shared" si="199"/>
        <v>-1.5232365343768373</v>
      </c>
      <c r="P51" s="1616">
        <f t="shared" si="199"/>
        <v>-0.28533317807826197</v>
      </c>
      <c r="Q51" s="1616">
        <f t="shared" si="199"/>
        <v>1.7923227367825811</v>
      </c>
      <c r="R51" s="1616">
        <f t="shared" si="199"/>
        <v>-7.5844267121460973E-2</v>
      </c>
      <c r="S51" s="1616">
        <f t="shared" si="199"/>
        <v>4.2160911769987264</v>
      </c>
      <c r="T51" s="1616">
        <f t="shared" si="199"/>
        <v>3.3548688450324216</v>
      </c>
      <c r="U51" s="1616">
        <f t="shared" si="199"/>
        <v>3.2006734168592788</v>
      </c>
      <c r="V51" s="1616">
        <f t="shared" si="199"/>
        <v>3.7498583251234452</v>
      </c>
      <c r="W51" s="1616">
        <f t="shared" si="199"/>
        <v>2.8741847371648532</v>
      </c>
      <c r="X51" s="1616">
        <f t="shared" si="199"/>
        <v>2.5234277943751104</v>
      </c>
      <c r="Y51" s="1616">
        <f t="shared" si="199"/>
        <v>0.19459986610417257</v>
      </c>
      <c r="Z51" s="1616">
        <f t="shared" si="199"/>
        <v>3.3909950791022325E-2</v>
      </c>
      <c r="AA51" s="1616">
        <f t="shared" si="199"/>
        <v>-0.95206615152864105</v>
      </c>
      <c r="AB51" s="1616">
        <f t="shared" si="199"/>
        <v>-1.1127073073536109</v>
      </c>
      <c r="AC51" s="1616">
        <f t="shared" si="199"/>
        <v>-9.1596378480973684E-2</v>
      </c>
      <c r="AD51" s="1616">
        <f t="shared" si="199"/>
        <v>-0.7238259200638919</v>
      </c>
      <c r="AE51" s="1616">
        <f t="shared" si="199"/>
        <v>4.0732508769436571E-2</v>
      </c>
      <c r="AF51" s="1616">
        <f t="shared" si="199"/>
        <v>7.5671905325047639E-2</v>
      </c>
      <c r="AG51" s="1616">
        <f t="shared" si="199"/>
        <v>-0.2279633001363357</v>
      </c>
      <c r="AH51" s="1616">
        <f t="shared" si="199"/>
        <v>1.3503941926578999</v>
      </c>
      <c r="AI51" s="1616">
        <f t="shared" si="199"/>
        <v>1.9097210138911525</v>
      </c>
      <c r="AJ51" s="1616">
        <f t="shared" si="199"/>
        <v>2.4230504982813983</v>
      </c>
      <c r="AK51" s="1616">
        <f t="shared" si="199"/>
        <v>2.2558655431497598</v>
      </c>
      <c r="AL51" s="1616">
        <f t="shared" si="199"/>
        <v>1.7806443755024715</v>
      </c>
      <c r="AM51" s="1616">
        <f t="shared" si="199"/>
        <v>1.2198572426523446</v>
      </c>
      <c r="AN51" s="1616">
        <f t="shared" si="199"/>
        <v>0.72821118172807786</v>
      </c>
      <c r="AO51" s="1616">
        <f t="shared" si="199"/>
        <v>1.2225590184592017</v>
      </c>
      <c r="AP51" s="1616">
        <f t="shared" si="199"/>
        <v>0.29916571367911704</v>
      </c>
      <c r="AQ51" s="1616">
        <f t="shared" si="199"/>
        <v>-0.34459193086184836</v>
      </c>
      <c r="AR51" s="1616">
        <f t="shared" si="199"/>
        <v>-0.45926841832120147</v>
      </c>
      <c r="AS51" s="1616">
        <f t="shared" si="199"/>
        <v>-1.4887453687924768</v>
      </c>
      <c r="AT51" s="1616">
        <f t="shared" si="199"/>
        <v>-1.2765619662951089</v>
      </c>
      <c r="AU51" s="1616">
        <f t="shared" si="199"/>
        <v>-0.1243369662360494</v>
      </c>
      <c r="AV51" s="1616">
        <f t="shared" si="199"/>
        <v>0.22287563791132392</v>
      </c>
      <c r="AW51" s="1616">
        <f t="shared" si="199"/>
        <v>0.21683044112537075</v>
      </c>
      <c r="AX51" s="1616">
        <f t="shared" si="199"/>
        <v>0.71015230776352301</v>
      </c>
      <c r="AY51" s="1616">
        <f t="shared" si="199"/>
        <v>1.2776989313852294</v>
      </c>
      <c r="AZ51" s="1616">
        <f t="shared" si="199"/>
        <v>1.1012254085097428</v>
      </c>
      <c r="BA51" s="1616">
        <f t="shared" si="199"/>
        <v>2.6466872345859649</v>
      </c>
      <c r="BB51" s="1616">
        <f t="shared" si="199"/>
        <v>2.4323693984713568</v>
      </c>
      <c r="BC51" s="1616">
        <f t="shared" ref="BC51:BJ51" si="200">(BC41/AY41-1)*100</f>
        <v>0.61890892261557973</v>
      </c>
      <c r="BD51" s="1616">
        <f t="shared" si="200"/>
        <v>1.2642316837615075</v>
      </c>
      <c r="BE51" s="1616">
        <f t="shared" si="200"/>
        <v>0.16073588464102784</v>
      </c>
      <c r="BF51" s="1616">
        <f t="shared" si="200"/>
        <v>0.8989403085684522</v>
      </c>
      <c r="BG51" s="1616">
        <f t="shared" si="200"/>
        <v>1.0424660339676928</v>
      </c>
      <c r="BH51" s="1616">
        <f t="shared" si="200"/>
        <v>1.1422958485858725</v>
      </c>
      <c r="BI51" s="1616">
        <f t="shared" si="200"/>
        <v>1.6064795683436328</v>
      </c>
      <c r="BJ51" s="1616">
        <f t="shared" si="200"/>
        <v>0.66836238574845552</v>
      </c>
      <c r="BK51" s="1616">
        <f t="shared" ref="BK51:BZ51" si="201">(BK41/BG41-1)*100</f>
        <v>3.1779928030894578</v>
      </c>
      <c r="BL51" s="1616">
        <f t="shared" si="201"/>
        <v>1.5682411117066364</v>
      </c>
      <c r="BM51" s="1616">
        <f t="shared" si="201"/>
        <v>1.927731227581897</v>
      </c>
      <c r="BN51" s="1616">
        <f t="shared" si="201"/>
        <v>2.4174011960508723</v>
      </c>
      <c r="BO51" s="1616">
        <f t="shared" ref="BO51:BV51" si="202">(BO41/BK41-1)*100</f>
        <v>0.29051337551109224</v>
      </c>
      <c r="BP51" s="1616">
        <f t="shared" si="202"/>
        <v>1.699302340427189</v>
      </c>
      <c r="BQ51" s="1616">
        <f t="shared" si="202"/>
        <v>0.74371327662037245</v>
      </c>
      <c r="BR51" s="1616">
        <f t="shared" si="202"/>
        <v>1.1501105927964606</v>
      </c>
      <c r="BS51" s="1616">
        <f t="shared" si="202"/>
        <v>1.0725220310113359</v>
      </c>
      <c r="BT51" s="1616">
        <f t="shared" si="202"/>
        <v>0.80634964216428351</v>
      </c>
      <c r="BU51" s="1616">
        <f t="shared" si="202"/>
        <v>1.2381723175196369</v>
      </c>
      <c r="BV51" s="1616">
        <f t="shared" si="202"/>
        <v>0.46203207019728243</v>
      </c>
      <c r="BW51" s="1616">
        <f t="shared" si="201"/>
        <v>1.1664008568264439</v>
      </c>
      <c r="BX51" s="1616">
        <f t="shared" si="201"/>
        <v>1.2857258050065434</v>
      </c>
      <c r="BY51" s="1616">
        <f t="shared" si="201"/>
        <v>1.948557126109618</v>
      </c>
      <c r="BZ51" s="1616">
        <f t="shared" si="201"/>
        <v>2.0109989842897802</v>
      </c>
      <c r="CA51" s="1616">
        <f t="shared" ref="CA51:CL51" si="203">(CA41/BW41-1)*100</f>
        <v>1.8836762576434518</v>
      </c>
      <c r="CB51" s="1616">
        <f t="shared" si="203"/>
        <v>1.5663112604661356</v>
      </c>
      <c r="CC51" s="1616">
        <f t="shared" si="203"/>
        <v>0.75516663530921235</v>
      </c>
      <c r="CD51" s="1616">
        <f t="shared" si="203"/>
        <v>0.98241405683956451</v>
      </c>
      <c r="CE51" s="1616">
        <f t="shared" si="203"/>
        <v>0.89253619875551138</v>
      </c>
      <c r="CF51" s="1616">
        <f t="shared" si="203"/>
        <v>1.3851711051452442</v>
      </c>
      <c r="CG51" s="1616">
        <f t="shared" si="203"/>
        <v>2.2010744422554795</v>
      </c>
      <c r="CH51" s="1616">
        <f t="shared" si="203"/>
        <v>2.2788624167289662</v>
      </c>
      <c r="CI51" s="1616">
        <f t="shared" si="203"/>
        <v>2.5005145269551665</v>
      </c>
      <c r="CJ51" s="1616">
        <f t="shared" si="203"/>
        <v>1.5225040417420566</v>
      </c>
      <c r="CK51" s="1616">
        <f t="shared" si="203"/>
        <v>1.7378175383154115</v>
      </c>
      <c r="CL51" s="1616">
        <f t="shared" si="203"/>
        <v>2.537993991874643</v>
      </c>
      <c r="CM51" s="1616">
        <f t="shared" ref="CM51" si="204">(CM41/CI41-1)*100</f>
        <v>3.0086440938212222</v>
      </c>
      <c r="CN51" s="1616">
        <f t="shared" ref="CN51" si="205">(CN41/CJ41-1)*100</f>
        <v>4.6850402195586227</v>
      </c>
      <c r="CO51" s="1616">
        <f t="shared" ref="CO51:CP51" si="206">(CO41/CK41-1)*100</f>
        <v>3.1041784231739866</v>
      </c>
      <c r="CP51" s="1616">
        <f t="shared" si="206"/>
        <v>2.0214274369138918</v>
      </c>
      <c r="CQ51" s="1616">
        <f t="shared" ref="CQ51" si="207">(CQ41/CM41-1)*100</f>
        <v>0.7552130256023748</v>
      </c>
      <c r="CR51" s="1616">
        <f t="shared" ref="CR51" si="208">(CR41/CN41-1)*100</f>
        <v>-0.3284043050627905</v>
      </c>
      <c r="CS51" s="1616">
        <f t="shared" ref="CS51" si="209">(CS41/CO41-1)*100</f>
        <v>0.57830223651071933</v>
      </c>
      <c r="CT51" s="1616">
        <f t="shared" ref="CT51" si="210">(CT41/CP41-1)*100</f>
        <v>0.62505093210309948</v>
      </c>
      <c r="CU51" s="1616">
        <f t="shared" ref="CU51:CV51" si="211">(CU41/CQ41-1)*100</f>
        <v>1.0653950045561578</v>
      </c>
      <c r="CV51" s="1616">
        <f t="shared" si="211"/>
        <v>1.138970174713716</v>
      </c>
      <c r="CW51" s="1616">
        <f t="shared" ref="CW51" si="212">(CW41/CS41-1)*100</f>
        <v>1.0170159643653864</v>
      </c>
      <c r="CX51" s="1616">
        <f t="shared" ref="CX51" si="213">(CX41/CT41-1)*100</f>
        <v>1.0134574769953719</v>
      </c>
      <c r="CY51" s="1616">
        <f t="shared" ref="CY51" si="214">(CY41/CU41-1)*100</f>
        <v>1.2065118869190483</v>
      </c>
      <c r="CZ51" s="1616">
        <f t="shared" ref="CZ51" si="215">(CZ41/CV41-1)*100</f>
        <v>1.003530113541462</v>
      </c>
      <c r="DA51" s="1616">
        <f t="shared" ref="DA51" si="216">(DA41/CW41-1)*100</f>
        <v>0.7618948740353515</v>
      </c>
      <c r="DB51" s="1616">
        <f t="shared" ref="DB51" si="217">(DB41/CX41-1)*100</f>
        <v>0.62109573956721231</v>
      </c>
      <c r="DC51" s="1616">
        <f t="shared" ref="DC51" si="218">(DC41/CY41-1)*100</f>
        <v>0.66119181278481154</v>
      </c>
      <c r="DD51" s="1616">
        <f t="shared" ref="DD51" si="219">(DD41/CZ41-1)*100</f>
        <v>0.85223792650397368</v>
      </c>
      <c r="DE51" s="1616">
        <f t="shared" ref="DE51" si="220">(DE41/DA41-1)*100</f>
        <v>1.0336268436379914</v>
      </c>
      <c r="DF51" s="1616">
        <f t="shared" ref="DF51" si="221">(DF41/DB41-1)*100</f>
        <v>1.1750032330243965</v>
      </c>
    </row>
    <row r="52" spans="1:110" s="736" customFormat="1" ht="12.75" customHeight="1">
      <c r="A52" s="701"/>
      <c r="B52" s="701"/>
      <c r="C52" s="981"/>
      <c r="D52" s="711"/>
      <c r="E52" s="820" t="s">
        <v>156</v>
      </c>
      <c r="F52" s="741"/>
      <c r="G52" s="742"/>
      <c r="H52" s="742"/>
      <c r="I52" s="742"/>
      <c r="J52" s="742"/>
      <c r="K52" s="1616">
        <f>(4*K41/J42-1)*100</f>
        <v>-0.38844789731465879</v>
      </c>
      <c r="L52" s="1616">
        <f>((K41+3*L41)/J42-1)*100</f>
        <v>-0.35083611104491652</v>
      </c>
      <c r="M52" s="1616">
        <f>((K41+L41+2*M41)/J42-1)*100</f>
        <v>-0.42194103756724166</v>
      </c>
      <c r="N52" s="1674"/>
      <c r="O52" s="1616">
        <f>(4*O41/N42-1)*100</f>
        <v>-1.8780375503867131</v>
      </c>
      <c r="P52" s="1616">
        <f>((O41+3*P41)/N42-1)*100</f>
        <v>-0.91543998667150683</v>
      </c>
      <c r="Q52" s="1616">
        <f>((O41+P41+2*Q41)/N42-1)*100</f>
        <v>4.7766479824207231E-2</v>
      </c>
      <c r="R52" s="1674"/>
      <c r="S52" s="1616">
        <f>(4*S41/R42-1)*100</f>
        <v>2.2830837212767907</v>
      </c>
      <c r="T52" s="1616">
        <f>((S41+3*T41)/R42-1)*100</f>
        <v>2.6442744728342404</v>
      </c>
      <c r="U52" s="1616">
        <f>((S41+T41+2*U41)/R42-1)*100</f>
        <v>3.5618879159256212</v>
      </c>
      <c r="V52" s="1674"/>
      <c r="W52" s="1616">
        <f>(4*W41/V42-1)*100</f>
        <v>1.5401164181504612</v>
      </c>
      <c r="X52" s="1616">
        <f>((W41+3*X41)/V42-1)*100</f>
        <v>1.6378047241774496</v>
      </c>
      <c r="Y52" s="1616">
        <f>((W41+X41+2*Y41)/V42-1)*100</f>
        <v>1.370299828820376</v>
      </c>
      <c r="Z52" s="1674"/>
      <c r="AA52" s="1616">
        <f>(4*AA41/Z42-1)*100</f>
        <v>-0.8078837515652415</v>
      </c>
      <c r="AB52" s="1616">
        <f>((AA41+3*AB41)/Z42-1)*100</f>
        <v>-0.83326539816810374</v>
      </c>
      <c r="AC52" s="1616">
        <f>((AA41+AB41+2*AC41)/Z42-1)*100</f>
        <v>-0.58490018957302325</v>
      </c>
      <c r="AD52" s="1674"/>
      <c r="AE52" s="1616">
        <f>(4*AE41/AD42-1)*100</f>
        <v>-4.7019936080205937E-2</v>
      </c>
      <c r="AF52" s="1616">
        <f>((AE41+3*AF41)/AD42-1)*100</f>
        <v>-4.6423646269933005E-2</v>
      </c>
      <c r="AG52" s="1616">
        <f>((AE41+AF41+2*AG41)/AD42-1)*100</f>
        <v>5.1541800474730337E-2</v>
      </c>
      <c r="AH52" s="1674"/>
      <c r="AI52" s="1616">
        <f>(4*AI41/AH42-1)*100</f>
        <v>1.548130554890248</v>
      </c>
      <c r="AJ52" s="1616">
        <f>((AI41+3*AJ41)/AH42-1)*100</f>
        <v>1.9323705001410563</v>
      </c>
      <c r="AK52" s="1616">
        <f>((AI41+AJ41+2*AK41)/AH42-1)*100</f>
        <v>1.9489408942216846</v>
      </c>
      <c r="AL52" s="1674"/>
      <c r="AM52" s="1616">
        <f>(4*AM41/AL42-1)*100</f>
        <v>0.68117754080505577</v>
      </c>
      <c r="AN52" s="1616">
        <f>((AM41+3*AN41)/AL42-1)*100</f>
        <v>0.69351450515244828</v>
      </c>
      <c r="AO52" s="1616">
        <f>((AM41+AN41+2*AO41)/AL42-1)*100</f>
        <v>0.95704273866534795</v>
      </c>
      <c r="AP52" s="1674"/>
      <c r="AQ52" s="1616">
        <f>(4*AQ41/AP42-1)*100</f>
        <v>-0.52738906573290834</v>
      </c>
      <c r="AR52" s="1616">
        <f>((AQ41+3*AR41)/AP42-1)*100</f>
        <v>-0.60106382211071452</v>
      </c>
      <c r="AS52" s="1616">
        <f>((AQ41+AR41+2*AS41)/AP42-1)*100</f>
        <v>-0.85756646723411656</v>
      </c>
      <c r="AT52" s="1674"/>
      <c r="AU52" s="1616">
        <f>(4*AU41/AT42-1)*100</f>
        <v>0.2443617621957328</v>
      </c>
      <c r="AV52" s="1616">
        <f>((AU41+3*AV41)/AT42-1)*100</f>
        <v>0.43122806681170633</v>
      </c>
      <c r="AW52" s="1616">
        <f>((AU41+AV41+2*AW41)/AT42-1)*100</f>
        <v>0.16882161372928639</v>
      </c>
      <c r="AX52" s="1674"/>
      <c r="AY52" s="1616">
        <f>(4*AY41/AX42-1)*100</f>
        <v>1.2663596520479548</v>
      </c>
      <c r="AZ52" s="1616">
        <f>((AY41+3*AZ41)/AX42-1)*100</f>
        <v>1.322461818753573</v>
      </c>
      <c r="BA52" s="1616">
        <f>((AY41+AZ41+2*BA41)/AX42-1)*100</f>
        <v>1.8283617453184409</v>
      </c>
      <c r="BB52" s="1674"/>
      <c r="BC52" s="1616">
        <f>(4*BC41/BB42-1)*100</f>
        <v>2.8981625601831595E-2</v>
      </c>
      <c r="BD52" s="1616">
        <f>((BC41+3*BD41)/BB42-1)*100</f>
        <v>0.56590812598913409</v>
      </c>
      <c r="BE52" s="1616">
        <f>((BC41+BD41+2*BE41)/BB42-1)*100</f>
        <v>0.51443276637161972</v>
      </c>
      <c r="BF52" s="1674"/>
      <c r="BG52" s="1616">
        <f>(4*BG41/BF42-1)*100</f>
        <v>0.33453211272360672</v>
      </c>
      <c r="BH52" s="1616">
        <f>((BG41+3*BH41)/BF42-1)*100</f>
        <v>0.94797860504352016</v>
      </c>
      <c r="BI52" s="1616">
        <f>((BG41+BH41+2*BI41)/BF42-1)*100</f>
        <v>1.1281729828279685</v>
      </c>
      <c r="BJ52" s="1674"/>
      <c r="BK52" s="1616">
        <f>(4*BK41/BJ42-1)*100</f>
        <v>2.3825720037027764</v>
      </c>
      <c r="BL52" s="1616">
        <f>((BK41+3*BL41)/BJ42-1)*100</f>
        <v>1.8007677361815411</v>
      </c>
      <c r="BM52" s="1616">
        <f>((BK41+BL41+2*BM41)/BJ42-1)*100</f>
        <v>2.1622255366482879</v>
      </c>
      <c r="BN52" s="1674"/>
      <c r="BO52" s="1616">
        <f>(4*BO41/BN42-1)*100</f>
        <v>0.40010914141477283</v>
      </c>
      <c r="BP52" s="1616">
        <f>((BO41+3*BP41)/BN42-1)*100</f>
        <v>0.87930246225220721</v>
      </c>
      <c r="BQ52" s="1616">
        <f>((BO41+BP41+2*BQ41)/BN42-1)*100</f>
        <v>0.76067048965802186</v>
      </c>
      <c r="BR52" s="1674"/>
      <c r="BS52" s="1616">
        <f>(4*BS41/BR42-1)*100</f>
        <v>0.5023261278726654</v>
      </c>
      <c r="BT52" s="1616">
        <f>((BS41+3*BT41)/BR42-1)*100</f>
        <v>0.78224099091466215</v>
      </c>
      <c r="BU52" s="1616">
        <f>((BS41+BT41+2*BU41)/BR42-1)*100</f>
        <v>0.87935315795302227</v>
      </c>
      <c r="BV52" s="1674"/>
      <c r="BW52" s="1616">
        <f>(4*BW41/BV42-1)*100</f>
        <v>0.77402476529893072</v>
      </c>
      <c r="BX52" s="1616">
        <f>((BW41+3*BX41)/BV42-1)*100</f>
        <v>1.1441740096713282</v>
      </c>
      <c r="BY52" s="1616">
        <f>((BW41+BX41+2*BY41)/BV42-1)*100</f>
        <v>1.5736577624966719</v>
      </c>
      <c r="BZ52" s="1674"/>
      <c r="CA52" s="1616">
        <f>(4*CA41/BZ42-1)*100</f>
        <v>1.0516701219799751</v>
      </c>
      <c r="CB52" s="1616">
        <f>((CA41+3*CB41)/BZ42-1)*100</f>
        <v>1.1856030032352027</v>
      </c>
      <c r="CC52" s="1616">
        <f>((CA41+CB41+2*CC41)/BZ42-1)*100</f>
        <v>1.2072694267148076</v>
      </c>
      <c r="CD52" s="1674"/>
      <c r="CE52" s="1616">
        <f>(4*CE41/CD42-1)*100</f>
        <v>0.65089175848267455</v>
      </c>
      <c r="CF52" s="1616">
        <f>((CE41+3*CF41)/CD42-1)*100</f>
        <v>1.1535360810497775</v>
      </c>
      <c r="CG52" s="1616">
        <f>((CE41+CF41+2*CG41)/CD42-1)*100</f>
        <v>1.5830902616470466</v>
      </c>
      <c r="CH52" s="1674"/>
      <c r="CI52" s="1616">
        <f>(4*CI41/CH42-1)*100</f>
        <v>1.452738703037193</v>
      </c>
      <c r="CJ52" s="1616">
        <f>((CI41+3*CJ41)/CH42-1)*100</f>
        <v>1.2285433668993484</v>
      </c>
      <c r="CK52" s="1616">
        <f>((CI41+CJ41+2*CK41)/CH42-1)*100</f>
        <v>1.7655636819603693</v>
      </c>
      <c r="CL52" s="1674"/>
      <c r="CM52" s="1616">
        <f>(4*CM41/CL42-1)*100</f>
        <v>2.3809301703033192</v>
      </c>
      <c r="CN52" s="1616">
        <f>((CM41+3*CN41)/CL42-1)*100</f>
        <v>3.4006370403460773</v>
      </c>
      <c r="CO52" s="1616">
        <f>((CM41+CN41+2*CO41)/CL42-1)*100</f>
        <v>3.1597737813949145</v>
      </c>
      <c r="CP52" s="1674"/>
      <c r="CQ52" s="1616">
        <f>(4*CQ41/CP42-1)*100</f>
        <v>-4.2241503379059075E-2</v>
      </c>
      <c r="CR52" s="1616">
        <f>((CQ41+3*CR41)/CP42-1)*100</f>
        <v>0.13634285678301161</v>
      </c>
      <c r="CS52" s="1616">
        <f>((CQ41+CR41+2*CS41)/CP42-1)*100</f>
        <v>0.35733122670891238</v>
      </c>
      <c r="CT52" s="1674"/>
      <c r="CU52" s="1616">
        <f>(4*CU41/CT42-1)*100</f>
        <v>0.61418752237438756</v>
      </c>
      <c r="CV52" s="1616">
        <f>((CU41+3*CV41)/CT42-1)*100</f>
        <v>0.84901053972372686</v>
      </c>
      <c r="CW52" s="1616">
        <f>((CU41+CV41+2*CW41)/CT42-1)*100</f>
        <v>1.0104941955298541</v>
      </c>
      <c r="CX52" s="1674"/>
      <c r="CY52" s="1616">
        <f>(4*CY41/CX42-1)*100</f>
        <v>0.76146085569801514</v>
      </c>
      <c r="CZ52" s="1616">
        <f>((CY41+3*CZ41)/CX42-1)*100</f>
        <v>0.84458906090398855</v>
      </c>
      <c r="DA52" s="1616">
        <f>((CY41+CZ41+2*DA41)/CX42-1)*100</f>
        <v>0.88493798028903559</v>
      </c>
      <c r="DB52" s="1674"/>
      <c r="DC52" s="1616">
        <f>(4*DC41/DB42-1)*100</f>
        <v>0.52541438633719739</v>
      </c>
      <c r="DD52" s="1616">
        <f>((DC41+3*DD41)/DB42-1)*100</f>
        <v>0.75159656870644742</v>
      </c>
      <c r="DE52" s="1616">
        <f>((DC41+DD41+2*DE41)/DB42-1)*100</f>
        <v>0.88267165652480273</v>
      </c>
      <c r="DF52" s="1674"/>
    </row>
    <row r="53" spans="1:110" ht="12.75">
      <c r="C53" s="1607"/>
      <c r="D53" s="865"/>
      <c r="E53" s="1614" t="s">
        <v>155</v>
      </c>
      <c r="F53" s="865"/>
      <c r="G53" s="913"/>
      <c r="H53" s="913"/>
      <c r="I53" s="913"/>
      <c r="J53" s="913"/>
      <c r="K53" s="1673"/>
      <c r="L53" s="920">
        <f>(4*L41/(K41+3*L41)-1)*100</f>
        <v>1.2581402192068936E-2</v>
      </c>
      <c r="M53" s="920">
        <f>(4*M41/(K41+L41+2*M41)-1)*100</f>
        <v>-5.8815832566583293E-2</v>
      </c>
      <c r="N53" s="920">
        <f>+(4*N41/N42-1)*100</f>
        <v>1.1227908165023504</v>
      </c>
      <c r="O53" s="1673"/>
      <c r="P53" s="920">
        <f>(4*P41/(O41+3*P41)-1)*100</f>
        <v>0.32383032687288704</v>
      </c>
      <c r="Q53" s="920">
        <f>(4*Q41/(O41+P41+2*Q41)-1)*100</f>
        <v>1.2834592577600112</v>
      </c>
      <c r="R53" s="920">
        <f>+(4*R41/R42-1)*100</f>
        <v>1.0700177206742323</v>
      </c>
      <c r="S53" s="1673"/>
      <c r="T53" s="920">
        <f>(4*T41/(S41+3*T41)-1)*100</f>
        <v>0.11729530731661164</v>
      </c>
      <c r="U53" s="920">
        <f>(4*U41/(S41+T41+2*U41)-1)*100</f>
        <v>1.0023092289702884</v>
      </c>
      <c r="V53" s="920">
        <f>+(4*V41/V42-1)*100</f>
        <v>1.1899291009487056</v>
      </c>
      <c r="W53" s="1673"/>
      <c r="X53" s="920">
        <f>(4*X41/(W41+3*X41)-1)*100</f>
        <v>3.2038048011795439E-2</v>
      </c>
      <c r="Y53" s="920">
        <f>(4*Y41/(W41+X41+2*Y41)-1)*100</f>
        <v>-0.23176623436861332</v>
      </c>
      <c r="Z53" s="920">
        <f>+(4*Z41/Z42-1)*100</f>
        <v>-0.16596735584784028</v>
      </c>
      <c r="AA53" s="1673"/>
      <c r="AB53" s="920">
        <f>(4*AB41/(AA41+3*AB41)-1)*100</f>
        <v>-8.5316400722512675E-3</v>
      </c>
      <c r="AC53" s="920">
        <f>(4*AC41/(AA41+AB41+2*AC41)-1)*100</f>
        <v>0.24131611816005094</v>
      </c>
      <c r="AD53" s="920">
        <f>+(4*AD41/AD42-1)*100</f>
        <v>-0.16901089309678818</v>
      </c>
      <c r="AE53" s="1673"/>
      <c r="AF53" s="920">
        <f>(4*AF41/(AE41+3*AF41)-1)*100</f>
        <v>1.9885558608656595E-4</v>
      </c>
      <c r="AG53" s="920">
        <f>(4*AG41/(AE41+AF41+2*AG41)-1)*100</f>
        <v>9.811364047795923E-2</v>
      </c>
      <c r="AH53" s="920">
        <f>+(4*AH41/AH42-1)*100</f>
        <v>0.86753072148586519</v>
      </c>
      <c r="AI53" s="1673"/>
      <c r="AJ53" s="920">
        <f>(4*AJ41/(AI41+3*AJ41)-1)*100</f>
        <v>0.125651921094172</v>
      </c>
      <c r="AK53" s="920">
        <f>(4*AK41/(AI41+AJ41+2*AK41)-1)*100</f>
        <v>0.14188511872916809</v>
      </c>
      <c r="AL53" s="920">
        <f>+(4*AL41/AL42-1)*100</f>
        <v>0.56045239903006472</v>
      </c>
      <c r="AM53" s="1673"/>
      <c r="AN53" s="920">
        <f>(4*AN41/(AM41+3*AN41)-1)*100</f>
        <v>4.0839983283413872E-3</v>
      </c>
      <c r="AO53" s="920">
        <f>(4*AO41/(AM41+AN41+2*AO41)-1)*100</f>
        <v>0.26510340210226246</v>
      </c>
      <c r="AP53" s="920">
        <f>+(4*AP41/AP42-1)*100</f>
        <v>-4.8587335254146602E-3</v>
      </c>
      <c r="AQ53" s="1673"/>
      <c r="AR53" s="920">
        <f>(4*AR41/(AQ41+3*AR41)-1)*100</f>
        <v>-2.4706755494829924E-2</v>
      </c>
      <c r="AS53" s="920">
        <f>(4*AS41/(AQ41+AR41+2*AS41)-1)*100</f>
        <v>-0.28349202983445343</v>
      </c>
      <c r="AT53" s="920">
        <f>+(4*AT41/AT42-1)*100</f>
        <v>-0.39160741062812532</v>
      </c>
      <c r="AU53" s="1673"/>
      <c r="AV53" s="920">
        <f>(4*AV41/(AU41+3*AV41)-1)*100</f>
        <v>6.2021314888127677E-2</v>
      </c>
      <c r="AW53" s="920">
        <f>(4*AW41/(AU41+AV41+2*AW41)-1)*100</f>
        <v>-0.19978041236101696</v>
      </c>
      <c r="AX53" s="920">
        <f>+(4*AX41/AX42-1)*100</f>
        <v>6.0023871562719933E-2</v>
      </c>
      <c r="AY53" s="1673"/>
      <c r="AZ53" s="920">
        <f>(4*AZ41/(AY41+3*AZ41)-1)*100</f>
        <v>1.8456640215336328E-2</v>
      </c>
      <c r="BA53" s="920">
        <f>(4*BA41/(AY41+AZ41+2*BA41)-1)*100</f>
        <v>0.515181271512688</v>
      </c>
      <c r="BB53" s="920">
        <f>+(4*BB41/BB42-1)*100</f>
        <v>0.61873810033346022</v>
      </c>
      <c r="BC53" s="1673"/>
      <c r="BD53" s="920">
        <f>(4*BD41/(BC41+3*BD41)-1)*100</f>
        <v>0.17796836270287386</v>
      </c>
      <c r="BE53" s="920">
        <f>(4*BE41/(BC41+BD41+2*BE41)-1)*100</f>
        <v>0.12684759491994324</v>
      </c>
      <c r="BF53" s="920">
        <f>+(4*BF41/BF42-1)*100</f>
        <v>0.78272964992556204</v>
      </c>
      <c r="BG53" s="1673"/>
      <c r="BH53" s="920">
        <f>(4*BH41/(BG41+3*BH41)-1)*100</f>
        <v>0.20256192043892618</v>
      </c>
      <c r="BI53" s="920">
        <f>(4*BI41/(BG41+BH41+2*BI41)-1)*100</f>
        <v>0.38038513951634823</v>
      </c>
      <c r="BJ53" s="920">
        <f>+(4*BJ41/BJ42-1)*100</f>
        <v>0.33851087645699884</v>
      </c>
      <c r="BK53" s="1673"/>
      <c r="BL53" s="920">
        <f>(4*BL41/(BK41+3*BL41)-1)*100</f>
        <v>-0.19050421735816725</v>
      </c>
      <c r="BM53" s="920">
        <f>(4*BM41/(BK41+BL41+2*BM41)-1)*100</f>
        <v>0.16397748164389547</v>
      </c>
      <c r="BN53" s="920">
        <f>+(4*BN41/BN42-1)*100</f>
        <v>0.48233022395889336</v>
      </c>
      <c r="BO53" s="1673"/>
      <c r="BP53" s="920">
        <f>(4*BP41/(BO41+3*BP41)-1)*100</f>
        <v>0.1583388297174082</v>
      </c>
      <c r="BQ53" s="920">
        <f>(4*BQ41/(BO41+BP41+2*BQ41)-1)*100</f>
        <v>4.0788865488772252E-2</v>
      </c>
      <c r="BR53" s="920">
        <f>+(4*BR41/BR42-1)*100</f>
        <v>0.66184495041585745</v>
      </c>
      <c r="BS53" s="1673"/>
      <c r="BT53" s="920">
        <f>(4*BT41/(BS41+3*BT41)-1)*100</f>
        <v>9.2580749772919191E-2</v>
      </c>
      <c r="BU53" s="920">
        <f>(4*BU41/(BS41+BT41+2*BU41)-1)*100</f>
        <v>0.18875727829810174</v>
      </c>
      <c r="BV53" s="920">
        <f>+(4*BV41/BV42-1)*100</f>
        <v>0.23122430638866653</v>
      </c>
      <c r="BW53" s="1673"/>
      <c r="BX53" s="920">
        <f>(4*BX41/(BW41+3*BX41)-1)*100</f>
        <v>0.12198733408577134</v>
      </c>
      <c r="BY53" s="920">
        <f>(4*BY41/(BW41+BX41+2*BY41)-1)*100</f>
        <v>0.54430139315801984</v>
      </c>
      <c r="BZ53" s="920">
        <f>+(4*BZ41/BZ42-1)*100</f>
        <v>0.63297695776964868</v>
      </c>
      <c r="CA53" s="1673"/>
      <c r="CB53" s="920">
        <f>(4*CB41/(CA41+3*CB41)-1)*100</f>
        <v>4.4121191579304941E-2</v>
      </c>
      <c r="CC53" s="920">
        <f>(4*CC41/(CA41+CB41+2*CC41)-1)*100</f>
        <v>6.5519717710960101E-2</v>
      </c>
      <c r="CD53" s="920">
        <f>+(4*CD41/CD42-1)*100</f>
        <v>0.3231502525733454</v>
      </c>
      <c r="CE53" s="1673"/>
      <c r="CF53" s="920">
        <f>(4*CF41/(CE41+3*CF41)-1)*100</f>
        <v>0.16563742011759253</v>
      </c>
      <c r="CG53" s="920">
        <f>(4*CG41/(CE41+CF41+2*CG41)-1)*100</f>
        <v>0.58779693212884787</v>
      </c>
      <c r="CH53" s="920">
        <f>+(4*CH41/CH42-1)*100</f>
        <v>0.90371422824593317</v>
      </c>
      <c r="CI53" s="1673"/>
      <c r="CJ53" s="920">
        <f>(4*CJ41/(CI41+3*CJ41)-1)*100</f>
        <v>-7.3824808919520368E-2</v>
      </c>
      <c r="CK53" s="920">
        <f>(4*CK41/(CI41+CJ41+2*CK41)-1)*100</f>
        <v>0.45426814299693863</v>
      </c>
      <c r="CL53" s="920">
        <f>+(4*CL41/CL42-1)*100</f>
        <v>1.36163207602642</v>
      </c>
      <c r="CM53" s="1673"/>
      <c r="CN53" s="920">
        <f>(4*CN41/(CM41+3*CN41)-1)*100</f>
        <v>0.32872359372564386</v>
      </c>
      <c r="CO53" s="920">
        <f>(4*CO41/(CM41+CN41+2*CO41)-1)*100</f>
        <v>9.6005475228122528E-2</v>
      </c>
      <c r="CP53" s="920">
        <f>+(4*CP41/CP42-1)*100</f>
        <v>0.20627138545934454</v>
      </c>
      <c r="CQ53" s="1673"/>
      <c r="CR53" s="920">
        <f>(4*CR41/(CQ41+3*CR41)-1)*100</f>
        <v>5.944706822293977E-2</v>
      </c>
      <c r="CS53" s="920">
        <f>(4*CS41/(CQ41+CR41+2*CS41)-1)*100</f>
        <v>0.27951768600364968</v>
      </c>
      <c r="CT53" s="920">
        <f>+(4*CT41/CT42-1)*100</f>
        <v>0.42486437286504142</v>
      </c>
      <c r="CU53" s="1673"/>
      <c r="CV53" s="920">
        <f>(4*CV41/(CU41+3*CV41)-1)*100</f>
        <v>7.7615376390438584E-2</v>
      </c>
      <c r="CW53" s="920">
        <f>(4*CW41/(CU41+CV41+2*CW41)-1)*100</f>
        <v>0.23735949104306542</v>
      </c>
      <c r="CX53" s="920">
        <f>+(4*CX41/CX42-1)*100</f>
        <v>0.38001679188883752</v>
      </c>
      <c r="CY53" s="1673"/>
      <c r="CZ53" s="920">
        <f>(4*CZ41/(CY41+3*CZ41)-1)*100</f>
        <v>2.7477331201763988E-2</v>
      </c>
      <c r="DA53" s="920">
        <f>(4*DA41/(CY41+CZ41+2*DA41)-1)*100</f>
        <v>6.7461330187534863E-2</v>
      </c>
      <c r="DB53" s="920">
        <f>+(4*DB41/DB42-1)*100</f>
        <v>0.1049734976470873</v>
      </c>
      <c r="DC53" s="1673"/>
      <c r="DD53" s="920">
        <f>(4*DD41/(DC41+3*DD41)-1)*100</f>
        <v>7.4831628835125841E-2</v>
      </c>
      <c r="DE53" s="920">
        <f>(4*DE41/(DC41+DD41+2*DE41)-1)*100</f>
        <v>0.2046626494102588</v>
      </c>
      <c r="DF53" s="920">
        <f>+(4*DF41/DF42-1)*100</f>
        <v>0.34728899379745659</v>
      </c>
    </row>
    <row r="54" spans="1:110" s="921" customFormat="1" ht="30" customHeight="1">
      <c r="A54" s="701"/>
      <c r="B54" s="701"/>
      <c r="C54" s="703"/>
      <c r="D54" s="1081"/>
      <c r="E54" s="1608"/>
      <c r="F54" s="1081"/>
      <c r="G54" s="1084"/>
      <c r="H54" s="1609"/>
      <c r="I54" s="1609"/>
      <c r="J54" s="1609"/>
      <c r="K54" s="1084"/>
      <c r="L54" s="1609"/>
      <c r="M54" s="1609"/>
      <c r="N54" s="1609"/>
      <c r="O54" s="1084"/>
      <c r="P54" s="1609"/>
      <c r="Q54" s="1609"/>
      <c r="R54" s="1609"/>
      <c r="S54" s="1084"/>
      <c r="T54" s="1609"/>
      <c r="U54" s="1609"/>
      <c r="V54" s="1609"/>
      <c r="W54" s="1084"/>
      <c r="X54" s="1609"/>
      <c r="Y54" s="1609"/>
      <c r="Z54" s="1609"/>
      <c r="AA54" s="1084"/>
      <c r="AB54" s="1609"/>
      <c r="AC54" s="1609"/>
      <c r="AD54" s="1609"/>
      <c r="AE54" s="1084"/>
      <c r="AF54" s="1609"/>
      <c r="AG54" s="1609"/>
      <c r="AH54" s="1609"/>
      <c r="AI54" s="1084"/>
      <c r="AJ54" s="1609"/>
      <c r="AK54" s="1609"/>
      <c r="AL54" s="1609"/>
      <c r="AM54" s="1084"/>
      <c r="AN54" s="1609"/>
      <c r="AO54" s="1609"/>
      <c r="AP54" s="1609"/>
      <c r="AQ54" s="1084"/>
      <c r="AR54" s="1609"/>
      <c r="AS54" s="1609"/>
      <c r="AT54" s="1609"/>
      <c r="AU54" s="1084"/>
      <c r="AV54" s="1609"/>
      <c r="AW54" s="1609"/>
      <c r="AX54" s="1609"/>
      <c r="AY54" s="1610"/>
      <c r="AZ54" s="1609"/>
      <c r="BA54" s="1610"/>
      <c r="BB54" s="1610"/>
      <c r="BC54" s="1610"/>
      <c r="BD54" s="1610"/>
      <c r="BE54" s="1610"/>
      <c r="BF54" s="1610"/>
      <c r="BG54" s="1610"/>
      <c r="BH54" s="1610"/>
      <c r="BI54" s="1610"/>
      <c r="BJ54" s="1610"/>
      <c r="BK54" s="1610"/>
      <c r="BL54" s="1610"/>
      <c r="BM54" s="1610"/>
      <c r="BN54" s="1610"/>
      <c r="BO54" s="1610"/>
      <c r="BP54" s="1610"/>
      <c r="BQ54" s="1610"/>
      <c r="BR54" s="1610"/>
      <c r="BS54" s="1610"/>
      <c r="BT54" s="1610"/>
      <c r="BU54" s="1610"/>
      <c r="BV54" s="1610"/>
      <c r="BW54" s="1610"/>
      <c r="BX54" s="1610"/>
      <c r="BY54" s="1610"/>
      <c r="BZ54" s="1610"/>
      <c r="CA54" s="1610"/>
      <c r="CB54" s="1610"/>
      <c r="CC54" s="1610"/>
      <c r="CD54" s="1610"/>
      <c r="CE54" s="1610"/>
      <c r="CF54" s="1610"/>
      <c r="CG54" s="1610"/>
      <c r="CH54" s="1610"/>
      <c r="CI54" s="1610"/>
      <c r="CJ54" s="1610"/>
      <c r="CK54" s="1610"/>
      <c r="CL54" s="1610"/>
      <c r="CM54" s="1610"/>
      <c r="CN54" s="1610"/>
      <c r="CO54" s="1610"/>
      <c r="CP54" s="1610"/>
      <c r="CQ54" s="1610"/>
      <c r="CR54" s="1610"/>
      <c r="CS54" s="1610"/>
      <c r="CT54" s="1610"/>
      <c r="CU54" s="1610"/>
      <c r="CV54" s="1610"/>
      <c r="CW54" s="1610"/>
      <c r="CX54" s="1610"/>
      <c r="CY54" s="1610"/>
      <c r="CZ54" s="1610"/>
      <c r="DA54" s="1610"/>
      <c r="DB54" s="1610"/>
      <c r="DC54" s="1610"/>
      <c r="DD54" s="1610"/>
      <c r="DE54" s="1610"/>
      <c r="DF54" s="1610"/>
    </row>
    <row r="55" spans="1:110" s="921" customFormat="1" ht="30" customHeight="1">
      <c r="A55" s="701"/>
      <c r="B55" s="701"/>
      <c r="C55" s="703"/>
      <c r="D55" s="1081"/>
      <c r="E55" s="1608"/>
      <c r="F55" s="1081"/>
      <c r="G55" s="1084"/>
      <c r="H55" s="1609"/>
      <c r="I55" s="1609"/>
      <c r="J55" s="1609"/>
      <c r="K55" s="1084"/>
      <c r="L55" s="1609"/>
      <c r="M55" s="1609"/>
      <c r="N55" s="1609"/>
      <c r="O55" s="1084"/>
      <c r="P55" s="1609"/>
      <c r="Q55" s="1609"/>
      <c r="R55" s="1609"/>
      <c r="S55" s="1084"/>
      <c r="T55" s="1609"/>
      <c r="U55" s="1609"/>
      <c r="V55" s="1609"/>
      <c r="W55" s="1084"/>
      <c r="X55" s="1609"/>
      <c r="Y55" s="1609"/>
      <c r="Z55" s="1609"/>
      <c r="AA55" s="1084"/>
      <c r="AB55" s="1609"/>
      <c r="AC55" s="1609"/>
      <c r="AD55" s="1609"/>
      <c r="AE55" s="1084"/>
      <c r="AF55" s="1609"/>
      <c r="AG55" s="1609"/>
      <c r="AH55" s="1609"/>
      <c r="AI55" s="1084"/>
      <c r="AJ55" s="1609"/>
      <c r="AK55" s="1609"/>
      <c r="AL55" s="1609"/>
      <c r="AM55" s="1084"/>
      <c r="AN55" s="1609"/>
      <c r="AO55" s="1609"/>
      <c r="AP55" s="1609"/>
      <c r="AQ55" s="1084"/>
      <c r="AR55" s="1609"/>
      <c r="AS55" s="1609"/>
      <c r="AT55" s="1609"/>
      <c r="AU55" s="1084"/>
      <c r="AV55" s="1609"/>
      <c r="AW55" s="1609"/>
      <c r="AX55" s="1609"/>
      <c r="AY55" s="1610"/>
      <c r="AZ55" s="1609"/>
      <c r="BA55" s="1610"/>
      <c r="BB55" s="1610"/>
      <c r="BC55" s="1610"/>
      <c r="BD55" s="1610"/>
      <c r="BE55" s="1610"/>
      <c r="BF55" s="1610"/>
      <c r="BG55" s="1610"/>
      <c r="BH55" s="1610"/>
      <c r="BI55" s="1610"/>
      <c r="BJ55" s="1610"/>
      <c r="BK55" s="1610"/>
      <c r="BL55" s="1610"/>
      <c r="BM55" s="1610"/>
      <c r="BN55" s="1610"/>
      <c r="BO55" s="1610"/>
      <c r="BP55" s="1610"/>
      <c r="BQ55" s="1610"/>
      <c r="BR55" s="1610"/>
      <c r="BS55" s="1610"/>
      <c r="BT55" s="1610"/>
      <c r="BU55" s="1610"/>
      <c r="BV55" s="1610"/>
      <c r="BW55" s="1610"/>
      <c r="BX55" s="1610"/>
      <c r="BY55" s="1610"/>
      <c r="BZ55" s="1610"/>
      <c r="CA55" s="1610"/>
      <c r="CB55" s="1610"/>
      <c r="CC55" s="1610"/>
      <c r="CD55" s="1610"/>
      <c r="CE55" s="1610"/>
      <c r="CF55" s="1610"/>
      <c r="CG55" s="1610"/>
      <c r="CH55" s="1610"/>
      <c r="CI55" s="1610"/>
      <c r="CJ55" s="1610"/>
      <c r="CK55" s="1610"/>
      <c r="CL55" s="1610"/>
      <c r="CM55" s="1610"/>
      <c r="CN55" s="1610"/>
      <c r="CO55" s="1610"/>
      <c r="CP55" s="1610"/>
      <c r="CQ55" s="1610"/>
      <c r="CR55" s="1610"/>
      <c r="CS55" s="1610"/>
      <c r="CT55" s="1610"/>
      <c r="CU55" s="1610"/>
      <c r="CV55" s="1610"/>
      <c r="CW55" s="1610"/>
      <c r="CX55" s="1610"/>
      <c r="CY55" s="1610"/>
      <c r="CZ55" s="1610"/>
      <c r="DA55" s="1610"/>
      <c r="DB55" s="1610"/>
      <c r="DC55" s="1610"/>
      <c r="DD55" s="1610"/>
      <c r="DE55" s="1610"/>
      <c r="DF55" s="1610"/>
    </row>
    <row r="56" spans="1:110" ht="30" customHeight="1">
      <c r="C56" s="3816" t="s">
        <v>138</v>
      </c>
      <c r="D56" s="3816"/>
      <c r="E56" s="3816"/>
      <c r="F56" s="3816"/>
      <c r="CA56" s="1610"/>
      <c r="CB56" s="1610"/>
      <c r="CC56" s="1610"/>
      <c r="CD56" s="1610"/>
      <c r="CE56" s="1610"/>
      <c r="CF56" s="1610"/>
      <c r="CH56" s="1610"/>
      <c r="CI56" s="1610"/>
      <c r="CJ56" s="1610"/>
    </row>
    <row r="57" spans="1:110">
      <c r="A57" s="701"/>
    </row>
    <row r="58" spans="1:110">
      <c r="A58" s="701"/>
      <c r="G58" s="3820">
        <f ca="1">OFFSET(InputY!$G$3,0,(COLUMN()-7)/4)</f>
        <v>1995</v>
      </c>
      <c r="H58" s="3821"/>
      <c r="I58" s="3821"/>
      <c r="J58" s="3821"/>
      <c r="K58" s="3820">
        <f ca="1">OFFSET(InputY!$G$3,0,(COLUMN()-7)/4)</f>
        <v>1996</v>
      </c>
      <c r="L58" s="3821"/>
      <c r="M58" s="3821"/>
      <c r="N58" s="3821"/>
      <c r="O58" s="3820">
        <f ca="1">OFFSET(InputY!$G$3,0,(COLUMN()-7)/4)</f>
        <v>1997</v>
      </c>
      <c r="P58" s="3821"/>
      <c r="Q58" s="3821"/>
      <c r="R58" s="3821"/>
      <c r="S58" s="3820">
        <f ca="1">OFFSET(InputY!$G$3,0,(COLUMN()-7)/4)</f>
        <v>1998</v>
      </c>
      <c r="T58" s="3821"/>
      <c r="U58" s="3821"/>
      <c r="V58" s="3821"/>
      <c r="W58" s="3820">
        <f ca="1">OFFSET(InputY!$G$3,0,(COLUMN()-7)/4)</f>
        <v>1999</v>
      </c>
      <c r="X58" s="3821"/>
      <c r="Y58" s="3821"/>
      <c r="Z58" s="3821"/>
      <c r="AA58" s="3820">
        <f ca="1">OFFSET(InputY!$G$3,0,(COLUMN()-7)/4)</f>
        <v>2000</v>
      </c>
      <c r="AB58" s="3821"/>
      <c r="AC58" s="3821"/>
      <c r="AD58" s="3821"/>
      <c r="AE58" s="3820">
        <f ca="1">OFFSET(InputY!$G$3,0,(COLUMN()-7)/4)</f>
        <v>2001</v>
      </c>
      <c r="AF58" s="3821"/>
      <c r="AG58" s="3821"/>
      <c r="AH58" s="3821"/>
      <c r="AI58" s="3820">
        <f ca="1">OFFSET(InputY!$G$3,0,(COLUMN()-7)/4)</f>
        <v>2002</v>
      </c>
      <c r="AJ58" s="3821"/>
      <c r="AK58" s="3821"/>
      <c r="AL58" s="3821"/>
      <c r="AM58" s="3820">
        <f ca="1">OFFSET(InputY!$G$3,0,(COLUMN()-7)/4)</f>
        <v>2003</v>
      </c>
      <c r="AN58" s="3821"/>
      <c r="AO58" s="3821"/>
      <c r="AP58" s="3821"/>
      <c r="AQ58" s="3820">
        <f ca="1">OFFSET(InputY!$G$3,0,(COLUMN()-7)/4)</f>
        <v>2004</v>
      </c>
      <c r="AR58" s="3821"/>
      <c r="AS58" s="3821"/>
      <c r="AT58" s="3821"/>
      <c r="AU58" s="3820">
        <f ca="1">OFFSET(InputY!$G$3,0,(COLUMN()-7)/4)</f>
        <v>2005</v>
      </c>
      <c r="AV58" s="3821"/>
      <c r="AW58" s="3821"/>
      <c r="AX58" s="3821"/>
      <c r="AY58" s="3820">
        <f ca="1">OFFSET(InputY!$G$3,0,(COLUMN()-7)/4)</f>
        <v>2006</v>
      </c>
      <c r="AZ58" s="3821"/>
      <c r="BA58" s="3821"/>
      <c r="BB58" s="3821"/>
      <c r="BC58" s="3820">
        <f ca="1">OFFSET(InputY!$G$3,0,(COLUMN()-7)/4)</f>
        <v>2007</v>
      </c>
      <c r="BD58" s="3821"/>
      <c r="BE58" s="3821"/>
      <c r="BF58" s="3821"/>
      <c r="BG58" s="3820">
        <f ca="1">OFFSET(InputY!$G$3,0,(COLUMN()-7)/4)</f>
        <v>2008</v>
      </c>
      <c r="BH58" s="3821"/>
      <c r="BI58" s="3821"/>
      <c r="BJ58" s="3821"/>
      <c r="BK58" s="3820">
        <f ca="1">OFFSET(InputY!$G$3,0,(COLUMN()-7)/4)</f>
        <v>2009</v>
      </c>
      <c r="BL58" s="3821"/>
      <c r="BM58" s="3821"/>
      <c r="BN58" s="3821"/>
      <c r="BO58" s="3820">
        <f ca="1">OFFSET(InputY!$G$3,0,(COLUMN()-7)/4)</f>
        <v>2010</v>
      </c>
      <c r="BP58" s="3821"/>
      <c r="BQ58" s="3821"/>
      <c r="BR58" s="3821"/>
      <c r="BS58" s="3820">
        <f ca="1">OFFSET(InputY!$G$3,0,(COLUMN()-7)/4)</f>
        <v>2011</v>
      </c>
      <c r="BT58" s="3821"/>
      <c r="BU58" s="3821"/>
      <c r="BV58" s="3821"/>
      <c r="BW58" s="3817">
        <f ca="1">OFFSET(InputY!$G$3,0,(COLUMN()-7)/4)</f>
        <v>2012</v>
      </c>
      <c r="BX58" s="3818"/>
      <c r="BY58" s="3818"/>
      <c r="BZ58" s="3819"/>
      <c r="CA58" s="3817">
        <f ca="1">OFFSET(InputY!$G$3,0,(COLUMN()-7)/4)</f>
        <v>2013</v>
      </c>
      <c r="CB58" s="3818"/>
      <c r="CC58" s="3818"/>
      <c r="CD58" s="3819"/>
      <c r="CE58" s="3817">
        <f ca="1">OFFSET(InputY!$G$3,0,(COLUMN()-7)/4)</f>
        <v>2014</v>
      </c>
      <c r="CF58" s="3818"/>
      <c r="CG58" s="3818"/>
      <c r="CH58" s="3819"/>
      <c r="CI58" s="3817">
        <f ca="1">OFFSET(InputY!$G$3,0,(COLUMN()-7)/4)</f>
        <v>2015</v>
      </c>
      <c r="CJ58" s="3818"/>
      <c r="CK58" s="3818"/>
      <c r="CL58" s="3819"/>
      <c r="CM58" s="3817">
        <f ca="1">OFFSET(InputY!$G$3,0,(COLUMN()-7)/4)</f>
        <v>2016</v>
      </c>
      <c r="CN58" s="3818"/>
      <c r="CO58" s="3818"/>
      <c r="CP58" s="3819"/>
      <c r="CQ58" s="3817">
        <f ca="1">OFFSET(InputY!$G$3,0,(COLUMN()-7)/4)</f>
        <v>2017</v>
      </c>
      <c r="CR58" s="3818"/>
      <c r="CS58" s="3818"/>
      <c r="CT58" s="3819"/>
      <c r="CU58" s="3817">
        <f ca="1">OFFSET(InputY!$G$3,0,(COLUMN()-7)/4)</f>
        <v>2018</v>
      </c>
      <c r="CV58" s="3818"/>
      <c r="CW58" s="3818"/>
      <c r="CX58" s="3819"/>
      <c r="CY58" s="3817">
        <f ca="1">OFFSET(InputY!$G$3,0,(COLUMN()-7)/4)</f>
        <v>2019</v>
      </c>
      <c r="CZ58" s="3818"/>
      <c r="DA58" s="3818"/>
      <c r="DB58" s="3819"/>
      <c r="DC58" s="3817">
        <f ca="1">OFFSET(InputY!$G$3,0,(COLUMN()-7)/4)</f>
        <v>2020</v>
      </c>
      <c r="DD58" s="3818"/>
      <c r="DE58" s="3818"/>
      <c r="DF58" s="3819"/>
    </row>
    <row r="59" spans="1:110" s="736" customFormat="1" ht="12.75" customHeight="1">
      <c r="A59" s="701"/>
      <c r="B59" s="701"/>
      <c r="C59" s="703"/>
      <c r="D59" s="732"/>
      <c r="E59" s="733" t="s">
        <v>214</v>
      </c>
      <c r="F59" s="734"/>
      <c r="G59" s="1618" t="s">
        <v>131</v>
      </c>
      <c r="H59" s="1619" t="s">
        <v>132</v>
      </c>
      <c r="I59" s="1619" t="s">
        <v>133</v>
      </c>
      <c r="J59" s="1620" t="s">
        <v>134</v>
      </c>
      <c r="K59" s="1618" t="s">
        <v>131</v>
      </c>
      <c r="L59" s="1619" t="s">
        <v>132</v>
      </c>
      <c r="M59" s="1619" t="s">
        <v>133</v>
      </c>
      <c r="N59" s="1620" t="s">
        <v>134</v>
      </c>
      <c r="O59" s="1618" t="s">
        <v>131</v>
      </c>
      <c r="P59" s="1619" t="s">
        <v>132</v>
      </c>
      <c r="Q59" s="1619" t="s">
        <v>133</v>
      </c>
      <c r="R59" s="1620" t="s">
        <v>134</v>
      </c>
      <c r="S59" s="1618" t="s">
        <v>131</v>
      </c>
      <c r="T59" s="1619" t="s">
        <v>132</v>
      </c>
      <c r="U59" s="1619" t="s">
        <v>133</v>
      </c>
      <c r="V59" s="1620" t="s">
        <v>134</v>
      </c>
      <c r="W59" s="1618" t="s">
        <v>131</v>
      </c>
      <c r="X59" s="1619" t="s">
        <v>132</v>
      </c>
      <c r="Y59" s="1619" t="s">
        <v>133</v>
      </c>
      <c r="Z59" s="1620" t="s">
        <v>134</v>
      </c>
      <c r="AA59" s="1618" t="s">
        <v>131</v>
      </c>
      <c r="AB59" s="1619" t="s">
        <v>132</v>
      </c>
      <c r="AC59" s="1619" t="s">
        <v>133</v>
      </c>
      <c r="AD59" s="1620" t="s">
        <v>134</v>
      </c>
      <c r="AE59" s="1618" t="s">
        <v>131</v>
      </c>
      <c r="AF59" s="1619" t="s">
        <v>132</v>
      </c>
      <c r="AG59" s="1619" t="s">
        <v>133</v>
      </c>
      <c r="AH59" s="1620" t="s">
        <v>134</v>
      </c>
      <c r="AI59" s="1618" t="s">
        <v>131</v>
      </c>
      <c r="AJ59" s="1619" t="s">
        <v>132</v>
      </c>
      <c r="AK59" s="1619" t="s">
        <v>133</v>
      </c>
      <c r="AL59" s="1620" t="s">
        <v>134</v>
      </c>
      <c r="AM59" s="1618" t="s">
        <v>131</v>
      </c>
      <c r="AN59" s="1619" t="s">
        <v>132</v>
      </c>
      <c r="AO59" s="1619" t="s">
        <v>133</v>
      </c>
      <c r="AP59" s="1620" t="s">
        <v>134</v>
      </c>
      <c r="AQ59" s="1618" t="s">
        <v>131</v>
      </c>
      <c r="AR59" s="1619" t="s">
        <v>132</v>
      </c>
      <c r="AS59" s="1619" t="s">
        <v>133</v>
      </c>
      <c r="AT59" s="1620" t="s">
        <v>134</v>
      </c>
      <c r="AU59" s="1618" t="s">
        <v>131</v>
      </c>
      <c r="AV59" s="1619" t="s">
        <v>132</v>
      </c>
      <c r="AW59" s="1619" t="s">
        <v>133</v>
      </c>
      <c r="AX59" s="1620" t="s">
        <v>134</v>
      </c>
      <c r="AY59" s="1618" t="s">
        <v>131</v>
      </c>
      <c r="AZ59" s="1619" t="s">
        <v>132</v>
      </c>
      <c r="BA59" s="1619" t="s">
        <v>133</v>
      </c>
      <c r="BB59" s="1620" t="s">
        <v>134</v>
      </c>
      <c r="BC59" s="1618" t="s">
        <v>131</v>
      </c>
      <c r="BD59" s="1619" t="s">
        <v>132</v>
      </c>
      <c r="BE59" s="1619" t="s">
        <v>133</v>
      </c>
      <c r="BF59" s="1620" t="s">
        <v>134</v>
      </c>
      <c r="BG59" s="1618" t="s">
        <v>131</v>
      </c>
      <c r="BH59" s="1619" t="s">
        <v>132</v>
      </c>
      <c r="BI59" s="1619" t="s">
        <v>133</v>
      </c>
      <c r="BJ59" s="1620" t="s">
        <v>134</v>
      </c>
      <c r="BK59" s="1618" t="s">
        <v>131</v>
      </c>
      <c r="BL59" s="1619" t="s">
        <v>132</v>
      </c>
      <c r="BM59" s="1619" t="s">
        <v>133</v>
      </c>
      <c r="BN59" s="1620" t="s">
        <v>134</v>
      </c>
      <c r="BO59" s="1618" t="s">
        <v>131</v>
      </c>
      <c r="BP59" s="1619" t="s">
        <v>132</v>
      </c>
      <c r="BQ59" s="1619" t="s">
        <v>133</v>
      </c>
      <c r="BR59" s="1620" t="s">
        <v>134</v>
      </c>
      <c r="BS59" s="1618" t="s">
        <v>131</v>
      </c>
      <c r="BT59" s="1619" t="s">
        <v>132</v>
      </c>
      <c r="BU59" s="1619" t="s">
        <v>133</v>
      </c>
      <c r="BV59" s="1620" t="s">
        <v>134</v>
      </c>
      <c r="BW59" s="1618" t="s">
        <v>131</v>
      </c>
      <c r="BX59" s="1619" t="s">
        <v>132</v>
      </c>
      <c r="BY59" s="1619" t="s">
        <v>133</v>
      </c>
      <c r="BZ59" s="1620" t="s">
        <v>134</v>
      </c>
      <c r="CA59" s="1618" t="s">
        <v>131</v>
      </c>
      <c r="CB59" s="1619" t="s">
        <v>132</v>
      </c>
      <c r="CC59" s="1619" t="s">
        <v>133</v>
      </c>
      <c r="CD59" s="1620" t="s">
        <v>134</v>
      </c>
      <c r="CE59" s="1618" t="s">
        <v>131</v>
      </c>
      <c r="CF59" s="1619" t="s">
        <v>132</v>
      </c>
      <c r="CG59" s="1619" t="s">
        <v>133</v>
      </c>
      <c r="CH59" s="1620" t="s">
        <v>134</v>
      </c>
      <c r="CI59" s="1618" t="s">
        <v>131</v>
      </c>
      <c r="CJ59" s="1619" t="s">
        <v>132</v>
      </c>
      <c r="CK59" s="1619" t="s">
        <v>133</v>
      </c>
      <c r="CL59" s="1620" t="s">
        <v>134</v>
      </c>
      <c r="CM59" s="1618" t="s">
        <v>131</v>
      </c>
      <c r="CN59" s="1619" t="s">
        <v>132</v>
      </c>
      <c r="CO59" s="1619" t="s">
        <v>133</v>
      </c>
      <c r="CP59" s="1620" t="s">
        <v>134</v>
      </c>
      <c r="CQ59" s="1618" t="s">
        <v>131</v>
      </c>
      <c r="CR59" s="1619" t="s">
        <v>132</v>
      </c>
      <c r="CS59" s="1619" t="s">
        <v>133</v>
      </c>
      <c r="CT59" s="1620" t="s">
        <v>134</v>
      </c>
      <c r="CU59" s="1618" t="s">
        <v>131</v>
      </c>
      <c r="CV59" s="1619" t="s">
        <v>132</v>
      </c>
      <c r="CW59" s="1619" t="s">
        <v>133</v>
      </c>
      <c r="CX59" s="1620" t="s">
        <v>134</v>
      </c>
      <c r="CY59" s="1618" t="s">
        <v>131</v>
      </c>
      <c r="CZ59" s="1619" t="s">
        <v>132</v>
      </c>
      <c r="DA59" s="1619" t="s">
        <v>133</v>
      </c>
      <c r="DB59" s="1620" t="s">
        <v>134</v>
      </c>
      <c r="DC59" s="1618" t="s">
        <v>131</v>
      </c>
      <c r="DD59" s="1619" t="s">
        <v>132</v>
      </c>
      <c r="DE59" s="1619" t="s">
        <v>133</v>
      </c>
      <c r="DF59" s="1620" t="s">
        <v>134</v>
      </c>
    </row>
    <row r="60" spans="1:110" s="736" customFormat="1" ht="12.75" hidden="1" customHeight="1">
      <c r="A60" s="701" t="str">
        <f>"Q" &amp; ROW(InputQ!A62)</f>
        <v>Q62</v>
      </c>
      <c r="C60" s="3171" t="s">
        <v>1791</v>
      </c>
      <c r="D60" s="705"/>
      <c r="E60" s="737" t="s">
        <v>1420</v>
      </c>
      <c r="F60" s="738"/>
      <c r="G60" s="817" t="e">
        <f>InputQ!G62/1000</f>
        <v>#VALUE!</v>
      </c>
      <c r="H60" s="817" t="e">
        <f>InputQ!H62/1000</f>
        <v>#VALUE!</v>
      </c>
      <c r="I60" s="817" t="e">
        <f>InputQ!I62/1000</f>
        <v>#VALUE!</v>
      </c>
      <c r="J60" s="817" t="e">
        <f>InputQ!J62/1000</f>
        <v>#VALUE!</v>
      </c>
      <c r="K60" s="817" t="e">
        <f>InputQ!K62/1000</f>
        <v>#VALUE!</v>
      </c>
      <c r="L60" s="817" t="e">
        <f>InputQ!L62/1000</f>
        <v>#VALUE!</v>
      </c>
      <c r="M60" s="817" t="e">
        <f>InputQ!M62/1000</f>
        <v>#VALUE!</v>
      </c>
      <c r="N60" s="817" t="e">
        <f>InputQ!N62/1000</f>
        <v>#VALUE!</v>
      </c>
      <c r="O60" s="817" t="e">
        <f>InputQ!O62/1000</f>
        <v>#VALUE!</v>
      </c>
      <c r="P60" s="817" t="e">
        <f>InputQ!P62/1000</f>
        <v>#VALUE!</v>
      </c>
      <c r="Q60" s="817" t="e">
        <f>InputQ!Q62/1000</f>
        <v>#VALUE!</v>
      </c>
      <c r="R60" s="817" t="e">
        <f>InputQ!R62/1000</f>
        <v>#VALUE!</v>
      </c>
      <c r="S60" s="817" t="e">
        <f>InputQ!S62/1000</f>
        <v>#VALUE!</v>
      </c>
      <c r="T60" s="817" t="e">
        <f>InputQ!T62/1000</f>
        <v>#VALUE!</v>
      </c>
      <c r="U60" s="817" t="e">
        <f>InputQ!U62/1000</f>
        <v>#VALUE!</v>
      </c>
      <c r="V60" s="817" t="e">
        <f>InputQ!V62/1000</f>
        <v>#VALUE!</v>
      </c>
      <c r="W60" s="817" t="e">
        <f>InputQ!W62/1000</f>
        <v>#VALUE!</v>
      </c>
      <c r="X60" s="817" t="e">
        <f>InputQ!X62/1000</f>
        <v>#VALUE!</v>
      </c>
      <c r="Y60" s="817" t="e">
        <f>InputQ!Y62/1000</f>
        <v>#VALUE!</v>
      </c>
      <c r="Z60" s="817" t="e">
        <f>InputQ!Z62/1000</f>
        <v>#VALUE!</v>
      </c>
      <c r="AA60" s="817" t="e">
        <f>InputQ!AA62/1000</f>
        <v>#VALUE!</v>
      </c>
      <c r="AB60" s="817" t="e">
        <f>InputQ!AB62/1000</f>
        <v>#VALUE!</v>
      </c>
      <c r="AC60" s="817" t="e">
        <f>InputQ!AC62/1000</f>
        <v>#VALUE!</v>
      </c>
      <c r="AD60" s="817" t="e">
        <f>InputQ!AD62/1000</f>
        <v>#VALUE!</v>
      </c>
      <c r="AE60" s="817" t="e">
        <f>InputQ!AE62/1000</f>
        <v>#VALUE!</v>
      </c>
      <c r="AF60" s="817" t="e">
        <f>InputQ!AF62/1000</f>
        <v>#VALUE!</v>
      </c>
      <c r="AG60" s="817" t="e">
        <f>InputQ!AG62/1000</f>
        <v>#VALUE!</v>
      </c>
      <c r="AH60" s="817" t="e">
        <f>InputQ!AH62/1000</f>
        <v>#VALUE!</v>
      </c>
      <c r="AI60" s="817" t="e">
        <f>InputQ!AI62/1000</f>
        <v>#VALUE!</v>
      </c>
      <c r="AJ60" s="817" t="e">
        <f>InputQ!AJ62/1000</f>
        <v>#VALUE!</v>
      </c>
      <c r="AK60" s="817" t="e">
        <f>InputQ!AK62/1000</f>
        <v>#VALUE!</v>
      </c>
      <c r="AL60" s="817" t="e">
        <f>InputQ!AL62/1000</f>
        <v>#VALUE!</v>
      </c>
      <c r="AM60" s="817" t="e">
        <f>InputQ!AM62/1000</f>
        <v>#VALUE!</v>
      </c>
      <c r="AN60" s="817" t="e">
        <f>InputQ!AN62/1000</f>
        <v>#VALUE!</v>
      </c>
      <c r="AO60" s="817" t="e">
        <f>InputQ!AO62/1000</f>
        <v>#VALUE!</v>
      </c>
      <c r="AP60" s="817" t="e">
        <f>InputQ!AP62/1000</f>
        <v>#VALUE!</v>
      </c>
      <c r="AQ60" s="817" t="e">
        <f>InputQ!AQ62/1000</f>
        <v>#VALUE!</v>
      </c>
      <c r="AR60" s="817" t="e">
        <f>InputQ!AR62/1000</f>
        <v>#VALUE!</v>
      </c>
      <c r="AS60" s="817" t="e">
        <f>InputQ!AS62/1000</f>
        <v>#VALUE!</v>
      </c>
      <c r="AT60" s="817" t="e">
        <f>InputQ!AT62/1000</f>
        <v>#VALUE!</v>
      </c>
      <c r="AU60" s="817" t="e">
        <f>InputQ!AU62/1000</f>
        <v>#VALUE!</v>
      </c>
      <c r="AV60" s="817" t="e">
        <f>InputQ!AV62/1000</f>
        <v>#VALUE!</v>
      </c>
      <c r="AW60" s="817" t="e">
        <f>InputQ!AW62/1000</f>
        <v>#VALUE!</v>
      </c>
      <c r="AX60" s="817" t="e">
        <f>InputQ!AX62/1000</f>
        <v>#VALUE!</v>
      </c>
      <c r="AY60" s="817" t="e">
        <f>InputQ!AY62/1000</f>
        <v>#VALUE!</v>
      </c>
      <c r="AZ60" s="817" t="e">
        <f>InputQ!AZ62/1000</f>
        <v>#VALUE!</v>
      </c>
      <c r="BA60" s="817" t="e">
        <f>InputQ!BA62/1000</f>
        <v>#VALUE!</v>
      </c>
      <c r="BB60" s="817" t="e">
        <f>InputQ!BB62/1000</f>
        <v>#VALUE!</v>
      </c>
      <c r="BC60" s="817" t="e">
        <f>InputQ!BC62/1000</f>
        <v>#VALUE!</v>
      </c>
      <c r="BD60" s="817" t="e">
        <f>InputQ!BD62/1000</f>
        <v>#VALUE!</v>
      </c>
      <c r="BE60" s="817" t="e">
        <f>InputQ!BE62/1000</f>
        <v>#VALUE!</v>
      </c>
      <c r="BF60" s="817" t="e">
        <f>InputQ!BF62/1000</f>
        <v>#VALUE!</v>
      </c>
      <c r="BG60" s="817" t="e">
        <f>InputQ!BG62/1000</f>
        <v>#VALUE!</v>
      </c>
      <c r="BH60" s="817" t="e">
        <f>InputQ!BH62/1000</f>
        <v>#VALUE!</v>
      </c>
      <c r="BI60" s="817" t="e">
        <f>InputQ!BI62/1000</f>
        <v>#VALUE!</v>
      </c>
      <c r="BJ60" s="817" t="e">
        <f>InputQ!BJ62/1000</f>
        <v>#VALUE!</v>
      </c>
      <c r="BK60" s="817" t="e">
        <f>InputQ!BK62/1000</f>
        <v>#VALUE!</v>
      </c>
      <c r="BL60" s="817" t="e">
        <f>InputQ!BL62/1000</f>
        <v>#VALUE!</v>
      </c>
      <c r="BM60" s="817" t="e">
        <f>InputQ!BM62/1000</f>
        <v>#VALUE!</v>
      </c>
      <c r="BN60" s="817" t="e">
        <f>InputQ!BN62/1000</f>
        <v>#VALUE!</v>
      </c>
      <c r="BO60" s="817" t="e">
        <f>InputQ!BO62/1000</f>
        <v>#VALUE!</v>
      </c>
      <c r="BP60" s="817" t="e">
        <f>InputQ!BP62/1000</f>
        <v>#VALUE!</v>
      </c>
      <c r="BQ60" s="817" t="e">
        <f>InputQ!BQ62/1000</f>
        <v>#VALUE!</v>
      </c>
      <c r="BR60" s="817" t="e">
        <f>InputQ!BR62/1000</f>
        <v>#VALUE!</v>
      </c>
      <c r="BS60" s="817" t="e">
        <f>InputQ!BS62/1000</f>
        <v>#VALUE!</v>
      </c>
      <c r="BT60" s="817" t="e">
        <f>InputQ!BT62/1000</f>
        <v>#VALUE!</v>
      </c>
      <c r="BU60" s="817" t="e">
        <f>InputQ!BU62/1000</f>
        <v>#VALUE!</v>
      </c>
      <c r="BV60" s="817" t="e">
        <f>InputQ!BV62/1000</f>
        <v>#VALUE!</v>
      </c>
      <c r="BW60" s="817" t="e">
        <f>InputQ!BW62/1000</f>
        <v>#VALUE!</v>
      </c>
      <c r="BX60" s="817" t="e">
        <f>InputQ!BX62/1000</f>
        <v>#VALUE!</v>
      </c>
      <c r="BY60" s="817" t="e">
        <f>InputQ!BY62/1000</f>
        <v>#VALUE!</v>
      </c>
      <c r="BZ60" s="817" t="e">
        <f>InputQ!BZ62/1000</f>
        <v>#VALUE!</v>
      </c>
      <c r="CA60" s="1643" t="e">
        <f>+BZ60*(1+CA76/100)</f>
        <v>#VALUE!</v>
      </c>
      <c r="CB60" s="1643" t="e">
        <f>+CA60*(1+CB76/100)</f>
        <v>#VALUE!</v>
      </c>
      <c r="CC60" s="817" t="e">
        <f>InputQ!CC62/1000</f>
        <v>#VALUE!</v>
      </c>
      <c r="CD60" s="817" t="e">
        <f>InputQ!CD62/1000</f>
        <v>#VALUE!</v>
      </c>
      <c r="CE60" s="1643" t="e">
        <f>+CD60*(1+CE76/100)</f>
        <v>#VALUE!</v>
      </c>
      <c r="CF60" s="1643" t="e">
        <f>+CE60*(1+CF76/100)</f>
        <v>#VALUE!</v>
      </c>
      <c r="CG60" s="1643" t="e">
        <f t="shared" ref="CG60:CL60" si="222">+CF60*(1+CG76/100)</f>
        <v>#VALUE!</v>
      </c>
      <c r="CH60" s="817" t="e">
        <f>InputQ!CH62/1000</f>
        <v>#VALUE!</v>
      </c>
      <c r="CI60" s="1643" t="e">
        <f>+CH60*(1+CI76/100)</f>
        <v>#VALUE!</v>
      </c>
      <c r="CJ60" s="1643" t="e">
        <f>+CI60*(1+CJ76/100)</f>
        <v>#VALUE!</v>
      </c>
      <c r="CK60" s="1643" t="e">
        <f t="shared" si="222"/>
        <v>#VALUE!</v>
      </c>
      <c r="CL60" s="1643" t="e">
        <f t="shared" si="222"/>
        <v>#VALUE!</v>
      </c>
      <c r="CM60" s="1643" t="e">
        <f t="shared" ref="CM60:CV60" si="223">+CL60*(1+CM76/100)</f>
        <v>#VALUE!</v>
      </c>
      <c r="CN60" s="1643" t="e">
        <f t="shared" si="223"/>
        <v>#VALUE!</v>
      </c>
      <c r="CO60" s="1643" t="e">
        <f t="shared" si="223"/>
        <v>#VALUE!</v>
      </c>
      <c r="CP60" s="1643" t="e">
        <f t="shared" si="223"/>
        <v>#VALUE!</v>
      </c>
      <c r="CQ60" s="1643" t="e">
        <f t="shared" si="223"/>
        <v>#VALUE!</v>
      </c>
      <c r="CR60" s="1643" t="e">
        <f t="shared" si="223"/>
        <v>#VALUE!</v>
      </c>
      <c r="CS60" s="1643" t="e">
        <f t="shared" si="223"/>
        <v>#VALUE!</v>
      </c>
      <c r="CT60" s="1643" t="e">
        <f t="shared" si="223"/>
        <v>#VALUE!</v>
      </c>
      <c r="CU60" s="1643" t="e">
        <f t="shared" ref="CU60" si="224">+CT60*(1+CU76/100)</f>
        <v>#VALUE!</v>
      </c>
      <c r="CV60" s="1643" t="e">
        <f t="shared" si="223"/>
        <v>#VALUE!</v>
      </c>
      <c r="CW60" s="1643" t="e">
        <f t="shared" ref="CW60" si="225">+CV60*(1+CW76/100)</f>
        <v>#VALUE!</v>
      </c>
      <c r="CX60" s="1643" t="e">
        <f t="shared" ref="CX60" si="226">+CW60*(1+CX76/100)</f>
        <v>#VALUE!</v>
      </c>
      <c r="CY60" s="1643" t="e">
        <f t="shared" ref="CY60" si="227">+CX60*(1+CY76/100)</f>
        <v>#VALUE!</v>
      </c>
      <c r="CZ60" s="1643" t="e">
        <f t="shared" ref="CZ60" si="228">+CY60*(1+CZ76/100)</f>
        <v>#VALUE!</v>
      </c>
      <c r="DA60" s="1643" t="e">
        <f t="shared" ref="DA60" si="229">+CZ60*(1+DA76/100)</f>
        <v>#VALUE!</v>
      </c>
      <c r="DB60" s="1643" t="e">
        <f t="shared" ref="DB60" si="230">+DA60*(1+DB76/100)</f>
        <v>#VALUE!</v>
      </c>
      <c r="DC60" s="1643" t="e">
        <f t="shared" ref="DC60" si="231">+DB60*(1+DC76/100)</f>
        <v>#VALUE!</v>
      </c>
      <c r="DD60" s="1643" t="e">
        <f t="shared" ref="DD60" si="232">+DC60*(1+DD76/100)</f>
        <v>#VALUE!</v>
      </c>
      <c r="DE60" s="1643" t="e">
        <f t="shared" ref="DE60" si="233">+DD60*(1+DE76/100)</f>
        <v>#VALUE!</v>
      </c>
      <c r="DF60" s="1643" t="e">
        <f t="shared" ref="DF60" si="234">+DE60*(1+DF76/100)</f>
        <v>#VALUE!</v>
      </c>
    </row>
    <row r="61" spans="1:110" s="736" customFormat="1" ht="12.75" hidden="1" customHeight="1">
      <c r="A61" s="701"/>
      <c r="C61" s="3172"/>
      <c r="D61" s="716"/>
      <c r="E61" s="717" t="s">
        <v>353</v>
      </c>
      <c r="F61" s="1969"/>
      <c r="G61" s="3165"/>
      <c r="H61" s="3165"/>
      <c r="I61" s="3167"/>
      <c r="J61" s="1627" t="e">
        <f>SUM(G60:J60)</f>
        <v>#VALUE!</v>
      </c>
      <c r="K61" s="3165"/>
      <c r="L61" s="3165"/>
      <c r="M61" s="3167"/>
      <c r="N61" s="1627" t="e">
        <f>SUM(K60:N60)</f>
        <v>#VALUE!</v>
      </c>
      <c r="O61" s="3165"/>
      <c r="P61" s="3165"/>
      <c r="Q61" s="3167"/>
      <c r="R61" s="1627" t="e">
        <f>SUM(O60:R60)</f>
        <v>#VALUE!</v>
      </c>
      <c r="S61" s="3165"/>
      <c r="T61" s="3165"/>
      <c r="U61" s="3167"/>
      <c r="V61" s="1627" t="e">
        <f>SUM(S60:V60)</f>
        <v>#VALUE!</v>
      </c>
      <c r="W61" s="3165"/>
      <c r="X61" s="3165"/>
      <c r="Y61" s="3167"/>
      <c r="Z61" s="1627" t="e">
        <f>SUM(W60:Z60)</f>
        <v>#VALUE!</v>
      </c>
      <c r="AA61" s="3165"/>
      <c r="AB61" s="3165"/>
      <c r="AC61" s="3167"/>
      <c r="AD61" s="1627" t="e">
        <f>SUM(AA60:AD60)</f>
        <v>#VALUE!</v>
      </c>
      <c r="AE61" s="3165"/>
      <c r="AF61" s="3165"/>
      <c r="AG61" s="3167"/>
      <c r="AH61" s="1627" t="e">
        <f>SUM(AE60:AH60)</f>
        <v>#VALUE!</v>
      </c>
      <c r="AI61" s="3165"/>
      <c r="AJ61" s="3165"/>
      <c r="AK61" s="3167"/>
      <c r="AL61" s="1627" t="e">
        <f>SUM(AI60:AL60)</f>
        <v>#VALUE!</v>
      </c>
      <c r="AM61" s="3165"/>
      <c r="AN61" s="3165"/>
      <c r="AO61" s="3167"/>
      <c r="AP61" s="1627" t="e">
        <f>SUM(AM60:AP60)</f>
        <v>#VALUE!</v>
      </c>
      <c r="AQ61" s="3165"/>
      <c r="AR61" s="3165"/>
      <c r="AS61" s="3167"/>
      <c r="AT61" s="1627" t="e">
        <f>SUM(AQ60:AT60)</f>
        <v>#VALUE!</v>
      </c>
      <c r="AU61" s="3165"/>
      <c r="AV61" s="3165"/>
      <c r="AW61" s="3167"/>
      <c r="AX61" s="1627" t="e">
        <f>SUM(AU60:AX60)</f>
        <v>#VALUE!</v>
      </c>
      <c r="AY61" s="3165"/>
      <c r="AZ61" s="3165"/>
      <c r="BA61" s="3167"/>
      <c r="BB61" s="1627" t="e">
        <f>SUM(AY60:BB60)</f>
        <v>#VALUE!</v>
      </c>
      <c r="BC61" s="3165"/>
      <c r="BD61" s="3165"/>
      <c r="BE61" s="3167"/>
      <c r="BF61" s="1627" t="e">
        <f>SUM(BC60:BF60)</f>
        <v>#VALUE!</v>
      </c>
      <c r="BG61" s="3165"/>
      <c r="BH61" s="3165"/>
      <c r="BI61" s="3167"/>
      <c r="BJ61" s="1627" t="e">
        <f>SUM(BG60:BJ60)</f>
        <v>#VALUE!</v>
      </c>
      <c r="BK61" s="3165"/>
      <c r="BL61" s="3165"/>
      <c r="BM61" s="3167"/>
      <c r="BN61" s="1627" t="e">
        <f>SUM(BK60:BN60)</f>
        <v>#VALUE!</v>
      </c>
      <c r="BO61" s="3165"/>
      <c r="BP61" s="3165"/>
      <c r="BQ61" s="3167"/>
      <c r="BR61" s="1627" t="e">
        <f>SUM(BO60:BR60)</f>
        <v>#VALUE!</v>
      </c>
      <c r="BS61" s="3165"/>
      <c r="BT61" s="3165"/>
      <c r="BU61" s="3167"/>
      <c r="BV61" s="1627" t="e">
        <f>SUM(BS60:BV60)</f>
        <v>#VALUE!</v>
      </c>
      <c r="BW61" s="3165"/>
      <c r="BX61" s="3165"/>
      <c r="BY61" s="3167"/>
      <c r="BZ61" s="1627" t="e">
        <f>SUM(BW60:BZ60)</f>
        <v>#VALUE!</v>
      </c>
      <c r="CA61" s="3165"/>
      <c r="CB61" s="3165"/>
      <c r="CC61" s="3167"/>
      <c r="CD61" s="1627" t="e">
        <f>SUM(CA60:CD60)</f>
        <v>#VALUE!</v>
      </c>
      <c r="CE61" s="3165"/>
      <c r="CF61" s="3165"/>
      <c r="CG61" s="3167"/>
      <c r="CH61" s="1627" t="e">
        <f>SUM(CE60:CH60)</f>
        <v>#VALUE!</v>
      </c>
      <c r="CI61" s="3165"/>
      <c r="CJ61" s="3165"/>
      <c r="CK61" s="3167"/>
      <c r="CL61" s="1627" t="e">
        <f>SUM(CI60:CL60)</f>
        <v>#VALUE!</v>
      </c>
      <c r="CM61" s="3165"/>
      <c r="CN61" s="3165"/>
      <c r="CO61" s="3167"/>
      <c r="CP61" s="1627" t="e">
        <f>SUM(CM60:CP60)</f>
        <v>#VALUE!</v>
      </c>
      <c r="CQ61" s="3165"/>
      <c r="CR61" s="3165"/>
      <c r="CS61" s="3167"/>
      <c r="CT61" s="1627" t="e">
        <f>SUM(CQ60:CT60)</f>
        <v>#VALUE!</v>
      </c>
      <c r="CU61" s="3165"/>
      <c r="CV61" s="3165"/>
      <c r="CW61" s="3167"/>
      <c r="CX61" s="1627" t="e">
        <f>SUM(CU60:CX60)</f>
        <v>#VALUE!</v>
      </c>
      <c r="CY61" s="3165"/>
      <c r="CZ61" s="3165"/>
      <c r="DA61" s="3167"/>
      <c r="DB61" s="1627" t="e">
        <f>SUM(CY60:DB60)</f>
        <v>#VALUE!</v>
      </c>
      <c r="DC61" s="3165"/>
      <c r="DD61" s="3165"/>
      <c r="DE61" s="3167"/>
      <c r="DF61" s="1627" t="e">
        <f>SUM(DC60:DF60)</f>
        <v>#VALUE!</v>
      </c>
    </row>
    <row r="62" spans="1:110" s="736" customFormat="1" ht="12.75" hidden="1" customHeight="1">
      <c r="A62" s="701"/>
      <c r="C62" s="3172"/>
      <c r="D62" s="716"/>
      <c r="E62" s="717" t="s">
        <v>136</v>
      </c>
      <c r="F62" s="1969"/>
      <c r="G62" s="3165"/>
      <c r="H62" s="3168" t="s">
        <v>1694</v>
      </c>
      <c r="I62" s="3165" t="e">
        <f ca="1">+J62/J61*100</f>
        <v>#VALUE!</v>
      </c>
      <c r="J62" s="1627">
        <f ca="1">OFFSET('VVP2'!$G$27,0,(COLUMN()-10)/4)</f>
        <v>135.44943000000001</v>
      </c>
      <c r="K62" s="3165"/>
      <c r="L62" s="3168" t="s">
        <v>1694</v>
      </c>
      <c r="M62" s="3165" t="e">
        <f ca="1">+N62/N61*100</f>
        <v>#VALUE!</v>
      </c>
      <c r="N62" s="1627">
        <f ca="1">OFFSET('VVP2'!$G$27,0,(COLUMN()-10)/4)</f>
        <v>152.43566000000001</v>
      </c>
      <c r="O62" s="3165"/>
      <c r="P62" s="3168" t="s">
        <v>1694</v>
      </c>
      <c r="Q62" s="3165" t="e">
        <f ca="1">+R62/R61*100</f>
        <v>#VALUE!</v>
      </c>
      <c r="R62" s="1627">
        <f ca="1">OFFSET('VVP2'!$G$27,0,(COLUMN()-10)/4)</f>
        <v>158.19304</v>
      </c>
      <c r="S62" s="3165"/>
      <c r="T62" s="3168" t="s">
        <v>1694</v>
      </c>
      <c r="U62" s="3165" t="e">
        <f ca="1">+V62/V61*100</f>
        <v>#VALUE!</v>
      </c>
      <c r="V62" s="1627">
        <f ca="1">OFFSET('VVP2'!$G$27,0,(COLUMN()-10)/4)</f>
        <v>173.96941000000001</v>
      </c>
      <c r="W62" s="3165"/>
      <c r="X62" s="3168" t="s">
        <v>1694</v>
      </c>
      <c r="Y62" s="3165" t="e">
        <f ca="1">+Z62/Z61*100</f>
        <v>#VALUE!</v>
      </c>
      <c r="Z62" s="1627">
        <f ca="1">OFFSET('VVP2'!$G$27,0,(COLUMN()-10)/4)</f>
        <v>194.69457</v>
      </c>
      <c r="AA62" s="3165"/>
      <c r="AB62" s="3168" t="s">
        <v>1694</v>
      </c>
      <c r="AC62" s="3165" t="e">
        <f ca="1">+AD62/AD61*100</f>
        <v>#VALUE!</v>
      </c>
      <c r="AD62" s="1627">
        <f ca="1">OFFSET('VVP2'!$G$27,0,(COLUMN()-10)/4)</f>
        <v>199.02439999999999</v>
      </c>
      <c r="AE62" s="3165"/>
      <c r="AF62" s="3168" t="s">
        <v>1694</v>
      </c>
      <c r="AG62" s="3165" t="e">
        <f ca="1">+AH62/AH61*100</f>
        <v>#VALUE!</v>
      </c>
      <c r="AH62" s="1627">
        <f ca="1">OFFSET('VVP2'!$G$27,0,(COLUMN()-10)/4)</f>
        <v>197.27582000000001</v>
      </c>
      <c r="AI62" s="3165"/>
      <c r="AJ62" s="3168" t="s">
        <v>1694</v>
      </c>
      <c r="AK62" s="3165" t="e">
        <f ca="1">+AL62/AL61*100</f>
        <v>#VALUE!</v>
      </c>
      <c r="AL62" s="1627">
        <f ca="1">OFFSET('VVP2'!$G$27,0,(COLUMN()-10)/4)</f>
        <v>189.39164000000002</v>
      </c>
      <c r="AM62" s="3165"/>
      <c r="AN62" s="3168" t="s">
        <v>1694</v>
      </c>
      <c r="AO62" s="3165" t="e">
        <f ca="1">+AP62/AP61*100</f>
        <v>#VALUE!</v>
      </c>
      <c r="AP62" s="1627">
        <f ca="1">OFFSET('VVP2'!$G$27,0,(COLUMN()-10)/4)</f>
        <v>199.37451999999999</v>
      </c>
      <c r="AQ62" s="3165"/>
      <c r="AR62" s="3168" t="s">
        <v>1694</v>
      </c>
      <c r="AS62" s="3165" t="e">
        <f ca="1">+AT62/AT61*100</f>
        <v>#VALUE!</v>
      </c>
      <c r="AT62" s="1627">
        <f ca="1">OFFSET('VVP2'!$G$27,0,(COLUMN()-10)/4)</f>
        <v>206.57651000000001</v>
      </c>
      <c r="AU62" s="3165"/>
      <c r="AV62" s="3168" t="s">
        <v>1694</v>
      </c>
      <c r="AW62" s="3165" t="e">
        <f ca="1">+AX62/AX61*100</f>
        <v>#VALUE!</v>
      </c>
      <c r="AX62" s="1627">
        <f ca="1">OFFSET('VVP2'!$G$27,0,(COLUMN()-10)/4)</f>
        <v>229.57192000000001</v>
      </c>
      <c r="AY62" s="3165"/>
      <c r="AZ62" s="3168" t="s">
        <v>1694</v>
      </c>
      <c r="BA62" s="3165" t="e">
        <f ca="1">+BB62/BB61*100</f>
        <v>#VALUE!</v>
      </c>
      <c r="BB62" s="1627">
        <f ca="1">OFFSET('VVP2'!$G$27,0,(COLUMN()-10)/4)</f>
        <v>249.69717</v>
      </c>
      <c r="BC62" s="3165"/>
      <c r="BD62" s="3168" t="s">
        <v>1694</v>
      </c>
      <c r="BE62" s="3165" t="e">
        <f ca="1">+BF62/BF61*100</f>
        <v>#VALUE!</v>
      </c>
      <c r="BF62" s="1627">
        <f ca="1">OFFSET('VVP2'!$G$27,0,(COLUMN()-10)/4)</f>
        <v>279.33580000000001</v>
      </c>
      <c r="BG62" s="3165"/>
      <c r="BH62" s="3168" t="s">
        <v>1694</v>
      </c>
      <c r="BI62" s="3165" t="e">
        <f ca="1">+BJ62/BJ61*100</f>
        <v>#VALUE!</v>
      </c>
      <c r="BJ62" s="1627">
        <f ca="1">OFFSET('VVP2'!$G$27,0,(COLUMN()-10)/4)</f>
        <v>291.01408000000004</v>
      </c>
      <c r="BK62" s="3165"/>
      <c r="BL62" s="3168" t="s">
        <v>1694</v>
      </c>
      <c r="BM62" s="3165" t="e">
        <f ca="1">+BN62/BN61*100</f>
        <v>#VALUE!</v>
      </c>
      <c r="BN62" s="1627">
        <f ca="1">OFFSET('VVP2'!$G$27,0,(COLUMN()-10)/4)</f>
        <v>228.09822</v>
      </c>
      <c r="BO62" s="3165"/>
      <c r="BP62" s="3168" t="s">
        <v>1694</v>
      </c>
      <c r="BQ62" s="3165" t="e">
        <f ca="1">+BR62/BR61*100</f>
        <v>#VALUE!</v>
      </c>
      <c r="BR62" s="1627">
        <f ca="1">OFFSET('VVP2'!$G$27,0,(COLUMN()-10)/4)</f>
        <v>252.77500000000001</v>
      </c>
      <c r="BS62" s="3165"/>
      <c r="BT62" s="3168" t="s">
        <v>1694</v>
      </c>
      <c r="BU62" s="3165" t="e">
        <f ca="1">+BV62/BV61*100</f>
        <v>#VALUE!</v>
      </c>
      <c r="BV62" s="1627">
        <f ca="1">OFFSET('VVP2'!$G$27,0,(COLUMN()-10)/4)</f>
        <v>284.17725000000002</v>
      </c>
      <c r="BW62" s="3165"/>
      <c r="BX62" s="3168" t="s">
        <v>1694</v>
      </c>
      <c r="BY62" s="3165" t="e">
        <f ca="1">+BZ62/BZ61*100</f>
        <v>#VALUE!</v>
      </c>
      <c r="BZ62" s="1627">
        <f ca="1">OFFSET('VVP2'!$G$27,0,(COLUMN()-10)/4)</f>
        <v>292.13466</v>
      </c>
      <c r="CA62" s="3165"/>
      <c r="CB62" s="3168" t="s">
        <v>1694</v>
      </c>
      <c r="CC62" s="3165" t="e">
        <f ca="1">+CD62/CD61*100</f>
        <v>#VALUE!</v>
      </c>
      <c r="CD62" s="1627">
        <f ca="1">OFFSET('VVP2'!$G$27,0,(COLUMN()-10)/4)</f>
        <v>292.32125000000002</v>
      </c>
      <c r="CE62" s="3165"/>
      <c r="CF62" s="3168" t="s">
        <v>1694</v>
      </c>
      <c r="CG62" s="3165" t="e">
        <f ca="1">+CH62/CH61*100</f>
        <v>#VALUE!</v>
      </c>
      <c r="CH62" s="1627">
        <f ca="1">OFFSET('VVP2'!$G$27,0,(COLUMN()-10)/4)</f>
        <v>288.98760999999996</v>
      </c>
      <c r="CI62" s="3165"/>
      <c r="CJ62" s="3168" t="s">
        <v>1694</v>
      </c>
      <c r="CK62" s="3165" t="e">
        <f ca="1">+CL62/CL61*100</f>
        <v>#VALUE!</v>
      </c>
      <c r="CL62" s="1627">
        <f ca="1">OFFSET('VVP2'!$G$27,0,(COLUMN()-10)/4)</f>
        <v>303.67851000000002</v>
      </c>
      <c r="CM62" s="3165"/>
      <c r="CN62" s="3168" t="s">
        <v>1694</v>
      </c>
      <c r="CO62" s="3165" t="e">
        <f ca="1">+CP62/CP61*100</f>
        <v>#VALUE!</v>
      </c>
      <c r="CP62" s="1627">
        <f ca="1">OFFSET('VVP2'!$G$27,0,(COLUMN()-10)/4)</f>
        <v>319.71871999999996</v>
      </c>
      <c r="CQ62" s="3165"/>
      <c r="CR62" s="3168" t="s">
        <v>1694</v>
      </c>
      <c r="CS62" s="3165" t="e">
        <f ca="1">+CT62/CT61*100</f>
        <v>#VALUE!</v>
      </c>
      <c r="CT62" s="1627">
        <f ca="1">OFFSET('VVP2'!$G$27,0,(COLUMN()-10)/4)</f>
        <v>338.10843</v>
      </c>
      <c r="CU62" s="3165"/>
      <c r="CV62" s="3168" t="s">
        <v>1694</v>
      </c>
      <c r="CW62" s="3165" t="e">
        <f ca="1">+CX62/CX61*100</f>
        <v>#VALUE!</v>
      </c>
      <c r="CX62" s="1627">
        <f ca="1">OFFSET('VVP2'!$G$27,0,(COLUMN()-10)/4)</f>
        <v>353.99952621</v>
      </c>
      <c r="CY62" s="3165"/>
      <c r="CZ62" s="3168" t="s">
        <v>1694</v>
      </c>
      <c r="DA62" s="3165" t="e">
        <f ca="1">+DB62/DB61*100</f>
        <v>#VALUE!</v>
      </c>
      <c r="DB62" s="1627">
        <f ca="1">OFFSET('VVP2'!$G$27,0,(COLUMN()-10)/4)</f>
        <v>369.04450607392499</v>
      </c>
      <c r="DC62" s="3165"/>
      <c r="DD62" s="3168" t="s">
        <v>1694</v>
      </c>
      <c r="DE62" s="3165" t="e">
        <f ca="1">+DF62/DF61*100</f>
        <v>#VALUE!</v>
      </c>
      <c r="DF62" s="1627">
        <f ca="1">OFFSET('VVP2'!$G$27,0,(COLUMN()-10)/4)</f>
        <v>382.14558603954936</v>
      </c>
    </row>
    <row r="63" spans="1:110" s="736" customFormat="1" ht="12.75" hidden="1" customHeight="1">
      <c r="A63" s="701" t="str">
        <f>"Q" &amp; ROW(InputQ!A63)</f>
        <v>Q63</v>
      </c>
      <c r="C63" s="3172" t="s">
        <v>1791</v>
      </c>
      <c r="D63" s="711"/>
      <c r="E63" s="820" t="s">
        <v>1421</v>
      </c>
      <c r="F63" s="741"/>
      <c r="G63" s="743" t="e">
        <f>InputQ!G63/1000</f>
        <v>#VALUE!</v>
      </c>
      <c r="H63" s="743" t="e">
        <f>InputQ!H63/1000</f>
        <v>#VALUE!</v>
      </c>
      <c r="I63" s="743" t="e">
        <f>InputQ!I63/1000</f>
        <v>#VALUE!</v>
      </c>
      <c r="J63" s="743" t="e">
        <f>InputQ!J63/1000</f>
        <v>#VALUE!</v>
      </c>
      <c r="K63" s="743" t="e">
        <f>InputQ!K63/1000</f>
        <v>#VALUE!</v>
      </c>
      <c r="L63" s="743" t="e">
        <f>InputQ!L63/1000</f>
        <v>#VALUE!</v>
      </c>
      <c r="M63" s="743" t="e">
        <f>InputQ!M63/1000</f>
        <v>#VALUE!</v>
      </c>
      <c r="N63" s="743" t="e">
        <f>InputQ!N63/1000</f>
        <v>#VALUE!</v>
      </c>
      <c r="O63" s="743" t="e">
        <f>InputQ!O63/1000</f>
        <v>#VALUE!</v>
      </c>
      <c r="P63" s="743" t="e">
        <f>InputQ!P63/1000</f>
        <v>#VALUE!</v>
      </c>
      <c r="Q63" s="743" t="e">
        <f>InputQ!Q63/1000</f>
        <v>#VALUE!</v>
      </c>
      <c r="R63" s="743" t="e">
        <f>InputQ!R63/1000</f>
        <v>#VALUE!</v>
      </c>
      <c r="S63" s="743" t="e">
        <f>InputQ!S63/1000</f>
        <v>#VALUE!</v>
      </c>
      <c r="T63" s="743" t="e">
        <f>InputQ!T63/1000</f>
        <v>#VALUE!</v>
      </c>
      <c r="U63" s="743" t="e">
        <f>InputQ!U63/1000</f>
        <v>#VALUE!</v>
      </c>
      <c r="V63" s="743" t="e">
        <f>InputQ!V63/1000</f>
        <v>#VALUE!</v>
      </c>
      <c r="W63" s="743" t="e">
        <f>InputQ!W63/1000</f>
        <v>#VALUE!</v>
      </c>
      <c r="X63" s="743" t="e">
        <f>InputQ!X63/1000</f>
        <v>#VALUE!</v>
      </c>
      <c r="Y63" s="743" t="e">
        <f>InputQ!Y63/1000</f>
        <v>#VALUE!</v>
      </c>
      <c r="Z63" s="743" t="e">
        <f>InputQ!Z63/1000</f>
        <v>#VALUE!</v>
      </c>
      <c r="AA63" s="743" t="e">
        <f>InputQ!AA63/1000</f>
        <v>#VALUE!</v>
      </c>
      <c r="AB63" s="743" t="e">
        <f>InputQ!AB63/1000</f>
        <v>#VALUE!</v>
      </c>
      <c r="AC63" s="743" t="e">
        <f>InputQ!AC63/1000</f>
        <v>#VALUE!</v>
      </c>
      <c r="AD63" s="743" t="e">
        <f>InputQ!AD63/1000</f>
        <v>#VALUE!</v>
      </c>
      <c r="AE63" s="743" t="e">
        <f>InputQ!AE63/1000</f>
        <v>#VALUE!</v>
      </c>
      <c r="AF63" s="743" t="e">
        <f>InputQ!AF63/1000</f>
        <v>#VALUE!</v>
      </c>
      <c r="AG63" s="743" t="e">
        <f>InputQ!AG63/1000</f>
        <v>#VALUE!</v>
      </c>
      <c r="AH63" s="743" t="e">
        <f>InputQ!AH63/1000</f>
        <v>#VALUE!</v>
      </c>
      <c r="AI63" s="743" t="e">
        <f>InputQ!AI63/1000</f>
        <v>#VALUE!</v>
      </c>
      <c r="AJ63" s="743" t="e">
        <f>InputQ!AJ63/1000</f>
        <v>#VALUE!</v>
      </c>
      <c r="AK63" s="743" t="e">
        <f>InputQ!AK63/1000</f>
        <v>#VALUE!</v>
      </c>
      <c r="AL63" s="743" t="e">
        <f>InputQ!AL63/1000</f>
        <v>#VALUE!</v>
      </c>
      <c r="AM63" s="743" t="e">
        <f>InputQ!AM63/1000</f>
        <v>#VALUE!</v>
      </c>
      <c r="AN63" s="743" t="e">
        <f>InputQ!AN63/1000</f>
        <v>#VALUE!</v>
      </c>
      <c r="AO63" s="743" t="e">
        <f>InputQ!AO63/1000</f>
        <v>#VALUE!</v>
      </c>
      <c r="AP63" s="743" t="e">
        <f>InputQ!AP63/1000</f>
        <v>#VALUE!</v>
      </c>
      <c r="AQ63" s="743" t="e">
        <f>InputQ!AQ63/1000</f>
        <v>#VALUE!</v>
      </c>
      <c r="AR63" s="743" t="e">
        <f>InputQ!AR63/1000</f>
        <v>#VALUE!</v>
      </c>
      <c r="AS63" s="743" t="e">
        <f>InputQ!AS63/1000</f>
        <v>#VALUE!</v>
      </c>
      <c r="AT63" s="743" t="e">
        <f>InputQ!AT63/1000</f>
        <v>#VALUE!</v>
      </c>
      <c r="AU63" s="743" t="e">
        <f>InputQ!AU63/1000</f>
        <v>#VALUE!</v>
      </c>
      <c r="AV63" s="743" t="e">
        <f>InputQ!AV63/1000</f>
        <v>#VALUE!</v>
      </c>
      <c r="AW63" s="743" t="e">
        <f>InputQ!AW63/1000</f>
        <v>#VALUE!</v>
      </c>
      <c r="AX63" s="743" t="e">
        <f>InputQ!AX63/1000</f>
        <v>#VALUE!</v>
      </c>
      <c r="AY63" s="743" t="e">
        <f>InputQ!AY63/1000</f>
        <v>#VALUE!</v>
      </c>
      <c r="AZ63" s="743" t="e">
        <f>InputQ!AZ63/1000</f>
        <v>#VALUE!</v>
      </c>
      <c r="BA63" s="743" t="e">
        <f>InputQ!BA63/1000</f>
        <v>#VALUE!</v>
      </c>
      <c r="BB63" s="743" t="e">
        <f>InputQ!BB63/1000</f>
        <v>#VALUE!</v>
      </c>
      <c r="BC63" s="743" t="e">
        <f>InputQ!BC63/1000</f>
        <v>#VALUE!</v>
      </c>
      <c r="BD63" s="743" t="e">
        <f>InputQ!BD63/1000</f>
        <v>#VALUE!</v>
      </c>
      <c r="BE63" s="743" t="e">
        <f>InputQ!BE63/1000</f>
        <v>#VALUE!</v>
      </c>
      <c r="BF63" s="743" t="e">
        <f>InputQ!BF63/1000</f>
        <v>#VALUE!</v>
      </c>
      <c r="BG63" s="743" t="e">
        <f>InputQ!BG63/1000</f>
        <v>#VALUE!</v>
      </c>
      <c r="BH63" s="743" t="e">
        <f>InputQ!BH63/1000</f>
        <v>#VALUE!</v>
      </c>
      <c r="BI63" s="743" t="e">
        <f>InputQ!BI63/1000</f>
        <v>#VALUE!</v>
      </c>
      <c r="BJ63" s="743" t="e">
        <f>InputQ!BJ63/1000</f>
        <v>#VALUE!</v>
      </c>
      <c r="BK63" s="743" t="e">
        <f>InputQ!BK63/1000</f>
        <v>#VALUE!</v>
      </c>
      <c r="BL63" s="743" t="e">
        <f>InputQ!BL63/1000</f>
        <v>#VALUE!</v>
      </c>
      <c r="BM63" s="743" t="e">
        <f>InputQ!BM63/1000</f>
        <v>#VALUE!</v>
      </c>
      <c r="BN63" s="743" t="e">
        <f>InputQ!BN63/1000</f>
        <v>#VALUE!</v>
      </c>
      <c r="BO63" s="743" t="e">
        <f>InputQ!BO63/1000</f>
        <v>#VALUE!</v>
      </c>
      <c r="BP63" s="743" t="e">
        <f>InputQ!BP63/1000</f>
        <v>#VALUE!</v>
      </c>
      <c r="BQ63" s="743" t="e">
        <f>InputQ!BQ63/1000</f>
        <v>#VALUE!</v>
      </c>
      <c r="BR63" s="743" t="e">
        <f>InputQ!BR63/1000</f>
        <v>#VALUE!</v>
      </c>
      <c r="BS63" s="743" t="e">
        <f>InputQ!BS63/1000</f>
        <v>#VALUE!</v>
      </c>
      <c r="BT63" s="743" t="e">
        <f>InputQ!BT63/1000</f>
        <v>#VALUE!</v>
      </c>
      <c r="BU63" s="743" t="e">
        <f>InputQ!BU63/1000</f>
        <v>#VALUE!</v>
      </c>
      <c r="BV63" s="743" t="e">
        <f>InputQ!BV63/1000</f>
        <v>#VALUE!</v>
      </c>
      <c r="BW63" s="743" t="e">
        <f>InputQ!BW63/1000</f>
        <v>#VALUE!</v>
      </c>
      <c r="BX63" s="743" t="e">
        <f>InputQ!BX63/1000</f>
        <v>#VALUE!</v>
      </c>
      <c r="BY63" s="743" t="e">
        <f>InputQ!BY63/1000</f>
        <v>#VALUE!</v>
      </c>
      <c r="BZ63" s="743" t="e">
        <f>InputQ!BZ63/1000</f>
        <v>#VALUE!</v>
      </c>
      <c r="CA63" s="3166" t="e">
        <f>+BZ63*(1+CA79/100)</f>
        <v>#VALUE!</v>
      </c>
      <c r="CB63" s="3166" t="e">
        <f>+CA63*(1+CB79/100)</f>
        <v>#VALUE!</v>
      </c>
      <c r="CC63" s="743" t="e">
        <f>InputQ!CC63/1000</f>
        <v>#VALUE!</v>
      </c>
      <c r="CD63" s="743" t="e">
        <f>InputQ!CD63/1000</f>
        <v>#VALUE!</v>
      </c>
      <c r="CE63" s="3166" t="e">
        <f>+CD63*(1+CE79/100)</f>
        <v>#VALUE!</v>
      </c>
      <c r="CF63" s="3166" t="e">
        <f>+CE63*(1+CF79/100)</f>
        <v>#VALUE!</v>
      </c>
      <c r="CG63" s="3166" t="e">
        <f t="shared" ref="CG63:CL63" si="235">+CF63*(1+CG79/100)</f>
        <v>#VALUE!</v>
      </c>
      <c r="CH63" s="743" t="e">
        <f>InputQ!CH63/1000</f>
        <v>#VALUE!</v>
      </c>
      <c r="CI63" s="3166" t="e">
        <f>+CH63*(1+CI79/100)</f>
        <v>#VALUE!</v>
      </c>
      <c r="CJ63" s="3166" t="e">
        <f>+CI63*(1+CJ79/100)</f>
        <v>#VALUE!</v>
      </c>
      <c r="CK63" s="3166" t="e">
        <f t="shared" si="235"/>
        <v>#VALUE!</v>
      </c>
      <c r="CL63" s="3166" t="e">
        <f t="shared" si="235"/>
        <v>#VALUE!</v>
      </c>
      <c r="CM63" s="3166" t="e">
        <f t="shared" ref="CM63:CV63" si="236">+CL63*(1+CM79/100)</f>
        <v>#VALUE!</v>
      </c>
      <c r="CN63" s="3166" t="e">
        <f t="shared" si="236"/>
        <v>#VALUE!</v>
      </c>
      <c r="CO63" s="3166" t="e">
        <f t="shared" si="236"/>
        <v>#VALUE!</v>
      </c>
      <c r="CP63" s="3166" t="e">
        <f t="shared" si="236"/>
        <v>#VALUE!</v>
      </c>
      <c r="CQ63" s="3166" t="e">
        <f t="shared" si="236"/>
        <v>#VALUE!</v>
      </c>
      <c r="CR63" s="3166" t="e">
        <f t="shared" si="236"/>
        <v>#VALUE!</v>
      </c>
      <c r="CS63" s="3166" t="e">
        <f t="shared" si="236"/>
        <v>#VALUE!</v>
      </c>
      <c r="CT63" s="3166" t="e">
        <f t="shared" si="236"/>
        <v>#VALUE!</v>
      </c>
      <c r="CU63" s="3166" t="e">
        <f t="shared" ref="CU63" si="237">+CT63*(1+CU79/100)</f>
        <v>#VALUE!</v>
      </c>
      <c r="CV63" s="3166" t="e">
        <f t="shared" si="236"/>
        <v>#VALUE!</v>
      </c>
      <c r="CW63" s="3166" t="e">
        <f t="shared" ref="CW63" si="238">+CV63*(1+CW79/100)</f>
        <v>#VALUE!</v>
      </c>
      <c r="CX63" s="3166" t="e">
        <f t="shared" ref="CX63" si="239">+CW63*(1+CX79/100)</f>
        <v>#VALUE!</v>
      </c>
      <c r="CY63" s="3166" t="e">
        <f t="shared" ref="CY63" si="240">+CX63*(1+CY79/100)</f>
        <v>#VALUE!</v>
      </c>
      <c r="CZ63" s="3166" t="e">
        <f t="shared" ref="CZ63" si="241">+CY63*(1+CZ79/100)</f>
        <v>#VALUE!</v>
      </c>
      <c r="DA63" s="3166" t="e">
        <f t="shared" ref="DA63" si="242">+CZ63*(1+DA79/100)</f>
        <v>#VALUE!</v>
      </c>
      <c r="DB63" s="3166" t="e">
        <f t="shared" ref="DB63" si="243">+DA63*(1+DB79/100)</f>
        <v>#VALUE!</v>
      </c>
      <c r="DC63" s="3166" t="e">
        <f t="shared" ref="DC63" si="244">+DB63*(1+DC79/100)</f>
        <v>#VALUE!</v>
      </c>
      <c r="DD63" s="3166" t="e">
        <f t="shared" ref="DD63" si="245">+DC63*(1+DD79/100)</f>
        <v>#VALUE!</v>
      </c>
      <c r="DE63" s="3166" t="e">
        <f t="shared" ref="DE63" si="246">+DD63*(1+DE79/100)</f>
        <v>#VALUE!</v>
      </c>
      <c r="DF63" s="3166" t="e">
        <f t="shared" ref="DF63" si="247">+DE63*(1+DF79/100)</f>
        <v>#VALUE!</v>
      </c>
    </row>
    <row r="64" spans="1:110" s="736" customFormat="1" ht="12.75" hidden="1" customHeight="1">
      <c r="A64" s="701"/>
      <c r="C64" s="3172"/>
      <c r="D64" s="716"/>
      <c r="E64" s="717" t="s">
        <v>353</v>
      </c>
      <c r="F64" s="1969"/>
      <c r="G64" s="3165"/>
      <c r="H64" s="3165"/>
      <c r="I64" s="3167"/>
      <c r="J64" s="1627" t="e">
        <f>SUM(G63:J63)</f>
        <v>#VALUE!</v>
      </c>
      <c r="K64" s="3165"/>
      <c r="L64" s="3165"/>
      <c r="M64" s="3167"/>
      <c r="N64" s="1627" t="e">
        <f>SUM(K63:N63)</f>
        <v>#VALUE!</v>
      </c>
      <c r="O64" s="3165"/>
      <c r="P64" s="3165"/>
      <c r="Q64" s="3167"/>
      <c r="R64" s="1627" t="e">
        <f>SUM(O63:R63)</f>
        <v>#VALUE!</v>
      </c>
      <c r="S64" s="3165"/>
      <c r="T64" s="3165"/>
      <c r="U64" s="3167"/>
      <c r="V64" s="1627" t="e">
        <f>SUM(S63:V63)</f>
        <v>#VALUE!</v>
      </c>
      <c r="W64" s="3165"/>
      <c r="X64" s="3165"/>
      <c r="Y64" s="3167"/>
      <c r="Z64" s="1627" t="e">
        <f>SUM(W63:Z63)</f>
        <v>#VALUE!</v>
      </c>
      <c r="AA64" s="3165"/>
      <c r="AB64" s="3165"/>
      <c r="AC64" s="3167"/>
      <c r="AD64" s="1627" t="e">
        <f>SUM(AA63:AD63)</f>
        <v>#VALUE!</v>
      </c>
      <c r="AE64" s="3165"/>
      <c r="AF64" s="3165"/>
      <c r="AG64" s="3167"/>
      <c r="AH64" s="1627" t="e">
        <f>SUM(AE63:AH63)</f>
        <v>#VALUE!</v>
      </c>
      <c r="AI64" s="3165"/>
      <c r="AJ64" s="3165"/>
      <c r="AK64" s="3167"/>
      <c r="AL64" s="1627" t="e">
        <f>SUM(AI63:AL63)</f>
        <v>#VALUE!</v>
      </c>
      <c r="AM64" s="3165"/>
      <c r="AN64" s="3165"/>
      <c r="AO64" s="3167"/>
      <c r="AP64" s="1627" t="e">
        <f>SUM(AM63:AP63)</f>
        <v>#VALUE!</v>
      </c>
      <c r="AQ64" s="3165"/>
      <c r="AR64" s="3165"/>
      <c r="AS64" s="3167"/>
      <c r="AT64" s="1627" t="e">
        <f>SUM(AQ63:AT63)</f>
        <v>#VALUE!</v>
      </c>
      <c r="AU64" s="3165"/>
      <c r="AV64" s="3165"/>
      <c r="AW64" s="3167"/>
      <c r="AX64" s="1627" t="e">
        <f>SUM(AU63:AX63)</f>
        <v>#VALUE!</v>
      </c>
      <c r="AY64" s="3165"/>
      <c r="AZ64" s="3165"/>
      <c r="BA64" s="3167"/>
      <c r="BB64" s="1627" t="e">
        <f>SUM(AY63:BB63)</f>
        <v>#VALUE!</v>
      </c>
      <c r="BC64" s="3165"/>
      <c r="BD64" s="3165"/>
      <c r="BE64" s="3167"/>
      <c r="BF64" s="1627" t="e">
        <f>SUM(BC63:BF63)</f>
        <v>#VALUE!</v>
      </c>
      <c r="BG64" s="3165"/>
      <c r="BH64" s="3165"/>
      <c r="BI64" s="3167"/>
      <c r="BJ64" s="1627" t="e">
        <f>SUM(BG63:BJ63)</f>
        <v>#VALUE!</v>
      </c>
      <c r="BK64" s="3165"/>
      <c r="BL64" s="3165"/>
      <c r="BM64" s="3167"/>
      <c r="BN64" s="1627" t="e">
        <f>SUM(BK63:BN63)</f>
        <v>#VALUE!</v>
      </c>
      <c r="BO64" s="3165"/>
      <c r="BP64" s="3165"/>
      <c r="BQ64" s="3167"/>
      <c r="BR64" s="1627" t="e">
        <f>SUM(BO63:BR63)</f>
        <v>#VALUE!</v>
      </c>
      <c r="BS64" s="3165"/>
      <c r="BT64" s="3165"/>
      <c r="BU64" s="3167"/>
      <c r="BV64" s="1627" t="e">
        <f>SUM(BS63:BV63)</f>
        <v>#VALUE!</v>
      </c>
      <c r="BW64" s="3165"/>
      <c r="BX64" s="3165"/>
      <c r="BY64" s="3167"/>
      <c r="BZ64" s="1627" t="e">
        <f>SUM(BW63:BZ63)</f>
        <v>#VALUE!</v>
      </c>
      <c r="CA64" s="3165"/>
      <c r="CB64" s="3165"/>
      <c r="CC64" s="3167"/>
      <c r="CD64" s="1627" t="e">
        <f>SUM(CA63:CD63)</f>
        <v>#VALUE!</v>
      </c>
      <c r="CE64" s="3165"/>
      <c r="CF64" s="3165"/>
      <c r="CG64" s="3167"/>
      <c r="CH64" s="1627" t="e">
        <f>SUM(CE63:CH63)</f>
        <v>#VALUE!</v>
      </c>
      <c r="CI64" s="3165"/>
      <c r="CJ64" s="3165"/>
      <c r="CK64" s="3167"/>
      <c r="CL64" s="1627" t="e">
        <f>SUM(CI63:CL63)</f>
        <v>#VALUE!</v>
      </c>
      <c r="CM64" s="3165"/>
      <c r="CN64" s="3165"/>
      <c r="CO64" s="3167"/>
      <c r="CP64" s="1627" t="e">
        <f>SUM(CM63:CP63)</f>
        <v>#VALUE!</v>
      </c>
      <c r="CQ64" s="3165"/>
      <c r="CR64" s="3165"/>
      <c r="CS64" s="3167"/>
      <c r="CT64" s="1627" t="e">
        <f>SUM(CQ63:CT63)</f>
        <v>#VALUE!</v>
      </c>
      <c r="CU64" s="3165"/>
      <c r="CV64" s="3165"/>
      <c r="CW64" s="3167"/>
      <c r="CX64" s="1627" t="e">
        <f>SUM(CU63:CX63)</f>
        <v>#VALUE!</v>
      </c>
      <c r="CY64" s="3165"/>
      <c r="CZ64" s="3165"/>
      <c r="DA64" s="3167"/>
      <c r="DB64" s="1627" t="e">
        <f>SUM(CY63:DB63)</f>
        <v>#VALUE!</v>
      </c>
      <c r="DC64" s="3165"/>
      <c r="DD64" s="3165"/>
      <c r="DE64" s="3167"/>
      <c r="DF64" s="1627" t="e">
        <f>SUM(DC63:DF63)</f>
        <v>#VALUE!</v>
      </c>
    </row>
    <row r="65" spans="1:110" s="736" customFormat="1" ht="12.75" hidden="1" customHeight="1">
      <c r="A65" s="701"/>
      <c r="C65" s="3172"/>
      <c r="D65" s="716"/>
      <c r="E65" s="717" t="s">
        <v>136</v>
      </c>
      <c r="F65" s="1969"/>
      <c r="G65" s="3165"/>
      <c r="H65" s="3168" t="s">
        <v>1694</v>
      </c>
      <c r="I65" s="3165" t="e">
        <f ca="1">+J65/J64*100</f>
        <v>#VALUE!</v>
      </c>
      <c r="J65" s="1627">
        <f ca="1">OFFSET('VVP2'!$G$23,0,(COLUMN()-10)/4)</f>
        <v>212.83043451</v>
      </c>
      <c r="K65" s="3165"/>
      <c r="L65" s="3168" t="s">
        <v>1694</v>
      </c>
      <c r="M65" s="3165" t="e">
        <f ca="1">+N65/N64*100</f>
        <v>#VALUE!</v>
      </c>
      <c r="N65" s="1627">
        <f ca="1">OFFSET('VVP2'!$G$23,0,(COLUMN()-10)/4)</f>
        <v>213.90310239999999</v>
      </c>
      <c r="O65" s="3165"/>
      <c r="P65" s="3168" t="s">
        <v>1694</v>
      </c>
      <c r="Q65" s="3165" t="e">
        <f ca="1">+R65/R64*100</f>
        <v>#VALUE!</v>
      </c>
      <c r="R65" s="1627">
        <f ca="1">OFFSET('VVP2'!$G$23,0,(COLUMN()-10)/4)</f>
        <v>201.94287729999999</v>
      </c>
      <c r="S65" s="3165"/>
      <c r="T65" s="3168" t="s">
        <v>1694</v>
      </c>
      <c r="U65" s="3165" t="e">
        <f ca="1">+V65/V64*100</f>
        <v>#VALUE!</v>
      </c>
      <c r="V65" s="1627">
        <f ca="1">OFFSET('VVP2'!$G$23,0,(COLUMN()-10)/4)</f>
        <v>209.98296108</v>
      </c>
      <c r="W65" s="3165"/>
      <c r="X65" s="3168" t="s">
        <v>1694</v>
      </c>
      <c r="Y65" s="3165" t="e">
        <f ca="1">+Z65/Z64*100</f>
        <v>#VALUE!</v>
      </c>
      <c r="Z65" s="1627">
        <f ca="1">OFFSET('VVP2'!$G$23,0,(COLUMN()-10)/4)</f>
        <v>214.76936149000002</v>
      </c>
      <c r="AA65" s="3165"/>
      <c r="AB65" s="3168" t="s">
        <v>1694</v>
      </c>
      <c r="AC65" s="3165" t="e">
        <f ca="1">+AD65/AD64*100</f>
        <v>#VALUE!</v>
      </c>
      <c r="AD65" s="1627">
        <f ca="1">OFFSET('VVP2'!$G$23,0,(COLUMN()-10)/4)</f>
        <v>230.20001672000001</v>
      </c>
      <c r="AE65" s="3165"/>
      <c r="AF65" s="3168" t="s">
        <v>1694</v>
      </c>
      <c r="AG65" s="3165" t="e">
        <f ca="1">+AH65/AH64*100</f>
        <v>#VALUE!</v>
      </c>
      <c r="AH65" s="1627">
        <f ca="1">OFFSET('VVP2'!$G$23,0,(COLUMN()-10)/4)</f>
        <v>246.29593463</v>
      </c>
      <c r="AI65" s="3165"/>
      <c r="AJ65" s="3168" t="s">
        <v>1694</v>
      </c>
      <c r="AK65" s="3165" t="e">
        <f ca="1">+AL65/AL64*100</f>
        <v>#VALUE!</v>
      </c>
      <c r="AL65" s="1627">
        <f ca="1">OFFSET('VVP2'!$G$23,0,(COLUMN()-10)/4)</f>
        <v>258.05419162999999</v>
      </c>
      <c r="AM65" s="3165"/>
      <c r="AN65" s="3168" t="s">
        <v>1694</v>
      </c>
      <c r="AO65" s="3165" t="e">
        <f ca="1">+AP65/AP64*100</f>
        <v>#VALUE!</v>
      </c>
      <c r="AP65" s="1627">
        <f ca="1">OFFSET('VVP2'!$G$23,0,(COLUMN()-10)/4)</f>
        <v>261.56026014000003</v>
      </c>
      <c r="AQ65" s="3165"/>
      <c r="AR65" s="3168" t="s">
        <v>1694</v>
      </c>
      <c r="AS65" s="3165" t="e">
        <f ca="1">+AT65/AT64*100</f>
        <v>#VALUE!</v>
      </c>
      <c r="AT65" s="1627">
        <f ca="1">OFFSET('VVP2'!$G$23,0,(COLUMN()-10)/4)</f>
        <v>283.27669863</v>
      </c>
      <c r="AU65" s="3165"/>
      <c r="AV65" s="3168" t="s">
        <v>1694</v>
      </c>
      <c r="AW65" s="3165" t="e">
        <f ca="1">+AX65/AX64*100</f>
        <v>#VALUE!</v>
      </c>
      <c r="AX65" s="1627">
        <f ca="1">OFFSET('VVP2'!$G$23,0,(COLUMN()-10)/4)</f>
        <v>289.99240527000001</v>
      </c>
      <c r="AY65" s="3165"/>
      <c r="AZ65" s="3168" t="s">
        <v>1694</v>
      </c>
      <c r="BA65" s="3165" t="e">
        <f ca="1">+BB65/BB64*100</f>
        <v>#VALUE!</v>
      </c>
      <c r="BB65" s="1627">
        <f ca="1">OFFSET('VVP2'!$G$23,0,(COLUMN()-10)/4)</f>
        <v>331.81883576000001</v>
      </c>
      <c r="BC65" s="3165"/>
      <c r="BD65" s="3168" t="s">
        <v>1694</v>
      </c>
      <c r="BE65" s="3165" t="e">
        <f ca="1">+BF65/BF64*100</f>
        <v>#VALUE!</v>
      </c>
      <c r="BF65" s="1627">
        <f ca="1">OFFSET('VVP2'!$G$23,0,(COLUMN()-10)/4)</f>
        <v>356.02889659000004</v>
      </c>
      <c r="BG65" s="3165"/>
      <c r="BH65" s="3168" t="s">
        <v>1694</v>
      </c>
      <c r="BI65" s="3165" t="e">
        <f ca="1">+BJ65/BJ64*100</f>
        <v>#VALUE!</v>
      </c>
      <c r="BJ65" s="1627">
        <f ca="1">OFFSET('VVP2'!$G$23,0,(COLUMN()-10)/4)</f>
        <v>345.76536952000004</v>
      </c>
      <c r="BK65" s="3165"/>
      <c r="BL65" s="3168" t="s">
        <v>1694</v>
      </c>
      <c r="BM65" s="3165" t="e">
        <f ca="1">+BN65/BN64*100</f>
        <v>#VALUE!</v>
      </c>
      <c r="BN65" s="1627">
        <f ca="1">OFFSET('VVP2'!$G$23,0,(COLUMN()-10)/4)</f>
        <v>301.52672086000001</v>
      </c>
      <c r="BO65" s="3165"/>
      <c r="BP65" s="3168" t="s">
        <v>1694</v>
      </c>
      <c r="BQ65" s="3165" t="e">
        <f ca="1">+BR65/BR64*100</f>
        <v>#VALUE!</v>
      </c>
      <c r="BR65" s="1627">
        <f ca="1">OFFSET('VVP2'!$G$23,0,(COLUMN()-10)/4)</f>
        <v>312.12099999999998</v>
      </c>
      <c r="BS65" s="3165"/>
      <c r="BT65" s="3168" t="s">
        <v>1694</v>
      </c>
      <c r="BU65" s="3165" t="e">
        <f ca="1">+BV65/BV64*100</f>
        <v>#VALUE!</v>
      </c>
      <c r="BV65" s="1627">
        <f ca="1">OFFSET('VVP2'!$G$23,0,(COLUMN()-10)/4)</f>
        <v>315.56440000000003</v>
      </c>
      <c r="BW65" s="3165"/>
      <c r="BX65" s="3168" t="s">
        <v>1694</v>
      </c>
      <c r="BY65" s="3165" t="e">
        <f ca="1">+BZ65/BZ64*100</f>
        <v>#VALUE!</v>
      </c>
      <c r="BZ65" s="1627">
        <f ca="1">OFFSET('VVP2'!$G$23,0,(COLUMN()-10)/4)</f>
        <v>314.68912524000001</v>
      </c>
      <c r="CA65" s="3165"/>
      <c r="CB65" s="3168" t="s">
        <v>1694</v>
      </c>
      <c r="CC65" s="3165" t="e">
        <f ca="1">+CD65/CD64*100</f>
        <v>#VALUE!</v>
      </c>
      <c r="CD65" s="1627">
        <f ca="1">OFFSET('VVP2'!$G$23,0,(COLUMN()-10)/4)</f>
        <v>310.57010473000003</v>
      </c>
      <c r="CE65" s="3165"/>
      <c r="CF65" s="3168" t="s">
        <v>1694</v>
      </c>
      <c r="CG65" s="3165" t="e">
        <f ca="1">+CH65/CH64*100</f>
        <v>#VALUE!</v>
      </c>
      <c r="CH65" s="1627">
        <f ca="1">OFFSET('VVP2'!$G$23,0,(COLUMN()-10)/4)</f>
        <v>339.89164674</v>
      </c>
      <c r="CI65" s="3165"/>
      <c r="CJ65" s="3168" t="s">
        <v>1694</v>
      </c>
      <c r="CK65" s="3165" t="e">
        <f ca="1">+CL65/CL64*100</f>
        <v>#VALUE!</v>
      </c>
      <c r="CL65" s="1627">
        <f ca="1">OFFSET('VVP2'!$G$23,0,(COLUMN()-10)/4)</f>
        <v>368.99557633000001</v>
      </c>
      <c r="CM65" s="3165"/>
      <c r="CN65" s="3168" t="s">
        <v>1694</v>
      </c>
      <c r="CO65" s="3165" t="e">
        <f ca="1">+CP65/CP64*100</f>
        <v>#VALUE!</v>
      </c>
      <c r="CP65" s="1627">
        <f ca="1">OFFSET('VVP2'!$G$23,0,(COLUMN()-10)/4)</f>
        <v>397.23322917000002</v>
      </c>
      <c r="CQ65" s="3165"/>
      <c r="CR65" s="3168" t="s">
        <v>1694</v>
      </c>
      <c r="CS65" s="3165" t="e">
        <f ca="1">+CT65/CT64*100</f>
        <v>#VALUE!</v>
      </c>
      <c r="CT65" s="1627">
        <f ca="1">OFFSET('VVP2'!$G$23,0,(COLUMN()-10)/4)</f>
        <v>429.36710262000003</v>
      </c>
      <c r="CU65" s="3165"/>
      <c r="CV65" s="3168" t="s">
        <v>1694</v>
      </c>
      <c r="CW65" s="3165" t="e">
        <f ca="1">+CX65/CX64*100</f>
        <v>#VALUE!</v>
      </c>
      <c r="CX65" s="1627">
        <f ca="1">OFFSET('VVP2'!$G$23,0,(COLUMN()-10)/4)</f>
        <v>440.58992755685665</v>
      </c>
      <c r="CY65" s="3165"/>
      <c r="CZ65" s="3168" t="s">
        <v>1694</v>
      </c>
      <c r="DA65" s="3165" t="e">
        <f ca="1">+DB65/DB64*100</f>
        <v>#VALUE!</v>
      </c>
      <c r="DB65" s="1627">
        <f ca="1">OFFSET('VVP2'!$G$23,0,(COLUMN()-10)/4)</f>
        <v>437.6557944034621</v>
      </c>
      <c r="DC65" s="3165"/>
      <c r="DD65" s="3168" t="s">
        <v>1694</v>
      </c>
      <c r="DE65" s="3165" t="e">
        <f ca="1">+DF65/DF64*100</f>
        <v>#VALUE!</v>
      </c>
      <c r="DF65" s="1627">
        <f ca="1">OFFSET('VVP2'!$G$23,0,(COLUMN()-10)/4)</f>
        <v>441.02233109169731</v>
      </c>
    </row>
    <row r="66" spans="1:110" s="736" customFormat="1" ht="12.75" hidden="1" customHeight="1">
      <c r="A66" s="701" t="str">
        <f>"Q" &amp; ROW(InputQ!A64)</f>
        <v>Q64</v>
      </c>
      <c r="C66" s="3172" t="s">
        <v>1791</v>
      </c>
      <c r="D66" s="711"/>
      <c r="E66" s="820" t="s">
        <v>1422</v>
      </c>
      <c r="F66" s="741"/>
      <c r="G66" s="743" t="e">
        <f>InputQ!G64/1000</f>
        <v>#VALUE!</v>
      </c>
      <c r="H66" s="743" t="e">
        <f>InputQ!H64/1000</f>
        <v>#VALUE!</v>
      </c>
      <c r="I66" s="743" t="e">
        <f>InputQ!I64/1000</f>
        <v>#VALUE!</v>
      </c>
      <c r="J66" s="743" t="e">
        <f>InputQ!J64/1000</f>
        <v>#VALUE!</v>
      </c>
      <c r="K66" s="743" t="e">
        <f>InputQ!K64/1000</f>
        <v>#VALUE!</v>
      </c>
      <c r="L66" s="743" t="e">
        <f>InputQ!L64/1000</f>
        <v>#VALUE!</v>
      </c>
      <c r="M66" s="743" t="e">
        <f>InputQ!M64/1000</f>
        <v>#VALUE!</v>
      </c>
      <c r="N66" s="743" t="e">
        <f>InputQ!N64/1000</f>
        <v>#VALUE!</v>
      </c>
      <c r="O66" s="743" t="e">
        <f>InputQ!O64/1000</f>
        <v>#VALUE!</v>
      </c>
      <c r="P66" s="743" t="e">
        <f>InputQ!P64/1000</f>
        <v>#VALUE!</v>
      </c>
      <c r="Q66" s="743" t="e">
        <f>InputQ!Q64/1000</f>
        <v>#VALUE!</v>
      </c>
      <c r="R66" s="743" t="e">
        <f>InputQ!R64/1000</f>
        <v>#VALUE!</v>
      </c>
      <c r="S66" s="743" t="e">
        <f>InputQ!S64/1000</f>
        <v>#VALUE!</v>
      </c>
      <c r="T66" s="743" t="e">
        <f>InputQ!T64/1000</f>
        <v>#VALUE!</v>
      </c>
      <c r="U66" s="743" t="e">
        <f>InputQ!U64/1000</f>
        <v>#VALUE!</v>
      </c>
      <c r="V66" s="743" t="e">
        <f>InputQ!V64/1000</f>
        <v>#VALUE!</v>
      </c>
      <c r="W66" s="743" t="e">
        <f>InputQ!W64/1000</f>
        <v>#VALUE!</v>
      </c>
      <c r="X66" s="743" t="e">
        <f>InputQ!X64/1000</f>
        <v>#VALUE!</v>
      </c>
      <c r="Y66" s="743" t="e">
        <f>InputQ!Y64/1000</f>
        <v>#VALUE!</v>
      </c>
      <c r="Z66" s="743" t="e">
        <f>InputQ!Z64/1000</f>
        <v>#VALUE!</v>
      </c>
      <c r="AA66" s="743" t="e">
        <f>InputQ!AA64/1000</f>
        <v>#VALUE!</v>
      </c>
      <c r="AB66" s="743" t="e">
        <f>InputQ!AB64/1000</f>
        <v>#VALUE!</v>
      </c>
      <c r="AC66" s="743" t="e">
        <f>InputQ!AC64/1000</f>
        <v>#VALUE!</v>
      </c>
      <c r="AD66" s="743" t="e">
        <f>InputQ!AD64/1000</f>
        <v>#VALUE!</v>
      </c>
      <c r="AE66" s="743" t="e">
        <f>InputQ!AE64/1000</f>
        <v>#VALUE!</v>
      </c>
      <c r="AF66" s="743" t="e">
        <f>InputQ!AF64/1000</f>
        <v>#VALUE!</v>
      </c>
      <c r="AG66" s="743" t="e">
        <f>InputQ!AG64/1000</f>
        <v>#VALUE!</v>
      </c>
      <c r="AH66" s="743" t="e">
        <f>InputQ!AH64/1000</f>
        <v>#VALUE!</v>
      </c>
      <c r="AI66" s="743" t="e">
        <f>InputQ!AI64/1000</f>
        <v>#VALUE!</v>
      </c>
      <c r="AJ66" s="743" t="e">
        <f>InputQ!AJ64/1000</f>
        <v>#VALUE!</v>
      </c>
      <c r="AK66" s="743" t="e">
        <f>InputQ!AK64/1000</f>
        <v>#VALUE!</v>
      </c>
      <c r="AL66" s="743" t="e">
        <f>InputQ!AL64/1000</f>
        <v>#VALUE!</v>
      </c>
      <c r="AM66" s="743" t="e">
        <f>InputQ!AM64/1000</f>
        <v>#VALUE!</v>
      </c>
      <c r="AN66" s="743" t="e">
        <f>InputQ!AN64/1000</f>
        <v>#VALUE!</v>
      </c>
      <c r="AO66" s="743" t="e">
        <f>InputQ!AO64/1000</f>
        <v>#VALUE!</v>
      </c>
      <c r="AP66" s="743" t="e">
        <f>InputQ!AP64/1000</f>
        <v>#VALUE!</v>
      </c>
      <c r="AQ66" s="743" t="e">
        <f>InputQ!AQ64/1000</f>
        <v>#VALUE!</v>
      </c>
      <c r="AR66" s="743" t="e">
        <f>InputQ!AR64/1000</f>
        <v>#VALUE!</v>
      </c>
      <c r="AS66" s="743" t="e">
        <f>InputQ!AS64/1000</f>
        <v>#VALUE!</v>
      </c>
      <c r="AT66" s="743" t="e">
        <f>InputQ!AT64/1000</f>
        <v>#VALUE!</v>
      </c>
      <c r="AU66" s="743" t="e">
        <f>InputQ!AU64/1000</f>
        <v>#VALUE!</v>
      </c>
      <c r="AV66" s="743" t="e">
        <f>InputQ!AV64/1000</f>
        <v>#VALUE!</v>
      </c>
      <c r="AW66" s="743" t="e">
        <f>InputQ!AW64/1000</f>
        <v>#VALUE!</v>
      </c>
      <c r="AX66" s="743" t="e">
        <f>InputQ!AX64/1000</f>
        <v>#VALUE!</v>
      </c>
      <c r="AY66" s="743" t="e">
        <f>InputQ!AY64/1000</f>
        <v>#VALUE!</v>
      </c>
      <c r="AZ66" s="743" t="e">
        <f>InputQ!AZ64/1000</f>
        <v>#VALUE!</v>
      </c>
      <c r="BA66" s="743" t="e">
        <f>InputQ!BA64/1000</f>
        <v>#VALUE!</v>
      </c>
      <c r="BB66" s="743" t="e">
        <f>InputQ!BB64/1000</f>
        <v>#VALUE!</v>
      </c>
      <c r="BC66" s="743" t="e">
        <f>InputQ!BC64/1000</f>
        <v>#VALUE!</v>
      </c>
      <c r="BD66" s="743" t="e">
        <f>InputQ!BD64/1000</f>
        <v>#VALUE!</v>
      </c>
      <c r="BE66" s="743" t="e">
        <f>InputQ!BE64/1000</f>
        <v>#VALUE!</v>
      </c>
      <c r="BF66" s="743" t="e">
        <f>InputQ!BF64/1000</f>
        <v>#VALUE!</v>
      </c>
      <c r="BG66" s="743" t="e">
        <f>InputQ!BG64/1000</f>
        <v>#VALUE!</v>
      </c>
      <c r="BH66" s="743" t="e">
        <f>InputQ!BH64/1000</f>
        <v>#VALUE!</v>
      </c>
      <c r="BI66" s="743" t="e">
        <f>InputQ!BI64/1000</f>
        <v>#VALUE!</v>
      </c>
      <c r="BJ66" s="743" t="e">
        <f>InputQ!BJ64/1000</f>
        <v>#VALUE!</v>
      </c>
      <c r="BK66" s="743" t="e">
        <f>InputQ!BK64/1000</f>
        <v>#VALUE!</v>
      </c>
      <c r="BL66" s="743" t="e">
        <f>InputQ!BL64/1000</f>
        <v>#VALUE!</v>
      </c>
      <c r="BM66" s="743" t="e">
        <f>InputQ!BM64/1000</f>
        <v>#VALUE!</v>
      </c>
      <c r="BN66" s="743" t="e">
        <f>InputQ!BN64/1000</f>
        <v>#VALUE!</v>
      </c>
      <c r="BO66" s="743" t="e">
        <f>InputQ!BO64/1000</f>
        <v>#VALUE!</v>
      </c>
      <c r="BP66" s="743" t="e">
        <f>InputQ!BP64/1000</f>
        <v>#VALUE!</v>
      </c>
      <c r="BQ66" s="743" t="e">
        <f>InputQ!BQ64/1000</f>
        <v>#VALUE!</v>
      </c>
      <c r="BR66" s="743" t="e">
        <f>InputQ!BR64/1000</f>
        <v>#VALUE!</v>
      </c>
      <c r="BS66" s="743" t="e">
        <f>InputQ!BS64/1000</f>
        <v>#VALUE!</v>
      </c>
      <c r="BT66" s="743" t="e">
        <f>InputQ!BT64/1000</f>
        <v>#VALUE!</v>
      </c>
      <c r="BU66" s="743" t="e">
        <f>InputQ!BU64/1000</f>
        <v>#VALUE!</v>
      </c>
      <c r="BV66" s="743" t="e">
        <f>InputQ!BV64/1000</f>
        <v>#VALUE!</v>
      </c>
      <c r="BW66" s="743" t="e">
        <f>InputQ!BW64/1000</f>
        <v>#VALUE!</v>
      </c>
      <c r="BX66" s="743" t="e">
        <f>InputQ!BX64/1000</f>
        <v>#VALUE!</v>
      </c>
      <c r="BY66" s="743" t="e">
        <f>InputQ!BY64/1000</f>
        <v>#VALUE!</v>
      </c>
      <c r="BZ66" s="743" t="e">
        <f>InputQ!BZ64/1000</f>
        <v>#VALUE!</v>
      </c>
      <c r="CA66" s="3166" t="e">
        <f>+BZ66*(1+CA82/100)</f>
        <v>#VALUE!</v>
      </c>
      <c r="CB66" s="3166" t="e">
        <f>+CA66*(1+CB82/100)</f>
        <v>#VALUE!</v>
      </c>
      <c r="CC66" s="743" t="e">
        <f>InputQ!CC64/1000</f>
        <v>#VALUE!</v>
      </c>
      <c r="CD66" s="743" t="e">
        <f>InputQ!CD64/1000</f>
        <v>#VALUE!</v>
      </c>
      <c r="CE66" s="3166" t="e">
        <f>+CD66*(1+CE82/100)</f>
        <v>#VALUE!</v>
      </c>
      <c r="CF66" s="3166" t="e">
        <f>+CE66*(1+CF82/100)</f>
        <v>#VALUE!</v>
      </c>
      <c r="CG66" s="3166" t="e">
        <f t="shared" ref="CG66:CL66" si="248">+CF66*(1+CG82/100)</f>
        <v>#VALUE!</v>
      </c>
      <c r="CH66" s="743" t="e">
        <f>InputQ!CH64/1000</f>
        <v>#VALUE!</v>
      </c>
      <c r="CI66" s="3166" t="e">
        <f>+CH66*(1+CI82/100)</f>
        <v>#VALUE!</v>
      </c>
      <c r="CJ66" s="3166" t="e">
        <f>+CI66*(1+CJ82/100)</f>
        <v>#VALUE!</v>
      </c>
      <c r="CK66" s="3166" t="e">
        <f t="shared" si="248"/>
        <v>#VALUE!</v>
      </c>
      <c r="CL66" s="3166" t="e">
        <f t="shared" si="248"/>
        <v>#VALUE!</v>
      </c>
      <c r="CM66" s="3166" t="e">
        <f t="shared" ref="CM66:CV66" si="249">+CL66*(1+CM82/100)</f>
        <v>#VALUE!</v>
      </c>
      <c r="CN66" s="3166" t="e">
        <f t="shared" si="249"/>
        <v>#VALUE!</v>
      </c>
      <c r="CO66" s="3166" t="e">
        <f t="shared" si="249"/>
        <v>#VALUE!</v>
      </c>
      <c r="CP66" s="3166" t="e">
        <f t="shared" si="249"/>
        <v>#VALUE!</v>
      </c>
      <c r="CQ66" s="3166" t="e">
        <f t="shared" si="249"/>
        <v>#VALUE!</v>
      </c>
      <c r="CR66" s="3166" t="e">
        <f t="shared" si="249"/>
        <v>#VALUE!</v>
      </c>
      <c r="CS66" s="3166" t="e">
        <f t="shared" si="249"/>
        <v>#VALUE!</v>
      </c>
      <c r="CT66" s="3166" t="e">
        <f t="shared" si="249"/>
        <v>#VALUE!</v>
      </c>
      <c r="CU66" s="3166" t="e">
        <f t="shared" ref="CU66" si="250">+CT66*(1+CU82/100)</f>
        <v>#VALUE!</v>
      </c>
      <c r="CV66" s="3166" t="e">
        <f t="shared" si="249"/>
        <v>#VALUE!</v>
      </c>
      <c r="CW66" s="3166" t="e">
        <f t="shared" ref="CW66" si="251">+CV66*(1+CW82/100)</f>
        <v>#VALUE!</v>
      </c>
      <c r="CX66" s="3166" t="e">
        <f t="shared" ref="CX66" si="252">+CW66*(1+CX82/100)</f>
        <v>#VALUE!</v>
      </c>
      <c r="CY66" s="3166" t="e">
        <f t="shared" ref="CY66" si="253">+CX66*(1+CY82/100)</f>
        <v>#VALUE!</v>
      </c>
      <c r="CZ66" s="3166" t="e">
        <f t="shared" ref="CZ66" si="254">+CY66*(1+CZ82/100)</f>
        <v>#VALUE!</v>
      </c>
      <c r="DA66" s="3166" t="e">
        <f t="shared" ref="DA66" si="255">+CZ66*(1+DA82/100)</f>
        <v>#VALUE!</v>
      </c>
      <c r="DB66" s="3166" t="e">
        <f t="shared" ref="DB66" si="256">+DA66*(1+DB82/100)</f>
        <v>#VALUE!</v>
      </c>
      <c r="DC66" s="3166" t="e">
        <f t="shared" ref="DC66" si="257">+DB66*(1+DC82/100)</f>
        <v>#VALUE!</v>
      </c>
      <c r="DD66" s="3166" t="e">
        <f t="shared" ref="DD66" si="258">+DC66*(1+DD82/100)</f>
        <v>#VALUE!</v>
      </c>
      <c r="DE66" s="3166" t="e">
        <f t="shared" ref="DE66" si="259">+DD66*(1+DE82/100)</f>
        <v>#VALUE!</v>
      </c>
      <c r="DF66" s="3166" t="e">
        <f t="shared" ref="DF66" si="260">+DE66*(1+DF82/100)</f>
        <v>#VALUE!</v>
      </c>
    </row>
    <row r="67" spans="1:110" s="736" customFormat="1" ht="12.75" hidden="1" customHeight="1">
      <c r="A67" s="701"/>
      <c r="C67" s="3172"/>
      <c r="D67" s="716"/>
      <c r="E67" s="717" t="s">
        <v>353</v>
      </c>
      <c r="F67" s="1969"/>
      <c r="G67" s="3165"/>
      <c r="H67" s="3165"/>
      <c r="I67" s="3167"/>
      <c r="J67" s="1627" t="e">
        <f>SUM(G66:J66)</f>
        <v>#VALUE!</v>
      </c>
      <c r="K67" s="3165"/>
      <c r="L67" s="3165"/>
      <c r="M67" s="3167"/>
      <c r="N67" s="1627" t="e">
        <f>SUM(K66:N66)</f>
        <v>#VALUE!</v>
      </c>
      <c r="O67" s="3165"/>
      <c r="P67" s="3165"/>
      <c r="Q67" s="3167"/>
      <c r="R67" s="1627" t="e">
        <f>SUM(O66:R66)</f>
        <v>#VALUE!</v>
      </c>
      <c r="S67" s="3165"/>
      <c r="T67" s="3165"/>
      <c r="U67" s="3167"/>
      <c r="V67" s="1627" t="e">
        <f>SUM(S66:V66)</f>
        <v>#VALUE!</v>
      </c>
      <c r="W67" s="3165"/>
      <c r="X67" s="3165"/>
      <c r="Y67" s="3167"/>
      <c r="Z67" s="1627" t="e">
        <f>SUM(W66:Z66)</f>
        <v>#VALUE!</v>
      </c>
      <c r="AA67" s="3165"/>
      <c r="AB67" s="3165"/>
      <c r="AC67" s="3167"/>
      <c r="AD67" s="1627" t="e">
        <f>SUM(AA66:AD66)</f>
        <v>#VALUE!</v>
      </c>
      <c r="AE67" s="3165"/>
      <c r="AF67" s="3165"/>
      <c r="AG67" s="3167"/>
      <c r="AH67" s="1627" t="e">
        <f>SUM(AE66:AH66)</f>
        <v>#VALUE!</v>
      </c>
      <c r="AI67" s="3165"/>
      <c r="AJ67" s="3165"/>
      <c r="AK67" s="3167"/>
      <c r="AL67" s="1627" t="e">
        <f>SUM(AI66:AL66)</f>
        <v>#VALUE!</v>
      </c>
      <c r="AM67" s="3165"/>
      <c r="AN67" s="3165"/>
      <c r="AO67" s="3167"/>
      <c r="AP67" s="1627" t="e">
        <f>SUM(AM66:AP66)</f>
        <v>#VALUE!</v>
      </c>
      <c r="AQ67" s="3165"/>
      <c r="AR67" s="3165"/>
      <c r="AS67" s="3167"/>
      <c r="AT67" s="1627" t="e">
        <f>SUM(AQ66:AT66)</f>
        <v>#VALUE!</v>
      </c>
      <c r="AU67" s="3165"/>
      <c r="AV67" s="3165"/>
      <c r="AW67" s="3167"/>
      <c r="AX67" s="1627" t="e">
        <f>SUM(AU66:AX66)</f>
        <v>#VALUE!</v>
      </c>
      <c r="AY67" s="3165"/>
      <c r="AZ67" s="3165"/>
      <c r="BA67" s="3167"/>
      <c r="BB67" s="1627" t="e">
        <f>SUM(AY66:BB66)</f>
        <v>#VALUE!</v>
      </c>
      <c r="BC67" s="3165"/>
      <c r="BD67" s="3165"/>
      <c r="BE67" s="3167"/>
      <c r="BF67" s="1627" t="e">
        <f>SUM(BC66:BF66)</f>
        <v>#VALUE!</v>
      </c>
      <c r="BG67" s="3165"/>
      <c r="BH67" s="3165"/>
      <c r="BI67" s="3167"/>
      <c r="BJ67" s="1627" t="e">
        <f>SUM(BG66:BJ66)</f>
        <v>#VALUE!</v>
      </c>
      <c r="BK67" s="3165"/>
      <c r="BL67" s="3165"/>
      <c r="BM67" s="3167"/>
      <c r="BN67" s="1627" t="e">
        <f>SUM(BK66:BN66)</f>
        <v>#VALUE!</v>
      </c>
      <c r="BO67" s="3165"/>
      <c r="BP67" s="3165"/>
      <c r="BQ67" s="3167"/>
      <c r="BR67" s="1627" t="e">
        <f>SUM(BO66:BR66)</f>
        <v>#VALUE!</v>
      </c>
      <c r="BS67" s="3165"/>
      <c r="BT67" s="3165"/>
      <c r="BU67" s="3167"/>
      <c r="BV67" s="1627" t="e">
        <f>SUM(BS66:BV66)</f>
        <v>#VALUE!</v>
      </c>
      <c r="BW67" s="3165"/>
      <c r="BX67" s="3165"/>
      <c r="BY67" s="3167"/>
      <c r="BZ67" s="1627" t="e">
        <f>SUM(BW66:BZ66)</f>
        <v>#VALUE!</v>
      </c>
      <c r="CA67" s="3165"/>
      <c r="CB67" s="3165"/>
      <c r="CC67" s="3167"/>
      <c r="CD67" s="1627" t="e">
        <f>SUM(CA66:CD66)</f>
        <v>#VALUE!</v>
      </c>
      <c r="CE67" s="3165"/>
      <c r="CF67" s="3165"/>
      <c r="CG67" s="3167"/>
      <c r="CH67" s="1627" t="e">
        <f>SUM(CE66:CH66)</f>
        <v>#VALUE!</v>
      </c>
      <c r="CI67" s="3165"/>
      <c r="CJ67" s="3165"/>
      <c r="CK67" s="3167"/>
      <c r="CL67" s="1627" t="e">
        <f>SUM(CI66:CL66)</f>
        <v>#VALUE!</v>
      </c>
      <c r="CM67" s="3165"/>
      <c r="CN67" s="3165"/>
      <c r="CO67" s="3167"/>
      <c r="CP67" s="1627" t="e">
        <f>SUM(CM66:CP66)</f>
        <v>#VALUE!</v>
      </c>
      <c r="CQ67" s="3165"/>
      <c r="CR67" s="3165"/>
      <c r="CS67" s="3167"/>
      <c r="CT67" s="1627" t="e">
        <f>SUM(CQ66:CT66)</f>
        <v>#VALUE!</v>
      </c>
      <c r="CU67" s="3165"/>
      <c r="CV67" s="3165"/>
      <c r="CW67" s="3167"/>
      <c r="CX67" s="1627" t="e">
        <f>SUM(CU66:CX66)</f>
        <v>#VALUE!</v>
      </c>
      <c r="CY67" s="3165"/>
      <c r="CZ67" s="3165"/>
      <c r="DA67" s="3167"/>
      <c r="DB67" s="1627" t="e">
        <f>SUM(CY66:DB66)</f>
        <v>#VALUE!</v>
      </c>
      <c r="DC67" s="3165"/>
      <c r="DD67" s="3165"/>
      <c r="DE67" s="3167"/>
      <c r="DF67" s="1627" t="e">
        <f>SUM(DC66:DF66)</f>
        <v>#VALUE!</v>
      </c>
    </row>
    <row r="68" spans="1:110" s="736" customFormat="1" ht="12.75" hidden="1" customHeight="1">
      <c r="A68" s="701"/>
      <c r="C68" s="3172"/>
      <c r="D68" s="716"/>
      <c r="E68" s="717" t="s">
        <v>136</v>
      </c>
      <c r="F68" s="1969"/>
      <c r="G68" s="3165"/>
      <c r="H68" s="3168" t="s">
        <v>1694</v>
      </c>
      <c r="I68" s="3165" t="e">
        <f ca="1">+J68/J67*100</f>
        <v>#VALUE!</v>
      </c>
      <c r="J68" s="1627">
        <f ca="1">OFFSET('VVP2'!$G$28,0,(COLUMN()-10)/4)</f>
        <v>145.88268651999999</v>
      </c>
      <c r="K68" s="3165"/>
      <c r="L68" s="3168" t="s">
        <v>1694</v>
      </c>
      <c r="M68" s="3165" t="e">
        <f ca="1">+N68/N67*100</f>
        <v>#VALUE!</v>
      </c>
      <c r="N68" s="1627">
        <f ca="1">OFFSET('VVP2'!$G$28,0,(COLUMN()-10)/4)</f>
        <v>145.75095960000002</v>
      </c>
      <c r="O68" s="3165"/>
      <c r="P68" s="3168" t="s">
        <v>1694</v>
      </c>
      <c r="Q68" s="3165" t="e">
        <f ca="1">+R68/R67*100</f>
        <v>#VALUE!</v>
      </c>
      <c r="R68" s="1627">
        <f ca="1">OFFSET('VVP2'!$G$28,0,(COLUMN()-10)/4)</f>
        <v>155.45867133000002</v>
      </c>
      <c r="S68" s="3165"/>
      <c r="T68" s="3168" t="s">
        <v>1694</v>
      </c>
      <c r="U68" s="3165" t="e">
        <f ca="1">+V68/V67*100</f>
        <v>#VALUE!</v>
      </c>
      <c r="V68" s="1627">
        <f ca="1">OFFSET('VVP2'!$G$28,0,(COLUMN()-10)/4)</f>
        <v>169.66187065999998</v>
      </c>
      <c r="W68" s="3165"/>
      <c r="X68" s="3168" t="s">
        <v>1694</v>
      </c>
      <c r="Y68" s="3165" t="e">
        <f ca="1">+Z68/Z67*100</f>
        <v>#VALUE!</v>
      </c>
      <c r="Z68" s="1627">
        <f ca="1">OFFSET('VVP2'!$G$28,0,(COLUMN()-10)/4)</f>
        <v>177.12902898999999</v>
      </c>
      <c r="AA68" s="3165"/>
      <c r="AB68" s="3168" t="s">
        <v>1694</v>
      </c>
      <c r="AC68" s="3165" t="e">
        <f ca="1">+AD68/AD67*100</f>
        <v>#VALUE!</v>
      </c>
      <c r="AD68" s="1627">
        <f ca="1">OFFSET('VVP2'!$G$28,0,(COLUMN()-10)/4)</f>
        <v>198.63225675000001</v>
      </c>
      <c r="AE68" s="3165"/>
      <c r="AF68" s="3168" t="s">
        <v>1694</v>
      </c>
      <c r="AG68" s="3165" t="e">
        <f ca="1">+AH68/AH67*100</f>
        <v>#VALUE!</v>
      </c>
      <c r="AH68" s="1627">
        <f ca="1">OFFSET('VVP2'!$G$28,0,(COLUMN()-10)/4)</f>
        <v>203.62674308999999</v>
      </c>
      <c r="AI68" s="3165"/>
      <c r="AJ68" s="3168" t="s">
        <v>1694</v>
      </c>
      <c r="AK68" s="3165" t="e">
        <f ca="1">+AL68/AL67*100</f>
        <v>#VALUE!</v>
      </c>
      <c r="AL68" s="1627">
        <f ca="1">OFFSET('VVP2'!$G$28,0,(COLUMN()-10)/4)</f>
        <v>188.93824241000002</v>
      </c>
      <c r="AM68" s="3165"/>
      <c r="AN68" s="3168" t="s">
        <v>1694</v>
      </c>
      <c r="AO68" s="3165" t="e">
        <f ca="1">+AP68/AP67*100</f>
        <v>#VALUE!</v>
      </c>
      <c r="AP68" s="1627">
        <f ca="1">OFFSET('VVP2'!$G$28,0,(COLUMN()-10)/4)</f>
        <v>189.00396713000001</v>
      </c>
      <c r="AQ68" s="3165"/>
      <c r="AR68" s="3168" t="s">
        <v>1694</v>
      </c>
      <c r="AS68" s="3165" t="e">
        <f ca="1">+AT68/AT67*100</f>
        <v>#VALUE!</v>
      </c>
      <c r="AT68" s="1627">
        <f ca="1">OFFSET('VVP2'!$G$28,0,(COLUMN()-10)/4)</f>
        <v>198.94261730000002</v>
      </c>
      <c r="AU68" s="3165"/>
      <c r="AV68" s="3168" t="s">
        <v>1694</v>
      </c>
      <c r="AW68" s="3165" t="e">
        <f ca="1">+AX68/AX67*100</f>
        <v>#VALUE!</v>
      </c>
      <c r="AX68" s="1627">
        <f ca="1">OFFSET('VVP2'!$G$28,0,(COLUMN()-10)/4)</f>
        <v>202.05712133</v>
      </c>
      <c r="AY68" s="3165"/>
      <c r="AZ68" s="3168" t="s">
        <v>1694</v>
      </c>
      <c r="BA68" s="3165" t="e">
        <f ca="1">+BB68/BB67*100</f>
        <v>#VALUE!</v>
      </c>
      <c r="BB68" s="1627">
        <f ca="1">OFFSET('VVP2'!$G$28,0,(COLUMN()-10)/4)</f>
        <v>209.09842345999999</v>
      </c>
      <c r="BC68" s="3165"/>
      <c r="BD68" s="3168" t="s">
        <v>1694</v>
      </c>
      <c r="BE68" s="3165" t="e">
        <f ca="1">+BF68/BF67*100</f>
        <v>#VALUE!</v>
      </c>
      <c r="BF68" s="1627">
        <f ca="1">OFFSET('VVP2'!$G$28,0,(COLUMN()-10)/4)</f>
        <v>218.36187831999999</v>
      </c>
      <c r="BG68" s="3165"/>
      <c r="BH68" s="3168" t="s">
        <v>1694</v>
      </c>
      <c r="BI68" s="3165" t="e">
        <f ca="1">+BJ68/BJ67*100</f>
        <v>#VALUE!</v>
      </c>
      <c r="BJ68" s="1627">
        <f ca="1">OFFSET('VVP2'!$G$28,0,(COLUMN()-10)/4)</f>
        <v>220.99408106999999</v>
      </c>
      <c r="BK68" s="3165"/>
      <c r="BL68" s="3168" t="s">
        <v>1694</v>
      </c>
      <c r="BM68" s="3165" t="e">
        <f ca="1">+BN68/BN67*100</f>
        <v>#VALUE!</v>
      </c>
      <c r="BN68" s="1627">
        <f ca="1">OFFSET('VVP2'!$G$28,0,(COLUMN()-10)/4)</f>
        <v>213.21611791999999</v>
      </c>
      <c r="BO68" s="3165"/>
      <c r="BP68" s="3168" t="s">
        <v>1694</v>
      </c>
      <c r="BQ68" s="3165" t="e">
        <f ca="1">+BR68/BR67*100</f>
        <v>#VALUE!</v>
      </c>
      <c r="BR68" s="1627">
        <f ca="1">OFFSET('VVP2'!$G$28,0,(COLUMN()-10)/4)</f>
        <v>222.249</v>
      </c>
      <c r="BS68" s="3165"/>
      <c r="BT68" s="3168" t="s">
        <v>1694</v>
      </c>
      <c r="BU68" s="3165" t="e">
        <f ca="1">+BV68/BV67*100</f>
        <v>#VALUE!</v>
      </c>
      <c r="BV68" s="1627">
        <f ca="1">OFFSET('VVP2'!$G$28,0,(COLUMN()-10)/4)</f>
        <v>232.29651000000001</v>
      </c>
      <c r="BW68" s="3165"/>
      <c r="BX68" s="3168" t="s">
        <v>1694</v>
      </c>
      <c r="BY68" s="3165" t="e">
        <f ca="1">+BZ68/BZ67*100</f>
        <v>#VALUE!</v>
      </c>
      <c r="BZ68" s="1627">
        <f ca="1">OFFSET('VVP2'!$G$28,0,(COLUMN()-10)/4)</f>
        <v>223.30367602999999</v>
      </c>
      <c r="CA68" s="3165"/>
      <c r="CB68" s="3168" t="s">
        <v>1694</v>
      </c>
      <c r="CC68" s="3165" t="e">
        <f ca="1">+CD68/CD67*100</f>
        <v>#VALUE!</v>
      </c>
      <c r="CD68" s="1627">
        <f ca="1">OFFSET('VVP2'!$G$28,0,(COLUMN()-10)/4)</f>
        <v>232.48373024999998</v>
      </c>
      <c r="CE68" s="3165"/>
      <c r="CF68" s="3168" t="s">
        <v>1694</v>
      </c>
      <c r="CG68" s="3165" t="e">
        <f ca="1">+CH68/CH67*100</f>
        <v>#VALUE!</v>
      </c>
      <c r="CH68" s="1627">
        <f ca="1">OFFSET('VVP2'!$G$28,0,(COLUMN()-10)/4)</f>
        <v>249.68630872999998</v>
      </c>
      <c r="CI68" s="3165"/>
      <c r="CJ68" s="3168" t="s">
        <v>1694</v>
      </c>
      <c r="CK68" s="3165" t="e">
        <f ca="1">+CL68/CL67*100</f>
        <v>#VALUE!</v>
      </c>
      <c r="CL68" s="1627">
        <f ca="1">OFFSET('VVP2'!$G$28,0,(COLUMN()-10)/4)</f>
        <v>263.66934072999999</v>
      </c>
      <c r="CM68" s="3165"/>
      <c r="CN68" s="3168" t="s">
        <v>1694</v>
      </c>
      <c r="CO68" s="3165" t="e">
        <f ca="1">+CP68/CP67*100</f>
        <v>#VALUE!</v>
      </c>
      <c r="CP68" s="1627">
        <f ca="1">OFFSET('VVP2'!$G$28,0,(COLUMN()-10)/4)</f>
        <v>257.80163169999997</v>
      </c>
      <c r="CQ68" s="3165"/>
      <c r="CR68" s="3168" t="s">
        <v>1694</v>
      </c>
      <c r="CS68" s="3165" t="e">
        <f ca="1">+CT68/CT67*100</f>
        <v>#VALUE!</v>
      </c>
      <c r="CT68" s="1627">
        <f ca="1">OFFSET('VVP2'!$G$28,0,(COLUMN()-10)/4)</f>
        <v>265.57380347999998</v>
      </c>
      <c r="CU68" s="3165"/>
      <c r="CV68" s="3168" t="s">
        <v>1694</v>
      </c>
      <c r="CW68" s="3165" t="e">
        <f ca="1">+CX68/CX67*100</f>
        <v>#VALUE!</v>
      </c>
      <c r="CX68" s="1627">
        <f ca="1">OFFSET('VVP2'!$G$28,0,(COLUMN()-10)/4)</f>
        <v>275.66560801224</v>
      </c>
      <c r="CY68" s="3165"/>
      <c r="CZ68" s="3168" t="s">
        <v>1694</v>
      </c>
      <c r="DA68" s="3165" t="e">
        <f ca="1">+DB68/DB67*100</f>
        <v>#VALUE!</v>
      </c>
      <c r="DB68" s="1627">
        <f ca="1">OFFSET('VVP2'!$G$28,0,(COLUMN()-10)/4)</f>
        <v>286.44413328551855</v>
      </c>
      <c r="DC68" s="3165"/>
      <c r="DD68" s="3168" t="s">
        <v>1694</v>
      </c>
      <c r="DE68" s="3165" t="e">
        <f ca="1">+DF68/DF67*100</f>
        <v>#VALUE!</v>
      </c>
      <c r="DF68" s="1627">
        <f ca="1">OFFSET('VVP2'!$G$28,0,(COLUMN()-10)/4)</f>
        <v>294.32134695087035</v>
      </c>
    </row>
    <row r="69" spans="1:110" s="736" customFormat="1" ht="12.75" hidden="1" customHeight="1">
      <c r="A69" s="701"/>
      <c r="C69" s="3172" t="s">
        <v>1791</v>
      </c>
      <c r="D69" s="711"/>
      <c r="E69" s="820" t="s">
        <v>487</v>
      </c>
      <c r="F69" s="741"/>
      <c r="G69" s="743" t="e">
        <f t="shared" ref="G69:AL69" si="261">G70-G60-G63-G66</f>
        <v>#VALUE!</v>
      </c>
      <c r="H69" s="743" t="e">
        <f t="shared" si="261"/>
        <v>#VALUE!</v>
      </c>
      <c r="I69" s="743" t="e">
        <f t="shared" si="261"/>
        <v>#VALUE!</v>
      </c>
      <c r="J69" s="743" t="e">
        <f t="shared" si="261"/>
        <v>#VALUE!</v>
      </c>
      <c r="K69" s="743" t="e">
        <f t="shared" si="261"/>
        <v>#VALUE!</v>
      </c>
      <c r="L69" s="743" t="e">
        <f t="shared" si="261"/>
        <v>#VALUE!</v>
      </c>
      <c r="M69" s="743" t="e">
        <f t="shared" si="261"/>
        <v>#VALUE!</v>
      </c>
      <c r="N69" s="743" t="e">
        <f t="shared" si="261"/>
        <v>#VALUE!</v>
      </c>
      <c r="O69" s="743" t="e">
        <f t="shared" si="261"/>
        <v>#VALUE!</v>
      </c>
      <c r="P69" s="743" t="e">
        <f t="shared" si="261"/>
        <v>#VALUE!</v>
      </c>
      <c r="Q69" s="743" t="e">
        <f t="shared" si="261"/>
        <v>#VALUE!</v>
      </c>
      <c r="R69" s="743" t="e">
        <f t="shared" si="261"/>
        <v>#VALUE!</v>
      </c>
      <c r="S69" s="743" t="e">
        <f t="shared" si="261"/>
        <v>#VALUE!</v>
      </c>
      <c r="T69" s="743" t="e">
        <f t="shared" si="261"/>
        <v>#VALUE!</v>
      </c>
      <c r="U69" s="743" t="e">
        <f t="shared" si="261"/>
        <v>#VALUE!</v>
      </c>
      <c r="V69" s="743" t="e">
        <f t="shared" si="261"/>
        <v>#VALUE!</v>
      </c>
      <c r="W69" s="743" t="e">
        <f t="shared" si="261"/>
        <v>#VALUE!</v>
      </c>
      <c r="X69" s="743" t="e">
        <f t="shared" si="261"/>
        <v>#VALUE!</v>
      </c>
      <c r="Y69" s="743" t="e">
        <f t="shared" si="261"/>
        <v>#VALUE!</v>
      </c>
      <c r="Z69" s="743" t="e">
        <f t="shared" si="261"/>
        <v>#VALUE!</v>
      </c>
      <c r="AA69" s="743" t="e">
        <f t="shared" si="261"/>
        <v>#VALUE!</v>
      </c>
      <c r="AB69" s="743" t="e">
        <f t="shared" si="261"/>
        <v>#VALUE!</v>
      </c>
      <c r="AC69" s="743" t="e">
        <f t="shared" si="261"/>
        <v>#VALUE!</v>
      </c>
      <c r="AD69" s="743" t="e">
        <f t="shared" si="261"/>
        <v>#VALUE!</v>
      </c>
      <c r="AE69" s="743" t="e">
        <f t="shared" si="261"/>
        <v>#VALUE!</v>
      </c>
      <c r="AF69" s="743" t="e">
        <f t="shared" si="261"/>
        <v>#VALUE!</v>
      </c>
      <c r="AG69" s="743" t="e">
        <f t="shared" si="261"/>
        <v>#VALUE!</v>
      </c>
      <c r="AH69" s="743" t="e">
        <f t="shared" si="261"/>
        <v>#VALUE!</v>
      </c>
      <c r="AI69" s="743" t="e">
        <f t="shared" si="261"/>
        <v>#VALUE!</v>
      </c>
      <c r="AJ69" s="743" t="e">
        <f t="shared" si="261"/>
        <v>#VALUE!</v>
      </c>
      <c r="AK69" s="743" t="e">
        <f t="shared" si="261"/>
        <v>#VALUE!</v>
      </c>
      <c r="AL69" s="743" t="e">
        <f t="shared" si="261"/>
        <v>#VALUE!</v>
      </c>
      <c r="AM69" s="743" t="e">
        <f t="shared" ref="AM69:BI69" si="262">AM70-AM60-AM63-AM66</f>
        <v>#VALUE!</v>
      </c>
      <c r="AN69" s="743" t="e">
        <f t="shared" si="262"/>
        <v>#VALUE!</v>
      </c>
      <c r="AO69" s="743" t="e">
        <f t="shared" si="262"/>
        <v>#VALUE!</v>
      </c>
      <c r="AP69" s="743" t="e">
        <f t="shared" si="262"/>
        <v>#VALUE!</v>
      </c>
      <c r="AQ69" s="743" t="e">
        <f t="shared" si="262"/>
        <v>#VALUE!</v>
      </c>
      <c r="AR69" s="743" t="e">
        <f t="shared" si="262"/>
        <v>#VALUE!</v>
      </c>
      <c r="AS69" s="743" t="e">
        <f t="shared" si="262"/>
        <v>#VALUE!</v>
      </c>
      <c r="AT69" s="743" t="e">
        <f t="shared" si="262"/>
        <v>#VALUE!</v>
      </c>
      <c r="AU69" s="743" t="e">
        <f t="shared" si="262"/>
        <v>#VALUE!</v>
      </c>
      <c r="AV69" s="743" t="e">
        <f t="shared" si="262"/>
        <v>#VALUE!</v>
      </c>
      <c r="AW69" s="743" t="e">
        <f t="shared" si="262"/>
        <v>#VALUE!</v>
      </c>
      <c r="AX69" s="743" t="e">
        <f t="shared" si="262"/>
        <v>#VALUE!</v>
      </c>
      <c r="AY69" s="743" t="e">
        <f t="shared" si="262"/>
        <v>#VALUE!</v>
      </c>
      <c r="AZ69" s="743" t="e">
        <f t="shared" si="262"/>
        <v>#VALUE!</v>
      </c>
      <c r="BA69" s="743" t="e">
        <f t="shared" si="262"/>
        <v>#VALUE!</v>
      </c>
      <c r="BB69" s="743" t="e">
        <f t="shared" si="262"/>
        <v>#VALUE!</v>
      </c>
      <c r="BC69" s="743" t="e">
        <f t="shared" si="262"/>
        <v>#VALUE!</v>
      </c>
      <c r="BD69" s="743" t="e">
        <f t="shared" si="262"/>
        <v>#VALUE!</v>
      </c>
      <c r="BE69" s="743" t="e">
        <f t="shared" si="262"/>
        <v>#VALUE!</v>
      </c>
      <c r="BF69" s="743" t="e">
        <f t="shared" si="262"/>
        <v>#VALUE!</v>
      </c>
      <c r="BG69" s="743" t="e">
        <f t="shared" si="262"/>
        <v>#VALUE!</v>
      </c>
      <c r="BH69" s="743" t="e">
        <f t="shared" si="262"/>
        <v>#VALUE!</v>
      </c>
      <c r="BI69" s="743" t="e">
        <f t="shared" si="262"/>
        <v>#VALUE!</v>
      </c>
      <c r="BJ69" s="743" t="e">
        <f t="shared" ref="BJ69:BR69" si="263">BJ70-BJ60-BJ63-BJ66</f>
        <v>#VALUE!</v>
      </c>
      <c r="BK69" s="743" t="e">
        <f t="shared" si="263"/>
        <v>#VALUE!</v>
      </c>
      <c r="BL69" s="743" t="e">
        <f t="shared" si="263"/>
        <v>#VALUE!</v>
      </c>
      <c r="BM69" s="743" t="e">
        <f t="shared" si="263"/>
        <v>#VALUE!</v>
      </c>
      <c r="BN69" s="743" t="e">
        <f t="shared" si="263"/>
        <v>#VALUE!</v>
      </c>
      <c r="BO69" s="743" t="e">
        <f t="shared" si="263"/>
        <v>#VALUE!</v>
      </c>
      <c r="BP69" s="743" t="e">
        <f t="shared" si="263"/>
        <v>#VALUE!</v>
      </c>
      <c r="BQ69" s="743" t="e">
        <f t="shared" si="263"/>
        <v>#VALUE!</v>
      </c>
      <c r="BR69" s="743" t="e">
        <f t="shared" si="263"/>
        <v>#VALUE!</v>
      </c>
      <c r="BS69" s="743" t="e">
        <f>BS70-BS60-BS63-BS66</f>
        <v>#VALUE!</v>
      </c>
      <c r="BT69" s="743" t="e">
        <f>BT70-BT60-BT63-BT66</f>
        <v>#VALUE!</v>
      </c>
      <c r="BU69" s="743" t="e">
        <f>BU70-BU60-BU63-BU66</f>
        <v>#VALUE!</v>
      </c>
      <c r="BV69" s="743" t="e">
        <f>BV70-BV60-BV63-BV66</f>
        <v>#VALUE!</v>
      </c>
      <c r="BW69" s="743" t="e">
        <f t="shared" ref="BW69:CB69" si="264">BW70-BW60-BW63-BW66</f>
        <v>#VALUE!</v>
      </c>
      <c r="BX69" s="743" t="e">
        <f t="shared" si="264"/>
        <v>#VALUE!</v>
      </c>
      <c r="BY69" s="743" t="e">
        <f t="shared" si="264"/>
        <v>#VALUE!</v>
      </c>
      <c r="BZ69" s="743" t="e">
        <f t="shared" si="264"/>
        <v>#VALUE!</v>
      </c>
      <c r="CA69" s="743" t="e">
        <f t="shared" si="264"/>
        <v>#VALUE!</v>
      </c>
      <c r="CB69" s="743" t="e">
        <f t="shared" si="264"/>
        <v>#VALUE!</v>
      </c>
      <c r="CC69" s="743" t="e">
        <f>CC70-CC60-CC63-CC66</f>
        <v>#VALUE!</v>
      </c>
      <c r="CD69" s="743" t="e">
        <f>CD70-CD60-CD63-CD66</f>
        <v>#VALUE!</v>
      </c>
      <c r="CE69" s="743" t="e">
        <f>CE70-CE60-CE63-CE66</f>
        <v>#VALUE!</v>
      </c>
      <c r="CF69" s="743" t="e">
        <f>CF70-CF60-CF63-CF66</f>
        <v>#VALUE!</v>
      </c>
      <c r="CG69" s="743" t="e">
        <f t="shared" ref="CG69:CL69" si="265">CG70-CG60-CG63-CG66</f>
        <v>#VALUE!</v>
      </c>
      <c r="CH69" s="743" t="e">
        <f>CH70-CH60-CH63-CH66</f>
        <v>#VALUE!</v>
      </c>
      <c r="CI69" s="743" t="e">
        <f>CI70-CI60-CI63-CI66</f>
        <v>#VALUE!</v>
      </c>
      <c r="CJ69" s="743" t="e">
        <f>CJ70-CJ60-CJ63-CJ66</f>
        <v>#VALUE!</v>
      </c>
      <c r="CK69" s="743" t="e">
        <f t="shared" si="265"/>
        <v>#VALUE!</v>
      </c>
      <c r="CL69" s="743" t="e">
        <f t="shared" si="265"/>
        <v>#VALUE!</v>
      </c>
      <c r="CM69" s="743" t="e">
        <f t="shared" ref="CM69:CT69" si="266">CM70-CM60-CM63-CM66</f>
        <v>#VALUE!</v>
      </c>
      <c r="CN69" s="743" t="e">
        <f t="shared" si="266"/>
        <v>#VALUE!</v>
      </c>
      <c r="CO69" s="743" t="e">
        <f t="shared" si="266"/>
        <v>#VALUE!</v>
      </c>
      <c r="CP69" s="743" t="e">
        <f t="shared" si="266"/>
        <v>#VALUE!</v>
      </c>
      <c r="CQ69" s="743" t="e">
        <f t="shared" si="266"/>
        <v>#VALUE!</v>
      </c>
      <c r="CR69" s="743" t="e">
        <f t="shared" si="266"/>
        <v>#VALUE!</v>
      </c>
      <c r="CS69" s="743" t="e">
        <f t="shared" si="266"/>
        <v>#VALUE!</v>
      </c>
      <c r="CT69" s="743" t="e">
        <f t="shared" si="266"/>
        <v>#VALUE!</v>
      </c>
      <c r="CU69" s="743" t="e">
        <f t="shared" ref="CU69:CX69" si="267">CU70-CU60-CU63-CU66</f>
        <v>#VALUE!</v>
      </c>
      <c r="CV69" s="743" t="e">
        <f t="shared" si="267"/>
        <v>#VALUE!</v>
      </c>
      <c r="CW69" s="743" t="e">
        <f t="shared" si="267"/>
        <v>#VALUE!</v>
      </c>
      <c r="CX69" s="743" t="e">
        <f t="shared" si="267"/>
        <v>#VALUE!</v>
      </c>
      <c r="CY69" s="743" t="e">
        <f t="shared" ref="CY69:DB69" si="268">CY70-CY60-CY63-CY66</f>
        <v>#VALUE!</v>
      </c>
      <c r="CZ69" s="743" t="e">
        <f t="shared" si="268"/>
        <v>#VALUE!</v>
      </c>
      <c r="DA69" s="743" t="e">
        <f t="shared" si="268"/>
        <v>#VALUE!</v>
      </c>
      <c r="DB69" s="743" t="e">
        <f t="shared" si="268"/>
        <v>#VALUE!</v>
      </c>
      <c r="DC69" s="743" t="e">
        <f t="shared" ref="DC69:DF69" si="269">DC70-DC60-DC63-DC66</f>
        <v>#VALUE!</v>
      </c>
      <c r="DD69" s="743" t="e">
        <f t="shared" si="269"/>
        <v>#VALUE!</v>
      </c>
      <c r="DE69" s="743" t="e">
        <f t="shared" si="269"/>
        <v>#VALUE!</v>
      </c>
      <c r="DF69" s="743" t="e">
        <f t="shared" si="269"/>
        <v>#VALUE!</v>
      </c>
    </row>
    <row r="70" spans="1:110" s="736" customFormat="1" ht="12.75" hidden="1" customHeight="1">
      <c r="A70" s="701" t="str">
        <f>"Q" &amp; ROW(InputQ!A7)</f>
        <v>Q7</v>
      </c>
      <c r="B70" s="2014" t="s">
        <v>158</v>
      </c>
      <c r="C70" s="3173"/>
      <c r="D70" s="783"/>
      <c r="E70" s="1613" t="s">
        <v>138</v>
      </c>
      <c r="F70" s="785"/>
      <c r="G70" s="836">
        <f>InputQ!G7/1000</f>
        <v>116.8342</v>
      </c>
      <c r="H70" s="836">
        <f>InputQ!H7/1000</f>
        <v>117.45489999999999</v>
      </c>
      <c r="I70" s="836">
        <f>InputQ!I7/1000</f>
        <v>122.84399999999999</v>
      </c>
      <c r="J70" s="836">
        <f>InputQ!J7/1000</f>
        <v>125.45739999999999</v>
      </c>
      <c r="K70" s="836">
        <f>InputQ!K7/1000</f>
        <v>124.7324</v>
      </c>
      <c r="L70" s="836">
        <f>InputQ!L7/1000</f>
        <v>125.48910000000001</v>
      </c>
      <c r="M70" s="836">
        <f>InputQ!M7/1000</f>
        <v>129.55350000000001</v>
      </c>
      <c r="N70" s="836">
        <f>InputQ!N7/1000</f>
        <v>128.58160000000001</v>
      </c>
      <c r="O70" s="836">
        <f>InputQ!O7/1000</f>
        <v>126.6361</v>
      </c>
      <c r="P70" s="836">
        <f>InputQ!P7/1000</f>
        <v>130.1378</v>
      </c>
      <c r="Q70" s="836">
        <f>InputQ!Q7/1000</f>
        <v>127.8267</v>
      </c>
      <c r="R70" s="836">
        <f>InputQ!R7/1000</f>
        <v>131.82560000000001</v>
      </c>
      <c r="S70" s="836">
        <f>InputQ!S7/1000</f>
        <v>134.71299999999999</v>
      </c>
      <c r="T70" s="836">
        <f>InputQ!T7/1000</f>
        <v>138.30549999999999</v>
      </c>
      <c r="U70" s="836">
        <f>InputQ!U7/1000</f>
        <v>140.6412</v>
      </c>
      <c r="V70" s="836">
        <f>InputQ!V7/1000</f>
        <v>142.75910000000002</v>
      </c>
      <c r="W70" s="836">
        <f>InputQ!W7/1000</f>
        <v>146.56570000000002</v>
      </c>
      <c r="X70" s="836">
        <f>InputQ!X7/1000</f>
        <v>145.5222</v>
      </c>
      <c r="Y70" s="836">
        <f>InputQ!Y7/1000</f>
        <v>151.78970000000001</v>
      </c>
      <c r="Z70" s="836">
        <f>InputQ!Z7/1000</f>
        <v>149.03570000000002</v>
      </c>
      <c r="AA70" s="836">
        <f>InputQ!AA7/1000</f>
        <v>150.88770000000002</v>
      </c>
      <c r="AB70" s="836">
        <f>InputQ!AB7/1000</f>
        <v>158.35210000000001</v>
      </c>
      <c r="AC70" s="836">
        <f>InputQ!AC7/1000</f>
        <v>160.26579999999998</v>
      </c>
      <c r="AD70" s="836">
        <f>InputQ!AD7/1000</f>
        <v>162.28479999999999</v>
      </c>
      <c r="AE70" s="836">
        <f>InputQ!AE7/1000</f>
        <v>159.40199999999999</v>
      </c>
      <c r="AF70" s="836">
        <f>InputQ!AF7/1000</f>
        <v>161.00810000000001</v>
      </c>
      <c r="AG70" s="836">
        <f>InputQ!AG7/1000</f>
        <v>161.97450000000001</v>
      </c>
      <c r="AH70" s="836">
        <f>InputQ!AH7/1000</f>
        <v>166.78020000000001</v>
      </c>
      <c r="AI70" s="836">
        <f>InputQ!AI7/1000</f>
        <v>152.18439999999998</v>
      </c>
      <c r="AJ70" s="836">
        <f>InputQ!AJ7/1000</f>
        <v>161.8484</v>
      </c>
      <c r="AK70" s="836">
        <f>InputQ!AK7/1000</f>
        <v>159.67870000000002</v>
      </c>
      <c r="AL70" s="836">
        <f>InputQ!AL7/1000</f>
        <v>160.7885</v>
      </c>
      <c r="AM70" s="836">
        <f>InputQ!AM7/1000</f>
        <v>163.88460000000001</v>
      </c>
      <c r="AN70" s="836">
        <f>InputQ!AN7/1000</f>
        <v>160.5934</v>
      </c>
      <c r="AO70" s="836">
        <f>InputQ!AO7/1000</f>
        <v>162.1206</v>
      </c>
      <c r="AP70" s="836">
        <f>InputQ!AP7/1000</f>
        <v>164.40729999999999</v>
      </c>
      <c r="AQ70" s="836">
        <f>InputQ!AQ7/1000</f>
        <v>164.5788</v>
      </c>
      <c r="AR70" s="836">
        <f>InputQ!AR7/1000</f>
        <v>168.60679999999999</v>
      </c>
      <c r="AS70" s="836">
        <f>InputQ!AS7/1000</f>
        <v>172.9324</v>
      </c>
      <c r="AT70" s="836">
        <f>InputQ!AT7/1000</f>
        <v>177.39870000000002</v>
      </c>
      <c r="AU70" s="836">
        <f>InputQ!AU7/1000</f>
        <v>175.15289999999999</v>
      </c>
      <c r="AV70" s="836">
        <f>InputQ!AV7/1000</f>
        <v>179.0675</v>
      </c>
      <c r="AW70" s="836">
        <f>InputQ!AW7/1000</f>
        <v>183.96120000000002</v>
      </c>
      <c r="AX70" s="836">
        <f>InputQ!AX7/1000</f>
        <v>180.45400000000001</v>
      </c>
      <c r="AY70" s="836">
        <f>InputQ!AY7/1000</f>
        <v>187.94560000000001</v>
      </c>
      <c r="AZ70" s="836">
        <f>InputQ!AZ7/1000</f>
        <v>197.32560000000001</v>
      </c>
      <c r="BA70" s="836">
        <f>InputQ!BA7/1000</f>
        <v>199.01150000000001</v>
      </c>
      <c r="BB70" s="836">
        <f>InputQ!BB7/1000</f>
        <v>203.31450000000001</v>
      </c>
      <c r="BC70" s="836">
        <f>InputQ!BC7/1000</f>
        <v>210.06479999999999</v>
      </c>
      <c r="BD70" s="836">
        <f>InputQ!BD7/1000</f>
        <v>212.55020000000002</v>
      </c>
      <c r="BE70" s="836">
        <f>InputQ!BE7/1000</f>
        <v>211.9812</v>
      </c>
      <c r="BF70" s="836">
        <f>InputQ!BF7/1000</f>
        <v>218.26870000000002</v>
      </c>
      <c r="BG70" s="836">
        <f>InputQ!BG7/1000</f>
        <v>219.13170000000002</v>
      </c>
      <c r="BH70" s="836">
        <f>InputQ!BH7/1000</f>
        <v>214.52379999999999</v>
      </c>
      <c r="BI70" s="836">
        <f>InputQ!BI7/1000</f>
        <v>211.72900000000001</v>
      </c>
      <c r="BJ70" s="836">
        <f>InputQ!BJ7/1000</f>
        <v>210.16729999999998</v>
      </c>
      <c r="BK70" s="836">
        <f>InputQ!BK7/1000</f>
        <v>187.91300000000001</v>
      </c>
      <c r="BL70" s="836">
        <f>InputQ!BL7/1000</f>
        <v>185.06909999999999</v>
      </c>
      <c r="BM70" s="836">
        <f>InputQ!BM7/1000</f>
        <v>183.14089999999999</v>
      </c>
      <c r="BN70" s="836">
        <f>InputQ!BN7/1000</f>
        <v>185.60810000000001</v>
      </c>
      <c r="BO70" s="836">
        <f>InputQ!BO7/1000</f>
        <v>183.4194</v>
      </c>
      <c r="BP70" s="836">
        <f>InputQ!BP7/1000</f>
        <v>191.73140000000001</v>
      </c>
      <c r="BQ70" s="836">
        <f>InputQ!BQ7/1000</f>
        <v>202.31179999999998</v>
      </c>
      <c r="BR70" s="836">
        <f>InputQ!BR7/1000</f>
        <v>205.6874</v>
      </c>
      <c r="BS70" s="836">
        <f>InputQ!BS7/1000</f>
        <v>202.0087</v>
      </c>
      <c r="BT70" s="836">
        <f>InputQ!BT7/1000</f>
        <v>212.54470000000001</v>
      </c>
      <c r="BU70" s="836">
        <f>InputQ!BU7/1000</f>
        <v>210.8415</v>
      </c>
      <c r="BV70" s="836">
        <f>InputQ!BV7/1000</f>
        <v>203.91879999999998</v>
      </c>
      <c r="BW70" s="836">
        <f>InputQ!BW7/1000</f>
        <v>212.75710000000001</v>
      </c>
      <c r="BX70" s="836">
        <f>InputQ!BX7/1000</f>
        <v>207.7037</v>
      </c>
      <c r="BY70" s="836">
        <f>InputQ!BY7/1000</f>
        <v>202.28100000000001</v>
      </c>
      <c r="BZ70" s="836">
        <f>InputQ!BZ7/1000</f>
        <v>207.95870000000002</v>
      </c>
      <c r="CA70" s="3166">
        <f>+BZ70*(1+CA86/100)</f>
        <v>204.92520000000002</v>
      </c>
      <c r="CB70" s="3166">
        <f>+CA70*(1+CB86/100)</f>
        <v>206.63660000000002</v>
      </c>
      <c r="CC70" s="836">
        <f>InputQ!CC7/1000</f>
        <v>212.0711</v>
      </c>
      <c r="CD70" s="836">
        <f>InputQ!CD7/1000</f>
        <v>212.06739999999999</v>
      </c>
      <c r="CE70" s="3166">
        <f>+CD70*(1+CE86/100)</f>
        <v>216.78600000000003</v>
      </c>
      <c r="CF70" s="3166">
        <f>+CE70*(1+CF86/100)</f>
        <v>217.42660000000004</v>
      </c>
      <c r="CG70" s="3166">
        <f t="shared" ref="CG70:CL70" si="270">+CF70*(1+CG86/100)</f>
        <v>220.34120000000004</v>
      </c>
      <c r="CH70" s="836">
        <f>InputQ!CH7/1000</f>
        <v>227.636</v>
      </c>
      <c r="CI70" s="3166">
        <f>+CH70*(1+CI86/100)</f>
        <v>229.27470000000005</v>
      </c>
      <c r="CJ70" s="3166">
        <f>+CI70*(1+CJ86/100)</f>
        <v>233.15299999999999</v>
      </c>
      <c r="CK70" s="3166">
        <f t="shared" si="270"/>
        <v>233.33909999999997</v>
      </c>
      <c r="CL70" s="3166">
        <f t="shared" si="270"/>
        <v>241.8742</v>
      </c>
      <c r="CM70" s="3166">
        <f t="shared" ref="CM70:CV70" si="271">+CL70*(1+CM86/100)</f>
        <v>240.25720000000001</v>
      </c>
      <c r="CN70" s="3166">
        <f t="shared" si="271"/>
        <v>243.52929999999995</v>
      </c>
      <c r="CO70" s="3166">
        <f t="shared" si="271"/>
        <v>244.31609999999995</v>
      </c>
      <c r="CP70" s="3166">
        <f t="shared" si="271"/>
        <v>246.12089999999998</v>
      </c>
      <c r="CQ70" s="3166">
        <f t="shared" si="271"/>
        <v>252.40199999999996</v>
      </c>
      <c r="CR70" s="3166">
        <f t="shared" si="271"/>
        <v>257.33839999999998</v>
      </c>
      <c r="CS70" s="3166">
        <f t="shared" si="271"/>
        <v>265.42980000000006</v>
      </c>
      <c r="CT70" s="3166">
        <f t="shared" si="271"/>
        <v>262.17850000000004</v>
      </c>
      <c r="CU70" s="3166">
        <f t="shared" ref="CU70" si="272">+CT70*(1+CU86/100)</f>
        <v>268.62840000000006</v>
      </c>
      <c r="CV70" s="3166">
        <f t="shared" si="271"/>
        <v>267.25010000000003</v>
      </c>
      <c r="CW70" s="3166">
        <f t="shared" ref="CW70" si="273">+CV70*(1+CW86/100)</f>
        <v>268.58635049999998</v>
      </c>
      <c r="CX70" s="3166">
        <f t="shared" ref="CX70" si="274">+CW70*(1+CX86/100)</f>
        <v>269.68755453705</v>
      </c>
      <c r="CY70" s="3166">
        <f t="shared" ref="CY70" si="275">+CX70*(1+CY86/100)</f>
        <v>271.60233617426309</v>
      </c>
      <c r="CZ70" s="3166">
        <f t="shared" ref="CZ70" si="276">+CY70*(1+CZ86/100)</f>
        <v>273.31343089216091</v>
      </c>
      <c r="DA70" s="3166">
        <f t="shared" ref="DA70" si="277">+CZ70*(1+DA86/100)</f>
        <v>274.73466073280019</v>
      </c>
      <c r="DB70" s="3166">
        <f t="shared" ref="DB70" si="278">+DA70*(1+DB86/100)</f>
        <v>276.05338710431761</v>
      </c>
      <c r="DC70" s="3166">
        <f t="shared" ref="DC70" si="279">+DB70*(1+DC86/100)</f>
        <v>277.57168073339136</v>
      </c>
      <c r="DD70" s="3166">
        <f t="shared" ref="DD70" si="280">+DC70*(1+DD86/100)</f>
        <v>279.37589665815841</v>
      </c>
      <c r="DE70" s="3166">
        <f t="shared" ref="DE70" si="281">+DD70*(1+DE86/100)</f>
        <v>280.5492754241227</v>
      </c>
      <c r="DF70" s="3166">
        <f t="shared" ref="DF70" si="282">+DE70*(1+DF86/100)</f>
        <v>281.53119788810716</v>
      </c>
    </row>
    <row r="71" spans="1:110" s="736" customFormat="1" ht="12.75" customHeight="1">
      <c r="A71" s="701" t="str">
        <f>"Q" &amp; ROW(InputQ!A7)</f>
        <v>Q7</v>
      </c>
      <c r="C71" s="704"/>
      <c r="D71" s="705"/>
      <c r="E71" s="737" t="s">
        <v>138</v>
      </c>
      <c r="F71" s="737"/>
      <c r="G71" s="817">
        <f>InputQ!G7/1000</f>
        <v>116.8342</v>
      </c>
      <c r="H71" s="817">
        <f>InputQ!H7/1000</f>
        <v>117.45489999999999</v>
      </c>
      <c r="I71" s="817">
        <f>InputQ!I7/1000</f>
        <v>122.84399999999999</v>
      </c>
      <c r="J71" s="817">
        <f>InputQ!J7/1000</f>
        <v>125.45739999999999</v>
      </c>
      <c r="K71" s="817">
        <f>InputQ!K7/1000</f>
        <v>124.7324</v>
      </c>
      <c r="L71" s="817">
        <f>InputQ!L7/1000</f>
        <v>125.48910000000001</v>
      </c>
      <c r="M71" s="817">
        <f>InputQ!M7/1000</f>
        <v>129.55350000000001</v>
      </c>
      <c r="N71" s="817">
        <f>InputQ!N7/1000</f>
        <v>128.58160000000001</v>
      </c>
      <c r="O71" s="817">
        <f>InputQ!O7/1000</f>
        <v>126.6361</v>
      </c>
      <c r="P71" s="817">
        <f>InputQ!P7/1000</f>
        <v>130.1378</v>
      </c>
      <c r="Q71" s="817">
        <f>InputQ!Q7/1000</f>
        <v>127.8267</v>
      </c>
      <c r="R71" s="817">
        <f>InputQ!R7/1000</f>
        <v>131.82560000000001</v>
      </c>
      <c r="S71" s="817">
        <f>InputQ!S7/1000</f>
        <v>134.71299999999999</v>
      </c>
      <c r="T71" s="817">
        <f>InputQ!T7/1000</f>
        <v>138.30549999999999</v>
      </c>
      <c r="U71" s="817">
        <f>InputQ!U7/1000</f>
        <v>140.6412</v>
      </c>
      <c r="V71" s="817">
        <f>InputQ!V7/1000</f>
        <v>142.75910000000002</v>
      </c>
      <c r="W71" s="817">
        <f>InputQ!W7/1000</f>
        <v>146.56570000000002</v>
      </c>
      <c r="X71" s="817">
        <f>InputQ!X7/1000</f>
        <v>145.5222</v>
      </c>
      <c r="Y71" s="817">
        <f>InputQ!Y7/1000</f>
        <v>151.78970000000001</v>
      </c>
      <c r="Z71" s="817">
        <f>InputQ!Z7/1000</f>
        <v>149.03570000000002</v>
      </c>
      <c r="AA71" s="817">
        <f>InputQ!AA7/1000</f>
        <v>150.88770000000002</v>
      </c>
      <c r="AB71" s="817">
        <f>InputQ!AB7/1000</f>
        <v>158.35210000000001</v>
      </c>
      <c r="AC71" s="817">
        <f>InputQ!AC7/1000</f>
        <v>160.26579999999998</v>
      </c>
      <c r="AD71" s="817">
        <f>InputQ!AD7/1000</f>
        <v>162.28479999999999</v>
      </c>
      <c r="AE71" s="817">
        <f>InputQ!AE7/1000</f>
        <v>159.40199999999999</v>
      </c>
      <c r="AF71" s="817">
        <f>InputQ!AF7/1000</f>
        <v>161.00810000000001</v>
      </c>
      <c r="AG71" s="817">
        <f>InputQ!AG7/1000</f>
        <v>161.97450000000001</v>
      </c>
      <c r="AH71" s="817">
        <f>InputQ!AH7/1000</f>
        <v>166.78020000000001</v>
      </c>
      <c r="AI71" s="817">
        <f>InputQ!AI7/1000</f>
        <v>152.18439999999998</v>
      </c>
      <c r="AJ71" s="817">
        <f>InputQ!AJ7/1000</f>
        <v>161.8484</v>
      </c>
      <c r="AK71" s="817">
        <f>InputQ!AK7/1000</f>
        <v>159.67870000000002</v>
      </c>
      <c r="AL71" s="817">
        <f>InputQ!AL7/1000</f>
        <v>160.7885</v>
      </c>
      <c r="AM71" s="817">
        <f>InputQ!AM7/1000</f>
        <v>163.88460000000001</v>
      </c>
      <c r="AN71" s="817">
        <f>InputQ!AN7/1000</f>
        <v>160.5934</v>
      </c>
      <c r="AO71" s="817">
        <f>InputQ!AO7/1000</f>
        <v>162.1206</v>
      </c>
      <c r="AP71" s="817">
        <f>InputQ!AP7/1000</f>
        <v>164.40729999999999</v>
      </c>
      <c r="AQ71" s="817">
        <f>InputQ!AQ7/1000</f>
        <v>164.5788</v>
      </c>
      <c r="AR71" s="817">
        <f>InputQ!AR7/1000</f>
        <v>168.60679999999999</v>
      </c>
      <c r="AS71" s="817">
        <f>InputQ!AS7/1000</f>
        <v>172.9324</v>
      </c>
      <c r="AT71" s="817">
        <f>InputQ!AT7/1000</f>
        <v>177.39870000000002</v>
      </c>
      <c r="AU71" s="817">
        <f>InputQ!AU7/1000</f>
        <v>175.15289999999999</v>
      </c>
      <c r="AV71" s="817">
        <f>InputQ!AV7/1000</f>
        <v>179.0675</v>
      </c>
      <c r="AW71" s="817">
        <f>InputQ!AW7/1000</f>
        <v>183.96120000000002</v>
      </c>
      <c r="AX71" s="817">
        <f>InputQ!AX7/1000</f>
        <v>180.45400000000001</v>
      </c>
      <c r="AY71" s="817">
        <f>InputQ!AY7/1000</f>
        <v>187.94560000000001</v>
      </c>
      <c r="AZ71" s="817">
        <f>InputQ!AZ7/1000</f>
        <v>197.32560000000001</v>
      </c>
      <c r="BA71" s="817">
        <f>InputQ!BA7/1000</f>
        <v>199.01150000000001</v>
      </c>
      <c r="BB71" s="817">
        <f>InputQ!BB7/1000</f>
        <v>203.31450000000001</v>
      </c>
      <c r="BC71" s="817">
        <f>InputQ!BC7/1000</f>
        <v>210.06479999999999</v>
      </c>
      <c r="BD71" s="817">
        <f>InputQ!BD7/1000</f>
        <v>212.55020000000002</v>
      </c>
      <c r="BE71" s="817">
        <f>InputQ!BE7/1000</f>
        <v>211.9812</v>
      </c>
      <c r="BF71" s="817">
        <f>InputQ!BF7/1000</f>
        <v>218.26870000000002</v>
      </c>
      <c r="BG71" s="817">
        <f>InputQ!BG7/1000</f>
        <v>219.13170000000002</v>
      </c>
      <c r="BH71" s="817">
        <f>InputQ!BH7/1000</f>
        <v>214.52379999999999</v>
      </c>
      <c r="BI71" s="817">
        <f>InputQ!BI7/1000</f>
        <v>211.72900000000001</v>
      </c>
      <c r="BJ71" s="817">
        <f>InputQ!BJ7/1000</f>
        <v>210.16729999999998</v>
      </c>
      <c r="BK71" s="817">
        <f>InputQ!BK7/1000</f>
        <v>187.91300000000001</v>
      </c>
      <c r="BL71" s="817">
        <f>InputQ!BL7/1000</f>
        <v>185.06909999999999</v>
      </c>
      <c r="BM71" s="817">
        <f>InputQ!BM7/1000</f>
        <v>183.14089999999999</v>
      </c>
      <c r="BN71" s="817">
        <f>InputQ!BN7/1000</f>
        <v>185.60810000000001</v>
      </c>
      <c r="BO71" s="817">
        <f>InputQ!BO7/1000</f>
        <v>183.4194</v>
      </c>
      <c r="BP71" s="817">
        <f>InputQ!BP7/1000</f>
        <v>191.73140000000001</v>
      </c>
      <c r="BQ71" s="817">
        <f>InputQ!BQ7/1000</f>
        <v>202.31179999999998</v>
      </c>
      <c r="BR71" s="817">
        <f>InputQ!BR7/1000</f>
        <v>205.6874</v>
      </c>
      <c r="BS71" s="817">
        <f>InputQ!BS7/1000</f>
        <v>202.0087</v>
      </c>
      <c r="BT71" s="817">
        <f>InputQ!BT7/1000</f>
        <v>212.54470000000001</v>
      </c>
      <c r="BU71" s="817">
        <f>InputQ!BU7/1000</f>
        <v>210.8415</v>
      </c>
      <c r="BV71" s="817">
        <f>InputQ!BV7/1000</f>
        <v>203.91879999999998</v>
      </c>
      <c r="BW71" s="817">
        <f>InputQ!BW7/1000</f>
        <v>212.75710000000001</v>
      </c>
      <c r="BX71" s="817">
        <f>InputQ!BX7/1000</f>
        <v>207.7037</v>
      </c>
      <c r="BY71" s="817">
        <f>InputQ!BY7/1000</f>
        <v>202.28100000000001</v>
      </c>
      <c r="BZ71" s="817">
        <f>InputQ!BZ7/1000</f>
        <v>207.95870000000002</v>
      </c>
      <c r="CA71" s="817">
        <f>InputQ!CA7/1000</f>
        <v>204.92520000000002</v>
      </c>
      <c r="CB71" s="817">
        <f>InputQ!CB7/1000</f>
        <v>206.63660000000002</v>
      </c>
      <c r="CC71" s="817">
        <f>InputQ!CC7/1000</f>
        <v>212.0711</v>
      </c>
      <c r="CD71" s="817">
        <f>InputQ!CD7/1000</f>
        <v>212.06739999999999</v>
      </c>
      <c r="CE71" s="817">
        <f>InputQ!CE7/1000</f>
        <v>216.786</v>
      </c>
      <c r="CF71" s="817">
        <f>InputQ!CF7/1000</f>
        <v>217.42660000000001</v>
      </c>
      <c r="CG71" s="817">
        <f>InputQ!CG7/1000</f>
        <v>220.34120000000001</v>
      </c>
      <c r="CH71" s="817">
        <f>InputQ!CH7/1000</f>
        <v>227.636</v>
      </c>
      <c r="CI71" s="817">
        <f>InputQ!CI7/1000</f>
        <v>229.27470000000002</v>
      </c>
      <c r="CJ71" s="817">
        <f>InputQ!CJ7/1000</f>
        <v>233.15299999999999</v>
      </c>
      <c r="CK71" s="817">
        <f>InputQ!CK7/1000</f>
        <v>233.3391</v>
      </c>
      <c r="CL71" s="817">
        <f>InputQ!CL7/1000</f>
        <v>241.8742</v>
      </c>
      <c r="CM71" s="817">
        <f>InputQ!CM7/1000</f>
        <v>240.25720000000001</v>
      </c>
      <c r="CN71" s="817">
        <f>InputQ!CN7/1000</f>
        <v>243.52929999999998</v>
      </c>
      <c r="CO71" s="817">
        <f>InputQ!CO7/1000</f>
        <v>244.31610000000001</v>
      </c>
      <c r="CP71" s="817">
        <f>InputQ!CP7/1000</f>
        <v>246.12090000000001</v>
      </c>
      <c r="CQ71" s="817">
        <f>InputQ!CQ7/1000</f>
        <v>252.40199999999999</v>
      </c>
      <c r="CR71" s="817">
        <f>InputQ!CR7/1000</f>
        <v>257.33839999999998</v>
      </c>
      <c r="CS71" s="817">
        <f>InputQ!CS7/1000</f>
        <v>265.4298</v>
      </c>
      <c r="CT71" s="817">
        <f>InputQ!CT7/1000</f>
        <v>262.17849999999999</v>
      </c>
      <c r="CU71" s="817">
        <f>InputQ!CU7/1000</f>
        <v>268.6284</v>
      </c>
      <c r="CV71" s="817">
        <f>InputQ!CV7/1000</f>
        <v>267.25009999999997</v>
      </c>
      <c r="CW71" s="1643">
        <f t="shared" ref="CW71:CX71" si="283">IF(UPPER($F87)="N",CV71*(1+CW86/100),CW70)</f>
        <v>268.58635049999992</v>
      </c>
      <c r="CX71" s="1643">
        <f t="shared" si="283"/>
        <v>269.68755453704995</v>
      </c>
      <c r="CY71" s="1643">
        <f t="shared" ref="CY71" si="284">IF(UPPER($F87)="N",CX71*(1+CY86/100),CY70)</f>
        <v>271.60233617426303</v>
      </c>
      <c r="CZ71" s="1643">
        <f t="shared" ref="CZ71" si="285">IF(UPPER($F87)="N",CY71*(1+CZ86/100),CZ70)</f>
        <v>273.31343089216085</v>
      </c>
      <c r="DA71" s="1643">
        <f t="shared" ref="DA71" si="286">IF(UPPER($F87)="N",CZ71*(1+DA86/100),DA70)</f>
        <v>274.73466073280014</v>
      </c>
      <c r="DB71" s="1643">
        <f t="shared" ref="DB71" si="287">IF(UPPER($F87)="N",DA71*(1+DB86/100),DB70)</f>
        <v>276.05338710431755</v>
      </c>
      <c r="DC71" s="1643">
        <f t="shared" ref="DC71" si="288">IF(UPPER($F87)="N",DB71*(1+DC86/100),DC70)</f>
        <v>277.5716807333913</v>
      </c>
      <c r="DD71" s="1643">
        <f t="shared" ref="DD71" si="289">IF(UPPER($F87)="N",DC71*(1+DD86/100),DD70)</f>
        <v>279.37589665815835</v>
      </c>
      <c r="DE71" s="1643">
        <f t="shared" ref="DE71" si="290">IF(UPPER($F87)="N",DD71*(1+DE86/100),DE70)</f>
        <v>280.54927542412264</v>
      </c>
      <c r="DF71" s="1643">
        <f t="shared" ref="DF71" si="291">IF(UPPER($F87)="N",DE71*(1+DF86/100),DF70)</f>
        <v>281.5311978881071</v>
      </c>
    </row>
    <row r="72" spans="1:110" s="26" customFormat="1" ht="12.75">
      <c r="A72" s="701"/>
      <c r="B72" s="710"/>
      <c r="C72" s="724"/>
      <c r="D72" s="720"/>
      <c r="E72" s="721" t="s">
        <v>353</v>
      </c>
      <c r="F72" s="722"/>
      <c r="G72" s="1622"/>
      <c r="H72" s="1623"/>
      <c r="I72" s="1623"/>
      <c r="J72" s="1627">
        <f>SUM(G71:J71)</f>
        <v>482.59050000000002</v>
      </c>
      <c r="K72" s="1622"/>
      <c r="L72" s="1623"/>
      <c r="M72" s="1623"/>
      <c r="N72" s="1627">
        <f>SUM(K71:N71)</f>
        <v>508.35659999999996</v>
      </c>
      <c r="O72" s="1622"/>
      <c r="P72" s="1623"/>
      <c r="Q72" s="1623"/>
      <c r="R72" s="1627">
        <f>SUM(O71:R71)</f>
        <v>516.42620000000011</v>
      </c>
      <c r="S72" s="1622"/>
      <c r="T72" s="1623"/>
      <c r="U72" s="1623"/>
      <c r="V72" s="1627">
        <f>SUM(S71:V71)</f>
        <v>556.41880000000003</v>
      </c>
      <c r="W72" s="1622"/>
      <c r="X72" s="1623"/>
      <c r="Y72" s="1623"/>
      <c r="Z72" s="1627">
        <f>SUM(W71:Z71)</f>
        <v>592.91330000000005</v>
      </c>
      <c r="AA72" s="1622"/>
      <c r="AB72" s="1623"/>
      <c r="AC72" s="1623"/>
      <c r="AD72" s="1627">
        <f>SUM(AA71:AD71)</f>
        <v>631.79040000000009</v>
      </c>
      <c r="AE72" s="1622"/>
      <c r="AF72" s="1623"/>
      <c r="AG72" s="1623"/>
      <c r="AH72" s="1627">
        <f>SUM(AE71:AH71)</f>
        <v>649.16480000000001</v>
      </c>
      <c r="AI72" s="1622"/>
      <c r="AJ72" s="1623"/>
      <c r="AK72" s="1623"/>
      <c r="AL72" s="1627">
        <f>SUM(AI71:AL71)</f>
        <v>634.5</v>
      </c>
      <c r="AM72" s="1622"/>
      <c r="AN72" s="1623"/>
      <c r="AO72" s="1623"/>
      <c r="AP72" s="1627">
        <f>SUM(AM71:AP71)</f>
        <v>651.0059</v>
      </c>
      <c r="AQ72" s="1622"/>
      <c r="AR72" s="1623"/>
      <c r="AS72" s="1623"/>
      <c r="AT72" s="1627">
        <f>SUM(AQ71:AT71)</f>
        <v>683.51670000000013</v>
      </c>
      <c r="AU72" s="1622"/>
      <c r="AV72" s="1623"/>
      <c r="AW72" s="1623"/>
      <c r="AX72" s="1627">
        <f>SUM(AU71:AX71)</f>
        <v>718.63560000000007</v>
      </c>
      <c r="AY72" s="1622"/>
      <c r="AZ72" s="1623"/>
      <c r="BA72" s="1623"/>
      <c r="BB72" s="1627">
        <f>SUM(AY71:BB71)</f>
        <v>787.59719999999993</v>
      </c>
      <c r="BC72" s="1622"/>
      <c r="BD72" s="1623"/>
      <c r="BE72" s="1623"/>
      <c r="BF72" s="1627">
        <f>SUM(BC71:BF71)</f>
        <v>852.86490000000003</v>
      </c>
      <c r="BG72" s="1622"/>
      <c r="BH72" s="1623"/>
      <c r="BI72" s="1623"/>
      <c r="BJ72" s="1627">
        <f>SUM(BG71:BJ71)</f>
        <v>855.55179999999996</v>
      </c>
      <c r="BK72" s="1622"/>
      <c r="BL72" s="1623"/>
      <c r="BM72" s="1623"/>
      <c r="BN72" s="1627">
        <f>SUM(BK71:BN71)</f>
        <v>741.73110000000008</v>
      </c>
      <c r="BO72" s="1622"/>
      <c r="BP72" s="1623"/>
      <c r="BQ72" s="1623"/>
      <c r="BR72" s="1627">
        <f>SUM(BO71:BR71)</f>
        <v>783.15</v>
      </c>
      <c r="BS72" s="1622"/>
      <c r="BT72" s="1623"/>
      <c r="BU72" s="1623"/>
      <c r="BV72" s="1627">
        <f>SUM(BS71:BV71)</f>
        <v>829.31369999999993</v>
      </c>
      <c r="BW72" s="1622"/>
      <c r="BX72" s="1623"/>
      <c r="BY72" s="1623"/>
      <c r="BZ72" s="1627">
        <f>SUM(BW71:BZ71)</f>
        <v>830.70050000000003</v>
      </c>
      <c r="CA72" s="1622"/>
      <c r="CB72" s="1623"/>
      <c r="CC72" s="1623"/>
      <c r="CD72" s="1627">
        <f>SUM(CA71:CD71)</f>
        <v>835.70030000000008</v>
      </c>
      <c r="CE72" s="1622"/>
      <c r="CF72" s="1623"/>
      <c r="CG72" s="1623"/>
      <c r="CH72" s="1627">
        <f>SUM(CE71:CH71)</f>
        <v>882.18979999999999</v>
      </c>
      <c r="CI72" s="1622"/>
      <c r="CJ72" s="1623"/>
      <c r="CK72" s="1623"/>
      <c r="CL72" s="1627">
        <f>SUM(CI71:CL71)</f>
        <v>937.64099999999996</v>
      </c>
      <c r="CM72" s="1622"/>
      <c r="CN72" s="1623"/>
      <c r="CO72" s="1623"/>
      <c r="CP72" s="1627">
        <f>SUM(CM71:CP71)</f>
        <v>974.22349999999994</v>
      </c>
      <c r="CQ72" s="1622"/>
      <c r="CR72" s="1623"/>
      <c r="CS72" s="1623"/>
      <c r="CT72" s="1627">
        <f>SUM(CQ71:CT71)</f>
        <v>1037.3487</v>
      </c>
      <c r="CU72" s="1622"/>
      <c r="CV72" s="1623"/>
      <c r="CW72" s="1623"/>
      <c r="CX72" s="1627">
        <f>SUM(CU71:CX71)</f>
        <v>1074.1524050370499</v>
      </c>
      <c r="CY72" s="1622"/>
      <c r="CZ72" s="1623"/>
      <c r="DA72" s="1623"/>
      <c r="DB72" s="1627">
        <f>SUM(CY71:DB71)</f>
        <v>1095.7038149035416</v>
      </c>
      <c r="DC72" s="1622"/>
      <c r="DD72" s="1623"/>
      <c r="DE72" s="1623"/>
      <c r="DF72" s="1627">
        <f>SUM(DC71:DF71)</f>
        <v>1119.0280507037794</v>
      </c>
    </row>
    <row r="73" spans="1:110" s="736" customFormat="1" ht="12.75" customHeight="1">
      <c r="A73" s="701"/>
      <c r="B73" s="701"/>
      <c r="C73" s="706"/>
      <c r="D73" s="716"/>
      <c r="E73" s="1624" t="s">
        <v>136</v>
      </c>
      <c r="F73" s="716"/>
      <c r="G73" s="1625"/>
      <c r="H73" s="2916" t="s">
        <v>1694</v>
      </c>
      <c r="I73" s="2917">
        <f ca="1">+J73/J72*100</f>
        <v>100.06548823484923</v>
      </c>
      <c r="J73" s="1626">
        <f ca="1">OFFSET('VVP2'!$G$29,0,(COLUMN()-10)/4)</f>
        <v>482.90654000000001</v>
      </c>
      <c r="K73" s="1625"/>
      <c r="L73" s="2916" t="s">
        <v>1694</v>
      </c>
      <c r="M73" s="2917">
        <f ca="1">+N73/N72*100</f>
        <v>99.947170942602099</v>
      </c>
      <c r="N73" s="1626">
        <f ca="1">OFFSET('VVP2'!$G$29,0,(COLUMN()-10)/4)</f>
        <v>508.08803999999998</v>
      </c>
      <c r="O73" s="1625"/>
      <c r="P73" s="2916" t="s">
        <v>1694</v>
      </c>
      <c r="Q73" s="2917">
        <f ca="1">+R73/R72*100</f>
        <v>99.793252162651697</v>
      </c>
      <c r="R73" s="1626">
        <f ca="1">OFFSET('VVP2'!$G$29,0,(COLUMN()-10)/4)</f>
        <v>515.35850000000005</v>
      </c>
      <c r="S73" s="1625"/>
      <c r="T73" s="2916" t="s">
        <v>1694</v>
      </c>
      <c r="U73" s="2917">
        <f ca="1">+V73/V72*100</f>
        <v>99.922761416400746</v>
      </c>
      <c r="V73" s="1626">
        <f ca="1">OFFSET('VVP2'!$G$29,0,(COLUMN()-10)/4)</f>
        <v>555.98903000000007</v>
      </c>
      <c r="W73" s="1625"/>
      <c r="X73" s="2916" t="s">
        <v>1694</v>
      </c>
      <c r="Y73" s="2917">
        <f ca="1">+Z73/Z72*100</f>
        <v>100.14900829514195</v>
      </c>
      <c r="Z73" s="1626">
        <f ca="1">OFFSET('VVP2'!$G$29,0,(COLUMN()-10)/4)</f>
        <v>593.79678999999999</v>
      </c>
      <c r="AA73" s="1625"/>
      <c r="AB73" s="2916" t="s">
        <v>1694</v>
      </c>
      <c r="AC73" s="2917">
        <f ca="1">+AD73/AD72*100</f>
        <v>100.1293039590345</v>
      </c>
      <c r="AD73" s="1626">
        <f ca="1">OFFSET('VVP2'!$G$29,0,(COLUMN()-10)/4)</f>
        <v>632.60732999999993</v>
      </c>
      <c r="AE73" s="1625"/>
      <c r="AF73" s="2916" t="s">
        <v>1694</v>
      </c>
      <c r="AG73" s="2917">
        <f ca="1">+AH73/AH72*100</f>
        <v>99.89547646452796</v>
      </c>
      <c r="AH73" s="1626">
        <f ca="1">OFFSET('VVP2'!$G$29,0,(COLUMN()-10)/4)</f>
        <v>648.48626999999999</v>
      </c>
      <c r="AI73" s="1625"/>
      <c r="AJ73" s="2916" t="s">
        <v>1694</v>
      </c>
      <c r="AK73" s="2917">
        <f ca="1">+AL73/AL72*100</f>
        <v>99.932132387706858</v>
      </c>
      <c r="AL73" s="1626">
        <f ca="1">OFFSET('VVP2'!$G$29,0,(COLUMN()-10)/4)</f>
        <v>634.06938000000002</v>
      </c>
      <c r="AM73" s="1625"/>
      <c r="AN73" s="2916" t="s">
        <v>1694</v>
      </c>
      <c r="AO73" s="2917">
        <f ca="1">+AP73/AP72*100</f>
        <v>99.677399237088324</v>
      </c>
      <c r="AP73" s="1626">
        <f ca="1">OFFSET('VVP2'!$G$29,0,(COLUMN()-10)/4)</f>
        <v>648.90575000000001</v>
      </c>
      <c r="AQ73" s="1625"/>
      <c r="AR73" s="2916" t="s">
        <v>1694</v>
      </c>
      <c r="AS73" s="2917">
        <f ca="1">+AT73/AT72*100</f>
        <v>100.40189508171487</v>
      </c>
      <c r="AT73" s="1626">
        <f ca="1">OFFSET('VVP2'!$G$29,0,(COLUMN()-10)/4)</f>
        <v>686.26371999999992</v>
      </c>
      <c r="AU73" s="1625"/>
      <c r="AV73" s="2916" t="s">
        <v>1694</v>
      </c>
      <c r="AW73" s="2917">
        <f ca="1">+AX73/AX72*100</f>
        <v>100.31420653249018</v>
      </c>
      <c r="AX73" s="1626">
        <f ca="1">OFFSET('VVP2'!$G$29,0,(COLUMN()-10)/4)</f>
        <v>720.89359999999999</v>
      </c>
      <c r="AY73" s="1625"/>
      <c r="AZ73" s="2916" t="s">
        <v>1694</v>
      </c>
      <c r="BA73" s="2917">
        <f ca="1">+BB73/BB72*100</f>
        <v>100.1070585319501</v>
      </c>
      <c r="BB73" s="1626">
        <f ca="1">OFFSET('VVP2'!$G$29,0,(COLUMN()-10)/4)</f>
        <v>788.44038999999998</v>
      </c>
      <c r="BC73" s="1625"/>
      <c r="BD73" s="2916" t="s">
        <v>1694</v>
      </c>
      <c r="BE73" s="2917">
        <f ca="1">+BF73/BF72*100</f>
        <v>99.929306505637641</v>
      </c>
      <c r="BF73" s="1626">
        <f ca="1">OFFSET('VVP2'!$G$29,0,(COLUMN()-10)/4)</f>
        <v>852.26197999999999</v>
      </c>
      <c r="BG73" s="1625"/>
      <c r="BH73" s="2916" t="s">
        <v>1694</v>
      </c>
      <c r="BI73" s="2917">
        <f ca="1">+BJ73/BJ72*100</f>
        <v>100.16732359162823</v>
      </c>
      <c r="BJ73" s="1626">
        <f ca="1">OFFSET('VVP2'!$G$29,0,(COLUMN()-10)/4)</f>
        <v>856.98334</v>
      </c>
      <c r="BK73" s="1625"/>
      <c r="BL73" s="2916" t="s">
        <v>1694</v>
      </c>
      <c r="BM73" s="2917">
        <f ca="1">+BN73/BN72*100</f>
        <v>100.08406550567987</v>
      </c>
      <c r="BN73" s="1626">
        <f ca="1">OFFSET('VVP2'!$G$29,0,(COLUMN()-10)/4)</f>
        <v>742.35464000000002</v>
      </c>
      <c r="BO73" s="1625"/>
      <c r="BP73" s="2916" t="s">
        <v>1694</v>
      </c>
      <c r="BQ73" s="2917">
        <f ca="1">+BR73/BR72*100</f>
        <v>100.51011938964439</v>
      </c>
      <c r="BR73" s="1626">
        <f ca="1">OFFSET('VVP2'!$G$29,0,(COLUMN()-10)/4)</f>
        <v>787.14499999999998</v>
      </c>
      <c r="BS73" s="1625"/>
      <c r="BT73" s="2916" t="s">
        <v>1694</v>
      </c>
      <c r="BU73" s="2917">
        <f ca="1">+BV73/BV72*100</f>
        <v>100.32856927360538</v>
      </c>
      <c r="BV73" s="1626">
        <f ca="1">OFFSET('VVP2'!$G$29,0,(COLUMN()-10)/4)</f>
        <v>832.03856999999994</v>
      </c>
      <c r="BW73" s="1625"/>
      <c r="BX73" s="2916" t="s">
        <v>1694</v>
      </c>
      <c r="BY73" s="2917">
        <f ca="1">+BZ73/BZ72*100</f>
        <v>99.877126593760323</v>
      </c>
      <c r="BZ73" s="1626">
        <f ca="1">OFFSET('VVP2'!$G$29,0,(COLUMN()-10)/4)</f>
        <v>829.67979000000003</v>
      </c>
      <c r="CA73" s="1625"/>
      <c r="CB73" s="2916" t="s">
        <v>1694</v>
      </c>
      <c r="CC73" s="2917">
        <f ca="1">+CD73/CD72*100</f>
        <v>99.897798289649998</v>
      </c>
      <c r="CD73" s="1626">
        <f ca="1">OFFSET('VVP2'!$G$29,0,(COLUMN()-10)/4)</f>
        <v>834.84619999999995</v>
      </c>
      <c r="CE73" s="1625"/>
      <c r="CF73" s="2916" t="s">
        <v>1694</v>
      </c>
      <c r="CG73" s="2917">
        <f ca="1">+CH73/CH72*100</f>
        <v>99.779703868713966</v>
      </c>
      <c r="CH73" s="1626">
        <f ca="1">OFFSET('VVP2'!$G$29,0,(COLUMN()-10)/4)</f>
        <v>880.24636999999996</v>
      </c>
      <c r="CI73" s="1625"/>
      <c r="CJ73" s="2916" t="s">
        <v>1694</v>
      </c>
      <c r="CK73" s="2917">
        <f ca="1">+CL73/CL72*100</f>
        <v>100.12262369073026</v>
      </c>
      <c r="CL73" s="1626">
        <f ca="1">OFFSET('VVP2'!$G$29,0,(COLUMN()-10)/4)</f>
        <v>938.79077000000007</v>
      </c>
      <c r="CM73" s="1625"/>
      <c r="CN73" s="2916" t="s">
        <v>1694</v>
      </c>
      <c r="CO73" s="2916" t="s">
        <v>1694</v>
      </c>
      <c r="CP73" s="1626">
        <f ca="1">OFFSET('VVP2'!$G$29,0,(COLUMN()-10)/4)</f>
        <v>977.84087999999997</v>
      </c>
      <c r="CQ73" s="1625"/>
      <c r="CR73" s="2916" t="s">
        <v>1694</v>
      </c>
      <c r="CS73" s="2916" t="s">
        <v>1694</v>
      </c>
      <c r="CT73" s="1626">
        <f ca="1">OFFSET('VVP2'!$G$29,0,(COLUMN()-10)/4)</f>
        <v>1037.04529</v>
      </c>
      <c r="CU73" s="1625"/>
      <c r="CV73" s="2916" t="s">
        <v>1694</v>
      </c>
      <c r="CW73" s="2917">
        <f ca="1">+CX73/CX72*100</f>
        <v>99.962357707063148</v>
      </c>
      <c r="CX73" s="1626">
        <f ca="1">OFFSET('VVP2'!$G$29,0,(COLUMN()-10)/4)</f>
        <v>1073.7480694421577</v>
      </c>
      <c r="CY73" s="1625"/>
      <c r="CZ73" s="2916" t="s">
        <v>1694</v>
      </c>
      <c r="DA73" s="2917">
        <f ca="1">+DB73/DB72*100</f>
        <v>99.939295669882782</v>
      </c>
      <c r="DB73" s="1626">
        <f ca="1">OFFSET('VVP2'!$G$29,0,(COLUMN()-10)/4)</f>
        <v>1095.0386752426355</v>
      </c>
      <c r="DC73" s="1625"/>
      <c r="DD73" s="2916" t="s">
        <v>1694</v>
      </c>
      <c r="DE73" s="2917">
        <f ca="1">+DF73/DF72*100</f>
        <v>99.953474632772725</v>
      </c>
      <c r="DF73" s="1626">
        <f ca="1">OFFSET('VVP2'!$G$29,0,(COLUMN()-10)/4)</f>
        <v>1118.5074187938133</v>
      </c>
    </row>
    <row r="74" spans="1:110">
      <c r="A74" s="701"/>
      <c r="AY74" s="217"/>
      <c r="BA74" s="217"/>
      <c r="BB74" s="217"/>
      <c r="BC74" s="217"/>
      <c r="BD74" s="217"/>
      <c r="BE74" s="217"/>
      <c r="BF74" s="217"/>
      <c r="BG74" s="217"/>
      <c r="BH74" s="217"/>
      <c r="BI74" s="217"/>
      <c r="BJ74" s="217"/>
      <c r="BK74" s="217"/>
      <c r="BL74" s="217"/>
      <c r="BM74" s="217"/>
      <c r="BN74" s="217"/>
      <c r="BO74" s="217"/>
      <c r="BP74" s="217"/>
      <c r="BQ74" s="217"/>
      <c r="BR74" s="217"/>
      <c r="BS74" s="217"/>
      <c r="BT74" s="217"/>
      <c r="BU74" s="217"/>
      <c r="BV74" s="217"/>
      <c r="BW74" s="217"/>
      <c r="BX74" s="217"/>
      <c r="BY74" s="217"/>
      <c r="BZ74" s="217"/>
      <c r="CC74" s="217"/>
      <c r="CD74" s="217"/>
      <c r="CH74" s="217"/>
    </row>
    <row r="75" spans="1:110" s="736" customFormat="1" ht="14.25" customHeight="1">
      <c r="A75" s="701"/>
      <c r="B75" s="701"/>
      <c r="C75" s="1603"/>
      <c r="D75" s="779"/>
      <c r="E75" s="780" t="s">
        <v>1641</v>
      </c>
      <c r="F75" s="781"/>
      <c r="G75" s="1630" t="str">
        <f t="shared" ref="G75:N75" si="292">G59</f>
        <v>Q1</v>
      </c>
      <c r="H75" s="1631" t="str">
        <f t="shared" si="292"/>
        <v>Q2</v>
      </c>
      <c r="I75" s="1631" t="str">
        <f t="shared" si="292"/>
        <v>Q3</v>
      </c>
      <c r="J75" s="1632" t="str">
        <f t="shared" si="292"/>
        <v>Q4</v>
      </c>
      <c r="K75" s="1630" t="str">
        <f t="shared" si="292"/>
        <v>Q1</v>
      </c>
      <c r="L75" s="1631" t="str">
        <f t="shared" si="292"/>
        <v>Q2</v>
      </c>
      <c r="M75" s="1631" t="str">
        <f t="shared" si="292"/>
        <v>Q3</v>
      </c>
      <c r="N75" s="1632" t="str">
        <f t="shared" si="292"/>
        <v>Q4</v>
      </c>
      <c r="O75" s="1630" t="str">
        <f t="shared" ref="O75:BI75" si="293">O59</f>
        <v>Q1</v>
      </c>
      <c r="P75" s="1631" t="str">
        <f t="shared" si="293"/>
        <v>Q2</v>
      </c>
      <c r="Q75" s="1631" t="str">
        <f t="shared" si="293"/>
        <v>Q3</v>
      </c>
      <c r="R75" s="1632" t="str">
        <f t="shared" si="293"/>
        <v>Q4</v>
      </c>
      <c r="S75" s="1630" t="str">
        <f t="shared" si="293"/>
        <v>Q1</v>
      </c>
      <c r="T75" s="1631" t="str">
        <f t="shared" si="293"/>
        <v>Q2</v>
      </c>
      <c r="U75" s="1631" t="str">
        <f t="shared" si="293"/>
        <v>Q3</v>
      </c>
      <c r="V75" s="1632" t="str">
        <f t="shared" si="293"/>
        <v>Q4</v>
      </c>
      <c r="W75" s="1630" t="str">
        <f t="shared" si="293"/>
        <v>Q1</v>
      </c>
      <c r="X75" s="1631" t="str">
        <f t="shared" si="293"/>
        <v>Q2</v>
      </c>
      <c r="Y75" s="1631" t="str">
        <f t="shared" si="293"/>
        <v>Q3</v>
      </c>
      <c r="Z75" s="1632" t="str">
        <f t="shared" si="293"/>
        <v>Q4</v>
      </c>
      <c r="AA75" s="1630" t="str">
        <f t="shared" si="293"/>
        <v>Q1</v>
      </c>
      <c r="AB75" s="1631" t="str">
        <f t="shared" si="293"/>
        <v>Q2</v>
      </c>
      <c r="AC75" s="1631" t="str">
        <f t="shared" si="293"/>
        <v>Q3</v>
      </c>
      <c r="AD75" s="1632" t="str">
        <f t="shared" si="293"/>
        <v>Q4</v>
      </c>
      <c r="AE75" s="1630" t="str">
        <f t="shared" si="293"/>
        <v>Q1</v>
      </c>
      <c r="AF75" s="1631" t="str">
        <f t="shared" si="293"/>
        <v>Q2</v>
      </c>
      <c r="AG75" s="1631" t="str">
        <f t="shared" si="293"/>
        <v>Q3</v>
      </c>
      <c r="AH75" s="1632" t="str">
        <f t="shared" si="293"/>
        <v>Q4</v>
      </c>
      <c r="AI75" s="1630" t="str">
        <f t="shared" si="293"/>
        <v>Q1</v>
      </c>
      <c r="AJ75" s="1631" t="str">
        <f t="shared" si="293"/>
        <v>Q2</v>
      </c>
      <c r="AK75" s="1631" t="str">
        <f t="shared" si="293"/>
        <v>Q3</v>
      </c>
      <c r="AL75" s="1632" t="str">
        <f t="shared" si="293"/>
        <v>Q4</v>
      </c>
      <c r="AM75" s="1630" t="str">
        <f t="shared" si="293"/>
        <v>Q1</v>
      </c>
      <c r="AN75" s="1631" t="str">
        <f t="shared" si="293"/>
        <v>Q2</v>
      </c>
      <c r="AO75" s="1631" t="str">
        <f t="shared" si="293"/>
        <v>Q3</v>
      </c>
      <c r="AP75" s="1632" t="str">
        <f t="shared" si="293"/>
        <v>Q4</v>
      </c>
      <c r="AQ75" s="1630" t="str">
        <f t="shared" si="293"/>
        <v>Q1</v>
      </c>
      <c r="AR75" s="1631" t="str">
        <f t="shared" si="293"/>
        <v>Q2</v>
      </c>
      <c r="AS75" s="1631" t="str">
        <f t="shared" si="293"/>
        <v>Q3</v>
      </c>
      <c r="AT75" s="1632" t="str">
        <f t="shared" si="293"/>
        <v>Q4</v>
      </c>
      <c r="AU75" s="1630" t="str">
        <f t="shared" si="293"/>
        <v>Q1</v>
      </c>
      <c r="AV75" s="1631" t="str">
        <f t="shared" si="293"/>
        <v>Q2</v>
      </c>
      <c r="AW75" s="1631" t="str">
        <f t="shared" si="293"/>
        <v>Q3</v>
      </c>
      <c r="AX75" s="1632" t="str">
        <f t="shared" si="293"/>
        <v>Q4</v>
      </c>
      <c r="AY75" s="1630" t="str">
        <f t="shared" si="293"/>
        <v>Q1</v>
      </c>
      <c r="AZ75" s="1631" t="str">
        <f t="shared" si="293"/>
        <v>Q2</v>
      </c>
      <c r="BA75" s="1631" t="str">
        <f t="shared" si="293"/>
        <v>Q3</v>
      </c>
      <c r="BB75" s="1632" t="str">
        <f t="shared" si="293"/>
        <v>Q4</v>
      </c>
      <c r="BC75" s="1630" t="str">
        <f t="shared" si="293"/>
        <v>Q1</v>
      </c>
      <c r="BD75" s="1631" t="str">
        <f t="shared" si="293"/>
        <v>Q2</v>
      </c>
      <c r="BE75" s="1631" t="str">
        <f t="shared" si="293"/>
        <v>Q3</v>
      </c>
      <c r="BF75" s="1632" t="str">
        <f t="shared" si="293"/>
        <v>Q4</v>
      </c>
      <c r="BG75" s="1630" t="str">
        <f t="shared" si="293"/>
        <v>Q1</v>
      </c>
      <c r="BH75" s="1631" t="str">
        <f t="shared" si="293"/>
        <v>Q2</v>
      </c>
      <c r="BI75" s="1631" t="str">
        <f t="shared" si="293"/>
        <v>Q3</v>
      </c>
      <c r="BJ75" s="1632" t="str">
        <f>BJ59</f>
        <v>Q4</v>
      </c>
      <c r="BK75" s="1630" t="str">
        <f>BK59</f>
        <v>Q1</v>
      </c>
      <c r="BL75" s="1631" t="str">
        <f>BL59</f>
        <v>Q2</v>
      </c>
      <c r="BM75" s="1631" t="str">
        <f>BM59</f>
        <v>Q3</v>
      </c>
      <c r="BN75" s="1632" t="str">
        <f t="shared" ref="BN75:BV75" si="294">BN59</f>
        <v>Q4</v>
      </c>
      <c r="BO75" s="1630" t="str">
        <f t="shared" si="294"/>
        <v>Q1</v>
      </c>
      <c r="BP75" s="1631" t="str">
        <f t="shared" si="294"/>
        <v>Q2</v>
      </c>
      <c r="BQ75" s="1631" t="str">
        <f t="shared" si="294"/>
        <v>Q3</v>
      </c>
      <c r="BR75" s="1632" t="str">
        <f t="shared" si="294"/>
        <v>Q4</v>
      </c>
      <c r="BS75" s="1630" t="str">
        <f t="shared" si="294"/>
        <v>Q1</v>
      </c>
      <c r="BT75" s="1631" t="str">
        <f t="shared" si="294"/>
        <v>Q2</v>
      </c>
      <c r="BU75" s="1631" t="str">
        <f t="shared" si="294"/>
        <v>Q3</v>
      </c>
      <c r="BV75" s="1632" t="str">
        <f t="shared" si="294"/>
        <v>Q4</v>
      </c>
      <c r="BW75" s="1630" t="str">
        <f t="shared" ref="BW75:CB75" si="295">BW59</f>
        <v>Q1</v>
      </c>
      <c r="BX75" s="1631" t="str">
        <f t="shared" si="295"/>
        <v>Q2</v>
      </c>
      <c r="BY75" s="1631" t="str">
        <f t="shared" si="295"/>
        <v>Q3</v>
      </c>
      <c r="BZ75" s="1632" t="str">
        <f t="shared" si="295"/>
        <v>Q4</v>
      </c>
      <c r="CA75" s="1631" t="str">
        <f t="shared" si="295"/>
        <v>Q1</v>
      </c>
      <c r="CB75" s="1631" t="str">
        <f t="shared" si="295"/>
        <v>Q2</v>
      </c>
      <c r="CC75" s="1631" t="str">
        <f>CC59</f>
        <v>Q3</v>
      </c>
      <c r="CD75" s="1632" t="str">
        <f>CD59</f>
        <v>Q4</v>
      </c>
      <c r="CE75" s="1631" t="str">
        <f>CE59</f>
        <v>Q1</v>
      </c>
      <c r="CF75" s="1631" t="str">
        <f>CF59</f>
        <v>Q2</v>
      </c>
      <c r="CG75" s="1631" t="str">
        <f t="shared" ref="CG75:CL75" si="296">CG59</f>
        <v>Q3</v>
      </c>
      <c r="CH75" s="1632" t="str">
        <f>CH59</f>
        <v>Q4</v>
      </c>
      <c r="CI75" s="1631" t="str">
        <f>CI59</f>
        <v>Q1</v>
      </c>
      <c r="CJ75" s="1631" t="str">
        <f>CJ59</f>
        <v>Q2</v>
      </c>
      <c r="CK75" s="1631" t="str">
        <f t="shared" si="296"/>
        <v>Q3</v>
      </c>
      <c r="CL75" s="1631" t="str">
        <f t="shared" si="296"/>
        <v>Q4</v>
      </c>
      <c r="CM75" s="1631" t="str">
        <f>CM59</f>
        <v>Q1</v>
      </c>
      <c r="CN75" s="1631" t="str">
        <f>CN59</f>
        <v>Q2</v>
      </c>
      <c r="CO75" s="1631" t="str">
        <f>CO59</f>
        <v>Q3</v>
      </c>
      <c r="CP75" s="1631" t="str">
        <f t="shared" ref="CP75" si="297">CP59</f>
        <v>Q4</v>
      </c>
      <c r="CQ75" s="1631" t="str">
        <f>CQ59</f>
        <v>Q1</v>
      </c>
      <c r="CR75" s="1631" t="str">
        <f>CR59</f>
        <v>Q2</v>
      </c>
      <c r="CS75" s="1631" t="str">
        <f>CS59</f>
        <v>Q3</v>
      </c>
      <c r="CT75" s="1631" t="str">
        <f t="shared" ref="CT75" si="298">CT59</f>
        <v>Q4</v>
      </c>
      <c r="CU75" s="1631" t="str">
        <f t="shared" ref="CU75:CX75" si="299">CU59</f>
        <v>Q1</v>
      </c>
      <c r="CV75" s="1631" t="str">
        <f>CV59</f>
        <v>Q2</v>
      </c>
      <c r="CW75" s="1631" t="str">
        <f t="shared" si="299"/>
        <v>Q3</v>
      </c>
      <c r="CX75" s="1631" t="str">
        <f t="shared" si="299"/>
        <v>Q4</v>
      </c>
      <c r="CY75" s="1631" t="str">
        <f t="shared" ref="CY75:DB75" si="300">CY59</f>
        <v>Q1</v>
      </c>
      <c r="CZ75" s="1631" t="str">
        <f t="shared" si="300"/>
        <v>Q2</v>
      </c>
      <c r="DA75" s="1631" t="str">
        <f t="shared" si="300"/>
        <v>Q3</v>
      </c>
      <c r="DB75" s="1631" t="str">
        <f t="shared" si="300"/>
        <v>Q4</v>
      </c>
      <c r="DC75" s="1631" t="str">
        <f t="shared" ref="DC75:DF75" si="301">DC59</f>
        <v>Q1</v>
      </c>
      <c r="DD75" s="1631" t="str">
        <f t="shared" si="301"/>
        <v>Q2</v>
      </c>
      <c r="DE75" s="1631" t="str">
        <f t="shared" si="301"/>
        <v>Q3</v>
      </c>
      <c r="DF75" s="1631" t="str">
        <f t="shared" si="301"/>
        <v>Q4</v>
      </c>
    </row>
    <row r="76" spans="1:110" ht="12.75" hidden="1" customHeight="1">
      <c r="A76" s="701"/>
      <c r="C76" s="966"/>
      <c r="E76" s="217" t="s">
        <v>1420</v>
      </c>
      <c r="H76" s="217" t="e">
        <f t="shared" ref="H76:N76" si="302">(H60/G60-1)*100</f>
        <v>#VALUE!</v>
      </c>
      <c r="I76" s="217" t="e">
        <f t="shared" si="302"/>
        <v>#VALUE!</v>
      </c>
      <c r="J76" s="217" t="e">
        <f t="shared" si="302"/>
        <v>#VALUE!</v>
      </c>
      <c r="K76" s="217" t="e">
        <f t="shared" si="302"/>
        <v>#VALUE!</v>
      </c>
      <c r="L76" s="217" t="e">
        <f t="shared" si="302"/>
        <v>#VALUE!</v>
      </c>
      <c r="M76" s="217" t="e">
        <f t="shared" si="302"/>
        <v>#VALUE!</v>
      </c>
      <c r="N76" s="217" t="e">
        <f t="shared" si="302"/>
        <v>#VALUE!</v>
      </c>
      <c r="O76" s="217" t="e">
        <f t="shared" ref="O76:BJ76" si="303">(O60/N60-1)*100</f>
        <v>#VALUE!</v>
      </c>
      <c r="P76" s="217" t="e">
        <f t="shared" si="303"/>
        <v>#VALUE!</v>
      </c>
      <c r="Q76" s="217" t="e">
        <f t="shared" si="303"/>
        <v>#VALUE!</v>
      </c>
      <c r="R76" s="217" t="e">
        <f t="shared" si="303"/>
        <v>#VALUE!</v>
      </c>
      <c r="S76" s="217" t="e">
        <f t="shared" si="303"/>
        <v>#VALUE!</v>
      </c>
      <c r="T76" s="217" t="e">
        <f t="shared" si="303"/>
        <v>#VALUE!</v>
      </c>
      <c r="U76" s="217" t="e">
        <f t="shared" si="303"/>
        <v>#VALUE!</v>
      </c>
      <c r="V76" s="217" t="e">
        <f t="shared" si="303"/>
        <v>#VALUE!</v>
      </c>
      <c r="W76" s="217" t="e">
        <f t="shared" si="303"/>
        <v>#VALUE!</v>
      </c>
      <c r="X76" s="217" t="e">
        <f t="shared" si="303"/>
        <v>#VALUE!</v>
      </c>
      <c r="Y76" s="217" t="e">
        <f t="shared" si="303"/>
        <v>#VALUE!</v>
      </c>
      <c r="Z76" s="217" t="e">
        <f t="shared" si="303"/>
        <v>#VALUE!</v>
      </c>
      <c r="AA76" s="217" t="e">
        <f t="shared" si="303"/>
        <v>#VALUE!</v>
      </c>
      <c r="AB76" s="217" t="e">
        <f t="shared" si="303"/>
        <v>#VALUE!</v>
      </c>
      <c r="AC76" s="217" t="e">
        <f t="shared" si="303"/>
        <v>#VALUE!</v>
      </c>
      <c r="AD76" s="217" t="e">
        <f t="shared" si="303"/>
        <v>#VALUE!</v>
      </c>
      <c r="AE76" s="217" t="e">
        <f t="shared" si="303"/>
        <v>#VALUE!</v>
      </c>
      <c r="AF76" s="217" t="e">
        <f t="shared" si="303"/>
        <v>#VALUE!</v>
      </c>
      <c r="AG76" s="217" t="e">
        <f t="shared" si="303"/>
        <v>#VALUE!</v>
      </c>
      <c r="AH76" s="217" t="e">
        <f t="shared" si="303"/>
        <v>#VALUE!</v>
      </c>
      <c r="AI76" s="217" t="e">
        <f t="shared" si="303"/>
        <v>#VALUE!</v>
      </c>
      <c r="AJ76" s="217" t="e">
        <f t="shared" si="303"/>
        <v>#VALUE!</v>
      </c>
      <c r="AK76" s="217" t="e">
        <f t="shared" si="303"/>
        <v>#VALUE!</v>
      </c>
      <c r="AL76" s="217" t="e">
        <f t="shared" si="303"/>
        <v>#VALUE!</v>
      </c>
      <c r="AM76" s="217" t="e">
        <f t="shared" si="303"/>
        <v>#VALUE!</v>
      </c>
      <c r="AN76" s="217" t="e">
        <f t="shared" si="303"/>
        <v>#VALUE!</v>
      </c>
      <c r="AO76" s="217" t="e">
        <f t="shared" si="303"/>
        <v>#VALUE!</v>
      </c>
      <c r="AP76" s="217" t="e">
        <f t="shared" si="303"/>
        <v>#VALUE!</v>
      </c>
      <c r="AQ76" s="217" t="e">
        <f t="shared" si="303"/>
        <v>#VALUE!</v>
      </c>
      <c r="AR76" s="217" t="e">
        <f t="shared" si="303"/>
        <v>#VALUE!</v>
      </c>
      <c r="AS76" s="217" t="e">
        <f t="shared" si="303"/>
        <v>#VALUE!</v>
      </c>
      <c r="AT76" s="217" t="e">
        <f t="shared" si="303"/>
        <v>#VALUE!</v>
      </c>
      <c r="AU76" s="217" t="e">
        <f t="shared" si="303"/>
        <v>#VALUE!</v>
      </c>
      <c r="AV76" s="217" t="e">
        <f t="shared" si="303"/>
        <v>#VALUE!</v>
      </c>
      <c r="AW76" s="217" t="e">
        <f t="shared" si="303"/>
        <v>#VALUE!</v>
      </c>
      <c r="AX76" s="217" t="e">
        <f t="shared" si="303"/>
        <v>#VALUE!</v>
      </c>
      <c r="AY76" s="217" t="e">
        <f t="shared" si="303"/>
        <v>#VALUE!</v>
      </c>
      <c r="AZ76" s="217" t="e">
        <f t="shared" si="303"/>
        <v>#VALUE!</v>
      </c>
      <c r="BA76" s="217" t="e">
        <f t="shared" si="303"/>
        <v>#VALUE!</v>
      </c>
      <c r="BB76" s="217" t="e">
        <f t="shared" si="303"/>
        <v>#VALUE!</v>
      </c>
      <c r="BC76" s="217" t="e">
        <f t="shared" si="303"/>
        <v>#VALUE!</v>
      </c>
      <c r="BD76" s="217" t="e">
        <f t="shared" si="303"/>
        <v>#VALUE!</v>
      </c>
      <c r="BE76" s="217" t="e">
        <f t="shared" si="303"/>
        <v>#VALUE!</v>
      </c>
      <c r="BF76" s="217" t="e">
        <f t="shared" si="303"/>
        <v>#VALUE!</v>
      </c>
      <c r="BG76" s="217" t="e">
        <f t="shared" si="303"/>
        <v>#VALUE!</v>
      </c>
      <c r="BH76" s="217" t="e">
        <f t="shared" si="303"/>
        <v>#VALUE!</v>
      </c>
      <c r="BI76" s="217" t="e">
        <f t="shared" si="303"/>
        <v>#VALUE!</v>
      </c>
      <c r="BJ76" s="217" t="e">
        <f t="shared" si="303"/>
        <v>#VALUE!</v>
      </c>
      <c r="BK76" s="217" t="e">
        <f t="shared" ref="BK76:BR76" si="304">(BK60/BJ60-1)*100</f>
        <v>#VALUE!</v>
      </c>
      <c r="BL76" s="217" t="e">
        <f t="shared" si="304"/>
        <v>#VALUE!</v>
      </c>
      <c r="BM76" s="217" t="e">
        <f t="shared" si="304"/>
        <v>#VALUE!</v>
      </c>
      <c r="BN76" s="217" t="e">
        <f t="shared" si="304"/>
        <v>#VALUE!</v>
      </c>
      <c r="BO76" s="217" t="e">
        <f t="shared" si="304"/>
        <v>#VALUE!</v>
      </c>
      <c r="BP76" s="217" t="e">
        <f t="shared" si="304"/>
        <v>#VALUE!</v>
      </c>
      <c r="BQ76" s="217" t="e">
        <f t="shared" si="304"/>
        <v>#VALUE!</v>
      </c>
      <c r="BR76" s="217" t="e">
        <f t="shared" si="304"/>
        <v>#VALUE!</v>
      </c>
      <c r="BS76" s="217" t="e">
        <f t="shared" ref="BS76:BZ76" si="305">(BS60/BR60-1)*100</f>
        <v>#VALUE!</v>
      </c>
      <c r="BT76" s="217" t="e">
        <f t="shared" si="305"/>
        <v>#VALUE!</v>
      </c>
      <c r="BU76" s="217" t="e">
        <f t="shared" si="305"/>
        <v>#VALUE!</v>
      </c>
      <c r="BV76" s="217" t="e">
        <f t="shared" si="305"/>
        <v>#VALUE!</v>
      </c>
      <c r="BW76" s="217" t="e">
        <f t="shared" si="305"/>
        <v>#VALUE!</v>
      </c>
      <c r="BX76" s="217" t="e">
        <f t="shared" si="305"/>
        <v>#VALUE!</v>
      </c>
      <c r="BY76" s="217" t="e">
        <f t="shared" si="305"/>
        <v>#VALUE!</v>
      </c>
      <c r="BZ76" s="217" t="e">
        <f t="shared" si="305"/>
        <v>#VALUE!</v>
      </c>
      <c r="CA76" s="777">
        <v>0</v>
      </c>
      <c r="CB76" s="777">
        <v>0</v>
      </c>
      <c r="CC76" s="217" t="e">
        <f>(CC60/CB60-1)*100</f>
        <v>#VALUE!</v>
      </c>
      <c r="CD76" s="217" t="e">
        <f>(CD60/CC60-1)*100</f>
        <v>#VALUE!</v>
      </c>
      <c r="CE76" s="777">
        <v>0</v>
      </c>
      <c r="CF76" s="777">
        <v>0</v>
      </c>
      <c r="CG76" s="777">
        <v>0</v>
      </c>
      <c r="CH76" s="217" t="e">
        <f>(CH60/CG60-1)*100</f>
        <v>#VALUE!</v>
      </c>
      <c r="CI76" s="777">
        <v>0</v>
      </c>
      <c r="CJ76" s="777">
        <v>0</v>
      </c>
      <c r="CK76" s="777">
        <v>0</v>
      </c>
      <c r="CL76" s="777">
        <v>0</v>
      </c>
      <c r="CM76" s="777">
        <v>0</v>
      </c>
      <c r="CN76" s="777">
        <v>0</v>
      </c>
      <c r="CO76" s="777">
        <v>0</v>
      </c>
      <c r="CP76" s="777">
        <v>0</v>
      </c>
      <c r="CQ76" s="777">
        <v>0</v>
      </c>
      <c r="CR76" s="777">
        <v>0</v>
      </c>
      <c r="CS76" s="777">
        <v>0</v>
      </c>
      <c r="CT76" s="777">
        <v>0</v>
      </c>
      <c r="CU76" s="777">
        <v>0</v>
      </c>
      <c r="CV76" s="777">
        <v>0</v>
      </c>
      <c r="CW76" s="777">
        <v>0</v>
      </c>
      <c r="CX76" s="777">
        <v>0</v>
      </c>
      <c r="CY76" s="777">
        <v>0</v>
      </c>
      <c r="CZ76" s="777">
        <v>0</v>
      </c>
      <c r="DA76" s="777">
        <v>0</v>
      </c>
      <c r="DB76" s="777">
        <v>0</v>
      </c>
      <c r="DC76" s="777">
        <v>0</v>
      </c>
      <c r="DD76" s="777">
        <v>0</v>
      </c>
      <c r="DE76" s="777">
        <v>0</v>
      </c>
      <c r="DF76" s="777">
        <v>0</v>
      </c>
    </row>
    <row r="77" spans="1:110" ht="12.75" hidden="1" customHeight="1">
      <c r="C77" s="3174"/>
      <c r="D77" s="754"/>
      <c r="E77" s="3169" t="s">
        <v>353</v>
      </c>
      <c r="F77" s="961"/>
      <c r="G77" s="2931"/>
      <c r="H77" s="2931"/>
      <c r="I77" s="2931"/>
      <c r="J77" s="2931"/>
      <c r="K77" s="2931"/>
      <c r="L77" s="2931"/>
      <c r="M77" s="2931"/>
      <c r="N77" s="1660" t="e">
        <f>N61/J61*100-100</f>
        <v>#VALUE!</v>
      </c>
      <c r="O77" s="2931"/>
      <c r="P77" s="2931"/>
      <c r="Q77" s="2931"/>
      <c r="R77" s="1660" t="e">
        <f>R61/N61*100-100</f>
        <v>#VALUE!</v>
      </c>
      <c r="S77" s="2931"/>
      <c r="T77" s="2931"/>
      <c r="U77" s="2931"/>
      <c r="V77" s="1660" t="e">
        <f>V61/R61*100-100</f>
        <v>#VALUE!</v>
      </c>
      <c r="W77" s="2931"/>
      <c r="X77" s="2931"/>
      <c r="Y77" s="2931"/>
      <c r="Z77" s="1660" t="e">
        <f>Z61/V61*100-100</f>
        <v>#VALUE!</v>
      </c>
      <c r="AA77" s="2931"/>
      <c r="AB77" s="2931"/>
      <c r="AC77" s="2931"/>
      <c r="AD77" s="1660" t="e">
        <f>AD61/Z61*100-100</f>
        <v>#VALUE!</v>
      </c>
      <c r="AE77" s="2931"/>
      <c r="AF77" s="2931"/>
      <c r="AG77" s="2931"/>
      <c r="AH77" s="1660" t="e">
        <f>AH61/AD61*100-100</f>
        <v>#VALUE!</v>
      </c>
      <c r="AI77" s="2931"/>
      <c r="AJ77" s="2931"/>
      <c r="AK77" s="2931"/>
      <c r="AL77" s="1660" t="e">
        <f>AL61/AH61*100-100</f>
        <v>#VALUE!</v>
      </c>
      <c r="AM77" s="2931"/>
      <c r="AN77" s="2931"/>
      <c r="AO77" s="2931"/>
      <c r="AP77" s="1660" t="e">
        <f>AP61/AL61*100-100</f>
        <v>#VALUE!</v>
      </c>
      <c r="AQ77" s="2931"/>
      <c r="AR77" s="2931"/>
      <c r="AS77" s="2931"/>
      <c r="AT77" s="1660" t="e">
        <f>AT61/AP61*100-100</f>
        <v>#VALUE!</v>
      </c>
      <c r="AU77" s="2931"/>
      <c r="AV77" s="2931"/>
      <c r="AW77" s="2931"/>
      <c r="AX77" s="1660" t="e">
        <f>AX61/AT61*100-100</f>
        <v>#VALUE!</v>
      </c>
      <c r="AY77" s="2931"/>
      <c r="AZ77" s="2931"/>
      <c r="BA77" s="2931"/>
      <c r="BB77" s="1660" t="e">
        <f>BB61/AX61*100-100</f>
        <v>#VALUE!</v>
      </c>
      <c r="BC77" s="2931"/>
      <c r="BD77" s="2931"/>
      <c r="BE77" s="2931"/>
      <c r="BF77" s="1660" t="e">
        <f>BF61/BB61*100-100</f>
        <v>#VALUE!</v>
      </c>
      <c r="BG77" s="2931"/>
      <c r="BH77" s="2931"/>
      <c r="BI77" s="2931"/>
      <c r="BJ77" s="1660" t="e">
        <f>BJ61/BF61*100-100</f>
        <v>#VALUE!</v>
      </c>
      <c r="BK77" s="2931"/>
      <c r="BL77" s="2931"/>
      <c r="BM77" s="2931"/>
      <c r="BN77" s="1660" t="e">
        <f>BN61/BJ61*100-100</f>
        <v>#VALUE!</v>
      </c>
      <c r="BO77" s="2931"/>
      <c r="BP77" s="2931"/>
      <c r="BQ77" s="2931"/>
      <c r="BR77" s="1660" t="e">
        <f>BR61/BN61*100-100</f>
        <v>#VALUE!</v>
      </c>
      <c r="BS77" s="2931"/>
      <c r="BT77" s="2931"/>
      <c r="BU77" s="2931"/>
      <c r="BV77" s="1660" t="e">
        <f>BV61/BR61*100-100</f>
        <v>#VALUE!</v>
      </c>
      <c r="BW77" s="2931"/>
      <c r="BX77" s="2931"/>
      <c r="BY77" s="2931"/>
      <c r="BZ77" s="1660" t="e">
        <f>BZ61/BV61*100-100</f>
        <v>#VALUE!</v>
      </c>
      <c r="CA77" s="2931"/>
      <c r="CB77" s="2931"/>
      <c r="CC77" s="2931"/>
      <c r="CD77" s="1660" t="e">
        <f>CD61/BZ61*100-100</f>
        <v>#VALUE!</v>
      </c>
      <c r="CE77" s="2931"/>
      <c r="CF77" s="2931"/>
      <c r="CG77" s="2931"/>
      <c r="CH77" s="1660" t="e">
        <f>CH61/CD61*100-100</f>
        <v>#VALUE!</v>
      </c>
      <c r="CI77" s="2931"/>
      <c r="CJ77" s="2931"/>
      <c r="CK77" s="2931"/>
      <c r="CL77" s="1662" t="e">
        <f>CL61/CH61*100-100</f>
        <v>#VALUE!</v>
      </c>
      <c r="CM77" s="2931"/>
      <c r="CN77" s="2931"/>
      <c r="CO77" s="2931"/>
      <c r="CP77" s="1662" t="e">
        <f>CP61/CL61*100-100</f>
        <v>#VALUE!</v>
      </c>
      <c r="CQ77" s="2931"/>
      <c r="CR77" s="2931"/>
      <c r="CS77" s="2931"/>
      <c r="CT77" s="1662" t="e">
        <f>CT61/CP61*100-100</f>
        <v>#VALUE!</v>
      </c>
      <c r="CU77" s="2931"/>
      <c r="CV77" s="2931"/>
      <c r="CW77" s="2931"/>
      <c r="CX77" s="1662" t="e">
        <f>CX61/CT61*100-100</f>
        <v>#VALUE!</v>
      </c>
      <c r="CY77" s="2931"/>
      <c r="CZ77" s="2931"/>
      <c r="DA77" s="2931"/>
      <c r="DB77" s="1662" t="e">
        <f>DB61/CX61*100-100</f>
        <v>#VALUE!</v>
      </c>
      <c r="DC77" s="2931"/>
      <c r="DD77" s="2931"/>
      <c r="DE77" s="2931"/>
      <c r="DF77" s="1662" t="e">
        <f>DF61/DB61*100-100</f>
        <v>#VALUE!</v>
      </c>
    </row>
    <row r="78" spans="1:110" ht="12.75" hidden="1" customHeight="1">
      <c r="C78" s="3174"/>
      <c r="D78" s="754"/>
      <c r="E78" s="3169" t="s">
        <v>136</v>
      </c>
      <c r="F78" s="961"/>
      <c r="G78" s="2931"/>
      <c r="H78" s="2931"/>
      <c r="I78" s="2931"/>
      <c r="J78" s="2931"/>
      <c r="K78" s="2931"/>
      <c r="L78" s="2931"/>
      <c r="M78" s="2931"/>
      <c r="N78" s="1651">
        <f ca="1">N62/J62*100-100</f>
        <v>12.540643397318107</v>
      </c>
      <c r="O78" s="2931"/>
      <c r="P78" s="2931"/>
      <c r="Q78" s="2931"/>
      <c r="R78" s="1651">
        <f ca="1">R62/N62*100-100</f>
        <v>3.7769246382375314</v>
      </c>
      <c r="S78" s="2931"/>
      <c r="T78" s="2931"/>
      <c r="U78" s="2931"/>
      <c r="V78" s="1651">
        <f ca="1">V62/R62*100-100</f>
        <v>9.972859741490538</v>
      </c>
      <c r="W78" s="2931"/>
      <c r="X78" s="2931"/>
      <c r="Y78" s="2931"/>
      <c r="Z78" s="1651">
        <f ca="1">Z62/V62*100-100</f>
        <v>11.913105873038248</v>
      </c>
      <c r="AA78" s="2931"/>
      <c r="AB78" s="2931"/>
      <c r="AC78" s="2931"/>
      <c r="AD78" s="1651">
        <f ca="1">AD62/Z62*100-100</f>
        <v>2.2239089667472456</v>
      </c>
      <c r="AE78" s="2931"/>
      <c r="AF78" s="2931"/>
      <c r="AG78" s="2931"/>
      <c r="AH78" s="1651">
        <f ca="1">AH62/AD62*100-100</f>
        <v>-0.87857569222666143</v>
      </c>
      <c r="AI78" s="2931"/>
      <c r="AJ78" s="2931"/>
      <c r="AK78" s="2931"/>
      <c r="AL78" s="1651">
        <f ca="1">AL62/AH62*100-100</f>
        <v>-3.9965262848736245</v>
      </c>
      <c r="AM78" s="2931"/>
      <c r="AN78" s="2931"/>
      <c r="AO78" s="2931"/>
      <c r="AP78" s="1651">
        <f ca="1">AP62/AL62*100-100</f>
        <v>5.2710246344558556</v>
      </c>
      <c r="AQ78" s="2931"/>
      <c r="AR78" s="2931"/>
      <c r="AS78" s="2931"/>
      <c r="AT78" s="1651">
        <f ca="1">AT62/AP62*100-100</f>
        <v>3.6122920822580653</v>
      </c>
      <c r="AU78" s="2931"/>
      <c r="AV78" s="2931"/>
      <c r="AW78" s="2931"/>
      <c r="AX78" s="1651">
        <f ca="1">AX62/AT62*100-100</f>
        <v>11.131667390450147</v>
      </c>
      <c r="AY78" s="2931"/>
      <c r="AZ78" s="2931"/>
      <c r="BA78" s="2931"/>
      <c r="BB78" s="1651">
        <f ca="1">BB62/AX62*100-100</f>
        <v>8.7664249181694345</v>
      </c>
      <c r="BC78" s="2931"/>
      <c r="BD78" s="2931"/>
      <c r="BE78" s="2931"/>
      <c r="BF78" s="1651">
        <f ca="1">BF62/BB62*100-100</f>
        <v>11.869830162672642</v>
      </c>
      <c r="BG78" s="2931"/>
      <c r="BH78" s="2931"/>
      <c r="BI78" s="2931"/>
      <c r="BJ78" s="1651">
        <f ca="1">BJ62/BF62*100-100</f>
        <v>4.1807315782653092</v>
      </c>
      <c r="BK78" s="2931"/>
      <c r="BL78" s="2931"/>
      <c r="BM78" s="2931"/>
      <c r="BN78" s="1651">
        <f ca="1">BN62/BJ62*100-100</f>
        <v>-21.619524388648145</v>
      </c>
      <c r="BO78" s="2931"/>
      <c r="BP78" s="2931"/>
      <c r="BQ78" s="2931"/>
      <c r="BR78" s="1651">
        <f ca="1">BR62/BN62*100-100</f>
        <v>10.818488631783268</v>
      </c>
      <c r="BS78" s="2931"/>
      <c r="BT78" s="2931"/>
      <c r="BU78" s="2931"/>
      <c r="BV78" s="1651">
        <f ca="1">BV62/BR62*100-100</f>
        <v>12.423004648402738</v>
      </c>
      <c r="BW78" s="2931"/>
      <c r="BX78" s="2931"/>
      <c r="BY78" s="2931"/>
      <c r="BZ78" s="1651">
        <f ca="1">BZ62/BV62*100-100</f>
        <v>2.8001572961945413</v>
      </c>
      <c r="CA78" s="2931"/>
      <c r="CB78" s="2931"/>
      <c r="CC78" s="2931"/>
      <c r="CD78" s="1651">
        <f ca="1">CD62/BZ62*100-100</f>
        <v>6.3871229795211093E-2</v>
      </c>
      <c r="CE78" s="2931"/>
      <c r="CF78" s="2931"/>
      <c r="CG78" s="2931"/>
      <c r="CH78" s="1651">
        <f ca="1">CH62/CD62*100-100</f>
        <v>-1.1404028957867638</v>
      </c>
      <c r="CI78" s="2931"/>
      <c r="CJ78" s="2931"/>
      <c r="CK78" s="2931"/>
      <c r="CL78" s="1664">
        <f ca="1">CL62/CH62*100-100</f>
        <v>5.0835743442426633</v>
      </c>
      <c r="CM78" s="2931"/>
      <c r="CN78" s="2931"/>
      <c r="CO78" s="2931"/>
      <c r="CP78" s="1664">
        <f ca="1">CP62/CL62*100-100</f>
        <v>5.2819707262130322</v>
      </c>
      <c r="CQ78" s="2931"/>
      <c r="CR78" s="2931"/>
      <c r="CS78" s="2931"/>
      <c r="CT78" s="1664">
        <f ca="1">CT62/CP62*100-100</f>
        <v>5.7518402425732233</v>
      </c>
      <c r="CU78" s="2931"/>
      <c r="CV78" s="2931"/>
      <c r="CW78" s="2931"/>
      <c r="CX78" s="1664">
        <f ca="1">CX62/CT62*100-100</f>
        <v>4.6999999999999886</v>
      </c>
      <c r="CY78" s="2931"/>
      <c r="CZ78" s="2931"/>
      <c r="DA78" s="2931"/>
      <c r="DB78" s="1664">
        <f ca="1">DB62/CX62*100-100</f>
        <v>4.25</v>
      </c>
      <c r="DC78" s="2931"/>
      <c r="DD78" s="2931"/>
      <c r="DE78" s="2931"/>
      <c r="DF78" s="1664">
        <f ca="1">DF62/DB62*100-100</f>
        <v>3.5500000000000114</v>
      </c>
    </row>
    <row r="79" spans="1:110" ht="12.75" hidden="1" customHeight="1">
      <c r="C79" s="3174"/>
      <c r="D79" s="711"/>
      <c r="E79" s="220" t="s">
        <v>1421</v>
      </c>
      <c r="F79" s="747"/>
      <c r="G79" s="2930"/>
      <c r="H79" s="2930" t="e">
        <f t="shared" ref="H79:N79" si="306">(H63/G63-1)*100</f>
        <v>#VALUE!</v>
      </c>
      <c r="I79" s="2930" t="e">
        <f t="shared" si="306"/>
        <v>#VALUE!</v>
      </c>
      <c r="J79" s="2930" t="e">
        <f t="shared" si="306"/>
        <v>#VALUE!</v>
      </c>
      <c r="K79" s="2930" t="e">
        <f t="shared" si="306"/>
        <v>#VALUE!</v>
      </c>
      <c r="L79" s="2930" t="e">
        <f t="shared" si="306"/>
        <v>#VALUE!</v>
      </c>
      <c r="M79" s="2930" t="e">
        <f t="shared" si="306"/>
        <v>#VALUE!</v>
      </c>
      <c r="N79" s="2930" t="e">
        <f t="shared" si="306"/>
        <v>#VALUE!</v>
      </c>
      <c r="O79" s="2930" t="e">
        <f t="shared" ref="O79:BJ79" si="307">(O63/N63-1)*100</f>
        <v>#VALUE!</v>
      </c>
      <c r="P79" s="2930" t="e">
        <f t="shared" si="307"/>
        <v>#VALUE!</v>
      </c>
      <c r="Q79" s="2930" t="e">
        <f t="shared" si="307"/>
        <v>#VALUE!</v>
      </c>
      <c r="R79" s="2930" t="e">
        <f t="shared" si="307"/>
        <v>#VALUE!</v>
      </c>
      <c r="S79" s="2930" t="e">
        <f t="shared" si="307"/>
        <v>#VALUE!</v>
      </c>
      <c r="T79" s="2930" t="e">
        <f t="shared" si="307"/>
        <v>#VALUE!</v>
      </c>
      <c r="U79" s="2930" t="e">
        <f t="shared" si="307"/>
        <v>#VALUE!</v>
      </c>
      <c r="V79" s="2930" t="e">
        <f t="shared" si="307"/>
        <v>#VALUE!</v>
      </c>
      <c r="W79" s="2930" t="e">
        <f t="shared" si="307"/>
        <v>#VALUE!</v>
      </c>
      <c r="X79" s="2930" t="e">
        <f t="shared" si="307"/>
        <v>#VALUE!</v>
      </c>
      <c r="Y79" s="2930" t="e">
        <f t="shared" si="307"/>
        <v>#VALUE!</v>
      </c>
      <c r="Z79" s="2930" t="e">
        <f t="shared" si="307"/>
        <v>#VALUE!</v>
      </c>
      <c r="AA79" s="2930" t="e">
        <f t="shared" si="307"/>
        <v>#VALUE!</v>
      </c>
      <c r="AB79" s="2930" t="e">
        <f t="shared" si="307"/>
        <v>#VALUE!</v>
      </c>
      <c r="AC79" s="2930" t="e">
        <f t="shared" si="307"/>
        <v>#VALUE!</v>
      </c>
      <c r="AD79" s="2930" t="e">
        <f t="shared" si="307"/>
        <v>#VALUE!</v>
      </c>
      <c r="AE79" s="2930" t="e">
        <f t="shared" si="307"/>
        <v>#VALUE!</v>
      </c>
      <c r="AF79" s="2930" t="e">
        <f t="shared" si="307"/>
        <v>#VALUE!</v>
      </c>
      <c r="AG79" s="2930" t="e">
        <f t="shared" si="307"/>
        <v>#VALUE!</v>
      </c>
      <c r="AH79" s="2930" t="e">
        <f t="shared" si="307"/>
        <v>#VALUE!</v>
      </c>
      <c r="AI79" s="2930" t="e">
        <f t="shared" si="307"/>
        <v>#VALUE!</v>
      </c>
      <c r="AJ79" s="2930" t="e">
        <f t="shared" si="307"/>
        <v>#VALUE!</v>
      </c>
      <c r="AK79" s="2930" t="e">
        <f t="shared" si="307"/>
        <v>#VALUE!</v>
      </c>
      <c r="AL79" s="2930" t="e">
        <f t="shared" si="307"/>
        <v>#VALUE!</v>
      </c>
      <c r="AM79" s="2930" t="e">
        <f t="shared" si="307"/>
        <v>#VALUE!</v>
      </c>
      <c r="AN79" s="2930" t="e">
        <f t="shared" si="307"/>
        <v>#VALUE!</v>
      </c>
      <c r="AO79" s="2930" t="e">
        <f t="shared" si="307"/>
        <v>#VALUE!</v>
      </c>
      <c r="AP79" s="2930" t="e">
        <f t="shared" si="307"/>
        <v>#VALUE!</v>
      </c>
      <c r="AQ79" s="2930" t="e">
        <f t="shared" si="307"/>
        <v>#VALUE!</v>
      </c>
      <c r="AR79" s="2930" t="e">
        <f t="shared" si="307"/>
        <v>#VALUE!</v>
      </c>
      <c r="AS79" s="2930" t="e">
        <f t="shared" si="307"/>
        <v>#VALUE!</v>
      </c>
      <c r="AT79" s="2930" t="e">
        <f t="shared" si="307"/>
        <v>#VALUE!</v>
      </c>
      <c r="AU79" s="2930" t="e">
        <f t="shared" si="307"/>
        <v>#VALUE!</v>
      </c>
      <c r="AV79" s="2930" t="e">
        <f t="shared" si="307"/>
        <v>#VALUE!</v>
      </c>
      <c r="AW79" s="2930" t="e">
        <f t="shared" si="307"/>
        <v>#VALUE!</v>
      </c>
      <c r="AX79" s="2930" t="e">
        <f t="shared" si="307"/>
        <v>#VALUE!</v>
      </c>
      <c r="AY79" s="2930" t="e">
        <f t="shared" si="307"/>
        <v>#VALUE!</v>
      </c>
      <c r="AZ79" s="2930" t="e">
        <f t="shared" si="307"/>
        <v>#VALUE!</v>
      </c>
      <c r="BA79" s="2930" t="e">
        <f t="shared" si="307"/>
        <v>#VALUE!</v>
      </c>
      <c r="BB79" s="2930" t="e">
        <f t="shared" si="307"/>
        <v>#VALUE!</v>
      </c>
      <c r="BC79" s="2930" t="e">
        <f t="shared" si="307"/>
        <v>#VALUE!</v>
      </c>
      <c r="BD79" s="2930" t="e">
        <f t="shared" si="307"/>
        <v>#VALUE!</v>
      </c>
      <c r="BE79" s="2930" t="e">
        <f t="shared" si="307"/>
        <v>#VALUE!</v>
      </c>
      <c r="BF79" s="2930" t="e">
        <f t="shared" si="307"/>
        <v>#VALUE!</v>
      </c>
      <c r="BG79" s="2930" t="e">
        <f t="shared" si="307"/>
        <v>#VALUE!</v>
      </c>
      <c r="BH79" s="2930" t="e">
        <f t="shared" si="307"/>
        <v>#VALUE!</v>
      </c>
      <c r="BI79" s="2930" t="e">
        <f t="shared" si="307"/>
        <v>#VALUE!</v>
      </c>
      <c r="BJ79" s="2930" t="e">
        <f t="shared" si="307"/>
        <v>#VALUE!</v>
      </c>
      <c r="BK79" s="2930" t="e">
        <f t="shared" ref="BK79:BR79" si="308">(BK63/BJ63-1)*100</f>
        <v>#VALUE!</v>
      </c>
      <c r="BL79" s="2930" t="e">
        <f t="shared" si="308"/>
        <v>#VALUE!</v>
      </c>
      <c r="BM79" s="2930" t="e">
        <f t="shared" si="308"/>
        <v>#VALUE!</v>
      </c>
      <c r="BN79" s="2930" t="e">
        <f t="shared" si="308"/>
        <v>#VALUE!</v>
      </c>
      <c r="BO79" s="2930" t="e">
        <f t="shared" si="308"/>
        <v>#VALUE!</v>
      </c>
      <c r="BP79" s="2930" t="e">
        <f t="shared" si="308"/>
        <v>#VALUE!</v>
      </c>
      <c r="BQ79" s="2930" t="e">
        <f t="shared" si="308"/>
        <v>#VALUE!</v>
      </c>
      <c r="BR79" s="2930" t="e">
        <f t="shared" si="308"/>
        <v>#VALUE!</v>
      </c>
      <c r="BS79" s="2930" t="e">
        <f t="shared" ref="BS79:BZ79" si="309">(BS63/BR63-1)*100</f>
        <v>#VALUE!</v>
      </c>
      <c r="BT79" s="2930" t="e">
        <f t="shared" si="309"/>
        <v>#VALUE!</v>
      </c>
      <c r="BU79" s="2930" t="e">
        <f t="shared" si="309"/>
        <v>#VALUE!</v>
      </c>
      <c r="BV79" s="2930" t="e">
        <f t="shared" si="309"/>
        <v>#VALUE!</v>
      </c>
      <c r="BW79" s="2930" t="e">
        <f t="shared" si="309"/>
        <v>#VALUE!</v>
      </c>
      <c r="BX79" s="2930" t="e">
        <f t="shared" si="309"/>
        <v>#VALUE!</v>
      </c>
      <c r="BY79" s="2930" t="e">
        <f t="shared" si="309"/>
        <v>#VALUE!</v>
      </c>
      <c r="BZ79" s="2930" t="e">
        <f t="shared" si="309"/>
        <v>#VALUE!</v>
      </c>
      <c r="CA79" s="2973">
        <v>0</v>
      </c>
      <c r="CB79" s="2973">
        <v>0</v>
      </c>
      <c r="CC79" s="2930" t="e">
        <f>(CC63/CB63-1)*100</f>
        <v>#VALUE!</v>
      </c>
      <c r="CD79" s="2930" t="e">
        <f>(CD63/CC63-1)*100</f>
        <v>#VALUE!</v>
      </c>
      <c r="CE79" s="2973">
        <v>0</v>
      </c>
      <c r="CF79" s="2973">
        <v>0</v>
      </c>
      <c r="CG79" s="2973">
        <v>0</v>
      </c>
      <c r="CH79" s="2930" t="e">
        <f>(CH63/CG63-1)*100</f>
        <v>#VALUE!</v>
      </c>
      <c r="CI79" s="2973">
        <v>0</v>
      </c>
      <c r="CJ79" s="2973">
        <v>0</v>
      </c>
      <c r="CK79" s="2973">
        <v>0</v>
      </c>
      <c r="CL79" s="777">
        <v>0</v>
      </c>
      <c r="CM79" s="2973">
        <v>0</v>
      </c>
      <c r="CN79" s="2973">
        <v>0</v>
      </c>
      <c r="CO79" s="2973">
        <v>0</v>
      </c>
      <c r="CP79" s="777">
        <v>0</v>
      </c>
      <c r="CQ79" s="2973">
        <v>0</v>
      </c>
      <c r="CR79" s="2973">
        <v>0</v>
      </c>
      <c r="CS79" s="2973">
        <v>0</v>
      </c>
      <c r="CT79" s="777">
        <v>0</v>
      </c>
      <c r="CU79" s="2973">
        <v>0</v>
      </c>
      <c r="CV79" s="2973">
        <v>0</v>
      </c>
      <c r="CW79" s="2973">
        <v>0</v>
      </c>
      <c r="CX79" s="777">
        <v>0</v>
      </c>
      <c r="CY79" s="2973">
        <v>0</v>
      </c>
      <c r="CZ79" s="2973">
        <v>0</v>
      </c>
      <c r="DA79" s="2973">
        <v>0</v>
      </c>
      <c r="DB79" s="777">
        <v>0</v>
      </c>
      <c r="DC79" s="2973">
        <v>0</v>
      </c>
      <c r="DD79" s="2973">
        <v>0</v>
      </c>
      <c r="DE79" s="2973">
        <v>0</v>
      </c>
      <c r="DF79" s="777">
        <v>0</v>
      </c>
    </row>
    <row r="80" spans="1:110" ht="12.75" hidden="1" customHeight="1">
      <c r="C80" s="3174"/>
      <c r="D80" s="754"/>
      <c r="E80" s="3169" t="s">
        <v>353</v>
      </c>
      <c r="F80" s="961"/>
      <c r="G80" s="2931"/>
      <c r="H80" s="2931"/>
      <c r="I80" s="2931"/>
      <c r="J80" s="2931"/>
      <c r="K80" s="2931"/>
      <c r="L80" s="2931"/>
      <c r="M80" s="2931"/>
      <c r="N80" s="1660" t="e">
        <f>N64/J64*100-100</f>
        <v>#VALUE!</v>
      </c>
      <c r="O80" s="2931"/>
      <c r="P80" s="2931"/>
      <c r="Q80" s="2931"/>
      <c r="R80" s="1660" t="e">
        <f>R64/N64*100-100</f>
        <v>#VALUE!</v>
      </c>
      <c r="S80" s="2931"/>
      <c r="T80" s="2931"/>
      <c r="U80" s="2931"/>
      <c r="V80" s="1660" t="e">
        <f>V64/R64*100-100</f>
        <v>#VALUE!</v>
      </c>
      <c r="W80" s="2931"/>
      <c r="X80" s="2931"/>
      <c r="Y80" s="2931"/>
      <c r="Z80" s="1660" t="e">
        <f>Z64/V64*100-100</f>
        <v>#VALUE!</v>
      </c>
      <c r="AA80" s="2931"/>
      <c r="AB80" s="2931"/>
      <c r="AC80" s="2931"/>
      <c r="AD80" s="1660" t="e">
        <f>AD64/Z64*100-100</f>
        <v>#VALUE!</v>
      </c>
      <c r="AE80" s="2931"/>
      <c r="AF80" s="2931"/>
      <c r="AG80" s="2931"/>
      <c r="AH80" s="1660" t="e">
        <f>AH64/AD64*100-100</f>
        <v>#VALUE!</v>
      </c>
      <c r="AI80" s="2931"/>
      <c r="AJ80" s="2931"/>
      <c r="AK80" s="2931"/>
      <c r="AL80" s="1660" t="e">
        <f>AL64/AH64*100-100</f>
        <v>#VALUE!</v>
      </c>
      <c r="AM80" s="2931"/>
      <c r="AN80" s="2931"/>
      <c r="AO80" s="2931"/>
      <c r="AP80" s="1660" t="e">
        <f>AP64/AL64*100-100</f>
        <v>#VALUE!</v>
      </c>
      <c r="AQ80" s="2931"/>
      <c r="AR80" s="2931"/>
      <c r="AS80" s="2931"/>
      <c r="AT80" s="1660" t="e">
        <f>AT64/AP64*100-100</f>
        <v>#VALUE!</v>
      </c>
      <c r="AU80" s="2931"/>
      <c r="AV80" s="2931"/>
      <c r="AW80" s="2931"/>
      <c r="AX80" s="1660" t="e">
        <f>AX64/AT64*100-100</f>
        <v>#VALUE!</v>
      </c>
      <c r="AY80" s="2931"/>
      <c r="AZ80" s="2931"/>
      <c r="BA80" s="2931"/>
      <c r="BB80" s="1660" t="e">
        <f>BB64/AX64*100-100</f>
        <v>#VALUE!</v>
      </c>
      <c r="BC80" s="2931"/>
      <c r="BD80" s="2931"/>
      <c r="BE80" s="2931"/>
      <c r="BF80" s="1660" t="e">
        <f>BF64/BB64*100-100</f>
        <v>#VALUE!</v>
      </c>
      <c r="BG80" s="2931"/>
      <c r="BH80" s="2931"/>
      <c r="BI80" s="2931"/>
      <c r="BJ80" s="1660" t="e">
        <f>BJ64/BF64*100-100</f>
        <v>#VALUE!</v>
      </c>
      <c r="BK80" s="2931"/>
      <c r="BL80" s="2931"/>
      <c r="BM80" s="2931"/>
      <c r="BN80" s="1660" t="e">
        <f>BN64/BJ64*100-100</f>
        <v>#VALUE!</v>
      </c>
      <c r="BO80" s="2931"/>
      <c r="BP80" s="2931"/>
      <c r="BQ80" s="2931"/>
      <c r="BR80" s="1660" t="e">
        <f>BR64/BN64*100-100</f>
        <v>#VALUE!</v>
      </c>
      <c r="BS80" s="2931"/>
      <c r="BT80" s="2931"/>
      <c r="BU80" s="2931"/>
      <c r="BV80" s="1660" t="e">
        <f>BV64/BR64*100-100</f>
        <v>#VALUE!</v>
      </c>
      <c r="BW80" s="2931"/>
      <c r="BX80" s="2931"/>
      <c r="BY80" s="2931"/>
      <c r="BZ80" s="1660" t="e">
        <f>BZ64/BV64*100-100</f>
        <v>#VALUE!</v>
      </c>
      <c r="CA80" s="2931"/>
      <c r="CB80" s="2931"/>
      <c r="CC80" s="2931"/>
      <c r="CD80" s="1660" t="e">
        <f>CD64/BZ64*100-100</f>
        <v>#VALUE!</v>
      </c>
      <c r="CE80" s="2931"/>
      <c r="CF80" s="2931"/>
      <c r="CG80" s="2931"/>
      <c r="CH80" s="1660" t="e">
        <f>CH64/CD64*100-100</f>
        <v>#VALUE!</v>
      </c>
      <c r="CI80" s="2931"/>
      <c r="CJ80" s="2931"/>
      <c r="CK80" s="2931"/>
      <c r="CL80" s="1662" t="e">
        <f>CL64/CH64*100-100</f>
        <v>#VALUE!</v>
      </c>
      <c r="CM80" s="2931"/>
      <c r="CN80" s="2931"/>
      <c r="CO80" s="2931"/>
      <c r="CP80" s="1662" t="e">
        <f>CP64/CL64*100-100</f>
        <v>#VALUE!</v>
      </c>
      <c r="CQ80" s="2931"/>
      <c r="CR80" s="2931"/>
      <c r="CS80" s="2931"/>
      <c r="CT80" s="1662" t="e">
        <f>CT64/CP64*100-100</f>
        <v>#VALUE!</v>
      </c>
      <c r="CU80" s="2931"/>
      <c r="CV80" s="2931"/>
      <c r="CW80" s="2931"/>
      <c r="CX80" s="1662" t="e">
        <f>CX64/CT64*100-100</f>
        <v>#VALUE!</v>
      </c>
      <c r="CY80" s="2931"/>
      <c r="CZ80" s="2931"/>
      <c r="DA80" s="2931"/>
      <c r="DB80" s="1662" t="e">
        <f>DB64/CX64*100-100</f>
        <v>#VALUE!</v>
      </c>
      <c r="DC80" s="2931"/>
      <c r="DD80" s="2931"/>
      <c r="DE80" s="2931"/>
      <c r="DF80" s="1662" t="e">
        <f>DF64/DB64*100-100</f>
        <v>#VALUE!</v>
      </c>
    </row>
    <row r="81" spans="1:110" ht="12.75" hidden="1" customHeight="1">
      <c r="C81" s="3174"/>
      <c r="D81" s="754"/>
      <c r="E81" s="3169" t="s">
        <v>136</v>
      </c>
      <c r="F81" s="961"/>
      <c r="G81" s="2931"/>
      <c r="H81" s="2931"/>
      <c r="I81" s="2931"/>
      <c r="J81" s="2931"/>
      <c r="K81" s="2931"/>
      <c r="L81" s="2931"/>
      <c r="M81" s="2931"/>
      <c r="N81" s="1651">
        <f ca="1">N65/J65*100-100</f>
        <v>0.50400117467673056</v>
      </c>
      <c r="O81" s="2931"/>
      <c r="P81" s="2931"/>
      <c r="Q81" s="2931"/>
      <c r="R81" s="1651">
        <f ca="1">R65/N65*100-100</f>
        <v>-5.5914219877158757</v>
      </c>
      <c r="S81" s="2931"/>
      <c r="T81" s="2931"/>
      <c r="U81" s="2931"/>
      <c r="V81" s="1651">
        <f ca="1">V65/R65*100-100</f>
        <v>3.9813653680173644</v>
      </c>
      <c r="W81" s="2931"/>
      <c r="X81" s="2931"/>
      <c r="Y81" s="2931"/>
      <c r="Z81" s="1651">
        <f ca="1">Z65/V65*100-100</f>
        <v>2.2794232376675865</v>
      </c>
      <c r="AA81" s="2931"/>
      <c r="AB81" s="2931"/>
      <c r="AC81" s="2931"/>
      <c r="AD81" s="1651">
        <f ca="1">AD65/Z65*100-100</f>
        <v>7.1847562999429329</v>
      </c>
      <c r="AE81" s="2931"/>
      <c r="AF81" s="2931"/>
      <c r="AG81" s="2931"/>
      <c r="AH81" s="1651">
        <f ca="1">AH65/AD65*100-100</f>
        <v>6.9921445442716816</v>
      </c>
      <c r="AI81" s="2931"/>
      <c r="AJ81" s="2931"/>
      <c r="AK81" s="2931"/>
      <c r="AL81" s="1651">
        <f ca="1">AL65/AH65*100-100</f>
        <v>4.774036168182775</v>
      </c>
      <c r="AM81" s="2931"/>
      <c r="AN81" s="2931"/>
      <c r="AO81" s="2931"/>
      <c r="AP81" s="1651">
        <f ca="1">AP65/AL65*100-100</f>
        <v>1.3586559039610648</v>
      </c>
      <c r="AQ81" s="2931"/>
      <c r="AR81" s="2931"/>
      <c r="AS81" s="2931"/>
      <c r="AT81" s="1651">
        <f ca="1">AT65/AP65*100-100</f>
        <v>8.3026521224502119</v>
      </c>
      <c r="AU81" s="2931"/>
      <c r="AV81" s="2931"/>
      <c r="AW81" s="2931"/>
      <c r="AX81" s="1651">
        <f ca="1">AX65/AT65*100-100</f>
        <v>2.3707232795633786</v>
      </c>
      <c r="AY81" s="2931"/>
      <c r="AZ81" s="2931"/>
      <c r="BA81" s="2931"/>
      <c r="BB81" s="1651">
        <f ca="1">BB65/AX65*100-100</f>
        <v>14.423284792943861</v>
      </c>
      <c r="BC81" s="2931"/>
      <c r="BD81" s="2931"/>
      <c r="BE81" s="2931"/>
      <c r="BF81" s="1651">
        <f ca="1">BF65/BB65*100-100</f>
        <v>7.2961683367217915</v>
      </c>
      <c r="BG81" s="2931"/>
      <c r="BH81" s="2931"/>
      <c r="BI81" s="2931"/>
      <c r="BJ81" s="1651">
        <f ca="1">BJ65/BF65*100-100</f>
        <v>-2.8827792261534881</v>
      </c>
      <c r="BK81" s="2931"/>
      <c r="BL81" s="2931"/>
      <c r="BM81" s="2931"/>
      <c r="BN81" s="1651">
        <f ca="1">BN65/BJ65*100-100</f>
        <v>-12.794412789636283</v>
      </c>
      <c r="BO81" s="2931"/>
      <c r="BP81" s="2931"/>
      <c r="BQ81" s="2931"/>
      <c r="BR81" s="1651">
        <f ca="1">BR65/BN65*100-100</f>
        <v>3.5135457016159251</v>
      </c>
      <c r="BS81" s="2931"/>
      <c r="BT81" s="2931"/>
      <c r="BU81" s="2931"/>
      <c r="BV81" s="1651">
        <f ca="1">BV65/BR65*100-100</f>
        <v>1.1032259924836865</v>
      </c>
      <c r="BW81" s="2931"/>
      <c r="BX81" s="2931"/>
      <c r="BY81" s="2931"/>
      <c r="BZ81" s="1651">
        <f ca="1">BZ65/BV65*100-100</f>
        <v>-0.27736803010732558</v>
      </c>
      <c r="CA81" s="2931"/>
      <c r="CB81" s="2931"/>
      <c r="CC81" s="2931"/>
      <c r="CD81" s="1651">
        <f ca="1">CD65/BZ65*100-100</f>
        <v>-1.3089173344832261</v>
      </c>
      <c r="CE81" s="2931"/>
      <c r="CF81" s="2931"/>
      <c r="CG81" s="2931"/>
      <c r="CH81" s="1651">
        <f ca="1">CH65/CD65*100-100</f>
        <v>9.4411991249097298</v>
      </c>
      <c r="CI81" s="2931"/>
      <c r="CJ81" s="2931"/>
      <c r="CK81" s="2931"/>
      <c r="CL81" s="1664">
        <f ca="1">CL65/CH65*100-100</f>
        <v>8.5627081068759168</v>
      </c>
      <c r="CM81" s="2931"/>
      <c r="CN81" s="2931"/>
      <c r="CO81" s="2931"/>
      <c r="CP81" s="1664">
        <f ca="1">CP65/CL65*100-100</f>
        <v>7.6525721855122129</v>
      </c>
      <c r="CQ81" s="2931"/>
      <c r="CR81" s="2931"/>
      <c r="CS81" s="2931"/>
      <c r="CT81" s="1664">
        <f ca="1">CT65/CP65*100-100</f>
        <v>8.0894223066741517</v>
      </c>
      <c r="CU81" s="2931"/>
      <c r="CV81" s="2931"/>
      <c r="CW81" s="2931"/>
      <c r="CX81" s="1664">
        <f ca="1">CX65/CT65*100-100</f>
        <v>2.6138064300629651</v>
      </c>
      <c r="CY81" s="2931"/>
      <c r="CZ81" s="2931"/>
      <c r="DA81" s="2931"/>
      <c r="DB81" s="1664">
        <f ca="1">DB65/CX65*100-100</f>
        <v>-0.66595556772367104</v>
      </c>
      <c r="DC81" s="2931"/>
      <c r="DD81" s="2931"/>
      <c r="DE81" s="2931"/>
      <c r="DF81" s="1664">
        <f ca="1">DF65/DB65*100-100</f>
        <v>0.76922017971313039</v>
      </c>
    </row>
    <row r="82" spans="1:110" ht="12.75" hidden="1" customHeight="1">
      <c r="C82" s="3174"/>
      <c r="D82" s="711"/>
      <c r="E82" s="220" t="s">
        <v>1422</v>
      </c>
      <c r="F82" s="747"/>
      <c r="G82" s="2930"/>
      <c r="H82" s="2930" t="e">
        <f t="shared" ref="H82:N82" si="310">(H66/G66-1)*100</f>
        <v>#VALUE!</v>
      </c>
      <c r="I82" s="2930" t="e">
        <f t="shared" si="310"/>
        <v>#VALUE!</v>
      </c>
      <c r="J82" s="2930" t="e">
        <f t="shared" si="310"/>
        <v>#VALUE!</v>
      </c>
      <c r="K82" s="2930" t="e">
        <f t="shared" si="310"/>
        <v>#VALUE!</v>
      </c>
      <c r="L82" s="2930" t="e">
        <f t="shared" si="310"/>
        <v>#VALUE!</v>
      </c>
      <c r="M82" s="2930" t="e">
        <f t="shared" si="310"/>
        <v>#VALUE!</v>
      </c>
      <c r="N82" s="2930" t="e">
        <f t="shared" si="310"/>
        <v>#VALUE!</v>
      </c>
      <c r="O82" s="2930" t="e">
        <f t="shared" ref="O82:BJ82" si="311">(O66/N66-1)*100</f>
        <v>#VALUE!</v>
      </c>
      <c r="P82" s="2930" t="e">
        <f t="shared" si="311"/>
        <v>#VALUE!</v>
      </c>
      <c r="Q82" s="2930" t="e">
        <f t="shared" si="311"/>
        <v>#VALUE!</v>
      </c>
      <c r="R82" s="2930" t="e">
        <f t="shared" si="311"/>
        <v>#VALUE!</v>
      </c>
      <c r="S82" s="2930" t="e">
        <f t="shared" si="311"/>
        <v>#VALUE!</v>
      </c>
      <c r="T82" s="2930" t="e">
        <f t="shared" si="311"/>
        <v>#VALUE!</v>
      </c>
      <c r="U82" s="2930" t="e">
        <f t="shared" si="311"/>
        <v>#VALUE!</v>
      </c>
      <c r="V82" s="2930" t="e">
        <f t="shared" si="311"/>
        <v>#VALUE!</v>
      </c>
      <c r="W82" s="2930" t="e">
        <f t="shared" si="311"/>
        <v>#VALUE!</v>
      </c>
      <c r="X82" s="2930" t="e">
        <f t="shared" si="311"/>
        <v>#VALUE!</v>
      </c>
      <c r="Y82" s="2930" t="e">
        <f t="shared" si="311"/>
        <v>#VALUE!</v>
      </c>
      <c r="Z82" s="2930" t="e">
        <f t="shared" si="311"/>
        <v>#VALUE!</v>
      </c>
      <c r="AA82" s="2930" t="e">
        <f t="shared" si="311"/>
        <v>#VALUE!</v>
      </c>
      <c r="AB82" s="2930" t="e">
        <f t="shared" si="311"/>
        <v>#VALUE!</v>
      </c>
      <c r="AC82" s="2930" t="e">
        <f t="shared" si="311"/>
        <v>#VALUE!</v>
      </c>
      <c r="AD82" s="2930" t="e">
        <f t="shared" si="311"/>
        <v>#VALUE!</v>
      </c>
      <c r="AE82" s="2930" t="e">
        <f t="shared" si="311"/>
        <v>#VALUE!</v>
      </c>
      <c r="AF82" s="2930" t="e">
        <f t="shared" si="311"/>
        <v>#VALUE!</v>
      </c>
      <c r="AG82" s="2930" t="e">
        <f t="shared" si="311"/>
        <v>#VALUE!</v>
      </c>
      <c r="AH82" s="2930" t="e">
        <f t="shared" si="311"/>
        <v>#VALUE!</v>
      </c>
      <c r="AI82" s="2930" t="e">
        <f t="shared" si="311"/>
        <v>#VALUE!</v>
      </c>
      <c r="AJ82" s="2930" t="e">
        <f t="shared" si="311"/>
        <v>#VALUE!</v>
      </c>
      <c r="AK82" s="2930" t="e">
        <f t="shared" si="311"/>
        <v>#VALUE!</v>
      </c>
      <c r="AL82" s="2930" t="e">
        <f t="shared" si="311"/>
        <v>#VALUE!</v>
      </c>
      <c r="AM82" s="2930" t="e">
        <f t="shared" si="311"/>
        <v>#VALUE!</v>
      </c>
      <c r="AN82" s="2930" t="e">
        <f t="shared" si="311"/>
        <v>#VALUE!</v>
      </c>
      <c r="AO82" s="2930" t="e">
        <f t="shared" si="311"/>
        <v>#VALUE!</v>
      </c>
      <c r="AP82" s="2930" t="e">
        <f t="shared" si="311"/>
        <v>#VALUE!</v>
      </c>
      <c r="AQ82" s="2930" t="e">
        <f t="shared" si="311"/>
        <v>#VALUE!</v>
      </c>
      <c r="AR82" s="2930" t="e">
        <f t="shared" si="311"/>
        <v>#VALUE!</v>
      </c>
      <c r="AS82" s="2930" t="e">
        <f t="shared" si="311"/>
        <v>#VALUE!</v>
      </c>
      <c r="AT82" s="2930" t="e">
        <f t="shared" si="311"/>
        <v>#VALUE!</v>
      </c>
      <c r="AU82" s="2930" t="e">
        <f t="shared" si="311"/>
        <v>#VALUE!</v>
      </c>
      <c r="AV82" s="2930" t="e">
        <f t="shared" si="311"/>
        <v>#VALUE!</v>
      </c>
      <c r="AW82" s="2930" t="e">
        <f t="shared" si="311"/>
        <v>#VALUE!</v>
      </c>
      <c r="AX82" s="2930" t="e">
        <f t="shared" si="311"/>
        <v>#VALUE!</v>
      </c>
      <c r="AY82" s="2930" t="e">
        <f t="shared" si="311"/>
        <v>#VALUE!</v>
      </c>
      <c r="AZ82" s="2930" t="e">
        <f t="shared" si="311"/>
        <v>#VALUE!</v>
      </c>
      <c r="BA82" s="2930" t="e">
        <f t="shared" si="311"/>
        <v>#VALUE!</v>
      </c>
      <c r="BB82" s="2930" t="e">
        <f t="shared" si="311"/>
        <v>#VALUE!</v>
      </c>
      <c r="BC82" s="2930" t="e">
        <f t="shared" si="311"/>
        <v>#VALUE!</v>
      </c>
      <c r="BD82" s="2930" t="e">
        <f t="shared" si="311"/>
        <v>#VALUE!</v>
      </c>
      <c r="BE82" s="2930" t="e">
        <f t="shared" si="311"/>
        <v>#VALUE!</v>
      </c>
      <c r="BF82" s="2930" t="e">
        <f t="shared" si="311"/>
        <v>#VALUE!</v>
      </c>
      <c r="BG82" s="2930" t="e">
        <f t="shared" si="311"/>
        <v>#VALUE!</v>
      </c>
      <c r="BH82" s="2930" t="e">
        <f t="shared" si="311"/>
        <v>#VALUE!</v>
      </c>
      <c r="BI82" s="2930" t="e">
        <f t="shared" si="311"/>
        <v>#VALUE!</v>
      </c>
      <c r="BJ82" s="2930" t="e">
        <f t="shared" si="311"/>
        <v>#VALUE!</v>
      </c>
      <c r="BK82" s="2930" t="e">
        <f t="shared" ref="BK82:BR82" si="312">(BK66/BJ66-1)*100</f>
        <v>#VALUE!</v>
      </c>
      <c r="BL82" s="2930" t="e">
        <f t="shared" si="312"/>
        <v>#VALUE!</v>
      </c>
      <c r="BM82" s="2930" t="e">
        <f t="shared" si="312"/>
        <v>#VALUE!</v>
      </c>
      <c r="BN82" s="2930" t="e">
        <f t="shared" si="312"/>
        <v>#VALUE!</v>
      </c>
      <c r="BO82" s="2930" t="e">
        <f t="shared" si="312"/>
        <v>#VALUE!</v>
      </c>
      <c r="BP82" s="2930" t="e">
        <f t="shared" si="312"/>
        <v>#VALUE!</v>
      </c>
      <c r="BQ82" s="2930" t="e">
        <f t="shared" si="312"/>
        <v>#VALUE!</v>
      </c>
      <c r="BR82" s="2930" t="e">
        <f t="shared" si="312"/>
        <v>#VALUE!</v>
      </c>
      <c r="BS82" s="2930" t="e">
        <f t="shared" ref="BS82:BZ82" si="313">(BS66/BR66-1)*100</f>
        <v>#VALUE!</v>
      </c>
      <c r="BT82" s="2930" t="e">
        <f t="shared" si="313"/>
        <v>#VALUE!</v>
      </c>
      <c r="BU82" s="2930" t="e">
        <f t="shared" si="313"/>
        <v>#VALUE!</v>
      </c>
      <c r="BV82" s="2930" t="e">
        <f t="shared" si="313"/>
        <v>#VALUE!</v>
      </c>
      <c r="BW82" s="2930" t="e">
        <f t="shared" si="313"/>
        <v>#VALUE!</v>
      </c>
      <c r="BX82" s="2930" t="e">
        <f t="shared" si="313"/>
        <v>#VALUE!</v>
      </c>
      <c r="BY82" s="2930" t="e">
        <f t="shared" si="313"/>
        <v>#VALUE!</v>
      </c>
      <c r="BZ82" s="2930" t="e">
        <f t="shared" si="313"/>
        <v>#VALUE!</v>
      </c>
      <c r="CA82" s="2973">
        <v>0</v>
      </c>
      <c r="CB82" s="2973">
        <v>0</v>
      </c>
      <c r="CC82" s="2930" t="e">
        <f>(CC66/CB66-1)*100</f>
        <v>#VALUE!</v>
      </c>
      <c r="CD82" s="2930" t="e">
        <f>(CD66/CC66-1)*100</f>
        <v>#VALUE!</v>
      </c>
      <c r="CE82" s="2973">
        <v>0</v>
      </c>
      <c r="CF82" s="2973">
        <v>0</v>
      </c>
      <c r="CG82" s="2973">
        <v>0</v>
      </c>
      <c r="CH82" s="2930" t="e">
        <f>(CH66/CG66-1)*100</f>
        <v>#VALUE!</v>
      </c>
      <c r="CI82" s="2973">
        <v>0</v>
      </c>
      <c r="CJ82" s="2973">
        <v>0</v>
      </c>
      <c r="CK82" s="2973">
        <v>0</v>
      </c>
      <c r="CL82" s="777">
        <v>0</v>
      </c>
      <c r="CM82" s="2973">
        <v>0</v>
      </c>
      <c r="CN82" s="2973">
        <v>0</v>
      </c>
      <c r="CO82" s="2973">
        <v>0</v>
      </c>
      <c r="CP82" s="777">
        <v>0</v>
      </c>
      <c r="CQ82" s="2973">
        <v>0</v>
      </c>
      <c r="CR82" s="2973">
        <v>0</v>
      </c>
      <c r="CS82" s="2973">
        <v>0</v>
      </c>
      <c r="CT82" s="777">
        <v>0</v>
      </c>
      <c r="CU82" s="2973">
        <v>0</v>
      </c>
      <c r="CV82" s="2973">
        <v>0</v>
      </c>
      <c r="CW82" s="2973">
        <v>0</v>
      </c>
      <c r="CX82" s="777">
        <v>0</v>
      </c>
      <c r="CY82" s="2973">
        <v>0</v>
      </c>
      <c r="CZ82" s="2973">
        <v>0</v>
      </c>
      <c r="DA82" s="2973">
        <v>0</v>
      </c>
      <c r="DB82" s="777">
        <v>0</v>
      </c>
      <c r="DC82" s="2973">
        <v>0</v>
      </c>
      <c r="DD82" s="2973">
        <v>0</v>
      </c>
      <c r="DE82" s="2973">
        <v>0</v>
      </c>
      <c r="DF82" s="777">
        <v>0</v>
      </c>
    </row>
    <row r="83" spans="1:110" ht="12.75" hidden="1" customHeight="1">
      <c r="C83" s="3174"/>
      <c r="D83" s="754"/>
      <c r="E83" s="3169" t="s">
        <v>353</v>
      </c>
      <c r="F83" s="961"/>
      <c r="G83" s="2931"/>
      <c r="H83" s="2931"/>
      <c r="I83" s="2931"/>
      <c r="J83" s="2931"/>
      <c r="K83" s="2931"/>
      <c r="L83" s="2931"/>
      <c r="M83" s="2931"/>
      <c r="N83" s="1660" t="e">
        <f>N67/J67*100-100</f>
        <v>#VALUE!</v>
      </c>
      <c r="O83" s="2931"/>
      <c r="P83" s="2931"/>
      <c r="Q83" s="2931"/>
      <c r="R83" s="1660" t="e">
        <f>R67/N67*100-100</f>
        <v>#VALUE!</v>
      </c>
      <c r="S83" s="2931"/>
      <c r="T83" s="2931"/>
      <c r="U83" s="2931"/>
      <c r="V83" s="1660" t="e">
        <f>V67/R67*100-100</f>
        <v>#VALUE!</v>
      </c>
      <c r="W83" s="2931"/>
      <c r="X83" s="2931"/>
      <c r="Y83" s="2931"/>
      <c r="Z83" s="1660" t="e">
        <f>Z67/V67*100-100</f>
        <v>#VALUE!</v>
      </c>
      <c r="AA83" s="2931"/>
      <c r="AB83" s="2931"/>
      <c r="AC83" s="2931"/>
      <c r="AD83" s="1660" t="e">
        <f>AD67/Z67*100-100</f>
        <v>#VALUE!</v>
      </c>
      <c r="AE83" s="2931"/>
      <c r="AF83" s="2931"/>
      <c r="AG83" s="2931"/>
      <c r="AH83" s="1660" t="e">
        <f>AH67/AD67*100-100</f>
        <v>#VALUE!</v>
      </c>
      <c r="AI83" s="2931"/>
      <c r="AJ83" s="2931"/>
      <c r="AK83" s="2931"/>
      <c r="AL83" s="1660" t="e">
        <f>AL67/AH67*100-100</f>
        <v>#VALUE!</v>
      </c>
      <c r="AM83" s="2931"/>
      <c r="AN83" s="2931"/>
      <c r="AO83" s="2931"/>
      <c r="AP83" s="1660" t="e">
        <f>AP67/AL67*100-100</f>
        <v>#VALUE!</v>
      </c>
      <c r="AQ83" s="2931"/>
      <c r="AR83" s="2931"/>
      <c r="AS83" s="2931"/>
      <c r="AT83" s="1660" t="e">
        <f>AT67/AP67*100-100</f>
        <v>#VALUE!</v>
      </c>
      <c r="AU83" s="2931"/>
      <c r="AV83" s="2931"/>
      <c r="AW83" s="2931"/>
      <c r="AX83" s="1660" t="e">
        <f>AX67/AT67*100-100</f>
        <v>#VALUE!</v>
      </c>
      <c r="AY83" s="2931"/>
      <c r="AZ83" s="2931"/>
      <c r="BA83" s="2931"/>
      <c r="BB83" s="1660" t="e">
        <f>BB67/AX67*100-100</f>
        <v>#VALUE!</v>
      </c>
      <c r="BC83" s="2931"/>
      <c r="BD83" s="2931"/>
      <c r="BE83" s="2931"/>
      <c r="BF83" s="1660" t="e">
        <f>BF67/BB67*100-100</f>
        <v>#VALUE!</v>
      </c>
      <c r="BG83" s="2931"/>
      <c r="BH83" s="2931"/>
      <c r="BI83" s="2931"/>
      <c r="BJ83" s="1660" t="e">
        <f>BJ67/BF67*100-100</f>
        <v>#VALUE!</v>
      </c>
      <c r="BK83" s="2931"/>
      <c r="BL83" s="2931"/>
      <c r="BM83" s="2931"/>
      <c r="BN83" s="1660" t="e">
        <f>BN67/BJ67*100-100</f>
        <v>#VALUE!</v>
      </c>
      <c r="BO83" s="2931"/>
      <c r="BP83" s="2931"/>
      <c r="BQ83" s="2931"/>
      <c r="BR83" s="1660" t="e">
        <f>BR67/BN67*100-100</f>
        <v>#VALUE!</v>
      </c>
      <c r="BS83" s="2931"/>
      <c r="BT83" s="2931"/>
      <c r="BU83" s="2931"/>
      <c r="BV83" s="1660" t="e">
        <f>BV67/BR67*100-100</f>
        <v>#VALUE!</v>
      </c>
      <c r="BW83" s="2931"/>
      <c r="BX83" s="2931"/>
      <c r="BY83" s="2931"/>
      <c r="BZ83" s="1660" t="e">
        <f>BZ67/BV67*100-100</f>
        <v>#VALUE!</v>
      </c>
      <c r="CA83" s="2931"/>
      <c r="CB83" s="2931"/>
      <c r="CC83" s="2931"/>
      <c r="CD83" s="1660" t="e">
        <f>CD67/BZ67*100-100</f>
        <v>#VALUE!</v>
      </c>
      <c r="CE83" s="2931"/>
      <c r="CF83" s="2931"/>
      <c r="CG83" s="2931"/>
      <c r="CH83" s="1660" t="e">
        <f>CH67/CD67*100-100</f>
        <v>#VALUE!</v>
      </c>
      <c r="CI83" s="2931"/>
      <c r="CJ83" s="2931"/>
      <c r="CK83" s="2931"/>
      <c r="CL83" s="1662" t="e">
        <f>CL67/CH67*100-100</f>
        <v>#VALUE!</v>
      </c>
      <c r="CM83" s="2931"/>
      <c r="CN83" s="2931"/>
      <c r="CO83" s="2931"/>
      <c r="CP83" s="1662" t="e">
        <f>CP67/CL67*100-100</f>
        <v>#VALUE!</v>
      </c>
      <c r="CQ83" s="2931"/>
      <c r="CR83" s="2931"/>
      <c r="CS83" s="2931"/>
      <c r="CT83" s="1662" t="e">
        <f>CT67/CP67*100-100</f>
        <v>#VALUE!</v>
      </c>
      <c r="CU83" s="2931"/>
      <c r="CV83" s="2931"/>
      <c r="CW83" s="2931"/>
      <c r="CX83" s="1662" t="e">
        <f>CX67/CT67*100-100</f>
        <v>#VALUE!</v>
      </c>
      <c r="CY83" s="2931"/>
      <c r="CZ83" s="2931"/>
      <c r="DA83" s="2931"/>
      <c r="DB83" s="1662" t="e">
        <f>DB67/CX67*100-100</f>
        <v>#VALUE!</v>
      </c>
      <c r="DC83" s="2931"/>
      <c r="DD83" s="2931"/>
      <c r="DE83" s="2931"/>
      <c r="DF83" s="1662" t="e">
        <f>DF67/DB67*100-100</f>
        <v>#VALUE!</v>
      </c>
    </row>
    <row r="84" spans="1:110" ht="12.75" hidden="1" customHeight="1">
      <c r="C84" s="3174"/>
      <c r="D84" s="754"/>
      <c r="E84" s="3169" t="s">
        <v>136</v>
      </c>
      <c r="F84" s="961"/>
      <c r="G84" s="2931"/>
      <c r="H84" s="2931"/>
      <c r="I84" s="2931"/>
      <c r="J84" s="2931"/>
      <c r="K84" s="2931"/>
      <c r="L84" s="2931"/>
      <c r="M84" s="2931"/>
      <c r="N84" s="1651">
        <f ca="1">N68/J68*100-100</f>
        <v>-9.0296472557710672E-2</v>
      </c>
      <c r="O84" s="2931"/>
      <c r="P84" s="2931"/>
      <c r="Q84" s="2931"/>
      <c r="R84" s="1651">
        <f ca="1">R68/N68*100-100</f>
        <v>6.6604787760176123</v>
      </c>
      <c r="S84" s="2931"/>
      <c r="T84" s="2931"/>
      <c r="U84" s="2931"/>
      <c r="V84" s="1651">
        <f ca="1">V68/R68*100-100</f>
        <v>9.1363184880501933</v>
      </c>
      <c r="W84" s="2931"/>
      <c r="X84" s="2931"/>
      <c r="Y84" s="2931"/>
      <c r="Z84" s="1651">
        <f ca="1">Z68/V68*100-100</f>
        <v>4.4012000462756191</v>
      </c>
      <c r="AA84" s="2931"/>
      <c r="AB84" s="2931"/>
      <c r="AC84" s="2931"/>
      <c r="AD84" s="1651">
        <f ca="1">AD68/Z68*100-100</f>
        <v>12.139866560897829</v>
      </c>
      <c r="AE84" s="2931"/>
      <c r="AF84" s="2931"/>
      <c r="AG84" s="2931"/>
      <c r="AH84" s="1651">
        <f ca="1">AH68/AD68*100-100</f>
        <v>2.5144387028165767</v>
      </c>
      <c r="AI84" s="2931"/>
      <c r="AJ84" s="2931"/>
      <c r="AK84" s="2931"/>
      <c r="AL84" s="1651">
        <f ca="1">AL68/AH68*100-100</f>
        <v>-7.2134438026678396</v>
      </c>
      <c r="AM84" s="2931"/>
      <c r="AN84" s="2931"/>
      <c r="AO84" s="2931"/>
      <c r="AP84" s="1651">
        <f ca="1">AP68/AL68*100-100</f>
        <v>3.4786350905790187E-2</v>
      </c>
      <c r="AQ84" s="2931"/>
      <c r="AR84" s="2931"/>
      <c r="AS84" s="2931"/>
      <c r="AT84" s="1651">
        <f ca="1">AT68/AP68*100-100</f>
        <v>5.2584346883915174</v>
      </c>
      <c r="AU84" s="2931"/>
      <c r="AV84" s="2931"/>
      <c r="AW84" s="2931"/>
      <c r="AX84" s="1651">
        <f ca="1">AX68/AT68*100-100</f>
        <v>1.5655288305086401</v>
      </c>
      <c r="AY84" s="2931"/>
      <c r="AZ84" s="2931"/>
      <c r="BA84" s="2931"/>
      <c r="BB84" s="1651">
        <f ca="1">BB68/AX68*100-100</f>
        <v>3.4848077037087535</v>
      </c>
      <c r="BC84" s="2931"/>
      <c r="BD84" s="2931"/>
      <c r="BE84" s="2931"/>
      <c r="BF84" s="1651">
        <f ca="1">BF68/BB68*100-100</f>
        <v>4.4301887631266794</v>
      </c>
      <c r="BG84" s="2931"/>
      <c r="BH84" s="2931"/>
      <c r="BI84" s="2931"/>
      <c r="BJ84" s="1651">
        <f ca="1">BJ68/BF68*100-100</f>
        <v>1.2054314472156307</v>
      </c>
      <c r="BK84" s="2931"/>
      <c r="BL84" s="2931"/>
      <c r="BM84" s="2931"/>
      <c r="BN84" s="1651">
        <f ca="1">BN68/BJ68*100-100</f>
        <v>-3.5195346012621656</v>
      </c>
      <c r="BO84" s="2931"/>
      <c r="BP84" s="2931"/>
      <c r="BQ84" s="2931"/>
      <c r="BR84" s="1651">
        <f ca="1">BR68/BN68*100-100</f>
        <v>4.2364912034413891</v>
      </c>
      <c r="BS84" s="2931"/>
      <c r="BT84" s="2931"/>
      <c r="BU84" s="2931"/>
      <c r="BV84" s="1651">
        <f ca="1">BV68/BR68*100-100</f>
        <v>4.5208347394139139</v>
      </c>
      <c r="BW84" s="2931"/>
      <c r="BX84" s="2931"/>
      <c r="BY84" s="2931"/>
      <c r="BZ84" s="1651">
        <f ca="1">BZ68/BV68*100-100</f>
        <v>-3.8712738172433205</v>
      </c>
      <c r="CA84" s="2931"/>
      <c r="CB84" s="2931"/>
      <c r="CC84" s="2931"/>
      <c r="CD84" s="1651">
        <f ca="1">CD68/BZ68*100-100</f>
        <v>4.1110179568950116</v>
      </c>
      <c r="CE84" s="2931"/>
      <c r="CF84" s="2931"/>
      <c r="CG84" s="2931"/>
      <c r="CH84" s="1651">
        <f ca="1">CH68/CD68*100-100</f>
        <v>7.3994762822763107</v>
      </c>
      <c r="CI84" s="2931"/>
      <c r="CJ84" s="2931"/>
      <c r="CK84" s="2931"/>
      <c r="CL84" s="1664">
        <f ca="1">CL68/CH68*100-100</f>
        <v>5.6002397853222448</v>
      </c>
      <c r="CM84" s="2931"/>
      <c r="CN84" s="2931"/>
      <c r="CO84" s="2931"/>
      <c r="CP84" s="1664">
        <f ca="1">CP68/CL68*100-100</f>
        <v>-2.2254043696375732</v>
      </c>
      <c r="CQ84" s="2931"/>
      <c r="CR84" s="2931"/>
      <c r="CS84" s="2931"/>
      <c r="CT84" s="1664">
        <f ca="1">CT68/CP68*100-100</f>
        <v>3.0147876600891124</v>
      </c>
      <c r="CU84" s="2931"/>
      <c r="CV84" s="2931"/>
      <c r="CW84" s="2931"/>
      <c r="CX84" s="1664">
        <f ca="1">CX68/CT68*100-100</f>
        <v>3.7999999999999972</v>
      </c>
      <c r="CY84" s="2931"/>
      <c r="CZ84" s="2931"/>
      <c r="DA84" s="2931"/>
      <c r="DB84" s="1664">
        <f ca="1">DB68/CX68*100-100</f>
        <v>3.9099999999999966</v>
      </c>
      <c r="DC84" s="2931"/>
      <c r="DD84" s="2931"/>
      <c r="DE84" s="2931"/>
      <c r="DF84" s="1664">
        <f ca="1">DF68/DB68*100-100</f>
        <v>2.7500000000000142</v>
      </c>
    </row>
    <row r="85" spans="1:110" ht="12.75" hidden="1" customHeight="1">
      <c r="C85" s="3174"/>
      <c r="D85" s="711"/>
      <c r="E85" s="2930" t="s">
        <v>487</v>
      </c>
      <c r="F85" s="747"/>
      <c r="G85" s="2930"/>
      <c r="H85" s="2930" t="e">
        <f t="shared" ref="H85:N87" si="314">(H69/G69-1)*100</f>
        <v>#VALUE!</v>
      </c>
      <c r="I85" s="2930" t="e">
        <f t="shared" si="314"/>
        <v>#VALUE!</v>
      </c>
      <c r="J85" s="2930" t="e">
        <f t="shared" si="314"/>
        <v>#VALUE!</v>
      </c>
      <c r="K85" s="2930" t="e">
        <f t="shared" si="314"/>
        <v>#VALUE!</v>
      </c>
      <c r="L85" s="2930" t="e">
        <f t="shared" si="314"/>
        <v>#VALUE!</v>
      </c>
      <c r="M85" s="2930" t="e">
        <f t="shared" si="314"/>
        <v>#VALUE!</v>
      </c>
      <c r="N85" s="2930" t="e">
        <f t="shared" si="314"/>
        <v>#VALUE!</v>
      </c>
      <c r="O85" s="2930" t="e">
        <f t="shared" ref="O85:BJ85" si="315">(O69/N69-1)*100</f>
        <v>#VALUE!</v>
      </c>
      <c r="P85" s="2930" t="e">
        <f t="shared" si="315"/>
        <v>#VALUE!</v>
      </c>
      <c r="Q85" s="2930" t="e">
        <f t="shared" si="315"/>
        <v>#VALUE!</v>
      </c>
      <c r="R85" s="2930" t="e">
        <f t="shared" si="315"/>
        <v>#VALUE!</v>
      </c>
      <c r="S85" s="2930" t="e">
        <f t="shared" si="315"/>
        <v>#VALUE!</v>
      </c>
      <c r="T85" s="2930" t="e">
        <f t="shared" si="315"/>
        <v>#VALUE!</v>
      </c>
      <c r="U85" s="2930" t="e">
        <f t="shared" si="315"/>
        <v>#VALUE!</v>
      </c>
      <c r="V85" s="2930" t="e">
        <f t="shared" si="315"/>
        <v>#VALUE!</v>
      </c>
      <c r="W85" s="2930" t="e">
        <f t="shared" si="315"/>
        <v>#VALUE!</v>
      </c>
      <c r="X85" s="2930" t="e">
        <f t="shared" si="315"/>
        <v>#VALUE!</v>
      </c>
      <c r="Y85" s="2930" t="e">
        <f t="shared" si="315"/>
        <v>#VALUE!</v>
      </c>
      <c r="Z85" s="2930" t="e">
        <f t="shared" si="315"/>
        <v>#VALUE!</v>
      </c>
      <c r="AA85" s="2930" t="e">
        <f t="shared" si="315"/>
        <v>#VALUE!</v>
      </c>
      <c r="AB85" s="2930" t="e">
        <f t="shared" si="315"/>
        <v>#VALUE!</v>
      </c>
      <c r="AC85" s="2930" t="e">
        <f t="shared" si="315"/>
        <v>#VALUE!</v>
      </c>
      <c r="AD85" s="2930" t="e">
        <f t="shared" si="315"/>
        <v>#VALUE!</v>
      </c>
      <c r="AE85" s="2930" t="e">
        <f t="shared" si="315"/>
        <v>#VALUE!</v>
      </c>
      <c r="AF85" s="2930" t="e">
        <f t="shared" si="315"/>
        <v>#VALUE!</v>
      </c>
      <c r="AG85" s="2930" t="e">
        <f t="shared" si="315"/>
        <v>#VALUE!</v>
      </c>
      <c r="AH85" s="2930" t="e">
        <f t="shared" si="315"/>
        <v>#VALUE!</v>
      </c>
      <c r="AI85" s="2930" t="e">
        <f t="shared" si="315"/>
        <v>#VALUE!</v>
      </c>
      <c r="AJ85" s="2930" t="e">
        <f t="shared" si="315"/>
        <v>#VALUE!</v>
      </c>
      <c r="AK85" s="2930" t="e">
        <f t="shared" si="315"/>
        <v>#VALUE!</v>
      </c>
      <c r="AL85" s="2930" t="e">
        <f t="shared" si="315"/>
        <v>#VALUE!</v>
      </c>
      <c r="AM85" s="2930" t="e">
        <f t="shared" si="315"/>
        <v>#VALUE!</v>
      </c>
      <c r="AN85" s="2930" t="e">
        <f t="shared" si="315"/>
        <v>#VALUE!</v>
      </c>
      <c r="AO85" s="2930" t="e">
        <f t="shared" si="315"/>
        <v>#VALUE!</v>
      </c>
      <c r="AP85" s="2930" t="e">
        <f t="shared" si="315"/>
        <v>#VALUE!</v>
      </c>
      <c r="AQ85" s="2930" t="e">
        <f t="shared" si="315"/>
        <v>#VALUE!</v>
      </c>
      <c r="AR85" s="2930" t="e">
        <f t="shared" si="315"/>
        <v>#VALUE!</v>
      </c>
      <c r="AS85" s="2930" t="e">
        <f t="shared" si="315"/>
        <v>#VALUE!</v>
      </c>
      <c r="AT85" s="2930" t="e">
        <f t="shared" si="315"/>
        <v>#VALUE!</v>
      </c>
      <c r="AU85" s="2930" t="e">
        <f t="shared" si="315"/>
        <v>#VALUE!</v>
      </c>
      <c r="AV85" s="2930" t="e">
        <f t="shared" si="315"/>
        <v>#VALUE!</v>
      </c>
      <c r="AW85" s="2930" t="e">
        <f t="shared" si="315"/>
        <v>#VALUE!</v>
      </c>
      <c r="AX85" s="2930" t="e">
        <f t="shared" si="315"/>
        <v>#VALUE!</v>
      </c>
      <c r="AY85" s="2930" t="e">
        <f t="shared" si="315"/>
        <v>#VALUE!</v>
      </c>
      <c r="AZ85" s="2930" t="e">
        <f t="shared" si="315"/>
        <v>#VALUE!</v>
      </c>
      <c r="BA85" s="2930" t="e">
        <f t="shared" si="315"/>
        <v>#VALUE!</v>
      </c>
      <c r="BB85" s="2930" t="e">
        <f t="shared" si="315"/>
        <v>#VALUE!</v>
      </c>
      <c r="BC85" s="2930" t="e">
        <f t="shared" si="315"/>
        <v>#VALUE!</v>
      </c>
      <c r="BD85" s="2930" t="e">
        <f t="shared" si="315"/>
        <v>#VALUE!</v>
      </c>
      <c r="BE85" s="2930" t="e">
        <f t="shared" si="315"/>
        <v>#VALUE!</v>
      </c>
      <c r="BF85" s="2930" t="e">
        <f t="shared" si="315"/>
        <v>#VALUE!</v>
      </c>
      <c r="BG85" s="2930" t="e">
        <f t="shared" si="315"/>
        <v>#VALUE!</v>
      </c>
      <c r="BH85" s="2930" t="e">
        <f t="shared" si="315"/>
        <v>#VALUE!</v>
      </c>
      <c r="BI85" s="2930" t="e">
        <f t="shared" si="315"/>
        <v>#VALUE!</v>
      </c>
      <c r="BJ85" s="2930" t="e">
        <f t="shared" si="315"/>
        <v>#VALUE!</v>
      </c>
      <c r="BK85" s="2930" t="e">
        <f t="shared" ref="BK85:BM87" si="316">(BK69/BJ69-1)*100</f>
        <v>#VALUE!</v>
      </c>
      <c r="BL85" s="2930" t="e">
        <f t="shared" si="316"/>
        <v>#VALUE!</v>
      </c>
      <c r="BM85" s="2930" t="e">
        <f t="shared" si="316"/>
        <v>#VALUE!</v>
      </c>
      <c r="BN85" s="2930" t="e">
        <f t="shared" ref="BN85:BR87" si="317">(BN69/BM69-1)*100</f>
        <v>#VALUE!</v>
      </c>
      <c r="BO85" s="2930" t="e">
        <f t="shared" si="317"/>
        <v>#VALUE!</v>
      </c>
      <c r="BP85" s="2930" t="e">
        <f t="shared" si="317"/>
        <v>#VALUE!</v>
      </c>
      <c r="BQ85" s="2930" t="e">
        <f t="shared" si="317"/>
        <v>#VALUE!</v>
      </c>
      <c r="BR85" s="2930" t="e">
        <f t="shared" si="317"/>
        <v>#VALUE!</v>
      </c>
      <c r="BS85" s="2930" t="e">
        <f t="shared" ref="BS85:BV87" si="318">(BS69/BR69-1)*100</f>
        <v>#VALUE!</v>
      </c>
      <c r="BT85" s="2930" t="e">
        <f t="shared" si="318"/>
        <v>#VALUE!</v>
      </c>
      <c r="BU85" s="2930" t="e">
        <f t="shared" si="318"/>
        <v>#VALUE!</v>
      </c>
      <c r="BV85" s="2930" t="e">
        <f t="shared" si="318"/>
        <v>#VALUE!</v>
      </c>
      <c r="BW85" s="2930" t="e">
        <f t="shared" ref="BW85:CJ85" si="319">(BW69/BV69-1)*100</f>
        <v>#VALUE!</v>
      </c>
      <c r="BX85" s="2930" t="e">
        <f t="shared" si="319"/>
        <v>#VALUE!</v>
      </c>
      <c r="BY85" s="2930" t="e">
        <f t="shared" si="319"/>
        <v>#VALUE!</v>
      </c>
      <c r="BZ85" s="2930" t="e">
        <f t="shared" si="319"/>
        <v>#VALUE!</v>
      </c>
      <c r="CA85" s="2930" t="e">
        <f t="shared" si="319"/>
        <v>#VALUE!</v>
      </c>
      <c r="CB85" s="2930" t="e">
        <f t="shared" si="319"/>
        <v>#VALUE!</v>
      </c>
      <c r="CC85" s="2930" t="e">
        <f t="shared" si="319"/>
        <v>#VALUE!</v>
      </c>
      <c r="CD85" s="2930" t="e">
        <f t="shared" si="319"/>
        <v>#VALUE!</v>
      </c>
      <c r="CE85" s="2930" t="e">
        <f t="shared" si="319"/>
        <v>#VALUE!</v>
      </c>
      <c r="CF85" s="2930" t="e">
        <f t="shared" si="319"/>
        <v>#VALUE!</v>
      </c>
      <c r="CG85" s="2930" t="e">
        <f t="shared" ref="CG85:CL85" si="320">(CG69/CF69-1)*100</f>
        <v>#VALUE!</v>
      </c>
      <c r="CH85" s="2930" t="e">
        <f t="shared" si="319"/>
        <v>#VALUE!</v>
      </c>
      <c r="CI85" s="2930" t="e">
        <f t="shared" si="319"/>
        <v>#VALUE!</v>
      </c>
      <c r="CJ85" s="2930" t="e">
        <f t="shared" si="319"/>
        <v>#VALUE!</v>
      </c>
      <c r="CK85" s="2930" t="e">
        <f t="shared" si="320"/>
        <v>#VALUE!</v>
      </c>
      <c r="CL85" s="2930" t="e">
        <f t="shared" si="320"/>
        <v>#VALUE!</v>
      </c>
      <c r="CM85" s="2930" t="e">
        <f t="shared" ref="CM85" si="321">(CM69/CL69-1)*100</f>
        <v>#VALUE!</v>
      </c>
      <c r="CN85" s="2930" t="e">
        <f t="shared" ref="CN85:CP85" si="322">(CN69/CM69-1)*100</f>
        <v>#VALUE!</v>
      </c>
      <c r="CO85" s="2930" t="e">
        <f t="shared" si="322"/>
        <v>#VALUE!</v>
      </c>
      <c r="CP85" s="2930" t="e">
        <f t="shared" si="322"/>
        <v>#VALUE!</v>
      </c>
      <c r="CQ85" s="2930" t="e">
        <f t="shared" ref="CQ85" si="323">(CQ69/CP69-1)*100</f>
        <v>#VALUE!</v>
      </c>
      <c r="CR85" s="2930" t="e">
        <f t="shared" ref="CR85" si="324">(CR69/CQ69-1)*100</f>
        <v>#VALUE!</v>
      </c>
      <c r="CS85" s="2930" t="e">
        <f t="shared" ref="CS85" si="325">(CS69/CR69-1)*100</f>
        <v>#VALUE!</v>
      </c>
      <c r="CT85" s="2930" t="e">
        <f t="shared" ref="CT85" si="326">(CT69/CS69-1)*100</f>
        <v>#VALUE!</v>
      </c>
      <c r="CU85" s="2930" t="e">
        <f t="shared" ref="CU85:CV85" si="327">(CU69/CT69-1)*100</f>
        <v>#VALUE!</v>
      </c>
      <c r="CV85" s="2930" t="e">
        <f t="shared" si="327"/>
        <v>#VALUE!</v>
      </c>
      <c r="CW85" s="2930" t="e">
        <f t="shared" ref="CW85" si="328">(CW69/CV69-1)*100</f>
        <v>#VALUE!</v>
      </c>
      <c r="CX85" s="2930" t="e">
        <f t="shared" ref="CX85" si="329">(CX69/CW69-1)*100</f>
        <v>#VALUE!</v>
      </c>
      <c r="CY85" s="2930" t="e">
        <f t="shared" ref="CY85" si="330">(CY69/CX69-1)*100</f>
        <v>#VALUE!</v>
      </c>
      <c r="CZ85" s="2930" t="e">
        <f t="shared" ref="CZ85" si="331">(CZ69/CY69-1)*100</f>
        <v>#VALUE!</v>
      </c>
      <c r="DA85" s="2930" t="e">
        <f t="shared" ref="DA85" si="332">(DA69/CZ69-1)*100</f>
        <v>#VALUE!</v>
      </c>
      <c r="DB85" s="2930" t="e">
        <f t="shared" ref="DB85" si="333">(DB69/DA69-1)*100</f>
        <v>#VALUE!</v>
      </c>
      <c r="DC85" s="2930" t="e">
        <f t="shared" ref="DC85" si="334">(DC69/DB69-1)*100</f>
        <v>#VALUE!</v>
      </c>
      <c r="DD85" s="2930" t="e">
        <f t="shared" ref="DD85" si="335">(DD69/DC69-1)*100</f>
        <v>#VALUE!</v>
      </c>
      <c r="DE85" s="2930" t="e">
        <f t="shared" ref="DE85" si="336">(DE69/DD69-1)*100</f>
        <v>#VALUE!</v>
      </c>
      <c r="DF85" s="2930" t="e">
        <f t="shared" ref="DF85" si="337">(DF69/DE69-1)*100</f>
        <v>#VALUE!</v>
      </c>
    </row>
    <row r="86" spans="1:110" ht="12.75" hidden="1" customHeight="1">
      <c r="C86" s="3174"/>
      <c r="D86" s="754"/>
      <c r="E86" s="755" t="s">
        <v>138</v>
      </c>
      <c r="F86" s="961"/>
      <c r="G86" s="2931"/>
      <c r="H86" s="2931">
        <f t="shared" si="314"/>
        <v>0.53126567392081103</v>
      </c>
      <c r="I86" s="2931">
        <f t="shared" si="314"/>
        <v>4.5882291841379041</v>
      </c>
      <c r="J86" s="2931">
        <f t="shared" si="314"/>
        <v>2.1274136302953384</v>
      </c>
      <c r="K86" s="2931">
        <f t="shared" si="314"/>
        <v>-0.57788540173795422</v>
      </c>
      <c r="L86" s="2931">
        <f t="shared" si="314"/>
        <v>0.60665873501992706</v>
      </c>
      <c r="M86" s="2931">
        <f t="shared" si="314"/>
        <v>3.2388470393046154</v>
      </c>
      <c r="N86" s="2931">
        <f t="shared" si="314"/>
        <v>-0.750192005619299</v>
      </c>
      <c r="O86" s="2931">
        <f t="shared" ref="O86:BJ86" si="338">(O70/N70-1)*100</f>
        <v>-1.5130469678398817</v>
      </c>
      <c r="P86" s="2931">
        <f t="shared" si="338"/>
        <v>2.7651672785248493</v>
      </c>
      <c r="Q86" s="2931">
        <f t="shared" si="338"/>
        <v>-1.7758867907710085</v>
      </c>
      <c r="R86" s="2931">
        <f t="shared" si="338"/>
        <v>3.1283761530259468</v>
      </c>
      <c r="S86" s="2931">
        <f t="shared" si="338"/>
        <v>2.1903181172700847</v>
      </c>
      <c r="T86" s="2931">
        <f t="shared" si="338"/>
        <v>2.6667804888911961</v>
      </c>
      <c r="U86" s="2931">
        <f t="shared" si="338"/>
        <v>1.6887976255463455</v>
      </c>
      <c r="V86" s="2931">
        <f t="shared" si="338"/>
        <v>1.5058887438389457</v>
      </c>
      <c r="W86" s="2931">
        <f t="shared" si="338"/>
        <v>2.6664499846244416</v>
      </c>
      <c r="X86" s="2931">
        <f t="shared" si="338"/>
        <v>-0.71196739755620131</v>
      </c>
      <c r="Y86" s="2931">
        <f t="shared" si="338"/>
        <v>4.3069030017413246</v>
      </c>
      <c r="Z86" s="2931">
        <f t="shared" si="338"/>
        <v>-1.814352357241622</v>
      </c>
      <c r="AA86" s="2931">
        <f t="shared" si="338"/>
        <v>1.2426552832643489</v>
      </c>
      <c r="AB86" s="2931">
        <f t="shared" si="338"/>
        <v>4.9469903776119484</v>
      </c>
      <c r="AC86" s="2931">
        <f t="shared" si="338"/>
        <v>1.2085093914131706</v>
      </c>
      <c r="AD86" s="2931">
        <f t="shared" si="338"/>
        <v>1.2597821868421066</v>
      </c>
      <c r="AE86" s="2931">
        <f t="shared" si="338"/>
        <v>-1.7763832472295626</v>
      </c>
      <c r="AF86" s="2931">
        <f t="shared" si="338"/>
        <v>1.0075783239859248</v>
      </c>
      <c r="AG86" s="2931">
        <f t="shared" si="338"/>
        <v>0.60021824988929495</v>
      </c>
      <c r="AH86" s="2931">
        <f t="shared" si="338"/>
        <v>2.9669485011529551</v>
      </c>
      <c r="AI86" s="2931">
        <f t="shared" si="338"/>
        <v>-8.751518465621233</v>
      </c>
      <c r="AJ86" s="2931">
        <f t="shared" si="338"/>
        <v>6.3501909525549349</v>
      </c>
      <c r="AK86" s="2931">
        <f t="shared" si="338"/>
        <v>-1.3405755015186926</v>
      </c>
      <c r="AL86" s="2931">
        <f t="shared" si="338"/>
        <v>0.69502068841991171</v>
      </c>
      <c r="AM86" s="2931">
        <f t="shared" si="338"/>
        <v>1.9255730353850087</v>
      </c>
      <c r="AN86" s="2931">
        <f t="shared" si="338"/>
        <v>-2.0082423851905618</v>
      </c>
      <c r="AO86" s="2931">
        <f t="shared" si="338"/>
        <v>0.95097307859475233</v>
      </c>
      <c r="AP86" s="2931">
        <f t="shared" si="338"/>
        <v>1.4104931760676953</v>
      </c>
      <c r="AQ86" s="2931">
        <f t="shared" si="338"/>
        <v>0.10431410284093001</v>
      </c>
      <c r="AR86" s="2931">
        <f t="shared" si="338"/>
        <v>2.447459818640052</v>
      </c>
      <c r="AS86" s="2931">
        <f t="shared" si="338"/>
        <v>2.5654955790632483</v>
      </c>
      <c r="AT86" s="2931">
        <f t="shared" si="338"/>
        <v>2.5826854886649375</v>
      </c>
      <c r="AU86" s="2931">
        <f t="shared" si="338"/>
        <v>-1.2659619264402955</v>
      </c>
      <c r="AV86" s="2931">
        <f t="shared" si="338"/>
        <v>2.2349615678644241</v>
      </c>
      <c r="AW86" s="2931">
        <f t="shared" si="338"/>
        <v>2.7328800591955638</v>
      </c>
      <c r="AX86" s="2931">
        <f t="shared" si="338"/>
        <v>-1.9064889770234239</v>
      </c>
      <c r="AY86" s="2931">
        <f t="shared" si="338"/>
        <v>4.1515289214979934</v>
      </c>
      <c r="AZ86" s="2931">
        <f t="shared" si="338"/>
        <v>4.9908058502034613</v>
      </c>
      <c r="BA86" s="2931">
        <f t="shared" si="338"/>
        <v>0.85437469846791902</v>
      </c>
      <c r="BB86" s="2931">
        <f t="shared" si="338"/>
        <v>2.1621866073066043</v>
      </c>
      <c r="BC86" s="2931">
        <f t="shared" si="338"/>
        <v>3.3201271921087683</v>
      </c>
      <c r="BD86" s="2931">
        <f t="shared" si="338"/>
        <v>1.183158720547195</v>
      </c>
      <c r="BE86" s="2931">
        <f t="shared" si="338"/>
        <v>-0.26770146534795813</v>
      </c>
      <c r="BF86" s="2931">
        <f t="shared" si="338"/>
        <v>2.9660649151906027</v>
      </c>
      <c r="BG86" s="2931">
        <f t="shared" si="338"/>
        <v>0.39538422137483931</v>
      </c>
      <c r="BH86" s="2931">
        <f t="shared" si="338"/>
        <v>-2.1027993667735112</v>
      </c>
      <c r="BI86" s="2931">
        <f t="shared" si="338"/>
        <v>-1.3027925106678051</v>
      </c>
      <c r="BJ86" s="2931">
        <f t="shared" si="338"/>
        <v>-0.7375938109564717</v>
      </c>
      <c r="BK86" s="2931">
        <f t="shared" si="316"/>
        <v>-10.588849930507727</v>
      </c>
      <c r="BL86" s="2931">
        <f t="shared" si="316"/>
        <v>-1.513413122029883</v>
      </c>
      <c r="BM86" s="2931">
        <f t="shared" si="316"/>
        <v>-1.0418811135948669</v>
      </c>
      <c r="BN86" s="2931">
        <f t="shared" si="317"/>
        <v>1.3471594821255151</v>
      </c>
      <c r="BO86" s="2931">
        <f t="shared" si="317"/>
        <v>-1.1792050023679002</v>
      </c>
      <c r="BP86" s="2931">
        <f t="shared" si="317"/>
        <v>4.5316907589927791</v>
      </c>
      <c r="BQ86" s="2931">
        <f t="shared" si="317"/>
        <v>5.518344934632502</v>
      </c>
      <c r="BR86" s="2931">
        <f t="shared" si="317"/>
        <v>1.668513650711434</v>
      </c>
      <c r="BS86" s="2931">
        <f t="shared" si="318"/>
        <v>-1.7884906902415953</v>
      </c>
      <c r="BT86" s="2931">
        <f t="shared" si="318"/>
        <v>5.2156169511511141</v>
      </c>
      <c r="BU86" s="2931">
        <f t="shared" si="318"/>
        <v>-0.8013373186910866</v>
      </c>
      <c r="BV86" s="2931">
        <f t="shared" si="318"/>
        <v>-3.2833668893457957</v>
      </c>
      <c r="BW86" s="2931">
        <f t="shared" ref="BW86:BZ87" si="339">(BW70/BV70-1)*100</f>
        <v>4.3342251915958974</v>
      </c>
      <c r="BX86" s="2931">
        <f t="shared" si="339"/>
        <v>-2.3751968794460954</v>
      </c>
      <c r="BY86" s="2931">
        <f t="shared" si="339"/>
        <v>-2.6107864231595279</v>
      </c>
      <c r="BZ86" s="2931">
        <f t="shared" si="339"/>
        <v>2.8068380124678161</v>
      </c>
      <c r="CA86" s="2931">
        <f>IF(UPPER($F87)="N",CA87,(BZ60*CA76+BZ63*CA79+BZ66*CA82)/(BZ60+BZ63+BZ66))</f>
        <v>-1.4587030982594174</v>
      </c>
      <c r="CB86" s="2931">
        <f>IF(UPPER($F87)="N",CB87,(CA60*CB76+CA63*CB79+CA66*CB82)/(CA60+CA63+CA66))</f>
        <v>0.83513399035355373</v>
      </c>
      <c r="CC86" s="2931">
        <f>(CC70/CB70-1)*100</f>
        <v>2.6299793937763161</v>
      </c>
      <c r="CD86" s="2931">
        <f>(CD70/CC70-1)*100</f>
        <v>-1.7446978867075025E-3</v>
      </c>
      <c r="CE86" s="2931">
        <f>IF(UPPER($F87)="N",CE87,(CD60*CE76+CD63*CE79+CD66*CE82)/(CD60+CD63+CD66))</f>
        <v>2.2250473198615284</v>
      </c>
      <c r="CF86" s="2931">
        <f>IF(UPPER($F87)="N",CF87,(CE60*CF76+CE63*CF79+CE66*CF82)/(CE60+CE63+CE66))</f>
        <v>0.2954987868220238</v>
      </c>
      <c r="CG86" s="2931">
        <f t="shared" ref="CG86:CL86" si="340">IF(UPPER($F87)="N",CG87,(CF60*CG76+CF63*CG79+CF66*CG82)/(CF60+CF63+CF66))</f>
        <v>1.3404983566868145</v>
      </c>
      <c r="CH86" s="2931">
        <f>(CH70/CG70-1)*100</f>
        <v>3.3106836125063932</v>
      </c>
      <c r="CI86" s="2931">
        <f>IF(UPPER($F87)="N",CI87,(CH60*CI76+CH63*CI79+CH66*CI82)/(CH60+CH63+CH66))</f>
        <v>0.71987734804690451</v>
      </c>
      <c r="CJ86" s="2931">
        <f>IF(UPPER($F87)="N",CJ87,(CI60*CJ76+CI63*CJ79+CI66*CJ82)/(CI60+CI63+CI66))</f>
        <v>1.6915516626997862</v>
      </c>
      <c r="CK86" s="2931">
        <f t="shared" si="340"/>
        <v>7.9818831411127E-2</v>
      </c>
      <c r="CL86" s="2931">
        <f t="shared" si="340"/>
        <v>3.6578095998484716</v>
      </c>
      <c r="CM86" s="2931">
        <f>IF(UPPER($F87)="N",CM87,(CL60*CM76+CL63*CM79+CL66*CM82)/(CL60+CL63+CL66))</f>
        <v>-0.6685293429394279</v>
      </c>
      <c r="CN86" s="2931">
        <f>IF(UPPER($F87)="N",CN87,(CM60*CN76+CM63*CN79+CM66*CN82)/(CM60+CM63+CM66))</f>
        <v>1.3619154805766254</v>
      </c>
      <c r="CO86" s="2931">
        <f>IF(UPPER($F87)="N",CO87,(CN60*CO76+CN63*CO79+CN66*CO82)/(CN60+CN63+CN66))</f>
        <v>0.32308227387833899</v>
      </c>
      <c r="CP86" s="2931">
        <f t="shared" ref="CP86" si="341">IF(UPPER($F87)="N",CP87,(CO60*CP76+CO63*CP79+CO66*CP82)/(CO60+CO63+CO66))</f>
        <v>0.73871513174941228</v>
      </c>
      <c r="CQ86" s="2931">
        <f>IF(UPPER($F87)="N",CQ87,(CP60*CQ76+CP63*CQ79+CP66*CQ82)/(CP60+CP63+CP66))</f>
        <v>2.5520384493961989</v>
      </c>
      <c r="CR86" s="2931">
        <f>IF(UPPER($F87)="N",CR87,(CQ60*CR76+CQ63*CR79+CQ66*CR82)/(CQ60+CQ63+CQ66))</f>
        <v>1.955768971719718</v>
      </c>
      <c r="CS86" s="2931">
        <f>IF(UPPER($F87)="N",CS87,(CR60*CS76+CR63*CS79+CR66*CS82)/(CR60+CR63+CR66))</f>
        <v>3.1442645170717043</v>
      </c>
      <c r="CT86" s="2931">
        <f t="shared" ref="CT86" si="342">IF(UPPER($F87)="N",CT87,(CS60*CT76+CS63*CT79+CS66*CT82)/(CS60+CS63+CS66))</f>
        <v>-1.2249189804611316</v>
      </c>
      <c r="CU86" s="2931">
        <f t="shared" ref="CU86" si="343">IF(UPPER($F87)="N",CU87,(CT60*CU76+CT63*CU79+CT66*CU82)/(CT60+CT63+CT66))</f>
        <v>2.4601178204925356</v>
      </c>
      <c r="CV86" s="2931">
        <f>IF(UPPER($F87)="N",CV87,(CU60*CV76+CU63*CV79+CU66*CV82)/(CU60+CU63+CU66))</f>
        <v>-0.51308796836075921</v>
      </c>
      <c r="CW86" s="2931">
        <f t="shared" ref="CW86" si="344">IF(UPPER($F87)="N",CW87,(CV60*CW76+CV63*CW79+CV66*CW82)/(CV60+CV63+CV66))</f>
        <v>0.5</v>
      </c>
      <c r="CX86" s="2931">
        <f t="shared" ref="CX86" si="345">IF(UPPER($F87)="N",CX87,(CW60*CX76+CW63*CX79+CW66*CX82)/(CW60+CW63+CW66))</f>
        <v>0.41</v>
      </c>
      <c r="CY86" s="2931">
        <f t="shared" ref="CY86" si="346">IF(UPPER($F87)="N",CY87,(CX60*CY76+CX63*CY79+CX66*CY82)/(CX60+CX63+CX66))</f>
        <v>0.71</v>
      </c>
      <c r="CZ86" s="2931">
        <f t="shared" ref="CZ86" si="347">IF(UPPER($F87)="N",CZ87,(CY60*CZ76+CY63*CZ79+CY66*CZ82)/(CY60+CY63+CY66))</f>
        <v>0.63</v>
      </c>
      <c r="DA86" s="2931">
        <f t="shared" ref="DA86" si="348">IF(UPPER($F87)="N",DA87,(CZ60*DA76+CZ63*DA79+CZ66*DA82)/(CZ60+CZ63+CZ66))</f>
        <v>0.52</v>
      </c>
      <c r="DB86" s="2931">
        <f t="shared" ref="DB86" si="349">IF(UPPER($F87)="N",DB87,(DA60*DB76+DA63*DB79+DA66*DB82)/(DA60+DA63+DA66))</f>
        <v>0.48</v>
      </c>
      <c r="DC86" s="2931">
        <f t="shared" ref="DC86" si="350">IF(UPPER($F87)="N",DC87,(DB60*DC76+DB63*DC79+DB66*DC82)/(DB60+DB63+DB66))</f>
        <v>0.55000000000000004</v>
      </c>
      <c r="DD86" s="2931">
        <f t="shared" ref="DD86" si="351">IF(UPPER($F87)="N",DD87,(DC60*DD76+DC63*DD79+DC66*DD82)/(DC60+DC63+DC66))</f>
        <v>0.65</v>
      </c>
      <c r="DE86" s="2931">
        <f t="shared" ref="DE86" si="352">IF(UPPER($F87)="N",DE87,(DD60*DE76+DD63*DE79+DD66*DE82)/(DD60+DD63+DD66))</f>
        <v>0.42</v>
      </c>
      <c r="DF86" s="2931">
        <f t="shared" ref="DF86" si="353">IF(UPPER($F87)="N",DF87,(DE60*DF76+DE63*DF79+DE66*DF82)/(DE60+DE63+DE66))</f>
        <v>0.35</v>
      </c>
    </row>
    <row r="87" spans="1:110" s="736" customFormat="1" ht="12.75" customHeight="1">
      <c r="A87" s="701"/>
      <c r="B87" s="701"/>
      <c r="C87" s="1628"/>
      <c r="D87" s="726"/>
      <c r="E87" s="775" t="s">
        <v>138</v>
      </c>
      <c r="F87" s="3170" t="s">
        <v>1618</v>
      </c>
      <c r="G87" s="1015"/>
      <c r="H87" s="1015">
        <f t="shared" si="314"/>
        <v>0.53126567392081103</v>
      </c>
      <c r="I87" s="1015">
        <f t="shared" si="314"/>
        <v>4.5882291841379041</v>
      </c>
      <c r="J87" s="1015">
        <f t="shared" si="314"/>
        <v>2.1274136302953384</v>
      </c>
      <c r="K87" s="1015">
        <f t="shared" si="314"/>
        <v>-0.57788540173795422</v>
      </c>
      <c r="L87" s="1015">
        <f t="shared" si="314"/>
        <v>0.60665873501992706</v>
      </c>
      <c r="M87" s="1015">
        <f t="shared" si="314"/>
        <v>3.2388470393046154</v>
      </c>
      <c r="N87" s="1015">
        <f t="shared" si="314"/>
        <v>-0.750192005619299</v>
      </c>
      <c r="O87" s="1015">
        <f t="shared" ref="O87:BJ87" si="354">(O71/N71-1)*100</f>
        <v>-1.5130469678398817</v>
      </c>
      <c r="P87" s="1015">
        <f t="shared" si="354"/>
        <v>2.7651672785248493</v>
      </c>
      <c r="Q87" s="1015">
        <f t="shared" si="354"/>
        <v>-1.7758867907710085</v>
      </c>
      <c r="R87" s="1015">
        <f t="shared" si="354"/>
        <v>3.1283761530259468</v>
      </c>
      <c r="S87" s="1015">
        <f t="shared" si="354"/>
        <v>2.1903181172700847</v>
      </c>
      <c r="T87" s="1015">
        <f t="shared" si="354"/>
        <v>2.6667804888911961</v>
      </c>
      <c r="U87" s="1015">
        <f t="shared" si="354"/>
        <v>1.6887976255463455</v>
      </c>
      <c r="V87" s="1015">
        <f t="shared" si="354"/>
        <v>1.5058887438389457</v>
      </c>
      <c r="W87" s="1015">
        <f t="shared" si="354"/>
        <v>2.6664499846244416</v>
      </c>
      <c r="X87" s="1015">
        <f t="shared" si="354"/>
        <v>-0.71196739755620131</v>
      </c>
      <c r="Y87" s="1015">
        <f t="shared" si="354"/>
        <v>4.3069030017413246</v>
      </c>
      <c r="Z87" s="1015">
        <f t="shared" si="354"/>
        <v>-1.814352357241622</v>
      </c>
      <c r="AA87" s="1015">
        <f t="shared" si="354"/>
        <v>1.2426552832643489</v>
      </c>
      <c r="AB87" s="1015">
        <f t="shared" si="354"/>
        <v>4.9469903776119484</v>
      </c>
      <c r="AC87" s="1015">
        <f t="shared" si="354"/>
        <v>1.2085093914131706</v>
      </c>
      <c r="AD87" s="1015">
        <f t="shared" si="354"/>
        <v>1.2597821868421066</v>
      </c>
      <c r="AE87" s="1015">
        <f t="shared" si="354"/>
        <v>-1.7763832472295626</v>
      </c>
      <c r="AF87" s="1015">
        <f t="shared" si="354"/>
        <v>1.0075783239859248</v>
      </c>
      <c r="AG87" s="1015">
        <f t="shared" si="354"/>
        <v>0.60021824988929495</v>
      </c>
      <c r="AH87" s="1015">
        <f t="shared" si="354"/>
        <v>2.9669485011529551</v>
      </c>
      <c r="AI87" s="1015">
        <f t="shared" si="354"/>
        <v>-8.751518465621233</v>
      </c>
      <c r="AJ87" s="1015">
        <f t="shared" si="354"/>
        <v>6.3501909525549349</v>
      </c>
      <c r="AK87" s="1015">
        <f t="shared" si="354"/>
        <v>-1.3405755015186926</v>
      </c>
      <c r="AL87" s="1015">
        <f t="shared" si="354"/>
        <v>0.69502068841991171</v>
      </c>
      <c r="AM87" s="1015">
        <f t="shared" si="354"/>
        <v>1.9255730353850087</v>
      </c>
      <c r="AN87" s="1015">
        <f t="shared" si="354"/>
        <v>-2.0082423851905618</v>
      </c>
      <c r="AO87" s="1015">
        <f t="shared" si="354"/>
        <v>0.95097307859475233</v>
      </c>
      <c r="AP87" s="1015">
        <f t="shared" si="354"/>
        <v>1.4104931760676953</v>
      </c>
      <c r="AQ87" s="1015">
        <f t="shared" si="354"/>
        <v>0.10431410284093001</v>
      </c>
      <c r="AR87" s="1015">
        <f t="shared" si="354"/>
        <v>2.447459818640052</v>
      </c>
      <c r="AS87" s="1015">
        <f t="shared" si="354"/>
        <v>2.5654955790632483</v>
      </c>
      <c r="AT87" s="1015">
        <f t="shared" si="354"/>
        <v>2.5826854886649375</v>
      </c>
      <c r="AU87" s="1015">
        <f t="shared" si="354"/>
        <v>-1.2659619264402955</v>
      </c>
      <c r="AV87" s="1015">
        <f t="shared" si="354"/>
        <v>2.2349615678644241</v>
      </c>
      <c r="AW87" s="1015">
        <f t="shared" si="354"/>
        <v>2.7328800591955638</v>
      </c>
      <c r="AX87" s="1015">
        <f t="shared" si="354"/>
        <v>-1.9064889770234239</v>
      </c>
      <c r="AY87" s="1015">
        <f t="shared" si="354"/>
        <v>4.1515289214979934</v>
      </c>
      <c r="AZ87" s="1015">
        <f t="shared" si="354"/>
        <v>4.9908058502034613</v>
      </c>
      <c r="BA87" s="1015">
        <f t="shared" si="354"/>
        <v>0.85437469846791902</v>
      </c>
      <c r="BB87" s="1015">
        <f t="shared" si="354"/>
        <v>2.1621866073066043</v>
      </c>
      <c r="BC87" s="1015">
        <f t="shared" si="354"/>
        <v>3.3201271921087683</v>
      </c>
      <c r="BD87" s="1015">
        <f t="shared" si="354"/>
        <v>1.183158720547195</v>
      </c>
      <c r="BE87" s="1015">
        <f t="shared" si="354"/>
        <v>-0.26770146534795813</v>
      </c>
      <c r="BF87" s="1015">
        <f t="shared" si="354"/>
        <v>2.9660649151906027</v>
      </c>
      <c r="BG87" s="1015">
        <f t="shared" si="354"/>
        <v>0.39538422137483931</v>
      </c>
      <c r="BH87" s="1015">
        <f t="shared" si="354"/>
        <v>-2.1027993667735112</v>
      </c>
      <c r="BI87" s="1015">
        <f t="shared" si="354"/>
        <v>-1.3027925106678051</v>
      </c>
      <c r="BJ87" s="1015">
        <f t="shared" si="354"/>
        <v>-0.7375938109564717</v>
      </c>
      <c r="BK87" s="1015">
        <f t="shared" si="316"/>
        <v>-10.588849930507727</v>
      </c>
      <c r="BL87" s="1015">
        <f t="shared" si="316"/>
        <v>-1.513413122029883</v>
      </c>
      <c r="BM87" s="1015">
        <f t="shared" si="316"/>
        <v>-1.0418811135948669</v>
      </c>
      <c r="BN87" s="1015">
        <f t="shared" si="317"/>
        <v>1.3471594821255151</v>
      </c>
      <c r="BO87" s="1015">
        <f t="shared" si="317"/>
        <v>-1.1792050023679002</v>
      </c>
      <c r="BP87" s="1015">
        <f t="shared" si="317"/>
        <v>4.5316907589927791</v>
      </c>
      <c r="BQ87" s="1015">
        <f t="shared" si="317"/>
        <v>5.518344934632502</v>
      </c>
      <c r="BR87" s="1015">
        <f t="shared" si="317"/>
        <v>1.668513650711434</v>
      </c>
      <c r="BS87" s="1015">
        <f t="shared" si="318"/>
        <v>-1.7884906902415953</v>
      </c>
      <c r="BT87" s="1015">
        <f t="shared" si="318"/>
        <v>5.2156169511511141</v>
      </c>
      <c r="BU87" s="1015">
        <f t="shared" si="318"/>
        <v>-0.8013373186910866</v>
      </c>
      <c r="BV87" s="1015">
        <f t="shared" si="318"/>
        <v>-3.2833668893457957</v>
      </c>
      <c r="BW87" s="1015">
        <f t="shared" si="339"/>
        <v>4.3342251915958974</v>
      </c>
      <c r="BX87" s="1015">
        <f t="shared" si="339"/>
        <v>-2.3751968794460954</v>
      </c>
      <c r="BY87" s="1015">
        <f t="shared" si="339"/>
        <v>-2.6107864231595279</v>
      </c>
      <c r="BZ87" s="1015">
        <f t="shared" si="339"/>
        <v>2.8068380124678161</v>
      </c>
      <c r="CA87" s="1015">
        <f>(CA71/BZ71-1)*100</f>
        <v>-1.4587030982594174</v>
      </c>
      <c r="CB87" s="1015">
        <f>(CB71/CA71-1)*100</f>
        <v>0.83513399035355373</v>
      </c>
      <c r="CC87" s="1015">
        <f>(CC71/CB71-1)*100</f>
        <v>2.6299793937763161</v>
      </c>
      <c r="CD87" s="1015">
        <f>(CD71/CC71-1)*100</f>
        <v>-1.7446978867075025E-3</v>
      </c>
      <c r="CE87" s="1015">
        <f>(CE71/CD71-1)*100</f>
        <v>2.2250473198615284</v>
      </c>
      <c r="CF87" s="1015">
        <f>(CF71/CE71-1)*100</f>
        <v>0.2954987868220238</v>
      </c>
      <c r="CG87" s="1015">
        <f>(CG71/CF71-1)*100</f>
        <v>1.3404983566868145</v>
      </c>
      <c r="CH87" s="1015">
        <f>(CH71/CG71-1)*100</f>
        <v>3.3106836125064154</v>
      </c>
      <c r="CI87" s="1015">
        <f t="shared" ref="CI87:CP87" si="355">(CI71/CH71-1)*100</f>
        <v>0.71987734804690451</v>
      </c>
      <c r="CJ87" s="1015">
        <f t="shared" si="355"/>
        <v>1.6915516626997862</v>
      </c>
      <c r="CK87" s="1015">
        <f t="shared" si="355"/>
        <v>7.9818831411127E-2</v>
      </c>
      <c r="CL87" s="1015">
        <f t="shared" si="355"/>
        <v>3.6578095998484716</v>
      </c>
      <c r="CM87" s="1015">
        <f t="shared" si="355"/>
        <v>-0.6685293429394279</v>
      </c>
      <c r="CN87" s="1015">
        <f t="shared" si="355"/>
        <v>1.3619154805766254</v>
      </c>
      <c r="CO87" s="1015">
        <f t="shared" si="355"/>
        <v>0.32308227387833899</v>
      </c>
      <c r="CP87" s="1015">
        <f t="shared" si="355"/>
        <v>0.73871513174941228</v>
      </c>
      <c r="CQ87" s="1015">
        <f t="shared" ref="CQ87" si="356">(CQ71/CP71-1)*100</f>
        <v>2.5520384493961989</v>
      </c>
      <c r="CR87" s="1015">
        <f t="shared" ref="CR87" si="357">(CR71/CQ71-1)*100</f>
        <v>1.955768971719718</v>
      </c>
      <c r="CS87" s="1015">
        <f t="shared" ref="CS87" si="358">(CS71/CR71-1)*100</f>
        <v>3.1442645170717043</v>
      </c>
      <c r="CT87" s="1015">
        <f t="shared" ref="CT87:CV87" si="359">(CT71/CS71-1)*100</f>
        <v>-1.2249189804611316</v>
      </c>
      <c r="CU87" s="776">
        <f t="shared" si="359"/>
        <v>2.4601178204925356</v>
      </c>
      <c r="CV87" s="1015">
        <f t="shared" si="359"/>
        <v>-0.51308796836075921</v>
      </c>
      <c r="CW87" s="3679">
        <v>0.5</v>
      </c>
      <c r="CX87" s="3679">
        <v>0.41</v>
      </c>
      <c r="CY87" s="777">
        <v>0.71</v>
      </c>
      <c r="CZ87" s="777">
        <v>0.63</v>
      </c>
      <c r="DA87" s="777">
        <v>0.52</v>
      </c>
      <c r="DB87" s="777">
        <v>0.48</v>
      </c>
      <c r="DC87" s="777">
        <v>0.55000000000000004</v>
      </c>
      <c r="DD87" s="777">
        <v>0.65</v>
      </c>
      <c r="DE87" s="777">
        <v>0.42</v>
      </c>
      <c r="DF87" s="777">
        <v>0.35</v>
      </c>
    </row>
    <row r="88" spans="1:110" ht="12.75">
      <c r="A88" s="701"/>
      <c r="C88" s="1629"/>
      <c r="D88" s="1633"/>
      <c r="E88" s="1634" t="s">
        <v>353</v>
      </c>
      <c r="F88" s="1704"/>
      <c r="G88" s="1657"/>
      <c r="H88" s="1658"/>
      <c r="I88" s="1658"/>
      <c r="J88" s="1658"/>
      <c r="K88" s="1659"/>
      <c r="L88" s="1659"/>
      <c r="M88" s="1659"/>
      <c r="N88" s="1660">
        <f>N72/J72*100-100</f>
        <v>5.3391229209858011</v>
      </c>
      <c r="O88" s="1659"/>
      <c r="P88" s="1659"/>
      <c r="Q88" s="1659"/>
      <c r="R88" s="1660">
        <f>R72/N72*100-100</f>
        <v>1.5873896394775073</v>
      </c>
      <c r="S88" s="1659"/>
      <c r="T88" s="1659"/>
      <c r="U88" s="1659"/>
      <c r="V88" s="1660">
        <f>V72/R72*100-100</f>
        <v>7.7441074833151333</v>
      </c>
      <c r="W88" s="1659"/>
      <c r="X88" s="1659"/>
      <c r="Y88" s="1659"/>
      <c r="Z88" s="1660">
        <f>Z72/V72*100-100</f>
        <v>6.5588186452362862</v>
      </c>
      <c r="AA88" s="1659"/>
      <c r="AB88" s="1659"/>
      <c r="AC88" s="1659"/>
      <c r="AD88" s="1660">
        <f>AD72/Z72*100-100</f>
        <v>6.5569620381259881</v>
      </c>
      <c r="AE88" s="1659"/>
      <c r="AF88" s="1659"/>
      <c r="AG88" s="1659"/>
      <c r="AH88" s="1660">
        <f>AH72/AD72*100-100</f>
        <v>2.7500259579759359</v>
      </c>
      <c r="AI88" s="1659"/>
      <c r="AJ88" s="1659"/>
      <c r="AK88" s="1659"/>
      <c r="AL88" s="1660">
        <f>AL72/AH72*100-100</f>
        <v>-2.2590257512422198</v>
      </c>
      <c r="AM88" s="1659"/>
      <c r="AN88" s="1659"/>
      <c r="AO88" s="1659"/>
      <c r="AP88" s="1660">
        <f>AP72/AL72*100-100</f>
        <v>2.6014026792750258</v>
      </c>
      <c r="AQ88" s="1659"/>
      <c r="AR88" s="1659"/>
      <c r="AS88" s="1659"/>
      <c r="AT88" s="1660">
        <f>AT72/AP72*100-100</f>
        <v>4.9939332347064891</v>
      </c>
      <c r="AU88" s="1659"/>
      <c r="AV88" s="1659"/>
      <c r="AW88" s="1659"/>
      <c r="AX88" s="1660">
        <f>AX72/AT72*100-100</f>
        <v>5.1379724884556452</v>
      </c>
      <c r="AY88" s="1659"/>
      <c r="AZ88" s="1659"/>
      <c r="BA88" s="1659"/>
      <c r="BB88" s="1660">
        <f>BB72/AX72*100-100</f>
        <v>9.5961847701393879</v>
      </c>
      <c r="BC88" s="1659"/>
      <c r="BD88" s="1659"/>
      <c r="BE88" s="1659"/>
      <c r="BF88" s="1660">
        <f>BF72/BB72*100-100</f>
        <v>8.2869390597122674</v>
      </c>
      <c r="BG88" s="1659"/>
      <c r="BH88" s="1659"/>
      <c r="BI88" s="1659"/>
      <c r="BJ88" s="1660">
        <f>BJ72/BF72*100-100</f>
        <v>0.31504403569661577</v>
      </c>
      <c r="BK88" s="1659"/>
      <c r="BL88" s="1659"/>
      <c r="BM88" s="1659"/>
      <c r="BN88" s="1660">
        <f>BN72/BJ72*100-100</f>
        <v>-13.303776580214063</v>
      </c>
      <c r="BO88" s="1659"/>
      <c r="BP88" s="1659"/>
      <c r="BQ88" s="1659"/>
      <c r="BR88" s="1660">
        <f>BR72/BN72*100-100</f>
        <v>5.5840856612322085</v>
      </c>
      <c r="BS88" s="1659"/>
      <c r="BT88" s="1659"/>
      <c r="BU88" s="1659"/>
      <c r="BV88" s="1660">
        <f>BV72/BR72*100-100</f>
        <v>5.8946178892932437</v>
      </c>
      <c r="BW88" s="1659"/>
      <c r="BX88" s="1659"/>
      <c r="BY88" s="1659"/>
      <c r="BZ88" s="1660">
        <f>BZ72/BV72*100-100</f>
        <v>0.16722260828443325</v>
      </c>
      <c r="CA88" s="1661"/>
      <c r="CB88" s="1661"/>
      <c r="CC88" s="1659"/>
      <c r="CD88" s="1660">
        <f>CD72/BZ72*100-100</f>
        <v>0.60187757200098702</v>
      </c>
      <c r="CE88" s="1661"/>
      <c r="CF88" s="1661"/>
      <c r="CG88" s="1661"/>
      <c r="CH88" s="1660">
        <f>CH72/CD72*100-100</f>
        <v>5.5629392498722154</v>
      </c>
      <c r="CI88" s="1661"/>
      <c r="CJ88" s="1661"/>
      <c r="CK88" s="1661"/>
      <c r="CL88" s="1662">
        <f>CL72/CH72*100-100</f>
        <v>6.2856315046943507</v>
      </c>
      <c r="CM88" s="1661"/>
      <c r="CN88" s="1661"/>
      <c r="CO88" s="1661"/>
      <c r="CP88" s="1662">
        <f>CP72/CL72*100-100</f>
        <v>3.9015465407336052</v>
      </c>
      <c r="CQ88" s="1661"/>
      <c r="CR88" s="1661"/>
      <c r="CS88" s="1661"/>
      <c r="CT88" s="1662">
        <f>CT72/CP72*100-100</f>
        <v>6.4795398591801785</v>
      </c>
      <c r="CU88" s="1661"/>
      <c r="CV88" s="1661"/>
      <c r="CW88" s="1661"/>
      <c r="CX88" s="1662">
        <f>CX72/CT72*100-100</f>
        <v>3.5478624532955934</v>
      </c>
      <c r="CY88" s="1661"/>
      <c r="CZ88" s="1661"/>
      <c r="DA88" s="1661"/>
      <c r="DB88" s="1662">
        <f>DB72/CX72*100-100</f>
        <v>2.0063642519841665</v>
      </c>
      <c r="DC88" s="1661"/>
      <c r="DD88" s="1661"/>
      <c r="DE88" s="1661"/>
      <c r="DF88" s="1662">
        <f>DF72/DB72*100-100</f>
        <v>2.1286989680045139</v>
      </c>
    </row>
    <row r="89" spans="1:110" s="736" customFormat="1" ht="12.75" customHeight="1">
      <c r="A89" s="701"/>
      <c r="B89" s="701"/>
      <c r="C89" s="703"/>
      <c r="D89" s="754"/>
      <c r="E89" s="1648" t="s">
        <v>136</v>
      </c>
      <c r="F89" s="754"/>
      <c r="G89" s="1649"/>
      <c r="H89" s="1649"/>
      <c r="I89" s="1649"/>
      <c r="J89" s="1650"/>
      <c r="K89" s="1649"/>
      <c r="L89" s="1649"/>
      <c r="M89" s="1649"/>
      <c r="N89" s="1651">
        <f ca="1">N73/J73*100-100</f>
        <v>5.2145700905189614</v>
      </c>
      <c r="O89" s="1649"/>
      <c r="P89" s="1649"/>
      <c r="Q89" s="1649"/>
      <c r="R89" s="1651">
        <f ca="1">R73/N73*100-100</f>
        <v>1.4309449204905604</v>
      </c>
      <c r="S89" s="1649"/>
      <c r="T89" s="1649"/>
      <c r="U89" s="1649"/>
      <c r="V89" s="1651">
        <f ca="1">V73/R73*100-100</f>
        <v>7.8839351635803041</v>
      </c>
      <c r="W89" s="1649"/>
      <c r="X89" s="1649"/>
      <c r="Y89" s="1649"/>
      <c r="Z89" s="1651">
        <f ca="1">Z73/V73*100-100</f>
        <v>6.8000910017954652</v>
      </c>
      <c r="AA89" s="1649"/>
      <c r="AB89" s="1649"/>
      <c r="AC89" s="1649"/>
      <c r="AD89" s="1651">
        <f ca="1">AD73/Z73*100-100</f>
        <v>6.5359969359214602</v>
      </c>
      <c r="AE89" s="1649"/>
      <c r="AF89" s="1649"/>
      <c r="AG89" s="1649"/>
      <c r="AH89" s="1651">
        <f ca="1">AH73/AD73*100-100</f>
        <v>2.5100784083548433</v>
      </c>
      <c r="AI89" s="1649"/>
      <c r="AJ89" s="1649"/>
      <c r="AK89" s="1649"/>
      <c r="AL89" s="1651">
        <f ca="1">AL73/AH73*100-100</f>
        <v>-2.2231604070815507</v>
      </c>
      <c r="AM89" s="1649"/>
      <c r="AN89" s="1649"/>
      <c r="AO89" s="1649"/>
      <c r="AP89" s="1651">
        <f ca="1">AP73/AL73*100-100</f>
        <v>2.3398653945408938</v>
      </c>
      <c r="AQ89" s="1649"/>
      <c r="AR89" s="1649"/>
      <c r="AS89" s="1649"/>
      <c r="AT89" s="1651">
        <f ca="1">AT73/AP73*100-100</f>
        <v>5.7570718089645396</v>
      </c>
      <c r="AU89" s="1649"/>
      <c r="AV89" s="1649"/>
      <c r="AW89" s="1649"/>
      <c r="AX89" s="1651">
        <f ca="1">AX73/AT73*100-100</f>
        <v>5.0461475655452261</v>
      </c>
      <c r="AY89" s="1649"/>
      <c r="AZ89" s="1649"/>
      <c r="BA89" s="1649"/>
      <c r="BB89" s="1651">
        <f ca="1">BB73/AX73*100-100</f>
        <v>9.3698695618881942</v>
      </c>
      <c r="BC89" s="1649"/>
      <c r="BD89" s="1649"/>
      <c r="BE89" s="1649"/>
      <c r="BF89" s="1651">
        <f ca="1">BF73/BB73*100-100</f>
        <v>8.0946626795717549</v>
      </c>
      <c r="BG89" s="1649"/>
      <c r="BH89" s="1649"/>
      <c r="BI89" s="1649"/>
      <c r="BJ89" s="1651">
        <f ca="1">BJ73/BF73*100-100</f>
        <v>0.55397989242698031</v>
      </c>
      <c r="BK89" s="1649"/>
      <c r="BL89" s="1649"/>
      <c r="BM89" s="1649"/>
      <c r="BN89" s="1651">
        <f ca="1">BN73/BJ73*100-100</f>
        <v>-13.375837621300775</v>
      </c>
      <c r="BO89" s="1649"/>
      <c r="BP89" s="1649"/>
      <c r="BQ89" s="1649"/>
      <c r="BR89" s="1651">
        <f ca="1">BR73/BN73*100-100</f>
        <v>6.0335529121229712</v>
      </c>
      <c r="BS89" s="1649"/>
      <c r="BT89" s="1649"/>
      <c r="BU89" s="1649"/>
      <c r="BV89" s="1651">
        <f ca="1">BV73/BR73*100-100</f>
        <v>5.7033418239333287</v>
      </c>
      <c r="BW89" s="1649"/>
      <c r="BX89" s="1649"/>
      <c r="BY89" s="1649"/>
      <c r="BZ89" s="1651">
        <f ca="1">BZ73/BV73*100-100</f>
        <v>-0.28349406927131326</v>
      </c>
      <c r="CA89" s="1663"/>
      <c r="CB89" s="1663"/>
      <c r="CC89" s="1649"/>
      <c r="CD89" s="1651">
        <f ca="1">CD73/BZ73*100-100</f>
        <v>0.62269927052219032</v>
      </c>
      <c r="CE89" s="1663"/>
      <c r="CF89" s="1663"/>
      <c r="CG89" s="1663"/>
      <c r="CH89" s="1651">
        <f ca="1">CH73/CD73*100-100</f>
        <v>5.4381477690142077</v>
      </c>
      <c r="CI89" s="1663"/>
      <c r="CJ89" s="1663"/>
      <c r="CK89" s="1663"/>
      <c r="CL89" s="1664">
        <f ca="1">CL73/CH73*100-100</f>
        <v>6.6509106990125986</v>
      </c>
      <c r="CM89" s="1663"/>
      <c r="CN89" s="1663"/>
      <c r="CO89" s="1663"/>
      <c r="CP89" s="1664">
        <f ca="1">CP73/CL73*100-100</f>
        <v>4.1596180158439182</v>
      </c>
      <c r="CQ89" s="1663"/>
      <c r="CR89" s="1663"/>
      <c r="CS89" s="1663"/>
      <c r="CT89" s="1664">
        <f ca="1">CT73/CP73*100-100</f>
        <v>6.0546057350353379</v>
      </c>
      <c r="CU89" s="1663"/>
      <c r="CV89" s="1663"/>
      <c r="CW89" s="1663"/>
      <c r="CX89" s="1664">
        <f ca="1">CX73/CT73*100-100</f>
        <v>3.5391684236044938</v>
      </c>
      <c r="CY89" s="1663"/>
      <c r="CZ89" s="1663"/>
      <c r="DA89" s="1663"/>
      <c r="DB89" s="1664">
        <f ca="1">DB73/CX73*100-100</f>
        <v>1.9828306477457858</v>
      </c>
      <c r="DC89" s="1663"/>
      <c r="DD89" s="1663"/>
      <c r="DE89" s="1663"/>
      <c r="DF89" s="1664">
        <f ca="1">DF73/DB73*100-100</f>
        <v>2.1431885541373816</v>
      </c>
    </row>
    <row r="90" spans="1:110" ht="12.75">
      <c r="A90" s="701"/>
      <c r="AY90" s="217"/>
      <c r="BA90" s="217"/>
      <c r="BB90" s="217"/>
      <c r="BC90" s="217"/>
      <c r="BD90" s="217"/>
      <c r="BE90" s="217"/>
      <c r="BF90" s="217"/>
      <c r="BG90" s="217"/>
      <c r="BH90" s="217"/>
      <c r="BI90" s="217"/>
      <c r="BJ90" s="217"/>
      <c r="BK90" s="217"/>
      <c r="BL90" s="217"/>
      <c r="BM90" s="217"/>
      <c r="BN90" s="217"/>
      <c r="BO90" s="217"/>
      <c r="BP90" s="217"/>
      <c r="BQ90" s="217"/>
      <c r="BR90" s="217"/>
      <c r="BS90" s="217"/>
      <c r="BT90" s="217"/>
      <c r="BU90" s="217"/>
      <c r="BV90" s="217"/>
      <c r="BW90" s="1654"/>
      <c r="BX90" s="1654"/>
      <c r="BY90" s="1654"/>
      <c r="BZ90" s="1654"/>
      <c r="CA90" s="1654"/>
      <c r="CB90" s="1654"/>
      <c r="CC90" s="1654"/>
      <c r="CD90" s="1654"/>
      <c r="CE90" s="1654"/>
      <c r="CF90" s="1654"/>
      <c r="CG90" s="1654"/>
      <c r="CH90" s="1654"/>
      <c r="CI90" s="1654"/>
      <c r="CJ90" s="1654"/>
      <c r="CK90" s="1654"/>
      <c r="CL90" s="1654"/>
      <c r="CM90" s="1654"/>
      <c r="CN90" s="1654"/>
      <c r="CO90" s="1654"/>
      <c r="CP90" s="1654"/>
      <c r="CQ90" s="1654"/>
      <c r="CR90" s="1654"/>
      <c r="CS90" s="1654"/>
      <c r="CT90" s="1654"/>
      <c r="CU90" s="1654"/>
      <c r="CV90" s="1654"/>
      <c r="CW90" s="1654"/>
      <c r="CX90" s="1654"/>
      <c r="CY90" s="1654"/>
      <c r="CZ90" s="1654"/>
      <c r="DA90" s="1654"/>
      <c r="DB90" s="1654"/>
      <c r="DC90" s="1654"/>
      <c r="DD90" s="1654"/>
      <c r="DE90" s="1654"/>
      <c r="DF90" s="1654"/>
    </row>
    <row r="91" spans="1:110" s="736" customFormat="1" ht="12.75" customHeight="1">
      <c r="A91" s="701"/>
      <c r="B91" s="701"/>
      <c r="C91" s="703"/>
      <c r="D91" s="895"/>
      <c r="E91" s="896"/>
      <c r="F91" s="897"/>
      <c r="G91" s="1640" t="str">
        <f>G75</f>
        <v>Q1</v>
      </c>
      <c r="H91" s="1640" t="str">
        <f t="shared" ref="H91:BI91" si="360">H75</f>
        <v>Q2</v>
      </c>
      <c r="I91" s="1640" t="str">
        <f t="shared" si="360"/>
        <v>Q3</v>
      </c>
      <c r="J91" s="1640" t="str">
        <f t="shared" si="360"/>
        <v>Q4</v>
      </c>
      <c r="K91" s="1645" t="str">
        <f t="shared" si="360"/>
        <v>Q1</v>
      </c>
      <c r="L91" s="1640" t="str">
        <f t="shared" si="360"/>
        <v>Q2</v>
      </c>
      <c r="M91" s="1640" t="str">
        <f t="shared" si="360"/>
        <v>Q3</v>
      </c>
      <c r="N91" s="1646" t="str">
        <f t="shared" si="360"/>
        <v>Q4</v>
      </c>
      <c r="O91" s="1645" t="str">
        <f t="shared" si="360"/>
        <v>Q1</v>
      </c>
      <c r="P91" s="1640" t="str">
        <f t="shared" si="360"/>
        <v>Q2</v>
      </c>
      <c r="Q91" s="1640" t="str">
        <f t="shared" si="360"/>
        <v>Q3</v>
      </c>
      <c r="R91" s="1646" t="str">
        <f t="shared" si="360"/>
        <v>Q4</v>
      </c>
      <c r="S91" s="1645" t="str">
        <f t="shared" si="360"/>
        <v>Q1</v>
      </c>
      <c r="T91" s="1640" t="str">
        <f t="shared" si="360"/>
        <v>Q2</v>
      </c>
      <c r="U91" s="1640" t="str">
        <f t="shared" si="360"/>
        <v>Q3</v>
      </c>
      <c r="V91" s="1646" t="str">
        <f t="shared" si="360"/>
        <v>Q4</v>
      </c>
      <c r="W91" s="1645" t="str">
        <f t="shared" si="360"/>
        <v>Q1</v>
      </c>
      <c r="X91" s="1640" t="str">
        <f t="shared" si="360"/>
        <v>Q2</v>
      </c>
      <c r="Y91" s="1640" t="str">
        <f t="shared" si="360"/>
        <v>Q3</v>
      </c>
      <c r="Z91" s="1646" t="str">
        <f t="shared" si="360"/>
        <v>Q4</v>
      </c>
      <c r="AA91" s="1645" t="str">
        <f t="shared" si="360"/>
        <v>Q1</v>
      </c>
      <c r="AB91" s="1640" t="str">
        <f t="shared" si="360"/>
        <v>Q2</v>
      </c>
      <c r="AC91" s="1640" t="str">
        <f t="shared" si="360"/>
        <v>Q3</v>
      </c>
      <c r="AD91" s="1646" t="str">
        <f t="shared" si="360"/>
        <v>Q4</v>
      </c>
      <c r="AE91" s="1645" t="str">
        <f t="shared" si="360"/>
        <v>Q1</v>
      </c>
      <c r="AF91" s="1640" t="str">
        <f t="shared" si="360"/>
        <v>Q2</v>
      </c>
      <c r="AG91" s="1640" t="str">
        <f t="shared" si="360"/>
        <v>Q3</v>
      </c>
      <c r="AH91" s="1646" t="str">
        <f t="shared" si="360"/>
        <v>Q4</v>
      </c>
      <c r="AI91" s="1645" t="str">
        <f t="shared" si="360"/>
        <v>Q1</v>
      </c>
      <c r="AJ91" s="1640" t="str">
        <f t="shared" si="360"/>
        <v>Q2</v>
      </c>
      <c r="AK91" s="1640" t="str">
        <f t="shared" si="360"/>
        <v>Q3</v>
      </c>
      <c r="AL91" s="1646" t="str">
        <f t="shared" si="360"/>
        <v>Q4</v>
      </c>
      <c r="AM91" s="1645" t="str">
        <f t="shared" si="360"/>
        <v>Q1</v>
      </c>
      <c r="AN91" s="1640" t="str">
        <f t="shared" si="360"/>
        <v>Q2</v>
      </c>
      <c r="AO91" s="1640" t="str">
        <f t="shared" si="360"/>
        <v>Q3</v>
      </c>
      <c r="AP91" s="1646" t="str">
        <f t="shared" si="360"/>
        <v>Q4</v>
      </c>
      <c r="AQ91" s="1645" t="str">
        <f t="shared" si="360"/>
        <v>Q1</v>
      </c>
      <c r="AR91" s="1640" t="str">
        <f t="shared" si="360"/>
        <v>Q2</v>
      </c>
      <c r="AS91" s="1640" t="str">
        <f t="shared" si="360"/>
        <v>Q3</v>
      </c>
      <c r="AT91" s="1646" t="str">
        <f t="shared" si="360"/>
        <v>Q4</v>
      </c>
      <c r="AU91" s="1645" t="str">
        <f t="shared" si="360"/>
        <v>Q1</v>
      </c>
      <c r="AV91" s="1640" t="str">
        <f t="shared" si="360"/>
        <v>Q2</v>
      </c>
      <c r="AW91" s="1640" t="str">
        <f t="shared" si="360"/>
        <v>Q3</v>
      </c>
      <c r="AX91" s="1646" t="str">
        <f t="shared" si="360"/>
        <v>Q4</v>
      </c>
      <c r="AY91" s="1645" t="str">
        <f t="shared" si="360"/>
        <v>Q1</v>
      </c>
      <c r="AZ91" s="1640" t="str">
        <f t="shared" si="360"/>
        <v>Q2</v>
      </c>
      <c r="BA91" s="1640" t="str">
        <f t="shared" si="360"/>
        <v>Q3</v>
      </c>
      <c r="BB91" s="1646" t="str">
        <f t="shared" si="360"/>
        <v>Q4</v>
      </c>
      <c r="BC91" s="1645" t="str">
        <f t="shared" si="360"/>
        <v>Q1</v>
      </c>
      <c r="BD91" s="1640" t="str">
        <f t="shared" si="360"/>
        <v>Q2</v>
      </c>
      <c r="BE91" s="1640" t="str">
        <f t="shared" si="360"/>
        <v>Q3</v>
      </c>
      <c r="BF91" s="1646" t="str">
        <f t="shared" si="360"/>
        <v>Q4</v>
      </c>
      <c r="BG91" s="1645" t="str">
        <f t="shared" si="360"/>
        <v>Q1</v>
      </c>
      <c r="BH91" s="1640" t="str">
        <f t="shared" si="360"/>
        <v>Q2</v>
      </c>
      <c r="BI91" s="1640" t="str">
        <f t="shared" si="360"/>
        <v>Q3</v>
      </c>
      <c r="BJ91" s="1646" t="str">
        <f t="shared" ref="BJ91:BR91" si="361">BJ75</f>
        <v>Q4</v>
      </c>
      <c r="BK91" s="1645" t="str">
        <f t="shared" si="361"/>
        <v>Q1</v>
      </c>
      <c r="BL91" s="1640" t="str">
        <f t="shared" si="361"/>
        <v>Q2</v>
      </c>
      <c r="BM91" s="1640" t="str">
        <f t="shared" si="361"/>
        <v>Q3</v>
      </c>
      <c r="BN91" s="1646" t="str">
        <f t="shared" si="361"/>
        <v>Q4</v>
      </c>
      <c r="BO91" s="1645" t="str">
        <f t="shared" si="361"/>
        <v>Q1</v>
      </c>
      <c r="BP91" s="1640" t="str">
        <f t="shared" si="361"/>
        <v>Q2</v>
      </c>
      <c r="BQ91" s="1640" t="str">
        <f t="shared" si="361"/>
        <v>Q3</v>
      </c>
      <c r="BR91" s="1646" t="str">
        <f t="shared" si="361"/>
        <v>Q4</v>
      </c>
      <c r="BS91" s="1645" t="str">
        <f t="shared" ref="BS91:BZ91" si="362">BS75</f>
        <v>Q1</v>
      </c>
      <c r="BT91" s="1640" t="str">
        <f t="shared" si="362"/>
        <v>Q2</v>
      </c>
      <c r="BU91" s="1640" t="str">
        <f t="shared" si="362"/>
        <v>Q3</v>
      </c>
      <c r="BV91" s="1646" t="str">
        <f t="shared" si="362"/>
        <v>Q4</v>
      </c>
      <c r="BW91" s="1645" t="str">
        <f t="shared" si="362"/>
        <v>Q1</v>
      </c>
      <c r="BX91" s="1640" t="str">
        <f t="shared" si="362"/>
        <v>Q2</v>
      </c>
      <c r="BY91" s="1640" t="str">
        <f t="shared" si="362"/>
        <v>Q3</v>
      </c>
      <c r="BZ91" s="1646" t="str">
        <f t="shared" si="362"/>
        <v>Q4</v>
      </c>
      <c r="CA91" s="1645" t="str">
        <f t="shared" ref="CA91:CF91" si="363">CA75</f>
        <v>Q1</v>
      </c>
      <c r="CB91" s="1640" t="str">
        <f t="shared" si="363"/>
        <v>Q2</v>
      </c>
      <c r="CC91" s="1640" t="str">
        <f t="shared" si="363"/>
        <v>Q3</v>
      </c>
      <c r="CD91" s="1646" t="str">
        <f t="shared" si="363"/>
        <v>Q4</v>
      </c>
      <c r="CE91" s="1645" t="str">
        <f t="shared" si="363"/>
        <v>Q1</v>
      </c>
      <c r="CF91" s="1640" t="str">
        <f t="shared" si="363"/>
        <v>Q2</v>
      </c>
      <c r="CG91" s="1640" t="str">
        <f t="shared" ref="CG91:CL91" si="364">CG75</f>
        <v>Q3</v>
      </c>
      <c r="CH91" s="1646" t="str">
        <f t="shared" si="364"/>
        <v>Q4</v>
      </c>
      <c r="CI91" s="1645" t="str">
        <f t="shared" si="364"/>
        <v>Q1</v>
      </c>
      <c r="CJ91" s="1640" t="str">
        <f t="shared" si="364"/>
        <v>Q2</v>
      </c>
      <c r="CK91" s="1640" t="str">
        <f t="shared" si="364"/>
        <v>Q3</v>
      </c>
      <c r="CL91" s="1646" t="str">
        <f t="shared" si="364"/>
        <v>Q4</v>
      </c>
      <c r="CM91" s="1645" t="str">
        <f t="shared" ref="CM91:CN91" si="365">CM75</f>
        <v>Q1</v>
      </c>
      <c r="CN91" s="1640" t="str">
        <f t="shared" si="365"/>
        <v>Q2</v>
      </c>
      <c r="CO91" s="1640" t="str">
        <f t="shared" ref="CO91:CR91" si="366">CO75</f>
        <v>Q3</v>
      </c>
      <c r="CP91" s="1646" t="str">
        <f t="shared" si="366"/>
        <v>Q4</v>
      </c>
      <c r="CQ91" s="1645" t="str">
        <f t="shared" si="366"/>
        <v>Q1</v>
      </c>
      <c r="CR91" s="1640" t="str">
        <f t="shared" si="366"/>
        <v>Q2</v>
      </c>
      <c r="CS91" s="1640" t="str">
        <f t="shared" ref="CS91:CT91" si="367">CS75</f>
        <v>Q3</v>
      </c>
      <c r="CT91" s="1646" t="str">
        <f t="shared" si="367"/>
        <v>Q4</v>
      </c>
      <c r="CU91" s="1645" t="str">
        <f t="shared" ref="CU91:CX91" si="368">CU75</f>
        <v>Q1</v>
      </c>
      <c r="CV91" s="1640" t="str">
        <f t="shared" si="368"/>
        <v>Q2</v>
      </c>
      <c r="CW91" s="1640" t="str">
        <f t="shared" si="368"/>
        <v>Q3</v>
      </c>
      <c r="CX91" s="1646" t="str">
        <f t="shared" si="368"/>
        <v>Q4</v>
      </c>
      <c r="CY91" s="1645" t="str">
        <f t="shared" ref="CY91:DB91" si="369">CY75</f>
        <v>Q1</v>
      </c>
      <c r="CZ91" s="1640" t="str">
        <f t="shared" si="369"/>
        <v>Q2</v>
      </c>
      <c r="DA91" s="1640" t="str">
        <f t="shared" si="369"/>
        <v>Q3</v>
      </c>
      <c r="DB91" s="1646" t="str">
        <f t="shared" si="369"/>
        <v>Q4</v>
      </c>
      <c r="DC91" s="1645" t="str">
        <f t="shared" ref="DC91:DF91" si="370">DC75</f>
        <v>Q1</v>
      </c>
      <c r="DD91" s="1640" t="str">
        <f t="shared" si="370"/>
        <v>Q2</v>
      </c>
      <c r="DE91" s="1640" t="str">
        <f t="shared" si="370"/>
        <v>Q3</v>
      </c>
      <c r="DF91" s="1646" t="str">
        <f t="shared" si="370"/>
        <v>Q4</v>
      </c>
    </row>
    <row r="92" spans="1:110" s="736" customFormat="1" ht="12.75" customHeight="1">
      <c r="A92" s="701"/>
      <c r="B92" s="701"/>
      <c r="C92" s="899"/>
      <c r="D92" s="900"/>
      <c r="E92" s="901" t="s">
        <v>137</v>
      </c>
      <c r="F92" s="902"/>
      <c r="G92" s="742"/>
      <c r="H92" s="742"/>
      <c r="I92" s="742"/>
      <c r="J92" s="742"/>
      <c r="K92" s="1616">
        <f t="shared" ref="K92:AP92" si="371">(K71/G71-1)*100</f>
        <v>6.7601780985362181</v>
      </c>
      <c r="L92" s="1616">
        <f t="shared" si="371"/>
        <v>6.8402425101038888</v>
      </c>
      <c r="M92" s="1616">
        <f t="shared" si="371"/>
        <v>5.4618052163720066</v>
      </c>
      <c r="N92" s="1616">
        <f t="shared" si="371"/>
        <v>2.4902476856686118</v>
      </c>
      <c r="O92" s="1616">
        <f t="shared" si="371"/>
        <v>1.5262273475055377</v>
      </c>
      <c r="P92" s="1616">
        <f t="shared" si="371"/>
        <v>3.7044651686879426</v>
      </c>
      <c r="Q92" s="1616">
        <f t="shared" si="371"/>
        <v>-1.3328856418390989</v>
      </c>
      <c r="R92" s="1616">
        <f t="shared" si="371"/>
        <v>2.5229115207774599</v>
      </c>
      <c r="S92" s="1616">
        <f t="shared" si="371"/>
        <v>6.3780391215459087</v>
      </c>
      <c r="T92" s="1616">
        <f t="shared" si="371"/>
        <v>6.2761933888539678</v>
      </c>
      <c r="U92" s="1616">
        <f t="shared" si="371"/>
        <v>10.024900900985468</v>
      </c>
      <c r="V92" s="1616">
        <f t="shared" si="371"/>
        <v>8.2939125632654154</v>
      </c>
      <c r="W92" s="1616">
        <f t="shared" si="371"/>
        <v>8.7984827002590915</v>
      </c>
      <c r="X92" s="1616">
        <f t="shared" si="371"/>
        <v>5.2179414412297342</v>
      </c>
      <c r="Y92" s="1616">
        <f t="shared" si="371"/>
        <v>7.9269090423005562</v>
      </c>
      <c r="Z92" s="1616">
        <f t="shared" si="371"/>
        <v>4.3966374122560214</v>
      </c>
      <c r="AA92" s="1616">
        <f t="shared" si="371"/>
        <v>2.9488481957238299</v>
      </c>
      <c r="AB92" s="1616">
        <f t="shared" si="371"/>
        <v>8.8164554961373653</v>
      </c>
      <c r="AC92" s="1616">
        <f t="shared" si="371"/>
        <v>5.5841074855540018</v>
      </c>
      <c r="AD92" s="1616">
        <f t="shared" si="371"/>
        <v>8.8898834306142547</v>
      </c>
      <c r="AE92" s="1616">
        <f t="shared" si="371"/>
        <v>5.6428058748327237</v>
      </c>
      <c r="AF92" s="1616">
        <f t="shared" si="371"/>
        <v>1.6772748829980921</v>
      </c>
      <c r="AG92" s="1616">
        <f t="shared" si="371"/>
        <v>1.0661663311823277</v>
      </c>
      <c r="AH92" s="1616">
        <f t="shared" si="371"/>
        <v>2.7700684229207129</v>
      </c>
      <c r="AI92" s="1616">
        <f t="shared" si="371"/>
        <v>-4.52792311263347</v>
      </c>
      <c r="AJ92" s="1616">
        <f t="shared" si="371"/>
        <v>0.52189920879754936</v>
      </c>
      <c r="AK92" s="1616">
        <f t="shared" si="371"/>
        <v>-1.4173836005050067</v>
      </c>
      <c r="AL92" s="1616">
        <f t="shared" si="371"/>
        <v>-3.5925727394498952</v>
      </c>
      <c r="AM92" s="1616">
        <f t="shared" si="371"/>
        <v>7.6881730321899155</v>
      </c>
      <c r="AN92" s="1616">
        <f t="shared" si="371"/>
        <v>-0.77541699516336937</v>
      </c>
      <c r="AO92" s="1616">
        <f t="shared" si="371"/>
        <v>1.5292584421090494</v>
      </c>
      <c r="AP92" s="1616">
        <f t="shared" si="371"/>
        <v>2.2506584737092439</v>
      </c>
      <c r="AQ92" s="1616">
        <f t="shared" ref="AQ92:BJ92" si="372">(AQ71/AM71-1)*100</f>
        <v>0.42359074617139836</v>
      </c>
      <c r="AR92" s="1616">
        <f t="shared" si="372"/>
        <v>4.9898688239989886</v>
      </c>
      <c r="AS92" s="1616">
        <f t="shared" si="372"/>
        <v>6.6689859277599517</v>
      </c>
      <c r="AT92" s="1616">
        <f t="shared" si="372"/>
        <v>7.9019605577124841</v>
      </c>
      <c r="AU92" s="1616">
        <f t="shared" si="372"/>
        <v>6.4249465909339332</v>
      </c>
      <c r="AV92" s="1616">
        <f t="shared" si="372"/>
        <v>6.2041981699433313</v>
      </c>
      <c r="AW92" s="1616">
        <f t="shared" si="372"/>
        <v>6.3775209272525002</v>
      </c>
      <c r="AX92" s="1616">
        <f t="shared" si="372"/>
        <v>1.7222786863714257</v>
      </c>
      <c r="AY92" s="1616">
        <f t="shared" si="372"/>
        <v>7.3037329099318482</v>
      </c>
      <c r="AZ92" s="1616">
        <f t="shared" si="372"/>
        <v>10.196210926047456</v>
      </c>
      <c r="BA92" s="1616">
        <f t="shared" si="372"/>
        <v>8.1812360432526035</v>
      </c>
      <c r="BB92" s="1616">
        <f t="shared" si="372"/>
        <v>12.668325445819995</v>
      </c>
      <c r="BC92" s="1616">
        <f t="shared" si="372"/>
        <v>11.768937394650347</v>
      </c>
      <c r="BD92" s="1616">
        <f t="shared" si="372"/>
        <v>7.7154712819826665</v>
      </c>
      <c r="BE92" s="1616">
        <f t="shared" si="372"/>
        <v>6.5170605718764874</v>
      </c>
      <c r="BF92" s="1616">
        <f t="shared" si="372"/>
        <v>7.3552058510337526</v>
      </c>
      <c r="BG92" s="1616">
        <f t="shared" si="372"/>
        <v>4.3162395603642434</v>
      </c>
      <c r="BH92" s="1616">
        <f t="shared" si="372"/>
        <v>0.92853358877100778</v>
      </c>
      <c r="BI92" s="1616">
        <f t="shared" si="372"/>
        <v>-0.11897281457033948</v>
      </c>
      <c r="BJ92" s="1616">
        <f t="shared" si="372"/>
        <v>-3.7116636512702139</v>
      </c>
      <c r="BK92" s="1616">
        <f t="shared" ref="BK92:BR92" si="373">(BK71/BG71-1)*100</f>
        <v>-14.246546711406893</v>
      </c>
      <c r="BL92" s="1616">
        <f t="shared" si="373"/>
        <v>-13.730271419767881</v>
      </c>
      <c r="BM92" s="1616">
        <f t="shared" si="373"/>
        <v>-13.50221273420269</v>
      </c>
      <c r="BN92" s="1616">
        <f t="shared" si="373"/>
        <v>-11.685547656557404</v>
      </c>
      <c r="BO92" s="1616">
        <f t="shared" si="373"/>
        <v>-2.3913193871632155</v>
      </c>
      <c r="BP92" s="1616">
        <f t="shared" si="373"/>
        <v>3.599898632456755</v>
      </c>
      <c r="BQ92" s="1616">
        <f t="shared" si="373"/>
        <v>10.467841973038251</v>
      </c>
      <c r="BR92" s="1616">
        <f t="shared" si="373"/>
        <v>10.818116235228947</v>
      </c>
      <c r="BS92" s="1616">
        <f>(BS71/BO71-1)*100</f>
        <v>10.134860325570806</v>
      </c>
      <c r="BT92" s="1616">
        <f>(BT71/BP71-1)*100</f>
        <v>10.855446734337715</v>
      </c>
      <c r="BU92" s="1616">
        <f>(BU71/BQ71-1)*100</f>
        <v>4.2161159161255179</v>
      </c>
      <c r="BV92" s="1616">
        <f>(BV71/BR71-1)*100</f>
        <v>-0.85984848853163376</v>
      </c>
      <c r="BW92" s="1616">
        <f t="shared" ref="BW92:CD92" si="374">(BW71/BS71-1)*100</f>
        <v>5.3207609375239828</v>
      </c>
      <c r="BX92" s="1616">
        <f t="shared" si="374"/>
        <v>-2.2776385390931964</v>
      </c>
      <c r="BY92" s="1616">
        <f t="shared" si="374"/>
        <v>-4.060158934555103</v>
      </c>
      <c r="BZ92" s="1616">
        <f t="shared" si="374"/>
        <v>1.9811317053650912</v>
      </c>
      <c r="CA92" s="1616">
        <f>(CA71/BW71-1)*100</f>
        <v>-3.6811462461182165</v>
      </c>
      <c r="CB92" s="1616">
        <f>(CB71/BX71-1)*100</f>
        <v>-0.51376070816262498</v>
      </c>
      <c r="CC92" s="1616">
        <f t="shared" si="374"/>
        <v>4.8398514937141979</v>
      </c>
      <c r="CD92" s="1616">
        <f t="shared" si="374"/>
        <v>1.9757288346195612</v>
      </c>
      <c r="CE92" s="1616">
        <f>(CE71/CA71-1)*100</f>
        <v>5.7878679635301022</v>
      </c>
      <c r="CF92" s="1616">
        <f>(CF71/CB71-1)*100</f>
        <v>5.2217274190535345</v>
      </c>
      <c r="CG92" s="1616">
        <f t="shared" ref="CG92:CL92" si="375">(CG71/CC71-1)*100</f>
        <v>3.8996827007546031</v>
      </c>
      <c r="CH92" s="1616">
        <f t="shared" si="375"/>
        <v>7.3413452515568078</v>
      </c>
      <c r="CI92" s="1616">
        <f>(CI71/CE71-1)*100</f>
        <v>5.7608424898286881</v>
      </c>
      <c r="CJ92" s="1616">
        <f>(CJ71/CF71-1)*100</f>
        <v>7.2329696550468059</v>
      </c>
      <c r="CK92" s="1616">
        <f t="shared" si="375"/>
        <v>5.8989875701865868</v>
      </c>
      <c r="CL92" s="1616">
        <f t="shared" si="375"/>
        <v>6.2548103111985887</v>
      </c>
      <c r="CM92" s="1616">
        <f>(CM71/CI71-1)*100</f>
        <v>4.7901054935411524</v>
      </c>
      <c r="CN92" s="1616">
        <f>(CN71/CJ71-1)*100</f>
        <v>4.4504252572345138</v>
      </c>
      <c r="CO92" s="1616">
        <f>(CO71/CK71-1)*100</f>
        <v>4.7043123077101123</v>
      </c>
      <c r="CP92" s="1616">
        <f t="shared" ref="CP92" si="376">(CP71/CL71-1)*100</f>
        <v>1.7557474091904002</v>
      </c>
      <c r="CQ92" s="1616">
        <f>(CQ71/CM71-1)*100</f>
        <v>5.0549161481945104</v>
      </c>
      <c r="CR92" s="1616">
        <f>(CR71/CN71-1)*100</f>
        <v>5.6704059840027465</v>
      </c>
      <c r="CS92" s="1616">
        <f>(CS71/CO71-1)*100</f>
        <v>8.6419601491674047</v>
      </c>
      <c r="CT92" s="1616">
        <f t="shared" ref="CT92" si="377">(CT71/CP71-1)*100</f>
        <v>6.5242732331955544</v>
      </c>
      <c r="CU92" s="1616">
        <f t="shared" ref="CU92" si="378">(CU71/CQ71-1)*100</f>
        <v>6.4287921648798374</v>
      </c>
      <c r="CV92" s="1616">
        <f>(CV71/CR71-1)*100</f>
        <v>3.8516210561657216</v>
      </c>
      <c r="CW92" s="1616">
        <f t="shared" ref="CW92" si="379">(CW71/CS71-1)*100</f>
        <v>1.1892223480558517</v>
      </c>
      <c r="CX92" s="1616">
        <f t="shared" ref="CX92" si="380">(CX71/CT71-1)*100</f>
        <v>2.864100045217266</v>
      </c>
      <c r="CY92" s="1616">
        <f t="shared" ref="CY92" si="381">(CY71/CU71-1)*100</f>
        <v>1.1070818179548469</v>
      </c>
      <c r="CZ92" s="1616">
        <f t="shared" ref="CZ92" si="382">(CZ71/CV71-1)*100</f>
        <v>2.268785265996498</v>
      </c>
      <c r="DA92" s="1616">
        <f t="shared" ref="DA92" si="383">(DA71/CW71-1)*100</f>
        <v>2.2891372630643891</v>
      </c>
      <c r="DB92" s="1616">
        <f t="shared" ref="DB92" si="384">(DB71/CX71-1)*100</f>
        <v>2.3604472880460747</v>
      </c>
      <c r="DC92" s="1616">
        <f t="shared" ref="DC92" si="385">(DC71/CY71-1)*100</f>
        <v>2.1978251892863954</v>
      </c>
      <c r="DD92" s="1616">
        <f t="shared" ref="DD92" si="386">(DD71/CZ71-1)*100</f>
        <v>2.2181367912320171</v>
      </c>
      <c r="DE92" s="1616">
        <f t="shared" ref="DE92" si="387">(DE71/DA71-1)*100</f>
        <v>2.1164474390720001</v>
      </c>
      <c r="DF92" s="1616">
        <f t="shared" ref="DF92" si="388">(DF71/DB71-1)*100</f>
        <v>1.9843302200525326</v>
      </c>
    </row>
    <row r="93" spans="1:110" s="736" customFormat="1" ht="12.75" customHeight="1">
      <c r="A93" s="701"/>
      <c r="B93" s="701"/>
      <c r="C93" s="981"/>
      <c r="D93" s="711"/>
      <c r="E93" s="820" t="s">
        <v>156</v>
      </c>
      <c r="F93" s="741"/>
      <c r="G93" s="742"/>
      <c r="H93" s="742"/>
      <c r="I93" s="742"/>
      <c r="J93" s="742"/>
      <c r="K93" s="1616">
        <f>(4*K71/J72-1)*100</f>
        <v>3.3857069295810671</v>
      </c>
      <c r="L93" s="1616">
        <f>((K71+3*L71)/J72-1)*100</f>
        <v>3.8561057459688852</v>
      </c>
      <c r="M93" s="1616">
        <f>((K71+L71+2*M71)/J72-1)*100</f>
        <v>5.540515198703666</v>
      </c>
      <c r="N93" s="1674"/>
      <c r="O93" s="1616">
        <f>(4*O71/N72-1)*100</f>
        <v>-0.35648204429724606</v>
      </c>
      <c r="P93" s="1616">
        <f>((O71+3*P71)/N72-1)*100</f>
        <v>1.7100004209643638</v>
      </c>
      <c r="Q93" s="1616">
        <f>((O71+P71+2*Q71)/N72-1)*100</f>
        <v>0.80075679159079538</v>
      </c>
      <c r="R93" s="1674"/>
      <c r="S93" s="1616">
        <f>(4*S71/R72-1)*100</f>
        <v>4.3424985022060936</v>
      </c>
      <c r="T93" s="1616">
        <f>((S71+3*T71)/R72-1)*100</f>
        <v>6.4294375459649222</v>
      </c>
      <c r="U93" s="1616">
        <f>((S71+T71+2*U71)/R72-1)*100</f>
        <v>7.3340004825471317</v>
      </c>
      <c r="V93" s="1674"/>
      <c r="W93" s="1616">
        <f>(4*W71/V72-1)*100</f>
        <v>5.3635858457694141</v>
      </c>
      <c r="X93" s="1616">
        <f>((W71+3*X71)/V72-1)*100</f>
        <v>4.800970060680898</v>
      </c>
      <c r="Y93" s="1616">
        <f>((W71+X71+2*Y71)/V72-1)*100</f>
        <v>7.0537695706902825</v>
      </c>
      <c r="Z93" s="1674"/>
      <c r="AA93" s="1616">
        <f>(4*AA71/Z72-1)*100</f>
        <v>1.7941071654152596</v>
      </c>
      <c r="AB93" s="1616">
        <f>((AA71+3*AB71)/Z72-1)*100</f>
        <v>5.5709156802520754</v>
      </c>
      <c r="AC93" s="1616">
        <f>((AA71+AB71+2*AC71)/Z72-1)*100</f>
        <v>6.2164400764833649</v>
      </c>
      <c r="AD93" s="1674"/>
      <c r="AE93" s="1616">
        <f>(4*AE71/AD72-1)*100</f>
        <v>0.92081171223872271</v>
      </c>
      <c r="AF93" s="1616">
        <f>((AE71+3*AF71)/AD72-1)*100</f>
        <v>1.6834538796410836</v>
      </c>
      <c r="AG93" s="1616">
        <f>((AE71+AF71+2*AG71)/AD72-1)*100</f>
        <v>1.9893781228711216</v>
      </c>
      <c r="AH93" s="1674"/>
      <c r="AI93" s="1616">
        <f>(4*AI71/AH72-1)*100</f>
        <v>-6.2275711806924932</v>
      </c>
      <c r="AJ93" s="1616">
        <f>((AI71+3*AJ71)/AH72-1)*100</f>
        <v>-1.7615249625364759</v>
      </c>
      <c r="AK93" s="1616">
        <f>((AI71+AJ71+2*AK71)/AH72-1)*100</f>
        <v>-2.4299838808265584</v>
      </c>
      <c r="AL93" s="1674"/>
      <c r="AM93" s="1616">
        <f>(4*AM71/AL72-1)*100</f>
        <v>3.3157446808510738</v>
      </c>
      <c r="AN93" s="1616">
        <f>((AM71+3*AN71)/AL72-1)*100</f>
        <v>1.7596217494089794</v>
      </c>
      <c r="AO93" s="1616">
        <f>((AM71+AN71+2*AO71)/AL72-1)*100</f>
        <v>2.2410086682427055</v>
      </c>
      <c r="AP93" s="1674"/>
      <c r="AQ93" s="1616">
        <f>(4*AQ71/AP72-1)*100</f>
        <v>1.1227701622980701</v>
      </c>
      <c r="AR93" s="1616">
        <f>((AQ71+3*AR71)/AP72-1)*100</f>
        <v>2.9789745377115651</v>
      </c>
      <c r="AS93" s="1616">
        <f>((AQ71+AR71+2*AS71)/AP72-1)*100</f>
        <v>4.3078718641413438</v>
      </c>
      <c r="AT93" s="1674"/>
      <c r="AU93" s="1616">
        <f>(4*AU71/AT72-1)*100</f>
        <v>2.5010215551426684</v>
      </c>
      <c r="AV93" s="1616">
        <f>((AU71+3*AV71)/AT72-1)*100</f>
        <v>4.2191653839620535</v>
      </c>
      <c r="AW93" s="1616">
        <f>((AU71+AV71+2*AW71)/AT72-1)*100</f>
        <v>5.6510835799622683</v>
      </c>
      <c r="AX93" s="1674"/>
      <c r="AY93" s="1616">
        <f>(4*AY71/AX72-1)*100</f>
        <v>4.6124628393027001</v>
      </c>
      <c r="AZ93" s="1616">
        <f>((AY71+3*AZ71)/AX72-1)*100</f>
        <v>8.5282165258720788</v>
      </c>
      <c r="BA93" s="1616">
        <f>((AY71+AZ71+2*BA71)/AX72-1)*100</f>
        <v>8.9974112053452302</v>
      </c>
      <c r="BB93" s="1674"/>
      <c r="BC93" s="1616">
        <f>(4*BC71/BB72-1)*100</f>
        <v>6.6864128008581103</v>
      </c>
      <c r="BD93" s="1616">
        <f>((BC71+3*BD71)/BB72-1)*100</f>
        <v>7.633114998377355</v>
      </c>
      <c r="BE93" s="1616">
        <f>((BC71+BD71+2*BE71)/BB72-1)*100</f>
        <v>7.4886248960763346</v>
      </c>
      <c r="BF93" s="1674"/>
      <c r="BG93" s="1616">
        <f>(4*BG71/BF72-1)*100</f>
        <v>2.7744019011686438</v>
      </c>
      <c r="BH93" s="1616">
        <f>((BG71+3*BH71)/BF72-1)*100</f>
        <v>1.1535472968813743</v>
      </c>
      <c r="BI93" s="1616">
        <f>((BG71+BH71+2*BI71)/BF72-1)*100</f>
        <v>0.49815627305098698</v>
      </c>
      <c r="BJ93" s="1674"/>
      <c r="BK93" s="1616">
        <f>(4*BK71/BJ72-1)*100</f>
        <v>-12.144185775776517</v>
      </c>
      <c r="BL93" s="1616">
        <f>((BK71+3*BL71)/BJ72-1)*100</f>
        <v>-13.141401841478206</v>
      </c>
      <c r="BM93" s="1616">
        <f>((BK71+BL71+2*BM71)/BJ72-1)*100</f>
        <v>-13.59215187204329</v>
      </c>
      <c r="BN93" s="1674"/>
      <c r="BO93" s="1616">
        <f>(4*BO71/BN72-1)*100</f>
        <v>-1.0857708406725952</v>
      </c>
      <c r="BP93" s="1616">
        <f>((BO71+3*BP71)/BN72-1)*100</f>
        <v>2.2760943959340363</v>
      </c>
      <c r="BQ93" s="1616">
        <f>((BO71+BP71+2*BQ71)/BN72-1)*100</f>
        <v>5.1289881198186116</v>
      </c>
      <c r="BR93" s="1674"/>
      <c r="BS93" s="1616">
        <f>(4*BS71/BR72-1)*100</f>
        <v>3.1775266551746117</v>
      </c>
      <c r="BT93" s="1616">
        <f>((BS71+3*BT71)/BR72-1)*100</f>
        <v>7.2135350826789235</v>
      </c>
      <c r="BU93" s="1616">
        <f>((BS71+BT71+2*BU71)/BR72-1)*100</f>
        <v>6.7785737087403541</v>
      </c>
      <c r="BV93" s="1674"/>
      <c r="BW93" s="1616">
        <f>(4*BW71/BV72-1)*100</f>
        <v>2.6183939804684364</v>
      </c>
      <c r="BX93" s="1616">
        <f>((BW71+3*BX71)/BV72-1)*100</f>
        <v>0.79035231179709342</v>
      </c>
      <c r="BY93" s="1616">
        <f>((BW71+BX71+2*BY71)/BV72-1)*100</f>
        <v>-0.51740372792586919</v>
      </c>
      <c r="BZ93" s="1674"/>
      <c r="CA93" s="1616">
        <f>(4*CA71/BZ72-1)*100</f>
        <v>-1.3241475116482992</v>
      </c>
      <c r="CB93" s="1616">
        <f>((CA71+3*CB71)/BZ72-1)*100</f>
        <v>-0.7060908233472829</v>
      </c>
      <c r="CC93" s="1616">
        <f>((CA71+CB71+2*CC71)/BZ72-1)*100</f>
        <v>0.60232297922055977</v>
      </c>
      <c r="CD93" s="1674"/>
      <c r="CE93" s="1616">
        <f>(4*CE71/CD72-1)*100</f>
        <v>3.762556983645915</v>
      </c>
      <c r="CF93" s="1616">
        <f>((CE71+3*CF71)/CD72-1)*100</f>
        <v>3.9925198064425738</v>
      </c>
      <c r="CG93" s="1616">
        <f>((CE71+CF71+2*CG71)/CD72-1)*100</f>
        <v>4.6900425906272636</v>
      </c>
      <c r="CH93" s="1674"/>
      <c r="CI93" s="1616">
        <f>(4*CI71/CH72-1)*100</f>
        <v>3.9570849719640977</v>
      </c>
      <c r="CJ93" s="1616">
        <f>((CI71+3*CJ71)/CH72-1)*100</f>
        <v>5.2759508214672124</v>
      </c>
      <c r="CK93" s="1616">
        <f>((CI71+CJ71+2*CK71)/CH72-1)*100</f>
        <v>5.3181412888700486</v>
      </c>
      <c r="CL93" s="1674"/>
      <c r="CM93" s="1616">
        <f>(4*CM71/CL72-1)*100</f>
        <v>2.494323520409214</v>
      </c>
      <c r="CN93" s="1616">
        <f>((CM71+3*CN71)/CL72-1)*100</f>
        <v>3.5412380644617825</v>
      </c>
      <c r="CO93" s="1616">
        <f>((CM71+CN71+2*CO71)/CL72-1)*100</f>
        <v>3.7090634901844055</v>
      </c>
      <c r="CP93" s="1674"/>
      <c r="CQ93" s="1616">
        <f>(4*CQ71/CP72-1)*100</f>
        <v>3.6320721066572581</v>
      </c>
      <c r="CR93" s="1616">
        <f>((CQ71+3*CR71)/CP72-1)*100</f>
        <v>5.1521750399164068</v>
      </c>
      <c r="CS93" s="1616">
        <f>((CQ71+CR71+2*CS71)/CP72-1)*100</f>
        <v>6.8132723137965812</v>
      </c>
      <c r="CT93" s="1674"/>
      <c r="CU93" s="1616">
        <f>(4*CU71/CT72-1)*100</f>
        <v>3.5826815033363379</v>
      </c>
      <c r="CV93" s="1616">
        <f>((CU71+3*CV71)/CT72-1)*100</f>
        <v>3.1840787962620354</v>
      </c>
      <c r="CW93" s="1616">
        <f>((CU71+CV71+2*CW71)/CT72-1)*100</f>
        <v>3.4417068243301152</v>
      </c>
      <c r="CX93" s="1674"/>
      <c r="CY93" s="1616">
        <f>(4*CY71/CX72-1)*100</f>
        <v>1.1410801300193008</v>
      </c>
      <c r="CZ93" s="1616">
        <f>((CY71+3*CZ71)/CX72-1)*100</f>
        <v>1.618971733633634</v>
      </c>
      <c r="DA93" s="1616">
        <f>((CY71+CZ71+2*DA71)/CX72-1)*100</f>
        <v>1.8835952328642103</v>
      </c>
      <c r="DB93" s="1674"/>
      <c r="DC93" s="1616">
        <f>(4*DC71/DB72-1)*100</f>
        <v>1.3309169715090885</v>
      </c>
      <c r="DD93" s="1616">
        <f>((DC71+3*DD71)/DB72-1)*100</f>
        <v>1.8249051917451853</v>
      </c>
      <c r="DE93" s="1616">
        <f>((DC71+DD71+2*DE71)/DB72-1)*100</f>
        <v>2.0390832844020323</v>
      </c>
      <c r="DF93" s="1674"/>
    </row>
    <row r="94" spans="1:110" ht="12.75">
      <c r="C94" s="1607"/>
      <c r="D94" s="865"/>
      <c r="E94" s="1614" t="s">
        <v>155</v>
      </c>
      <c r="F94" s="865"/>
      <c r="G94" s="913"/>
      <c r="H94" s="913"/>
      <c r="I94" s="913"/>
      <c r="J94" s="913"/>
      <c r="K94" s="1673"/>
      <c r="L94" s="920">
        <f>(4*L71/(K71+3*L71)-1)*100</f>
        <v>0.15097774400105735</v>
      </c>
      <c r="M94" s="920">
        <f>(4*M71/(K71+L71+2*M71)-1)*100</f>
        <v>1.7445518952895922</v>
      </c>
      <c r="N94" s="920">
        <f>+(4*N71/N72-1)*100</f>
        <v>1.1743331354407749</v>
      </c>
      <c r="O94" s="1673"/>
      <c r="P94" s="920">
        <f>(4*P71/(O71+3*P71)-1)*100</f>
        <v>0.67724656923562332</v>
      </c>
      <c r="Q94" s="920">
        <f>(4*Q71/(O71+P71+2*Q71)-1)*100</f>
        <v>-0.21866516479509546</v>
      </c>
      <c r="R94" s="920">
        <f>+(4*R71/R72-1)*100</f>
        <v>2.1060511647162494</v>
      </c>
      <c r="S94" s="1673"/>
      <c r="T94" s="920">
        <f>(4*T71/(S71+3*T71)-1)*100</f>
        <v>0.6536221218111482</v>
      </c>
      <c r="U94" s="920">
        <f>(4*U71/(S71+T71+2*U71)-1)*100</f>
        <v>1.4908689486161864</v>
      </c>
      <c r="V94" s="920">
        <f>+(4*V71/V72-1)*100</f>
        <v>2.62708592880041</v>
      </c>
      <c r="W94" s="1673"/>
      <c r="X94" s="920">
        <f>(4*X71/(W71+3*X71)-1)*100</f>
        <v>-0.17894738466724958</v>
      </c>
      <c r="Y94" s="920">
        <f>(4*Y71/(W71+X71+2*Y71)-1)*100</f>
        <v>1.9291809370767909</v>
      </c>
      <c r="Z94" s="920">
        <f>+(4*Z71/Z72-1)*100</f>
        <v>0.54468334577753019</v>
      </c>
      <c r="AA94" s="1673"/>
      <c r="AB94" s="920">
        <f>(4*AB71/(AA71+3*AB71)-1)*100</f>
        <v>1.1925028437048679</v>
      </c>
      <c r="AC94" s="920">
        <f>(4*AC71/(AA71+AB71+2*AC71)-1)*100</f>
        <v>1.7929998091370747</v>
      </c>
      <c r="AD94" s="920">
        <f>+(4*AD71/AD72-1)*100</f>
        <v>2.7459739812443873</v>
      </c>
      <c r="AE94" s="1673"/>
      <c r="AF94" s="920">
        <f>(4*AF71/(AE71+3*AF71)-1)*100</f>
        <v>0.25000533135084435</v>
      </c>
      <c r="AG94" s="920">
        <f>(4*AG71/(AE71+AF71+2*AG71)-1)*100</f>
        <v>0.54921238793710359</v>
      </c>
      <c r="AH94" s="920">
        <f>+(4*AH71/AH72-1)*100</f>
        <v>2.7660156558088289</v>
      </c>
      <c r="AI94" s="1673"/>
      <c r="AJ94" s="920">
        <f>(4*AJ71/(AI71+3*AJ71)-1)*100</f>
        <v>1.51537579563501</v>
      </c>
      <c r="AK94" s="920">
        <f>(4*AK71/(AI71+AJ71+2*AK71)-1)*100</f>
        <v>0.84065083419353481</v>
      </c>
      <c r="AL94" s="920">
        <f>+(4*AL71/AL72-1)*100</f>
        <v>1.3639085894405101</v>
      </c>
      <c r="AM94" s="1673"/>
      <c r="AN94" s="920">
        <f>(4*AN71/(AM71+3*AN71)-1)*100</f>
        <v>-0.50973817993484882</v>
      </c>
      <c r="AO94" s="920">
        <f>(4*AO71/(AM71+AN71+2*AO71)-1)*100</f>
        <v>-3.6502696390061651E-2</v>
      </c>
      <c r="AP94" s="920">
        <f>+(4*AP71/AP72-1)*100</f>
        <v>1.0173947732270872</v>
      </c>
      <c r="AQ94" s="1673"/>
      <c r="AR94" s="920">
        <f>(4*AR71/(AQ71+3*AR71)-1)*100</f>
        <v>0.60083603918381634</v>
      </c>
      <c r="AS94" s="920">
        <f>(4*AS71/(AQ71+AR71+2*AS71)-1)*100</f>
        <v>1.8671957191984445</v>
      </c>
      <c r="AT94" s="920">
        <f>+(4*AT71/AT72-1)*100</f>
        <v>3.8152835183105083</v>
      </c>
      <c r="AU94" s="1673"/>
      <c r="AV94" s="920">
        <f>(4*AV71/(AU71+3*AV71)-1)*100</f>
        <v>0.54952906933816159</v>
      </c>
      <c r="AW94" s="920">
        <f>(4*AW71/(AU71+AV71+2*AW71)-1)*100</f>
        <v>1.8974086565704207</v>
      </c>
      <c r="AX94" s="920">
        <f>+(4*AX71/AX72-1)*100</f>
        <v>0.4425608750804999</v>
      </c>
      <c r="AY94" s="1673"/>
      <c r="AZ94" s="920">
        <f>(4*AZ71/(AY71+3*AZ71)-1)*100</f>
        <v>1.2026837541786239</v>
      </c>
      <c r="BA94" s="920">
        <f>(4*BA71/(AY71+AZ71+2*BA71)-1)*100</f>
        <v>1.6279706909613223</v>
      </c>
      <c r="BB94" s="920">
        <f>+(4*BB71/BB72-1)*100</f>
        <v>3.2581121415871106</v>
      </c>
      <c r="BC94" s="1673"/>
      <c r="BD94" s="920">
        <f>(4*BD71/(BC71+3*BD71)-1)*100</f>
        <v>0.29318802041344849</v>
      </c>
      <c r="BE94" s="920">
        <f>(4*BE71/(BC71+BD71+2*BE71)-1)*100</f>
        <v>0.15915851285421834</v>
      </c>
      <c r="BF94" s="920">
        <f>+(4*BF71/BF72-1)*100</f>
        <v>2.3696484636664072</v>
      </c>
      <c r="BG94" s="1673"/>
      <c r="BH94" s="920">
        <f>(4*BH71/(BG71+3*BH71)-1)*100</f>
        <v>-0.53412350088924976</v>
      </c>
      <c r="BI94" s="920">
        <f>(4*BI71/(BG71+BH71+2*BI71)-1)*100</f>
        <v>-1.1897490822393997</v>
      </c>
      <c r="BJ94" s="920">
        <f>+(4*BJ71/BJ72-1)*100</f>
        <v>-1.739532311193781</v>
      </c>
      <c r="BK94" s="1673"/>
      <c r="BL94" s="920">
        <f>(4*BL71/(BK71+3*BL71)-1)*100</f>
        <v>-0.38269712185228233</v>
      </c>
      <c r="BM94" s="920">
        <f>(4*BM71/(BK71+BL71+2*BM71)-1)*100</f>
        <v>-0.90634751676633707</v>
      </c>
      <c r="BN94" s="920">
        <f>+(4*BN71/BN72-1)*100</f>
        <v>9.4549089285855814E-2</v>
      </c>
      <c r="BO94" s="1673"/>
      <c r="BP94" s="920">
        <f>(4*BP71/(BO71+3*BP71)-1)*100</f>
        <v>1.0956829669281021</v>
      </c>
      <c r="BQ94" s="920">
        <f>(4*BQ71/(BO71+BP71+2*BQ71)-1)*100</f>
        <v>3.7796572957511598</v>
      </c>
      <c r="BR94" s="920">
        <f>+(4*BR71/BR72-1)*100</f>
        <v>5.0564515099278617</v>
      </c>
      <c r="BS94" s="1673"/>
      <c r="BT94" s="920">
        <f>(4*BT71/(BS71+3*BT71)-1)*100</f>
        <v>1.254819311259503</v>
      </c>
      <c r="BU94" s="920">
        <f>(4*BU71/(BS71+BT71+2*BU71)-1)*100</f>
        <v>0.852581877564762</v>
      </c>
      <c r="BV94" s="920">
        <f>+(4*BV71/BV72-1)*100</f>
        <v>-1.6445525981302445</v>
      </c>
      <c r="BW94" s="1673"/>
      <c r="BX94" s="920">
        <f>(4*BX71/(BW71+3*BX71)-1)*100</f>
        <v>-0.60456899783961626</v>
      </c>
      <c r="BY94" s="920">
        <f>(4*BY71/(BW71+BX71+2*BY71)-1)*100</f>
        <v>-1.9270740154090249</v>
      </c>
      <c r="BZ94" s="920">
        <f>+(4*BZ71/BZ72-1)*100</f>
        <v>0.13654740788047182</v>
      </c>
      <c r="CA94" s="1673"/>
      <c r="CB94" s="920">
        <f>(4*CB71/(CA71+3*CB71)-1)*100</f>
        <v>0.20748392102662994</v>
      </c>
      <c r="CC94" s="920">
        <f>(4*CC71/(CA71+CB71+2*CC71)-1)*100</f>
        <v>1.505365536122838</v>
      </c>
      <c r="CD94" s="920">
        <f>+(4*CD71/CD72-1)*100</f>
        <v>1.504043973658975</v>
      </c>
      <c r="CE94" s="1673"/>
      <c r="CF94" s="920">
        <f>(4*CF71/(CE71+3*CF71)-1)*100</f>
        <v>7.3711334630810477E-2</v>
      </c>
      <c r="CG94" s="920">
        <f>(4*CG71/(CE71+CF71+2*CG71)-1)*100</f>
        <v>0.73949445362015975</v>
      </c>
      <c r="CH94" s="920">
        <f>+(4*CH71/CH72-1)*100</f>
        <v>3.2140702601639592</v>
      </c>
      <c r="CI94" s="1673"/>
      <c r="CJ94" s="920">
        <f>(4*CJ71/(CI71+3*CJ71)-1)*100</f>
        <v>0.41759010144672981</v>
      </c>
      <c r="CK94" s="920">
        <f>(4*CK71/(CI71+CJ71+2*CK71)-1)*100</f>
        <v>0.45748283376523258</v>
      </c>
      <c r="CL94" s="920">
        <f>+(4*CL71/CL72-1)*100</f>
        <v>3.1841397720449471</v>
      </c>
      <c r="CM94" s="1673"/>
      <c r="CN94" s="920">
        <f>(4*CN71/(CM71+3*CN71)-1)*100</f>
        <v>0.33703625841032814</v>
      </c>
      <c r="CO94" s="920">
        <f>(4*CO71/(CN71+3*CO71)-1)*100</f>
        <v>8.0575325025389333E-2</v>
      </c>
      <c r="CP94" s="920">
        <f>+(4*CP71/CP72-1)*100</f>
        <v>1.053156693510271</v>
      </c>
      <c r="CQ94" s="1673"/>
      <c r="CR94" s="920">
        <f>(4*CR71/(CQ71+3*CR71)-1)*100</f>
        <v>0.48187398649690572</v>
      </c>
      <c r="CS94" s="920">
        <f>(4*CS71/(CR71+3*CS71)-1)*100</f>
        <v>0.76795619857410458</v>
      </c>
      <c r="CT94" s="920">
        <f>+(4*CT71/CT72-1)*100</f>
        <v>1.0956103767228775</v>
      </c>
      <c r="CU94" s="1673"/>
      <c r="CV94" s="920">
        <f>(4*CV71/(CU71+3*CV71)-1)*100</f>
        <v>-0.12876751004108344</v>
      </c>
      <c r="CW94" s="920">
        <f>(4*CW71/(CU71+CV71+2*CW71)-1)*100</f>
        <v>0.12060943585858741</v>
      </c>
      <c r="CX94" s="920">
        <f>+(4*CX71/CX72-1)*100</f>
        <v>0.42804103864491072</v>
      </c>
      <c r="CY94" s="1673"/>
      <c r="CZ94" s="920">
        <f>(4*CZ71/(CY71+3*CZ71)-1)*100</f>
        <v>0.15675931224961026</v>
      </c>
      <c r="DA94" s="920">
        <f>(4*DA71/(CY71+CZ71+2*DA71)-1)*100</f>
        <v>0.41608337384095861</v>
      </c>
      <c r="DB94" s="920">
        <f>+(4*DB71/DB72-1)*100</f>
        <v>0.77664542168978112</v>
      </c>
      <c r="DC94" s="1673"/>
      <c r="DD94" s="920">
        <f>(4*DD71/(DC71+3*DD71)-1)*100</f>
        <v>0.16171165567857582</v>
      </c>
      <c r="DE94" s="920">
        <f>(4*DE71/(DC71+DD71+2*DE71)-1)*100</f>
        <v>0.37127032166648366</v>
      </c>
      <c r="DF94" s="920">
        <f>+(4*DF71/DF72-1)*100</f>
        <v>0.63418793158811493</v>
      </c>
    </row>
    <row r="95" spans="1:110" ht="30" customHeight="1"/>
    <row r="96" spans="1:110" ht="30" customHeight="1"/>
    <row r="97" spans="1:110" ht="30" customHeight="1">
      <c r="C97" s="3824" t="s">
        <v>139</v>
      </c>
      <c r="D97" s="3824"/>
      <c r="E97" s="3824"/>
      <c r="F97" s="3824"/>
      <c r="BF97" s="3175"/>
      <c r="BJ97" s="3175"/>
      <c r="BN97" s="3175"/>
      <c r="BR97" s="3175"/>
      <c r="BV97" s="3175"/>
    </row>
    <row r="98" spans="1:110" s="921" customFormat="1" ht="12.75" customHeight="1">
      <c r="A98" s="701"/>
      <c r="B98" s="701"/>
      <c r="C98" s="703"/>
      <c r="D98" s="1081"/>
      <c r="E98" s="1608"/>
      <c r="F98" s="1081"/>
      <c r="G98" s="1084"/>
      <c r="H98" s="1609"/>
      <c r="I98" s="1609"/>
      <c r="J98" s="1609"/>
      <c r="K98" s="1084"/>
      <c r="L98" s="1609"/>
      <c r="M98" s="1609"/>
      <c r="N98" s="1609"/>
      <c r="O98" s="1084"/>
      <c r="P98" s="1609"/>
      <c r="Q98" s="1609"/>
      <c r="R98" s="1609"/>
      <c r="S98" s="1084"/>
      <c r="T98" s="1609"/>
      <c r="U98" s="1609"/>
      <c r="V98" s="1609"/>
      <c r="W98" s="1084"/>
      <c r="X98" s="1609"/>
      <c r="Y98" s="1609"/>
      <c r="Z98" s="1609"/>
      <c r="AA98" s="1084"/>
      <c r="AB98" s="1609"/>
      <c r="AC98" s="1609"/>
      <c r="AD98" s="1609"/>
      <c r="AE98" s="1084"/>
      <c r="AF98" s="1609"/>
      <c r="AG98" s="1609"/>
      <c r="AH98" s="1609"/>
      <c r="AI98" s="1084"/>
      <c r="AJ98" s="1609"/>
      <c r="AK98" s="1609"/>
      <c r="AL98" s="1609"/>
      <c r="AM98" s="1084"/>
      <c r="AN98" s="1609"/>
      <c r="AO98" s="1609"/>
      <c r="AP98" s="1609"/>
      <c r="AQ98" s="1084"/>
      <c r="AR98" s="1609"/>
      <c r="AS98" s="1609"/>
      <c r="AT98" s="1609"/>
      <c r="AU98" s="1084"/>
      <c r="AV98" s="1609"/>
      <c r="AW98" s="1609"/>
      <c r="AX98" s="1609"/>
      <c r="AY98" s="1610"/>
      <c r="AZ98" s="1609"/>
      <c r="BA98" s="1610"/>
      <c r="BB98" s="1610"/>
      <c r="BC98" s="1610"/>
      <c r="BD98" s="1610"/>
      <c r="BE98" s="1610"/>
      <c r="BF98" s="1610"/>
      <c r="BG98" s="1610"/>
      <c r="BH98" s="1610"/>
      <c r="BI98" s="1610"/>
      <c r="BJ98" s="1610"/>
      <c r="BK98" s="1610"/>
      <c r="BL98" s="1610"/>
      <c r="BM98" s="1610"/>
      <c r="BN98" s="1610"/>
      <c r="BO98" s="1610"/>
      <c r="BP98" s="1610"/>
      <c r="BQ98" s="1610"/>
      <c r="BR98" s="1610"/>
      <c r="BS98" s="1610"/>
      <c r="BT98" s="1610"/>
      <c r="BU98" s="1610"/>
      <c r="BV98" s="1610"/>
      <c r="BW98" s="1610"/>
      <c r="BX98" s="1610"/>
      <c r="BY98" s="1610"/>
      <c r="BZ98" s="1610"/>
      <c r="CA98" s="1610"/>
      <c r="CB98" s="1610"/>
      <c r="CC98" s="1610"/>
      <c r="CD98" s="1610"/>
      <c r="CE98" s="1610"/>
      <c r="CF98" s="1610"/>
      <c r="CG98" s="1610"/>
      <c r="CH98" s="1610"/>
      <c r="CI98" s="1610"/>
      <c r="CJ98" s="1610"/>
      <c r="CK98" s="1610"/>
      <c r="CL98" s="1610"/>
      <c r="CM98" s="1610"/>
      <c r="CN98" s="1610"/>
      <c r="CO98" s="1610"/>
      <c r="CP98" s="1610"/>
      <c r="CQ98" s="1610"/>
      <c r="CR98" s="1610"/>
      <c r="CS98" s="1610"/>
      <c r="CT98" s="1610"/>
      <c r="CU98" s="1610"/>
      <c r="CV98" s="1610"/>
      <c r="CW98" s="1610"/>
      <c r="CX98" s="1610"/>
      <c r="CY98" s="1610"/>
      <c r="CZ98" s="1610"/>
      <c r="DA98" s="1610"/>
      <c r="DB98" s="1610"/>
      <c r="DC98" s="1610"/>
      <c r="DD98" s="1610"/>
      <c r="DE98" s="1610"/>
      <c r="DF98" s="1610"/>
    </row>
    <row r="99" spans="1:110">
      <c r="G99" s="3820">
        <f ca="1">OFFSET(InputY!$G$3,0,(COLUMN()-7)/4)</f>
        <v>1995</v>
      </c>
      <c r="H99" s="3821"/>
      <c r="I99" s="3821"/>
      <c r="J99" s="3821"/>
      <c r="K99" s="3817">
        <f ca="1">OFFSET(InputY!$G$3,0,(COLUMN()-7)/4)</f>
        <v>1996</v>
      </c>
      <c r="L99" s="3818"/>
      <c r="M99" s="3818"/>
      <c r="N99" s="3819"/>
      <c r="O99" s="3817">
        <f ca="1">OFFSET(InputY!$G$3,0,(COLUMN()-7)/4)</f>
        <v>1997</v>
      </c>
      <c r="P99" s="3818"/>
      <c r="Q99" s="3818"/>
      <c r="R99" s="3819"/>
      <c r="S99" s="3817">
        <f ca="1">OFFSET(InputY!$G$3,0,(COLUMN()-7)/4)</f>
        <v>1998</v>
      </c>
      <c r="T99" s="3818"/>
      <c r="U99" s="3818"/>
      <c r="V99" s="3819"/>
      <c r="W99" s="3817">
        <f ca="1">OFFSET(InputY!$G$3,0,(COLUMN()-7)/4)</f>
        <v>1999</v>
      </c>
      <c r="X99" s="3818"/>
      <c r="Y99" s="3818"/>
      <c r="Z99" s="3819"/>
      <c r="AA99" s="3817">
        <f ca="1">OFFSET(InputY!$G$3,0,(COLUMN()-7)/4)</f>
        <v>2000</v>
      </c>
      <c r="AB99" s="3818"/>
      <c r="AC99" s="3818"/>
      <c r="AD99" s="3819"/>
      <c r="AE99" s="3817">
        <f ca="1">OFFSET(InputY!$G$3,0,(COLUMN()-7)/4)</f>
        <v>2001</v>
      </c>
      <c r="AF99" s="3818"/>
      <c r="AG99" s="3818"/>
      <c r="AH99" s="3819"/>
      <c r="AI99" s="3817">
        <f ca="1">OFFSET(InputY!$G$3,0,(COLUMN()-7)/4)</f>
        <v>2002</v>
      </c>
      <c r="AJ99" s="3818"/>
      <c r="AK99" s="3818"/>
      <c r="AL99" s="3819"/>
      <c r="AM99" s="3817">
        <f ca="1">OFFSET(InputY!$G$3,0,(COLUMN()-7)/4)</f>
        <v>2003</v>
      </c>
      <c r="AN99" s="3818"/>
      <c r="AO99" s="3818"/>
      <c r="AP99" s="3819"/>
      <c r="AQ99" s="3817">
        <f ca="1">OFFSET(InputY!$G$3,0,(COLUMN()-7)/4)</f>
        <v>2004</v>
      </c>
      <c r="AR99" s="3818"/>
      <c r="AS99" s="3818"/>
      <c r="AT99" s="3819"/>
      <c r="AU99" s="3817">
        <f ca="1">OFFSET(InputY!$G$3,0,(COLUMN()-7)/4)</f>
        <v>2005</v>
      </c>
      <c r="AV99" s="3818"/>
      <c r="AW99" s="3818"/>
      <c r="AX99" s="3819"/>
      <c r="AY99" s="3817">
        <f ca="1">OFFSET(InputY!$G$3,0,(COLUMN()-7)/4)</f>
        <v>2006</v>
      </c>
      <c r="AZ99" s="3818"/>
      <c r="BA99" s="3818"/>
      <c r="BB99" s="3819"/>
      <c r="BC99" s="3817">
        <f ca="1">OFFSET(InputY!$G$3,0,(COLUMN()-7)/4)</f>
        <v>2007</v>
      </c>
      <c r="BD99" s="3818"/>
      <c r="BE99" s="3818"/>
      <c r="BF99" s="3819"/>
      <c r="BG99" s="3817">
        <f ca="1">OFFSET(InputY!$G$3,0,(COLUMN()-7)/4)</f>
        <v>2008</v>
      </c>
      <c r="BH99" s="3818"/>
      <c r="BI99" s="3818"/>
      <c r="BJ99" s="3819"/>
      <c r="BK99" s="3817">
        <f ca="1">OFFSET(InputY!$G$3,0,(COLUMN()-7)/4)</f>
        <v>2009</v>
      </c>
      <c r="BL99" s="3818"/>
      <c r="BM99" s="3818"/>
      <c r="BN99" s="3819"/>
      <c r="BO99" s="3817">
        <f ca="1">OFFSET(InputY!$G$3,0,(COLUMN()-7)/4)</f>
        <v>2010</v>
      </c>
      <c r="BP99" s="3818"/>
      <c r="BQ99" s="3818"/>
      <c r="BR99" s="3819"/>
      <c r="BS99" s="3817">
        <f ca="1">OFFSET(InputY!$G$3,0,(COLUMN()-7)/4)</f>
        <v>2011</v>
      </c>
      <c r="BT99" s="3818"/>
      <c r="BU99" s="3818"/>
      <c r="BV99" s="3819"/>
      <c r="BW99" s="3817">
        <f ca="1">OFFSET(InputY!$G$3,0,(COLUMN()-7)/4)</f>
        <v>2012</v>
      </c>
      <c r="BX99" s="3818"/>
      <c r="BY99" s="3818"/>
      <c r="BZ99" s="3819"/>
      <c r="CA99" s="3817">
        <f ca="1">OFFSET(InputY!$G$3,0,(COLUMN()-7)/4)</f>
        <v>2013</v>
      </c>
      <c r="CB99" s="3818"/>
      <c r="CC99" s="3818"/>
      <c r="CD99" s="3819"/>
      <c r="CE99" s="3817">
        <f ca="1">OFFSET(InputY!$G$3,0,(COLUMN()-7)/4)</f>
        <v>2014</v>
      </c>
      <c r="CF99" s="3818"/>
      <c r="CG99" s="3818"/>
      <c r="CH99" s="3819"/>
      <c r="CI99" s="3817">
        <f ca="1">OFFSET(InputY!$G$3,0,(COLUMN()-7)/4)</f>
        <v>2015</v>
      </c>
      <c r="CJ99" s="3818"/>
      <c r="CK99" s="3818"/>
      <c r="CL99" s="3819"/>
      <c r="CM99" s="3817">
        <f ca="1">OFFSET(InputY!$G$3,0,(COLUMN()-7)/4)</f>
        <v>2016</v>
      </c>
      <c r="CN99" s="3818"/>
      <c r="CO99" s="3818"/>
      <c r="CP99" s="3819"/>
      <c r="CQ99" s="3817">
        <f ca="1">OFFSET(InputY!$G$3,0,(COLUMN()-7)/4)</f>
        <v>2017</v>
      </c>
      <c r="CR99" s="3818"/>
      <c r="CS99" s="3818"/>
      <c r="CT99" s="3819"/>
      <c r="CU99" s="3817">
        <f ca="1">OFFSET(InputY!$G$3,0,(COLUMN()-7)/4)</f>
        <v>2018</v>
      </c>
      <c r="CV99" s="3818"/>
      <c r="CW99" s="3818"/>
      <c r="CX99" s="3819"/>
      <c r="CY99" s="3817">
        <f ca="1">OFFSET(InputY!$G$3,0,(COLUMN()-7)/4)</f>
        <v>2019</v>
      </c>
      <c r="CZ99" s="3818"/>
      <c r="DA99" s="3818"/>
      <c r="DB99" s="3819"/>
      <c r="DC99" s="3817">
        <f ca="1">OFFSET(InputY!$G$3,0,(COLUMN()-7)/4)</f>
        <v>2020</v>
      </c>
      <c r="DD99" s="3818"/>
      <c r="DE99" s="3818"/>
      <c r="DF99" s="3819"/>
    </row>
    <row r="100" spans="1:110" s="736" customFormat="1" ht="12.75" customHeight="1">
      <c r="A100" s="701"/>
      <c r="B100" s="701"/>
      <c r="C100" s="703"/>
      <c r="D100" s="732"/>
      <c r="E100" s="733" t="s">
        <v>214</v>
      </c>
      <c r="F100" s="734"/>
      <c r="G100" s="1618" t="s">
        <v>131</v>
      </c>
      <c r="H100" s="1619" t="s">
        <v>132</v>
      </c>
      <c r="I100" s="1619" t="s">
        <v>133</v>
      </c>
      <c r="J100" s="1620" t="s">
        <v>134</v>
      </c>
      <c r="K100" s="1618" t="s">
        <v>131</v>
      </c>
      <c r="L100" s="1619" t="s">
        <v>132</v>
      </c>
      <c r="M100" s="1619" t="s">
        <v>133</v>
      </c>
      <c r="N100" s="1620" t="s">
        <v>134</v>
      </c>
      <c r="O100" s="1618" t="s">
        <v>131</v>
      </c>
      <c r="P100" s="1619" t="s">
        <v>132</v>
      </c>
      <c r="Q100" s="1619" t="s">
        <v>133</v>
      </c>
      <c r="R100" s="1620" t="s">
        <v>134</v>
      </c>
      <c r="S100" s="1618" t="s">
        <v>131</v>
      </c>
      <c r="T100" s="1619" t="s">
        <v>132</v>
      </c>
      <c r="U100" s="1619" t="s">
        <v>133</v>
      </c>
      <c r="V100" s="1620" t="s">
        <v>134</v>
      </c>
      <c r="W100" s="1618" t="s">
        <v>131</v>
      </c>
      <c r="X100" s="1619" t="s">
        <v>132</v>
      </c>
      <c r="Y100" s="1619" t="s">
        <v>133</v>
      </c>
      <c r="Z100" s="1620" t="s">
        <v>134</v>
      </c>
      <c r="AA100" s="1618" t="s">
        <v>131</v>
      </c>
      <c r="AB100" s="1619" t="s">
        <v>132</v>
      </c>
      <c r="AC100" s="1619" t="s">
        <v>133</v>
      </c>
      <c r="AD100" s="1620" t="s">
        <v>134</v>
      </c>
      <c r="AE100" s="1618" t="s">
        <v>131</v>
      </c>
      <c r="AF100" s="1619" t="s">
        <v>132</v>
      </c>
      <c r="AG100" s="1619" t="s">
        <v>133</v>
      </c>
      <c r="AH100" s="1620" t="s">
        <v>134</v>
      </c>
      <c r="AI100" s="1618" t="s">
        <v>131</v>
      </c>
      <c r="AJ100" s="1619" t="s">
        <v>132</v>
      </c>
      <c r="AK100" s="1619" t="s">
        <v>133</v>
      </c>
      <c r="AL100" s="1620" t="s">
        <v>134</v>
      </c>
      <c r="AM100" s="1618" t="s">
        <v>131</v>
      </c>
      <c r="AN100" s="1619" t="s">
        <v>132</v>
      </c>
      <c r="AO100" s="1619" t="s">
        <v>133</v>
      </c>
      <c r="AP100" s="1620" t="s">
        <v>134</v>
      </c>
      <c r="AQ100" s="1618" t="s">
        <v>131</v>
      </c>
      <c r="AR100" s="1619" t="s">
        <v>132</v>
      </c>
      <c r="AS100" s="1619" t="s">
        <v>133</v>
      </c>
      <c r="AT100" s="1620" t="s">
        <v>134</v>
      </c>
      <c r="AU100" s="1618" t="s">
        <v>131</v>
      </c>
      <c r="AV100" s="1619" t="s">
        <v>132</v>
      </c>
      <c r="AW100" s="1619" t="s">
        <v>133</v>
      </c>
      <c r="AX100" s="1620" t="s">
        <v>134</v>
      </c>
      <c r="AY100" s="1618" t="s">
        <v>131</v>
      </c>
      <c r="AZ100" s="1619" t="s">
        <v>132</v>
      </c>
      <c r="BA100" s="1619" t="s">
        <v>133</v>
      </c>
      <c r="BB100" s="1620" t="s">
        <v>134</v>
      </c>
      <c r="BC100" s="1618" t="s">
        <v>131</v>
      </c>
      <c r="BD100" s="1619" t="s">
        <v>132</v>
      </c>
      <c r="BE100" s="1619" t="s">
        <v>133</v>
      </c>
      <c r="BF100" s="1620" t="s">
        <v>134</v>
      </c>
      <c r="BG100" s="1618" t="s">
        <v>131</v>
      </c>
      <c r="BH100" s="1619" t="s">
        <v>132</v>
      </c>
      <c r="BI100" s="1619" t="s">
        <v>133</v>
      </c>
      <c r="BJ100" s="1620" t="s">
        <v>134</v>
      </c>
      <c r="BK100" s="1618" t="s">
        <v>131</v>
      </c>
      <c r="BL100" s="1619" t="s">
        <v>132</v>
      </c>
      <c r="BM100" s="1619" t="s">
        <v>133</v>
      </c>
      <c r="BN100" s="1620" t="s">
        <v>134</v>
      </c>
      <c r="BO100" s="1618" t="s">
        <v>131</v>
      </c>
      <c r="BP100" s="1619" t="s">
        <v>132</v>
      </c>
      <c r="BQ100" s="1619" t="s">
        <v>133</v>
      </c>
      <c r="BR100" s="1620" t="s">
        <v>134</v>
      </c>
      <c r="BS100" s="1618" t="s">
        <v>131</v>
      </c>
      <c r="BT100" s="1619" t="s">
        <v>132</v>
      </c>
      <c r="BU100" s="1619" t="s">
        <v>133</v>
      </c>
      <c r="BV100" s="1620" t="s">
        <v>134</v>
      </c>
      <c r="BW100" s="1618" t="s">
        <v>131</v>
      </c>
      <c r="BX100" s="1619" t="s">
        <v>132</v>
      </c>
      <c r="BY100" s="1619" t="s">
        <v>133</v>
      </c>
      <c r="BZ100" s="1620" t="s">
        <v>134</v>
      </c>
      <c r="CA100" s="1618" t="s">
        <v>131</v>
      </c>
      <c r="CB100" s="1619" t="s">
        <v>132</v>
      </c>
      <c r="CC100" s="1619" t="s">
        <v>133</v>
      </c>
      <c r="CD100" s="1620" t="s">
        <v>134</v>
      </c>
      <c r="CE100" s="1618" t="s">
        <v>131</v>
      </c>
      <c r="CF100" s="1619" t="s">
        <v>132</v>
      </c>
      <c r="CG100" s="1619" t="s">
        <v>133</v>
      </c>
      <c r="CH100" s="1620" t="s">
        <v>134</v>
      </c>
      <c r="CI100" s="1618" t="s">
        <v>131</v>
      </c>
      <c r="CJ100" s="1619" t="s">
        <v>132</v>
      </c>
      <c r="CK100" s="1619" t="s">
        <v>133</v>
      </c>
      <c r="CL100" s="1620" t="s">
        <v>134</v>
      </c>
      <c r="CM100" s="1618" t="s">
        <v>131</v>
      </c>
      <c r="CN100" s="1619" t="s">
        <v>132</v>
      </c>
      <c r="CO100" s="1619" t="s">
        <v>133</v>
      </c>
      <c r="CP100" s="1620" t="s">
        <v>134</v>
      </c>
      <c r="CQ100" s="1618" t="s">
        <v>131</v>
      </c>
      <c r="CR100" s="1619" t="s">
        <v>132</v>
      </c>
      <c r="CS100" s="1619" t="s">
        <v>133</v>
      </c>
      <c r="CT100" s="1620" t="s">
        <v>134</v>
      </c>
      <c r="CU100" s="1618" t="s">
        <v>131</v>
      </c>
      <c r="CV100" s="1619" t="s">
        <v>132</v>
      </c>
      <c r="CW100" s="1619" t="s">
        <v>133</v>
      </c>
      <c r="CX100" s="1620" t="s">
        <v>134</v>
      </c>
      <c r="CY100" s="1618" t="s">
        <v>131</v>
      </c>
      <c r="CZ100" s="1619" t="s">
        <v>132</v>
      </c>
      <c r="DA100" s="1619" t="s">
        <v>133</v>
      </c>
      <c r="DB100" s="1620" t="s">
        <v>134</v>
      </c>
      <c r="DC100" s="1618" t="s">
        <v>131</v>
      </c>
      <c r="DD100" s="1619" t="s">
        <v>132</v>
      </c>
      <c r="DE100" s="1619" t="s">
        <v>133</v>
      </c>
      <c r="DF100" s="1620" t="s">
        <v>134</v>
      </c>
    </row>
    <row r="101" spans="1:110" s="736" customFormat="1" ht="12.75" customHeight="1">
      <c r="A101" s="701"/>
      <c r="B101" s="701"/>
      <c r="C101" s="1611" t="s">
        <v>1791</v>
      </c>
      <c r="D101" s="705"/>
      <c r="E101" s="737" t="str">
        <f>E22</f>
        <v xml:space="preserve">Household final consumption expenditure (domestic)            </v>
      </c>
      <c r="F101" s="738"/>
      <c r="G101" s="817">
        <f>G22</f>
        <v>275.94370000000004</v>
      </c>
      <c r="H101" s="817">
        <f t="shared" ref="H101:N101" si="389">H22</f>
        <v>278.12799999999999</v>
      </c>
      <c r="I101" s="817">
        <f t="shared" si="389"/>
        <v>277.55200000000002</v>
      </c>
      <c r="J101" s="817">
        <f t="shared" si="389"/>
        <v>278.05849999999998</v>
      </c>
      <c r="K101" s="817">
        <f t="shared" si="389"/>
        <v>279.94779999999997</v>
      </c>
      <c r="L101" s="817">
        <f t="shared" si="389"/>
        <v>280.16490000000005</v>
      </c>
      <c r="M101" s="817">
        <f t="shared" si="389"/>
        <v>284.78300000000002</v>
      </c>
      <c r="N101" s="817">
        <f t="shared" si="389"/>
        <v>284.94259999999997</v>
      </c>
      <c r="O101" s="817">
        <f t="shared" ref="O101:AX101" si="390">O22</f>
        <v>287.1909</v>
      </c>
      <c r="P101" s="817">
        <f t="shared" si="390"/>
        <v>291.83499999999998</v>
      </c>
      <c r="Q101" s="817">
        <f t="shared" si="390"/>
        <v>290.47159999999997</v>
      </c>
      <c r="R101" s="817">
        <f t="shared" si="390"/>
        <v>292.75420000000003</v>
      </c>
      <c r="S101" s="817">
        <f t="shared" si="390"/>
        <v>294.9701</v>
      </c>
      <c r="T101" s="817">
        <f t="shared" si="390"/>
        <v>298.59020000000004</v>
      </c>
      <c r="U101" s="817">
        <f t="shared" si="390"/>
        <v>301.25870000000003</v>
      </c>
      <c r="V101" s="817">
        <f t="shared" si="390"/>
        <v>305.2045</v>
      </c>
      <c r="W101" s="817">
        <f t="shared" si="390"/>
        <v>306.43619999999999</v>
      </c>
      <c r="X101" s="817">
        <f t="shared" si="390"/>
        <v>307.84050000000002</v>
      </c>
      <c r="Y101" s="817">
        <f t="shared" si="390"/>
        <v>312.02179999999998</v>
      </c>
      <c r="Z101" s="817">
        <f t="shared" si="390"/>
        <v>321.1635</v>
      </c>
      <c r="AA101" s="817">
        <f t="shared" si="390"/>
        <v>323.8571</v>
      </c>
      <c r="AB101" s="817">
        <f t="shared" si="390"/>
        <v>329.3109</v>
      </c>
      <c r="AC101" s="817">
        <f t="shared" si="390"/>
        <v>330.68090000000001</v>
      </c>
      <c r="AD101" s="817">
        <f t="shared" si="390"/>
        <v>330.11329999999998</v>
      </c>
      <c r="AE101" s="817">
        <f t="shared" si="390"/>
        <v>330.38130000000001</v>
      </c>
      <c r="AF101" s="817">
        <f t="shared" si="390"/>
        <v>331.65019999999998</v>
      </c>
      <c r="AG101" s="817">
        <f t="shared" si="390"/>
        <v>331.83100000000002</v>
      </c>
      <c r="AH101" s="817">
        <f t="shared" si="390"/>
        <v>330.51299999999998</v>
      </c>
      <c r="AI101" s="817">
        <f t="shared" si="390"/>
        <v>335.94740000000002</v>
      </c>
      <c r="AJ101" s="817">
        <f t="shared" si="390"/>
        <v>338.4434</v>
      </c>
      <c r="AK101" s="817">
        <f t="shared" si="390"/>
        <v>339.47480000000002</v>
      </c>
      <c r="AL101" s="817">
        <f t="shared" si="390"/>
        <v>344.47229999999996</v>
      </c>
      <c r="AM101" s="817">
        <f t="shared" si="390"/>
        <v>344.56970000000001</v>
      </c>
      <c r="AN101" s="817">
        <f t="shared" si="390"/>
        <v>345.32569999999998</v>
      </c>
      <c r="AO101" s="817">
        <f t="shared" si="390"/>
        <v>349.62009999999998</v>
      </c>
      <c r="AP101" s="817">
        <f t="shared" si="390"/>
        <v>351.14029999999997</v>
      </c>
      <c r="AQ101" s="817">
        <f t="shared" si="390"/>
        <v>355.4357</v>
      </c>
      <c r="AR101" s="817">
        <f t="shared" si="390"/>
        <v>353.947</v>
      </c>
      <c r="AS101" s="817">
        <f t="shared" si="390"/>
        <v>357.82690000000002</v>
      </c>
      <c r="AT101" s="817">
        <f t="shared" si="390"/>
        <v>359.86</v>
      </c>
      <c r="AU101" s="817">
        <f t="shared" si="390"/>
        <v>361.94880000000001</v>
      </c>
      <c r="AV101" s="817">
        <f t="shared" si="390"/>
        <v>364.2946</v>
      </c>
      <c r="AW101" s="817">
        <f t="shared" si="390"/>
        <v>369.0908</v>
      </c>
      <c r="AX101" s="817">
        <f t="shared" si="390"/>
        <v>371.06920000000002</v>
      </c>
      <c r="AY101" s="817">
        <f t="shared" ref="AY101:BF101" si="391">AY22</f>
        <v>371.6925</v>
      </c>
      <c r="AZ101" s="817">
        <f t="shared" si="391"/>
        <v>376.35240000000005</v>
      </c>
      <c r="BA101" s="817">
        <f t="shared" si="391"/>
        <v>377.0908</v>
      </c>
      <c r="BB101" s="817">
        <f t="shared" si="391"/>
        <v>381.97609999999997</v>
      </c>
      <c r="BC101" s="817">
        <f t="shared" si="391"/>
        <v>384.81059999999997</v>
      </c>
      <c r="BD101" s="817">
        <f t="shared" si="391"/>
        <v>387.58670000000001</v>
      </c>
      <c r="BE101" s="817">
        <f t="shared" si="391"/>
        <v>394.25279999999998</v>
      </c>
      <c r="BF101" s="817">
        <f t="shared" si="391"/>
        <v>398.65030000000002</v>
      </c>
      <c r="BG101" s="817">
        <f t="shared" ref="BG101:BN101" si="392">BG22</f>
        <v>394.5385</v>
      </c>
      <c r="BH101" s="817">
        <f t="shared" si="392"/>
        <v>394.53479999999996</v>
      </c>
      <c r="BI101" s="817">
        <f t="shared" si="392"/>
        <v>391.77359999999999</v>
      </c>
      <c r="BJ101" s="817">
        <f t="shared" si="392"/>
        <v>387.45779999999996</v>
      </c>
      <c r="BK101" s="817">
        <f t="shared" si="392"/>
        <v>388.76929999999999</v>
      </c>
      <c r="BL101" s="817">
        <f t="shared" si="392"/>
        <v>393.89479999999998</v>
      </c>
      <c r="BM101" s="817">
        <f t="shared" si="392"/>
        <v>395.15719999999999</v>
      </c>
      <c r="BN101" s="817">
        <f t="shared" si="392"/>
        <v>396.1431</v>
      </c>
      <c r="BO101" s="817">
        <f t="shared" ref="BO101:BV101" si="393">BO22</f>
        <v>405.00940000000003</v>
      </c>
      <c r="BP101" s="817">
        <f t="shared" si="393"/>
        <v>405.29509999999999</v>
      </c>
      <c r="BQ101" s="817">
        <f t="shared" si="393"/>
        <v>410.37890000000004</v>
      </c>
      <c r="BR101" s="817">
        <f t="shared" si="393"/>
        <v>412.90270000000004</v>
      </c>
      <c r="BS101" s="817">
        <f t="shared" si="393"/>
        <v>414.00920000000002</v>
      </c>
      <c r="BT101" s="817">
        <f t="shared" si="393"/>
        <v>417.95769999999999</v>
      </c>
      <c r="BU101" s="817">
        <f t="shared" si="393"/>
        <v>416.26769999999999</v>
      </c>
      <c r="BV101" s="817">
        <f t="shared" si="393"/>
        <v>415.7697</v>
      </c>
      <c r="BW101" s="817">
        <f t="shared" ref="BW101:CB101" si="394">BW22</f>
        <v>417.87979999999999</v>
      </c>
      <c r="BX101" s="817">
        <f t="shared" si="394"/>
        <v>418.82220000000001</v>
      </c>
      <c r="BY101" s="817">
        <f t="shared" si="394"/>
        <v>420.50470000000001</v>
      </c>
      <c r="BZ101" s="817">
        <f t="shared" si="394"/>
        <v>422.04629999999997</v>
      </c>
      <c r="CA101" s="817">
        <f t="shared" si="394"/>
        <v>423.86609999999996</v>
      </c>
      <c r="CB101" s="817">
        <f t="shared" si="394"/>
        <v>425.49200000000002</v>
      </c>
      <c r="CC101" s="817">
        <f t="shared" ref="CC101:CL101" si="395">CC22</f>
        <v>429.58240000000001</v>
      </c>
      <c r="CD101" s="817">
        <f t="shared" si="395"/>
        <v>431.50329999999997</v>
      </c>
      <c r="CE101" s="817">
        <f t="shared" si="395"/>
        <v>431.74359999999996</v>
      </c>
      <c r="CF101" s="817">
        <f t="shared" si="395"/>
        <v>437.92179999999996</v>
      </c>
      <c r="CG101" s="817">
        <f t="shared" si="395"/>
        <v>437.11950000000002</v>
      </c>
      <c r="CH101" s="817">
        <f>CH22</f>
        <v>440.81200000000001</v>
      </c>
      <c r="CI101" s="817">
        <f t="shared" si="395"/>
        <v>444.80779999999999</v>
      </c>
      <c r="CJ101" s="817">
        <f>CJ22</f>
        <v>447.8279</v>
      </c>
      <c r="CK101" s="817">
        <f t="shared" si="395"/>
        <v>451.66320000000002</v>
      </c>
      <c r="CL101" s="817">
        <f t="shared" si="395"/>
        <v>456.26370000000003</v>
      </c>
      <c r="CM101" s="817">
        <f t="shared" ref="CM101" si="396">CM22</f>
        <v>460.89580000000001</v>
      </c>
      <c r="CN101" s="817">
        <f>CN22</f>
        <v>460.40050000000002</v>
      </c>
      <c r="CO101" s="817">
        <f t="shared" ref="CO101:CQ101" si="397">CO22</f>
        <v>463.7099</v>
      </c>
      <c r="CP101" s="817">
        <f t="shared" si="397"/>
        <v>465.55290000000002</v>
      </c>
      <c r="CQ101" s="817">
        <f t="shared" si="397"/>
        <v>469.42070000000001</v>
      </c>
      <c r="CR101" s="817">
        <f>CR22</f>
        <v>471.7878</v>
      </c>
      <c r="CS101" s="817">
        <f t="shared" ref="CS101:CT101" si="398">CS22</f>
        <v>473.99529999999999</v>
      </c>
      <c r="CT101" s="817">
        <f t="shared" si="398"/>
        <v>477.57190000000003</v>
      </c>
      <c r="CU101" s="817">
        <f t="shared" ref="CU101:CX101" si="399">CU22</f>
        <v>479.91570000000002</v>
      </c>
      <c r="CV101" s="817">
        <f>CV22</f>
        <v>484.0154</v>
      </c>
      <c r="CW101" s="817">
        <f t="shared" si="399"/>
        <v>485.56424928000007</v>
      </c>
      <c r="CX101" s="817">
        <f t="shared" si="399"/>
        <v>488.76897332524806</v>
      </c>
      <c r="CY101" s="817">
        <f t="shared" ref="CY101:DB101" si="400">CY22</f>
        <v>492.38586372785494</v>
      </c>
      <c r="CZ101" s="817">
        <f t="shared" si="400"/>
        <v>494.94627021923981</v>
      </c>
      <c r="DA101" s="817">
        <f t="shared" si="400"/>
        <v>497.0745391811825</v>
      </c>
      <c r="DB101" s="817">
        <f t="shared" si="400"/>
        <v>498.8143000683167</v>
      </c>
      <c r="DC101" s="817">
        <f t="shared" ref="DC101:DF101" si="401">DC22</f>
        <v>502.35588159880177</v>
      </c>
      <c r="DD101" s="817">
        <f t="shared" si="401"/>
        <v>505.01836777127545</v>
      </c>
      <c r="DE101" s="817">
        <f t="shared" si="401"/>
        <v>507.79596879401748</v>
      </c>
      <c r="DF101" s="817">
        <f t="shared" si="401"/>
        <v>509.77637307231419</v>
      </c>
    </row>
    <row r="102" spans="1:110" s="736" customFormat="1" ht="12.75" customHeight="1">
      <c r="A102" s="701"/>
      <c r="B102" s="701"/>
      <c r="C102" s="1612" t="s">
        <v>1791</v>
      </c>
      <c r="D102" s="711"/>
      <c r="E102" s="820" t="str">
        <f>E41</f>
        <v xml:space="preserve">Government final consumption expenditure                                        </v>
      </c>
      <c r="F102" s="741"/>
      <c r="G102" s="743">
        <f>G41</f>
        <v>192.90720000000002</v>
      </c>
      <c r="H102" s="743">
        <f t="shared" ref="H102:N102" si="402">H41</f>
        <v>192.8295</v>
      </c>
      <c r="I102" s="743">
        <f t="shared" si="402"/>
        <v>193.0635</v>
      </c>
      <c r="J102" s="743">
        <f t="shared" si="402"/>
        <v>193.29820000000001</v>
      </c>
      <c r="K102" s="743">
        <f t="shared" si="402"/>
        <v>192.2748</v>
      </c>
      <c r="L102" s="743">
        <f t="shared" si="402"/>
        <v>192.3716</v>
      </c>
      <c r="M102" s="743">
        <f t="shared" si="402"/>
        <v>192.09710000000001</v>
      </c>
      <c r="N102" s="743">
        <f t="shared" si="402"/>
        <v>195.13670000000002</v>
      </c>
      <c r="O102" s="743">
        <f t="shared" ref="O102:AX102" si="403">O41</f>
        <v>189.346</v>
      </c>
      <c r="P102" s="743">
        <f t="shared" si="403"/>
        <v>191.8227</v>
      </c>
      <c r="Q102" s="743">
        <f t="shared" si="403"/>
        <v>195.5401</v>
      </c>
      <c r="R102" s="743">
        <f t="shared" si="403"/>
        <v>194.98870000000002</v>
      </c>
      <c r="S102" s="743">
        <f t="shared" si="403"/>
        <v>197.32900000000001</v>
      </c>
      <c r="T102" s="743">
        <f t="shared" si="403"/>
        <v>198.25810000000001</v>
      </c>
      <c r="U102" s="743">
        <f t="shared" si="403"/>
        <v>201.79870000000003</v>
      </c>
      <c r="V102" s="743">
        <f t="shared" si="403"/>
        <v>202.3005</v>
      </c>
      <c r="W102" s="743">
        <f t="shared" si="403"/>
        <v>203.00060000000002</v>
      </c>
      <c r="X102" s="743">
        <f t="shared" si="403"/>
        <v>203.261</v>
      </c>
      <c r="Y102" s="743">
        <f t="shared" si="403"/>
        <v>202.19139999999999</v>
      </c>
      <c r="Z102" s="743">
        <f t="shared" si="403"/>
        <v>202.3691</v>
      </c>
      <c r="AA102" s="743">
        <f t="shared" si="403"/>
        <v>201.06789999999998</v>
      </c>
      <c r="AB102" s="743">
        <f t="shared" si="403"/>
        <v>200.99929999999998</v>
      </c>
      <c r="AC102" s="743">
        <f t="shared" si="403"/>
        <v>202.00620000000001</v>
      </c>
      <c r="AD102" s="743">
        <f t="shared" si="403"/>
        <v>200.90429999999998</v>
      </c>
      <c r="AE102" s="743">
        <f t="shared" si="403"/>
        <v>201.1498</v>
      </c>
      <c r="AF102" s="743">
        <f t="shared" si="403"/>
        <v>201.1514</v>
      </c>
      <c r="AG102" s="743">
        <f t="shared" si="403"/>
        <v>201.54570000000001</v>
      </c>
      <c r="AH102" s="743">
        <f t="shared" si="403"/>
        <v>203.6173</v>
      </c>
      <c r="AI102" s="743">
        <f t="shared" si="403"/>
        <v>204.99120000000002</v>
      </c>
      <c r="AJ102" s="743">
        <f t="shared" si="403"/>
        <v>206.02539999999999</v>
      </c>
      <c r="AK102" s="743">
        <f t="shared" si="403"/>
        <v>206.09229999999999</v>
      </c>
      <c r="AL102" s="743">
        <f t="shared" si="403"/>
        <v>207.24299999999999</v>
      </c>
      <c r="AM102" s="743">
        <f t="shared" si="403"/>
        <v>207.49179999999998</v>
      </c>
      <c r="AN102" s="743">
        <f t="shared" si="403"/>
        <v>207.5257</v>
      </c>
      <c r="AO102" s="743">
        <f t="shared" si="403"/>
        <v>208.61189999999999</v>
      </c>
      <c r="AP102" s="743">
        <f t="shared" si="403"/>
        <v>207.863</v>
      </c>
      <c r="AQ102" s="743">
        <f t="shared" si="403"/>
        <v>206.77679999999998</v>
      </c>
      <c r="AR102" s="743">
        <f t="shared" si="403"/>
        <v>206.57259999999999</v>
      </c>
      <c r="AS102" s="743">
        <f t="shared" si="403"/>
        <v>205.50620000000001</v>
      </c>
      <c r="AT102" s="743">
        <f t="shared" si="403"/>
        <v>205.20949999999999</v>
      </c>
      <c r="AU102" s="743">
        <f t="shared" si="403"/>
        <v>206.5197</v>
      </c>
      <c r="AV102" s="743">
        <f t="shared" si="403"/>
        <v>207.03299999999999</v>
      </c>
      <c r="AW102" s="743">
        <f t="shared" si="403"/>
        <v>205.95179999999999</v>
      </c>
      <c r="AX102" s="743">
        <f t="shared" si="403"/>
        <v>206.66679999999999</v>
      </c>
      <c r="AY102" s="743">
        <f t="shared" ref="AY102:BF102" si="404">AY41</f>
        <v>209.1584</v>
      </c>
      <c r="AZ102" s="743">
        <f t="shared" si="404"/>
        <v>209.31289999999998</v>
      </c>
      <c r="BA102" s="743">
        <f t="shared" si="404"/>
        <v>211.40270000000001</v>
      </c>
      <c r="BB102" s="743">
        <f t="shared" si="404"/>
        <v>211.69370000000001</v>
      </c>
      <c r="BC102" s="743">
        <f t="shared" si="404"/>
        <v>210.4529</v>
      </c>
      <c r="BD102" s="743">
        <f t="shared" si="404"/>
        <v>211.95910000000001</v>
      </c>
      <c r="BE102" s="743">
        <f t="shared" si="404"/>
        <v>211.74250000000001</v>
      </c>
      <c r="BF102" s="743">
        <f t="shared" si="404"/>
        <v>213.5967</v>
      </c>
      <c r="BG102" s="743">
        <f t="shared" ref="BG102:BN102" si="405">BG41</f>
        <v>212.64679999999998</v>
      </c>
      <c r="BH102" s="743">
        <f t="shared" si="405"/>
        <v>214.38029999999998</v>
      </c>
      <c r="BI102" s="743">
        <f t="shared" si="405"/>
        <v>215.14410000000001</v>
      </c>
      <c r="BJ102" s="743">
        <f t="shared" si="405"/>
        <v>215.02429999999998</v>
      </c>
      <c r="BK102" s="743">
        <f t="shared" si="405"/>
        <v>219.40470000000002</v>
      </c>
      <c r="BL102" s="743">
        <f t="shared" si="405"/>
        <v>217.7423</v>
      </c>
      <c r="BM102" s="743">
        <f t="shared" si="405"/>
        <v>219.29150000000001</v>
      </c>
      <c r="BN102" s="743">
        <f t="shared" si="405"/>
        <v>220.22229999999999</v>
      </c>
      <c r="BO102" s="743">
        <f t="shared" ref="BO102:BV102" si="406">BO41</f>
        <v>220.0421</v>
      </c>
      <c r="BP102" s="743">
        <f t="shared" si="406"/>
        <v>221.44239999999999</v>
      </c>
      <c r="BQ102" s="743">
        <f t="shared" si="406"/>
        <v>220.92239999999998</v>
      </c>
      <c r="BR102" s="743">
        <f t="shared" si="406"/>
        <v>222.7551</v>
      </c>
      <c r="BS102" s="743">
        <f t="shared" si="406"/>
        <v>222.40210000000002</v>
      </c>
      <c r="BT102" s="743">
        <f t="shared" si="406"/>
        <v>223.22800000000001</v>
      </c>
      <c r="BU102" s="743">
        <f t="shared" si="406"/>
        <v>223.65779999999998</v>
      </c>
      <c r="BV102" s="743">
        <f t="shared" si="406"/>
        <v>223.7843</v>
      </c>
      <c r="BW102" s="743">
        <f t="shared" ref="BW102:CB102" si="407">BW41</f>
        <v>224.99620000000002</v>
      </c>
      <c r="BX102" s="743">
        <f t="shared" si="407"/>
        <v>226.09810000000002</v>
      </c>
      <c r="BY102" s="743">
        <f t="shared" si="407"/>
        <v>228.01589999999999</v>
      </c>
      <c r="BZ102" s="743">
        <f t="shared" si="407"/>
        <v>228.28460000000001</v>
      </c>
      <c r="CA102" s="743">
        <f t="shared" si="407"/>
        <v>229.23439999999999</v>
      </c>
      <c r="CB102" s="743">
        <f t="shared" si="407"/>
        <v>229.6395</v>
      </c>
      <c r="CC102" s="743">
        <f t="shared" ref="CC102:CL102" si="408">CC41</f>
        <v>229.73779999999999</v>
      </c>
      <c r="CD102" s="743">
        <f t="shared" si="408"/>
        <v>230.5273</v>
      </c>
      <c r="CE102" s="743">
        <f t="shared" si="408"/>
        <v>231.28039999999999</v>
      </c>
      <c r="CF102" s="743">
        <f t="shared" si="408"/>
        <v>232.82040000000001</v>
      </c>
      <c r="CG102" s="743">
        <f t="shared" si="408"/>
        <v>234.7945</v>
      </c>
      <c r="CH102" s="743">
        <f>CH41</f>
        <v>235.78070000000002</v>
      </c>
      <c r="CI102" s="743">
        <f>CI41</f>
        <v>237.06360000000001</v>
      </c>
      <c r="CJ102" s="743">
        <f>CJ41</f>
        <v>236.36510000000001</v>
      </c>
      <c r="CK102" s="743">
        <f t="shared" si="408"/>
        <v>238.87479999999999</v>
      </c>
      <c r="CL102" s="743">
        <f t="shared" si="408"/>
        <v>241.76479999999998</v>
      </c>
      <c r="CM102" s="743">
        <f>CM41</f>
        <v>244.196</v>
      </c>
      <c r="CN102" s="743">
        <f>CN41</f>
        <v>247.43889999999999</v>
      </c>
      <c r="CO102" s="743">
        <f t="shared" ref="CO102:CP102" si="409">CO41</f>
        <v>246.28989999999999</v>
      </c>
      <c r="CP102" s="743">
        <f t="shared" si="409"/>
        <v>246.65189999999998</v>
      </c>
      <c r="CQ102" s="743">
        <f>CQ41</f>
        <v>246.0402</v>
      </c>
      <c r="CR102" s="743">
        <f>CR41</f>
        <v>246.62629999999999</v>
      </c>
      <c r="CS102" s="743">
        <f t="shared" ref="CS102:CT102" si="410">CS41</f>
        <v>247.71420000000001</v>
      </c>
      <c r="CT102" s="743">
        <f t="shared" si="410"/>
        <v>248.1936</v>
      </c>
      <c r="CU102" s="743">
        <f t="shared" ref="CU102:CX102" si="411">CU41</f>
        <v>248.66149999999999</v>
      </c>
      <c r="CV102" s="743">
        <f>CV41</f>
        <v>249.43529999999998</v>
      </c>
      <c r="CW102" s="743">
        <f t="shared" si="411"/>
        <v>250.23349296000001</v>
      </c>
      <c r="CX102" s="743">
        <f t="shared" si="411"/>
        <v>250.708936596624</v>
      </c>
      <c r="CY102" s="743">
        <f t="shared" ref="CY102:DB102" si="412">CY41</f>
        <v>251.66163055569118</v>
      </c>
      <c r="CZ102" s="743">
        <f t="shared" si="412"/>
        <v>251.93845834930246</v>
      </c>
      <c r="DA102" s="743">
        <f t="shared" si="412"/>
        <v>252.14000911598188</v>
      </c>
      <c r="DB102" s="743">
        <f t="shared" si="412"/>
        <v>252.26607912053987</v>
      </c>
      <c r="DC102" s="743">
        <f t="shared" ref="DC102:DF102" si="413">DC41</f>
        <v>253.32559665284614</v>
      </c>
      <c r="DD102" s="743">
        <f t="shared" si="413"/>
        <v>254.08557344280464</v>
      </c>
      <c r="DE102" s="743">
        <f t="shared" si="413"/>
        <v>254.74619593375593</v>
      </c>
      <c r="DF102" s="743">
        <f t="shared" si="413"/>
        <v>255.23021370603007</v>
      </c>
    </row>
    <row r="103" spans="1:110" s="736" customFormat="1" ht="12.75" customHeight="1">
      <c r="A103" s="701"/>
      <c r="B103" s="701"/>
      <c r="C103" s="1612" t="s">
        <v>1791</v>
      </c>
      <c r="D103" s="711"/>
      <c r="E103" s="820" t="str">
        <f>+E86</f>
        <v>Gross fixed capital formation</v>
      </c>
      <c r="F103" s="741"/>
      <c r="G103" s="743">
        <f>G70</f>
        <v>116.8342</v>
      </c>
      <c r="H103" s="743">
        <f t="shared" ref="H103:BI103" si="414">H70</f>
        <v>117.45489999999999</v>
      </c>
      <c r="I103" s="743">
        <f t="shared" si="414"/>
        <v>122.84399999999999</v>
      </c>
      <c r="J103" s="743">
        <f t="shared" si="414"/>
        <v>125.45739999999999</v>
      </c>
      <c r="K103" s="743">
        <f t="shared" si="414"/>
        <v>124.7324</v>
      </c>
      <c r="L103" s="743">
        <f t="shared" si="414"/>
        <v>125.48910000000001</v>
      </c>
      <c r="M103" s="743">
        <f t="shared" si="414"/>
        <v>129.55350000000001</v>
      </c>
      <c r="N103" s="743">
        <f t="shared" si="414"/>
        <v>128.58160000000001</v>
      </c>
      <c r="O103" s="743">
        <f t="shared" si="414"/>
        <v>126.6361</v>
      </c>
      <c r="P103" s="743">
        <f t="shared" si="414"/>
        <v>130.1378</v>
      </c>
      <c r="Q103" s="743">
        <f t="shared" si="414"/>
        <v>127.8267</v>
      </c>
      <c r="R103" s="743">
        <f t="shared" si="414"/>
        <v>131.82560000000001</v>
      </c>
      <c r="S103" s="743">
        <f t="shared" si="414"/>
        <v>134.71299999999999</v>
      </c>
      <c r="T103" s="743">
        <f t="shared" si="414"/>
        <v>138.30549999999999</v>
      </c>
      <c r="U103" s="743">
        <f t="shared" si="414"/>
        <v>140.6412</v>
      </c>
      <c r="V103" s="743">
        <f t="shared" si="414"/>
        <v>142.75910000000002</v>
      </c>
      <c r="W103" s="743">
        <f t="shared" si="414"/>
        <v>146.56570000000002</v>
      </c>
      <c r="X103" s="743">
        <f t="shared" si="414"/>
        <v>145.5222</v>
      </c>
      <c r="Y103" s="743">
        <f t="shared" si="414"/>
        <v>151.78970000000001</v>
      </c>
      <c r="Z103" s="743">
        <f t="shared" si="414"/>
        <v>149.03570000000002</v>
      </c>
      <c r="AA103" s="743">
        <f t="shared" si="414"/>
        <v>150.88770000000002</v>
      </c>
      <c r="AB103" s="743">
        <f t="shared" si="414"/>
        <v>158.35210000000001</v>
      </c>
      <c r="AC103" s="743">
        <f t="shared" si="414"/>
        <v>160.26579999999998</v>
      </c>
      <c r="AD103" s="743">
        <f t="shared" si="414"/>
        <v>162.28479999999999</v>
      </c>
      <c r="AE103" s="743">
        <f t="shared" si="414"/>
        <v>159.40199999999999</v>
      </c>
      <c r="AF103" s="743">
        <f t="shared" si="414"/>
        <v>161.00810000000001</v>
      </c>
      <c r="AG103" s="743">
        <f t="shared" si="414"/>
        <v>161.97450000000001</v>
      </c>
      <c r="AH103" s="743">
        <f t="shared" si="414"/>
        <v>166.78020000000001</v>
      </c>
      <c r="AI103" s="743">
        <f t="shared" si="414"/>
        <v>152.18439999999998</v>
      </c>
      <c r="AJ103" s="743">
        <f t="shared" si="414"/>
        <v>161.8484</v>
      </c>
      <c r="AK103" s="743">
        <f t="shared" si="414"/>
        <v>159.67870000000002</v>
      </c>
      <c r="AL103" s="743">
        <f t="shared" si="414"/>
        <v>160.7885</v>
      </c>
      <c r="AM103" s="743">
        <f t="shared" si="414"/>
        <v>163.88460000000001</v>
      </c>
      <c r="AN103" s="743">
        <f t="shared" si="414"/>
        <v>160.5934</v>
      </c>
      <c r="AO103" s="743">
        <f t="shared" si="414"/>
        <v>162.1206</v>
      </c>
      <c r="AP103" s="743">
        <f t="shared" si="414"/>
        <v>164.40729999999999</v>
      </c>
      <c r="AQ103" s="743">
        <f t="shared" si="414"/>
        <v>164.5788</v>
      </c>
      <c r="AR103" s="743">
        <f t="shared" si="414"/>
        <v>168.60679999999999</v>
      </c>
      <c r="AS103" s="743">
        <f t="shared" si="414"/>
        <v>172.9324</v>
      </c>
      <c r="AT103" s="743">
        <f t="shared" si="414"/>
        <v>177.39870000000002</v>
      </c>
      <c r="AU103" s="743">
        <f t="shared" si="414"/>
        <v>175.15289999999999</v>
      </c>
      <c r="AV103" s="743">
        <f t="shared" si="414"/>
        <v>179.0675</v>
      </c>
      <c r="AW103" s="743">
        <f t="shared" si="414"/>
        <v>183.96120000000002</v>
      </c>
      <c r="AX103" s="743">
        <f t="shared" si="414"/>
        <v>180.45400000000001</v>
      </c>
      <c r="AY103" s="743">
        <f t="shared" si="414"/>
        <v>187.94560000000001</v>
      </c>
      <c r="AZ103" s="743">
        <f t="shared" si="414"/>
        <v>197.32560000000001</v>
      </c>
      <c r="BA103" s="743">
        <f t="shared" si="414"/>
        <v>199.01150000000001</v>
      </c>
      <c r="BB103" s="743">
        <f t="shared" si="414"/>
        <v>203.31450000000001</v>
      </c>
      <c r="BC103" s="743">
        <f t="shared" si="414"/>
        <v>210.06479999999999</v>
      </c>
      <c r="BD103" s="743">
        <f t="shared" si="414"/>
        <v>212.55020000000002</v>
      </c>
      <c r="BE103" s="743">
        <f t="shared" si="414"/>
        <v>211.9812</v>
      </c>
      <c r="BF103" s="743">
        <f t="shared" si="414"/>
        <v>218.26870000000002</v>
      </c>
      <c r="BG103" s="743">
        <f t="shared" si="414"/>
        <v>219.13170000000002</v>
      </c>
      <c r="BH103" s="743">
        <f t="shared" si="414"/>
        <v>214.52379999999999</v>
      </c>
      <c r="BI103" s="743">
        <f t="shared" si="414"/>
        <v>211.72900000000001</v>
      </c>
      <c r="BJ103" s="743">
        <f t="shared" ref="BJ103:BR103" si="415">BJ70</f>
        <v>210.16729999999998</v>
      </c>
      <c r="BK103" s="743">
        <f t="shared" si="415"/>
        <v>187.91300000000001</v>
      </c>
      <c r="BL103" s="743">
        <f t="shared" si="415"/>
        <v>185.06909999999999</v>
      </c>
      <c r="BM103" s="743">
        <f t="shared" si="415"/>
        <v>183.14089999999999</v>
      </c>
      <c r="BN103" s="743">
        <f t="shared" si="415"/>
        <v>185.60810000000001</v>
      </c>
      <c r="BO103" s="743">
        <f t="shared" si="415"/>
        <v>183.4194</v>
      </c>
      <c r="BP103" s="743">
        <f t="shared" si="415"/>
        <v>191.73140000000001</v>
      </c>
      <c r="BQ103" s="743">
        <f t="shared" si="415"/>
        <v>202.31179999999998</v>
      </c>
      <c r="BR103" s="743">
        <f t="shared" si="415"/>
        <v>205.6874</v>
      </c>
      <c r="BS103" s="743">
        <f>BS70</f>
        <v>202.0087</v>
      </c>
      <c r="BT103" s="743">
        <f>BT70</f>
        <v>212.54470000000001</v>
      </c>
      <c r="BU103" s="743">
        <f>BU70</f>
        <v>210.8415</v>
      </c>
      <c r="BV103" s="743">
        <f>BV70</f>
        <v>203.91879999999998</v>
      </c>
      <c r="BW103" s="743">
        <f t="shared" ref="BW103:CB103" si="416">BW70</f>
        <v>212.75710000000001</v>
      </c>
      <c r="BX103" s="743">
        <f t="shared" si="416"/>
        <v>207.7037</v>
      </c>
      <c r="BY103" s="743">
        <f t="shared" si="416"/>
        <v>202.28100000000001</v>
      </c>
      <c r="BZ103" s="743">
        <f t="shared" si="416"/>
        <v>207.95870000000002</v>
      </c>
      <c r="CA103" s="743">
        <f t="shared" si="416"/>
        <v>204.92520000000002</v>
      </c>
      <c r="CB103" s="743">
        <f t="shared" si="416"/>
        <v>206.63660000000002</v>
      </c>
      <c r="CC103" s="743">
        <f>CC70</f>
        <v>212.0711</v>
      </c>
      <c r="CD103" s="743">
        <f>CD70</f>
        <v>212.06739999999999</v>
      </c>
      <c r="CE103" s="743">
        <f>CE70</f>
        <v>216.78600000000003</v>
      </c>
      <c r="CF103" s="743">
        <f>CF70</f>
        <v>217.42660000000004</v>
      </c>
      <c r="CG103" s="743">
        <f t="shared" ref="CG103:CL103" si="417">CG70</f>
        <v>220.34120000000004</v>
      </c>
      <c r="CH103" s="743">
        <f>CH70</f>
        <v>227.636</v>
      </c>
      <c r="CI103" s="743">
        <f>CI70</f>
        <v>229.27470000000005</v>
      </c>
      <c r="CJ103" s="743">
        <f>CJ70</f>
        <v>233.15299999999999</v>
      </c>
      <c r="CK103" s="743">
        <f t="shared" si="417"/>
        <v>233.33909999999997</v>
      </c>
      <c r="CL103" s="743">
        <f t="shared" si="417"/>
        <v>241.8742</v>
      </c>
      <c r="CM103" s="743">
        <f>CM70</f>
        <v>240.25720000000001</v>
      </c>
      <c r="CN103" s="743">
        <f>CN70</f>
        <v>243.52929999999995</v>
      </c>
      <c r="CO103" s="743">
        <f t="shared" ref="CO103:CP103" si="418">CO70</f>
        <v>244.31609999999995</v>
      </c>
      <c r="CP103" s="743">
        <f t="shared" si="418"/>
        <v>246.12089999999998</v>
      </c>
      <c r="CQ103" s="743">
        <f>CQ70</f>
        <v>252.40199999999996</v>
      </c>
      <c r="CR103" s="743">
        <f>CR70</f>
        <v>257.33839999999998</v>
      </c>
      <c r="CS103" s="743">
        <f t="shared" ref="CS103:CT103" si="419">CS70</f>
        <v>265.42980000000006</v>
      </c>
      <c r="CT103" s="743">
        <f t="shared" si="419"/>
        <v>262.17850000000004</v>
      </c>
      <c r="CU103" s="743">
        <f t="shared" ref="CU103:CX103" si="420">CU70</f>
        <v>268.62840000000006</v>
      </c>
      <c r="CV103" s="743">
        <f>CV70</f>
        <v>267.25010000000003</v>
      </c>
      <c r="CW103" s="743">
        <f t="shared" si="420"/>
        <v>268.58635049999998</v>
      </c>
      <c r="CX103" s="743">
        <f t="shared" si="420"/>
        <v>269.68755453705</v>
      </c>
      <c r="CY103" s="743">
        <f t="shared" ref="CY103:DB103" si="421">CY70</f>
        <v>271.60233617426309</v>
      </c>
      <c r="CZ103" s="743">
        <f t="shared" si="421"/>
        <v>273.31343089216091</v>
      </c>
      <c r="DA103" s="743">
        <f t="shared" si="421"/>
        <v>274.73466073280019</v>
      </c>
      <c r="DB103" s="743">
        <f t="shared" si="421"/>
        <v>276.05338710431761</v>
      </c>
      <c r="DC103" s="743">
        <f t="shared" ref="DC103:DF103" si="422">DC70</f>
        <v>277.57168073339136</v>
      </c>
      <c r="DD103" s="743">
        <f t="shared" si="422"/>
        <v>279.37589665815841</v>
      </c>
      <c r="DE103" s="743">
        <f t="shared" si="422"/>
        <v>280.5492754241227</v>
      </c>
      <c r="DF103" s="743">
        <f t="shared" si="422"/>
        <v>281.53119788810716</v>
      </c>
    </row>
    <row r="104" spans="1:110" s="2021" customFormat="1" ht="12.75" customHeight="1">
      <c r="A104" s="2018"/>
      <c r="B104" s="2018"/>
      <c r="C104" s="2022" t="s">
        <v>1791</v>
      </c>
      <c r="D104" s="2019"/>
      <c r="E104" s="2020" t="s">
        <v>487</v>
      </c>
      <c r="F104" s="2019"/>
      <c r="G104" s="2020">
        <f>G105-SUM(G101:G103)</f>
        <v>-0.60320000000001528</v>
      </c>
      <c r="H104" s="2020">
        <f>H105-SUM(H101:H103)</f>
        <v>0.50600000000008549</v>
      </c>
      <c r="I104" s="2020">
        <f t="shared" ref="I104:BJ104" si="423">I105-SUM(I101:I103)</f>
        <v>3.9235000000001037</v>
      </c>
      <c r="J104" s="2020">
        <f t="shared" si="423"/>
        <v>6.8505000000000109</v>
      </c>
      <c r="K104" s="2020">
        <f t="shared" si="423"/>
        <v>5.1793999999999869</v>
      </c>
      <c r="L104" s="2020">
        <f t="shared" si="423"/>
        <v>-5.1132999999999811</v>
      </c>
      <c r="M104" s="2020">
        <f t="shared" si="423"/>
        <v>-4.8585000000000491</v>
      </c>
      <c r="N104" s="2020">
        <f t="shared" si="423"/>
        <v>-3.0972000000000435</v>
      </c>
      <c r="O104" s="2020">
        <f t="shared" si="423"/>
        <v>1.9081999999999653</v>
      </c>
      <c r="P104" s="2020">
        <f t="shared" si="423"/>
        <v>-7.9794999999999163</v>
      </c>
      <c r="Q104" s="2020">
        <f t="shared" si="423"/>
        <v>9.4299999999975626E-2</v>
      </c>
      <c r="R104" s="2020">
        <f t="shared" si="423"/>
        <v>5.5991000000000213</v>
      </c>
      <c r="S104" s="2020">
        <f t="shared" si="423"/>
        <v>5.6530999999998812</v>
      </c>
      <c r="T104" s="2020">
        <f t="shared" si="423"/>
        <v>8.7778000000000702</v>
      </c>
      <c r="U104" s="2020">
        <f t="shared" si="423"/>
        <v>-3.3026000000000977</v>
      </c>
      <c r="V104" s="2020">
        <f t="shared" si="423"/>
        <v>-5.7019000000000233</v>
      </c>
      <c r="W104" s="2020">
        <f t="shared" si="423"/>
        <v>0.90289999999993142</v>
      </c>
      <c r="X104" s="2020">
        <f t="shared" si="423"/>
        <v>-2.6182000000000016</v>
      </c>
      <c r="Y104" s="2020">
        <f t="shared" si="423"/>
        <v>-7.5027999999999793</v>
      </c>
      <c r="Z104" s="2020">
        <f t="shared" si="423"/>
        <v>2.3886999999999716</v>
      </c>
      <c r="AA104" s="2020">
        <f t="shared" si="423"/>
        <v>3.1771000000001095</v>
      </c>
      <c r="AB104" s="2020">
        <f t="shared" si="423"/>
        <v>5.2754999999999654</v>
      </c>
      <c r="AC104" s="2020">
        <f t="shared" si="423"/>
        <v>4.9921000000000504</v>
      </c>
      <c r="AD104" s="2020">
        <f t="shared" si="423"/>
        <v>-2.4103999999998678</v>
      </c>
      <c r="AE104" s="2020">
        <f t="shared" si="423"/>
        <v>6.3936000000001059</v>
      </c>
      <c r="AF104" s="2020">
        <f t="shared" si="423"/>
        <v>3.3208999999999378</v>
      </c>
      <c r="AG104" s="2020">
        <f t="shared" si="423"/>
        <v>-2.575200000000109</v>
      </c>
      <c r="AH104" s="2020">
        <f t="shared" si="423"/>
        <v>-5.2439000000000533</v>
      </c>
      <c r="AI104" s="2020">
        <f t="shared" si="423"/>
        <v>2.1964999999999009</v>
      </c>
      <c r="AJ104" s="2020">
        <f t="shared" si="423"/>
        <v>-5.5123999999999569</v>
      </c>
      <c r="AK104" s="2020">
        <f t="shared" si="423"/>
        <v>1.5991999999999962</v>
      </c>
      <c r="AL104" s="2020">
        <f t="shared" si="423"/>
        <v>-1.1444999999998799</v>
      </c>
      <c r="AM104" s="2020">
        <f t="shared" si="423"/>
        <v>4.0828000000000202</v>
      </c>
      <c r="AN104" s="2020">
        <f t="shared" si="423"/>
        <v>-0.37979999999993197</v>
      </c>
      <c r="AO104" s="2020">
        <f t="shared" si="423"/>
        <v>-0.62659999999993943</v>
      </c>
      <c r="AP104" s="2020">
        <f t="shared" si="423"/>
        <v>1.1817000000000917</v>
      </c>
      <c r="AQ104" s="2020">
        <f t="shared" si="423"/>
        <v>-1.823099999999954</v>
      </c>
      <c r="AR104" s="2020">
        <f t="shared" si="423"/>
        <v>-4.0052000000000589</v>
      </c>
      <c r="AS104" s="2020">
        <f t="shared" si="423"/>
        <v>-0.27300000000013824</v>
      </c>
      <c r="AT104" s="2020">
        <f t="shared" si="423"/>
        <v>1.6947999999999865</v>
      </c>
      <c r="AU104" s="2020">
        <f t="shared" si="423"/>
        <v>1.8132999999999129</v>
      </c>
      <c r="AV104" s="2020">
        <f t="shared" si="423"/>
        <v>-0.75289999999995416</v>
      </c>
      <c r="AW104" s="2020">
        <f t="shared" si="423"/>
        <v>-9.7871000000000095</v>
      </c>
      <c r="AX104" s="2020">
        <f t="shared" si="423"/>
        <v>5.1867999999998347</v>
      </c>
      <c r="AY104" s="2020">
        <f t="shared" si="423"/>
        <v>-2.3348999999999478</v>
      </c>
      <c r="AZ104" s="2020">
        <f t="shared" si="423"/>
        <v>2.761600000000044</v>
      </c>
      <c r="BA104" s="2020">
        <f t="shared" si="423"/>
        <v>3.1564999999999372</v>
      </c>
      <c r="BB104" s="2020">
        <f t="shared" si="423"/>
        <v>1.9205999999999221</v>
      </c>
      <c r="BC104" s="2020">
        <f t="shared" si="423"/>
        <v>5.5489999999999782</v>
      </c>
      <c r="BD104" s="2020">
        <f t="shared" si="423"/>
        <v>2.9863000000000284</v>
      </c>
      <c r="BE104" s="2020">
        <f t="shared" si="423"/>
        <v>9.5946000000001277</v>
      </c>
      <c r="BF104" s="2020">
        <f t="shared" si="423"/>
        <v>10.246899999999869</v>
      </c>
      <c r="BG104" s="2020">
        <f t="shared" si="423"/>
        <v>0.67430000000001655</v>
      </c>
      <c r="BH104" s="2020">
        <f t="shared" si="423"/>
        <v>11.219600000000128</v>
      </c>
      <c r="BI104" s="2020">
        <f t="shared" si="423"/>
        <v>5.859299999999962</v>
      </c>
      <c r="BJ104" s="2020">
        <f t="shared" si="423"/>
        <v>-9.6667999999999665</v>
      </c>
      <c r="BK104" s="2020">
        <f>BK105-SUM(BK101:BK103)</f>
        <v>-7.5559000000000651</v>
      </c>
      <c r="BL104" s="2020">
        <f>BL105-SUM(BL101:BL103)</f>
        <v>-17.214399999999841</v>
      </c>
      <c r="BM104" s="2020">
        <f>BM105-SUM(BM101:BM103)</f>
        <v>-11.475999999999999</v>
      </c>
      <c r="BN104" s="2020">
        <f>BN105-SUM(BN101:BN103)</f>
        <v>-7.5606999999999971</v>
      </c>
      <c r="BO104" s="2020">
        <f t="shared" ref="BO104:BV104" si="424">BO105-SUM(BO101:BO103)</f>
        <v>5.2809999999999491</v>
      </c>
      <c r="BP104" s="2020">
        <f t="shared" si="424"/>
        <v>10.161600000000021</v>
      </c>
      <c r="BQ104" s="2020">
        <f t="shared" si="424"/>
        <v>7.9664999999999964</v>
      </c>
      <c r="BR104" s="2020">
        <f t="shared" si="424"/>
        <v>2.0908999999999196</v>
      </c>
      <c r="BS104" s="2020">
        <f t="shared" si="424"/>
        <v>19.409299999999917</v>
      </c>
      <c r="BT104" s="2020">
        <f t="shared" si="424"/>
        <v>8.9994000000000369</v>
      </c>
      <c r="BU104" s="2020">
        <f t="shared" si="424"/>
        <v>5.7414000000001124</v>
      </c>
      <c r="BV104" s="2020">
        <f t="shared" si="424"/>
        <v>7.3218999999999141</v>
      </c>
      <c r="BW104" s="2020">
        <f t="shared" ref="BW104:CB104" si="425">BW105-SUM(BW101:BW103)</f>
        <v>-4.2159999999998945</v>
      </c>
      <c r="BX104" s="2020">
        <f t="shared" si="425"/>
        <v>-0.27910000000008495</v>
      </c>
      <c r="BY104" s="2020">
        <f t="shared" si="425"/>
        <v>10.74389999999994</v>
      </c>
      <c r="BZ104" s="2020">
        <f t="shared" si="425"/>
        <v>-5.1442999999999302</v>
      </c>
      <c r="CA104" s="2020">
        <f t="shared" si="425"/>
        <v>5.866100000000074</v>
      </c>
      <c r="CB104" s="2020">
        <f t="shared" si="425"/>
        <v>0.31900000000007367</v>
      </c>
      <c r="CC104" s="2020">
        <f t="shared" ref="CC104:CL104" si="426">CC105-SUM(CC101:CC103)</f>
        <v>-3.0230999999999995</v>
      </c>
      <c r="CD104" s="2020">
        <f t="shared" si="426"/>
        <v>5.4610000000000127</v>
      </c>
      <c r="CE104" s="2020">
        <f t="shared" si="426"/>
        <v>1.4468999999999141</v>
      </c>
      <c r="CF104" s="2020">
        <f t="shared" si="426"/>
        <v>4.8945000000001073</v>
      </c>
      <c r="CG104" s="2020">
        <f t="shared" si="426"/>
        <v>1.5291999999999462</v>
      </c>
      <c r="CH104" s="2020">
        <f>CH105-SUM(CH101:CH103)</f>
        <v>6.9986999999999853</v>
      </c>
      <c r="CI104" s="2020">
        <f>CI105-SUM(CI101:CI103)</f>
        <v>6.7033000000000129</v>
      </c>
      <c r="CJ104" s="2020">
        <f>CJ105-SUM(CJ101:CJ103)</f>
        <v>2.2396999999999707</v>
      </c>
      <c r="CK104" s="2020">
        <f t="shared" si="426"/>
        <v>11.074900000000071</v>
      </c>
      <c r="CL104" s="2020">
        <f t="shared" si="426"/>
        <v>10.613699999999881</v>
      </c>
      <c r="CM104" s="2020">
        <f>CM105-SUM(CM101:CM103)</f>
        <v>8.6224999999999454</v>
      </c>
      <c r="CN104" s="2020">
        <f>CN105-SUM(CN101:CN103)</f>
        <v>8.3235999999999422</v>
      </c>
      <c r="CO104" s="2020">
        <f t="shared" ref="CO104:CP104" si="427">CO105-SUM(CO101:CO103)</f>
        <v>4.5011999999999261</v>
      </c>
      <c r="CP104" s="2020">
        <f t="shared" si="427"/>
        <v>4.6409999999999627</v>
      </c>
      <c r="CQ104" s="2020">
        <f>CQ105-SUM(CQ101:CQ103)</f>
        <v>6.8514000000001261</v>
      </c>
      <c r="CR104" s="2020">
        <f>CR105-SUM(CR101:CR103)</f>
        <v>9.453200000000038</v>
      </c>
      <c r="CS104" s="2020">
        <f t="shared" ref="CS104:CT104" si="428">CS105-SUM(CS101:CS103)</f>
        <v>5.2299999999999045</v>
      </c>
      <c r="CT104" s="2020">
        <f t="shared" si="428"/>
        <v>7.7560000000000855</v>
      </c>
      <c r="CU104" s="2020">
        <f t="shared" ref="CU104:CX104" si="429">CU105-SUM(CU101:CU103)</f>
        <v>5.5526999999999589</v>
      </c>
      <c r="CV104" s="2020">
        <f>CV105-SUM(CV101:CV103)</f>
        <v>14.962499999999864</v>
      </c>
      <c r="CW104" s="2020">
        <f t="shared" si="429"/>
        <v>15.017572672693177</v>
      </c>
      <c r="CX104" s="2020">
        <f t="shared" si="429"/>
        <v>15.089063846023237</v>
      </c>
      <c r="CY104" s="2020">
        <f t="shared" ref="CY104:DB104" si="430">CY105-SUM(CY101:CY103)</f>
        <v>15.18601822665164</v>
      </c>
      <c r="CZ104" s="2020">
        <f t="shared" si="430"/>
        <v>15.254024940252521</v>
      </c>
      <c r="DA104" s="2020">
        <f t="shared" si="430"/>
        <v>15.310110714522125</v>
      </c>
      <c r="DB104" s="2020">
        <f t="shared" si="430"/>
        <v>15.357726283581997</v>
      </c>
      <c r="DC104" s="2020">
        <f t="shared" ref="DC104:DF104" si="431">DC105-SUM(DC101:DC103)</f>
        <v>15.449223575431915</v>
      </c>
      <c r="DD104" s="2020">
        <f t="shared" si="431"/>
        <v>15.527372991171205</v>
      </c>
      <c r="DE104" s="2020">
        <f t="shared" si="431"/>
        <v>15.596325768174211</v>
      </c>
      <c r="DF104" s="2020">
        <f t="shared" si="431"/>
        <v>15.647855585876869</v>
      </c>
    </row>
    <row r="105" spans="1:110" s="736" customFormat="1" ht="12.75" customHeight="1">
      <c r="A105" s="702" t="str">
        <f>"Q" &amp; ROW(InputQ!A11)</f>
        <v>Q11</v>
      </c>
      <c r="B105" s="2014" t="s">
        <v>158</v>
      </c>
      <c r="C105" s="1612" t="s">
        <v>1793</v>
      </c>
      <c r="D105" s="783"/>
      <c r="E105" s="1668" t="str">
        <f>+C97</f>
        <v>Domestic demand (excl. Inventories)</v>
      </c>
      <c r="F105" s="785"/>
      <c r="G105" s="836">
        <f>+InputQ!G11/1000</f>
        <v>585.08190000000002</v>
      </c>
      <c r="H105" s="836">
        <f>+InputQ!H11/1000</f>
        <v>588.91840000000002</v>
      </c>
      <c r="I105" s="836">
        <f>+InputQ!I11/1000</f>
        <v>597.38300000000004</v>
      </c>
      <c r="J105" s="836">
        <f>+InputQ!J11/1000</f>
        <v>603.66459999999995</v>
      </c>
      <c r="K105" s="836">
        <f>+InputQ!K11/1000</f>
        <v>602.13439999999991</v>
      </c>
      <c r="L105" s="836">
        <f>+InputQ!L11/1000</f>
        <v>592.91230000000007</v>
      </c>
      <c r="M105" s="836">
        <f>+InputQ!M11/1000</f>
        <v>601.57510000000002</v>
      </c>
      <c r="N105" s="836">
        <f>+InputQ!N11/1000</f>
        <v>605.56369999999993</v>
      </c>
      <c r="O105" s="836">
        <f>+InputQ!O11/1000</f>
        <v>605.08119999999997</v>
      </c>
      <c r="P105" s="836">
        <f>+InputQ!P11/1000</f>
        <v>605.81600000000003</v>
      </c>
      <c r="Q105" s="836">
        <f>+InputQ!Q11/1000</f>
        <v>613.93269999999995</v>
      </c>
      <c r="R105" s="836">
        <f>+InputQ!R11/1000</f>
        <v>625.16760000000011</v>
      </c>
      <c r="S105" s="836">
        <f>+InputQ!S11/1000</f>
        <v>632.66519999999991</v>
      </c>
      <c r="T105" s="836">
        <f>+InputQ!T11/1000</f>
        <v>643.93160000000012</v>
      </c>
      <c r="U105" s="836">
        <f>+InputQ!U11/1000</f>
        <v>640.39599999999996</v>
      </c>
      <c r="V105" s="836">
        <f>+InputQ!V11/1000</f>
        <v>644.56219999999996</v>
      </c>
      <c r="W105" s="836">
        <f>+InputQ!W11/1000</f>
        <v>656.90539999999999</v>
      </c>
      <c r="X105" s="836">
        <f>+InputQ!X11/1000</f>
        <v>654.00549999999998</v>
      </c>
      <c r="Y105" s="836">
        <f>+InputQ!Y11/1000</f>
        <v>658.50009999999997</v>
      </c>
      <c r="Z105" s="836">
        <f>+InputQ!Z11/1000</f>
        <v>674.95699999999999</v>
      </c>
      <c r="AA105" s="836">
        <f>+InputQ!AA11/1000</f>
        <v>678.98980000000006</v>
      </c>
      <c r="AB105" s="836">
        <f>+InputQ!AB11/1000</f>
        <v>693.93779999999992</v>
      </c>
      <c r="AC105" s="836">
        <f>+InputQ!AC11/1000</f>
        <v>697.94500000000005</v>
      </c>
      <c r="AD105" s="836">
        <f>+InputQ!AD11/1000</f>
        <v>690.89200000000005</v>
      </c>
      <c r="AE105" s="836">
        <f>+InputQ!AE11/1000</f>
        <v>697.32670000000007</v>
      </c>
      <c r="AF105" s="836">
        <f>+InputQ!AF11/1000</f>
        <v>697.13059999999996</v>
      </c>
      <c r="AG105" s="836">
        <f>+InputQ!AG11/1000</f>
        <v>692.77599999999995</v>
      </c>
      <c r="AH105" s="836">
        <f>+InputQ!AH11/1000</f>
        <v>695.66660000000002</v>
      </c>
      <c r="AI105" s="836">
        <f>+InputQ!AI11/1000</f>
        <v>695.31949999999995</v>
      </c>
      <c r="AJ105" s="836">
        <f>+InputQ!AJ11/1000</f>
        <v>700.8048</v>
      </c>
      <c r="AK105" s="836">
        <f>+InputQ!AK11/1000</f>
        <v>706.84500000000003</v>
      </c>
      <c r="AL105" s="836">
        <f>+InputQ!AL11/1000</f>
        <v>711.35930000000008</v>
      </c>
      <c r="AM105" s="836">
        <f>+InputQ!AM11/1000</f>
        <v>720.02890000000002</v>
      </c>
      <c r="AN105" s="836">
        <f>+InputQ!AN11/1000</f>
        <v>713.06500000000005</v>
      </c>
      <c r="AO105" s="836">
        <f>+InputQ!AO11/1000</f>
        <v>719.726</v>
      </c>
      <c r="AP105" s="836">
        <f>+InputQ!AP11/1000</f>
        <v>724.59230000000002</v>
      </c>
      <c r="AQ105" s="836">
        <f>+InputQ!AQ11/1000</f>
        <v>724.96820000000002</v>
      </c>
      <c r="AR105" s="836">
        <f>+InputQ!AR11/1000</f>
        <v>725.12119999999993</v>
      </c>
      <c r="AS105" s="836">
        <f>+InputQ!AS11/1000</f>
        <v>735.99249999999995</v>
      </c>
      <c r="AT105" s="836">
        <f>+InputQ!AT11/1000</f>
        <v>744.16300000000001</v>
      </c>
      <c r="AU105" s="836">
        <f>+InputQ!AU11/1000</f>
        <v>745.43469999999991</v>
      </c>
      <c r="AV105" s="836">
        <f>+InputQ!AV11/1000</f>
        <v>749.6422</v>
      </c>
      <c r="AW105" s="836">
        <f>+InputQ!AW11/1000</f>
        <v>749.21669999999995</v>
      </c>
      <c r="AX105" s="836">
        <f>+InputQ!AX11/1000</f>
        <v>763.37679999999989</v>
      </c>
      <c r="AY105" s="836">
        <f>+InputQ!AY11/1000</f>
        <v>766.46160000000009</v>
      </c>
      <c r="AZ105" s="836">
        <f>+InputQ!AZ11/1000</f>
        <v>785.75250000000005</v>
      </c>
      <c r="BA105" s="836">
        <f>+InputQ!BA11/1000</f>
        <v>790.66150000000005</v>
      </c>
      <c r="BB105" s="836">
        <f>+InputQ!BB11/1000</f>
        <v>798.9049</v>
      </c>
      <c r="BC105" s="836">
        <f>+InputQ!BC11/1000</f>
        <v>810.87729999999999</v>
      </c>
      <c r="BD105" s="836">
        <f>+InputQ!BD11/1000</f>
        <v>815.08230000000003</v>
      </c>
      <c r="BE105" s="836">
        <f>+InputQ!BE11/1000</f>
        <v>827.57110000000011</v>
      </c>
      <c r="BF105" s="836">
        <f>+InputQ!BF11/1000</f>
        <v>840.76260000000002</v>
      </c>
      <c r="BG105" s="836">
        <f>+InputQ!BG11/1000</f>
        <v>826.99130000000002</v>
      </c>
      <c r="BH105" s="836">
        <f>+InputQ!BH11/1000</f>
        <v>834.6585</v>
      </c>
      <c r="BI105" s="836">
        <f>+InputQ!BI11/1000</f>
        <v>824.50599999999997</v>
      </c>
      <c r="BJ105" s="836">
        <f>+InputQ!BJ11/1000</f>
        <v>802.98259999999993</v>
      </c>
      <c r="BK105" s="836">
        <f>+InputQ!BK11/1000</f>
        <v>788.53109999999992</v>
      </c>
      <c r="BL105" s="836">
        <f>+InputQ!BL11/1000</f>
        <v>779.49180000000001</v>
      </c>
      <c r="BM105" s="836">
        <f>+InputQ!BM11/1000</f>
        <v>786.11360000000002</v>
      </c>
      <c r="BN105" s="836">
        <f>+InputQ!BN11/1000</f>
        <v>794.41280000000006</v>
      </c>
      <c r="BO105" s="836">
        <f>+InputQ!BO11/1000</f>
        <v>813.75189999999998</v>
      </c>
      <c r="BP105" s="836">
        <f>+InputQ!BP11/1000</f>
        <v>828.63049999999998</v>
      </c>
      <c r="BQ105" s="836">
        <f>+InputQ!BQ11/1000</f>
        <v>841.57960000000003</v>
      </c>
      <c r="BR105" s="836">
        <f>+InputQ!BR11/1000</f>
        <v>843.43610000000001</v>
      </c>
      <c r="BS105" s="836">
        <f>+InputQ!BS11/1000</f>
        <v>857.82929999999988</v>
      </c>
      <c r="BT105" s="836">
        <f>+InputQ!BT11/1000</f>
        <v>862.72980000000007</v>
      </c>
      <c r="BU105" s="836">
        <f>+InputQ!BU11/1000</f>
        <v>856.50840000000005</v>
      </c>
      <c r="BV105" s="836">
        <f>+InputQ!BV11/1000</f>
        <v>850.79469999999992</v>
      </c>
      <c r="BW105" s="836">
        <f>+InputQ!BW11/1000</f>
        <v>851.41710000000012</v>
      </c>
      <c r="BX105" s="836">
        <f>+InputQ!BX11/1000</f>
        <v>852.34489999999994</v>
      </c>
      <c r="BY105" s="836">
        <f>+InputQ!BY11/1000</f>
        <v>861.54549999999995</v>
      </c>
      <c r="BZ105" s="836">
        <f>+InputQ!BZ11/1000</f>
        <v>853.14530000000002</v>
      </c>
      <c r="CA105" s="836">
        <f>+InputQ!CA11/1000</f>
        <v>863.8918000000001</v>
      </c>
      <c r="CB105" s="836">
        <f>+InputQ!CB11/1000</f>
        <v>862.08710000000008</v>
      </c>
      <c r="CC105" s="836">
        <f>+InputQ!CC11/1000</f>
        <v>868.3682</v>
      </c>
      <c r="CD105" s="836">
        <f>+InputQ!CD11/1000</f>
        <v>879.55899999999997</v>
      </c>
      <c r="CE105" s="836">
        <f>+InputQ!CE11/1000</f>
        <v>881.25689999999986</v>
      </c>
      <c r="CF105" s="836">
        <f>+InputQ!CF11/1000</f>
        <v>893.06330000000003</v>
      </c>
      <c r="CG105" s="836">
        <f>+InputQ!CG11/1000</f>
        <v>893.78440000000001</v>
      </c>
      <c r="CH105" s="836">
        <f>+InputQ!CH11/1000</f>
        <v>911.22739999999999</v>
      </c>
      <c r="CI105" s="836">
        <f>+InputQ!CI11/1000</f>
        <v>917.84940000000006</v>
      </c>
      <c r="CJ105" s="836">
        <f>+InputQ!CJ11/1000</f>
        <v>919.58569999999997</v>
      </c>
      <c r="CK105" s="836">
        <f>+InputQ!CK11/1000</f>
        <v>934.952</v>
      </c>
      <c r="CL105" s="836">
        <f>+InputQ!CL11/1000</f>
        <v>950.51639999999986</v>
      </c>
      <c r="CM105" s="836">
        <f>+InputQ!CM11/1000</f>
        <v>953.97149999999999</v>
      </c>
      <c r="CN105" s="836">
        <f>+InputQ!CN11/1000</f>
        <v>959.69229999999993</v>
      </c>
      <c r="CO105" s="836">
        <f>+InputQ!CO11/1000</f>
        <v>958.81709999999998</v>
      </c>
      <c r="CP105" s="836">
        <f>+InputQ!CP11/1000</f>
        <v>962.96669999999995</v>
      </c>
      <c r="CQ105" s="836">
        <f>+InputQ!CQ11/1000</f>
        <v>974.71430000000009</v>
      </c>
      <c r="CR105" s="836">
        <f>+InputQ!CR11/1000</f>
        <v>985.20569999999998</v>
      </c>
      <c r="CS105" s="836">
        <f>+InputQ!CS11/1000</f>
        <v>992.36929999999995</v>
      </c>
      <c r="CT105" s="836">
        <f>+InputQ!CT11/1000</f>
        <v>995.7</v>
      </c>
      <c r="CU105" s="836">
        <f>+InputQ!CU11/1000</f>
        <v>1002.7583</v>
      </c>
      <c r="CV105" s="836">
        <f>+InputQ!CV11/1000</f>
        <v>1015.6632999999999</v>
      </c>
      <c r="CW105" s="3166">
        <f t="shared" ref="CW105:CX105" si="432">+CV105*(1+CW110/100)</f>
        <v>1019.4016654126932</v>
      </c>
      <c r="CX105" s="3166">
        <f t="shared" si="432"/>
        <v>1024.2545283049453</v>
      </c>
      <c r="CY105" s="3166">
        <f t="shared" ref="CY105" si="433">+CX105*(1+CY110/100)</f>
        <v>1030.8358486844609</v>
      </c>
      <c r="CZ105" s="3166">
        <f t="shared" ref="CZ105" si="434">+CY105*(1+CZ110/100)</f>
        <v>1035.4521844009557</v>
      </c>
      <c r="DA105" s="3166">
        <f t="shared" ref="DA105" si="435">+CZ105*(1+DA110/100)</f>
        <v>1039.2593197444867</v>
      </c>
      <c r="DB105" s="3166">
        <f t="shared" ref="DB105" si="436">+DA105*(1+DB110/100)</f>
        <v>1042.4914925767562</v>
      </c>
      <c r="DC105" s="3166">
        <f t="shared" ref="DC105" si="437">+DB105*(1+DC110/100)</f>
        <v>1048.7023825604713</v>
      </c>
      <c r="DD105" s="3166">
        <f t="shared" ref="DD105" si="438">+DC105*(1+DD110/100)</f>
        <v>1054.0072108634097</v>
      </c>
      <c r="DE105" s="3166">
        <f t="shared" ref="DE105" si="439">+DD105*(1+DE110/100)</f>
        <v>1058.6877659200704</v>
      </c>
      <c r="DF105" s="3166">
        <f t="shared" ref="DF105" si="440">+DE105*(1+DF110/100)</f>
        <v>1062.1856402523283</v>
      </c>
    </row>
    <row r="106" spans="1:110" s="26" customFormat="1" ht="12.75">
      <c r="A106" s="710"/>
      <c r="B106" s="710"/>
      <c r="C106" s="1665"/>
      <c r="D106" s="720"/>
      <c r="E106" s="721" t="s">
        <v>353</v>
      </c>
      <c r="F106" s="722"/>
      <c r="G106" s="1623"/>
      <c r="H106" s="1623"/>
      <c r="I106" s="1623"/>
      <c r="J106" s="1627">
        <f>SUM(G101:J103)</f>
        <v>2364.3710999999998</v>
      </c>
      <c r="K106" s="1623"/>
      <c r="L106" s="1623"/>
      <c r="M106" s="1623"/>
      <c r="N106" s="1627">
        <f>SUM(K101:N103)</f>
        <v>2410.0750999999996</v>
      </c>
      <c r="O106" s="1623"/>
      <c r="P106" s="1623"/>
      <c r="Q106" s="1623"/>
      <c r="R106" s="1627">
        <f>SUM(O101:R103)</f>
        <v>2450.3754000000004</v>
      </c>
      <c r="S106" s="1623"/>
      <c r="T106" s="1623"/>
      <c r="U106" s="1623"/>
      <c r="V106" s="1627">
        <f>SUM(S101:V103)</f>
        <v>2556.1286000000005</v>
      </c>
      <c r="W106" s="1623"/>
      <c r="X106" s="1623"/>
      <c r="Y106" s="1623"/>
      <c r="Z106" s="1627">
        <f>SUM(W101:Z103)</f>
        <v>2651.1973999999996</v>
      </c>
      <c r="AA106" s="1623"/>
      <c r="AB106" s="1623"/>
      <c r="AC106" s="1623"/>
      <c r="AD106" s="1627">
        <f>SUM(AA101:AD103)</f>
        <v>2750.7303000000002</v>
      </c>
      <c r="AE106" s="1623"/>
      <c r="AF106" s="1623"/>
      <c r="AG106" s="1623"/>
      <c r="AH106" s="1627">
        <f>SUM(AE101:AH103)</f>
        <v>2781.0045</v>
      </c>
      <c r="AI106" s="1623"/>
      <c r="AJ106" s="1623"/>
      <c r="AK106" s="1623"/>
      <c r="AL106" s="1627">
        <f>SUM(AI101:AL103)</f>
        <v>2817.1898000000001</v>
      </c>
      <c r="AM106" s="1623"/>
      <c r="AN106" s="1623"/>
      <c r="AO106" s="1623"/>
      <c r="AP106" s="1627">
        <f>SUM(AM101:AP103)</f>
        <v>2873.1540999999997</v>
      </c>
      <c r="AQ106" s="1623"/>
      <c r="AR106" s="1623"/>
      <c r="AS106" s="1623"/>
      <c r="AT106" s="1627">
        <f>SUM(AQ101:AT103)</f>
        <v>2934.6514000000011</v>
      </c>
      <c r="AU106" s="1623"/>
      <c r="AV106" s="1623"/>
      <c r="AW106" s="1623"/>
      <c r="AX106" s="1627">
        <f>SUM(AU101:AX103)</f>
        <v>3011.2103000000006</v>
      </c>
      <c r="AY106" s="1623"/>
      <c r="AZ106" s="1623"/>
      <c r="BA106" s="1623"/>
      <c r="BB106" s="1627">
        <f>SUM(AY101:BB103)</f>
        <v>3136.2766999999999</v>
      </c>
      <c r="BC106" s="1623"/>
      <c r="BD106" s="1623"/>
      <c r="BE106" s="1623"/>
      <c r="BF106" s="1627">
        <f>SUM(BC101:BF103)</f>
        <v>3265.9165000000003</v>
      </c>
      <c r="BG106" s="1623"/>
      <c r="BH106" s="1623"/>
      <c r="BI106" s="1623"/>
      <c r="BJ106" s="1627">
        <f>SUM(BG101:BJ103)</f>
        <v>3281.0519999999997</v>
      </c>
      <c r="BK106" s="1623"/>
      <c r="BL106" s="1623"/>
      <c r="BM106" s="1623"/>
      <c r="BN106" s="1627">
        <f>SUM(BK101:BN103)</f>
        <v>3192.3562999999999</v>
      </c>
      <c r="BO106" s="1623"/>
      <c r="BP106" s="1623"/>
      <c r="BQ106" s="1623"/>
      <c r="BR106" s="1627">
        <f>SUM(BO101:BR103)</f>
        <v>3301.8980999999994</v>
      </c>
      <c r="BS106" s="1623"/>
      <c r="BT106" s="1623"/>
      <c r="BU106" s="1623"/>
      <c r="BV106" s="1627">
        <f>SUM(BS101:BV103)</f>
        <v>3386.3901999999994</v>
      </c>
      <c r="BW106" s="1623"/>
      <c r="BX106" s="1623"/>
      <c r="BY106" s="1623"/>
      <c r="BZ106" s="1627">
        <f>SUM(BW101:BZ103)</f>
        <v>3417.3482999999997</v>
      </c>
      <c r="CA106" s="1623"/>
      <c r="CB106" s="1623"/>
      <c r="CC106" s="1623"/>
      <c r="CD106" s="1627">
        <f>SUM(CA101:CD103)</f>
        <v>3465.2831000000001</v>
      </c>
      <c r="CE106" s="1623"/>
      <c r="CF106" s="1623"/>
      <c r="CG106" s="1623"/>
      <c r="CH106" s="1627">
        <f>SUM(CE101:CH103)</f>
        <v>3564.4627</v>
      </c>
      <c r="CI106" s="1623"/>
      <c r="CJ106" s="1623"/>
      <c r="CK106" s="1623"/>
      <c r="CL106" s="1627">
        <f>SUM(CI101:CL103)</f>
        <v>3692.2719000000002</v>
      </c>
      <c r="CM106" s="1623"/>
      <c r="CN106" s="1623"/>
      <c r="CO106" s="1623"/>
      <c r="CP106" s="1627">
        <f>SUM(CM101:CP103)</f>
        <v>3809.3593000000001</v>
      </c>
      <c r="CQ106" s="1623"/>
      <c r="CR106" s="1623"/>
      <c r="CS106" s="1623"/>
      <c r="CT106" s="1627">
        <f>SUM(CQ101:CT103)</f>
        <v>3918.6986999999999</v>
      </c>
      <c r="CU106" s="1623"/>
      <c r="CV106" s="1623"/>
      <c r="CW106" s="1623"/>
      <c r="CX106" s="1627">
        <f>SUM(CU101:CX103)</f>
        <v>4011.4559571989225</v>
      </c>
      <c r="CY106" s="1623"/>
      <c r="CZ106" s="1623"/>
      <c r="DA106" s="1623"/>
      <c r="DB106" s="1627">
        <f>SUM(CY101:DB103)</f>
        <v>4086.9309652416509</v>
      </c>
      <c r="DC106" s="1623"/>
      <c r="DD106" s="1623"/>
      <c r="DE106" s="1623"/>
      <c r="DF106" s="1627">
        <f>SUM(DC101:DF103)</f>
        <v>4161.3622216756257</v>
      </c>
    </row>
    <row r="107" spans="1:110" s="1652" customFormat="1" ht="12.75" customHeight="1">
      <c r="A107" s="1036"/>
      <c r="B107" s="1036"/>
      <c r="C107" s="1666"/>
      <c r="D107" s="716"/>
      <c r="E107" s="1624" t="s">
        <v>136</v>
      </c>
      <c r="F107" s="716"/>
      <c r="G107" s="1625"/>
      <c r="H107" s="2916" t="s">
        <v>1694</v>
      </c>
      <c r="I107" s="2917">
        <f ca="1">+J107/J106*100</f>
        <v>99.283815797782353</v>
      </c>
      <c r="J107" s="1667">
        <f ca="1">OFFSET('VVP2'!$G$54,0,(COLUMN()-10)/4)</f>
        <v>2347.4378477</v>
      </c>
      <c r="K107" s="1625"/>
      <c r="L107" s="2916" t="s">
        <v>1694</v>
      </c>
      <c r="M107" s="2917">
        <f ca="1">+N107/N106*100</f>
        <v>99.348237125058901</v>
      </c>
      <c r="N107" s="1667">
        <f ca="1">OFFSET('VVP2'!$G$54,0,(COLUMN()-10)/4)</f>
        <v>2394.36712524</v>
      </c>
      <c r="O107" s="1625"/>
      <c r="P107" s="2916" t="s">
        <v>1694</v>
      </c>
      <c r="Q107" s="2917">
        <f ca="1">+R107/R106*100</f>
        <v>99.286544665360239</v>
      </c>
      <c r="R107" s="1667">
        <f ca="1">OFFSET('VVP2'!$G$54,0,(COLUMN()-10)/4)</f>
        <v>2432.8930659900002</v>
      </c>
      <c r="S107" s="1625"/>
      <c r="T107" s="2916" t="s">
        <v>1694</v>
      </c>
      <c r="U107" s="2917">
        <f ca="1">+V107/V106*100</f>
        <v>99.384659658751104</v>
      </c>
      <c r="V107" s="1667">
        <f ca="1">OFFSET('VVP2'!$G$54,0,(COLUMN()-10)/4)</f>
        <v>2540.3997095499999</v>
      </c>
      <c r="W107" s="1625"/>
      <c r="X107" s="2916" t="s">
        <v>1694</v>
      </c>
      <c r="Y107" s="2917">
        <f ca="1">+Z107/Z106*100</f>
        <v>99.675348380697741</v>
      </c>
      <c r="Z107" s="1667">
        <f ca="1">OFFSET('VVP2'!$G$54,0,(COLUMN()-10)/4)</f>
        <v>2642.5902447100002</v>
      </c>
      <c r="AA107" s="1625"/>
      <c r="AB107" s="2916" t="s">
        <v>1694</v>
      </c>
      <c r="AC107" s="2917">
        <f ca="1">+AD107/AD106*100</f>
        <v>99.791061644247691</v>
      </c>
      <c r="AD107" s="1667">
        <f ca="1">OFFSET('VVP2'!$G$54,0,(COLUMN()-10)/4)</f>
        <v>2744.9829693399997</v>
      </c>
      <c r="AE107" s="1625"/>
      <c r="AF107" s="2916" t="s">
        <v>1694</v>
      </c>
      <c r="AG107" s="2917">
        <f ca="1">+AH107/AH106*100</f>
        <v>99.698707823018623</v>
      </c>
      <c r="AH107" s="1667">
        <f ca="1">OFFSET('VVP2'!$G$54,0,(COLUMN()-10)/4)</f>
        <v>2772.6255510000001</v>
      </c>
      <c r="AI107" s="1625"/>
      <c r="AJ107" s="2916" t="s">
        <v>1694</v>
      </c>
      <c r="AK107" s="2917">
        <f ca="1">+AL107/AL106*100</f>
        <v>99.70370356800241</v>
      </c>
      <c r="AL107" s="1667">
        <f ca="1">OFFSET('VVP2'!$G$54,0,(COLUMN()-10)/4)</f>
        <v>2808.84256714</v>
      </c>
      <c r="AM107" s="1625"/>
      <c r="AN107" s="2916" t="s">
        <v>1694</v>
      </c>
      <c r="AO107" s="2917">
        <f ca="1">+AP107/AP106*100</f>
        <v>99.593505575632037</v>
      </c>
      <c r="AP107" s="1667">
        <f ca="1">OFFSET('VVP2'!$G$54,0,(COLUMN()-10)/4)</f>
        <v>2861.4748887800001</v>
      </c>
      <c r="AQ107" s="1625"/>
      <c r="AR107" s="2916" t="s">
        <v>1694</v>
      </c>
      <c r="AS107" s="2917">
        <f ca="1">+AT107/AT106*100</f>
        <v>100.07888298998644</v>
      </c>
      <c r="AT107" s="1667">
        <f ca="1">OFFSET('VVP2'!$G$54,0,(COLUMN()-10)/4)</f>
        <v>2936.96634077</v>
      </c>
      <c r="AU107" s="1625"/>
      <c r="AV107" s="2916" t="s">
        <v>1694</v>
      </c>
      <c r="AW107" s="2917">
        <f ca="1">+AX107/AX106*100</f>
        <v>100.12389239502799</v>
      </c>
      <c r="AX107" s="1667">
        <f ca="1">OFFSET('VVP2'!$G$54,0,(COLUMN()-10)/4)</f>
        <v>3014.9409605599999</v>
      </c>
      <c r="AY107" s="1625"/>
      <c r="AZ107" s="2916" t="s">
        <v>1694</v>
      </c>
      <c r="BA107" s="2917">
        <f ca="1">+BB107/BB106*100</f>
        <v>99.966718688118306</v>
      </c>
      <c r="BB107" s="1667">
        <f ca="1">OFFSET('VVP2'!$G$54,0,(COLUMN()-10)/4)</f>
        <v>3135.23290597</v>
      </c>
      <c r="BC107" s="1625"/>
      <c r="BD107" s="2916" t="s">
        <v>1694</v>
      </c>
      <c r="BE107" s="2917">
        <f ca="1">+BF107/BF106*100</f>
        <v>99.833355885859291</v>
      </c>
      <c r="BF107" s="1667">
        <f ca="1">OFFSET('VVP2'!$G$54,0,(COLUMN()-10)/4)</f>
        <v>3260.4740423799999</v>
      </c>
      <c r="BG107" s="1625"/>
      <c r="BH107" s="2916" t="s">
        <v>1694</v>
      </c>
      <c r="BI107" s="2917">
        <f ca="1">+BJ107/BJ106*100</f>
        <v>99.970136515361546</v>
      </c>
      <c r="BJ107" s="1667">
        <f ca="1">OFFSET('VVP2'!$G$54,0,(COLUMN()-10)/4)</f>
        <v>3280.07216354</v>
      </c>
      <c r="BK107" s="1625"/>
      <c r="BL107" s="2916" t="s">
        <v>1694</v>
      </c>
      <c r="BM107" s="2917">
        <f ca="1">+BN107/BN106*100</f>
        <v>99.941461785139722</v>
      </c>
      <c r="BN107" s="1667">
        <f ca="1">OFFSET('VVP2'!$G$54,0,(COLUMN()-10)/4)</f>
        <v>3190.4875516100001</v>
      </c>
      <c r="BO107" s="1625"/>
      <c r="BP107" s="2916" t="s">
        <v>1694</v>
      </c>
      <c r="BQ107" s="2917">
        <f ca="1">+BR107/BR106*100</f>
        <v>100.18955460799958</v>
      </c>
      <c r="BR107" s="1667">
        <f ca="1">OFFSET('VVP2'!$G$54,0,(COLUMN()-10)/4)</f>
        <v>3308.1570000000002</v>
      </c>
      <c r="BS107" s="1625"/>
      <c r="BT107" s="2916" t="s">
        <v>1694</v>
      </c>
      <c r="BU107" s="2917">
        <f ca="1">+BV107/BV106*100</f>
        <v>100.13273721380367</v>
      </c>
      <c r="BV107" s="1667">
        <f ca="1">OFFSET('VVP2'!$G$54,0,(COLUMN()-10)/4)</f>
        <v>3390.8852000000002</v>
      </c>
      <c r="BW107" s="1625"/>
      <c r="BX107" s="2916" t="s">
        <v>1694</v>
      </c>
      <c r="BY107" s="2917">
        <f ca="1">+BZ107/BZ106*100</f>
        <v>99.835814556274528</v>
      </c>
      <c r="BZ107" s="1667">
        <f ca="1">OFFSET('VVP2'!$G$54,0,(COLUMN()-10)/4)</f>
        <v>3411.7375115299997</v>
      </c>
      <c r="CA107" s="1625"/>
      <c r="CB107" s="2916" t="s">
        <v>1694</v>
      </c>
      <c r="CC107" s="2917">
        <f ca="1">+CD107/CD106*100</f>
        <v>99.841789034206172</v>
      </c>
      <c r="CD107" s="1667">
        <f ca="1">OFFSET('VVP2'!$G$54,0,(COLUMN()-10)/4)</f>
        <v>3459.80064214</v>
      </c>
      <c r="CE107" s="1625"/>
      <c r="CF107" s="2916" t="s">
        <v>1694</v>
      </c>
      <c r="CG107" s="2917">
        <f ca="1">+CH107/CH106*100</f>
        <v>99.719642951797468</v>
      </c>
      <c r="CH107" s="1667">
        <f ca="1">OFFSET('VVP2'!$G$54,0,(COLUMN()-10)/4)</f>
        <v>3554.4694775899998</v>
      </c>
      <c r="CI107" s="1625"/>
      <c r="CJ107" s="2916" t="s">
        <v>1694</v>
      </c>
      <c r="CK107" s="2917">
        <f ca="1">+CL107/CL106*100</f>
        <v>99.907444412205919</v>
      </c>
      <c r="CL107" s="1667">
        <f ca="1">OFFSET('VVP2'!$G$54,0,(COLUMN()-10)/4)</f>
        <v>3688.85449604</v>
      </c>
      <c r="CM107" s="1625"/>
      <c r="CN107" s="2916" t="s">
        <v>1694</v>
      </c>
      <c r="CO107" s="2917">
        <f ca="1">+CP107/CP106*100</f>
        <v>100.11907598030987</v>
      </c>
      <c r="CP107" s="1667">
        <f ca="1">OFFSET('VVP2'!$G$54,0,(COLUMN()-10)/4)</f>
        <v>3813.8953319299999</v>
      </c>
      <c r="CQ107" s="1625"/>
      <c r="CR107" s="2916" t="s">
        <v>1694</v>
      </c>
      <c r="CS107" s="2917">
        <f ca="1">+CT107/CT106*100</f>
        <v>99.82440954059571</v>
      </c>
      <c r="CT107" s="1667">
        <f ca="1">OFFSET('VVP2'!$G$54,0,(COLUMN()-10)/4)</f>
        <v>3911.8178389499999</v>
      </c>
      <c r="CU107" s="1625"/>
      <c r="CV107" s="2916" t="s">
        <v>1694</v>
      </c>
      <c r="CW107" s="2917">
        <f ca="1">+CX107/CX106*100</f>
        <v>99.789621947134322</v>
      </c>
      <c r="CX107" s="1667">
        <f ca="1">OFFSET('VVP2'!$G$54,0,(COLUMN()-10)/4)</f>
        <v>4003.0167342646032</v>
      </c>
      <c r="CY107" s="1625"/>
      <c r="CZ107" s="2916" t="s">
        <v>1694</v>
      </c>
      <c r="DA107" s="2917">
        <f ca="1">+DB107/DB106*100</f>
        <v>99.758079447162274</v>
      </c>
      <c r="DB107" s="1667">
        <f ca="1">OFFSET('VVP2'!$G$54,0,(COLUMN()-10)/4)</f>
        <v>4077.043839256442</v>
      </c>
      <c r="DC107" s="1625"/>
      <c r="DD107" s="2916" t="s">
        <v>1694</v>
      </c>
      <c r="DE107" s="2917">
        <f ca="1">+DF107/DF106*100</f>
        <v>99.732626808546826</v>
      </c>
      <c r="DF107" s="1667">
        <f ca="1">OFFSET('VVP2'!$G$54,0,(COLUMN()-10)/4)</f>
        <v>4150.2358546956048</v>
      </c>
    </row>
    <row r="108" spans="1:110">
      <c r="AY108" s="217"/>
      <c r="BA108" s="217"/>
      <c r="BB108" s="217"/>
      <c r="BC108" s="217"/>
      <c r="BD108" s="217"/>
      <c r="BE108" s="217"/>
      <c r="BF108" s="217"/>
      <c r="BG108" s="217"/>
      <c r="BH108" s="217"/>
      <c r="BI108" s="217"/>
      <c r="BJ108" s="217"/>
      <c r="BK108" s="217"/>
      <c r="BL108" s="217"/>
      <c r="BM108" s="217"/>
      <c r="BN108" s="217"/>
      <c r="BO108" s="217"/>
      <c r="BP108" s="217"/>
      <c r="BQ108" s="217"/>
      <c r="BR108" s="217"/>
      <c r="BS108" s="217"/>
      <c r="BT108" s="217"/>
      <c r="BU108" s="217"/>
      <c r="BV108" s="217"/>
      <c r="BW108" s="217"/>
      <c r="BX108" s="217"/>
      <c r="BY108" s="217"/>
      <c r="BZ108" s="217"/>
      <c r="CA108" s="217"/>
      <c r="CB108" s="217"/>
      <c r="CC108" s="217"/>
      <c r="CD108" s="217"/>
      <c r="CE108" s="217"/>
      <c r="CF108" s="217"/>
      <c r="CH108" s="217"/>
      <c r="CI108" s="217"/>
      <c r="CJ108" s="217"/>
      <c r="CM108" s="217"/>
      <c r="CN108" s="217"/>
      <c r="CQ108" s="217"/>
      <c r="CR108" s="217"/>
      <c r="CV108" s="217"/>
    </row>
    <row r="109" spans="1:110" s="736" customFormat="1" ht="12.75" customHeight="1">
      <c r="A109" s="701"/>
      <c r="B109" s="701"/>
      <c r="C109" s="1603"/>
      <c r="D109" s="779"/>
      <c r="E109" s="780" t="s">
        <v>1641</v>
      </c>
      <c r="F109" s="781"/>
      <c r="G109" s="1630" t="s">
        <v>131</v>
      </c>
      <c r="H109" s="1631" t="s">
        <v>132</v>
      </c>
      <c r="I109" s="1631" t="s">
        <v>133</v>
      </c>
      <c r="J109" s="1632" t="s">
        <v>134</v>
      </c>
      <c r="K109" s="1630" t="s">
        <v>131</v>
      </c>
      <c r="L109" s="1631" t="s">
        <v>132</v>
      </c>
      <c r="M109" s="1631" t="s">
        <v>133</v>
      </c>
      <c r="N109" s="1632" t="s">
        <v>134</v>
      </c>
      <c r="O109" s="1630" t="s">
        <v>131</v>
      </c>
      <c r="P109" s="1631" t="s">
        <v>132</v>
      </c>
      <c r="Q109" s="1631" t="s">
        <v>133</v>
      </c>
      <c r="R109" s="1632" t="s">
        <v>134</v>
      </c>
      <c r="S109" s="1630" t="s">
        <v>131</v>
      </c>
      <c r="T109" s="1631" t="s">
        <v>132</v>
      </c>
      <c r="U109" s="1631" t="s">
        <v>133</v>
      </c>
      <c r="V109" s="1632" t="s">
        <v>134</v>
      </c>
      <c r="W109" s="1630" t="s">
        <v>131</v>
      </c>
      <c r="X109" s="1631" t="s">
        <v>132</v>
      </c>
      <c r="Y109" s="1631" t="s">
        <v>133</v>
      </c>
      <c r="Z109" s="1632" t="s">
        <v>134</v>
      </c>
      <c r="AA109" s="1630" t="s">
        <v>131</v>
      </c>
      <c r="AB109" s="1631" t="s">
        <v>132</v>
      </c>
      <c r="AC109" s="1631" t="s">
        <v>133</v>
      </c>
      <c r="AD109" s="1632" t="s">
        <v>134</v>
      </c>
      <c r="AE109" s="1630" t="s">
        <v>131</v>
      </c>
      <c r="AF109" s="1631" t="s">
        <v>132</v>
      </c>
      <c r="AG109" s="1631" t="s">
        <v>133</v>
      </c>
      <c r="AH109" s="1632" t="s">
        <v>134</v>
      </c>
      <c r="AI109" s="1630" t="s">
        <v>131</v>
      </c>
      <c r="AJ109" s="1631" t="s">
        <v>132</v>
      </c>
      <c r="AK109" s="1631" t="s">
        <v>133</v>
      </c>
      <c r="AL109" s="1632" t="s">
        <v>134</v>
      </c>
      <c r="AM109" s="1630" t="s">
        <v>131</v>
      </c>
      <c r="AN109" s="1631" t="s">
        <v>132</v>
      </c>
      <c r="AO109" s="1631" t="s">
        <v>133</v>
      </c>
      <c r="AP109" s="1632" t="s">
        <v>134</v>
      </c>
      <c r="AQ109" s="1630" t="s">
        <v>131</v>
      </c>
      <c r="AR109" s="1631" t="s">
        <v>132</v>
      </c>
      <c r="AS109" s="1631" t="s">
        <v>133</v>
      </c>
      <c r="AT109" s="1632" t="s">
        <v>134</v>
      </c>
      <c r="AU109" s="1630" t="s">
        <v>131</v>
      </c>
      <c r="AV109" s="1631" t="s">
        <v>132</v>
      </c>
      <c r="AW109" s="1631" t="s">
        <v>133</v>
      </c>
      <c r="AX109" s="1632" t="s">
        <v>134</v>
      </c>
      <c r="AY109" s="1630" t="s">
        <v>131</v>
      </c>
      <c r="AZ109" s="1631" t="s">
        <v>132</v>
      </c>
      <c r="BA109" s="1631" t="s">
        <v>133</v>
      </c>
      <c r="BB109" s="1632" t="s">
        <v>134</v>
      </c>
      <c r="BC109" s="1630" t="s">
        <v>131</v>
      </c>
      <c r="BD109" s="1631" t="s">
        <v>132</v>
      </c>
      <c r="BE109" s="1631" t="s">
        <v>133</v>
      </c>
      <c r="BF109" s="1632" t="s">
        <v>134</v>
      </c>
      <c r="BG109" s="1630" t="s">
        <v>131</v>
      </c>
      <c r="BH109" s="1631" t="s">
        <v>132</v>
      </c>
      <c r="BI109" s="1631" t="s">
        <v>133</v>
      </c>
      <c r="BJ109" s="1632" t="s">
        <v>134</v>
      </c>
      <c r="BK109" s="1630" t="s">
        <v>131</v>
      </c>
      <c r="BL109" s="1631" t="s">
        <v>132</v>
      </c>
      <c r="BM109" s="1631" t="s">
        <v>133</v>
      </c>
      <c r="BN109" s="1632" t="s">
        <v>134</v>
      </c>
      <c r="BO109" s="1630" t="s">
        <v>131</v>
      </c>
      <c r="BP109" s="1631" t="s">
        <v>132</v>
      </c>
      <c r="BQ109" s="1631" t="s">
        <v>133</v>
      </c>
      <c r="BR109" s="1632" t="s">
        <v>134</v>
      </c>
      <c r="BS109" s="1630" t="s">
        <v>131</v>
      </c>
      <c r="BT109" s="1631" t="s">
        <v>132</v>
      </c>
      <c r="BU109" s="1631" t="s">
        <v>133</v>
      </c>
      <c r="BV109" s="1632" t="s">
        <v>134</v>
      </c>
      <c r="BW109" s="1630" t="s">
        <v>131</v>
      </c>
      <c r="BX109" s="1631" t="s">
        <v>132</v>
      </c>
      <c r="BY109" s="1631" t="s">
        <v>133</v>
      </c>
      <c r="BZ109" s="1632" t="s">
        <v>134</v>
      </c>
      <c r="CA109" s="1630" t="s">
        <v>131</v>
      </c>
      <c r="CB109" s="1631" t="s">
        <v>132</v>
      </c>
      <c r="CC109" s="1631" t="s">
        <v>133</v>
      </c>
      <c r="CD109" s="1632" t="s">
        <v>134</v>
      </c>
      <c r="CE109" s="1630" t="s">
        <v>131</v>
      </c>
      <c r="CF109" s="1631" t="s">
        <v>132</v>
      </c>
      <c r="CG109" s="1631" t="s">
        <v>133</v>
      </c>
      <c r="CH109" s="1632" t="s">
        <v>134</v>
      </c>
      <c r="CI109" s="1630" t="s">
        <v>131</v>
      </c>
      <c r="CJ109" s="1631" t="s">
        <v>132</v>
      </c>
      <c r="CK109" s="1631" t="s">
        <v>133</v>
      </c>
      <c r="CL109" s="1632" t="s">
        <v>134</v>
      </c>
      <c r="CM109" s="1630" t="s">
        <v>131</v>
      </c>
      <c r="CN109" s="1631" t="s">
        <v>132</v>
      </c>
      <c r="CO109" s="1631" t="s">
        <v>133</v>
      </c>
      <c r="CP109" s="1632" t="s">
        <v>134</v>
      </c>
      <c r="CQ109" s="1630" t="s">
        <v>131</v>
      </c>
      <c r="CR109" s="1631" t="s">
        <v>132</v>
      </c>
      <c r="CS109" s="1631" t="s">
        <v>133</v>
      </c>
      <c r="CT109" s="1632" t="s">
        <v>134</v>
      </c>
      <c r="CU109" s="1630" t="s">
        <v>131</v>
      </c>
      <c r="CV109" s="1631" t="s">
        <v>132</v>
      </c>
      <c r="CW109" s="1631" t="s">
        <v>133</v>
      </c>
      <c r="CX109" s="1632" t="s">
        <v>134</v>
      </c>
      <c r="CY109" s="1630" t="s">
        <v>131</v>
      </c>
      <c r="CZ109" s="1631" t="s">
        <v>132</v>
      </c>
      <c r="DA109" s="1631" t="s">
        <v>133</v>
      </c>
      <c r="DB109" s="1632" t="s">
        <v>134</v>
      </c>
      <c r="DC109" s="1630" t="s">
        <v>131</v>
      </c>
      <c r="DD109" s="1631" t="s">
        <v>132</v>
      </c>
      <c r="DE109" s="1631" t="s">
        <v>133</v>
      </c>
      <c r="DF109" s="1632" t="s">
        <v>134</v>
      </c>
    </row>
    <row r="110" spans="1:110" s="736" customFormat="1" ht="12.75" customHeight="1">
      <c r="B110" s="701"/>
      <c r="C110" s="729"/>
      <c r="D110" s="726"/>
      <c r="E110" s="775" t="str">
        <f>E105</f>
        <v>Domestic demand (excl. Inventories)</v>
      </c>
      <c r="F110" s="770" t="s">
        <v>1427</v>
      </c>
      <c r="G110" s="1015"/>
      <c r="H110" s="1015">
        <f>(H105/G105-1)*100</f>
        <v>0.65572016498887109</v>
      </c>
      <c r="I110" s="1015">
        <f t="shared" ref="I110:N110" si="441">(I105/H105-1)*100</f>
        <v>1.437312877301844</v>
      </c>
      <c r="J110" s="1015">
        <f t="shared" si="441"/>
        <v>1.0515197118096564</v>
      </c>
      <c r="K110" s="1015">
        <f>(K105/J105-1)*100</f>
        <v>-0.25348513065036604</v>
      </c>
      <c r="L110" s="1015">
        <f t="shared" si="441"/>
        <v>-1.5315683674607894</v>
      </c>
      <c r="M110" s="1015">
        <f t="shared" si="441"/>
        <v>1.4610592494033181</v>
      </c>
      <c r="N110" s="1015">
        <f t="shared" si="441"/>
        <v>0.66302611261668254</v>
      </c>
      <c r="O110" s="1015">
        <f t="shared" ref="O110:AX110" si="442">(O105/N105-1)*100</f>
        <v>-7.9677827452329097E-2</v>
      </c>
      <c r="P110" s="1015">
        <f t="shared" si="442"/>
        <v>0.12143824663533032</v>
      </c>
      <c r="Q110" s="1015">
        <f t="shared" si="442"/>
        <v>1.3397962417631692</v>
      </c>
      <c r="R110" s="1015">
        <f t="shared" si="442"/>
        <v>1.8299888570848521</v>
      </c>
      <c r="S110" s="1015">
        <f t="shared" si="442"/>
        <v>1.199294397214401</v>
      </c>
      <c r="T110" s="1015">
        <f t="shared" si="442"/>
        <v>1.7807838964432054</v>
      </c>
      <c r="U110" s="1015">
        <f t="shared" si="442"/>
        <v>-0.54906452797163219</v>
      </c>
      <c r="V110" s="1015">
        <f t="shared" si="442"/>
        <v>0.65056621215622279</v>
      </c>
      <c r="W110" s="1015">
        <f t="shared" si="442"/>
        <v>1.9149742259164437</v>
      </c>
      <c r="X110" s="1015">
        <f t="shared" si="442"/>
        <v>-0.44144864694368735</v>
      </c>
      <c r="Y110" s="1015">
        <f t="shared" si="442"/>
        <v>0.68724192686453467</v>
      </c>
      <c r="Z110" s="1015">
        <f t="shared" si="442"/>
        <v>2.4991492028626938</v>
      </c>
      <c r="AA110" s="1015">
        <f t="shared" si="442"/>
        <v>0.59748991417232222</v>
      </c>
      <c r="AB110" s="1015">
        <f t="shared" si="442"/>
        <v>2.201505825271588</v>
      </c>
      <c r="AC110" s="1015">
        <f t="shared" si="442"/>
        <v>0.57745809494742506</v>
      </c>
      <c r="AD110" s="1015">
        <f t="shared" si="442"/>
        <v>-1.0105380796481045</v>
      </c>
      <c r="AE110" s="1015">
        <f t="shared" si="442"/>
        <v>0.93136119682961649</v>
      </c>
      <c r="AF110" s="1015">
        <f t="shared" si="442"/>
        <v>-2.812168241945745E-2</v>
      </c>
      <c r="AG110" s="1015">
        <f t="shared" si="442"/>
        <v>-0.62464622841115203</v>
      </c>
      <c r="AH110" s="1015">
        <f t="shared" si="442"/>
        <v>0.41724886543414996</v>
      </c>
      <c r="AI110" s="1015">
        <f t="shared" si="442"/>
        <v>-4.9894590310939346E-2</v>
      </c>
      <c r="AJ110" s="1015">
        <f t="shared" si="442"/>
        <v>0.78888913657679804</v>
      </c>
      <c r="AK110" s="1015">
        <f t="shared" si="442"/>
        <v>0.86189478154259369</v>
      </c>
      <c r="AL110" s="1015">
        <f t="shared" si="442"/>
        <v>0.63865486775742664</v>
      </c>
      <c r="AM110" s="1015">
        <f t="shared" si="442"/>
        <v>1.2187371416947812</v>
      </c>
      <c r="AN110" s="1015">
        <f t="shared" si="442"/>
        <v>-0.96716951222374226</v>
      </c>
      <c r="AO110" s="1015">
        <f t="shared" si="442"/>
        <v>0.9341364391745488</v>
      </c>
      <c r="AP110" s="1015">
        <f t="shared" si="442"/>
        <v>0.67613230590530815</v>
      </c>
      <c r="AQ110" s="1015">
        <f t="shared" si="442"/>
        <v>5.187744887711343E-2</v>
      </c>
      <c r="AR110" s="1015">
        <f t="shared" si="442"/>
        <v>2.1104373957347988E-2</v>
      </c>
      <c r="AS110" s="1015">
        <f t="shared" si="442"/>
        <v>1.4992390237659636</v>
      </c>
      <c r="AT110" s="1015">
        <f t="shared" si="442"/>
        <v>1.1101335951113622</v>
      </c>
      <c r="AU110" s="1015">
        <f t="shared" si="442"/>
        <v>0.17088997974905595</v>
      </c>
      <c r="AV110" s="1015">
        <f t="shared" si="442"/>
        <v>0.56443575808855506</v>
      </c>
      <c r="AW110" s="1015">
        <f t="shared" si="442"/>
        <v>-5.6760411833811641E-2</v>
      </c>
      <c r="AX110" s="1015">
        <f t="shared" si="442"/>
        <v>1.8899872360025993</v>
      </c>
      <c r="AY110" s="1015">
        <f t="shared" ref="AY110:BJ110" si="443">(AY105/AX105-1)*100</f>
        <v>0.40409926002469287</v>
      </c>
      <c r="AZ110" s="1015">
        <f t="shared" si="443"/>
        <v>2.5168775578580771</v>
      </c>
      <c r="BA110" s="1015">
        <f t="shared" si="443"/>
        <v>0.62475143254396848</v>
      </c>
      <c r="BB110" s="1015">
        <f t="shared" si="443"/>
        <v>1.0425953457958936</v>
      </c>
      <c r="BC110" s="1015">
        <f t="shared" si="443"/>
        <v>1.4986013979886748</v>
      </c>
      <c r="BD110" s="1015">
        <f t="shared" si="443"/>
        <v>0.51857414185845219</v>
      </c>
      <c r="BE110" s="1015">
        <f t="shared" si="443"/>
        <v>1.5322133728091103</v>
      </c>
      <c r="BF110" s="1015">
        <f t="shared" si="443"/>
        <v>1.594002013845075</v>
      </c>
      <c r="BG110" s="1015">
        <f t="shared" si="443"/>
        <v>-1.6379534484526337</v>
      </c>
      <c r="BH110" s="1015">
        <f t="shared" si="443"/>
        <v>0.92711978953103902</v>
      </c>
      <c r="BI110" s="1015">
        <f t="shared" si="443"/>
        <v>-1.2163657352078805</v>
      </c>
      <c r="BJ110" s="1015">
        <f t="shared" si="443"/>
        <v>-2.6104600815518686</v>
      </c>
      <c r="BK110" s="1015">
        <f t="shared" ref="BK110:BR110" si="444">(BK105/BJ105-1)*100</f>
        <v>-1.7997276653317296</v>
      </c>
      <c r="BL110" s="1015">
        <f t="shared" si="444"/>
        <v>-1.1463466691421398</v>
      </c>
      <c r="BM110" s="1015">
        <f t="shared" si="444"/>
        <v>0.84950220130604048</v>
      </c>
      <c r="BN110" s="1015">
        <f t="shared" si="444"/>
        <v>1.0557252793998328</v>
      </c>
      <c r="BO110" s="1015">
        <f t="shared" si="444"/>
        <v>2.4343892746944595</v>
      </c>
      <c r="BP110" s="1015">
        <f t="shared" si="444"/>
        <v>1.8283951164968171</v>
      </c>
      <c r="BQ110" s="1015">
        <f t="shared" si="444"/>
        <v>1.5627110032758962</v>
      </c>
      <c r="BR110" s="1015">
        <f t="shared" si="444"/>
        <v>0.22059707721051591</v>
      </c>
      <c r="BS110" s="1015">
        <f t="shared" ref="BS110:CP110" si="445">(BS105/BR105-1)*100</f>
        <v>1.7064956076696003</v>
      </c>
      <c r="BT110" s="1015">
        <f t="shared" si="445"/>
        <v>0.57126750042231222</v>
      </c>
      <c r="BU110" s="1015">
        <f t="shared" si="445"/>
        <v>-0.72112960512086266</v>
      </c>
      <c r="BV110" s="1015">
        <f t="shared" si="445"/>
        <v>-0.66709211491681186</v>
      </c>
      <c r="BW110" s="1015">
        <f t="shared" si="445"/>
        <v>7.3155133665059324E-2</v>
      </c>
      <c r="BX110" s="1015">
        <f t="shared" si="445"/>
        <v>0.10897126684439318</v>
      </c>
      <c r="BY110" s="1015">
        <f t="shared" si="445"/>
        <v>1.0794456563299581</v>
      </c>
      <c r="BZ110" s="1015">
        <f t="shared" si="445"/>
        <v>-0.97501524875934775</v>
      </c>
      <c r="CA110" s="1015">
        <f t="shared" si="445"/>
        <v>1.259633030856544</v>
      </c>
      <c r="CB110" s="1015">
        <f t="shared" si="445"/>
        <v>-0.20890347610661442</v>
      </c>
      <c r="CC110" s="1015">
        <f t="shared" si="445"/>
        <v>0.72859227333292864</v>
      </c>
      <c r="CD110" s="1015">
        <f t="shared" si="445"/>
        <v>1.2887160077948545</v>
      </c>
      <c r="CE110" s="1015">
        <f t="shared" si="445"/>
        <v>0.19303992114227952</v>
      </c>
      <c r="CF110" s="1015">
        <f t="shared" si="445"/>
        <v>1.3397228435885422</v>
      </c>
      <c r="CG110" s="1015">
        <f t="shared" si="445"/>
        <v>8.0744556404899193E-2</v>
      </c>
      <c r="CH110" s="1015">
        <f t="shared" si="445"/>
        <v>1.951589219950578</v>
      </c>
      <c r="CI110" s="1015">
        <f t="shared" si="445"/>
        <v>0.72671212476711489</v>
      </c>
      <c r="CJ110" s="1015">
        <f t="shared" si="445"/>
        <v>0.18917046739910237</v>
      </c>
      <c r="CK110" s="1015">
        <f t="shared" si="445"/>
        <v>1.671002496015328</v>
      </c>
      <c r="CL110" s="1015">
        <f t="shared" si="445"/>
        <v>1.6647271731596858</v>
      </c>
      <c r="CM110" s="1015">
        <f t="shared" si="445"/>
        <v>0.36349714744534634</v>
      </c>
      <c r="CN110" s="1015">
        <f>(CN105/CM105-1)*100</f>
        <v>0.59968248527340062</v>
      </c>
      <c r="CO110" s="1015">
        <f t="shared" si="445"/>
        <v>-9.1195896851514746E-2</v>
      </c>
      <c r="CP110" s="1015">
        <f t="shared" si="445"/>
        <v>0.43278327013567264</v>
      </c>
      <c r="CQ110" s="1015">
        <f t="shared" ref="CQ110" si="446">(CQ105/CP105-1)*100</f>
        <v>1.2199383426239052</v>
      </c>
      <c r="CR110" s="1015">
        <f>(CR105/CQ105-1)*100</f>
        <v>1.0763564256726088</v>
      </c>
      <c r="CS110" s="1015">
        <f t="shared" ref="CS110" si="447">(CS105/CR105-1)*100</f>
        <v>0.72711718984166396</v>
      </c>
      <c r="CT110" s="1015">
        <f t="shared" ref="CT110:CU110" si="448">(CT105/CS105-1)*100</f>
        <v>0.3356311002365775</v>
      </c>
      <c r="CU110" s="1015">
        <f t="shared" si="448"/>
        <v>0.70887817615747917</v>
      </c>
      <c r="CV110" s="1015">
        <f>(CV105/CU105-1)*100</f>
        <v>1.2869502052488491</v>
      </c>
      <c r="CW110" s="1840">
        <f t="shared" ref="CW110:CX110" si="449">+(CV22*CW27+CV41*CW46+CV70*CW86)/(CV22+CV41+CV70)</f>
        <v>0.36807132961220779</v>
      </c>
      <c r="CX110" s="1840">
        <f t="shared" si="449"/>
        <v>0.47605012399969693</v>
      </c>
      <c r="CY110" s="1840">
        <f t="shared" ref="CY110" si="450">+(CX22*CY27+CX41*CY46+CX70*CY86)/(CX22+CX41+CX70)</f>
        <v>0.64254735494379445</v>
      </c>
      <c r="CZ110" s="1840">
        <f t="shared" ref="CZ110" si="451">+(CY22*CZ27+CY41*CZ46+CY70*CZ86)/(CY22+CY41+CY70)</f>
        <v>0.44782452243838627</v>
      </c>
      <c r="DA110" s="1840">
        <f t="shared" ref="DA110" si="452">+(CZ22*DA27+CZ41*DA46+CZ70*DA86)/(CZ22+CZ41+CZ70)</f>
        <v>0.36767852739945034</v>
      </c>
      <c r="DB110" s="1840">
        <f t="shared" ref="DB110" si="453">+(DA22*DB27+DA41*DB46+DA70*DB86)/(DA22+DA41+DA70)</f>
        <v>0.31100734637281979</v>
      </c>
      <c r="DC110" s="1840">
        <f t="shared" ref="DC110" si="454">+(DB22*DC27+DB41*DC46+DB70*DC86)/(DB22+DB41+DB70)</f>
        <v>0.59577368524738072</v>
      </c>
      <c r="DD110" s="1840">
        <f t="shared" ref="DD110" si="455">+(DC22*DD27+DC41*DD46+DC70*DD86)/(DC22+DC41+DC70)</f>
        <v>0.50584688193292138</v>
      </c>
      <c r="DE110" s="1840">
        <f t="shared" ref="DE110" si="456">+(DD22*DE27+DD41*DE46+DD70*DE86)/(DD22+DD41+DD70)</f>
        <v>0.44407239423216671</v>
      </c>
      <c r="DF110" s="1840">
        <f t="shared" ref="DF110" si="457">+(DE22*DF27+DE41*DF46+DE70*DF86)/(DE22+DE41+DE70)</f>
        <v>0.33039716192603147</v>
      </c>
    </row>
    <row r="111" spans="1:110" ht="12.75">
      <c r="C111" s="1605"/>
      <c r="D111" s="1633"/>
      <c r="E111" s="1634" t="s">
        <v>1783</v>
      </c>
      <c r="F111" s="1704"/>
      <c r="G111" s="1635"/>
      <c r="H111" s="1635"/>
      <c r="I111" s="1635"/>
      <c r="J111" s="1635"/>
      <c r="K111" s="1635"/>
      <c r="L111" s="1635"/>
      <c r="M111" s="1635"/>
      <c r="N111" s="1638">
        <f>N106/J106*100-100</f>
        <v>1.9330298868904094</v>
      </c>
      <c r="O111" s="1635"/>
      <c r="P111" s="1635"/>
      <c r="Q111" s="1635"/>
      <c r="R111" s="1638">
        <f>R106/N106*100-100</f>
        <v>1.6721595107140388</v>
      </c>
      <c r="S111" s="1635"/>
      <c r="T111" s="1635"/>
      <c r="U111" s="1635"/>
      <c r="V111" s="1638">
        <f>V106/R106*100-100</f>
        <v>4.3157958572388679</v>
      </c>
      <c r="W111" s="1635"/>
      <c r="X111" s="1635"/>
      <c r="Y111" s="1635"/>
      <c r="Z111" s="1638">
        <f>Z106/V106*100-100</f>
        <v>3.7192494931592677</v>
      </c>
      <c r="AA111" s="1635"/>
      <c r="AB111" s="1635"/>
      <c r="AC111" s="1635"/>
      <c r="AD111" s="1638">
        <f>AD106/Z106*100-100</f>
        <v>3.7542621307640474</v>
      </c>
      <c r="AE111" s="1635"/>
      <c r="AF111" s="1635"/>
      <c r="AG111" s="1635"/>
      <c r="AH111" s="1638">
        <f>AH106/AD106*100-100</f>
        <v>1.1005877239219046</v>
      </c>
      <c r="AI111" s="1635"/>
      <c r="AJ111" s="1635"/>
      <c r="AK111" s="1635"/>
      <c r="AL111" s="1638">
        <f>AL106/AH106*100-100</f>
        <v>1.3011593472790111</v>
      </c>
      <c r="AM111" s="1635"/>
      <c r="AN111" s="1635"/>
      <c r="AO111" s="1635"/>
      <c r="AP111" s="1638">
        <f>AP106/AL106*100-100</f>
        <v>1.9865292711197355</v>
      </c>
      <c r="AQ111" s="1635"/>
      <c r="AR111" s="1635"/>
      <c r="AS111" s="1635"/>
      <c r="AT111" s="1638">
        <f>AT106/AP106*100-100</f>
        <v>2.1404107771316916</v>
      </c>
      <c r="AU111" s="1635"/>
      <c r="AV111" s="1635"/>
      <c r="AW111" s="1635"/>
      <c r="AX111" s="1638">
        <f>AX106/AT106*100-100</f>
        <v>2.6087902638112155</v>
      </c>
      <c r="AY111" s="1635"/>
      <c r="AZ111" s="1635"/>
      <c r="BA111" s="1635"/>
      <c r="BB111" s="1638">
        <f>BB106/AX106*100-100</f>
        <v>4.153359863308097</v>
      </c>
      <c r="BC111" s="1635"/>
      <c r="BD111" s="1635"/>
      <c r="BE111" s="1635"/>
      <c r="BF111" s="1638">
        <f>BF106/BB106*100-100</f>
        <v>4.1335574759714433</v>
      </c>
      <c r="BG111" s="1635"/>
      <c r="BH111" s="1635"/>
      <c r="BI111" s="1635"/>
      <c r="BJ111" s="1638">
        <f>BJ106/BF106*100-100</f>
        <v>0.46343805789277326</v>
      </c>
      <c r="BK111" s="1635"/>
      <c r="BL111" s="1635"/>
      <c r="BM111" s="1635"/>
      <c r="BN111" s="1638">
        <f>BN106/BJ106*100-100</f>
        <v>-2.7032701706647657</v>
      </c>
      <c r="BO111" s="1635"/>
      <c r="BP111" s="1635"/>
      <c r="BQ111" s="1635"/>
      <c r="BR111" s="1638">
        <f>BR106/BN106*100-100</f>
        <v>3.4313776316258924</v>
      </c>
      <c r="BS111" s="1635"/>
      <c r="BT111" s="1635"/>
      <c r="BU111" s="1635"/>
      <c r="BV111" s="1638">
        <f>BV106/BR106*100-100</f>
        <v>2.5588948368818478</v>
      </c>
      <c r="BW111" s="1635"/>
      <c r="BX111" s="1635"/>
      <c r="BY111" s="1635"/>
      <c r="BZ111" s="1638">
        <f>BZ106/BV106*100-100</f>
        <v>0.91419175498441518</v>
      </c>
      <c r="CA111" s="1635"/>
      <c r="CB111" s="1635"/>
      <c r="CC111" s="1635"/>
      <c r="CD111" s="1638">
        <f>CD106/BZ106*100-100</f>
        <v>1.4026899160381419</v>
      </c>
      <c r="CE111" s="1635"/>
      <c r="CF111" s="1635"/>
      <c r="CG111" s="1635"/>
      <c r="CH111" s="1638">
        <f>CH106/CD106*100-100</f>
        <v>2.862092277540043</v>
      </c>
      <c r="CI111" s="1635"/>
      <c r="CJ111" s="1635"/>
      <c r="CK111" s="1635"/>
      <c r="CL111" s="1638">
        <f>CL106/CH106*100-100</f>
        <v>3.5856512118923405</v>
      </c>
      <c r="CM111" s="1635"/>
      <c r="CN111" s="1635"/>
      <c r="CO111" s="1635"/>
      <c r="CP111" s="1638">
        <f>CP106/CL106*100-100</f>
        <v>3.1711478236475301</v>
      </c>
      <c r="CQ111" s="1635"/>
      <c r="CR111" s="1635"/>
      <c r="CS111" s="1635"/>
      <c r="CT111" s="1638">
        <f>CT106/CP106*100-100</f>
        <v>2.8702831995921088</v>
      </c>
      <c r="CU111" s="1635"/>
      <c r="CV111" s="1635"/>
      <c r="CW111" s="1635"/>
      <c r="CX111" s="1638">
        <f>CX106/CT106*100-100</f>
        <v>2.3670423347148954</v>
      </c>
      <c r="CY111" s="1635"/>
      <c r="CZ111" s="1635"/>
      <c r="DA111" s="1635"/>
      <c r="DB111" s="1638">
        <f>DB106/CX106*100-100</f>
        <v>1.8814866434537834</v>
      </c>
      <c r="DC111" s="1635"/>
      <c r="DD111" s="1635"/>
      <c r="DE111" s="1635"/>
      <c r="DF111" s="1638">
        <f>DF106/DB106*100-100</f>
        <v>1.8212017053136975</v>
      </c>
    </row>
    <row r="112" spans="1:110" s="736" customFormat="1" ht="12.75" customHeight="1">
      <c r="A112" s="701"/>
      <c r="B112" s="701"/>
      <c r="C112" s="703"/>
      <c r="D112" s="754"/>
      <c r="E112" s="1648" t="s">
        <v>136</v>
      </c>
      <c r="F112" s="754"/>
      <c r="G112" s="1636"/>
      <c r="H112" s="1636"/>
      <c r="I112" s="1636"/>
      <c r="J112" s="1637"/>
      <c r="K112" s="1636"/>
      <c r="L112" s="1636"/>
      <c r="M112" s="1636"/>
      <c r="N112" s="1639">
        <f ca="1">N107/J107*100-100</f>
        <v>1.9991701840362168</v>
      </c>
      <c r="O112" s="1636"/>
      <c r="P112" s="1636"/>
      <c r="Q112" s="1636"/>
      <c r="R112" s="1639">
        <f ca="1">R107/N107*100-100</f>
        <v>1.609023960606649</v>
      </c>
      <c r="S112" s="1636"/>
      <c r="T112" s="1636"/>
      <c r="U112" s="1636"/>
      <c r="V112" s="1639">
        <f ca="1">V107/R107*100-100</f>
        <v>4.4188807581747369</v>
      </c>
      <c r="W112" s="1636"/>
      <c r="X112" s="1636"/>
      <c r="Y112" s="1636"/>
      <c r="Z112" s="1639">
        <f ca="1">Z107/V107*100-100</f>
        <v>4.0226163928392964</v>
      </c>
      <c r="AA112" s="1636"/>
      <c r="AB112" s="1636"/>
      <c r="AC112" s="1636"/>
      <c r="AD112" s="1639">
        <f ca="1">AD107/Z107*100-100</f>
        <v>3.8747106114908121</v>
      </c>
      <c r="AE112" s="1636"/>
      <c r="AF112" s="1636"/>
      <c r="AG112" s="1636"/>
      <c r="AH112" s="1639">
        <f ca="1">AH107/AD107*100-100</f>
        <v>1.0070219731325665</v>
      </c>
      <c r="AI112" s="1636"/>
      <c r="AJ112" s="1636"/>
      <c r="AK112" s="1636"/>
      <c r="AL112" s="1639">
        <f ca="1">AL107/AH107*100-100</f>
        <v>1.3062353885809728</v>
      </c>
      <c r="AM112" s="1636"/>
      <c r="AN112" s="1636"/>
      <c r="AO112" s="1636"/>
      <c r="AP112" s="1639">
        <f ca="1">AP107/AL107*100-100</f>
        <v>1.8738081747881949</v>
      </c>
      <c r="AQ112" s="1636"/>
      <c r="AR112" s="1636"/>
      <c r="AS112" s="1636"/>
      <c r="AT112" s="1639">
        <f ca="1">AT107/AP107*100-100</f>
        <v>2.6382007504593474</v>
      </c>
      <c r="AU112" s="1636"/>
      <c r="AV112" s="1636"/>
      <c r="AW112" s="1636"/>
      <c r="AX112" s="1639">
        <f ca="1">AX107/AT107*100-100</f>
        <v>2.6549374675351771</v>
      </c>
      <c r="AY112" s="1636"/>
      <c r="AZ112" s="1636"/>
      <c r="BA112" s="1636"/>
      <c r="BB112" s="1639">
        <f ca="1">BB107/AX107*100-100</f>
        <v>3.9898607297323991</v>
      </c>
      <c r="BC112" s="1636"/>
      <c r="BD112" s="1636"/>
      <c r="BE112" s="1636"/>
      <c r="BF112" s="1639">
        <f ca="1">BF107/BB107*100-100</f>
        <v>3.9946358106767832</v>
      </c>
      <c r="BG112" s="1636"/>
      <c r="BH112" s="1636"/>
      <c r="BI112" s="1636"/>
      <c r="BJ112" s="1639">
        <f ca="1">BJ107/BF107*100-100</f>
        <v>0.60108195634320793</v>
      </c>
      <c r="BK112" s="1636"/>
      <c r="BL112" s="1636"/>
      <c r="BM112" s="1636"/>
      <c r="BN112" s="1639">
        <f ca="1">BN107/BJ107*100-100</f>
        <v>-2.7311780797321319</v>
      </c>
      <c r="BO112" s="1636"/>
      <c r="BP112" s="1636"/>
      <c r="BQ112" s="1636"/>
      <c r="BR112" s="1639">
        <f ca="1">BR107/BN107*100-100</f>
        <v>3.6881337565671117</v>
      </c>
      <c r="BS112" s="1636"/>
      <c r="BT112" s="1636"/>
      <c r="BU112" s="1636"/>
      <c r="BV112" s="1639">
        <f ca="1">BV107/BR107*100-100</f>
        <v>2.5007337922595667</v>
      </c>
      <c r="BW112" s="1636"/>
      <c r="BX112" s="1636"/>
      <c r="BY112" s="1636"/>
      <c r="BZ112" s="1639">
        <f ca="1">BZ107/BV107*100-100</f>
        <v>0.61495185770368721</v>
      </c>
      <c r="CA112" s="1636"/>
      <c r="CB112" s="1636"/>
      <c r="CC112" s="1636"/>
      <c r="CD112" s="1639">
        <f ca="1">CD107/BZ107*100-100</f>
        <v>1.4087581605434423</v>
      </c>
      <c r="CE112" s="1636"/>
      <c r="CF112" s="1636"/>
      <c r="CG112" s="1636"/>
      <c r="CH112" s="1639">
        <f ca="1">CH107/CD107*100-100</f>
        <v>2.7362511671032053</v>
      </c>
      <c r="CI112" s="1636"/>
      <c r="CJ112" s="1636"/>
      <c r="CK112" s="1636"/>
      <c r="CL112" s="1639">
        <f ca="1">CL107/CH107*100-100</f>
        <v>3.7807335045992829</v>
      </c>
      <c r="CM112" s="1636"/>
      <c r="CN112" s="1636"/>
      <c r="CO112" s="1636"/>
      <c r="CP112" s="1639">
        <f ca="1">CP107/CL107*100-100</f>
        <v>3.3896928172209471</v>
      </c>
      <c r="CQ112" s="1636"/>
      <c r="CR112" s="1636"/>
      <c r="CS112" s="1636"/>
      <c r="CT112" s="1639">
        <f ca="1">CT107/CP107*100-100</f>
        <v>2.5675195173866285</v>
      </c>
      <c r="CU112" s="1636"/>
      <c r="CV112" s="1636"/>
      <c r="CW112" s="1636"/>
      <c r="CX112" s="1639">
        <f ca="1">CX107/CT107*100-100</f>
        <v>2.3313686646278597</v>
      </c>
      <c r="CY112" s="1636"/>
      <c r="CZ112" s="1636"/>
      <c r="DA112" s="1636"/>
      <c r="DB112" s="1639">
        <f ca="1">DB107/CX107*100-100</f>
        <v>1.8492829260040082</v>
      </c>
      <c r="DC112" s="1636"/>
      <c r="DD112" s="1636"/>
      <c r="DE112" s="1636"/>
      <c r="DF112" s="1639">
        <f ca="1">DF107/DB107*100-100</f>
        <v>1.7952226741940365</v>
      </c>
    </row>
    <row r="113" spans="1:110">
      <c r="AY113" s="217"/>
      <c r="BC113" s="217"/>
      <c r="BD113" s="217"/>
      <c r="BG113" s="217"/>
      <c r="BH113" s="217"/>
      <c r="BK113" s="217"/>
      <c r="BL113" s="217"/>
      <c r="BO113" s="217"/>
      <c r="BP113" s="217"/>
      <c r="BS113" s="217"/>
      <c r="BT113" s="217"/>
    </row>
    <row r="114" spans="1:110" s="736" customFormat="1" ht="12.75" customHeight="1">
      <c r="A114" s="701"/>
      <c r="B114" s="701"/>
      <c r="C114" s="703"/>
      <c r="D114" s="895"/>
      <c r="E114" s="896"/>
      <c r="F114" s="897"/>
      <c r="G114" s="1640" t="str">
        <f t="shared" ref="G114:N114" si="458">G109</f>
        <v>Q1</v>
      </c>
      <c r="H114" s="1640" t="str">
        <f t="shared" si="458"/>
        <v>Q2</v>
      </c>
      <c r="I114" s="1640" t="str">
        <f t="shared" si="458"/>
        <v>Q3</v>
      </c>
      <c r="J114" s="1640" t="str">
        <f t="shared" si="458"/>
        <v>Q4</v>
      </c>
      <c r="K114" s="1645" t="str">
        <f t="shared" si="458"/>
        <v>Q1</v>
      </c>
      <c r="L114" s="1640" t="str">
        <f t="shared" si="458"/>
        <v>Q2</v>
      </c>
      <c r="M114" s="1640" t="str">
        <f t="shared" si="458"/>
        <v>Q3</v>
      </c>
      <c r="N114" s="1646" t="str">
        <f t="shared" si="458"/>
        <v>Q4</v>
      </c>
      <c r="O114" s="1645" t="str">
        <f t="shared" ref="O114:AX114" si="459">O109</f>
        <v>Q1</v>
      </c>
      <c r="P114" s="1640" t="str">
        <f t="shared" si="459"/>
        <v>Q2</v>
      </c>
      <c r="Q114" s="1640" t="str">
        <f t="shared" si="459"/>
        <v>Q3</v>
      </c>
      <c r="R114" s="1646" t="str">
        <f t="shared" si="459"/>
        <v>Q4</v>
      </c>
      <c r="S114" s="1645" t="str">
        <f t="shared" si="459"/>
        <v>Q1</v>
      </c>
      <c r="T114" s="1640" t="str">
        <f t="shared" si="459"/>
        <v>Q2</v>
      </c>
      <c r="U114" s="1640" t="str">
        <f t="shared" si="459"/>
        <v>Q3</v>
      </c>
      <c r="V114" s="1646" t="str">
        <f t="shared" si="459"/>
        <v>Q4</v>
      </c>
      <c r="W114" s="1645" t="str">
        <f t="shared" si="459"/>
        <v>Q1</v>
      </c>
      <c r="X114" s="1640" t="str">
        <f t="shared" si="459"/>
        <v>Q2</v>
      </c>
      <c r="Y114" s="1640" t="str">
        <f t="shared" si="459"/>
        <v>Q3</v>
      </c>
      <c r="Z114" s="1646" t="str">
        <f t="shared" si="459"/>
        <v>Q4</v>
      </c>
      <c r="AA114" s="1645" t="str">
        <f t="shared" si="459"/>
        <v>Q1</v>
      </c>
      <c r="AB114" s="1640" t="str">
        <f t="shared" si="459"/>
        <v>Q2</v>
      </c>
      <c r="AC114" s="1640" t="str">
        <f t="shared" si="459"/>
        <v>Q3</v>
      </c>
      <c r="AD114" s="1646" t="str">
        <f t="shared" si="459"/>
        <v>Q4</v>
      </c>
      <c r="AE114" s="1645" t="str">
        <f t="shared" si="459"/>
        <v>Q1</v>
      </c>
      <c r="AF114" s="1640" t="str">
        <f t="shared" si="459"/>
        <v>Q2</v>
      </c>
      <c r="AG114" s="1640" t="str">
        <f t="shared" si="459"/>
        <v>Q3</v>
      </c>
      <c r="AH114" s="1646" t="str">
        <f t="shared" si="459"/>
        <v>Q4</v>
      </c>
      <c r="AI114" s="1645" t="str">
        <f t="shared" si="459"/>
        <v>Q1</v>
      </c>
      <c r="AJ114" s="1640" t="str">
        <f t="shared" si="459"/>
        <v>Q2</v>
      </c>
      <c r="AK114" s="1640" t="str">
        <f t="shared" si="459"/>
        <v>Q3</v>
      </c>
      <c r="AL114" s="1646" t="str">
        <f t="shared" si="459"/>
        <v>Q4</v>
      </c>
      <c r="AM114" s="1645" t="str">
        <f t="shared" si="459"/>
        <v>Q1</v>
      </c>
      <c r="AN114" s="1640" t="str">
        <f t="shared" si="459"/>
        <v>Q2</v>
      </c>
      <c r="AO114" s="1640" t="str">
        <f t="shared" si="459"/>
        <v>Q3</v>
      </c>
      <c r="AP114" s="1646" t="str">
        <f t="shared" si="459"/>
        <v>Q4</v>
      </c>
      <c r="AQ114" s="1645" t="str">
        <f t="shared" si="459"/>
        <v>Q1</v>
      </c>
      <c r="AR114" s="1640" t="str">
        <f t="shared" si="459"/>
        <v>Q2</v>
      </c>
      <c r="AS114" s="1640" t="str">
        <f t="shared" si="459"/>
        <v>Q3</v>
      </c>
      <c r="AT114" s="1646" t="str">
        <f t="shared" si="459"/>
        <v>Q4</v>
      </c>
      <c r="AU114" s="1645" t="str">
        <f t="shared" si="459"/>
        <v>Q1</v>
      </c>
      <c r="AV114" s="1640" t="str">
        <f t="shared" si="459"/>
        <v>Q2</v>
      </c>
      <c r="AW114" s="1640" t="str">
        <f t="shared" si="459"/>
        <v>Q3</v>
      </c>
      <c r="AX114" s="1646" t="str">
        <f t="shared" si="459"/>
        <v>Q4</v>
      </c>
      <c r="AY114" s="1645" t="str">
        <f t="shared" ref="AY114:BI114" si="460">AY109</f>
        <v>Q1</v>
      </c>
      <c r="AZ114" s="1640" t="str">
        <f t="shared" si="460"/>
        <v>Q2</v>
      </c>
      <c r="BA114" s="1640" t="str">
        <f t="shared" si="460"/>
        <v>Q3</v>
      </c>
      <c r="BB114" s="1646" t="str">
        <f t="shared" si="460"/>
        <v>Q4</v>
      </c>
      <c r="BC114" s="1645" t="str">
        <f t="shared" si="460"/>
        <v>Q1</v>
      </c>
      <c r="BD114" s="1640" t="str">
        <f t="shared" si="460"/>
        <v>Q2</v>
      </c>
      <c r="BE114" s="1640" t="str">
        <f t="shared" si="460"/>
        <v>Q3</v>
      </c>
      <c r="BF114" s="1646" t="str">
        <f t="shared" si="460"/>
        <v>Q4</v>
      </c>
      <c r="BG114" s="1645" t="str">
        <f t="shared" si="460"/>
        <v>Q1</v>
      </c>
      <c r="BH114" s="1640" t="str">
        <f t="shared" si="460"/>
        <v>Q2</v>
      </c>
      <c r="BI114" s="1640" t="str">
        <f t="shared" si="460"/>
        <v>Q3</v>
      </c>
      <c r="BJ114" s="1646" t="str">
        <f t="shared" ref="BJ114:BZ114" si="461">BJ109</f>
        <v>Q4</v>
      </c>
      <c r="BK114" s="1645" t="str">
        <f t="shared" si="461"/>
        <v>Q1</v>
      </c>
      <c r="BL114" s="1640" t="str">
        <f t="shared" si="461"/>
        <v>Q2</v>
      </c>
      <c r="BM114" s="1640" t="str">
        <f t="shared" si="461"/>
        <v>Q3</v>
      </c>
      <c r="BN114" s="1646" t="str">
        <f t="shared" si="461"/>
        <v>Q4</v>
      </c>
      <c r="BO114" s="1645" t="str">
        <f t="shared" ref="BO114:BV114" si="462">BO109</f>
        <v>Q1</v>
      </c>
      <c r="BP114" s="1640" t="str">
        <f t="shared" si="462"/>
        <v>Q2</v>
      </c>
      <c r="BQ114" s="1640" t="str">
        <f t="shared" si="462"/>
        <v>Q3</v>
      </c>
      <c r="BR114" s="1646" t="str">
        <f t="shared" si="462"/>
        <v>Q4</v>
      </c>
      <c r="BS114" s="1645" t="str">
        <f t="shared" si="462"/>
        <v>Q1</v>
      </c>
      <c r="BT114" s="1640" t="str">
        <f t="shared" si="462"/>
        <v>Q2</v>
      </c>
      <c r="BU114" s="1640" t="str">
        <f t="shared" si="462"/>
        <v>Q3</v>
      </c>
      <c r="BV114" s="1646" t="str">
        <f t="shared" si="462"/>
        <v>Q4</v>
      </c>
      <c r="BW114" s="1645" t="str">
        <f t="shared" si="461"/>
        <v>Q1</v>
      </c>
      <c r="BX114" s="1640" t="str">
        <f t="shared" si="461"/>
        <v>Q2</v>
      </c>
      <c r="BY114" s="1640" t="str">
        <f t="shared" si="461"/>
        <v>Q3</v>
      </c>
      <c r="BZ114" s="1646" t="str">
        <f t="shared" si="461"/>
        <v>Q4</v>
      </c>
      <c r="CA114" s="1645" t="str">
        <f t="shared" ref="CA114:CL114" si="463">CA109</f>
        <v>Q1</v>
      </c>
      <c r="CB114" s="1640" t="str">
        <f t="shared" si="463"/>
        <v>Q2</v>
      </c>
      <c r="CC114" s="1640" t="str">
        <f t="shared" si="463"/>
        <v>Q3</v>
      </c>
      <c r="CD114" s="1646" t="str">
        <f t="shared" si="463"/>
        <v>Q4</v>
      </c>
      <c r="CE114" s="1645" t="str">
        <f>CE109</f>
        <v>Q1</v>
      </c>
      <c r="CF114" s="1640" t="str">
        <f>CF109</f>
        <v>Q2</v>
      </c>
      <c r="CG114" s="1640" t="str">
        <f t="shared" si="463"/>
        <v>Q3</v>
      </c>
      <c r="CH114" s="1646" t="str">
        <f>CH109</f>
        <v>Q4</v>
      </c>
      <c r="CI114" s="1645" t="str">
        <f>CI109</f>
        <v>Q1</v>
      </c>
      <c r="CJ114" s="1640" t="str">
        <f>CJ109</f>
        <v>Q2</v>
      </c>
      <c r="CK114" s="1640" t="str">
        <f t="shared" si="463"/>
        <v>Q3</v>
      </c>
      <c r="CL114" s="1646" t="str">
        <f t="shared" si="463"/>
        <v>Q4</v>
      </c>
      <c r="CM114" s="1645" t="str">
        <f>CM109</f>
        <v>Q1</v>
      </c>
      <c r="CN114" s="1640" t="str">
        <f>CN109</f>
        <v>Q2</v>
      </c>
      <c r="CO114" s="1640" t="str">
        <f t="shared" ref="CO114:CP114" si="464">CO109</f>
        <v>Q3</v>
      </c>
      <c r="CP114" s="1646" t="str">
        <f t="shared" si="464"/>
        <v>Q4</v>
      </c>
      <c r="CQ114" s="1645" t="str">
        <f>CQ109</f>
        <v>Q1</v>
      </c>
      <c r="CR114" s="1640" t="str">
        <f>CR109</f>
        <v>Q2</v>
      </c>
      <c r="CS114" s="1640" t="str">
        <f t="shared" ref="CS114:CT114" si="465">CS109</f>
        <v>Q3</v>
      </c>
      <c r="CT114" s="1646" t="str">
        <f t="shared" si="465"/>
        <v>Q4</v>
      </c>
      <c r="CU114" s="1645" t="str">
        <f t="shared" ref="CU114:CX114" si="466">CU109</f>
        <v>Q1</v>
      </c>
      <c r="CV114" s="1640" t="str">
        <f>CV109</f>
        <v>Q2</v>
      </c>
      <c r="CW114" s="1640" t="str">
        <f t="shared" si="466"/>
        <v>Q3</v>
      </c>
      <c r="CX114" s="1646" t="str">
        <f t="shared" si="466"/>
        <v>Q4</v>
      </c>
      <c r="CY114" s="1645" t="str">
        <f t="shared" ref="CY114:DB114" si="467">CY109</f>
        <v>Q1</v>
      </c>
      <c r="CZ114" s="1640" t="str">
        <f t="shared" si="467"/>
        <v>Q2</v>
      </c>
      <c r="DA114" s="1640" t="str">
        <f t="shared" si="467"/>
        <v>Q3</v>
      </c>
      <c r="DB114" s="1646" t="str">
        <f t="shared" si="467"/>
        <v>Q4</v>
      </c>
      <c r="DC114" s="1645" t="str">
        <f t="shared" ref="DC114:DF114" si="468">DC109</f>
        <v>Q1</v>
      </c>
      <c r="DD114" s="1640" t="str">
        <f t="shared" si="468"/>
        <v>Q2</v>
      </c>
      <c r="DE114" s="1640" t="str">
        <f t="shared" si="468"/>
        <v>Q3</v>
      </c>
      <c r="DF114" s="1646" t="str">
        <f t="shared" si="468"/>
        <v>Q4</v>
      </c>
    </row>
    <row r="115" spans="1:110" s="736" customFormat="1" ht="12.75" customHeight="1">
      <c r="A115" s="701"/>
      <c r="B115" s="701"/>
      <c r="C115" s="899"/>
      <c r="D115" s="900"/>
      <c r="E115" s="901" t="s">
        <v>137</v>
      </c>
      <c r="F115" s="902"/>
      <c r="G115" s="742"/>
      <c r="H115" s="742"/>
      <c r="I115" s="742"/>
      <c r="J115" s="742"/>
      <c r="K115" s="1616">
        <f t="shared" ref="K115:AX115" si="469">(K105/G105-1)*100</f>
        <v>2.9145492280653107</v>
      </c>
      <c r="L115" s="1616">
        <f t="shared" si="469"/>
        <v>0.67817544841526356</v>
      </c>
      <c r="M115" s="1616">
        <f t="shared" si="469"/>
        <v>0.70174410721428604</v>
      </c>
      <c r="N115" s="1616">
        <f t="shared" si="469"/>
        <v>0.31459522390413497</v>
      </c>
      <c r="O115" s="1616">
        <f t="shared" si="469"/>
        <v>0.48939240143064389</v>
      </c>
      <c r="P115" s="1616">
        <f t="shared" si="469"/>
        <v>2.1763252339342509</v>
      </c>
      <c r="Q115" s="1616">
        <f t="shared" si="469"/>
        <v>2.0542073633034175</v>
      </c>
      <c r="R115" s="1616">
        <f t="shared" si="469"/>
        <v>3.2372977442340467</v>
      </c>
      <c r="S115" s="1616">
        <f t="shared" si="469"/>
        <v>4.55872699399682</v>
      </c>
      <c r="T115" s="1616">
        <f t="shared" si="469"/>
        <v>6.2916132951259307</v>
      </c>
      <c r="U115" s="1616">
        <f t="shared" si="469"/>
        <v>4.3104561786658335</v>
      </c>
      <c r="V115" s="1616">
        <f t="shared" si="469"/>
        <v>3.1023040861362317</v>
      </c>
      <c r="W115" s="1616">
        <f t="shared" si="469"/>
        <v>3.8314419696231283</v>
      </c>
      <c r="X115" s="1616">
        <f t="shared" si="469"/>
        <v>1.5644363469660139</v>
      </c>
      <c r="Y115" s="1616">
        <f t="shared" si="469"/>
        <v>2.8270164085971938</v>
      </c>
      <c r="Z115" s="1616">
        <f t="shared" si="469"/>
        <v>4.7155728337777258</v>
      </c>
      <c r="AA115" s="1616">
        <f t="shared" si="469"/>
        <v>3.361884374827806</v>
      </c>
      <c r="AB115" s="1616">
        <f t="shared" si="469"/>
        <v>6.1058049206008214</v>
      </c>
      <c r="AC115" s="1616">
        <f t="shared" si="469"/>
        <v>5.9901129855561175</v>
      </c>
      <c r="AD115" s="1616">
        <f t="shared" si="469"/>
        <v>2.3608911382502873</v>
      </c>
      <c r="AE115" s="1616">
        <f t="shared" si="469"/>
        <v>2.7006149429638082</v>
      </c>
      <c r="AF115" s="1616">
        <f t="shared" si="469"/>
        <v>0.46009887341489364</v>
      </c>
      <c r="AG115" s="1616">
        <f t="shared" si="469"/>
        <v>-0.74060276955921767</v>
      </c>
      <c r="AH115" s="1616">
        <f t="shared" si="469"/>
        <v>0.69107762139377638</v>
      </c>
      <c r="AI115" s="1616">
        <f t="shared" si="469"/>
        <v>-0.28784212622292582</v>
      </c>
      <c r="AJ115" s="1616">
        <f t="shared" si="469"/>
        <v>0.52704615175407366</v>
      </c>
      <c r="AK115" s="1616">
        <f t="shared" si="469"/>
        <v>2.0308151552594245</v>
      </c>
      <c r="AL115" s="1616">
        <f t="shared" si="469"/>
        <v>2.2557788457862049</v>
      </c>
      <c r="AM115" s="1616">
        <f t="shared" si="469"/>
        <v>3.5536756843436823</v>
      </c>
      <c r="AN115" s="1616">
        <f t="shared" si="469"/>
        <v>1.7494457800517393</v>
      </c>
      <c r="AO115" s="1616">
        <f t="shared" si="469"/>
        <v>1.8223231401509388</v>
      </c>
      <c r="AP115" s="1616">
        <f t="shared" si="469"/>
        <v>1.8602413716950039</v>
      </c>
      <c r="AQ115" s="1616">
        <f t="shared" si="469"/>
        <v>0.68598635415884068</v>
      </c>
      <c r="AR115" s="1616">
        <f t="shared" si="469"/>
        <v>1.6907575045753021</v>
      </c>
      <c r="AS115" s="1616">
        <f t="shared" si="469"/>
        <v>2.2600962032773619</v>
      </c>
      <c r="AT115" s="1616">
        <f t="shared" si="469"/>
        <v>2.7009257481759086</v>
      </c>
      <c r="AU115" s="1616">
        <f t="shared" si="469"/>
        <v>2.8230893437808602</v>
      </c>
      <c r="AV115" s="1616">
        <f t="shared" si="469"/>
        <v>3.3816415793663346</v>
      </c>
      <c r="AW115" s="1616">
        <f t="shared" si="469"/>
        <v>1.7967846139736565</v>
      </c>
      <c r="AX115" s="1616">
        <f t="shared" si="469"/>
        <v>2.5819343342788903</v>
      </c>
      <c r="AY115" s="1616">
        <f t="shared" ref="AY115:BF115" si="470">(AY105/AU105-1)*100</f>
        <v>2.8207568013670636</v>
      </c>
      <c r="AZ115" s="1616">
        <f t="shared" si="470"/>
        <v>4.8170046990417603</v>
      </c>
      <c r="BA115" s="1616">
        <f t="shared" si="470"/>
        <v>5.5317506937579086</v>
      </c>
      <c r="BB115" s="1616">
        <f t="shared" si="470"/>
        <v>4.6540712266864848</v>
      </c>
      <c r="BC115" s="1616">
        <f t="shared" si="470"/>
        <v>5.794902184271189</v>
      </c>
      <c r="BD115" s="1616">
        <f t="shared" si="470"/>
        <v>3.7327020913073827</v>
      </c>
      <c r="BE115" s="1616">
        <f t="shared" si="470"/>
        <v>4.6681923933314051</v>
      </c>
      <c r="BF115" s="1616">
        <f t="shared" si="470"/>
        <v>5.239384562543048</v>
      </c>
      <c r="BG115" s="1616">
        <f>(BG105/BC105-1)*100</f>
        <v>1.9872303738185826</v>
      </c>
      <c r="BH115" s="1616">
        <f>(BH105/BD105-1)*100</f>
        <v>2.4017451980002491</v>
      </c>
      <c r="BI115" s="1616">
        <f>(BI105/BE105-1)*100</f>
        <v>-0.37037301085068863</v>
      </c>
      <c r="BJ115" s="1616">
        <f>(BJ105/BF105-1)*100</f>
        <v>-4.4935395556367608</v>
      </c>
      <c r="BK115" s="1616">
        <f t="shared" ref="BK115:BR115" si="471">(BK105/BG105-1)*100</f>
        <v>-4.650617243494592</v>
      </c>
      <c r="BL115" s="1616">
        <f t="shared" si="471"/>
        <v>-6.6094935833038271</v>
      </c>
      <c r="BM115" s="1616">
        <f t="shared" si="471"/>
        <v>-4.6564124457553868</v>
      </c>
      <c r="BN115" s="1616">
        <f t="shared" si="471"/>
        <v>-1.0672460399515304</v>
      </c>
      <c r="BO115" s="1616">
        <f t="shared" si="471"/>
        <v>3.1984534281526811</v>
      </c>
      <c r="BP115" s="1616">
        <f t="shared" si="471"/>
        <v>6.3039405930889858</v>
      </c>
      <c r="BQ115" s="1616">
        <f t="shared" si="471"/>
        <v>7.0557232440705775</v>
      </c>
      <c r="BR115" s="1616">
        <f t="shared" si="471"/>
        <v>6.1710108397044827</v>
      </c>
      <c r="BS115" s="1616">
        <f>(BS105/BO105-1)*100</f>
        <v>5.4165649259927839</v>
      </c>
      <c r="BT115" s="1616">
        <f>(BT105/BP105-1)*100</f>
        <v>4.1151393775633593</v>
      </c>
      <c r="BU115" s="1616">
        <f>(BU105/BQ105-1)*100</f>
        <v>1.7739023141720711</v>
      </c>
      <c r="BV115" s="1616">
        <f>(BV105/BR105-1)*100</f>
        <v>0.87245494946208701</v>
      </c>
      <c r="BW115" s="1616">
        <f t="shared" ref="BW115:CD115" si="472">(BW105/BS105-1)*100</f>
        <v>-0.74749137153508061</v>
      </c>
      <c r="BX115" s="1616">
        <f t="shared" si="472"/>
        <v>-1.2037256624264248</v>
      </c>
      <c r="BY115" s="1616">
        <f t="shared" si="472"/>
        <v>0.58809697604833566</v>
      </c>
      <c r="BZ115" s="1616">
        <f t="shared" si="472"/>
        <v>0.27628286824072923</v>
      </c>
      <c r="CA115" s="1616">
        <f>(CA105/BW105-1)*100</f>
        <v>1.4651690693080921</v>
      </c>
      <c r="CB115" s="1616">
        <f>(CB105/BX105-1)*100</f>
        <v>1.1429880087274746</v>
      </c>
      <c r="CC115" s="1616">
        <f t="shared" si="472"/>
        <v>0.79191406605920722</v>
      </c>
      <c r="CD115" s="1616">
        <f t="shared" si="472"/>
        <v>3.0960376854915594</v>
      </c>
      <c r="CE115" s="1616">
        <f>(CE105/CA105-1)*100</f>
        <v>2.0101012649963446</v>
      </c>
      <c r="CF115" s="1616">
        <f>(CF105/CB105-1)*100</f>
        <v>3.5931636142102041</v>
      </c>
      <c r="CG115" s="1616">
        <f t="shared" ref="CG115:CL115" si="473">(CG105/CC105-1)*100</f>
        <v>2.9268920718193092</v>
      </c>
      <c r="CH115" s="1616">
        <f t="shared" si="473"/>
        <v>3.6004861527197285</v>
      </c>
      <c r="CI115" s="1616">
        <f>(CI105/CE105-1)*100</f>
        <v>4.1523079138444441</v>
      </c>
      <c r="CJ115" s="1616">
        <f>(CJ105/CF105-1)*100</f>
        <v>2.9698230797301717</v>
      </c>
      <c r="CK115" s="1616">
        <f t="shared" si="473"/>
        <v>4.6059877527511173</v>
      </c>
      <c r="CL115" s="1616">
        <f t="shared" si="473"/>
        <v>4.3116570024123391</v>
      </c>
      <c r="CM115" s="1616">
        <f>(CM105/CI105-1)*100</f>
        <v>3.9355149112697552</v>
      </c>
      <c r="CN115" s="1616">
        <f>(CN105/CJ105-1)*100</f>
        <v>4.361377085354845</v>
      </c>
      <c r="CO115" s="1616">
        <f t="shared" ref="CO115:CP115" si="474">(CO105/CK105-1)*100</f>
        <v>2.5525481522046034</v>
      </c>
      <c r="CP115" s="1616">
        <f t="shared" si="474"/>
        <v>1.3098458900867138</v>
      </c>
      <c r="CQ115" s="1616">
        <f>(CQ105/CM105-1)*100</f>
        <v>2.1743626512951586</v>
      </c>
      <c r="CR115" s="1616">
        <f>(CR105/CN105-1)*100</f>
        <v>2.6584979373076134</v>
      </c>
      <c r="CS115" s="1616">
        <f t="shared" ref="CS115" si="475">(CS105/CO105-1)*100</f>
        <v>3.4993326673043335</v>
      </c>
      <c r="CT115" s="1616">
        <f t="shared" ref="CT115" si="476">(CT105/CP105-1)*100</f>
        <v>3.3992141161267586</v>
      </c>
      <c r="CU115" s="1616">
        <f t="shared" ref="CU115" si="477">(CU105/CQ105-1)*100</f>
        <v>2.8771507712567645</v>
      </c>
      <c r="CV115" s="1616">
        <f>(CV105/CR105-1)*100</f>
        <v>3.0914965270704364</v>
      </c>
      <c r="CW115" s="1616">
        <f t="shared" ref="CW115" si="478">(CW105/CS105-1)*100</f>
        <v>2.7240227416036822</v>
      </c>
      <c r="CX115" s="1616">
        <f t="shared" ref="CX115" si="479">(CX105/CT105-1)*100</f>
        <v>2.8677843029974115</v>
      </c>
      <c r="CY115" s="1616">
        <f t="shared" ref="CY115" si="480">(CY105/CU105-1)*100</f>
        <v>2.8000315414453247</v>
      </c>
      <c r="CZ115" s="1616">
        <f t="shared" ref="CZ115" si="481">(CZ105/CV105-1)*100</f>
        <v>1.9483705280042951</v>
      </c>
      <c r="DA115" s="1616">
        <f t="shared" ref="DA115" si="482">(DA105/CW105-1)*100</f>
        <v>1.9479715411053755</v>
      </c>
      <c r="DB115" s="1616">
        <f t="shared" ref="DB115" si="483">(DB105/CX105-1)*100</f>
        <v>1.7805109733799673</v>
      </c>
      <c r="DC115" s="1616">
        <f t="shared" ref="DC115" si="484">(DC105/CY105-1)*100</f>
        <v>1.7332084345738963</v>
      </c>
      <c r="DD115" s="1616">
        <f t="shared" ref="DD115" si="485">(DD105/CZ105-1)*100</f>
        <v>1.791973279112713</v>
      </c>
      <c r="DE115" s="1616">
        <f t="shared" ref="DE115" si="486">(DE105/DA105-1)*100</f>
        <v>1.8694512338229829</v>
      </c>
      <c r="DF115" s="1616">
        <f t="shared" ref="DF115" si="487">(DF105/DB105-1)*100</f>
        <v>1.8891422918851486</v>
      </c>
    </row>
    <row r="116" spans="1:110" s="736" customFormat="1" ht="12.75" customHeight="1">
      <c r="A116" s="701"/>
      <c r="B116" s="701"/>
      <c r="C116" s="981"/>
      <c r="D116" s="711"/>
      <c r="E116" s="820" t="s">
        <v>156</v>
      </c>
      <c r="F116" s="741"/>
      <c r="G116" s="742"/>
      <c r="H116" s="742"/>
      <c r="I116" s="742"/>
      <c r="J116" s="742"/>
      <c r="K116" s="1616">
        <f>(4*K105/J106-1)*100</f>
        <v>1.8680020238785566</v>
      </c>
      <c r="L116" s="1616">
        <f>((K105+3*L105)/J106-1)*100</f>
        <v>0.69786845220702887</v>
      </c>
      <c r="M116" s="1616">
        <f>((K105+L105+2*M105)/J106-1)*100</f>
        <v>1.4306468218969526</v>
      </c>
      <c r="N116" s="1674"/>
      <c r="O116" s="1616">
        <f>(4*O105/N106-1)*100</f>
        <v>0.42528550251401676</v>
      </c>
      <c r="P116" s="1616">
        <f>((O105+3*P105)/N106-1)*100</f>
        <v>0.51675153193360135</v>
      </c>
      <c r="Q116" s="1616">
        <f>((O105+P105+2*Q105)/N106-1)*100</f>
        <v>1.1903156046880303</v>
      </c>
      <c r="R116" s="1674"/>
      <c r="S116" s="1616">
        <f>(4*S105/R106-1)*100</f>
        <v>3.27645306919091</v>
      </c>
      <c r="T116" s="1616">
        <f>((S105+3*T105)/R106-1)*100</f>
        <v>4.6558009029963099</v>
      </c>
      <c r="U116" s="1616">
        <f>((S105+T105+2*U105)/R106-1)*100</f>
        <v>4.3672247117727103</v>
      </c>
      <c r="V116" s="1674"/>
      <c r="W116" s="1616">
        <f>(4*W105/V106-1)*100</f>
        <v>2.7969250060423168</v>
      </c>
      <c r="X116" s="1616">
        <f>((W105+3*X105)/V106-1)*100</f>
        <v>2.4565782801381442</v>
      </c>
      <c r="Y116" s="1616">
        <f>((W105+X105+2*Y105)/V106-1)*100</f>
        <v>2.8082507272912283</v>
      </c>
      <c r="Z116" s="1674"/>
      <c r="AA116" s="1616">
        <f>(4*AA105/Z106-1)*100</f>
        <v>2.4427377606812906</v>
      </c>
      <c r="AB116" s="1616">
        <f>((AA105+3*AB105)/Z106-1)*100</f>
        <v>4.1341998902081345</v>
      </c>
      <c r="AC116" s="1616">
        <f>((AA105+AB105+2*AC105)/Z106-1)*100</f>
        <v>4.4364934878104778</v>
      </c>
      <c r="AD116" s="1674"/>
      <c r="AE116" s="1616">
        <f>(4*AE105/AD106-1)*100</f>
        <v>1.4024093892447409</v>
      </c>
      <c r="AF116" s="1616">
        <f>((AE105+3*AF105)/AD106-1)*100</f>
        <v>1.3810223415941403</v>
      </c>
      <c r="AG116" s="1616">
        <f>((AE105+AF105+2*AG105)/AD106-1)*100</f>
        <v>1.0644082409678512</v>
      </c>
      <c r="AH116" s="1674"/>
      <c r="AI116" s="1616">
        <f>(4*AI105/AH106-1)*100</f>
        <v>9.8345759598661431E-3</v>
      </c>
      <c r="AJ116" s="1616">
        <f>((AI105+3*AJ105)/AH106-1)*100</f>
        <v>0.6015596163184922</v>
      </c>
      <c r="AK116" s="1616">
        <f>((AI105+AJ105+2*AK105)/AH106-1)*100</f>
        <v>1.0359494204342345</v>
      </c>
      <c r="AL116" s="1674"/>
      <c r="AM116" s="1616">
        <f>(4*AM105/AL106-1)*100</f>
        <v>2.2336372224547985</v>
      </c>
      <c r="AN116" s="1616">
        <f>((AM105+3*AN105)/AL106-1)*100</f>
        <v>1.4920577946150315</v>
      </c>
      <c r="AO116" s="1616">
        <f>((AM105+AN105+2*AO105)/AL106-1)*100</f>
        <v>1.9649403813686961</v>
      </c>
      <c r="AP116" s="1674"/>
      <c r="AQ116" s="1616">
        <f>(4*AQ105/AP106-1)*100</f>
        <v>0.92994315898338176</v>
      </c>
      <c r="AR116" s="1616">
        <f>((AQ105+3*AR105)/AP106-1)*100</f>
        <v>0.94591863346278338</v>
      </c>
      <c r="AS116" s="1616">
        <f>((AQ105+AR105+2*AS105)/AP106-1)*100</f>
        <v>1.7026688544133251</v>
      </c>
      <c r="AT116" s="1674"/>
      <c r="AU116" s="1616">
        <f>(4*AU105/AT106-1)*100</f>
        <v>1.6045312911781684</v>
      </c>
      <c r="AV116" s="1616">
        <f>((AU105+3*AV105)/AT106-1)*100</f>
        <v>2.0346505210124155</v>
      </c>
      <c r="AW116" s="1616">
        <f>((AU105+AV105+2*AW105)/AT106-1)*100</f>
        <v>2.0056521875136069</v>
      </c>
      <c r="AX116" s="1674"/>
      <c r="AY116" s="1616">
        <f>(4*AY105/AX106-1)*100</f>
        <v>1.8144232569873964</v>
      </c>
      <c r="AZ116" s="1616">
        <f>((AY105+3*AZ105)/AX106-1)*100</f>
        <v>3.7363315342006986</v>
      </c>
      <c r="BA116" s="1616">
        <f>((AY105+AZ105+2*BA105)/AX106-1)*100</f>
        <v>4.0623798344472828</v>
      </c>
      <c r="BB116" s="1674"/>
      <c r="BC116" s="1616">
        <f>(4*BC105/BB106-1)*100</f>
        <v>3.419102019920639</v>
      </c>
      <c r="BD116" s="1616">
        <f>((BC105+3*BD105)/BB106-1)*100</f>
        <v>3.8213305605337755</v>
      </c>
      <c r="BE116" s="1616">
        <f>((BC105+BD105+2*BE105)/BB106-1)*100</f>
        <v>4.6177398824536198</v>
      </c>
      <c r="BF116" s="1674"/>
      <c r="BG116" s="1616">
        <f>(4*BG105/BF106-1)*100</f>
        <v>1.2875007673956107</v>
      </c>
      <c r="BH116" s="1616">
        <f>((BG105+3*BH105)/BF106-1)*100</f>
        <v>1.9917931153475621</v>
      </c>
      <c r="BI116" s="1616">
        <f>((BG105+BH105+2*BI105)/BF106-1)*100</f>
        <v>1.3700687081252605</v>
      </c>
      <c r="BJ116" s="1674"/>
      <c r="BK116" s="1616">
        <f>(4*BK105/BJ106-1)*100</f>
        <v>-3.8685031508187029</v>
      </c>
      <c r="BL116" s="1616">
        <f>((BK105+3*BL105)/BJ106-1)*100</f>
        <v>-4.6950033099139921</v>
      </c>
      <c r="BM116" s="1616">
        <f>((BK105+BL105+2*BM105)/BJ106-1)*100</f>
        <v>-4.2913644770030901</v>
      </c>
      <c r="BN116" s="1674"/>
      <c r="BO116" s="1616">
        <f>(4*BO105/BN106-1)*100</f>
        <v>1.9625409607317401</v>
      </c>
      <c r="BP116" s="1616">
        <f>((BO105+3*BP105)/BN106-1)*100</f>
        <v>3.360749550418296</v>
      </c>
      <c r="BQ116" s="1616">
        <f>((BO105+BP105+2*BQ105)/BN106-1)*100</f>
        <v>4.1720061134780106</v>
      </c>
      <c r="BR116" s="1674"/>
      <c r="BS116" s="1616">
        <f>(4*BS105/BR106-1)*100</f>
        <v>3.9195364629817098</v>
      </c>
      <c r="BT116" s="1616">
        <f>((BS105+3*BT105)/BR106-1)*100</f>
        <v>4.3647803667836049</v>
      </c>
      <c r="BU116" s="1616">
        <f>((BS105+BT105+2*BU105)/BR106-1)*100</f>
        <v>3.987942571577241</v>
      </c>
      <c r="BV116" s="1674"/>
      <c r="BW116" s="1616">
        <f>(4*BW105/BV106-1)*100</f>
        <v>0.56928466187982085</v>
      </c>
      <c r="BX116" s="1616">
        <f>((BW105+3*BX105)/BV106-1)*100</f>
        <v>0.65147837954411258</v>
      </c>
      <c r="BY116" s="1616">
        <f>((BW105+BX105+2*BY105)/BV106-1)*100</f>
        <v>1.1948652579965691</v>
      </c>
      <c r="BZ116" s="1674"/>
      <c r="CA116" s="1616">
        <f>(4*CA105/BZ106-1)*100</f>
        <v>1.1183788319148125</v>
      </c>
      <c r="CB116" s="1616">
        <f>((CA105+3*CB105)/BZ106-1)*100</f>
        <v>0.95994897564293247</v>
      </c>
      <c r="CC116" s="1616">
        <f>((CA105+CB105+2*CC105)/BZ106-1)*100</f>
        <v>1.3275497847263784</v>
      </c>
      <c r="CD116" s="1674"/>
      <c r="CE116" s="1616">
        <f>(4*CE105/CD106-1)*100</f>
        <v>1.7240871315823858</v>
      </c>
      <c r="CF116" s="1616">
        <f>((CE105+3*CF105)/CD106-1)*100</f>
        <v>2.7462027561326874</v>
      </c>
      <c r="CG116" s="1616">
        <f>((CE105+CF105+2*CG105)/CD106-1)*100</f>
        <v>2.7878212894063337</v>
      </c>
      <c r="CH116" s="1674"/>
      <c r="CI116" s="1616">
        <f>(4*CI105/CH106-1)*100</f>
        <v>3.0000285877588295</v>
      </c>
      <c r="CJ116" s="1616">
        <f>((CI105+3*CJ105)/CH106-1)*100</f>
        <v>3.1461628143843345</v>
      </c>
      <c r="CK116" s="1616">
        <f>((CI105+CJ105+2*CK105)/CH106-1)*100</f>
        <v>4.00835727639961</v>
      </c>
      <c r="CL116" s="1674"/>
      <c r="CM116" s="1616">
        <f>(4*CM105/CL106-1)*100</f>
        <v>3.3479143288445146</v>
      </c>
      <c r="CN116" s="1616">
        <f>((CM105+3*CN105)/CL106-1)*100</f>
        <v>3.8127338346886086</v>
      </c>
      <c r="CO116" s="1616">
        <f>((CM105+CN105+2*CO105)/CL106-1)*100</f>
        <v>3.7653267084690967</v>
      </c>
      <c r="CP116" s="1674"/>
      <c r="CQ116" s="1616">
        <f>(4*CQ105/CP106-1)*100</f>
        <v>2.3494213318234536</v>
      </c>
      <c r="CR116" s="1616">
        <f>((CQ105+3*CR105)/CP106-1)*100</f>
        <v>3.1756547616813124</v>
      </c>
      <c r="CS116" s="1616">
        <f>((CQ105+CR105+2*CS105)/CP106-1)*100</f>
        <v>3.551760003316029</v>
      </c>
      <c r="CT116" s="1674"/>
      <c r="CU116" s="1616">
        <f>(4*CU105/CT106-1)*100</f>
        <v>2.3562541309950724</v>
      </c>
      <c r="CV116" s="1616">
        <f>((CU105+3*CV105)/CT106-1)*100</f>
        <v>3.3442096479629813</v>
      </c>
      <c r="CW116" s="1616">
        <f>((CU105+CV105+2*CW105)/CT106-1)*100</f>
        <v>3.5350059147284396</v>
      </c>
      <c r="CX116" s="1674"/>
      <c r="CY116" s="1616">
        <f>(4*CY105/CX106-1)*100</f>
        <v>2.7891977060879647</v>
      </c>
      <c r="CZ116" s="1616">
        <f>((CY105+3*CZ105)/CX106-1)*100</f>
        <v>3.1344341313970903</v>
      </c>
      <c r="DA116" s="1616">
        <f>((CY105+CZ105+2*DA105)/CX106-1)*100</f>
        <v>3.3242472757592623</v>
      </c>
      <c r="DB116" s="1674"/>
      <c r="DC116" s="1616">
        <f>(4*DC105/DB106-1)*100</f>
        <v>2.6395984154788721</v>
      </c>
      <c r="DD116" s="1616">
        <f>((DC105+3*DD105)/DB106-1)*100</f>
        <v>3.0289978216387459</v>
      </c>
      <c r="DE116" s="1616">
        <f>((DC105+DD105+2*DE105)/DB106-1)*100</f>
        <v>3.2580476928730784</v>
      </c>
      <c r="DF116" s="1674"/>
    </row>
    <row r="117" spans="1:110" ht="12.75">
      <c r="C117" s="1607"/>
      <c r="D117" s="865"/>
      <c r="E117" s="1614" t="s">
        <v>155</v>
      </c>
      <c r="F117" s="865"/>
      <c r="G117" s="913"/>
      <c r="H117" s="913"/>
      <c r="I117" s="913"/>
      <c r="J117" s="913"/>
      <c r="K117" s="1673"/>
      <c r="L117" s="920">
        <f>(4*L105/(K105+3*L105)-1)*100</f>
        <v>-0.38734139052370997</v>
      </c>
      <c r="M117" s="920">
        <f>(4*M105/(K105+L105+2*M105)-1)*100</f>
        <v>0.33789969455804147</v>
      </c>
      <c r="N117" s="920">
        <f>+(4*N105/N106-1)*100</f>
        <v>0.50536599461155074</v>
      </c>
      <c r="O117" s="1673"/>
      <c r="P117" s="920">
        <f>(4*P105/(O105+3*P105)-1)*100</f>
        <v>3.033193573065418E-2</v>
      </c>
      <c r="Q117" s="920">
        <f>(4*Q105/(O105+P105+2*Q105)-1)*100</f>
        <v>0.69577087987160446</v>
      </c>
      <c r="R117" s="920">
        <f>+(4*R105/R106-1)*100</f>
        <v>2.0525426430578753</v>
      </c>
      <c r="S117" s="1673"/>
      <c r="T117" s="920">
        <f>(4*T105/(S105+3*T105)-1)*100</f>
        <v>0.43932835762696687</v>
      </c>
      <c r="U117" s="920">
        <f>(4*U105/(S105+T105+2*U105)-1)*100</f>
        <v>0.16404232316964418</v>
      </c>
      <c r="V117" s="920">
        <f>+(4*V105/V106-1)*100</f>
        <v>0.86537899540732877</v>
      </c>
      <c r="W117" s="1673"/>
      <c r="X117" s="920">
        <f>(4*X105/(W105+3*X105)-1)*100</f>
        <v>-0.11072876972771928</v>
      </c>
      <c r="Y117" s="920">
        <f>(4*Y105/(W105+X105+2*Y105)-1)*100</f>
        <v>0.23171636209460278</v>
      </c>
      <c r="Z117" s="920">
        <f>+(4*Z105/Z106-1)*100</f>
        <v>1.8342881597575689</v>
      </c>
      <c r="AA117" s="1673"/>
      <c r="AB117" s="920">
        <f>(4*AB105/(AA105+3*AB105)-1)*100</f>
        <v>0.54143663699026678</v>
      </c>
      <c r="AC117" s="920">
        <f>(4*AC105/(AA105+AB105+2*AC105)-1)*100</f>
        <v>0.82932151254744291</v>
      </c>
      <c r="AD117" s="920">
        <f>+(4*AD105/AD106-1)*100</f>
        <v>0.4667015155938703</v>
      </c>
      <c r="AE117" s="1673"/>
      <c r="AF117" s="920">
        <f>(4*AF105/(AE105+3*AF105)-1)*100</f>
        <v>-7.03190372208784E-3</v>
      </c>
      <c r="AG117" s="920">
        <f>(4*AG105/(AE105+AF105+2*AG105)-1)*100</f>
        <v>-0.32033346075496238</v>
      </c>
      <c r="AH117" s="920">
        <f>+(4*AH105/AH106-1)*100</f>
        <v>5.9758982770441449E-2</v>
      </c>
      <c r="AI117" s="1673"/>
      <c r="AJ117" s="920">
        <f>(4*AJ105/(AI105+3*AJ105)-1)*100</f>
        <v>0.19606224880786005</v>
      </c>
      <c r="AK117" s="920">
        <f>(4*AK105/(AI105+AJ105+2*AK105)-1)*100</f>
        <v>0.62515519264032537</v>
      </c>
      <c r="AL117" s="920">
        <f>+(4*AL105/AL106-1)*100</f>
        <v>1.0026800466195196</v>
      </c>
      <c r="AM117" s="1673"/>
      <c r="AN117" s="920">
        <f>(4*AN105/(AM105+3*AN105)-1)*100</f>
        <v>-0.24355910007606285</v>
      </c>
      <c r="AO117" s="920">
        <f>(4*AO105/(AM105+AN105+2*AO105)-1)*100</f>
        <v>0.22134024037701039</v>
      </c>
      <c r="AP117" s="920">
        <f>+(4*AP105/AP106-1)*100</f>
        <v>0.87761042820502233</v>
      </c>
      <c r="AQ117" s="1673"/>
      <c r="AR117" s="920">
        <f>(4*AR105/(AQ105+3*AR105)-1)*100</f>
        <v>5.2752585066206947E-3</v>
      </c>
      <c r="AS117" s="920">
        <f>(4*AS105/(AQ105+AR105+2*AS105)-1)*100</f>
        <v>0.74931699206564062</v>
      </c>
      <c r="AT117" s="920">
        <f>+(4*AT105/AT106-1)*100</f>
        <v>1.4311955416578259</v>
      </c>
      <c r="AU117" s="1673"/>
      <c r="AV117" s="920">
        <f>(4*AV105/(AU105+3*AV105)-1)*100</f>
        <v>0.14051410562914146</v>
      </c>
      <c r="AW117" s="920">
        <f>(4*AW105/(AU105+AV105+2*AW105)-1)*100</f>
        <v>0.1121258877913256</v>
      </c>
      <c r="AX117" s="920">
        <f>+(4*AX105/AX106-1)*100</f>
        <v>1.404647825493921</v>
      </c>
      <c r="AY117" s="1673"/>
      <c r="AZ117" s="920">
        <f>(4*AZ105/(AY105+3*AZ105)-1)*100</f>
        <v>0.61756193122486369</v>
      </c>
      <c r="BA117" s="920">
        <f>(4*BA105/(AY105+AZ105+2*BA105)-1)*100</f>
        <v>0.9289470356039331</v>
      </c>
      <c r="BB117" s="920">
        <f>+(4*BB105/BB106-1)*100</f>
        <v>1.892144911831295</v>
      </c>
      <c r="BC117" s="1673"/>
      <c r="BD117" s="920">
        <f>(4*BD105/(BC105+3*BD105)-1)*100</f>
        <v>0.12914126555736427</v>
      </c>
      <c r="BE117" s="920">
        <f>(4*BE105/(BC105+BD105+2*BE105)-1)*100</f>
        <v>0.88941464723830688</v>
      </c>
      <c r="BF117" s="920">
        <f>+(4*BF105/BF106-1)*100</f>
        <v>2.9741697315286419</v>
      </c>
      <c r="BG117" s="1673"/>
      <c r="BH117" s="920">
        <f>(4*BH105/(BG105+3*BH105)-1)*100</f>
        <v>0.23017941817973231</v>
      </c>
      <c r="BI117" s="920">
        <f>(4*BI105/(BG105+BH105+2*BI105)-1)*100</f>
        <v>-0.38173032352625258</v>
      </c>
      <c r="BJ117" s="920">
        <f>+(4*BJ105/BJ106-1)*100</f>
        <v>-2.1066901713231001</v>
      </c>
      <c r="BK117" s="1673"/>
      <c r="BL117" s="920">
        <f>(4*BL105/(BK105+3*BL105)-1)*100</f>
        <v>-0.28907199265496564</v>
      </c>
      <c r="BM117" s="920">
        <f>(4*BM105/(BK105+BL105+2*BM105)-1)*100</f>
        <v>0.13388424062146242</v>
      </c>
      <c r="BN117" s="920">
        <f>+(4*BN105/BN106-1)*100</f>
        <v>-0.46063467289035875</v>
      </c>
      <c r="BO117" s="1673"/>
      <c r="BP117" s="920">
        <f>(4*BP105/(BO105+3*BP105)-1)*100</f>
        <v>0.45091539285730953</v>
      </c>
      <c r="BQ117" s="920">
        <f>(4*BQ105/(BO105+BP105+2*BQ105)-1)*100</f>
        <v>1.2261701973597328</v>
      </c>
      <c r="BR117" s="920">
        <f>+(4*BR105/BR106-1)*100</f>
        <v>2.1759090627297306</v>
      </c>
      <c r="BS117" s="1673"/>
      <c r="BT117" s="920">
        <f>(4*BT105/(BS105+3*BT105)-1)*100</f>
        <v>0.142207585814913</v>
      </c>
      <c r="BU117" s="920">
        <f>(4*BU105/(BS105+BT105+2*BU105)-1)*100</f>
        <v>-0.2196631214705258</v>
      </c>
      <c r="BV117" s="920">
        <f>+(4*BV105/BV106-1)*100</f>
        <v>0.49576684931347259</v>
      </c>
      <c r="BW117" s="1673"/>
      <c r="BX117" s="920">
        <f>(4*BX105/(BW105+3*BX105)-1)*100</f>
        <v>2.7220569761321478E-2</v>
      </c>
      <c r="BY117" s="920">
        <f>(4*BY105/(BW105+BX105+2*BY105)-1)*100</f>
        <v>0.56404520415669346</v>
      </c>
      <c r="BZ117" s="920">
        <f>+(4*BZ105/BZ106-1)*100</f>
        <v>-0.13949704804744334</v>
      </c>
      <c r="CA117" s="1673"/>
      <c r="CB117" s="920">
        <f>(4*CB105/(CA105+3*CB105)-1)*100</f>
        <v>-5.2307823673103382E-2</v>
      </c>
      <c r="CC117" s="920">
        <f>(4*CC105/(CA105+CB105+2*CC105)-1)*100</f>
        <v>0.31066660317122796</v>
      </c>
      <c r="CD117" s="920">
        <f>+(4*CD105/CD106-1)*100</f>
        <v>1.5280973724772995</v>
      </c>
      <c r="CE117" s="1673"/>
      <c r="CF117" s="920">
        <f>(4*CF105/(CE105+3*CF105)-1)*100</f>
        <v>0.33159883192188655</v>
      </c>
      <c r="CG117" s="920">
        <f>(4*CG105/(CE105+CF105+2*CG105)-1)*100</f>
        <v>0.37195431974437199</v>
      </c>
      <c r="CH117" s="920">
        <f>+(4*CH105/CH106-1)*100</f>
        <v>2.2569151866843828</v>
      </c>
      <c r="CI117" s="1673"/>
      <c r="CJ117" s="920">
        <f>(4*CJ105/(CI105+3*CJ105)-1)*100</f>
        <v>4.7225614163504126E-2</v>
      </c>
      <c r="CK117" s="920">
        <f>(4*CK105/(CI105+CJ105+2*CK105)-1)*100</f>
        <v>0.87580065173966659</v>
      </c>
      <c r="CL117" s="920">
        <f>+(4*CL105/CL106-1)*100</f>
        <v>2.9736082004144793</v>
      </c>
      <c r="CM117" s="1673"/>
      <c r="CN117" s="920">
        <f>(4*CN105/(CM105+3*CN105)-1)*100</f>
        <v>0.14924935463898059</v>
      </c>
      <c r="CO117" s="920">
        <f>(4*CO105/(CM105+CN105+2*CO105)-1)*100</f>
        <v>0.10363067555696492</v>
      </c>
      <c r="CP117" s="920">
        <f>+(4*CP105/CP106-1)*100</f>
        <v>1.1158700624537943</v>
      </c>
      <c r="CQ117" s="1673"/>
      <c r="CR117" s="920">
        <f>(4*CR105/(CQ105+3*CR105)-1)*100</f>
        <v>0.26693423358650215</v>
      </c>
      <c r="CS117" s="920">
        <f>(4*CS105/(CQ105+CR105+2*CS105)-1)*100</f>
        <v>0.6291697841734667</v>
      </c>
      <c r="CT117" s="920">
        <f>+(4*CT105/CT106-1)*100</f>
        <v>1.6357802655253995</v>
      </c>
      <c r="CU117" s="1673"/>
      <c r="CV117" s="920">
        <f>(4*CV105/(CU105+3*CV105)-1)*100</f>
        <v>0.3186617874168185</v>
      </c>
      <c r="CW117" s="920">
        <f>(4*CW105/(CU105+CV105+2*CW105)-1)*100</f>
        <v>0.50235644246718891</v>
      </c>
      <c r="CX117" s="920">
        <f>+(4*CX105/CX106-1)*100</f>
        <v>2.1329451683823164</v>
      </c>
      <c r="CY117" s="1673"/>
      <c r="CZ117" s="920">
        <f>(4*CZ105/(CY105+3*CZ105)-1)*100</f>
        <v>0.11158136407649621</v>
      </c>
      <c r="DA117" s="920">
        <f>(4*DA105/(CY105+CZ105+2*DA105)-1)*100</f>
        <v>0.29508267501316965</v>
      </c>
      <c r="DB117" s="920">
        <f>+(4*DB105/DB106-1)*100</f>
        <v>2.0317202754723818</v>
      </c>
      <c r="DC117" s="1673"/>
      <c r="DD117" s="920">
        <f>(4*DD105/(DC105+3*DD105)-1)*100</f>
        <v>0.12598375680408225</v>
      </c>
      <c r="DE117" s="920">
        <f>(4*DE105/(DC105+DD105+2*DE105)-1)*100</f>
        <v>0.34752707542462513</v>
      </c>
      <c r="DF117" s="920">
        <f>+(4*DF105/DF106-1)*100</f>
        <v>2.0998013313655362</v>
      </c>
    </row>
    <row r="118" spans="1:110" s="921" customFormat="1" ht="30" customHeight="1">
      <c r="A118" s="701"/>
      <c r="B118" s="701"/>
      <c r="C118" s="703"/>
      <c r="D118" s="1081"/>
      <c r="E118" s="1608"/>
      <c r="F118" s="1081"/>
      <c r="G118" s="1084"/>
      <c r="H118" s="1609"/>
      <c r="I118" s="1609"/>
      <c r="J118" s="1609"/>
      <c r="K118" s="1084"/>
      <c r="L118" s="1609"/>
      <c r="M118" s="1609"/>
      <c r="N118" s="1609"/>
      <c r="O118" s="1084"/>
      <c r="P118" s="1609"/>
      <c r="Q118" s="1609"/>
      <c r="R118" s="1609"/>
      <c r="S118" s="1084"/>
      <c r="T118" s="1609"/>
      <c r="U118" s="1609"/>
      <c r="V118" s="1609"/>
      <c r="W118" s="1084"/>
      <c r="X118" s="1609"/>
      <c r="Y118" s="1609"/>
      <c r="Z118" s="1609"/>
      <c r="AA118" s="1084"/>
      <c r="AB118" s="1609"/>
      <c r="AC118" s="1609"/>
      <c r="AD118" s="1609"/>
      <c r="AE118" s="1084"/>
      <c r="AF118" s="1609"/>
      <c r="AG118" s="1609"/>
      <c r="AH118" s="1609"/>
      <c r="AI118" s="1084"/>
      <c r="AJ118" s="1609"/>
      <c r="AK118" s="1609"/>
      <c r="AL118" s="1609"/>
      <c r="AM118" s="1084"/>
      <c r="AN118" s="1609"/>
      <c r="AO118" s="1609"/>
      <c r="AP118" s="1609"/>
      <c r="AQ118" s="1084"/>
      <c r="AR118" s="1609"/>
      <c r="AS118" s="1609"/>
      <c r="AT118" s="1609"/>
      <c r="AU118" s="1084"/>
      <c r="AV118" s="1609"/>
      <c r="AW118" s="1609"/>
      <c r="AX118" s="1609"/>
      <c r="AY118" s="1610"/>
      <c r="AZ118" s="1609"/>
      <c r="BA118" s="1610"/>
      <c r="BB118" s="1610"/>
      <c r="BC118" s="1610"/>
      <c r="BD118" s="1610"/>
      <c r="BE118" s="1610"/>
      <c r="BF118" s="1610"/>
      <c r="BG118" s="1610"/>
      <c r="BH118" s="1610"/>
      <c r="BI118" s="1610"/>
      <c r="BJ118" s="1610"/>
      <c r="BK118" s="1610"/>
      <c r="BL118" s="1610"/>
      <c r="BM118" s="1610"/>
      <c r="BN118" s="1610"/>
      <c r="BO118" s="1610"/>
      <c r="BP118" s="1610"/>
      <c r="BQ118" s="1610"/>
      <c r="BR118" s="1610"/>
      <c r="BS118" s="1610"/>
      <c r="BT118" s="1610"/>
      <c r="BU118" s="1610"/>
      <c r="BV118" s="1610"/>
      <c r="BW118" s="1610"/>
      <c r="BX118" s="1610"/>
      <c r="BY118" s="1610"/>
      <c r="BZ118" s="1610"/>
      <c r="CA118" s="1610"/>
      <c r="CB118" s="1610"/>
      <c r="CC118" s="1610"/>
      <c r="CD118" s="1610"/>
      <c r="CE118" s="1610"/>
      <c r="CF118" s="1610"/>
      <c r="CG118" s="1610"/>
      <c r="CH118" s="1610"/>
      <c r="CI118" s="1610"/>
      <c r="CJ118" s="1610"/>
      <c r="CK118" s="1610"/>
      <c r="CL118" s="1610"/>
      <c r="CM118" s="1610"/>
      <c r="CN118" s="1610"/>
      <c r="CO118" s="1610"/>
      <c r="CP118" s="1610"/>
      <c r="CQ118" s="1610"/>
      <c r="CR118" s="1610"/>
      <c r="CS118" s="1610"/>
      <c r="CT118" s="1610"/>
      <c r="CU118" s="1610"/>
      <c r="CV118" s="1610"/>
      <c r="CW118" s="1610"/>
      <c r="CX118" s="1610"/>
      <c r="CY118" s="1610"/>
      <c r="CZ118" s="1610"/>
      <c r="DA118" s="1610"/>
      <c r="DB118" s="1610"/>
      <c r="DC118" s="1610"/>
      <c r="DD118" s="1610"/>
      <c r="DE118" s="1610"/>
      <c r="DF118" s="1610"/>
    </row>
    <row r="119" spans="1:110" s="921" customFormat="1" ht="30" customHeight="1">
      <c r="A119" s="701"/>
      <c r="B119" s="701"/>
      <c r="C119" s="703"/>
      <c r="D119" s="1081"/>
      <c r="E119" s="1608"/>
      <c r="F119" s="1081"/>
      <c r="G119" s="1084"/>
      <c r="H119" s="1609"/>
      <c r="I119" s="1609"/>
      <c r="J119" s="1609"/>
      <c r="K119" s="1084"/>
      <c r="L119" s="1609"/>
      <c r="M119" s="1609"/>
      <c r="N119" s="1609"/>
      <c r="O119" s="1084"/>
      <c r="P119" s="1609"/>
      <c r="Q119" s="1609"/>
      <c r="R119" s="1609"/>
      <c r="S119" s="1084"/>
      <c r="T119" s="1609"/>
      <c r="U119" s="1609"/>
      <c r="V119" s="1609"/>
      <c r="W119" s="1084"/>
      <c r="X119" s="1609"/>
      <c r="Y119" s="1609"/>
      <c r="Z119" s="1609"/>
      <c r="AA119" s="1084"/>
      <c r="AB119" s="1609"/>
      <c r="AC119" s="1609"/>
      <c r="AD119" s="1609"/>
      <c r="AE119" s="1084"/>
      <c r="AF119" s="1609"/>
      <c r="AG119" s="1609"/>
      <c r="AH119" s="1609"/>
      <c r="AI119" s="1084"/>
      <c r="AJ119" s="1609"/>
      <c r="AK119" s="1609"/>
      <c r="AL119" s="1609"/>
      <c r="AM119" s="1084"/>
      <c r="AN119" s="1609"/>
      <c r="AO119" s="1609"/>
      <c r="AP119" s="1609"/>
      <c r="AQ119" s="1084"/>
      <c r="AR119" s="1609"/>
      <c r="AS119" s="1609"/>
      <c r="AT119" s="1609"/>
      <c r="AU119" s="1084"/>
      <c r="AV119" s="1609"/>
      <c r="AW119" s="1609"/>
      <c r="AX119" s="1609"/>
      <c r="AY119" s="1610"/>
      <c r="AZ119" s="1609"/>
      <c r="BA119" s="1610"/>
      <c r="BB119" s="1610"/>
      <c r="BC119" s="1610"/>
      <c r="BD119" s="1610"/>
      <c r="BE119" s="1610"/>
      <c r="BF119" s="1610"/>
      <c r="BG119" s="1610"/>
      <c r="BH119" s="1610"/>
      <c r="BI119" s="1610"/>
      <c r="BJ119" s="1610"/>
      <c r="BK119" s="1610"/>
      <c r="BL119" s="1610"/>
      <c r="BM119" s="1610"/>
      <c r="BN119" s="1610"/>
      <c r="BO119" s="1610"/>
      <c r="BP119" s="1610"/>
      <c r="BQ119" s="1610"/>
      <c r="BR119" s="1610"/>
      <c r="BS119" s="1610"/>
      <c r="BT119" s="1610"/>
      <c r="BU119" s="1610"/>
      <c r="BV119" s="1610"/>
      <c r="BW119" s="1610"/>
      <c r="BX119" s="1610"/>
      <c r="BY119" s="1610"/>
      <c r="BZ119" s="1610"/>
      <c r="CA119" s="1610"/>
      <c r="CB119" s="1610"/>
      <c r="CC119" s="1610"/>
      <c r="CD119" s="1610"/>
      <c r="CE119" s="1610"/>
      <c r="CF119" s="1610"/>
      <c r="CG119" s="1610"/>
      <c r="CH119" s="1610"/>
      <c r="CI119" s="1610"/>
      <c r="CJ119" s="1610"/>
      <c r="CK119" s="1610"/>
      <c r="CL119" s="1610"/>
      <c r="CM119" s="1610"/>
      <c r="CN119" s="1610"/>
      <c r="CO119" s="1610"/>
      <c r="CP119" s="1610"/>
      <c r="CQ119" s="1610"/>
      <c r="CR119" s="1610"/>
      <c r="CS119" s="1610"/>
      <c r="CT119" s="1610"/>
      <c r="CU119" s="1610"/>
      <c r="CV119" s="1610"/>
      <c r="CW119" s="1610"/>
      <c r="CX119" s="1610"/>
      <c r="CY119" s="1610"/>
      <c r="CZ119" s="1610"/>
      <c r="DA119" s="1610"/>
      <c r="DB119" s="1610"/>
      <c r="DC119" s="1610"/>
      <c r="DD119" s="1610"/>
      <c r="DE119" s="1610"/>
      <c r="DF119" s="1610"/>
    </row>
    <row r="120" spans="1:110" ht="30" customHeight="1">
      <c r="C120" s="3825" t="s">
        <v>1840</v>
      </c>
      <c r="D120" s="3825"/>
      <c r="E120" s="3825"/>
      <c r="F120" s="3825"/>
    </row>
    <row r="121" spans="1:110" s="921" customFormat="1" ht="12.75" customHeight="1">
      <c r="A121" s="701"/>
      <c r="B121" s="701"/>
      <c r="C121" s="703"/>
      <c r="D121" s="1081"/>
      <c r="E121" s="1608"/>
      <c r="F121" s="1081"/>
      <c r="G121" s="1084"/>
      <c r="H121" s="1609"/>
      <c r="I121" s="1609"/>
      <c r="J121" s="1609"/>
      <c r="K121" s="1084"/>
      <c r="L121" s="1609"/>
      <c r="M121" s="1609"/>
      <c r="N121" s="1609"/>
      <c r="O121" s="1084"/>
      <c r="P121" s="1609"/>
      <c r="Q121" s="1609"/>
      <c r="R121" s="1609"/>
      <c r="S121" s="1084"/>
      <c r="T121" s="1609"/>
      <c r="U121" s="1609"/>
      <c r="V121" s="1609"/>
      <c r="W121" s="1084"/>
      <c r="X121" s="1609"/>
      <c r="Y121" s="1609"/>
      <c r="Z121" s="1609"/>
      <c r="AA121" s="1084"/>
      <c r="AB121" s="1609"/>
      <c r="AC121" s="1609"/>
      <c r="AD121" s="1609"/>
      <c r="AE121" s="1084"/>
      <c r="AF121" s="1609"/>
      <c r="AG121" s="1609"/>
      <c r="AH121" s="1609"/>
      <c r="AI121" s="1084"/>
      <c r="AJ121" s="1609"/>
      <c r="AK121" s="1609"/>
      <c r="AL121" s="1609"/>
      <c r="AM121" s="1084"/>
      <c r="AN121" s="1609"/>
      <c r="AO121" s="1609"/>
      <c r="AP121" s="1609"/>
      <c r="AQ121" s="1084"/>
      <c r="AR121" s="1609"/>
      <c r="AS121" s="1609"/>
      <c r="AT121" s="1609"/>
      <c r="AU121" s="1084"/>
      <c r="AV121" s="1609"/>
      <c r="AW121" s="1609"/>
      <c r="AX121" s="1609"/>
      <c r="AY121" s="1610"/>
      <c r="AZ121" s="1609"/>
      <c r="BA121" s="1610"/>
      <c r="BB121" s="1610"/>
      <c r="BC121" s="1610"/>
      <c r="BD121" s="1610"/>
      <c r="BE121" s="1610"/>
      <c r="BF121" s="1610"/>
      <c r="BG121" s="1610"/>
      <c r="BH121" s="1610"/>
      <c r="BI121" s="1610"/>
      <c r="BJ121" s="1610"/>
      <c r="BK121" s="1610"/>
      <c r="BL121" s="1610"/>
      <c r="BM121" s="1610"/>
      <c r="BN121" s="1610"/>
      <c r="BO121" s="1610"/>
      <c r="BP121" s="1610"/>
      <c r="BQ121" s="1610"/>
      <c r="BR121" s="1610"/>
      <c r="BS121" s="1610"/>
      <c r="BT121" s="1610"/>
      <c r="BU121" s="1610"/>
      <c r="BV121" s="1610"/>
      <c r="BW121" s="1610"/>
      <c r="BX121" s="1610"/>
      <c r="BY121" s="1610"/>
      <c r="BZ121" s="1610"/>
      <c r="CA121" s="1610"/>
      <c r="CB121" s="1610"/>
      <c r="CC121" s="1610"/>
      <c r="CD121" s="1610"/>
      <c r="CE121" s="1610"/>
      <c r="CF121" s="1610"/>
      <c r="CG121" s="1610"/>
      <c r="CH121" s="1610"/>
      <c r="CI121" s="1610"/>
      <c r="CJ121" s="1610"/>
      <c r="CK121" s="1610"/>
      <c r="CL121" s="1610"/>
      <c r="CM121" s="1610"/>
      <c r="CN121" s="1610"/>
      <c r="CO121" s="1610"/>
      <c r="CP121" s="1610"/>
      <c r="CQ121" s="1610"/>
      <c r="CR121" s="1610"/>
      <c r="CS121" s="1610"/>
      <c r="CT121" s="1610"/>
      <c r="CU121" s="1610"/>
      <c r="CV121" s="1610"/>
      <c r="CW121" s="1610"/>
      <c r="CX121" s="1610"/>
      <c r="CY121" s="1610"/>
      <c r="CZ121" s="1610"/>
      <c r="DA121" s="1610"/>
      <c r="DB121" s="1610"/>
      <c r="DC121" s="777">
        <v>8.5131999999999817</v>
      </c>
      <c r="DD121" s="777">
        <v>8.1663000000000174</v>
      </c>
      <c r="DE121" s="777">
        <v>5.2</v>
      </c>
      <c r="DF121" s="777">
        <v>4.7162000000000113</v>
      </c>
    </row>
    <row r="122" spans="1:110">
      <c r="G122" s="3820">
        <f ca="1">OFFSET(InputY!$G$3,0,(COLUMN()-7)/4)</f>
        <v>1995</v>
      </c>
      <c r="H122" s="3821"/>
      <c r="I122" s="3821"/>
      <c r="J122" s="3821"/>
      <c r="K122" s="3817">
        <f ca="1">OFFSET(InputY!$G$3,0,(COLUMN()-7)/4)</f>
        <v>1996</v>
      </c>
      <c r="L122" s="3818"/>
      <c r="M122" s="3818"/>
      <c r="N122" s="3819"/>
      <c r="O122" s="3817">
        <f ca="1">OFFSET(InputY!$G$3,0,(COLUMN()-7)/4)</f>
        <v>1997</v>
      </c>
      <c r="P122" s="3818"/>
      <c r="Q122" s="3818"/>
      <c r="R122" s="3819"/>
      <c r="S122" s="3817">
        <f ca="1">OFFSET(InputY!$G$3,0,(COLUMN()-7)/4)</f>
        <v>1998</v>
      </c>
      <c r="T122" s="3818"/>
      <c r="U122" s="3818"/>
      <c r="V122" s="3819"/>
      <c r="W122" s="3817">
        <f ca="1">OFFSET(InputY!$G$3,0,(COLUMN()-7)/4)</f>
        <v>1999</v>
      </c>
      <c r="X122" s="3818"/>
      <c r="Y122" s="3818"/>
      <c r="Z122" s="3819"/>
      <c r="AA122" s="3817">
        <f ca="1">OFFSET(InputY!$G$3,0,(COLUMN()-7)/4)</f>
        <v>2000</v>
      </c>
      <c r="AB122" s="3818"/>
      <c r="AC122" s="3818"/>
      <c r="AD122" s="3819"/>
      <c r="AE122" s="3817">
        <f ca="1">OFFSET(InputY!$G$3,0,(COLUMN()-7)/4)</f>
        <v>2001</v>
      </c>
      <c r="AF122" s="3818"/>
      <c r="AG122" s="3818"/>
      <c r="AH122" s="3819"/>
      <c r="AI122" s="3817">
        <f ca="1">OFFSET(InputY!$G$3,0,(COLUMN()-7)/4)</f>
        <v>2002</v>
      </c>
      <c r="AJ122" s="3818"/>
      <c r="AK122" s="3818"/>
      <c r="AL122" s="3819"/>
      <c r="AM122" s="3817">
        <f ca="1">OFFSET(InputY!$G$3,0,(COLUMN()-7)/4)</f>
        <v>2003</v>
      </c>
      <c r="AN122" s="3818"/>
      <c r="AO122" s="3818"/>
      <c r="AP122" s="3819"/>
      <c r="AQ122" s="3817">
        <f ca="1">OFFSET(InputY!$G$3,0,(COLUMN()-7)/4)</f>
        <v>2004</v>
      </c>
      <c r="AR122" s="3818"/>
      <c r="AS122" s="3818"/>
      <c r="AT122" s="3819"/>
      <c r="AU122" s="3817">
        <f ca="1">OFFSET(InputY!$G$3,0,(COLUMN()-7)/4)</f>
        <v>2005</v>
      </c>
      <c r="AV122" s="3818"/>
      <c r="AW122" s="3818"/>
      <c r="AX122" s="3819"/>
      <c r="AY122" s="3817">
        <f ca="1">OFFSET(InputY!$G$3,0,(COLUMN()-7)/4)</f>
        <v>2006</v>
      </c>
      <c r="AZ122" s="3818"/>
      <c r="BA122" s="3818"/>
      <c r="BB122" s="3819"/>
      <c r="BC122" s="3817">
        <f ca="1">OFFSET(InputY!$G$3,0,(COLUMN()-7)/4)</f>
        <v>2007</v>
      </c>
      <c r="BD122" s="3818"/>
      <c r="BE122" s="3818"/>
      <c r="BF122" s="3819"/>
      <c r="BG122" s="3817">
        <f ca="1">OFFSET(InputY!$G$3,0,(COLUMN()-7)/4)</f>
        <v>2008</v>
      </c>
      <c r="BH122" s="3818"/>
      <c r="BI122" s="3818"/>
      <c r="BJ122" s="3819"/>
      <c r="BK122" s="3817">
        <f ca="1">OFFSET(InputY!$G$3,0,(COLUMN()-7)/4)</f>
        <v>2009</v>
      </c>
      <c r="BL122" s="3818"/>
      <c r="BM122" s="3818"/>
      <c r="BN122" s="3819"/>
      <c r="BO122" s="3817">
        <f ca="1">OFFSET(InputY!$G$3,0,(COLUMN()-7)/4)</f>
        <v>2010</v>
      </c>
      <c r="BP122" s="3818"/>
      <c r="BQ122" s="3818"/>
      <c r="BR122" s="3819"/>
      <c r="BS122" s="3817">
        <f ca="1">OFFSET(InputY!$G$3,0,(COLUMN()-7)/4)</f>
        <v>2011</v>
      </c>
      <c r="BT122" s="3818"/>
      <c r="BU122" s="3818"/>
      <c r="BV122" s="3819"/>
      <c r="BW122" s="3817">
        <f ca="1">OFFSET(InputY!$G$3,0,(COLUMN()-7)/4)</f>
        <v>2012</v>
      </c>
      <c r="BX122" s="3818"/>
      <c r="BY122" s="3818"/>
      <c r="BZ122" s="3819"/>
      <c r="CA122" s="3817">
        <f ca="1">OFFSET(InputY!$G$3,0,(COLUMN()-7)/4)</f>
        <v>2013</v>
      </c>
      <c r="CB122" s="3818"/>
      <c r="CC122" s="3818"/>
      <c r="CD122" s="3819"/>
      <c r="CE122" s="3817">
        <f ca="1">OFFSET(InputY!$G$3,0,(COLUMN()-7)/4)</f>
        <v>2014</v>
      </c>
      <c r="CF122" s="3818"/>
      <c r="CG122" s="3818"/>
      <c r="CH122" s="3819"/>
      <c r="CI122" s="3817">
        <f ca="1">OFFSET(InputY!$G$3,0,(COLUMN()-7)/4)</f>
        <v>2015</v>
      </c>
      <c r="CJ122" s="3818"/>
      <c r="CK122" s="3818"/>
      <c r="CL122" s="3819"/>
      <c r="CM122" s="3817">
        <f ca="1">OFFSET(InputY!$G$3,0,(COLUMN()-7)/4)</f>
        <v>2016</v>
      </c>
      <c r="CN122" s="3818"/>
      <c r="CO122" s="3818"/>
      <c r="CP122" s="3819"/>
      <c r="CQ122" s="3817">
        <f ca="1">OFFSET(InputY!$G$3,0,(COLUMN()-7)/4)</f>
        <v>2017</v>
      </c>
      <c r="CR122" s="3818"/>
      <c r="CS122" s="3818"/>
      <c r="CT122" s="3819"/>
      <c r="CU122" s="3817">
        <f ca="1">OFFSET(InputY!$G$3,0,(COLUMN()-7)/4)</f>
        <v>2018</v>
      </c>
      <c r="CV122" s="3818"/>
      <c r="CW122" s="3818"/>
      <c r="CX122" s="3819"/>
      <c r="CY122" s="3817">
        <f ca="1">OFFSET(InputY!$G$3,0,(COLUMN()-7)/4)</f>
        <v>2019</v>
      </c>
      <c r="CZ122" s="3818"/>
      <c r="DA122" s="3818"/>
      <c r="DB122" s="3819"/>
      <c r="DC122" s="3817">
        <f ca="1">OFFSET(InputY!$G$3,0,(COLUMN()-7)/4)</f>
        <v>2020</v>
      </c>
      <c r="DD122" s="3818"/>
      <c r="DE122" s="3818"/>
      <c r="DF122" s="3819"/>
    </row>
    <row r="123" spans="1:110" s="736" customFormat="1" ht="12.75" customHeight="1">
      <c r="A123" s="701"/>
      <c r="B123" s="701"/>
      <c r="C123" s="703"/>
      <c r="D123" s="732"/>
      <c r="E123" s="733" t="s">
        <v>214</v>
      </c>
      <c r="F123" s="734"/>
      <c r="G123" s="1618" t="s">
        <v>131</v>
      </c>
      <c r="H123" s="1619" t="s">
        <v>132</v>
      </c>
      <c r="I123" s="1619" t="s">
        <v>133</v>
      </c>
      <c r="J123" s="1620" t="s">
        <v>134</v>
      </c>
      <c r="K123" s="1618" t="s">
        <v>131</v>
      </c>
      <c r="L123" s="1619" t="s">
        <v>132</v>
      </c>
      <c r="M123" s="1619" t="s">
        <v>133</v>
      </c>
      <c r="N123" s="1620" t="s">
        <v>134</v>
      </c>
      <c r="O123" s="1618" t="s">
        <v>131</v>
      </c>
      <c r="P123" s="1619" t="s">
        <v>132</v>
      </c>
      <c r="Q123" s="1619" t="s">
        <v>133</v>
      </c>
      <c r="R123" s="1620" t="s">
        <v>134</v>
      </c>
      <c r="S123" s="1618" t="s">
        <v>131</v>
      </c>
      <c r="T123" s="1619" t="s">
        <v>132</v>
      </c>
      <c r="U123" s="1619" t="s">
        <v>133</v>
      </c>
      <c r="V123" s="1620" t="s">
        <v>134</v>
      </c>
      <c r="W123" s="1618" t="s">
        <v>131</v>
      </c>
      <c r="X123" s="1619" t="s">
        <v>132</v>
      </c>
      <c r="Y123" s="1619" t="s">
        <v>133</v>
      </c>
      <c r="Z123" s="1620" t="s">
        <v>134</v>
      </c>
      <c r="AA123" s="1618" t="s">
        <v>131</v>
      </c>
      <c r="AB123" s="1619" t="s">
        <v>132</v>
      </c>
      <c r="AC123" s="1619" t="s">
        <v>133</v>
      </c>
      <c r="AD123" s="1620" t="s">
        <v>134</v>
      </c>
      <c r="AE123" s="1618" t="s">
        <v>131</v>
      </c>
      <c r="AF123" s="1619" t="s">
        <v>132</v>
      </c>
      <c r="AG123" s="1619" t="s">
        <v>133</v>
      </c>
      <c r="AH123" s="1620" t="s">
        <v>134</v>
      </c>
      <c r="AI123" s="1618" t="s">
        <v>131</v>
      </c>
      <c r="AJ123" s="1619" t="s">
        <v>132</v>
      </c>
      <c r="AK123" s="1619" t="s">
        <v>133</v>
      </c>
      <c r="AL123" s="1620" t="s">
        <v>134</v>
      </c>
      <c r="AM123" s="1618" t="s">
        <v>131</v>
      </c>
      <c r="AN123" s="1619" t="s">
        <v>132</v>
      </c>
      <c r="AO123" s="1619" t="s">
        <v>133</v>
      </c>
      <c r="AP123" s="1620" t="s">
        <v>134</v>
      </c>
      <c r="AQ123" s="1618" t="s">
        <v>131</v>
      </c>
      <c r="AR123" s="1619" t="s">
        <v>132</v>
      </c>
      <c r="AS123" s="1619" t="s">
        <v>133</v>
      </c>
      <c r="AT123" s="1620" t="s">
        <v>134</v>
      </c>
      <c r="AU123" s="1618" t="s">
        <v>131</v>
      </c>
      <c r="AV123" s="1619" t="s">
        <v>132</v>
      </c>
      <c r="AW123" s="1619" t="s">
        <v>133</v>
      </c>
      <c r="AX123" s="1620" t="s">
        <v>134</v>
      </c>
      <c r="AY123" s="1618" t="s">
        <v>131</v>
      </c>
      <c r="AZ123" s="1619" t="s">
        <v>132</v>
      </c>
      <c r="BA123" s="1619" t="s">
        <v>133</v>
      </c>
      <c r="BB123" s="1620" t="s">
        <v>134</v>
      </c>
      <c r="BC123" s="1618" t="s">
        <v>131</v>
      </c>
      <c r="BD123" s="1619" t="s">
        <v>132</v>
      </c>
      <c r="BE123" s="1619" t="s">
        <v>133</v>
      </c>
      <c r="BF123" s="1620" t="s">
        <v>134</v>
      </c>
      <c r="BG123" s="1618" t="s">
        <v>131</v>
      </c>
      <c r="BH123" s="1619" t="s">
        <v>132</v>
      </c>
      <c r="BI123" s="1619" t="s">
        <v>133</v>
      </c>
      <c r="BJ123" s="1620" t="s">
        <v>134</v>
      </c>
      <c r="BK123" s="1618" t="s">
        <v>131</v>
      </c>
      <c r="BL123" s="1619" t="s">
        <v>132</v>
      </c>
      <c r="BM123" s="1619" t="s">
        <v>133</v>
      </c>
      <c r="BN123" s="1620" t="s">
        <v>134</v>
      </c>
      <c r="BO123" s="1618" t="s">
        <v>131</v>
      </c>
      <c r="BP123" s="1619" t="s">
        <v>132</v>
      </c>
      <c r="BQ123" s="1619" t="s">
        <v>133</v>
      </c>
      <c r="BR123" s="1620" t="s">
        <v>134</v>
      </c>
      <c r="BS123" s="1618" t="s">
        <v>131</v>
      </c>
      <c r="BT123" s="1619" t="s">
        <v>132</v>
      </c>
      <c r="BU123" s="1619" t="s">
        <v>133</v>
      </c>
      <c r="BV123" s="1620" t="s">
        <v>134</v>
      </c>
      <c r="BW123" s="1618" t="s">
        <v>131</v>
      </c>
      <c r="BX123" s="1619" t="s">
        <v>132</v>
      </c>
      <c r="BY123" s="1619" t="s">
        <v>133</v>
      </c>
      <c r="BZ123" s="1620" t="s">
        <v>134</v>
      </c>
      <c r="CA123" s="1618" t="s">
        <v>131</v>
      </c>
      <c r="CB123" s="1619" t="s">
        <v>132</v>
      </c>
      <c r="CC123" s="1619" t="s">
        <v>133</v>
      </c>
      <c r="CD123" s="1620" t="s">
        <v>134</v>
      </c>
      <c r="CE123" s="1618" t="s">
        <v>131</v>
      </c>
      <c r="CF123" s="1619" t="s">
        <v>132</v>
      </c>
      <c r="CG123" s="1619" t="s">
        <v>133</v>
      </c>
      <c r="CH123" s="1620" t="s">
        <v>134</v>
      </c>
      <c r="CI123" s="1618" t="s">
        <v>131</v>
      </c>
      <c r="CJ123" s="1619" t="s">
        <v>132</v>
      </c>
      <c r="CK123" s="1619" t="s">
        <v>133</v>
      </c>
      <c r="CL123" s="1620" t="s">
        <v>134</v>
      </c>
      <c r="CM123" s="1618" t="s">
        <v>131</v>
      </c>
      <c r="CN123" s="1619" t="s">
        <v>132</v>
      </c>
      <c r="CO123" s="1619" t="s">
        <v>133</v>
      </c>
      <c r="CP123" s="1620" t="s">
        <v>134</v>
      </c>
      <c r="CQ123" s="1618" t="s">
        <v>131</v>
      </c>
      <c r="CR123" s="1619" t="s">
        <v>132</v>
      </c>
      <c r="CS123" s="1619" t="s">
        <v>133</v>
      </c>
      <c r="CT123" s="1620" t="s">
        <v>134</v>
      </c>
      <c r="CU123" s="1618" t="s">
        <v>131</v>
      </c>
      <c r="CV123" s="1619" t="s">
        <v>132</v>
      </c>
      <c r="CW123" s="1619" t="s">
        <v>133</v>
      </c>
      <c r="CX123" s="1620" t="s">
        <v>134</v>
      </c>
      <c r="CY123" s="1618" t="s">
        <v>131</v>
      </c>
      <c r="CZ123" s="1619" t="s">
        <v>132</v>
      </c>
      <c r="DA123" s="1619" t="s">
        <v>133</v>
      </c>
      <c r="DB123" s="1620" t="s">
        <v>134</v>
      </c>
      <c r="DC123" s="1618" t="s">
        <v>131</v>
      </c>
      <c r="DD123" s="1619" t="s">
        <v>132</v>
      </c>
      <c r="DE123" s="1619" t="s">
        <v>133</v>
      </c>
      <c r="DF123" s="1620" t="s">
        <v>134</v>
      </c>
    </row>
    <row r="124" spans="1:110" s="736" customFormat="1" ht="12.75" customHeight="1">
      <c r="A124" s="701" t="str">
        <f>"Q" &amp; ROW(InputQ!A8)</f>
        <v>Q8</v>
      </c>
      <c r="C124" s="704"/>
      <c r="D124" s="705"/>
      <c r="E124" s="737" t="s">
        <v>1768</v>
      </c>
      <c r="F124" s="738"/>
      <c r="G124" s="817">
        <f>InputQ!G8/1000</f>
        <v>3.1191000000000058</v>
      </c>
      <c r="H124" s="817">
        <f>InputQ!H8/1000</f>
        <v>4.2182000000000119</v>
      </c>
      <c r="I124" s="817">
        <f>InputQ!I8/1000</f>
        <v>8.0571000000000055</v>
      </c>
      <c r="J124" s="817">
        <f>InputQ!J8/1000</f>
        <v>9.9876000000000058</v>
      </c>
      <c r="K124" s="817">
        <f>InputQ!K8/1000</f>
        <v>8.6823999999999941</v>
      </c>
      <c r="L124" s="817">
        <f>InputQ!L8/1000</f>
        <v>-1.3142000000000116</v>
      </c>
      <c r="M124" s="817">
        <f>InputQ!M8/1000</f>
        <v>-1.8835</v>
      </c>
      <c r="N124" s="817">
        <f>InputQ!N8/1000</f>
        <v>-0.29340000000000871</v>
      </c>
      <c r="O124" s="817">
        <f>InputQ!O8/1000</f>
        <v>3.9900999999999911</v>
      </c>
      <c r="P124" s="817">
        <f>InputQ!P8/1000</f>
        <v>-4.6118000000000032</v>
      </c>
      <c r="Q124" s="817">
        <f>InputQ!Q8/1000</f>
        <v>2.5773000000000028</v>
      </c>
      <c r="R124" s="817">
        <f>InputQ!R8/1000</f>
        <v>8.1806000000000054</v>
      </c>
      <c r="S124" s="817">
        <f>InputQ!S8/1000</f>
        <v>8.4923999999999946</v>
      </c>
      <c r="T124" s="817">
        <f>InputQ!T8/1000</f>
        <v>12.438200000000011</v>
      </c>
      <c r="U124" s="817">
        <f>InputQ!U8/1000</f>
        <v>-0.89990000000002324</v>
      </c>
      <c r="V124" s="817">
        <f>InputQ!V8/1000</f>
        <v>-3.3893000000000173</v>
      </c>
      <c r="W124" s="817">
        <f>InputQ!W8/1000</f>
        <v>3.640899999999994</v>
      </c>
      <c r="X124" s="817">
        <f>InputQ!X8/1000</f>
        <v>0.95619999999998251</v>
      </c>
      <c r="Y124" s="817">
        <f>InputQ!Y8/1000</f>
        <v>-5.6454000000000235</v>
      </c>
      <c r="Z124" s="817">
        <f>InputQ!Z8/1000</f>
        <v>3.7327999999999886</v>
      </c>
      <c r="AA124" s="817">
        <f>InputQ!AA8/1000</f>
        <v>5.1136999999999828</v>
      </c>
      <c r="AB124" s="817">
        <f>InputQ!AB8/1000</f>
        <v>6.7934999999999999</v>
      </c>
      <c r="AC124" s="817">
        <f>InputQ!AC8/1000</f>
        <v>4.9436000000000062</v>
      </c>
      <c r="AD124" s="817">
        <f>InputQ!AD8/1000</f>
        <v>-1.6957999999999884</v>
      </c>
      <c r="AE124" s="817">
        <f>InputQ!AE8/1000</f>
        <v>7.5708999999999937</v>
      </c>
      <c r="AF124" s="817">
        <f>InputQ!AF8/1000</f>
        <v>4.5052999999999885</v>
      </c>
      <c r="AG124" s="817">
        <f>InputQ!AG8/1000</f>
        <v>-1.9582000000000117</v>
      </c>
      <c r="AH124" s="817">
        <f>InputQ!AH8/1000</f>
        <v>-4.5352000000000112</v>
      </c>
      <c r="AI124" s="817">
        <f>InputQ!AI8/1000</f>
        <v>2.6835</v>
      </c>
      <c r="AJ124" s="817">
        <f>InputQ!AJ8/1000</f>
        <v>-4.3183999999999942</v>
      </c>
      <c r="AK124" s="817">
        <f>InputQ!AK8/1000</f>
        <v>2.8184999999999998</v>
      </c>
      <c r="AL124" s="817">
        <f>InputQ!AL8/1000</f>
        <v>-0.69929999999998838</v>
      </c>
      <c r="AM124" s="817">
        <f>InputQ!AM8/1000</f>
        <v>4.2744999999999997</v>
      </c>
      <c r="AN124" s="817">
        <f>InputQ!AN8/1000</f>
        <v>0.47899999999999998</v>
      </c>
      <c r="AO124" s="817">
        <f>InputQ!AO8/1000</f>
        <v>0.4176000000000058</v>
      </c>
      <c r="AP124" s="817">
        <f>InputQ!AP8/1000</f>
        <v>1.5504000000000233</v>
      </c>
      <c r="AQ124" s="817">
        <f>InputQ!AQ8/1000</f>
        <v>-1.8593999999999942</v>
      </c>
      <c r="AR124" s="817">
        <f>InputQ!AR8/1000</f>
        <v>-3.6887999999999885</v>
      </c>
      <c r="AS124" s="817">
        <f>InputQ!AS8/1000</f>
        <v>0.42430000000001744</v>
      </c>
      <c r="AT124" s="817">
        <f>InputQ!AT8/1000</f>
        <v>2.5366999999999824</v>
      </c>
      <c r="AU124" s="817">
        <f>InputQ!AU8/1000</f>
        <v>1.2282000000000117</v>
      </c>
      <c r="AV124" s="817">
        <f>InputQ!AV8/1000</f>
        <v>-0.69439999999999413</v>
      </c>
      <c r="AW124" s="817">
        <f>InputQ!AW8/1000</f>
        <v>-9.5966000000000058</v>
      </c>
      <c r="AX124" s="817">
        <f>InputQ!AX8/1000</f>
        <v>5.9326000000000061</v>
      </c>
      <c r="AY124" s="817">
        <f>InputQ!AY8/1000</f>
        <v>-2.3063999999999942</v>
      </c>
      <c r="AZ124" s="817">
        <f>InputQ!AZ8/1000</f>
        <v>2.4332999999999885</v>
      </c>
      <c r="BA124" s="817">
        <f>InputQ!BA8/1000</f>
        <v>3.1062999999999885</v>
      </c>
      <c r="BB124" s="817">
        <f>InputQ!BB8/1000</f>
        <v>1.8541000000000059</v>
      </c>
      <c r="BC124" s="817">
        <f>InputQ!BC8/1000</f>
        <v>6.2701000000000056</v>
      </c>
      <c r="BD124" s="817">
        <f>InputQ!BD8/1000</f>
        <v>2.5710999999999768</v>
      </c>
      <c r="BE124" s="817">
        <f>InputQ!BE8/1000</f>
        <v>9.1069999999999993</v>
      </c>
      <c r="BF124" s="817">
        <f>InputQ!BF8/1000</f>
        <v>10.032799999999988</v>
      </c>
      <c r="BG124" s="817">
        <f>InputQ!BG8/1000</f>
        <v>0.67829999999998836</v>
      </c>
      <c r="BH124" s="817">
        <f>InputQ!BH8/1000</f>
        <v>11.252200000000011</v>
      </c>
      <c r="BI124" s="817">
        <f>InputQ!BI8/1000</f>
        <v>6.423100000000006</v>
      </c>
      <c r="BJ124" s="817">
        <f>InputQ!BJ8/1000</f>
        <v>-9.3477999999999888</v>
      </c>
      <c r="BK124" s="817">
        <f>InputQ!BK8/1000</f>
        <v>-8.856100000000005</v>
      </c>
      <c r="BL124" s="817">
        <f>InputQ!BL8/1000</f>
        <v>-17.389800000000019</v>
      </c>
      <c r="BM124" s="817">
        <f>InputQ!BM8/1000</f>
        <v>-10.670899999999994</v>
      </c>
      <c r="BN124" s="817">
        <f>InputQ!BN8/1000</f>
        <v>-7.3916000000000057</v>
      </c>
      <c r="BO124" s="817">
        <f>InputQ!BO8/1000</f>
        <v>4.9192000000000116</v>
      </c>
      <c r="BP124" s="817">
        <f>InputQ!BP8/1000</f>
        <v>9.8620000000000001</v>
      </c>
      <c r="BQ124" s="817">
        <f>InputQ!BQ8/1000</f>
        <v>7.9688000000000176</v>
      </c>
      <c r="BR124" s="817">
        <f>InputQ!BR8/1000</f>
        <v>2.573</v>
      </c>
      <c r="BS124" s="817">
        <f>InputQ!BS8/1000</f>
        <v>19.563899999999993</v>
      </c>
      <c r="BT124" s="817">
        <f>InputQ!BT8/1000</f>
        <v>8.5835999999999775</v>
      </c>
      <c r="BU124" s="817">
        <f>InputQ!BU8/1000</f>
        <v>5.3031000000000059</v>
      </c>
      <c r="BV124" s="817">
        <f>InputQ!BV8/1000</f>
        <v>8.0824999999999996</v>
      </c>
      <c r="BW124" s="817">
        <f>InputQ!BW8/1000</f>
        <v>-3.8293999999999944</v>
      </c>
      <c r="BX124" s="817">
        <f>InputQ!BX8/1000</f>
        <v>-0.63049999999999995</v>
      </c>
      <c r="BY124" s="817">
        <f>InputQ!BY8/1000</f>
        <v>10.067200000000012</v>
      </c>
      <c r="BZ124" s="817">
        <f>InputQ!BZ8/1000</f>
        <v>-4.8613000000000177</v>
      </c>
      <c r="CA124" s="817">
        <f>InputQ!CA8/1000</f>
        <v>5.8170000000000002</v>
      </c>
      <c r="CB124" s="817">
        <f>InputQ!CB8/1000</f>
        <v>0.33010000000000583</v>
      </c>
      <c r="CC124" s="817">
        <f>InputQ!CC8/1000</f>
        <v>-3.2853999999999943</v>
      </c>
      <c r="CD124" s="817">
        <f>InputQ!CD8/1000</f>
        <v>5.5903999999999945</v>
      </c>
      <c r="CE124" s="817">
        <f>InputQ!CE8/1000</f>
        <v>1.4317000000000117</v>
      </c>
      <c r="CF124" s="817">
        <f>InputQ!CF8/1000</f>
        <v>5.1537999999999879</v>
      </c>
      <c r="CG124" s="817">
        <f>InputQ!CG8/1000</f>
        <v>1.6318999999999941</v>
      </c>
      <c r="CH124" s="817">
        <f>InputQ!CH8/1000</f>
        <v>6.6970000000000001</v>
      </c>
      <c r="CI124" s="817">
        <f>InputQ!CI8/1000</f>
        <v>6.4466999999999821</v>
      </c>
      <c r="CJ124" s="817">
        <f>InputQ!CJ8/1000</f>
        <v>2.8616000000000059</v>
      </c>
      <c r="CK124" s="817">
        <f>InputQ!CK8/1000</f>
        <v>11.582100000000006</v>
      </c>
      <c r="CL124" s="817">
        <f>InputQ!CL8/1000</f>
        <v>10.648099999999976</v>
      </c>
      <c r="CM124" s="817">
        <f>InputQ!CM8/1000</f>
        <v>8.5131999999999817</v>
      </c>
      <c r="CN124" s="817">
        <f>InputQ!CN8/1000</f>
        <v>8.1663000000000174</v>
      </c>
      <c r="CO124" s="817">
        <f>InputQ!CO8/1000</f>
        <v>5.2</v>
      </c>
      <c r="CP124" s="817">
        <f>InputQ!CP8/1000</f>
        <v>4.7162000000000113</v>
      </c>
      <c r="CQ124" s="817">
        <f>InputQ!CQ8/1000</f>
        <v>7.6958999999999937</v>
      </c>
      <c r="CR124" s="817">
        <f>InputQ!CR8/1000</f>
        <v>10.063800000000018</v>
      </c>
      <c r="CS124" s="817">
        <f>InputQ!CS8/1000</f>
        <v>5.3882999999999885</v>
      </c>
      <c r="CT124" s="817">
        <f>InputQ!CT8/1000</f>
        <v>7.9904999999999999</v>
      </c>
      <c r="CU124" s="817">
        <f>InputQ!CU8/1000</f>
        <v>6.4731999999999532</v>
      </c>
      <c r="CV124" s="817">
        <f>InputQ!CV8/1000</f>
        <v>16.241</v>
      </c>
      <c r="CW124" s="777">
        <v>12</v>
      </c>
      <c r="CX124" s="777">
        <v>8</v>
      </c>
      <c r="CY124" s="777">
        <v>9</v>
      </c>
      <c r="CZ124" s="777">
        <v>9</v>
      </c>
      <c r="DA124" s="777">
        <v>9</v>
      </c>
      <c r="DB124" s="777">
        <v>10</v>
      </c>
      <c r="DC124" s="777">
        <v>10</v>
      </c>
      <c r="DD124" s="777">
        <v>11</v>
      </c>
      <c r="DE124" s="777">
        <v>11</v>
      </c>
      <c r="DF124" s="777">
        <v>11</v>
      </c>
    </row>
    <row r="125" spans="1:110" s="26" customFormat="1" ht="12.75">
      <c r="A125" s="710"/>
      <c r="B125" s="710"/>
      <c r="C125" s="724"/>
      <c r="D125" s="720"/>
      <c r="E125" s="721" t="s">
        <v>353</v>
      </c>
      <c r="F125" s="722"/>
      <c r="G125" s="1622"/>
      <c r="H125" s="1623"/>
      <c r="I125" s="1623"/>
      <c r="J125" s="1627">
        <f>SUM(G124:J124)</f>
        <v>25.382000000000026</v>
      </c>
      <c r="K125" s="1622"/>
      <c r="L125" s="1623"/>
      <c r="M125" s="1623"/>
      <c r="N125" s="1627">
        <f>SUM(K124:N124)</f>
        <v>5.1912999999999734</v>
      </c>
      <c r="O125" s="1622"/>
      <c r="P125" s="1623"/>
      <c r="Q125" s="1623"/>
      <c r="R125" s="1627">
        <f>SUM(O124:R124)</f>
        <v>10.136199999999995</v>
      </c>
      <c r="S125" s="1622"/>
      <c r="T125" s="1623"/>
      <c r="U125" s="1623"/>
      <c r="V125" s="1627">
        <f>SUM(S124:V124)</f>
        <v>16.641399999999965</v>
      </c>
      <c r="W125" s="1622"/>
      <c r="X125" s="1623"/>
      <c r="Y125" s="1623"/>
      <c r="Z125" s="1627">
        <f>SUM(W124:Z124)</f>
        <v>2.6844999999999413</v>
      </c>
      <c r="AA125" s="1622"/>
      <c r="AB125" s="1623"/>
      <c r="AC125" s="1623"/>
      <c r="AD125" s="1627">
        <f>SUM(AA124:AD124)</f>
        <v>15.155000000000001</v>
      </c>
      <c r="AE125" s="1622"/>
      <c r="AF125" s="1623"/>
      <c r="AG125" s="1623"/>
      <c r="AH125" s="1627">
        <f>SUM(AE124:AH124)</f>
        <v>5.5827999999999589</v>
      </c>
      <c r="AI125" s="1622"/>
      <c r="AJ125" s="1623"/>
      <c r="AK125" s="1623"/>
      <c r="AL125" s="1627">
        <f>SUM(AI124:AL124)</f>
        <v>0.48430000000001716</v>
      </c>
      <c r="AM125" s="1622"/>
      <c r="AN125" s="1623"/>
      <c r="AO125" s="1623"/>
      <c r="AP125" s="1627">
        <f>SUM(AM124:AP124)</f>
        <v>6.7215000000000291</v>
      </c>
      <c r="AQ125" s="1622"/>
      <c r="AR125" s="1623"/>
      <c r="AS125" s="1623"/>
      <c r="AT125" s="1627">
        <f>SUM(AQ124:AT124)</f>
        <v>-2.5871999999999828</v>
      </c>
      <c r="AU125" s="1622"/>
      <c r="AV125" s="1623"/>
      <c r="AW125" s="1623"/>
      <c r="AX125" s="1669">
        <f>SUM(AU124:AX124)</f>
        <v>-3.1301999999999826</v>
      </c>
      <c r="AY125" s="1622"/>
      <c r="AZ125" s="1623"/>
      <c r="BA125" s="1623"/>
      <c r="BB125" s="1669">
        <f>SUM(AY124:BB124)</f>
        <v>5.0872999999999884</v>
      </c>
      <c r="BC125" s="1622"/>
      <c r="BD125" s="1623"/>
      <c r="BE125" s="1623"/>
      <c r="BF125" s="1669">
        <f>SUM(BC124:BF124)</f>
        <v>27.98099999999997</v>
      </c>
      <c r="BG125" s="1622"/>
      <c r="BH125" s="1623"/>
      <c r="BI125" s="1623"/>
      <c r="BJ125" s="1669">
        <f>SUM(BG124:BJ124)</f>
        <v>9.0058000000000149</v>
      </c>
      <c r="BK125" s="1622"/>
      <c r="BL125" s="1623"/>
      <c r="BM125" s="1623"/>
      <c r="BN125" s="1669">
        <f>SUM(BK124:BN124)</f>
        <v>-44.30840000000002</v>
      </c>
      <c r="BO125" s="1622"/>
      <c r="BP125" s="1623"/>
      <c r="BQ125" s="1623"/>
      <c r="BR125" s="1669">
        <f>SUM(BO124:BR124)</f>
        <v>25.323000000000029</v>
      </c>
      <c r="BS125" s="1622"/>
      <c r="BT125" s="1623"/>
      <c r="BU125" s="1623"/>
      <c r="BV125" s="1669">
        <f>SUM(BS124:BV124)</f>
        <v>41.533099999999976</v>
      </c>
      <c r="BW125" s="1622"/>
      <c r="BX125" s="1623"/>
      <c r="BY125" s="1623"/>
      <c r="BZ125" s="1669">
        <f>SUM(BW124:BZ124)</f>
        <v>0.74600000000000044</v>
      </c>
      <c r="CA125" s="1622"/>
      <c r="CB125" s="1623"/>
      <c r="CC125" s="1623"/>
      <c r="CD125" s="1669">
        <f>SUM(CA124:CD124)</f>
        <v>8.4521000000000068</v>
      </c>
      <c r="CE125" s="1622"/>
      <c r="CF125" s="1623"/>
      <c r="CG125" s="1623"/>
      <c r="CH125" s="1669">
        <f>SUM(CE124:CH124)</f>
        <v>14.914399999999993</v>
      </c>
      <c r="CI125" s="1622"/>
      <c r="CJ125" s="1623"/>
      <c r="CK125" s="1623"/>
      <c r="CL125" s="1669">
        <f>SUM(CI124:CL124)</f>
        <v>31.538499999999971</v>
      </c>
      <c r="CM125" s="1622"/>
      <c r="CN125" s="1623"/>
      <c r="CO125" s="1623"/>
      <c r="CP125" s="1669">
        <f>SUM(CM124:CP124)</f>
        <v>26.595700000000008</v>
      </c>
      <c r="CQ125" s="1622"/>
      <c r="CR125" s="1623"/>
      <c r="CS125" s="1623"/>
      <c r="CT125" s="1669">
        <f>SUM(CQ124:CT124)</f>
        <v>31.138500000000004</v>
      </c>
      <c r="CU125" s="1622"/>
      <c r="CV125" s="1623"/>
      <c r="CW125" s="1623"/>
      <c r="CX125" s="1669">
        <f>SUM(CU124:CX124)</f>
        <v>42.714199999999948</v>
      </c>
      <c r="CY125" s="1622"/>
      <c r="CZ125" s="1623"/>
      <c r="DA125" s="1623"/>
      <c r="DB125" s="1669">
        <f>SUM(CY124:DB124)</f>
        <v>37</v>
      </c>
      <c r="DC125" s="1622"/>
      <c r="DD125" s="1623"/>
      <c r="DE125" s="1623"/>
      <c r="DF125" s="1669">
        <f>SUM(DC124:DF124)</f>
        <v>43</v>
      </c>
    </row>
    <row r="126" spans="1:110" s="736" customFormat="1" ht="12.75" customHeight="1">
      <c r="A126" s="701"/>
      <c r="B126" s="701"/>
      <c r="C126" s="706"/>
      <c r="D126" s="716"/>
      <c r="E126" s="1624" t="s">
        <v>136</v>
      </c>
      <c r="F126" s="716"/>
      <c r="G126" s="1625"/>
      <c r="H126" s="2916" t="s">
        <v>1694</v>
      </c>
      <c r="I126" s="2917">
        <f ca="1">+J126/J125*100</f>
        <v>-125.51766397446995</v>
      </c>
      <c r="J126" s="1626">
        <f ca="1">OFFSET('VVP2'!$G$64,0,(COLUMN()-10)/4)</f>
        <v>-31.858893469999998</v>
      </c>
      <c r="K126" s="1625"/>
      <c r="L126" s="2916" t="s">
        <v>1694</v>
      </c>
      <c r="M126" s="2917">
        <f ca="1">+N126/N125*100</f>
        <v>-179.49311656040004</v>
      </c>
      <c r="N126" s="1626">
        <f ca="1">OFFSET('VVP2'!$G$64,0,(COLUMN()-10)/4)</f>
        <v>-9.3180261599999987</v>
      </c>
      <c r="O126" s="1625"/>
      <c r="P126" s="2916" t="s">
        <v>1694</v>
      </c>
      <c r="Q126" s="2917">
        <f ca="1">+R126/R125*100</f>
        <v>-119.53618555277133</v>
      </c>
      <c r="R126" s="1626">
        <f ca="1">OFFSET('VVP2'!$G$64,0,(COLUMN()-10)/4)</f>
        <v>-12.116426840000001</v>
      </c>
      <c r="S126" s="1625"/>
      <c r="T126" s="2916" t="s">
        <v>1694</v>
      </c>
      <c r="U126" s="2917">
        <f ca="1">+V126/V125*100</f>
        <v>-120.8321673657267</v>
      </c>
      <c r="V126" s="1626">
        <f ca="1">OFFSET('VVP2'!$G$64,0,(COLUMN()-10)/4)</f>
        <v>-20.108164300000002</v>
      </c>
      <c r="W126" s="1625"/>
      <c r="X126" s="2916" t="s">
        <v>1694</v>
      </c>
      <c r="Y126" s="2917">
        <f ca="1">+Z126/Z125*100</f>
        <v>-304.7486343825733</v>
      </c>
      <c r="Z126" s="1626">
        <f ca="1">OFFSET('VVP2'!$G$64,0,(COLUMN()-10)/4)</f>
        <v>-8.1809770900000007</v>
      </c>
      <c r="AA126" s="1625"/>
      <c r="AB126" s="2916" t="s">
        <v>1694</v>
      </c>
      <c r="AC126" s="2917">
        <f ca="1">+AD126/AD125*100</f>
        <v>-144.96891725503133</v>
      </c>
      <c r="AD126" s="1626">
        <f ca="1">OFFSET('VVP2'!$G$64,0,(COLUMN()-10)/4)</f>
        <v>-21.970039410000002</v>
      </c>
      <c r="AE126" s="1625"/>
      <c r="AF126" s="2916" t="s">
        <v>1694</v>
      </c>
      <c r="AG126" s="2917">
        <f ca="1">+AH126/AH125*100</f>
        <v>-195.54873826753746</v>
      </c>
      <c r="AH126" s="1626">
        <f ca="1">OFFSET('VVP2'!$G$64,0,(COLUMN()-10)/4)</f>
        <v>-10.91709496</v>
      </c>
      <c r="AI126" s="1625"/>
      <c r="AJ126" s="2916" t="s">
        <v>1694</v>
      </c>
      <c r="AK126" s="2917">
        <f ca="1">+AL126/AL125*100</f>
        <v>-730.59578773484918</v>
      </c>
      <c r="AL126" s="1626">
        <f ca="1">OFFSET('VVP2'!$G$64,0,(COLUMN()-10)/4)</f>
        <v>-3.5382753999999998</v>
      </c>
      <c r="AM126" s="1625"/>
      <c r="AN126" s="2916" t="s">
        <v>1694</v>
      </c>
      <c r="AO126" s="2917">
        <f ca="1">+AP126/AP125*100</f>
        <v>-185.74568905750121</v>
      </c>
      <c r="AP126" s="1626">
        <f ca="1">OFFSET('VVP2'!$G$64,0,(COLUMN()-10)/4)</f>
        <v>-12.484896489999999</v>
      </c>
      <c r="AQ126" s="1625"/>
      <c r="AR126" s="2916" t="s">
        <v>1694</v>
      </c>
      <c r="AS126" s="2917">
        <f ca="1">+AT126/AT125*100</f>
        <v>49.694141929499409</v>
      </c>
      <c r="AT126" s="1626">
        <f ca="1">OFFSET('VVP2'!$G$64,0,(COLUMN()-10)/4)</f>
        <v>-1.2856868400000001</v>
      </c>
      <c r="AU126" s="1625"/>
      <c r="AV126" s="2916" t="s">
        <v>1694</v>
      </c>
      <c r="AW126" s="2917">
        <f ca="1">+AX126/AX125*100</f>
        <v>55.848481886141776</v>
      </c>
      <c r="AX126" s="1670">
        <f ca="1">OFFSET('VVP2'!$G$64,0,(COLUMN()-10)/4)</f>
        <v>-1.7481691800000001</v>
      </c>
      <c r="AY126" s="1625"/>
      <c r="AZ126" s="2916" t="s">
        <v>1694</v>
      </c>
      <c r="BA126" s="2917">
        <f ca="1">+BB126/BB125*100</f>
        <v>17.298538124348909</v>
      </c>
      <c r="BB126" s="1670">
        <f ca="1">OFFSET('VVP2'!$G$64,0,(COLUMN()-10)/4)</f>
        <v>0.88002853000000003</v>
      </c>
      <c r="BC126" s="1625"/>
      <c r="BD126" s="2916" t="s">
        <v>1694</v>
      </c>
      <c r="BE126" s="2917">
        <f ca="1">+BF126/BF125*100</f>
        <v>80.636684678889338</v>
      </c>
      <c r="BF126" s="1670">
        <f ca="1">OFFSET('VVP2'!$G$64,0,(COLUMN()-10)/4)</f>
        <v>22.562950740000002</v>
      </c>
      <c r="BG126" s="1625"/>
      <c r="BH126" s="2916" t="s">
        <v>1694</v>
      </c>
      <c r="BI126" s="2917">
        <f ca="1">+BJ126/BJ125*100</f>
        <v>74.323278442781188</v>
      </c>
      <c r="BJ126" s="1670">
        <f ca="1">OFFSET('VVP2'!$G$64,0,(COLUMN()-10)/4)</f>
        <v>6.6934058099999998</v>
      </c>
      <c r="BK126" s="1625"/>
      <c r="BL126" s="2916" t="s">
        <v>1694</v>
      </c>
      <c r="BM126" s="2917">
        <f ca="1">+BN126/BN125*100</f>
        <v>102.84291012539377</v>
      </c>
      <c r="BN126" s="1670">
        <f ca="1">OFFSET('VVP2'!$G$64,0,(COLUMN()-10)/4)</f>
        <v>-45.568047989999997</v>
      </c>
      <c r="BO126" s="1625"/>
      <c r="BP126" s="2916" t="s">
        <v>1694</v>
      </c>
      <c r="BQ126" s="2917">
        <f ca="1">+BR126/BR125*100</f>
        <v>91.655806973897143</v>
      </c>
      <c r="BR126" s="1670">
        <f ca="1">OFFSET('VVP2'!$G$64,0,(COLUMN()-10)/4)</f>
        <v>23.21</v>
      </c>
      <c r="BS126" s="1625"/>
      <c r="BT126" s="2916" t="s">
        <v>1694</v>
      </c>
      <c r="BU126" s="2917">
        <f ca="1">+BV126/BV125*100</f>
        <v>98.598274629151248</v>
      </c>
      <c r="BV126" s="1670">
        <f ca="1">OFFSET('VVP2'!$G$64,0,(COLUMN()-10)/4)</f>
        <v>40.950919999999996</v>
      </c>
      <c r="BW126" s="1625"/>
      <c r="BX126" s="2916" t="s">
        <v>1694</v>
      </c>
      <c r="BY126" s="2917">
        <f ca="1">+BZ126/BZ125*100</f>
        <v>-49.399260053619273</v>
      </c>
      <c r="BZ126" s="1670">
        <f ca="1">OFFSET('VVP2'!$G$64,0,(COLUMN()-10)/4)</f>
        <v>-0.36851848000000004</v>
      </c>
      <c r="CA126" s="1625"/>
      <c r="CB126" s="2916" t="s">
        <v>1694</v>
      </c>
      <c r="CC126" s="2917">
        <f ca="1">+CD126/CD125*100</f>
        <v>28.125100152624771</v>
      </c>
      <c r="CD126" s="1670">
        <f ca="1">OFFSET('VVP2'!$G$64,0,(COLUMN()-10)/4)</f>
        <v>2.37716159</v>
      </c>
      <c r="CE126" s="1625"/>
      <c r="CF126" s="2916" t="s">
        <v>1694</v>
      </c>
      <c r="CG126" s="2917">
        <f ca="1">+CH126/CH125*100</f>
        <v>32.099611114091097</v>
      </c>
      <c r="CH126" s="1670">
        <f ca="1">OFFSET('VVP2'!$G$64,0,(COLUMN()-10)/4)</f>
        <v>4.7874644000000002</v>
      </c>
      <c r="CI126" s="1625"/>
      <c r="CJ126" s="2916" t="s">
        <v>1694</v>
      </c>
      <c r="CK126" s="2917">
        <f ca="1">+CL126/CL125*100</f>
        <v>36.741935983004929</v>
      </c>
      <c r="CL126" s="1670">
        <f ca="1">OFFSET('VVP2'!$G$64,0,(COLUMN()-10)/4)</f>
        <v>11.58785548</v>
      </c>
      <c r="CM126" s="1625"/>
      <c r="CN126" s="2916" t="s">
        <v>1694</v>
      </c>
      <c r="CO126" s="2916" t="s">
        <v>1694</v>
      </c>
      <c r="CP126" s="1670">
        <f ca="1">OFFSET('VVP2'!$G$64,0,(COLUMN()-10)/4)</f>
        <v>9.707554459999999</v>
      </c>
      <c r="CQ126" s="1625"/>
      <c r="CR126" s="2916" t="s">
        <v>1694</v>
      </c>
      <c r="CS126" s="2916" t="s">
        <v>1694</v>
      </c>
      <c r="CT126" s="1670">
        <f ca="1">OFFSET('VVP2'!$G$64,0,(COLUMN()-10)/4)</f>
        <v>12.02701021</v>
      </c>
      <c r="CU126" s="1625"/>
      <c r="CV126" s="2916" t="s">
        <v>1694</v>
      </c>
      <c r="CW126" s="2917">
        <f ca="1">+CX126/CX125*100</f>
        <v>33.788323911017919</v>
      </c>
      <c r="CX126" s="1670">
        <f ca="1">OFFSET('VVP2'!$G$64,0,(COLUMN()-10)/4)</f>
        <v>14.432412251999999</v>
      </c>
      <c r="CY126" s="1625"/>
      <c r="CZ126" s="2916" t="s">
        <v>1694</v>
      </c>
      <c r="DA126" s="2917">
        <f ca="1">+DB126/DB125*100</f>
        <v>32.375411267999993</v>
      </c>
      <c r="DB126" s="1670">
        <f ca="1">OFFSET('VVP2'!$G$64,0,(COLUMN()-10)/4)</f>
        <v>11.978902169159998</v>
      </c>
      <c r="DC126" s="1625"/>
      <c r="DD126" s="2916" t="s">
        <v>1694</v>
      </c>
      <c r="DE126" s="2917">
        <f ca="1">+DF126/DF125*100</f>
        <v>27.857912021302322</v>
      </c>
      <c r="DF126" s="1670">
        <f ca="1">OFFSET('VVP2'!$G$64,0,(COLUMN()-10)/4)</f>
        <v>11.978902169159998</v>
      </c>
    </row>
    <row r="127" spans="1:110">
      <c r="AY127" s="217"/>
      <c r="BF127" s="217"/>
      <c r="BJ127" s="217"/>
      <c r="BN127" s="217"/>
      <c r="BR127" s="217"/>
      <c r="BV127" s="217"/>
      <c r="BZ127" s="217"/>
      <c r="CD127" s="217"/>
      <c r="CH127" s="217"/>
    </row>
    <row r="128" spans="1:110" s="736" customFormat="1" ht="12.75" customHeight="1">
      <c r="A128" s="701"/>
      <c r="B128" s="701"/>
      <c r="C128" s="1603"/>
      <c r="D128" s="779"/>
      <c r="E128" s="780" t="s">
        <v>1641</v>
      </c>
      <c r="F128" s="781"/>
      <c r="G128" s="1630" t="str">
        <f t="shared" ref="G128:N128" si="488">G123</f>
        <v>Q1</v>
      </c>
      <c r="H128" s="1631" t="str">
        <f t="shared" si="488"/>
        <v>Q2</v>
      </c>
      <c r="I128" s="1631" t="str">
        <f t="shared" si="488"/>
        <v>Q3</v>
      </c>
      <c r="J128" s="1632" t="str">
        <f t="shared" si="488"/>
        <v>Q4</v>
      </c>
      <c r="K128" s="1630" t="str">
        <f t="shared" si="488"/>
        <v>Q1</v>
      </c>
      <c r="L128" s="1631" t="str">
        <f t="shared" si="488"/>
        <v>Q2</v>
      </c>
      <c r="M128" s="1631" t="str">
        <f t="shared" si="488"/>
        <v>Q3</v>
      </c>
      <c r="N128" s="1632" t="str">
        <f t="shared" si="488"/>
        <v>Q4</v>
      </c>
      <c r="O128" s="1630" t="str">
        <f t="shared" ref="O128:AX128" si="489">O123</f>
        <v>Q1</v>
      </c>
      <c r="P128" s="1631" t="str">
        <f t="shared" si="489"/>
        <v>Q2</v>
      </c>
      <c r="Q128" s="1631" t="str">
        <f t="shared" si="489"/>
        <v>Q3</v>
      </c>
      <c r="R128" s="1632" t="str">
        <f t="shared" si="489"/>
        <v>Q4</v>
      </c>
      <c r="S128" s="1630" t="str">
        <f t="shared" si="489"/>
        <v>Q1</v>
      </c>
      <c r="T128" s="1631" t="str">
        <f t="shared" si="489"/>
        <v>Q2</v>
      </c>
      <c r="U128" s="1631" t="str">
        <f t="shared" si="489"/>
        <v>Q3</v>
      </c>
      <c r="V128" s="1632" t="str">
        <f t="shared" si="489"/>
        <v>Q4</v>
      </c>
      <c r="W128" s="1630" t="str">
        <f t="shared" si="489"/>
        <v>Q1</v>
      </c>
      <c r="X128" s="1631" t="str">
        <f t="shared" si="489"/>
        <v>Q2</v>
      </c>
      <c r="Y128" s="1631" t="str">
        <f t="shared" si="489"/>
        <v>Q3</v>
      </c>
      <c r="Z128" s="1632" t="str">
        <f t="shared" si="489"/>
        <v>Q4</v>
      </c>
      <c r="AA128" s="1630" t="str">
        <f t="shared" si="489"/>
        <v>Q1</v>
      </c>
      <c r="AB128" s="1631" t="str">
        <f t="shared" si="489"/>
        <v>Q2</v>
      </c>
      <c r="AC128" s="1631" t="str">
        <f t="shared" si="489"/>
        <v>Q3</v>
      </c>
      <c r="AD128" s="1632" t="str">
        <f t="shared" si="489"/>
        <v>Q4</v>
      </c>
      <c r="AE128" s="1630" t="str">
        <f t="shared" si="489"/>
        <v>Q1</v>
      </c>
      <c r="AF128" s="1631" t="str">
        <f t="shared" si="489"/>
        <v>Q2</v>
      </c>
      <c r="AG128" s="1631" t="str">
        <f t="shared" si="489"/>
        <v>Q3</v>
      </c>
      <c r="AH128" s="1632" t="str">
        <f t="shared" si="489"/>
        <v>Q4</v>
      </c>
      <c r="AI128" s="1630" t="str">
        <f t="shared" si="489"/>
        <v>Q1</v>
      </c>
      <c r="AJ128" s="1631" t="str">
        <f t="shared" si="489"/>
        <v>Q2</v>
      </c>
      <c r="AK128" s="1631" t="str">
        <f t="shared" si="489"/>
        <v>Q3</v>
      </c>
      <c r="AL128" s="1632" t="str">
        <f t="shared" si="489"/>
        <v>Q4</v>
      </c>
      <c r="AM128" s="1630" t="str">
        <f t="shared" si="489"/>
        <v>Q1</v>
      </c>
      <c r="AN128" s="1631" t="str">
        <f t="shared" si="489"/>
        <v>Q2</v>
      </c>
      <c r="AO128" s="1631" t="str">
        <f t="shared" si="489"/>
        <v>Q3</v>
      </c>
      <c r="AP128" s="1632" t="str">
        <f t="shared" si="489"/>
        <v>Q4</v>
      </c>
      <c r="AQ128" s="1630" t="str">
        <f t="shared" si="489"/>
        <v>Q1</v>
      </c>
      <c r="AR128" s="1631" t="str">
        <f t="shared" si="489"/>
        <v>Q2</v>
      </c>
      <c r="AS128" s="1631" t="str">
        <f t="shared" si="489"/>
        <v>Q3</v>
      </c>
      <c r="AT128" s="1632" t="str">
        <f t="shared" si="489"/>
        <v>Q4</v>
      </c>
      <c r="AU128" s="1630" t="str">
        <f t="shared" si="489"/>
        <v>Q1</v>
      </c>
      <c r="AV128" s="1631" t="str">
        <f t="shared" si="489"/>
        <v>Q2</v>
      </c>
      <c r="AW128" s="1631" t="str">
        <f t="shared" si="489"/>
        <v>Q3</v>
      </c>
      <c r="AX128" s="1632" t="str">
        <f t="shared" si="489"/>
        <v>Q4</v>
      </c>
      <c r="AY128" s="1630" t="str">
        <f t="shared" ref="AY128:BF128" si="490">AY123</f>
        <v>Q1</v>
      </c>
      <c r="AZ128" s="1631" t="str">
        <f t="shared" si="490"/>
        <v>Q2</v>
      </c>
      <c r="BA128" s="1604" t="str">
        <f t="shared" si="490"/>
        <v>Q3</v>
      </c>
      <c r="BB128" s="1604" t="str">
        <f t="shared" si="490"/>
        <v>Q4</v>
      </c>
      <c r="BC128" s="1604" t="str">
        <f t="shared" si="490"/>
        <v>Q1</v>
      </c>
      <c r="BD128" s="1604" t="str">
        <f t="shared" si="490"/>
        <v>Q2</v>
      </c>
      <c r="BE128" s="1604" t="str">
        <f t="shared" si="490"/>
        <v>Q3</v>
      </c>
      <c r="BF128" s="1632" t="str">
        <f t="shared" si="490"/>
        <v>Q4</v>
      </c>
      <c r="BG128" s="1604" t="str">
        <f t="shared" ref="BG128:BN128" si="491">BG123</f>
        <v>Q1</v>
      </c>
      <c r="BH128" s="1604" t="str">
        <f t="shared" si="491"/>
        <v>Q2</v>
      </c>
      <c r="BI128" s="1604" t="str">
        <f t="shared" si="491"/>
        <v>Q3</v>
      </c>
      <c r="BJ128" s="1632" t="str">
        <f t="shared" si="491"/>
        <v>Q4</v>
      </c>
      <c r="BK128" s="1604" t="str">
        <f t="shared" si="491"/>
        <v>Q1</v>
      </c>
      <c r="BL128" s="1604" t="str">
        <f t="shared" si="491"/>
        <v>Q2</v>
      </c>
      <c r="BM128" s="1604" t="str">
        <f t="shared" si="491"/>
        <v>Q3</v>
      </c>
      <c r="BN128" s="1632" t="str">
        <f t="shared" si="491"/>
        <v>Q4</v>
      </c>
      <c r="BO128" s="1604" t="str">
        <f t="shared" ref="BO128:BV128" si="492">BO123</f>
        <v>Q1</v>
      </c>
      <c r="BP128" s="1604" t="str">
        <f t="shared" si="492"/>
        <v>Q2</v>
      </c>
      <c r="BQ128" s="1604" t="str">
        <f t="shared" si="492"/>
        <v>Q3</v>
      </c>
      <c r="BR128" s="1632" t="str">
        <f t="shared" si="492"/>
        <v>Q4</v>
      </c>
      <c r="BS128" s="1604" t="str">
        <f t="shared" si="492"/>
        <v>Q1</v>
      </c>
      <c r="BT128" s="1604" t="str">
        <f t="shared" si="492"/>
        <v>Q2</v>
      </c>
      <c r="BU128" s="1604" t="str">
        <f t="shared" si="492"/>
        <v>Q3</v>
      </c>
      <c r="BV128" s="1632" t="str">
        <f t="shared" si="492"/>
        <v>Q4</v>
      </c>
      <c r="BW128" s="1604" t="str">
        <f t="shared" ref="BW128:CB128" si="493">BW123</f>
        <v>Q1</v>
      </c>
      <c r="BX128" s="1604" t="str">
        <f t="shared" si="493"/>
        <v>Q2</v>
      </c>
      <c r="BY128" s="1604" t="str">
        <f t="shared" si="493"/>
        <v>Q3</v>
      </c>
      <c r="BZ128" s="1632" t="str">
        <f t="shared" si="493"/>
        <v>Q4</v>
      </c>
      <c r="CA128" s="1604" t="str">
        <f t="shared" si="493"/>
        <v>Q1</v>
      </c>
      <c r="CB128" s="1604" t="str">
        <f t="shared" si="493"/>
        <v>Q2</v>
      </c>
      <c r="CC128" s="1604" t="str">
        <f t="shared" ref="CC128:CL128" si="494">CC123</f>
        <v>Q3</v>
      </c>
      <c r="CD128" s="1632" t="str">
        <f t="shared" si="494"/>
        <v>Q4</v>
      </c>
      <c r="CE128" s="1604" t="str">
        <f t="shared" si="494"/>
        <v>Q1</v>
      </c>
      <c r="CF128" s="1604" t="str">
        <f t="shared" si="494"/>
        <v>Q2</v>
      </c>
      <c r="CG128" s="1604" t="str">
        <f t="shared" si="494"/>
        <v>Q3</v>
      </c>
      <c r="CH128" s="1632" t="str">
        <f>CH123</f>
        <v>Q4</v>
      </c>
      <c r="CI128" s="1604" t="str">
        <f>CI123</f>
        <v>Q1</v>
      </c>
      <c r="CJ128" s="1604" t="str">
        <f>CJ123</f>
        <v>Q2</v>
      </c>
      <c r="CK128" s="1604" t="str">
        <f t="shared" si="494"/>
        <v>Q3</v>
      </c>
      <c r="CL128" s="1604" t="str">
        <f t="shared" si="494"/>
        <v>Q4</v>
      </c>
      <c r="CM128" s="1604" t="str">
        <f>CM123</f>
        <v>Q1</v>
      </c>
      <c r="CN128" s="1604" t="str">
        <f>CN123</f>
        <v>Q2</v>
      </c>
      <c r="CO128" s="1604" t="str">
        <f>CO123</f>
        <v>Q3</v>
      </c>
      <c r="CP128" s="1604" t="str">
        <f t="shared" ref="CP128" si="495">CP123</f>
        <v>Q4</v>
      </c>
      <c r="CQ128" s="1604" t="str">
        <f>CQ123</f>
        <v>Q1</v>
      </c>
      <c r="CR128" s="1604" t="str">
        <f>CR123</f>
        <v>Q2</v>
      </c>
      <c r="CS128" s="1604" t="str">
        <f>CS123</f>
        <v>Q3</v>
      </c>
      <c r="CT128" s="1604" t="str">
        <f t="shared" ref="CT128" si="496">CT123</f>
        <v>Q4</v>
      </c>
      <c r="CU128" s="1604" t="str">
        <f t="shared" ref="CU128:CX128" si="497">CU123</f>
        <v>Q1</v>
      </c>
      <c r="CV128" s="1604" t="str">
        <f>CV123</f>
        <v>Q2</v>
      </c>
      <c r="CW128" s="1604" t="str">
        <f t="shared" si="497"/>
        <v>Q3</v>
      </c>
      <c r="CX128" s="1604" t="str">
        <f t="shared" si="497"/>
        <v>Q4</v>
      </c>
      <c r="CY128" s="1604" t="str">
        <f t="shared" ref="CY128:DB128" si="498">CY123</f>
        <v>Q1</v>
      </c>
      <c r="CZ128" s="1604" t="str">
        <f t="shared" si="498"/>
        <v>Q2</v>
      </c>
      <c r="DA128" s="1604" t="str">
        <f t="shared" si="498"/>
        <v>Q3</v>
      </c>
      <c r="DB128" s="1604" t="str">
        <f t="shared" si="498"/>
        <v>Q4</v>
      </c>
      <c r="DC128" s="1604" t="str">
        <f t="shared" ref="DC128:DF128" si="499">DC123</f>
        <v>Q1</v>
      </c>
      <c r="DD128" s="1604" t="str">
        <f t="shared" si="499"/>
        <v>Q2</v>
      </c>
      <c r="DE128" s="1604" t="str">
        <f t="shared" si="499"/>
        <v>Q3</v>
      </c>
      <c r="DF128" s="1604" t="str">
        <f t="shared" si="499"/>
        <v>Q4</v>
      </c>
    </row>
    <row r="129" spans="1:110" s="736" customFormat="1" ht="12.75" customHeight="1">
      <c r="A129" s="701"/>
      <c r="B129" s="1615"/>
      <c r="C129" s="729"/>
      <c r="D129" s="726"/>
      <c r="E129" s="775" t="str">
        <f>E124</f>
        <v xml:space="preserve">Changes in inventories and net acquisition of valuables                         </v>
      </c>
      <c r="F129" s="770" t="s">
        <v>1429</v>
      </c>
      <c r="G129" s="1015"/>
      <c r="H129" s="1015">
        <f t="shared" ref="H129:AM129" si="500">(H124/G124-1)*100</f>
        <v>35.237728832035017</v>
      </c>
      <c r="I129" s="1015">
        <f t="shared" si="500"/>
        <v>91.008012896495714</v>
      </c>
      <c r="J129" s="1015">
        <f t="shared" si="500"/>
        <v>23.960233831031008</v>
      </c>
      <c r="K129" s="1015">
        <f t="shared" si="500"/>
        <v>-13.06820457367146</v>
      </c>
      <c r="L129" s="1015">
        <f t="shared" si="500"/>
        <v>-115.13636782456477</v>
      </c>
      <c r="M129" s="1015">
        <f t="shared" si="500"/>
        <v>43.319129508444945</v>
      </c>
      <c r="N129" s="1015">
        <f t="shared" si="500"/>
        <v>-84.422617467480293</v>
      </c>
      <c r="O129" s="1015">
        <f t="shared" si="500"/>
        <v>-1459.9522835718722</v>
      </c>
      <c r="P129" s="1015">
        <f t="shared" si="500"/>
        <v>-215.58106313125018</v>
      </c>
      <c r="Q129" s="1015">
        <f t="shared" si="500"/>
        <v>-155.8849039420617</v>
      </c>
      <c r="R129" s="1015">
        <f t="shared" si="500"/>
        <v>217.40969231366142</v>
      </c>
      <c r="S129" s="1015">
        <f t="shared" si="500"/>
        <v>3.811456372393085</v>
      </c>
      <c r="T129" s="1015">
        <f t="shared" si="500"/>
        <v>46.46271960812043</v>
      </c>
      <c r="U129" s="1015">
        <f t="shared" si="500"/>
        <v>-107.23496969014828</v>
      </c>
      <c r="V129" s="1015">
        <f t="shared" si="500"/>
        <v>276.63073674851984</v>
      </c>
      <c r="W129" s="1015">
        <f t="shared" si="500"/>
        <v>-207.42336175611413</v>
      </c>
      <c r="X129" s="1015">
        <f t="shared" si="500"/>
        <v>-73.73726276470147</v>
      </c>
      <c r="Y129" s="1015">
        <f t="shared" si="500"/>
        <v>-690.39949801298133</v>
      </c>
      <c r="Z129" s="1015">
        <f t="shared" si="500"/>
        <v>-166.12108973677638</v>
      </c>
      <c r="AA129" s="1015">
        <f t="shared" si="500"/>
        <v>36.993677668238291</v>
      </c>
      <c r="AB129" s="1015">
        <f t="shared" si="500"/>
        <v>32.84901343449993</v>
      </c>
      <c r="AC129" s="1015">
        <f t="shared" si="500"/>
        <v>-27.230440862589145</v>
      </c>
      <c r="AD129" s="1015">
        <f t="shared" si="500"/>
        <v>-134.30293713083557</v>
      </c>
      <c r="AE129" s="1015">
        <f t="shared" si="500"/>
        <v>-546.45005307229894</v>
      </c>
      <c r="AF129" s="1015">
        <f t="shared" si="500"/>
        <v>-40.49188339563338</v>
      </c>
      <c r="AG129" s="1015">
        <f t="shared" si="500"/>
        <v>-143.46436419328384</v>
      </c>
      <c r="AH129" s="1015">
        <f t="shared" si="500"/>
        <v>131.60044939229826</v>
      </c>
      <c r="AI129" s="1015">
        <f t="shared" si="500"/>
        <v>-159.17048862233182</v>
      </c>
      <c r="AJ129" s="1015">
        <f t="shared" si="500"/>
        <v>-260.92416620085686</v>
      </c>
      <c r="AK129" s="1015">
        <f t="shared" si="500"/>
        <v>-165.26722860318642</v>
      </c>
      <c r="AL129" s="1015">
        <f t="shared" si="500"/>
        <v>-124.81106971793466</v>
      </c>
      <c r="AM129" s="1015">
        <f t="shared" si="500"/>
        <v>-711.25411125412143</v>
      </c>
      <c r="AN129" s="1015">
        <f t="shared" ref="AN129:BE129" si="501">(AN124/AM124-1)*100</f>
        <v>-88.794010995438072</v>
      </c>
      <c r="AO129" s="1015">
        <f t="shared" si="501"/>
        <v>-12.818371607514445</v>
      </c>
      <c r="AP129" s="1015">
        <f t="shared" si="501"/>
        <v>271.26436781609237</v>
      </c>
      <c r="AQ129" s="1015">
        <f t="shared" si="501"/>
        <v>-219.93034055727335</v>
      </c>
      <c r="AR129" s="1015">
        <f t="shared" si="501"/>
        <v>98.386576314940299</v>
      </c>
      <c r="AS129" s="1015">
        <f t="shared" si="501"/>
        <v>-111.50238559965351</v>
      </c>
      <c r="AT129" s="1015">
        <f t="shared" si="501"/>
        <v>497.85529106761209</v>
      </c>
      <c r="AU129" s="1015">
        <f t="shared" si="501"/>
        <v>-51.582765009657415</v>
      </c>
      <c r="AV129" s="1015">
        <f t="shared" si="501"/>
        <v>-156.5380231232688</v>
      </c>
      <c r="AW129" s="1015">
        <f t="shared" si="501"/>
        <v>1281.99884792628</v>
      </c>
      <c r="AX129" s="1015">
        <f t="shared" si="501"/>
        <v>-161.81981118312737</v>
      </c>
      <c r="AY129" s="1015">
        <f t="shared" si="501"/>
        <v>-138.87671509961891</v>
      </c>
      <c r="AZ129" s="1015">
        <f t="shared" si="501"/>
        <v>-205.50208116545238</v>
      </c>
      <c r="BA129" s="1015">
        <f t="shared" si="501"/>
        <v>27.657913122097689</v>
      </c>
      <c r="BB129" s="1015">
        <f>(BB124/BA124-1)*100</f>
        <v>-40.311624762578866</v>
      </c>
      <c r="BC129" s="1015">
        <f>(BC124/BB124-1)*100</f>
        <v>238.17485572514889</v>
      </c>
      <c r="BD129" s="1015">
        <f>(BD124/BC124-1)*100</f>
        <v>-58.994274413486636</v>
      </c>
      <c r="BE129" s="1015">
        <f t="shared" si="501"/>
        <v>254.20637081405161</v>
      </c>
      <c r="BF129" s="1015">
        <f t="shared" ref="BF129:BN129" si="502">(BF124/BE124-1)*100</f>
        <v>10.165806522455135</v>
      </c>
      <c r="BG129" s="1015">
        <f t="shared" si="502"/>
        <v>-93.239175504345852</v>
      </c>
      <c r="BH129" s="1015">
        <f t="shared" si="502"/>
        <v>1558.8825003685986</v>
      </c>
      <c r="BI129" s="1015">
        <f t="shared" si="502"/>
        <v>-42.916940687154515</v>
      </c>
      <c r="BJ129" s="3177">
        <f t="shared" si="502"/>
        <v>-245.53408790148029</v>
      </c>
      <c r="BK129" s="1015">
        <f t="shared" si="502"/>
        <v>-5.2600611908682708</v>
      </c>
      <c r="BL129" s="1015">
        <f t="shared" si="502"/>
        <v>96.359571368887089</v>
      </c>
      <c r="BM129" s="1015">
        <f t="shared" si="502"/>
        <v>-38.637017101979424</v>
      </c>
      <c r="BN129" s="3177">
        <f t="shared" si="502"/>
        <v>-30.731241038712675</v>
      </c>
      <c r="BO129" s="1015">
        <f t="shared" ref="BO129:BV129" si="503">(BO124/BN124-1)*100</f>
        <v>-166.55122030412912</v>
      </c>
      <c r="BP129" s="1015">
        <f t="shared" si="503"/>
        <v>100.47975280533375</v>
      </c>
      <c r="BQ129" s="1015">
        <f t="shared" si="503"/>
        <v>-19.196917460961082</v>
      </c>
      <c r="BR129" s="3177">
        <f t="shared" si="503"/>
        <v>-67.711575143057999</v>
      </c>
      <c r="BS129" s="1015">
        <f t="shared" si="503"/>
        <v>660.35367275553801</v>
      </c>
      <c r="BT129" s="1015">
        <f t="shared" si="503"/>
        <v>-56.125312437704245</v>
      </c>
      <c r="BU129" s="1015">
        <f t="shared" si="503"/>
        <v>-38.218230113238974</v>
      </c>
      <c r="BV129" s="3177">
        <f t="shared" si="503"/>
        <v>52.410854028775432</v>
      </c>
      <c r="BW129" s="1015">
        <f t="shared" ref="BW129:CL129" si="504">(BW124/BV124-1)*100</f>
        <v>-147.37890504175681</v>
      </c>
      <c r="BX129" s="1015">
        <f t="shared" si="504"/>
        <v>-83.535279678278556</v>
      </c>
      <c r="BY129" s="1015">
        <f t="shared" si="504"/>
        <v>-1696.7010309278371</v>
      </c>
      <c r="BZ129" s="3177">
        <f t="shared" si="504"/>
        <v>-148.28850127145594</v>
      </c>
      <c r="CA129" s="1015">
        <f t="shared" si="504"/>
        <v>-219.65935037952767</v>
      </c>
      <c r="CB129" s="1015">
        <f t="shared" si="504"/>
        <v>-94.32525356713073</v>
      </c>
      <c r="CC129" s="1015">
        <f t="shared" si="504"/>
        <v>-1095.2741593456335</v>
      </c>
      <c r="CD129" s="3177">
        <f t="shared" si="504"/>
        <v>-270.15888476289047</v>
      </c>
      <c r="CE129" s="1015">
        <f t="shared" si="504"/>
        <v>-74.390025758442818</v>
      </c>
      <c r="CF129" s="1015">
        <f t="shared" ref="CF129" si="505">(CF124/CE124-1)*100</f>
        <v>259.97764894879833</v>
      </c>
      <c r="CG129" s="1015">
        <f t="shared" ref="CG129" si="506">(CG124/CF124-1)*100</f>
        <v>-68.335985098374053</v>
      </c>
      <c r="CH129" s="1015">
        <f t="shared" ref="CH129" si="507">(CH124/CG124-1)*100</f>
        <v>310.38053802316466</v>
      </c>
      <c r="CI129" s="1015">
        <f t="shared" ref="CI129" si="508">(CI124/CH124-1)*100</f>
        <v>-3.7374944004780919</v>
      </c>
      <c r="CJ129" s="1015">
        <f t="shared" ref="CJ129" si="509">(CJ124/CI124-1)*100</f>
        <v>-55.611398079637432</v>
      </c>
      <c r="CK129" s="1015">
        <f t="shared" ref="CK129" si="510">(CK124/CJ124-1)*100</f>
        <v>304.74210232037962</v>
      </c>
      <c r="CL129" s="1015">
        <f t="shared" si="504"/>
        <v>-8.064167983353876</v>
      </c>
      <c r="CM129" s="1015">
        <f t="shared" ref="CM129" si="511">(CM124/CL124-1)*100</f>
        <v>-20.049586311172884</v>
      </c>
      <c r="CN129" s="1015">
        <f t="shared" ref="CN129:CP129" si="512">(CN124/CM124-1)*100</f>
        <v>-4.0748484706099379</v>
      </c>
      <c r="CO129" s="1015">
        <f t="shared" si="512"/>
        <v>-36.323671675054939</v>
      </c>
      <c r="CP129" s="1015">
        <f t="shared" si="512"/>
        <v>-9.3038461538459405</v>
      </c>
      <c r="CQ129" s="1015">
        <f t="shared" ref="CQ129" si="513">(CQ124/CP124-1)*100</f>
        <v>63.180102624994184</v>
      </c>
      <c r="CR129" s="1015">
        <f t="shared" ref="CR129" si="514">(CR124/CQ124-1)*100</f>
        <v>30.76833118933493</v>
      </c>
      <c r="CS129" s="1015">
        <f t="shared" ref="CS129" si="515">(CS124/CR124-1)*100</f>
        <v>-46.458594169200708</v>
      </c>
      <c r="CT129" s="1015">
        <f t="shared" ref="CT129:CV129" si="516">(CT124/CS124-1)*100</f>
        <v>48.293524859417936</v>
      </c>
      <c r="CU129" s="1015">
        <f t="shared" si="516"/>
        <v>-18.988799199049456</v>
      </c>
      <c r="CV129" s="1015">
        <f t="shared" si="516"/>
        <v>150.89600197738545</v>
      </c>
      <c r="CW129" s="973">
        <f t="shared" ref="CW129" si="517">IF(ISNUMBER((CW124/CV124-1)*100),(CW124/CV124-1)*100,0)</f>
        <v>-26.112924081029487</v>
      </c>
      <c r="CX129" s="973">
        <f t="shared" ref="CX129" si="518">IF(ISNUMBER((CX124/CW124-1)*100),(CX124/CW124-1)*100,0)</f>
        <v>-33.333333333333336</v>
      </c>
      <c r="CY129" s="973">
        <f t="shared" ref="CY129" si="519">IF(ISNUMBER((CY124/CX124-1)*100),(CY124/CX124-1)*100,0)</f>
        <v>12.5</v>
      </c>
      <c r="CZ129" s="973">
        <f t="shared" ref="CZ129" si="520">IF(ISNUMBER((CZ124/CY124-1)*100),(CZ124/CY124-1)*100,0)</f>
        <v>0</v>
      </c>
      <c r="DA129" s="973">
        <f t="shared" ref="DA129" si="521">IF(ISNUMBER((DA124/CZ124-1)*100),(DA124/CZ124-1)*100,0)</f>
        <v>0</v>
      </c>
      <c r="DB129" s="973">
        <f t="shared" ref="DB129" si="522">IF(ISNUMBER((DB124/DA124-1)*100),(DB124/DA124-1)*100,0)</f>
        <v>11.111111111111116</v>
      </c>
      <c r="DC129" s="973">
        <f t="shared" ref="DC129" si="523">IF(ISNUMBER((DC124/DB124-1)*100),(DC124/DB124-1)*100,0)</f>
        <v>0</v>
      </c>
      <c r="DD129" s="973">
        <f t="shared" ref="DD129" si="524">IF(ISNUMBER((DD124/DC124-1)*100),(DD124/DC124-1)*100,0)</f>
        <v>10.000000000000009</v>
      </c>
      <c r="DE129" s="973">
        <f t="shared" ref="DE129" si="525">IF(ISNUMBER((DE124/DD124-1)*100),(DE124/DD124-1)*100,0)</f>
        <v>0</v>
      </c>
      <c r="DF129" s="973">
        <f t="shared" ref="DF129" si="526">IF(ISNUMBER((DF124/DE124-1)*100),(DF124/DE124-1)*100,0)</f>
        <v>0</v>
      </c>
    </row>
    <row r="130" spans="1:110" ht="12.75">
      <c r="C130" s="1605"/>
      <c r="D130" s="1633"/>
      <c r="E130" s="1634" t="s">
        <v>1783</v>
      </c>
      <c r="F130" s="1704"/>
      <c r="G130" s="1657"/>
      <c r="H130" s="1658"/>
      <c r="I130" s="1658"/>
      <c r="J130" s="1658"/>
      <c r="K130" s="1659"/>
      <c r="L130" s="1659"/>
      <c r="M130" s="1659"/>
      <c r="N130" s="1660">
        <f>N125/J125*100-100</f>
        <v>-79.547316996296715</v>
      </c>
      <c r="O130" s="1659"/>
      <c r="P130" s="1659"/>
      <c r="Q130" s="1659"/>
      <c r="R130" s="1660">
        <f>R125/N125*100-100</f>
        <v>95.253597364822809</v>
      </c>
      <c r="S130" s="1659"/>
      <c r="T130" s="1659"/>
      <c r="U130" s="1659"/>
      <c r="V130" s="1660">
        <f>V125/R125*100-100</f>
        <v>64.177897042283831</v>
      </c>
      <c r="W130" s="1659"/>
      <c r="X130" s="1659"/>
      <c r="Y130" s="1659"/>
      <c r="Z130" s="1660">
        <f>Z125/V125*100-100</f>
        <v>-83.86854471378642</v>
      </c>
      <c r="AA130" s="1659"/>
      <c r="AB130" s="1659"/>
      <c r="AC130" s="1659"/>
      <c r="AD130" s="1660">
        <f>AD125/Z125*100-100</f>
        <v>464.53715775750914</v>
      </c>
      <c r="AE130" s="1659"/>
      <c r="AF130" s="1659"/>
      <c r="AG130" s="1659"/>
      <c r="AH130" s="1660">
        <f>AH125/AD125*100-100</f>
        <v>-63.161992741669692</v>
      </c>
      <c r="AI130" s="1659"/>
      <c r="AJ130" s="1659"/>
      <c r="AK130" s="1659"/>
      <c r="AL130" s="1660">
        <f>AL125/AH125*100-100</f>
        <v>-91.325141506053939</v>
      </c>
      <c r="AM130" s="1659"/>
      <c r="AN130" s="1659"/>
      <c r="AO130" s="1659"/>
      <c r="AP130" s="1660">
        <f>AP125/AL125*100-100</f>
        <v>1287.8794135865767</v>
      </c>
      <c r="AQ130" s="1659"/>
      <c r="AR130" s="1659"/>
      <c r="AS130" s="1659"/>
      <c r="AT130" s="1660">
        <f>AT125/AP125*100-100</f>
        <v>-138.49140816781926</v>
      </c>
      <c r="AU130" s="1659"/>
      <c r="AV130" s="1659"/>
      <c r="AW130" s="1659"/>
      <c r="AX130" s="1660">
        <f>AX125/AT125*100-100</f>
        <v>20.987940630797894</v>
      </c>
      <c r="AY130" s="1659"/>
      <c r="AZ130" s="1659"/>
      <c r="BA130" s="1659"/>
      <c r="BB130" s="1660">
        <f>BB125/AX125*100-100</f>
        <v>-262.52316145933219</v>
      </c>
      <c r="BC130" s="1659"/>
      <c r="BD130" s="1659"/>
      <c r="BE130" s="1659"/>
      <c r="BF130" s="1660">
        <f>BF125/BB125*100-100</f>
        <v>450.01670827354451</v>
      </c>
      <c r="BG130" s="1659"/>
      <c r="BH130" s="1659"/>
      <c r="BI130" s="1659"/>
      <c r="BJ130" s="1660">
        <f>BJ125/BF125*100-100</f>
        <v>-67.814588470747921</v>
      </c>
      <c r="BK130" s="1659"/>
      <c r="BL130" s="1659"/>
      <c r="BM130" s="1659"/>
      <c r="BN130" s="1660">
        <f>BN125/BJ125*100-100</f>
        <v>-591.99848986208826</v>
      </c>
      <c r="BO130" s="1659"/>
      <c r="BP130" s="1659"/>
      <c r="BQ130" s="1659"/>
      <c r="BR130" s="1660">
        <f>BR125/BN125*100-100</f>
        <v>-157.15169132715246</v>
      </c>
      <c r="BS130" s="1659"/>
      <c r="BT130" s="1659"/>
      <c r="BU130" s="1659"/>
      <c r="BV130" s="1660">
        <f>BV125/BR125*100-100</f>
        <v>64.013347549658135</v>
      </c>
      <c r="BW130" s="1659"/>
      <c r="BX130" s="1659"/>
      <c r="BY130" s="1659"/>
      <c r="BZ130" s="1660">
        <f>BZ125/BV125*100-100</f>
        <v>-98.203842236673879</v>
      </c>
      <c r="CA130" s="1659"/>
      <c r="CB130" s="1659"/>
      <c r="CC130" s="1659"/>
      <c r="CD130" s="1660">
        <f>CD125/BZ125*100-100</f>
        <v>1032.9892761394103</v>
      </c>
      <c r="CE130" s="1659"/>
      <c r="CF130" s="1659"/>
      <c r="CG130" s="1659"/>
      <c r="CH130" s="1660">
        <f>CH125/CD125*100-100</f>
        <v>76.457921699932342</v>
      </c>
      <c r="CI130" s="1659"/>
      <c r="CJ130" s="1659"/>
      <c r="CK130" s="1659"/>
      <c r="CL130" s="1660">
        <f>CL125/CH125*100-100</f>
        <v>111.46341790484354</v>
      </c>
      <c r="CM130" s="1659"/>
      <c r="CN130" s="1659"/>
      <c r="CO130" s="1659"/>
      <c r="CP130" s="1660">
        <f>CP125/CL125*100-100</f>
        <v>-15.672273570397977</v>
      </c>
      <c r="CQ130" s="1659"/>
      <c r="CR130" s="1659"/>
      <c r="CS130" s="1659"/>
      <c r="CT130" s="1660">
        <f>CT125/CP125*100-100</f>
        <v>17.08095669600722</v>
      </c>
      <c r="CU130" s="1659"/>
      <c r="CV130" s="1659"/>
      <c r="CW130" s="1659"/>
      <c r="CX130" s="1660">
        <f>CX125/CT125*100-100</f>
        <v>37.174879971738989</v>
      </c>
      <c r="CY130" s="1659"/>
      <c r="CZ130" s="1659"/>
      <c r="DA130" s="1659"/>
      <c r="DB130" s="1660">
        <f>DB125/CX125*100-100</f>
        <v>-13.377752597496752</v>
      </c>
      <c r="DC130" s="1659"/>
      <c r="DD130" s="1659"/>
      <c r="DE130" s="1659"/>
      <c r="DF130" s="1660">
        <f>DF125/DB125*100-100</f>
        <v>16.21621621621621</v>
      </c>
    </row>
    <row r="131" spans="1:110" s="736" customFormat="1" ht="12.75" customHeight="1">
      <c r="A131" s="701"/>
      <c r="B131" s="701"/>
      <c r="C131" s="703"/>
      <c r="D131" s="754"/>
      <c r="E131" s="1648" t="s">
        <v>136</v>
      </c>
      <c r="F131" s="754"/>
      <c r="G131" s="1649"/>
      <c r="H131" s="1649"/>
      <c r="I131" s="1649"/>
      <c r="J131" s="1650"/>
      <c r="K131" s="1649"/>
      <c r="L131" s="1649"/>
      <c r="M131" s="1649"/>
      <c r="N131" s="1651">
        <f ca="1">N126/J126*100-100</f>
        <v>-70.752197753590082</v>
      </c>
      <c r="O131" s="1649"/>
      <c r="P131" s="1649"/>
      <c r="Q131" s="1649"/>
      <c r="R131" s="1651">
        <f ca="1">R126/N126*100-100</f>
        <v>30.032118733609593</v>
      </c>
      <c r="S131" s="1649"/>
      <c r="T131" s="1649"/>
      <c r="U131" s="1649"/>
      <c r="V131" s="1651">
        <f ca="1">V126/R126*100-100</f>
        <v>65.9578732701695</v>
      </c>
      <c r="W131" s="1649"/>
      <c r="X131" s="1649"/>
      <c r="Y131" s="1649"/>
      <c r="Z131" s="1651">
        <f ca="1">Z126/V126*100-100</f>
        <v>-59.315146982362783</v>
      </c>
      <c r="AA131" s="1649"/>
      <c r="AB131" s="1649"/>
      <c r="AC131" s="1649"/>
      <c r="AD131" s="1651">
        <f ca="1">AD126/Z126*100-100</f>
        <v>168.55031090179961</v>
      </c>
      <c r="AE131" s="1649"/>
      <c r="AF131" s="1649"/>
      <c r="AG131" s="1649"/>
      <c r="AH131" s="1651">
        <f ca="1">AH126/AD126*100-100</f>
        <v>-50.309169882367549</v>
      </c>
      <c r="AI131" s="1649"/>
      <c r="AJ131" s="1649"/>
      <c r="AK131" s="1649"/>
      <c r="AL131" s="1651">
        <f ca="1">AL126/AH126*100-100</f>
        <v>-67.589588503496913</v>
      </c>
      <c r="AM131" s="1649"/>
      <c r="AN131" s="1649"/>
      <c r="AO131" s="1649"/>
      <c r="AP131" s="1651">
        <f ca="1">AP126/AL126*100-100</f>
        <v>252.85259281965443</v>
      </c>
      <c r="AQ131" s="1649"/>
      <c r="AR131" s="1649"/>
      <c r="AS131" s="1649"/>
      <c r="AT131" s="1651">
        <f ca="1">AT126/AP126*100-100</f>
        <v>-89.702062479814757</v>
      </c>
      <c r="AU131" s="1649"/>
      <c r="AV131" s="1649"/>
      <c r="AW131" s="1649"/>
      <c r="AX131" s="1651">
        <f ca="1">AX126/AT126*100-100</f>
        <v>35.97161654077442</v>
      </c>
      <c r="AY131" s="1649"/>
      <c r="AZ131" s="1649"/>
      <c r="BA131" s="1649"/>
      <c r="BB131" s="1651">
        <f ca="1">BB126/AX126*100-100</f>
        <v>-150.3400094263188</v>
      </c>
      <c r="BC131" s="1649"/>
      <c r="BD131" s="1649"/>
      <c r="BE131" s="1649"/>
      <c r="BF131" s="1651">
        <f ca="1">BF126/BB126*100-100</f>
        <v>2463.8885525677219</v>
      </c>
      <c r="BG131" s="1649"/>
      <c r="BH131" s="1649"/>
      <c r="BI131" s="1649"/>
      <c r="BJ131" s="1651">
        <f ca="1">BJ126/BF126*100-100</f>
        <v>-70.334528107027197</v>
      </c>
      <c r="BK131" s="1649"/>
      <c r="BL131" s="1649"/>
      <c r="BM131" s="1649"/>
      <c r="BN131" s="1651">
        <f ca="1">BN126/BJ126*100-100</f>
        <v>-780.79015800776619</v>
      </c>
      <c r="BO131" s="1649"/>
      <c r="BP131" s="1649"/>
      <c r="BQ131" s="1649"/>
      <c r="BR131" s="1651">
        <f ca="1">BR126/BN126*100-100</f>
        <v>-150.9348129309675</v>
      </c>
      <c r="BS131" s="1649"/>
      <c r="BT131" s="1649"/>
      <c r="BU131" s="1649"/>
      <c r="BV131" s="1651">
        <f ca="1">BV126/BR126*100-100</f>
        <v>76.436535975872459</v>
      </c>
      <c r="BW131" s="1649"/>
      <c r="BX131" s="1649"/>
      <c r="BY131" s="1649"/>
      <c r="BZ131" s="1651">
        <f ca="1">BZ126/BV126*100-100</f>
        <v>-100.89990281048631</v>
      </c>
      <c r="CA131" s="1649"/>
      <c r="CB131" s="1649"/>
      <c r="CC131" s="1649"/>
      <c r="CD131" s="1651">
        <f ca="1">CD126/BZ126*100-100</f>
        <v>-745.05899134284925</v>
      </c>
      <c r="CE131" s="1649"/>
      <c r="CF131" s="1649"/>
      <c r="CG131" s="1649"/>
      <c r="CH131" s="1651">
        <f ca="1">CH126/CD126*100-100</f>
        <v>101.39415091255955</v>
      </c>
      <c r="CI131" s="1649"/>
      <c r="CJ131" s="1649"/>
      <c r="CK131" s="1649"/>
      <c r="CL131" s="1651">
        <f ca="1">CL126/CH126*100-100</f>
        <v>142.04577855450998</v>
      </c>
      <c r="CM131" s="1649"/>
      <c r="CN131" s="1649"/>
      <c r="CO131" s="1649"/>
      <c r="CP131" s="1651">
        <f ca="1">CP126/CL126*100-100</f>
        <v>-16.226479724788561</v>
      </c>
      <c r="CQ131" s="1649"/>
      <c r="CR131" s="1649"/>
      <c r="CS131" s="1649"/>
      <c r="CT131" s="1651">
        <f ca="1">CT126/CP126*100-100</f>
        <v>23.893306594954723</v>
      </c>
      <c r="CU131" s="1649"/>
      <c r="CV131" s="1649"/>
      <c r="CW131" s="1649"/>
      <c r="CX131" s="1651">
        <f ca="1">CX126/CT126*100-100</f>
        <v>20</v>
      </c>
      <c r="CY131" s="1649"/>
      <c r="CZ131" s="1649"/>
      <c r="DA131" s="1649"/>
      <c r="DB131" s="1651">
        <f ca="1">DB126/CX126*100-100</f>
        <v>-17</v>
      </c>
      <c r="DC131" s="1649"/>
      <c r="DD131" s="1649"/>
      <c r="DE131" s="1649"/>
      <c r="DF131" s="1651">
        <f ca="1">DF126/DB126*100-100</f>
        <v>0</v>
      </c>
    </row>
    <row r="132" spans="1:110">
      <c r="AY132" s="217"/>
      <c r="BF132" s="217"/>
      <c r="BJ132" s="217"/>
      <c r="BN132" s="217"/>
      <c r="BR132" s="217"/>
      <c r="BV132" s="217"/>
    </row>
    <row r="133" spans="1:110" s="736" customFormat="1" ht="12.75" customHeight="1">
      <c r="A133" s="701"/>
      <c r="B133" s="701"/>
      <c r="C133" s="703"/>
      <c r="D133" s="895"/>
      <c r="E133" s="896" t="s">
        <v>1769</v>
      </c>
      <c r="F133" s="897"/>
      <c r="G133" s="1675" t="str">
        <f t="shared" ref="G133:N133" si="527">G128</f>
        <v>Q1</v>
      </c>
      <c r="H133" s="1675" t="str">
        <f t="shared" si="527"/>
        <v>Q2</v>
      </c>
      <c r="I133" s="1675" t="str">
        <f t="shared" si="527"/>
        <v>Q3</v>
      </c>
      <c r="J133" s="1675" t="str">
        <f t="shared" si="527"/>
        <v>Q4</v>
      </c>
      <c r="K133" s="1676" t="str">
        <f t="shared" si="527"/>
        <v>Q1</v>
      </c>
      <c r="L133" s="1675" t="str">
        <f t="shared" si="527"/>
        <v>Q2</v>
      </c>
      <c r="M133" s="1675" t="str">
        <f t="shared" si="527"/>
        <v>Q3</v>
      </c>
      <c r="N133" s="1677" t="str">
        <f t="shared" si="527"/>
        <v>Q4</v>
      </c>
      <c r="O133" s="1676" t="str">
        <f t="shared" ref="O133:AX133" si="528">O128</f>
        <v>Q1</v>
      </c>
      <c r="P133" s="1675" t="str">
        <f t="shared" si="528"/>
        <v>Q2</v>
      </c>
      <c r="Q133" s="1675" t="str">
        <f t="shared" si="528"/>
        <v>Q3</v>
      </c>
      <c r="R133" s="1677" t="str">
        <f t="shared" si="528"/>
        <v>Q4</v>
      </c>
      <c r="S133" s="1676" t="str">
        <f t="shared" si="528"/>
        <v>Q1</v>
      </c>
      <c r="T133" s="1675" t="str">
        <f t="shared" si="528"/>
        <v>Q2</v>
      </c>
      <c r="U133" s="1675" t="str">
        <f t="shared" si="528"/>
        <v>Q3</v>
      </c>
      <c r="V133" s="1677" t="str">
        <f t="shared" si="528"/>
        <v>Q4</v>
      </c>
      <c r="W133" s="1676" t="str">
        <f t="shared" si="528"/>
        <v>Q1</v>
      </c>
      <c r="X133" s="1675" t="str">
        <f t="shared" si="528"/>
        <v>Q2</v>
      </c>
      <c r="Y133" s="1675" t="str">
        <f t="shared" si="528"/>
        <v>Q3</v>
      </c>
      <c r="Z133" s="1677" t="str">
        <f t="shared" si="528"/>
        <v>Q4</v>
      </c>
      <c r="AA133" s="1676" t="str">
        <f t="shared" si="528"/>
        <v>Q1</v>
      </c>
      <c r="AB133" s="1675" t="str">
        <f t="shared" si="528"/>
        <v>Q2</v>
      </c>
      <c r="AC133" s="1675" t="str">
        <f t="shared" si="528"/>
        <v>Q3</v>
      </c>
      <c r="AD133" s="1677" t="str">
        <f t="shared" si="528"/>
        <v>Q4</v>
      </c>
      <c r="AE133" s="1676" t="str">
        <f t="shared" si="528"/>
        <v>Q1</v>
      </c>
      <c r="AF133" s="1675" t="str">
        <f t="shared" si="528"/>
        <v>Q2</v>
      </c>
      <c r="AG133" s="1675" t="str">
        <f t="shared" si="528"/>
        <v>Q3</v>
      </c>
      <c r="AH133" s="1677" t="str">
        <f t="shared" si="528"/>
        <v>Q4</v>
      </c>
      <c r="AI133" s="1676" t="str">
        <f t="shared" si="528"/>
        <v>Q1</v>
      </c>
      <c r="AJ133" s="1675" t="str">
        <f t="shared" si="528"/>
        <v>Q2</v>
      </c>
      <c r="AK133" s="1675" t="str">
        <f t="shared" si="528"/>
        <v>Q3</v>
      </c>
      <c r="AL133" s="1677" t="str">
        <f t="shared" si="528"/>
        <v>Q4</v>
      </c>
      <c r="AM133" s="1676" t="str">
        <f t="shared" si="528"/>
        <v>Q1</v>
      </c>
      <c r="AN133" s="1675" t="str">
        <f t="shared" si="528"/>
        <v>Q2</v>
      </c>
      <c r="AO133" s="1675" t="str">
        <f t="shared" si="528"/>
        <v>Q3</v>
      </c>
      <c r="AP133" s="1677" t="str">
        <f t="shared" si="528"/>
        <v>Q4</v>
      </c>
      <c r="AQ133" s="1676" t="str">
        <f t="shared" si="528"/>
        <v>Q1</v>
      </c>
      <c r="AR133" s="1675" t="str">
        <f t="shared" si="528"/>
        <v>Q2</v>
      </c>
      <c r="AS133" s="1675" t="str">
        <f t="shared" si="528"/>
        <v>Q3</v>
      </c>
      <c r="AT133" s="1677" t="str">
        <f t="shared" si="528"/>
        <v>Q4</v>
      </c>
      <c r="AU133" s="1676" t="str">
        <f t="shared" si="528"/>
        <v>Q1</v>
      </c>
      <c r="AV133" s="1675" t="str">
        <f t="shared" si="528"/>
        <v>Q2</v>
      </c>
      <c r="AW133" s="1675" t="str">
        <f t="shared" si="528"/>
        <v>Q3</v>
      </c>
      <c r="AX133" s="1677" t="str">
        <f t="shared" si="528"/>
        <v>Q4</v>
      </c>
      <c r="AY133" s="1676" t="str">
        <f t="shared" ref="AY133:BF133" si="529">AY128</f>
        <v>Q1</v>
      </c>
      <c r="AZ133" s="1675" t="str">
        <f t="shared" si="529"/>
        <v>Q2</v>
      </c>
      <c r="BA133" s="1606" t="str">
        <f t="shared" si="529"/>
        <v>Q3</v>
      </c>
      <c r="BB133" s="1606" t="str">
        <f t="shared" si="529"/>
        <v>Q4</v>
      </c>
      <c r="BC133" s="1606" t="str">
        <f t="shared" si="529"/>
        <v>Q1</v>
      </c>
      <c r="BD133" s="1606" t="str">
        <f t="shared" si="529"/>
        <v>Q2</v>
      </c>
      <c r="BE133" s="1606" t="str">
        <f t="shared" si="529"/>
        <v>Q3</v>
      </c>
      <c r="BF133" s="1677" t="str">
        <f t="shared" si="529"/>
        <v>Q4</v>
      </c>
      <c r="BG133" s="1606" t="str">
        <f t="shared" ref="BG133:BZ133" si="530">BG128</f>
        <v>Q1</v>
      </c>
      <c r="BH133" s="1606" t="str">
        <f t="shared" si="530"/>
        <v>Q2</v>
      </c>
      <c r="BI133" s="1606" t="str">
        <f t="shared" si="530"/>
        <v>Q3</v>
      </c>
      <c r="BJ133" s="1677" t="str">
        <f t="shared" si="530"/>
        <v>Q4</v>
      </c>
      <c r="BK133" s="1606" t="str">
        <f t="shared" si="530"/>
        <v>Q1</v>
      </c>
      <c r="BL133" s="1606" t="str">
        <f t="shared" si="530"/>
        <v>Q2</v>
      </c>
      <c r="BM133" s="1606" t="str">
        <f t="shared" si="530"/>
        <v>Q3</v>
      </c>
      <c r="BN133" s="1677" t="str">
        <f t="shared" si="530"/>
        <v>Q4</v>
      </c>
      <c r="BO133" s="1606" t="str">
        <f t="shared" ref="BO133:BV133" si="531">BO128</f>
        <v>Q1</v>
      </c>
      <c r="BP133" s="1606" t="str">
        <f t="shared" si="531"/>
        <v>Q2</v>
      </c>
      <c r="BQ133" s="1606" t="str">
        <f t="shared" si="531"/>
        <v>Q3</v>
      </c>
      <c r="BR133" s="1677" t="str">
        <f t="shared" si="531"/>
        <v>Q4</v>
      </c>
      <c r="BS133" s="1606" t="str">
        <f t="shared" si="531"/>
        <v>Q1</v>
      </c>
      <c r="BT133" s="1606" t="str">
        <f t="shared" si="531"/>
        <v>Q2</v>
      </c>
      <c r="BU133" s="1606" t="str">
        <f t="shared" si="531"/>
        <v>Q3</v>
      </c>
      <c r="BV133" s="1677" t="str">
        <f t="shared" si="531"/>
        <v>Q4</v>
      </c>
      <c r="BW133" s="1606" t="str">
        <f t="shared" si="530"/>
        <v>Q1</v>
      </c>
      <c r="BX133" s="1606" t="str">
        <f t="shared" si="530"/>
        <v>Q2</v>
      </c>
      <c r="BY133" s="1606" t="str">
        <f t="shared" si="530"/>
        <v>Q3</v>
      </c>
      <c r="BZ133" s="1606" t="str">
        <f t="shared" si="530"/>
        <v>Q4</v>
      </c>
      <c r="CA133" s="1606" t="str">
        <f t="shared" ref="CA133:CL133" si="532">CA128</f>
        <v>Q1</v>
      </c>
      <c r="CB133" s="1606" t="str">
        <f t="shared" si="532"/>
        <v>Q2</v>
      </c>
      <c r="CC133" s="1606" t="str">
        <f t="shared" si="532"/>
        <v>Q3</v>
      </c>
      <c r="CD133" s="1606" t="str">
        <f t="shared" si="532"/>
        <v>Q4</v>
      </c>
      <c r="CE133" s="1606" t="str">
        <f>CE128</f>
        <v>Q1</v>
      </c>
      <c r="CF133" s="1606" t="str">
        <f>CF128</f>
        <v>Q2</v>
      </c>
      <c r="CG133" s="1606" t="str">
        <f t="shared" si="532"/>
        <v>Q3</v>
      </c>
      <c r="CH133" s="1606" t="str">
        <f>CH128</f>
        <v>Q4</v>
      </c>
      <c r="CI133" s="1606" t="str">
        <f>CI128</f>
        <v>Q1</v>
      </c>
      <c r="CJ133" s="1606" t="str">
        <f>CJ128</f>
        <v>Q2</v>
      </c>
      <c r="CK133" s="1606" t="str">
        <f t="shared" si="532"/>
        <v>Q3</v>
      </c>
      <c r="CL133" s="1606" t="str">
        <f t="shared" si="532"/>
        <v>Q4</v>
      </c>
      <c r="CM133" s="1606" t="str">
        <f>CM128</f>
        <v>Q1</v>
      </c>
      <c r="CN133" s="1606" t="str">
        <f>CN128</f>
        <v>Q2</v>
      </c>
      <c r="CO133" s="1606" t="str">
        <f>CO128</f>
        <v>Q3</v>
      </c>
      <c r="CP133" s="1606" t="str">
        <f t="shared" ref="CP133" si="533">CP128</f>
        <v>Q4</v>
      </c>
      <c r="CQ133" s="1606" t="str">
        <f>CQ128</f>
        <v>Q1</v>
      </c>
      <c r="CR133" s="1606" t="str">
        <f>CR128</f>
        <v>Q2</v>
      </c>
      <c r="CS133" s="1606" t="str">
        <f>CS128</f>
        <v>Q3</v>
      </c>
      <c r="CT133" s="1606" t="str">
        <f t="shared" ref="CT133" si="534">CT128</f>
        <v>Q4</v>
      </c>
      <c r="CU133" s="1606" t="str">
        <f t="shared" ref="CU133:CX133" si="535">CU128</f>
        <v>Q1</v>
      </c>
      <c r="CV133" s="1606" t="str">
        <f>CV128</f>
        <v>Q2</v>
      </c>
      <c r="CW133" s="1606" t="str">
        <f t="shared" si="535"/>
        <v>Q3</v>
      </c>
      <c r="CX133" s="1606" t="str">
        <f t="shared" si="535"/>
        <v>Q4</v>
      </c>
      <c r="CY133" s="1606" t="str">
        <f t="shared" ref="CY133:DB133" si="536">CY128</f>
        <v>Q1</v>
      </c>
      <c r="CZ133" s="1606" t="str">
        <f t="shared" si="536"/>
        <v>Q2</v>
      </c>
      <c r="DA133" s="1606" t="str">
        <f t="shared" si="536"/>
        <v>Q3</v>
      </c>
      <c r="DB133" s="1606" t="str">
        <f t="shared" si="536"/>
        <v>Q4</v>
      </c>
      <c r="DC133" s="1606" t="str">
        <f t="shared" ref="DC133:DF133" si="537">DC128</f>
        <v>Q1</v>
      </c>
      <c r="DD133" s="1606" t="str">
        <f t="shared" si="537"/>
        <v>Q2</v>
      </c>
      <c r="DE133" s="1606" t="str">
        <f t="shared" si="537"/>
        <v>Q3</v>
      </c>
      <c r="DF133" s="1606" t="str">
        <f t="shared" si="537"/>
        <v>Q4</v>
      </c>
    </row>
    <row r="134" spans="1:110" s="736" customFormat="1" ht="12.75" customHeight="1">
      <c r="B134" s="701"/>
      <c r="C134" s="1678"/>
      <c r="D134" s="1679"/>
      <c r="E134" s="1680" t="s">
        <v>1770</v>
      </c>
      <c r="F134" s="1681"/>
      <c r="G134" s="1682">
        <f t="shared" ref="G134:AL134" si="538">G124/G258*100</f>
        <v>0.52449766119210095</v>
      </c>
      <c r="H134" s="1682">
        <f t="shared" si="538"/>
        <v>0.7055771742388578</v>
      </c>
      <c r="I134" s="1682">
        <f t="shared" si="538"/>
        <v>1.3428853626478841</v>
      </c>
      <c r="J134" s="1682">
        <f t="shared" si="538"/>
        <v>1.6426943964410603</v>
      </c>
      <c r="K134" s="1682">
        <f t="shared" si="538"/>
        <v>1.4227572000209088</v>
      </c>
      <c r="L134" s="1682">
        <f t="shared" si="538"/>
        <v>-0.21698610559143106</v>
      </c>
      <c r="M134" s="1682">
        <f t="shared" si="538"/>
        <v>-0.30950716960582081</v>
      </c>
      <c r="N134" s="1682">
        <f t="shared" si="538"/>
        <v>-4.7856184824697563E-2</v>
      </c>
      <c r="O134" s="1682">
        <f t="shared" si="538"/>
        <v>0.64700512240089492</v>
      </c>
      <c r="P134" s="1682">
        <f t="shared" si="538"/>
        <v>-0.7383142140294755</v>
      </c>
      <c r="Q134" s="1682">
        <f t="shared" si="538"/>
        <v>0.4085317237017515</v>
      </c>
      <c r="R134" s="1682">
        <f t="shared" si="538"/>
        <v>1.2752343032197466</v>
      </c>
      <c r="S134" s="1682">
        <f t="shared" si="538"/>
        <v>1.3204653628177756</v>
      </c>
      <c r="T134" s="1682">
        <f t="shared" si="538"/>
        <v>1.9031866157852715</v>
      </c>
      <c r="U134" s="1682">
        <f t="shared" si="538"/>
        <v>-0.13697410369026763</v>
      </c>
      <c r="V134" s="1682">
        <f t="shared" si="538"/>
        <v>-0.51024118015008058</v>
      </c>
      <c r="W134" s="1682">
        <f t="shared" si="538"/>
        <v>0.54011947337720789</v>
      </c>
      <c r="X134" s="1682">
        <f t="shared" si="538"/>
        <v>0.14140119683794605</v>
      </c>
      <c r="Y134" s="1682">
        <f t="shared" si="538"/>
        <v>-0.82659112642258747</v>
      </c>
      <c r="Z134" s="1682">
        <f t="shared" si="538"/>
        <v>0.53673318028500416</v>
      </c>
      <c r="AA134" s="1682">
        <f t="shared" si="538"/>
        <v>0.72998900526953114</v>
      </c>
      <c r="AB134" s="1682">
        <f t="shared" si="538"/>
        <v>0.94913775651413634</v>
      </c>
      <c r="AC134" s="1682">
        <f t="shared" si="538"/>
        <v>0.68472962626028777</v>
      </c>
      <c r="AD134" s="1682">
        <f t="shared" si="538"/>
        <v>-0.23422551643770426</v>
      </c>
      <c r="AE134" s="1682">
        <f t="shared" si="538"/>
        <v>1.0482757360215469</v>
      </c>
      <c r="AF134" s="1682">
        <f t="shared" si="538"/>
        <v>0.62110790827956697</v>
      </c>
      <c r="AG134" s="1682">
        <f t="shared" si="538"/>
        <v>-0.26831883764860665</v>
      </c>
      <c r="AH134" s="1682">
        <f t="shared" si="538"/>
        <v>-0.61770508504817967</v>
      </c>
      <c r="AI134" s="1682">
        <f t="shared" si="538"/>
        <v>0.36562909391156362</v>
      </c>
      <c r="AJ134" s="1682">
        <f t="shared" si="538"/>
        <v>-0.58035600292973255</v>
      </c>
      <c r="AK134" s="1682">
        <f t="shared" si="538"/>
        <v>0.37807520618076834</v>
      </c>
      <c r="AL134" s="1682">
        <f t="shared" si="538"/>
        <v>-9.3391368730436741E-2</v>
      </c>
      <c r="AM134" s="1682">
        <f t="shared" ref="AM134:BR134" si="539">AM124/AM258*100</f>
        <v>0.5641277070574362</v>
      </c>
      <c r="AN134" s="1682">
        <f t="shared" si="539"/>
        <v>6.3484052514432357E-2</v>
      </c>
      <c r="AO134" s="1682">
        <f t="shared" si="539"/>
        <v>5.4605187885128491E-2</v>
      </c>
      <c r="AP134" s="1682">
        <f t="shared" si="539"/>
        <v>0.20150884688044357</v>
      </c>
      <c r="AQ134" s="1682">
        <f t="shared" si="539"/>
        <v>-0.23797779539438532</v>
      </c>
      <c r="AR134" s="1682">
        <f t="shared" si="539"/>
        <v>-0.46876090080677102</v>
      </c>
      <c r="AS134" s="1682">
        <f t="shared" si="539"/>
        <v>5.3456808523963083E-2</v>
      </c>
      <c r="AT134" s="1682">
        <f t="shared" si="539"/>
        <v>0.31697572643446381</v>
      </c>
      <c r="AU134" s="1682">
        <f t="shared" si="539"/>
        <v>0.15330942778086309</v>
      </c>
      <c r="AV134" s="1682">
        <f t="shared" si="539"/>
        <v>-8.5752998761619265E-2</v>
      </c>
      <c r="AW134" s="1682">
        <f t="shared" si="539"/>
        <v>-1.1740399251382256</v>
      </c>
      <c r="AX134" s="1682">
        <f t="shared" si="539"/>
        <v>0.72096425414360688</v>
      </c>
      <c r="AY134" s="1682">
        <f t="shared" si="539"/>
        <v>-0.27491254922625952</v>
      </c>
      <c r="AZ134" s="1682">
        <f t="shared" si="539"/>
        <v>0.2867555086684222</v>
      </c>
      <c r="BA134" s="1682">
        <f t="shared" si="539"/>
        <v>0.36130497359331931</v>
      </c>
      <c r="BB134" s="1682">
        <f t="shared" si="539"/>
        <v>0.2144162272180597</v>
      </c>
      <c r="BC134" s="1682">
        <f t="shared" si="539"/>
        <v>0.7188945756199111</v>
      </c>
      <c r="BD134" s="1682">
        <f t="shared" si="539"/>
        <v>0.29268261586382543</v>
      </c>
      <c r="BE134" s="1682">
        <f t="shared" si="539"/>
        <v>1.0287745078104171</v>
      </c>
      <c r="BF134" s="1682">
        <f t="shared" si="539"/>
        <v>1.1189222978681153</v>
      </c>
      <c r="BG134" s="1682">
        <f t="shared" si="539"/>
        <v>7.6671548265659556E-2</v>
      </c>
      <c r="BH134" s="1682">
        <f t="shared" si="539"/>
        <v>1.2692344482064104</v>
      </c>
      <c r="BI134" s="1682">
        <f t="shared" si="539"/>
        <v>0.72614093811019598</v>
      </c>
      <c r="BJ134" s="1682">
        <f t="shared" si="539"/>
        <v>-1.0978431993160045</v>
      </c>
      <c r="BK134" s="1682">
        <f t="shared" si="539"/>
        <v>-1.066940868337418</v>
      </c>
      <c r="BL134" s="1682">
        <f t="shared" si="539"/>
        <v>-2.0940609028312074</v>
      </c>
      <c r="BM134" s="1682">
        <f t="shared" si="539"/>
        <v>-1.284003674323271</v>
      </c>
      <c r="BN134" s="1682">
        <f t="shared" si="539"/>
        <v>-0.88440197574989854</v>
      </c>
      <c r="BO134" s="1682">
        <f t="shared" si="539"/>
        <v>0.57496185582988213</v>
      </c>
      <c r="BP134" s="1682">
        <f t="shared" si="539"/>
        <v>1.1280290043685672</v>
      </c>
      <c r="BQ134" s="1682">
        <f t="shared" si="539"/>
        <v>0.8999322295287967</v>
      </c>
      <c r="BR134" s="1682">
        <f t="shared" si="539"/>
        <v>0.28533280695178509</v>
      </c>
      <c r="BS134" s="1682">
        <f t="shared" ref="BS134:CL134" si="540">BS124/BS258*100</f>
        <v>2.1717023429395717</v>
      </c>
      <c r="BT134" s="1682">
        <f t="shared" si="540"/>
        <v>0.95002107321081108</v>
      </c>
      <c r="BU134" s="1682">
        <f t="shared" si="540"/>
        <v>0.58128204088298896</v>
      </c>
      <c r="BV134" s="1682">
        <f t="shared" si="540"/>
        <v>0.90102222127589648</v>
      </c>
      <c r="BW134" s="1683">
        <f t="shared" si="540"/>
        <v>-0.42513092864696744</v>
      </c>
      <c r="BX134" s="1683">
        <f t="shared" si="540"/>
        <v>-6.9551930030206821E-2</v>
      </c>
      <c r="BY134" s="1683">
        <f t="shared" si="540"/>
        <v>1.1114224401083617</v>
      </c>
      <c r="BZ134" s="1683">
        <f t="shared" si="540"/>
        <v>-0.53927453470058162</v>
      </c>
      <c r="CA134" s="1683">
        <f t="shared" si="540"/>
        <v>0.63773874090178029</v>
      </c>
      <c r="CB134" s="1683">
        <f t="shared" si="540"/>
        <v>3.6321164477879773E-2</v>
      </c>
      <c r="CC134" s="1683">
        <f t="shared" si="540"/>
        <v>-0.35899360719516926</v>
      </c>
      <c r="CD134" s="1683">
        <f t="shared" si="540"/>
        <v>0.60606875341770072</v>
      </c>
      <c r="CE134" s="1683">
        <f t="shared" si="540"/>
        <v>0.15411310957133278</v>
      </c>
      <c r="CF134" s="1683">
        <f t="shared" si="540"/>
        <v>0.55064854363620863</v>
      </c>
      <c r="CG134" s="1683">
        <f t="shared" si="540"/>
        <v>0.17360270777246251</v>
      </c>
      <c r="CH134" s="1683">
        <f>CH124/CH258*100</f>
        <v>0.70306389724369978</v>
      </c>
      <c r="CI134" s="1683">
        <f>CI124/CI258*100</f>
        <v>0.66970936149117488</v>
      </c>
      <c r="CJ134" s="1683">
        <f>CJ124/CJ258*100</f>
        <v>0.29466931308872013</v>
      </c>
      <c r="CK134" s="1683">
        <f t="shared" si="540"/>
        <v>1.1752177512967674</v>
      </c>
      <c r="CL134" s="1683">
        <f t="shared" si="540"/>
        <v>1.068559361086177</v>
      </c>
      <c r="CM134" s="1683">
        <f>CM124/CM258*100</f>
        <v>0.85358259137495573</v>
      </c>
      <c r="CN134" s="1683">
        <f>CN124/CN258*100</f>
        <v>0.81674442589406948</v>
      </c>
      <c r="CO134" s="1683">
        <f>CO124/CO258*100</f>
        <v>0.51753606255975926</v>
      </c>
      <c r="CP134" s="1683">
        <f t="shared" ref="CP134" si="541">CP124/CP258*100</f>
        <v>0.46698780783771648</v>
      </c>
      <c r="CQ134" s="1683">
        <f>CQ124/CQ258*100</f>
        <v>0.75896322461786747</v>
      </c>
      <c r="CR134" s="1683">
        <f>CR124/CR258*100</f>
        <v>0.98124109379745783</v>
      </c>
      <c r="CS134" s="1683">
        <f>CS124/CS258*100</f>
        <v>0.52316802351367464</v>
      </c>
      <c r="CT134" s="1683">
        <f t="shared" ref="CT134" si="542">CT124/CT258*100</f>
        <v>0.77052099774586091</v>
      </c>
      <c r="CU134" s="1683">
        <f t="shared" ref="CU134:CX134" si="543">CU124/CU258*100</f>
        <v>0.62079825686999546</v>
      </c>
      <c r="CV134" s="1683">
        <f>CV124/CV258*100</f>
        <v>1.5457349479050868</v>
      </c>
      <c r="CW134" s="1683">
        <f t="shared" si="543"/>
        <v>1.1392274399101172</v>
      </c>
      <c r="CX134" s="1683">
        <f t="shared" si="543"/>
        <v>0.75643428010060354</v>
      </c>
      <c r="CY134" s="1683">
        <f t="shared" ref="CY134:DB134" si="544">CY124/CY258*100</f>
        <v>0.84820068842145613</v>
      </c>
      <c r="CZ134" s="1683">
        <f t="shared" si="544"/>
        <v>0.84478278935385764</v>
      </c>
      <c r="DA134" s="1683">
        <f t="shared" si="544"/>
        <v>0.84193609937917235</v>
      </c>
      <c r="DB134" s="1683">
        <f t="shared" si="544"/>
        <v>0.93298104952654282</v>
      </c>
      <c r="DC134" s="1683">
        <f t="shared" ref="DC134:DF134" si="545">DC124/DC258*100</f>
        <v>0.92957655481314938</v>
      </c>
      <c r="DD134" s="1683">
        <f t="shared" si="545"/>
        <v>1.0181544438258585</v>
      </c>
      <c r="DE134" s="1683">
        <f t="shared" si="545"/>
        <v>1.0138647182542915</v>
      </c>
      <c r="DF134" s="1683">
        <f t="shared" si="545"/>
        <v>1.0105185754332144</v>
      </c>
    </row>
    <row r="135" spans="1:110" ht="30" customHeight="1">
      <c r="BB135" s="1748"/>
      <c r="CU135" s="3274"/>
      <c r="CW135" s="3275">
        <f t="shared" ref="CW135:DB135" si="546">CW263</f>
        <v>0.25200539014402779</v>
      </c>
      <c r="CX135" s="3275">
        <f t="shared" si="546"/>
        <v>0.40329740728684005</v>
      </c>
      <c r="CY135" s="3275">
        <f t="shared" si="546"/>
        <v>0.32868125784137892</v>
      </c>
      <c r="CZ135" s="3275">
        <f t="shared" si="546"/>
        <v>0.40458909801095455</v>
      </c>
      <c r="DA135" s="3275">
        <f t="shared" si="546"/>
        <v>0.33811235517571259</v>
      </c>
      <c r="DB135" s="3275">
        <f t="shared" si="546"/>
        <v>0.26833399675958436</v>
      </c>
      <c r="DC135" s="3275">
        <f>DC263</f>
        <v>0.36624145647452533</v>
      </c>
      <c r="DD135" s="3275">
        <f t="shared" ref="DD135:DF135" si="547">DD263</f>
        <v>0.43016720058188795</v>
      </c>
      <c r="DE135" s="3275">
        <f t="shared" si="547"/>
        <v>0.42310630741280164</v>
      </c>
      <c r="DF135" s="3275">
        <f t="shared" si="547"/>
        <v>0.33113125304427005</v>
      </c>
    </row>
    <row r="136" spans="1:110" ht="30" customHeight="1">
      <c r="CP136" s="1748"/>
      <c r="CX136" s="1748">
        <f ca="1">CX265-CX264</f>
        <v>-5.4735629563253951E-3</v>
      </c>
      <c r="DB136" s="1748">
        <f ca="1">DB265-DB264</f>
        <v>0.26536017118786503</v>
      </c>
      <c r="DF136" s="1748">
        <f ca="1">DF265-DF264</f>
        <v>0.29809636769513759</v>
      </c>
    </row>
    <row r="137" spans="1:110" ht="30" customHeight="1">
      <c r="C137" s="3824" t="s">
        <v>448</v>
      </c>
      <c r="D137" s="3824"/>
      <c r="E137" s="3824"/>
      <c r="F137" s="3824"/>
      <c r="BW137" s="3155"/>
      <c r="CA137" s="3155"/>
      <c r="CE137" s="3155"/>
      <c r="CI137" s="3155"/>
      <c r="CP137" s="3409"/>
    </row>
    <row r="138" spans="1:110" s="921" customFormat="1" ht="12.75" customHeight="1">
      <c r="A138" s="701"/>
      <c r="B138" s="701"/>
      <c r="C138" s="703"/>
      <c r="D138" s="1081"/>
      <c r="E138" s="1608"/>
      <c r="F138" s="1081"/>
      <c r="G138" s="1084"/>
      <c r="H138" s="1609"/>
      <c r="I138" s="1609"/>
      <c r="J138" s="1609"/>
      <c r="K138" s="1084"/>
      <c r="L138" s="1609"/>
      <c r="M138" s="1609"/>
      <c r="N138" s="1609"/>
      <c r="O138" s="1084"/>
      <c r="P138" s="1609"/>
      <c r="Q138" s="1609"/>
      <c r="R138" s="1609"/>
      <c r="S138" s="1084"/>
      <c r="T138" s="1609"/>
      <c r="U138" s="1609"/>
      <c r="V138" s="1609"/>
      <c r="W138" s="1084"/>
      <c r="X138" s="1609"/>
      <c r="Y138" s="1609"/>
      <c r="Z138" s="1609"/>
      <c r="AA138" s="1084"/>
      <c r="AB138" s="1609"/>
      <c r="AC138" s="1609"/>
      <c r="AD138" s="1609"/>
      <c r="AE138" s="1084"/>
      <c r="AF138" s="1609"/>
      <c r="AG138" s="1609"/>
      <c r="AH138" s="1609"/>
      <c r="AI138" s="1084"/>
      <c r="AJ138" s="1609"/>
      <c r="AK138" s="1609"/>
      <c r="AL138" s="1609"/>
      <c r="AM138" s="1084"/>
      <c r="AN138" s="1609"/>
      <c r="AO138" s="1609"/>
      <c r="AP138" s="1609"/>
      <c r="AQ138" s="1084"/>
      <c r="AR138" s="1609"/>
      <c r="AS138" s="1609"/>
      <c r="AT138" s="1609"/>
      <c r="AU138" s="1084"/>
      <c r="AV138" s="1609"/>
      <c r="AW138" s="1609"/>
      <c r="AX138" s="1609"/>
      <c r="AY138" s="1610"/>
      <c r="AZ138" s="1609"/>
      <c r="BA138" s="1610"/>
      <c r="BB138" s="1610"/>
      <c r="BC138" s="1610"/>
      <c r="BD138" s="1610"/>
      <c r="BE138" s="1610"/>
      <c r="BF138" s="1610"/>
      <c r="BG138" s="1610"/>
      <c r="BH138" s="1610"/>
      <c r="BI138" s="1610"/>
      <c r="BJ138" s="1610"/>
      <c r="BK138" s="1610"/>
      <c r="BL138" s="1610"/>
      <c r="BM138" s="1610"/>
      <c r="BN138" s="1610"/>
      <c r="BO138" s="1610"/>
      <c r="BP138" s="1610"/>
      <c r="BQ138" s="1610"/>
      <c r="BR138" s="1610"/>
      <c r="BS138" s="1610"/>
      <c r="BT138" s="1610"/>
      <c r="BU138" s="1610"/>
      <c r="BV138" s="1610"/>
      <c r="BW138" s="1610"/>
      <c r="BX138" s="1610"/>
      <c r="BY138" s="1610"/>
      <c r="BZ138" s="1610"/>
      <c r="CA138" s="1610"/>
      <c r="CB138" s="1610"/>
      <c r="CC138" s="1610"/>
      <c r="CD138" s="1610"/>
      <c r="CE138" s="1610"/>
      <c r="CF138" s="1610"/>
      <c r="CG138" s="1610"/>
      <c r="CH138" s="1610"/>
      <c r="CI138" s="1610"/>
      <c r="CJ138" s="1610"/>
      <c r="CK138" s="1610"/>
      <c r="CL138" s="1610"/>
      <c r="CM138" s="1610"/>
      <c r="CN138" s="1610"/>
      <c r="CO138" s="1610"/>
      <c r="CP138" s="1610"/>
      <c r="CQ138" s="1610"/>
      <c r="CR138" s="1610"/>
      <c r="CS138" s="1610"/>
      <c r="CT138" s="1610"/>
      <c r="CU138" s="1610"/>
      <c r="CV138" s="1610"/>
      <c r="CW138" s="1610"/>
      <c r="CX138" s="1610"/>
      <c r="CY138" s="1610"/>
      <c r="CZ138" s="1610"/>
      <c r="DA138" s="1610"/>
      <c r="DB138" s="1610"/>
      <c r="DC138" s="1610"/>
      <c r="DD138" s="1610"/>
      <c r="DE138" s="1610"/>
      <c r="DF138" s="1610"/>
    </row>
    <row r="139" spans="1:110">
      <c r="G139" s="3820">
        <f ca="1">OFFSET(InputY!$G$3,0,(COLUMN()-7)/4)</f>
        <v>1995</v>
      </c>
      <c r="H139" s="3821"/>
      <c r="I139" s="3821"/>
      <c r="J139" s="3821"/>
      <c r="K139" s="3817">
        <f ca="1">OFFSET(InputY!$G$3,0,(COLUMN()-7)/4)</f>
        <v>1996</v>
      </c>
      <c r="L139" s="3818"/>
      <c r="M139" s="3818"/>
      <c r="N139" s="3819"/>
      <c r="O139" s="3817">
        <f ca="1">OFFSET(InputY!$G$3,0,(COLUMN()-7)/4)</f>
        <v>1997</v>
      </c>
      <c r="P139" s="3818"/>
      <c r="Q139" s="3818"/>
      <c r="R139" s="3819"/>
      <c r="S139" s="3817">
        <f ca="1">OFFSET(InputY!$G$3,0,(COLUMN()-7)/4)</f>
        <v>1998</v>
      </c>
      <c r="T139" s="3818"/>
      <c r="U139" s="3818"/>
      <c r="V139" s="3819"/>
      <c r="W139" s="3817">
        <f ca="1">OFFSET(InputY!$G$3,0,(COLUMN()-7)/4)</f>
        <v>1999</v>
      </c>
      <c r="X139" s="3818"/>
      <c r="Y139" s="3818"/>
      <c r="Z139" s="3819"/>
      <c r="AA139" s="3817">
        <f ca="1">OFFSET(InputY!$G$3,0,(COLUMN()-7)/4)</f>
        <v>2000</v>
      </c>
      <c r="AB139" s="3818"/>
      <c r="AC139" s="3818"/>
      <c r="AD139" s="3819"/>
      <c r="AE139" s="3817">
        <f ca="1">OFFSET(InputY!$G$3,0,(COLUMN()-7)/4)</f>
        <v>2001</v>
      </c>
      <c r="AF139" s="3818"/>
      <c r="AG139" s="3818"/>
      <c r="AH139" s="3819"/>
      <c r="AI139" s="3817">
        <f ca="1">OFFSET(InputY!$G$3,0,(COLUMN()-7)/4)</f>
        <v>2002</v>
      </c>
      <c r="AJ139" s="3818"/>
      <c r="AK139" s="3818"/>
      <c r="AL139" s="3819"/>
      <c r="AM139" s="3817">
        <f ca="1">OFFSET(InputY!$G$3,0,(COLUMN()-7)/4)</f>
        <v>2003</v>
      </c>
      <c r="AN139" s="3818"/>
      <c r="AO139" s="3818"/>
      <c r="AP139" s="3819"/>
      <c r="AQ139" s="3817">
        <f ca="1">OFFSET(InputY!$G$3,0,(COLUMN()-7)/4)</f>
        <v>2004</v>
      </c>
      <c r="AR139" s="3818"/>
      <c r="AS139" s="3818"/>
      <c r="AT139" s="3819"/>
      <c r="AU139" s="3817">
        <f ca="1">OFFSET(InputY!$G$3,0,(COLUMN()-7)/4)</f>
        <v>2005</v>
      </c>
      <c r="AV139" s="3818"/>
      <c r="AW139" s="3818"/>
      <c r="AX139" s="3819"/>
      <c r="AY139" s="3817">
        <f ca="1">OFFSET(InputY!$G$3,0,(COLUMN()-7)/4)</f>
        <v>2006</v>
      </c>
      <c r="AZ139" s="3818"/>
      <c r="BA139" s="3818"/>
      <c r="BB139" s="3819"/>
      <c r="BC139" s="3817">
        <f ca="1">OFFSET(InputY!$G$3,0,(COLUMN()-7)/4)</f>
        <v>2007</v>
      </c>
      <c r="BD139" s="3818"/>
      <c r="BE139" s="3818"/>
      <c r="BF139" s="3819"/>
      <c r="BG139" s="3817">
        <f ca="1">OFFSET(InputY!$G$3,0,(COLUMN()-7)/4)</f>
        <v>2008</v>
      </c>
      <c r="BH139" s="3818"/>
      <c r="BI139" s="3818"/>
      <c r="BJ139" s="3819"/>
      <c r="BK139" s="3817">
        <f ca="1">OFFSET(InputY!$G$3,0,(COLUMN()-7)/4)</f>
        <v>2009</v>
      </c>
      <c r="BL139" s="3818"/>
      <c r="BM139" s="3818"/>
      <c r="BN139" s="3819"/>
      <c r="BO139" s="3817">
        <f ca="1">OFFSET(InputY!$G$3,0,(COLUMN()-7)/4)</f>
        <v>2010</v>
      </c>
      <c r="BP139" s="3818"/>
      <c r="BQ139" s="3818"/>
      <c r="BR139" s="3819"/>
      <c r="BS139" s="3817">
        <f ca="1">OFFSET(InputY!$G$3,0,(COLUMN()-7)/4)</f>
        <v>2011</v>
      </c>
      <c r="BT139" s="3818"/>
      <c r="BU139" s="3818"/>
      <c r="BV139" s="3819"/>
      <c r="BW139" s="3817">
        <f ca="1">OFFSET(InputY!$G$3,0,(COLUMN()-7)/4)</f>
        <v>2012</v>
      </c>
      <c r="BX139" s="3818"/>
      <c r="BY139" s="3818"/>
      <c r="BZ139" s="3819"/>
      <c r="CA139" s="3817">
        <f ca="1">OFFSET(InputY!$G$3,0,(COLUMN()-7)/4)</f>
        <v>2013</v>
      </c>
      <c r="CB139" s="3818"/>
      <c r="CC139" s="3818"/>
      <c r="CD139" s="3819"/>
      <c r="CE139" s="3817">
        <f ca="1">OFFSET(InputY!$G$3,0,(COLUMN()-7)/4)</f>
        <v>2014</v>
      </c>
      <c r="CF139" s="3818"/>
      <c r="CG139" s="3818"/>
      <c r="CH139" s="3819"/>
      <c r="CI139" s="3817">
        <f ca="1">OFFSET(InputY!$G$3,0,(COLUMN()-7)/4)</f>
        <v>2015</v>
      </c>
      <c r="CJ139" s="3818"/>
      <c r="CK139" s="3818"/>
      <c r="CL139" s="3819"/>
      <c r="CM139" s="3817">
        <f ca="1">OFFSET(InputY!$G$3,0,(COLUMN()-7)/4)</f>
        <v>2016</v>
      </c>
      <c r="CN139" s="3818"/>
      <c r="CO139" s="3818"/>
      <c r="CP139" s="3819"/>
      <c r="CQ139" s="3817">
        <f ca="1">OFFSET(InputY!$G$3,0,(COLUMN()-7)/4)</f>
        <v>2017</v>
      </c>
      <c r="CR139" s="3818"/>
      <c r="CS139" s="3818"/>
      <c r="CT139" s="3819"/>
      <c r="CU139" s="3817">
        <f ca="1">OFFSET(InputY!$G$3,0,(COLUMN()-7)/4)</f>
        <v>2018</v>
      </c>
      <c r="CV139" s="3818"/>
      <c r="CW139" s="3818"/>
      <c r="CX139" s="3819"/>
      <c r="CY139" s="3817">
        <f ca="1">OFFSET(InputY!$G$3,0,(COLUMN()-7)/4)</f>
        <v>2019</v>
      </c>
      <c r="CZ139" s="3818"/>
      <c r="DA139" s="3818"/>
      <c r="DB139" s="3819"/>
      <c r="DC139" s="3817">
        <f ca="1">OFFSET(InputY!$G$3,0,(COLUMN()-7)/4)</f>
        <v>2020</v>
      </c>
      <c r="DD139" s="3818"/>
      <c r="DE139" s="3818"/>
      <c r="DF139" s="3819"/>
    </row>
    <row r="140" spans="1:110" s="736" customFormat="1" ht="12.75" customHeight="1">
      <c r="A140" s="701"/>
      <c r="B140" s="701"/>
      <c r="C140" s="703"/>
      <c r="D140" s="732"/>
      <c r="E140" s="733" t="s">
        <v>214</v>
      </c>
      <c r="F140" s="734"/>
      <c r="G140" s="1618" t="s">
        <v>131</v>
      </c>
      <c r="H140" s="1619" t="s">
        <v>132</v>
      </c>
      <c r="I140" s="1619" t="s">
        <v>133</v>
      </c>
      <c r="J140" s="1620" t="s">
        <v>134</v>
      </c>
      <c r="K140" s="1618" t="s">
        <v>131</v>
      </c>
      <c r="L140" s="1619" t="s">
        <v>132</v>
      </c>
      <c r="M140" s="1619" t="s">
        <v>133</v>
      </c>
      <c r="N140" s="1620" t="s">
        <v>134</v>
      </c>
      <c r="O140" s="1618" t="s">
        <v>131</v>
      </c>
      <c r="P140" s="1619" t="s">
        <v>132</v>
      </c>
      <c r="Q140" s="1619" t="s">
        <v>133</v>
      </c>
      <c r="R140" s="1620" t="s">
        <v>134</v>
      </c>
      <c r="S140" s="1618" t="s">
        <v>131</v>
      </c>
      <c r="T140" s="1619" t="s">
        <v>132</v>
      </c>
      <c r="U140" s="1619" t="s">
        <v>133</v>
      </c>
      <c r="V140" s="1620" t="s">
        <v>134</v>
      </c>
      <c r="W140" s="1618" t="s">
        <v>131</v>
      </c>
      <c r="X140" s="1619" t="s">
        <v>132</v>
      </c>
      <c r="Y140" s="1619" t="s">
        <v>133</v>
      </c>
      <c r="Z140" s="1620" t="s">
        <v>134</v>
      </c>
      <c r="AA140" s="1618" t="s">
        <v>131</v>
      </c>
      <c r="AB140" s="1619" t="s">
        <v>132</v>
      </c>
      <c r="AC140" s="1619" t="s">
        <v>133</v>
      </c>
      <c r="AD140" s="1620" t="s">
        <v>134</v>
      </c>
      <c r="AE140" s="1618" t="s">
        <v>131</v>
      </c>
      <c r="AF140" s="1619" t="s">
        <v>132</v>
      </c>
      <c r="AG140" s="1619" t="s">
        <v>133</v>
      </c>
      <c r="AH140" s="1620" t="s">
        <v>134</v>
      </c>
      <c r="AI140" s="1618" t="s">
        <v>131</v>
      </c>
      <c r="AJ140" s="1619" t="s">
        <v>132</v>
      </c>
      <c r="AK140" s="1619" t="s">
        <v>133</v>
      </c>
      <c r="AL140" s="1620" t="s">
        <v>134</v>
      </c>
      <c r="AM140" s="1618" t="s">
        <v>131</v>
      </c>
      <c r="AN140" s="1619" t="s">
        <v>132</v>
      </c>
      <c r="AO140" s="1619" t="s">
        <v>133</v>
      </c>
      <c r="AP140" s="1620" t="s">
        <v>134</v>
      </c>
      <c r="AQ140" s="1618" t="s">
        <v>131</v>
      </c>
      <c r="AR140" s="1619" t="s">
        <v>132</v>
      </c>
      <c r="AS140" s="1619" t="s">
        <v>133</v>
      </c>
      <c r="AT140" s="1620" t="s">
        <v>134</v>
      </c>
      <c r="AU140" s="1618" t="s">
        <v>131</v>
      </c>
      <c r="AV140" s="1619" t="s">
        <v>132</v>
      </c>
      <c r="AW140" s="1619" t="s">
        <v>133</v>
      </c>
      <c r="AX140" s="1620" t="s">
        <v>134</v>
      </c>
      <c r="AY140" s="1618" t="s">
        <v>131</v>
      </c>
      <c r="AZ140" s="1619" t="s">
        <v>132</v>
      </c>
      <c r="BA140" s="1619" t="s">
        <v>133</v>
      </c>
      <c r="BB140" s="1620" t="s">
        <v>134</v>
      </c>
      <c r="BC140" s="1618" t="s">
        <v>131</v>
      </c>
      <c r="BD140" s="1619" t="s">
        <v>132</v>
      </c>
      <c r="BE140" s="1619" t="s">
        <v>133</v>
      </c>
      <c r="BF140" s="1620" t="s">
        <v>134</v>
      </c>
      <c r="BG140" s="1618" t="s">
        <v>131</v>
      </c>
      <c r="BH140" s="1619" t="s">
        <v>132</v>
      </c>
      <c r="BI140" s="1619" t="s">
        <v>133</v>
      </c>
      <c r="BJ140" s="1620" t="s">
        <v>134</v>
      </c>
      <c r="BK140" s="1618" t="s">
        <v>131</v>
      </c>
      <c r="BL140" s="1619" t="s">
        <v>132</v>
      </c>
      <c r="BM140" s="1619" t="s">
        <v>133</v>
      </c>
      <c r="BN140" s="1620" t="s">
        <v>134</v>
      </c>
      <c r="BO140" s="1618" t="s">
        <v>131</v>
      </c>
      <c r="BP140" s="1619" t="s">
        <v>132</v>
      </c>
      <c r="BQ140" s="1619" t="s">
        <v>133</v>
      </c>
      <c r="BR140" s="1620" t="s">
        <v>134</v>
      </c>
      <c r="BS140" s="1618" t="s">
        <v>131</v>
      </c>
      <c r="BT140" s="1619" t="s">
        <v>132</v>
      </c>
      <c r="BU140" s="1619" t="s">
        <v>133</v>
      </c>
      <c r="BV140" s="1620" t="s">
        <v>134</v>
      </c>
      <c r="BW140" s="1618" t="s">
        <v>131</v>
      </c>
      <c r="BX140" s="1619" t="s">
        <v>132</v>
      </c>
      <c r="BY140" s="1619" t="s">
        <v>133</v>
      </c>
      <c r="BZ140" s="1620" t="s">
        <v>134</v>
      </c>
      <c r="CA140" s="1618" t="s">
        <v>131</v>
      </c>
      <c r="CB140" s="1619" t="s">
        <v>132</v>
      </c>
      <c r="CC140" s="1619" t="s">
        <v>133</v>
      </c>
      <c r="CD140" s="1620" t="s">
        <v>134</v>
      </c>
      <c r="CE140" s="1618" t="s">
        <v>131</v>
      </c>
      <c r="CF140" s="1619" t="s">
        <v>132</v>
      </c>
      <c r="CG140" s="1619" t="s">
        <v>133</v>
      </c>
      <c r="CH140" s="1620" t="s">
        <v>134</v>
      </c>
      <c r="CI140" s="1618" t="s">
        <v>131</v>
      </c>
      <c r="CJ140" s="1619" t="s">
        <v>132</v>
      </c>
      <c r="CK140" s="1619" t="s">
        <v>133</v>
      </c>
      <c r="CL140" s="1620" t="s">
        <v>134</v>
      </c>
      <c r="CM140" s="1618" t="s">
        <v>131</v>
      </c>
      <c r="CN140" s="1619" t="s">
        <v>132</v>
      </c>
      <c r="CO140" s="1619" t="s">
        <v>133</v>
      </c>
      <c r="CP140" s="1620" t="s">
        <v>134</v>
      </c>
      <c r="CQ140" s="1618" t="s">
        <v>131</v>
      </c>
      <c r="CR140" s="1619" t="s">
        <v>132</v>
      </c>
      <c r="CS140" s="1619" t="s">
        <v>133</v>
      </c>
      <c r="CT140" s="1620" t="s">
        <v>134</v>
      </c>
      <c r="CU140" s="1618" t="s">
        <v>131</v>
      </c>
      <c r="CV140" s="1619" t="s">
        <v>132</v>
      </c>
      <c r="CW140" s="1619" t="s">
        <v>133</v>
      </c>
      <c r="CX140" s="1620" t="s">
        <v>134</v>
      </c>
      <c r="CY140" s="1618" t="s">
        <v>131</v>
      </c>
      <c r="CZ140" s="1619" t="s">
        <v>132</v>
      </c>
      <c r="DA140" s="1619" t="s">
        <v>133</v>
      </c>
      <c r="DB140" s="1620" t="s">
        <v>134</v>
      </c>
      <c r="DC140" s="1618" t="s">
        <v>131</v>
      </c>
      <c r="DD140" s="1619" t="s">
        <v>132</v>
      </c>
      <c r="DE140" s="1619" t="s">
        <v>133</v>
      </c>
      <c r="DF140" s="1620" t="s">
        <v>134</v>
      </c>
    </row>
    <row r="141" spans="1:110" s="736" customFormat="1" ht="12.75" customHeight="1">
      <c r="A141" s="701"/>
      <c r="B141" s="701"/>
      <c r="C141" s="1611" t="s">
        <v>1791</v>
      </c>
      <c r="D141" s="705"/>
      <c r="E141" s="737" t="str">
        <f>E105</f>
        <v>Domestic demand (excl. Inventories)</v>
      </c>
      <c r="F141" s="738"/>
      <c r="G141" s="817">
        <f t="shared" ref="G141:AL141" si="548">G105</f>
        <v>585.08190000000002</v>
      </c>
      <c r="H141" s="817">
        <f t="shared" si="548"/>
        <v>588.91840000000002</v>
      </c>
      <c r="I141" s="817">
        <f t="shared" si="548"/>
        <v>597.38300000000004</v>
      </c>
      <c r="J141" s="817">
        <f t="shared" si="548"/>
        <v>603.66459999999995</v>
      </c>
      <c r="K141" s="817">
        <f t="shared" si="548"/>
        <v>602.13439999999991</v>
      </c>
      <c r="L141" s="817">
        <f t="shared" si="548"/>
        <v>592.91230000000007</v>
      </c>
      <c r="M141" s="817">
        <f t="shared" si="548"/>
        <v>601.57510000000002</v>
      </c>
      <c r="N141" s="817">
        <f t="shared" si="548"/>
        <v>605.56369999999993</v>
      </c>
      <c r="O141" s="817">
        <f t="shared" si="548"/>
        <v>605.08119999999997</v>
      </c>
      <c r="P141" s="817">
        <f t="shared" si="548"/>
        <v>605.81600000000003</v>
      </c>
      <c r="Q141" s="817">
        <f t="shared" si="548"/>
        <v>613.93269999999995</v>
      </c>
      <c r="R141" s="817">
        <f t="shared" si="548"/>
        <v>625.16760000000011</v>
      </c>
      <c r="S141" s="817">
        <f t="shared" si="548"/>
        <v>632.66519999999991</v>
      </c>
      <c r="T141" s="817">
        <f t="shared" si="548"/>
        <v>643.93160000000012</v>
      </c>
      <c r="U141" s="817">
        <f t="shared" si="548"/>
        <v>640.39599999999996</v>
      </c>
      <c r="V141" s="817">
        <f t="shared" si="548"/>
        <v>644.56219999999996</v>
      </c>
      <c r="W141" s="817">
        <f t="shared" si="548"/>
        <v>656.90539999999999</v>
      </c>
      <c r="X141" s="817">
        <f t="shared" si="548"/>
        <v>654.00549999999998</v>
      </c>
      <c r="Y141" s="817">
        <f t="shared" si="548"/>
        <v>658.50009999999997</v>
      </c>
      <c r="Z141" s="817">
        <f t="shared" si="548"/>
        <v>674.95699999999999</v>
      </c>
      <c r="AA141" s="817">
        <f t="shared" si="548"/>
        <v>678.98980000000006</v>
      </c>
      <c r="AB141" s="817">
        <f t="shared" si="548"/>
        <v>693.93779999999992</v>
      </c>
      <c r="AC141" s="817">
        <f t="shared" si="548"/>
        <v>697.94500000000005</v>
      </c>
      <c r="AD141" s="817">
        <f t="shared" si="548"/>
        <v>690.89200000000005</v>
      </c>
      <c r="AE141" s="817">
        <f t="shared" si="548"/>
        <v>697.32670000000007</v>
      </c>
      <c r="AF141" s="817">
        <f t="shared" si="548"/>
        <v>697.13059999999996</v>
      </c>
      <c r="AG141" s="817">
        <f t="shared" si="548"/>
        <v>692.77599999999995</v>
      </c>
      <c r="AH141" s="817">
        <f t="shared" si="548"/>
        <v>695.66660000000002</v>
      </c>
      <c r="AI141" s="817">
        <f t="shared" si="548"/>
        <v>695.31949999999995</v>
      </c>
      <c r="AJ141" s="817">
        <f t="shared" si="548"/>
        <v>700.8048</v>
      </c>
      <c r="AK141" s="817">
        <f t="shared" si="548"/>
        <v>706.84500000000003</v>
      </c>
      <c r="AL141" s="817">
        <f t="shared" si="548"/>
        <v>711.35930000000008</v>
      </c>
      <c r="AM141" s="817">
        <f t="shared" ref="AM141:BR141" si="549">AM105</f>
        <v>720.02890000000002</v>
      </c>
      <c r="AN141" s="817">
        <f t="shared" si="549"/>
        <v>713.06500000000005</v>
      </c>
      <c r="AO141" s="817">
        <f t="shared" si="549"/>
        <v>719.726</v>
      </c>
      <c r="AP141" s="817">
        <f t="shared" si="549"/>
        <v>724.59230000000002</v>
      </c>
      <c r="AQ141" s="817">
        <f t="shared" si="549"/>
        <v>724.96820000000002</v>
      </c>
      <c r="AR141" s="817">
        <f t="shared" si="549"/>
        <v>725.12119999999993</v>
      </c>
      <c r="AS141" s="817">
        <f t="shared" si="549"/>
        <v>735.99249999999995</v>
      </c>
      <c r="AT141" s="817">
        <f t="shared" si="549"/>
        <v>744.16300000000001</v>
      </c>
      <c r="AU141" s="817">
        <f t="shared" si="549"/>
        <v>745.43469999999991</v>
      </c>
      <c r="AV141" s="817">
        <f t="shared" si="549"/>
        <v>749.6422</v>
      </c>
      <c r="AW141" s="817">
        <f t="shared" si="549"/>
        <v>749.21669999999995</v>
      </c>
      <c r="AX141" s="817">
        <f t="shared" si="549"/>
        <v>763.37679999999989</v>
      </c>
      <c r="AY141" s="817">
        <f t="shared" si="549"/>
        <v>766.46160000000009</v>
      </c>
      <c r="AZ141" s="817">
        <f t="shared" si="549"/>
        <v>785.75250000000005</v>
      </c>
      <c r="BA141" s="817">
        <f t="shared" si="549"/>
        <v>790.66150000000005</v>
      </c>
      <c r="BB141" s="817">
        <f t="shared" si="549"/>
        <v>798.9049</v>
      </c>
      <c r="BC141" s="817">
        <f t="shared" si="549"/>
        <v>810.87729999999999</v>
      </c>
      <c r="BD141" s="817">
        <f t="shared" si="549"/>
        <v>815.08230000000003</v>
      </c>
      <c r="BE141" s="817">
        <f t="shared" si="549"/>
        <v>827.57110000000011</v>
      </c>
      <c r="BF141" s="817">
        <f t="shared" si="549"/>
        <v>840.76260000000002</v>
      </c>
      <c r="BG141" s="817">
        <f t="shared" si="549"/>
        <v>826.99130000000002</v>
      </c>
      <c r="BH141" s="817">
        <f t="shared" si="549"/>
        <v>834.6585</v>
      </c>
      <c r="BI141" s="817">
        <f t="shared" si="549"/>
        <v>824.50599999999997</v>
      </c>
      <c r="BJ141" s="817">
        <f t="shared" si="549"/>
        <v>802.98259999999993</v>
      </c>
      <c r="BK141" s="817">
        <f t="shared" si="549"/>
        <v>788.53109999999992</v>
      </c>
      <c r="BL141" s="817">
        <f t="shared" si="549"/>
        <v>779.49180000000001</v>
      </c>
      <c r="BM141" s="817">
        <f t="shared" si="549"/>
        <v>786.11360000000002</v>
      </c>
      <c r="BN141" s="817">
        <f t="shared" si="549"/>
        <v>794.41280000000006</v>
      </c>
      <c r="BO141" s="817">
        <f t="shared" si="549"/>
        <v>813.75189999999998</v>
      </c>
      <c r="BP141" s="817">
        <f t="shared" si="549"/>
        <v>828.63049999999998</v>
      </c>
      <c r="BQ141" s="817">
        <f t="shared" si="549"/>
        <v>841.57960000000003</v>
      </c>
      <c r="BR141" s="817">
        <f t="shared" si="549"/>
        <v>843.43610000000001</v>
      </c>
      <c r="BS141" s="817">
        <f t="shared" ref="BS141:CK141" si="550">BS105</f>
        <v>857.82929999999988</v>
      </c>
      <c r="BT141" s="817">
        <f t="shared" si="550"/>
        <v>862.72980000000007</v>
      </c>
      <c r="BU141" s="817">
        <f t="shared" si="550"/>
        <v>856.50840000000005</v>
      </c>
      <c r="BV141" s="817">
        <f t="shared" si="550"/>
        <v>850.79469999999992</v>
      </c>
      <c r="BW141" s="817">
        <f t="shared" si="550"/>
        <v>851.41710000000012</v>
      </c>
      <c r="BX141" s="817">
        <f t="shared" si="550"/>
        <v>852.34489999999994</v>
      </c>
      <c r="BY141" s="817">
        <f t="shared" si="550"/>
        <v>861.54549999999995</v>
      </c>
      <c r="BZ141" s="817">
        <f t="shared" si="550"/>
        <v>853.14530000000002</v>
      </c>
      <c r="CA141" s="817">
        <f t="shared" si="550"/>
        <v>863.8918000000001</v>
      </c>
      <c r="CB141" s="817">
        <f t="shared" si="550"/>
        <v>862.08710000000008</v>
      </c>
      <c r="CC141" s="817">
        <f t="shared" si="550"/>
        <v>868.3682</v>
      </c>
      <c r="CD141" s="817">
        <f t="shared" si="550"/>
        <v>879.55899999999997</v>
      </c>
      <c r="CE141" s="817">
        <f t="shared" si="550"/>
        <v>881.25689999999986</v>
      </c>
      <c r="CF141" s="817">
        <f t="shared" si="550"/>
        <v>893.06330000000003</v>
      </c>
      <c r="CG141" s="817">
        <f t="shared" si="550"/>
        <v>893.78440000000001</v>
      </c>
      <c r="CH141" s="817">
        <f>CH105</f>
        <v>911.22739999999999</v>
      </c>
      <c r="CI141" s="817">
        <f>CI105</f>
        <v>917.84940000000006</v>
      </c>
      <c r="CJ141" s="817">
        <f t="shared" si="550"/>
        <v>919.58569999999997</v>
      </c>
      <c r="CK141" s="817">
        <f t="shared" si="550"/>
        <v>934.952</v>
      </c>
      <c r="CL141" s="817">
        <f>CL105</f>
        <v>950.51639999999986</v>
      </c>
      <c r="CM141" s="817">
        <f>CM105</f>
        <v>953.97149999999999</v>
      </c>
      <c r="CN141" s="817">
        <f t="shared" ref="CN141" si="551">CN105</f>
        <v>959.69229999999993</v>
      </c>
      <c r="CO141" s="817">
        <f t="shared" ref="CO141" si="552">CO105</f>
        <v>958.81709999999998</v>
      </c>
      <c r="CP141" s="817">
        <f>CP105</f>
        <v>962.96669999999995</v>
      </c>
      <c r="CQ141" s="817">
        <f>CQ105</f>
        <v>974.71430000000009</v>
      </c>
      <c r="CR141" s="817">
        <f t="shared" ref="CR141:CS141" si="553">CR105</f>
        <v>985.20569999999998</v>
      </c>
      <c r="CS141" s="817">
        <f t="shared" si="553"/>
        <v>992.36929999999995</v>
      </c>
      <c r="CT141" s="817">
        <f>CT105</f>
        <v>995.7</v>
      </c>
      <c r="CU141" s="817">
        <f t="shared" ref="CU141:CX141" si="554">CU105</f>
        <v>1002.7583</v>
      </c>
      <c r="CV141" s="817">
        <f t="shared" si="554"/>
        <v>1015.6632999999999</v>
      </c>
      <c r="CW141" s="817">
        <f t="shared" si="554"/>
        <v>1019.4016654126932</v>
      </c>
      <c r="CX141" s="817">
        <f t="shared" si="554"/>
        <v>1024.2545283049453</v>
      </c>
      <c r="CY141" s="817">
        <f t="shared" ref="CY141:DB141" si="555">CY105</f>
        <v>1030.8358486844609</v>
      </c>
      <c r="CZ141" s="817">
        <f t="shared" si="555"/>
        <v>1035.4521844009557</v>
      </c>
      <c r="DA141" s="817">
        <f t="shared" si="555"/>
        <v>1039.2593197444867</v>
      </c>
      <c r="DB141" s="817">
        <f t="shared" si="555"/>
        <v>1042.4914925767562</v>
      </c>
      <c r="DC141" s="817">
        <f t="shared" ref="DC141:DF141" si="556">DC105</f>
        <v>1048.7023825604713</v>
      </c>
      <c r="DD141" s="817">
        <f t="shared" si="556"/>
        <v>1054.0072108634097</v>
      </c>
      <c r="DE141" s="817">
        <f t="shared" si="556"/>
        <v>1058.6877659200704</v>
      </c>
      <c r="DF141" s="817">
        <f t="shared" si="556"/>
        <v>1062.1856402523283</v>
      </c>
    </row>
    <row r="142" spans="1:110" s="736" customFormat="1" ht="12.75" customHeight="1">
      <c r="A142" s="701"/>
      <c r="B142" s="701"/>
      <c r="C142" s="1612" t="s">
        <v>1791</v>
      </c>
      <c r="D142" s="711"/>
      <c r="E142" s="820" t="str">
        <f>E124</f>
        <v xml:space="preserve">Changes in inventories and net acquisition of valuables                         </v>
      </c>
      <c r="F142" s="741"/>
      <c r="G142" s="743">
        <f t="shared" ref="G142:AL142" si="557">G124</f>
        <v>3.1191000000000058</v>
      </c>
      <c r="H142" s="743">
        <f t="shared" si="557"/>
        <v>4.2182000000000119</v>
      </c>
      <c r="I142" s="743">
        <f t="shared" si="557"/>
        <v>8.0571000000000055</v>
      </c>
      <c r="J142" s="743">
        <f t="shared" si="557"/>
        <v>9.9876000000000058</v>
      </c>
      <c r="K142" s="743">
        <f t="shared" si="557"/>
        <v>8.6823999999999941</v>
      </c>
      <c r="L142" s="743">
        <f t="shared" si="557"/>
        <v>-1.3142000000000116</v>
      </c>
      <c r="M142" s="743">
        <f t="shared" si="557"/>
        <v>-1.8835</v>
      </c>
      <c r="N142" s="743">
        <f t="shared" si="557"/>
        <v>-0.29340000000000871</v>
      </c>
      <c r="O142" s="743">
        <f t="shared" si="557"/>
        <v>3.9900999999999911</v>
      </c>
      <c r="P142" s="743">
        <f t="shared" si="557"/>
        <v>-4.6118000000000032</v>
      </c>
      <c r="Q142" s="743">
        <f t="shared" si="557"/>
        <v>2.5773000000000028</v>
      </c>
      <c r="R142" s="743">
        <f t="shared" si="557"/>
        <v>8.1806000000000054</v>
      </c>
      <c r="S142" s="743">
        <f t="shared" si="557"/>
        <v>8.4923999999999946</v>
      </c>
      <c r="T142" s="743">
        <f t="shared" si="557"/>
        <v>12.438200000000011</v>
      </c>
      <c r="U142" s="743">
        <f t="shared" si="557"/>
        <v>-0.89990000000002324</v>
      </c>
      <c r="V142" s="743">
        <f t="shared" si="557"/>
        <v>-3.3893000000000173</v>
      </c>
      <c r="W142" s="743">
        <f t="shared" si="557"/>
        <v>3.640899999999994</v>
      </c>
      <c r="X142" s="743">
        <f t="shared" si="557"/>
        <v>0.95619999999998251</v>
      </c>
      <c r="Y142" s="743">
        <f t="shared" si="557"/>
        <v>-5.6454000000000235</v>
      </c>
      <c r="Z142" s="743">
        <f t="shared" si="557"/>
        <v>3.7327999999999886</v>
      </c>
      <c r="AA142" s="743">
        <f t="shared" si="557"/>
        <v>5.1136999999999828</v>
      </c>
      <c r="AB142" s="743">
        <f t="shared" si="557"/>
        <v>6.7934999999999999</v>
      </c>
      <c r="AC142" s="743">
        <f t="shared" si="557"/>
        <v>4.9436000000000062</v>
      </c>
      <c r="AD142" s="743">
        <f t="shared" si="557"/>
        <v>-1.6957999999999884</v>
      </c>
      <c r="AE142" s="743">
        <f t="shared" si="557"/>
        <v>7.5708999999999937</v>
      </c>
      <c r="AF142" s="743">
        <f t="shared" si="557"/>
        <v>4.5052999999999885</v>
      </c>
      <c r="AG142" s="743">
        <f t="shared" si="557"/>
        <v>-1.9582000000000117</v>
      </c>
      <c r="AH142" s="743">
        <f t="shared" si="557"/>
        <v>-4.5352000000000112</v>
      </c>
      <c r="AI142" s="743">
        <f t="shared" si="557"/>
        <v>2.6835</v>
      </c>
      <c r="AJ142" s="743">
        <f t="shared" si="557"/>
        <v>-4.3183999999999942</v>
      </c>
      <c r="AK142" s="743">
        <f t="shared" si="557"/>
        <v>2.8184999999999998</v>
      </c>
      <c r="AL142" s="743">
        <f t="shared" si="557"/>
        <v>-0.69929999999998838</v>
      </c>
      <c r="AM142" s="743">
        <f t="shared" ref="AM142:BR142" si="558">AM124</f>
        <v>4.2744999999999997</v>
      </c>
      <c r="AN142" s="743">
        <f t="shared" si="558"/>
        <v>0.47899999999999998</v>
      </c>
      <c r="AO142" s="743">
        <f t="shared" si="558"/>
        <v>0.4176000000000058</v>
      </c>
      <c r="AP142" s="743">
        <f t="shared" si="558"/>
        <v>1.5504000000000233</v>
      </c>
      <c r="AQ142" s="743">
        <f t="shared" si="558"/>
        <v>-1.8593999999999942</v>
      </c>
      <c r="AR142" s="743">
        <f t="shared" si="558"/>
        <v>-3.6887999999999885</v>
      </c>
      <c r="AS142" s="743">
        <f t="shared" si="558"/>
        <v>0.42430000000001744</v>
      </c>
      <c r="AT142" s="743">
        <f t="shared" si="558"/>
        <v>2.5366999999999824</v>
      </c>
      <c r="AU142" s="743">
        <f t="shared" si="558"/>
        <v>1.2282000000000117</v>
      </c>
      <c r="AV142" s="743">
        <f t="shared" si="558"/>
        <v>-0.69439999999999413</v>
      </c>
      <c r="AW142" s="743">
        <f t="shared" si="558"/>
        <v>-9.5966000000000058</v>
      </c>
      <c r="AX142" s="743">
        <f t="shared" si="558"/>
        <v>5.9326000000000061</v>
      </c>
      <c r="AY142" s="743">
        <f t="shared" si="558"/>
        <v>-2.3063999999999942</v>
      </c>
      <c r="AZ142" s="743">
        <f t="shared" si="558"/>
        <v>2.4332999999999885</v>
      </c>
      <c r="BA142" s="743">
        <f t="shared" si="558"/>
        <v>3.1062999999999885</v>
      </c>
      <c r="BB142" s="743">
        <f t="shared" si="558"/>
        <v>1.8541000000000059</v>
      </c>
      <c r="BC142" s="743">
        <f t="shared" si="558"/>
        <v>6.2701000000000056</v>
      </c>
      <c r="BD142" s="743">
        <f t="shared" si="558"/>
        <v>2.5710999999999768</v>
      </c>
      <c r="BE142" s="743">
        <f t="shared" si="558"/>
        <v>9.1069999999999993</v>
      </c>
      <c r="BF142" s="743">
        <f t="shared" si="558"/>
        <v>10.032799999999988</v>
      </c>
      <c r="BG142" s="743">
        <f t="shared" si="558"/>
        <v>0.67829999999998836</v>
      </c>
      <c r="BH142" s="743">
        <f t="shared" si="558"/>
        <v>11.252200000000011</v>
      </c>
      <c r="BI142" s="743">
        <f t="shared" si="558"/>
        <v>6.423100000000006</v>
      </c>
      <c r="BJ142" s="743">
        <f t="shared" si="558"/>
        <v>-9.3477999999999888</v>
      </c>
      <c r="BK142" s="743">
        <f t="shared" si="558"/>
        <v>-8.856100000000005</v>
      </c>
      <c r="BL142" s="743">
        <f t="shared" si="558"/>
        <v>-17.389800000000019</v>
      </c>
      <c r="BM142" s="743">
        <f t="shared" si="558"/>
        <v>-10.670899999999994</v>
      </c>
      <c r="BN142" s="743">
        <f t="shared" si="558"/>
        <v>-7.3916000000000057</v>
      </c>
      <c r="BO142" s="743">
        <f t="shared" si="558"/>
        <v>4.9192000000000116</v>
      </c>
      <c r="BP142" s="743">
        <f t="shared" si="558"/>
        <v>9.8620000000000001</v>
      </c>
      <c r="BQ142" s="743">
        <f t="shared" si="558"/>
        <v>7.9688000000000176</v>
      </c>
      <c r="BR142" s="743">
        <f t="shared" si="558"/>
        <v>2.573</v>
      </c>
      <c r="BS142" s="743">
        <f t="shared" ref="BS142:CK142" si="559">BS124</f>
        <v>19.563899999999993</v>
      </c>
      <c r="BT142" s="743">
        <f t="shared" si="559"/>
        <v>8.5835999999999775</v>
      </c>
      <c r="BU142" s="743">
        <f t="shared" si="559"/>
        <v>5.3031000000000059</v>
      </c>
      <c r="BV142" s="743">
        <f t="shared" si="559"/>
        <v>8.0824999999999996</v>
      </c>
      <c r="BW142" s="743">
        <f t="shared" si="559"/>
        <v>-3.8293999999999944</v>
      </c>
      <c r="BX142" s="743">
        <f t="shared" si="559"/>
        <v>-0.63049999999999995</v>
      </c>
      <c r="BY142" s="743">
        <f t="shared" si="559"/>
        <v>10.067200000000012</v>
      </c>
      <c r="BZ142" s="743">
        <f t="shared" si="559"/>
        <v>-4.8613000000000177</v>
      </c>
      <c r="CA142" s="743">
        <f t="shared" si="559"/>
        <v>5.8170000000000002</v>
      </c>
      <c r="CB142" s="743">
        <f t="shared" si="559"/>
        <v>0.33010000000000583</v>
      </c>
      <c r="CC142" s="743">
        <f t="shared" si="559"/>
        <v>-3.2853999999999943</v>
      </c>
      <c r="CD142" s="743">
        <f t="shared" si="559"/>
        <v>5.5903999999999945</v>
      </c>
      <c r="CE142" s="743">
        <f t="shared" si="559"/>
        <v>1.4317000000000117</v>
      </c>
      <c r="CF142" s="743">
        <f t="shared" si="559"/>
        <v>5.1537999999999879</v>
      </c>
      <c r="CG142" s="743">
        <f t="shared" si="559"/>
        <v>1.6318999999999941</v>
      </c>
      <c r="CH142" s="743">
        <f>CH124</f>
        <v>6.6970000000000001</v>
      </c>
      <c r="CI142" s="743">
        <f>CI124</f>
        <v>6.4466999999999821</v>
      </c>
      <c r="CJ142" s="743">
        <f>CJ124</f>
        <v>2.8616000000000059</v>
      </c>
      <c r="CK142" s="743">
        <f t="shared" si="559"/>
        <v>11.582100000000006</v>
      </c>
      <c r="CL142" s="743">
        <f t="shared" ref="CL142:CT142" si="560">CL124</f>
        <v>10.648099999999976</v>
      </c>
      <c r="CM142" s="743">
        <f t="shared" si="560"/>
        <v>8.5131999999999817</v>
      </c>
      <c r="CN142" s="743">
        <f t="shared" si="560"/>
        <v>8.1663000000000174</v>
      </c>
      <c r="CO142" s="743">
        <f t="shared" si="560"/>
        <v>5.2</v>
      </c>
      <c r="CP142" s="743">
        <f t="shared" si="560"/>
        <v>4.7162000000000113</v>
      </c>
      <c r="CQ142" s="743">
        <f t="shared" si="560"/>
        <v>7.6958999999999937</v>
      </c>
      <c r="CR142" s="743">
        <f t="shared" si="560"/>
        <v>10.063800000000018</v>
      </c>
      <c r="CS142" s="743">
        <f t="shared" si="560"/>
        <v>5.3882999999999885</v>
      </c>
      <c r="CT142" s="743">
        <f t="shared" si="560"/>
        <v>7.9904999999999999</v>
      </c>
      <c r="CU142" s="743">
        <f t="shared" ref="CU142:CX142" si="561">CU124</f>
        <v>6.4731999999999532</v>
      </c>
      <c r="CV142" s="743">
        <f t="shared" si="561"/>
        <v>16.241</v>
      </c>
      <c r="CW142" s="743">
        <f t="shared" si="561"/>
        <v>12</v>
      </c>
      <c r="CX142" s="743">
        <f t="shared" si="561"/>
        <v>8</v>
      </c>
      <c r="CY142" s="743">
        <f t="shared" ref="CY142:DB142" si="562">CY124</f>
        <v>9</v>
      </c>
      <c r="CZ142" s="743">
        <f t="shared" si="562"/>
        <v>9</v>
      </c>
      <c r="DA142" s="743">
        <f t="shared" si="562"/>
        <v>9</v>
      </c>
      <c r="DB142" s="743">
        <f t="shared" si="562"/>
        <v>10</v>
      </c>
      <c r="DC142" s="743">
        <f t="shared" ref="DC142:DF142" si="563">DC124</f>
        <v>10</v>
      </c>
      <c r="DD142" s="743">
        <f t="shared" si="563"/>
        <v>11</v>
      </c>
      <c r="DE142" s="743">
        <f t="shared" si="563"/>
        <v>11</v>
      </c>
      <c r="DF142" s="743">
        <f t="shared" si="563"/>
        <v>11</v>
      </c>
    </row>
    <row r="143" spans="1:110" s="2021" customFormat="1" ht="12.75" customHeight="1">
      <c r="A143" s="2018"/>
      <c r="B143" s="2018"/>
      <c r="C143" s="2022" t="s">
        <v>1791</v>
      </c>
      <c r="D143" s="2019"/>
      <c r="E143" s="2020" t="s">
        <v>487</v>
      </c>
      <c r="F143" s="2019"/>
      <c r="G143" s="2020">
        <f>G144-SUM(G141:G142)</f>
        <v>-6.2382000000001199</v>
      </c>
      <c r="H143" s="2020">
        <f t="shared" ref="H143:BJ143" si="564">H144-SUM(H141:H142)</f>
        <v>-8.4364000000000487</v>
      </c>
      <c r="I143" s="2020">
        <f t="shared" si="564"/>
        <v>-16.114199999999983</v>
      </c>
      <c r="J143" s="2020">
        <f t="shared" si="564"/>
        <v>-19.975199999999973</v>
      </c>
      <c r="K143" s="2020">
        <f t="shared" si="564"/>
        <v>-17.364799999999946</v>
      </c>
      <c r="L143" s="2020">
        <f t="shared" si="564"/>
        <v>2.6283999999999423</v>
      </c>
      <c r="M143" s="2020">
        <f t="shared" si="564"/>
        <v>3.7669999999999391</v>
      </c>
      <c r="N143" s="2020">
        <f t="shared" si="564"/>
        <v>0.58680000000003929</v>
      </c>
      <c r="O143" s="2020">
        <f t="shared" si="564"/>
        <v>-7.980199999999968</v>
      </c>
      <c r="P143" s="2020">
        <f t="shared" si="564"/>
        <v>9.2236000000000331</v>
      </c>
      <c r="Q143" s="2020">
        <f t="shared" si="564"/>
        <v>-5.1545999999999594</v>
      </c>
      <c r="R143" s="2020">
        <f t="shared" si="564"/>
        <v>-16.361200000000167</v>
      </c>
      <c r="S143" s="2020">
        <f t="shared" si="564"/>
        <v>-16.984799999999836</v>
      </c>
      <c r="T143" s="2020">
        <f t="shared" si="564"/>
        <v>-24.876400000000103</v>
      </c>
      <c r="U143" s="2020">
        <f t="shared" si="564"/>
        <v>1.7998000000001184</v>
      </c>
      <c r="V143" s="2020">
        <f t="shared" si="564"/>
        <v>6.7786000000000968</v>
      </c>
      <c r="W143" s="2020">
        <f t="shared" si="564"/>
        <v>-7.2817999999999756</v>
      </c>
      <c r="X143" s="2020">
        <f t="shared" si="564"/>
        <v>-1.9123999999999342</v>
      </c>
      <c r="Y143" s="2020">
        <f t="shared" si="564"/>
        <v>11.29079999999999</v>
      </c>
      <c r="Z143" s="2020">
        <f t="shared" si="564"/>
        <v>-7.4655999999999949</v>
      </c>
      <c r="AA143" s="2020">
        <f t="shared" si="564"/>
        <v>-10.227399999999989</v>
      </c>
      <c r="AB143" s="2020">
        <f t="shared" si="564"/>
        <v>-13.586999999999989</v>
      </c>
      <c r="AC143" s="2020">
        <f t="shared" si="564"/>
        <v>-9.8872000000002345</v>
      </c>
      <c r="AD143" s="2020">
        <f t="shared" si="564"/>
        <v>3.3915999999999258</v>
      </c>
      <c r="AE143" s="2020">
        <f t="shared" si="564"/>
        <v>-15.141799999999989</v>
      </c>
      <c r="AF143" s="2020">
        <f t="shared" si="564"/>
        <v>-9.0106000000000677</v>
      </c>
      <c r="AG143" s="2020">
        <f t="shared" si="564"/>
        <v>3.9164000000000669</v>
      </c>
      <c r="AH143" s="2020">
        <f t="shared" si="564"/>
        <v>9.0704000000000633</v>
      </c>
      <c r="AI143" s="2020">
        <f t="shared" si="564"/>
        <v>-5.3669999999999618</v>
      </c>
      <c r="AJ143" s="2020">
        <f t="shared" si="564"/>
        <v>8.6368000000001075</v>
      </c>
      <c r="AK143" s="2020">
        <f t="shared" si="564"/>
        <v>-5.6369999999999436</v>
      </c>
      <c r="AL143" s="2020">
        <f t="shared" si="564"/>
        <v>1.3985999999998739</v>
      </c>
      <c r="AM143" s="2020">
        <f t="shared" si="564"/>
        <v>-8.5489999999999782</v>
      </c>
      <c r="AN143" s="2020">
        <f t="shared" si="564"/>
        <v>-0.95800000000008367</v>
      </c>
      <c r="AO143" s="2020">
        <f t="shared" si="564"/>
        <v>-0.83519999999998618</v>
      </c>
      <c r="AP143" s="2020">
        <f t="shared" si="564"/>
        <v>-3.1008000000000493</v>
      </c>
      <c r="AQ143" s="2020">
        <f t="shared" si="564"/>
        <v>3.7188000000001011</v>
      </c>
      <c r="AR143" s="2020">
        <f t="shared" si="564"/>
        <v>7.3776000000000295</v>
      </c>
      <c r="AS143" s="2020">
        <f t="shared" si="564"/>
        <v>-0.84859999999991942</v>
      </c>
      <c r="AT143" s="2020">
        <f t="shared" si="564"/>
        <v>-5.0733999999999924</v>
      </c>
      <c r="AU143" s="2020">
        <f t="shared" si="564"/>
        <v>-2.4563999999999169</v>
      </c>
      <c r="AV143" s="2020">
        <f t="shared" si="564"/>
        <v>1.3887999999999465</v>
      </c>
      <c r="AW143" s="2020">
        <f t="shared" si="564"/>
        <v>19.193200000000047</v>
      </c>
      <c r="AX143" s="2020">
        <f t="shared" si="564"/>
        <v>-11.865199999999959</v>
      </c>
      <c r="AY143" s="2020">
        <f t="shared" si="564"/>
        <v>4.6127999999998792</v>
      </c>
      <c r="AZ143" s="2020">
        <f t="shared" si="564"/>
        <v>-4.8666000000001759</v>
      </c>
      <c r="BA143" s="2020">
        <f t="shared" si="564"/>
        <v>-6.2126000000001795</v>
      </c>
      <c r="BB143" s="2020">
        <f t="shared" si="564"/>
        <v>-3.7081999999999198</v>
      </c>
      <c r="BC143" s="2020">
        <f t="shared" si="564"/>
        <v>-12.540200000000027</v>
      </c>
      <c r="BD143" s="2020">
        <f t="shared" si="564"/>
        <v>-5.1422000000001162</v>
      </c>
      <c r="BE143" s="2020">
        <f t="shared" si="564"/>
        <v>-18.213999999999942</v>
      </c>
      <c r="BF143" s="2020">
        <f t="shared" si="564"/>
        <v>-20.065599999999904</v>
      </c>
      <c r="BG143" s="2020">
        <f t="shared" si="564"/>
        <v>-1.3566000000000713</v>
      </c>
      <c r="BH143" s="2020">
        <f t="shared" si="564"/>
        <v>-22.504399999999919</v>
      </c>
      <c r="BI143" s="2020">
        <f t="shared" si="564"/>
        <v>-12.846199999999953</v>
      </c>
      <c r="BJ143" s="2020">
        <f t="shared" si="564"/>
        <v>18.695600000000013</v>
      </c>
      <c r="BK143" s="2020">
        <f t="shared" ref="BK143:BR143" si="565">BK144-SUM(BK141:BK142)</f>
        <v>17.712200000000053</v>
      </c>
      <c r="BL143" s="2020">
        <f t="shared" si="565"/>
        <v>34.779599999999959</v>
      </c>
      <c r="BM143" s="2020">
        <f t="shared" si="565"/>
        <v>21.341799999999921</v>
      </c>
      <c r="BN143" s="2020">
        <f t="shared" si="565"/>
        <v>14.783199999999965</v>
      </c>
      <c r="BO143" s="2020">
        <f t="shared" si="565"/>
        <v>-9.8383999999999787</v>
      </c>
      <c r="BP143" s="2020">
        <f t="shared" si="565"/>
        <v>-19.723999999999933</v>
      </c>
      <c r="BQ143" s="2020">
        <f t="shared" si="565"/>
        <v>-15.937599999999975</v>
      </c>
      <c r="BR143" s="2020">
        <f t="shared" si="565"/>
        <v>-5.1459999999999582</v>
      </c>
      <c r="BS143" s="2020">
        <f>BS144-SUM(BS141:BS142)</f>
        <v>-39.127799999999979</v>
      </c>
      <c r="BT143" s="2020">
        <f>BT144-SUM(BT141:BT142)</f>
        <v>-17.167200000000093</v>
      </c>
      <c r="BU143" s="2020">
        <f>BU144-SUM(BU141:BU142)</f>
        <v>-10.606199999999944</v>
      </c>
      <c r="BV143" s="2020">
        <f>BV144-SUM(BV141:BV142)</f>
        <v>-16.164999999999964</v>
      </c>
      <c r="BW143" s="2020">
        <f t="shared" ref="BW143:CB143" si="566">BW144-SUM(BW141:BW142)</f>
        <v>7.6587999999998146</v>
      </c>
      <c r="BX143" s="2020">
        <f t="shared" si="566"/>
        <v>1.2609999999999673</v>
      </c>
      <c r="BY143" s="2020">
        <f t="shared" si="566"/>
        <v>-20.134399999999914</v>
      </c>
      <c r="BZ143" s="2020">
        <f t="shared" si="566"/>
        <v>9.7226000000000568</v>
      </c>
      <c r="CA143" s="2020">
        <f t="shared" si="566"/>
        <v>-11.634000000000015</v>
      </c>
      <c r="CB143" s="2020">
        <f t="shared" si="566"/>
        <v>-0.66020000000014534</v>
      </c>
      <c r="CC143" s="2020">
        <f>CC144-SUM(CC141:CC142)</f>
        <v>6.5707999999999629</v>
      </c>
      <c r="CD143" s="2020">
        <f>CD144-SUM(CD141:CD142)</f>
        <v>-11.18080000000009</v>
      </c>
      <c r="CE143" s="2020">
        <f>CE144-SUM(CE141:CE142)</f>
        <v>-2.8633999999998423</v>
      </c>
      <c r="CF143" s="2020">
        <f>CF144-SUM(CF141:CF142)</f>
        <v>-10.307599999999979</v>
      </c>
      <c r="CG143" s="2020">
        <f t="shared" ref="CG143:CK143" si="567">CG144-SUM(CG141:CG142)</f>
        <v>-3.2637999999999465</v>
      </c>
      <c r="CH143" s="2020">
        <f>CH144-SUM(CH141:CH142)</f>
        <v>-13.394000000000005</v>
      </c>
      <c r="CI143" s="2020">
        <f>CI144-SUM(CI141:CI142)</f>
        <v>-12.893400000000042</v>
      </c>
      <c r="CJ143" s="2020">
        <f>CJ144-SUM(CJ141:CJ142)</f>
        <v>-5.7231999999999061</v>
      </c>
      <c r="CK143" s="2020">
        <f t="shared" si="567"/>
        <v>-23.164199999999937</v>
      </c>
      <c r="CL143" s="2020">
        <f t="shared" ref="CL143:CT143" si="568">CL144-SUM(CL141:CL142)</f>
        <v>-21.296199999999772</v>
      </c>
      <c r="CM143" s="2020">
        <f t="shared" si="568"/>
        <v>-17.026399999999967</v>
      </c>
      <c r="CN143" s="2020">
        <f t="shared" si="568"/>
        <v>-16.332599999999957</v>
      </c>
      <c r="CO143" s="2020">
        <f t="shared" si="568"/>
        <v>-10.400000000000091</v>
      </c>
      <c r="CP143" s="2020">
        <f t="shared" si="568"/>
        <v>-9.432399999999916</v>
      </c>
      <c r="CQ143" s="2020">
        <f t="shared" si="568"/>
        <v>-15.391799999999989</v>
      </c>
      <c r="CR143" s="2020">
        <f t="shared" si="568"/>
        <v>-20.127599999999916</v>
      </c>
      <c r="CS143" s="2020">
        <f t="shared" si="568"/>
        <v>-10.776599999999917</v>
      </c>
      <c r="CT143" s="2020">
        <f t="shared" si="568"/>
        <v>-15.980999999999995</v>
      </c>
      <c r="CU143" s="2020">
        <f t="shared" ref="CU143:CX143" si="569">CU144-SUM(CU141:CU142)</f>
        <v>-12.946399999999926</v>
      </c>
      <c r="CV143" s="2020">
        <f t="shared" si="569"/>
        <v>-32.481999999999971</v>
      </c>
      <c r="CW143" s="2020">
        <f t="shared" si="569"/>
        <v>-32.466178206578888</v>
      </c>
      <c r="CX143" s="2020">
        <f t="shared" si="569"/>
        <v>-32.493024390344544</v>
      </c>
      <c r="CY143" s="2020">
        <f t="shared" ref="CY143:DB143" si="570">CY144-SUM(CY141:CY142)</f>
        <v>-32.731667109991577</v>
      </c>
      <c r="CZ143" s="2020">
        <f t="shared" si="570"/>
        <v>-32.876978857159656</v>
      </c>
      <c r="DA143" s="2020">
        <f t="shared" si="570"/>
        <v>-32.996818817346593</v>
      </c>
      <c r="DB143" s="2020">
        <f t="shared" si="570"/>
        <v>-33.130037990808432</v>
      </c>
      <c r="DC143" s="2020">
        <f t="shared" ref="DC143:DF143" si="571">DC144-SUM(DC141:DC142)</f>
        <v>-33.325542679035152</v>
      </c>
      <c r="DD143" s="2020">
        <f t="shared" si="571"/>
        <v>-33.524004331860851</v>
      </c>
      <c r="DE143" s="2020">
        <f t="shared" si="571"/>
        <v>-33.671337557771722</v>
      </c>
      <c r="DF143" s="2020">
        <f t="shared" si="571"/>
        <v>-33.781442684826743</v>
      </c>
    </row>
    <row r="144" spans="1:110" s="736" customFormat="1" ht="12.75" customHeight="1">
      <c r="A144" s="702" t="str">
        <f>"Q" &amp; ROW(InputQ!A12)</f>
        <v>Q12</v>
      </c>
      <c r="B144" s="2014" t="s">
        <v>158</v>
      </c>
      <c r="C144" s="1612" t="s">
        <v>1793</v>
      </c>
      <c r="D144" s="783"/>
      <c r="E144" s="1613" t="s">
        <v>63</v>
      </c>
      <c r="F144" s="785"/>
      <c r="G144" s="836">
        <f>+InputQ!G12/1000</f>
        <v>581.9627999999999</v>
      </c>
      <c r="H144" s="836">
        <f>+InputQ!H12/1000</f>
        <v>584.7002</v>
      </c>
      <c r="I144" s="836">
        <f>+InputQ!I12/1000</f>
        <v>589.32590000000005</v>
      </c>
      <c r="J144" s="836">
        <f>+InputQ!J12/1000</f>
        <v>593.67700000000002</v>
      </c>
      <c r="K144" s="836">
        <f>+InputQ!K12/1000</f>
        <v>593.452</v>
      </c>
      <c r="L144" s="836">
        <f>+InputQ!L12/1000</f>
        <v>594.22649999999999</v>
      </c>
      <c r="M144" s="836">
        <f>+InputQ!M12/1000</f>
        <v>603.45859999999993</v>
      </c>
      <c r="N144" s="836">
        <f>+InputQ!N12/1000</f>
        <v>605.85709999999995</v>
      </c>
      <c r="O144" s="836">
        <f>+InputQ!O12/1000</f>
        <v>601.09109999999998</v>
      </c>
      <c r="P144" s="836">
        <f>+InputQ!P12/1000</f>
        <v>610.42780000000005</v>
      </c>
      <c r="Q144" s="836">
        <f>+InputQ!Q12/1000</f>
        <v>611.35540000000003</v>
      </c>
      <c r="R144" s="836">
        <f>+InputQ!R12/1000</f>
        <v>616.98699999999997</v>
      </c>
      <c r="S144" s="836">
        <f>+InputQ!S12/1000</f>
        <v>624.17280000000005</v>
      </c>
      <c r="T144" s="836">
        <f>+InputQ!T12/1000</f>
        <v>631.49340000000007</v>
      </c>
      <c r="U144" s="836">
        <f>+InputQ!U12/1000</f>
        <v>641.29590000000007</v>
      </c>
      <c r="V144" s="836">
        <f>+InputQ!V12/1000</f>
        <v>647.95150000000001</v>
      </c>
      <c r="W144" s="836">
        <f>+InputQ!W12/1000</f>
        <v>653.2645</v>
      </c>
      <c r="X144" s="836">
        <f>+InputQ!X12/1000</f>
        <v>653.04930000000002</v>
      </c>
      <c r="Y144" s="836">
        <f>+InputQ!Y12/1000</f>
        <v>664.14549999999997</v>
      </c>
      <c r="Z144" s="836">
        <f>+InputQ!Z12/1000</f>
        <v>671.2242</v>
      </c>
      <c r="AA144" s="836">
        <f>+InputQ!AA12/1000</f>
        <v>673.87610000000006</v>
      </c>
      <c r="AB144" s="836">
        <f>+InputQ!AB12/1000</f>
        <v>687.14429999999993</v>
      </c>
      <c r="AC144" s="836">
        <f>+InputQ!AC12/1000</f>
        <v>693.00139999999988</v>
      </c>
      <c r="AD144" s="836">
        <f>+InputQ!AD12/1000</f>
        <v>692.58780000000002</v>
      </c>
      <c r="AE144" s="836">
        <f>+InputQ!AE12/1000</f>
        <v>689.75580000000002</v>
      </c>
      <c r="AF144" s="836">
        <f>+InputQ!AF12/1000</f>
        <v>692.62529999999992</v>
      </c>
      <c r="AG144" s="836">
        <f>+InputQ!AG12/1000</f>
        <v>694.73419999999999</v>
      </c>
      <c r="AH144" s="836">
        <f>+InputQ!AH12/1000</f>
        <v>700.20180000000005</v>
      </c>
      <c r="AI144" s="836">
        <f>+InputQ!AI12/1000</f>
        <v>692.63599999999997</v>
      </c>
      <c r="AJ144" s="836">
        <f>+InputQ!AJ12/1000</f>
        <v>705.12320000000011</v>
      </c>
      <c r="AK144" s="836">
        <f>+InputQ!AK12/1000</f>
        <v>704.02650000000006</v>
      </c>
      <c r="AL144" s="836">
        <f>+InputQ!AL12/1000</f>
        <v>712.05859999999996</v>
      </c>
      <c r="AM144" s="836">
        <f>+InputQ!AM12/1000</f>
        <v>715.75440000000003</v>
      </c>
      <c r="AN144" s="836">
        <f>+InputQ!AN12/1000</f>
        <v>712.58600000000001</v>
      </c>
      <c r="AO144" s="836">
        <f>+InputQ!AO12/1000</f>
        <v>719.30840000000001</v>
      </c>
      <c r="AP144" s="836">
        <f>+InputQ!AP12/1000</f>
        <v>723.04189999999994</v>
      </c>
      <c r="AQ144" s="836">
        <f>+InputQ!AQ12/1000</f>
        <v>726.82760000000007</v>
      </c>
      <c r="AR144" s="836">
        <f>+InputQ!AR12/1000</f>
        <v>728.81</v>
      </c>
      <c r="AS144" s="836">
        <f>+InputQ!AS12/1000</f>
        <v>735.56820000000005</v>
      </c>
      <c r="AT144" s="836">
        <f>+InputQ!AT12/1000</f>
        <v>741.62630000000001</v>
      </c>
      <c r="AU144" s="836">
        <f>+InputQ!AU12/1000</f>
        <v>744.20650000000001</v>
      </c>
      <c r="AV144" s="836">
        <f>+InputQ!AV12/1000</f>
        <v>750.33659999999998</v>
      </c>
      <c r="AW144" s="836">
        <f>+InputQ!AW12/1000</f>
        <v>758.81330000000003</v>
      </c>
      <c r="AX144" s="836">
        <f>+InputQ!AX12/1000</f>
        <v>757.44419999999991</v>
      </c>
      <c r="AY144" s="836">
        <f>+InputQ!AY12/1000</f>
        <v>768.76800000000003</v>
      </c>
      <c r="AZ144" s="836">
        <f>+InputQ!AZ12/1000</f>
        <v>783.31919999999991</v>
      </c>
      <c r="BA144" s="836">
        <f>+InputQ!BA12/1000</f>
        <v>787.5551999999999</v>
      </c>
      <c r="BB144" s="836">
        <f>+InputQ!BB12/1000</f>
        <v>797.05080000000009</v>
      </c>
      <c r="BC144" s="836">
        <f>+InputQ!BC12/1000</f>
        <v>804.60719999999992</v>
      </c>
      <c r="BD144" s="836">
        <f>+InputQ!BD12/1000</f>
        <v>812.51119999999992</v>
      </c>
      <c r="BE144" s="836">
        <f>+InputQ!BE12/1000</f>
        <v>818.46410000000014</v>
      </c>
      <c r="BF144" s="836">
        <f>+InputQ!BF12/1000</f>
        <v>830.72980000000007</v>
      </c>
      <c r="BG144" s="836">
        <f>+InputQ!BG12/1000</f>
        <v>826.31299999999999</v>
      </c>
      <c r="BH144" s="836">
        <f>+InputQ!BH12/1000</f>
        <v>823.4063000000001</v>
      </c>
      <c r="BI144" s="836">
        <f>+InputQ!BI12/1000</f>
        <v>818.0829</v>
      </c>
      <c r="BJ144" s="836">
        <f>+InputQ!BJ12/1000</f>
        <v>812.33039999999994</v>
      </c>
      <c r="BK144" s="836">
        <f>+InputQ!BK12/1000</f>
        <v>797.38720000000001</v>
      </c>
      <c r="BL144" s="836">
        <f>+InputQ!BL12/1000</f>
        <v>796.88159999999993</v>
      </c>
      <c r="BM144" s="836">
        <f>+InputQ!BM12/1000</f>
        <v>796.78449999999998</v>
      </c>
      <c r="BN144" s="836">
        <f>+InputQ!BN12/1000</f>
        <v>801.80439999999999</v>
      </c>
      <c r="BO144" s="836">
        <f>+InputQ!BO12/1000</f>
        <v>808.83270000000005</v>
      </c>
      <c r="BP144" s="836">
        <f>+InputQ!BP12/1000</f>
        <v>818.76850000000002</v>
      </c>
      <c r="BQ144" s="836">
        <f>+InputQ!BQ12/1000</f>
        <v>833.61080000000004</v>
      </c>
      <c r="BR144" s="836">
        <f>+InputQ!BR12/1000</f>
        <v>840.86310000000003</v>
      </c>
      <c r="BS144" s="836">
        <f>+InputQ!BS12/1000</f>
        <v>838.26539999999989</v>
      </c>
      <c r="BT144" s="836">
        <f>+InputQ!BT12/1000</f>
        <v>854.14619999999991</v>
      </c>
      <c r="BU144" s="836">
        <f>+InputQ!BU12/1000</f>
        <v>851.20530000000008</v>
      </c>
      <c r="BV144" s="836">
        <f>+InputQ!BV12/1000</f>
        <v>842.71219999999994</v>
      </c>
      <c r="BW144" s="836">
        <f>+InputQ!BW12/1000</f>
        <v>855.24649999999997</v>
      </c>
      <c r="BX144" s="836">
        <f>+InputQ!BX12/1000</f>
        <v>852.97539999999992</v>
      </c>
      <c r="BY144" s="836">
        <f>+InputQ!BY12/1000</f>
        <v>851.47829999999999</v>
      </c>
      <c r="BZ144" s="836">
        <f>+InputQ!BZ12/1000</f>
        <v>858.00660000000005</v>
      </c>
      <c r="CA144" s="836">
        <f>+InputQ!CA12/1000</f>
        <v>858.0748000000001</v>
      </c>
      <c r="CB144" s="836">
        <f>+InputQ!CB12/1000</f>
        <v>861.75699999999995</v>
      </c>
      <c r="CC144" s="836">
        <f>+InputQ!CC12/1000</f>
        <v>871.65359999999998</v>
      </c>
      <c r="CD144" s="836">
        <f>+InputQ!CD12/1000</f>
        <v>873.96859999999992</v>
      </c>
      <c r="CE144" s="836">
        <f>+InputQ!CE12/1000</f>
        <v>879.8252</v>
      </c>
      <c r="CF144" s="836">
        <f>+InputQ!CF12/1000</f>
        <v>887.90949999999998</v>
      </c>
      <c r="CG144" s="836">
        <f>+InputQ!CG12/1000</f>
        <v>892.15250000000003</v>
      </c>
      <c r="CH144" s="836">
        <f>+InputQ!CH12/1000</f>
        <v>904.53039999999999</v>
      </c>
      <c r="CI144" s="836">
        <f>+InputQ!CI12/1000</f>
        <v>911.40269999999998</v>
      </c>
      <c r="CJ144" s="836">
        <f>+InputQ!CJ12/1000</f>
        <v>916.72410000000002</v>
      </c>
      <c r="CK144" s="836">
        <f>+InputQ!CK12/1000</f>
        <v>923.36990000000003</v>
      </c>
      <c r="CL144" s="836">
        <f>+InputQ!CL12/1000</f>
        <v>939.86830000000009</v>
      </c>
      <c r="CM144" s="836">
        <f>+InputQ!CM12/1000</f>
        <v>945.45830000000001</v>
      </c>
      <c r="CN144" s="836">
        <f>+InputQ!CN12/1000</f>
        <v>951.52599999999995</v>
      </c>
      <c r="CO144" s="836">
        <f>+InputQ!CO12/1000</f>
        <v>953.61709999999994</v>
      </c>
      <c r="CP144" s="836">
        <f>+InputQ!CP12/1000</f>
        <v>958.25049999999999</v>
      </c>
      <c r="CQ144" s="836">
        <f>+InputQ!CQ12/1000</f>
        <v>967.01840000000004</v>
      </c>
      <c r="CR144" s="836">
        <f>+InputQ!CR12/1000</f>
        <v>975.14190000000008</v>
      </c>
      <c r="CS144" s="836">
        <f>+InputQ!CS12/1000</f>
        <v>986.98099999999999</v>
      </c>
      <c r="CT144" s="836">
        <f>+InputQ!CT12/1000</f>
        <v>987.70950000000005</v>
      </c>
      <c r="CU144" s="836">
        <f>+InputQ!CU12/1000</f>
        <v>996.28509999999994</v>
      </c>
      <c r="CV144" s="836">
        <f>+InputQ!CV12/1000</f>
        <v>999.42229999999995</v>
      </c>
      <c r="CW144" s="3166">
        <f t="shared" ref="CW144:CX144" si="572">+CV144*(1+CW149/100)</f>
        <v>998.9354872061142</v>
      </c>
      <c r="CX144" s="3166">
        <f t="shared" si="572"/>
        <v>999.76150391460078</v>
      </c>
      <c r="CY144" s="3166">
        <f t="shared" ref="CY144" si="573">+CX144*(1+CY149/100)</f>
        <v>1007.1041815744693</v>
      </c>
      <c r="CZ144" s="3166">
        <f t="shared" ref="CZ144" si="574">+CY144*(1+CZ149/100)</f>
        <v>1011.5752055437961</v>
      </c>
      <c r="DA144" s="3166">
        <f t="shared" ref="DA144" si="575">+CZ144*(1+DA149/100)</f>
        <v>1015.2625009271401</v>
      </c>
      <c r="DB144" s="3166">
        <f t="shared" ref="DB144" si="576">+DA144*(1+DB149/100)</f>
        <v>1019.3614545859477</v>
      </c>
      <c r="DC144" s="3166">
        <f t="shared" ref="DC144" si="577">+DB144*(1+DC149/100)</f>
        <v>1025.3768398814361</v>
      </c>
      <c r="DD144" s="3166">
        <f t="shared" ref="DD144" si="578">+DC144*(1+DD149/100)</f>
        <v>1031.4832065315488</v>
      </c>
      <c r="DE144" s="3166">
        <f t="shared" ref="DE144" si="579">+DD144*(1+DE149/100)</f>
        <v>1036.0164283622987</v>
      </c>
      <c r="DF144" s="3166">
        <f t="shared" ref="DF144" si="580">+DE144*(1+DF149/100)</f>
        <v>1039.4041975675016</v>
      </c>
    </row>
    <row r="145" spans="1:110" s="26" customFormat="1" ht="12.75">
      <c r="A145" s="710"/>
      <c r="B145" s="710"/>
      <c r="C145" s="1665"/>
      <c r="D145" s="720"/>
      <c r="E145" s="721" t="s">
        <v>353</v>
      </c>
      <c r="F145" s="722"/>
      <c r="G145" s="1623"/>
      <c r="H145" s="1623"/>
      <c r="I145" s="1623"/>
      <c r="J145" s="1627">
        <f>SUM(G141:J142)</f>
        <v>2400.4298999999996</v>
      </c>
      <c r="K145" s="1623"/>
      <c r="L145" s="1623"/>
      <c r="M145" s="1623"/>
      <c r="N145" s="1627">
        <f>SUM(K141:N142)</f>
        <v>2407.3768</v>
      </c>
      <c r="O145" s="1623"/>
      <c r="P145" s="1623"/>
      <c r="Q145" s="1623"/>
      <c r="R145" s="1627">
        <f>SUM(O141:R142)</f>
        <v>2460.1336999999999</v>
      </c>
      <c r="S145" s="1623"/>
      <c r="T145" s="1623"/>
      <c r="U145" s="1623"/>
      <c r="V145" s="1627">
        <f>SUM(S141:V142)</f>
        <v>2578.1964000000003</v>
      </c>
      <c r="W145" s="1623"/>
      <c r="X145" s="1623"/>
      <c r="Y145" s="1623"/>
      <c r="Z145" s="1627">
        <f>SUM(W141:Z142)</f>
        <v>2647.0524999999998</v>
      </c>
      <c r="AA145" s="1623"/>
      <c r="AB145" s="1623"/>
      <c r="AC145" s="1623"/>
      <c r="AD145" s="1627">
        <f>SUM(AA141:AD142)</f>
        <v>2776.9196000000006</v>
      </c>
      <c r="AE145" s="1623"/>
      <c r="AF145" s="1623"/>
      <c r="AG145" s="1623"/>
      <c r="AH145" s="1627">
        <f>SUM(AE141:AH142)</f>
        <v>2788.4827</v>
      </c>
      <c r="AI145" s="1623"/>
      <c r="AJ145" s="1623"/>
      <c r="AK145" s="1623"/>
      <c r="AL145" s="1627">
        <f>SUM(AI141:AL142)</f>
        <v>2814.8128999999999</v>
      </c>
      <c r="AM145" s="1623"/>
      <c r="AN145" s="1623"/>
      <c r="AO145" s="1623"/>
      <c r="AP145" s="1627">
        <f>SUM(AM141:AP142)</f>
        <v>2884.1336999999999</v>
      </c>
      <c r="AQ145" s="1623"/>
      <c r="AR145" s="1623"/>
      <c r="AS145" s="1623"/>
      <c r="AT145" s="1627">
        <f>SUM(AQ141:AT142)</f>
        <v>2927.6577000000002</v>
      </c>
      <c r="AU145" s="1623"/>
      <c r="AV145" s="1623"/>
      <c r="AW145" s="1623"/>
      <c r="AX145" s="1627">
        <f>SUM(AU141:AX142)</f>
        <v>3004.5402000000004</v>
      </c>
      <c r="AY145" s="1623"/>
      <c r="AZ145" s="1623"/>
      <c r="BA145" s="1623"/>
      <c r="BB145" s="1644">
        <f>SUM(AY141:BB142)</f>
        <v>3146.8678000000004</v>
      </c>
      <c r="BC145" s="1671"/>
      <c r="BD145" s="1671"/>
      <c r="BE145" s="1623"/>
      <c r="BF145" s="1627">
        <f>SUM(BC141:BF142)</f>
        <v>3322.2743000000005</v>
      </c>
      <c r="BG145" s="1671"/>
      <c r="BH145" s="1671"/>
      <c r="BI145" s="1623"/>
      <c r="BJ145" s="1627">
        <f>SUM(BG141:BJ142)</f>
        <v>3298.1441999999997</v>
      </c>
      <c r="BK145" s="1671"/>
      <c r="BL145" s="1671"/>
      <c r="BM145" s="1623"/>
      <c r="BN145" s="1627">
        <f>SUM(BK141:BN142)</f>
        <v>3104.2409000000002</v>
      </c>
      <c r="BO145" s="1671"/>
      <c r="BP145" s="1671"/>
      <c r="BQ145" s="1623"/>
      <c r="BR145" s="1627">
        <f>SUM(BO141:BR142)</f>
        <v>3352.7210999999998</v>
      </c>
      <c r="BS145" s="1671"/>
      <c r="BT145" s="1671"/>
      <c r="BU145" s="1623"/>
      <c r="BV145" s="1627">
        <f>SUM(BS141:BV142)</f>
        <v>3469.3953000000001</v>
      </c>
      <c r="BW145" s="1671"/>
      <c r="BX145" s="1671"/>
      <c r="BY145" s="1623"/>
      <c r="BZ145" s="1627">
        <f>SUM(BW141:BZ142)</f>
        <v>3419.1987999999997</v>
      </c>
      <c r="CA145" s="1671"/>
      <c r="CB145" s="1671"/>
      <c r="CC145" s="1623"/>
      <c r="CD145" s="1627">
        <f>SUM(CA141:CD142)</f>
        <v>3482.3582000000001</v>
      </c>
      <c r="CE145" s="1671"/>
      <c r="CF145" s="1671"/>
      <c r="CG145" s="1623"/>
      <c r="CH145" s="1627">
        <f>SUM(CE141:CH142)</f>
        <v>3594.2463999999995</v>
      </c>
      <c r="CI145" s="1671"/>
      <c r="CJ145" s="1671"/>
      <c r="CK145" s="1623"/>
      <c r="CL145" s="1627">
        <f>SUM(CI141:CL142)</f>
        <v>3754.442</v>
      </c>
      <c r="CM145" s="1671"/>
      <c r="CN145" s="1671"/>
      <c r="CO145" s="1671"/>
      <c r="CP145" s="1627">
        <f>SUM(CM141:CP142)</f>
        <v>3862.0432999999989</v>
      </c>
      <c r="CQ145" s="1671"/>
      <c r="CR145" s="1671"/>
      <c r="CS145" s="1671"/>
      <c r="CT145" s="1627">
        <f>SUM(CQ141:CT142)</f>
        <v>3979.1278000000002</v>
      </c>
      <c r="CU145" s="1671"/>
      <c r="CV145" s="1671"/>
      <c r="CW145" s="1623"/>
      <c r="CX145" s="1627">
        <f>SUM(CU141:CX142)</f>
        <v>4104.7919937176384</v>
      </c>
      <c r="CY145" s="1671"/>
      <c r="CZ145" s="1671"/>
      <c r="DA145" s="1623"/>
      <c r="DB145" s="1627">
        <f>SUM(CY141:DB142)</f>
        <v>4185.0388454066597</v>
      </c>
      <c r="DC145" s="1671"/>
      <c r="DD145" s="1671"/>
      <c r="DE145" s="1623"/>
      <c r="DF145" s="1627">
        <f>SUM(DC141:DF142)</f>
        <v>4266.5829995962795</v>
      </c>
    </row>
    <row r="146" spans="1:110" s="1652" customFormat="1" ht="12.75" customHeight="1">
      <c r="A146" s="1036"/>
      <c r="B146" s="1036"/>
      <c r="C146" s="1666"/>
      <c r="D146" s="716"/>
      <c r="E146" s="1624" t="s">
        <v>136</v>
      </c>
      <c r="F146" s="716"/>
      <c r="G146" s="1625"/>
      <c r="H146" s="2916" t="s">
        <v>1694</v>
      </c>
      <c r="I146" s="2917">
        <f ca="1">+J146/J145*100</f>
        <v>98.811955820913582</v>
      </c>
      <c r="J146" s="1667">
        <f ca="1">OFFSET('VVP2'!$G$72,0,(COLUMN()-10)/4)</f>
        <v>2371.9117322999996</v>
      </c>
      <c r="K146" s="1625"/>
      <c r="L146" s="2916" t="s">
        <v>1694</v>
      </c>
      <c r="M146" s="2917">
        <f ca="1">+N146/N145*100</f>
        <v>99.620831506725494</v>
      </c>
      <c r="N146" s="1667">
        <f ca="1">OFFSET('VVP2'!$G$72,0,(COLUMN()-10)/4)</f>
        <v>2398.2487856600001</v>
      </c>
      <c r="O146" s="1625"/>
      <c r="P146" s="2916" t="s">
        <v>1694</v>
      </c>
      <c r="Q146" s="2917">
        <f ca="1">+R146/R145*100</f>
        <v>99.165167539878027</v>
      </c>
      <c r="R146" s="1667">
        <f ca="1">OFFSET('VVP2'!$G$72,0,(COLUMN()-10)/4)</f>
        <v>2439.5957053100001</v>
      </c>
      <c r="S146" s="1625"/>
      <c r="T146" s="2916" t="s">
        <v>1694</v>
      </c>
      <c r="U146" s="2917">
        <f ca="1">+V146/V145*100</f>
        <v>99.103742695087163</v>
      </c>
      <c r="V146" s="1667">
        <f ca="1">OFFSET('VVP2'!$G$72,0,(COLUMN()-10)/4)</f>
        <v>2555.0891264300003</v>
      </c>
      <c r="W146" s="1625"/>
      <c r="X146" s="2916" t="s">
        <v>1694</v>
      </c>
      <c r="Y146" s="2917">
        <f ca="1">+Z146/Z145*100</f>
        <v>99.929917732270155</v>
      </c>
      <c r="Z146" s="1667">
        <f ca="1">OFFSET('VVP2'!$G$72,0,(COLUMN()-10)/4)</f>
        <v>2645.1973855800002</v>
      </c>
      <c r="AA146" s="1625"/>
      <c r="AB146" s="2916" t="s">
        <v>1694</v>
      </c>
      <c r="AC146" s="2917">
        <f ca="1">+AD146/AD145*100</f>
        <v>99.367852663793329</v>
      </c>
      <c r="AD146" s="1667">
        <f ca="1">OFFSET('VVP2'!$G$72,0,(COLUMN()-10)/4)</f>
        <v>2759.3653767199999</v>
      </c>
      <c r="AE146" s="1625"/>
      <c r="AF146" s="2916" t="s">
        <v>1694</v>
      </c>
      <c r="AG146" s="2917">
        <f ca="1">+AH146/AH145*100</f>
        <v>99.5979658898368</v>
      </c>
      <c r="AH146" s="1667">
        <f ca="1">OFFSET('VVP2'!$G$72,0,(COLUMN()-10)/4)</f>
        <v>2777.2720483900002</v>
      </c>
      <c r="AI146" s="1625"/>
      <c r="AJ146" s="2916" t="s">
        <v>1694</v>
      </c>
      <c r="AK146" s="2917">
        <f ca="1">+AL146/AL145*100</f>
        <v>99.749455315840009</v>
      </c>
      <c r="AL146" s="1667">
        <f ca="1">OFFSET('VVP2'!$G$72,0,(COLUMN()-10)/4)</f>
        <v>2807.7605359100003</v>
      </c>
      <c r="AM146" s="1625"/>
      <c r="AN146" s="2916" t="s">
        <v>1694</v>
      </c>
      <c r="AO146" s="2917">
        <f ca="1">+AP146/AP145*100</f>
        <v>99.40470869398321</v>
      </c>
      <c r="AP146" s="1667">
        <f ca="1">OFFSET('VVP2'!$G$72,0,(COLUMN()-10)/4)</f>
        <v>2866.9647028299996</v>
      </c>
      <c r="AQ146" s="1625"/>
      <c r="AR146" s="2916" t="s">
        <v>1694</v>
      </c>
      <c r="AS146" s="2917">
        <f ca="1">+AT146/AT145*100</f>
        <v>100.21815662227178</v>
      </c>
      <c r="AT146" s="1667">
        <f ca="1">OFFSET('VVP2'!$G$72,0,(COLUMN()-10)/4)</f>
        <v>2934.0445791500001</v>
      </c>
      <c r="AU146" s="1625"/>
      <c r="AV146" s="2916" t="s">
        <v>1694</v>
      </c>
      <c r="AW146" s="2917">
        <f ca="1">+AX146/AX145*100</f>
        <v>100.23618686679579</v>
      </c>
      <c r="AX146" s="1667">
        <f ca="1">OFFSET('VVP2'!$G$72,0,(COLUMN()-10)/4)</f>
        <v>3011.6365293600002</v>
      </c>
      <c r="AY146" s="1625"/>
      <c r="AZ146" s="2916" t="s">
        <v>1694</v>
      </c>
      <c r="BA146" s="2917">
        <f ca="1">+BB146/BB145*100</f>
        <v>99.733480162401477</v>
      </c>
      <c r="BB146" s="1672">
        <f ca="1">OFFSET('VVP2'!$G$72,0,(COLUMN()-10)/4)</f>
        <v>3138.4807730500002</v>
      </c>
      <c r="BC146" s="1625"/>
      <c r="BD146" s="2916" t="s">
        <v>1694</v>
      </c>
      <c r="BE146" s="2917">
        <f ca="1">+BF146/BF145*100</f>
        <v>98.912470671070096</v>
      </c>
      <c r="BF146" s="1667">
        <f ca="1">OFFSET('VVP2'!$G$72,0,(COLUMN()-10)/4)</f>
        <v>3286.1435925999999</v>
      </c>
      <c r="BG146" s="1625"/>
      <c r="BH146" s="2916" t="s">
        <v>1694</v>
      </c>
      <c r="BI146" s="2917">
        <f ca="1">+BJ146/BJ145*100</f>
        <v>99.688642908032961</v>
      </c>
      <c r="BJ146" s="1667">
        <f ca="1">OFFSET('VVP2'!$G$72,0,(COLUMN()-10)/4)</f>
        <v>3287.8751941300002</v>
      </c>
      <c r="BK146" s="1625"/>
      <c r="BL146" s="2916" t="s">
        <v>1694</v>
      </c>
      <c r="BM146" s="2917">
        <f ca="1">+BN146/BN145*100</f>
        <v>101.2696410104641</v>
      </c>
      <c r="BN146" s="1667">
        <f ca="1">OFFSET('VVP2'!$G$72,0,(COLUMN()-10)/4)</f>
        <v>3143.65361553</v>
      </c>
      <c r="BO146" s="1625"/>
      <c r="BP146" s="2916" t="s">
        <v>1694</v>
      </c>
      <c r="BQ146" s="2917">
        <f ca="1">+BR146/BR145*100</f>
        <v>99.363081528016167</v>
      </c>
      <c r="BR146" s="1667">
        <f ca="1">OFFSET('VVP2'!$G$72,0,(COLUMN()-10)/4)</f>
        <v>3331.3670000000002</v>
      </c>
      <c r="BS146" s="1625"/>
      <c r="BT146" s="2916" t="s">
        <v>1694</v>
      </c>
      <c r="BU146" s="2917">
        <f ca="1">+BV146/BV145*100</f>
        <v>98.917414224893889</v>
      </c>
      <c r="BV146" s="1667">
        <f ca="1">OFFSET('VVP2'!$G$72,0,(COLUMN()-10)/4)</f>
        <v>3431.8361199999999</v>
      </c>
      <c r="BW146" s="1625"/>
      <c r="BX146" s="2916" t="s">
        <v>1694</v>
      </c>
      <c r="BY146" s="2917">
        <f ca="1">+BZ146/BZ145*100</f>
        <v>99.786171817210516</v>
      </c>
      <c r="BZ146" s="1667">
        <f ca="1">OFFSET('VVP2'!$G$72,0,(COLUMN()-10)/4)</f>
        <v>3411.88758934</v>
      </c>
      <c r="CA146" s="1625"/>
      <c r="CB146" s="2916" t="s">
        <v>1694</v>
      </c>
      <c r="CC146" s="2917">
        <f ca="1">+CD146/CD145*100</f>
        <v>99.570559218750105</v>
      </c>
      <c r="CD146" s="1667">
        <f ca="1">OFFSET('VVP2'!$G$72,0,(COLUMN()-10)/4)</f>
        <v>3467.4035337400001</v>
      </c>
      <c r="CE146" s="1625"/>
      <c r="CF146" s="2916" t="s">
        <v>1694</v>
      </c>
      <c r="CG146" s="2917">
        <f ca="1">+CH146/CH145*100</f>
        <v>99.26610091701005</v>
      </c>
      <c r="CH146" s="1667">
        <f ca="1">OFFSET('VVP2'!$G$72,0,(COLUMN()-10)/4)</f>
        <v>3567.8682586300001</v>
      </c>
      <c r="CI146" s="1625"/>
      <c r="CJ146" s="2916" t="s">
        <v>1694</v>
      </c>
      <c r="CK146" s="2917">
        <f ca="1">+CL146/CL145*100</f>
        <v>99.034901694313035</v>
      </c>
      <c r="CL146" s="1667">
        <f ca="1">OFFSET('VVP2'!$G$72,0,(COLUMN()-10)/4)</f>
        <v>3718.2079438700002</v>
      </c>
      <c r="CM146" s="1625"/>
      <c r="CN146" s="2916" t="s">
        <v>1694</v>
      </c>
      <c r="CO146" s="2916" t="s">
        <v>1694</v>
      </c>
      <c r="CP146" s="1667">
        <f ca="1">OFFSET('VVP2'!$G$72,0,(COLUMN()-10)/4)</f>
        <v>3838.73047107</v>
      </c>
      <c r="CQ146" s="1625"/>
      <c r="CR146" s="2916" t="s">
        <v>1694</v>
      </c>
      <c r="CS146" s="2916" t="s">
        <v>1694</v>
      </c>
      <c r="CT146" s="1667">
        <f ca="1">OFFSET('VVP2'!$G$72,0,(COLUMN()-10)/4)</f>
        <v>3942.25846989</v>
      </c>
      <c r="CU146" s="1625"/>
      <c r="CV146" s="2916" t="s">
        <v>1694</v>
      </c>
      <c r="CW146" s="2917">
        <f ca="1">+CX146/CX145*100</f>
        <v>98.3978044632902</v>
      </c>
      <c r="CX146" s="1667">
        <f ca="1">OFFSET('VVP2'!$G$72,0,(COLUMN()-10)/4)</f>
        <v>4039.0251996030734</v>
      </c>
      <c r="CY146" s="1625"/>
      <c r="CZ146" s="2916" t="s">
        <v>1694</v>
      </c>
      <c r="DA146" s="2917">
        <f ca="1">+DB146/DB145*100</f>
        <v>98.143875781700089</v>
      </c>
      <c r="DB146" s="1667">
        <f ca="1">OFFSET('VVP2'!$G$72,0,(COLUMN()-10)/4)</f>
        <v>4107.3593258518076</v>
      </c>
      <c r="DC146" s="1625"/>
      <c r="DD146" s="2916" t="s">
        <v>1694</v>
      </c>
      <c r="DE146" s="2917">
        <f ca="1">+DF146/DF145*100</f>
        <v>97.984462111496313</v>
      </c>
      <c r="DF146" s="1667">
        <f ca="1">OFFSET('VVP2'!$G$72,0,(COLUMN()-10)/4)</f>
        <v>4180.5884026949598</v>
      </c>
    </row>
    <row r="147" spans="1:110">
      <c r="AY147" s="217"/>
      <c r="BF147" s="217"/>
      <c r="BJ147" s="217"/>
      <c r="BN147" s="217"/>
      <c r="BR147" s="217"/>
      <c r="BV147" s="217"/>
      <c r="BZ147" s="217"/>
      <c r="CD147" s="217"/>
      <c r="CH147" s="217"/>
      <c r="CL147" s="217"/>
      <c r="CP147" s="217"/>
      <c r="CT147" s="217"/>
    </row>
    <row r="148" spans="1:110" s="736" customFormat="1" ht="12.75" customHeight="1">
      <c r="A148" s="701"/>
      <c r="B148" s="701"/>
      <c r="C148" s="1603"/>
      <c r="D148" s="779"/>
      <c r="E148" s="780" t="s">
        <v>1641</v>
      </c>
      <c r="F148" s="781"/>
      <c r="G148" s="1630" t="str">
        <f t="shared" ref="G148:N148" si="581">G140</f>
        <v>Q1</v>
      </c>
      <c r="H148" s="1631" t="str">
        <f t="shared" si="581"/>
        <v>Q2</v>
      </c>
      <c r="I148" s="1631" t="str">
        <f t="shared" si="581"/>
        <v>Q3</v>
      </c>
      <c r="J148" s="1632" t="str">
        <f t="shared" si="581"/>
        <v>Q4</v>
      </c>
      <c r="K148" s="1630" t="str">
        <f t="shared" si="581"/>
        <v>Q1</v>
      </c>
      <c r="L148" s="1631" t="str">
        <f t="shared" si="581"/>
        <v>Q2</v>
      </c>
      <c r="M148" s="1631" t="str">
        <f t="shared" si="581"/>
        <v>Q3</v>
      </c>
      <c r="N148" s="1632" t="str">
        <f t="shared" si="581"/>
        <v>Q4</v>
      </c>
      <c r="O148" s="1630" t="str">
        <f t="shared" ref="O148:AX148" si="582">O140</f>
        <v>Q1</v>
      </c>
      <c r="P148" s="1631" t="str">
        <f t="shared" si="582"/>
        <v>Q2</v>
      </c>
      <c r="Q148" s="1631" t="str">
        <f t="shared" si="582"/>
        <v>Q3</v>
      </c>
      <c r="R148" s="1632" t="str">
        <f t="shared" si="582"/>
        <v>Q4</v>
      </c>
      <c r="S148" s="1630" t="str">
        <f t="shared" si="582"/>
        <v>Q1</v>
      </c>
      <c r="T148" s="1631" t="str">
        <f t="shared" si="582"/>
        <v>Q2</v>
      </c>
      <c r="U148" s="1631" t="str">
        <f t="shared" si="582"/>
        <v>Q3</v>
      </c>
      <c r="V148" s="1632" t="str">
        <f t="shared" si="582"/>
        <v>Q4</v>
      </c>
      <c r="W148" s="1630" t="str">
        <f t="shared" si="582"/>
        <v>Q1</v>
      </c>
      <c r="X148" s="1631" t="str">
        <f t="shared" si="582"/>
        <v>Q2</v>
      </c>
      <c r="Y148" s="1631" t="str">
        <f t="shared" si="582"/>
        <v>Q3</v>
      </c>
      <c r="Z148" s="1632" t="str">
        <f t="shared" si="582"/>
        <v>Q4</v>
      </c>
      <c r="AA148" s="1630" t="str">
        <f t="shared" si="582"/>
        <v>Q1</v>
      </c>
      <c r="AB148" s="1631" t="str">
        <f t="shared" si="582"/>
        <v>Q2</v>
      </c>
      <c r="AC148" s="1631" t="str">
        <f t="shared" si="582"/>
        <v>Q3</v>
      </c>
      <c r="AD148" s="1632" t="str">
        <f t="shared" si="582"/>
        <v>Q4</v>
      </c>
      <c r="AE148" s="1630" t="str">
        <f t="shared" si="582"/>
        <v>Q1</v>
      </c>
      <c r="AF148" s="1631" t="str">
        <f t="shared" si="582"/>
        <v>Q2</v>
      </c>
      <c r="AG148" s="1631" t="str">
        <f t="shared" si="582"/>
        <v>Q3</v>
      </c>
      <c r="AH148" s="1632" t="str">
        <f t="shared" si="582"/>
        <v>Q4</v>
      </c>
      <c r="AI148" s="1630" t="str">
        <f t="shared" si="582"/>
        <v>Q1</v>
      </c>
      <c r="AJ148" s="1631" t="str">
        <f t="shared" si="582"/>
        <v>Q2</v>
      </c>
      <c r="AK148" s="1631" t="str">
        <f t="shared" si="582"/>
        <v>Q3</v>
      </c>
      <c r="AL148" s="1632" t="str">
        <f t="shared" si="582"/>
        <v>Q4</v>
      </c>
      <c r="AM148" s="1630" t="str">
        <f t="shared" si="582"/>
        <v>Q1</v>
      </c>
      <c r="AN148" s="1631" t="str">
        <f t="shared" si="582"/>
        <v>Q2</v>
      </c>
      <c r="AO148" s="1631" t="str">
        <f t="shared" si="582"/>
        <v>Q3</v>
      </c>
      <c r="AP148" s="1632" t="str">
        <f t="shared" si="582"/>
        <v>Q4</v>
      </c>
      <c r="AQ148" s="1630" t="str">
        <f t="shared" si="582"/>
        <v>Q1</v>
      </c>
      <c r="AR148" s="1631" t="str">
        <f t="shared" si="582"/>
        <v>Q2</v>
      </c>
      <c r="AS148" s="1631" t="str">
        <f t="shared" si="582"/>
        <v>Q3</v>
      </c>
      <c r="AT148" s="1632" t="str">
        <f t="shared" si="582"/>
        <v>Q4</v>
      </c>
      <c r="AU148" s="1630" t="str">
        <f t="shared" si="582"/>
        <v>Q1</v>
      </c>
      <c r="AV148" s="1631" t="str">
        <f t="shared" si="582"/>
        <v>Q2</v>
      </c>
      <c r="AW148" s="1631" t="str">
        <f t="shared" si="582"/>
        <v>Q3</v>
      </c>
      <c r="AX148" s="1632" t="str">
        <f t="shared" si="582"/>
        <v>Q4</v>
      </c>
      <c r="AY148" s="1630" t="str">
        <f t="shared" ref="AY148:BF148" si="583">AY140</f>
        <v>Q1</v>
      </c>
      <c r="AZ148" s="1631" t="str">
        <f t="shared" si="583"/>
        <v>Q2</v>
      </c>
      <c r="BA148" s="1631" t="str">
        <f t="shared" si="583"/>
        <v>Q3</v>
      </c>
      <c r="BB148" s="1631" t="str">
        <f t="shared" si="583"/>
        <v>Q4</v>
      </c>
      <c r="BC148" s="1631" t="str">
        <f t="shared" si="583"/>
        <v>Q1</v>
      </c>
      <c r="BD148" s="1631" t="str">
        <f t="shared" si="583"/>
        <v>Q2</v>
      </c>
      <c r="BE148" s="1631" t="str">
        <f t="shared" si="583"/>
        <v>Q3</v>
      </c>
      <c r="BF148" s="1632" t="str">
        <f t="shared" si="583"/>
        <v>Q4</v>
      </c>
      <c r="BG148" s="1631" t="str">
        <f t="shared" ref="BG148:BN148" si="584">BG140</f>
        <v>Q1</v>
      </c>
      <c r="BH148" s="1631" t="str">
        <f t="shared" si="584"/>
        <v>Q2</v>
      </c>
      <c r="BI148" s="1631" t="str">
        <f t="shared" si="584"/>
        <v>Q3</v>
      </c>
      <c r="BJ148" s="1632" t="str">
        <f t="shared" si="584"/>
        <v>Q4</v>
      </c>
      <c r="BK148" s="1631" t="str">
        <f t="shared" si="584"/>
        <v>Q1</v>
      </c>
      <c r="BL148" s="1631" t="str">
        <f t="shared" si="584"/>
        <v>Q2</v>
      </c>
      <c r="BM148" s="1631" t="str">
        <f t="shared" si="584"/>
        <v>Q3</v>
      </c>
      <c r="BN148" s="1632" t="str">
        <f t="shared" si="584"/>
        <v>Q4</v>
      </c>
      <c r="BO148" s="1631" t="str">
        <f t="shared" ref="BO148:BV148" si="585">BO140</f>
        <v>Q1</v>
      </c>
      <c r="BP148" s="1631" t="str">
        <f t="shared" si="585"/>
        <v>Q2</v>
      </c>
      <c r="BQ148" s="1631" t="str">
        <f t="shared" si="585"/>
        <v>Q3</v>
      </c>
      <c r="BR148" s="1632" t="str">
        <f t="shared" si="585"/>
        <v>Q4</v>
      </c>
      <c r="BS148" s="1631" t="str">
        <f t="shared" si="585"/>
        <v>Q1</v>
      </c>
      <c r="BT148" s="1631" t="str">
        <f t="shared" si="585"/>
        <v>Q2</v>
      </c>
      <c r="BU148" s="1631" t="str">
        <f t="shared" si="585"/>
        <v>Q3</v>
      </c>
      <c r="BV148" s="1632" t="str">
        <f t="shared" si="585"/>
        <v>Q4</v>
      </c>
      <c r="BW148" s="1631" t="str">
        <f t="shared" ref="BW148:CB148" si="586">BW140</f>
        <v>Q1</v>
      </c>
      <c r="BX148" s="1631" t="str">
        <f t="shared" si="586"/>
        <v>Q2</v>
      </c>
      <c r="BY148" s="1631" t="str">
        <f t="shared" si="586"/>
        <v>Q3</v>
      </c>
      <c r="BZ148" s="1632" t="str">
        <f t="shared" si="586"/>
        <v>Q4</v>
      </c>
      <c r="CA148" s="1631" t="str">
        <f t="shared" si="586"/>
        <v>Q1</v>
      </c>
      <c r="CB148" s="1631" t="str">
        <f t="shared" si="586"/>
        <v>Q2</v>
      </c>
      <c r="CC148" s="1631" t="str">
        <f t="shared" ref="CC148:CK148" si="587">CC140</f>
        <v>Q3</v>
      </c>
      <c r="CD148" s="1632" t="str">
        <f t="shared" si="587"/>
        <v>Q4</v>
      </c>
      <c r="CE148" s="1631" t="str">
        <f t="shared" si="587"/>
        <v>Q1</v>
      </c>
      <c r="CF148" s="1631" t="str">
        <f t="shared" si="587"/>
        <v>Q2</v>
      </c>
      <c r="CG148" s="1631" t="str">
        <f t="shared" si="587"/>
        <v>Q3</v>
      </c>
      <c r="CH148" s="1632" t="str">
        <f>CH140</f>
        <v>Q4</v>
      </c>
      <c r="CI148" s="1631" t="str">
        <f>CI140</f>
        <v>Q1</v>
      </c>
      <c r="CJ148" s="1631" t="str">
        <f>CJ140</f>
        <v>Q2</v>
      </c>
      <c r="CK148" s="1631" t="str">
        <f t="shared" si="587"/>
        <v>Q3</v>
      </c>
      <c r="CL148" s="1632" t="str">
        <f t="shared" ref="CL148:CT148" si="588">CL140</f>
        <v>Q4</v>
      </c>
      <c r="CM148" s="1631" t="str">
        <f t="shared" si="588"/>
        <v>Q1</v>
      </c>
      <c r="CN148" s="1631" t="str">
        <f t="shared" si="588"/>
        <v>Q2</v>
      </c>
      <c r="CO148" s="1631" t="str">
        <f t="shared" si="588"/>
        <v>Q3</v>
      </c>
      <c r="CP148" s="1632" t="str">
        <f t="shared" si="588"/>
        <v>Q4</v>
      </c>
      <c r="CQ148" s="1631" t="str">
        <f t="shared" si="588"/>
        <v>Q1</v>
      </c>
      <c r="CR148" s="1631" t="str">
        <f t="shared" si="588"/>
        <v>Q2</v>
      </c>
      <c r="CS148" s="1631" t="str">
        <f t="shared" si="588"/>
        <v>Q3</v>
      </c>
      <c r="CT148" s="1632" t="str">
        <f t="shared" si="588"/>
        <v>Q4</v>
      </c>
      <c r="CU148" s="1631" t="str">
        <f t="shared" ref="CU148:CX148" si="589">CU140</f>
        <v>Q1</v>
      </c>
      <c r="CV148" s="1631" t="str">
        <f t="shared" si="589"/>
        <v>Q2</v>
      </c>
      <c r="CW148" s="1631" t="str">
        <f t="shared" si="589"/>
        <v>Q3</v>
      </c>
      <c r="CX148" s="1631" t="str">
        <f t="shared" si="589"/>
        <v>Q4</v>
      </c>
      <c r="CY148" s="1631" t="str">
        <f t="shared" ref="CY148:DB148" si="590">CY140</f>
        <v>Q1</v>
      </c>
      <c r="CZ148" s="1631" t="str">
        <f t="shared" si="590"/>
        <v>Q2</v>
      </c>
      <c r="DA148" s="1631" t="str">
        <f t="shared" si="590"/>
        <v>Q3</v>
      </c>
      <c r="DB148" s="1631" t="str">
        <f t="shared" si="590"/>
        <v>Q4</v>
      </c>
      <c r="DC148" s="1631" t="str">
        <f t="shared" ref="DC148:DF148" si="591">DC140</f>
        <v>Q1</v>
      </c>
      <c r="DD148" s="1631" t="str">
        <f t="shared" si="591"/>
        <v>Q2</v>
      </c>
      <c r="DE148" s="1631" t="str">
        <f t="shared" si="591"/>
        <v>Q3</v>
      </c>
      <c r="DF148" s="1631" t="str">
        <f t="shared" si="591"/>
        <v>Q4</v>
      </c>
    </row>
    <row r="149" spans="1:110" s="736" customFormat="1" ht="12.75" customHeight="1">
      <c r="B149" s="701"/>
      <c r="C149" s="729"/>
      <c r="D149" s="726"/>
      <c r="E149" s="775" t="s">
        <v>448</v>
      </c>
      <c r="F149" s="770" t="s">
        <v>1428</v>
      </c>
      <c r="G149" s="1015"/>
      <c r="H149" s="1015">
        <f t="shared" ref="H149:AM149" si="592">(H144/G144-1)*100</f>
        <v>0.4703737077352832</v>
      </c>
      <c r="I149" s="1015">
        <f t="shared" si="592"/>
        <v>0.7911233825471653</v>
      </c>
      <c r="J149" s="1015">
        <f t="shared" si="592"/>
        <v>0.73831813602625029</v>
      </c>
      <c r="K149" s="1015">
        <f t="shared" si="592"/>
        <v>-3.7899396473173308E-2</v>
      </c>
      <c r="L149" s="1015">
        <f t="shared" si="592"/>
        <v>0.13050760634389924</v>
      </c>
      <c r="M149" s="1015">
        <f t="shared" si="592"/>
        <v>1.5536331684971927</v>
      </c>
      <c r="N149" s="1015">
        <f t="shared" si="592"/>
        <v>0.39745891433149438</v>
      </c>
      <c r="O149" s="1015">
        <f t="shared" si="592"/>
        <v>-0.78665414666263533</v>
      </c>
      <c r="P149" s="1015">
        <f t="shared" si="592"/>
        <v>1.5532920051553045</v>
      </c>
      <c r="Q149" s="1015">
        <f t="shared" si="592"/>
        <v>0.15195900317777067</v>
      </c>
      <c r="R149" s="1015">
        <f t="shared" si="592"/>
        <v>0.92116631340786181</v>
      </c>
      <c r="S149" s="1015">
        <f t="shared" si="592"/>
        <v>1.1646598712776957</v>
      </c>
      <c r="T149" s="1015">
        <f t="shared" si="592"/>
        <v>1.1728482881663505</v>
      </c>
      <c r="U149" s="1015">
        <f t="shared" si="592"/>
        <v>1.552272755344708</v>
      </c>
      <c r="V149" s="1015">
        <f t="shared" si="592"/>
        <v>1.0378360441724244</v>
      </c>
      <c r="W149" s="1015">
        <f t="shared" si="592"/>
        <v>0.81996877852741346</v>
      </c>
      <c r="X149" s="1015">
        <f t="shared" si="592"/>
        <v>-3.2942246211142834E-2</v>
      </c>
      <c r="Y149" s="1015">
        <f t="shared" si="592"/>
        <v>1.6991366501732719</v>
      </c>
      <c r="Z149" s="1015">
        <f t="shared" si="592"/>
        <v>1.0658357242501859</v>
      </c>
      <c r="AA149" s="1015">
        <f t="shared" si="592"/>
        <v>0.39508408665838157</v>
      </c>
      <c r="AB149" s="1015">
        <f t="shared" si="592"/>
        <v>1.9689376133090075</v>
      </c>
      <c r="AC149" s="1015">
        <f t="shared" si="592"/>
        <v>0.85238282555788469</v>
      </c>
      <c r="AD149" s="1015">
        <f t="shared" si="592"/>
        <v>-5.9682419111972695E-2</v>
      </c>
      <c r="AE149" s="1015">
        <f t="shared" si="592"/>
        <v>-0.40890122523093986</v>
      </c>
      <c r="AF149" s="1015">
        <f t="shared" si="592"/>
        <v>0.41601679898883859</v>
      </c>
      <c r="AG149" s="1015">
        <f t="shared" si="592"/>
        <v>0.30447920397942418</v>
      </c>
      <c r="AH149" s="1015">
        <f t="shared" si="592"/>
        <v>0.78700602331078784</v>
      </c>
      <c r="AI149" s="1015">
        <f t="shared" si="592"/>
        <v>-1.0805170737921643</v>
      </c>
      <c r="AJ149" s="1015">
        <f t="shared" si="592"/>
        <v>1.8028517143203748</v>
      </c>
      <c r="AK149" s="1015">
        <f t="shared" si="592"/>
        <v>-0.15553310400225895</v>
      </c>
      <c r="AL149" s="1015">
        <f t="shared" si="592"/>
        <v>1.1408803503845322</v>
      </c>
      <c r="AM149" s="1015">
        <f t="shared" si="592"/>
        <v>0.51903031576334691</v>
      </c>
      <c r="AN149" s="1015">
        <f t="shared" ref="AN149:BE149" si="593">(AN144/AM144-1)*100</f>
        <v>-0.44266580827166946</v>
      </c>
      <c r="AO149" s="1015">
        <f t="shared" si="593"/>
        <v>0.94338086911613939</v>
      </c>
      <c r="AP149" s="1015">
        <f t="shared" si="593"/>
        <v>0.51904023364663932</v>
      </c>
      <c r="AQ149" s="1015">
        <f t="shared" si="593"/>
        <v>0.52357961551054988</v>
      </c>
      <c r="AR149" s="1015">
        <f t="shared" si="593"/>
        <v>0.2727469347614031</v>
      </c>
      <c r="AS149" s="1015">
        <f t="shared" si="593"/>
        <v>0.92729243561422425</v>
      </c>
      <c r="AT149" s="1015">
        <f t="shared" si="593"/>
        <v>0.82359460346437263</v>
      </c>
      <c r="AU149" s="1015">
        <f t="shared" si="593"/>
        <v>0.34791107057556836</v>
      </c>
      <c r="AV149" s="1015">
        <f t="shared" si="593"/>
        <v>0.82370954835788712</v>
      </c>
      <c r="AW149" s="1015">
        <f t="shared" si="593"/>
        <v>1.1297196484884253</v>
      </c>
      <c r="AX149" s="1015">
        <f t="shared" si="593"/>
        <v>-0.18042646326837941</v>
      </c>
      <c r="AY149" s="1015">
        <f t="shared" si="593"/>
        <v>1.4950012159311798</v>
      </c>
      <c r="AZ149" s="1015">
        <f t="shared" si="593"/>
        <v>1.892794705294687</v>
      </c>
      <c r="BA149" s="1015">
        <f t="shared" si="593"/>
        <v>0.54077571442139316</v>
      </c>
      <c r="BB149" s="1015">
        <f>(BB144/BA144-1)*100</f>
        <v>1.2057059619440258</v>
      </c>
      <c r="BC149" s="1015">
        <f>(BC144/BB144-1)*100</f>
        <v>0.94804496777367575</v>
      </c>
      <c r="BD149" s="1015">
        <f>(BD144/BC144-1)*100</f>
        <v>0.98234268845718287</v>
      </c>
      <c r="BE149" s="1015">
        <f t="shared" si="593"/>
        <v>0.73265451602393394</v>
      </c>
      <c r="BF149" s="1015">
        <f t="shared" ref="BF149:BN149" si="594">(BF144/BE144-1)*100</f>
        <v>1.4986240691558628</v>
      </c>
      <c r="BG149" s="1015">
        <f t="shared" si="594"/>
        <v>-0.53167708682174686</v>
      </c>
      <c r="BH149" s="1015">
        <f t="shared" si="594"/>
        <v>-0.35176742953334506</v>
      </c>
      <c r="BI149" s="1015">
        <f t="shared" si="594"/>
        <v>-0.64650950569604682</v>
      </c>
      <c r="BJ149" s="1015">
        <f t="shared" si="594"/>
        <v>-0.70316834638641801</v>
      </c>
      <c r="BK149" s="1015">
        <f t="shared" si="594"/>
        <v>-1.8395470611465403</v>
      </c>
      <c r="BL149" s="1015">
        <f t="shared" si="594"/>
        <v>-6.3407087547939778E-2</v>
      </c>
      <c r="BM149" s="1015">
        <f t="shared" si="594"/>
        <v>-1.2184997118758201E-2</v>
      </c>
      <c r="BN149" s="1015">
        <f t="shared" si="594"/>
        <v>0.6300197857764589</v>
      </c>
      <c r="BO149" s="1015">
        <f t="shared" ref="BO149:BV149" si="595">(BO144/BN144-1)*100</f>
        <v>0.87656041797725681</v>
      </c>
      <c r="BP149" s="1015">
        <f t="shared" si="595"/>
        <v>1.2284122538567033</v>
      </c>
      <c r="BQ149" s="1015">
        <f t="shared" si="595"/>
        <v>1.8127590399484195</v>
      </c>
      <c r="BR149" s="1015">
        <f t="shared" si="595"/>
        <v>0.86998632935177955</v>
      </c>
      <c r="BS149" s="1015">
        <f t="shared" si="595"/>
        <v>-0.30893257178250533</v>
      </c>
      <c r="BT149" s="1015">
        <f t="shared" si="595"/>
        <v>1.8944835370754864</v>
      </c>
      <c r="BU149" s="1015">
        <f t="shared" si="595"/>
        <v>-0.34430873777812065</v>
      </c>
      <c r="BV149" s="1015">
        <f t="shared" si="595"/>
        <v>-0.99777339262339115</v>
      </c>
      <c r="BW149" s="1015">
        <f t="shared" ref="BW149:CL149" si="596">(BW144/BV144-1)*100</f>
        <v>1.4873761172556899</v>
      </c>
      <c r="BX149" s="1015">
        <f t="shared" si="596"/>
        <v>-0.26554917208080342</v>
      </c>
      <c r="BY149" s="1015">
        <f t="shared" si="596"/>
        <v>-0.1755150265763783</v>
      </c>
      <c r="BZ149" s="1015">
        <f t="shared" si="596"/>
        <v>0.76670186427534315</v>
      </c>
      <c r="CA149" s="1015">
        <f t="shared" si="596"/>
        <v>7.9486568052011819E-3</v>
      </c>
      <c r="CB149" s="1015">
        <f t="shared" si="596"/>
        <v>0.42912342840040196</v>
      </c>
      <c r="CC149" s="1015">
        <f t="shared" si="596"/>
        <v>1.1484211906604758</v>
      </c>
      <c r="CD149" s="1015">
        <f t="shared" si="596"/>
        <v>0.2655871552644129</v>
      </c>
      <c r="CE149" s="1015">
        <f t="shared" si="596"/>
        <v>0.67011560827243688</v>
      </c>
      <c r="CF149" s="1015">
        <f t="shared" si="596"/>
        <v>0.91885297215856809</v>
      </c>
      <c r="CG149" s="1015">
        <f t="shared" si="596"/>
        <v>0.47786401654674737</v>
      </c>
      <c r="CH149" s="1015">
        <f t="shared" si="596"/>
        <v>1.3874197516680065</v>
      </c>
      <c r="CI149" s="1015">
        <f t="shared" si="596"/>
        <v>0.7597644037171003</v>
      </c>
      <c r="CJ149" s="1015">
        <f t="shared" si="596"/>
        <v>0.5838692380437438</v>
      </c>
      <c r="CK149" s="1015">
        <f t="shared" si="596"/>
        <v>0.72495094216460387</v>
      </c>
      <c r="CL149" s="1015">
        <f t="shared" si="596"/>
        <v>1.7867595640707057</v>
      </c>
      <c r="CM149" s="1015">
        <f t="shared" ref="CM149" si="597">(CM144/CL144-1)*100</f>
        <v>0.59476418132198283</v>
      </c>
      <c r="CN149" s="1015">
        <f t="shared" ref="CN149:CP149" si="598">(CN144/CM144-1)*100</f>
        <v>0.64177341295750256</v>
      </c>
      <c r="CO149" s="1015">
        <f t="shared" si="598"/>
        <v>0.21976278104853808</v>
      </c>
      <c r="CP149" s="1015">
        <f t="shared" si="598"/>
        <v>0.4858763543564848</v>
      </c>
      <c r="CQ149" s="1015">
        <f t="shared" ref="CQ149" si="599">(CQ144/CP144-1)*100</f>
        <v>0.91499039134339544</v>
      </c>
      <c r="CR149" s="1015">
        <f t="shared" ref="CR149" si="600">(CR144/CQ144-1)*100</f>
        <v>0.84005640430420137</v>
      </c>
      <c r="CS149" s="1015">
        <f t="shared" ref="CS149" si="601">(CS144/CR144-1)*100</f>
        <v>1.2140899698802832</v>
      </c>
      <c r="CT149" s="1015">
        <f t="shared" ref="CT149:CV149" si="602">(CT144/CS144-1)*100</f>
        <v>7.3810944688901259E-2</v>
      </c>
      <c r="CU149" s="1015">
        <f t="shared" si="602"/>
        <v>0.86823099301969187</v>
      </c>
      <c r="CV149" s="1015">
        <f t="shared" si="602"/>
        <v>0.31488978405880275</v>
      </c>
      <c r="CW149" s="1840">
        <f t="shared" ref="CW149:CX149" si="603">+(CV105*CW110+CV124*CW129)/(CV105+CV124)</f>
        <v>-4.8709418819823949E-2</v>
      </c>
      <c r="CX149" s="1840">
        <f t="shared" si="603"/>
        <v>8.2689695087010268E-2</v>
      </c>
      <c r="CY149" s="1840">
        <f t="shared" ref="CY149" si="604">+(CX105*CY110+CX124*CY129)/(CX105+CX124)</f>
        <v>0.73444292775006503</v>
      </c>
      <c r="CZ149" s="1840">
        <f t="shared" ref="CZ149" si="605">+(CY105*CZ110+CY124*CZ129)/(CY105+CY124)</f>
        <v>0.44394850613538561</v>
      </c>
      <c r="DA149" s="1840">
        <f t="shared" ref="DA149" si="606">+(CZ105*DA110+CZ124*DA129)/(CZ105+CZ124)</f>
        <v>0.36451025718467456</v>
      </c>
      <c r="DB149" s="1840">
        <f t="shared" ref="DB149" si="607">+(DA105*DB110+DA124*DB129)/(DA105+DA124)</f>
        <v>0.40373338472212578</v>
      </c>
      <c r="DC149" s="1840">
        <f t="shared" ref="DC149" si="608">+(DB105*DC110+DB124*DC129)/(DB105+DB124)</f>
        <v>0.59011308191282286</v>
      </c>
      <c r="DD149" s="1840">
        <f t="shared" ref="DD149" si="609">+(DC105*DD110+DC124*DD129)/(DC105+DC124)</f>
        <v>0.59552414415939792</v>
      </c>
      <c r="DE149" s="1840">
        <f t="shared" ref="DE149" si="610">+(DD105*DE110+DD124*DE129)/(DD105+DD124)</f>
        <v>0.4394857620603585</v>
      </c>
      <c r="DF149" s="1840">
        <f t="shared" ref="DF149" si="611">+(DE105*DF110+DE124*DF129)/(DE105+DE124)</f>
        <v>0.32699956414378489</v>
      </c>
    </row>
    <row r="150" spans="1:110" ht="12.75">
      <c r="C150" s="1605"/>
      <c r="D150" s="1633"/>
      <c r="E150" s="1634" t="s">
        <v>1783</v>
      </c>
      <c r="F150" s="1704"/>
      <c r="G150" s="1657"/>
      <c r="H150" s="1658"/>
      <c r="I150" s="1658"/>
      <c r="J150" s="1658"/>
      <c r="K150" s="1659"/>
      <c r="L150" s="1659"/>
      <c r="M150" s="1659"/>
      <c r="N150" s="1660">
        <f>N145/J145*100-100</f>
        <v>0.28940232747476102</v>
      </c>
      <c r="O150" s="1659"/>
      <c r="P150" s="1659"/>
      <c r="Q150" s="1659"/>
      <c r="R150" s="1660">
        <f>R145/N145*100-100</f>
        <v>2.1914683235295627</v>
      </c>
      <c r="S150" s="1659"/>
      <c r="T150" s="1659"/>
      <c r="U150" s="1659"/>
      <c r="V150" s="1660">
        <f>V145/R145*100-100</f>
        <v>4.7990359223159373</v>
      </c>
      <c r="W150" s="1659"/>
      <c r="X150" s="1659"/>
      <c r="Y150" s="1659"/>
      <c r="Z150" s="1660">
        <f>Z145/V145*100-100</f>
        <v>2.6707080965592667</v>
      </c>
      <c r="AA150" s="1659"/>
      <c r="AB150" s="1659"/>
      <c r="AC150" s="1659"/>
      <c r="AD150" s="1660">
        <f>AD145/Z145*100-100</f>
        <v>4.9061021645774332</v>
      </c>
      <c r="AE150" s="1659"/>
      <c r="AF150" s="1659"/>
      <c r="AG150" s="1659"/>
      <c r="AH150" s="1660">
        <f>AH145/AD145*100-100</f>
        <v>0.41640024435707801</v>
      </c>
      <c r="AI150" s="1659"/>
      <c r="AJ150" s="1659"/>
      <c r="AK150" s="1659"/>
      <c r="AL150" s="1660">
        <f>AL145/AH145*100-100</f>
        <v>0.94424828240819636</v>
      </c>
      <c r="AM150" s="1659"/>
      <c r="AN150" s="1659"/>
      <c r="AO150" s="1659"/>
      <c r="AP150" s="1660">
        <f>AP145/AL145*100-100</f>
        <v>2.4627143068727548</v>
      </c>
      <c r="AQ150" s="1659"/>
      <c r="AR150" s="1659"/>
      <c r="AS150" s="1659"/>
      <c r="AT150" s="1660">
        <f>AT145/AP145*100-100</f>
        <v>1.5090839928814717</v>
      </c>
      <c r="AU150" s="1659"/>
      <c r="AV150" s="1659"/>
      <c r="AW150" s="1659"/>
      <c r="AX150" s="1660">
        <f>AX145/AT145*100-100</f>
        <v>2.6260754459102316</v>
      </c>
      <c r="AY150" s="1659"/>
      <c r="AZ150" s="1659"/>
      <c r="BA150" s="1661"/>
      <c r="BB150" s="1662">
        <f>BB145/AX145*100-100</f>
        <v>4.7370842300595655</v>
      </c>
      <c r="BC150" s="1661"/>
      <c r="BD150" s="1661"/>
      <c r="BE150" s="1661"/>
      <c r="BF150" s="1660">
        <f>BF145/BB145*100-100</f>
        <v>5.5740028227432958</v>
      </c>
      <c r="BG150" s="1661"/>
      <c r="BH150" s="1661"/>
      <c r="BI150" s="1661"/>
      <c r="BJ150" s="1660">
        <f>BJ145/BF145*100-100</f>
        <v>-0.72631269489097861</v>
      </c>
      <c r="BK150" s="1661"/>
      <c r="BL150" s="1661"/>
      <c r="BM150" s="1661"/>
      <c r="BN150" s="1660">
        <f>BN145/BJ145*100-100</f>
        <v>-5.8791638036929896</v>
      </c>
      <c r="BO150" s="1661"/>
      <c r="BP150" s="1661"/>
      <c r="BQ150" s="1661"/>
      <c r="BR150" s="1660">
        <f>BR145/BN145*100-100</f>
        <v>8.0045398538495931</v>
      </c>
      <c r="BS150" s="1661"/>
      <c r="BT150" s="1661"/>
      <c r="BU150" s="1661"/>
      <c r="BV150" s="1660">
        <f>BV145/BR145*100-100</f>
        <v>3.4799852573481331</v>
      </c>
      <c r="BW150" s="1661"/>
      <c r="BX150" s="1661"/>
      <c r="BY150" s="1661"/>
      <c r="BZ150" s="1660">
        <f>BZ145/BV145*100-100</f>
        <v>-1.4468371476724116</v>
      </c>
      <c r="CA150" s="1661"/>
      <c r="CB150" s="1661"/>
      <c r="CC150" s="1661"/>
      <c r="CD150" s="1660">
        <f>CD145/BZ145*100-100</f>
        <v>1.8471988233032874</v>
      </c>
      <c r="CE150" s="1661"/>
      <c r="CF150" s="1661"/>
      <c r="CG150" s="1661"/>
      <c r="CH150" s="1660">
        <f>CH145/CD145*100-100</f>
        <v>3.2130008911776855</v>
      </c>
      <c r="CI150" s="1661"/>
      <c r="CJ150" s="1661"/>
      <c r="CK150" s="1661"/>
      <c r="CL150" s="1660">
        <f>CL145/CH145*100-100</f>
        <v>4.4570010559097994</v>
      </c>
      <c r="CM150" s="1661"/>
      <c r="CN150" s="1661"/>
      <c r="CO150" s="1661"/>
      <c r="CP150" s="1660">
        <f>CP145/CL145*100-100</f>
        <v>2.8659731592603777</v>
      </c>
      <c r="CQ150" s="1661"/>
      <c r="CR150" s="1661"/>
      <c r="CS150" s="1661"/>
      <c r="CT150" s="1660">
        <f>CT145/CP145*100-100</f>
        <v>3.0316723792299598</v>
      </c>
      <c r="CU150" s="1661"/>
      <c r="CV150" s="1661"/>
      <c r="CW150" s="1661"/>
      <c r="CX150" s="1660">
        <f>CX145/CT145*100-100</f>
        <v>3.1580838825442612</v>
      </c>
      <c r="CY150" s="1661"/>
      <c r="CZ150" s="1661"/>
      <c r="DA150" s="1661"/>
      <c r="DB150" s="1660">
        <f>DB145/CX145*100-100</f>
        <v>1.9549553743974997</v>
      </c>
      <c r="DC150" s="1661"/>
      <c r="DD150" s="1661"/>
      <c r="DE150" s="1661"/>
      <c r="DF150" s="1660">
        <f>DF145/DB145*100-100</f>
        <v>1.9484682747716846</v>
      </c>
    </row>
    <row r="151" spans="1:110" s="736" customFormat="1" ht="12.75" customHeight="1">
      <c r="A151" s="701"/>
      <c r="B151" s="701"/>
      <c r="C151" s="703"/>
      <c r="D151" s="754"/>
      <c r="E151" s="1648" t="s">
        <v>136</v>
      </c>
      <c r="F151" s="754"/>
      <c r="G151" s="1649"/>
      <c r="H151" s="1649"/>
      <c r="I151" s="1649"/>
      <c r="J151" s="1650"/>
      <c r="K151" s="1649"/>
      <c r="L151" s="1649"/>
      <c r="M151" s="1649"/>
      <c r="N151" s="1651">
        <f ca="1">N146/J146*100-100</f>
        <v>1.1103724055727042</v>
      </c>
      <c r="O151" s="1649"/>
      <c r="P151" s="1649"/>
      <c r="Q151" s="1649"/>
      <c r="R151" s="1651">
        <f ca="1">R146/N146*100-100</f>
        <v>1.7240463081740387</v>
      </c>
      <c r="S151" s="1649"/>
      <c r="T151" s="1649"/>
      <c r="U151" s="1649"/>
      <c r="V151" s="1651">
        <f ca="1">V146/R146*100-100</f>
        <v>4.7341213492308754</v>
      </c>
      <c r="W151" s="1649"/>
      <c r="X151" s="1649"/>
      <c r="Y151" s="1649"/>
      <c r="Z151" s="1651">
        <f ca="1">Z146/V146*100-100</f>
        <v>3.5266190215407391</v>
      </c>
      <c r="AA151" s="1649"/>
      <c r="AB151" s="1649"/>
      <c r="AC151" s="1649"/>
      <c r="AD151" s="1651">
        <f ca="1">AD146/Z146*100-100</f>
        <v>4.3160480863308521</v>
      </c>
      <c r="AE151" s="1649"/>
      <c r="AF151" s="1649"/>
      <c r="AG151" s="1649"/>
      <c r="AH151" s="1651">
        <f ca="1">AH146/AD146*100-100</f>
        <v>0.64894166684391053</v>
      </c>
      <c r="AI151" s="1649"/>
      <c r="AJ151" s="1649"/>
      <c r="AK151" s="1649"/>
      <c r="AL151" s="1651">
        <f ca="1">AL146/AH146*100-100</f>
        <v>1.0977854163647578</v>
      </c>
      <c r="AM151" s="1649"/>
      <c r="AN151" s="1649"/>
      <c r="AO151" s="1649"/>
      <c r="AP151" s="1651">
        <f ca="1">AP146/AL146*100-100</f>
        <v>2.1085903218171325</v>
      </c>
      <c r="AQ151" s="1649"/>
      <c r="AR151" s="1649"/>
      <c r="AS151" s="1649"/>
      <c r="AT151" s="1651">
        <f ca="1">AT146/AP146*100-100</f>
        <v>2.3397524306380717</v>
      </c>
      <c r="AU151" s="1649"/>
      <c r="AV151" s="1649"/>
      <c r="AW151" s="1649"/>
      <c r="AX151" s="1651">
        <f ca="1">AX146/AT146*100-100</f>
        <v>2.6445388990128578</v>
      </c>
      <c r="AY151" s="1649"/>
      <c r="AZ151" s="1649"/>
      <c r="BA151" s="1663"/>
      <c r="BB151" s="1664">
        <f ca="1">BB146/AX146*100-100</f>
        <v>4.2118045273197566</v>
      </c>
      <c r="BC151" s="1663"/>
      <c r="BD151" s="1663"/>
      <c r="BE151" s="1663"/>
      <c r="BF151" s="1651">
        <f ca="1">BF146/BB146*100-100</f>
        <v>4.7049139449243853</v>
      </c>
      <c r="BG151" s="1663"/>
      <c r="BH151" s="1663"/>
      <c r="BI151" s="1663"/>
      <c r="BJ151" s="1651">
        <f ca="1">BJ146/BF146*100-100</f>
        <v>5.2694031201184544E-2</v>
      </c>
      <c r="BK151" s="1663"/>
      <c r="BL151" s="1663"/>
      <c r="BM151" s="1663"/>
      <c r="BN151" s="1651">
        <f ca="1">BN146/BJ146*100-100</f>
        <v>-4.3864675538014808</v>
      </c>
      <c r="BO151" s="1663"/>
      <c r="BP151" s="1663"/>
      <c r="BQ151" s="1663"/>
      <c r="BR151" s="1651">
        <f ca="1">BR146/BN146*100-100</f>
        <v>5.9711853603296134</v>
      </c>
      <c r="BS151" s="1663"/>
      <c r="BT151" s="1663"/>
      <c r="BU151" s="1663"/>
      <c r="BV151" s="1651">
        <f ca="1">BV146/BR146*100-100</f>
        <v>3.0158526514790935</v>
      </c>
      <c r="BW151" s="1663"/>
      <c r="BX151" s="1663"/>
      <c r="BY151" s="1663"/>
      <c r="BZ151" s="1651">
        <f ca="1">BZ146/BV146*100-100</f>
        <v>-0.58127864975089949</v>
      </c>
      <c r="CA151" s="1663"/>
      <c r="CB151" s="1663"/>
      <c r="CC151" s="1663"/>
      <c r="CD151" s="1651">
        <f ca="1">CD146/BZ146*100-100</f>
        <v>1.6271328684289728</v>
      </c>
      <c r="CE151" s="1663"/>
      <c r="CF151" s="1663"/>
      <c r="CG151" s="1663"/>
      <c r="CH151" s="1651">
        <f ca="1">CH146/CD146*100-100</f>
        <v>2.8974050442186865</v>
      </c>
      <c r="CI151" s="1663"/>
      <c r="CJ151" s="1663"/>
      <c r="CK151" s="1663"/>
      <c r="CL151" s="1651">
        <f ca="1">CL146/CH146*100-100</f>
        <v>4.213711783678022</v>
      </c>
      <c r="CM151" s="1663"/>
      <c r="CN151" s="1663"/>
      <c r="CO151" s="1663"/>
      <c r="CP151" s="1651">
        <f ca="1">CP146/CL146*100-100</f>
        <v>3.2414143861614377</v>
      </c>
      <c r="CQ151" s="1663"/>
      <c r="CR151" s="1663"/>
      <c r="CS151" s="1663"/>
      <c r="CT151" s="1651">
        <f ca="1">CT146/CP146*100-100</f>
        <v>2.6969332595821101</v>
      </c>
      <c r="CU151" s="1663"/>
      <c r="CV151" s="1663"/>
      <c r="CW151" s="1663"/>
      <c r="CX151" s="1651">
        <f ca="1">CX146/CT146*100-100</f>
        <v>2.4546013522998038</v>
      </c>
      <c r="CY151" s="1663"/>
      <c r="CZ151" s="1663"/>
      <c r="DA151" s="1663"/>
      <c r="DB151" s="1651">
        <f ca="1">DB146/CX146*100-100</f>
        <v>1.6918469896015864</v>
      </c>
      <c r="DC151" s="1663"/>
      <c r="DD151" s="1663"/>
      <c r="DE151" s="1663"/>
      <c r="DF151" s="1651">
        <f ca="1">DF146/DB146*100-100</f>
        <v>1.7828748603085955</v>
      </c>
    </row>
    <row r="152" spans="1:110">
      <c r="AY152" s="217"/>
      <c r="BF152" s="217"/>
      <c r="BJ152" s="217"/>
      <c r="BN152" s="217"/>
      <c r="BR152" s="217"/>
      <c r="BV152" s="217"/>
    </row>
    <row r="153" spans="1:110" s="736" customFormat="1" ht="12.75" customHeight="1">
      <c r="A153" s="701"/>
      <c r="B153" s="701"/>
      <c r="C153" s="703"/>
      <c r="D153" s="895"/>
      <c r="E153" s="896"/>
      <c r="F153" s="897"/>
      <c r="G153" s="1640" t="str">
        <f t="shared" ref="G153:AX153" si="612">G148</f>
        <v>Q1</v>
      </c>
      <c r="H153" s="1640" t="str">
        <f t="shared" si="612"/>
        <v>Q2</v>
      </c>
      <c r="I153" s="1640" t="str">
        <f t="shared" si="612"/>
        <v>Q3</v>
      </c>
      <c r="J153" s="1640" t="str">
        <f t="shared" si="612"/>
        <v>Q4</v>
      </c>
      <c r="K153" s="1645" t="str">
        <f t="shared" si="612"/>
        <v>Q1</v>
      </c>
      <c r="L153" s="1640" t="str">
        <f t="shared" si="612"/>
        <v>Q2</v>
      </c>
      <c r="M153" s="1640" t="str">
        <f t="shared" si="612"/>
        <v>Q3</v>
      </c>
      <c r="N153" s="1646" t="str">
        <f t="shared" si="612"/>
        <v>Q4</v>
      </c>
      <c r="O153" s="1645" t="str">
        <f t="shared" si="612"/>
        <v>Q1</v>
      </c>
      <c r="P153" s="1640" t="str">
        <f t="shared" si="612"/>
        <v>Q2</v>
      </c>
      <c r="Q153" s="1640" t="str">
        <f t="shared" si="612"/>
        <v>Q3</v>
      </c>
      <c r="R153" s="1646" t="str">
        <f t="shared" si="612"/>
        <v>Q4</v>
      </c>
      <c r="S153" s="1645" t="str">
        <f t="shared" si="612"/>
        <v>Q1</v>
      </c>
      <c r="T153" s="1640" t="str">
        <f t="shared" si="612"/>
        <v>Q2</v>
      </c>
      <c r="U153" s="1640" t="str">
        <f t="shared" si="612"/>
        <v>Q3</v>
      </c>
      <c r="V153" s="1646" t="str">
        <f t="shared" si="612"/>
        <v>Q4</v>
      </c>
      <c r="W153" s="1645" t="str">
        <f t="shared" si="612"/>
        <v>Q1</v>
      </c>
      <c r="X153" s="1640" t="str">
        <f t="shared" si="612"/>
        <v>Q2</v>
      </c>
      <c r="Y153" s="1640" t="str">
        <f t="shared" si="612"/>
        <v>Q3</v>
      </c>
      <c r="Z153" s="1646" t="str">
        <f t="shared" si="612"/>
        <v>Q4</v>
      </c>
      <c r="AA153" s="1645" t="str">
        <f t="shared" si="612"/>
        <v>Q1</v>
      </c>
      <c r="AB153" s="1640" t="str">
        <f t="shared" si="612"/>
        <v>Q2</v>
      </c>
      <c r="AC153" s="1640" t="str">
        <f t="shared" si="612"/>
        <v>Q3</v>
      </c>
      <c r="AD153" s="1646" t="str">
        <f t="shared" si="612"/>
        <v>Q4</v>
      </c>
      <c r="AE153" s="1645" t="str">
        <f t="shared" si="612"/>
        <v>Q1</v>
      </c>
      <c r="AF153" s="1640" t="str">
        <f t="shared" si="612"/>
        <v>Q2</v>
      </c>
      <c r="AG153" s="1640" t="str">
        <f t="shared" si="612"/>
        <v>Q3</v>
      </c>
      <c r="AH153" s="1646" t="str">
        <f t="shared" si="612"/>
        <v>Q4</v>
      </c>
      <c r="AI153" s="1645" t="str">
        <f t="shared" si="612"/>
        <v>Q1</v>
      </c>
      <c r="AJ153" s="1640" t="str">
        <f t="shared" si="612"/>
        <v>Q2</v>
      </c>
      <c r="AK153" s="1640" t="str">
        <f t="shared" si="612"/>
        <v>Q3</v>
      </c>
      <c r="AL153" s="1646" t="str">
        <f t="shared" si="612"/>
        <v>Q4</v>
      </c>
      <c r="AM153" s="1645" t="str">
        <f t="shared" si="612"/>
        <v>Q1</v>
      </c>
      <c r="AN153" s="1640" t="str">
        <f t="shared" si="612"/>
        <v>Q2</v>
      </c>
      <c r="AO153" s="1640" t="str">
        <f t="shared" si="612"/>
        <v>Q3</v>
      </c>
      <c r="AP153" s="1646" t="str">
        <f t="shared" si="612"/>
        <v>Q4</v>
      </c>
      <c r="AQ153" s="1645" t="str">
        <f t="shared" si="612"/>
        <v>Q1</v>
      </c>
      <c r="AR153" s="1640" t="str">
        <f t="shared" si="612"/>
        <v>Q2</v>
      </c>
      <c r="AS153" s="1640" t="str">
        <f t="shared" si="612"/>
        <v>Q3</v>
      </c>
      <c r="AT153" s="1646" t="str">
        <f t="shared" si="612"/>
        <v>Q4</v>
      </c>
      <c r="AU153" s="1645" t="str">
        <f t="shared" si="612"/>
        <v>Q1</v>
      </c>
      <c r="AV153" s="1640" t="str">
        <f t="shared" si="612"/>
        <v>Q2</v>
      </c>
      <c r="AW153" s="1640" t="str">
        <f t="shared" si="612"/>
        <v>Q3</v>
      </c>
      <c r="AX153" s="1646" t="str">
        <f t="shared" si="612"/>
        <v>Q4</v>
      </c>
      <c r="AY153" s="1645" t="str">
        <f t="shared" ref="AY153:BD153" si="613">AY148</f>
        <v>Q1</v>
      </c>
      <c r="AZ153" s="1640" t="str">
        <f t="shared" si="613"/>
        <v>Q2</v>
      </c>
      <c r="BA153" s="1640" t="str">
        <f t="shared" si="613"/>
        <v>Q3</v>
      </c>
      <c r="BB153" s="1646" t="str">
        <f t="shared" si="613"/>
        <v>Q4</v>
      </c>
      <c r="BC153" s="1645" t="str">
        <f t="shared" si="613"/>
        <v>Q1</v>
      </c>
      <c r="BD153" s="1640" t="str">
        <f t="shared" si="613"/>
        <v>Q2</v>
      </c>
      <c r="BE153" s="1640" t="str">
        <f>BE148</f>
        <v>Q3</v>
      </c>
      <c r="BF153" s="1646" t="str">
        <f>BF148</f>
        <v>Q4</v>
      </c>
      <c r="BG153" s="1645" t="str">
        <f>BG148</f>
        <v>Q1</v>
      </c>
      <c r="BH153" s="1640" t="str">
        <f>BH148</f>
        <v>Q2</v>
      </c>
      <c r="BI153" s="1640" t="str">
        <f>BI148</f>
        <v>Q3</v>
      </c>
      <c r="BJ153" s="1646" t="str">
        <f t="shared" ref="BJ153:BR153" si="614">BJ148</f>
        <v>Q4</v>
      </c>
      <c r="BK153" s="1645" t="str">
        <f t="shared" si="614"/>
        <v>Q1</v>
      </c>
      <c r="BL153" s="1640" t="str">
        <f t="shared" si="614"/>
        <v>Q2</v>
      </c>
      <c r="BM153" s="1640" t="str">
        <f t="shared" si="614"/>
        <v>Q3</v>
      </c>
      <c r="BN153" s="1646" t="str">
        <f t="shared" si="614"/>
        <v>Q4</v>
      </c>
      <c r="BO153" s="1645" t="str">
        <f t="shared" si="614"/>
        <v>Q1</v>
      </c>
      <c r="BP153" s="1640" t="str">
        <f t="shared" si="614"/>
        <v>Q2</v>
      </c>
      <c r="BQ153" s="1640" t="str">
        <f t="shared" si="614"/>
        <v>Q3</v>
      </c>
      <c r="BR153" s="1646" t="str">
        <f t="shared" si="614"/>
        <v>Q4</v>
      </c>
      <c r="BS153" s="1645" t="str">
        <f t="shared" ref="BS153:CD153" si="615">BS148</f>
        <v>Q1</v>
      </c>
      <c r="BT153" s="1640" t="str">
        <f t="shared" si="615"/>
        <v>Q2</v>
      </c>
      <c r="BU153" s="1640" t="str">
        <f t="shared" si="615"/>
        <v>Q3</v>
      </c>
      <c r="BV153" s="1646" t="str">
        <f t="shared" si="615"/>
        <v>Q4</v>
      </c>
      <c r="BW153" s="1645" t="str">
        <f t="shared" si="615"/>
        <v>Q1</v>
      </c>
      <c r="BX153" s="1640" t="str">
        <f t="shared" si="615"/>
        <v>Q2</v>
      </c>
      <c r="BY153" s="1640" t="str">
        <f t="shared" si="615"/>
        <v>Q3</v>
      </c>
      <c r="BZ153" s="1646" t="str">
        <f t="shared" si="615"/>
        <v>Q4</v>
      </c>
      <c r="CA153" s="1645" t="str">
        <f t="shared" si="615"/>
        <v>Q1</v>
      </c>
      <c r="CB153" s="1640" t="str">
        <f t="shared" si="615"/>
        <v>Q2</v>
      </c>
      <c r="CC153" s="1640" t="str">
        <f t="shared" si="615"/>
        <v>Q3</v>
      </c>
      <c r="CD153" s="1646" t="str">
        <f t="shared" si="615"/>
        <v>Q4</v>
      </c>
      <c r="CE153" s="1645" t="str">
        <f>CE148</f>
        <v>Q1</v>
      </c>
      <c r="CF153" s="1640" t="str">
        <f>CF148</f>
        <v>Q2</v>
      </c>
      <c r="CG153" s="1640" t="str">
        <f t="shared" ref="CG153:CK153" si="616">CG148</f>
        <v>Q3</v>
      </c>
      <c r="CH153" s="1646" t="str">
        <f t="shared" si="616"/>
        <v>Q4</v>
      </c>
      <c r="CI153" s="1645" t="str">
        <f>CI148</f>
        <v>Q1</v>
      </c>
      <c r="CJ153" s="1640" t="str">
        <f>CJ148</f>
        <v>Q2</v>
      </c>
      <c r="CK153" s="1640" t="str">
        <f t="shared" si="616"/>
        <v>Q3</v>
      </c>
      <c r="CL153" s="1646" t="str">
        <f t="shared" ref="CL153" si="617">CL148</f>
        <v>Q4</v>
      </c>
      <c r="CM153" s="1645" t="str">
        <f>CM148</f>
        <v>Q1</v>
      </c>
      <c r="CN153" s="1640" t="str">
        <f>CN148</f>
        <v>Q2</v>
      </c>
      <c r="CO153" s="1640" t="str">
        <f t="shared" ref="CO153:CP153" si="618">CO148</f>
        <v>Q3</v>
      </c>
      <c r="CP153" s="1646" t="str">
        <f t="shared" si="618"/>
        <v>Q4</v>
      </c>
      <c r="CQ153" s="1645" t="str">
        <f>CQ148</f>
        <v>Q1</v>
      </c>
      <c r="CR153" s="1640" t="str">
        <f>CR148</f>
        <v>Q2</v>
      </c>
      <c r="CS153" s="1640" t="str">
        <f t="shared" ref="CS153:CT153" si="619">CS148</f>
        <v>Q3</v>
      </c>
      <c r="CT153" s="1646" t="str">
        <f t="shared" si="619"/>
        <v>Q4</v>
      </c>
      <c r="CU153" s="1645" t="str">
        <f t="shared" ref="CU153:CX153" si="620">CU148</f>
        <v>Q1</v>
      </c>
      <c r="CV153" s="1640" t="str">
        <f>CV148</f>
        <v>Q2</v>
      </c>
      <c r="CW153" s="1640" t="str">
        <f t="shared" si="620"/>
        <v>Q3</v>
      </c>
      <c r="CX153" s="1646" t="str">
        <f t="shared" si="620"/>
        <v>Q4</v>
      </c>
      <c r="CY153" s="1645" t="str">
        <f t="shared" ref="CY153:DB153" si="621">CY148</f>
        <v>Q1</v>
      </c>
      <c r="CZ153" s="1640" t="str">
        <f t="shared" si="621"/>
        <v>Q2</v>
      </c>
      <c r="DA153" s="1640" t="str">
        <f t="shared" si="621"/>
        <v>Q3</v>
      </c>
      <c r="DB153" s="1646" t="str">
        <f t="shared" si="621"/>
        <v>Q4</v>
      </c>
      <c r="DC153" s="1645" t="str">
        <f t="shared" ref="DC153:DF153" si="622">DC148</f>
        <v>Q1</v>
      </c>
      <c r="DD153" s="1640" t="str">
        <f t="shared" si="622"/>
        <v>Q2</v>
      </c>
      <c r="DE153" s="1640" t="str">
        <f t="shared" si="622"/>
        <v>Q3</v>
      </c>
      <c r="DF153" s="1646" t="str">
        <f t="shared" si="622"/>
        <v>Q4</v>
      </c>
    </row>
    <row r="154" spans="1:110" s="736" customFormat="1" ht="12.75" customHeight="1">
      <c r="A154" s="701"/>
      <c r="B154" s="701"/>
      <c r="C154" s="899"/>
      <c r="D154" s="900"/>
      <c r="E154" s="901" t="s">
        <v>137</v>
      </c>
      <c r="F154" s="902"/>
      <c r="G154" s="742"/>
      <c r="H154" s="742"/>
      <c r="I154" s="742"/>
      <c r="J154" s="742"/>
      <c r="K154" s="1616">
        <f t="shared" ref="K154:AX154" si="623">(K144/G144-1)*100</f>
        <v>1.9742155340513268</v>
      </c>
      <c r="L154" s="1616">
        <f t="shared" si="623"/>
        <v>1.6292623125492289</v>
      </c>
      <c r="M154" s="1616">
        <f t="shared" si="623"/>
        <v>2.3981128268755647</v>
      </c>
      <c r="N154" s="1616">
        <f t="shared" si="623"/>
        <v>2.0516375065902759</v>
      </c>
      <c r="O154" s="1616">
        <f t="shared" si="623"/>
        <v>1.2872313177813899</v>
      </c>
      <c r="P154" s="1616">
        <f t="shared" si="623"/>
        <v>2.7264519505609597</v>
      </c>
      <c r="Q154" s="1616">
        <f t="shared" si="623"/>
        <v>1.3085901833199687</v>
      </c>
      <c r="R154" s="1616">
        <f t="shared" si="623"/>
        <v>1.8370503539530958</v>
      </c>
      <c r="S154" s="1616">
        <f t="shared" si="623"/>
        <v>3.8399670199741776</v>
      </c>
      <c r="T154" s="1616">
        <f t="shared" si="623"/>
        <v>3.450956853537801</v>
      </c>
      <c r="U154" s="1616">
        <f t="shared" si="623"/>
        <v>4.8973968333313245</v>
      </c>
      <c r="V154" s="1616">
        <f t="shared" si="623"/>
        <v>5.0186632781565876</v>
      </c>
      <c r="W154" s="1616">
        <f t="shared" si="623"/>
        <v>4.660840715904313</v>
      </c>
      <c r="X154" s="1616">
        <f t="shared" si="623"/>
        <v>3.4134798558464574</v>
      </c>
      <c r="Y154" s="1616">
        <f t="shared" si="623"/>
        <v>3.5630354100189887</v>
      </c>
      <c r="Z154" s="1616">
        <f t="shared" si="623"/>
        <v>3.5917348752182887</v>
      </c>
      <c r="AA154" s="1616">
        <f t="shared" si="623"/>
        <v>3.1551691543012073</v>
      </c>
      <c r="AB154" s="1616">
        <f t="shared" si="623"/>
        <v>5.2208922052285889</v>
      </c>
      <c r="AC154" s="1616">
        <f t="shared" si="623"/>
        <v>4.3448160079380127</v>
      </c>
      <c r="AD154" s="1616">
        <f t="shared" si="623"/>
        <v>3.1827815504864132</v>
      </c>
      <c r="AE154" s="1616">
        <f t="shared" si="623"/>
        <v>2.3564717609067865</v>
      </c>
      <c r="AF154" s="1616">
        <f t="shared" si="623"/>
        <v>0.79764905275354625</v>
      </c>
      <c r="AG154" s="1616">
        <f t="shared" si="623"/>
        <v>0.250042784906368</v>
      </c>
      <c r="AH154" s="1616">
        <f t="shared" si="623"/>
        <v>1.0993552008857321</v>
      </c>
      <c r="AI154" s="1616">
        <f t="shared" si="623"/>
        <v>0.41756807264250462</v>
      </c>
      <c r="AJ154" s="1616">
        <f t="shared" si="623"/>
        <v>1.8044244124493014</v>
      </c>
      <c r="AK154" s="1616">
        <f t="shared" si="623"/>
        <v>1.3375331169820148</v>
      </c>
      <c r="AL154" s="1616">
        <f t="shared" si="623"/>
        <v>1.6933404055802015</v>
      </c>
      <c r="AM154" s="1616">
        <f t="shared" si="623"/>
        <v>3.3377416131994408</v>
      </c>
      <c r="AN154" s="1616">
        <f t="shared" si="623"/>
        <v>1.0583682397629079</v>
      </c>
      <c r="AO154" s="1616">
        <f t="shared" si="623"/>
        <v>2.1706427243860738</v>
      </c>
      <c r="AP154" s="1616">
        <f t="shared" si="623"/>
        <v>1.5424713640141308</v>
      </c>
      <c r="AQ154" s="1616">
        <f t="shared" si="623"/>
        <v>1.5470669827527539</v>
      </c>
      <c r="AR154" s="1616">
        <f t="shared" si="623"/>
        <v>2.2767778205016631</v>
      </c>
      <c r="AS154" s="1616">
        <f t="shared" si="623"/>
        <v>2.260476869170458</v>
      </c>
      <c r="AT154" s="1616">
        <f t="shared" si="623"/>
        <v>2.5703074745737631</v>
      </c>
      <c r="AU154" s="1616">
        <f t="shared" si="623"/>
        <v>2.3910621996192649</v>
      </c>
      <c r="AV154" s="1616">
        <f t="shared" si="623"/>
        <v>2.9536641923135099</v>
      </c>
      <c r="AW154" s="1616">
        <f t="shared" si="623"/>
        <v>3.1601556456627655</v>
      </c>
      <c r="AX154" s="1616">
        <f t="shared" si="623"/>
        <v>2.1328666472588464</v>
      </c>
      <c r="AY154" s="1616">
        <f t="shared" ref="AY154:BE154" si="624">(AY144/AU144-1)*100</f>
        <v>3.3003608541446461</v>
      </c>
      <c r="AZ154" s="1616">
        <f t="shared" si="624"/>
        <v>4.3957072066056702</v>
      </c>
      <c r="BA154" s="1616">
        <f t="shared" si="624"/>
        <v>3.7877433091908053</v>
      </c>
      <c r="BB154" s="1616">
        <f t="shared" si="624"/>
        <v>5.2289792436195581</v>
      </c>
      <c r="BC154" s="1616">
        <f t="shared" si="624"/>
        <v>4.6619005994005924</v>
      </c>
      <c r="BD154" s="1616">
        <f t="shared" si="624"/>
        <v>3.7267055371552171</v>
      </c>
      <c r="BE154" s="1616">
        <f t="shared" si="624"/>
        <v>3.9246645822413884</v>
      </c>
      <c r="BF154" s="1616">
        <f>(BF144/BB144-1)*100</f>
        <v>4.225452129274565</v>
      </c>
      <c r="BG154" s="1616">
        <f>(BG144/BC144-1)*100</f>
        <v>2.6976890089971839</v>
      </c>
      <c r="BH154" s="1616">
        <f>(BH144/BD144-1)*100</f>
        <v>1.3409169005916599</v>
      </c>
      <c r="BI154" s="1616">
        <f>(BI144/BE144-1)*100</f>
        <v>-4.6575042204066719E-2</v>
      </c>
      <c r="BJ154" s="1616">
        <f>(BJ144/BF144-1)*100</f>
        <v>-2.2148477158277169</v>
      </c>
      <c r="BK154" s="1616">
        <f t="shared" ref="BK154:BR154" si="625">(BK144/BG144-1)*100</f>
        <v>-3.5005863395589754</v>
      </c>
      <c r="BL154" s="1616">
        <f t="shared" si="625"/>
        <v>-3.2213379955922328</v>
      </c>
      <c r="BM154" s="1616">
        <f t="shared" si="625"/>
        <v>-2.6034525351892879</v>
      </c>
      <c r="BN154" s="1616">
        <f t="shared" si="625"/>
        <v>-1.2957781710496108</v>
      </c>
      <c r="BO154" s="1616">
        <f t="shared" si="625"/>
        <v>1.4353754361745574</v>
      </c>
      <c r="BP154" s="1616">
        <f t="shared" si="625"/>
        <v>2.7465686244983134</v>
      </c>
      <c r="BQ154" s="1616">
        <f t="shared" si="625"/>
        <v>4.6218645066514297</v>
      </c>
      <c r="BR154" s="1616">
        <f t="shared" si="625"/>
        <v>4.8713501696922679</v>
      </c>
      <c r="BS154" s="1616">
        <f>(BS144/BO144-1)*100</f>
        <v>3.638910741368373</v>
      </c>
      <c r="BT154" s="1616">
        <f>(BT144/BP144-1)*100</f>
        <v>4.3208428267574872</v>
      </c>
      <c r="BU154" s="1616">
        <f>(BU144/BQ144-1)*100</f>
        <v>2.1106372422238229</v>
      </c>
      <c r="BV154" s="1616">
        <f>(BV144/BR144-1)*100</f>
        <v>0.2199049999934477</v>
      </c>
      <c r="BW154" s="1616">
        <f t="shared" ref="BW154:CD154" si="626">(BW144/BS144-1)*100</f>
        <v>2.0257426824487945</v>
      </c>
      <c r="BX154" s="1616">
        <f t="shared" si="626"/>
        <v>-0.13707255268476937</v>
      </c>
      <c r="BY154" s="1616">
        <f t="shared" si="626"/>
        <v>3.2072168723562555E-2</v>
      </c>
      <c r="BZ154" s="1616">
        <f t="shared" si="626"/>
        <v>1.8149019321187065</v>
      </c>
      <c r="CA154" s="1616">
        <f>(CA144/BW144-1)*100</f>
        <v>0.3306999794796095</v>
      </c>
      <c r="CB154" s="1616">
        <f>(CB144/BX144-1)*100</f>
        <v>1.0295255877250442</v>
      </c>
      <c r="CC154" s="1616">
        <f t="shared" si="626"/>
        <v>2.369443824933648</v>
      </c>
      <c r="CD154" s="1616">
        <f t="shared" si="626"/>
        <v>1.8603586499218006</v>
      </c>
      <c r="CE154" s="1616">
        <f>(CE144/CA144-1)*100</f>
        <v>2.534790673260634</v>
      </c>
      <c r="CF154" s="1616">
        <f>(CF144/CB144-1)*100</f>
        <v>3.0347882291643646</v>
      </c>
      <c r="CG154" s="1616">
        <f t="shared" ref="CG154:CL154" si="627">(CG144/CC144-1)*100</f>
        <v>2.3517255019654737</v>
      </c>
      <c r="CH154" s="1616">
        <f t="shared" si="627"/>
        <v>3.4968990876788952</v>
      </c>
      <c r="CI154" s="1616">
        <f>(CI144/CE144-1)*100</f>
        <v>3.5890651915857719</v>
      </c>
      <c r="CJ154" s="1616">
        <f>(CJ144/CF144-1)*100</f>
        <v>3.2452181218919351</v>
      </c>
      <c r="CK154" s="1616">
        <f t="shared" si="627"/>
        <v>3.4991102978470634</v>
      </c>
      <c r="CL154" s="1616">
        <f t="shared" si="627"/>
        <v>3.9067675337390639</v>
      </c>
      <c r="CM154" s="1616">
        <f>(CM144/CI144-1)*100</f>
        <v>3.7366139029432421</v>
      </c>
      <c r="CN154" s="1616">
        <f>(CN144/CJ144-1)*100</f>
        <v>3.7963330515691673</v>
      </c>
      <c r="CO154" s="1616">
        <f t="shared" ref="CO154:CP154" si="628">(CO144/CK144-1)*100</f>
        <v>3.2757403073242708</v>
      </c>
      <c r="CP154" s="1616">
        <f t="shared" si="628"/>
        <v>1.9558272153662237</v>
      </c>
      <c r="CQ154" s="1616">
        <f>(CQ144/CM144-1)*100</f>
        <v>2.2803861365435107</v>
      </c>
      <c r="CR154" s="1616">
        <f>(CR144/CN144-1)*100</f>
        <v>2.4818974993852105</v>
      </c>
      <c r="CS154" s="1616">
        <f t="shared" ref="CS154" si="629">(CS144/CO144-1)*100</f>
        <v>3.4986683858752254</v>
      </c>
      <c r="CT154" s="1616">
        <f t="shared" ref="CT154" si="630">(CT144/CP144-1)*100</f>
        <v>3.0742483306818169</v>
      </c>
      <c r="CU154" s="1616">
        <f t="shared" ref="CU154" si="631">(CU144/CQ144-1)*100</f>
        <v>3.0264884308302653</v>
      </c>
      <c r="CV154" s="1616">
        <f>(CV144/CR144-1)*100</f>
        <v>2.489935054580239</v>
      </c>
      <c r="CW154" s="1616">
        <f t="shared" ref="CW154" si="632">(CW144/CS144-1)*100</f>
        <v>1.2112175620517807</v>
      </c>
      <c r="CX154" s="1616">
        <f t="shared" ref="CX154" si="633">(CX144/CT144-1)*100</f>
        <v>1.220197225459585</v>
      </c>
      <c r="CY154" s="1616">
        <f t="shared" ref="CY154" si="634">(CY144/CU144-1)*100</f>
        <v>1.0859423245885402</v>
      </c>
      <c r="CZ154" s="1616">
        <f t="shared" ref="CZ154" si="635">(CZ144/CV144-1)*100</f>
        <v>1.2159930335551072</v>
      </c>
      <c r="DA154" s="1616">
        <f t="shared" ref="DA154" si="636">(DA144/CW144-1)*100</f>
        <v>1.6344412557301569</v>
      </c>
      <c r="DB154" s="1616">
        <f t="shared" ref="DB154" si="637">(DB144/CX144-1)*100</f>
        <v>1.960462629797477</v>
      </c>
      <c r="DC154" s="1616">
        <f t="shared" ref="DC154" si="638">(DC144/CY144-1)*100</f>
        <v>1.8143761729198626</v>
      </c>
      <c r="DD154" s="1616">
        <f t="shared" ref="DD154" si="639">(DD144/CZ144-1)*100</f>
        <v>1.9680198643313718</v>
      </c>
      <c r="DE154" s="1616">
        <f t="shared" ref="DE154" si="640">(DE144/DA144-1)*100</f>
        <v>2.0441932422606168</v>
      </c>
      <c r="DF154" s="1616">
        <f t="shared" ref="DF154" si="641">(DF144/DB144-1)*100</f>
        <v>1.9662056958682061</v>
      </c>
    </row>
    <row r="155" spans="1:110" s="736" customFormat="1" ht="12.75" customHeight="1">
      <c r="A155" s="701"/>
      <c r="B155" s="701"/>
      <c r="C155" s="981"/>
      <c r="D155" s="711"/>
      <c r="E155" s="820" t="s">
        <v>156</v>
      </c>
      <c r="F155" s="741"/>
      <c r="G155" s="742"/>
      <c r="H155" s="742"/>
      <c r="I155" s="742"/>
      <c r="J155" s="742"/>
      <c r="K155" s="1616">
        <f>(4*K144/J145-1)*100</f>
        <v>-1.1090471752580489</v>
      </c>
      <c r="L155" s="1616">
        <f>((K144+3*L144)/J145-1)*100</f>
        <v>-1.0122520136913726</v>
      </c>
      <c r="M155" s="1616">
        <f>((K144+L144+2*M144)/J145-1)*100</f>
        <v>-0.24304813067025366</v>
      </c>
      <c r="N155" s="1674"/>
      <c r="O155" s="1616">
        <f>(4*O144/N145-1)*100</f>
        <v>-0.12513205244812919</v>
      </c>
      <c r="P155" s="1616">
        <f>((O144+3*P144)/N145-1)*100</f>
        <v>1.0383792017934379</v>
      </c>
      <c r="Q155" s="1616">
        <f>((O144+P144+2*Q144)/N145-1)*100</f>
        <v>1.1154423354083898</v>
      </c>
      <c r="R155" s="1674"/>
      <c r="S155" s="1616">
        <f>(4*S144/R145-1)*100</f>
        <v>1.4859964724681651</v>
      </c>
      <c r="T155" s="1616">
        <f>((S144+3*T144)/R145-1)*100</f>
        <v>2.378704051735081</v>
      </c>
      <c r="U155" s="1616">
        <f>((S144+T144+2*U144)/R145-1)*100</f>
        <v>3.1756119596264343</v>
      </c>
      <c r="V155" s="1674"/>
      <c r="W155" s="1616">
        <f>(4*W144/V145-1)*100</f>
        <v>1.352170067416103</v>
      </c>
      <c r="X155" s="1616">
        <f>((W144+3*X144)/V145-1)*100</f>
        <v>1.3271293063631617</v>
      </c>
      <c r="Y155" s="1616">
        <f>((W144+X144+2*Y144)/V145-1)*100</f>
        <v>2.1879015888781606</v>
      </c>
      <c r="Z155" s="1674"/>
      <c r="AA155" s="1616">
        <f>(4*AA144/Z145-1)*100</f>
        <v>1.8304094837560125</v>
      </c>
      <c r="AB155" s="1616">
        <f>((AA144+3*AB144)/Z145-1)*100</f>
        <v>3.3341424093402017</v>
      </c>
      <c r="AC155" s="1616">
        <f>((AA144+AB144+2*AC144)/Z145-1)*100</f>
        <v>3.7766799109575588</v>
      </c>
      <c r="AD155" s="1674"/>
      <c r="AE155" s="1616">
        <f>(4*AE144/AD145-1)*100</f>
        <v>-0.64446950498676658</v>
      </c>
      <c r="AF155" s="1616">
        <f>((AE144+3*AF144)/AD145-1)*100</f>
        <v>-0.33446773179895972</v>
      </c>
      <c r="AG155" s="1616">
        <f>((AE144+AF144+2*AG144)/AD145-1)*100</f>
        <v>-0.18258000699769017</v>
      </c>
      <c r="AH155" s="1674"/>
      <c r="AI155" s="1616">
        <f>(4*AI144/AH145-1)*100</f>
        <v>-0.64331401446385827</v>
      </c>
      <c r="AJ155" s="1616">
        <f>((AI144+3*AJ144)/AH145-1)*100</f>
        <v>0.70012627297275642</v>
      </c>
      <c r="AK155" s="1616">
        <f>((AI144+AJ144+2*AK144)/AH145-1)*100</f>
        <v>0.62146700784624365</v>
      </c>
      <c r="AL155" s="1674"/>
      <c r="AM155" s="1616">
        <f>(4*AM144/AL145-1)*100</f>
        <v>1.7125365597123743</v>
      </c>
      <c r="AN155" s="1616">
        <f>((AM144+3*AN144)/AL145-1)*100</f>
        <v>1.3748515931556238</v>
      </c>
      <c r="AO155" s="1616">
        <f>((AM144+AN144+2*AO144)/AL145-1)*100</f>
        <v>1.8524961286059183</v>
      </c>
      <c r="AP155" s="1674"/>
      <c r="AQ155" s="1616">
        <f>(4*AQ144/AP145-1)*100</f>
        <v>0.80359312052697973</v>
      </c>
      <c r="AR155" s="1616">
        <f>((AQ144+3*AR144)/AP145-1)*100</f>
        <v>1.009797153301184</v>
      </c>
      <c r="AS155" s="1616">
        <f>((AQ144+AR144+2*AS144)/AP145-1)*100</f>
        <v>1.4784439431500873</v>
      </c>
      <c r="AT155" s="1674"/>
      <c r="AU155" s="1616">
        <f>(4*AU144/AT145-1)*100</f>
        <v>1.6794415549331365</v>
      </c>
      <c r="AV155" s="1616">
        <f>((AU144+3*AV144)/AT145-1)*100</f>
        <v>2.3075990065368535</v>
      </c>
      <c r="AW155" s="1616">
        <f>((AU144+AV144+2*AW144)/AT145-1)*100</f>
        <v>2.8866762668326773</v>
      </c>
      <c r="AX155" s="1674"/>
      <c r="AY155" s="1616">
        <f>(4*AY144/AX145-1)*100</f>
        <v>2.347507282478678</v>
      </c>
      <c r="AZ155" s="1616">
        <f>((AY144+3*AZ144)/AX145-1)*100</f>
        <v>3.8004284316115688</v>
      </c>
      <c r="BA155" s="1616">
        <f>((AY144+AZ144+2*BA144)/AX145-1)*100</f>
        <v>4.0824016932773599</v>
      </c>
      <c r="BB155" s="1674"/>
      <c r="BC155" s="1616">
        <f>(4*BC144/BB145-1)*100</f>
        <v>2.2740389666194183</v>
      </c>
      <c r="BD155" s="1616">
        <f>((BC144+3*BD144)/BB145-1)*100</f>
        <v>3.0275501246032288</v>
      </c>
      <c r="BE155" s="1616">
        <f>((BC144+BD144+2*BE144)/BB145-1)*100</f>
        <v>3.4058882295595616</v>
      </c>
      <c r="BF155" s="1674"/>
      <c r="BG155" s="1616">
        <f>(4*BG144/BF145-1)*100</f>
        <v>-0.51236889139468778</v>
      </c>
      <c r="BH155" s="1616">
        <f>((BG144+3*BH144)/BF145-1)*100</f>
        <v>-0.7748427033854477</v>
      </c>
      <c r="BI155" s="1616">
        <f>((BG144+BH144+2*BI144)/BF145-1)*100</f>
        <v>-1.0953099206769346</v>
      </c>
      <c r="BJ155" s="1674"/>
      <c r="BK155" s="1616">
        <f>(4*BK144/BJ145-1)*100</f>
        <v>-3.2926213474838262</v>
      </c>
      <c r="BL155" s="1616">
        <f>((BK144+3*BL144)/BJ145-1)*100</f>
        <v>-3.3386108466694542</v>
      </c>
      <c r="BM155" s="1616">
        <f>((BK144+BL144+2*BM144)/BJ145-1)*100</f>
        <v>-3.3444990064412594</v>
      </c>
      <c r="BN155" s="1674"/>
      <c r="BO155" s="1616">
        <f>(4*BO144/BN145-1)*100</f>
        <v>4.2229293480412489</v>
      </c>
      <c r="BP155" s="1616">
        <f>((BO144+3*BP144)/BN145-1)*100</f>
        <v>5.1831447746210513</v>
      </c>
      <c r="BQ155" s="1616">
        <f>((BO144+BP144+2*BQ144)/BN145-1)*100</f>
        <v>6.1394043226477679</v>
      </c>
      <c r="BR155" s="1674"/>
      <c r="BS155" s="1616">
        <f>(4*BS144/BR145-1)*100</f>
        <v>1.0155929761057614E-2</v>
      </c>
      <c r="BT155" s="1616">
        <f>((BS144+3*BT144)/BR145-1)*100</f>
        <v>1.4311628843806767</v>
      </c>
      <c r="BU155" s="1616">
        <f>((BS144+BT144+2*BU144)/BR145-1)*100</f>
        <v>1.2557292642087159</v>
      </c>
      <c r="BV155" s="1674"/>
      <c r="BW155" s="1616">
        <f>(4*BW144/BV145-1)*100</f>
        <v>-1.3953238479339714</v>
      </c>
      <c r="BX155" s="1616">
        <f>((BW144+3*BX144)/BV145-1)*100</f>
        <v>-1.591706773800039</v>
      </c>
      <c r="BY155" s="1616">
        <f>((BW144+BX144+2*BY144)/BV145-1)*100</f>
        <v>-1.678009997880614</v>
      </c>
      <c r="BZ155" s="1674"/>
      <c r="CA155" s="1616">
        <f>(4*CA144/BZ145-1)*100</f>
        <v>0.38314238996577377</v>
      </c>
      <c r="CB155" s="1616">
        <f>((CA144+3*CB144)/BZ145-1)*100</f>
        <v>0.70621807658566293</v>
      </c>
      <c r="CC155" s="1616">
        <f>((CA144+CB144+2*CC144)/BZ145-1)*100</f>
        <v>1.2851022292122982</v>
      </c>
      <c r="CD155" s="1674"/>
      <c r="CE155" s="1616">
        <f>(4*CE144/CD145-1)*100</f>
        <v>1.0608500871621906</v>
      </c>
      <c r="CF155" s="1616">
        <f>((CE144+3*CF144)/CD145-1)*100</f>
        <v>1.7573005556981602</v>
      </c>
      <c r="CG155" s="1616">
        <f>((CE144+CF144+2*CG144)/CD145-1)*100</f>
        <v>2.0009859985110179</v>
      </c>
      <c r="CH155" s="1674"/>
      <c r="CI155" s="1616">
        <f>(4*CI144/CH145-1)*100</f>
        <v>1.4290728648987505</v>
      </c>
      <c r="CJ155" s="1616">
        <f>((CI144+3*CJ144)/CH145-1)*100</f>
        <v>1.8732327310670982</v>
      </c>
      <c r="CK155" s="1616">
        <f>((CI144+CJ144+2*CK144)/CH145-1)*100</f>
        <v>2.2430348681715451</v>
      </c>
      <c r="CL155" s="1674"/>
      <c r="CM155" s="1616">
        <f>(4*CM144/CL145-1)*100</f>
        <v>0.7295678026188801</v>
      </c>
      <c r="CN155" s="1616">
        <f>((CM144+3*CN144)/CL145-1)*100</f>
        <v>1.2144094914770198</v>
      </c>
      <c r="CO155" s="1616">
        <f>((CM144+CN144+2*CO144)/CL145-1)*100</f>
        <v>1.3258028756337081</v>
      </c>
      <c r="CP155" s="1674"/>
      <c r="CQ155" s="1616">
        <f>(4*CQ144/CP145-1)*100</f>
        <v>0.15614273408071089</v>
      </c>
      <c r="CR155" s="1616">
        <f>((CQ144+3*CR144)/CP145-1)*100</f>
        <v>0.78716880258700161</v>
      </c>
      <c r="CS155" s="1616">
        <f>((CQ144+CR144+2*CS144)/CP145-1)*100</f>
        <v>1.4002691269670908</v>
      </c>
      <c r="CT155" s="1674"/>
      <c r="CU155" s="1616">
        <f>(4*CU144/CT145-1)*100</f>
        <v>0.15110346543780739</v>
      </c>
      <c r="CV155" s="1616">
        <f>((CU144+3*CV144)/CT145-1)*100</f>
        <v>0.38762766051392283</v>
      </c>
      <c r="CW155" s="1616">
        <f>((CU144+CV144+2*CW144)/CT145-1)*100</f>
        <v>0.36315934392023852</v>
      </c>
      <c r="CX155" s="1674"/>
      <c r="CY155" s="1616">
        <f>(4*CY144/CX145-1)*100</f>
        <v>-1.8606367274310864</v>
      </c>
      <c r="CZ155" s="1616">
        <f>((CY144+3*CZ144)/CX145-1)*100</f>
        <v>-1.5338705495465788</v>
      </c>
      <c r="DA155" s="1616">
        <f>((CY144+CZ144+2*DA144)/CX145-1)*100</f>
        <v>-1.3542124626575336</v>
      </c>
      <c r="DB155" s="1674"/>
      <c r="DC155" s="1616">
        <f>(4*DC144/DB145-1)*100</f>
        <v>-1.9959548517117343</v>
      </c>
      <c r="DD155" s="1616">
        <f>((DC144+3*DD144)/DB145-1)*100</f>
        <v>-1.5582265383785154</v>
      </c>
      <c r="DE155" s="1616">
        <f>((DC144+DD144+2*DE144)/DB145-1)*100</f>
        <v>-1.3415871236344801</v>
      </c>
      <c r="DF155" s="1674"/>
    </row>
    <row r="156" spans="1:110" ht="12.75">
      <c r="C156" s="1607"/>
      <c r="D156" s="865"/>
      <c r="E156" s="1614" t="s">
        <v>155</v>
      </c>
      <c r="F156" s="865"/>
      <c r="G156" s="913"/>
      <c r="H156" s="913"/>
      <c r="I156" s="913"/>
      <c r="J156" s="913"/>
      <c r="K156" s="1673"/>
      <c r="L156" s="920">
        <f>(4*L144/(K144+3*L144)-1)*100</f>
        <v>3.2594997372825674E-2</v>
      </c>
      <c r="M156" s="920">
        <f>(4*M144/(K144+L144+2*M144)-1)*100</f>
        <v>0.80342163814959289</v>
      </c>
      <c r="N156" s="920">
        <f>+(4*N144/N145-1)*100</f>
        <v>0.66676724640695184</v>
      </c>
      <c r="O156" s="1673"/>
      <c r="P156" s="920">
        <f>(4*P144/(O144+3*P144)-1)*100</f>
        <v>0.38385125316844348</v>
      </c>
      <c r="Q156" s="920">
        <f>(4*Q144/(O144+P144+2*Q144)-1)*100</f>
        <v>0.45977172984128512</v>
      </c>
      <c r="R156" s="920">
        <f>+(4*R144/R145-1)*100</f>
        <v>0.31763720809157014</v>
      </c>
      <c r="S156" s="1673"/>
      <c r="T156" s="920">
        <f>(4*T144/(S144+3*T144)-1)*100</f>
        <v>0.29065536221146715</v>
      </c>
      <c r="U156" s="920">
        <f>(4*U144/(S144+T144+2*U144)-1)*100</f>
        <v>1.0607905106573057</v>
      </c>
      <c r="V156" s="920">
        <f>+(4*V144/V145-1)*100</f>
        <v>0.5278728959515977</v>
      </c>
      <c r="W156" s="1673"/>
      <c r="X156" s="920">
        <f>(4*X144/(W144+3*X144)-1)*100</f>
        <v>-8.2375967898506985E-3</v>
      </c>
      <c r="Y156" s="920">
        <f>(4*Y144/(W144+X144+2*Y144)-1)*100</f>
        <v>0.83417444620157433</v>
      </c>
      <c r="Z156" s="920">
        <f>+(4*Z144/Z145-1)*100</f>
        <v>1.4296769708949997</v>
      </c>
      <c r="AA156" s="1673"/>
      <c r="AB156" s="920">
        <f>(4*AB144/(AA144+3*AB144)-1)*100</f>
        <v>0.48507133928927804</v>
      </c>
      <c r="AC156" s="920">
        <f>(4*AC144/(AA144+AB144+2*AC144)-1)*100</f>
        <v>0.90943534805238979</v>
      </c>
      <c r="AD156" s="920">
        <f>+(4*AD144/AD145-1)*100</f>
        <v>-0.23653547621618198</v>
      </c>
      <c r="AE156" s="1673"/>
      <c r="AF156" s="920">
        <f>(4*AF144/(AE144+3*AF144)-1)*100</f>
        <v>0.10368070289119569</v>
      </c>
      <c r="AG156" s="920">
        <f>(4*AG144/(AE144+AF144+2*AG144)-1)*100</f>
        <v>0.25568848525143739</v>
      </c>
      <c r="AH156" s="920">
        <f>+(4*AH144/AH145-1)*100</f>
        <v>0.44197871480429196</v>
      </c>
      <c r="AI156" s="1673"/>
      <c r="AJ156" s="920">
        <f>(4*AJ144/(AI144+3*AJ144)-1)*100</f>
        <v>0.44469996783482735</v>
      </c>
      <c r="AK156" s="920">
        <f>(4*AK144/(AI144+AJ144+2*AK144)-1)*100</f>
        <v>0.36687416214100654</v>
      </c>
      <c r="AL156" s="920">
        <f>+(4*AL144/AL145-1)*100</f>
        <v>1.1873435708639857</v>
      </c>
      <c r="AM156" s="1673"/>
      <c r="AN156" s="920">
        <f>(4*AN144/(AM144+3*AN144)-1)*100</f>
        <v>-0.11103508784470195</v>
      </c>
      <c r="AO156" s="920">
        <f>(4*AO144/(AM144+AN144+2*AO144)-1)*100</f>
        <v>0.35844274201233262</v>
      </c>
      <c r="AP156" s="920">
        <f>+(4*AP144/AP145-1)*100</f>
        <v>0.27855504756939542</v>
      </c>
      <c r="AQ156" s="1673"/>
      <c r="AR156" s="920">
        <f>(4*AR144/(AQ144+3*AR144)-1)*100</f>
        <v>6.8047535514881297E-2</v>
      </c>
      <c r="AS156" s="920">
        <f>(4*AS144/(AQ144+AR144+2*AS144)-1)*100</f>
        <v>0.5295523330465457</v>
      </c>
      <c r="AT156" s="920">
        <f>+(4*AT144/AT145-1)*100</f>
        <v>1.3269140036418881</v>
      </c>
      <c r="AU156" s="1673"/>
      <c r="AV156" s="920">
        <f>(4*AV144/(AU144+3*AV144)-1)*100</f>
        <v>0.20466301548907051</v>
      </c>
      <c r="AW156" s="920">
        <f>(4*AW144/(AU144+AV144+2*AW144)-1)*100</f>
        <v>0.76634128548600522</v>
      </c>
      <c r="AX156" s="920">
        <f>+(4*AX144/AX145-1)*100</f>
        <v>0.83994882145359551</v>
      </c>
      <c r="AY156" s="1673"/>
      <c r="AZ156" s="920">
        <f>(4*AZ144/(AY144+3*AZ144)-1)*100</f>
        <v>0.46657519340591591</v>
      </c>
      <c r="BA156" s="920">
        <f>(4*BA144/(AY144+AZ144+2*BA144)-1)*100</f>
        <v>0.73622466325760083</v>
      </c>
      <c r="BB156" s="920">
        <f>+(4*BB144/BB145-1)*100</f>
        <v>1.3135410391246882</v>
      </c>
      <c r="BC156" s="1673"/>
      <c r="BD156" s="920">
        <f>(4*BD144/(BC144+3*BD144)-1)*100</f>
        <v>0.24378953560559857</v>
      </c>
      <c r="BE156" s="920">
        <f>(4*BE144/(BC144+BD144+2*BE144)-1)*100</f>
        <v>0.60877431810597571</v>
      </c>
      <c r="BF156" s="920">
        <f>+(4*BF144/BF145-1)*100</f>
        <v>1.9411401400537542E-2</v>
      </c>
      <c r="BG156" s="1673"/>
      <c r="BH156" s="920">
        <f>(4*BH144/(BG144+3*BH144)-1)*100</f>
        <v>-8.8174484220826521E-2</v>
      </c>
      <c r="BI156" s="920">
        <f>(4*BI144/(BG144+BH144+2*BI144)-1)*100</f>
        <v>-0.41247638269519271</v>
      </c>
      <c r="BJ156" s="920">
        <f>+(4*BJ144/BJ145-1)*100</f>
        <v>-1.4803051970862846</v>
      </c>
      <c r="BK156" s="1673"/>
      <c r="BL156" s="920">
        <f>(4*BL144/(BK144+3*BL144)-1)*100</f>
        <v>-1.5859313833754829E-2</v>
      </c>
      <c r="BM156" s="920">
        <f>(4*BM144/(BK144+BL144+2*BM144)-1)*100</f>
        <v>-2.1952183388995739E-2</v>
      </c>
      <c r="BN156" s="920">
        <f>+(4*BN144/BN145-1)*100</f>
        <v>3.3172908713366756</v>
      </c>
      <c r="BO156" s="1673"/>
      <c r="BP156" s="920">
        <f>(4*BP144/(BO144+3*BP144)-1)*100</f>
        <v>0.30429952398340898</v>
      </c>
      <c r="BQ156" s="920">
        <f>(4*BQ144/(BO144+BP144+2*BQ144)-1)*100</f>
        <v>1.2025047295411539</v>
      </c>
      <c r="BR156" s="920">
        <f>+(4*BR144/BR145-1)*100</f>
        <v>0.32007732465431094</v>
      </c>
      <c r="BS156" s="1673"/>
      <c r="BT156" s="920">
        <f>(4*BT144/(BS144+3*BT144)-1)*100</f>
        <v>0.46698565943994463</v>
      </c>
      <c r="BU156" s="920">
        <f>(4*BU144/(BS144+BT144+2*BU144)-1)*100</f>
        <v>0.29453678015891605</v>
      </c>
      <c r="BV156" s="920">
        <f>+(4*BV144/BV145-1)*100</f>
        <v>-2.840451764029317</v>
      </c>
      <c r="BW156" s="1673"/>
      <c r="BX156" s="920">
        <f>(4*BX144/(BW144+3*BX144)-1)*100</f>
        <v>-6.6519775054152408E-2</v>
      </c>
      <c r="BY156" s="920">
        <f>(4*BY144/(BW144+BX144+2*BY144)-1)*100</f>
        <v>-0.15435427961333348</v>
      </c>
      <c r="BZ156" s="920">
        <f>+(4*BZ144/BZ145-1)*100</f>
        <v>0.37516391266867455</v>
      </c>
      <c r="CA156" s="1673"/>
      <c r="CB156" s="920">
        <f>(4*CB144/(CA144+3*CB144)-1)*100</f>
        <v>0.1069366893095669</v>
      </c>
      <c r="CC156" s="920">
        <f>(4*CC144/(CA144+CB144+2*CC144)-1)*100</f>
        <v>0.6778647926057868</v>
      </c>
      <c r="CD156" s="920">
        <f>+(4*CD144/CD145-1)*100</f>
        <v>0.38813353548752261</v>
      </c>
      <c r="CE156" s="1673"/>
      <c r="CF156" s="920">
        <f>(4*CF144/(CE144+3*CF144)-1)*100</f>
        <v>0.22814103254593654</v>
      </c>
      <c r="CG156" s="920">
        <f>(4*CG144/(CE144+CF144+2*CG144)-1)*100</f>
        <v>0.46650097970470927</v>
      </c>
      <c r="CH156" s="920">
        <f>+(4*CH144/CH145-1)*100</f>
        <v>0.6642616377107613</v>
      </c>
      <c r="CI156" s="1673"/>
      <c r="CJ156" s="920">
        <f>(4*CJ144/(CI144+3*CJ144)-1)*100</f>
        <v>0.14533090268531446</v>
      </c>
      <c r="CK156" s="920">
        <f>(4*CK144/(CI144+CJ144+2*CK144)-1)*100</f>
        <v>0.50649457588474167</v>
      </c>
      <c r="CL156" s="920">
        <f>+(4*CL144/CL145-1)*100</f>
        <v>0.13400659805107296</v>
      </c>
      <c r="CM156" s="1673"/>
      <c r="CN156" s="920">
        <f>(4*CN144/(CM144+3*CN144)-1)*100</f>
        <v>0.15967479047502842</v>
      </c>
      <c r="CO156" s="920">
        <f>(4*CO144/(CM144+CN144+2*CO144)-1)*100</f>
        <v>0.26943510211097088</v>
      </c>
      <c r="CP156" s="920">
        <f>+(4*CP144/CP145-1)*100</f>
        <v>-0.75196722936791138</v>
      </c>
      <c r="CQ156" s="1673"/>
      <c r="CR156" s="920">
        <f>(4*CR144/(CQ144+3*CR144)-1)*100</f>
        <v>0.2086992077805272</v>
      </c>
      <c r="CS156" s="920">
        <f>(4*CS144/(CQ144+CR144+2*CS144)-1)*100</f>
        <v>0.81207116539745439</v>
      </c>
      <c r="CT156" s="920">
        <f>+(4*CT144/CT145-1)*100</f>
        <v>-0.71095479768203962</v>
      </c>
      <c r="CU156" s="1673"/>
      <c r="CV156" s="920">
        <f>(4*CV144/(CU144+3*CV144)-1)*100</f>
        <v>7.8536967349540632E-2</v>
      </c>
      <c r="CW156" s="920">
        <f>(4*CW144/(CU144+CV144+2*CW144)-1)*100</f>
        <v>5.4176335341038495E-2</v>
      </c>
      <c r="CX156" s="920">
        <f>+(4*CX144/CX145-1)*100</f>
        <v>-2.5761592358657603</v>
      </c>
      <c r="CY156" s="1673"/>
      <c r="CZ156" s="920">
        <f>(4*CZ144/(CY144+3*CZ144)-1)*100</f>
        <v>0.11061880862255347</v>
      </c>
      <c r="DA156" s="920">
        <f>(4*DA144/(CY144+CZ144+2*DA144)-1)*100</f>
        <v>0.29254178347417614</v>
      </c>
      <c r="DB156" s="920">
        <f>+(4*DB144/DB145-1)*100</f>
        <v>-2.5708967356649182</v>
      </c>
      <c r="DC156" s="1673"/>
      <c r="DD156" s="920">
        <f>(4*DD144/(DC144+3*DD144)-1)*100</f>
        <v>0.14821902597539349</v>
      </c>
      <c r="DE156" s="920">
        <f>(4*DE144/(DC144+DD144+2*DE144)-1)*100</f>
        <v>0.36747890215516055</v>
      </c>
      <c r="DF156" s="920">
        <f>+(4*DF144/DF145-1)*100</f>
        <v>-2.5539456126034366</v>
      </c>
    </row>
    <row r="157" spans="1:110" s="921" customFormat="1" ht="30" customHeight="1">
      <c r="A157" s="701"/>
      <c r="B157" s="701"/>
      <c r="C157" s="703"/>
      <c r="D157" s="1081"/>
      <c r="E157" s="1608"/>
      <c r="F157" s="1081"/>
      <c r="G157" s="1084"/>
      <c r="H157" s="1609"/>
      <c r="I157" s="1609"/>
      <c r="J157" s="1609"/>
      <c r="K157" s="1084"/>
      <c r="L157" s="1609"/>
      <c r="M157" s="1609"/>
      <c r="N157" s="1609"/>
      <c r="O157" s="1084"/>
      <c r="P157" s="1609"/>
      <c r="Q157" s="1609"/>
      <c r="R157" s="1609"/>
      <c r="S157" s="1084"/>
      <c r="T157" s="1609"/>
      <c r="U157" s="1609"/>
      <c r="V157" s="1609"/>
      <c r="W157" s="1084"/>
      <c r="X157" s="1609"/>
      <c r="Y157" s="1609"/>
      <c r="Z157" s="1609"/>
      <c r="AA157" s="1084"/>
      <c r="AB157" s="1609"/>
      <c r="AC157" s="1609"/>
      <c r="AD157" s="1609"/>
      <c r="AE157" s="1084"/>
      <c r="AF157" s="1609"/>
      <c r="AG157" s="1609"/>
      <c r="AH157" s="1609"/>
      <c r="AI157" s="1084"/>
      <c r="AJ157" s="1609"/>
      <c r="AK157" s="1609"/>
      <c r="AL157" s="1609"/>
      <c r="AM157" s="1084"/>
      <c r="AN157" s="1609"/>
      <c r="AO157" s="1609"/>
      <c r="AP157" s="1609"/>
      <c r="AQ157" s="1084"/>
      <c r="AR157" s="1609"/>
      <c r="AS157" s="1609"/>
      <c r="AT157" s="1609"/>
      <c r="AU157" s="1084"/>
      <c r="AV157" s="1609"/>
      <c r="AW157" s="1609"/>
      <c r="AX157" s="1609"/>
      <c r="AY157" s="1610"/>
      <c r="AZ157" s="1609"/>
      <c r="BA157" s="1610"/>
      <c r="BB157" s="1610"/>
      <c r="BC157" s="1610"/>
      <c r="BD157" s="1610"/>
      <c r="BE157" s="1610"/>
      <c r="BF157" s="1610"/>
      <c r="BG157" s="1610"/>
      <c r="BH157" s="1610"/>
      <c r="BI157" s="1610"/>
      <c r="BJ157" s="1610"/>
      <c r="BK157" s="1610"/>
      <c r="BL157" s="1610"/>
      <c r="BM157" s="1610"/>
      <c r="BN157" s="1610"/>
      <c r="BO157" s="1610"/>
      <c r="BP157" s="1610"/>
      <c r="BQ157" s="1610"/>
      <c r="BR157" s="1610"/>
      <c r="BS157" s="1610"/>
      <c r="BT157" s="1610"/>
      <c r="BU157" s="1610"/>
      <c r="BV157" s="1610"/>
      <c r="BW157" s="1610"/>
      <c r="BX157" s="1610"/>
      <c r="BY157" s="1610"/>
      <c r="BZ157" s="1610"/>
      <c r="CA157" s="1610"/>
      <c r="CB157" s="1610"/>
      <c r="CC157" s="1610"/>
      <c r="CD157" s="1610"/>
      <c r="CE157" s="1610"/>
      <c r="CF157" s="1610"/>
      <c r="CG157" s="1610"/>
      <c r="CH157" s="1610"/>
      <c r="CI157" s="1610"/>
      <c r="CJ157" s="1610"/>
      <c r="CK157" s="1610"/>
      <c r="CL157" s="1610"/>
      <c r="CM157" s="1610"/>
      <c r="CN157" s="1610"/>
      <c r="CO157" s="1610"/>
      <c r="CP157" s="1610"/>
      <c r="CQ157" s="1610"/>
      <c r="CR157" s="1610"/>
      <c r="CS157" s="1610"/>
      <c r="CT157" s="1610"/>
      <c r="CU157" s="1610"/>
      <c r="CV157" s="1610"/>
      <c r="CW157" s="1610"/>
      <c r="CX157" s="1610"/>
      <c r="CY157" s="1610"/>
      <c r="CZ157" s="1610"/>
      <c r="DA157" s="1610"/>
      <c r="DB157" s="1610"/>
      <c r="DC157" s="1610"/>
      <c r="DD157" s="1610"/>
      <c r="DE157" s="1610"/>
      <c r="DF157" s="1610"/>
    </row>
    <row r="158" spans="1:110" s="921" customFormat="1" ht="30" customHeight="1">
      <c r="A158" s="701"/>
      <c r="B158" s="701"/>
      <c r="C158" s="703"/>
      <c r="D158" s="1081"/>
      <c r="E158" s="1608"/>
      <c r="F158" s="1081"/>
      <c r="G158" s="1084"/>
      <c r="H158" s="1609"/>
      <c r="I158" s="1609"/>
      <c r="J158" s="1609"/>
      <c r="K158" s="1084"/>
      <c r="L158" s="1609"/>
      <c r="M158" s="1609"/>
      <c r="N158" s="1609"/>
      <c r="O158" s="1084"/>
      <c r="P158" s="1609"/>
      <c r="Q158" s="1609"/>
      <c r="R158" s="1609"/>
      <c r="S158" s="1084"/>
      <c r="T158" s="1609"/>
      <c r="U158" s="1609"/>
      <c r="V158" s="1609"/>
      <c r="W158" s="1084"/>
      <c r="X158" s="1609"/>
      <c r="Y158" s="1609"/>
      <c r="Z158" s="1609"/>
      <c r="AA158" s="1084"/>
      <c r="AB158" s="1609"/>
      <c r="AC158" s="1609"/>
      <c r="AD158" s="1609"/>
      <c r="AE158" s="1084"/>
      <c r="AF158" s="1609"/>
      <c r="AG158" s="1609"/>
      <c r="AH158" s="1609"/>
      <c r="AI158" s="1084"/>
      <c r="AJ158" s="1609"/>
      <c r="AK158" s="1609"/>
      <c r="AL158" s="1609"/>
      <c r="AM158" s="1084"/>
      <c r="AN158" s="1609"/>
      <c r="AO158" s="1609"/>
      <c r="AP158" s="1609"/>
      <c r="AQ158" s="1084"/>
      <c r="AR158" s="1609"/>
      <c r="AS158" s="1609"/>
      <c r="AT158" s="1609"/>
      <c r="AU158" s="1084"/>
      <c r="AV158" s="1609"/>
      <c r="AW158" s="1609"/>
      <c r="AX158" s="1609"/>
      <c r="AY158" s="1610"/>
      <c r="AZ158" s="1609"/>
      <c r="BA158" s="1610"/>
      <c r="BB158" s="1610"/>
      <c r="BC158" s="1610"/>
      <c r="BD158" s="1610"/>
      <c r="BE158" s="1610"/>
      <c r="BF158" s="1610"/>
      <c r="BG158" s="1610"/>
      <c r="BH158" s="1610"/>
      <c r="BI158" s="1610"/>
      <c r="BJ158" s="1610"/>
      <c r="BK158" s="1610"/>
      <c r="BL158" s="1610"/>
      <c r="BM158" s="1610"/>
      <c r="BN158" s="1610"/>
      <c r="BO158" s="1610"/>
      <c r="BP158" s="1610"/>
      <c r="BQ158" s="1610"/>
      <c r="BR158" s="1610"/>
      <c r="BS158" s="1610"/>
      <c r="BT158" s="1610"/>
      <c r="BU158" s="1610"/>
      <c r="BV158" s="1610"/>
      <c r="BW158" s="1610"/>
      <c r="BX158" s="1610"/>
      <c r="BY158" s="1610"/>
      <c r="BZ158" s="1610"/>
      <c r="CA158" s="564"/>
      <c r="CB158" s="564"/>
      <c r="CC158" s="564"/>
      <c r="CD158" s="564"/>
      <c r="CE158" s="564"/>
      <c r="CF158" s="564"/>
      <c r="CG158" s="1610"/>
      <c r="CH158" s="564"/>
      <c r="CI158" s="564"/>
      <c r="CJ158" s="564"/>
      <c r="CK158" s="1610"/>
      <c r="CL158" s="1610"/>
      <c r="CM158" s="1610"/>
      <c r="CN158" s="1610"/>
      <c r="CO158" s="1610"/>
      <c r="CP158" s="3410">
        <f ca="1">CP151-CP150</f>
        <v>0.37544122690106008</v>
      </c>
      <c r="CQ158" s="1610"/>
      <c r="CR158" s="1610"/>
      <c r="CS158" s="1610"/>
      <c r="CT158" s="1610"/>
      <c r="CU158" s="1610"/>
      <c r="CV158" s="1610"/>
      <c r="CW158" s="1610"/>
      <c r="CX158" s="1610"/>
      <c r="CY158" s="1610"/>
      <c r="CZ158" s="1610"/>
      <c r="DA158" s="1610"/>
      <c r="DB158" s="1610"/>
      <c r="DC158" s="1610"/>
      <c r="DD158" s="1610"/>
      <c r="DE158" s="1610"/>
      <c r="DF158" s="1610"/>
    </row>
    <row r="159" spans="1:110" ht="30" customHeight="1">
      <c r="A159" s="701"/>
      <c r="C159" s="3816" t="s">
        <v>64</v>
      </c>
      <c r="D159" s="3816"/>
      <c r="E159" s="3816"/>
      <c r="F159" s="3816"/>
    </row>
    <row r="160" spans="1:110">
      <c r="A160" s="701"/>
      <c r="G160" s="3765" t="s">
        <v>2612</v>
      </c>
      <c r="H160" s="3765" t="s">
        <v>2613</v>
      </c>
      <c r="I160" s="3765" t="s">
        <v>2614</v>
      </c>
      <c r="J160" s="3765" t="s">
        <v>2615</v>
      </c>
      <c r="K160" s="3766" t="s">
        <v>2204</v>
      </c>
      <c r="L160" s="3766" t="s">
        <v>2205</v>
      </c>
      <c r="M160" s="3766" t="s">
        <v>2206</v>
      </c>
      <c r="N160" s="3766" t="s">
        <v>2207</v>
      </c>
      <c r="O160" s="3766" t="s">
        <v>2208</v>
      </c>
      <c r="P160" s="3766" t="s">
        <v>2209</v>
      </c>
      <c r="Q160" s="3766" t="s">
        <v>2210</v>
      </c>
      <c r="R160" s="3766" t="s">
        <v>2211</v>
      </c>
      <c r="S160" s="217" t="s">
        <v>2212</v>
      </c>
      <c r="T160" s="217" t="s">
        <v>2213</v>
      </c>
      <c r="U160" s="217" t="s">
        <v>2214</v>
      </c>
      <c r="V160" s="217" t="s">
        <v>2215</v>
      </c>
      <c r="W160" s="217" t="s">
        <v>2216</v>
      </c>
      <c r="X160" s="217" t="s">
        <v>2217</v>
      </c>
      <c r="Y160" s="217" t="s">
        <v>2218</v>
      </c>
      <c r="Z160" s="217" t="s">
        <v>2219</v>
      </c>
      <c r="AA160" s="217" t="s">
        <v>2220</v>
      </c>
      <c r="AB160" s="217" t="s">
        <v>2221</v>
      </c>
      <c r="AC160" s="217" t="s">
        <v>2222</v>
      </c>
      <c r="AD160" s="217" t="s">
        <v>2223</v>
      </c>
      <c r="AE160" s="217" t="s">
        <v>2224</v>
      </c>
      <c r="AF160" s="217" t="s">
        <v>2225</v>
      </c>
      <c r="AG160" s="217" t="s">
        <v>2226</v>
      </c>
      <c r="AH160" s="217" t="s">
        <v>2227</v>
      </c>
      <c r="AI160" s="217" t="s">
        <v>2228</v>
      </c>
      <c r="AJ160" s="217" t="s">
        <v>2229</v>
      </c>
      <c r="AK160" s="217" t="s">
        <v>2230</v>
      </c>
      <c r="AL160" s="217" t="s">
        <v>2231</v>
      </c>
      <c r="AM160" s="217" t="s">
        <v>2232</v>
      </c>
      <c r="AN160" s="217" t="s">
        <v>2233</v>
      </c>
      <c r="AO160" s="217" t="s">
        <v>2234</v>
      </c>
      <c r="AP160" s="217" t="s">
        <v>2235</v>
      </c>
      <c r="AQ160" s="217" t="s">
        <v>2236</v>
      </c>
      <c r="AR160" s="217" t="s">
        <v>2237</v>
      </c>
      <c r="AS160" s="217" t="s">
        <v>2238</v>
      </c>
      <c r="AT160" s="217" t="s">
        <v>2239</v>
      </c>
      <c r="AU160" s="217" t="s">
        <v>2240</v>
      </c>
      <c r="AV160" s="217" t="s">
        <v>2241</v>
      </c>
      <c r="AW160" s="217" t="s">
        <v>2242</v>
      </c>
      <c r="AX160" s="217" t="s">
        <v>2243</v>
      </c>
      <c r="AY160" s="564" t="s">
        <v>879</v>
      </c>
      <c r="AZ160" s="217" t="s">
        <v>880</v>
      </c>
      <c r="BA160" s="564" t="s">
        <v>881</v>
      </c>
      <c r="BB160" s="564" t="s">
        <v>882</v>
      </c>
      <c r="BC160" s="564" t="s">
        <v>883</v>
      </c>
      <c r="BD160" s="564" t="s">
        <v>884</v>
      </c>
      <c r="BE160" s="564" t="s">
        <v>885</v>
      </c>
      <c r="BF160" s="564" t="s">
        <v>886</v>
      </c>
      <c r="BG160" s="564" t="s">
        <v>887</v>
      </c>
      <c r="BH160" s="564" t="s">
        <v>888</v>
      </c>
      <c r="BI160" s="564" t="s">
        <v>889</v>
      </c>
      <c r="BJ160" s="564" t="s">
        <v>890</v>
      </c>
      <c r="BK160" s="564" t="s">
        <v>2244</v>
      </c>
      <c r="BL160" s="564" t="s">
        <v>2245</v>
      </c>
      <c r="BM160" s="564" t="s">
        <v>2246</v>
      </c>
      <c r="BN160" s="564" t="s">
        <v>2247</v>
      </c>
      <c r="BO160" s="564" t="s">
        <v>2248</v>
      </c>
      <c r="BP160" s="564" t="s">
        <v>2249</v>
      </c>
      <c r="BQ160" s="564" t="s">
        <v>2250</v>
      </c>
      <c r="BR160" s="564" t="s">
        <v>2251</v>
      </c>
      <c r="BS160" s="564" t="s">
        <v>2252</v>
      </c>
      <c r="BT160" s="564" t="s">
        <v>2253</v>
      </c>
      <c r="BU160" s="564" t="s">
        <v>2254</v>
      </c>
      <c r="BV160" s="564" t="s">
        <v>2255</v>
      </c>
      <c r="BW160" s="564" t="s">
        <v>2256</v>
      </c>
      <c r="BX160" s="564" t="s">
        <v>2257</v>
      </c>
      <c r="BY160" s="564" t="s">
        <v>2258</v>
      </c>
      <c r="BZ160" s="564" t="s">
        <v>2259</v>
      </c>
      <c r="CA160" s="564" t="s">
        <v>2260</v>
      </c>
      <c r="CB160" s="564" t="s">
        <v>2261</v>
      </c>
      <c r="CC160" s="564" t="s">
        <v>2262</v>
      </c>
      <c r="CD160" s="564" t="s">
        <v>2263</v>
      </c>
      <c r="CE160" s="564" t="s">
        <v>2264</v>
      </c>
      <c r="CF160" s="564" t="s">
        <v>2265</v>
      </c>
      <c r="CG160" s="564" t="s">
        <v>2266</v>
      </c>
      <c r="CH160" s="564" t="s">
        <v>2267</v>
      </c>
      <c r="CI160" s="564" t="s">
        <v>2287</v>
      </c>
      <c r="CJ160" s="564" t="s">
        <v>2288</v>
      </c>
      <c r="CK160" s="564" t="s">
        <v>2289</v>
      </c>
      <c r="CL160" s="564" t="s">
        <v>2290</v>
      </c>
      <c r="CM160" s="564" t="s">
        <v>2405</v>
      </c>
      <c r="CN160" s="564" t="s">
        <v>2406</v>
      </c>
      <c r="CO160" s="564" t="s">
        <v>2407</v>
      </c>
      <c r="CP160" s="564" t="s">
        <v>2408</v>
      </c>
      <c r="CQ160" s="564" t="s">
        <v>2437</v>
      </c>
      <c r="CR160" s="564" t="s">
        <v>2438</v>
      </c>
      <c r="CS160" s="564" t="s">
        <v>2439</v>
      </c>
      <c r="CT160" s="564" t="s">
        <v>2440</v>
      </c>
      <c r="CU160" s="564" t="s">
        <v>2458</v>
      </c>
      <c r="CV160" s="564" t="s">
        <v>2616</v>
      </c>
      <c r="CW160" s="564" t="s">
        <v>2460</v>
      </c>
      <c r="CX160" s="564" t="s">
        <v>2461</v>
      </c>
      <c r="CY160" s="564" t="s">
        <v>2483</v>
      </c>
      <c r="CZ160" s="564" t="s">
        <v>2484</v>
      </c>
      <c r="DA160" s="564" t="s">
        <v>2485</v>
      </c>
      <c r="DB160" s="564" t="s">
        <v>2486</v>
      </c>
      <c r="DC160" s="564" t="s">
        <v>2595</v>
      </c>
      <c r="DD160" s="564" t="s">
        <v>2596</v>
      </c>
      <c r="DE160" s="564" t="s">
        <v>2597</v>
      </c>
      <c r="DF160" s="564" t="s">
        <v>2598</v>
      </c>
    </row>
    <row r="161" spans="1:110">
      <c r="A161" s="701"/>
      <c r="G161" s="3820">
        <f ca="1">OFFSET(InputY!$G$3,0,(COLUMN()-7)/4)</f>
        <v>1995</v>
      </c>
      <c r="H161" s="3821"/>
      <c r="I161" s="3821"/>
      <c r="J161" s="3821"/>
      <c r="K161" s="3820">
        <f ca="1">OFFSET(InputY!$G$3,0,(COLUMN()-7)/4)</f>
        <v>1996</v>
      </c>
      <c r="L161" s="3821"/>
      <c r="M161" s="3821"/>
      <c r="N161" s="3821"/>
      <c r="O161" s="3820">
        <f ca="1">OFFSET(InputY!$G$3,0,(COLUMN()-7)/4)</f>
        <v>1997</v>
      </c>
      <c r="P161" s="3821"/>
      <c r="Q161" s="3821"/>
      <c r="R161" s="3821"/>
      <c r="S161" s="3820">
        <f ca="1">OFFSET(InputY!$G$3,0,(COLUMN()-7)/4)</f>
        <v>1998</v>
      </c>
      <c r="T161" s="3821"/>
      <c r="U161" s="3821"/>
      <c r="V161" s="3821"/>
      <c r="W161" s="3820">
        <f ca="1">OFFSET(InputY!$G$3,0,(COLUMN()-7)/4)</f>
        <v>1999</v>
      </c>
      <c r="X161" s="3821"/>
      <c r="Y161" s="3821"/>
      <c r="Z161" s="3821"/>
      <c r="AA161" s="3820">
        <f ca="1">OFFSET(InputY!$G$3,0,(COLUMN()-7)/4)</f>
        <v>2000</v>
      </c>
      <c r="AB161" s="3821"/>
      <c r="AC161" s="3821"/>
      <c r="AD161" s="3821"/>
      <c r="AE161" s="3820">
        <f ca="1">OFFSET(InputY!$G$3,0,(COLUMN()-7)/4)</f>
        <v>2001</v>
      </c>
      <c r="AF161" s="3821"/>
      <c r="AG161" s="3821"/>
      <c r="AH161" s="3821"/>
      <c r="AI161" s="3820">
        <f ca="1">OFFSET(InputY!$G$3,0,(COLUMN()-7)/4)</f>
        <v>2002</v>
      </c>
      <c r="AJ161" s="3821"/>
      <c r="AK161" s="3821"/>
      <c r="AL161" s="3821"/>
      <c r="AM161" s="3820">
        <f ca="1">OFFSET(InputY!$G$3,0,(COLUMN()-7)/4)</f>
        <v>2003</v>
      </c>
      <c r="AN161" s="3821"/>
      <c r="AO161" s="3821"/>
      <c r="AP161" s="3821"/>
      <c r="AQ161" s="3820">
        <f ca="1">OFFSET(InputY!$G$3,0,(COLUMN()-7)/4)</f>
        <v>2004</v>
      </c>
      <c r="AR161" s="3821"/>
      <c r="AS161" s="3821"/>
      <c r="AT161" s="3821"/>
      <c r="AU161" s="3820">
        <f ca="1">OFFSET(InputY!$G$3,0,(COLUMN()-7)/4)</f>
        <v>2005</v>
      </c>
      <c r="AV161" s="3821"/>
      <c r="AW161" s="3821"/>
      <c r="AX161" s="3821"/>
      <c r="AY161" s="3820">
        <f ca="1">OFFSET(InputY!$G$3,0,(COLUMN()-7)/4)</f>
        <v>2006</v>
      </c>
      <c r="AZ161" s="3821"/>
      <c r="BA161" s="3821"/>
      <c r="BB161" s="3821"/>
      <c r="BC161" s="3820">
        <f ca="1">OFFSET(InputY!$G$3,0,(COLUMN()-7)/4)</f>
        <v>2007</v>
      </c>
      <c r="BD161" s="3821"/>
      <c r="BE161" s="3821"/>
      <c r="BF161" s="3821"/>
      <c r="BG161" s="3820">
        <f ca="1">OFFSET(InputY!$G$3,0,(COLUMN()-7)/4)</f>
        <v>2008</v>
      </c>
      <c r="BH161" s="3821"/>
      <c r="BI161" s="3821"/>
      <c r="BJ161" s="3821"/>
      <c r="BK161" s="3820">
        <f ca="1">OFFSET(InputY!$G$3,0,(COLUMN()-7)/4)</f>
        <v>2009</v>
      </c>
      <c r="BL161" s="3821"/>
      <c r="BM161" s="3821"/>
      <c r="BN161" s="3821"/>
      <c r="BO161" s="3820">
        <f ca="1">OFFSET(InputY!$G$3,0,(COLUMN()-7)/4)</f>
        <v>2010</v>
      </c>
      <c r="BP161" s="3821"/>
      <c r="BQ161" s="3821"/>
      <c r="BR161" s="3821"/>
      <c r="BS161" s="3820">
        <f ca="1">OFFSET(InputY!$G$3,0,(COLUMN()-7)/4)</f>
        <v>2011</v>
      </c>
      <c r="BT161" s="3821"/>
      <c r="BU161" s="3821"/>
      <c r="BV161" s="3821"/>
      <c r="BW161" s="3817">
        <f ca="1">OFFSET(InputY!$G$3,0,(COLUMN()-7)/4)</f>
        <v>2012</v>
      </c>
      <c r="BX161" s="3818"/>
      <c r="BY161" s="3818"/>
      <c r="BZ161" s="3819"/>
      <c r="CA161" s="3817">
        <f ca="1">OFFSET(InputY!$G$3,0,(COLUMN()-7)/4)</f>
        <v>2013</v>
      </c>
      <c r="CB161" s="3818"/>
      <c r="CC161" s="3818"/>
      <c r="CD161" s="3819"/>
      <c r="CE161" s="3817">
        <f ca="1">OFFSET(InputY!$G$3,0,(COLUMN()-7)/4)</f>
        <v>2014</v>
      </c>
      <c r="CF161" s="3818"/>
      <c r="CG161" s="3818"/>
      <c r="CH161" s="3819"/>
      <c r="CI161" s="3817">
        <f ca="1">OFFSET(InputY!$G$3,0,(COLUMN()-7)/4)</f>
        <v>2015</v>
      </c>
      <c r="CJ161" s="3818"/>
      <c r="CK161" s="3818"/>
      <c r="CL161" s="3819"/>
      <c r="CM161" s="3817">
        <f ca="1">OFFSET(InputY!$G$3,0,(COLUMN()-7)/4)</f>
        <v>2016</v>
      </c>
      <c r="CN161" s="3818"/>
      <c r="CO161" s="3818"/>
      <c r="CP161" s="3819"/>
      <c r="CQ161" s="3817">
        <f ca="1">OFFSET(InputY!$G$3,0,(COLUMN()-7)/4)</f>
        <v>2017</v>
      </c>
      <c r="CR161" s="3818"/>
      <c r="CS161" s="3818"/>
      <c r="CT161" s="3819"/>
      <c r="CU161" s="3817">
        <f ca="1">OFFSET(InputY!$G$3,0,(COLUMN()-7)/4)</f>
        <v>2018</v>
      </c>
      <c r="CV161" s="3818"/>
      <c r="CW161" s="3818"/>
      <c r="CX161" s="3819"/>
      <c r="CY161" s="3817">
        <f ca="1">OFFSET(InputY!$G$3,0,(COLUMN()-7)/4)</f>
        <v>2019</v>
      </c>
      <c r="CZ161" s="3818"/>
      <c r="DA161" s="3818"/>
      <c r="DB161" s="3819"/>
      <c r="DC161" s="3817">
        <f ca="1">OFFSET(InputY!$G$3,0,(COLUMN()-7)/4)</f>
        <v>2020</v>
      </c>
      <c r="DD161" s="3818"/>
      <c r="DE161" s="3818"/>
      <c r="DF161" s="3819"/>
    </row>
    <row r="162" spans="1:110" s="736" customFormat="1" ht="12.75" customHeight="1">
      <c r="A162" s="701"/>
      <c r="B162" s="701"/>
      <c r="C162" s="703"/>
      <c r="D162" s="732"/>
      <c r="E162" s="733" t="s">
        <v>214</v>
      </c>
      <c r="F162" s="734"/>
      <c r="G162" s="1618" t="s">
        <v>131</v>
      </c>
      <c r="H162" s="1619" t="s">
        <v>132</v>
      </c>
      <c r="I162" s="1619" t="s">
        <v>133</v>
      </c>
      <c r="J162" s="1620" t="s">
        <v>134</v>
      </c>
      <c r="K162" s="1618" t="s">
        <v>131</v>
      </c>
      <c r="L162" s="1619" t="s">
        <v>132</v>
      </c>
      <c r="M162" s="1619" t="s">
        <v>133</v>
      </c>
      <c r="N162" s="1620" t="s">
        <v>134</v>
      </c>
      <c r="O162" s="1618" t="s">
        <v>131</v>
      </c>
      <c r="P162" s="1619" t="s">
        <v>132</v>
      </c>
      <c r="Q162" s="1619" t="s">
        <v>133</v>
      </c>
      <c r="R162" s="1620" t="s">
        <v>134</v>
      </c>
      <c r="S162" s="1618" t="s">
        <v>131</v>
      </c>
      <c r="T162" s="1619" t="s">
        <v>132</v>
      </c>
      <c r="U162" s="1619" t="s">
        <v>133</v>
      </c>
      <c r="V162" s="1620" t="s">
        <v>134</v>
      </c>
      <c r="W162" s="1618" t="s">
        <v>131</v>
      </c>
      <c r="X162" s="1619" t="s">
        <v>132</v>
      </c>
      <c r="Y162" s="1619" t="s">
        <v>133</v>
      </c>
      <c r="Z162" s="1620" t="s">
        <v>134</v>
      </c>
      <c r="AA162" s="1618" t="s">
        <v>131</v>
      </c>
      <c r="AB162" s="1619" t="s">
        <v>132</v>
      </c>
      <c r="AC162" s="1619" t="s">
        <v>133</v>
      </c>
      <c r="AD162" s="1620" t="s">
        <v>134</v>
      </c>
      <c r="AE162" s="1618" t="s">
        <v>131</v>
      </c>
      <c r="AF162" s="1619" t="s">
        <v>132</v>
      </c>
      <c r="AG162" s="1619" t="s">
        <v>133</v>
      </c>
      <c r="AH162" s="1620" t="s">
        <v>134</v>
      </c>
      <c r="AI162" s="1618" t="s">
        <v>131</v>
      </c>
      <c r="AJ162" s="1619" t="s">
        <v>132</v>
      </c>
      <c r="AK162" s="1619" t="s">
        <v>133</v>
      </c>
      <c r="AL162" s="1620" t="s">
        <v>134</v>
      </c>
      <c r="AM162" s="1618" t="s">
        <v>131</v>
      </c>
      <c r="AN162" s="1619" t="s">
        <v>132</v>
      </c>
      <c r="AO162" s="1619" t="s">
        <v>133</v>
      </c>
      <c r="AP162" s="1620" t="s">
        <v>134</v>
      </c>
      <c r="AQ162" s="1618" t="s">
        <v>131</v>
      </c>
      <c r="AR162" s="1619" t="s">
        <v>132</v>
      </c>
      <c r="AS162" s="1619" t="s">
        <v>133</v>
      </c>
      <c r="AT162" s="1620" t="s">
        <v>134</v>
      </c>
      <c r="AU162" s="1618" t="s">
        <v>131</v>
      </c>
      <c r="AV162" s="1619" t="s">
        <v>132</v>
      </c>
      <c r="AW162" s="1619" t="s">
        <v>133</v>
      </c>
      <c r="AX162" s="1620" t="s">
        <v>134</v>
      </c>
      <c r="AY162" s="1618" t="s">
        <v>131</v>
      </c>
      <c r="AZ162" s="1619" t="s">
        <v>132</v>
      </c>
      <c r="BA162" s="1619" t="s">
        <v>133</v>
      </c>
      <c r="BB162" s="1620" t="s">
        <v>134</v>
      </c>
      <c r="BC162" s="1618" t="s">
        <v>131</v>
      </c>
      <c r="BD162" s="1619" t="s">
        <v>132</v>
      </c>
      <c r="BE162" s="1619" t="s">
        <v>133</v>
      </c>
      <c r="BF162" s="1620" t="s">
        <v>134</v>
      </c>
      <c r="BG162" s="1618" t="s">
        <v>131</v>
      </c>
      <c r="BH162" s="1619" t="s">
        <v>132</v>
      </c>
      <c r="BI162" s="1619" t="s">
        <v>133</v>
      </c>
      <c r="BJ162" s="1620" t="s">
        <v>134</v>
      </c>
      <c r="BK162" s="1618" t="s">
        <v>131</v>
      </c>
      <c r="BL162" s="1619" t="s">
        <v>132</v>
      </c>
      <c r="BM162" s="1619" t="s">
        <v>133</v>
      </c>
      <c r="BN162" s="1620" t="s">
        <v>134</v>
      </c>
      <c r="BO162" s="1618" t="s">
        <v>131</v>
      </c>
      <c r="BP162" s="1619" t="s">
        <v>132</v>
      </c>
      <c r="BQ162" s="1619" t="s">
        <v>133</v>
      </c>
      <c r="BR162" s="1620" t="s">
        <v>134</v>
      </c>
      <c r="BS162" s="1618" t="s">
        <v>131</v>
      </c>
      <c r="BT162" s="1619" t="s">
        <v>132</v>
      </c>
      <c r="BU162" s="1619" t="s">
        <v>133</v>
      </c>
      <c r="BV162" s="1620" t="s">
        <v>134</v>
      </c>
      <c r="BW162" s="1618" t="s">
        <v>131</v>
      </c>
      <c r="BX162" s="1619" t="s">
        <v>132</v>
      </c>
      <c r="BY162" s="1619" t="s">
        <v>133</v>
      </c>
      <c r="BZ162" s="1620" t="s">
        <v>134</v>
      </c>
      <c r="CA162" s="1618" t="s">
        <v>131</v>
      </c>
      <c r="CB162" s="1619" t="s">
        <v>132</v>
      </c>
      <c r="CC162" s="1619" t="s">
        <v>133</v>
      </c>
      <c r="CD162" s="1620" t="s">
        <v>134</v>
      </c>
      <c r="CE162" s="1618" t="s">
        <v>131</v>
      </c>
      <c r="CF162" s="1619" t="s">
        <v>132</v>
      </c>
      <c r="CG162" s="1619" t="s">
        <v>133</v>
      </c>
      <c r="CH162" s="1620" t="s">
        <v>134</v>
      </c>
      <c r="CI162" s="1618" t="s">
        <v>131</v>
      </c>
      <c r="CJ162" s="1619" t="s">
        <v>132</v>
      </c>
      <c r="CK162" s="1619" t="s">
        <v>133</v>
      </c>
      <c r="CL162" s="1620" t="s">
        <v>134</v>
      </c>
      <c r="CM162" s="1618" t="s">
        <v>131</v>
      </c>
      <c r="CN162" s="1619" t="s">
        <v>132</v>
      </c>
      <c r="CO162" s="1619" t="s">
        <v>133</v>
      </c>
      <c r="CP162" s="1620" t="s">
        <v>134</v>
      </c>
      <c r="CQ162" s="1618" t="s">
        <v>131</v>
      </c>
      <c r="CR162" s="1619" t="s">
        <v>132</v>
      </c>
      <c r="CS162" s="1619" t="s">
        <v>133</v>
      </c>
      <c r="CT162" s="1620" t="s">
        <v>134</v>
      </c>
      <c r="CU162" s="1618" t="s">
        <v>131</v>
      </c>
      <c r="CV162" s="1619" t="s">
        <v>132</v>
      </c>
      <c r="CW162" s="1619" t="s">
        <v>133</v>
      </c>
      <c r="CX162" s="1620" t="s">
        <v>134</v>
      </c>
      <c r="CY162" s="1618" t="s">
        <v>131</v>
      </c>
      <c r="CZ162" s="1619" t="s">
        <v>132</v>
      </c>
      <c r="DA162" s="1619" t="s">
        <v>133</v>
      </c>
      <c r="DB162" s="1620" t="s">
        <v>134</v>
      </c>
      <c r="DC162" s="1618" t="s">
        <v>131</v>
      </c>
      <c r="DD162" s="1619" t="s">
        <v>132</v>
      </c>
      <c r="DE162" s="1619" t="s">
        <v>133</v>
      </c>
      <c r="DF162" s="1620" t="s">
        <v>134</v>
      </c>
    </row>
    <row r="163" spans="1:110" s="736" customFormat="1" ht="12.75" hidden="1" customHeight="1">
      <c r="A163" s="701" t="str">
        <f>"Q" &amp; ROW(InputQ!A29)</f>
        <v>Q29</v>
      </c>
      <c r="C163" s="3171" t="s">
        <v>1791</v>
      </c>
      <c r="D163" s="705"/>
      <c r="E163" s="737" t="s">
        <v>442</v>
      </c>
      <c r="F163" s="738"/>
      <c r="G163" s="817">
        <f>InputQ!G29/1000</f>
        <v>149.98699999999999</v>
      </c>
      <c r="H163" s="817">
        <f>InputQ!H29/1000</f>
        <v>149.23339999999999</v>
      </c>
      <c r="I163" s="817">
        <f>InputQ!I29/1000</f>
        <v>148.64239999999998</v>
      </c>
      <c r="J163" s="817">
        <f>InputQ!J29/1000</f>
        <v>151.8535</v>
      </c>
      <c r="K163" s="817">
        <f>InputQ!K29/1000</f>
        <v>151.70489999999998</v>
      </c>
      <c r="L163" s="817">
        <f>InputQ!L29/1000</f>
        <v>157.88029999999998</v>
      </c>
      <c r="M163" s="817">
        <f>InputQ!M29/1000</f>
        <v>156.38210000000001</v>
      </c>
      <c r="N163" s="817">
        <f>InputQ!N29/1000</f>
        <v>162.81029999999998</v>
      </c>
      <c r="O163" s="817">
        <f>InputQ!O29/1000</f>
        <v>169.83860000000001</v>
      </c>
      <c r="P163" s="817">
        <f>InputQ!P29/1000</f>
        <v>178.26070000000001</v>
      </c>
      <c r="Q163" s="817">
        <f>InputQ!Q29/1000</f>
        <v>181.32820000000001</v>
      </c>
      <c r="R163" s="817">
        <f>InputQ!R29/1000</f>
        <v>187.1995</v>
      </c>
      <c r="S163" s="817">
        <f>InputQ!S29/1000</f>
        <v>189.52960000000002</v>
      </c>
      <c r="T163" s="817">
        <f>InputQ!T29/1000</f>
        <v>190.93940000000001</v>
      </c>
      <c r="U163" s="817">
        <f>InputQ!U29/1000</f>
        <v>195.2543</v>
      </c>
      <c r="V163" s="817">
        <f>InputQ!V29/1000</f>
        <v>201.16070000000002</v>
      </c>
      <c r="W163" s="817">
        <f>InputQ!W29/1000</f>
        <v>198.83070000000001</v>
      </c>
      <c r="X163" s="817">
        <f>InputQ!X29/1000</f>
        <v>202.1472</v>
      </c>
      <c r="Y163" s="817">
        <f>InputQ!Y29/1000</f>
        <v>210.16079999999999</v>
      </c>
      <c r="Z163" s="817">
        <f>InputQ!Z29/1000</f>
        <v>211.92789999999999</v>
      </c>
      <c r="AA163" s="817">
        <f>InputQ!AA29/1000</f>
        <v>218.2859</v>
      </c>
      <c r="AB163" s="817">
        <f>InputQ!AB29/1000</f>
        <v>228.66370000000001</v>
      </c>
      <c r="AC163" s="817">
        <f>InputQ!AC29/1000</f>
        <v>237.79729999999998</v>
      </c>
      <c r="AD163" s="817">
        <f>InputQ!AD29/1000</f>
        <v>237.38379999999998</v>
      </c>
      <c r="AE163" s="817">
        <f>InputQ!AE29/1000</f>
        <v>228.09179999999998</v>
      </c>
      <c r="AF163" s="817">
        <f>InputQ!AF29/1000</f>
        <v>223.4879</v>
      </c>
      <c r="AG163" s="817">
        <f>InputQ!AG29/1000</f>
        <v>224.03570000000002</v>
      </c>
      <c r="AH163" s="817">
        <f>InputQ!AH29/1000</f>
        <v>227.38329999999999</v>
      </c>
      <c r="AI163" s="817">
        <f>InputQ!AI29/1000</f>
        <v>231.33500000000001</v>
      </c>
      <c r="AJ163" s="817">
        <f>InputQ!AJ29/1000</f>
        <v>233.6078</v>
      </c>
      <c r="AK163" s="817">
        <f>InputQ!AK29/1000</f>
        <v>225.8099</v>
      </c>
      <c r="AL163" s="817">
        <f>InputQ!AL29/1000</f>
        <v>232.62039999999999</v>
      </c>
      <c r="AM163" s="817">
        <f>InputQ!AM29/1000</f>
        <v>236.4717</v>
      </c>
      <c r="AN163" s="817">
        <f>InputQ!AN29/1000</f>
        <v>240.3631</v>
      </c>
      <c r="AO163" s="817">
        <f>InputQ!AO29/1000</f>
        <v>245.67750000000001</v>
      </c>
      <c r="AP163" s="817">
        <f>InputQ!AP29/1000</f>
        <v>248.4752</v>
      </c>
      <c r="AQ163" s="817">
        <f>InputQ!AQ29/1000</f>
        <v>258.63929999999999</v>
      </c>
      <c r="AR163" s="817">
        <f>InputQ!AR29/1000</f>
        <v>271.28390000000002</v>
      </c>
      <c r="AS163" s="817">
        <f>InputQ!AS29/1000</f>
        <v>268.76820000000004</v>
      </c>
      <c r="AT163" s="817">
        <f>InputQ!AT29/1000</f>
        <v>271.66120000000001</v>
      </c>
      <c r="AU163" s="817">
        <f>InputQ!AU29/1000</f>
        <v>273.29490000000004</v>
      </c>
      <c r="AV163" s="817">
        <f>InputQ!AV29/1000</f>
        <v>282.9101</v>
      </c>
      <c r="AW163" s="817">
        <f>InputQ!AW29/1000</f>
        <v>290.38690000000003</v>
      </c>
      <c r="AX163" s="817">
        <f>InputQ!AX29/1000</f>
        <v>285.87129999999996</v>
      </c>
      <c r="AY163" s="817">
        <f>InputQ!AY29/1000</f>
        <v>301.63779999999997</v>
      </c>
      <c r="AZ163" s="817">
        <f>InputQ!AZ29/1000</f>
        <v>300.12450000000001</v>
      </c>
      <c r="BA163" s="817">
        <f>InputQ!BA29/1000</f>
        <v>309.89229999999998</v>
      </c>
      <c r="BB163" s="817">
        <f>InputQ!BB29/1000</f>
        <v>322.07529999999997</v>
      </c>
      <c r="BC163" s="817">
        <f>InputQ!BC29/1000</f>
        <v>310.5616</v>
      </c>
      <c r="BD163" s="817">
        <f>InputQ!BD29/1000</f>
        <v>313.97040000000004</v>
      </c>
      <c r="BE163" s="817">
        <f>InputQ!BE29/1000</f>
        <v>319.49040000000002</v>
      </c>
      <c r="BF163" s="817">
        <f>InputQ!BF29/1000</f>
        <v>328.14929999999998</v>
      </c>
      <c r="BG163" s="817">
        <f>InputQ!BG29/1000</f>
        <v>332.36690000000004</v>
      </c>
      <c r="BH163" s="817">
        <f>InputQ!BH29/1000</f>
        <v>329.0163</v>
      </c>
      <c r="BI163" s="817">
        <f>InputQ!BI29/1000</f>
        <v>324.65629999999999</v>
      </c>
      <c r="BJ163" s="817">
        <f>InputQ!BJ29/1000</f>
        <v>291.15359999999998</v>
      </c>
      <c r="BK163" s="817">
        <f>InputQ!BK29/1000</f>
        <v>260.14949999999999</v>
      </c>
      <c r="BL163" s="817">
        <f>InputQ!BL29/1000</f>
        <v>251.22970000000001</v>
      </c>
      <c r="BM163" s="817">
        <f>InputQ!BM29/1000</f>
        <v>262.1524</v>
      </c>
      <c r="BN163" s="817">
        <f>InputQ!BN29/1000</f>
        <v>266.38099999999997</v>
      </c>
      <c r="BO163" s="817">
        <f>InputQ!BO29/1000</f>
        <v>277.26659999999998</v>
      </c>
      <c r="BP163" s="817">
        <f>InputQ!BP29/1000</f>
        <v>298.00319999999999</v>
      </c>
      <c r="BQ163" s="817">
        <f>InputQ!BQ29/1000</f>
        <v>306.11920000000003</v>
      </c>
      <c r="BR163" s="817">
        <f>InputQ!BR29/1000</f>
        <v>317.04399999999998</v>
      </c>
      <c r="BS163" s="817">
        <f>InputQ!BS29/1000</f>
        <v>319.57069999999999</v>
      </c>
      <c r="BT163" s="817">
        <f>InputQ!BT29/1000</f>
        <v>317.91899999999998</v>
      </c>
      <c r="BU163" s="817">
        <f>InputQ!BU29/1000</f>
        <v>330.57670000000002</v>
      </c>
      <c r="BV163" s="817">
        <f>InputQ!BV29/1000</f>
        <v>313.6934</v>
      </c>
      <c r="BW163" s="1643">
        <f t="shared" ref="BW163:CD163" si="642">+BV163*(1+BW176/100)</f>
        <v>313.6934</v>
      </c>
      <c r="BX163" s="1643">
        <f t="shared" si="642"/>
        <v>313.6934</v>
      </c>
      <c r="BY163" s="1643">
        <f t="shared" si="642"/>
        <v>313.6934</v>
      </c>
      <c r="BZ163" s="1643">
        <f t="shared" si="642"/>
        <v>313.6934</v>
      </c>
      <c r="CA163" s="1643">
        <f>+BZ163*(1+CA176/100)</f>
        <v>313.6934</v>
      </c>
      <c r="CB163" s="1643">
        <f>+CA163*(1+CB176/100)</f>
        <v>313.6934</v>
      </c>
      <c r="CC163" s="1643">
        <f t="shared" si="642"/>
        <v>313.6934</v>
      </c>
      <c r="CD163" s="1643">
        <f t="shared" si="642"/>
        <v>313.6934</v>
      </c>
      <c r="CE163" s="1643">
        <f>+CD163*(1+CE176/100)</f>
        <v>313.6934</v>
      </c>
      <c r="CF163" s="1643">
        <f>+CE163*(1+CF176/100)</f>
        <v>313.6934</v>
      </c>
      <c r="CG163" s="1643">
        <f t="shared" ref="CG163:CL163" si="643">+CF163*(1+CG176/100)</f>
        <v>313.6934</v>
      </c>
      <c r="CH163" s="1643">
        <f t="shared" si="643"/>
        <v>313.6934</v>
      </c>
      <c r="CI163" s="1643">
        <f>+CH163*(1+CI176/100)</f>
        <v>313.6934</v>
      </c>
      <c r="CJ163" s="1643">
        <f>+CI163*(1+CJ176/100)</f>
        <v>313.6934</v>
      </c>
      <c r="CK163" s="1643">
        <f t="shared" si="643"/>
        <v>313.6934</v>
      </c>
      <c r="CL163" s="1643">
        <f t="shared" si="643"/>
        <v>313.6934</v>
      </c>
      <c r="CM163" s="1643">
        <f t="shared" ref="CM163:CV163" si="644">+CL163*(1+CM176/100)</f>
        <v>313.6934</v>
      </c>
      <c r="CN163" s="1643">
        <f t="shared" si="644"/>
        <v>313.6934</v>
      </c>
      <c r="CO163" s="1643">
        <f t="shared" si="644"/>
        <v>313.6934</v>
      </c>
      <c r="CP163" s="1643">
        <f t="shared" si="644"/>
        <v>313.6934</v>
      </c>
      <c r="CQ163" s="1643">
        <f t="shared" si="644"/>
        <v>313.6934</v>
      </c>
      <c r="CR163" s="1643">
        <f t="shared" si="644"/>
        <v>313.6934</v>
      </c>
      <c r="CS163" s="1643">
        <f t="shared" si="644"/>
        <v>313.6934</v>
      </c>
      <c r="CT163" s="1643">
        <f t="shared" si="644"/>
        <v>313.6934</v>
      </c>
      <c r="CU163" s="1643">
        <f t="shared" ref="CU163" si="645">+CT163*(1+CU176/100)</f>
        <v>313.6934</v>
      </c>
      <c r="CV163" s="1643">
        <f t="shared" si="644"/>
        <v>313.6934</v>
      </c>
      <c r="CW163" s="1643">
        <f t="shared" ref="CW163" si="646">+CV163*(1+CW176/100)</f>
        <v>313.6934</v>
      </c>
      <c r="CX163" s="1643">
        <f t="shared" ref="CX163" si="647">+CW163*(1+CX176/100)</f>
        <v>313.6934</v>
      </c>
      <c r="CY163" s="1643">
        <f t="shared" ref="CY163" si="648">+CX163*(1+CY176/100)</f>
        <v>313.6934</v>
      </c>
      <c r="CZ163" s="1643">
        <f t="shared" ref="CZ163" si="649">+CY163*(1+CZ176/100)</f>
        <v>313.6934</v>
      </c>
      <c r="DA163" s="1643">
        <f t="shared" ref="DA163" si="650">+CZ163*(1+DA176/100)</f>
        <v>313.6934</v>
      </c>
      <c r="DB163" s="1643">
        <f t="shared" ref="DB163" si="651">+DA163*(1+DB176/100)</f>
        <v>313.6934</v>
      </c>
      <c r="DC163" s="1643">
        <f t="shared" ref="DC163" si="652">+DB163*(1+DC176/100)</f>
        <v>313.6934</v>
      </c>
      <c r="DD163" s="1643">
        <f t="shared" ref="DD163" si="653">+DC163*(1+DD176/100)</f>
        <v>313.6934</v>
      </c>
      <c r="DE163" s="1643">
        <f t="shared" ref="DE163" si="654">+DD163*(1+DE176/100)</f>
        <v>313.6934</v>
      </c>
      <c r="DF163" s="1643">
        <f t="shared" ref="DF163" si="655">+DE163*(1+DF176/100)</f>
        <v>313.6934</v>
      </c>
    </row>
    <row r="164" spans="1:110" s="736" customFormat="1" ht="12.75" hidden="1" customHeight="1">
      <c r="A164" s="701"/>
      <c r="C164" s="3172"/>
      <c r="D164" s="716"/>
      <c r="E164" s="717" t="s">
        <v>353</v>
      </c>
      <c r="F164" s="1969"/>
      <c r="G164" s="3165"/>
      <c r="H164" s="3165"/>
      <c r="I164" s="3167"/>
      <c r="J164" s="1627">
        <f>SUM(G163:J163)</f>
        <v>599.71630000000005</v>
      </c>
      <c r="K164" s="3165"/>
      <c r="L164" s="3165"/>
      <c r="M164" s="3167"/>
      <c r="N164" s="1627">
        <f>SUM(K163:N163)</f>
        <v>628.77760000000001</v>
      </c>
      <c r="O164" s="3165"/>
      <c r="P164" s="3165"/>
      <c r="Q164" s="3167"/>
      <c r="R164" s="1627">
        <f>SUM(O163:R163)</f>
        <v>716.62699999999995</v>
      </c>
      <c r="S164" s="3165"/>
      <c r="T164" s="3165"/>
      <c r="U164" s="3167"/>
      <c r="V164" s="1627">
        <f>SUM(S163:V163)</f>
        <v>776.88400000000013</v>
      </c>
      <c r="W164" s="3165"/>
      <c r="X164" s="3165"/>
      <c r="Y164" s="3167"/>
      <c r="Z164" s="1627">
        <f>SUM(W163:Z163)</f>
        <v>823.06659999999999</v>
      </c>
      <c r="AA164" s="3165"/>
      <c r="AB164" s="3165"/>
      <c r="AC164" s="3167"/>
      <c r="AD164" s="1627">
        <f>SUM(AA163:AD163)</f>
        <v>922.13069999999993</v>
      </c>
      <c r="AE164" s="3165"/>
      <c r="AF164" s="3165"/>
      <c r="AG164" s="3167"/>
      <c r="AH164" s="1627">
        <f>SUM(AE163:AH163)</f>
        <v>902.99869999999999</v>
      </c>
      <c r="AI164" s="3165"/>
      <c r="AJ164" s="3165"/>
      <c r="AK164" s="3167"/>
      <c r="AL164" s="1627">
        <f>SUM(AI163:AL163)</f>
        <v>923.37310000000002</v>
      </c>
      <c r="AM164" s="3165"/>
      <c r="AN164" s="3165"/>
      <c r="AO164" s="3167"/>
      <c r="AP164" s="1627">
        <f>SUM(AM163:AP163)</f>
        <v>970.98749999999995</v>
      </c>
      <c r="AQ164" s="3165"/>
      <c r="AR164" s="3165"/>
      <c r="AS164" s="3167"/>
      <c r="AT164" s="1627">
        <f>SUM(AQ163:AT163)</f>
        <v>1070.3525999999999</v>
      </c>
      <c r="AU164" s="3165"/>
      <c r="AV164" s="3165"/>
      <c r="AW164" s="3167"/>
      <c r="AX164" s="1627">
        <f>SUM(AU163:AX163)</f>
        <v>1132.4632000000001</v>
      </c>
      <c r="AY164" s="3165"/>
      <c r="AZ164" s="3165"/>
      <c r="BA164" s="3167"/>
      <c r="BB164" s="1627">
        <f>SUM(AY163:BB163)</f>
        <v>1233.7298999999998</v>
      </c>
      <c r="BC164" s="3165"/>
      <c r="BD164" s="3165"/>
      <c r="BE164" s="3167"/>
      <c r="BF164" s="1627">
        <f>SUM(BC163:BF163)</f>
        <v>1272.1717000000001</v>
      </c>
      <c r="BG164" s="3165"/>
      <c r="BH164" s="3165"/>
      <c r="BI164" s="3167"/>
      <c r="BJ164" s="1627">
        <f>SUM(BG163:BJ163)</f>
        <v>1277.1931</v>
      </c>
      <c r="BK164" s="3165"/>
      <c r="BL164" s="3165"/>
      <c r="BM164" s="3167"/>
      <c r="BN164" s="1627">
        <f>SUM(BK163:BN163)</f>
        <v>1039.9126000000001</v>
      </c>
      <c r="BO164" s="3165"/>
      <c r="BP164" s="3165"/>
      <c r="BQ164" s="3167"/>
      <c r="BR164" s="1627">
        <f>SUM(BO163:BR163)</f>
        <v>1198.433</v>
      </c>
      <c r="BS164" s="3165"/>
      <c r="BT164" s="3165"/>
      <c r="BU164" s="3167"/>
      <c r="BV164" s="1627">
        <f>SUM(BS163:BV163)</f>
        <v>1281.7597999999998</v>
      </c>
      <c r="BW164" s="3165"/>
      <c r="BX164" s="3165"/>
      <c r="BY164" s="3167"/>
      <c r="BZ164" s="1627">
        <f>SUM(BW163:BZ163)</f>
        <v>1254.7736</v>
      </c>
      <c r="CA164" s="3165"/>
      <c r="CB164" s="3165"/>
      <c r="CC164" s="3167"/>
      <c r="CD164" s="1627">
        <f>SUM(CA163:CD163)</f>
        <v>1254.7736</v>
      </c>
      <c r="CE164" s="3165"/>
      <c r="CF164" s="3165"/>
      <c r="CG164" s="3167"/>
      <c r="CH164" s="1627">
        <f>SUM(CE163:CH163)</f>
        <v>1254.7736</v>
      </c>
      <c r="CI164" s="3165"/>
      <c r="CJ164" s="3165"/>
      <c r="CK164" s="3167"/>
      <c r="CL164" s="1627">
        <f>SUM(CI163:CL163)</f>
        <v>1254.7736</v>
      </c>
      <c r="CM164" s="3165"/>
      <c r="CN164" s="3165"/>
      <c r="CO164" s="3167"/>
      <c r="CP164" s="1627">
        <f>SUM(CM163:CP163)</f>
        <v>1254.7736</v>
      </c>
      <c r="CQ164" s="3165"/>
      <c r="CR164" s="3165"/>
      <c r="CS164" s="3167"/>
      <c r="CT164" s="1627">
        <f>SUM(CQ163:CT163)</f>
        <v>1254.7736</v>
      </c>
      <c r="CU164" s="3165"/>
      <c r="CV164" s="3165"/>
      <c r="CW164" s="3167"/>
      <c r="CX164" s="1627">
        <f>SUM(CU163:CX163)</f>
        <v>1254.7736</v>
      </c>
      <c r="CY164" s="3165"/>
      <c r="CZ164" s="3165"/>
      <c r="DA164" s="3167"/>
      <c r="DB164" s="1627">
        <f>SUM(CY163:DB163)</f>
        <v>1254.7736</v>
      </c>
      <c r="DC164" s="3165"/>
      <c r="DD164" s="3165"/>
      <c r="DE164" s="3167"/>
      <c r="DF164" s="1627">
        <f>SUM(DC163:DF163)</f>
        <v>1254.7736</v>
      </c>
    </row>
    <row r="165" spans="1:110" s="736" customFormat="1" ht="12.75" hidden="1" customHeight="1">
      <c r="A165" s="701"/>
      <c r="C165" s="3172"/>
      <c r="D165" s="716"/>
      <c r="E165" s="717" t="s">
        <v>136</v>
      </c>
      <c r="F165" s="1969"/>
      <c r="G165" s="3165"/>
      <c r="H165" s="3168" t="s">
        <v>1694</v>
      </c>
      <c r="I165" s="3165">
        <f ca="1">+J165/J164*100</f>
        <v>100.09225362058693</v>
      </c>
      <c r="J165" s="1627">
        <f ca="1">OFFSET('VVP2'!$G$82,0,(COLUMN()-10)/4)</f>
        <v>600.26956000000007</v>
      </c>
      <c r="K165" s="3165"/>
      <c r="L165" s="3168" t="s">
        <v>1694</v>
      </c>
      <c r="M165" s="3165">
        <f ca="1">+N165/N164*100</f>
        <v>100.05279132081041</v>
      </c>
      <c r="N165" s="1627">
        <f ca="1">OFFSET('VVP2'!$G$82,0,(COLUMN()-10)/4)</f>
        <v>629.10954000000004</v>
      </c>
      <c r="O165" s="3165"/>
      <c r="P165" s="3168" t="s">
        <v>1694</v>
      </c>
      <c r="Q165" s="3165">
        <f ca="1">+R165/R164*100</f>
        <v>99.668801203415455</v>
      </c>
      <c r="R165" s="1627">
        <f ca="1">OFFSET('VVP2'!$G$82,0,(COLUMN()-10)/4)</f>
        <v>714.25354000000004</v>
      </c>
      <c r="S165" s="3165"/>
      <c r="T165" s="3168" t="s">
        <v>1694</v>
      </c>
      <c r="U165" s="3165">
        <f ca="1">+V165/V164*100</f>
        <v>99.837598663378287</v>
      </c>
      <c r="V165" s="1627">
        <f ca="1">OFFSET('VVP2'!$G$82,0,(COLUMN()-10)/4)</f>
        <v>775.62232999999992</v>
      </c>
      <c r="W165" s="3165"/>
      <c r="X165" s="3168" t="s">
        <v>1694</v>
      </c>
      <c r="Y165" s="3165">
        <f ca="1">+Z165/Z164*100</f>
        <v>100.21193181693924</v>
      </c>
      <c r="Z165" s="1627">
        <f ca="1">OFFSET('VVP2'!$G$82,0,(COLUMN()-10)/4)</f>
        <v>824.81093999999996</v>
      </c>
      <c r="AA165" s="3165"/>
      <c r="AB165" s="3168" t="s">
        <v>1694</v>
      </c>
      <c r="AC165" s="3165">
        <f ca="1">+AD165/AD164*100</f>
        <v>99.954307995601923</v>
      </c>
      <c r="AD165" s="1627">
        <f ca="1">OFFSET('VVP2'!$G$82,0,(COLUMN()-10)/4)</f>
        <v>921.70935999999995</v>
      </c>
      <c r="AE165" s="3165"/>
      <c r="AF165" s="3168" t="s">
        <v>1694</v>
      </c>
      <c r="AG165" s="3165">
        <f ca="1">+AH165/AH164*100</f>
        <v>99.774306430341483</v>
      </c>
      <c r="AH165" s="1627">
        <f ca="1">OFFSET('VVP2'!$G$82,0,(COLUMN()-10)/4)</f>
        <v>900.96069</v>
      </c>
      <c r="AI165" s="3165"/>
      <c r="AJ165" s="3168" t="s">
        <v>1694</v>
      </c>
      <c r="AK165" s="3165">
        <f ca="1">+AL165/AL164*100</f>
        <v>99.805785981852836</v>
      </c>
      <c r="AL165" s="1627">
        <f ca="1">OFFSET('VVP2'!$G$82,0,(COLUMN()-10)/4)</f>
        <v>921.57978000000003</v>
      </c>
      <c r="AM165" s="3165"/>
      <c r="AN165" s="3168" t="s">
        <v>1694</v>
      </c>
      <c r="AO165" s="3165">
        <f ca="1">+AP165/AP164*100</f>
        <v>99.535044477915534</v>
      </c>
      <c r="AP165" s="1627">
        <f ca="1">OFFSET('VVP2'!$G$82,0,(COLUMN()-10)/4)</f>
        <v>966.47284000000002</v>
      </c>
      <c r="AQ165" s="3165"/>
      <c r="AR165" s="3168" t="s">
        <v>1694</v>
      </c>
      <c r="AS165" s="3165">
        <f ca="1">+AT165/AT164*100</f>
        <v>100.41451667422491</v>
      </c>
      <c r="AT165" s="1627">
        <f ca="1">OFFSET('VVP2'!$G$82,0,(COLUMN()-10)/4)</f>
        <v>1074.7893899999999</v>
      </c>
      <c r="AU165" s="3165"/>
      <c r="AV165" s="3168" t="s">
        <v>1694</v>
      </c>
      <c r="AW165" s="3165">
        <f ca="1">+AX165/AX164*100</f>
        <v>100.40101435525675</v>
      </c>
      <c r="AX165" s="1627">
        <f ca="1">OFFSET('VVP2'!$G$82,0,(COLUMN()-10)/4)</f>
        <v>1137.0045400000001</v>
      </c>
      <c r="AY165" s="3165"/>
      <c r="AZ165" s="3168" t="s">
        <v>1694</v>
      </c>
      <c r="BA165" s="3165">
        <f ca="1">+BB165/BB164*100</f>
        <v>99.994855437969051</v>
      </c>
      <c r="BB165" s="1627">
        <f ca="1">OFFSET('VVP2'!$G$82,0,(COLUMN()-10)/4)</f>
        <v>1233.66643</v>
      </c>
      <c r="BC165" s="3165"/>
      <c r="BD165" s="3168" t="s">
        <v>1694</v>
      </c>
      <c r="BE165" s="3165">
        <f ca="1">+BF165/BF164*100</f>
        <v>99.742250200975207</v>
      </c>
      <c r="BF165" s="1627">
        <f ca="1">OFFSET('VVP2'!$G$82,0,(COLUMN()-10)/4)</f>
        <v>1268.8926799999999</v>
      </c>
      <c r="BG165" s="3165"/>
      <c r="BH165" s="3168" t="s">
        <v>1694</v>
      </c>
      <c r="BI165" s="3165">
        <f ca="1">+BJ165/BJ164*100</f>
        <v>100.12574449392189</v>
      </c>
      <c r="BJ165" s="1627">
        <f ca="1">OFFSET('VVP2'!$G$82,0,(COLUMN()-10)/4)</f>
        <v>1278.7991000000002</v>
      </c>
      <c r="BK165" s="3165"/>
      <c r="BL165" s="3168" t="s">
        <v>1694</v>
      </c>
      <c r="BM165" s="3165">
        <f ca="1">+BN165/BN164*100</f>
        <v>99.926938090758782</v>
      </c>
      <c r="BN165" s="1627">
        <f ca="1">OFFSET('VVP2'!$G$82,0,(COLUMN()-10)/4)</f>
        <v>1039.15282</v>
      </c>
      <c r="BO165" s="3165"/>
      <c r="BP165" s="3168" t="s">
        <v>1694</v>
      </c>
      <c r="BQ165" s="3165">
        <f ca="1">+BR165/BR164*100</f>
        <v>100.3961005746671</v>
      </c>
      <c r="BR165" s="1627">
        <f ca="1">OFFSET('VVP2'!$G$82,0,(COLUMN()-10)/4)</f>
        <v>1203.18</v>
      </c>
      <c r="BS165" s="3165"/>
      <c r="BT165" s="3168" t="s">
        <v>1694</v>
      </c>
      <c r="BU165" s="3165">
        <f ca="1">+BV165/BV164*100</f>
        <v>100.29413233275066</v>
      </c>
      <c r="BV165" s="1627">
        <f ca="1">OFFSET('VVP2'!$G$82,0,(COLUMN()-10)/4)</f>
        <v>1285.5298700000001</v>
      </c>
      <c r="BW165" s="3165"/>
      <c r="BX165" s="3168" t="s">
        <v>1694</v>
      </c>
      <c r="BY165" s="3165">
        <f ca="1">+BZ165/BZ164*100</f>
        <v>102.72012656307083</v>
      </c>
      <c r="BZ165" s="1627">
        <f ca="1">OFFSET('VVP2'!$G$82,0,(COLUMN()-10)/4)</f>
        <v>1288.9050300000001</v>
      </c>
      <c r="CA165" s="3165"/>
      <c r="CB165" s="3168" t="s">
        <v>1694</v>
      </c>
      <c r="CC165" s="3165">
        <f ca="1">+CD165/CD164*100</f>
        <v>99.761535467434115</v>
      </c>
      <c r="CD165" s="1627">
        <f ca="1">OFFSET('VVP2'!$G$82,0,(COLUMN()-10)/4)</f>
        <v>1251.7814099999998</v>
      </c>
      <c r="CE165" s="3165"/>
      <c r="CF165" s="3168" t="s">
        <v>1694</v>
      </c>
      <c r="CG165" s="3165">
        <f ca="1">+CH165/CH164*100</f>
        <v>102.8974828606531</v>
      </c>
      <c r="CH165" s="1627">
        <f ca="1">OFFSET('VVP2'!$G$82,0,(COLUMN()-10)/4)</f>
        <v>1291.1304499999999</v>
      </c>
      <c r="CI165" s="3165"/>
      <c r="CJ165" s="3168" t="s">
        <v>1694</v>
      </c>
      <c r="CK165" s="3165">
        <f ca="1">+CL165/CL164*100</f>
        <v>106.51861977332007</v>
      </c>
      <c r="CL165" s="1627">
        <f ca="1">OFFSET('VVP2'!$G$82,0,(COLUMN()-10)/4)</f>
        <v>1336.5675200000001</v>
      </c>
      <c r="CM165" s="3165"/>
      <c r="CN165" s="3168" t="s">
        <v>1694</v>
      </c>
      <c r="CO165" s="3165">
        <f ca="1">+CP165/CP164*100</f>
        <v>108.98169438693961</v>
      </c>
      <c r="CP165" s="1627">
        <f ca="1">OFFSET('VVP2'!$G$82,0,(COLUMN()-10)/4)</f>
        <v>1367.47353</v>
      </c>
      <c r="CQ165" s="3165"/>
      <c r="CR165" s="3168" t="s">
        <v>1694</v>
      </c>
      <c r="CS165" s="3165">
        <f ca="1">+CT165/CT164*100</f>
        <v>114.38106762845504</v>
      </c>
      <c r="CT165" s="1627">
        <f ca="1">OFFSET('VVP2'!$G$82,0,(COLUMN()-10)/4)</f>
        <v>1435.22344</v>
      </c>
      <c r="CU165" s="3165"/>
      <c r="CV165" s="3168" t="s">
        <v>1694</v>
      </c>
      <c r="CW165" s="3165">
        <f ca="1">+CX165/CX164*100</f>
        <v>118.44159552926521</v>
      </c>
      <c r="CX165" s="1627">
        <f ca="1">OFFSET('VVP2'!$G$82,0,(COLUMN()-10)/4)</f>
        <v>1486.1738721200002</v>
      </c>
      <c r="CY165" s="3165"/>
      <c r="CZ165" s="3168" t="s">
        <v>1694</v>
      </c>
      <c r="DA165" s="3165">
        <f ca="1">+DB165/DB164*100</f>
        <v>122.4093889794956</v>
      </c>
      <c r="DB165" s="1627">
        <f ca="1">OFFSET('VVP2'!$G$82,0,(COLUMN()-10)/4)</f>
        <v>1535.9606968360204</v>
      </c>
      <c r="DC165" s="3165"/>
      <c r="DD165" s="3168" t="s">
        <v>1694</v>
      </c>
      <c r="DE165" s="3165">
        <f ca="1">+DF165/DF164*100</f>
        <v>126.10615252667638</v>
      </c>
      <c r="DF165" s="1627">
        <f ca="1">OFFSET('VVP2'!$G$82,0,(COLUMN()-10)/4)</f>
        <v>1582.3467098804681</v>
      </c>
    </row>
    <row r="166" spans="1:110" s="736" customFormat="1" ht="12.75" hidden="1" customHeight="1">
      <c r="A166" s="701" t="str">
        <f>"Q" &amp; ROW(InputQ!A30)</f>
        <v>Q30</v>
      </c>
      <c r="C166" s="3172" t="s">
        <v>1791</v>
      </c>
      <c r="D166" s="711"/>
      <c r="E166" s="820" t="s">
        <v>443</v>
      </c>
      <c r="F166" s="741"/>
      <c r="G166" s="743">
        <f>InputQ!G30/1000</f>
        <v>37.424099999999996</v>
      </c>
      <c r="H166" s="743">
        <f>InputQ!H30/1000</f>
        <v>39.8262</v>
      </c>
      <c r="I166" s="743">
        <f>InputQ!I30/1000</f>
        <v>39.028300000000002</v>
      </c>
      <c r="J166" s="743">
        <f>InputQ!J30/1000</f>
        <v>37.068100000000001</v>
      </c>
      <c r="K166" s="743">
        <f>InputQ!K30/1000</f>
        <v>38.980699999999999</v>
      </c>
      <c r="L166" s="743">
        <f>InputQ!L30/1000</f>
        <v>37.984699999999997</v>
      </c>
      <c r="M166" s="743">
        <f>InputQ!M30/1000</f>
        <v>38.440599999999996</v>
      </c>
      <c r="N166" s="743">
        <f>InputQ!N30/1000</f>
        <v>39.254400000000004</v>
      </c>
      <c r="O166" s="743">
        <f>InputQ!O30/1000</f>
        <v>41.734199999999994</v>
      </c>
      <c r="P166" s="743">
        <f>InputQ!P30/1000</f>
        <v>44.911900000000003</v>
      </c>
      <c r="Q166" s="743">
        <f>InputQ!Q30/1000</f>
        <v>45.1464</v>
      </c>
      <c r="R166" s="743">
        <f>InputQ!R30/1000</f>
        <v>46.772100000000002</v>
      </c>
      <c r="S166" s="743">
        <f>InputQ!S30/1000</f>
        <v>46.649699999999996</v>
      </c>
      <c r="T166" s="743">
        <f>InputQ!T30/1000</f>
        <v>47.762500000000003</v>
      </c>
      <c r="U166" s="743">
        <f>InputQ!U30/1000</f>
        <v>51.051400000000001</v>
      </c>
      <c r="V166" s="743">
        <f>InputQ!V30/1000</f>
        <v>52.014699999999998</v>
      </c>
      <c r="W166" s="743">
        <f>InputQ!W30/1000</f>
        <v>52.458500000000001</v>
      </c>
      <c r="X166" s="743">
        <f>InputQ!X30/1000</f>
        <v>55.418500000000002</v>
      </c>
      <c r="Y166" s="743">
        <f>InputQ!Y30/1000</f>
        <v>55.608199999999997</v>
      </c>
      <c r="Z166" s="743">
        <f>InputQ!Z30/1000</f>
        <v>55.930500000000002</v>
      </c>
      <c r="AA166" s="743">
        <f>InputQ!AA30/1000</f>
        <v>57.2087</v>
      </c>
      <c r="AB166" s="743">
        <f>InputQ!AB30/1000</f>
        <v>59.226900000000001</v>
      </c>
      <c r="AC166" s="743">
        <f>InputQ!AC30/1000</f>
        <v>61.645900000000005</v>
      </c>
      <c r="AD166" s="743">
        <f>InputQ!AD30/1000</f>
        <v>66.969800000000006</v>
      </c>
      <c r="AE166" s="743">
        <f>InputQ!AE30/1000</f>
        <v>68.139600000000002</v>
      </c>
      <c r="AF166" s="743">
        <f>InputQ!AF30/1000</f>
        <v>67.77239999999999</v>
      </c>
      <c r="AG166" s="743">
        <f>InputQ!AG30/1000</f>
        <v>70.498800000000003</v>
      </c>
      <c r="AH166" s="743">
        <f>InputQ!AH30/1000</f>
        <v>71.1584</v>
      </c>
      <c r="AI166" s="743">
        <f>InputQ!AI30/1000</f>
        <v>69.464500000000001</v>
      </c>
      <c r="AJ166" s="743">
        <f>InputQ!AJ30/1000</f>
        <v>69.146799999999999</v>
      </c>
      <c r="AK166" s="743">
        <f>InputQ!AK30/1000</f>
        <v>68.104100000000003</v>
      </c>
      <c r="AL166" s="743">
        <f>InputQ!AL30/1000</f>
        <v>65.072099999999992</v>
      </c>
      <c r="AM166" s="743">
        <f>InputQ!AM30/1000</f>
        <v>69.851300000000009</v>
      </c>
      <c r="AN166" s="743">
        <f>InputQ!AN30/1000</f>
        <v>67.88069999999999</v>
      </c>
      <c r="AO166" s="743">
        <f>InputQ!AO30/1000</f>
        <v>67.851799999999997</v>
      </c>
      <c r="AP166" s="743">
        <f>InputQ!AP30/1000</f>
        <v>70.556699999999992</v>
      </c>
      <c r="AQ166" s="743">
        <f>InputQ!AQ30/1000</f>
        <v>71.528399999999991</v>
      </c>
      <c r="AR166" s="743">
        <f>InputQ!AR30/1000</f>
        <v>75.384399999999999</v>
      </c>
      <c r="AS166" s="743">
        <f>InputQ!AS30/1000</f>
        <v>75.842300000000009</v>
      </c>
      <c r="AT166" s="743">
        <f>InputQ!AT30/1000</f>
        <v>76.57289999999999</v>
      </c>
      <c r="AU166" s="743">
        <f>InputQ!AU30/1000</f>
        <v>76.145899999999997</v>
      </c>
      <c r="AV166" s="743">
        <f>InputQ!AV30/1000</f>
        <v>78.405199999999994</v>
      </c>
      <c r="AW166" s="743">
        <f>InputQ!AW30/1000</f>
        <v>83.650499999999994</v>
      </c>
      <c r="AX166" s="743">
        <f>InputQ!AX30/1000</f>
        <v>89.911500000000004</v>
      </c>
      <c r="AY166" s="743">
        <f>InputQ!AY30/1000</f>
        <v>88.667000000000002</v>
      </c>
      <c r="AZ166" s="743">
        <f>InputQ!AZ30/1000</f>
        <v>89.7256</v>
      </c>
      <c r="BA166" s="743">
        <f>InputQ!BA30/1000</f>
        <v>90.323599999999999</v>
      </c>
      <c r="BB166" s="743">
        <f>InputQ!BB30/1000</f>
        <v>91.359800000000007</v>
      </c>
      <c r="BC166" s="743">
        <f>InputQ!BC30/1000</f>
        <v>96.441699999999997</v>
      </c>
      <c r="BD166" s="743">
        <f>InputQ!BD30/1000</f>
        <v>100.10239999999999</v>
      </c>
      <c r="BE166" s="743">
        <f>InputQ!BE30/1000</f>
        <v>99.755800000000008</v>
      </c>
      <c r="BF166" s="743">
        <f>InputQ!BF30/1000</f>
        <v>100.3126</v>
      </c>
      <c r="BG166" s="743">
        <f>InputQ!BG30/1000</f>
        <v>105.1516</v>
      </c>
      <c r="BH166" s="743">
        <f>InputQ!BH30/1000</f>
        <v>102.36160000000001</v>
      </c>
      <c r="BI166" s="743">
        <f>InputQ!BI30/1000</f>
        <v>104.07610000000001</v>
      </c>
      <c r="BJ166" s="743">
        <f>InputQ!BJ30/1000</f>
        <v>107.3669</v>
      </c>
      <c r="BK166" s="743">
        <f>InputQ!BK30/1000</f>
        <v>105.1478</v>
      </c>
      <c r="BL166" s="743">
        <f>InputQ!BL30/1000</f>
        <v>105.12910000000001</v>
      </c>
      <c r="BM166" s="743">
        <f>InputQ!BM30/1000</f>
        <v>102.94839999999999</v>
      </c>
      <c r="BN166" s="743">
        <f>InputQ!BN30/1000</f>
        <v>100.47150000000001</v>
      </c>
      <c r="BO166" s="743">
        <f>InputQ!BO30/1000</f>
        <v>103.19319999999999</v>
      </c>
      <c r="BP166" s="743">
        <f>InputQ!BP30/1000</f>
        <v>102.70269999999999</v>
      </c>
      <c r="BQ166" s="743">
        <f>InputQ!BQ30/1000</f>
        <v>105.9495</v>
      </c>
      <c r="BR166" s="743">
        <f>InputQ!BR30/1000</f>
        <v>109.3626</v>
      </c>
      <c r="BS166" s="743">
        <f>InputQ!BS30/1000</f>
        <v>105.8888</v>
      </c>
      <c r="BT166" s="743">
        <f>InputQ!BT30/1000</f>
        <v>109.22439999999999</v>
      </c>
      <c r="BU166" s="743">
        <f>InputQ!BU30/1000</f>
        <v>111.20610000000001</v>
      </c>
      <c r="BV166" s="743">
        <f>InputQ!BV30/1000</f>
        <v>111.98530000000001</v>
      </c>
      <c r="BW166" s="3166">
        <f t="shared" ref="BW166:CD166" si="656">+BV166*(1+BW179/100)</f>
        <v>111.98530000000001</v>
      </c>
      <c r="BX166" s="3166">
        <f t="shared" si="656"/>
        <v>111.98530000000001</v>
      </c>
      <c r="BY166" s="3166">
        <f t="shared" si="656"/>
        <v>111.98530000000001</v>
      </c>
      <c r="BZ166" s="3166">
        <f t="shared" si="656"/>
        <v>111.98530000000001</v>
      </c>
      <c r="CA166" s="3166">
        <f>+BZ166*(1+CA179/100)</f>
        <v>111.98530000000001</v>
      </c>
      <c r="CB166" s="3166">
        <f>+CA166*(1+CB179/100)</f>
        <v>111.98530000000001</v>
      </c>
      <c r="CC166" s="3166">
        <f t="shared" si="656"/>
        <v>111.98530000000001</v>
      </c>
      <c r="CD166" s="3166">
        <f t="shared" si="656"/>
        <v>111.98530000000001</v>
      </c>
      <c r="CE166" s="3166">
        <f>+CD166*(1+CE179/100)</f>
        <v>111.98530000000001</v>
      </c>
      <c r="CF166" s="3166">
        <f>+CE166*(1+CF179/100)</f>
        <v>111.98530000000001</v>
      </c>
      <c r="CG166" s="3166">
        <f t="shared" ref="CG166:CL166" si="657">+CF166*(1+CG179/100)</f>
        <v>111.98530000000001</v>
      </c>
      <c r="CH166" s="3166">
        <f t="shared" si="657"/>
        <v>111.98530000000001</v>
      </c>
      <c r="CI166" s="3166">
        <f>+CH166*(1+CI179/100)</f>
        <v>111.98530000000001</v>
      </c>
      <c r="CJ166" s="3166">
        <f>+CI166*(1+CJ179/100)</f>
        <v>111.98530000000001</v>
      </c>
      <c r="CK166" s="3166">
        <f t="shared" si="657"/>
        <v>111.98530000000001</v>
      </c>
      <c r="CL166" s="3166">
        <f t="shared" si="657"/>
        <v>111.98530000000001</v>
      </c>
      <c r="CM166" s="3166">
        <f t="shared" ref="CM166:CV166" si="658">+CL166*(1+CM179/100)</f>
        <v>111.98530000000001</v>
      </c>
      <c r="CN166" s="3166">
        <f t="shared" si="658"/>
        <v>111.98530000000001</v>
      </c>
      <c r="CO166" s="3166">
        <f t="shared" si="658"/>
        <v>111.98530000000001</v>
      </c>
      <c r="CP166" s="3166">
        <f t="shared" si="658"/>
        <v>111.98530000000001</v>
      </c>
      <c r="CQ166" s="3166">
        <f t="shared" si="658"/>
        <v>111.98530000000001</v>
      </c>
      <c r="CR166" s="3166">
        <f t="shared" si="658"/>
        <v>111.98530000000001</v>
      </c>
      <c r="CS166" s="3166">
        <f t="shared" si="658"/>
        <v>111.98530000000001</v>
      </c>
      <c r="CT166" s="3166">
        <f t="shared" si="658"/>
        <v>111.98530000000001</v>
      </c>
      <c r="CU166" s="3166">
        <f t="shared" ref="CU166" si="659">+CT166*(1+CU179/100)</f>
        <v>111.98530000000001</v>
      </c>
      <c r="CV166" s="3166">
        <f t="shared" si="658"/>
        <v>111.98530000000001</v>
      </c>
      <c r="CW166" s="3166">
        <f t="shared" ref="CW166" si="660">+CV166*(1+CW179/100)</f>
        <v>111.98530000000001</v>
      </c>
      <c r="CX166" s="3166">
        <f t="shared" ref="CX166" si="661">+CW166*(1+CX179/100)</f>
        <v>111.98530000000001</v>
      </c>
      <c r="CY166" s="3166">
        <f t="shared" ref="CY166" si="662">+CX166*(1+CY179/100)</f>
        <v>111.98530000000001</v>
      </c>
      <c r="CZ166" s="3166">
        <f t="shared" ref="CZ166" si="663">+CY166*(1+CZ179/100)</f>
        <v>111.98530000000001</v>
      </c>
      <c r="DA166" s="3166">
        <f t="shared" ref="DA166" si="664">+CZ166*(1+DA179/100)</f>
        <v>111.98530000000001</v>
      </c>
      <c r="DB166" s="3166">
        <f t="shared" ref="DB166" si="665">+DA166*(1+DB179/100)</f>
        <v>111.98530000000001</v>
      </c>
      <c r="DC166" s="3166">
        <f t="shared" ref="DC166" si="666">+DB166*(1+DC179/100)</f>
        <v>111.98530000000001</v>
      </c>
      <c r="DD166" s="3166">
        <f t="shared" ref="DD166" si="667">+DC166*(1+DD179/100)</f>
        <v>111.98530000000001</v>
      </c>
      <c r="DE166" s="3166">
        <f t="shared" ref="DE166" si="668">+DD166*(1+DE179/100)</f>
        <v>111.98530000000001</v>
      </c>
      <c r="DF166" s="3166">
        <f t="shared" ref="DF166" si="669">+DE166*(1+DF179/100)</f>
        <v>111.98530000000001</v>
      </c>
    </row>
    <row r="167" spans="1:110" s="736" customFormat="1" ht="12.75" hidden="1" customHeight="1">
      <c r="A167" s="701"/>
      <c r="C167" s="3172"/>
      <c r="D167" s="716"/>
      <c r="E167" s="717" t="s">
        <v>353</v>
      </c>
      <c r="F167" s="1969"/>
      <c r="G167" s="3165"/>
      <c r="H167" s="3165"/>
      <c r="I167" s="3167"/>
      <c r="J167" s="1627">
        <f>SUM(G166:J166)</f>
        <v>153.3467</v>
      </c>
      <c r="K167" s="3165"/>
      <c r="L167" s="3165"/>
      <c r="M167" s="3167"/>
      <c r="N167" s="1627">
        <f>SUM(K166:N166)</f>
        <v>154.66039999999998</v>
      </c>
      <c r="O167" s="3165"/>
      <c r="P167" s="3165"/>
      <c r="Q167" s="3167"/>
      <c r="R167" s="1627">
        <f>SUM(O166:R166)</f>
        <v>178.56459999999998</v>
      </c>
      <c r="S167" s="3165"/>
      <c r="T167" s="3165"/>
      <c r="U167" s="3167"/>
      <c r="V167" s="1627">
        <f>SUM(S166:V166)</f>
        <v>197.47829999999999</v>
      </c>
      <c r="W167" s="3165"/>
      <c r="X167" s="3165"/>
      <c r="Y167" s="3167"/>
      <c r="Z167" s="1627">
        <f>SUM(W166:Z166)</f>
        <v>219.41570000000002</v>
      </c>
      <c r="AA167" s="3165"/>
      <c r="AB167" s="3165"/>
      <c r="AC167" s="3167"/>
      <c r="AD167" s="1627">
        <f>SUM(AA166:AD166)</f>
        <v>245.05130000000003</v>
      </c>
      <c r="AE167" s="3165"/>
      <c r="AF167" s="3165"/>
      <c r="AG167" s="3167"/>
      <c r="AH167" s="1627">
        <f>SUM(AE166:AH166)</f>
        <v>277.56920000000002</v>
      </c>
      <c r="AI167" s="3165"/>
      <c r="AJ167" s="3165"/>
      <c r="AK167" s="3167"/>
      <c r="AL167" s="1627">
        <f>SUM(AI166:AL166)</f>
        <v>271.78749999999997</v>
      </c>
      <c r="AM167" s="3165"/>
      <c r="AN167" s="3165"/>
      <c r="AO167" s="3167"/>
      <c r="AP167" s="1627">
        <f>SUM(AM166:AP166)</f>
        <v>276.14049999999997</v>
      </c>
      <c r="AQ167" s="3165"/>
      <c r="AR167" s="3165"/>
      <c r="AS167" s="3167"/>
      <c r="AT167" s="1627">
        <f>SUM(AQ166:AT166)</f>
        <v>299.32800000000003</v>
      </c>
      <c r="AU167" s="3165"/>
      <c r="AV167" s="3165"/>
      <c r="AW167" s="3167"/>
      <c r="AX167" s="1627">
        <f>SUM(AU166:AX166)</f>
        <v>328.11309999999997</v>
      </c>
      <c r="AY167" s="3165"/>
      <c r="AZ167" s="3165"/>
      <c r="BA167" s="3167"/>
      <c r="BB167" s="1627">
        <f>SUM(AY166:BB166)</f>
        <v>360.07600000000002</v>
      </c>
      <c r="BC167" s="3165"/>
      <c r="BD167" s="3165"/>
      <c r="BE167" s="3167"/>
      <c r="BF167" s="1627">
        <f>SUM(BC166:BF166)</f>
        <v>396.61249999999995</v>
      </c>
      <c r="BG167" s="3165"/>
      <c r="BH167" s="3165"/>
      <c r="BI167" s="3167"/>
      <c r="BJ167" s="1627">
        <f>SUM(BG166:BJ166)</f>
        <v>418.95620000000002</v>
      </c>
      <c r="BK167" s="3165"/>
      <c r="BL167" s="3165"/>
      <c r="BM167" s="3167"/>
      <c r="BN167" s="1627">
        <f>SUM(BK166:BN166)</f>
        <v>413.6968</v>
      </c>
      <c r="BO167" s="3165"/>
      <c r="BP167" s="3165"/>
      <c r="BQ167" s="3167"/>
      <c r="BR167" s="1627">
        <f>SUM(BO166:BR166)</f>
        <v>421.20799999999997</v>
      </c>
      <c r="BS167" s="3165"/>
      <c r="BT167" s="3165"/>
      <c r="BU167" s="3167"/>
      <c r="BV167" s="1627">
        <f>SUM(BS166:BV166)</f>
        <v>438.30459999999999</v>
      </c>
      <c r="BW167" s="3165"/>
      <c r="BX167" s="3165"/>
      <c r="BY167" s="3167"/>
      <c r="BZ167" s="1627">
        <f>SUM(BW166:BZ166)</f>
        <v>447.94120000000004</v>
      </c>
      <c r="CA167" s="3165"/>
      <c r="CB167" s="3165"/>
      <c r="CC167" s="3167"/>
      <c r="CD167" s="1627">
        <f>SUM(CA166:CD166)</f>
        <v>447.94120000000004</v>
      </c>
      <c r="CE167" s="3165"/>
      <c r="CF167" s="3165"/>
      <c r="CG167" s="3167"/>
      <c r="CH167" s="1627">
        <f>SUM(CE166:CH166)</f>
        <v>447.94120000000004</v>
      </c>
      <c r="CI167" s="3165"/>
      <c r="CJ167" s="3165"/>
      <c r="CK167" s="3167"/>
      <c r="CL167" s="1627">
        <f>SUM(CI166:CL166)</f>
        <v>447.94120000000004</v>
      </c>
      <c r="CM167" s="3165"/>
      <c r="CN167" s="3165"/>
      <c r="CO167" s="3167"/>
      <c r="CP167" s="1627">
        <f>SUM(CM166:CP166)</f>
        <v>447.94120000000004</v>
      </c>
      <c r="CQ167" s="3165"/>
      <c r="CR167" s="3165"/>
      <c r="CS167" s="3167"/>
      <c r="CT167" s="1627">
        <f>SUM(CQ166:CT166)</f>
        <v>447.94120000000004</v>
      </c>
      <c r="CU167" s="3165"/>
      <c r="CV167" s="3165"/>
      <c r="CW167" s="3167"/>
      <c r="CX167" s="1627">
        <f>SUM(CU166:CX166)</f>
        <v>447.94120000000004</v>
      </c>
      <c r="CY167" s="3165"/>
      <c r="CZ167" s="3165"/>
      <c r="DA167" s="3167"/>
      <c r="DB167" s="1627">
        <f>SUM(CY166:DB166)</f>
        <v>447.94120000000004</v>
      </c>
      <c r="DC167" s="3165"/>
      <c r="DD167" s="3165"/>
      <c r="DE167" s="3167"/>
      <c r="DF167" s="1627">
        <f>SUM(DC166:DF166)</f>
        <v>447.94120000000004</v>
      </c>
    </row>
    <row r="168" spans="1:110" s="736" customFormat="1" ht="12.75" hidden="1" customHeight="1">
      <c r="A168" s="701"/>
      <c r="C168" s="3172"/>
      <c r="D168" s="716"/>
      <c r="E168" s="717" t="s">
        <v>136</v>
      </c>
      <c r="F168" s="1969"/>
      <c r="G168" s="3165"/>
      <c r="H168" s="3168" t="s">
        <v>1694</v>
      </c>
      <c r="I168" s="3165">
        <f ca="1">+J168/J167*100</f>
        <v>100.15982085039978</v>
      </c>
      <c r="J168" s="1627">
        <f ca="1">OFFSET('VVP2'!$G$81,0,(COLUMN()-10)/4)</f>
        <v>153.59178</v>
      </c>
      <c r="K168" s="3165"/>
      <c r="L168" s="3168" t="s">
        <v>1694</v>
      </c>
      <c r="M168" s="3165">
        <f ca="1">+N168/N167*100</f>
        <v>100.02717567004871</v>
      </c>
      <c r="N168" s="1627">
        <f ca="1">OFFSET('VVP2'!$G$81,0,(COLUMN()-10)/4)</f>
        <v>154.70242999999999</v>
      </c>
      <c r="O168" s="3165"/>
      <c r="P168" s="3168" t="s">
        <v>1694</v>
      </c>
      <c r="Q168" s="3165">
        <f ca="1">+R168/R167*100</f>
        <v>100.14013415873025</v>
      </c>
      <c r="R168" s="1627">
        <f ca="1">OFFSET('VVP2'!$G$81,0,(COLUMN()-10)/4)</f>
        <v>178.81483</v>
      </c>
      <c r="S168" s="3165"/>
      <c r="T168" s="3168" t="s">
        <v>1694</v>
      </c>
      <c r="U168" s="3165">
        <f ca="1">+V168/V167*100</f>
        <v>100.13559970893004</v>
      </c>
      <c r="V168" s="1627">
        <f ca="1">OFFSET('VVP2'!$G$81,0,(COLUMN()-10)/4)</f>
        <v>197.74607999999998</v>
      </c>
      <c r="W168" s="3165"/>
      <c r="X168" s="3168" t="s">
        <v>1694</v>
      </c>
      <c r="Y168" s="3165">
        <f ca="1">+Z168/Z167*100</f>
        <v>100.27225946001128</v>
      </c>
      <c r="Z168" s="1627">
        <f ca="1">OFFSET('VVP2'!$G$81,0,(COLUMN()-10)/4)</f>
        <v>220.01307999999997</v>
      </c>
      <c r="AA168" s="3165"/>
      <c r="AB168" s="3168" t="s">
        <v>1694</v>
      </c>
      <c r="AC168" s="3165">
        <f ca="1">+AD168/AD167*100</f>
        <v>100.09435575326471</v>
      </c>
      <c r="AD168" s="1627">
        <f ca="1">OFFSET('VVP2'!$G$81,0,(COLUMN()-10)/4)</f>
        <v>245.28251999999998</v>
      </c>
      <c r="AE168" s="3165"/>
      <c r="AF168" s="3168" t="s">
        <v>1694</v>
      </c>
      <c r="AG168" s="3165">
        <f ca="1">+AH168/AH167*100</f>
        <v>99.845415125309273</v>
      </c>
      <c r="AH168" s="1627">
        <f ca="1">OFFSET('VVP2'!$G$81,0,(COLUMN()-10)/4)</f>
        <v>277.14011999999997</v>
      </c>
      <c r="AI168" s="3165"/>
      <c r="AJ168" s="3168" t="s">
        <v>1694</v>
      </c>
      <c r="AK168" s="3165">
        <f ca="1">+AL168/AL167*100</f>
        <v>99.768712689141353</v>
      </c>
      <c r="AL168" s="1627">
        <f ca="1">OFFSET('VVP2'!$G$81,0,(COLUMN()-10)/4)</f>
        <v>271.15889000000004</v>
      </c>
      <c r="AM168" s="3165"/>
      <c r="AN168" s="3168" t="s">
        <v>1694</v>
      </c>
      <c r="AO168" s="3165">
        <f ca="1">+AP168/AP167*100</f>
        <v>99.766061117438426</v>
      </c>
      <c r="AP168" s="1627">
        <f ca="1">OFFSET('VVP2'!$G$81,0,(COLUMN()-10)/4)</f>
        <v>275.49450000000002</v>
      </c>
      <c r="AQ168" s="3165"/>
      <c r="AR168" s="3168" t="s">
        <v>1694</v>
      </c>
      <c r="AS168" s="3165">
        <f ca="1">+AT168/AT167*100</f>
        <v>100.34908194355356</v>
      </c>
      <c r="AT168" s="1627">
        <f ca="1">OFFSET('VVP2'!$G$81,0,(COLUMN()-10)/4)</f>
        <v>300.37290000000002</v>
      </c>
      <c r="AU168" s="3165"/>
      <c r="AV168" s="3168" t="s">
        <v>1694</v>
      </c>
      <c r="AW168" s="3165">
        <f ca="1">+AX168/AX167*100</f>
        <v>100.36462427132598</v>
      </c>
      <c r="AX168" s="1627">
        <f ca="1">OFFSET('VVP2'!$G$81,0,(COLUMN()-10)/4)</f>
        <v>329.30948000000001</v>
      </c>
      <c r="AY168" s="3165"/>
      <c r="AZ168" s="3168" t="s">
        <v>1694</v>
      </c>
      <c r="BA168" s="3165">
        <f ca="1">+BB168/BB167*100</f>
        <v>99.886226796565168</v>
      </c>
      <c r="BB168" s="1627">
        <f ca="1">OFFSET('VVP2'!$G$81,0,(COLUMN()-10)/4)</f>
        <v>359.66633000000002</v>
      </c>
      <c r="BC168" s="3165"/>
      <c r="BD168" s="3168" t="s">
        <v>1694</v>
      </c>
      <c r="BE168" s="3165">
        <f ca="1">+BF168/BF167*100</f>
        <v>99.874610608591524</v>
      </c>
      <c r="BF168" s="1627">
        <f ca="1">OFFSET('VVP2'!$G$81,0,(COLUMN()-10)/4)</f>
        <v>396.11518999999998</v>
      </c>
      <c r="BG168" s="3165"/>
      <c r="BH168" s="3168" t="s">
        <v>1694</v>
      </c>
      <c r="BI168" s="3165">
        <f ca="1">+BJ168/BJ167*100</f>
        <v>100.10571510816644</v>
      </c>
      <c r="BJ168" s="1627">
        <f ca="1">OFFSET('VVP2'!$G$81,0,(COLUMN()-10)/4)</f>
        <v>419.39909999999998</v>
      </c>
      <c r="BK168" s="3165"/>
      <c r="BL168" s="3168" t="s">
        <v>1694</v>
      </c>
      <c r="BM168" s="3165">
        <f ca="1">+BN168/BN167*100</f>
        <v>99.968967611062027</v>
      </c>
      <c r="BN168" s="1627">
        <f ca="1">OFFSET('VVP2'!$G$81,0,(COLUMN()-10)/4)</f>
        <v>413.56842</v>
      </c>
      <c r="BO168" s="3165"/>
      <c r="BP168" s="3168" t="s">
        <v>1694</v>
      </c>
      <c r="BQ168" s="3165">
        <f ca="1">+BR168/BR167*100</f>
        <v>100.31528366032933</v>
      </c>
      <c r="BR168" s="1627">
        <f ca="1">OFFSET('VVP2'!$G$81,0,(COLUMN()-10)/4)</f>
        <v>422.536</v>
      </c>
      <c r="BS168" s="3165"/>
      <c r="BT168" s="3168" t="s">
        <v>1694</v>
      </c>
      <c r="BU168" s="3165">
        <f ca="1">+BV168/BV167*100</f>
        <v>100.24458105162482</v>
      </c>
      <c r="BV168" s="1627">
        <f ca="1">OFFSET('VVP2'!$G$81,0,(COLUMN()-10)/4)</f>
        <v>439.37660999999997</v>
      </c>
      <c r="BW168" s="3165"/>
      <c r="BX168" s="3168" t="s">
        <v>1694</v>
      </c>
      <c r="BY168" s="3165">
        <f ca="1">+BZ168/BZ167*100</f>
        <v>101.07181478283309</v>
      </c>
      <c r="BZ168" s="1627">
        <f ca="1">OFFSET('VVP2'!$G$81,0,(COLUMN()-10)/4)</f>
        <v>452.7423</v>
      </c>
      <c r="CA168" s="3165"/>
      <c r="CB168" s="3168" t="s">
        <v>1694</v>
      </c>
      <c r="CC168" s="3165">
        <f ca="1">+CD168/CD167*100</f>
        <v>106.07934702143939</v>
      </c>
      <c r="CD168" s="1627">
        <f ca="1">OFFSET('VVP2'!$G$81,0,(COLUMN()-10)/4)</f>
        <v>475.17309999999998</v>
      </c>
      <c r="CE168" s="3165"/>
      <c r="CF168" s="3168" t="s">
        <v>1694</v>
      </c>
      <c r="CG168" s="3165">
        <f ca="1">+CH168/CH167*100</f>
        <v>117.1635562881914</v>
      </c>
      <c r="CH168" s="1627">
        <f ca="1">OFFSET('VVP2'!$G$81,0,(COLUMN()-10)/4)</f>
        <v>524.82384000000002</v>
      </c>
      <c r="CI168" s="3165"/>
      <c r="CJ168" s="3168" t="s">
        <v>1694</v>
      </c>
      <c r="CK168" s="3165">
        <f ca="1">+CL168/CL167*100</f>
        <v>129.66103810053639</v>
      </c>
      <c r="CL168" s="1627">
        <f ca="1">OFFSET('VVP2'!$G$81,0,(COLUMN()-10)/4)</f>
        <v>580.80520999999999</v>
      </c>
      <c r="CM168" s="3165"/>
      <c r="CN168" s="3168" t="s">
        <v>1694</v>
      </c>
      <c r="CO168" s="3165">
        <f ca="1">+CP168/CP167*100</f>
        <v>135.30861863119534</v>
      </c>
      <c r="CP168" s="1627">
        <f ca="1">OFFSET('VVP2'!$G$81,0,(COLUMN()-10)/4)</f>
        <v>606.10305000000005</v>
      </c>
      <c r="CQ168" s="3165"/>
      <c r="CR168" s="3168" t="s">
        <v>1694</v>
      </c>
      <c r="CS168" s="3165">
        <f ca="1">+CT168/CT167*100</f>
        <v>134.90911530352645</v>
      </c>
      <c r="CT168" s="1627">
        <f ca="1">OFFSET('VVP2'!$G$81,0,(COLUMN()-10)/4)</f>
        <v>604.31351000000006</v>
      </c>
      <c r="CU168" s="3165"/>
      <c r="CV168" s="3168" t="s">
        <v>1694</v>
      </c>
      <c r="CW168" s="3165">
        <f ca="1">+CX168/CX167*100</f>
        <v>139.21271608170892</v>
      </c>
      <c r="CX168" s="1627">
        <f ca="1">OFFSET('VVP2'!$G$81,0,(COLUMN()-10)/4)</f>
        <v>623.59111096900006</v>
      </c>
      <c r="CY168" s="3165"/>
      <c r="CZ168" s="3168" t="s">
        <v>1694</v>
      </c>
      <c r="DA168" s="3165">
        <f ca="1">+DB168/DB167*100</f>
        <v>143.37517629255203</v>
      </c>
      <c r="DB168" s="1627">
        <f ca="1">OFFSET('VVP2'!$G$81,0,(COLUMN()-10)/4)</f>
        <v>642.23648518697314</v>
      </c>
      <c r="DC168" s="3165"/>
      <c r="DD168" s="3168" t="s">
        <v>1694</v>
      </c>
      <c r="DE168" s="3165">
        <f ca="1">+DF168/DF167*100</f>
        <v>147.66209406369936</v>
      </c>
      <c r="DF168" s="1627">
        <f ca="1">OFFSET('VVP2'!$G$81,0,(COLUMN()-10)/4)</f>
        <v>661.43935609406367</v>
      </c>
    </row>
    <row r="169" spans="1:110" s="736" customFormat="1" ht="12.75" hidden="1" customHeight="1">
      <c r="A169" s="701"/>
      <c r="C169" s="3172" t="s">
        <v>1791</v>
      </c>
      <c r="D169" s="711"/>
      <c r="E169" s="820" t="s">
        <v>487</v>
      </c>
      <c r="F169" s="741"/>
      <c r="G169" s="743">
        <f t="shared" ref="G169:AL169" si="670">G170-G163-G166</f>
        <v>0.30579999999999075</v>
      </c>
      <c r="H169" s="743">
        <f t="shared" si="670"/>
        <v>2.5427999999999997</v>
      </c>
      <c r="I169" s="743">
        <f t="shared" si="670"/>
        <v>-1.3654999999999688</v>
      </c>
      <c r="J169" s="743">
        <f t="shared" si="670"/>
        <v>1.2553999999999945</v>
      </c>
      <c r="K169" s="743">
        <f t="shared" si="670"/>
        <v>0.21990000000000975</v>
      </c>
      <c r="L169" s="743">
        <f t="shared" si="670"/>
        <v>2.892300000000013</v>
      </c>
      <c r="M169" s="743">
        <f t="shared" si="670"/>
        <v>-1.0122000000000142</v>
      </c>
      <c r="N169" s="743">
        <f t="shared" si="670"/>
        <v>1.4828000000000259</v>
      </c>
      <c r="O169" s="743">
        <f t="shared" si="670"/>
        <v>0.86799999999998789</v>
      </c>
      <c r="P169" s="743">
        <f t="shared" si="670"/>
        <v>2.3631000000000029</v>
      </c>
      <c r="Q169" s="743">
        <f t="shared" si="670"/>
        <v>-0.53230000000002065</v>
      </c>
      <c r="R169" s="743">
        <f t="shared" si="670"/>
        <v>1.3129000000000062</v>
      </c>
      <c r="S169" s="743">
        <f t="shared" si="670"/>
        <v>0.77090000000001169</v>
      </c>
      <c r="T169" s="743">
        <f t="shared" si="670"/>
        <v>2.2912999999999926</v>
      </c>
      <c r="U169" s="743">
        <f t="shared" si="670"/>
        <v>-0.37749999999999773</v>
      </c>
      <c r="V169" s="743">
        <f t="shared" si="670"/>
        <v>1.0770999999999802</v>
      </c>
      <c r="W169" s="743">
        <f t="shared" si="670"/>
        <v>0.23940000000000339</v>
      </c>
      <c r="X169" s="743">
        <f t="shared" si="670"/>
        <v>1.3274000000000044</v>
      </c>
      <c r="Y169" s="743">
        <f t="shared" si="670"/>
        <v>-0.26739999999999498</v>
      </c>
      <c r="Z169" s="743">
        <f t="shared" si="670"/>
        <v>0.93119999999995429</v>
      </c>
      <c r="AA169" s="743">
        <f t="shared" si="670"/>
        <v>0.23619999999998953</v>
      </c>
      <c r="AB169" s="743">
        <f t="shared" si="670"/>
        <v>1.6004999999999541</v>
      </c>
      <c r="AC169" s="743">
        <f t="shared" si="670"/>
        <v>-0.1077999999999335</v>
      </c>
      <c r="AD169" s="743">
        <f t="shared" si="670"/>
        <v>0.65120000000000289</v>
      </c>
      <c r="AE169" s="743">
        <f t="shared" si="670"/>
        <v>-0.61419999999995412</v>
      </c>
      <c r="AF169" s="743">
        <f t="shared" si="670"/>
        <v>0.44580000000000553</v>
      </c>
      <c r="AG169" s="743">
        <f t="shared" si="670"/>
        <v>-9.7599999999985698E-2</v>
      </c>
      <c r="AH169" s="743">
        <f t="shared" si="670"/>
        <v>8.300000000002683E-2</v>
      </c>
      <c r="AI169" s="743">
        <f t="shared" si="670"/>
        <v>-3.6700000000038813E-2</v>
      </c>
      <c r="AJ169" s="743">
        <f t="shared" si="670"/>
        <v>0.34730000000000416</v>
      </c>
      <c r="AK169" s="743">
        <f t="shared" si="670"/>
        <v>-0.47830000000000439</v>
      </c>
      <c r="AL169" s="743">
        <f t="shared" si="670"/>
        <v>0.62009999999999366</v>
      </c>
      <c r="AM169" s="743">
        <f t="shared" ref="AM169:BI169" si="671">AM170-AM163-AM166</f>
        <v>0.20270000000002142</v>
      </c>
      <c r="AN169" s="743">
        <f t="shared" si="671"/>
        <v>0.71440000000004034</v>
      </c>
      <c r="AO169" s="743">
        <f t="shared" si="671"/>
        <v>-0.6727000000000487</v>
      </c>
      <c r="AP169" s="743">
        <f t="shared" si="671"/>
        <v>0.58469999999995537</v>
      </c>
      <c r="AQ169" s="743">
        <f t="shared" si="671"/>
        <v>0.39780000000000371</v>
      </c>
      <c r="AR169" s="743">
        <f t="shared" si="671"/>
        <v>0.44840000000002078</v>
      </c>
      <c r="AS169" s="743">
        <f t="shared" si="671"/>
        <v>-0.66370000000004836</v>
      </c>
      <c r="AT169" s="743">
        <f t="shared" si="671"/>
        <v>0.58460000000003731</v>
      </c>
      <c r="AU169" s="743">
        <f t="shared" si="671"/>
        <v>0.69119999999996651</v>
      </c>
      <c r="AV169" s="743">
        <f t="shared" si="671"/>
        <v>-0.24629999999997665</v>
      </c>
      <c r="AW169" s="743">
        <f t="shared" si="671"/>
        <v>-0.86289999999999623</v>
      </c>
      <c r="AX169" s="743">
        <f t="shared" si="671"/>
        <v>1.0144000000000659</v>
      </c>
      <c r="AY169" s="743">
        <f t="shared" si="671"/>
        <v>0.3452999999999804</v>
      </c>
      <c r="AZ169" s="743">
        <f t="shared" si="671"/>
        <v>0.1641000000000048</v>
      </c>
      <c r="BA169" s="743">
        <f t="shared" si="671"/>
        <v>-1.1764999999999759</v>
      </c>
      <c r="BB169" s="743">
        <f t="shared" si="671"/>
        <v>1.3099000000000274</v>
      </c>
      <c r="BC169" s="743">
        <f t="shared" si="671"/>
        <v>0.67249999999998522</v>
      </c>
      <c r="BD169" s="743">
        <f t="shared" si="671"/>
        <v>-6.5100000000029468E-2</v>
      </c>
      <c r="BE169" s="743">
        <f t="shared" si="671"/>
        <v>-1.5578000000000287</v>
      </c>
      <c r="BF169" s="743">
        <f t="shared" si="671"/>
        <v>1.8814000000000135</v>
      </c>
      <c r="BG169" s="743">
        <f t="shared" si="671"/>
        <v>1.4483999999999639</v>
      </c>
      <c r="BH169" s="743">
        <f t="shared" si="671"/>
        <v>-1.0120000000000005</v>
      </c>
      <c r="BI169" s="743">
        <f t="shared" si="671"/>
        <v>-2.2283999999999793</v>
      </c>
      <c r="BJ169" s="743">
        <f t="shared" ref="BJ169:BR169" si="672">BJ170-BJ163-BJ166</f>
        <v>2.0142999999999773</v>
      </c>
      <c r="BK169" s="743">
        <f t="shared" si="672"/>
        <v>0.34830000000000894</v>
      </c>
      <c r="BL169" s="743">
        <f t="shared" si="672"/>
        <v>-0.79870000000003927</v>
      </c>
      <c r="BM169" s="743">
        <f t="shared" si="672"/>
        <v>-1.0962000000000103</v>
      </c>
      <c r="BN169" s="743">
        <f t="shared" si="672"/>
        <v>1.1272000000000588</v>
      </c>
      <c r="BO169" s="743">
        <f t="shared" si="672"/>
        <v>0.57640000000003511</v>
      </c>
      <c r="BP169" s="743">
        <f t="shared" si="672"/>
        <v>-0.48910000000000764</v>
      </c>
      <c r="BQ169" s="743">
        <f t="shared" si="672"/>
        <v>-1.1433000000000106</v>
      </c>
      <c r="BR169" s="743">
        <f t="shared" si="672"/>
        <v>0.43699999999999761</v>
      </c>
      <c r="BS169" s="743">
        <f t="shared" ref="BS169:BZ169" si="673">BS170-BS163-BS166</f>
        <v>0.79740000000003874</v>
      </c>
      <c r="BT169" s="743">
        <f t="shared" si="673"/>
        <v>0.11169999999999902</v>
      </c>
      <c r="BU169" s="743">
        <f t="shared" si="673"/>
        <v>-1.216200000000029</v>
      </c>
      <c r="BV169" s="743">
        <f t="shared" si="673"/>
        <v>-4.9899999999993838E-2</v>
      </c>
      <c r="BW169" s="743">
        <f t="shared" si="673"/>
        <v>12.077299999999909</v>
      </c>
      <c r="BX169" s="743">
        <f t="shared" si="673"/>
        <v>18.146299999999925</v>
      </c>
      <c r="BY169" s="743">
        <f t="shared" si="673"/>
        <v>9.557199999999952</v>
      </c>
      <c r="BZ169" s="743">
        <f t="shared" si="673"/>
        <v>3.7883999999998963</v>
      </c>
      <c r="CA169" s="743">
        <f t="shared" ref="CA169:CF169" si="674">CA170-CA163-CA166</f>
        <v>3.3060999999999439</v>
      </c>
      <c r="CB169" s="743">
        <f t="shared" si="674"/>
        <v>9.5098999999998313</v>
      </c>
      <c r="CC169" s="743">
        <f t="shared" si="674"/>
        <v>10.378199999999921</v>
      </c>
      <c r="CD169" s="743">
        <f t="shared" si="674"/>
        <v>6.578299999999885</v>
      </c>
      <c r="CE169" s="743">
        <f t="shared" si="674"/>
        <v>24.42399999999985</v>
      </c>
      <c r="CF169" s="743">
        <f t="shared" si="674"/>
        <v>29.681899999999857</v>
      </c>
      <c r="CG169" s="743">
        <f t="shared" ref="CG169:CL169" si="675">CG170-CG163-CG166</f>
        <v>32.266999999999868</v>
      </c>
      <c r="CH169" s="743">
        <f t="shared" si="675"/>
        <v>37.70399999999988</v>
      </c>
      <c r="CI169" s="743">
        <f t="shared" si="675"/>
        <v>42.37219999999995</v>
      </c>
      <c r="CJ169" s="743">
        <f t="shared" si="675"/>
        <v>47.882999999999967</v>
      </c>
      <c r="CK169" s="743">
        <f t="shared" si="675"/>
        <v>61.795899999999889</v>
      </c>
      <c r="CL169" s="743">
        <f t="shared" si="675"/>
        <v>67.717299999999952</v>
      </c>
      <c r="CM169" s="743">
        <f t="shared" ref="CM169:CT169" si="676">CM170-CM163-CM166</f>
        <v>63.170199999999952</v>
      </c>
      <c r="CN169" s="743">
        <f t="shared" si="676"/>
        <v>59.085799999999935</v>
      </c>
      <c r="CO169" s="743">
        <f t="shared" si="676"/>
        <v>70.228599999999901</v>
      </c>
      <c r="CP169" s="743">
        <f t="shared" si="676"/>
        <v>76.599799999999888</v>
      </c>
      <c r="CQ169" s="743">
        <f t="shared" si="676"/>
        <v>73.145399999999867</v>
      </c>
      <c r="CR169" s="743">
        <f t="shared" si="676"/>
        <v>85.888899999999794</v>
      </c>
      <c r="CS169" s="743">
        <f t="shared" si="676"/>
        <v>85.498999999999839</v>
      </c>
      <c r="CT169" s="743">
        <f t="shared" si="676"/>
        <v>97.166499999999857</v>
      </c>
      <c r="CU169" s="743">
        <f t="shared" ref="CU169:CX169" si="677">CU170-CU163-CU166</f>
        <v>97.254099999999923</v>
      </c>
      <c r="CV169" s="743">
        <f t="shared" si="677"/>
        <v>99.359799999999879</v>
      </c>
      <c r="CW169" s="743">
        <f t="shared" si="677"/>
        <v>105.03021579999988</v>
      </c>
      <c r="CX169" s="743">
        <f t="shared" si="677"/>
        <v>110.07195050009993</v>
      </c>
      <c r="CY169" s="743">
        <f t="shared" ref="CY169:DB169" si="678">CY170-CY163-CY166</f>
        <v>113.87578011865075</v>
      </c>
      <c r="CZ169" s="743">
        <f t="shared" si="678"/>
        <v>118.62385954369488</v>
      </c>
      <c r="DA169" s="743">
        <f t="shared" si="678"/>
        <v>122.16182618072882</v>
      </c>
      <c r="DB169" s="743">
        <f t="shared" si="678"/>
        <v>125.39408528519509</v>
      </c>
      <c r="DC169" s="743">
        <f t="shared" ref="DC169:DF169" si="679">DC170-DC163-DC166</f>
        <v>130.24352579570478</v>
      </c>
      <c r="DD169" s="743">
        <f t="shared" si="679"/>
        <v>134.57971915691127</v>
      </c>
      <c r="DE169" s="743">
        <f t="shared" si="679"/>
        <v>138.83768314250386</v>
      </c>
      <c r="DF169" s="743">
        <f t="shared" si="679"/>
        <v>142.39413635630166</v>
      </c>
    </row>
    <row r="170" spans="1:110" s="736" customFormat="1" ht="12.75" hidden="1" customHeight="1">
      <c r="A170" s="702" t="str">
        <f>"Q" &amp; ROW(InputQ!A9)</f>
        <v>Q9</v>
      </c>
      <c r="B170" s="2014" t="s">
        <v>158</v>
      </c>
      <c r="C170" s="3173"/>
      <c r="D170" s="783"/>
      <c r="E170" s="1613" t="s">
        <v>1419</v>
      </c>
      <c r="F170" s="785"/>
      <c r="G170" s="836">
        <f>InputQ!G9/1000</f>
        <v>187.71689999999998</v>
      </c>
      <c r="H170" s="836">
        <f>InputQ!H9/1000</f>
        <v>191.60239999999999</v>
      </c>
      <c r="I170" s="836">
        <f>InputQ!I9/1000</f>
        <v>186.30520000000001</v>
      </c>
      <c r="J170" s="836">
        <f>InputQ!J9/1000</f>
        <v>190.17699999999999</v>
      </c>
      <c r="K170" s="836">
        <f>InputQ!K9/1000</f>
        <v>190.90549999999999</v>
      </c>
      <c r="L170" s="836">
        <f>InputQ!L9/1000</f>
        <v>198.75729999999999</v>
      </c>
      <c r="M170" s="836">
        <f>InputQ!M9/1000</f>
        <v>193.81049999999999</v>
      </c>
      <c r="N170" s="836">
        <f>InputQ!N9/1000</f>
        <v>203.54750000000001</v>
      </c>
      <c r="O170" s="836">
        <f>InputQ!O9/1000</f>
        <v>212.4408</v>
      </c>
      <c r="P170" s="836">
        <f>InputQ!P9/1000</f>
        <v>225.53570000000002</v>
      </c>
      <c r="Q170" s="836">
        <f>InputQ!Q9/1000</f>
        <v>225.94229999999999</v>
      </c>
      <c r="R170" s="836">
        <f>InputQ!R9/1000</f>
        <v>235.28450000000001</v>
      </c>
      <c r="S170" s="836">
        <f>InputQ!S9/1000</f>
        <v>236.95020000000002</v>
      </c>
      <c r="T170" s="836">
        <f>InputQ!T9/1000</f>
        <v>240.9932</v>
      </c>
      <c r="U170" s="836">
        <f>InputQ!U9/1000</f>
        <v>245.9282</v>
      </c>
      <c r="V170" s="836">
        <f>InputQ!V9/1000</f>
        <v>254.2525</v>
      </c>
      <c r="W170" s="836">
        <f>InputQ!W9/1000</f>
        <v>251.52860000000001</v>
      </c>
      <c r="X170" s="836">
        <f>InputQ!X9/1000</f>
        <v>258.8931</v>
      </c>
      <c r="Y170" s="836">
        <f>InputQ!Y9/1000</f>
        <v>265.5016</v>
      </c>
      <c r="Z170" s="836">
        <f>InputQ!Z9/1000</f>
        <v>268.78959999999995</v>
      </c>
      <c r="AA170" s="836">
        <f>InputQ!AA9/1000</f>
        <v>275.73079999999999</v>
      </c>
      <c r="AB170" s="836">
        <f>InputQ!AB9/1000</f>
        <v>289.49109999999996</v>
      </c>
      <c r="AC170" s="836">
        <f>InputQ!AC9/1000</f>
        <v>299.33540000000005</v>
      </c>
      <c r="AD170" s="836">
        <f>InputQ!AD9/1000</f>
        <v>305.00479999999999</v>
      </c>
      <c r="AE170" s="836">
        <f>InputQ!AE9/1000</f>
        <v>295.61720000000003</v>
      </c>
      <c r="AF170" s="836">
        <f>InputQ!AF9/1000</f>
        <v>291.70609999999999</v>
      </c>
      <c r="AG170" s="836">
        <f>InputQ!AG9/1000</f>
        <v>294.43690000000004</v>
      </c>
      <c r="AH170" s="836">
        <f>InputQ!AH9/1000</f>
        <v>298.62470000000002</v>
      </c>
      <c r="AI170" s="836">
        <f>InputQ!AI9/1000</f>
        <v>300.76279999999997</v>
      </c>
      <c r="AJ170" s="836">
        <f>InputQ!AJ9/1000</f>
        <v>303.1019</v>
      </c>
      <c r="AK170" s="836">
        <f>InputQ!AK9/1000</f>
        <v>293.4357</v>
      </c>
      <c r="AL170" s="836">
        <f>InputQ!AL9/1000</f>
        <v>298.31259999999997</v>
      </c>
      <c r="AM170" s="836">
        <f>InputQ!AM9/1000</f>
        <v>306.52570000000003</v>
      </c>
      <c r="AN170" s="836">
        <f>InputQ!AN9/1000</f>
        <v>308.95820000000003</v>
      </c>
      <c r="AO170" s="836">
        <f>InputQ!AO9/1000</f>
        <v>312.85659999999996</v>
      </c>
      <c r="AP170" s="836">
        <f>InputQ!AP9/1000</f>
        <v>319.61659999999995</v>
      </c>
      <c r="AQ170" s="836">
        <f>InputQ!AQ9/1000</f>
        <v>330.56549999999999</v>
      </c>
      <c r="AR170" s="836">
        <f>InputQ!AR9/1000</f>
        <v>347.11670000000004</v>
      </c>
      <c r="AS170" s="836">
        <f>InputQ!AS9/1000</f>
        <v>343.9468</v>
      </c>
      <c r="AT170" s="836">
        <f>InputQ!AT9/1000</f>
        <v>348.81870000000004</v>
      </c>
      <c r="AU170" s="836">
        <f>InputQ!AU9/1000</f>
        <v>350.13200000000001</v>
      </c>
      <c r="AV170" s="836">
        <f>InputQ!AV9/1000</f>
        <v>361.06900000000002</v>
      </c>
      <c r="AW170" s="836">
        <f>InputQ!AW9/1000</f>
        <v>373.17450000000002</v>
      </c>
      <c r="AX170" s="836">
        <f>InputQ!AX9/1000</f>
        <v>376.79720000000003</v>
      </c>
      <c r="AY170" s="836">
        <f>InputQ!AY9/1000</f>
        <v>390.65009999999995</v>
      </c>
      <c r="AZ170" s="836">
        <f>InputQ!AZ9/1000</f>
        <v>390.01420000000002</v>
      </c>
      <c r="BA170" s="836">
        <f>InputQ!BA9/1000</f>
        <v>399.0394</v>
      </c>
      <c r="BB170" s="836">
        <f>InputQ!BB9/1000</f>
        <v>414.745</v>
      </c>
      <c r="BC170" s="836">
        <f>InputQ!BC9/1000</f>
        <v>407.67579999999998</v>
      </c>
      <c r="BD170" s="836">
        <f>InputQ!BD9/1000</f>
        <v>414.0077</v>
      </c>
      <c r="BE170" s="836">
        <f>InputQ!BE9/1000</f>
        <v>417.6884</v>
      </c>
      <c r="BF170" s="836">
        <f>InputQ!BF9/1000</f>
        <v>430.3433</v>
      </c>
      <c r="BG170" s="836">
        <f>InputQ!BG9/1000</f>
        <v>438.96690000000001</v>
      </c>
      <c r="BH170" s="836">
        <f>InputQ!BH9/1000</f>
        <v>430.36590000000001</v>
      </c>
      <c r="BI170" s="836">
        <f>InputQ!BI9/1000</f>
        <v>426.50400000000002</v>
      </c>
      <c r="BJ170" s="836">
        <f>InputQ!BJ9/1000</f>
        <v>400.53479999999996</v>
      </c>
      <c r="BK170" s="836">
        <f>InputQ!BK9/1000</f>
        <v>365.6456</v>
      </c>
      <c r="BL170" s="836">
        <f>InputQ!BL9/1000</f>
        <v>355.56009999999998</v>
      </c>
      <c r="BM170" s="836">
        <f>InputQ!BM9/1000</f>
        <v>364.00459999999998</v>
      </c>
      <c r="BN170" s="836">
        <f>InputQ!BN9/1000</f>
        <v>367.97970000000004</v>
      </c>
      <c r="BO170" s="836">
        <f>InputQ!BO9/1000</f>
        <v>381.03620000000001</v>
      </c>
      <c r="BP170" s="836">
        <f>InputQ!BP9/1000</f>
        <v>400.21679999999998</v>
      </c>
      <c r="BQ170" s="836">
        <f>InputQ!BQ9/1000</f>
        <v>410.92540000000002</v>
      </c>
      <c r="BR170" s="836">
        <f>InputQ!BR9/1000</f>
        <v>426.84359999999998</v>
      </c>
      <c r="BS170" s="836">
        <f>InputQ!BS9/1000</f>
        <v>426.25690000000003</v>
      </c>
      <c r="BT170" s="836">
        <f>InputQ!BT9/1000</f>
        <v>427.25509999999997</v>
      </c>
      <c r="BU170" s="836">
        <f>InputQ!BU9/1000</f>
        <v>440.56659999999999</v>
      </c>
      <c r="BV170" s="836">
        <f>InputQ!BV9/1000</f>
        <v>425.62880000000001</v>
      </c>
      <c r="BW170" s="3166">
        <f t="shared" ref="BW170:CD170" si="680">+BV170*(1+BW183/100)</f>
        <v>437.75599999999991</v>
      </c>
      <c r="BX170" s="3166">
        <f t="shared" si="680"/>
        <v>443.82499999999993</v>
      </c>
      <c r="BY170" s="3166">
        <f t="shared" si="680"/>
        <v>435.23589999999996</v>
      </c>
      <c r="BZ170" s="3166">
        <f t="shared" si="680"/>
        <v>429.4670999999999</v>
      </c>
      <c r="CA170" s="3166">
        <f>+BZ170*(1+CA183/100)</f>
        <v>428.98479999999995</v>
      </c>
      <c r="CB170" s="3166">
        <f>+CA170*(1+CB183/100)</f>
        <v>435.18859999999984</v>
      </c>
      <c r="CC170" s="3166">
        <f t="shared" si="680"/>
        <v>436.05689999999993</v>
      </c>
      <c r="CD170" s="3166">
        <f t="shared" si="680"/>
        <v>432.25699999999989</v>
      </c>
      <c r="CE170" s="3166">
        <f>+CD170*(1+CE183/100)</f>
        <v>450.10269999999986</v>
      </c>
      <c r="CF170" s="3166">
        <f>+CE170*(1+CF183/100)</f>
        <v>455.36059999999986</v>
      </c>
      <c r="CG170" s="3166">
        <f t="shared" ref="CG170:CL170" si="681">+CF170*(1+CG183/100)</f>
        <v>457.94569999999987</v>
      </c>
      <c r="CH170" s="3166">
        <f t="shared" si="681"/>
        <v>463.38269999999989</v>
      </c>
      <c r="CI170" s="3166">
        <f>+CH170*(1+CI183/100)</f>
        <v>468.05089999999996</v>
      </c>
      <c r="CJ170" s="3166">
        <f>+CI170*(1+CJ183/100)</f>
        <v>473.56169999999997</v>
      </c>
      <c r="CK170" s="3166">
        <f t="shared" si="681"/>
        <v>487.4745999999999</v>
      </c>
      <c r="CL170" s="3166">
        <f t="shared" si="681"/>
        <v>493.39599999999996</v>
      </c>
      <c r="CM170" s="3166">
        <f t="shared" ref="CM170:CV170" si="682">+CL170*(1+CM183/100)</f>
        <v>488.84889999999996</v>
      </c>
      <c r="CN170" s="3166">
        <f t="shared" si="682"/>
        <v>484.76449999999994</v>
      </c>
      <c r="CO170" s="3166">
        <f t="shared" si="682"/>
        <v>495.90729999999991</v>
      </c>
      <c r="CP170" s="3166">
        <f t="shared" si="682"/>
        <v>502.27849999999989</v>
      </c>
      <c r="CQ170" s="3166">
        <f t="shared" si="682"/>
        <v>498.82409999999987</v>
      </c>
      <c r="CR170" s="3166">
        <f t="shared" si="682"/>
        <v>511.5675999999998</v>
      </c>
      <c r="CS170" s="3166">
        <f t="shared" si="682"/>
        <v>511.17769999999985</v>
      </c>
      <c r="CT170" s="3166">
        <f t="shared" si="682"/>
        <v>522.84519999999986</v>
      </c>
      <c r="CU170" s="3166">
        <f t="shared" ref="CU170" si="683">+CT170*(1+CU183/100)</f>
        <v>522.93279999999993</v>
      </c>
      <c r="CV170" s="3166">
        <f t="shared" si="682"/>
        <v>525.03849999999989</v>
      </c>
      <c r="CW170" s="3166">
        <f t="shared" ref="CW170" si="684">+CV170*(1+CW183/100)</f>
        <v>530.70891579999989</v>
      </c>
      <c r="CX170" s="3166">
        <f t="shared" ref="CX170" si="685">+CW170*(1+CX183/100)</f>
        <v>535.75065050009994</v>
      </c>
      <c r="CY170" s="3166">
        <f t="shared" ref="CY170" si="686">+CX170*(1+CY183/100)</f>
        <v>539.55448011865076</v>
      </c>
      <c r="CZ170" s="3166">
        <f t="shared" ref="CZ170" si="687">+CY170*(1+CZ183/100)</f>
        <v>544.30255954369488</v>
      </c>
      <c r="DA170" s="3166">
        <f t="shared" ref="DA170" si="688">+CZ170*(1+DA183/100)</f>
        <v>547.84052618072883</v>
      </c>
      <c r="DB170" s="3166">
        <f t="shared" ref="DB170" si="689">+DA170*(1+DB183/100)</f>
        <v>551.0727852851951</v>
      </c>
      <c r="DC170" s="3166">
        <f t="shared" ref="DC170" si="690">+DB170*(1+DC183/100)</f>
        <v>555.92222579570478</v>
      </c>
      <c r="DD170" s="3166">
        <f t="shared" ref="DD170" si="691">+DC170*(1+DD183/100)</f>
        <v>560.25841915691126</v>
      </c>
      <c r="DE170" s="3166">
        <f t="shared" ref="DE170" si="692">+DD170*(1+DE183/100)</f>
        <v>564.51638314250386</v>
      </c>
      <c r="DF170" s="3166">
        <f t="shared" ref="DF170" si="693">+DE170*(1+DF183/100)</f>
        <v>568.07283635630165</v>
      </c>
    </row>
    <row r="171" spans="1:110" s="736" customFormat="1" ht="12.75" customHeight="1">
      <c r="A171" s="701" t="str">
        <f>"Q" &amp; ROW(InputQ!A9)</f>
        <v>Q9</v>
      </c>
      <c r="C171" s="704"/>
      <c r="D171" s="705"/>
      <c r="E171" s="737" t="s">
        <v>1419</v>
      </c>
      <c r="F171" s="737"/>
      <c r="G171" s="817">
        <f>InputQ!G9/1000</f>
        <v>187.71689999999998</v>
      </c>
      <c r="H171" s="817">
        <f>InputQ!H9/1000</f>
        <v>191.60239999999999</v>
      </c>
      <c r="I171" s="817">
        <f>InputQ!I9/1000</f>
        <v>186.30520000000001</v>
      </c>
      <c r="J171" s="817">
        <f>InputQ!J9/1000</f>
        <v>190.17699999999999</v>
      </c>
      <c r="K171" s="817">
        <f>InputQ!K9/1000</f>
        <v>190.90549999999999</v>
      </c>
      <c r="L171" s="817">
        <f>InputQ!L9/1000</f>
        <v>198.75729999999999</v>
      </c>
      <c r="M171" s="817">
        <f>InputQ!M9/1000</f>
        <v>193.81049999999999</v>
      </c>
      <c r="N171" s="817">
        <f>InputQ!N9/1000</f>
        <v>203.54750000000001</v>
      </c>
      <c r="O171" s="817">
        <f>InputQ!O9/1000</f>
        <v>212.4408</v>
      </c>
      <c r="P171" s="817">
        <f>InputQ!P9/1000</f>
        <v>225.53570000000002</v>
      </c>
      <c r="Q171" s="817">
        <f>InputQ!Q9/1000</f>
        <v>225.94229999999999</v>
      </c>
      <c r="R171" s="817">
        <f>InputQ!R9/1000</f>
        <v>235.28450000000001</v>
      </c>
      <c r="S171" s="817">
        <f>InputQ!S9/1000</f>
        <v>236.95020000000002</v>
      </c>
      <c r="T171" s="817">
        <f>InputQ!T9/1000</f>
        <v>240.9932</v>
      </c>
      <c r="U171" s="817">
        <f>InputQ!U9/1000</f>
        <v>245.9282</v>
      </c>
      <c r="V171" s="817">
        <f>InputQ!V9/1000</f>
        <v>254.2525</v>
      </c>
      <c r="W171" s="817">
        <f>InputQ!W9/1000</f>
        <v>251.52860000000001</v>
      </c>
      <c r="X171" s="817">
        <f>InputQ!X9/1000</f>
        <v>258.8931</v>
      </c>
      <c r="Y171" s="817">
        <f>InputQ!Y9/1000</f>
        <v>265.5016</v>
      </c>
      <c r="Z171" s="817">
        <f>InputQ!Z9/1000</f>
        <v>268.78959999999995</v>
      </c>
      <c r="AA171" s="817">
        <f>InputQ!AA9/1000</f>
        <v>275.73079999999999</v>
      </c>
      <c r="AB171" s="817">
        <f>InputQ!AB9/1000</f>
        <v>289.49109999999996</v>
      </c>
      <c r="AC171" s="817">
        <f>InputQ!AC9/1000</f>
        <v>299.33540000000005</v>
      </c>
      <c r="AD171" s="817">
        <f>InputQ!AD9/1000</f>
        <v>305.00479999999999</v>
      </c>
      <c r="AE171" s="817">
        <f>InputQ!AE9/1000</f>
        <v>295.61720000000003</v>
      </c>
      <c r="AF171" s="817">
        <f>InputQ!AF9/1000</f>
        <v>291.70609999999999</v>
      </c>
      <c r="AG171" s="817">
        <f>InputQ!AG9/1000</f>
        <v>294.43690000000004</v>
      </c>
      <c r="AH171" s="817">
        <f>InputQ!AH9/1000</f>
        <v>298.62470000000002</v>
      </c>
      <c r="AI171" s="817">
        <f>InputQ!AI9/1000</f>
        <v>300.76279999999997</v>
      </c>
      <c r="AJ171" s="817">
        <f>InputQ!AJ9/1000</f>
        <v>303.1019</v>
      </c>
      <c r="AK171" s="817">
        <f>InputQ!AK9/1000</f>
        <v>293.4357</v>
      </c>
      <c r="AL171" s="817">
        <f>InputQ!AL9/1000</f>
        <v>298.31259999999997</v>
      </c>
      <c r="AM171" s="817">
        <f>InputQ!AM9/1000</f>
        <v>306.52570000000003</v>
      </c>
      <c r="AN171" s="817">
        <f>InputQ!AN9/1000</f>
        <v>308.95820000000003</v>
      </c>
      <c r="AO171" s="817">
        <f>InputQ!AO9/1000</f>
        <v>312.85659999999996</v>
      </c>
      <c r="AP171" s="817">
        <f>InputQ!AP9/1000</f>
        <v>319.61659999999995</v>
      </c>
      <c r="AQ171" s="817">
        <f>InputQ!AQ9/1000</f>
        <v>330.56549999999999</v>
      </c>
      <c r="AR171" s="817">
        <f>InputQ!AR9/1000</f>
        <v>347.11670000000004</v>
      </c>
      <c r="AS171" s="817">
        <f>InputQ!AS9/1000</f>
        <v>343.9468</v>
      </c>
      <c r="AT171" s="817">
        <f>InputQ!AT9/1000</f>
        <v>348.81870000000004</v>
      </c>
      <c r="AU171" s="817">
        <f>InputQ!AU9/1000</f>
        <v>350.13200000000001</v>
      </c>
      <c r="AV171" s="817">
        <f>InputQ!AV9/1000</f>
        <v>361.06900000000002</v>
      </c>
      <c r="AW171" s="817">
        <f>InputQ!AW9/1000</f>
        <v>373.17450000000002</v>
      </c>
      <c r="AX171" s="817">
        <f>InputQ!AX9/1000</f>
        <v>376.79720000000003</v>
      </c>
      <c r="AY171" s="817">
        <f>InputQ!AY9/1000</f>
        <v>390.65009999999995</v>
      </c>
      <c r="AZ171" s="817">
        <f>InputQ!AZ9/1000</f>
        <v>390.01420000000002</v>
      </c>
      <c r="BA171" s="817">
        <f>InputQ!BA9/1000</f>
        <v>399.0394</v>
      </c>
      <c r="BB171" s="817">
        <f>InputQ!BB9/1000</f>
        <v>414.745</v>
      </c>
      <c r="BC171" s="817">
        <f>InputQ!BC9/1000</f>
        <v>407.67579999999998</v>
      </c>
      <c r="BD171" s="817">
        <f>InputQ!BD9/1000</f>
        <v>414.0077</v>
      </c>
      <c r="BE171" s="817">
        <f>InputQ!BE9/1000</f>
        <v>417.6884</v>
      </c>
      <c r="BF171" s="817">
        <f>InputQ!BF9/1000</f>
        <v>430.3433</v>
      </c>
      <c r="BG171" s="817">
        <f>InputQ!BG9/1000</f>
        <v>438.96690000000001</v>
      </c>
      <c r="BH171" s="817">
        <f>InputQ!BH9/1000</f>
        <v>430.36590000000001</v>
      </c>
      <c r="BI171" s="817">
        <f>InputQ!BI9/1000</f>
        <v>426.50400000000002</v>
      </c>
      <c r="BJ171" s="817">
        <f>InputQ!BJ9/1000</f>
        <v>400.53479999999996</v>
      </c>
      <c r="BK171" s="817">
        <f>InputQ!BK9/1000</f>
        <v>365.6456</v>
      </c>
      <c r="BL171" s="817">
        <f>InputQ!BL9/1000</f>
        <v>355.56009999999998</v>
      </c>
      <c r="BM171" s="817">
        <f>InputQ!BM9/1000</f>
        <v>364.00459999999998</v>
      </c>
      <c r="BN171" s="817">
        <f>InputQ!BN9/1000</f>
        <v>367.97970000000004</v>
      </c>
      <c r="BO171" s="817">
        <f>InputQ!BO9/1000</f>
        <v>381.03620000000001</v>
      </c>
      <c r="BP171" s="817">
        <f>InputQ!BP9/1000</f>
        <v>400.21679999999998</v>
      </c>
      <c r="BQ171" s="817">
        <f>InputQ!BQ9/1000</f>
        <v>410.92540000000002</v>
      </c>
      <c r="BR171" s="817">
        <f>InputQ!BR9/1000</f>
        <v>426.84359999999998</v>
      </c>
      <c r="BS171" s="817">
        <f>InputQ!BS9/1000</f>
        <v>426.25690000000003</v>
      </c>
      <c r="BT171" s="817">
        <f>InputQ!BT9/1000</f>
        <v>427.25509999999997</v>
      </c>
      <c r="BU171" s="817">
        <f>InputQ!BU9/1000</f>
        <v>440.56659999999999</v>
      </c>
      <c r="BV171" s="817">
        <f>InputQ!BV9/1000</f>
        <v>425.62880000000001</v>
      </c>
      <c r="BW171" s="817">
        <f>InputQ!BW9/1000</f>
        <v>437.75599999999997</v>
      </c>
      <c r="BX171" s="817">
        <f>InputQ!BX9/1000</f>
        <v>443.82499999999999</v>
      </c>
      <c r="BY171" s="817">
        <f>InputQ!BY9/1000</f>
        <v>435.23590000000002</v>
      </c>
      <c r="BZ171" s="817">
        <f>InputQ!BZ9/1000</f>
        <v>429.46709999999996</v>
      </c>
      <c r="CA171" s="817">
        <f>InputQ!CA9/1000</f>
        <v>428.98480000000001</v>
      </c>
      <c r="CB171" s="817">
        <f>InputQ!CB9/1000</f>
        <v>435.18859999999995</v>
      </c>
      <c r="CC171" s="817">
        <f>InputQ!CC9/1000</f>
        <v>436.05690000000004</v>
      </c>
      <c r="CD171" s="817">
        <f>InputQ!CD9/1000</f>
        <v>432.25700000000001</v>
      </c>
      <c r="CE171" s="817">
        <f>InputQ!CE9/1000</f>
        <v>450.10270000000003</v>
      </c>
      <c r="CF171" s="817">
        <f>InputQ!CF9/1000</f>
        <v>455.36059999999998</v>
      </c>
      <c r="CG171" s="817">
        <f>InputQ!CG9/1000</f>
        <v>457.94569999999999</v>
      </c>
      <c r="CH171" s="817">
        <f>InputQ!CH9/1000</f>
        <v>463.3827</v>
      </c>
      <c r="CI171" s="817">
        <f>InputQ!CI9/1000</f>
        <v>468.05090000000001</v>
      </c>
      <c r="CJ171" s="817">
        <f>InputQ!CJ9/1000</f>
        <v>473.56170000000003</v>
      </c>
      <c r="CK171" s="817">
        <f>InputQ!CK9/1000</f>
        <v>487.47459999999995</v>
      </c>
      <c r="CL171" s="817">
        <f>InputQ!CL9/1000</f>
        <v>493.39600000000002</v>
      </c>
      <c r="CM171" s="817">
        <f>InputQ!CM9/1000</f>
        <v>488.84890000000001</v>
      </c>
      <c r="CN171" s="817">
        <f>InputQ!CN9/1000</f>
        <v>484.7645</v>
      </c>
      <c r="CO171" s="817">
        <f>InputQ!CO9/1000</f>
        <v>495.90729999999996</v>
      </c>
      <c r="CP171" s="817">
        <f>InputQ!CP9/1000</f>
        <v>502.27850000000001</v>
      </c>
      <c r="CQ171" s="817">
        <f>InputQ!CQ9/1000</f>
        <v>498.82409999999999</v>
      </c>
      <c r="CR171" s="817">
        <f>InputQ!CR9/1000</f>
        <v>511.56759999999997</v>
      </c>
      <c r="CS171" s="817">
        <f>InputQ!CS9/1000</f>
        <v>511.17770000000002</v>
      </c>
      <c r="CT171" s="817">
        <f>InputQ!CT9/1000</f>
        <v>522.84519999999998</v>
      </c>
      <c r="CU171" s="817">
        <f>InputQ!CU9/1000</f>
        <v>522.93280000000004</v>
      </c>
      <c r="CV171" s="817">
        <f>InputQ!CV9/1000</f>
        <v>525.0385</v>
      </c>
      <c r="CW171" s="1643">
        <f t="shared" ref="CW171:CX171" si="694">IF(UPPER($F184)="N",CV171*(1+CW183/100),CW170)</f>
        <v>530.7089158</v>
      </c>
      <c r="CX171" s="1643">
        <f t="shared" si="694"/>
        <v>535.75065050010005</v>
      </c>
      <c r="CY171" s="1643">
        <f t="shared" ref="CY171" si="695">IF(UPPER($F184)="N",CX171*(1+CY183/100),CY170)</f>
        <v>539.55448011865087</v>
      </c>
      <c r="CZ171" s="1643">
        <f t="shared" ref="CZ171" si="696">IF(UPPER($F184)="N",CY171*(1+CZ183/100),CZ170)</f>
        <v>544.302559543695</v>
      </c>
      <c r="DA171" s="1643">
        <f t="shared" ref="DA171" si="697">IF(UPPER($F184)="N",CZ171*(1+DA183/100),DA170)</f>
        <v>547.84052618072894</v>
      </c>
      <c r="DB171" s="1643">
        <f t="shared" ref="DB171" si="698">IF(UPPER($F184)="N",DA171*(1+DB183/100),DB170)</f>
        <v>551.07278528519521</v>
      </c>
      <c r="DC171" s="1643">
        <f t="shared" ref="DC171" si="699">IF(UPPER($F184)="N",DB171*(1+DC183/100),DC170)</f>
        <v>555.92222579570489</v>
      </c>
      <c r="DD171" s="1643">
        <f t="shared" ref="DD171" si="700">IF(UPPER($F184)="N",DC171*(1+DD183/100),DD170)</f>
        <v>560.25841915691137</v>
      </c>
      <c r="DE171" s="1643">
        <f t="shared" ref="DE171" si="701">IF(UPPER($F184)="N",DD171*(1+DE183/100),DE170)</f>
        <v>564.51638314250397</v>
      </c>
      <c r="DF171" s="1643">
        <f t="shared" ref="DF171" si="702">IF(UPPER($F184)="N",DE171*(1+DF183/100),DF170)</f>
        <v>568.07283635630176</v>
      </c>
    </row>
    <row r="172" spans="1:110" s="26" customFormat="1" ht="12.75">
      <c r="A172" s="701"/>
      <c r="B172" s="710"/>
      <c r="C172" s="724"/>
      <c r="D172" s="720"/>
      <c r="E172" s="721" t="s">
        <v>353</v>
      </c>
      <c r="F172" s="722"/>
      <c r="G172" s="1622"/>
      <c r="H172" s="1623"/>
      <c r="I172" s="1623"/>
      <c r="J172" s="1627">
        <f>SUM(G171:J171)</f>
        <v>755.80150000000003</v>
      </c>
      <c r="K172" s="1622"/>
      <c r="L172" s="1623"/>
      <c r="M172" s="1623"/>
      <c r="N172" s="1627">
        <f>SUM(K171:N171)</f>
        <v>787.02079999999989</v>
      </c>
      <c r="O172" s="1622"/>
      <c r="P172" s="1623"/>
      <c r="Q172" s="1623"/>
      <c r="R172" s="1627">
        <f>SUM(O171:R171)</f>
        <v>899.2032999999999</v>
      </c>
      <c r="S172" s="1622"/>
      <c r="T172" s="1623"/>
      <c r="U172" s="1623"/>
      <c r="V172" s="1627">
        <f>SUM(S171:V171)</f>
        <v>978.1241</v>
      </c>
      <c r="W172" s="1622"/>
      <c r="X172" s="1623"/>
      <c r="Y172" s="1623"/>
      <c r="Z172" s="1627">
        <f>SUM(W171:Z171)</f>
        <v>1044.7129</v>
      </c>
      <c r="AA172" s="1622"/>
      <c r="AB172" s="1623"/>
      <c r="AC172" s="1623"/>
      <c r="AD172" s="1627">
        <f>SUM(AA171:AD171)</f>
        <v>1169.5621000000001</v>
      </c>
      <c r="AE172" s="1622"/>
      <c r="AF172" s="1623"/>
      <c r="AG172" s="1623"/>
      <c r="AH172" s="1627">
        <f>SUM(AE171:AH171)</f>
        <v>1180.3849</v>
      </c>
      <c r="AI172" s="1622"/>
      <c r="AJ172" s="1623"/>
      <c r="AK172" s="1623"/>
      <c r="AL172" s="1627">
        <f>SUM(AI171:AL171)</f>
        <v>1195.6129999999998</v>
      </c>
      <c r="AM172" s="1622"/>
      <c r="AN172" s="1623"/>
      <c r="AO172" s="1623"/>
      <c r="AP172" s="1627">
        <f>SUM(AM171:AP171)</f>
        <v>1247.9571000000001</v>
      </c>
      <c r="AQ172" s="1622"/>
      <c r="AR172" s="1623"/>
      <c r="AS172" s="1623"/>
      <c r="AT172" s="1627">
        <f>SUM(AQ171:AT171)</f>
        <v>1370.4476999999999</v>
      </c>
      <c r="AU172" s="1622"/>
      <c r="AV172" s="1623"/>
      <c r="AW172" s="1623"/>
      <c r="AX172" s="1627">
        <f>SUM(AU171:AX171)</f>
        <v>1461.1727000000001</v>
      </c>
      <c r="AY172" s="1622"/>
      <c r="AZ172" s="1623"/>
      <c r="BA172" s="1623"/>
      <c r="BB172" s="1627">
        <f>SUM(AY171:BB171)</f>
        <v>1594.4486999999999</v>
      </c>
      <c r="BC172" s="1622"/>
      <c r="BD172" s="1623"/>
      <c r="BE172" s="1623"/>
      <c r="BF172" s="1627">
        <f>SUM(BC171:BF171)</f>
        <v>1669.7152000000001</v>
      </c>
      <c r="BG172" s="1622"/>
      <c r="BH172" s="1623"/>
      <c r="BI172" s="1623"/>
      <c r="BJ172" s="1627">
        <f>SUM(BG171:BJ171)</f>
        <v>1696.3715999999999</v>
      </c>
      <c r="BK172" s="1622"/>
      <c r="BL172" s="1623"/>
      <c r="BM172" s="1623"/>
      <c r="BN172" s="1627">
        <f>SUM(BK171:BN171)</f>
        <v>1453.19</v>
      </c>
      <c r="BO172" s="1622"/>
      <c r="BP172" s="1623"/>
      <c r="BQ172" s="1623"/>
      <c r="BR172" s="1627">
        <f>SUM(BO171:BR171)</f>
        <v>1619.0219999999999</v>
      </c>
      <c r="BS172" s="1622"/>
      <c r="BT172" s="1623"/>
      <c r="BU172" s="1623"/>
      <c r="BV172" s="1627">
        <f>SUM(BS171:BV171)</f>
        <v>1719.7073999999998</v>
      </c>
      <c r="BW172" s="1622"/>
      <c r="BX172" s="1623"/>
      <c r="BY172" s="1623"/>
      <c r="BZ172" s="1627">
        <f>SUM(BW171:BZ171)</f>
        <v>1746.2839999999997</v>
      </c>
      <c r="CA172" s="1622"/>
      <c r="CB172" s="1623"/>
      <c r="CC172" s="1623"/>
      <c r="CD172" s="1627">
        <f>SUM(CA171:CD171)</f>
        <v>1732.4873</v>
      </c>
      <c r="CE172" s="1622"/>
      <c r="CF172" s="1623"/>
      <c r="CG172" s="1623"/>
      <c r="CH172" s="1627">
        <f>SUM(CE171:CH171)</f>
        <v>1826.7917000000002</v>
      </c>
      <c r="CI172" s="1622"/>
      <c r="CJ172" s="1623"/>
      <c r="CK172" s="1623"/>
      <c r="CL172" s="1627">
        <f>SUM(CI171:CL171)</f>
        <v>1922.4831999999999</v>
      </c>
      <c r="CM172" s="1622"/>
      <c r="CN172" s="1623"/>
      <c r="CO172" s="1623"/>
      <c r="CP172" s="1627">
        <f>SUM(CM171:CP171)</f>
        <v>1971.7991999999999</v>
      </c>
      <c r="CQ172" s="1622"/>
      <c r="CR172" s="1623"/>
      <c r="CS172" s="1623"/>
      <c r="CT172" s="1627">
        <f>SUM(CQ171:CT171)</f>
        <v>2044.4145999999998</v>
      </c>
      <c r="CU172" s="1622"/>
      <c r="CV172" s="1623"/>
      <c r="CW172" s="1623"/>
      <c r="CX172" s="1627">
        <f>SUM(CU171:CX171)</f>
        <v>2114.4308663001002</v>
      </c>
      <c r="CY172" s="1622"/>
      <c r="CZ172" s="1623"/>
      <c r="DA172" s="1623"/>
      <c r="DB172" s="1627">
        <f>SUM(CY171:DB171)</f>
        <v>2182.7703511282698</v>
      </c>
      <c r="DC172" s="1622"/>
      <c r="DD172" s="1623"/>
      <c r="DE172" s="1623"/>
      <c r="DF172" s="1627">
        <f>SUM(DC171:DF171)</f>
        <v>2248.7698644514217</v>
      </c>
    </row>
    <row r="173" spans="1:110" s="736" customFormat="1" ht="12.75" customHeight="1">
      <c r="A173" s="701"/>
      <c r="B173" s="701"/>
      <c r="C173" s="706"/>
      <c r="D173" s="716"/>
      <c r="E173" s="1624" t="s">
        <v>136</v>
      </c>
      <c r="F173" s="716"/>
      <c r="G173" s="1625"/>
      <c r="H173" s="2916" t="s">
        <v>1694</v>
      </c>
      <c r="I173" s="2917">
        <f ca="1">+J173/J172*100</f>
        <v>99.977717694394613</v>
      </c>
      <c r="J173" s="1626">
        <f ca="1">OFFSET('VVP2'!$G$83,0,(COLUMN()-10)/4)</f>
        <v>755.63308999999992</v>
      </c>
      <c r="K173" s="1625"/>
      <c r="L173" s="2916" t="s">
        <v>1694</v>
      </c>
      <c r="M173" s="2917">
        <f ca="1">+N173/N172*100</f>
        <v>99.974149349038825</v>
      </c>
      <c r="N173" s="1626">
        <f ca="1">OFFSET('VVP2'!$G$83,0,(COLUMN()-10)/4)</f>
        <v>786.81735000000003</v>
      </c>
      <c r="O173" s="1625"/>
      <c r="P173" s="2916" t="s">
        <v>1694</v>
      </c>
      <c r="Q173" s="2917">
        <f ca="1">+R173/R172*100</f>
        <v>99.64576753666276</v>
      </c>
      <c r="R173" s="1626">
        <f ca="1">OFFSET('VVP2'!$G$83,0,(COLUMN()-10)/4)</f>
        <v>896.01803000000007</v>
      </c>
      <c r="S173" s="1625"/>
      <c r="T173" s="2916" t="s">
        <v>1694</v>
      </c>
      <c r="U173" s="2917">
        <f ca="1">+V173/V172*100</f>
        <v>99.791494760225206</v>
      </c>
      <c r="V173" s="1626">
        <f ca="1">OFFSET('VVP2'!$G$83,0,(COLUMN()-10)/4)</f>
        <v>976.08465999999999</v>
      </c>
      <c r="W173" s="1625"/>
      <c r="X173" s="2916" t="s">
        <v>1694</v>
      </c>
      <c r="Y173" s="2917">
        <f ca="1">+Z173/Z172*100</f>
        <v>100.17406696136327</v>
      </c>
      <c r="Z173" s="1626">
        <f ca="1">OFFSET('VVP2'!$G$83,0,(COLUMN()-10)/4)</f>
        <v>1046.5314000000001</v>
      </c>
      <c r="AA173" s="1625"/>
      <c r="AB173" s="2916" t="s">
        <v>1694</v>
      </c>
      <c r="AC173" s="2917">
        <f ca="1">+AD173/AD172*100</f>
        <v>99.948255847209794</v>
      </c>
      <c r="AD173" s="1626">
        <f ca="1">OFFSET('VVP2'!$G$83,0,(COLUMN()-10)/4)</f>
        <v>1168.9569199999999</v>
      </c>
      <c r="AE173" s="1625"/>
      <c r="AF173" s="2916" t="s">
        <v>1694</v>
      </c>
      <c r="AG173" s="2917">
        <f ca="1">+AH173/AH172*100</f>
        <v>99.721748389021229</v>
      </c>
      <c r="AH173" s="1626">
        <f ca="1">OFFSET('VVP2'!$G$83,0,(COLUMN()-10)/4)</f>
        <v>1177.1004599999999</v>
      </c>
      <c r="AI173" s="1625"/>
      <c r="AJ173" s="2916" t="s">
        <v>1694</v>
      </c>
      <c r="AK173" s="2917">
        <f ca="1">+AL173/AL172*100</f>
        <v>99.748636891703256</v>
      </c>
      <c r="AL173" s="1626">
        <f ca="1">OFFSET('VVP2'!$G$83,0,(COLUMN()-10)/4)</f>
        <v>1192.6076699999999</v>
      </c>
      <c r="AM173" s="1625"/>
      <c r="AN173" s="2916" t="s">
        <v>1694</v>
      </c>
      <c r="AO173" s="2917">
        <f ca="1">+AP173/AP172*100</f>
        <v>99.541221408973101</v>
      </c>
      <c r="AP173" s="1626">
        <f ca="1">OFFSET('VVP2'!$G$83,0,(COLUMN()-10)/4)</f>
        <v>1242.2317399999999</v>
      </c>
      <c r="AQ173" s="1625"/>
      <c r="AR173" s="2916" t="s">
        <v>1694</v>
      </c>
      <c r="AS173" s="2917">
        <f ca="1">+AT173/AT172*100</f>
        <v>100.37476512237571</v>
      </c>
      <c r="AT173" s="1626">
        <f ca="1">OFFSET('VVP2'!$G$83,0,(COLUMN()-10)/4)</f>
        <v>1375.58366</v>
      </c>
      <c r="AU173" s="1625"/>
      <c r="AV173" s="2916" t="s">
        <v>1694</v>
      </c>
      <c r="AW173" s="2917">
        <f ca="1">+AX173/AX172*100</f>
        <v>100.38304507057927</v>
      </c>
      <c r="AX173" s="1626">
        <f ca="1">OFFSET('VVP2'!$G$83,0,(COLUMN()-10)/4)</f>
        <v>1466.76965</v>
      </c>
      <c r="AY173" s="1625"/>
      <c r="AZ173" s="2916" t="s">
        <v>1694</v>
      </c>
      <c r="BA173" s="2917">
        <f ca="1">+BB173/BB172*100</f>
        <v>99.960896829104627</v>
      </c>
      <c r="BB173" s="1626">
        <f ca="1">OFFSET('VVP2'!$G$83,0,(COLUMN()-10)/4)</f>
        <v>1593.8252199999999</v>
      </c>
      <c r="BC173" s="1625"/>
      <c r="BD173" s="2916" t="s">
        <v>1694</v>
      </c>
      <c r="BE173" s="2917">
        <f ca="1">+BF173/BF172*100</f>
        <v>99.73009888153382</v>
      </c>
      <c r="BF173" s="1626">
        <f ca="1">OFFSET('VVP2'!$G$83,0,(COLUMN()-10)/4)</f>
        <v>1665.2086200000001</v>
      </c>
      <c r="BG173" s="1625"/>
      <c r="BH173" s="2916" t="s">
        <v>1694</v>
      </c>
      <c r="BI173" s="2917">
        <f ca="1">+BJ173/BJ172*100</f>
        <v>100.11233741475041</v>
      </c>
      <c r="BJ173" s="1626">
        <f ca="1">OFFSET('VVP2'!$G$83,0,(COLUMN()-10)/4)</f>
        <v>1698.2772600000001</v>
      </c>
      <c r="BK173" s="1625"/>
      <c r="BL173" s="2916" t="s">
        <v>1694</v>
      </c>
      <c r="BM173" s="2917">
        <f ca="1">+BN173/BN172*100</f>
        <v>99.937275924001668</v>
      </c>
      <c r="BN173" s="1626">
        <f ca="1">OFFSET('VVP2'!$G$83,0,(COLUMN()-10)/4)</f>
        <v>1452.2784999999999</v>
      </c>
      <c r="BO173" s="1625"/>
      <c r="BP173" s="2916" t="s">
        <v>1694</v>
      </c>
      <c r="BQ173" s="2917">
        <f ca="1">+BR173/BR172*100</f>
        <v>100.41345948356476</v>
      </c>
      <c r="BR173" s="1626">
        <f ca="1">OFFSET('VVP2'!$G$83,0,(COLUMN()-10)/4)</f>
        <v>1625.7159999999999</v>
      </c>
      <c r="BS173" s="1625"/>
      <c r="BT173" s="2916" t="s">
        <v>1694</v>
      </c>
      <c r="BU173" s="2917">
        <f ca="1">+BV173/BV172*100</f>
        <v>100.30234445696986</v>
      </c>
      <c r="BV173" s="1626">
        <f ca="1">OFFSET('VVP2'!$G$83,0,(COLUMN()-10)/4)</f>
        <v>1724.9068400000001</v>
      </c>
      <c r="BW173" s="1625"/>
      <c r="BX173" s="2916" t="s">
        <v>1694</v>
      </c>
      <c r="BY173" s="2917">
        <f ca="1">+BZ173/BZ172*100</f>
        <v>99.74523788799533</v>
      </c>
      <c r="BZ173" s="1626">
        <f ca="1">OFFSET('VVP2'!$G$83,0,(COLUMN()-10)/4)</f>
        <v>1741.8351299999999</v>
      </c>
      <c r="CA173" s="1625"/>
      <c r="CB173" s="2916" t="s">
        <v>1694</v>
      </c>
      <c r="CC173" s="2917">
        <f ca="1">+CD173/CD172*100</f>
        <v>99.762758434073376</v>
      </c>
      <c r="CD173" s="1626">
        <f ca="1">OFFSET('VVP2'!$G$83,0,(COLUMN()-10)/4)</f>
        <v>1728.3771200000001</v>
      </c>
      <c r="CE173" s="1625"/>
      <c r="CF173" s="2916" t="s">
        <v>1694</v>
      </c>
      <c r="CG173" s="2917">
        <f ca="1">+CH173/CH172*100</f>
        <v>99.58675200900025</v>
      </c>
      <c r="CH173" s="1626">
        <f ca="1">OFFSET('VVP2'!$G$83,0,(COLUMN()-10)/4)</f>
        <v>1819.24252</v>
      </c>
      <c r="CI173" s="1625"/>
      <c r="CJ173" s="2916" t="s">
        <v>1694</v>
      </c>
      <c r="CK173" s="2917">
        <f ca="1">+CL173/CL172*100</f>
        <v>100.00921776585616</v>
      </c>
      <c r="CL173" s="1626">
        <f ca="1">OFFSET('VVP2'!$G$83,0,(COLUMN()-10)/4)</f>
        <v>1922.66041</v>
      </c>
      <c r="CM173" s="1625"/>
      <c r="CN173" s="2916" t="s">
        <v>1694</v>
      </c>
      <c r="CO173" s="2916" t="s">
        <v>1694</v>
      </c>
      <c r="CP173" s="1626">
        <f ca="1">OFFSET('VVP2'!$G$83,0,(COLUMN()-10)/4)</f>
        <v>1979.7154699999999</v>
      </c>
      <c r="CQ173" s="1625"/>
      <c r="CR173" s="2916" t="s">
        <v>1694</v>
      </c>
      <c r="CS173" s="2916" t="s">
        <v>1694</v>
      </c>
      <c r="CT173" s="1626">
        <f ca="1">OFFSET('VVP2'!$G$83,0,(COLUMN()-10)/4)</f>
        <v>2043.7392199999999</v>
      </c>
      <c r="CU173" s="1625"/>
      <c r="CV173" s="2916" t="s">
        <v>1694</v>
      </c>
      <c r="CW173" s="2917">
        <f ca="1">+CX173/CX172*100</f>
        <v>99.979691501557568</v>
      </c>
      <c r="CX173" s="1626">
        <f ca="1">OFFSET('VVP2'!$G$83,0,(COLUMN()-10)/4)</f>
        <v>2114.0014571405513</v>
      </c>
      <c r="CY173" s="1625"/>
      <c r="CZ173" s="2916" t="s">
        <v>1694</v>
      </c>
      <c r="DA173" s="2917">
        <f ca="1">+DB173/DB172*100</f>
        <v>99.986493449327085</v>
      </c>
      <c r="DB173" s="1626">
        <f ca="1">OFFSET('VVP2'!$G$83,0,(COLUMN()-10)/4)</f>
        <v>2182.4755341447212</v>
      </c>
      <c r="DC173" s="1625"/>
      <c r="DD173" s="2916" t="s">
        <v>1694</v>
      </c>
      <c r="DE173" s="2917">
        <f ca="1">+DF173/DF172*100</f>
        <v>99.974001369659689</v>
      </c>
      <c r="DF173" s="1626">
        <f ca="1">OFFSET('VVP2'!$G$83,0,(COLUMN()-10)/4)</f>
        <v>2248.1852150871587</v>
      </c>
    </row>
    <row r="174" spans="1:110">
      <c r="A174" s="701"/>
      <c r="AY174" s="217"/>
      <c r="BA174" s="217"/>
      <c r="BB174" s="217"/>
      <c r="BC174" s="217"/>
      <c r="BD174" s="217"/>
      <c r="BE174" s="217"/>
      <c r="BF174" s="217"/>
      <c r="BG174" s="217"/>
      <c r="BH174" s="217"/>
      <c r="BI174" s="217"/>
      <c r="BJ174" s="217"/>
      <c r="BK174" s="217"/>
      <c r="BL174" s="217"/>
      <c r="BM174" s="217"/>
      <c r="BN174" s="217"/>
      <c r="BO174" s="217"/>
      <c r="BP174" s="217"/>
      <c r="BQ174" s="217"/>
      <c r="BR174" s="217"/>
      <c r="BS174" s="217"/>
      <c r="BT174" s="217"/>
      <c r="BU174" s="217"/>
      <c r="BV174" s="217"/>
    </row>
    <row r="175" spans="1:110" s="736" customFormat="1" ht="13.5" customHeight="1">
      <c r="A175" s="701"/>
      <c r="B175" s="701"/>
      <c r="C175" s="1603"/>
      <c r="D175" s="779"/>
      <c r="E175" s="780" t="s">
        <v>1641</v>
      </c>
      <c r="F175" s="781"/>
      <c r="G175" s="1630" t="str">
        <f t="shared" ref="G175:N175" si="703">G162</f>
        <v>Q1</v>
      </c>
      <c r="H175" s="1631" t="str">
        <f t="shared" si="703"/>
        <v>Q2</v>
      </c>
      <c r="I175" s="1631" t="str">
        <f t="shared" si="703"/>
        <v>Q3</v>
      </c>
      <c r="J175" s="1632" t="str">
        <f t="shared" si="703"/>
        <v>Q4</v>
      </c>
      <c r="K175" s="1630" t="str">
        <f t="shared" si="703"/>
        <v>Q1</v>
      </c>
      <c r="L175" s="1631" t="str">
        <f t="shared" si="703"/>
        <v>Q2</v>
      </c>
      <c r="M175" s="1631" t="str">
        <f t="shared" si="703"/>
        <v>Q3</v>
      </c>
      <c r="N175" s="1632" t="str">
        <f t="shared" si="703"/>
        <v>Q4</v>
      </c>
      <c r="O175" s="1630" t="str">
        <f t="shared" ref="O175:V175" si="704">O162</f>
        <v>Q1</v>
      </c>
      <c r="P175" s="1631" t="str">
        <f t="shared" si="704"/>
        <v>Q2</v>
      </c>
      <c r="Q175" s="1631" t="str">
        <f t="shared" si="704"/>
        <v>Q3</v>
      </c>
      <c r="R175" s="1632" t="str">
        <f t="shared" si="704"/>
        <v>Q4</v>
      </c>
      <c r="S175" s="1630" t="str">
        <f t="shared" si="704"/>
        <v>Q1</v>
      </c>
      <c r="T175" s="1631" t="str">
        <f t="shared" si="704"/>
        <v>Q2</v>
      </c>
      <c r="U175" s="1631" t="str">
        <f t="shared" si="704"/>
        <v>Q3</v>
      </c>
      <c r="V175" s="1632" t="str">
        <f t="shared" si="704"/>
        <v>Q4</v>
      </c>
      <c r="W175" s="1630" t="str">
        <f t="shared" ref="W175:BI175" si="705">W162</f>
        <v>Q1</v>
      </c>
      <c r="X175" s="1631" t="str">
        <f t="shared" si="705"/>
        <v>Q2</v>
      </c>
      <c r="Y175" s="1631" t="str">
        <f t="shared" si="705"/>
        <v>Q3</v>
      </c>
      <c r="Z175" s="1632" t="str">
        <f t="shared" si="705"/>
        <v>Q4</v>
      </c>
      <c r="AA175" s="1630" t="str">
        <f t="shared" si="705"/>
        <v>Q1</v>
      </c>
      <c r="AB175" s="1631" t="str">
        <f t="shared" si="705"/>
        <v>Q2</v>
      </c>
      <c r="AC175" s="1631" t="str">
        <f t="shared" si="705"/>
        <v>Q3</v>
      </c>
      <c r="AD175" s="1632" t="str">
        <f t="shared" si="705"/>
        <v>Q4</v>
      </c>
      <c r="AE175" s="1630" t="str">
        <f t="shared" si="705"/>
        <v>Q1</v>
      </c>
      <c r="AF175" s="1631" t="str">
        <f t="shared" si="705"/>
        <v>Q2</v>
      </c>
      <c r="AG175" s="1631" t="str">
        <f t="shared" si="705"/>
        <v>Q3</v>
      </c>
      <c r="AH175" s="1632" t="str">
        <f t="shared" si="705"/>
        <v>Q4</v>
      </c>
      <c r="AI175" s="1630" t="str">
        <f t="shared" si="705"/>
        <v>Q1</v>
      </c>
      <c r="AJ175" s="1631" t="str">
        <f t="shared" si="705"/>
        <v>Q2</v>
      </c>
      <c r="AK175" s="1631" t="str">
        <f t="shared" si="705"/>
        <v>Q3</v>
      </c>
      <c r="AL175" s="1632" t="str">
        <f t="shared" si="705"/>
        <v>Q4</v>
      </c>
      <c r="AM175" s="1630" t="str">
        <f t="shared" si="705"/>
        <v>Q1</v>
      </c>
      <c r="AN175" s="1631" t="str">
        <f t="shared" si="705"/>
        <v>Q2</v>
      </c>
      <c r="AO175" s="1631" t="str">
        <f t="shared" si="705"/>
        <v>Q3</v>
      </c>
      <c r="AP175" s="1632" t="str">
        <f t="shared" si="705"/>
        <v>Q4</v>
      </c>
      <c r="AQ175" s="1630" t="str">
        <f t="shared" si="705"/>
        <v>Q1</v>
      </c>
      <c r="AR175" s="1631" t="str">
        <f t="shared" si="705"/>
        <v>Q2</v>
      </c>
      <c r="AS175" s="1631" t="str">
        <f t="shared" si="705"/>
        <v>Q3</v>
      </c>
      <c r="AT175" s="1632" t="str">
        <f t="shared" si="705"/>
        <v>Q4</v>
      </c>
      <c r="AU175" s="1630" t="str">
        <f t="shared" si="705"/>
        <v>Q1</v>
      </c>
      <c r="AV175" s="1631" t="str">
        <f t="shared" si="705"/>
        <v>Q2</v>
      </c>
      <c r="AW175" s="1631" t="str">
        <f t="shared" si="705"/>
        <v>Q3</v>
      </c>
      <c r="AX175" s="1632" t="str">
        <f t="shared" si="705"/>
        <v>Q4</v>
      </c>
      <c r="AY175" s="1630" t="str">
        <f t="shared" si="705"/>
        <v>Q1</v>
      </c>
      <c r="AZ175" s="1631" t="str">
        <f t="shared" si="705"/>
        <v>Q2</v>
      </c>
      <c r="BA175" s="1631" t="str">
        <f t="shared" si="705"/>
        <v>Q3</v>
      </c>
      <c r="BB175" s="1632" t="str">
        <f t="shared" si="705"/>
        <v>Q4</v>
      </c>
      <c r="BC175" s="1630" t="str">
        <f t="shared" si="705"/>
        <v>Q1</v>
      </c>
      <c r="BD175" s="1631" t="str">
        <f t="shared" si="705"/>
        <v>Q2</v>
      </c>
      <c r="BE175" s="1631" t="str">
        <f t="shared" si="705"/>
        <v>Q3</v>
      </c>
      <c r="BF175" s="1632" t="str">
        <f t="shared" si="705"/>
        <v>Q4</v>
      </c>
      <c r="BG175" s="1630" t="str">
        <f t="shared" si="705"/>
        <v>Q1</v>
      </c>
      <c r="BH175" s="1631" t="str">
        <f t="shared" si="705"/>
        <v>Q2</v>
      </c>
      <c r="BI175" s="1631" t="str">
        <f t="shared" si="705"/>
        <v>Q3</v>
      </c>
      <c r="BJ175" s="1632" t="str">
        <f>BJ162</f>
        <v>Q4</v>
      </c>
      <c r="BK175" s="1630" t="str">
        <f>BK162</f>
        <v>Q1</v>
      </c>
      <c r="BL175" s="1631" t="str">
        <f>BL162</f>
        <v>Q2</v>
      </c>
      <c r="BM175" s="1631" t="str">
        <f>BM162</f>
        <v>Q3</v>
      </c>
      <c r="BN175" s="1632" t="str">
        <f t="shared" ref="BN175:BV175" si="706">BN162</f>
        <v>Q4</v>
      </c>
      <c r="BO175" s="1630" t="str">
        <f t="shared" si="706"/>
        <v>Q1</v>
      </c>
      <c r="BP175" s="1631" t="str">
        <f t="shared" si="706"/>
        <v>Q2</v>
      </c>
      <c r="BQ175" s="1631" t="str">
        <f t="shared" si="706"/>
        <v>Q3</v>
      </c>
      <c r="BR175" s="1632" t="str">
        <f t="shared" si="706"/>
        <v>Q4</v>
      </c>
      <c r="BS175" s="1630" t="str">
        <f t="shared" si="706"/>
        <v>Q1</v>
      </c>
      <c r="BT175" s="1631" t="str">
        <f t="shared" si="706"/>
        <v>Q2</v>
      </c>
      <c r="BU175" s="1631" t="str">
        <f t="shared" si="706"/>
        <v>Q3</v>
      </c>
      <c r="BV175" s="1632" t="str">
        <f t="shared" si="706"/>
        <v>Q4</v>
      </c>
      <c r="BW175" s="1631" t="str">
        <f t="shared" ref="BW175:CD175" si="707">BW162</f>
        <v>Q1</v>
      </c>
      <c r="BX175" s="1631" t="str">
        <f t="shared" si="707"/>
        <v>Q2</v>
      </c>
      <c r="BY175" s="1631" t="str">
        <f t="shared" si="707"/>
        <v>Q3</v>
      </c>
      <c r="BZ175" s="1631" t="str">
        <f t="shared" si="707"/>
        <v>Q4</v>
      </c>
      <c r="CA175" s="1631" t="str">
        <f t="shared" si="707"/>
        <v>Q1</v>
      </c>
      <c r="CB175" s="1631" t="str">
        <f t="shared" si="707"/>
        <v>Q2</v>
      </c>
      <c r="CC175" s="1631" t="str">
        <f t="shared" si="707"/>
        <v>Q3</v>
      </c>
      <c r="CD175" s="1631" t="str">
        <f t="shared" si="707"/>
        <v>Q4</v>
      </c>
      <c r="CE175" s="1631" t="str">
        <f>CE162</f>
        <v>Q1</v>
      </c>
      <c r="CF175" s="1631" t="str">
        <f>CF162</f>
        <v>Q2</v>
      </c>
      <c r="CG175" s="1631" t="str">
        <f t="shared" ref="CG175:CL175" si="708">CG162</f>
        <v>Q3</v>
      </c>
      <c r="CH175" s="1631" t="str">
        <f t="shared" si="708"/>
        <v>Q4</v>
      </c>
      <c r="CI175" s="1631" t="str">
        <f>CI162</f>
        <v>Q1</v>
      </c>
      <c r="CJ175" s="1631" t="str">
        <f>CJ162</f>
        <v>Q2</v>
      </c>
      <c r="CK175" s="1631" t="str">
        <f t="shared" si="708"/>
        <v>Q3</v>
      </c>
      <c r="CL175" s="1631" t="str">
        <f t="shared" si="708"/>
        <v>Q4</v>
      </c>
      <c r="CM175" s="1631" t="str">
        <f>CM162</f>
        <v>Q1</v>
      </c>
      <c r="CN175" s="1631" t="str">
        <f>CN162</f>
        <v>Q2</v>
      </c>
      <c r="CO175" s="1631" t="str">
        <f>CO162</f>
        <v>Q3</v>
      </c>
      <c r="CP175" s="1631" t="str">
        <f t="shared" ref="CP175" si="709">CP162</f>
        <v>Q4</v>
      </c>
      <c r="CQ175" s="1631" t="str">
        <f>CQ162</f>
        <v>Q1</v>
      </c>
      <c r="CR175" s="1631" t="str">
        <f>CR162</f>
        <v>Q2</v>
      </c>
      <c r="CS175" s="1631" t="str">
        <f>CS162</f>
        <v>Q3</v>
      </c>
      <c r="CT175" s="1631" t="str">
        <f t="shared" ref="CT175" si="710">CT162</f>
        <v>Q4</v>
      </c>
      <c r="CU175" s="1631" t="str">
        <f t="shared" ref="CU175:CX175" si="711">CU162</f>
        <v>Q1</v>
      </c>
      <c r="CV175" s="1631" t="str">
        <f>CV162</f>
        <v>Q2</v>
      </c>
      <c r="CW175" s="1631" t="str">
        <f t="shared" si="711"/>
        <v>Q3</v>
      </c>
      <c r="CX175" s="1631" t="str">
        <f t="shared" si="711"/>
        <v>Q4</v>
      </c>
      <c r="CY175" s="1631" t="str">
        <f t="shared" ref="CY175:DB175" si="712">CY162</f>
        <v>Q1</v>
      </c>
      <c r="CZ175" s="1631" t="str">
        <f t="shared" si="712"/>
        <v>Q2</v>
      </c>
      <c r="DA175" s="1631" t="str">
        <f t="shared" si="712"/>
        <v>Q3</v>
      </c>
      <c r="DB175" s="1631" t="str">
        <f t="shared" si="712"/>
        <v>Q4</v>
      </c>
      <c r="DC175" s="1631" t="str">
        <f t="shared" ref="DC175:DF175" si="713">DC162</f>
        <v>Q1</v>
      </c>
      <c r="DD175" s="1631" t="str">
        <f t="shared" si="713"/>
        <v>Q2</v>
      </c>
      <c r="DE175" s="1631" t="str">
        <f t="shared" si="713"/>
        <v>Q3</v>
      </c>
      <c r="DF175" s="1631" t="str">
        <f t="shared" si="713"/>
        <v>Q4</v>
      </c>
    </row>
    <row r="176" spans="1:110" ht="12.75" hidden="1" customHeight="1">
      <c r="A176" s="701"/>
      <c r="C176" s="966"/>
      <c r="E176" s="217" t="s">
        <v>442</v>
      </c>
      <c r="H176" s="217">
        <f>(H163/G163-1)*100</f>
        <v>-0.50244354510724509</v>
      </c>
      <c r="I176" s="217">
        <f t="shared" ref="I176:N176" si="714">(I163/H163-1)*100</f>
        <v>-0.39602394638198479</v>
      </c>
      <c r="J176" s="217">
        <f t="shared" si="714"/>
        <v>2.1602853559953505</v>
      </c>
      <c r="K176" s="217">
        <f t="shared" si="714"/>
        <v>-9.7857474473761474E-2</v>
      </c>
      <c r="L176" s="217">
        <f t="shared" si="714"/>
        <v>4.0706661419637635</v>
      </c>
      <c r="M176" s="217">
        <f t="shared" si="714"/>
        <v>-0.94894676536589895</v>
      </c>
      <c r="N176" s="217">
        <f t="shared" si="714"/>
        <v>4.1105727573679918</v>
      </c>
      <c r="O176" s="217">
        <f t="shared" ref="O176:V176" si="715">(O163/N163-1)*100</f>
        <v>4.3168644735621875</v>
      </c>
      <c r="P176" s="217">
        <f t="shared" si="715"/>
        <v>4.9588844938665222</v>
      </c>
      <c r="Q176" s="217">
        <f t="shared" si="715"/>
        <v>1.7207943197799613</v>
      </c>
      <c r="R176" s="217">
        <f t="shared" si="715"/>
        <v>3.2379409270041792</v>
      </c>
      <c r="S176" s="217">
        <f t="shared" si="715"/>
        <v>1.2447148630204685</v>
      </c>
      <c r="T176" s="217">
        <f t="shared" si="715"/>
        <v>0.74384159519145232</v>
      </c>
      <c r="U176" s="217">
        <f t="shared" si="715"/>
        <v>2.2598269398563131</v>
      </c>
      <c r="V176" s="217">
        <f t="shared" si="715"/>
        <v>3.0249781951025012</v>
      </c>
      <c r="W176" s="217">
        <f t="shared" ref="W176:BJ176" si="716">(W163/V163-1)*100</f>
        <v>-1.1582779340099769</v>
      </c>
      <c r="X176" s="217">
        <f t="shared" si="716"/>
        <v>1.6680019735382912</v>
      </c>
      <c r="Y176" s="217">
        <f t="shared" si="716"/>
        <v>3.9642399202165501</v>
      </c>
      <c r="Z176" s="217">
        <f t="shared" si="716"/>
        <v>0.84083235313150428</v>
      </c>
      <c r="AA176" s="217">
        <f t="shared" si="716"/>
        <v>3.0000769129501226</v>
      </c>
      <c r="AB176" s="217">
        <f t="shared" si="716"/>
        <v>4.7542237038672663</v>
      </c>
      <c r="AC176" s="217">
        <f t="shared" si="716"/>
        <v>3.9943375358659772</v>
      </c>
      <c r="AD176" s="217">
        <f t="shared" si="716"/>
        <v>-0.17388759249999941</v>
      </c>
      <c r="AE176" s="217">
        <f t="shared" si="716"/>
        <v>-3.9143361931184839</v>
      </c>
      <c r="AF176" s="217">
        <f t="shared" si="716"/>
        <v>-2.0184416975971842</v>
      </c>
      <c r="AG176" s="217">
        <f t="shared" si="716"/>
        <v>0.24511394129169695</v>
      </c>
      <c r="AH176" s="217">
        <f t="shared" si="716"/>
        <v>1.4942261434226722</v>
      </c>
      <c r="AI176" s="217">
        <f t="shared" si="716"/>
        <v>1.737902475687525</v>
      </c>
      <c r="AJ176" s="217">
        <f t="shared" si="716"/>
        <v>0.98247130784359094</v>
      </c>
      <c r="AK176" s="217">
        <f t="shared" si="716"/>
        <v>-3.3380306650719671</v>
      </c>
      <c r="AL176" s="217">
        <f t="shared" si="716"/>
        <v>3.0160325123034903</v>
      </c>
      <c r="AM176" s="217">
        <f t="shared" si="716"/>
        <v>1.6556157585491338</v>
      </c>
      <c r="AN176" s="217">
        <f t="shared" si="716"/>
        <v>1.6456091786036131</v>
      </c>
      <c r="AO176" s="217">
        <f t="shared" si="716"/>
        <v>2.2109882922961122</v>
      </c>
      <c r="AP176" s="217">
        <f t="shared" si="716"/>
        <v>1.1387693215699324</v>
      </c>
      <c r="AQ176" s="217">
        <f t="shared" si="716"/>
        <v>4.0905893223951439</v>
      </c>
      <c r="AR176" s="217">
        <f t="shared" si="716"/>
        <v>4.8888935285550383</v>
      </c>
      <c r="AS176" s="217">
        <f t="shared" si="716"/>
        <v>-0.92733110958667098</v>
      </c>
      <c r="AT176" s="217">
        <f t="shared" si="716"/>
        <v>1.0763922219964916</v>
      </c>
      <c r="AU176" s="217">
        <f t="shared" si="716"/>
        <v>0.60137406445970321</v>
      </c>
      <c r="AV176" s="217">
        <f t="shared" si="716"/>
        <v>3.5182507979475419</v>
      </c>
      <c r="AW176" s="217">
        <f t="shared" si="716"/>
        <v>2.6428183369911595</v>
      </c>
      <c r="AX176" s="217">
        <f t="shared" si="716"/>
        <v>-1.5550288253361466</v>
      </c>
      <c r="AY176" s="217">
        <f t="shared" si="716"/>
        <v>5.5152440976061534</v>
      </c>
      <c r="AZ176" s="217">
        <f t="shared" si="716"/>
        <v>-0.50169441628336031</v>
      </c>
      <c r="BA176" s="217">
        <f t="shared" si="716"/>
        <v>3.2545826815205015</v>
      </c>
      <c r="BB176" s="217">
        <f t="shared" si="716"/>
        <v>3.9313658325811796</v>
      </c>
      <c r="BC176" s="217">
        <f t="shared" si="716"/>
        <v>-3.574847248454005</v>
      </c>
      <c r="BD176" s="217">
        <f t="shared" si="716"/>
        <v>1.0976244326407425</v>
      </c>
      <c r="BE176" s="217">
        <f t="shared" si="716"/>
        <v>1.7581275177532607</v>
      </c>
      <c r="BF176" s="217">
        <f t="shared" si="716"/>
        <v>2.7102222789792574</v>
      </c>
      <c r="BG176" s="217">
        <f t="shared" si="716"/>
        <v>1.2852686262015744</v>
      </c>
      <c r="BH176" s="217">
        <f t="shared" si="716"/>
        <v>-1.008102792426091</v>
      </c>
      <c r="BI176" s="217">
        <f t="shared" si="716"/>
        <v>-1.3251623095877019</v>
      </c>
      <c r="BJ176" s="217">
        <f t="shared" si="716"/>
        <v>-10.319436277688132</v>
      </c>
      <c r="BK176" s="217">
        <f t="shared" ref="BK176:BR176" si="717">(BK163/BJ163-1)*100</f>
        <v>-10.648709134972057</v>
      </c>
      <c r="BL176" s="217">
        <f t="shared" si="717"/>
        <v>-3.4287207932361952</v>
      </c>
      <c r="BM176" s="217">
        <f t="shared" si="717"/>
        <v>4.347694559998283</v>
      </c>
      <c r="BN176" s="217">
        <f t="shared" si="717"/>
        <v>1.6130311986462642</v>
      </c>
      <c r="BO176" s="217">
        <f t="shared" si="717"/>
        <v>4.0864776391709601</v>
      </c>
      <c r="BP176" s="217">
        <f t="shared" si="717"/>
        <v>7.478939042784094</v>
      </c>
      <c r="BQ176" s="217">
        <f t="shared" si="717"/>
        <v>2.723460687670487</v>
      </c>
      <c r="BR176" s="217">
        <f t="shared" si="717"/>
        <v>3.568805876926362</v>
      </c>
      <c r="BS176" s="217">
        <f>(BS163/BR163-1)*100</f>
        <v>0.79695562761004091</v>
      </c>
      <c r="BT176" s="217">
        <f>(BT163/BS163-1)*100</f>
        <v>-0.51684963608992218</v>
      </c>
      <c r="BU176" s="217">
        <f>(BU163/BT163-1)*100</f>
        <v>3.9814229410636059</v>
      </c>
      <c r="BV176" s="217">
        <f>(BV163/BU163-1)*100</f>
        <v>-5.1072262503679244</v>
      </c>
      <c r="BW176" s="777">
        <v>0</v>
      </c>
      <c r="BX176" s="777">
        <v>0</v>
      </c>
      <c r="BY176" s="777">
        <v>0</v>
      </c>
      <c r="BZ176" s="777">
        <v>0</v>
      </c>
      <c r="CA176" s="777">
        <v>0</v>
      </c>
      <c r="CB176" s="777">
        <v>0</v>
      </c>
      <c r="CC176" s="777">
        <v>0</v>
      </c>
      <c r="CD176" s="777">
        <v>0</v>
      </c>
      <c r="CE176" s="777">
        <v>0</v>
      </c>
      <c r="CF176" s="777">
        <v>0</v>
      </c>
      <c r="CG176" s="777">
        <v>0</v>
      </c>
      <c r="CH176" s="777">
        <v>0</v>
      </c>
      <c r="CI176" s="777">
        <v>0</v>
      </c>
      <c r="CJ176" s="777">
        <v>0</v>
      </c>
      <c r="CK176" s="777">
        <v>0</v>
      </c>
      <c r="CL176" s="777">
        <v>0</v>
      </c>
      <c r="CM176" s="777">
        <v>0</v>
      </c>
      <c r="CN176" s="777">
        <v>0</v>
      </c>
      <c r="CO176" s="777">
        <v>0</v>
      </c>
      <c r="CP176" s="777">
        <v>0</v>
      </c>
      <c r="CQ176" s="777">
        <v>0</v>
      </c>
      <c r="CR176" s="777">
        <v>0</v>
      </c>
      <c r="CS176" s="777">
        <v>0</v>
      </c>
      <c r="CT176" s="777">
        <v>0</v>
      </c>
      <c r="CU176" s="777">
        <v>0</v>
      </c>
      <c r="CV176" s="777">
        <v>0</v>
      </c>
      <c r="CW176" s="777">
        <v>0</v>
      </c>
      <c r="CX176" s="777">
        <v>0</v>
      </c>
      <c r="CY176" s="777">
        <v>0</v>
      </c>
      <c r="CZ176" s="777">
        <v>0</v>
      </c>
      <c r="DA176" s="777">
        <v>0</v>
      </c>
      <c r="DB176" s="777">
        <v>0</v>
      </c>
      <c r="DC176" s="777">
        <v>0</v>
      </c>
      <c r="DD176" s="777">
        <v>0</v>
      </c>
      <c r="DE176" s="777">
        <v>0</v>
      </c>
      <c r="DF176" s="777">
        <v>0</v>
      </c>
    </row>
    <row r="177" spans="1:110" ht="12.75" hidden="1" customHeight="1">
      <c r="C177" s="3174"/>
      <c r="D177" s="754"/>
      <c r="E177" s="3169" t="s">
        <v>353</v>
      </c>
      <c r="F177" s="961"/>
      <c r="G177" s="2931"/>
      <c r="H177" s="2931"/>
      <c r="I177" s="2931"/>
      <c r="J177" s="2931"/>
      <c r="K177" s="2931"/>
      <c r="L177" s="2931"/>
      <c r="M177" s="2931"/>
      <c r="N177" s="1660">
        <f>N164/J164*100-100</f>
        <v>4.8458412752829787</v>
      </c>
      <c r="O177" s="2931"/>
      <c r="P177" s="2931"/>
      <c r="Q177" s="2931"/>
      <c r="R177" s="1660">
        <f>R164/N164*100-100</f>
        <v>13.971458270778086</v>
      </c>
      <c r="S177" s="2931"/>
      <c r="T177" s="2931"/>
      <c r="U177" s="2931"/>
      <c r="V177" s="1660">
        <f>V164/R164*100-100</f>
        <v>8.4084188845801435</v>
      </c>
      <c r="W177" s="2931"/>
      <c r="X177" s="2931"/>
      <c r="Y177" s="2931"/>
      <c r="Z177" s="1660">
        <f>Z164/V164*100-100</f>
        <v>5.9445940449281807</v>
      </c>
      <c r="AA177" s="2931"/>
      <c r="AB177" s="2931"/>
      <c r="AC177" s="2931"/>
      <c r="AD177" s="1660">
        <f>AD164/Z164*100-100</f>
        <v>12.03597618953313</v>
      </c>
      <c r="AE177" s="2931"/>
      <c r="AF177" s="2931"/>
      <c r="AG177" s="2931"/>
      <c r="AH177" s="1660">
        <f>AH164/AD164*100-100</f>
        <v>-2.0747601180613486</v>
      </c>
      <c r="AI177" s="2931"/>
      <c r="AJ177" s="2931"/>
      <c r="AK177" s="2931"/>
      <c r="AL177" s="1660">
        <f>AL164/AH164*100-100</f>
        <v>2.2563044664405396</v>
      </c>
      <c r="AM177" s="2931"/>
      <c r="AN177" s="2931"/>
      <c r="AO177" s="2931"/>
      <c r="AP177" s="1660">
        <f>AP164/AL164*100-100</f>
        <v>5.1565721375248899</v>
      </c>
      <c r="AQ177" s="2931"/>
      <c r="AR177" s="2931"/>
      <c r="AS177" s="2931"/>
      <c r="AT177" s="1660">
        <f>AT164/AP164*100-100</f>
        <v>10.233406712238818</v>
      </c>
      <c r="AU177" s="2931"/>
      <c r="AV177" s="2931"/>
      <c r="AW177" s="2931"/>
      <c r="AX177" s="1660">
        <f>AX164/AT164*100-100</f>
        <v>5.802816754030431</v>
      </c>
      <c r="AY177" s="2931"/>
      <c r="AZ177" s="2931"/>
      <c r="BA177" s="2931"/>
      <c r="BB177" s="1660">
        <f>BB164/AX164*100-100</f>
        <v>8.9421625356125958</v>
      </c>
      <c r="BC177" s="2931"/>
      <c r="BD177" s="2931"/>
      <c r="BE177" s="2931"/>
      <c r="BF177" s="1660">
        <f>BF164/BB164*100-100</f>
        <v>3.1159008142706455</v>
      </c>
      <c r="BG177" s="2931"/>
      <c r="BH177" s="2931"/>
      <c r="BI177" s="2931"/>
      <c r="BJ177" s="1660">
        <f>BJ164/BF164*100-100</f>
        <v>0.39471087118192827</v>
      </c>
      <c r="BK177" s="2931"/>
      <c r="BL177" s="2931"/>
      <c r="BM177" s="2931"/>
      <c r="BN177" s="1660">
        <f>BN164/BJ164*100-100</f>
        <v>-18.578279196779235</v>
      </c>
      <c r="BO177" s="2931"/>
      <c r="BP177" s="2931"/>
      <c r="BQ177" s="2931"/>
      <c r="BR177" s="1660">
        <f>BR164/BN164*100-100</f>
        <v>15.243627204824705</v>
      </c>
      <c r="BS177" s="2931"/>
      <c r="BT177" s="2931"/>
      <c r="BU177" s="2931"/>
      <c r="BV177" s="1660">
        <f>BV164/BR164*100-100</f>
        <v>6.9529794323086804</v>
      </c>
      <c r="BW177" s="2931"/>
      <c r="BX177" s="2931"/>
      <c r="BY177" s="2931"/>
      <c r="BZ177" s="1662">
        <f>BZ164/BV164*100-100</f>
        <v>-2.1054022758398077</v>
      </c>
      <c r="CA177" s="2931"/>
      <c r="CB177" s="2931"/>
      <c r="CC177" s="2931"/>
      <c r="CD177" s="1662">
        <f>CD164/BZ164*100-100</f>
        <v>0</v>
      </c>
      <c r="CE177" s="2931"/>
      <c r="CF177" s="2931"/>
      <c r="CG177" s="2931"/>
      <c r="CH177" s="1662">
        <f>CH164/CD164*100-100</f>
        <v>0</v>
      </c>
      <c r="CI177" s="2931"/>
      <c r="CJ177" s="2931"/>
      <c r="CK177" s="2931"/>
      <c r="CL177" s="1662">
        <f>CL164/CH164*100-100</f>
        <v>0</v>
      </c>
      <c r="CM177" s="2931"/>
      <c r="CN177" s="2931"/>
      <c r="CO177" s="2931"/>
      <c r="CP177" s="1662">
        <f>CP164/CL164*100-100</f>
        <v>0</v>
      </c>
      <c r="CQ177" s="2931"/>
      <c r="CR177" s="2931"/>
      <c r="CS177" s="2931"/>
      <c r="CT177" s="1662">
        <f>CT164/CP164*100-100</f>
        <v>0</v>
      </c>
      <c r="CU177" s="2931"/>
      <c r="CV177" s="2931"/>
      <c r="CW177" s="2931"/>
      <c r="CX177" s="1662">
        <f>CX164/CT164*100-100</f>
        <v>0</v>
      </c>
      <c r="CY177" s="2931"/>
      <c r="CZ177" s="2931"/>
      <c r="DA177" s="2931"/>
      <c r="DB177" s="1662">
        <f>DB164/CX164*100-100</f>
        <v>0</v>
      </c>
      <c r="DC177" s="2931"/>
      <c r="DD177" s="2931"/>
      <c r="DE177" s="2931"/>
      <c r="DF177" s="1662">
        <f>DF164/DB164*100-100</f>
        <v>0</v>
      </c>
    </row>
    <row r="178" spans="1:110" ht="12.75" hidden="1" customHeight="1">
      <c r="C178" s="3174"/>
      <c r="D178" s="754"/>
      <c r="E178" s="3169" t="s">
        <v>136</v>
      </c>
      <c r="F178" s="961"/>
      <c r="G178" s="2931"/>
      <c r="H178" s="2931"/>
      <c r="I178" s="2931"/>
      <c r="J178" s="2931"/>
      <c r="K178" s="2931"/>
      <c r="L178" s="2931"/>
      <c r="M178" s="2931"/>
      <c r="N178" s="1651">
        <f ca="1">N165/J165*100-100</f>
        <v>4.8045048294636246</v>
      </c>
      <c r="O178" s="2931"/>
      <c r="P178" s="2931"/>
      <c r="Q178" s="2931"/>
      <c r="R178" s="1651">
        <f ca="1">R165/N165*100-100</f>
        <v>13.534050047945541</v>
      </c>
      <c r="S178" s="2931"/>
      <c r="T178" s="2931"/>
      <c r="U178" s="2931"/>
      <c r="V178" s="1651">
        <f ca="1">V165/R165*100-100</f>
        <v>8.5920176188416093</v>
      </c>
      <c r="W178" s="2931"/>
      <c r="X178" s="2931"/>
      <c r="Y178" s="2931"/>
      <c r="Z178" s="1651">
        <f ca="1">Z165/V165*100-100</f>
        <v>6.3418248930507275</v>
      </c>
      <c r="AA178" s="2931"/>
      <c r="AB178" s="2931"/>
      <c r="AC178" s="2931"/>
      <c r="AD178" s="1651">
        <f ca="1">AD165/Z165*100-100</f>
        <v>11.74795523444439</v>
      </c>
      <c r="AE178" s="2931"/>
      <c r="AF178" s="2931"/>
      <c r="AG178" s="2931"/>
      <c r="AH178" s="1651">
        <f ca="1">AH165/AD165*100-100</f>
        <v>-2.2511076593602013</v>
      </c>
      <c r="AI178" s="2931"/>
      <c r="AJ178" s="2931"/>
      <c r="AK178" s="2931"/>
      <c r="AL178" s="1651">
        <f ca="1">AL165/AH165*100-100</f>
        <v>2.2885671071842069</v>
      </c>
      <c r="AM178" s="2931"/>
      <c r="AN178" s="2931"/>
      <c r="AO178" s="2931"/>
      <c r="AP178" s="1651">
        <f ca="1">AP165/AL165*100-100</f>
        <v>4.8713156445337802</v>
      </c>
      <c r="AQ178" s="2931"/>
      <c r="AR178" s="2931"/>
      <c r="AS178" s="2931"/>
      <c r="AT178" s="1651">
        <f ca="1">AT165/AP165*100-100</f>
        <v>11.207407545979237</v>
      </c>
      <c r="AU178" s="2931"/>
      <c r="AV178" s="2931"/>
      <c r="AW178" s="2931"/>
      <c r="AX178" s="1651">
        <f ca="1">AX165/AT165*100-100</f>
        <v>5.7885898929463906</v>
      </c>
      <c r="AY178" s="2931"/>
      <c r="AZ178" s="2931"/>
      <c r="BA178" s="2931"/>
      <c r="BB178" s="1651">
        <f ca="1">BB165/AX165*100-100</f>
        <v>8.5014515421371897</v>
      </c>
      <c r="BC178" s="2931"/>
      <c r="BD178" s="2931"/>
      <c r="BE178" s="2931"/>
      <c r="BF178" s="1651">
        <f ca="1">BF165/BB165*100-100</f>
        <v>2.8554112475930822</v>
      </c>
      <c r="BG178" s="2931"/>
      <c r="BH178" s="2931"/>
      <c r="BI178" s="2931"/>
      <c r="BJ178" s="1651">
        <f ca="1">BJ165/BF165*100-100</f>
        <v>0.78071377951367538</v>
      </c>
      <c r="BK178" s="2931"/>
      <c r="BL178" s="2931"/>
      <c r="BM178" s="2931"/>
      <c r="BN178" s="1651">
        <f ca="1">BN165/BJ165*100-100</f>
        <v>-18.739947502309008</v>
      </c>
      <c r="BO178" s="2931"/>
      <c r="BP178" s="2931"/>
      <c r="BQ178" s="2931"/>
      <c r="BR178" s="1651">
        <f ca="1">BR165/BN165*100-100</f>
        <v>15.784702388624623</v>
      </c>
      <c r="BS178" s="2931"/>
      <c r="BT178" s="2931"/>
      <c r="BU178" s="2931"/>
      <c r="BV178" s="1651">
        <f ca="1">BV165/BR165*100-100</f>
        <v>6.8443516348343678</v>
      </c>
      <c r="BW178" s="2931"/>
      <c r="BX178" s="2931"/>
      <c r="BY178" s="2931"/>
      <c r="BZ178" s="1664">
        <f ca="1">BZ165/BV165*100-100</f>
        <v>0.26255010317264293</v>
      </c>
      <c r="CA178" s="2931"/>
      <c r="CB178" s="2931"/>
      <c r="CC178" s="2931"/>
      <c r="CD178" s="1664">
        <f ca="1">CD165/BZ165*100-100</f>
        <v>-2.8802447919689058</v>
      </c>
      <c r="CE178" s="2931"/>
      <c r="CF178" s="2931"/>
      <c r="CG178" s="2931"/>
      <c r="CH178" s="1664">
        <f ca="1">CH165/CD165*100-100</f>
        <v>3.1434433908073487</v>
      </c>
      <c r="CI178" s="2931"/>
      <c r="CJ178" s="2931"/>
      <c r="CK178" s="2931"/>
      <c r="CL178" s="1664">
        <f ca="1">CL165/CH165*100-100</f>
        <v>3.5191695773266076</v>
      </c>
      <c r="CM178" s="2931"/>
      <c r="CN178" s="2931"/>
      <c r="CO178" s="2931"/>
      <c r="CP178" s="1664">
        <f ca="1">CP165/CL165*100-100</f>
        <v>2.3123418411364725</v>
      </c>
      <c r="CQ178" s="2931"/>
      <c r="CR178" s="2931"/>
      <c r="CS178" s="2931"/>
      <c r="CT178" s="1664">
        <f ca="1">CT165/CP165*100-100</f>
        <v>4.9543854790373985</v>
      </c>
      <c r="CU178" s="2931"/>
      <c r="CV178" s="2931"/>
      <c r="CW178" s="2931"/>
      <c r="CX178" s="1664">
        <f ca="1">CX165/CT165*100-100</f>
        <v>3.5500000000000114</v>
      </c>
      <c r="CY178" s="2931"/>
      <c r="CZ178" s="2931"/>
      <c r="DA178" s="2931"/>
      <c r="DB178" s="1664">
        <f ca="1">DB165/CX165*100-100</f>
        <v>3.3500000000000085</v>
      </c>
      <c r="DC178" s="2931"/>
      <c r="DD178" s="2931"/>
      <c r="DE178" s="2931"/>
      <c r="DF178" s="1664">
        <f ca="1">DF165/DB165*100-100</f>
        <v>3.019999999999996</v>
      </c>
    </row>
    <row r="179" spans="1:110" ht="12.75" hidden="1" customHeight="1">
      <c r="C179" s="3174"/>
      <c r="D179" s="711"/>
      <c r="E179" s="220" t="s">
        <v>443</v>
      </c>
      <c r="F179" s="747"/>
      <c r="G179" s="2930"/>
      <c r="H179" s="2930">
        <f>(H166/G166-1)*100</f>
        <v>6.4185912286467861</v>
      </c>
      <c r="I179" s="2930">
        <f t="shared" ref="I179:N179" si="718">(I166/H166-1)*100</f>
        <v>-2.0034550120272554</v>
      </c>
      <c r="J179" s="2930">
        <f t="shared" si="718"/>
        <v>-5.0225093073487663</v>
      </c>
      <c r="K179" s="2930">
        <f t="shared" si="718"/>
        <v>5.1596925658450088</v>
      </c>
      <c r="L179" s="2930">
        <f t="shared" si="718"/>
        <v>-2.5551106060178519</v>
      </c>
      <c r="M179" s="2930">
        <f t="shared" si="718"/>
        <v>1.200220088614623</v>
      </c>
      <c r="N179" s="2930">
        <f t="shared" si="718"/>
        <v>2.1170325124998168</v>
      </c>
      <c r="O179" s="2930">
        <f t="shared" ref="O179:V179" si="719">(O166/N166-1)*100</f>
        <v>6.3172536072389152</v>
      </c>
      <c r="P179" s="2930">
        <f t="shared" si="719"/>
        <v>7.6141390035031398</v>
      </c>
      <c r="Q179" s="2930">
        <f t="shared" si="719"/>
        <v>0.52213333214581326</v>
      </c>
      <c r="R179" s="2930">
        <f t="shared" si="719"/>
        <v>3.6009515708893769</v>
      </c>
      <c r="S179" s="2930">
        <f t="shared" si="719"/>
        <v>-0.26169447170429905</v>
      </c>
      <c r="T179" s="2930">
        <f t="shared" si="719"/>
        <v>2.3854387059295323</v>
      </c>
      <c r="U179" s="2930">
        <f t="shared" si="719"/>
        <v>6.8859460874116651</v>
      </c>
      <c r="V179" s="2930">
        <f t="shared" si="719"/>
        <v>1.8869218082168127</v>
      </c>
      <c r="W179" s="2930">
        <f t="shared" ref="W179:BJ179" si="720">(W166/V166-1)*100</f>
        <v>0.85322033963475263</v>
      </c>
      <c r="X179" s="2930">
        <f t="shared" si="720"/>
        <v>5.6425555439061359</v>
      </c>
      <c r="Y179" s="2930">
        <f t="shared" si="720"/>
        <v>0.34230446511542834</v>
      </c>
      <c r="Z179" s="2930">
        <f t="shared" si="720"/>
        <v>0.57959077977709494</v>
      </c>
      <c r="AA179" s="2930">
        <f t="shared" si="720"/>
        <v>2.2853362655438358</v>
      </c>
      <c r="AB179" s="2930">
        <f t="shared" si="720"/>
        <v>3.5277851096074508</v>
      </c>
      <c r="AC179" s="2930">
        <f t="shared" si="720"/>
        <v>4.0842927791256978</v>
      </c>
      <c r="AD179" s="2930">
        <f t="shared" si="720"/>
        <v>8.6362596701483838</v>
      </c>
      <c r="AE179" s="2930">
        <f t="shared" si="720"/>
        <v>1.7467574936762542</v>
      </c>
      <c r="AF179" s="2930">
        <f t="shared" si="720"/>
        <v>-0.53889368296851092</v>
      </c>
      <c r="AG179" s="2930">
        <f t="shared" si="720"/>
        <v>4.0228765692228885</v>
      </c>
      <c r="AH179" s="2930">
        <f t="shared" si="720"/>
        <v>0.93561876230516816</v>
      </c>
      <c r="AI179" s="2930">
        <f t="shared" si="720"/>
        <v>-2.3804638665287592</v>
      </c>
      <c r="AJ179" s="2930">
        <f t="shared" si="720"/>
        <v>-0.45735591561157918</v>
      </c>
      <c r="AK179" s="2930">
        <f t="shared" si="720"/>
        <v>-1.5079511994770534</v>
      </c>
      <c r="AL179" s="2930">
        <f t="shared" si="720"/>
        <v>-4.4520080288852126</v>
      </c>
      <c r="AM179" s="2930">
        <f t="shared" si="720"/>
        <v>7.3444686739785769</v>
      </c>
      <c r="AN179" s="2930">
        <f t="shared" si="720"/>
        <v>-2.8211357555264049</v>
      </c>
      <c r="AO179" s="2930">
        <f t="shared" si="720"/>
        <v>-4.2574693543218078E-2</v>
      </c>
      <c r="AP179" s="2930">
        <f t="shared" si="720"/>
        <v>3.9864823040803632</v>
      </c>
      <c r="AQ179" s="2930">
        <f t="shared" si="720"/>
        <v>1.3771902597485397</v>
      </c>
      <c r="AR179" s="2930">
        <f t="shared" si="720"/>
        <v>5.3908657260612669</v>
      </c>
      <c r="AS179" s="2930">
        <f t="shared" si="720"/>
        <v>0.60742010283296732</v>
      </c>
      <c r="AT179" s="2930">
        <f t="shared" si="720"/>
        <v>0.96331466740853244</v>
      </c>
      <c r="AU179" s="2930">
        <f t="shared" si="720"/>
        <v>-0.5576385379161497</v>
      </c>
      <c r="AV179" s="2930">
        <f t="shared" si="720"/>
        <v>2.9670671697359818</v>
      </c>
      <c r="AW179" s="2930">
        <f t="shared" si="720"/>
        <v>6.6899899496462023</v>
      </c>
      <c r="AX179" s="2930">
        <f t="shared" si="720"/>
        <v>7.4847131816307311</v>
      </c>
      <c r="AY179" s="2930">
        <f t="shared" si="720"/>
        <v>-1.3841388476446337</v>
      </c>
      <c r="AZ179" s="2930">
        <f t="shared" si="720"/>
        <v>1.1939052860703514</v>
      </c>
      <c r="BA179" s="2930">
        <f t="shared" si="720"/>
        <v>0.66647645710922188</v>
      </c>
      <c r="BB179" s="2930">
        <f t="shared" si="720"/>
        <v>1.1472084815042916</v>
      </c>
      <c r="BC179" s="2930">
        <f t="shared" si="720"/>
        <v>5.5625121771282204</v>
      </c>
      <c r="BD179" s="2930">
        <f t="shared" si="720"/>
        <v>3.7957646951474189</v>
      </c>
      <c r="BE179" s="2930">
        <f t="shared" si="720"/>
        <v>-0.34624544466463902</v>
      </c>
      <c r="BF179" s="2930">
        <f t="shared" si="720"/>
        <v>0.5581630341293442</v>
      </c>
      <c r="BG179" s="2930">
        <f t="shared" si="720"/>
        <v>4.8239204247522149</v>
      </c>
      <c r="BH179" s="2930">
        <f t="shared" si="720"/>
        <v>-2.6533119800364324</v>
      </c>
      <c r="BI179" s="2930">
        <f t="shared" si="720"/>
        <v>1.6749445104414118</v>
      </c>
      <c r="BJ179" s="2930">
        <f t="shared" si="720"/>
        <v>3.1619170972009725</v>
      </c>
      <c r="BK179" s="2930">
        <f t="shared" ref="BK179:BR179" si="721">(BK166/BJ166-1)*100</f>
        <v>-2.0668381037358796</v>
      </c>
      <c r="BL179" s="2930">
        <f t="shared" si="721"/>
        <v>-1.7784490022609845E-2</v>
      </c>
      <c r="BM179" s="2930">
        <f t="shared" si="721"/>
        <v>-2.0743067333402587</v>
      </c>
      <c r="BN179" s="2930">
        <f t="shared" si="721"/>
        <v>-2.4059625987387756</v>
      </c>
      <c r="BO179" s="2930">
        <f t="shared" si="721"/>
        <v>2.7089274072746861</v>
      </c>
      <c r="BP179" s="2930">
        <f t="shared" si="721"/>
        <v>-0.4753220173422279</v>
      </c>
      <c r="BQ179" s="2930">
        <f t="shared" si="721"/>
        <v>3.1613579779304901</v>
      </c>
      <c r="BR179" s="2930">
        <f t="shared" si="721"/>
        <v>3.2214404032109734</v>
      </c>
      <c r="BS179" s="2930">
        <f>(BS166/BR166-1)*100</f>
        <v>-3.1764058279521445</v>
      </c>
      <c r="BT179" s="2930">
        <f>(BT166/BS166-1)*100</f>
        <v>3.1500970829775987</v>
      </c>
      <c r="BU179" s="2930">
        <f>(BU166/BT166-1)*100</f>
        <v>1.8143381881704279</v>
      </c>
      <c r="BV179" s="2930">
        <f>(BV166/BU166-1)*100</f>
        <v>0.70068098782352095</v>
      </c>
      <c r="BW179" s="777">
        <v>0</v>
      </c>
      <c r="BX179" s="777">
        <v>0</v>
      </c>
      <c r="BY179" s="777">
        <v>0</v>
      </c>
      <c r="BZ179" s="777">
        <v>0</v>
      </c>
      <c r="CA179" s="777">
        <v>0</v>
      </c>
      <c r="CB179" s="777">
        <v>0</v>
      </c>
      <c r="CC179" s="777">
        <v>0</v>
      </c>
      <c r="CD179" s="777">
        <v>0</v>
      </c>
      <c r="CE179" s="777">
        <v>0</v>
      </c>
      <c r="CF179" s="777">
        <v>0</v>
      </c>
      <c r="CG179" s="777">
        <v>0</v>
      </c>
      <c r="CH179" s="777">
        <v>0</v>
      </c>
      <c r="CI179" s="777">
        <v>0</v>
      </c>
      <c r="CJ179" s="777">
        <v>0</v>
      </c>
      <c r="CK179" s="777">
        <v>0</v>
      </c>
      <c r="CL179" s="777">
        <v>0</v>
      </c>
      <c r="CM179" s="777">
        <v>0</v>
      </c>
      <c r="CN179" s="777">
        <v>0</v>
      </c>
      <c r="CO179" s="777">
        <v>0</v>
      </c>
      <c r="CP179" s="777">
        <v>0</v>
      </c>
      <c r="CQ179" s="777">
        <v>0</v>
      </c>
      <c r="CR179" s="777">
        <v>0</v>
      </c>
      <c r="CS179" s="777">
        <v>0</v>
      </c>
      <c r="CT179" s="777">
        <v>0</v>
      </c>
      <c r="CU179" s="777">
        <v>0</v>
      </c>
      <c r="CV179" s="777">
        <v>0</v>
      </c>
      <c r="CW179" s="777">
        <v>0</v>
      </c>
      <c r="CX179" s="777">
        <v>0</v>
      </c>
      <c r="CY179" s="777">
        <v>0</v>
      </c>
      <c r="CZ179" s="777">
        <v>0</v>
      </c>
      <c r="DA179" s="777">
        <v>0</v>
      </c>
      <c r="DB179" s="777">
        <v>0</v>
      </c>
      <c r="DC179" s="777">
        <v>0</v>
      </c>
      <c r="DD179" s="777">
        <v>0</v>
      </c>
      <c r="DE179" s="777">
        <v>0</v>
      </c>
      <c r="DF179" s="777">
        <v>0</v>
      </c>
    </row>
    <row r="180" spans="1:110" ht="12.75" hidden="1" customHeight="1">
      <c r="C180" s="3174"/>
      <c r="D180" s="754"/>
      <c r="E180" s="3169" t="s">
        <v>353</v>
      </c>
      <c r="F180" s="961"/>
      <c r="G180" s="2931"/>
      <c r="H180" s="2931"/>
      <c r="I180" s="2931"/>
      <c r="J180" s="2931"/>
      <c r="K180" s="2931"/>
      <c r="L180" s="2931"/>
      <c r="M180" s="2931"/>
      <c r="N180" s="1660">
        <f>N167/J167*100-100</f>
        <v>0.85668618887785897</v>
      </c>
      <c r="O180" s="2931"/>
      <c r="P180" s="2931"/>
      <c r="Q180" s="2931"/>
      <c r="R180" s="1660">
        <f>R167/N167*100-100</f>
        <v>15.455927955701654</v>
      </c>
      <c r="S180" s="2931"/>
      <c r="T180" s="2931"/>
      <c r="U180" s="2931"/>
      <c r="V180" s="1660">
        <f>V167/R167*100-100</f>
        <v>10.592077041026045</v>
      </c>
      <c r="W180" s="2931"/>
      <c r="X180" s="2931"/>
      <c r="Y180" s="2931"/>
      <c r="Z180" s="1660">
        <f>Z167/V167*100-100</f>
        <v>11.108764861759511</v>
      </c>
      <c r="AA180" s="2931"/>
      <c r="AB180" s="2931"/>
      <c r="AC180" s="2931"/>
      <c r="AD180" s="1660">
        <f>AD167/Z167*100-100</f>
        <v>11.683575970178993</v>
      </c>
      <c r="AE180" s="2931"/>
      <c r="AF180" s="2931"/>
      <c r="AG180" s="2931"/>
      <c r="AH180" s="1660">
        <f>AH167/AD167*100-100</f>
        <v>13.26983370420804</v>
      </c>
      <c r="AI180" s="2931"/>
      <c r="AJ180" s="2931"/>
      <c r="AK180" s="2931"/>
      <c r="AL180" s="1660">
        <f>AL167/AH167*100-100</f>
        <v>-2.0829760650677542</v>
      </c>
      <c r="AM180" s="2931"/>
      <c r="AN180" s="2931"/>
      <c r="AO180" s="2931"/>
      <c r="AP180" s="1660">
        <f>AP167/AL167*100-100</f>
        <v>1.6016189118336968</v>
      </c>
      <c r="AQ180" s="2931"/>
      <c r="AR180" s="2931"/>
      <c r="AS180" s="2931"/>
      <c r="AT180" s="1660">
        <f>AT167/AP167*100-100</f>
        <v>8.3969935594380587</v>
      </c>
      <c r="AU180" s="2931"/>
      <c r="AV180" s="2931"/>
      <c r="AW180" s="2931"/>
      <c r="AX180" s="1660">
        <f>AX167/AT167*100-100</f>
        <v>9.6165744601239851</v>
      </c>
      <c r="AY180" s="2931"/>
      <c r="AZ180" s="2931"/>
      <c r="BA180" s="2931"/>
      <c r="BB180" s="1660">
        <f>BB167/AX167*100-100</f>
        <v>9.7414275748210173</v>
      </c>
      <c r="BC180" s="2931"/>
      <c r="BD180" s="2931"/>
      <c r="BE180" s="2931"/>
      <c r="BF180" s="1660">
        <f>BF167/BB167*100-100</f>
        <v>10.146885657472282</v>
      </c>
      <c r="BG180" s="2931"/>
      <c r="BH180" s="2931"/>
      <c r="BI180" s="2931"/>
      <c r="BJ180" s="1660">
        <f>BJ167/BF167*100-100</f>
        <v>5.6336348450944058</v>
      </c>
      <c r="BK180" s="2931"/>
      <c r="BL180" s="2931"/>
      <c r="BM180" s="2931"/>
      <c r="BN180" s="1660">
        <f>BN167/BJ167*100-100</f>
        <v>-1.2553579586601131</v>
      </c>
      <c r="BO180" s="2931"/>
      <c r="BP180" s="2931"/>
      <c r="BQ180" s="2931"/>
      <c r="BR180" s="1660">
        <f>BR167/BN167*100-100</f>
        <v>1.8156292241080934</v>
      </c>
      <c r="BS180" s="2931"/>
      <c r="BT180" s="2931"/>
      <c r="BU180" s="2931"/>
      <c r="BV180" s="1660">
        <f>BV167/BR167*100-100</f>
        <v>4.0589447493874786</v>
      </c>
      <c r="BW180" s="2931"/>
      <c r="BX180" s="2931"/>
      <c r="BY180" s="2931"/>
      <c r="BZ180" s="1662">
        <f>BZ167/BV167*100-100</f>
        <v>2.1986080000073116</v>
      </c>
      <c r="CA180" s="2931"/>
      <c r="CB180" s="2931"/>
      <c r="CC180" s="2931"/>
      <c r="CD180" s="1662">
        <f>CD167/BZ167*100-100</f>
        <v>0</v>
      </c>
      <c r="CE180" s="2931"/>
      <c r="CF180" s="2931"/>
      <c r="CG180" s="2931"/>
      <c r="CH180" s="1662">
        <f>CH167/CD167*100-100</f>
        <v>0</v>
      </c>
      <c r="CI180" s="2931"/>
      <c r="CJ180" s="2931"/>
      <c r="CK180" s="2931"/>
      <c r="CL180" s="1662">
        <f>CL167/CH167*100-100</f>
        <v>0</v>
      </c>
      <c r="CM180" s="2931"/>
      <c r="CN180" s="2931"/>
      <c r="CO180" s="2931"/>
      <c r="CP180" s="1662">
        <f>CP167/CL167*100-100</f>
        <v>0</v>
      </c>
      <c r="CQ180" s="2931"/>
      <c r="CR180" s="2931"/>
      <c r="CS180" s="2931"/>
      <c r="CT180" s="1662">
        <f>CT167/CP167*100-100</f>
        <v>0</v>
      </c>
      <c r="CU180" s="2931"/>
      <c r="CV180" s="2931"/>
      <c r="CW180" s="2931"/>
      <c r="CX180" s="1662">
        <f>CX167/CT167*100-100</f>
        <v>0</v>
      </c>
      <c r="CY180" s="2931"/>
      <c r="CZ180" s="2931"/>
      <c r="DA180" s="2931"/>
      <c r="DB180" s="1662">
        <f>DB167/CX167*100-100</f>
        <v>0</v>
      </c>
      <c r="DC180" s="2931"/>
      <c r="DD180" s="2931"/>
      <c r="DE180" s="2931"/>
      <c r="DF180" s="1662">
        <f>DF167/DB167*100-100</f>
        <v>0</v>
      </c>
    </row>
    <row r="181" spans="1:110" ht="12.75" hidden="1" customHeight="1">
      <c r="C181" s="3174"/>
      <c r="D181" s="754"/>
      <c r="E181" s="3169" t="s">
        <v>136</v>
      </c>
      <c r="F181" s="961"/>
      <c r="G181" s="2931"/>
      <c r="H181" s="2931"/>
      <c r="I181" s="2931"/>
      <c r="J181" s="2931"/>
      <c r="K181" s="2931"/>
      <c r="L181" s="2931"/>
      <c r="M181" s="2931"/>
      <c r="N181" s="1651">
        <f ca="1">N168/J168*100-100</f>
        <v>0.72311812520173646</v>
      </c>
      <c r="O181" s="2931"/>
      <c r="P181" s="2931"/>
      <c r="Q181" s="2931"/>
      <c r="R181" s="1651">
        <f ca="1">R168/N168*100-100</f>
        <v>15.586309794875234</v>
      </c>
      <c r="S181" s="2931"/>
      <c r="T181" s="2931"/>
      <c r="U181" s="2931"/>
      <c r="V181" s="1651">
        <f ca="1">V168/R168*100-100</f>
        <v>10.587069316342479</v>
      </c>
      <c r="W181" s="2931"/>
      <c r="X181" s="2931"/>
      <c r="Y181" s="2931"/>
      <c r="Z181" s="1651">
        <f ca="1">Z168/V168*100-100</f>
        <v>11.260400206163368</v>
      </c>
      <c r="AA181" s="2931"/>
      <c r="AB181" s="2931"/>
      <c r="AC181" s="2931"/>
      <c r="AD181" s="1651">
        <f ca="1">AD168/Z168*100-100</f>
        <v>11.485426230113234</v>
      </c>
      <c r="AE181" s="2931"/>
      <c r="AF181" s="2931"/>
      <c r="AG181" s="2931"/>
      <c r="AH181" s="1651">
        <f ca="1">AH168/AD168*100-100</f>
        <v>12.988124877386269</v>
      </c>
      <c r="AI181" s="2931"/>
      <c r="AJ181" s="2931"/>
      <c r="AK181" s="2931"/>
      <c r="AL181" s="1651">
        <f ca="1">AL168/AH168*100-100</f>
        <v>-2.1581970881732815</v>
      </c>
      <c r="AM181" s="2931"/>
      <c r="AN181" s="2931"/>
      <c r="AO181" s="2931"/>
      <c r="AP181" s="1651">
        <f ca="1">AP168/AL168*100-100</f>
        <v>1.5989186266399003</v>
      </c>
      <c r="AQ181" s="2931"/>
      <c r="AR181" s="2931"/>
      <c r="AS181" s="2931"/>
      <c r="AT181" s="1651">
        <f ca="1">AT168/AP168*100-100</f>
        <v>9.030452513571035</v>
      </c>
      <c r="AU181" s="2931"/>
      <c r="AV181" s="2931"/>
      <c r="AW181" s="2931"/>
      <c r="AX181" s="1651">
        <f ca="1">AX168/AT168*100-100</f>
        <v>9.6335521613301296</v>
      </c>
      <c r="AY181" s="2931"/>
      <c r="AZ181" s="2931"/>
      <c r="BA181" s="2931"/>
      <c r="BB181" s="1651">
        <f ca="1">BB168/AX168*100-100</f>
        <v>9.2183346801920152</v>
      </c>
      <c r="BC181" s="2931"/>
      <c r="BD181" s="2931"/>
      <c r="BE181" s="2931"/>
      <c r="BF181" s="1651">
        <f ca="1">BF168/BB168*100-100</f>
        <v>10.134076214473552</v>
      </c>
      <c r="BG181" s="2931"/>
      <c r="BH181" s="2931"/>
      <c r="BI181" s="2931"/>
      <c r="BJ181" s="1651">
        <f ca="1">BJ168/BF168*100-100</f>
        <v>5.8780654182940992</v>
      </c>
      <c r="BK181" s="2931"/>
      <c r="BL181" s="2931"/>
      <c r="BM181" s="2931"/>
      <c r="BN181" s="1651">
        <f ca="1">BN168/BJ168*100-100</f>
        <v>-1.3902461879388852</v>
      </c>
      <c r="BO181" s="2931"/>
      <c r="BP181" s="2931"/>
      <c r="BQ181" s="2931"/>
      <c r="BR181" s="1651">
        <f ca="1">BR168/BN168*100-100</f>
        <v>2.1683425441430018</v>
      </c>
      <c r="BS181" s="2931"/>
      <c r="BT181" s="2931"/>
      <c r="BU181" s="2931"/>
      <c r="BV181" s="1651">
        <f ca="1">BV168/BR168*100-100</f>
        <v>3.985603593539949</v>
      </c>
      <c r="BW181" s="2931"/>
      <c r="BX181" s="2931"/>
      <c r="BY181" s="2931"/>
      <c r="BZ181" s="1664">
        <f ca="1">BZ168/BV168*100-100</f>
        <v>3.0419666627224444</v>
      </c>
      <c r="CA181" s="2931"/>
      <c r="CB181" s="2931"/>
      <c r="CC181" s="2931"/>
      <c r="CD181" s="1664">
        <f ca="1">CD168/BZ168*100-100</f>
        <v>4.9544299262516347</v>
      </c>
      <c r="CE181" s="2931"/>
      <c r="CF181" s="2931"/>
      <c r="CG181" s="2931"/>
      <c r="CH181" s="1664">
        <f ca="1">CH168/CD168*100-100</f>
        <v>10.448979540298069</v>
      </c>
      <c r="CI181" s="2931"/>
      <c r="CJ181" s="2931"/>
      <c r="CK181" s="2931"/>
      <c r="CL181" s="1664">
        <f ca="1">CL168/CH168*100-100</f>
        <v>10.666697229302684</v>
      </c>
      <c r="CM181" s="2931"/>
      <c r="CN181" s="2931"/>
      <c r="CO181" s="2931"/>
      <c r="CP181" s="1664">
        <f ca="1">CP168/CL168*100-100</f>
        <v>4.3556496333770838</v>
      </c>
      <c r="CQ181" s="2931"/>
      <c r="CR181" s="2931"/>
      <c r="CS181" s="2931"/>
      <c r="CT181" s="1664">
        <f ca="1">CT168/CP168*100-100</f>
        <v>-0.29525342266467192</v>
      </c>
      <c r="CU181" s="2931"/>
      <c r="CV181" s="2931"/>
      <c r="CW181" s="2931"/>
      <c r="CX181" s="1664">
        <f ca="1">CX168/CT168*100-100</f>
        <v>3.1899999999999977</v>
      </c>
      <c r="CY181" s="2931"/>
      <c r="CZ181" s="2931"/>
      <c r="DA181" s="2931"/>
      <c r="DB181" s="1664">
        <f ca="1">DB168/CX168*100-100</f>
        <v>2.9900000000000091</v>
      </c>
      <c r="DC181" s="2931"/>
      <c r="DD181" s="2931"/>
      <c r="DE181" s="2931"/>
      <c r="DF181" s="1664">
        <f ca="1">DF168/DB168*100-100</f>
        <v>2.9900000000000091</v>
      </c>
    </row>
    <row r="182" spans="1:110" ht="12.75" hidden="1" customHeight="1">
      <c r="C182" s="3174"/>
      <c r="D182" s="711"/>
      <c r="E182" s="2930" t="s">
        <v>487</v>
      </c>
      <c r="F182" s="747"/>
      <c r="G182" s="2930"/>
      <c r="H182" s="2930">
        <f>(H169/G169-1)*100</f>
        <v>731.52387181166671</v>
      </c>
      <c r="I182" s="2930">
        <f t="shared" ref="I182:BJ182" si="722">(I169/H169-1)*100</f>
        <v>-153.70064495831244</v>
      </c>
      <c r="J182" s="2930">
        <f t="shared" si="722"/>
        <v>-191.9370194068124</v>
      </c>
      <c r="K182" s="2930">
        <f t="shared" si="722"/>
        <v>-82.483670543252302</v>
      </c>
      <c r="L182" s="2930">
        <f t="shared" si="722"/>
        <v>1215.2796725783921</v>
      </c>
      <c r="M182" s="2930">
        <f t="shared" si="722"/>
        <v>-134.99636967119625</v>
      </c>
      <c r="N182" s="2930">
        <f t="shared" si="722"/>
        <v>-246.49278798656442</v>
      </c>
      <c r="O182" s="2930">
        <f t="shared" si="722"/>
        <v>-41.462098732130251</v>
      </c>
      <c r="P182" s="2930">
        <f t="shared" si="722"/>
        <v>172.24654377880597</v>
      </c>
      <c r="Q182" s="2930">
        <f t="shared" si="722"/>
        <v>-122.52549617028565</v>
      </c>
      <c r="R182" s="2930">
        <f t="shared" si="722"/>
        <v>-346.64662784143439</v>
      </c>
      <c r="S182" s="2930">
        <f t="shared" si="722"/>
        <v>-41.282656714143648</v>
      </c>
      <c r="T182" s="2930">
        <f t="shared" si="722"/>
        <v>197.2240238682005</v>
      </c>
      <c r="U182" s="2930">
        <f t="shared" si="722"/>
        <v>-116.47536333086018</v>
      </c>
      <c r="V182" s="2930">
        <f t="shared" si="722"/>
        <v>-385.32450331125477</v>
      </c>
      <c r="W182" s="2930">
        <f t="shared" si="722"/>
        <v>-77.773651471543232</v>
      </c>
      <c r="X182" s="2930">
        <f t="shared" si="722"/>
        <v>454.46950710108001</v>
      </c>
      <c r="Y182" s="2930">
        <f t="shared" si="722"/>
        <v>-120.1446436643057</v>
      </c>
      <c r="Z182" s="2930">
        <f t="shared" si="722"/>
        <v>-448.24233358263717</v>
      </c>
      <c r="AA182" s="2930">
        <f t="shared" si="722"/>
        <v>-74.634879725085796</v>
      </c>
      <c r="AB182" s="2930">
        <f t="shared" si="722"/>
        <v>577.60372565623413</v>
      </c>
      <c r="AC182" s="2930">
        <f t="shared" si="722"/>
        <v>-106.73539518899948</v>
      </c>
      <c r="AD182" s="2930">
        <f t="shared" si="722"/>
        <v>-704.08163265343649</v>
      </c>
      <c r="AE182" s="2930">
        <f t="shared" si="722"/>
        <v>-194.31818181817434</v>
      </c>
      <c r="AF182" s="2930">
        <f t="shared" si="722"/>
        <v>-172.58222077499818</v>
      </c>
      <c r="AG182" s="2930">
        <f t="shared" si="722"/>
        <v>-121.89322566172824</v>
      </c>
      <c r="AH182" s="2930">
        <f t="shared" si="722"/>
        <v>-185.04098360659734</v>
      </c>
      <c r="AI182" s="2930">
        <f t="shared" si="722"/>
        <v>-144.21686746991199</v>
      </c>
      <c r="AJ182" s="2930">
        <f t="shared" si="722"/>
        <v>-1046.3215258845692</v>
      </c>
      <c r="AK182" s="2930">
        <f t="shared" si="722"/>
        <v>-237.71955082061581</v>
      </c>
      <c r="AL182" s="2930">
        <f t="shared" si="722"/>
        <v>-229.64666527283879</v>
      </c>
      <c r="AM182" s="2930">
        <f t="shared" si="722"/>
        <v>-67.311723915493715</v>
      </c>
      <c r="AN182" s="2930">
        <f t="shared" si="722"/>
        <v>252.44203256041681</v>
      </c>
      <c r="AO182" s="2930">
        <f t="shared" si="722"/>
        <v>-194.16293393057259</v>
      </c>
      <c r="AP182" s="2930">
        <f t="shared" si="722"/>
        <v>-186.91838858330803</v>
      </c>
      <c r="AQ182" s="2930">
        <f t="shared" si="722"/>
        <v>-31.965110312975188</v>
      </c>
      <c r="AR182" s="2930">
        <f t="shared" si="722"/>
        <v>12.719959778787482</v>
      </c>
      <c r="AS182" s="2930">
        <f t="shared" si="722"/>
        <v>-248.01516503122602</v>
      </c>
      <c r="AT182" s="2930">
        <f t="shared" si="722"/>
        <v>-188.08196474310603</v>
      </c>
      <c r="AU182" s="2930">
        <f t="shared" si="722"/>
        <v>18.234690386575835</v>
      </c>
      <c r="AV182" s="2930">
        <f t="shared" si="722"/>
        <v>-135.63368055555389</v>
      </c>
      <c r="AW182" s="2930">
        <f t="shared" si="722"/>
        <v>250.34510759239873</v>
      </c>
      <c r="AX182" s="2930">
        <f t="shared" si="722"/>
        <v>-217.5570749797277</v>
      </c>
      <c r="AY182" s="2930">
        <f t="shared" si="722"/>
        <v>-65.960173501581437</v>
      </c>
      <c r="AZ182" s="2930">
        <f t="shared" si="722"/>
        <v>-52.476107732402525</v>
      </c>
      <c r="BA182" s="2930">
        <f t="shared" si="722"/>
        <v>-816.94088970136602</v>
      </c>
      <c r="BB182" s="2930">
        <f t="shared" si="722"/>
        <v>-211.3387165320913</v>
      </c>
      <c r="BC182" s="2930">
        <f t="shared" si="722"/>
        <v>-48.660203068938756</v>
      </c>
      <c r="BD182" s="2930">
        <f t="shared" si="722"/>
        <v>-109.68029739777411</v>
      </c>
      <c r="BE182" s="2930">
        <f t="shared" si="722"/>
        <v>2292.9339477716185</v>
      </c>
      <c r="BF182" s="2930">
        <f t="shared" si="722"/>
        <v>-220.77288483759014</v>
      </c>
      <c r="BG182" s="2930">
        <f t="shared" si="722"/>
        <v>-23.014776230469145</v>
      </c>
      <c r="BH182" s="2930">
        <f t="shared" si="722"/>
        <v>-169.87020160176925</v>
      </c>
      <c r="BI182" s="2930">
        <f t="shared" si="722"/>
        <v>120.19762845849588</v>
      </c>
      <c r="BJ182" s="2930">
        <f t="shared" si="722"/>
        <v>-190.39220965715293</v>
      </c>
      <c r="BK182" s="2930">
        <f t="shared" ref="BK182:BM184" si="723">(BK169/BJ169-1)*100</f>
        <v>-82.70863327210381</v>
      </c>
      <c r="BL182" s="2930">
        <f t="shared" si="723"/>
        <v>-329.31380993397033</v>
      </c>
      <c r="BM182" s="2930">
        <f t="shared" si="723"/>
        <v>37.248028045568596</v>
      </c>
      <c r="BN182" s="2930">
        <f t="shared" ref="BN182:BR184" si="724">(BN169/BM169-1)*100</f>
        <v>-202.82795110381758</v>
      </c>
      <c r="BO182" s="2930">
        <f t="shared" si="724"/>
        <v>-48.864442867281312</v>
      </c>
      <c r="BP182" s="2930">
        <f t="shared" si="724"/>
        <v>-184.85426786953121</v>
      </c>
      <c r="BQ182" s="2930">
        <f t="shared" si="724"/>
        <v>133.75587814352747</v>
      </c>
      <c r="BR182" s="2930">
        <f t="shared" si="724"/>
        <v>-138.22268870812505</v>
      </c>
      <c r="BS182" s="2930">
        <f t="shared" ref="BS182:BV184" si="725">(BS169/BR169-1)*100</f>
        <v>82.471395881016733</v>
      </c>
      <c r="BT182" s="2930">
        <f t="shared" si="725"/>
        <v>-85.991973915225287</v>
      </c>
      <c r="BU182" s="2930">
        <f t="shared" si="725"/>
        <v>-1188.8093106535719</v>
      </c>
      <c r="BV182" s="2930">
        <f t="shared" si="725"/>
        <v>-95.897056405197119</v>
      </c>
      <c r="BW182" s="2930">
        <f t="shared" ref="BW182:CD182" si="726">(BW169/BV169-1)*100</f>
        <v>-24303.006012026854</v>
      </c>
      <c r="BX182" s="2930">
        <f t="shared" si="726"/>
        <v>50.251297889429459</v>
      </c>
      <c r="BY182" s="2930">
        <f t="shared" si="726"/>
        <v>-47.332514066228427</v>
      </c>
      <c r="BZ182" s="2930">
        <f t="shared" si="726"/>
        <v>-60.360775122421686</v>
      </c>
      <c r="CA182" s="2930">
        <f>(CA169/BZ169-1)*100</f>
        <v>-12.730968218772187</v>
      </c>
      <c r="CB182" s="2930">
        <f>(CB169/CA169-1)*100</f>
        <v>187.6470766159521</v>
      </c>
      <c r="CC182" s="2930">
        <f t="shared" si="726"/>
        <v>9.1304850734508882</v>
      </c>
      <c r="CD182" s="2930">
        <f t="shared" si="726"/>
        <v>-36.614249099073682</v>
      </c>
      <c r="CE182" s="2930">
        <f>(CE169/CD169-1)*100</f>
        <v>271.28133408327801</v>
      </c>
      <c r="CF182" s="2930">
        <f>(CF169/CE169-1)*100</f>
        <v>21.527595807402712</v>
      </c>
      <c r="CG182" s="2930">
        <f t="shared" ref="CG182:CL182" si="727">(CG169/CF169-1)*100</f>
        <v>8.7093481212456858</v>
      </c>
      <c r="CH182" s="2930">
        <f t="shared" si="727"/>
        <v>16.850032540986248</v>
      </c>
      <c r="CI182" s="2930">
        <f>(CI169/CH169-1)*100</f>
        <v>12.381179715680268</v>
      </c>
      <c r="CJ182" s="2930">
        <f>(CJ169/CI169-1)*100</f>
        <v>13.005697131609928</v>
      </c>
      <c r="CK182" s="2930">
        <f t="shared" si="727"/>
        <v>29.056032412338272</v>
      </c>
      <c r="CL182" s="2930">
        <f t="shared" si="727"/>
        <v>9.5821891096335996</v>
      </c>
      <c r="CM182" s="2930">
        <f>(CM169/CL169-1)*100</f>
        <v>-6.7148276732829082</v>
      </c>
      <c r="CN182" s="2930">
        <f>(CN169/CM169-1)*100</f>
        <v>-6.4657069314328908</v>
      </c>
      <c r="CO182" s="2930">
        <f>(CO169/CN169-1)*100</f>
        <v>18.858676704047305</v>
      </c>
      <c r="CP182" s="2930">
        <f t="shared" ref="CP182" si="728">(CP169/CO169-1)*100</f>
        <v>9.072087440159704</v>
      </c>
      <c r="CQ182" s="2930">
        <f>(CQ169/CP169-1)*100</f>
        <v>-4.5096723490140045</v>
      </c>
      <c r="CR182" s="2930">
        <f>(CR169/CQ169-1)*100</f>
        <v>17.422148214378417</v>
      </c>
      <c r="CS182" s="2930">
        <f>(CS169/CR169-1)*100</f>
        <v>-0.45395854411914849</v>
      </c>
      <c r="CT182" s="2930">
        <f t="shared" ref="CT182" si="729">(CT169/CS169-1)*100</f>
        <v>13.646358436940819</v>
      </c>
      <c r="CU182" s="2930">
        <f t="shared" ref="CU182" si="730">(CU169/CT169-1)*100</f>
        <v>9.015452856702133E-2</v>
      </c>
      <c r="CV182" s="2930">
        <f>(CV169/CU169-1)*100</f>
        <v>2.165152934426362</v>
      </c>
      <c r="CW182" s="2930">
        <f t="shared" ref="CW182" si="731">(CW169/CV169-1)*100</f>
        <v>5.7069517048142338</v>
      </c>
      <c r="CX182" s="2930">
        <f t="shared" ref="CX182" si="732">(CX169/CW169-1)*100</f>
        <v>4.8002707237130737</v>
      </c>
      <c r="CY182" s="2930">
        <f t="shared" ref="CY182" si="733">(CY169/CX169-1)*100</f>
        <v>3.455766524776327</v>
      </c>
      <c r="CZ182" s="2930">
        <f t="shared" ref="CZ182" si="734">(CZ169/CY169-1)*100</f>
        <v>4.1695252670031824</v>
      </c>
      <c r="DA182" s="2930">
        <f t="shared" ref="DA182" si="735">(DA169/CZ169-1)*100</f>
        <v>2.9825084520460621</v>
      </c>
      <c r="DB182" s="2930">
        <f t="shared" ref="DB182" si="736">(DB169/DA169-1)*100</f>
        <v>2.6458830925500276</v>
      </c>
      <c r="DC182" s="2930">
        <f t="shared" ref="DC182" si="737">(DC169/DB169-1)*100</f>
        <v>3.8673598515274188</v>
      </c>
      <c r="DD182" s="2930">
        <f t="shared" ref="DD182" si="738">(DD169/DC169-1)*100</f>
        <v>3.3292966653928557</v>
      </c>
      <c r="DE182" s="2930">
        <f t="shared" ref="DE182" si="739">(DE169/DD169-1)*100</f>
        <v>3.1638972144295341</v>
      </c>
      <c r="DF182" s="2930">
        <f t="shared" ref="DF182" si="740">(DF169/DE169-1)*100</f>
        <v>2.5615907247223513</v>
      </c>
    </row>
    <row r="183" spans="1:110" ht="15" customHeight="1">
      <c r="C183" s="3174"/>
      <c r="D183" s="754"/>
      <c r="E183" s="755" t="s">
        <v>1419</v>
      </c>
      <c r="F183" s="961"/>
      <c r="G183" s="2931"/>
      <c r="H183" s="2931">
        <f>(H170/G170-1)*100</f>
        <v>2.0698722384612234</v>
      </c>
      <c r="I183" s="2931">
        <f t="shared" ref="I183:BJ183" si="741">(I170/H170-1)*100</f>
        <v>-2.7646835321478047</v>
      </c>
      <c r="J183" s="2931">
        <f t="shared" si="741"/>
        <v>2.0782028628293592</v>
      </c>
      <c r="K183" s="2931">
        <f t="shared" si="741"/>
        <v>0.38306419808915582</v>
      </c>
      <c r="L183" s="2931">
        <f t="shared" si="741"/>
        <v>4.1129249812079882</v>
      </c>
      <c r="M183" s="2931">
        <f t="shared" si="741"/>
        <v>-2.4888645599432047</v>
      </c>
      <c r="N183" s="2931">
        <f t="shared" si="741"/>
        <v>5.0239796089479372</v>
      </c>
      <c r="O183" s="2931">
        <f t="shared" si="741"/>
        <v>4.369152163499912</v>
      </c>
      <c r="P183" s="2931">
        <f t="shared" si="741"/>
        <v>6.1640231066725448</v>
      </c>
      <c r="Q183" s="2931">
        <f t="shared" si="741"/>
        <v>0.18028187998617717</v>
      </c>
      <c r="R183" s="2931">
        <f t="shared" si="741"/>
        <v>4.134772461818792</v>
      </c>
      <c r="S183" s="2931">
        <f t="shared" si="741"/>
        <v>0.70795143751500866</v>
      </c>
      <c r="T183" s="2931">
        <f t="shared" si="741"/>
        <v>1.706265704776766</v>
      </c>
      <c r="U183" s="2931">
        <f t="shared" si="741"/>
        <v>2.047775621884762</v>
      </c>
      <c r="V183" s="2931">
        <f t="shared" si="741"/>
        <v>3.3848497244317599</v>
      </c>
      <c r="W183" s="2931">
        <f t="shared" si="741"/>
        <v>-1.0713365650288575</v>
      </c>
      <c r="X183" s="2931">
        <f t="shared" si="741"/>
        <v>2.9278976625322084</v>
      </c>
      <c r="Y183" s="2931">
        <f t="shared" si="741"/>
        <v>2.5525979641790375</v>
      </c>
      <c r="Z183" s="2931">
        <f t="shared" si="741"/>
        <v>1.2384106159812003</v>
      </c>
      <c r="AA183" s="2931">
        <f t="shared" si="741"/>
        <v>2.5823915806266529</v>
      </c>
      <c r="AB183" s="2931">
        <f t="shared" si="741"/>
        <v>4.9904834715599256</v>
      </c>
      <c r="AC183" s="2931">
        <f t="shared" si="741"/>
        <v>3.4005535921484586</v>
      </c>
      <c r="AD183" s="2931">
        <f t="shared" si="741"/>
        <v>1.893995832100015</v>
      </c>
      <c r="AE183" s="2931">
        <f t="shared" si="741"/>
        <v>-3.0778532009987924</v>
      </c>
      <c r="AF183" s="2931">
        <f t="shared" si="741"/>
        <v>-1.3230285653202944</v>
      </c>
      <c r="AG183" s="2931">
        <f t="shared" si="741"/>
        <v>0.93614771854275691</v>
      </c>
      <c r="AH183" s="2931">
        <f t="shared" si="741"/>
        <v>1.4223081414048266</v>
      </c>
      <c r="AI183" s="2931">
        <f t="shared" si="741"/>
        <v>0.71598230153095965</v>
      </c>
      <c r="AJ183" s="2931">
        <f t="shared" si="741"/>
        <v>0.77772251089562872</v>
      </c>
      <c r="AK183" s="2931">
        <f t="shared" si="741"/>
        <v>-3.1890925131119241</v>
      </c>
      <c r="AL183" s="2931">
        <f t="shared" si="741"/>
        <v>1.661999545385906</v>
      </c>
      <c r="AM183" s="2931">
        <f t="shared" si="741"/>
        <v>2.7531857521271519</v>
      </c>
      <c r="AN183" s="2931">
        <f t="shared" si="741"/>
        <v>0.79357130576653834</v>
      </c>
      <c r="AO183" s="2931">
        <f t="shared" si="741"/>
        <v>1.2617888115608933</v>
      </c>
      <c r="AP183" s="2931">
        <f t="shared" si="741"/>
        <v>2.160734342826709</v>
      </c>
      <c r="AQ183" s="2931">
        <f t="shared" si="741"/>
        <v>3.4256355896408408</v>
      </c>
      <c r="AR183" s="2931">
        <f t="shared" si="741"/>
        <v>5.0069350854823114</v>
      </c>
      <c r="AS183" s="2931">
        <f t="shared" si="741"/>
        <v>-0.91320872778521966</v>
      </c>
      <c r="AT183" s="2931">
        <f t="shared" si="741"/>
        <v>1.4164690585869888</v>
      </c>
      <c r="AU183" s="2931">
        <f t="shared" si="741"/>
        <v>0.37649931038672424</v>
      </c>
      <c r="AV183" s="2931">
        <f t="shared" si="741"/>
        <v>3.123679069608043</v>
      </c>
      <c r="AW183" s="2931">
        <f t="shared" si="741"/>
        <v>3.3526832821427544</v>
      </c>
      <c r="AX183" s="2931">
        <f t="shared" si="741"/>
        <v>0.97077908592360096</v>
      </c>
      <c r="AY183" s="2931">
        <f t="shared" si="741"/>
        <v>3.6764869802641709</v>
      </c>
      <c r="AZ183" s="2931">
        <f t="shared" si="741"/>
        <v>-0.16277994041212773</v>
      </c>
      <c r="BA183" s="2931">
        <f t="shared" si="741"/>
        <v>2.3140695902867048</v>
      </c>
      <c r="BB183" s="2931">
        <f t="shared" si="741"/>
        <v>3.9358519484542054</v>
      </c>
      <c r="BC183" s="2931">
        <f t="shared" si="741"/>
        <v>-1.7044690110791016</v>
      </c>
      <c r="BD183" s="2931">
        <f t="shared" si="741"/>
        <v>1.553170435919915</v>
      </c>
      <c r="BE183" s="2931">
        <f t="shared" si="741"/>
        <v>0.88904143570276428</v>
      </c>
      <c r="BF183" s="2931">
        <f t="shared" si="741"/>
        <v>3.0297465766346399</v>
      </c>
      <c r="BG183" s="2931">
        <f t="shared" si="741"/>
        <v>2.0038885234183956</v>
      </c>
      <c r="BH183" s="2931">
        <f t="shared" si="741"/>
        <v>-1.95937324659331</v>
      </c>
      <c r="BI183" s="2931">
        <f t="shared" si="741"/>
        <v>-0.89735269453271593</v>
      </c>
      <c r="BJ183" s="2931">
        <f t="shared" si="741"/>
        <v>-6.088852625063323</v>
      </c>
      <c r="BK183" s="2931">
        <f t="shared" si="723"/>
        <v>-8.7106538557947921</v>
      </c>
      <c r="BL183" s="2931">
        <f t="shared" si="723"/>
        <v>-2.7582719441995307</v>
      </c>
      <c r="BM183" s="2931">
        <f t="shared" si="723"/>
        <v>2.3749852697195317</v>
      </c>
      <c r="BN183" s="2931">
        <f t="shared" si="724"/>
        <v>1.092046638971067</v>
      </c>
      <c r="BO183" s="2931">
        <f t="shared" si="724"/>
        <v>3.5481576836982942</v>
      </c>
      <c r="BP183" s="2931">
        <f t="shared" si="724"/>
        <v>5.0337999381685927</v>
      </c>
      <c r="BQ183" s="2931">
        <f t="shared" si="724"/>
        <v>2.6756997707242824</v>
      </c>
      <c r="BR183" s="2931">
        <f t="shared" si="724"/>
        <v>3.8737444801416387</v>
      </c>
      <c r="BS183" s="2931">
        <f t="shared" si="725"/>
        <v>-0.13745081336582476</v>
      </c>
      <c r="BT183" s="2931">
        <f t="shared" si="725"/>
        <v>0.23417802738205928</v>
      </c>
      <c r="BU183" s="2931">
        <f t="shared" si="725"/>
        <v>3.1155859813025044</v>
      </c>
      <c r="BV183" s="2931">
        <f t="shared" si="725"/>
        <v>-3.3905883923111668</v>
      </c>
      <c r="BW183" s="2931">
        <f t="shared" ref="BW183:CD183" si="742">IF(UPPER($F184)="N",BW184,(BV163*BW176+BV166*BW179)/(BV163+BV166))</f>
        <v>2.8492432842890159</v>
      </c>
      <c r="BX183" s="2931">
        <f t="shared" si="742"/>
        <v>1.3863887645172213</v>
      </c>
      <c r="BY183" s="2931">
        <f t="shared" si="742"/>
        <v>-1.9352447473666379</v>
      </c>
      <c r="BZ183" s="2931">
        <f t="shared" si="742"/>
        <v>-1.3254421337945854</v>
      </c>
      <c r="CA183" s="2931">
        <f>IF(UPPER($F184)="N",CA184,(BZ163*CA176+BZ166*CA179)/(BZ163+BZ166))</f>
        <v>-0.11230196678626569</v>
      </c>
      <c r="CB183" s="2931">
        <f>IF(UPPER($F184)="N",CB184,(CA163*CB176+CA166*CB179)/(CA163+CA166))</f>
        <v>1.4461584652882609</v>
      </c>
      <c r="CC183" s="2931">
        <f t="shared" si="742"/>
        <v>0.19952268970282461</v>
      </c>
      <c r="CD183" s="2931">
        <f t="shared" si="742"/>
        <v>-0.87142297255243806</v>
      </c>
      <c r="CE183" s="2931">
        <f>IF(UPPER($F184)="N",CE184,(CD163*CE176+CD166*CE179)/(CD163+CD166))</f>
        <v>4.1284930030051514</v>
      </c>
      <c r="CF183" s="2931">
        <f>IF(UPPER($F184)="N",CF184,(CE163*CF176+CE166*CF179)/(CE163+CE166))</f>
        <v>1.1681556231500023</v>
      </c>
      <c r="CG183" s="2931">
        <f t="shared" ref="CG183:CL183" si="743">IF(UPPER($F184)="N",CG184,(CF163*CG176+CF166*CG179)/(CF163+CF166))</f>
        <v>0.56770392519687185</v>
      </c>
      <c r="CH183" s="2931">
        <f t="shared" si="743"/>
        <v>1.1872586640730542</v>
      </c>
      <c r="CI183" s="2931">
        <f>IF(UPPER($F184)="N",CI184,(CH163*CI176+CH166*CI179)/(CH163+CH166))</f>
        <v>1.0074178427464053</v>
      </c>
      <c r="CJ183" s="2931">
        <f>IF(UPPER($F184)="N",CJ184,(CI163*CJ176+CI166*CJ179)/(CI163+CI166))</f>
        <v>1.1773933134195502</v>
      </c>
      <c r="CK183" s="2931">
        <f t="shared" si="743"/>
        <v>2.9379276237921914</v>
      </c>
      <c r="CL183" s="2931">
        <f t="shared" si="743"/>
        <v>1.2147094433228034</v>
      </c>
      <c r="CM183" s="2931">
        <f>IF(UPPER($F184)="N",CM184,(CL163*CM176+CL166*CM179)/(CL163+CL166))</f>
        <v>-0.92159239231772716</v>
      </c>
      <c r="CN183" s="2931">
        <f>IF(UPPER($F184)="N",CN184,(CM163*CN176+CM166*CN179)/(CM163+CM166))</f>
        <v>-0.83551379577616602</v>
      </c>
      <c r="CO183" s="2931">
        <f>IF(UPPER($F184)="N",CO184,(CN163*CO176+CN166*CO179)/(CN163+CN166))</f>
        <v>2.2986006607331966</v>
      </c>
      <c r="CP183" s="2931">
        <f t="shared" ref="CP183" si="744">IF(UPPER($F184)="N",CP184,(CO163*CP176+CO166*CP179)/(CO163+CO166))</f>
        <v>1.2847562437576565</v>
      </c>
      <c r="CQ183" s="2931">
        <f>IF(UPPER($F184)="N",CQ184,(CP163*CQ176+CP166*CQ179)/(CP163+CP166))</f>
        <v>-0.68774594174347836</v>
      </c>
      <c r="CR183" s="2931">
        <f>IF(UPPER($F184)="N",CR184,(CQ163*CR176+CQ166*CR179)/(CQ163+CQ166))</f>
        <v>2.5547081626569268</v>
      </c>
      <c r="CS183" s="2931">
        <f>IF(UPPER($F184)="N",CS184,(CR163*CS176+CR166*CS179)/(CR163+CR166))</f>
        <v>-7.6216711144327931E-2</v>
      </c>
      <c r="CT183" s="2931">
        <f t="shared" ref="CT183" si="745">IF(UPPER($F184)="N",CT184,(CS163*CT176+CS166*CT179)/(CS163+CS166))</f>
        <v>2.282474372414911</v>
      </c>
      <c r="CU183" s="2931">
        <f t="shared" ref="CU183" si="746">IF(UPPER($F184)="N",CU184,(CT163*CU176+CT166*CU179)/(CT163+CT166))</f>
        <v>1.6754481058645077E-2</v>
      </c>
      <c r="CV183" s="2931">
        <f>IF(UPPER($F184)="N",CV184,(CU163*CV176+CU166*CV179)/(CU163+CU166))</f>
        <v>0.40267124188804182</v>
      </c>
      <c r="CW183" s="2931">
        <f t="shared" ref="CW183" si="747">IF(UPPER($F184)="N",CW184,(CV163*CW176+CV166*CW179)/(CV163+CV166))</f>
        <v>1.08</v>
      </c>
      <c r="CX183" s="2931">
        <f t="shared" ref="CX183" si="748">IF(UPPER($F184)="N",CX184,(CW163*CX176+CW166*CX179)/(CW163+CW166))</f>
        <v>0.95</v>
      </c>
      <c r="CY183" s="2931">
        <f t="shared" ref="CY183" si="749">IF(UPPER($F184)="N",CY184,(CX163*CY176+CX166*CY179)/(CX163+CX166))</f>
        <v>0.71</v>
      </c>
      <c r="CZ183" s="2931">
        <f t="shared" ref="CZ183" si="750">IF(UPPER($F184)="N",CZ184,(CY163*CZ176+CY166*CZ179)/(CY163+CY166))</f>
        <v>0.88</v>
      </c>
      <c r="DA183" s="2931">
        <f t="shared" ref="DA183" si="751">IF(UPPER($F184)="N",DA184,(CZ163*DA176+CZ166*DA179)/(CZ163+CZ166))</f>
        <v>0.65</v>
      </c>
      <c r="DB183" s="2931">
        <f t="shared" ref="DB183" si="752">IF(UPPER($F184)="N",DB184,(DA163*DB176+DA166*DB179)/(DA163+DA166))</f>
        <v>0.59</v>
      </c>
      <c r="DC183" s="2931">
        <f t="shared" ref="DC183" si="753">IF(UPPER($F184)="N",DC184,(DB163*DC176+DB166*DC179)/(DB163+DB166))</f>
        <v>0.88</v>
      </c>
      <c r="DD183" s="2931">
        <f t="shared" ref="DD183" si="754">IF(UPPER($F184)="N",DD184,(DC163*DD176+DC166*DD179)/(DC163+DC166))</f>
        <v>0.78</v>
      </c>
      <c r="DE183" s="2931">
        <f t="shared" ref="DE183" si="755">IF(UPPER($F184)="N",DE184,(DD163*DE176+DD166*DE179)/(DD163+DD166))</f>
        <v>0.76</v>
      </c>
      <c r="DF183" s="2931">
        <f t="shared" ref="DF183" si="756">IF(UPPER($F184)="N",DF184,(DE163*DF176+DE166*DF179)/(DE163+DE166))</f>
        <v>0.63</v>
      </c>
    </row>
    <row r="184" spans="1:110" s="736" customFormat="1" ht="12.75" customHeight="1">
      <c r="A184" s="701"/>
      <c r="B184" s="701"/>
      <c r="C184" s="1628"/>
      <c r="D184" s="726"/>
      <c r="E184" s="775" t="s">
        <v>1419</v>
      </c>
      <c r="F184" s="3170" t="s">
        <v>1618</v>
      </c>
      <c r="G184" s="1015"/>
      <c r="H184" s="1015">
        <f>(H171/G171-1)*100</f>
        <v>2.0698722384612234</v>
      </c>
      <c r="I184" s="1015">
        <f t="shared" ref="I184:AN184" si="757">(I171/H171-1)*100</f>
        <v>-2.7646835321478047</v>
      </c>
      <c r="J184" s="1015">
        <f t="shared" si="757"/>
        <v>2.0782028628293592</v>
      </c>
      <c r="K184" s="1015">
        <f t="shared" si="757"/>
        <v>0.38306419808915582</v>
      </c>
      <c r="L184" s="1015">
        <f t="shared" si="757"/>
        <v>4.1129249812079882</v>
      </c>
      <c r="M184" s="1015">
        <f t="shared" si="757"/>
        <v>-2.4888645599432047</v>
      </c>
      <c r="N184" s="1015">
        <f t="shared" si="757"/>
        <v>5.0239796089479372</v>
      </c>
      <c r="O184" s="1015">
        <f t="shared" si="757"/>
        <v>4.369152163499912</v>
      </c>
      <c r="P184" s="1015">
        <f t="shared" si="757"/>
        <v>6.1640231066725448</v>
      </c>
      <c r="Q184" s="1015">
        <f t="shared" si="757"/>
        <v>0.18028187998617717</v>
      </c>
      <c r="R184" s="1015">
        <f t="shared" si="757"/>
        <v>4.134772461818792</v>
      </c>
      <c r="S184" s="1015">
        <f t="shared" si="757"/>
        <v>0.70795143751500866</v>
      </c>
      <c r="T184" s="1015">
        <f t="shared" si="757"/>
        <v>1.706265704776766</v>
      </c>
      <c r="U184" s="1015">
        <f t="shared" si="757"/>
        <v>2.047775621884762</v>
      </c>
      <c r="V184" s="1015">
        <f t="shared" si="757"/>
        <v>3.3848497244317599</v>
      </c>
      <c r="W184" s="1015">
        <f t="shared" si="757"/>
        <v>-1.0713365650288575</v>
      </c>
      <c r="X184" s="1015">
        <f t="shared" si="757"/>
        <v>2.9278976625322084</v>
      </c>
      <c r="Y184" s="1015">
        <f t="shared" si="757"/>
        <v>2.5525979641790375</v>
      </c>
      <c r="Z184" s="1015">
        <f t="shared" si="757"/>
        <v>1.2384106159812003</v>
      </c>
      <c r="AA184" s="1015">
        <f t="shared" si="757"/>
        <v>2.5823915806266529</v>
      </c>
      <c r="AB184" s="1015">
        <f t="shared" si="757"/>
        <v>4.9904834715599256</v>
      </c>
      <c r="AC184" s="1015">
        <f t="shared" si="757"/>
        <v>3.4005535921484586</v>
      </c>
      <c r="AD184" s="1015">
        <f t="shared" si="757"/>
        <v>1.893995832100015</v>
      </c>
      <c r="AE184" s="1015">
        <f t="shared" si="757"/>
        <v>-3.0778532009987924</v>
      </c>
      <c r="AF184" s="1015">
        <f t="shared" si="757"/>
        <v>-1.3230285653202944</v>
      </c>
      <c r="AG184" s="1015">
        <f t="shared" si="757"/>
        <v>0.93614771854275691</v>
      </c>
      <c r="AH184" s="1015">
        <f t="shared" si="757"/>
        <v>1.4223081414048266</v>
      </c>
      <c r="AI184" s="1015">
        <f t="shared" si="757"/>
        <v>0.71598230153095965</v>
      </c>
      <c r="AJ184" s="1015">
        <f t="shared" si="757"/>
        <v>0.77772251089562872</v>
      </c>
      <c r="AK184" s="1015">
        <f t="shared" si="757"/>
        <v>-3.1890925131119241</v>
      </c>
      <c r="AL184" s="1015">
        <f t="shared" si="757"/>
        <v>1.661999545385906</v>
      </c>
      <c r="AM184" s="1015">
        <f t="shared" si="757"/>
        <v>2.7531857521271519</v>
      </c>
      <c r="AN184" s="1015">
        <f t="shared" si="757"/>
        <v>0.79357130576653834</v>
      </c>
      <c r="AO184" s="1015">
        <f t="shared" ref="AO184:BJ184" si="758">(AO171/AN171-1)*100</f>
        <v>1.2617888115608933</v>
      </c>
      <c r="AP184" s="1015">
        <f t="shared" si="758"/>
        <v>2.160734342826709</v>
      </c>
      <c r="AQ184" s="1015">
        <f t="shared" si="758"/>
        <v>3.4256355896408408</v>
      </c>
      <c r="AR184" s="1015">
        <f t="shared" si="758"/>
        <v>5.0069350854823114</v>
      </c>
      <c r="AS184" s="1015">
        <f t="shared" si="758"/>
        <v>-0.91320872778521966</v>
      </c>
      <c r="AT184" s="1015">
        <f t="shared" si="758"/>
        <v>1.4164690585869888</v>
      </c>
      <c r="AU184" s="1015">
        <f t="shared" si="758"/>
        <v>0.37649931038672424</v>
      </c>
      <c r="AV184" s="1015">
        <f t="shared" si="758"/>
        <v>3.123679069608043</v>
      </c>
      <c r="AW184" s="1015">
        <f t="shared" si="758"/>
        <v>3.3526832821427544</v>
      </c>
      <c r="AX184" s="1015">
        <f t="shared" si="758"/>
        <v>0.97077908592360096</v>
      </c>
      <c r="AY184" s="1015">
        <f t="shared" si="758"/>
        <v>3.6764869802641709</v>
      </c>
      <c r="AZ184" s="1015">
        <f t="shared" si="758"/>
        <v>-0.16277994041212773</v>
      </c>
      <c r="BA184" s="1015">
        <f t="shared" si="758"/>
        <v>2.3140695902867048</v>
      </c>
      <c r="BB184" s="1015">
        <f t="shared" si="758"/>
        <v>3.9358519484542054</v>
      </c>
      <c r="BC184" s="1015">
        <f t="shared" si="758"/>
        <v>-1.7044690110791016</v>
      </c>
      <c r="BD184" s="1015">
        <f t="shared" si="758"/>
        <v>1.553170435919915</v>
      </c>
      <c r="BE184" s="1015">
        <f t="shared" si="758"/>
        <v>0.88904143570276428</v>
      </c>
      <c r="BF184" s="1015">
        <f t="shared" si="758"/>
        <v>3.0297465766346399</v>
      </c>
      <c r="BG184" s="1015">
        <f t="shared" si="758"/>
        <v>2.0038885234183956</v>
      </c>
      <c r="BH184" s="1015">
        <f t="shared" si="758"/>
        <v>-1.95937324659331</v>
      </c>
      <c r="BI184" s="1015">
        <f t="shared" si="758"/>
        <v>-0.89735269453271593</v>
      </c>
      <c r="BJ184" s="1015">
        <f t="shared" si="758"/>
        <v>-6.088852625063323</v>
      </c>
      <c r="BK184" s="1015">
        <f t="shared" si="723"/>
        <v>-8.7106538557947921</v>
      </c>
      <c r="BL184" s="1015">
        <f t="shared" si="723"/>
        <v>-2.7582719441995307</v>
      </c>
      <c r="BM184" s="1015">
        <f t="shared" si="723"/>
        <v>2.3749852697195317</v>
      </c>
      <c r="BN184" s="1015">
        <f t="shared" si="724"/>
        <v>1.092046638971067</v>
      </c>
      <c r="BO184" s="1015">
        <f t="shared" si="724"/>
        <v>3.5481576836982942</v>
      </c>
      <c r="BP184" s="1015">
        <f t="shared" si="724"/>
        <v>5.0337999381685927</v>
      </c>
      <c r="BQ184" s="1015">
        <f t="shared" si="724"/>
        <v>2.6756997707242824</v>
      </c>
      <c r="BR184" s="1015">
        <f t="shared" si="724"/>
        <v>3.8737444801416387</v>
      </c>
      <c r="BS184" s="1015">
        <f t="shared" si="725"/>
        <v>-0.13745081336582476</v>
      </c>
      <c r="BT184" s="1015">
        <f t="shared" si="725"/>
        <v>0.23417802738205928</v>
      </c>
      <c r="BU184" s="1015">
        <f t="shared" si="725"/>
        <v>3.1155859813025044</v>
      </c>
      <c r="BV184" s="1015">
        <f t="shared" si="725"/>
        <v>-3.3905883923111668</v>
      </c>
      <c r="BW184" s="1015">
        <f t="shared" ref="BW184:CL184" si="759">(BW171/BV171-1)*100</f>
        <v>2.8492432842890159</v>
      </c>
      <c r="BX184" s="1015">
        <f t="shared" si="759"/>
        <v>1.3863887645172213</v>
      </c>
      <c r="BY184" s="1015">
        <f t="shared" si="759"/>
        <v>-1.9352447473666379</v>
      </c>
      <c r="BZ184" s="1015">
        <f t="shared" si="759"/>
        <v>-1.3254421337945854</v>
      </c>
      <c r="CA184" s="1015">
        <f t="shared" si="759"/>
        <v>-0.11230196678626569</v>
      </c>
      <c r="CB184" s="1015">
        <f t="shared" si="759"/>
        <v>1.4461584652882609</v>
      </c>
      <c r="CC184" s="1015">
        <f t="shared" si="759"/>
        <v>0.19952268970282461</v>
      </c>
      <c r="CD184" s="1015">
        <f t="shared" si="759"/>
        <v>-0.87142297255243806</v>
      </c>
      <c r="CE184" s="1015">
        <f t="shared" si="759"/>
        <v>4.1284930030051514</v>
      </c>
      <c r="CF184" s="1015">
        <f t="shared" si="759"/>
        <v>1.1681556231500023</v>
      </c>
      <c r="CG184" s="1015">
        <f t="shared" si="759"/>
        <v>0.56770392519687185</v>
      </c>
      <c r="CH184" s="1015">
        <f t="shared" si="759"/>
        <v>1.1872586640730542</v>
      </c>
      <c r="CI184" s="1015">
        <f t="shared" si="759"/>
        <v>1.0074178427464053</v>
      </c>
      <c r="CJ184" s="1015">
        <f t="shared" si="759"/>
        <v>1.1773933134195502</v>
      </c>
      <c r="CK184" s="1015">
        <f t="shared" si="759"/>
        <v>2.9379276237921914</v>
      </c>
      <c r="CL184" s="1015">
        <f t="shared" si="759"/>
        <v>1.2147094433228034</v>
      </c>
      <c r="CM184" s="1015">
        <f t="shared" ref="CM184" si="760">(CM171/CL171-1)*100</f>
        <v>-0.92159239231772716</v>
      </c>
      <c r="CN184" s="1015">
        <f t="shared" ref="CN184:CP184" si="761">(CN171/CM171-1)*100</f>
        <v>-0.83551379577616602</v>
      </c>
      <c r="CO184" s="1015">
        <f t="shared" si="761"/>
        <v>2.2986006607331966</v>
      </c>
      <c r="CP184" s="1015">
        <f t="shared" si="761"/>
        <v>1.2847562437576565</v>
      </c>
      <c r="CQ184" s="776">
        <f t="shared" ref="CQ184" si="762">(CQ171/CP171-1)*100</f>
        <v>-0.68774594174347836</v>
      </c>
      <c r="CR184" s="776">
        <f t="shared" ref="CR184" si="763">(CR171/CQ171-1)*100</f>
        <v>2.5547081626569268</v>
      </c>
      <c r="CS184" s="776">
        <f t="shared" ref="CS184" si="764">(CS171/CR171-1)*100</f>
        <v>-7.6216711144327931E-2</v>
      </c>
      <c r="CT184" s="776">
        <f t="shared" ref="CT184:CV184" si="765">(CT171/CS171-1)*100</f>
        <v>2.282474372414911</v>
      </c>
      <c r="CU184" s="776">
        <f t="shared" si="765"/>
        <v>1.6754481058645077E-2</v>
      </c>
      <c r="CV184" s="776">
        <f t="shared" si="765"/>
        <v>0.40267124188804182</v>
      </c>
      <c r="CW184" s="777">
        <v>1.08</v>
      </c>
      <c r="CX184" s="777">
        <v>0.95</v>
      </c>
      <c r="CY184" s="777">
        <v>0.71</v>
      </c>
      <c r="CZ184" s="777">
        <v>0.88</v>
      </c>
      <c r="DA184" s="777">
        <v>0.65</v>
      </c>
      <c r="DB184" s="777">
        <v>0.59</v>
      </c>
      <c r="DC184" s="777">
        <v>0.88</v>
      </c>
      <c r="DD184" s="777">
        <v>0.78</v>
      </c>
      <c r="DE184" s="777">
        <v>0.76</v>
      </c>
      <c r="DF184" s="777">
        <v>0.63</v>
      </c>
    </row>
    <row r="185" spans="1:110" ht="12.75">
      <c r="A185" s="701"/>
      <c r="C185" s="1629"/>
      <c r="D185" s="1633"/>
      <c r="E185" s="1634" t="s">
        <v>353</v>
      </c>
      <c r="F185" s="1704"/>
      <c r="G185" s="1657"/>
      <c r="H185" s="1658"/>
      <c r="I185" s="1658"/>
      <c r="J185" s="1658"/>
      <c r="K185" s="1659"/>
      <c r="L185" s="1659"/>
      <c r="M185" s="1659"/>
      <c r="N185" s="1660">
        <f>N172/J172*100-100</f>
        <v>4.1306215983958623</v>
      </c>
      <c r="O185" s="1659"/>
      <c r="P185" s="1659"/>
      <c r="Q185" s="1659"/>
      <c r="R185" s="1660">
        <f>R172/N172*100-100</f>
        <v>14.254070540448225</v>
      </c>
      <c r="S185" s="1659"/>
      <c r="T185" s="1659"/>
      <c r="U185" s="1659"/>
      <c r="V185" s="1660">
        <f>V172/R172*100-100</f>
        <v>8.7767471493932447</v>
      </c>
      <c r="W185" s="1659"/>
      <c r="X185" s="1659"/>
      <c r="Y185" s="1659"/>
      <c r="Z185" s="1660">
        <f>Z172/V172*100-100</f>
        <v>6.8078069030299986</v>
      </c>
      <c r="AA185" s="1659"/>
      <c r="AB185" s="1659"/>
      <c r="AC185" s="1659"/>
      <c r="AD185" s="1660">
        <f>AD172/Z172*100-100</f>
        <v>11.950575129301086</v>
      </c>
      <c r="AE185" s="1659"/>
      <c r="AF185" s="1659"/>
      <c r="AG185" s="1659"/>
      <c r="AH185" s="1660">
        <f>AH172/AD172*100-100</f>
        <v>0.92537198324056646</v>
      </c>
      <c r="AI185" s="1659"/>
      <c r="AJ185" s="1659"/>
      <c r="AK185" s="1659"/>
      <c r="AL185" s="1660">
        <f>AL172/AH172*100-100</f>
        <v>1.2900961372853743</v>
      </c>
      <c r="AM185" s="1659"/>
      <c r="AN185" s="1659"/>
      <c r="AO185" s="1659"/>
      <c r="AP185" s="1660">
        <f>AP172/AL172*100-100</f>
        <v>4.3780136214644756</v>
      </c>
      <c r="AQ185" s="1659"/>
      <c r="AR185" s="1659"/>
      <c r="AS185" s="1659"/>
      <c r="AT185" s="1660">
        <f>AT172/AP172*100-100</f>
        <v>9.8152893236474199</v>
      </c>
      <c r="AU185" s="1659"/>
      <c r="AV185" s="1659"/>
      <c r="AW185" s="1659"/>
      <c r="AX185" s="1660">
        <f>AX172/AT172*100-100</f>
        <v>6.6200994025529099</v>
      </c>
      <c r="AY185" s="1659"/>
      <c r="AZ185" s="1659"/>
      <c r="BA185" s="1659"/>
      <c r="BB185" s="1660">
        <f>BB172/AX172*100-100</f>
        <v>9.1211668545408742</v>
      </c>
      <c r="BC185" s="1659"/>
      <c r="BD185" s="1659"/>
      <c r="BE185" s="1659"/>
      <c r="BF185" s="1660">
        <f>BF172/BB172*100-100</f>
        <v>4.7205344392704518</v>
      </c>
      <c r="BG185" s="1659"/>
      <c r="BH185" s="1659"/>
      <c r="BI185" s="1659"/>
      <c r="BJ185" s="1660">
        <f>BJ172/BF172*100-100</f>
        <v>1.5964638759951271</v>
      </c>
      <c r="BK185" s="1659"/>
      <c r="BL185" s="1659"/>
      <c r="BM185" s="1659"/>
      <c r="BN185" s="1660">
        <f>BN172/BJ172*100-100</f>
        <v>-14.335396796315138</v>
      </c>
      <c r="BO185" s="1659"/>
      <c r="BP185" s="1659"/>
      <c r="BQ185" s="1659"/>
      <c r="BR185" s="1660">
        <f>BR172/BN172*100-100</f>
        <v>11.411584169998406</v>
      </c>
      <c r="BS185" s="1659"/>
      <c r="BT185" s="1659"/>
      <c r="BU185" s="1659"/>
      <c r="BV185" s="1660">
        <f>BV172/BR172*100-100</f>
        <v>6.2189025226340107</v>
      </c>
      <c r="BW185" s="1661"/>
      <c r="BX185" s="1661"/>
      <c r="BY185" s="1661"/>
      <c r="BZ185" s="1660">
        <f>BZ172/BV172*100-100</f>
        <v>1.5454140628806954</v>
      </c>
      <c r="CA185" s="1661"/>
      <c r="CB185" s="1661"/>
      <c r="CC185" s="1661"/>
      <c r="CD185" s="1660">
        <f>CD172/BZ172*100-100</f>
        <v>-0.79006049416931035</v>
      </c>
      <c r="CE185" s="1661"/>
      <c r="CF185" s="1661"/>
      <c r="CG185" s="1661"/>
      <c r="CH185" s="1660">
        <f>CH172/CD172*100-100</f>
        <v>5.443295313045013</v>
      </c>
      <c r="CI185" s="1661"/>
      <c r="CJ185" s="1661"/>
      <c r="CK185" s="1661"/>
      <c r="CL185" s="1662">
        <f>CL172/CH172*100-100</f>
        <v>5.2382272155057308</v>
      </c>
      <c r="CM185" s="1661"/>
      <c r="CN185" s="1661"/>
      <c r="CO185" s="1661"/>
      <c r="CP185" s="1662">
        <f>CP172/CL172*100-100</f>
        <v>2.5652239769897704</v>
      </c>
      <c r="CQ185" s="1661"/>
      <c r="CR185" s="1661"/>
      <c r="CS185" s="1661"/>
      <c r="CT185" s="1662">
        <f>CT172/CP172*100-100</f>
        <v>3.6826975079409721</v>
      </c>
      <c r="CU185" s="1661"/>
      <c r="CV185" s="1661"/>
      <c r="CW185" s="1661"/>
      <c r="CX185" s="1662">
        <f>CX172/CT172*100-100</f>
        <v>3.4247586717537786</v>
      </c>
      <c r="CY185" s="1661"/>
      <c r="CZ185" s="1661"/>
      <c r="DA185" s="1661"/>
      <c r="DB185" s="1662">
        <f>DB172/CX172*100-100</f>
        <v>3.2320510411273204</v>
      </c>
      <c r="DC185" s="1661"/>
      <c r="DD185" s="1661"/>
      <c r="DE185" s="1661"/>
      <c r="DF185" s="1662">
        <f>DF172/DB172*100-100</f>
        <v>3.023658136506981</v>
      </c>
    </row>
    <row r="186" spans="1:110" s="736" customFormat="1" ht="12.75" customHeight="1">
      <c r="A186" s="701"/>
      <c r="B186" s="701"/>
      <c r="C186" s="703"/>
      <c r="D186" s="754"/>
      <c r="E186" s="1648" t="s">
        <v>136</v>
      </c>
      <c r="F186" s="754"/>
      <c r="G186" s="1649"/>
      <c r="H186" s="1649"/>
      <c r="I186" s="1649"/>
      <c r="J186" s="1650"/>
      <c r="K186" s="1649"/>
      <c r="L186" s="1649"/>
      <c r="M186" s="1649"/>
      <c r="N186" s="1651">
        <f ca="1">N173/J173*100-100</f>
        <v>4.1269050300589925</v>
      </c>
      <c r="O186" s="1649"/>
      <c r="P186" s="1649"/>
      <c r="Q186" s="1649"/>
      <c r="R186" s="1651">
        <f ca="1">R173/N173*100-100</f>
        <v>13.878783938864586</v>
      </c>
      <c r="S186" s="1649"/>
      <c r="T186" s="1649"/>
      <c r="U186" s="1649"/>
      <c r="V186" s="1651">
        <f ca="1">V173/R173*100-100</f>
        <v>8.9358279989075555</v>
      </c>
      <c r="W186" s="1649"/>
      <c r="X186" s="1649"/>
      <c r="Y186" s="1649"/>
      <c r="Z186" s="1651">
        <f ca="1">Z173/V173*100-100</f>
        <v>7.2172776488465615</v>
      </c>
      <c r="AA186" s="1649"/>
      <c r="AB186" s="1649"/>
      <c r="AC186" s="1649"/>
      <c r="AD186" s="1651">
        <f ca="1">AD173/Z173*100-100</f>
        <v>11.698217559453994</v>
      </c>
      <c r="AE186" s="1649"/>
      <c r="AF186" s="1649"/>
      <c r="AG186" s="1649"/>
      <c r="AH186" s="1651">
        <f ca="1">AH173/AD173*100-100</f>
        <v>0.69665013831306055</v>
      </c>
      <c r="AI186" s="1649"/>
      <c r="AJ186" s="1649"/>
      <c r="AK186" s="1649"/>
      <c r="AL186" s="1651">
        <f ca="1">AL173/AH173*100-100</f>
        <v>1.3174075218694554</v>
      </c>
      <c r="AM186" s="1649"/>
      <c r="AN186" s="1649"/>
      <c r="AO186" s="1649"/>
      <c r="AP186" s="1651">
        <f ca="1">AP173/AL173*100-100</f>
        <v>4.1609718978245382</v>
      </c>
      <c r="AQ186" s="1649"/>
      <c r="AR186" s="1649"/>
      <c r="AS186" s="1649"/>
      <c r="AT186" s="1651">
        <f ca="1">AT173/AP173*100-100</f>
        <v>10.734866587775315</v>
      </c>
      <c r="AU186" s="1649"/>
      <c r="AV186" s="1649"/>
      <c r="AW186" s="1649"/>
      <c r="AX186" s="1651">
        <f ca="1">AX173/AT173*100-100</f>
        <v>6.6288945304860505</v>
      </c>
      <c r="AY186" s="1649"/>
      <c r="AZ186" s="1649"/>
      <c r="BA186" s="1649"/>
      <c r="BB186" s="1651">
        <f ca="1">BB173/AX173*100-100</f>
        <v>8.6622715434560433</v>
      </c>
      <c r="BC186" s="1649"/>
      <c r="BD186" s="1649"/>
      <c r="BE186" s="1649"/>
      <c r="BF186" s="1651">
        <f ca="1">BF173/BB173*100-100</f>
        <v>4.4787470485628376</v>
      </c>
      <c r="BG186" s="1649"/>
      <c r="BH186" s="1649"/>
      <c r="BI186" s="1649"/>
      <c r="BJ186" s="1651">
        <f ca="1">BJ173/BF173*100-100</f>
        <v>1.9858556821547069</v>
      </c>
      <c r="BK186" s="1649"/>
      <c r="BL186" s="1649"/>
      <c r="BM186" s="1649"/>
      <c r="BN186" s="1651">
        <f ca="1">BN173/BJ173*100-100</f>
        <v>-14.485194249141642</v>
      </c>
      <c r="BO186" s="1649"/>
      <c r="BP186" s="1649"/>
      <c r="BQ186" s="1649"/>
      <c r="BR186" s="1651">
        <f ca="1">BR173/BN173*100-100</f>
        <v>11.942440792175873</v>
      </c>
      <c r="BS186" s="1649"/>
      <c r="BT186" s="1649"/>
      <c r="BU186" s="1649"/>
      <c r="BV186" s="1651">
        <f ca="1">BV173/BR173*100-100</f>
        <v>6.1013633377539804</v>
      </c>
      <c r="BW186" s="1663"/>
      <c r="BX186" s="1663"/>
      <c r="BY186" s="1663"/>
      <c r="BZ186" s="1651">
        <f ca="1">BZ173/BV173*100-100</f>
        <v>0.98140314638672521</v>
      </c>
      <c r="CA186" s="1663"/>
      <c r="CB186" s="1663"/>
      <c r="CC186" s="1663"/>
      <c r="CD186" s="1651">
        <f ca="1">CD173/BZ173*100-100</f>
        <v>-0.77263397483548601</v>
      </c>
      <c r="CE186" s="1663"/>
      <c r="CF186" s="1663"/>
      <c r="CG186" s="1663"/>
      <c r="CH186" s="1651">
        <f ca="1">CH173/CD173*100-100</f>
        <v>5.2572670020070547</v>
      </c>
      <c r="CI186" s="1663"/>
      <c r="CJ186" s="1663"/>
      <c r="CK186" s="1663"/>
      <c r="CL186" s="1664">
        <f ca="1">CL173/CH173*100-100</f>
        <v>5.6846675945106995</v>
      </c>
      <c r="CM186" s="1663"/>
      <c r="CN186" s="1663"/>
      <c r="CO186" s="1663"/>
      <c r="CP186" s="1664">
        <f ca="1">CP173/CL173*100-100</f>
        <v>2.9675058425944201</v>
      </c>
      <c r="CQ186" s="1663"/>
      <c r="CR186" s="1663"/>
      <c r="CS186" s="1663"/>
      <c r="CT186" s="1664">
        <f ca="1">CT173/CP173*100-100</f>
        <v>3.2339874578037211</v>
      </c>
      <c r="CU186" s="1663"/>
      <c r="CV186" s="1663"/>
      <c r="CW186" s="1663"/>
      <c r="CX186" s="1664">
        <f ca="1">CX173/CT173*100-100</f>
        <v>3.4379257614164374</v>
      </c>
      <c r="CY186" s="1663"/>
      <c r="CZ186" s="1663"/>
      <c r="DA186" s="1663"/>
      <c r="DB186" s="1664">
        <f ca="1">DB173/CX173*100-100</f>
        <v>3.2390742576303495</v>
      </c>
      <c r="DC186" s="1663"/>
      <c r="DD186" s="1663"/>
      <c r="DE186" s="1663"/>
      <c r="DF186" s="1664">
        <f ca="1">DF173/DB173*100-100</f>
        <v>3.0107866005557753</v>
      </c>
    </row>
    <row r="187" spans="1:110" ht="12.75">
      <c r="A187" s="701"/>
      <c r="AY187" s="217"/>
      <c r="BA187" s="217"/>
      <c r="BB187" s="217"/>
      <c r="BC187" s="217"/>
      <c r="BD187" s="217"/>
      <c r="BE187" s="217"/>
      <c r="BF187" s="217"/>
      <c r="BG187" s="217"/>
      <c r="BH187" s="217"/>
      <c r="BI187" s="217"/>
      <c r="BJ187" s="217"/>
      <c r="BK187" s="217"/>
      <c r="BL187" s="217"/>
      <c r="BM187" s="217"/>
      <c r="BN187" s="217"/>
      <c r="BO187" s="217"/>
      <c r="BP187" s="217"/>
      <c r="BQ187" s="217"/>
      <c r="BR187" s="217"/>
      <c r="BS187" s="217"/>
      <c r="BT187" s="217"/>
      <c r="BU187" s="217"/>
      <c r="BV187" s="217"/>
      <c r="BW187" s="1654"/>
      <c r="BX187" s="1654"/>
      <c r="BY187" s="1654"/>
      <c r="BZ187" s="1654"/>
      <c r="CA187" s="1654"/>
      <c r="CB187" s="1654"/>
      <c r="CC187" s="1654"/>
      <c r="CD187" s="1654"/>
      <c r="CE187" s="1654"/>
      <c r="CF187" s="1654"/>
      <c r="CG187" s="1654"/>
      <c r="CH187" s="1654"/>
      <c r="CI187" s="1654"/>
      <c r="CJ187" s="1654"/>
      <c r="CK187" s="1654"/>
      <c r="CL187" s="1654"/>
      <c r="CM187" s="1654"/>
      <c r="CN187" s="1654"/>
      <c r="CO187" s="1654"/>
      <c r="CP187" s="1654"/>
      <c r="CQ187" s="1654"/>
      <c r="CR187" s="1654"/>
      <c r="CS187" s="1654"/>
      <c r="CT187" s="1654"/>
      <c r="CU187" s="1654"/>
      <c r="CV187" s="1654"/>
      <c r="CW187" s="1654"/>
      <c r="CX187" s="1654"/>
      <c r="CY187" s="1654"/>
      <c r="CZ187" s="1654"/>
      <c r="DA187" s="1654"/>
      <c r="DB187" s="1654"/>
      <c r="DC187" s="1654"/>
      <c r="DD187" s="1654"/>
      <c r="DE187" s="1654"/>
      <c r="DF187" s="1654"/>
    </row>
    <row r="188" spans="1:110" s="736" customFormat="1" ht="12.75" customHeight="1">
      <c r="A188" s="701"/>
      <c r="B188" s="701"/>
      <c r="C188" s="703"/>
      <c r="D188" s="895"/>
      <c r="E188" s="896"/>
      <c r="F188" s="897"/>
      <c r="G188" s="1640" t="str">
        <f>G175</f>
        <v>Q1</v>
      </c>
      <c r="H188" s="1640" t="str">
        <f t="shared" ref="H188:BI188" si="766">H175</f>
        <v>Q2</v>
      </c>
      <c r="I188" s="1640" t="str">
        <f t="shared" si="766"/>
        <v>Q3</v>
      </c>
      <c r="J188" s="1640" t="str">
        <f t="shared" si="766"/>
        <v>Q4</v>
      </c>
      <c r="K188" s="1645" t="str">
        <f t="shared" si="766"/>
        <v>Q1</v>
      </c>
      <c r="L188" s="1640" t="str">
        <f t="shared" si="766"/>
        <v>Q2</v>
      </c>
      <c r="M188" s="1640" t="str">
        <f t="shared" si="766"/>
        <v>Q3</v>
      </c>
      <c r="N188" s="1646" t="str">
        <f t="shared" si="766"/>
        <v>Q4</v>
      </c>
      <c r="O188" s="1645" t="str">
        <f t="shared" si="766"/>
        <v>Q1</v>
      </c>
      <c r="P188" s="1640" t="str">
        <f t="shared" si="766"/>
        <v>Q2</v>
      </c>
      <c r="Q188" s="1640" t="str">
        <f t="shared" si="766"/>
        <v>Q3</v>
      </c>
      <c r="R188" s="1646" t="str">
        <f t="shared" si="766"/>
        <v>Q4</v>
      </c>
      <c r="S188" s="1645" t="str">
        <f t="shared" si="766"/>
        <v>Q1</v>
      </c>
      <c r="T188" s="1640" t="str">
        <f t="shared" si="766"/>
        <v>Q2</v>
      </c>
      <c r="U188" s="1640" t="str">
        <f t="shared" si="766"/>
        <v>Q3</v>
      </c>
      <c r="V188" s="1646" t="str">
        <f t="shared" si="766"/>
        <v>Q4</v>
      </c>
      <c r="W188" s="1645" t="str">
        <f t="shared" si="766"/>
        <v>Q1</v>
      </c>
      <c r="X188" s="1640" t="str">
        <f t="shared" si="766"/>
        <v>Q2</v>
      </c>
      <c r="Y188" s="1640" t="str">
        <f t="shared" si="766"/>
        <v>Q3</v>
      </c>
      <c r="Z188" s="1646" t="str">
        <f t="shared" si="766"/>
        <v>Q4</v>
      </c>
      <c r="AA188" s="1645" t="str">
        <f t="shared" si="766"/>
        <v>Q1</v>
      </c>
      <c r="AB188" s="1640" t="str">
        <f t="shared" si="766"/>
        <v>Q2</v>
      </c>
      <c r="AC188" s="1640" t="str">
        <f t="shared" si="766"/>
        <v>Q3</v>
      </c>
      <c r="AD188" s="1646" t="str">
        <f t="shared" si="766"/>
        <v>Q4</v>
      </c>
      <c r="AE188" s="1645" t="str">
        <f t="shared" si="766"/>
        <v>Q1</v>
      </c>
      <c r="AF188" s="1640" t="str">
        <f t="shared" si="766"/>
        <v>Q2</v>
      </c>
      <c r="AG188" s="1640" t="str">
        <f t="shared" si="766"/>
        <v>Q3</v>
      </c>
      <c r="AH188" s="1646" t="str">
        <f t="shared" si="766"/>
        <v>Q4</v>
      </c>
      <c r="AI188" s="1645" t="str">
        <f t="shared" si="766"/>
        <v>Q1</v>
      </c>
      <c r="AJ188" s="1640" t="str">
        <f t="shared" si="766"/>
        <v>Q2</v>
      </c>
      <c r="AK188" s="1640" t="str">
        <f t="shared" si="766"/>
        <v>Q3</v>
      </c>
      <c r="AL188" s="1646" t="str">
        <f t="shared" si="766"/>
        <v>Q4</v>
      </c>
      <c r="AM188" s="1645" t="str">
        <f t="shared" si="766"/>
        <v>Q1</v>
      </c>
      <c r="AN188" s="1640" t="str">
        <f t="shared" si="766"/>
        <v>Q2</v>
      </c>
      <c r="AO188" s="1640" t="str">
        <f t="shared" si="766"/>
        <v>Q3</v>
      </c>
      <c r="AP188" s="1646" t="str">
        <f t="shared" si="766"/>
        <v>Q4</v>
      </c>
      <c r="AQ188" s="1645" t="str">
        <f t="shared" si="766"/>
        <v>Q1</v>
      </c>
      <c r="AR188" s="1640" t="str">
        <f t="shared" si="766"/>
        <v>Q2</v>
      </c>
      <c r="AS188" s="1640" t="str">
        <f t="shared" si="766"/>
        <v>Q3</v>
      </c>
      <c r="AT188" s="1646" t="str">
        <f t="shared" si="766"/>
        <v>Q4</v>
      </c>
      <c r="AU188" s="1645" t="str">
        <f t="shared" si="766"/>
        <v>Q1</v>
      </c>
      <c r="AV188" s="1640" t="str">
        <f t="shared" si="766"/>
        <v>Q2</v>
      </c>
      <c r="AW188" s="1640" t="str">
        <f t="shared" si="766"/>
        <v>Q3</v>
      </c>
      <c r="AX188" s="1646" t="str">
        <f t="shared" si="766"/>
        <v>Q4</v>
      </c>
      <c r="AY188" s="1645" t="str">
        <f t="shared" si="766"/>
        <v>Q1</v>
      </c>
      <c r="AZ188" s="1640" t="str">
        <f t="shared" si="766"/>
        <v>Q2</v>
      </c>
      <c r="BA188" s="1640" t="str">
        <f t="shared" si="766"/>
        <v>Q3</v>
      </c>
      <c r="BB188" s="1646" t="str">
        <f t="shared" si="766"/>
        <v>Q4</v>
      </c>
      <c r="BC188" s="1645" t="str">
        <f t="shared" si="766"/>
        <v>Q1</v>
      </c>
      <c r="BD188" s="1640" t="str">
        <f t="shared" si="766"/>
        <v>Q2</v>
      </c>
      <c r="BE188" s="1640" t="str">
        <f t="shared" si="766"/>
        <v>Q3</v>
      </c>
      <c r="BF188" s="1646" t="str">
        <f t="shared" si="766"/>
        <v>Q4</v>
      </c>
      <c r="BG188" s="1645" t="str">
        <f t="shared" si="766"/>
        <v>Q1</v>
      </c>
      <c r="BH188" s="1640" t="str">
        <f t="shared" si="766"/>
        <v>Q2</v>
      </c>
      <c r="BI188" s="1640" t="str">
        <f t="shared" si="766"/>
        <v>Q3</v>
      </c>
      <c r="BJ188" s="1646" t="str">
        <f t="shared" ref="BJ188:BR188" si="767">BJ175</f>
        <v>Q4</v>
      </c>
      <c r="BK188" s="1645" t="str">
        <f t="shared" si="767"/>
        <v>Q1</v>
      </c>
      <c r="BL188" s="1640" t="str">
        <f t="shared" si="767"/>
        <v>Q2</v>
      </c>
      <c r="BM188" s="1640" t="str">
        <f t="shared" si="767"/>
        <v>Q3</v>
      </c>
      <c r="BN188" s="1646" t="str">
        <f t="shared" si="767"/>
        <v>Q4</v>
      </c>
      <c r="BO188" s="1645" t="str">
        <f t="shared" si="767"/>
        <v>Q1</v>
      </c>
      <c r="BP188" s="1640" t="str">
        <f t="shared" si="767"/>
        <v>Q2</v>
      </c>
      <c r="BQ188" s="1640" t="str">
        <f t="shared" si="767"/>
        <v>Q3</v>
      </c>
      <c r="BR188" s="1646" t="str">
        <f t="shared" si="767"/>
        <v>Q4</v>
      </c>
      <c r="BS188" s="1645" t="str">
        <f t="shared" ref="BS188:BZ188" si="768">BS175</f>
        <v>Q1</v>
      </c>
      <c r="BT188" s="1640" t="str">
        <f t="shared" si="768"/>
        <v>Q2</v>
      </c>
      <c r="BU188" s="1640" t="str">
        <f t="shared" si="768"/>
        <v>Q3</v>
      </c>
      <c r="BV188" s="1646" t="str">
        <f t="shared" si="768"/>
        <v>Q4</v>
      </c>
      <c r="BW188" s="1645" t="str">
        <f t="shared" si="768"/>
        <v>Q1</v>
      </c>
      <c r="BX188" s="1640" t="str">
        <f t="shared" si="768"/>
        <v>Q2</v>
      </c>
      <c r="BY188" s="1640" t="str">
        <f t="shared" si="768"/>
        <v>Q3</v>
      </c>
      <c r="BZ188" s="1646" t="str">
        <f t="shared" si="768"/>
        <v>Q4</v>
      </c>
      <c r="CA188" s="1645" t="str">
        <f t="shared" ref="CA188:CF188" si="769">CA175</f>
        <v>Q1</v>
      </c>
      <c r="CB188" s="1640" t="str">
        <f t="shared" si="769"/>
        <v>Q2</v>
      </c>
      <c r="CC188" s="1640" t="str">
        <f t="shared" si="769"/>
        <v>Q3</v>
      </c>
      <c r="CD188" s="1646" t="str">
        <f t="shared" si="769"/>
        <v>Q4</v>
      </c>
      <c r="CE188" s="1645" t="str">
        <f t="shared" si="769"/>
        <v>Q1</v>
      </c>
      <c r="CF188" s="1640" t="str">
        <f t="shared" si="769"/>
        <v>Q2</v>
      </c>
      <c r="CG188" s="1640" t="str">
        <f t="shared" ref="CG188:CL188" si="770">CG175</f>
        <v>Q3</v>
      </c>
      <c r="CH188" s="1646" t="str">
        <f t="shared" si="770"/>
        <v>Q4</v>
      </c>
      <c r="CI188" s="1645" t="str">
        <f t="shared" si="770"/>
        <v>Q1</v>
      </c>
      <c r="CJ188" s="1640" t="str">
        <f t="shared" si="770"/>
        <v>Q2</v>
      </c>
      <c r="CK188" s="1640" t="str">
        <f t="shared" si="770"/>
        <v>Q3</v>
      </c>
      <c r="CL188" s="1646" t="str">
        <f t="shared" si="770"/>
        <v>Q4</v>
      </c>
      <c r="CM188" s="1645" t="str">
        <f t="shared" ref="CM188:CN188" si="771">CM175</f>
        <v>Q1</v>
      </c>
      <c r="CN188" s="1640" t="str">
        <f t="shared" si="771"/>
        <v>Q2</v>
      </c>
      <c r="CO188" s="1640" t="str">
        <f t="shared" ref="CO188:CR188" si="772">CO175</f>
        <v>Q3</v>
      </c>
      <c r="CP188" s="1646" t="str">
        <f t="shared" si="772"/>
        <v>Q4</v>
      </c>
      <c r="CQ188" s="1645" t="str">
        <f t="shared" si="772"/>
        <v>Q1</v>
      </c>
      <c r="CR188" s="1640" t="str">
        <f t="shared" si="772"/>
        <v>Q2</v>
      </c>
      <c r="CS188" s="1640" t="str">
        <f t="shared" ref="CS188:CT188" si="773">CS175</f>
        <v>Q3</v>
      </c>
      <c r="CT188" s="1646" t="str">
        <f t="shared" si="773"/>
        <v>Q4</v>
      </c>
      <c r="CU188" s="1645" t="str">
        <f t="shared" ref="CU188:CX188" si="774">CU175</f>
        <v>Q1</v>
      </c>
      <c r="CV188" s="1640" t="str">
        <f t="shared" si="774"/>
        <v>Q2</v>
      </c>
      <c r="CW188" s="1640" t="str">
        <f t="shared" si="774"/>
        <v>Q3</v>
      </c>
      <c r="CX188" s="1646" t="str">
        <f t="shared" si="774"/>
        <v>Q4</v>
      </c>
      <c r="CY188" s="1645" t="str">
        <f t="shared" ref="CY188:DB188" si="775">CY175</f>
        <v>Q1</v>
      </c>
      <c r="CZ188" s="1640" t="str">
        <f t="shared" si="775"/>
        <v>Q2</v>
      </c>
      <c r="DA188" s="1640" t="str">
        <f t="shared" si="775"/>
        <v>Q3</v>
      </c>
      <c r="DB188" s="1646" t="str">
        <f t="shared" si="775"/>
        <v>Q4</v>
      </c>
      <c r="DC188" s="1645" t="str">
        <f t="shared" ref="DC188:DF188" si="776">DC175</f>
        <v>Q1</v>
      </c>
      <c r="DD188" s="1640" t="str">
        <f t="shared" si="776"/>
        <v>Q2</v>
      </c>
      <c r="DE188" s="1640" t="str">
        <f t="shared" si="776"/>
        <v>Q3</v>
      </c>
      <c r="DF188" s="1646" t="str">
        <f t="shared" si="776"/>
        <v>Q4</v>
      </c>
    </row>
    <row r="189" spans="1:110" s="736" customFormat="1" ht="12.75" customHeight="1">
      <c r="A189" s="701"/>
      <c r="B189" s="701"/>
      <c r="C189" s="899"/>
      <c r="D189" s="900"/>
      <c r="E189" s="901" t="s">
        <v>137</v>
      </c>
      <c r="F189" s="902"/>
      <c r="G189" s="742"/>
      <c r="H189" s="742"/>
      <c r="I189" s="742"/>
      <c r="J189" s="742"/>
      <c r="K189" s="1616">
        <f t="shared" ref="K189:AP189" si="777">(K171/G171-1)*100</f>
        <v>1.6986217010828586</v>
      </c>
      <c r="L189" s="1616">
        <f t="shared" si="777"/>
        <v>3.7342434123998514</v>
      </c>
      <c r="M189" s="1616">
        <f t="shared" si="777"/>
        <v>4.02849732589321</v>
      </c>
      <c r="N189" s="1616">
        <f t="shared" si="777"/>
        <v>7.0305557454371614</v>
      </c>
      <c r="O189" s="1616">
        <f t="shared" si="777"/>
        <v>11.280607420949117</v>
      </c>
      <c r="P189" s="1616">
        <f t="shared" si="777"/>
        <v>13.472913950833521</v>
      </c>
      <c r="Q189" s="1616">
        <f t="shared" si="777"/>
        <v>16.578977919152994</v>
      </c>
      <c r="R189" s="1616">
        <f t="shared" si="777"/>
        <v>15.591937999729799</v>
      </c>
      <c r="S189" s="1616">
        <f t="shared" si="777"/>
        <v>11.537049380345032</v>
      </c>
      <c r="T189" s="1616">
        <f t="shared" si="777"/>
        <v>6.8536821443345719</v>
      </c>
      <c r="U189" s="1616">
        <f t="shared" si="777"/>
        <v>8.8455769459724998</v>
      </c>
      <c r="V189" s="1616">
        <f t="shared" si="777"/>
        <v>8.0617295231942609</v>
      </c>
      <c r="W189" s="1616">
        <f t="shared" si="777"/>
        <v>6.1525164359430784</v>
      </c>
      <c r="X189" s="1616">
        <f t="shared" si="777"/>
        <v>7.4275539724772299</v>
      </c>
      <c r="Y189" s="1616">
        <f t="shared" si="777"/>
        <v>7.9589896563305951</v>
      </c>
      <c r="Z189" s="1616">
        <f t="shared" si="777"/>
        <v>5.7175838978967608</v>
      </c>
      <c r="AA189" s="1616">
        <f t="shared" si="777"/>
        <v>9.6220469560916566</v>
      </c>
      <c r="AB189" s="1616">
        <f t="shared" si="777"/>
        <v>11.818777711727325</v>
      </c>
      <c r="AC189" s="1616">
        <f t="shared" si="777"/>
        <v>12.743350699204846</v>
      </c>
      <c r="AD189" s="1616">
        <f t="shared" si="777"/>
        <v>13.473437960397284</v>
      </c>
      <c r="AE189" s="1616">
        <f t="shared" si="777"/>
        <v>7.2122519500904536</v>
      </c>
      <c r="AF189" s="1616">
        <f t="shared" si="777"/>
        <v>0.7651357848307061</v>
      </c>
      <c r="AG189" s="1616">
        <f t="shared" si="777"/>
        <v>-1.6364586346954035</v>
      </c>
      <c r="AH189" s="1616">
        <f t="shared" si="777"/>
        <v>-2.0918031453931119</v>
      </c>
      <c r="AI189" s="1616">
        <f t="shared" si="777"/>
        <v>1.7406294356349772</v>
      </c>
      <c r="AJ189" s="1616">
        <f t="shared" si="777"/>
        <v>3.9066032558112473</v>
      </c>
      <c r="AK189" s="1616">
        <f t="shared" si="777"/>
        <v>-0.34003890137412895</v>
      </c>
      <c r="AL189" s="1616">
        <f t="shared" si="777"/>
        <v>-0.10451245325655556</v>
      </c>
      <c r="AM189" s="1616">
        <f t="shared" si="777"/>
        <v>1.9160946766023201</v>
      </c>
      <c r="AN189" s="1616">
        <f t="shared" si="777"/>
        <v>1.9321224974175433</v>
      </c>
      <c r="AO189" s="1616">
        <f t="shared" si="777"/>
        <v>6.618451674421344</v>
      </c>
      <c r="AP189" s="1616">
        <f t="shared" si="777"/>
        <v>7.1415019010259595</v>
      </c>
      <c r="AQ189" s="1616">
        <f t="shared" ref="AQ189:BJ189" si="778">(AQ171/AM171-1)*100</f>
        <v>7.8426702883314325</v>
      </c>
      <c r="AR189" s="1616">
        <f t="shared" si="778"/>
        <v>12.350699868137504</v>
      </c>
      <c r="AS189" s="1616">
        <f t="shared" si="778"/>
        <v>9.9375240925075659</v>
      </c>
      <c r="AT189" s="1616">
        <f t="shared" si="778"/>
        <v>9.1366030425203526</v>
      </c>
      <c r="AU189" s="1616">
        <f t="shared" si="778"/>
        <v>5.9190992405438569</v>
      </c>
      <c r="AV189" s="1616">
        <f t="shared" si="778"/>
        <v>4.0194839372464486</v>
      </c>
      <c r="AW189" s="1616">
        <f t="shared" si="778"/>
        <v>8.4977386037608191</v>
      </c>
      <c r="AX189" s="1616">
        <f t="shared" si="778"/>
        <v>8.0209289238220229</v>
      </c>
      <c r="AY189" s="1616">
        <f t="shared" si="778"/>
        <v>11.572235613996984</v>
      </c>
      <c r="AZ189" s="1616">
        <f t="shared" si="778"/>
        <v>8.0165286967310845</v>
      </c>
      <c r="BA189" s="1616">
        <f t="shared" si="778"/>
        <v>6.9310470034795957</v>
      </c>
      <c r="BB189" s="1616">
        <f t="shared" si="778"/>
        <v>10.071147025508665</v>
      </c>
      <c r="BC189" s="1616">
        <f t="shared" si="778"/>
        <v>4.3582991531296189</v>
      </c>
      <c r="BD189" s="1616">
        <f t="shared" si="778"/>
        <v>6.1519554929025722</v>
      </c>
      <c r="BE189" s="1616">
        <f t="shared" si="778"/>
        <v>4.6734733462409972</v>
      </c>
      <c r="BF189" s="1616">
        <f t="shared" si="778"/>
        <v>3.7609374434893761</v>
      </c>
      <c r="BG189" s="1616">
        <f t="shared" si="778"/>
        <v>7.6754862564812676</v>
      </c>
      <c r="BH189" s="1616">
        <f t="shared" si="778"/>
        <v>3.9511825504694675</v>
      </c>
      <c r="BI189" s="1616">
        <f t="shared" si="778"/>
        <v>2.110568548228775</v>
      </c>
      <c r="BJ189" s="1616">
        <f t="shared" si="778"/>
        <v>-6.9266792349271018</v>
      </c>
      <c r="BK189" s="1616">
        <f t="shared" ref="BK189:BR189" si="779">(BK171/BG171-1)*100</f>
        <v>-16.703150055277515</v>
      </c>
      <c r="BL189" s="1616">
        <f t="shared" si="779"/>
        <v>-17.381906884351206</v>
      </c>
      <c r="BM189" s="1616">
        <f t="shared" si="779"/>
        <v>-14.653883668148493</v>
      </c>
      <c r="BN189" s="1616">
        <f t="shared" si="779"/>
        <v>-8.1279079870213327</v>
      </c>
      <c r="BO189" s="1616">
        <f t="shared" si="779"/>
        <v>4.2091577199342867</v>
      </c>
      <c r="BP189" s="1616">
        <f t="shared" si="779"/>
        <v>12.559536348426036</v>
      </c>
      <c r="BQ189" s="1616">
        <f t="shared" si="779"/>
        <v>12.890166772617718</v>
      </c>
      <c r="BR189" s="1616">
        <f t="shared" si="779"/>
        <v>15.996507416034067</v>
      </c>
      <c r="BS189" s="1616">
        <f>(BS171/BO171-1)*100</f>
        <v>11.867822532347327</v>
      </c>
      <c r="BT189" s="1616">
        <f>(BT171/BP171-1)*100</f>
        <v>6.7559132949941203</v>
      </c>
      <c r="BU189" s="1616">
        <f>(BU171/BQ171-1)*100</f>
        <v>7.2132800746802062</v>
      </c>
      <c r="BV189" s="1616">
        <f>(BV171/BR171-1)*100</f>
        <v>-0.28460072963492067</v>
      </c>
      <c r="BW189" s="1616">
        <f t="shared" ref="BW189:CD189" si="780">(BW171/BS171-1)*100</f>
        <v>2.6976924009910253</v>
      </c>
      <c r="BX189" s="1616">
        <f t="shared" si="780"/>
        <v>3.8782216994015961</v>
      </c>
      <c r="BY189" s="1616">
        <f t="shared" si="780"/>
        <v>-1.2099646228288741</v>
      </c>
      <c r="BZ189" s="1616">
        <f t="shared" si="780"/>
        <v>0.901795179273579</v>
      </c>
      <c r="CA189" s="1616">
        <f>(CA171/BW171-1)*100</f>
        <v>-2.0036732791783418</v>
      </c>
      <c r="CB189" s="1616">
        <f>(CB171/BX171-1)*100</f>
        <v>-1.9459021010533539</v>
      </c>
      <c r="CC189" s="1616">
        <f t="shared" si="780"/>
        <v>0.18863333654233205</v>
      </c>
      <c r="CD189" s="1616">
        <f t="shared" si="780"/>
        <v>0.64961902786035974</v>
      </c>
      <c r="CE189" s="1616">
        <f>(CE171/CA171-1)*100</f>
        <v>4.9227618321208588</v>
      </c>
      <c r="CF189" s="1616">
        <f>(CF171/CB171-1)*100</f>
        <v>4.6352317133307341</v>
      </c>
      <c r="CG189" s="1616">
        <f t="shared" ref="CG189:CL189" si="781">(CG171/CC171-1)*100</f>
        <v>5.019711877050903</v>
      </c>
      <c r="CH189" s="1616">
        <f t="shared" si="781"/>
        <v>7.2007393749551785</v>
      </c>
      <c r="CI189" s="1616">
        <f>(CI171/CE171-1)*100</f>
        <v>3.987578834785932</v>
      </c>
      <c r="CJ189" s="1616">
        <f>(CJ171/CF171-1)*100</f>
        <v>3.9970739673129474</v>
      </c>
      <c r="CK189" s="1616">
        <f t="shared" si="781"/>
        <v>6.4481225612556203</v>
      </c>
      <c r="CL189" s="1616">
        <f t="shared" si="781"/>
        <v>6.4770005440427658</v>
      </c>
      <c r="CM189" s="1616">
        <f>(CM171/CI171-1)*100</f>
        <v>4.4435338122413626</v>
      </c>
      <c r="CN189" s="1616">
        <f>(CN171/CJ171-1)*100</f>
        <v>2.3656473908257203</v>
      </c>
      <c r="CO189" s="1616">
        <f t="shared" ref="CO189:CP189" si="782">(CO171/CK171-1)*100</f>
        <v>1.7298747462944686</v>
      </c>
      <c r="CP189" s="1616">
        <f t="shared" si="782"/>
        <v>1.8002780727853551</v>
      </c>
      <c r="CQ189" s="1616">
        <f>(CQ171/CM171-1)*100</f>
        <v>2.0405487257923571</v>
      </c>
      <c r="CR189" s="1616">
        <f>(CR171/CN171-1)*100</f>
        <v>5.5290971182914594</v>
      </c>
      <c r="CS189" s="1616">
        <f t="shared" ref="CS189" si="783">(CS171/CO171-1)*100</f>
        <v>3.0792851809199107</v>
      </c>
      <c r="CT189" s="1616">
        <f t="shared" ref="CT189" si="784">(CT171/CP171-1)*100</f>
        <v>4.0946805407756859</v>
      </c>
      <c r="CU189" s="1616">
        <f t="shared" ref="CU189" si="785">(CU171/CQ171-1)*100</f>
        <v>4.8331064998663908</v>
      </c>
      <c r="CV189" s="1616">
        <f>(CV171/CR171-1)*100</f>
        <v>2.6332590257866162</v>
      </c>
      <c r="CW189" s="1616">
        <f t="shared" ref="CW189" si="786">(CW171/CS171-1)*100</f>
        <v>3.820827043120234</v>
      </c>
      <c r="CX189" s="1616">
        <f t="shared" ref="CX189" si="787">(CX171/CT171-1)*100</f>
        <v>2.4683119401498033</v>
      </c>
      <c r="CY189" s="1616">
        <f t="shared" ref="CY189" si="788">(CY171/CU171-1)*100</f>
        <v>3.1785499243212278</v>
      </c>
      <c r="CZ189" s="1616">
        <f t="shared" ref="CZ189" si="789">(CZ171/CV171-1)*100</f>
        <v>3.6690756094448274</v>
      </c>
      <c r="DA189" s="1616">
        <f t="shared" ref="DA189" si="790">(DA171/CW171-1)*100</f>
        <v>3.2280615363140086</v>
      </c>
      <c r="DB189" s="1616">
        <f t="shared" ref="DB189" si="791">(DB171/CX171-1)*100</f>
        <v>2.8599376913108099</v>
      </c>
      <c r="DC189" s="1616">
        <f t="shared" ref="DC189" si="792">(DC171/CY171-1)*100</f>
        <v>3.0335668185823783</v>
      </c>
      <c r="DD189" s="1616">
        <f t="shared" ref="DD189" si="793">(DD171/CZ171-1)*100</f>
        <v>2.9314320378343695</v>
      </c>
      <c r="DE189" s="1616">
        <f t="shared" ref="DE189" si="794">(DE171/DA171-1)*100</f>
        <v>3.0439254061817467</v>
      </c>
      <c r="DF189" s="1616">
        <f t="shared" ref="DF189" si="795">(DF171/DB171-1)*100</f>
        <v>3.0849012190483194</v>
      </c>
    </row>
    <row r="190" spans="1:110" s="736" customFormat="1" ht="12.75" customHeight="1">
      <c r="A190" s="701"/>
      <c r="B190" s="701"/>
      <c r="C190" s="981"/>
      <c r="D190" s="711"/>
      <c r="E190" s="820" t="s">
        <v>156</v>
      </c>
      <c r="F190" s="741"/>
      <c r="G190" s="742"/>
      <c r="H190" s="742"/>
      <c r="I190" s="742"/>
      <c r="J190" s="742"/>
      <c r="K190" s="1616">
        <f>(4*K171/J172-1)*100</f>
        <v>1.0347293568483185</v>
      </c>
      <c r="L190" s="1616">
        <f>((K171+3*L171)/J172-1)*100</f>
        <v>4.1513413244085751</v>
      </c>
      <c r="M190" s="1616">
        <f>((K171+L171+2*M171)/J172-1)*100</f>
        <v>2.8423203711556377</v>
      </c>
      <c r="N190" s="1674"/>
      <c r="O190" s="1616">
        <f>(4*O171/N172-1)*100</f>
        <v>7.9721399993494479</v>
      </c>
      <c r="P190" s="1616">
        <f>((O171+3*P171)/N172-1)*100</f>
        <v>12.963710743096012</v>
      </c>
      <c r="Q190" s="1616">
        <f>((O171+P171+2*Q171)/N172-1)*100</f>
        <v>13.067037110073842</v>
      </c>
      <c r="R190" s="1674"/>
      <c r="S190" s="1616">
        <f>(4*S171/R172-1)*100</f>
        <v>5.4045064113977581</v>
      </c>
      <c r="T190" s="1616">
        <f>((S171+3*T171)/R172-1)*100</f>
        <v>6.7533671195379341</v>
      </c>
      <c r="U190" s="1616">
        <f>((S171+T171+2*U171)/R172-1)*100</f>
        <v>7.8510054400378726</v>
      </c>
      <c r="V190" s="1674"/>
      <c r="W190" s="1616">
        <f>(4*W171/V172-1)*100</f>
        <v>2.8616307480819669</v>
      </c>
      <c r="X190" s="1616">
        <f>((W171+3*X171)/V172-1)*100</f>
        <v>5.1203932098186744</v>
      </c>
      <c r="Y190" s="1616">
        <f>((W171+X171+2*Y171)/V172-1)*100</f>
        <v>6.471653239093067</v>
      </c>
      <c r="Z190" s="1674"/>
      <c r="AA190" s="1616">
        <f>(4*AA171/Z172-1)*100</f>
        <v>5.5718944410469096</v>
      </c>
      <c r="AB190" s="1616">
        <f>((AA171+3*AB171)/Z172-1)*100</f>
        <v>9.5233053980667837</v>
      </c>
      <c r="AC190" s="1616">
        <f>((AA171+AB171+2*AC171)/Z172-1)*100</f>
        <v>11.407899720583536</v>
      </c>
      <c r="AD190" s="1674"/>
      <c r="AE190" s="1616">
        <f>(4*AE171/AD172-1)*100</f>
        <v>1.1035497815806483</v>
      </c>
      <c r="AF190" s="1616">
        <f>((AE171+3*AF171)/AD172-1)*100</f>
        <v>0.10032814845828408</v>
      </c>
      <c r="AG190" s="1616">
        <f>((AE171+AF171+2*AG171)/AD172-1)*100</f>
        <v>0.56730634482768938</v>
      </c>
      <c r="AH190" s="1674"/>
      <c r="AI190" s="1616">
        <f>(4*AI171/AH172-1)*100</f>
        <v>1.9202465229773757</v>
      </c>
      <c r="AJ190" s="1616">
        <f>((AI171+3*AJ171)/AH172-1)*100</f>
        <v>2.5147390482544996</v>
      </c>
      <c r="AK190" s="1616">
        <f>((AI171+AJ171+2*AK171)/AH172-1)*100</f>
        <v>0.87693429490669494</v>
      </c>
      <c r="AL190" s="1674"/>
      <c r="AM190" s="1616">
        <f>(4*AM171/AL172-1)*100</f>
        <v>2.5501395518449765</v>
      </c>
      <c r="AN190" s="1616">
        <f>((AM171+3*AN171)/AL172-1)*100</f>
        <v>3.1604959129752253</v>
      </c>
      <c r="AO190" s="1616">
        <f>((AM171+AN171+2*AO171)/AL172-1)*100</f>
        <v>3.8126132787114297</v>
      </c>
      <c r="AP190" s="1674"/>
      <c r="AQ190" s="1616">
        <f>(4*AQ171/AP172-1)*100</f>
        <v>5.9541229422068964</v>
      </c>
      <c r="AR190" s="1616">
        <f>((AQ171+3*AR171)/AP172-1)*100</f>
        <v>9.9329135592882025</v>
      </c>
      <c r="AS190" s="1616">
        <f>((AQ171+AR171+2*AS171)/AP172-1)*100</f>
        <v>9.4248993014263149</v>
      </c>
      <c r="AT190" s="1674"/>
      <c r="AU190" s="1616">
        <f>(4*AU171/AT172-1)*100</f>
        <v>2.1949250598910286</v>
      </c>
      <c r="AV190" s="1616">
        <f>((AU171+3*AV171)/AT172-1)*100</f>
        <v>4.5891061731140992</v>
      </c>
      <c r="AW190" s="1616">
        <f>((AU171+AV171+2*AW171)/AT172-1)*100</f>
        <v>6.3557551302395821</v>
      </c>
      <c r="AX190" s="1674"/>
      <c r="AY190" s="1616">
        <f>(4*AY171/AX172-1)*100</f>
        <v>6.9415271719762917</v>
      </c>
      <c r="AZ190" s="1616">
        <f>((AY171+3*AZ171)/AX172-1)*100</f>
        <v>6.8109676563215205</v>
      </c>
      <c r="BA190" s="1616">
        <f>((AY171+AZ171+2*BA171)/AX172-1)*100</f>
        <v>8.0463041774596391</v>
      </c>
      <c r="BB190" s="1674"/>
      <c r="BC190" s="1616">
        <f>(4*BC171/BB172-1)*100</f>
        <v>2.2737953249922782</v>
      </c>
      <c r="BD190" s="1616">
        <f>((BC171+3*BD171)/BB172-1)*100</f>
        <v>3.4651600895030388</v>
      </c>
      <c r="BE190" s="1616">
        <f>((BC171+BD171+2*BE171)/BB172-1)*100</f>
        <v>3.9268494495934725</v>
      </c>
      <c r="BF190" s="1674"/>
      <c r="BG190" s="1616">
        <f>(4*BG171/BF172-1)*100</f>
        <v>5.1597062780526892</v>
      </c>
      <c r="BH190" s="1616">
        <f>((BG171+3*BH171)/BF172-1)*100</f>
        <v>3.6143529147964815</v>
      </c>
      <c r="BI190" s="1616">
        <f>((BG171+BH171+2*BI171)/BF172-1)*100</f>
        <v>3.1517710325688952</v>
      </c>
      <c r="BJ190" s="1674"/>
      <c r="BK190" s="1616">
        <f>(4*BK171/BJ172-1)*100</f>
        <v>-13.781720938973507</v>
      </c>
      <c r="BL190" s="1616">
        <f>((BK171+3*BL171)/BJ172-1)*100</f>
        <v>-15.56532189055746</v>
      </c>
      <c r="BM190" s="1616">
        <f>((BK171+BL171+2*BM171)/BJ172-1)*100</f>
        <v>-14.569726350052081</v>
      </c>
      <c r="BN190" s="1674"/>
      <c r="BO190" s="1616">
        <f>(4*BO171/BN172-1)*100</f>
        <v>4.8826925591285431</v>
      </c>
      <c r="BP190" s="1616">
        <f>((BO171+3*BP171)/BN172-1)*100</f>
        <v>8.8423812440217695</v>
      </c>
      <c r="BQ190" s="1616">
        <f>((BO171+BP171+2*BQ171)/BN172-1)*100</f>
        <v>10.316187146897505</v>
      </c>
      <c r="BR190" s="1674"/>
      <c r="BS190" s="1616">
        <f>(4*BS171/BR172-1)*100</f>
        <v>5.3121946459035341</v>
      </c>
      <c r="BT190" s="1616">
        <f>((BS171+3*BT171)/BR172-1)*100</f>
        <v>5.4971581609144504</v>
      </c>
      <c r="BU190" s="1616">
        <f>((BS171+BT171+2*BU171)/BR172-1)*100</f>
        <v>7.1415459456387831</v>
      </c>
      <c r="BV190" s="1674"/>
      <c r="BW190" s="1616">
        <f>(4*BW171/BV172-1)*100</f>
        <v>1.8210423470876647</v>
      </c>
      <c r="BX190" s="1616">
        <f>((BW171+3*BX171)/BV172-1)*100</f>
        <v>2.879768965348406</v>
      </c>
      <c r="BY190" s="1616">
        <f>((BW171+BX171+2*BY171)/BV172-1)*100</f>
        <v>1.8808664776345241</v>
      </c>
      <c r="BZ190" s="1674"/>
      <c r="CA190" s="1616">
        <f>(4*CA171/BZ172-1)*100</f>
        <v>-1.7376784074067952</v>
      </c>
      <c r="CB190" s="1616">
        <f>((CA171+3*CB171)/BZ172-1)*100</f>
        <v>-0.67190674598174294</v>
      </c>
      <c r="CC190" s="1616">
        <f>((CA171+CB171+2*CC171)/BZ172-1)*100</f>
        <v>-0.57246129495543974</v>
      </c>
      <c r="CD190" s="1674"/>
      <c r="CE190" s="1616">
        <f>(4*CE171/CD172-1)*100</f>
        <v>3.9205770801321371</v>
      </c>
      <c r="CF190" s="1616">
        <f>((CE171+3*CF171)/CD172-1)*100</f>
        <v>4.8310426287107466</v>
      </c>
      <c r="CG190" s="1616">
        <f>((CE171+CF171+2*CG171)/CD172-1)*100</f>
        <v>5.1294690587342151</v>
      </c>
      <c r="CH190" s="1674"/>
      <c r="CI190" s="1616">
        <f>(4*CI171/CH172-1)*100</f>
        <v>2.4858827637546099</v>
      </c>
      <c r="CJ190" s="1616">
        <f>((CI171+3*CJ171)/CH172-1)*100</f>
        <v>3.3908792118992004</v>
      </c>
      <c r="CK190" s="1616">
        <f>((CI171+CJ171+2*CK171)/CH172-1)*100</f>
        <v>4.9140851690972598</v>
      </c>
      <c r="CL190" s="1674"/>
      <c r="CM190" s="1616">
        <f>(4*CM171/CL172-1)*100</f>
        <v>1.7119733478035082</v>
      </c>
      <c r="CN190" s="1616">
        <f>((CM171+3*CN171)/CL172-1)*100</f>
        <v>1.0746101708457134</v>
      </c>
      <c r="CO190" s="1616">
        <f>((CM171+CN171+2*CO171)/CL172-1)*100</f>
        <v>2.2338192604231866</v>
      </c>
      <c r="CP190" s="1674"/>
      <c r="CQ190" s="1616">
        <f>(4*CQ171/CP172-1)*100</f>
        <v>1.1916629238920562</v>
      </c>
      <c r="CR190" s="1616">
        <f>((CQ171+3*CR171)/CP172-1)*100</f>
        <v>3.1305266783757668</v>
      </c>
      <c r="CS190" s="1616">
        <f>((CQ171+CR171+2*CS171)/CP172-1)*100</f>
        <v>3.0909790408678584</v>
      </c>
      <c r="CT190" s="1674"/>
      <c r="CU190" s="1616">
        <f>(4*CU171/CT172-1)*100</f>
        <v>2.3144326987295294</v>
      </c>
      <c r="CV190" s="1616">
        <f>((CU171+3*CV171)/CT172-1)*100</f>
        <v>2.6234257963135388</v>
      </c>
      <c r="CW190" s="1616">
        <f>((CU171+CV171+2*CW171)/CT172-1)*100</f>
        <v>3.1781484831892692</v>
      </c>
      <c r="CX190" s="1674"/>
      <c r="CY190" s="1616">
        <f>(4*CY171/CX172-1)*100</f>
        <v>2.0708671478639307</v>
      </c>
      <c r="CZ190" s="1616">
        <f>((CY171+3*CZ171)/CX172-1)*100</f>
        <v>2.7445348710398276</v>
      </c>
      <c r="DA190" s="1616">
        <f>((CY171+CZ171+2*DA171)/CX172-1)*100</f>
        <v>3.0791844160708237</v>
      </c>
      <c r="DB190" s="1674"/>
      <c r="DC190" s="1616">
        <f>(4*DC171/DB172-1)*100</f>
        <v>1.874615533118229</v>
      </c>
      <c r="DD190" s="1616">
        <f>((DC171+3*DD171)/DB172-1)*100</f>
        <v>2.4705820339869788</v>
      </c>
      <c r="DE190" s="1616">
        <f>((DC171+DD171+2*DE171)/DB172-1)*100</f>
        <v>2.860725136617237</v>
      </c>
      <c r="DF190" s="1674"/>
    </row>
    <row r="191" spans="1:110" ht="12.75">
      <c r="C191" s="1607"/>
      <c r="D191" s="865"/>
      <c r="E191" s="1614" t="s">
        <v>155</v>
      </c>
      <c r="F191" s="865"/>
      <c r="G191" s="913"/>
      <c r="H191" s="913"/>
      <c r="I191" s="913"/>
      <c r="J191" s="913"/>
      <c r="K191" s="1673"/>
      <c r="L191" s="920">
        <f>(4*L171/(K171+3*L171)-1)*100</f>
        <v>0.9974625795913461</v>
      </c>
      <c r="M191" s="920">
        <f>(4*M171/(K171+L171+2*M171)-1)*100</f>
        <v>-0.26268397720369263</v>
      </c>
      <c r="N191" s="920">
        <f>+(4*N171/N172-1)*100</f>
        <v>3.4521578082815862</v>
      </c>
      <c r="O191" s="1673"/>
      <c r="P191" s="920">
        <f>(4*P171/(O171+3*P171)-1)*100</f>
        <v>1.4729127643178686</v>
      </c>
      <c r="Q191" s="920">
        <f>(4*Q171/(O171+P171+2*Q171)-1)*100</f>
        <v>1.5629517910154656</v>
      </c>
      <c r="R191" s="920">
        <f>+(4*R171/R172-1)*100</f>
        <v>4.6635393798043268</v>
      </c>
      <c r="S191" s="1673"/>
      <c r="T191" s="920">
        <f>(4*T171/(S171+3*T171)-1)*100</f>
        <v>0.42117663187453136</v>
      </c>
      <c r="U191" s="920">
        <f>(4*U171/(S171+T171+2*U171)-1)*100</f>
        <v>1.4346259918799786</v>
      </c>
      <c r="V191" s="920">
        <f>+(4*V171/V172-1)*100</f>
        <v>3.9755589295877636</v>
      </c>
      <c r="W191" s="1673"/>
      <c r="X191" s="920">
        <f>(4*X171/(W171+3*X171)-1)*100</f>
        <v>0.71624619884751439</v>
      </c>
      <c r="Y191" s="920">
        <f>(4*Y171/(W171+X171+2*Y171)-1)*100</f>
        <v>1.9762826873065853</v>
      </c>
      <c r="Z191" s="920">
        <f>+(4*Z171/Z172-1)*100</f>
        <v>2.9142456267171379</v>
      </c>
      <c r="AA191" s="1673"/>
      <c r="AB191" s="920">
        <f>(4*AB171/(AA171+3*AB171)-1)*100</f>
        <v>1.2026088702181692</v>
      </c>
      <c r="AC191" s="920">
        <f>(4*AC171/(AA171+AB171+2*AC171)-1)*100</f>
        <v>2.8738817590315824</v>
      </c>
      <c r="AD191" s="920">
        <f>+(4*AD171/AD172-1)*100</f>
        <v>4.3141873355848182</v>
      </c>
      <c r="AE191" s="1673"/>
      <c r="AF191" s="920">
        <f>(4*AF171/(AE171+3*AF171)-1)*100</f>
        <v>-0.33407204274578106</v>
      </c>
      <c r="AG191" s="920">
        <f>(4*AG171/(AE171+AF171+2*AG171)-1)*100</f>
        <v>0.13182314426722908</v>
      </c>
      <c r="AH191" s="920">
        <f>+(4*AH171/AH172-1)*100</f>
        <v>1.1957031981686628</v>
      </c>
      <c r="AI191" s="1673"/>
      <c r="AJ191" s="920">
        <f>(4*AJ171/(AI171+3*AJ171)-1)*100</f>
        <v>0.19330310639440462</v>
      </c>
      <c r="AK191" s="920">
        <f>(4*AK171/(AI171+AJ171+2*AK171)-1)*100</f>
        <v>-1.4271256242252228</v>
      </c>
      <c r="AL191" s="920">
        <f>+(4*AL171/AL172-1)*100</f>
        <v>-0.19760574701011002</v>
      </c>
      <c r="AM191" s="1673"/>
      <c r="AN191" s="920">
        <f>(4*AN171/(AM171+3*AN171)-1)*100</f>
        <v>0.19721902126990098</v>
      </c>
      <c r="AO191" s="920">
        <f>(4*AO171/(AM171+AN171+2*AO171)-1)*100</f>
        <v>0.82414791333302873</v>
      </c>
      <c r="AP191" s="920">
        <f>+(4*AP171/AP172-1)*100</f>
        <v>2.4447394866377703</v>
      </c>
      <c r="AQ191" s="1673"/>
      <c r="AR191" s="920">
        <f>(4*AR171/(AQ171+3*AR171)-1)*100</f>
        <v>1.2064298999151291</v>
      </c>
      <c r="AS191" s="920">
        <f>(4*AS171/(AQ171+AR171+2*AS171)-1)*100</f>
        <v>0.74777247810045022</v>
      </c>
      <c r="AT191" s="920">
        <f>+(4*AT171/AT172-1)*100</f>
        <v>1.8116050689128915</v>
      </c>
      <c r="AU191" s="1673"/>
      <c r="AV191" s="920">
        <f>(4*AV171/(AU171+3*AV171)-1)*100</f>
        <v>0.76304349494431545</v>
      </c>
      <c r="AW191" s="920">
        <f>(4*AW171/(AU171+AV171+2*AW171)-1)*100</f>
        <v>2.4114438612740541</v>
      </c>
      <c r="AX191" s="920">
        <f>+(4*AX171/AX172-1)*100</f>
        <v>3.1492581267087871</v>
      </c>
      <c r="AY191" s="1673"/>
      <c r="AZ191" s="920">
        <f>(4*AZ171/(AY171+3*AZ171)-1)*100</f>
        <v>-4.0744728286357113E-2</v>
      </c>
      <c r="BA191" s="920">
        <f>(4*BA171/(AY171+AZ171+2*BA171)-1)*100</f>
        <v>1.1030610363396143</v>
      </c>
      <c r="BB191" s="920">
        <f>+(4*BB171/BB172-1)*100</f>
        <v>4.0472484313857304</v>
      </c>
      <c r="BC191" s="1673"/>
      <c r="BD191" s="920">
        <f>(4*BD171/(BC171+3*BD171)-1)*100</f>
        <v>0.38382155677014751</v>
      </c>
      <c r="BE191" s="920">
        <f>(4*BE171/(BC171+BD171+2*BE171)-1)*100</f>
        <v>0.82636099603616842</v>
      </c>
      <c r="BF191" s="920">
        <f>+(4*BF171/BF172-1)*100</f>
        <v>3.0938210300774482</v>
      </c>
      <c r="BG191" s="1673"/>
      <c r="BH191" s="920">
        <f>(4*BH171/(BG171+3*BH171)-1)*100</f>
        <v>-0.49714906599441777</v>
      </c>
      <c r="BI191" s="920">
        <f>(4*BI171/(BG171+BH171+2*BI171)-1)*100</f>
        <v>-0.94782635353002354</v>
      </c>
      <c r="BJ191" s="920">
        <f>+(4*BJ171/BJ172-1)*100</f>
        <v>-5.5549385523785073</v>
      </c>
      <c r="BK191" s="1673"/>
      <c r="BL191" s="920">
        <f>(4*BL171/(BK171+3*BL171)-1)*100</f>
        <v>-0.70413444314594287</v>
      </c>
      <c r="BM191" s="920">
        <f>(4*BM171/(BK171+BL171+2*BM171)-1)*100</f>
        <v>0.46946108544703158</v>
      </c>
      <c r="BN191" s="920">
        <f>+(4*BN171/BN172-1)*100</f>
        <v>1.288806006096932</v>
      </c>
      <c r="BO191" s="1673"/>
      <c r="BP191" s="920">
        <f>(4*BP171/(BO171+3*BP171)-1)*100</f>
        <v>1.212667541091883</v>
      </c>
      <c r="BQ191" s="920">
        <f>(4*BQ171/(BO171+BP171+2*BQ171)-1)*100</f>
        <v>2.5324498638204407</v>
      </c>
      <c r="BR191" s="920">
        <f>+(4*BR171/BR172-1)*100</f>
        <v>5.4571463513158003</v>
      </c>
      <c r="BS191" s="1673"/>
      <c r="BT191" s="920">
        <f>(4*BT171/(BS171+3*BT171)-1)*100</f>
        <v>5.8441863343450251E-2</v>
      </c>
      <c r="BU191" s="920">
        <f>(4*BU171/(BS171+BT171+2*BU171)-1)*100</f>
        <v>1.5923256237067918</v>
      </c>
      <c r="BV191" s="920">
        <f>+(4*BV171/BV172-1)*100</f>
        <v>-0.99971657969255556</v>
      </c>
      <c r="BW191" s="1673"/>
      <c r="BX191" s="920">
        <f>(4*BX171/(BW171+3*BX171)-1)*100</f>
        <v>0.34303039003953373</v>
      </c>
      <c r="BY191" s="920">
        <f>(4*BY171/(BW171+BX171+2*BY171)-1)*100</f>
        <v>-0.63406764910280966</v>
      </c>
      <c r="BZ191" s="920">
        <f>+(4*BZ171/BZ172-1)*100</f>
        <v>-1.6272038225168317</v>
      </c>
      <c r="CA191" s="1673"/>
      <c r="CB191" s="920">
        <f>(4*CB171/(CA171+3*CB171)-1)*100</f>
        <v>0.3576603645924159</v>
      </c>
      <c r="CC191" s="920">
        <f>(4*CC171/(CA171+CB171+2*CC171)-1)*100</f>
        <v>0.45732065524644039</v>
      </c>
      <c r="CD191" s="920">
        <f>+(4*CD171/CD172-1)*100</f>
        <v>-0.19967245935944566</v>
      </c>
      <c r="CE191" s="1673"/>
      <c r="CF191" s="920">
        <f>(4*CF171/(CE171+3*CF171)-1)*100</f>
        <v>0.28950252576211977</v>
      </c>
      <c r="CG191" s="920">
        <f>(4*CG171/(CE171+CF171+2*CG171)-1)*100</f>
        <v>0.57254635793895226</v>
      </c>
      <c r="CH191" s="920">
        <f>+(4*CH171/CH172-1)*100</f>
        <v>1.4637191530922689</v>
      </c>
      <c r="CI191" s="1673"/>
      <c r="CJ191" s="920">
        <f>(4*CJ171/(CI171+3*CJ171)-1)*100</f>
        <v>0.29177185165105701</v>
      </c>
      <c r="CK191" s="920">
        <f>(4*CK171/(CI171+CJ171+2*CK171)-1)*100</f>
        <v>1.7393960372162232</v>
      </c>
      <c r="CL191" s="920">
        <f>+(4*CL171/CL172-1)*100</f>
        <v>2.658062239503578</v>
      </c>
      <c r="CM191" s="1673"/>
      <c r="CN191" s="920">
        <f>(4*CN171/(CM171+3*CN171)-1)*100</f>
        <v>-0.21019560892706624</v>
      </c>
      <c r="CO191" s="920">
        <f>(4*CO171/(CM171+CN171+2*CO171)-1)*100</f>
        <v>0.92606801164936137</v>
      </c>
      <c r="CP191" s="920">
        <f>+(4*CP171/CP172-1)*100</f>
        <v>1.8924239344452642</v>
      </c>
      <c r="CQ191" s="1673"/>
      <c r="CR191" s="920">
        <f>(4*CR171/(CQ171+3*CR171)-1)*100</f>
        <v>0.62666985128152497</v>
      </c>
      <c r="CS191" s="920">
        <f>(4*CS171/(CQ171+CR171+2*CS171)-1)*100</f>
        <v>0.5885483737745778</v>
      </c>
      <c r="CT191" s="920">
        <f>+(4*CT171/CT172-1)*100</f>
        <v>2.2972933180970267</v>
      </c>
      <c r="CU191" s="1673"/>
      <c r="CV191" s="920">
        <f>(4*CV171/(CU171+3*CV171)-1)*100</f>
        <v>0.10036470561711752</v>
      </c>
      <c r="CW191" s="920">
        <f>(4*CW171/(CU171+CV171+2*CW171)-1)*100</f>
        <v>0.63746093115597535</v>
      </c>
      <c r="CX191" s="920">
        <f>+(4*CX171/CX172-1)*100</f>
        <v>1.3512731087914842</v>
      </c>
      <c r="CY191" s="1673"/>
      <c r="CZ191" s="920">
        <f>(4*CZ171/(CY171+3*CZ171)-1)*100</f>
        <v>0.21855752036559206</v>
      </c>
      <c r="DA191" s="920">
        <f>(4*DA171/(CY171+CZ171+2*DA171)-1)*100</f>
        <v>0.54250085109237567</v>
      </c>
      <c r="DB191" s="920">
        <f>+(4*DB171/DB172-1)*100</f>
        <v>0.98593926756367356</v>
      </c>
      <c r="DC191" s="1673"/>
      <c r="DD191" s="920">
        <f>(4*DD171/(DC171+3*DD171)-1)*100</f>
        <v>0.19386588457523946</v>
      </c>
      <c r="DE191" s="920">
        <f>(4*DE171/(DC171+DD171+2*DE171)-1)*100</f>
        <v>0.57242314998051658</v>
      </c>
      <c r="DF191" s="920">
        <f>+(4*DF171/DF172-1)*100</f>
        <v>1.0459710148918777</v>
      </c>
    </row>
    <row r="192" spans="1:110" ht="30" customHeight="1">
      <c r="BF192" s="217"/>
      <c r="BJ192" s="217"/>
      <c r="BN192" s="217"/>
      <c r="BR192" s="217"/>
      <c r="BV192" s="217"/>
    </row>
    <row r="193" spans="1:110" ht="30" customHeight="1">
      <c r="CQ193" s="564">
        <v>0.9</v>
      </c>
      <c r="CR193" s="564">
        <v>1.2</v>
      </c>
      <c r="CS193" s="564">
        <v>1.4</v>
      </c>
      <c r="CT193" s="564">
        <v>1.4</v>
      </c>
      <c r="CV193" s="564">
        <v>1.2</v>
      </c>
    </row>
    <row r="194" spans="1:110" ht="30" customHeight="1">
      <c r="C194" s="3824" t="s">
        <v>376</v>
      </c>
      <c r="D194" s="3824"/>
      <c r="E194" s="3824"/>
      <c r="F194" s="3824"/>
      <c r="BV194" s="3155"/>
    </row>
    <row r="195" spans="1:110" s="921" customFormat="1" ht="12.75" customHeight="1">
      <c r="A195" s="701"/>
      <c r="B195" s="701"/>
      <c r="C195" s="703"/>
      <c r="D195" s="1081"/>
      <c r="E195" s="1608"/>
      <c r="F195" s="1081"/>
      <c r="G195" s="1084"/>
      <c r="H195" s="1609"/>
      <c r="I195" s="1609"/>
      <c r="J195" s="1609"/>
      <c r="K195" s="1084"/>
      <c r="L195" s="1609"/>
      <c r="M195" s="1609"/>
      <c r="N195" s="1609"/>
      <c r="O195" s="1084"/>
      <c r="P195" s="1609"/>
      <c r="Q195" s="1609"/>
      <c r="R195" s="1609"/>
      <c r="S195" s="1084"/>
      <c r="T195" s="1609"/>
      <c r="U195" s="1609"/>
      <c r="V195" s="1609"/>
      <c r="W195" s="1084"/>
      <c r="X195" s="1609"/>
      <c r="Y195" s="1609"/>
      <c r="Z195" s="1609"/>
      <c r="AA195" s="1084"/>
      <c r="AB195" s="1609"/>
      <c r="AC195" s="1609"/>
      <c r="AD195" s="1609"/>
      <c r="AE195" s="1084"/>
      <c r="AF195" s="1609"/>
      <c r="AG195" s="1609"/>
      <c r="AH195" s="1609"/>
      <c r="AI195" s="1084"/>
      <c r="AJ195" s="1609"/>
      <c r="AK195" s="1609"/>
      <c r="AL195" s="1609"/>
      <c r="AM195" s="1084"/>
      <c r="AN195" s="1609"/>
      <c r="AO195" s="1609"/>
      <c r="AP195" s="1609"/>
      <c r="AQ195" s="1084"/>
      <c r="AR195" s="1609"/>
      <c r="AS195" s="1609"/>
      <c r="AT195" s="1609"/>
      <c r="AU195" s="1084"/>
      <c r="AV195" s="1609"/>
      <c r="AW195" s="1609"/>
      <c r="AX195" s="1609"/>
      <c r="AY195" s="1610"/>
      <c r="AZ195" s="1609"/>
      <c r="BA195" s="1610"/>
      <c r="BB195" s="1610"/>
      <c r="BC195" s="1610"/>
      <c r="BD195" s="1610"/>
      <c r="BE195" s="1610"/>
      <c r="BF195" s="1610"/>
      <c r="BG195" s="1610"/>
      <c r="BH195" s="1610"/>
      <c r="BI195" s="1610"/>
      <c r="BJ195" s="1610"/>
      <c r="BK195" s="1610"/>
      <c r="BL195" s="1610"/>
      <c r="BM195" s="1610"/>
      <c r="BN195" s="1610"/>
      <c r="BO195" s="1610"/>
      <c r="BP195" s="1610"/>
      <c r="BQ195" s="1610"/>
      <c r="BR195" s="1610"/>
      <c r="BS195" s="3252"/>
      <c r="BT195" s="3252"/>
      <c r="BU195" s="3252"/>
      <c r="BV195" s="3252"/>
      <c r="BW195" s="3252"/>
      <c r="BX195" s="3252"/>
      <c r="BY195" s="3252"/>
      <c r="BZ195" s="3252"/>
      <c r="CA195" s="3252"/>
      <c r="CB195" s="1610"/>
      <c r="CC195" s="3252"/>
      <c r="CD195" s="3252"/>
      <c r="CE195" s="3252"/>
      <c r="CF195" s="1610"/>
      <c r="CG195" s="1610"/>
      <c r="CH195" s="3252"/>
      <c r="CI195" s="3252"/>
      <c r="CJ195" s="1610"/>
      <c r="CK195" s="1610"/>
      <c r="CL195" s="1610"/>
      <c r="CM195" s="1610"/>
      <c r="CN195" s="1610"/>
      <c r="CO195" s="1610"/>
      <c r="CP195" s="1610"/>
      <c r="CQ195" s="1610"/>
      <c r="CR195" s="1610"/>
      <c r="CS195" s="1610"/>
      <c r="CT195" s="1610"/>
      <c r="CU195" s="1610"/>
      <c r="CV195" s="1610"/>
      <c r="CW195" s="1610"/>
      <c r="CX195" s="1610"/>
      <c r="CY195" s="1610"/>
      <c r="CZ195" s="1610"/>
      <c r="DA195" s="1610"/>
      <c r="DB195" s="1610"/>
      <c r="DC195" s="1610"/>
      <c r="DD195" s="1610"/>
      <c r="DE195" s="1610"/>
      <c r="DF195" s="1610"/>
    </row>
    <row r="196" spans="1:110">
      <c r="G196" s="3820">
        <f ca="1">OFFSET(InputY!$G$3,0,(COLUMN()-7)/4)</f>
        <v>1995</v>
      </c>
      <c r="H196" s="3821"/>
      <c r="I196" s="3821"/>
      <c r="J196" s="3821"/>
      <c r="K196" s="3817">
        <f ca="1">OFFSET(InputY!$G$3,0,(COLUMN()-7)/4)</f>
        <v>1996</v>
      </c>
      <c r="L196" s="3818"/>
      <c r="M196" s="3818"/>
      <c r="N196" s="3819"/>
      <c r="O196" s="3817">
        <f ca="1">OFFSET(InputY!$G$3,0,(COLUMN()-7)/4)</f>
        <v>1997</v>
      </c>
      <c r="P196" s="3818"/>
      <c r="Q196" s="3818"/>
      <c r="R196" s="3819"/>
      <c r="S196" s="3817">
        <f ca="1">OFFSET(InputY!$G$3,0,(COLUMN()-7)/4)</f>
        <v>1998</v>
      </c>
      <c r="T196" s="3818"/>
      <c r="U196" s="3818"/>
      <c r="V196" s="3819"/>
      <c r="W196" s="3817">
        <f ca="1">OFFSET(InputY!$G$3,0,(COLUMN()-7)/4)</f>
        <v>1999</v>
      </c>
      <c r="X196" s="3818"/>
      <c r="Y196" s="3818"/>
      <c r="Z196" s="3819"/>
      <c r="AA196" s="3817">
        <f ca="1">OFFSET(InputY!$G$3,0,(COLUMN()-7)/4)</f>
        <v>2000</v>
      </c>
      <c r="AB196" s="3818"/>
      <c r="AC196" s="3818"/>
      <c r="AD196" s="3819"/>
      <c r="AE196" s="3817">
        <f ca="1">OFFSET(InputY!$G$3,0,(COLUMN()-7)/4)</f>
        <v>2001</v>
      </c>
      <c r="AF196" s="3818"/>
      <c r="AG196" s="3818"/>
      <c r="AH196" s="3819"/>
      <c r="AI196" s="3817">
        <f ca="1">OFFSET(InputY!$G$3,0,(COLUMN()-7)/4)</f>
        <v>2002</v>
      </c>
      <c r="AJ196" s="3818"/>
      <c r="AK196" s="3818"/>
      <c r="AL196" s="3819"/>
      <c r="AM196" s="3817">
        <f ca="1">OFFSET(InputY!$G$3,0,(COLUMN()-7)/4)</f>
        <v>2003</v>
      </c>
      <c r="AN196" s="3818"/>
      <c r="AO196" s="3818"/>
      <c r="AP196" s="3819"/>
      <c r="AQ196" s="3817">
        <f ca="1">OFFSET(InputY!$G$3,0,(COLUMN()-7)/4)</f>
        <v>2004</v>
      </c>
      <c r="AR196" s="3818"/>
      <c r="AS196" s="3818"/>
      <c r="AT196" s="3819"/>
      <c r="AU196" s="3817">
        <f ca="1">OFFSET(InputY!$G$3,0,(COLUMN()-7)/4)</f>
        <v>2005</v>
      </c>
      <c r="AV196" s="3818"/>
      <c r="AW196" s="3818"/>
      <c r="AX196" s="3819"/>
      <c r="AY196" s="3817">
        <f ca="1">OFFSET(InputY!$G$3,0,(COLUMN()-7)/4)</f>
        <v>2006</v>
      </c>
      <c r="AZ196" s="3818"/>
      <c r="BA196" s="3818"/>
      <c r="BB196" s="3819"/>
      <c r="BC196" s="3817">
        <f ca="1">OFFSET(InputY!$G$3,0,(COLUMN()-7)/4)</f>
        <v>2007</v>
      </c>
      <c r="BD196" s="3818"/>
      <c r="BE196" s="3818"/>
      <c r="BF196" s="3819"/>
      <c r="BG196" s="3817">
        <f ca="1">OFFSET(InputY!$G$3,0,(COLUMN()-7)/4)</f>
        <v>2008</v>
      </c>
      <c r="BH196" s="3818"/>
      <c r="BI196" s="3818"/>
      <c r="BJ196" s="3819"/>
      <c r="BK196" s="3817">
        <f ca="1">OFFSET(InputY!$G$3,0,(COLUMN()-7)/4)</f>
        <v>2009</v>
      </c>
      <c r="BL196" s="3818"/>
      <c r="BM196" s="3818"/>
      <c r="BN196" s="3819"/>
      <c r="BO196" s="3817">
        <f ca="1">OFFSET(InputY!$G$3,0,(COLUMN()-7)/4)</f>
        <v>2010</v>
      </c>
      <c r="BP196" s="3818"/>
      <c r="BQ196" s="3818"/>
      <c r="BR196" s="3819"/>
      <c r="BS196" s="3817">
        <f ca="1">OFFSET(InputY!$G$3,0,(COLUMN()-7)/4)</f>
        <v>2011</v>
      </c>
      <c r="BT196" s="3818"/>
      <c r="BU196" s="3818"/>
      <c r="BV196" s="3819"/>
      <c r="BW196" s="3817">
        <f ca="1">OFFSET(InputY!$G$3,0,(COLUMN()-7)/4)</f>
        <v>2012</v>
      </c>
      <c r="BX196" s="3818"/>
      <c r="BY196" s="3818"/>
      <c r="BZ196" s="3819"/>
      <c r="CA196" s="3817">
        <f ca="1">OFFSET(InputY!$G$3,0,(COLUMN()-7)/4)</f>
        <v>2013</v>
      </c>
      <c r="CB196" s="3818"/>
      <c r="CC196" s="3818"/>
      <c r="CD196" s="3819"/>
      <c r="CE196" s="3817">
        <f ca="1">OFFSET(InputY!$G$3,0,(COLUMN()-7)/4)</f>
        <v>2014</v>
      </c>
      <c r="CF196" s="3818"/>
      <c r="CG196" s="3818"/>
      <c r="CH196" s="3819"/>
      <c r="CI196" s="3817">
        <f ca="1">OFFSET(InputY!$G$3,0,(COLUMN()-7)/4)</f>
        <v>2015</v>
      </c>
      <c r="CJ196" s="3818"/>
      <c r="CK196" s="3818"/>
      <c r="CL196" s="3819"/>
      <c r="CM196" s="3817">
        <f ca="1">OFFSET(InputY!$G$3,0,(COLUMN()-7)/4)</f>
        <v>2016</v>
      </c>
      <c r="CN196" s="3818"/>
      <c r="CO196" s="3818"/>
      <c r="CP196" s="3819"/>
      <c r="CQ196" s="3817">
        <f ca="1">OFFSET(InputY!$G$3,0,(COLUMN()-7)/4)</f>
        <v>2017</v>
      </c>
      <c r="CR196" s="3818"/>
      <c r="CS196" s="3818"/>
      <c r="CT196" s="3819"/>
      <c r="CU196" s="3817">
        <f ca="1">OFFSET(InputY!$G$3,0,(COLUMN()-7)/4)</f>
        <v>2018</v>
      </c>
      <c r="CV196" s="3818"/>
      <c r="CW196" s="3818"/>
      <c r="CX196" s="3819"/>
      <c r="CY196" s="3817">
        <f ca="1">OFFSET(InputY!$G$3,0,(COLUMN()-7)/4)</f>
        <v>2019</v>
      </c>
      <c r="CZ196" s="3818"/>
      <c r="DA196" s="3818"/>
      <c r="DB196" s="3819"/>
      <c r="DC196" s="3817">
        <f ca="1">OFFSET(InputY!$G$3,0,(COLUMN()-7)/4)</f>
        <v>2020</v>
      </c>
      <c r="DD196" s="3818"/>
      <c r="DE196" s="3818"/>
      <c r="DF196" s="3819"/>
    </row>
    <row r="197" spans="1:110" s="736" customFormat="1" ht="12.75" customHeight="1">
      <c r="A197" s="701"/>
      <c r="B197" s="701"/>
      <c r="C197" s="703"/>
      <c r="D197" s="732"/>
      <c r="E197" s="733" t="s">
        <v>214</v>
      </c>
      <c r="F197" s="734"/>
      <c r="G197" s="1618" t="s">
        <v>131</v>
      </c>
      <c r="H197" s="1619" t="s">
        <v>132</v>
      </c>
      <c r="I197" s="1619" t="s">
        <v>133</v>
      </c>
      <c r="J197" s="1620" t="s">
        <v>134</v>
      </c>
      <c r="K197" s="1618" t="s">
        <v>131</v>
      </c>
      <c r="L197" s="1619" t="s">
        <v>132</v>
      </c>
      <c r="M197" s="1619" t="s">
        <v>133</v>
      </c>
      <c r="N197" s="1620" t="s">
        <v>134</v>
      </c>
      <c r="O197" s="1618" t="s">
        <v>131</v>
      </c>
      <c r="P197" s="1619" t="s">
        <v>132</v>
      </c>
      <c r="Q197" s="1619" t="s">
        <v>133</v>
      </c>
      <c r="R197" s="1620" t="s">
        <v>134</v>
      </c>
      <c r="S197" s="1618" t="s">
        <v>131</v>
      </c>
      <c r="T197" s="1619" t="s">
        <v>132</v>
      </c>
      <c r="U197" s="1619" t="s">
        <v>133</v>
      </c>
      <c r="V197" s="1620" t="s">
        <v>134</v>
      </c>
      <c r="W197" s="1618" t="s">
        <v>131</v>
      </c>
      <c r="X197" s="1619" t="s">
        <v>132</v>
      </c>
      <c r="Y197" s="1619" t="s">
        <v>133</v>
      </c>
      <c r="Z197" s="1620" t="s">
        <v>134</v>
      </c>
      <c r="AA197" s="1618" t="s">
        <v>131</v>
      </c>
      <c r="AB197" s="1619" t="s">
        <v>132</v>
      </c>
      <c r="AC197" s="1619" t="s">
        <v>133</v>
      </c>
      <c r="AD197" s="1620" t="s">
        <v>134</v>
      </c>
      <c r="AE197" s="1618" t="s">
        <v>131</v>
      </c>
      <c r="AF197" s="1619" t="s">
        <v>132</v>
      </c>
      <c r="AG197" s="1619" t="s">
        <v>133</v>
      </c>
      <c r="AH197" s="1620" t="s">
        <v>134</v>
      </c>
      <c r="AI197" s="1618" t="s">
        <v>131</v>
      </c>
      <c r="AJ197" s="1619" t="s">
        <v>132</v>
      </c>
      <c r="AK197" s="1619" t="s">
        <v>133</v>
      </c>
      <c r="AL197" s="1620" t="s">
        <v>134</v>
      </c>
      <c r="AM197" s="1618" t="s">
        <v>131</v>
      </c>
      <c r="AN197" s="1619" t="s">
        <v>132</v>
      </c>
      <c r="AO197" s="1619" t="s">
        <v>133</v>
      </c>
      <c r="AP197" s="1620" t="s">
        <v>134</v>
      </c>
      <c r="AQ197" s="1618" t="s">
        <v>131</v>
      </c>
      <c r="AR197" s="1619" t="s">
        <v>132</v>
      </c>
      <c r="AS197" s="1619" t="s">
        <v>133</v>
      </c>
      <c r="AT197" s="1620" t="s">
        <v>134</v>
      </c>
      <c r="AU197" s="1618" t="s">
        <v>131</v>
      </c>
      <c r="AV197" s="1619" t="s">
        <v>132</v>
      </c>
      <c r="AW197" s="1619" t="s">
        <v>133</v>
      </c>
      <c r="AX197" s="1620" t="s">
        <v>134</v>
      </c>
      <c r="AY197" s="1618" t="s">
        <v>131</v>
      </c>
      <c r="AZ197" s="1619" t="s">
        <v>132</v>
      </c>
      <c r="BA197" s="1619" t="s">
        <v>133</v>
      </c>
      <c r="BB197" s="1620" t="s">
        <v>134</v>
      </c>
      <c r="BC197" s="1618" t="s">
        <v>131</v>
      </c>
      <c r="BD197" s="1619" t="s">
        <v>132</v>
      </c>
      <c r="BE197" s="1619" t="s">
        <v>133</v>
      </c>
      <c r="BF197" s="1620" t="s">
        <v>134</v>
      </c>
      <c r="BG197" s="1618" t="s">
        <v>131</v>
      </c>
      <c r="BH197" s="1619" t="s">
        <v>132</v>
      </c>
      <c r="BI197" s="1619" t="s">
        <v>133</v>
      </c>
      <c r="BJ197" s="1620" t="s">
        <v>134</v>
      </c>
      <c r="BK197" s="1618" t="s">
        <v>131</v>
      </c>
      <c r="BL197" s="1619" t="s">
        <v>132</v>
      </c>
      <c r="BM197" s="1619" t="s">
        <v>133</v>
      </c>
      <c r="BN197" s="1620" t="s">
        <v>134</v>
      </c>
      <c r="BO197" s="1618" t="s">
        <v>131</v>
      </c>
      <c r="BP197" s="1619" t="s">
        <v>132</v>
      </c>
      <c r="BQ197" s="1619" t="s">
        <v>133</v>
      </c>
      <c r="BR197" s="1620" t="s">
        <v>134</v>
      </c>
      <c r="BS197" s="1618" t="s">
        <v>131</v>
      </c>
      <c r="BT197" s="1619" t="s">
        <v>132</v>
      </c>
      <c r="BU197" s="1619" t="s">
        <v>133</v>
      </c>
      <c r="BV197" s="1620" t="s">
        <v>134</v>
      </c>
      <c r="BW197" s="1618" t="s">
        <v>131</v>
      </c>
      <c r="BX197" s="1619" t="s">
        <v>132</v>
      </c>
      <c r="BY197" s="1619" t="s">
        <v>133</v>
      </c>
      <c r="BZ197" s="1620" t="s">
        <v>134</v>
      </c>
      <c r="CA197" s="1618" t="s">
        <v>131</v>
      </c>
      <c r="CB197" s="1619" t="s">
        <v>132</v>
      </c>
      <c r="CC197" s="1619" t="s">
        <v>133</v>
      </c>
      <c r="CD197" s="1620" t="s">
        <v>134</v>
      </c>
      <c r="CE197" s="1618" t="s">
        <v>131</v>
      </c>
      <c r="CF197" s="1619" t="s">
        <v>132</v>
      </c>
      <c r="CG197" s="1619" t="s">
        <v>133</v>
      </c>
      <c r="CH197" s="1620" t="s">
        <v>134</v>
      </c>
      <c r="CI197" s="1618" t="s">
        <v>131</v>
      </c>
      <c r="CJ197" s="1619" t="s">
        <v>132</v>
      </c>
      <c r="CK197" s="1619" t="s">
        <v>133</v>
      </c>
      <c r="CL197" s="1620" t="s">
        <v>134</v>
      </c>
      <c r="CM197" s="1618" t="s">
        <v>131</v>
      </c>
      <c r="CN197" s="1619" t="s">
        <v>132</v>
      </c>
      <c r="CO197" s="1619" t="s">
        <v>133</v>
      </c>
      <c r="CP197" s="1620" t="s">
        <v>134</v>
      </c>
      <c r="CQ197" s="1618" t="s">
        <v>131</v>
      </c>
      <c r="CR197" s="1619" t="s">
        <v>132</v>
      </c>
      <c r="CS197" s="1619" t="s">
        <v>133</v>
      </c>
      <c r="CT197" s="1620" t="s">
        <v>134</v>
      </c>
      <c r="CU197" s="1618" t="s">
        <v>131</v>
      </c>
      <c r="CV197" s="1619" t="s">
        <v>132</v>
      </c>
      <c r="CW197" s="1619" t="s">
        <v>133</v>
      </c>
      <c r="CX197" s="1620" t="s">
        <v>134</v>
      </c>
      <c r="CY197" s="1618" t="s">
        <v>131</v>
      </c>
      <c r="CZ197" s="1619" t="s">
        <v>132</v>
      </c>
      <c r="DA197" s="1619" t="s">
        <v>133</v>
      </c>
      <c r="DB197" s="1620" t="s">
        <v>134</v>
      </c>
      <c r="DC197" s="1618" t="s">
        <v>131</v>
      </c>
      <c r="DD197" s="1619" t="s">
        <v>132</v>
      </c>
      <c r="DE197" s="1619" t="s">
        <v>133</v>
      </c>
      <c r="DF197" s="1620" t="s">
        <v>134</v>
      </c>
    </row>
    <row r="198" spans="1:110" s="736" customFormat="1" ht="12.75" customHeight="1">
      <c r="A198" s="701"/>
      <c r="B198" s="701"/>
      <c r="C198" s="1611" t="s">
        <v>1791</v>
      </c>
      <c r="D198" s="705"/>
      <c r="E198" s="737" t="str">
        <f>E144</f>
        <v>Dom. demand incl. ch. in invent. &amp; incl. net acq. of val.</v>
      </c>
      <c r="F198" s="738"/>
      <c r="G198" s="817">
        <f>G144</f>
        <v>581.9627999999999</v>
      </c>
      <c r="H198" s="817">
        <f t="shared" ref="H198:AX198" si="796">H144</f>
        <v>584.7002</v>
      </c>
      <c r="I198" s="817">
        <f t="shared" si="796"/>
        <v>589.32590000000005</v>
      </c>
      <c r="J198" s="817">
        <f t="shared" si="796"/>
        <v>593.67700000000002</v>
      </c>
      <c r="K198" s="817">
        <f t="shared" si="796"/>
        <v>593.452</v>
      </c>
      <c r="L198" s="817">
        <f t="shared" si="796"/>
        <v>594.22649999999999</v>
      </c>
      <c r="M198" s="817">
        <f t="shared" si="796"/>
        <v>603.45859999999993</v>
      </c>
      <c r="N198" s="817">
        <f t="shared" si="796"/>
        <v>605.85709999999995</v>
      </c>
      <c r="O198" s="817">
        <f>O144</f>
        <v>601.09109999999998</v>
      </c>
      <c r="P198" s="817">
        <f>P144</f>
        <v>610.42780000000005</v>
      </c>
      <c r="Q198" s="817">
        <f>Q144</f>
        <v>611.35540000000003</v>
      </c>
      <c r="R198" s="817">
        <f>R144</f>
        <v>616.98699999999997</v>
      </c>
      <c r="S198" s="817">
        <f t="shared" si="796"/>
        <v>624.17280000000005</v>
      </c>
      <c r="T198" s="817">
        <f t="shared" si="796"/>
        <v>631.49340000000007</v>
      </c>
      <c r="U198" s="817">
        <f t="shared" si="796"/>
        <v>641.29590000000007</v>
      </c>
      <c r="V198" s="817">
        <f t="shared" si="796"/>
        <v>647.95150000000001</v>
      </c>
      <c r="W198" s="817">
        <f t="shared" si="796"/>
        <v>653.2645</v>
      </c>
      <c r="X198" s="817">
        <f t="shared" si="796"/>
        <v>653.04930000000002</v>
      </c>
      <c r="Y198" s="817">
        <f t="shared" si="796"/>
        <v>664.14549999999997</v>
      </c>
      <c r="Z198" s="817">
        <f t="shared" si="796"/>
        <v>671.2242</v>
      </c>
      <c r="AA198" s="817">
        <f t="shared" si="796"/>
        <v>673.87610000000006</v>
      </c>
      <c r="AB198" s="817">
        <f t="shared" si="796"/>
        <v>687.14429999999993</v>
      </c>
      <c r="AC198" s="817">
        <f t="shared" si="796"/>
        <v>693.00139999999988</v>
      </c>
      <c r="AD198" s="817">
        <f t="shared" si="796"/>
        <v>692.58780000000002</v>
      </c>
      <c r="AE198" s="817">
        <f t="shared" si="796"/>
        <v>689.75580000000002</v>
      </c>
      <c r="AF198" s="817">
        <f t="shared" si="796"/>
        <v>692.62529999999992</v>
      </c>
      <c r="AG198" s="817">
        <f t="shared" si="796"/>
        <v>694.73419999999999</v>
      </c>
      <c r="AH198" s="817">
        <f t="shared" si="796"/>
        <v>700.20180000000005</v>
      </c>
      <c r="AI198" s="817">
        <f t="shared" si="796"/>
        <v>692.63599999999997</v>
      </c>
      <c r="AJ198" s="817">
        <f t="shared" si="796"/>
        <v>705.12320000000011</v>
      </c>
      <c r="AK198" s="817">
        <f t="shared" si="796"/>
        <v>704.02650000000006</v>
      </c>
      <c r="AL198" s="817">
        <f t="shared" si="796"/>
        <v>712.05859999999996</v>
      </c>
      <c r="AM198" s="817">
        <f t="shared" si="796"/>
        <v>715.75440000000003</v>
      </c>
      <c r="AN198" s="817">
        <f t="shared" si="796"/>
        <v>712.58600000000001</v>
      </c>
      <c r="AO198" s="817">
        <f t="shared" si="796"/>
        <v>719.30840000000001</v>
      </c>
      <c r="AP198" s="817">
        <f t="shared" si="796"/>
        <v>723.04189999999994</v>
      </c>
      <c r="AQ198" s="817">
        <f>AQ144</f>
        <v>726.82760000000007</v>
      </c>
      <c r="AR198" s="817">
        <f>AR144</f>
        <v>728.81</v>
      </c>
      <c r="AS198" s="817">
        <f>AS144</f>
        <v>735.56820000000005</v>
      </c>
      <c r="AT198" s="817">
        <f>AT144</f>
        <v>741.62630000000001</v>
      </c>
      <c r="AU198" s="817">
        <f t="shared" si="796"/>
        <v>744.20650000000001</v>
      </c>
      <c r="AV198" s="817">
        <f t="shared" si="796"/>
        <v>750.33659999999998</v>
      </c>
      <c r="AW198" s="817">
        <f t="shared" si="796"/>
        <v>758.81330000000003</v>
      </c>
      <c r="AX198" s="817">
        <f t="shared" si="796"/>
        <v>757.44419999999991</v>
      </c>
      <c r="AY198" s="817">
        <f t="shared" ref="AY198:BD198" si="797">AY144</f>
        <v>768.76800000000003</v>
      </c>
      <c r="AZ198" s="817">
        <f t="shared" si="797"/>
        <v>783.31919999999991</v>
      </c>
      <c r="BA198" s="817">
        <f t="shared" si="797"/>
        <v>787.5551999999999</v>
      </c>
      <c r="BB198" s="817">
        <f t="shared" si="797"/>
        <v>797.05080000000009</v>
      </c>
      <c r="BC198" s="817">
        <f t="shared" si="797"/>
        <v>804.60719999999992</v>
      </c>
      <c r="BD198" s="817">
        <f t="shared" si="797"/>
        <v>812.51119999999992</v>
      </c>
      <c r="BE198" s="817">
        <f t="shared" ref="BE198:BJ198" si="798">BE144</f>
        <v>818.46410000000014</v>
      </c>
      <c r="BF198" s="817">
        <f t="shared" si="798"/>
        <v>830.72980000000007</v>
      </c>
      <c r="BG198" s="817">
        <f t="shared" si="798"/>
        <v>826.31299999999999</v>
      </c>
      <c r="BH198" s="817">
        <f t="shared" si="798"/>
        <v>823.4063000000001</v>
      </c>
      <c r="BI198" s="817">
        <f t="shared" si="798"/>
        <v>818.0829</v>
      </c>
      <c r="BJ198" s="817">
        <f t="shared" si="798"/>
        <v>812.33039999999994</v>
      </c>
      <c r="BK198" s="817">
        <f>BK144</f>
        <v>797.38720000000001</v>
      </c>
      <c r="BL198" s="817">
        <f>BL144</f>
        <v>796.88159999999993</v>
      </c>
      <c r="BM198" s="817">
        <f>BM144</f>
        <v>796.78449999999998</v>
      </c>
      <c r="BN198" s="817">
        <f>BN144</f>
        <v>801.80439999999999</v>
      </c>
      <c r="BO198" s="817">
        <f t="shared" ref="BO198:BV198" si="799">BO144</f>
        <v>808.83270000000005</v>
      </c>
      <c r="BP198" s="817">
        <f t="shared" si="799"/>
        <v>818.76850000000002</v>
      </c>
      <c r="BQ198" s="817">
        <f t="shared" si="799"/>
        <v>833.61080000000004</v>
      </c>
      <c r="BR198" s="817">
        <f t="shared" si="799"/>
        <v>840.86310000000003</v>
      </c>
      <c r="BS198" s="817">
        <f t="shared" si="799"/>
        <v>838.26539999999989</v>
      </c>
      <c r="BT198" s="817">
        <f t="shared" si="799"/>
        <v>854.14619999999991</v>
      </c>
      <c r="BU198" s="817">
        <f t="shared" si="799"/>
        <v>851.20530000000008</v>
      </c>
      <c r="BV198" s="817">
        <f t="shared" si="799"/>
        <v>842.71219999999994</v>
      </c>
      <c r="BW198" s="817">
        <f t="shared" ref="BW198:CB198" si="800">BW144</f>
        <v>855.24649999999997</v>
      </c>
      <c r="BX198" s="817">
        <f t="shared" si="800"/>
        <v>852.97539999999992</v>
      </c>
      <c r="BY198" s="817">
        <f t="shared" si="800"/>
        <v>851.47829999999999</v>
      </c>
      <c r="BZ198" s="817">
        <f t="shared" si="800"/>
        <v>858.00660000000005</v>
      </c>
      <c r="CA198" s="817">
        <f t="shared" si="800"/>
        <v>858.0748000000001</v>
      </c>
      <c r="CB198" s="817">
        <f t="shared" si="800"/>
        <v>861.75699999999995</v>
      </c>
      <c r="CC198" s="817">
        <f t="shared" ref="CC198:CK198" si="801">CC144</f>
        <v>871.65359999999998</v>
      </c>
      <c r="CD198" s="817">
        <f t="shared" si="801"/>
        <v>873.96859999999992</v>
      </c>
      <c r="CE198" s="817">
        <f t="shared" si="801"/>
        <v>879.8252</v>
      </c>
      <c r="CF198" s="817">
        <f t="shared" si="801"/>
        <v>887.90949999999998</v>
      </c>
      <c r="CG198" s="817">
        <f t="shared" si="801"/>
        <v>892.15250000000003</v>
      </c>
      <c r="CH198" s="817">
        <f>CH144</f>
        <v>904.53039999999999</v>
      </c>
      <c r="CI198" s="817">
        <f>CI144</f>
        <v>911.40269999999998</v>
      </c>
      <c r="CJ198" s="817">
        <f>CJ144</f>
        <v>916.72410000000002</v>
      </c>
      <c r="CK198" s="817">
        <f t="shared" si="801"/>
        <v>923.36990000000003</v>
      </c>
      <c r="CL198" s="817">
        <f>CL144</f>
        <v>939.86830000000009</v>
      </c>
      <c r="CM198" s="817">
        <f>CM144</f>
        <v>945.45830000000001</v>
      </c>
      <c r="CN198" s="817">
        <f>CN144</f>
        <v>951.52599999999995</v>
      </c>
      <c r="CO198" s="817">
        <f t="shared" ref="CO198" si="802">CO144</f>
        <v>953.61709999999994</v>
      </c>
      <c r="CP198" s="817">
        <f>CP144</f>
        <v>958.25049999999999</v>
      </c>
      <c r="CQ198" s="817">
        <f>CQ144</f>
        <v>967.01840000000004</v>
      </c>
      <c r="CR198" s="817">
        <f>CR144</f>
        <v>975.14190000000008</v>
      </c>
      <c r="CS198" s="817">
        <f t="shared" ref="CS198" si="803">CS144</f>
        <v>986.98099999999999</v>
      </c>
      <c r="CT198" s="817">
        <f>CT144</f>
        <v>987.70950000000005</v>
      </c>
      <c r="CU198" s="817">
        <f t="shared" ref="CU198:CX198" si="804">CU144</f>
        <v>996.28509999999994</v>
      </c>
      <c r="CV198" s="817">
        <f>CV144</f>
        <v>999.42229999999995</v>
      </c>
      <c r="CW198" s="817">
        <f t="shared" si="804"/>
        <v>998.9354872061142</v>
      </c>
      <c r="CX198" s="817">
        <f t="shared" si="804"/>
        <v>999.76150391460078</v>
      </c>
      <c r="CY198" s="817">
        <f t="shared" ref="CY198:DB198" si="805">CY144</f>
        <v>1007.1041815744693</v>
      </c>
      <c r="CZ198" s="817">
        <f t="shared" si="805"/>
        <v>1011.5752055437961</v>
      </c>
      <c r="DA198" s="817">
        <f t="shared" si="805"/>
        <v>1015.2625009271401</v>
      </c>
      <c r="DB198" s="817">
        <f t="shared" si="805"/>
        <v>1019.3614545859477</v>
      </c>
      <c r="DC198" s="817">
        <f t="shared" ref="DC198:DF198" si="806">DC144</f>
        <v>1025.3768398814361</v>
      </c>
      <c r="DD198" s="817">
        <f t="shared" si="806"/>
        <v>1031.4832065315488</v>
      </c>
      <c r="DE198" s="817">
        <f t="shared" si="806"/>
        <v>1036.0164283622987</v>
      </c>
      <c r="DF198" s="817">
        <f t="shared" si="806"/>
        <v>1039.4041975675016</v>
      </c>
    </row>
    <row r="199" spans="1:110" s="736" customFormat="1" ht="12.75" customHeight="1">
      <c r="A199" s="701"/>
      <c r="B199" s="701"/>
      <c r="C199" s="1612" t="s">
        <v>1791</v>
      </c>
      <c r="D199" s="711"/>
      <c r="E199" s="820" t="str">
        <f>E171</f>
        <v>Export of goods and services</v>
      </c>
      <c r="F199" s="741"/>
      <c r="G199" s="743">
        <f t="shared" ref="G199:AL199" si="807">G171</f>
        <v>187.71689999999998</v>
      </c>
      <c r="H199" s="743">
        <f t="shared" si="807"/>
        <v>191.60239999999999</v>
      </c>
      <c r="I199" s="743">
        <f t="shared" si="807"/>
        <v>186.30520000000001</v>
      </c>
      <c r="J199" s="743">
        <f t="shared" si="807"/>
        <v>190.17699999999999</v>
      </c>
      <c r="K199" s="743">
        <f t="shared" si="807"/>
        <v>190.90549999999999</v>
      </c>
      <c r="L199" s="743">
        <f t="shared" si="807"/>
        <v>198.75729999999999</v>
      </c>
      <c r="M199" s="743">
        <f t="shared" si="807"/>
        <v>193.81049999999999</v>
      </c>
      <c r="N199" s="743">
        <f t="shared" si="807"/>
        <v>203.54750000000001</v>
      </c>
      <c r="O199" s="743">
        <f t="shared" si="807"/>
        <v>212.4408</v>
      </c>
      <c r="P199" s="743">
        <f t="shared" si="807"/>
        <v>225.53570000000002</v>
      </c>
      <c r="Q199" s="743">
        <f t="shared" si="807"/>
        <v>225.94229999999999</v>
      </c>
      <c r="R199" s="743">
        <f t="shared" si="807"/>
        <v>235.28450000000001</v>
      </c>
      <c r="S199" s="743">
        <f t="shared" si="807"/>
        <v>236.95020000000002</v>
      </c>
      <c r="T199" s="743">
        <f t="shared" si="807"/>
        <v>240.9932</v>
      </c>
      <c r="U199" s="743">
        <f t="shared" si="807"/>
        <v>245.9282</v>
      </c>
      <c r="V199" s="743">
        <f t="shared" si="807"/>
        <v>254.2525</v>
      </c>
      <c r="W199" s="743">
        <f t="shared" si="807"/>
        <v>251.52860000000001</v>
      </c>
      <c r="X199" s="743">
        <f t="shared" si="807"/>
        <v>258.8931</v>
      </c>
      <c r="Y199" s="743">
        <f t="shared" si="807"/>
        <v>265.5016</v>
      </c>
      <c r="Z199" s="743">
        <f t="shared" si="807"/>
        <v>268.78959999999995</v>
      </c>
      <c r="AA199" s="743">
        <f t="shared" si="807"/>
        <v>275.73079999999999</v>
      </c>
      <c r="AB199" s="743">
        <f t="shared" si="807"/>
        <v>289.49109999999996</v>
      </c>
      <c r="AC199" s="743">
        <f t="shared" si="807"/>
        <v>299.33540000000005</v>
      </c>
      <c r="AD199" s="743">
        <f t="shared" si="807"/>
        <v>305.00479999999999</v>
      </c>
      <c r="AE199" s="743">
        <f t="shared" si="807"/>
        <v>295.61720000000003</v>
      </c>
      <c r="AF199" s="743">
        <f t="shared" si="807"/>
        <v>291.70609999999999</v>
      </c>
      <c r="AG199" s="743">
        <f t="shared" si="807"/>
        <v>294.43690000000004</v>
      </c>
      <c r="AH199" s="743">
        <f t="shared" si="807"/>
        <v>298.62470000000002</v>
      </c>
      <c r="AI199" s="743">
        <f t="shared" si="807"/>
        <v>300.76279999999997</v>
      </c>
      <c r="AJ199" s="743">
        <f t="shared" si="807"/>
        <v>303.1019</v>
      </c>
      <c r="AK199" s="743">
        <f t="shared" si="807"/>
        <v>293.4357</v>
      </c>
      <c r="AL199" s="743">
        <f t="shared" si="807"/>
        <v>298.31259999999997</v>
      </c>
      <c r="AM199" s="743">
        <f t="shared" ref="AM199:BI199" si="808">AM171</f>
        <v>306.52570000000003</v>
      </c>
      <c r="AN199" s="743">
        <f t="shared" si="808"/>
        <v>308.95820000000003</v>
      </c>
      <c r="AO199" s="743">
        <f t="shared" si="808"/>
        <v>312.85659999999996</v>
      </c>
      <c r="AP199" s="743">
        <f t="shared" si="808"/>
        <v>319.61659999999995</v>
      </c>
      <c r="AQ199" s="743">
        <f t="shared" si="808"/>
        <v>330.56549999999999</v>
      </c>
      <c r="AR199" s="743">
        <f t="shared" si="808"/>
        <v>347.11670000000004</v>
      </c>
      <c r="AS199" s="743">
        <f t="shared" si="808"/>
        <v>343.9468</v>
      </c>
      <c r="AT199" s="743">
        <f t="shared" si="808"/>
        <v>348.81870000000004</v>
      </c>
      <c r="AU199" s="743">
        <f t="shared" si="808"/>
        <v>350.13200000000001</v>
      </c>
      <c r="AV199" s="743">
        <f t="shared" si="808"/>
        <v>361.06900000000002</v>
      </c>
      <c r="AW199" s="743">
        <f t="shared" si="808"/>
        <v>373.17450000000002</v>
      </c>
      <c r="AX199" s="743">
        <f t="shared" si="808"/>
        <v>376.79720000000003</v>
      </c>
      <c r="AY199" s="743">
        <f t="shared" si="808"/>
        <v>390.65009999999995</v>
      </c>
      <c r="AZ199" s="743">
        <f t="shared" si="808"/>
        <v>390.01420000000002</v>
      </c>
      <c r="BA199" s="743">
        <f t="shared" si="808"/>
        <v>399.0394</v>
      </c>
      <c r="BB199" s="743">
        <f t="shared" si="808"/>
        <v>414.745</v>
      </c>
      <c r="BC199" s="743">
        <f t="shared" si="808"/>
        <v>407.67579999999998</v>
      </c>
      <c r="BD199" s="743">
        <f t="shared" si="808"/>
        <v>414.0077</v>
      </c>
      <c r="BE199" s="743">
        <f t="shared" si="808"/>
        <v>417.6884</v>
      </c>
      <c r="BF199" s="743">
        <f t="shared" si="808"/>
        <v>430.3433</v>
      </c>
      <c r="BG199" s="743">
        <f t="shared" si="808"/>
        <v>438.96690000000001</v>
      </c>
      <c r="BH199" s="743">
        <f t="shared" si="808"/>
        <v>430.36590000000001</v>
      </c>
      <c r="BI199" s="743">
        <f t="shared" si="808"/>
        <v>426.50400000000002</v>
      </c>
      <c r="BJ199" s="743">
        <f>BJ171</f>
        <v>400.53479999999996</v>
      </c>
      <c r="BK199" s="743">
        <f>BK171</f>
        <v>365.6456</v>
      </c>
      <c r="BL199" s="743">
        <f>BL171</f>
        <v>355.56009999999998</v>
      </c>
      <c r="BM199" s="743">
        <f>BM171</f>
        <v>364.00459999999998</v>
      </c>
      <c r="BN199" s="743">
        <f>BN171</f>
        <v>367.97970000000004</v>
      </c>
      <c r="BO199" s="743">
        <f t="shared" ref="BO199:BV199" si="809">BO171</f>
        <v>381.03620000000001</v>
      </c>
      <c r="BP199" s="743">
        <f t="shared" si="809"/>
        <v>400.21679999999998</v>
      </c>
      <c r="BQ199" s="743">
        <f t="shared" si="809"/>
        <v>410.92540000000002</v>
      </c>
      <c r="BR199" s="743">
        <f t="shared" si="809"/>
        <v>426.84359999999998</v>
      </c>
      <c r="BS199" s="743">
        <f t="shared" si="809"/>
        <v>426.25690000000003</v>
      </c>
      <c r="BT199" s="743">
        <f t="shared" si="809"/>
        <v>427.25509999999997</v>
      </c>
      <c r="BU199" s="743">
        <f t="shared" si="809"/>
        <v>440.56659999999999</v>
      </c>
      <c r="BV199" s="743">
        <f t="shared" si="809"/>
        <v>425.62880000000001</v>
      </c>
      <c r="BW199" s="743">
        <f t="shared" ref="BW199:CB199" si="810">BW171</f>
        <v>437.75599999999997</v>
      </c>
      <c r="BX199" s="743">
        <f t="shared" si="810"/>
        <v>443.82499999999999</v>
      </c>
      <c r="BY199" s="743">
        <f t="shared" si="810"/>
        <v>435.23590000000002</v>
      </c>
      <c r="BZ199" s="743">
        <f t="shared" si="810"/>
        <v>429.46709999999996</v>
      </c>
      <c r="CA199" s="743">
        <f t="shared" si="810"/>
        <v>428.98480000000001</v>
      </c>
      <c r="CB199" s="743">
        <f t="shared" si="810"/>
        <v>435.18859999999995</v>
      </c>
      <c r="CC199" s="743">
        <f t="shared" ref="CC199:CK199" si="811">CC171</f>
        <v>436.05690000000004</v>
      </c>
      <c r="CD199" s="743">
        <f t="shared" si="811"/>
        <v>432.25700000000001</v>
      </c>
      <c r="CE199" s="743">
        <f t="shared" si="811"/>
        <v>450.10270000000003</v>
      </c>
      <c r="CF199" s="743">
        <f t="shared" si="811"/>
        <v>455.36059999999998</v>
      </c>
      <c r="CG199" s="743">
        <f t="shared" si="811"/>
        <v>457.94569999999999</v>
      </c>
      <c r="CH199" s="743">
        <f>CH171</f>
        <v>463.3827</v>
      </c>
      <c r="CI199" s="743">
        <f>CI171</f>
        <v>468.05090000000001</v>
      </c>
      <c r="CJ199" s="743">
        <f>CJ171</f>
        <v>473.56170000000003</v>
      </c>
      <c r="CK199" s="743">
        <f t="shared" si="811"/>
        <v>487.47459999999995</v>
      </c>
      <c r="CL199" s="743">
        <f>CL171</f>
        <v>493.39600000000002</v>
      </c>
      <c r="CM199" s="743">
        <f>CM171</f>
        <v>488.84890000000001</v>
      </c>
      <c r="CN199" s="743">
        <f>CN171</f>
        <v>484.7645</v>
      </c>
      <c r="CO199" s="743">
        <f t="shared" ref="CO199" si="812">CO171</f>
        <v>495.90729999999996</v>
      </c>
      <c r="CP199" s="743">
        <f>CP171</f>
        <v>502.27850000000001</v>
      </c>
      <c r="CQ199" s="743">
        <f>CQ171</f>
        <v>498.82409999999999</v>
      </c>
      <c r="CR199" s="743">
        <f>CR171</f>
        <v>511.56759999999997</v>
      </c>
      <c r="CS199" s="743">
        <f t="shared" ref="CS199" si="813">CS171</f>
        <v>511.17770000000002</v>
      </c>
      <c r="CT199" s="743">
        <f>CT171</f>
        <v>522.84519999999998</v>
      </c>
      <c r="CU199" s="743">
        <f t="shared" ref="CU199:CX199" si="814">CU171</f>
        <v>522.93280000000004</v>
      </c>
      <c r="CV199" s="743">
        <f>CV171</f>
        <v>525.0385</v>
      </c>
      <c r="CW199" s="743">
        <f t="shared" si="814"/>
        <v>530.7089158</v>
      </c>
      <c r="CX199" s="743">
        <f t="shared" si="814"/>
        <v>535.75065050010005</v>
      </c>
      <c r="CY199" s="743">
        <f t="shared" ref="CY199:DB199" si="815">CY171</f>
        <v>539.55448011865087</v>
      </c>
      <c r="CZ199" s="743">
        <f t="shared" si="815"/>
        <v>544.302559543695</v>
      </c>
      <c r="DA199" s="743">
        <f t="shared" si="815"/>
        <v>547.84052618072894</v>
      </c>
      <c r="DB199" s="743">
        <f t="shared" si="815"/>
        <v>551.07278528519521</v>
      </c>
      <c r="DC199" s="743">
        <f t="shared" ref="DC199:DF199" si="816">DC171</f>
        <v>555.92222579570489</v>
      </c>
      <c r="DD199" s="743">
        <f t="shared" si="816"/>
        <v>560.25841915691137</v>
      </c>
      <c r="DE199" s="743">
        <f t="shared" si="816"/>
        <v>564.51638314250397</v>
      </c>
      <c r="DF199" s="743">
        <f t="shared" si="816"/>
        <v>568.07283635630176</v>
      </c>
    </row>
    <row r="200" spans="1:110" s="2021" customFormat="1" ht="12.75" customHeight="1">
      <c r="A200" s="2018"/>
      <c r="B200" s="2018"/>
      <c r="C200" s="2022" t="s">
        <v>1791</v>
      </c>
      <c r="D200" s="2019"/>
      <c r="E200" s="2020" t="s">
        <v>487</v>
      </c>
      <c r="F200" s="2019"/>
      <c r="G200" s="2020">
        <f>G201-SUM(G198:G199)</f>
        <v>0</v>
      </c>
      <c r="H200" s="2020">
        <f t="shared" ref="H200:BJ200" si="817">H201-SUM(H198:H199)</f>
        <v>0</v>
      </c>
      <c r="I200" s="2020">
        <f t="shared" si="817"/>
        <v>0</v>
      </c>
      <c r="J200" s="2020">
        <f t="shared" si="817"/>
        <v>0</v>
      </c>
      <c r="K200" s="2020">
        <f t="shared" si="817"/>
        <v>0</v>
      </c>
      <c r="L200" s="2020">
        <f t="shared" si="817"/>
        <v>0</v>
      </c>
      <c r="M200" s="2020">
        <f t="shared" si="817"/>
        <v>0</v>
      </c>
      <c r="N200" s="2020">
        <f t="shared" si="817"/>
        <v>0</v>
      </c>
      <c r="O200" s="2020">
        <f t="shared" si="817"/>
        <v>0</v>
      </c>
      <c r="P200" s="2020">
        <f t="shared" si="817"/>
        <v>0</v>
      </c>
      <c r="Q200" s="2020">
        <f t="shared" si="817"/>
        <v>0</v>
      </c>
      <c r="R200" s="2020">
        <f t="shared" si="817"/>
        <v>0</v>
      </c>
      <c r="S200" s="2020">
        <f t="shared" si="817"/>
        <v>0</v>
      </c>
      <c r="T200" s="2020">
        <f t="shared" si="817"/>
        <v>0</v>
      </c>
      <c r="U200" s="2020">
        <f t="shared" si="817"/>
        <v>0</v>
      </c>
      <c r="V200" s="2020">
        <f t="shared" si="817"/>
        <v>0</v>
      </c>
      <c r="W200" s="2020">
        <f t="shared" si="817"/>
        <v>0</v>
      </c>
      <c r="X200" s="2020">
        <f t="shared" si="817"/>
        <v>0</v>
      </c>
      <c r="Y200" s="2020">
        <f t="shared" si="817"/>
        <v>0</v>
      </c>
      <c r="Z200" s="2020">
        <f t="shared" si="817"/>
        <v>0</v>
      </c>
      <c r="AA200" s="2020">
        <f t="shared" si="817"/>
        <v>0</v>
      </c>
      <c r="AB200" s="2020">
        <f t="shared" si="817"/>
        <v>0</v>
      </c>
      <c r="AC200" s="2020">
        <f t="shared" si="817"/>
        <v>0</v>
      </c>
      <c r="AD200" s="2020">
        <f t="shared" si="817"/>
        <v>0</v>
      </c>
      <c r="AE200" s="2020">
        <f t="shared" si="817"/>
        <v>0</v>
      </c>
      <c r="AF200" s="2020">
        <f t="shared" si="817"/>
        <v>0</v>
      </c>
      <c r="AG200" s="2020">
        <f t="shared" si="817"/>
        <v>0</v>
      </c>
      <c r="AH200" s="2020">
        <f t="shared" si="817"/>
        <v>0</v>
      </c>
      <c r="AI200" s="2020">
        <f t="shared" si="817"/>
        <v>0</v>
      </c>
      <c r="AJ200" s="2020">
        <f t="shared" si="817"/>
        <v>0</v>
      </c>
      <c r="AK200" s="2020">
        <f t="shared" si="817"/>
        <v>0</v>
      </c>
      <c r="AL200" s="2020">
        <f t="shared" si="817"/>
        <v>0</v>
      </c>
      <c r="AM200" s="2020">
        <f t="shared" si="817"/>
        <v>0</v>
      </c>
      <c r="AN200" s="2020">
        <f t="shared" si="817"/>
        <v>0</v>
      </c>
      <c r="AO200" s="2020">
        <f t="shared" si="817"/>
        <v>0</v>
      </c>
      <c r="AP200" s="2020">
        <f t="shared" si="817"/>
        <v>0</v>
      </c>
      <c r="AQ200" s="2020">
        <f t="shared" si="817"/>
        <v>0</v>
      </c>
      <c r="AR200" s="2020">
        <f t="shared" si="817"/>
        <v>0</v>
      </c>
      <c r="AS200" s="2020">
        <f t="shared" si="817"/>
        <v>0</v>
      </c>
      <c r="AT200" s="2020">
        <f t="shared" si="817"/>
        <v>0</v>
      </c>
      <c r="AU200" s="2020">
        <f t="shared" si="817"/>
        <v>0</v>
      </c>
      <c r="AV200" s="2020">
        <f t="shared" si="817"/>
        <v>0</v>
      </c>
      <c r="AW200" s="2020">
        <f t="shared" si="817"/>
        <v>0</v>
      </c>
      <c r="AX200" s="2020">
        <f t="shared" si="817"/>
        <v>0</v>
      </c>
      <c r="AY200" s="2020">
        <f t="shared" si="817"/>
        <v>0</v>
      </c>
      <c r="AZ200" s="2020">
        <f t="shared" si="817"/>
        <v>0</v>
      </c>
      <c r="BA200" s="2020">
        <f t="shared" si="817"/>
        <v>0</v>
      </c>
      <c r="BB200" s="2020">
        <f t="shared" si="817"/>
        <v>0</v>
      </c>
      <c r="BC200" s="2020">
        <f t="shared" si="817"/>
        <v>0</v>
      </c>
      <c r="BD200" s="2020">
        <f t="shared" si="817"/>
        <v>0</v>
      </c>
      <c r="BE200" s="2020">
        <f t="shared" si="817"/>
        <v>0</v>
      </c>
      <c r="BF200" s="2020">
        <f t="shared" si="817"/>
        <v>0</v>
      </c>
      <c r="BG200" s="2020">
        <f t="shared" si="817"/>
        <v>0</v>
      </c>
      <c r="BH200" s="2020">
        <f t="shared" si="817"/>
        <v>0</v>
      </c>
      <c r="BI200" s="2020">
        <f t="shared" si="817"/>
        <v>0</v>
      </c>
      <c r="BJ200" s="2020">
        <f t="shared" si="817"/>
        <v>0</v>
      </c>
      <c r="BK200" s="2020">
        <f t="shared" ref="BK200:BR200" si="818">BK201-SUM(BK198:BK199)</f>
        <v>0</v>
      </c>
      <c r="BL200" s="2020">
        <f t="shared" si="818"/>
        <v>0</v>
      </c>
      <c r="BM200" s="2020">
        <f t="shared" si="818"/>
        <v>0</v>
      </c>
      <c r="BN200" s="2020">
        <f t="shared" si="818"/>
        <v>0</v>
      </c>
      <c r="BO200" s="2020">
        <f t="shared" si="818"/>
        <v>0</v>
      </c>
      <c r="BP200" s="2020">
        <f t="shared" si="818"/>
        <v>0</v>
      </c>
      <c r="BQ200" s="2020">
        <f t="shared" si="818"/>
        <v>0</v>
      </c>
      <c r="BR200" s="2020">
        <f t="shared" si="818"/>
        <v>0</v>
      </c>
      <c r="BS200" s="2020">
        <f>BS201-SUM(BS198:BS199)</f>
        <v>0</v>
      </c>
      <c r="BT200" s="2020">
        <f>BT201-SUM(BT198:BT199)</f>
        <v>0</v>
      </c>
      <c r="BU200" s="2020">
        <f>BU201-SUM(BU198:BU199)</f>
        <v>0</v>
      </c>
      <c r="BV200" s="2020">
        <f>BV201-SUM(BV198:BV199)</f>
        <v>0</v>
      </c>
      <c r="BW200" s="2020">
        <f t="shared" ref="BW200:CB200" si="819">BW201-SUM(BW198:BW199)</f>
        <v>0</v>
      </c>
      <c r="BX200" s="2020">
        <f t="shared" si="819"/>
        <v>0</v>
      </c>
      <c r="BY200" s="2020">
        <f t="shared" si="819"/>
        <v>0</v>
      </c>
      <c r="BZ200" s="2020">
        <f t="shared" si="819"/>
        <v>0</v>
      </c>
      <c r="CA200" s="2020">
        <f t="shared" si="819"/>
        <v>0</v>
      </c>
      <c r="CB200" s="2020">
        <f t="shared" si="819"/>
        <v>0</v>
      </c>
      <c r="CC200" s="2020">
        <f>CC201-SUM(CC198:CC199)</f>
        <v>0</v>
      </c>
      <c r="CD200" s="2020">
        <f>CD201-SUM(CD198:CD199)</f>
        <v>0</v>
      </c>
      <c r="CE200" s="2020">
        <f>CE201-SUM(CE198:CE199)</f>
        <v>0</v>
      </c>
      <c r="CF200" s="2020">
        <f>CF201-SUM(CF198:CF199)</f>
        <v>0</v>
      </c>
      <c r="CG200" s="2020">
        <f t="shared" ref="CG200:CK200" si="820">CG201-SUM(CG198:CG199)</f>
        <v>0</v>
      </c>
      <c r="CH200" s="2020">
        <f>CH201-SUM(CH198:CH199)</f>
        <v>0</v>
      </c>
      <c r="CI200" s="2020">
        <f>CI201-SUM(CI198:CI199)</f>
        <v>0</v>
      </c>
      <c r="CJ200" s="2020">
        <f>CJ201-SUM(CJ198:CJ199)</f>
        <v>0</v>
      </c>
      <c r="CK200" s="2020">
        <f t="shared" si="820"/>
        <v>0</v>
      </c>
      <c r="CL200" s="2020">
        <f>CL201-SUM(CL198:CL199)</f>
        <v>0</v>
      </c>
      <c r="CM200" s="2020">
        <f>CM201-SUM(CM198:CM199)</f>
        <v>0</v>
      </c>
      <c r="CN200" s="2020">
        <f>CN201-SUM(CN198:CN199)</f>
        <v>0</v>
      </c>
      <c r="CO200" s="2020">
        <f t="shared" ref="CO200" si="821">CO201-SUM(CO198:CO199)</f>
        <v>0</v>
      </c>
      <c r="CP200" s="2020">
        <f>CP201-SUM(CP198:CP199)</f>
        <v>0</v>
      </c>
      <c r="CQ200" s="2020">
        <f>CQ201-SUM(CQ198:CQ199)</f>
        <v>0</v>
      </c>
      <c r="CR200" s="2020">
        <f>CR201-SUM(CR198:CR199)</f>
        <v>0</v>
      </c>
      <c r="CS200" s="2020">
        <f t="shared" ref="CS200" si="822">CS201-SUM(CS198:CS199)</f>
        <v>0</v>
      </c>
      <c r="CT200" s="2020">
        <f>CT201-SUM(CT198:CT199)</f>
        <v>0</v>
      </c>
      <c r="CU200" s="2020">
        <f t="shared" ref="CU200:CX200" si="823">CU201-SUM(CU198:CU199)</f>
        <v>0</v>
      </c>
      <c r="CV200" s="2020">
        <f>CV201-SUM(CV198:CV199)</f>
        <v>0</v>
      </c>
      <c r="CW200" s="2020">
        <f t="shared" si="823"/>
        <v>0</v>
      </c>
      <c r="CX200" s="2020">
        <f t="shared" si="823"/>
        <v>0</v>
      </c>
      <c r="CY200" s="2020">
        <f t="shared" ref="CY200:DB200" si="824">CY201-SUM(CY198:CY199)</f>
        <v>0</v>
      </c>
      <c r="CZ200" s="2020">
        <f t="shared" si="824"/>
        <v>0</v>
      </c>
      <c r="DA200" s="2020">
        <f t="shared" si="824"/>
        <v>0</v>
      </c>
      <c r="DB200" s="2020">
        <f t="shared" si="824"/>
        <v>0</v>
      </c>
      <c r="DC200" s="2020">
        <f t="shared" ref="DC200:DF200" si="825">DC201-SUM(DC198:DC199)</f>
        <v>0</v>
      </c>
      <c r="DD200" s="2020">
        <f t="shared" si="825"/>
        <v>0</v>
      </c>
      <c r="DE200" s="2020">
        <f t="shared" si="825"/>
        <v>0</v>
      </c>
      <c r="DF200" s="2020">
        <f t="shared" si="825"/>
        <v>0</v>
      </c>
    </row>
    <row r="201" spans="1:110" s="736" customFormat="1" ht="12.75" customHeight="1">
      <c r="A201" s="702" t="str">
        <f>"Q" &amp; ROW(InputQ!A13)</f>
        <v>Q13</v>
      </c>
      <c r="B201" s="2014" t="s">
        <v>158</v>
      </c>
      <c r="C201" s="1612" t="s">
        <v>1793</v>
      </c>
      <c r="D201" s="783"/>
      <c r="E201" s="1613" t="s">
        <v>1397</v>
      </c>
      <c r="F201" s="785"/>
      <c r="G201" s="836">
        <f>InputQ!G13/1000</f>
        <v>769.67969999999991</v>
      </c>
      <c r="H201" s="836">
        <f>InputQ!H13/1000</f>
        <v>776.30259999999998</v>
      </c>
      <c r="I201" s="836">
        <f>InputQ!I13/1000</f>
        <v>775.63110000000006</v>
      </c>
      <c r="J201" s="836">
        <f>InputQ!J13/1000</f>
        <v>783.85400000000004</v>
      </c>
      <c r="K201" s="836">
        <f>InputQ!K13/1000</f>
        <v>784.35749999999996</v>
      </c>
      <c r="L201" s="836">
        <f>InputQ!L13/1000</f>
        <v>792.98380000000009</v>
      </c>
      <c r="M201" s="836">
        <f>InputQ!M13/1000</f>
        <v>797.26909999999998</v>
      </c>
      <c r="N201" s="836">
        <f>InputQ!N13/1000</f>
        <v>809.40459999999996</v>
      </c>
      <c r="O201" s="836">
        <f>InputQ!O13/1000</f>
        <v>813.53189999999995</v>
      </c>
      <c r="P201" s="836">
        <f>InputQ!P13/1000</f>
        <v>835.96349999999995</v>
      </c>
      <c r="Q201" s="836">
        <f>InputQ!Q13/1000</f>
        <v>837.29769999999996</v>
      </c>
      <c r="R201" s="836">
        <f>InputQ!R13/1000</f>
        <v>852.27149999999995</v>
      </c>
      <c r="S201" s="836">
        <f>InputQ!S13/1000</f>
        <v>861.12300000000005</v>
      </c>
      <c r="T201" s="836">
        <f>InputQ!T13/1000</f>
        <v>872.48660000000007</v>
      </c>
      <c r="U201" s="836">
        <f>InputQ!U13/1000</f>
        <v>887.22410000000013</v>
      </c>
      <c r="V201" s="836">
        <f>InputQ!V13/1000</f>
        <v>902.20399999999995</v>
      </c>
      <c r="W201" s="836">
        <f>InputQ!W13/1000</f>
        <v>904.79309999999998</v>
      </c>
      <c r="X201" s="836">
        <f>InputQ!X13/1000</f>
        <v>911.94240000000002</v>
      </c>
      <c r="Y201" s="836">
        <f>InputQ!Y13/1000</f>
        <v>929.64710000000002</v>
      </c>
      <c r="Z201" s="836">
        <f>InputQ!Z13/1000</f>
        <v>940.01379999999995</v>
      </c>
      <c r="AA201" s="836">
        <f>InputQ!AA13/1000</f>
        <v>949.60690000000011</v>
      </c>
      <c r="AB201" s="836">
        <f>InputQ!AB13/1000</f>
        <v>976.63539999999989</v>
      </c>
      <c r="AC201" s="836">
        <f>InputQ!AC13/1000</f>
        <v>992.33679999999993</v>
      </c>
      <c r="AD201" s="836">
        <f>InputQ!AD13/1000</f>
        <v>997.59260000000006</v>
      </c>
      <c r="AE201" s="836">
        <f>InputQ!AE13/1000</f>
        <v>985.37300000000005</v>
      </c>
      <c r="AF201" s="836">
        <f>InputQ!AF13/1000</f>
        <v>984.33139999999992</v>
      </c>
      <c r="AG201" s="836">
        <f>InputQ!AG13/1000</f>
        <v>989.17110000000002</v>
      </c>
      <c r="AH201" s="836">
        <f>InputQ!AH13/1000</f>
        <v>998.82650000000001</v>
      </c>
      <c r="AI201" s="836">
        <f>InputQ!AI13/1000</f>
        <v>993.39880000000005</v>
      </c>
      <c r="AJ201" s="836">
        <f>InputQ!AJ13/1000</f>
        <v>1008.2251000000001</v>
      </c>
      <c r="AK201" s="836">
        <f>InputQ!AK13/1000</f>
        <v>997.46219999999994</v>
      </c>
      <c r="AL201" s="836">
        <f>InputQ!AL13/1000</f>
        <v>1010.3711999999999</v>
      </c>
      <c r="AM201" s="836">
        <f>InputQ!AM13/1000</f>
        <v>1022.2801000000001</v>
      </c>
      <c r="AN201" s="836">
        <f>InputQ!AN13/1000</f>
        <v>1021.5441999999999</v>
      </c>
      <c r="AO201" s="836">
        <f>InputQ!AO13/1000</f>
        <v>1032.165</v>
      </c>
      <c r="AP201" s="836">
        <f>InputQ!AP13/1000</f>
        <v>1042.6584999999998</v>
      </c>
      <c r="AQ201" s="836">
        <f>InputQ!AQ13/1000</f>
        <v>1057.3931</v>
      </c>
      <c r="AR201" s="836">
        <f>InputQ!AR13/1000</f>
        <v>1075.9267</v>
      </c>
      <c r="AS201" s="836">
        <f>InputQ!AS13/1000</f>
        <v>1079.5150000000001</v>
      </c>
      <c r="AT201" s="836">
        <f>InputQ!AT13/1000</f>
        <v>1090.4449999999999</v>
      </c>
      <c r="AU201" s="836">
        <f>InputQ!AU13/1000</f>
        <v>1094.3385000000001</v>
      </c>
      <c r="AV201" s="836">
        <f>InputQ!AV13/1000</f>
        <v>1111.4056</v>
      </c>
      <c r="AW201" s="836">
        <f>InputQ!AW13/1000</f>
        <v>1131.9878000000001</v>
      </c>
      <c r="AX201" s="836">
        <f>InputQ!AX13/1000</f>
        <v>1134.2413999999999</v>
      </c>
      <c r="AY201" s="836">
        <f>InputQ!AY13/1000</f>
        <v>1159.4181000000001</v>
      </c>
      <c r="AZ201" s="836">
        <f>InputQ!AZ13/1000</f>
        <v>1173.3334</v>
      </c>
      <c r="BA201" s="836">
        <f>InputQ!BA13/1000</f>
        <v>1186.5946000000001</v>
      </c>
      <c r="BB201" s="836">
        <f>InputQ!BB13/1000</f>
        <v>1211.7958000000001</v>
      </c>
      <c r="BC201" s="836">
        <f>InputQ!BC13/1000</f>
        <v>1212.2829999999999</v>
      </c>
      <c r="BD201" s="836">
        <f>InputQ!BD13/1000</f>
        <v>1226.5188999999998</v>
      </c>
      <c r="BE201" s="836">
        <f>InputQ!BE13/1000</f>
        <v>1236.1524999999999</v>
      </c>
      <c r="BF201" s="836">
        <f>InputQ!BF13/1000</f>
        <v>1261.0731000000001</v>
      </c>
      <c r="BG201" s="836">
        <f>InputQ!BG13/1000</f>
        <v>1265.2799</v>
      </c>
      <c r="BH201" s="836">
        <f>InputQ!BH13/1000</f>
        <v>1253.7722000000001</v>
      </c>
      <c r="BI201" s="836">
        <f>InputQ!BI13/1000</f>
        <v>1244.5869</v>
      </c>
      <c r="BJ201" s="836">
        <f>InputQ!BJ13/1000</f>
        <v>1212.8652</v>
      </c>
      <c r="BK201" s="836">
        <f>InputQ!BK13/1000</f>
        <v>1163.0327999999997</v>
      </c>
      <c r="BL201" s="836">
        <f>InputQ!BL13/1000</f>
        <v>1152.4416999999999</v>
      </c>
      <c r="BM201" s="836">
        <f>InputQ!BM13/1000</f>
        <v>1160.7891000000002</v>
      </c>
      <c r="BN201" s="836">
        <f>InputQ!BN13/1000</f>
        <v>1169.7841000000001</v>
      </c>
      <c r="BO201" s="836">
        <f>InputQ!BO13/1000</f>
        <v>1189.8689000000002</v>
      </c>
      <c r="BP201" s="836">
        <f>InputQ!BP13/1000</f>
        <v>1218.9853000000001</v>
      </c>
      <c r="BQ201" s="836">
        <f>InputQ!BQ13/1000</f>
        <v>1244.5362000000002</v>
      </c>
      <c r="BR201" s="836">
        <f>InputQ!BR13/1000</f>
        <v>1267.7067</v>
      </c>
      <c r="BS201" s="836">
        <f>InputQ!BS13/1000</f>
        <v>1264.5222999999999</v>
      </c>
      <c r="BT201" s="836">
        <f>InputQ!BT13/1000</f>
        <v>1281.4012999999998</v>
      </c>
      <c r="BU201" s="836">
        <f>InputQ!BU13/1000</f>
        <v>1291.7719</v>
      </c>
      <c r="BV201" s="836">
        <f>InputQ!BV13/1000</f>
        <v>1268.3409999999999</v>
      </c>
      <c r="BW201" s="836">
        <f>InputQ!BW13/1000</f>
        <v>1293.0025000000001</v>
      </c>
      <c r="BX201" s="836">
        <f>InputQ!BX13/1000</f>
        <v>1296.8003999999999</v>
      </c>
      <c r="BY201" s="836">
        <f>InputQ!BY13/1000</f>
        <v>1286.7142000000001</v>
      </c>
      <c r="BZ201" s="836">
        <f>InputQ!BZ13/1000</f>
        <v>1287.4737000000002</v>
      </c>
      <c r="CA201" s="836">
        <f>InputQ!CA13/1000</f>
        <v>1287.0596</v>
      </c>
      <c r="CB201" s="836">
        <f>InputQ!CB13/1000</f>
        <v>1296.9456</v>
      </c>
      <c r="CC201" s="836">
        <f>InputQ!CC13/1000</f>
        <v>1307.7104999999999</v>
      </c>
      <c r="CD201" s="836">
        <f>InputQ!CD13/1000</f>
        <v>1306.2256</v>
      </c>
      <c r="CE201" s="836">
        <f>InputQ!CE13/1000</f>
        <v>1329.9278999999999</v>
      </c>
      <c r="CF201" s="836">
        <f>InputQ!CF13/1000</f>
        <v>1343.2701000000002</v>
      </c>
      <c r="CG201" s="836">
        <f>InputQ!CG13/1000</f>
        <v>1350.0981999999999</v>
      </c>
      <c r="CH201" s="836">
        <f>InputQ!CH13/1000</f>
        <v>1367.9131</v>
      </c>
      <c r="CI201" s="836">
        <f>InputQ!CI13/1000</f>
        <v>1379.4536000000001</v>
      </c>
      <c r="CJ201" s="836">
        <f>InputQ!CJ13/1000</f>
        <v>1390.2858000000001</v>
      </c>
      <c r="CK201" s="836">
        <f>InputQ!CK13/1000</f>
        <v>1410.8444999999999</v>
      </c>
      <c r="CL201" s="836">
        <f>InputQ!CL13/1000</f>
        <v>1433.2643</v>
      </c>
      <c r="CM201" s="836">
        <f>InputQ!CM13/1000</f>
        <v>1434.3072000000002</v>
      </c>
      <c r="CN201" s="836">
        <f>InputQ!CN13/1000</f>
        <v>1436.2905000000001</v>
      </c>
      <c r="CO201" s="836">
        <f>InputQ!CO13/1000</f>
        <v>1449.5244</v>
      </c>
      <c r="CP201" s="836">
        <f>InputQ!CP13/1000</f>
        <v>1460.529</v>
      </c>
      <c r="CQ201" s="836">
        <f>InputQ!CQ13/1000</f>
        <v>1465.8425</v>
      </c>
      <c r="CR201" s="836">
        <f>InputQ!CR13/1000</f>
        <v>1486.7094999999999</v>
      </c>
      <c r="CS201" s="836">
        <f>InputQ!CS13/1000</f>
        <v>1498.1587</v>
      </c>
      <c r="CT201" s="836">
        <f>InputQ!CT13/1000</f>
        <v>1510.5546999999999</v>
      </c>
      <c r="CU201" s="836">
        <f>InputQ!CU13/1000</f>
        <v>1519.2178999999999</v>
      </c>
      <c r="CV201" s="836">
        <f>InputQ!CV13/1000</f>
        <v>1524.4607999999998</v>
      </c>
      <c r="CW201" s="3166">
        <f t="shared" ref="CW201:CX201" si="826">+CV201*(1+CW206/100)</f>
        <v>1529.6444030061141</v>
      </c>
      <c r="CX201" s="3166">
        <f t="shared" si="826"/>
        <v>1535.5121544147007</v>
      </c>
      <c r="CY201" s="3166">
        <f t="shared" ref="CY201" si="827">+CX201*(1+CY206/100)</f>
        <v>1546.6586616931199</v>
      </c>
      <c r="CZ201" s="3166">
        <f t="shared" ref="CZ201" si="828">+CY201*(1+CZ206/100)</f>
        <v>1555.8777650874908</v>
      </c>
      <c r="DA201" s="3166">
        <f t="shared" ref="DA201" si="829">+CZ201*(1+DA206/100)</f>
        <v>1563.1030271078689</v>
      </c>
      <c r="DB201" s="3166">
        <f t="shared" ref="DB201" si="830">+DA201*(1+DB206/100)</f>
        <v>1570.4342398711431</v>
      </c>
      <c r="DC201" s="3166">
        <f t="shared" ref="DC201" si="831">+DB201*(1+DC206/100)</f>
        <v>1581.2990656771415</v>
      </c>
      <c r="DD201" s="3166">
        <f t="shared" ref="DD201" si="832">+DC201*(1+DD206/100)</f>
        <v>1591.7416256884608</v>
      </c>
      <c r="DE201" s="3166">
        <f t="shared" ref="DE201" si="833">+DD201*(1+DE206/100)</f>
        <v>1600.5328115048032</v>
      </c>
      <c r="DF201" s="3166">
        <f t="shared" ref="DF201" si="834">+DE201*(1+DF206/100)</f>
        <v>1607.4770339238037</v>
      </c>
    </row>
    <row r="202" spans="1:110" s="26" customFormat="1" ht="12.75">
      <c r="A202" s="710"/>
      <c r="B202" s="710"/>
      <c r="C202" s="1665"/>
      <c r="D202" s="720"/>
      <c r="E202" s="721" t="s">
        <v>353</v>
      </c>
      <c r="F202" s="722"/>
      <c r="G202" s="1623"/>
      <c r="H202" s="1623"/>
      <c r="I202" s="1623"/>
      <c r="J202" s="1627">
        <f>SUM(G198:J199)</f>
        <v>3105.4674</v>
      </c>
      <c r="K202" s="1623"/>
      <c r="L202" s="1623"/>
      <c r="M202" s="1623"/>
      <c r="N202" s="1627">
        <f>SUM(K198:N199)</f>
        <v>3184.0150000000003</v>
      </c>
      <c r="O202" s="1623"/>
      <c r="P202" s="1623"/>
      <c r="Q202" s="1623"/>
      <c r="R202" s="1627">
        <f>SUM(O198:R199)</f>
        <v>3339.0646000000002</v>
      </c>
      <c r="S202" s="1623"/>
      <c r="T202" s="1623"/>
      <c r="U202" s="1623"/>
      <c r="V202" s="1627">
        <f>SUM(S198:V199)</f>
        <v>3523.0377000000003</v>
      </c>
      <c r="W202" s="1623"/>
      <c r="X202" s="1623"/>
      <c r="Y202" s="1623"/>
      <c r="Z202" s="1627">
        <f>SUM(W198:Z199)</f>
        <v>3686.3964000000001</v>
      </c>
      <c r="AA202" s="1623"/>
      <c r="AB202" s="1623"/>
      <c r="AC202" s="1623"/>
      <c r="AD202" s="1627">
        <f>SUM(AA198:AD199)</f>
        <v>3916.1716999999994</v>
      </c>
      <c r="AE202" s="1623"/>
      <c r="AF202" s="1623"/>
      <c r="AG202" s="1623"/>
      <c r="AH202" s="1627">
        <f>SUM(AE198:AH199)</f>
        <v>3957.7020000000002</v>
      </c>
      <c r="AI202" s="1623"/>
      <c r="AJ202" s="1623"/>
      <c r="AK202" s="1623"/>
      <c r="AL202" s="1627">
        <f>SUM(AI198:AL199)</f>
        <v>4009.4573</v>
      </c>
      <c r="AM202" s="1623"/>
      <c r="AN202" s="1623"/>
      <c r="AO202" s="1623"/>
      <c r="AP202" s="1627">
        <f>SUM(AM198:AP199)</f>
        <v>4118.6478000000006</v>
      </c>
      <c r="AQ202" s="1623"/>
      <c r="AR202" s="1623"/>
      <c r="AS202" s="1623"/>
      <c r="AT202" s="1627">
        <f>SUM(AQ198:AT199)</f>
        <v>4303.2798000000003</v>
      </c>
      <c r="AU202" s="1623"/>
      <c r="AV202" s="1623"/>
      <c r="AW202" s="1623"/>
      <c r="AX202" s="1627">
        <f>SUM(AU198:AX199)</f>
        <v>4471.9732999999997</v>
      </c>
      <c r="AY202" s="1623"/>
      <c r="AZ202" s="1623"/>
      <c r="BA202" s="1623"/>
      <c r="BB202" s="1627">
        <f>SUM(AY198:BB199)</f>
        <v>4731.1418999999996</v>
      </c>
      <c r="BC202" s="1671"/>
      <c r="BD202" s="1671"/>
      <c r="BE202" s="1623"/>
      <c r="BF202" s="1627">
        <f>SUM(BC198:BF199)</f>
        <v>4936.0275000000001</v>
      </c>
      <c r="BG202" s="1671"/>
      <c r="BH202" s="1671"/>
      <c r="BI202" s="1623"/>
      <c r="BJ202" s="1627">
        <f>SUM(BG198:BJ199)</f>
        <v>4976.5042000000003</v>
      </c>
      <c r="BK202" s="1671"/>
      <c r="BL202" s="1671"/>
      <c r="BM202" s="1623"/>
      <c r="BN202" s="1627">
        <f>SUM(BK198:BN199)</f>
        <v>4646.0476999999992</v>
      </c>
      <c r="BO202" s="1671"/>
      <c r="BP202" s="1671"/>
      <c r="BQ202" s="1623"/>
      <c r="BR202" s="1627">
        <f>SUM(BO198:BR199)</f>
        <v>4921.0971</v>
      </c>
      <c r="BS202" s="1671"/>
      <c r="BT202" s="1671"/>
      <c r="BU202" s="1623"/>
      <c r="BV202" s="1627">
        <f>SUM(BS198:BV199)</f>
        <v>5106.0365000000002</v>
      </c>
      <c r="BW202" s="1671"/>
      <c r="BX202" s="1671"/>
      <c r="BY202" s="1623"/>
      <c r="BZ202" s="1627">
        <f>SUM(BW198:BZ199)</f>
        <v>5163.9907999999996</v>
      </c>
      <c r="CA202" s="1671"/>
      <c r="CB202" s="1671"/>
      <c r="CC202" s="1623"/>
      <c r="CD202" s="1627">
        <f>SUM(CA198:CD199)</f>
        <v>5197.9412999999986</v>
      </c>
      <c r="CE202" s="1671"/>
      <c r="CF202" s="1671"/>
      <c r="CG202" s="1671"/>
      <c r="CH202" s="1627">
        <f>SUM(CE198:CH199)</f>
        <v>5391.2093000000004</v>
      </c>
      <c r="CI202" s="1671"/>
      <c r="CJ202" s="1671"/>
      <c r="CK202" s="1671"/>
      <c r="CL202" s="1627">
        <f>SUM(CI198:CL199)</f>
        <v>5613.8481999999995</v>
      </c>
      <c r="CM202" s="1671"/>
      <c r="CN202" s="1671"/>
      <c r="CO202" s="1671"/>
      <c r="CP202" s="1627">
        <f>SUM(CM198:CP199)</f>
        <v>5780.651100000001</v>
      </c>
      <c r="CQ202" s="1671"/>
      <c r="CR202" s="1671"/>
      <c r="CS202" s="1671"/>
      <c r="CT202" s="1627">
        <f>SUM(CQ198:CT199)</f>
        <v>5961.2654000000002</v>
      </c>
      <c r="CU202" s="1671"/>
      <c r="CV202" s="1671"/>
      <c r="CW202" s="1671"/>
      <c r="CX202" s="1644">
        <f>SUM(CU198:CX199)</f>
        <v>6108.8352574208147</v>
      </c>
      <c r="CY202" s="1671"/>
      <c r="CZ202" s="1671"/>
      <c r="DA202" s="1671"/>
      <c r="DB202" s="1644">
        <f>SUM(CY198:DB199)</f>
        <v>6236.073693759623</v>
      </c>
      <c r="DC202" s="1671"/>
      <c r="DD202" s="1671"/>
      <c r="DE202" s="1671"/>
      <c r="DF202" s="1644">
        <f>SUM(DC198:DF199)</f>
        <v>6381.0505367942078</v>
      </c>
    </row>
    <row r="203" spans="1:110" s="1652" customFormat="1" ht="12.75" customHeight="1">
      <c r="A203" s="1036"/>
      <c r="B203" s="1036"/>
      <c r="C203" s="1666"/>
      <c r="D203" s="716"/>
      <c r="E203" s="1624" t="s">
        <v>136</v>
      </c>
      <c r="F203" s="716"/>
      <c r="G203" s="1625"/>
      <c r="H203" s="2916" t="s">
        <v>1694</v>
      </c>
      <c r="I203" s="2917">
        <f ca="1">+J203/J202*100</f>
        <v>99.771358582930219</v>
      </c>
      <c r="J203" s="1667">
        <f ca="1">OFFSET('VVP2'!$G$94,0,(COLUMN()-10)/4)</f>
        <v>3098.36701533</v>
      </c>
      <c r="K203" s="1625"/>
      <c r="L203" s="2916" t="s">
        <v>1694</v>
      </c>
      <c r="M203" s="2917">
        <f ca="1">+N203/N202*100</f>
        <v>99.237368384256968</v>
      </c>
      <c r="N203" s="1667">
        <f ca="1">OFFSET('VVP2'!$G$94,0,(COLUMN()-10)/4)</f>
        <v>3159.7326949600001</v>
      </c>
      <c r="O203" s="1625"/>
      <c r="P203" s="2916" t="s">
        <v>1694</v>
      </c>
      <c r="Q203" s="2917">
        <f ca="1">+R203/R202*100</f>
        <v>99.500249361452902</v>
      </c>
      <c r="R203" s="1667">
        <f ca="1">OFFSET('VVP2'!$G$94,0,(COLUMN()-10)/4)</f>
        <v>3322.37760334</v>
      </c>
      <c r="S203" s="1625"/>
      <c r="T203" s="2916" t="s">
        <v>1694</v>
      </c>
      <c r="U203" s="2917">
        <f ca="1">+V203/V202*100</f>
        <v>99.959940955783679</v>
      </c>
      <c r="V203" s="1667">
        <f ca="1">OFFSET('VVP2'!$G$94,0,(COLUMN()-10)/4)</f>
        <v>3521.6264047699997</v>
      </c>
      <c r="W203" s="1625"/>
      <c r="X203" s="2916" t="s">
        <v>1694</v>
      </c>
      <c r="Y203" s="2917">
        <f ca="1">+Z203/Z202*100</f>
        <v>99.971784206115217</v>
      </c>
      <c r="Z203" s="1667">
        <f ca="1">OFFSET('VVP2'!$G$94,0,(COLUMN()-10)/4)</f>
        <v>3685.3562539899999</v>
      </c>
      <c r="AA203" s="1625"/>
      <c r="AB203" s="2916" t="s">
        <v>1694</v>
      </c>
      <c r="AC203" s="2917">
        <f ca="1">+AD203/AD202*100</f>
        <v>100.27810340721273</v>
      </c>
      <c r="AD203" s="1667">
        <f ca="1">OFFSET('VVP2'!$G$94,0,(COLUMN()-10)/4)</f>
        <v>3927.0627069299999</v>
      </c>
      <c r="AE203" s="1625"/>
      <c r="AF203" s="2916" t="s">
        <v>1694</v>
      </c>
      <c r="AG203" s="2917">
        <f ca="1">+AH203/AH202*100</f>
        <v>99.884836127126292</v>
      </c>
      <c r="AH203" s="1667">
        <f ca="1">OFFSET('VVP2'!$G$94,0,(COLUMN()-10)/4)</f>
        <v>3953.1441571</v>
      </c>
      <c r="AI203" s="1625"/>
      <c r="AJ203" s="2916" t="s">
        <v>1694</v>
      </c>
      <c r="AK203" s="2917">
        <f ca="1">+AL203/AL202*100</f>
        <v>99.746676008496209</v>
      </c>
      <c r="AL203" s="1667">
        <f ca="1">OFFSET('VVP2'!$G$94,0,(COLUMN()-10)/4)</f>
        <v>3999.3003827300004</v>
      </c>
      <c r="AM203" s="1625"/>
      <c r="AN203" s="2916" t="s">
        <v>1694</v>
      </c>
      <c r="AO203" s="2917">
        <f ca="1">+AP203/AP202*100</f>
        <v>99.766839451773464</v>
      </c>
      <c r="AP203" s="1667">
        <f ca="1">OFFSET('VVP2'!$G$94,0,(COLUMN()-10)/4)</f>
        <v>4109.0447382100001</v>
      </c>
      <c r="AQ203" s="1625"/>
      <c r="AR203" s="2916" t="s">
        <v>1694</v>
      </c>
      <c r="AS203" s="2917">
        <f ca="1">+AT203/AT202*100</f>
        <v>100.16897476571241</v>
      </c>
      <c r="AT203" s="1667">
        <f ca="1">OFFSET('VVP2'!$G$94,0,(COLUMN()-10)/4)</f>
        <v>4310.5512569599996</v>
      </c>
      <c r="AU203" s="1625"/>
      <c r="AV203" s="2916" t="s">
        <v>1694</v>
      </c>
      <c r="AW203" s="2917">
        <f ca="1">+AX203/AX202*100</f>
        <v>100.16667382025739</v>
      </c>
      <c r="AX203" s="1667">
        <f ca="1">OFFSET('VVP2'!$G$94,0,(COLUMN()-10)/4)</f>
        <v>4479.4269087399998</v>
      </c>
      <c r="AY203" s="1625"/>
      <c r="AZ203" s="2916" t="s">
        <v>1694</v>
      </c>
      <c r="BA203" s="2917">
        <f ca="1">+BB203/BB202*100</f>
        <v>100.05979985360408</v>
      </c>
      <c r="BB203" s="1667">
        <f ca="1">OFFSET('VVP2'!$G$94,0,(COLUMN()-10)/4)</f>
        <v>4733.9711159300005</v>
      </c>
      <c r="BC203" s="1625"/>
      <c r="BD203" s="2916" t="s">
        <v>1694</v>
      </c>
      <c r="BE203" s="2917">
        <f ca="1">+BF203/BF202*100</f>
        <v>100.34453544981261</v>
      </c>
      <c r="BF203" s="1667">
        <f ca="1">OFFSET('VVP2'!$G$94,0,(COLUMN()-10)/4)</f>
        <v>4953.0338645499996</v>
      </c>
      <c r="BG203" s="1625"/>
      <c r="BH203" s="2916" t="s">
        <v>1694</v>
      </c>
      <c r="BI203" s="2917">
        <f ca="1">+BJ203/BJ202*100</f>
        <v>100.23747082701145</v>
      </c>
      <c r="BJ203" s="1667">
        <f ca="1">OFFSET('VVP2'!$G$94,0,(COLUMN()-10)/4)</f>
        <v>4988.3219456799998</v>
      </c>
      <c r="BK203" s="1625"/>
      <c r="BL203" s="2916" t="s">
        <v>1694</v>
      </c>
      <c r="BM203" s="2917">
        <f ca="1">+BN203/BN202*100</f>
        <v>98.897920402539157</v>
      </c>
      <c r="BN203" s="1667">
        <f ca="1">OFFSET('VVP2'!$G$94,0,(COLUMN()-10)/4)</f>
        <v>4594.8445562100005</v>
      </c>
      <c r="BO203" s="1625"/>
      <c r="BP203" s="2916" t="s">
        <v>1694</v>
      </c>
      <c r="BQ203" s="2917">
        <f ca="1">+BR203/BR202*100</f>
        <v>100.73125767016464</v>
      </c>
      <c r="BR203" s="1667">
        <f ca="1">OFFSET('VVP2'!$G$94,0,(COLUMN()-10)/4)</f>
        <v>4957.0829999999996</v>
      </c>
      <c r="BS203" s="1625"/>
      <c r="BT203" s="2916" t="s">
        <v>1694</v>
      </c>
      <c r="BU203" s="2917">
        <f ca="1">+BV203/BV202*100</f>
        <v>100.99306889012641</v>
      </c>
      <c r="BV203" s="1667">
        <f ca="1">OFFSET('VVP2'!$G$94,0,(COLUMN()-10)/4)</f>
        <v>5156.7429599999996</v>
      </c>
      <c r="BW203" s="1625"/>
      <c r="BX203" s="2916" t="s">
        <v>1694</v>
      </c>
      <c r="BY203" s="2917">
        <f ca="1">+BZ203/BZ202*100</f>
        <v>99.791834876429292</v>
      </c>
      <c r="BZ203" s="1667">
        <f ca="1">OFFSET('VVP2'!$G$94,0,(COLUMN()-10)/4)</f>
        <v>5153.24117217</v>
      </c>
      <c r="CA203" s="1625"/>
      <c r="CB203" s="2916" t="s">
        <v>1694</v>
      </c>
      <c r="CC203" s="2917">
        <f ca="1">+CD203/CD202*100</f>
        <v>99.974334394272617</v>
      </c>
      <c r="CD203" s="1667">
        <f ca="1">OFFSET('VVP2'!$G$94,0,(COLUMN()-10)/4)</f>
        <v>5196.6072168800001</v>
      </c>
      <c r="CE203" s="1625"/>
      <c r="CF203" s="2916" t="s">
        <v>1694</v>
      </c>
      <c r="CG203" s="2917">
        <f ca="1">+CH203/CH202*100</f>
        <v>99.897926054549572</v>
      </c>
      <c r="CH203" s="1667">
        <f ca="1">OFFSET('VVP2'!$G$94,0,(COLUMN()-10)/4)</f>
        <v>5385.7062799599998</v>
      </c>
      <c r="CI203" s="1625"/>
      <c r="CJ203" s="2916" t="s">
        <v>1694</v>
      </c>
      <c r="CK203" s="2917">
        <f ca="1">+CL203/CL202*100</f>
        <v>100.42983654135857</v>
      </c>
      <c r="CL203" s="1667">
        <f ca="1">OFFSET('VVP2'!$G$94,0,(COLUMN()-10)/4)</f>
        <v>5637.9785709400003</v>
      </c>
      <c r="CM203" s="1625"/>
      <c r="CN203" s="2916" t="s">
        <v>1694</v>
      </c>
      <c r="CO203" s="2917">
        <f ca="1">+CP203/CP202*100</f>
        <v>100.60683778527991</v>
      </c>
      <c r="CP203" s="1667">
        <f ca="1">OFFSET('VVP2'!$G$94,0,(COLUMN()-10)/4)</f>
        <v>5815.7302751099996</v>
      </c>
      <c r="CQ203" s="1625"/>
      <c r="CR203" s="2916" t="s">
        <v>1694</v>
      </c>
      <c r="CS203" s="2917">
        <f ca="1">+CT203/CT202*100</f>
        <v>100.35594126357803</v>
      </c>
      <c r="CT203" s="1667">
        <f ca="1">OFFSET('VVP2'!$G$94,0,(COLUMN()-10)/4)</f>
        <v>5982.48400339</v>
      </c>
      <c r="CU203" s="1625"/>
      <c r="CV203" s="2916" t="s">
        <v>1694</v>
      </c>
      <c r="CW203" s="2917">
        <f ca="1">+CX203/CX202*100</f>
        <v>100.64379718901715</v>
      </c>
      <c r="CX203" s="1672">
        <f ca="1">OFFSET('VVP2'!$G$94,0,(COLUMN()-10)/4)</f>
        <v>6148.163767089779</v>
      </c>
      <c r="CY203" s="1625"/>
      <c r="CZ203" s="2916" t="s">
        <v>1694</v>
      </c>
      <c r="DA203" s="2917">
        <f ca="1">+DB203/DB202*100</f>
        <v>100.75734650217521</v>
      </c>
      <c r="DB203" s="1672">
        <f ca="1">OFFSET('VVP2'!$G$94,0,(COLUMN()-10)/4)</f>
        <v>6283.3023797523792</v>
      </c>
      <c r="DC203" s="1625"/>
      <c r="DD203" s="2916" t="s">
        <v>1694</v>
      </c>
      <c r="DE203" s="2917">
        <f ca="1">+DF203/DF202*100</f>
        <v>100.62379176558689</v>
      </c>
      <c r="DF203" s="1672">
        <f ca="1">OFFSET('VVP2'!$G$94,0,(COLUMN()-10)/4)</f>
        <v>6420.8550046006676</v>
      </c>
    </row>
    <row r="204" spans="1:110">
      <c r="AY204" s="217"/>
      <c r="BF204" s="217"/>
      <c r="BJ204" s="217"/>
      <c r="BN204" s="217"/>
      <c r="BR204" s="217"/>
      <c r="BV204" s="217"/>
      <c r="BZ204" s="217"/>
      <c r="CD204" s="217"/>
      <c r="CH204" s="217"/>
      <c r="CL204" s="217"/>
      <c r="CP204" s="217"/>
      <c r="CT204" s="217"/>
    </row>
    <row r="205" spans="1:110" s="736" customFormat="1" ht="12.75" customHeight="1">
      <c r="A205" s="701"/>
      <c r="B205" s="701"/>
      <c r="C205" s="1603"/>
      <c r="D205" s="779"/>
      <c r="E205" s="780" t="s">
        <v>1641</v>
      </c>
      <c r="F205" s="781"/>
      <c r="G205" s="1630" t="str">
        <f t="shared" ref="G205:BD205" si="835">G197</f>
        <v>Q1</v>
      </c>
      <c r="H205" s="1631" t="str">
        <f t="shared" si="835"/>
        <v>Q2</v>
      </c>
      <c r="I205" s="1631" t="str">
        <f t="shared" si="835"/>
        <v>Q3</v>
      </c>
      <c r="J205" s="1632" t="str">
        <f t="shared" si="835"/>
        <v>Q4</v>
      </c>
      <c r="K205" s="1630" t="str">
        <f t="shared" si="835"/>
        <v>Q1</v>
      </c>
      <c r="L205" s="1631" t="str">
        <f t="shared" si="835"/>
        <v>Q2</v>
      </c>
      <c r="M205" s="1631" t="str">
        <f t="shared" si="835"/>
        <v>Q3</v>
      </c>
      <c r="N205" s="1632" t="str">
        <f t="shared" si="835"/>
        <v>Q4</v>
      </c>
      <c r="O205" s="1630" t="str">
        <f>O197</f>
        <v>Q1</v>
      </c>
      <c r="P205" s="1631" t="str">
        <f>P197</f>
        <v>Q2</v>
      </c>
      <c r="Q205" s="1631" t="str">
        <f>Q197</f>
        <v>Q3</v>
      </c>
      <c r="R205" s="1632" t="str">
        <f>R197</f>
        <v>Q4</v>
      </c>
      <c r="S205" s="1630" t="str">
        <f t="shared" si="835"/>
        <v>Q1</v>
      </c>
      <c r="T205" s="1631" t="str">
        <f t="shared" si="835"/>
        <v>Q2</v>
      </c>
      <c r="U205" s="1631" t="str">
        <f t="shared" si="835"/>
        <v>Q3</v>
      </c>
      <c r="V205" s="1632" t="str">
        <f t="shared" si="835"/>
        <v>Q4</v>
      </c>
      <c r="W205" s="1630" t="str">
        <f t="shared" si="835"/>
        <v>Q1</v>
      </c>
      <c r="X205" s="1631" t="str">
        <f t="shared" si="835"/>
        <v>Q2</v>
      </c>
      <c r="Y205" s="1631" t="str">
        <f t="shared" si="835"/>
        <v>Q3</v>
      </c>
      <c r="Z205" s="1632" t="str">
        <f t="shared" si="835"/>
        <v>Q4</v>
      </c>
      <c r="AA205" s="1630" t="str">
        <f t="shared" si="835"/>
        <v>Q1</v>
      </c>
      <c r="AB205" s="1631" t="str">
        <f t="shared" si="835"/>
        <v>Q2</v>
      </c>
      <c r="AC205" s="1631" t="str">
        <f t="shared" si="835"/>
        <v>Q3</v>
      </c>
      <c r="AD205" s="1632" t="str">
        <f t="shared" si="835"/>
        <v>Q4</v>
      </c>
      <c r="AE205" s="1630" t="str">
        <f t="shared" si="835"/>
        <v>Q1</v>
      </c>
      <c r="AF205" s="1631" t="str">
        <f t="shared" si="835"/>
        <v>Q2</v>
      </c>
      <c r="AG205" s="1631" t="str">
        <f t="shared" si="835"/>
        <v>Q3</v>
      </c>
      <c r="AH205" s="1632" t="str">
        <f t="shared" si="835"/>
        <v>Q4</v>
      </c>
      <c r="AI205" s="1630" t="str">
        <f t="shared" si="835"/>
        <v>Q1</v>
      </c>
      <c r="AJ205" s="1631" t="str">
        <f t="shared" si="835"/>
        <v>Q2</v>
      </c>
      <c r="AK205" s="1631" t="str">
        <f t="shared" si="835"/>
        <v>Q3</v>
      </c>
      <c r="AL205" s="1632" t="str">
        <f t="shared" si="835"/>
        <v>Q4</v>
      </c>
      <c r="AM205" s="1630" t="str">
        <f t="shared" si="835"/>
        <v>Q1</v>
      </c>
      <c r="AN205" s="1631" t="str">
        <f t="shared" si="835"/>
        <v>Q2</v>
      </c>
      <c r="AO205" s="1631" t="str">
        <f t="shared" si="835"/>
        <v>Q3</v>
      </c>
      <c r="AP205" s="1632" t="str">
        <f t="shared" si="835"/>
        <v>Q4</v>
      </c>
      <c r="AQ205" s="1630" t="str">
        <f>AQ197</f>
        <v>Q1</v>
      </c>
      <c r="AR205" s="1631" t="str">
        <f>AR197</f>
        <v>Q2</v>
      </c>
      <c r="AS205" s="1631" t="str">
        <f>AS197</f>
        <v>Q3</v>
      </c>
      <c r="AT205" s="1632" t="str">
        <f>AT197</f>
        <v>Q4</v>
      </c>
      <c r="AU205" s="1630" t="str">
        <f t="shared" si="835"/>
        <v>Q1</v>
      </c>
      <c r="AV205" s="1631" t="str">
        <f t="shared" si="835"/>
        <v>Q2</v>
      </c>
      <c r="AW205" s="1631" t="str">
        <f t="shared" si="835"/>
        <v>Q3</v>
      </c>
      <c r="AX205" s="1632" t="str">
        <f t="shared" si="835"/>
        <v>Q4</v>
      </c>
      <c r="AY205" s="1630" t="str">
        <f>AY197</f>
        <v>Q1</v>
      </c>
      <c r="AZ205" s="1631" t="str">
        <f>AZ197</f>
        <v>Q2</v>
      </c>
      <c r="BA205" s="1631" t="str">
        <f t="shared" si="835"/>
        <v>Q3</v>
      </c>
      <c r="BB205" s="1631" t="str">
        <f t="shared" si="835"/>
        <v>Q4</v>
      </c>
      <c r="BC205" s="1631" t="str">
        <f t="shared" si="835"/>
        <v>Q1</v>
      </c>
      <c r="BD205" s="1631" t="str">
        <f t="shared" si="835"/>
        <v>Q2</v>
      </c>
      <c r="BE205" s="1631" t="str">
        <f t="shared" ref="BE205:BJ205" si="836">BE197</f>
        <v>Q3</v>
      </c>
      <c r="BF205" s="1632" t="str">
        <f t="shared" si="836"/>
        <v>Q4</v>
      </c>
      <c r="BG205" s="1631" t="str">
        <f t="shared" si="836"/>
        <v>Q1</v>
      </c>
      <c r="BH205" s="1631" t="str">
        <f t="shared" si="836"/>
        <v>Q2</v>
      </c>
      <c r="BI205" s="1631" t="str">
        <f t="shared" si="836"/>
        <v>Q3</v>
      </c>
      <c r="BJ205" s="1632" t="str">
        <f t="shared" si="836"/>
        <v>Q4</v>
      </c>
      <c r="BK205" s="1631" t="str">
        <f>BK197</f>
        <v>Q1</v>
      </c>
      <c r="BL205" s="1631" t="str">
        <f>BL197</f>
        <v>Q2</v>
      </c>
      <c r="BM205" s="1631" t="str">
        <f>BM197</f>
        <v>Q3</v>
      </c>
      <c r="BN205" s="1632" t="str">
        <f>BN197</f>
        <v>Q4</v>
      </c>
      <c r="BO205" s="1631" t="str">
        <f t="shared" ref="BO205:BV205" si="837">BO197</f>
        <v>Q1</v>
      </c>
      <c r="BP205" s="1631" t="str">
        <f t="shared" si="837"/>
        <v>Q2</v>
      </c>
      <c r="BQ205" s="1631" t="str">
        <f t="shared" si="837"/>
        <v>Q3</v>
      </c>
      <c r="BR205" s="1632" t="str">
        <f t="shared" si="837"/>
        <v>Q4</v>
      </c>
      <c r="BS205" s="1631" t="str">
        <f t="shared" si="837"/>
        <v>Q1</v>
      </c>
      <c r="BT205" s="1631" t="str">
        <f t="shared" si="837"/>
        <v>Q2</v>
      </c>
      <c r="BU205" s="1631" t="str">
        <f t="shared" si="837"/>
        <v>Q3</v>
      </c>
      <c r="BV205" s="1632" t="str">
        <f t="shared" si="837"/>
        <v>Q4</v>
      </c>
      <c r="BW205" s="1631" t="str">
        <f t="shared" ref="BW205:CB205" si="838">BW197</f>
        <v>Q1</v>
      </c>
      <c r="BX205" s="1631" t="str">
        <f t="shared" si="838"/>
        <v>Q2</v>
      </c>
      <c r="BY205" s="1631" t="str">
        <f t="shared" si="838"/>
        <v>Q3</v>
      </c>
      <c r="BZ205" s="1632" t="str">
        <f t="shared" si="838"/>
        <v>Q4</v>
      </c>
      <c r="CA205" s="1631" t="str">
        <f t="shared" si="838"/>
        <v>Q1</v>
      </c>
      <c r="CB205" s="1631" t="str">
        <f t="shared" si="838"/>
        <v>Q2</v>
      </c>
      <c r="CC205" s="1631" t="str">
        <f t="shared" ref="CC205:CK205" si="839">CC197</f>
        <v>Q3</v>
      </c>
      <c r="CD205" s="1632" t="str">
        <f t="shared" si="839"/>
        <v>Q4</v>
      </c>
      <c r="CE205" s="1631" t="str">
        <f t="shared" si="839"/>
        <v>Q1</v>
      </c>
      <c r="CF205" s="1631" t="str">
        <f t="shared" si="839"/>
        <v>Q2</v>
      </c>
      <c r="CG205" s="1631" t="str">
        <f t="shared" si="839"/>
        <v>Q3</v>
      </c>
      <c r="CH205" s="1632" t="str">
        <f>CH197</f>
        <v>Q4</v>
      </c>
      <c r="CI205" s="1631" t="str">
        <f>CI197</f>
        <v>Q1</v>
      </c>
      <c r="CJ205" s="1631" t="str">
        <f>CJ197</f>
        <v>Q2</v>
      </c>
      <c r="CK205" s="1631" t="str">
        <f t="shared" si="839"/>
        <v>Q3</v>
      </c>
      <c r="CL205" s="1632" t="str">
        <f>CL197</f>
        <v>Q4</v>
      </c>
      <c r="CM205" s="1631" t="str">
        <f>CM197</f>
        <v>Q1</v>
      </c>
      <c r="CN205" s="1631" t="str">
        <f>CN197</f>
        <v>Q2</v>
      </c>
      <c r="CO205" s="1631" t="str">
        <f t="shared" ref="CO205" si="840">CO197</f>
        <v>Q3</v>
      </c>
      <c r="CP205" s="1632" t="str">
        <f>CP197</f>
        <v>Q4</v>
      </c>
      <c r="CQ205" s="1631" t="str">
        <f>CQ197</f>
        <v>Q1</v>
      </c>
      <c r="CR205" s="1631" t="str">
        <f>CR197</f>
        <v>Q2</v>
      </c>
      <c r="CS205" s="1631" t="str">
        <f t="shared" ref="CS205" si="841">CS197</f>
        <v>Q3</v>
      </c>
      <c r="CT205" s="1632" t="str">
        <f>CT197</f>
        <v>Q4</v>
      </c>
      <c r="CU205" s="1631" t="str">
        <f t="shared" ref="CU205:CX205" si="842">CU197</f>
        <v>Q1</v>
      </c>
      <c r="CV205" s="1631" t="str">
        <f>CV197</f>
        <v>Q2</v>
      </c>
      <c r="CW205" s="1631" t="str">
        <f t="shared" si="842"/>
        <v>Q3</v>
      </c>
      <c r="CX205" s="1631" t="str">
        <f t="shared" si="842"/>
        <v>Q4</v>
      </c>
      <c r="CY205" s="1631" t="str">
        <f t="shared" ref="CY205:DB205" si="843">CY197</f>
        <v>Q1</v>
      </c>
      <c r="CZ205" s="1631" t="str">
        <f t="shared" si="843"/>
        <v>Q2</v>
      </c>
      <c r="DA205" s="1631" t="str">
        <f t="shared" si="843"/>
        <v>Q3</v>
      </c>
      <c r="DB205" s="1631" t="str">
        <f t="shared" si="843"/>
        <v>Q4</v>
      </c>
      <c r="DC205" s="1631" t="str">
        <f t="shared" ref="DC205:DF205" si="844">DC197</f>
        <v>Q1</v>
      </c>
      <c r="DD205" s="1631" t="str">
        <f t="shared" si="844"/>
        <v>Q2</v>
      </c>
      <c r="DE205" s="1631" t="str">
        <f t="shared" si="844"/>
        <v>Q3</v>
      </c>
      <c r="DF205" s="1631" t="str">
        <f t="shared" si="844"/>
        <v>Q4</v>
      </c>
    </row>
    <row r="206" spans="1:110" s="736" customFormat="1" ht="12.75" customHeight="1">
      <c r="B206" s="701"/>
      <c r="C206" s="729"/>
      <c r="D206" s="726"/>
      <c r="E206" s="775" t="str">
        <f>E201</f>
        <v xml:space="preserve">Final demand                                                                    </v>
      </c>
      <c r="F206" s="770" t="s">
        <v>1430</v>
      </c>
      <c r="G206" s="1015"/>
      <c r="H206" s="1015">
        <f>(H201/G201-1)*100</f>
        <v>0.86047481829130135</v>
      </c>
      <c r="I206" s="1015">
        <f t="shared" ref="I206:BE206" si="845">(I201/H201-1)*100</f>
        <v>-8.6499774701243037E-2</v>
      </c>
      <c r="J206" s="1015">
        <f t="shared" si="845"/>
        <v>1.060156045831584</v>
      </c>
      <c r="K206" s="1015">
        <f t="shared" si="845"/>
        <v>6.4233900700894075E-2</v>
      </c>
      <c r="L206" s="1015">
        <f t="shared" si="845"/>
        <v>1.0997918678663954</v>
      </c>
      <c r="M206" s="1015">
        <f t="shared" si="845"/>
        <v>0.54040196029223608</v>
      </c>
      <c r="N206" s="1015">
        <f t="shared" si="845"/>
        <v>1.5221334929448549</v>
      </c>
      <c r="O206" s="1015">
        <f>(O201/N201-1)*100</f>
        <v>0.50991803110582712</v>
      </c>
      <c r="P206" s="1015">
        <f>(P201/O201-1)*100</f>
        <v>2.7573104385949732</v>
      </c>
      <c r="Q206" s="1015">
        <f>(Q201/P201-1)*100</f>
        <v>0.15960026962900109</v>
      </c>
      <c r="R206" s="1015">
        <f>(R201/Q201-1)*100</f>
        <v>1.788348397469619</v>
      </c>
      <c r="S206" s="1015">
        <f t="shared" si="845"/>
        <v>1.0385774955516069</v>
      </c>
      <c r="T206" s="1015">
        <f t="shared" si="845"/>
        <v>1.3196256516200489</v>
      </c>
      <c r="U206" s="1015">
        <f t="shared" si="845"/>
        <v>1.689137689908371</v>
      </c>
      <c r="V206" s="1015">
        <f t="shared" si="845"/>
        <v>1.6884009350061513</v>
      </c>
      <c r="W206" s="1015">
        <f t="shared" si="845"/>
        <v>0.2869750078696276</v>
      </c>
      <c r="X206" s="1015">
        <f t="shared" si="845"/>
        <v>0.79015854563877497</v>
      </c>
      <c r="Y206" s="1015">
        <f t="shared" si="845"/>
        <v>1.9414274410313626</v>
      </c>
      <c r="Z206" s="1015">
        <f t="shared" si="845"/>
        <v>1.1151220715903909</v>
      </c>
      <c r="AA206" s="1015">
        <f t="shared" si="845"/>
        <v>1.0205275709782358</v>
      </c>
      <c r="AB206" s="1015">
        <f t="shared" si="845"/>
        <v>2.8462830251127835</v>
      </c>
      <c r="AC206" s="1015">
        <f t="shared" si="845"/>
        <v>1.6077033455883294</v>
      </c>
      <c r="AD206" s="1015">
        <f t="shared" si="845"/>
        <v>0.52963872749656193</v>
      </c>
      <c r="AE206" s="1015">
        <f t="shared" si="845"/>
        <v>-1.2249088455547952</v>
      </c>
      <c r="AF206" s="1015">
        <f t="shared" si="845"/>
        <v>-0.10570616406174738</v>
      </c>
      <c r="AG206" s="1015">
        <f t="shared" si="845"/>
        <v>0.49167384074104703</v>
      </c>
      <c r="AH206" s="1015">
        <f t="shared" si="845"/>
        <v>0.97611019974197522</v>
      </c>
      <c r="AI206" s="1015">
        <f t="shared" si="845"/>
        <v>-0.54340768892294777</v>
      </c>
      <c r="AJ206" s="1015">
        <f t="shared" si="845"/>
        <v>1.4924821733225402</v>
      </c>
      <c r="AK206" s="1015">
        <f t="shared" si="845"/>
        <v>-1.0675096265705175</v>
      </c>
      <c r="AL206" s="1015">
        <f t="shared" si="845"/>
        <v>1.2941843811224096</v>
      </c>
      <c r="AM206" s="1015">
        <f t="shared" si="845"/>
        <v>1.1786658210368728</v>
      </c>
      <c r="AN206" s="1015">
        <f t="shared" si="845"/>
        <v>-7.1986141567281781E-2</v>
      </c>
      <c r="AO206" s="1015">
        <f t="shared" si="845"/>
        <v>1.0396809066117729</v>
      </c>
      <c r="AP206" s="1015">
        <f t="shared" si="845"/>
        <v>1.0166494698037543</v>
      </c>
      <c r="AQ206" s="1015">
        <f>(AQ201/AP201-1)*100</f>
        <v>1.4131760303109919</v>
      </c>
      <c r="AR206" s="1015">
        <f>(AR201/AQ201-1)*100</f>
        <v>1.752763470841634</v>
      </c>
      <c r="AS206" s="1015">
        <f>(AS201/AR201-1)*100</f>
        <v>0.33350784955890056</v>
      </c>
      <c r="AT206" s="1015">
        <f>(AT201/AS201-1)*100</f>
        <v>1.0124917208190531</v>
      </c>
      <c r="AU206" s="1015">
        <f t="shared" si="845"/>
        <v>0.35705606426734704</v>
      </c>
      <c r="AV206" s="1015">
        <f t="shared" si="845"/>
        <v>1.5595814275016329</v>
      </c>
      <c r="AW206" s="1015">
        <f t="shared" si="845"/>
        <v>1.8519071705235257</v>
      </c>
      <c r="AX206" s="1015">
        <f t="shared" si="845"/>
        <v>0.19908341768346549</v>
      </c>
      <c r="AY206" s="1015">
        <f t="shared" si="845"/>
        <v>2.2196950314104402</v>
      </c>
      <c r="AZ206" s="1015">
        <f t="shared" si="845"/>
        <v>1.2001968918718742</v>
      </c>
      <c r="BA206" s="1015">
        <f t="shared" si="845"/>
        <v>1.1302158448741162</v>
      </c>
      <c r="BB206" s="1015">
        <f>(BB201/BA201-1)*100</f>
        <v>2.123825609858665</v>
      </c>
      <c r="BC206" s="1015">
        <f>(BC201/BB201-1)*100</f>
        <v>4.020479357988993E-2</v>
      </c>
      <c r="BD206" s="1015">
        <f>(BD201/BC201-1)*100</f>
        <v>1.1743050096388208</v>
      </c>
      <c r="BE206" s="1015">
        <f t="shared" si="845"/>
        <v>0.78544244202025659</v>
      </c>
      <c r="BF206" s="1015">
        <f t="shared" ref="BF206:BN206" si="846">(BF201/BE201-1)*100</f>
        <v>2.015981037938297</v>
      </c>
      <c r="BG206" s="1015">
        <f t="shared" si="846"/>
        <v>0.33358890931858287</v>
      </c>
      <c r="BH206" s="1015">
        <f t="shared" si="846"/>
        <v>-0.90949836474916168</v>
      </c>
      <c r="BI206" s="1015">
        <f t="shared" si="846"/>
        <v>-0.73261314934244259</v>
      </c>
      <c r="BJ206" s="1015">
        <f t="shared" si="846"/>
        <v>-2.5487734122864425</v>
      </c>
      <c r="BK206" s="1015">
        <f t="shared" si="846"/>
        <v>-4.1086511510100454</v>
      </c>
      <c r="BL206" s="1015">
        <f t="shared" si="846"/>
        <v>-0.91064499642656838</v>
      </c>
      <c r="BM206" s="1015">
        <f t="shared" si="846"/>
        <v>0.72432297442901472</v>
      </c>
      <c r="BN206" s="1015">
        <f t="shared" si="846"/>
        <v>0.7749038994249613</v>
      </c>
      <c r="BO206" s="1015">
        <f t="shared" ref="BO206:BV206" si="847">(BO201/BN201-1)*100</f>
        <v>1.7169664043134247</v>
      </c>
      <c r="BP206" s="1015">
        <f t="shared" si="847"/>
        <v>2.4470258866333916</v>
      </c>
      <c r="BQ206" s="1015">
        <f t="shared" si="847"/>
        <v>2.0960794194975207</v>
      </c>
      <c r="BR206" s="1015">
        <f t="shared" si="847"/>
        <v>1.8617779056969042</v>
      </c>
      <c r="BS206" s="1015">
        <f t="shared" si="847"/>
        <v>-0.25119375010008715</v>
      </c>
      <c r="BT206" s="1015">
        <f t="shared" si="847"/>
        <v>1.3348123635304798</v>
      </c>
      <c r="BU206" s="1015">
        <f t="shared" si="847"/>
        <v>0.80931711244558446</v>
      </c>
      <c r="BV206" s="1015">
        <f t="shared" si="847"/>
        <v>-1.8138573845738581</v>
      </c>
      <c r="BW206" s="1015">
        <f t="shared" ref="BW206:CL206" si="848">(BW201/BV201-1)*100</f>
        <v>1.9443903492830428</v>
      </c>
      <c r="BX206" s="1015">
        <f t="shared" si="848"/>
        <v>0.29372719696982852</v>
      </c>
      <c r="BY206" s="1015">
        <f t="shared" si="848"/>
        <v>-0.7777758242517252</v>
      </c>
      <c r="BZ206" s="1015">
        <f t="shared" si="848"/>
        <v>5.9026316799815071E-2</v>
      </c>
      <c r="CA206" s="1015">
        <f t="shared" si="848"/>
        <v>-3.2163763811265955E-2</v>
      </c>
      <c r="CB206" s="1015">
        <f t="shared" si="848"/>
        <v>0.76810739766830505</v>
      </c>
      <c r="CC206" s="1015">
        <f t="shared" si="848"/>
        <v>0.8300193932575084</v>
      </c>
      <c r="CD206" s="1015">
        <f t="shared" si="848"/>
        <v>-0.11354959679531484</v>
      </c>
      <c r="CE206" s="1015">
        <f t="shared" si="848"/>
        <v>1.8145640385550443</v>
      </c>
      <c r="CF206" s="1015">
        <f t="shared" si="848"/>
        <v>1.0032273178117501</v>
      </c>
      <c r="CG206" s="1015">
        <f t="shared" ref="CG206:CK206" si="849">(CF144*CG149+CF170*CG183)/(CF144+CF170)</f>
        <v>0.5083192129416243</v>
      </c>
      <c r="CH206" s="1015">
        <f t="shared" si="848"/>
        <v>1.3195262389061879</v>
      </c>
      <c r="CI206" s="1015">
        <f t="shared" si="848"/>
        <v>0.84365739314873345</v>
      </c>
      <c r="CJ206" s="1015">
        <f t="shared" si="848"/>
        <v>0.78525294362927767</v>
      </c>
      <c r="CK206" s="1015">
        <f t="shared" si="849"/>
        <v>1.4787391196831534</v>
      </c>
      <c r="CL206" s="1015">
        <f t="shared" si="848"/>
        <v>1.5891049651467704</v>
      </c>
      <c r="CM206" s="1015">
        <f t="shared" ref="CM206" si="850">(CM201/CL201-1)*100</f>
        <v>7.2763969632139158E-2</v>
      </c>
      <c r="CN206" s="1015">
        <f t="shared" ref="CN206" si="851">(CN201/CM201-1)*100</f>
        <v>0.13827581706344905</v>
      </c>
      <c r="CO206" s="1015">
        <f t="shared" ref="CO206" si="852">(CN144*CO149+CN170*CO183)/(CN144+CN170)</f>
        <v>0.92139438365705884</v>
      </c>
      <c r="CP206" s="1015">
        <f t="shared" ref="CP206" si="853">(CP201/CO201-1)*100</f>
        <v>0.75918694435221923</v>
      </c>
      <c r="CQ206" s="1015">
        <f t="shared" ref="CQ206" si="854">(CQ201/CP201-1)*100</f>
        <v>0.36380653858978373</v>
      </c>
      <c r="CR206" s="1015">
        <f t="shared" ref="CR206" si="855">(CR201/CQ201-1)*100</f>
        <v>1.423549938004931</v>
      </c>
      <c r="CS206" s="1015">
        <f t="shared" ref="CS206" si="856">(CR144*CS149+CR170*CS183)/(CR144+CR170)</f>
        <v>0.77010337258220596</v>
      </c>
      <c r="CT206" s="1015">
        <f t="shared" ref="CT206:CV206" si="857">(CT201/CS201-1)*100</f>
        <v>0.82741568032811408</v>
      </c>
      <c r="CU206" s="1015">
        <f t="shared" si="857"/>
        <v>0.57351117440500587</v>
      </c>
      <c r="CV206" s="1015">
        <f t="shared" si="857"/>
        <v>0.34510520182786664</v>
      </c>
      <c r="CW206" s="776">
        <f t="shared" ref="CW206" si="858">(CV144*CW149+CV170*CW183)/(CV144+CV170)</f>
        <v>0.34002861904447018</v>
      </c>
      <c r="CX206" s="776">
        <f t="shared" ref="CX206" si="859">(CW144*CX149+CW170*CX183)/(CW144+CW170)</f>
        <v>0.383602319405422</v>
      </c>
      <c r="CY206" s="776">
        <f t="shared" ref="CY206" si="860">(CX144*CY149+CX170*CY183)/(CX144+CX170)</f>
        <v>0.72591462375418048</v>
      </c>
      <c r="CZ206" s="776">
        <f t="shared" ref="CZ206" si="861">(CY144*CZ149+CY170*CZ183)/(CY144+CY170)</f>
        <v>0.59606580447937196</v>
      </c>
      <c r="DA206" s="776">
        <f t="shared" ref="DA206" si="862">(CZ144*DA149+CZ170*DA183)/(CZ144+CZ170)</f>
        <v>0.46438493964670896</v>
      </c>
      <c r="DB206" s="776">
        <f t="shared" ref="DB206" si="863">(DA144*DB149+DA170*DB183)/(DA144+DA170)</f>
        <v>0.46901660582402693</v>
      </c>
      <c r="DC206" s="776">
        <f t="shared" ref="DC206" si="864">(DB144*DC149+DB170*DC183)/(DB144+DB170)</f>
        <v>0.69183576937864744</v>
      </c>
      <c r="DD206" s="776">
        <f t="shared" ref="DD206" si="865">(DC144*DD149+DC170*DD183)/(DC144+DC170)</f>
        <v>0.66037856076563273</v>
      </c>
      <c r="DE206" s="776">
        <f t="shared" ref="DE206" si="866">(DD144*DE149+DD170*DE183)/(DD144+DD170)</f>
        <v>0.55229980007213553</v>
      </c>
      <c r="DF206" s="776">
        <f t="shared" ref="DF206" si="867">(DE144*DF149+DE170*DF183)/(DE144+DE170)</f>
        <v>0.43386941955108188</v>
      </c>
    </row>
    <row r="207" spans="1:110" ht="12.75">
      <c r="C207" s="1605"/>
      <c r="D207" s="1633"/>
      <c r="E207" s="1634" t="s">
        <v>1783</v>
      </c>
      <c r="F207" s="1704"/>
      <c r="G207" s="1657"/>
      <c r="H207" s="1658"/>
      <c r="I207" s="1658"/>
      <c r="J207" s="1658"/>
      <c r="K207" s="1659"/>
      <c r="L207" s="1659"/>
      <c r="M207" s="1659"/>
      <c r="N207" s="1660">
        <f>N202/J202*100-100</f>
        <v>2.5293326215564349</v>
      </c>
      <c r="O207" s="1659"/>
      <c r="P207" s="1659"/>
      <c r="Q207" s="1659"/>
      <c r="R207" s="1660">
        <f>R202/N202*100-100</f>
        <v>4.8696253001320571</v>
      </c>
      <c r="S207" s="1659"/>
      <c r="T207" s="1659"/>
      <c r="U207" s="1659"/>
      <c r="V207" s="1660">
        <f>V202/R202*100-100</f>
        <v>5.5097196981454033</v>
      </c>
      <c r="W207" s="1659"/>
      <c r="X207" s="1659"/>
      <c r="Y207" s="1659"/>
      <c r="Z207" s="1660">
        <f>Z202/V202*100-100</f>
        <v>4.6368706187844566</v>
      </c>
      <c r="AA207" s="1659"/>
      <c r="AB207" s="1659"/>
      <c r="AC207" s="1659"/>
      <c r="AD207" s="1660">
        <f>AD202/Z202*100-100</f>
        <v>6.2330600149240496</v>
      </c>
      <c r="AE207" s="1659"/>
      <c r="AF207" s="1659"/>
      <c r="AG207" s="1659"/>
      <c r="AH207" s="1660">
        <f>AH202/AD202*100-100</f>
        <v>1.0604821029680807</v>
      </c>
      <c r="AI207" s="1659"/>
      <c r="AJ207" s="1659"/>
      <c r="AK207" s="1659"/>
      <c r="AL207" s="1660">
        <f>AL202/AH202*100-100</f>
        <v>1.3077108887935367</v>
      </c>
      <c r="AM207" s="1659"/>
      <c r="AN207" s="1659"/>
      <c r="AO207" s="1659"/>
      <c r="AP207" s="1660">
        <f>AP202/AL202*100-100</f>
        <v>2.7233236777456398</v>
      </c>
      <c r="AQ207" s="1659"/>
      <c r="AR207" s="1659"/>
      <c r="AS207" s="1659"/>
      <c r="AT207" s="1660">
        <f>AT202/AP202*100-100</f>
        <v>4.4828305056819602</v>
      </c>
      <c r="AU207" s="1659"/>
      <c r="AV207" s="1659"/>
      <c r="AW207" s="1659"/>
      <c r="AX207" s="1660">
        <f>AX202/AT202*100-100</f>
        <v>3.9201146065380073</v>
      </c>
      <c r="AY207" s="1659"/>
      <c r="AZ207" s="1659"/>
      <c r="BA207" s="1661"/>
      <c r="BB207" s="1662">
        <f>BB202/AX202*100-100</f>
        <v>5.7953968553434692</v>
      </c>
      <c r="BC207" s="1661"/>
      <c r="BD207" s="1661"/>
      <c r="BE207" s="1661"/>
      <c r="BF207" s="1660">
        <f>BF202/BB202*100-100</f>
        <v>4.330573978345484</v>
      </c>
      <c r="BG207" s="1661"/>
      <c r="BH207" s="1661"/>
      <c r="BI207" s="1661"/>
      <c r="BJ207" s="1660">
        <f>BJ202/BF202*100-100</f>
        <v>0.8200258203585804</v>
      </c>
      <c r="BK207" s="1661"/>
      <c r="BL207" s="1661"/>
      <c r="BM207" s="1661"/>
      <c r="BN207" s="1660">
        <f>BN202/BJ202*100-100</f>
        <v>-6.640333991881306</v>
      </c>
      <c r="BO207" s="1661"/>
      <c r="BP207" s="1661"/>
      <c r="BQ207" s="1661"/>
      <c r="BR207" s="1660">
        <f>BR202/BN202*100-100</f>
        <v>5.9200726673555408</v>
      </c>
      <c r="BS207" s="1661"/>
      <c r="BT207" s="1661"/>
      <c r="BU207" s="1661"/>
      <c r="BV207" s="1660">
        <f>BV202/BR202*100-100</f>
        <v>3.7580928854258957</v>
      </c>
      <c r="BW207" s="1661"/>
      <c r="BX207" s="1661"/>
      <c r="BY207" s="1661"/>
      <c r="BZ207" s="1660">
        <f>BZ202/BV202*100-100</f>
        <v>1.1350153881587062</v>
      </c>
      <c r="CA207" s="1661"/>
      <c r="CB207" s="1661"/>
      <c r="CC207" s="1661"/>
      <c r="CD207" s="1660">
        <f>CD202/BZ202*100-100</f>
        <v>0.65744694975053619</v>
      </c>
      <c r="CE207" s="1661"/>
      <c r="CF207" s="1661"/>
      <c r="CG207" s="1661"/>
      <c r="CH207" s="1660">
        <f>CH202/CD202*100-100</f>
        <v>3.7181643432564755</v>
      </c>
      <c r="CI207" s="1661"/>
      <c r="CJ207" s="1661"/>
      <c r="CK207" s="1661"/>
      <c r="CL207" s="1660">
        <f>CL202/CH202*100-100</f>
        <v>4.1296653053332335</v>
      </c>
      <c r="CM207" s="1661"/>
      <c r="CN207" s="1661"/>
      <c r="CO207" s="1661"/>
      <c r="CP207" s="1660">
        <f>CP202/CL202*100-100</f>
        <v>2.9712755681566421</v>
      </c>
      <c r="CQ207" s="1661"/>
      <c r="CR207" s="1661"/>
      <c r="CS207" s="1661"/>
      <c r="CT207" s="1660">
        <f>CT202/CP202*100-100</f>
        <v>3.1244629173346823</v>
      </c>
      <c r="CU207" s="1661"/>
      <c r="CV207" s="1661"/>
      <c r="CW207" s="1661"/>
      <c r="CX207" s="1662">
        <f>CX202/CT202*100-100</f>
        <v>2.4754787367932778</v>
      </c>
      <c r="CY207" s="1661"/>
      <c r="CZ207" s="1661"/>
      <c r="DA207" s="1661"/>
      <c r="DB207" s="1662">
        <f>DB202/CX202*100-100</f>
        <v>2.0828591863603378</v>
      </c>
      <c r="DC207" s="1661"/>
      <c r="DD207" s="1661"/>
      <c r="DE207" s="1661"/>
      <c r="DF207" s="1662">
        <f>DF202/DB202*100-100</f>
        <v>2.3248096503359506</v>
      </c>
    </row>
    <row r="208" spans="1:110" s="736" customFormat="1" ht="12.75" customHeight="1">
      <c r="A208" s="701"/>
      <c r="B208" s="701"/>
      <c r="C208" s="703"/>
      <c r="D208" s="754"/>
      <c r="E208" s="1648" t="s">
        <v>136</v>
      </c>
      <c r="F208" s="754"/>
      <c r="G208" s="1649"/>
      <c r="H208" s="1649"/>
      <c r="I208" s="1649"/>
      <c r="J208" s="1650"/>
      <c r="K208" s="1649"/>
      <c r="L208" s="1649"/>
      <c r="M208" s="1649"/>
      <c r="N208" s="1651">
        <f ca="1">N203/J203*100-100</f>
        <v>1.9805813619360464</v>
      </c>
      <c r="O208" s="1649"/>
      <c r="P208" s="1649"/>
      <c r="Q208" s="1649"/>
      <c r="R208" s="1651">
        <f ca="1">R203/N203*100-100</f>
        <v>5.1474261933431791</v>
      </c>
      <c r="S208" s="1649"/>
      <c r="T208" s="1649"/>
      <c r="U208" s="1649"/>
      <c r="V208" s="1651">
        <f ca="1">V203/R203*100-100</f>
        <v>5.9971750721439463</v>
      </c>
      <c r="W208" s="1649"/>
      <c r="X208" s="1649"/>
      <c r="Y208" s="1649"/>
      <c r="Z208" s="1651">
        <f ca="1">Z203/V203*100-100</f>
        <v>4.6492679915799613</v>
      </c>
      <c r="AA208" s="1649"/>
      <c r="AB208" s="1649"/>
      <c r="AC208" s="1649"/>
      <c r="AD208" s="1651">
        <f ca="1">AD203/Z203*100-100</f>
        <v>6.5585641192303541</v>
      </c>
      <c r="AE208" s="1649"/>
      <c r="AF208" s="1649"/>
      <c r="AG208" s="1649"/>
      <c r="AH208" s="1651">
        <f ca="1">AH203/AD203*100-100</f>
        <v>0.66414651652937096</v>
      </c>
      <c r="AI208" s="1649"/>
      <c r="AJ208" s="1649"/>
      <c r="AK208" s="1649"/>
      <c r="AL208" s="1651">
        <f ca="1">AL203/AH203*100-100</f>
        <v>1.1675826581507778</v>
      </c>
      <c r="AM208" s="1649"/>
      <c r="AN208" s="1649"/>
      <c r="AO208" s="1649"/>
      <c r="AP208" s="1651">
        <f ca="1">AP203/AL203*100-100</f>
        <v>2.7440888399857215</v>
      </c>
      <c r="AQ208" s="1649"/>
      <c r="AR208" s="1649"/>
      <c r="AS208" s="1649"/>
      <c r="AT208" s="1651">
        <f ca="1">AT203/AP203*100-100</f>
        <v>4.903974806508927</v>
      </c>
      <c r="AU208" s="1649"/>
      <c r="AV208" s="1649"/>
      <c r="AW208" s="1649"/>
      <c r="AX208" s="1651">
        <f ca="1">AX203/AT203*100-100</f>
        <v>3.9177274950002356</v>
      </c>
      <c r="AY208" s="1649"/>
      <c r="AZ208" s="1649"/>
      <c r="BA208" s="1663"/>
      <c r="BB208" s="1664">
        <f ca="1">BB203/AX203*100-100</f>
        <v>5.6825172589232125</v>
      </c>
      <c r="BC208" s="1663"/>
      <c r="BD208" s="1663"/>
      <c r="BE208" s="1663"/>
      <c r="BF208" s="1651">
        <f ca="1">BF203/BB203*100-100</f>
        <v>4.6274627211569737</v>
      </c>
      <c r="BG208" s="1663"/>
      <c r="BH208" s="1663"/>
      <c r="BI208" s="1663"/>
      <c r="BJ208" s="1651">
        <f ca="1">BJ203/BF203*100-100</f>
        <v>0.71245386353129447</v>
      </c>
      <c r="BK208" s="1663"/>
      <c r="BL208" s="1663"/>
      <c r="BM208" s="1663"/>
      <c r="BN208" s="1651">
        <f ca="1">BN203/BJ203*100-100</f>
        <v>-7.8879710202097044</v>
      </c>
      <c r="BO208" s="1663"/>
      <c r="BP208" s="1663"/>
      <c r="BQ208" s="1663"/>
      <c r="BR208" s="1651">
        <f ca="1">BR203/BN203*100-100</f>
        <v>7.8835842944986751</v>
      </c>
      <c r="BS208" s="1663"/>
      <c r="BT208" s="1663"/>
      <c r="BU208" s="1663"/>
      <c r="BV208" s="1651">
        <f ca="1">BV203/BR203*100-100</f>
        <v>4.0277711710697588</v>
      </c>
      <c r="BW208" s="1663"/>
      <c r="BX208" s="1663"/>
      <c r="BY208" s="1663"/>
      <c r="BZ208" s="1651">
        <f ca="1">BZ203/BV203*100-100</f>
        <v>-6.7906968742917684E-2</v>
      </c>
      <c r="CA208" s="1663"/>
      <c r="CB208" s="1663"/>
      <c r="CC208" s="1663"/>
      <c r="CD208" s="1651">
        <f ca="1">CD203/BZ203*100-100</f>
        <v>0.84152950077705668</v>
      </c>
      <c r="CE208" s="1663"/>
      <c r="CF208" s="1663"/>
      <c r="CG208" s="1663"/>
      <c r="CH208" s="1651">
        <f ca="1">CH203/CD203*100-100</f>
        <v>3.6388946708489698</v>
      </c>
      <c r="CI208" s="1663"/>
      <c r="CJ208" s="1663"/>
      <c r="CK208" s="1663"/>
      <c r="CL208" s="1651">
        <f ca="1">CL203/CH203*100-100</f>
        <v>4.6841078563585086</v>
      </c>
      <c r="CM208" s="1663"/>
      <c r="CN208" s="1663"/>
      <c r="CO208" s="1663"/>
      <c r="CP208" s="1651">
        <f ca="1">CP203/CL203*100-100</f>
        <v>3.1527559378496051</v>
      </c>
      <c r="CQ208" s="1663"/>
      <c r="CR208" s="1663"/>
      <c r="CS208" s="1663"/>
      <c r="CT208" s="1651">
        <f ca="1">CT203/CP203*100-100</f>
        <v>2.8672878622598432</v>
      </c>
      <c r="CU208" s="1663"/>
      <c r="CV208" s="1663"/>
      <c r="CW208" s="1663"/>
      <c r="CX208" s="1664">
        <f ca="1">CX203/CT203*100-100</f>
        <v>2.769414236726675</v>
      </c>
      <c r="CY208" s="1663"/>
      <c r="CZ208" s="1663"/>
      <c r="DA208" s="1663"/>
      <c r="DB208" s="1664">
        <f ca="1">DB203/CX203*100-100</f>
        <v>2.1980320918902265</v>
      </c>
      <c r="DC208" s="1663"/>
      <c r="DD208" s="1663"/>
      <c r="DE208" s="1663"/>
      <c r="DF208" s="1664">
        <f ca="1">DF203/DB203*100-100</f>
        <v>2.1891772277512018</v>
      </c>
    </row>
    <row r="209" spans="1:110">
      <c r="AY209" s="217"/>
      <c r="BF209" s="217"/>
      <c r="BJ209" s="217"/>
      <c r="BN209" s="217"/>
      <c r="BR209" s="217"/>
      <c r="BV209" s="217"/>
    </row>
    <row r="210" spans="1:110" s="736" customFormat="1" ht="12.75" customHeight="1">
      <c r="A210" s="701"/>
      <c r="B210" s="701"/>
      <c r="C210" s="703"/>
      <c r="D210" s="895"/>
      <c r="E210" s="896"/>
      <c r="F210" s="897"/>
      <c r="G210" s="1640" t="str">
        <f t="shared" ref="G210:AX210" si="868">G205</f>
        <v>Q1</v>
      </c>
      <c r="H210" s="1640" t="str">
        <f t="shared" si="868"/>
        <v>Q2</v>
      </c>
      <c r="I210" s="1640" t="str">
        <f t="shared" si="868"/>
        <v>Q3</v>
      </c>
      <c r="J210" s="1640" t="str">
        <f t="shared" si="868"/>
        <v>Q4</v>
      </c>
      <c r="K210" s="1645" t="str">
        <f t="shared" si="868"/>
        <v>Q1</v>
      </c>
      <c r="L210" s="1640" t="str">
        <f t="shared" si="868"/>
        <v>Q2</v>
      </c>
      <c r="M210" s="1640" t="str">
        <f t="shared" si="868"/>
        <v>Q3</v>
      </c>
      <c r="N210" s="1646" t="str">
        <f t="shared" si="868"/>
        <v>Q4</v>
      </c>
      <c r="O210" s="1645" t="str">
        <f t="shared" si="868"/>
        <v>Q1</v>
      </c>
      <c r="P210" s="1640" t="str">
        <f t="shared" si="868"/>
        <v>Q2</v>
      </c>
      <c r="Q210" s="1640" t="str">
        <f t="shared" si="868"/>
        <v>Q3</v>
      </c>
      <c r="R210" s="1646" t="str">
        <f t="shared" si="868"/>
        <v>Q4</v>
      </c>
      <c r="S210" s="1645" t="str">
        <f t="shared" si="868"/>
        <v>Q1</v>
      </c>
      <c r="T210" s="1640" t="str">
        <f t="shared" si="868"/>
        <v>Q2</v>
      </c>
      <c r="U210" s="1640" t="str">
        <f t="shared" si="868"/>
        <v>Q3</v>
      </c>
      <c r="V210" s="1646" t="str">
        <f t="shared" si="868"/>
        <v>Q4</v>
      </c>
      <c r="W210" s="1645" t="str">
        <f t="shared" si="868"/>
        <v>Q1</v>
      </c>
      <c r="X210" s="1640" t="str">
        <f t="shared" si="868"/>
        <v>Q2</v>
      </c>
      <c r="Y210" s="1640" t="str">
        <f t="shared" si="868"/>
        <v>Q3</v>
      </c>
      <c r="Z210" s="1646" t="str">
        <f t="shared" si="868"/>
        <v>Q4</v>
      </c>
      <c r="AA210" s="1645" t="str">
        <f t="shared" si="868"/>
        <v>Q1</v>
      </c>
      <c r="AB210" s="1640" t="str">
        <f t="shared" si="868"/>
        <v>Q2</v>
      </c>
      <c r="AC210" s="1640" t="str">
        <f t="shared" si="868"/>
        <v>Q3</v>
      </c>
      <c r="AD210" s="1646" t="str">
        <f t="shared" si="868"/>
        <v>Q4</v>
      </c>
      <c r="AE210" s="1645" t="str">
        <f t="shared" si="868"/>
        <v>Q1</v>
      </c>
      <c r="AF210" s="1640" t="str">
        <f t="shared" si="868"/>
        <v>Q2</v>
      </c>
      <c r="AG210" s="1640" t="str">
        <f t="shared" si="868"/>
        <v>Q3</v>
      </c>
      <c r="AH210" s="1646" t="str">
        <f t="shared" si="868"/>
        <v>Q4</v>
      </c>
      <c r="AI210" s="1645" t="str">
        <f t="shared" si="868"/>
        <v>Q1</v>
      </c>
      <c r="AJ210" s="1640" t="str">
        <f t="shared" si="868"/>
        <v>Q2</v>
      </c>
      <c r="AK210" s="1640" t="str">
        <f t="shared" si="868"/>
        <v>Q3</v>
      </c>
      <c r="AL210" s="1646" t="str">
        <f t="shared" si="868"/>
        <v>Q4</v>
      </c>
      <c r="AM210" s="1645" t="str">
        <f t="shared" si="868"/>
        <v>Q1</v>
      </c>
      <c r="AN210" s="1640" t="str">
        <f t="shared" si="868"/>
        <v>Q2</v>
      </c>
      <c r="AO210" s="1640" t="str">
        <f t="shared" si="868"/>
        <v>Q3</v>
      </c>
      <c r="AP210" s="1646" t="str">
        <f t="shared" si="868"/>
        <v>Q4</v>
      </c>
      <c r="AQ210" s="1645" t="str">
        <f t="shared" si="868"/>
        <v>Q1</v>
      </c>
      <c r="AR210" s="1640" t="str">
        <f t="shared" si="868"/>
        <v>Q2</v>
      </c>
      <c r="AS210" s="1640" t="str">
        <f t="shared" si="868"/>
        <v>Q3</v>
      </c>
      <c r="AT210" s="1646" t="str">
        <f t="shared" si="868"/>
        <v>Q4</v>
      </c>
      <c r="AU210" s="1645" t="str">
        <f t="shared" si="868"/>
        <v>Q1</v>
      </c>
      <c r="AV210" s="1640" t="str">
        <f t="shared" si="868"/>
        <v>Q2</v>
      </c>
      <c r="AW210" s="1640" t="str">
        <f t="shared" si="868"/>
        <v>Q3</v>
      </c>
      <c r="AX210" s="1646" t="str">
        <f t="shared" si="868"/>
        <v>Q4</v>
      </c>
      <c r="AY210" s="1645" t="str">
        <f t="shared" ref="AY210:BD210" si="869">AY205</f>
        <v>Q1</v>
      </c>
      <c r="AZ210" s="1640" t="str">
        <f t="shared" si="869"/>
        <v>Q2</v>
      </c>
      <c r="BA210" s="1640" t="str">
        <f t="shared" si="869"/>
        <v>Q3</v>
      </c>
      <c r="BB210" s="1646" t="str">
        <f t="shared" si="869"/>
        <v>Q4</v>
      </c>
      <c r="BC210" s="1645" t="str">
        <f t="shared" si="869"/>
        <v>Q1</v>
      </c>
      <c r="BD210" s="1640" t="str">
        <f t="shared" si="869"/>
        <v>Q2</v>
      </c>
      <c r="BE210" s="1640" t="str">
        <f>BE205</f>
        <v>Q3</v>
      </c>
      <c r="BF210" s="1646" t="str">
        <f>BF205</f>
        <v>Q4</v>
      </c>
      <c r="BG210" s="1645" t="str">
        <f>BG205</f>
        <v>Q1</v>
      </c>
      <c r="BH210" s="1640" t="str">
        <f>BH205</f>
        <v>Q2</v>
      </c>
      <c r="BI210" s="1640" t="str">
        <f>BI205</f>
        <v>Q3</v>
      </c>
      <c r="BJ210" s="1646" t="str">
        <f t="shared" ref="BJ210:BR210" si="870">BJ205</f>
        <v>Q4</v>
      </c>
      <c r="BK210" s="1645" t="str">
        <f t="shared" si="870"/>
        <v>Q1</v>
      </c>
      <c r="BL210" s="1640" t="str">
        <f t="shared" si="870"/>
        <v>Q2</v>
      </c>
      <c r="BM210" s="1640" t="str">
        <f t="shared" si="870"/>
        <v>Q3</v>
      </c>
      <c r="BN210" s="1646" t="str">
        <f t="shared" si="870"/>
        <v>Q4</v>
      </c>
      <c r="BO210" s="1645" t="str">
        <f t="shared" si="870"/>
        <v>Q1</v>
      </c>
      <c r="BP210" s="1640" t="str">
        <f t="shared" si="870"/>
        <v>Q2</v>
      </c>
      <c r="BQ210" s="1640" t="str">
        <f t="shared" si="870"/>
        <v>Q3</v>
      </c>
      <c r="BR210" s="1646" t="str">
        <f t="shared" si="870"/>
        <v>Q4</v>
      </c>
      <c r="BS210" s="1645" t="str">
        <f t="shared" ref="BS210:CD210" si="871">BS205</f>
        <v>Q1</v>
      </c>
      <c r="BT210" s="1640" t="str">
        <f t="shared" si="871"/>
        <v>Q2</v>
      </c>
      <c r="BU210" s="1640" t="str">
        <f t="shared" si="871"/>
        <v>Q3</v>
      </c>
      <c r="BV210" s="1646" t="str">
        <f t="shared" si="871"/>
        <v>Q4</v>
      </c>
      <c r="BW210" s="1645" t="str">
        <f t="shared" si="871"/>
        <v>Q1</v>
      </c>
      <c r="BX210" s="1640" t="str">
        <f t="shared" si="871"/>
        <v>Q2</v>
      </c>
      <c r="BY210" s="1640" t="str">
        <f t="shared" si="871"/>
        <v>Q3</v>
      </c>
      <c r="BZ210" s="1646" t="str">
        <f t="shared" si="871"/>
        <v>Q4</v>
      </c>
      <c r="CA210" s="1645" t="str">
        <f t="shared" si="871"/>
        <v>Q1</v>
      </c>
      <c r="CB210" s="1640" t="str">
        <f t="shared" si="871"/>
        <v>Q2</v>
      </c>
      <c r="CC210" s="1640" t="str">
        <f t="shared" si="871"/>
        <v>Q3</v>
      </c>
      <c r="CD210" s="1646" t="str">
        <f t="shared" si="871"/>
        <v>Q4</v>
      </c>
      <c r="CE210" s="1645" t="str">
        <f>CE205</f>
        <v>Q1</v>
      </c>
      <c r="CF210" s="1640" t="str">
        <f>CF205</f>
        <v>Q2</v>
      </c>
      <c r="CG210" s="1640" t="str">
        <f t="shared" ref="CG210:CK210" si="872">CG205</f>
        <v>Q3</v>
      </c>
      <c r="CH210" s="1646" t="str">
        <f t="shared" si="872"/>
        <v>Q4</v>
      </c>
      <c r="CI210" s="1645" t="str">
        <f>CI205</f>
        <v>Q1</v>
      </c>
      <c r="CJ210" s="1640" t="str">
        <f>CJ205</f>
        <v>Q2</v>
      </c>
      <c r="CK210" s="1640" t="str">
        <f t="shared" si="872"/>
        <v>Q3</v>
      </c>
      <c r="CL210" s="1646" t="str">
        <f t="shared" ref="CL210" si="873">CL205</f>
        <v>Q4</v>
      </c>
      <c r="CM210" s="1645" t="str">
        <f>CM205</f>
        <v>Q1</v>
      </c>
      <c r="CN210" s="1640" t="str">
        <f>CN205</f>
        <v>Q2</v>
      </c>
      <c r="CO210" s="1640" t="str">
        <f t="shared" ref="CO210:CP210" si="874">CO205</f>
        <v>Q3</v>
      </c>
      <c r="CP210" s="1646" t="str">
        <f t="shared" si="874"/>
        <v>Q4</v>
      </c>
      <c r="CQ210" s="1645" t="str">
        <f>CQ205</f>
        <v>Q1</v>
      </c>
      <c r="CR210" s="1640" t="str">
        <f>CR205</f>
        <v>Q2</v>
      </c>
      <c r="CS210" s="1640" t="str">
        <f t="shared" ref="CS210:CT210" si="875">CS205</f>
        <v>Q3</v>
      </c>
      <c r="CT210" s="1646" t="str">
        <f t="shared" si="875"/>
        <v>Q4</v>
      </c>
      <c r="CU210" s="1645" t="str">
        <f t="shared" ref="CU210:CX210" si="876">CU205</f>
        <v>Q1</v>
      </c>
      <c r="CV210" s="1640" t="str">
        <f>CV205</f>
        <v>Q2</v>
      </c>
      <c r="CW210" s="1640" t="str">
        <f t="shared" si="876"/>
        <v>Q3</v>
      </c>
      <c r="CX210" s="1646" t="str">
        <f t="shared" si="876"/>
        <v>Q4</v>
      </c>
      <c r="CY210" s="1645" t="str">
        <f t="shared" ref="CY210:DB210" si="877">CY205</f>
        <v>Q1</v>
      </c>
      <c r="CZ210" s="1640" t="str">
        <f t="shared" si="877"/>
        <v>Q2</v>
      </c>
      <c r="DA210" s="1640" t="str">
        <f t="shared" si="877"/>
        <v>Q3</v>
      </c>
      <c r="DB210" s="1646" t="str">
        <f t="shared" si="877"/>
        <v>Q4</v>
      </c>
      <c r="DC210" s="1645" t="str">
        <f t="shared" ref="DC210:DF210" si="878">DC205</f>
        <v>Q1</v>
      </c>
      <c r="DD210" s="1640" t="str">
        <f t="shared" si="878"/>
        <v>Q2</v>
      </c>
      <c r="DE210" s="1640" t="str">
        <f t="shared" si="878"/>
        <v>Q3</v>
      </c>
      <c r="DF210" s="1646" t="str">
        <f t="shared" si="878"/>
        <v>Q4</v>
      </c>
    </row>
    <row r="211" spans="1:110" s="736" customFormat="1" ht="12.75" customHeight="1">
      <c r="A211" s="701"/>
      <c r="B211" s="701"/>
      <c r="C211" s="899"/>
      <c r="D211" s="900"/>
      <c r="E211" s="901" t="s">
        <v>137</v>
      </c>
      <c r="F211" s="902"/>
      <c r="G211" s="742"/>
      <c r="H211" s="742"/>
      <c r="I211" s="742"/>
      <c r="J211" s="742"/>
      <c r="K211" s="1616">
        <f t="shared" ref="K211:AX211" si="879">(K201/G201-1)*100</f>
        <v>1.9070010551142325</v>
      </c>
      <c r="L211" s="1616">
        <f t="shared" si="879"/>
        <v>2.148801253531829</v>
      </c>
      <c r="M211" s="1616">
        <f t="shared" si="879"/>
        <v>2.7897282612829644</v>
      </c>
      <c r="N211" s="1616">
        <f t="shared" si="879"/>
        <v>3.2596121216450946</v>
      </c>
      <c r="O211" s="1616">
        <f t="shared" si="879"/>
        <v>3.7195284038209708</v>
      </c>
      <c r="P211" s="1616">
        <f t="shared" si="879"/>
        <v>5.4199972307126476</v>
      </c>
      <c r="Q211" s="1616">
        <f t="shared" si="879"/>
        <v>5.0207138342624802</v>
      </c>
      <c r="R211" s="1616">
        <f t="shared" si="879"/>
        <v>5.2961028390498432</v>
      </c>
      <c r="S211" s="1616">
        <f t="shared" si="879"/>
        <v>5.8499365544240067</v>
      </c>
      <c r="T211" s="1616">
        <f t="shared" si="879"/>
        <v>4.3689826170640433</v>
      </c>
      <c r="U211" s="1616">
        <f t="shared" si="879"/>
        <v>5.96280152208708</v>
      </c>
      <c r="V211" s="1616">
        <f t="shared" si="879"/>
        <v>5.858755103274027</v>
      </c>
      <c r="W211" s="1616">
        <f t="shared" si="879"/>
        <v>5.0712964350040579</v>
      </c>
      <c r="X211" s="1616">
        <f t="shared" si="879"/>
        <v>4.5222241808642094</v>
      </c>
      <c r="Y211" s="1616">
        <f t="shared" si="879"/>
        <v>4.781542791725335</v>
      </c>
      <c r="Z211" s="1616">
        <f t="shared" si="879"/>
        <v>4.1908260216092952</v>
      </c>
      <c r="AA211" s="1616">
        <f t="shared" si="879"/>
        <v>4.9529334385949753</v>
      </c>
      <c r="AB211" s="1616">
        <f t="shared" si="879"/>
        <v>7.0939787425170486</v>
      </c>
      <c r="AC211" s="1616">
        <f t="shared" si="879"/>
        <v>6.7433868185034829</v>
      </c>
      <c r="AD211" s="1616">
        <f t="shared" si="879"/>
        <v>6.125314330491749</v>
      </c>
      <c r="AE211" s="1616">
        <f t="shared" si="879"/>
        <v>3.7664111328592931</v>
      </c>
      <c r="AF211" s="1616">
        <f t="shared" si="879"/>
        <v>0.78801157525112409</v>
      </c>
      <c r="AG211" s="1616">
        <f t="shared" si="879"/>
        <v>-0.31901467324398913</v>
      </c>
      <c r="AH211" s="1616">
        <f t="shared" si="879"/>
        <v>0.12368776592768249</v>
      </c>
      <c r="AI211" s="1616">
        <f t="shared" si="879"/>
        <v>0.81449359785583653</v>
      </c>
      <c r="AJ211" s="1616">
        <f t="shared" si="879"/>
        <v>2.4274040226696103</v>
      </c>
      <c r="AK211" s="1616">
        <f t="shared" si="879"/>
        <v>0.83818663929828841</v>
      </c>
      <c r="AL211" s="1616">
        <f t="shared" si="879"/>
        <v>1.1558263622360787</v>
      </c>
      <c r="AM211" s="1616">
        <f t="shared" si="879"/>
        <v>2.9073218127503297</v>
      </c>
      <c r="AN211" s="1616">
        <f t="shared" si="879"/>
        <v>1.3210442787032095</v>
      </c>
      <c r="AO211" s="1616">
        <f t="shared" si="879"/>
        <v>3.4791092835397608</v>
      </c>
      <c r="AP211" s="1616">
        <f t="shared" si="879"/>
        <v>3.1955879185788127</v>
      </c>
      <c r="AQ211" s="1616">
        <f t="shared" si="879"/>
        <v>3.4347729159552198</v>
      </c>
      <c r="AR211" s="1616">
        <f t="shared" si="879"/>
        <v>5.3235581974818258</v>
      </c>
      <c r="AS211" s="1616">
        <f t="shared" si="879"/>
        <v>4.5874448368235843</v>
      </c>
      <c r="AT211" s="1616">
        <f t="shared" si="879"/>
        <v>4.5831401173059172</v>
      </c>
      <c r="AU211" s="1616">
        <f t="shared" si="879"/>
        <v>3.4940080467708912</v>
      </c>
      <c r="AV211" s="1616">
        <f t="shared" si="879"/>
        <v>3.2975201749338545</v>
      </c>
      <c r="AW211" s="1616">
        <f t="shared" si="879"/>
        <v>4.8607754408229731</v>
      </c>
      <c r="AX211" s="1616">
        <f t="shared" si="879"/>
        <v>4.0163786344107111</v>
      </c>
      <c r="AY211" s="1616">
        <f t="shared" ref="AY211:BE211" si="880">(AY201/AU201-1)*100</f>
        <v>5.9469350662523457</v>
      </c>
      <c r="AZ211" s="1616">
        <f t="shared" si="880"/>
        <v>5.5720251904435081</v>
      </c>
      <c r="BA211" s="1616">
        <f t="shared" si="880"/>
        <v>4.8239742513126016</v>
      </c>
      <c r="BB211" s="1616">
        <f t="shared" si="880"/>
        <v>6.837556802282152</v>
      </c>
      <c r="BC211" s="1616">
        <f t="shared" si="880"/>
        <v>4.5596062369562596</v>
      </c>
      <c r="BD211" s="1616">
        <f t="shared" si="880"/>
        <v>4.5328548560877868</v>
      </c>
      <c r="BE211" s="1616">
        <f t="shared" si="880"/>
        <v>4.1764811671989532</v>
      </c>
      <c r="BF211" s="1616">
        <f>(BF201/BB201-1)*100</f>
        <v>4.0664689545878874</v>
      </c>
      <c r="BG211" s="1616">
        <f>(BG201/BC201-1)*100</f>
        <v>4.371660742582395</v>
      </c>
      <c r="BH211" s="1616">
        <f>(BH201/BD201-1)*100</f>
        <v>2.222004080002371</v>
      </c>
      <c r="BI211" s="1616">
        <f>(BI201/BE201-1)*100</f>
        <v>0.68231063723933616</v>
      </c>
      <c r="BJ211" s="1616">
        <f>(BJ201/BF201-1)*100</f>
        <v>-3.8227680853711088</v>
      </c>
      <c r="BK211" s="1616">
        <f t="shared" ref="BK211:BR211" si="881">(BK201/BG201-1)*100</f>
        <v>-8.0809866654801272</v>
      </c>
      <c r="BL211" s="1616">
        <f t="shared" si="881"/>
        <v>-8.0820503118509297</v>
      </c>
      <c r="BM211" s="1616">
        <f t="shared" si="881"/>
        <v>-6.7329810397329322</v>
      </c>
      <c r="BN211" s="1616">
        <f t="shared" si="881"/>
        <v>-3.5520105614374908</v>
      </c>
      <c r="BO211" s="1616">
        <f t="shared" si="881"/>
        <v>2.3074241758272329</v>
      </c>
      <c r="BP211" s="1616">
        <f t="shared" si="881"/>
        <v>5.7741402450119717</v>
      </c>
      <c r="BQ211" s="1616">
        <f t="shared" si="881"/>
        <v>7.2146697449174901</v>
      </c>
      <c r="BR211" s="1616">
        <f t="shared" si="881"/>
        <v>8.3709976909414294</v>
      </c>
      <c r="BS211" s="1616">
        <f>(BS201/BO201-1)*100</f>
        <v>6.2740861619292376</v>
      </c>
      <c r="BT211" s="1616">
        <f>(BT201/BP201-1)*100</f>
        <v>5.1203242565763363</v>
      </c>
      <c r="BU211" s="1616">
        <f>(BU201/BQ201-1)*100</f>
        <v>3.7954460464870055</v>
      </c>
      <c r="BV211" s="1616">
        <f>(BV201/BR201-1)*100</f>
        <v>5.0035232913092642E-2</v>
      </c>
      <c r="BW211" s="1616">
        <f t="shared" ref="BW211:CD211" si="882">(BW201/BS201-1)*100</f>
        <v>2.2522497230772709</v>
      </c>
      <c r="BX211" s="1616">
        <f t="shared" si="882"/>
        <v>1.2017390648815462</v>
      </c>
      <c r="BY211" s="1616">
        <f t="shared" si="882"/>
        <v>-0.39153197247903115</v>
      </c>
      <c r="BZ211" s="1616">
        <f t="shared" si="882"/>
        <v>1.5084823403170189</v>
      </c>
      <c r="CA211" s="1616">
        <f>(CA201/BW201-1)*100</f>
        <v>-0.45962014767952919</v>
      </c>
      <c r="CB211" s="1616">
        <f>(CB201/BX201-1)*100</f>
        <v>1.119678864998086E-2</v>
      </c>
      <c r="CC211" s="1616">
        <f t="shared" si="882"/>
        <v>1.6317765048368793</v>
      </c>
      <c r="CD211" s="1616">
        <f t="shared" si="882"/>
        <v>1.4564880043762995</v>
      </c>
      <c r="CE211" s="1616">
        <f>(CE201/CA201-1)*100</f>
        <v>3.3307159979226952</v>
      </c>
      <c r="CF211" s="1616">
        <f>(CF201/CB201-1)*100</f>
        <v>3.5718151940991261</v>
      </c>
      <c r="CG211" s="1616">
        <f t="shared" ref="CG211:CL211" si="883">(CG201/CC201-1)*100</f>
        <v>3.24136725980253</v>
      </c>
      <c r="CH211" s="1616">
        <f t="shared" si="883"/>
        <v>4.7225762532904003</v>
      </c>
      <c r="CI211" s="1616">
        <f>(CI201/CE201-1)*100</f>
        <v>3.7239387187831818</v>
      </c>
      <c r="CJ211" s="1616">
        <f>(CJ201/CF201-1)*100</f>
        <v>3.5000927959313533</v>
      </c>
      <c r="CK211" s="1616">
        <f t="shared" si="883"/>
        <v>4.4993986363362382</v>
      </c>
      <c r="CL211" s="1616">
        <f t="shared" si="883"/>
        <v>4.7774379819887747</v>
      </c>
      <c r="CM211" s="1616">
        <f>(CM201/CI201-1)*100</f>
        <v>3.9764730035138696</v>
      </c>
      <c r="CN211" s="1616">
        <f>(CN201/CJ201-1)*100</f>
        <v>3.3090102768797536</v>
      </c>
      <c r="CO211" s="1616">
        <f t="shared" ref="CO211:CP211" si="884">(CO201/CK201-1)*100</f>
        <v>2.7416132677981153</v>
      </c>
      <c r="CP211" s="1616">
        <f t="shared" si="884"/>
        <v>1.9022799912060906</v>
      </c>
      <c r="CQ211" s="1616">
        <f>(CQ201/CM201-1)*100</f>
        <v>2.1986433589679999</v>
      </c>
      <c r="CR211" s="1616">
        <f>(CR201/CN201-1)*100</f>
        <v>3.5103622839529836</v>
      </c>
      <c r="CS211" s="1616">
        <f t="shared" ref="CS211" si="885">(CS201/CO201-1)*100</f>
        <v>3.3551901575440857</v>
      </c>
      <c r="CT211" s="1616">
        <f t="shared" ref="CT211" si="886">(CT201/CP201-1)*100</f>
        <v>3.4251767681436007</v>
      </c>
      <c r="CU211" s="1616">
        <f t="shared" ref="CU211" si="887">(CU201/CQ201-1)*100</f>
        <v>3.6412779681309404</v>
      </c>
      <c r="CV211" s="1616">
        <f>(CV201/CR201-1)*100</f>
        <v>2.5392519520457624</v>
      </c>
      <c r="CW211" s="1616">
        <f t="shared" ref="CW211" si="888">(CW201/CS201-1)*100</f>
        <v>2.1016266838829623</v>
      </c>
      <c r="CX211" s="1616">
        <f t="shared" ref="CX211" si="889">(CX201/CT201-1)*100</f>
        <v>1.652204611637087</v>
      </c>
      <c r="CY211" s="1616">
        <f t="shared" ref="CY211" si="890">(CY201/CU201-1)*100</f>
        <v>1.8062426524279473</v>
      </c>
      <c r="CZ211" s="1616">
        <f t="shared" ref="CZ211" si="891">(CZ201/CV201-1)*100</f>
        <v>2.0608575233611148</v>
      </c>
      <c r="DA211" s="1616">
        <f t="shared" ref="DA211" si="892">(DA201/CW201-1)*100</f>
        <v>2.1873465516561108</v>
      </c>
      <c r="DB211" s="1616">
        <f t="shared" ref="DB211" si="893">(DB201/CX201-1)*100</f>
        <v>2.2742956059344177</v>
      </c>
      <c r="DC211" s="1616">
        <f t="shared" ref="DC211" si="894">(DC201/CY201-1)*100</f>
        <v>2.2396928838908092</v>
      </c>
      <c r="DD211" s="1616">
        <f t="shared" ref="DD211" si="895">(DD201/CZ201-1)*100</f>
        <v>2.3050564386048134</v>
      </c>
      <c r="DE211" s="1616">
        <f t="shared" ref="DE211" si="896">(DE201/DA201-1)*100</f>
        <v>2.3945820427581754</v>
      </c>
      <c r="DF211" s="1616">
        <f t="shared" ref="DF211" si="897">(DF201/DB201-1)*100</f>
        <v>2.3587612338164421</v>
      </c>
    </row>
    <row r="212" spans="1:110" s="736" customFormat="1" ht="12.75" customHeight="1">
      <c r="A212" s="701"/>
      <c r="B212" s="701"/>
      <c r="C212" s="981"/>
      <c r="D212" s="711"/>
      <c r="E212" s="820" t="s">
        <v>156</v>
      </c>
      <c r="F212" s="741"/>
      <c r="G212" s="742"/>
      <c r="H212" s="742"/>
      <c r="I212" s="742"/>
      <c r="J212" s="742"/>
      <c r="K212" s="1616">
        <f>(4*K201/J202-1)*100</f>
        <v>1.0292363719548225</v>
      </c>
      <c r="L212" s="1616">
        <f>((K201+3*L201)/J202-1)*100</f>
        <v>1.8625698662945389</v>
      </c>
      <c r="M212" s="1616">
        <f>((K201+L201+2*M201)/J202-1)*100</f>
        <v>2.138554086898492</v>
      </c>
      <c r="N212" s="1674"/>
      <c r="O212" s="1616">
        <f>(4*O201/N202-1)*100</f>
        <v>2.2020185206413689</v>
      </c>
      <c r="P212" s="1616">
        <f>((O201+3*P201)/N202-1)*100</f>
        <v>4.3155387144846902</v>
      </c>
      <c r="Q212" s="1616">
        <f>((O201+P201+2*Q201)/N202-1)*100</f>
        <v>4.399344852332665</v>
      </c>
      <c r="R212" s="1674"/>
      <c r="S212" s="1616">
        <f>(4*S201/R202-1)*100</f>
        <v>3.1573932412089389</v>
      </c>
      <c r="T212" s="1616">
        <f>((S201+3*T201)/R202-1)*100</f>
        <v>4.1783618082740892</v>
      </c>
      <c r="U212" s="1616">
        <f>((S201+T201+2*U201)/R202-1)*100</f>
        <v>5.0610940561018225</v>
      </c>
      <c r="V212" s="1674"/>
      <c r="W212" s="1616">
        <f>(4*W201/V202-1)*100</f>
        <v>2.728744571765418</v>
      </c>
      <c r="X212" s="1616">
        <f>((W201+3*X201)/V202-1)*100</f>
        <v>3.3375345373113596</v>
      </c>
      <c r="Y212" s="1616">
        <f>((W201+X201+2*Y201)/V202-1)*100</f>
        <v>4.3426160327492358</v>
      </c>
      <c r="Z212" s="1674"/>
      <c r="AA212" s="1616">
        <f>(4*AA201/Z202-1)*100</f>
        <v>3.0390437664272962</v>
      </c>
      <c r="AB212" s="1616">
        <f>((AA201+3*AB201)/Z202-1)*100</f>
        <v>5.238630875399064</v>
      </c>
      <c r="AC212" s="1616">
        <f>((AA201+AB201+2*AC201)/Z202-1)*100</f>
        <v>6.0904871760399937</v>
      </c>
      <c r="AD212" s="1674"/>
      <c r="AE212" s="1616">
        <f>(4*AE201/AD202-1)*100</f>
        <v>0.64655745303507928</v>
      </c>
      <c r="AF212" s="1616">
        <f>((AE201+3*AF201)/AD202-1)*100</f>
        <v>0.56676524167722508</v>
      </c>
      <c r="AG212" s="1616">
        <f>((AE201+AF201+2*AG201)/AD202-1)*100</f>
        <v>0.8139300940252614</v>
      </c>
      <c r="AH212" s="1674"/>
      <c r="AI212" s="1616">
        <f>(4*AI201/AH202-1)*100</f>
        <v>0.40157647038610023</v>
      </c>
      <c r="AJ212" s="1616">
        <f>((AI201+3*AJ201)/AH202-1)*100</f>
        <v>1.5254331933025833</v>
      </c>
      <c r="AK212" s="1616">
        <f>((AI201+AJ201+2*AK201)/AH202-1)*100</f>
        <v>0.98153676047361138</v>
      </c>
      <c r="AL212" s="1674"/>
      <c r="AM212" s="1616">
        <f>(4*AM201/AL202-1)*100</f>
        <v>1.9868798702507684</v>
      </c>
      <c r="AN212" s="1616">
        <f>((AM201+3*AN201)/AL202-1)*100</f>
        <v>1.9318175554581929</v>
      </c>
      <c r="AO212" s="1616">
        <f>((AM201+AN201+2*AO201)/AL202-1)*100</f>
        <v>2.461604965839137</v>
      </c>
      <c r="AP212" s="1674"/>
      <c r="AQ212" s="1616">
        <f>(4*AQ201/AP202-1)*100</f>
        <v>2.6932285882759643</v>
      </c>
      <c r="AR212" s="1616">
        <f>((AQ201+3*AR201)/AP202-1)*100</f>
        <v>4.04320563656837</v>
      </c>
      <c r="AS212" s="1616">
        <f>((AQ201+AR201+2*AS201)/AP202-1)*100</f>
        <v>4.2174521453375968</v>
      </c>
      <c r="AT212" s="1674"/>
      <c r="AU212" s="1616">
        <f>(4*AU201/AT202-1)*100</f>
        <v>1.7213428696874367</v>
      </c>
      <c r="AV212" s="1616">
        <f>((AU201+3*AV201)/AT202-1)*100</f>
        <v>2.9111632480881111</v>
      </c>
      <c r="AW212" s="1616">
        <f>((AU201+AV201+2*AW201)/AT202-1)*100</f>
        <v>3.86774524863569</v>
      </c>
      <c r="AX212" s="1674"/>
      <c r="AY212" s="1616">
        <f>(4*AY201/AX202-1)*100</f>
        <v>3.7052792779420418</v>
      </c>
      <c r="AZ212" s="1616">
        <f>((AY201+3*AZ201)/AX202-1)*100</f>
        <v>4.6387799318927225</v>
      </c>
      <c r="BA212" s="1616">
        <f>((AY201+AZ201+2*BA201)/AX202-1)*100</f>
        <v>5.2318603959464971</v>
      </c>
      <c r="BB212" s="1674"/>
      <c r="BC212" s="1616">
        <f>(4*BC201/BB202-1)*100</f>
        <v>2.4939032160502306</v>
      </c>
      <c r="BD212" s="1616">
        <f>((BC201+3*BD201)/BB202-1)*100</f>
        <v>3.3965964960805506</v>
      </c>
      <c r="BE212" s="1616">
        <f>((BC201+BD201+2*BE201)/BB202-1)*100</f>
        <v>3.8038385616799841</v>
      </c>
      <c r="BF212" s="1674"/>
      <c r="BG212" s="1616">
        <f>(4*BG201/BF202-1)*100</f>
        <v>2.5342666749729403</v>
      </c>
      <c r="BH212" s="1616">
        <f>((BG201+3*BH201)/BF202-1)*100</f>
        <v>1.8348560659356083</v>
      </c>
      <c r="BI212" s="1616">
        <f>((BG201+BH201+2*BI201)/BF202-1)*100</f>
        <v>1.4626822885407176</v>
      </c>
      <c r="BJ212" s="1674"/>
      <c r="BK212" s="1616">
        <f>(4*BK201/BJ202-1)*100</f>
        <v>-6.5180895456694588</v>
      </c>
      <c r="BL212" s="1616">
        <f>((BK201+3*BL201)/BJ202-1)*100</f>
        <v>-7.1565558007567027</v>
      </c>
      <c r="BM212" s="1616">
        <f>((BK201+BL201+2*BM201)/BJ202-1)*100</f>
        <v>-6.821083362091807</v>
      </c>
      <c r="BN212" s="1674"/>
      <c r="BO212" s="1616">
        <f>(4*BO201/BN202-1)*100</f>
        <v>2.4413847494506147</v>
      </c>
      <c r="BP212" s="1616">
        <f>((BO201+3*BP201)/BN202-1)*100</f>
        <v>4.3214601520341844</v>
      </c>
      <c r="BQ212" s="1616">
        <f>((BO201+BP201+2*BQ201)/BN202-1)*100</f>
        <v>5.4213584591480179</v>
      </c>
      <c r="BR212" s="1674"/>
      <c r="BS212" s="1616">
        <f>(4*BS201/BR202-1)*100</f>
        <v>2.7837715293201448</v>
      </c>
      <c r="BT212" s="1616">
        <f>((BS201+3*BT201)/BR202-1)*100</f>
        <v>3.8127493968773685</v>
      </c>
      <c r="BU212" s="1616">
        <f>((BS201+BT201+2*BU201)/BR202-1)*100</f>
        <v>4.2342245187561911</v>
      </c>
      <c r="BV212" s="1674"/>
      <c r="BW212" s="1616">
        <f>(4*BW201/BV202-1)*100</f>
        <v>1.2920687112205398</v>
      </c>
      <c r="BX212" s="1616">
        <f>((BW201+3*BX201)/BV202-1)*100</f>
        <v>1.5152104768541896</v>
      </c>
      <c r="BY212" s="1616">
        <f>((BW201+BX201+2*BY201)/BV202-1)*100</f>
        <v>1.1201408372227606</v>
      </c>
      <c r="BZ212" s="1674"/>
      <c r="CA212" s="1616">
        <f>(4*CA201/BZ202-1)*100</f>
        <v>-0.30504314608770233</v>
      </c>
      <c r="CB212" s="1616">
        <f>((CA201+3*CB201)/BZ202-1)*100</f>
        <v>0.26928010793512147</v>
      </c>
      <c r="CC212" s="1616">
        <f>((CA201+CB201+2*CC201)/BZ202-1)*100</f>
        <v>0.68620184218763924</v>
      </c>
      <c r="CD212" s="1674"/>
      <c r="CE212" s="1616">
        <f>(4*CE201/CD202-1)*100</f>
        <v>2.3426640081526395</v>
      </c>
      <c r="CF212" s="1616">
        <f>((CE201+3*CF201)/CD202-1)*100</f>
        <v>3.1127111804821972</v>
      </c>
      <c r="CG212" s="1616">
        <f>((CE201+CF201+2*CG201)/CD202-1)*100</f>
        <v>3.3754344243941636</v>
      </c>
      <c r="CH212" s="1674"/>
      <c r="CI212" s="1616">
        <f>(4*CI201/CH202-1)*100</f>
        <v>2.3483618044656485</v>
      </c>
      <c r="CJ212" s="1616">
        <f>((CI201+3*CJ201)/CH202-1)*100</f>
        <v>2.951131947335095</v>
      </c>
      <c r="CK212" s="1616">
        <f>((CI201+CJ201+2*CK201)/CH202-1)*100</f>
        <v>3.7138068447834183</v>
      </c>
      <c r="CL212" s="1674"/>
      <c r="CM212" s="1616">
        <f>(4*CM201/CL202-1)*100</f>
        <v>2.1977901005588496</v>
      </c>
      <c r="CN212" s="1616">
        <f>((CM201+3*CN201)/CL202-1)*100</f>
        <v>2.3037762225206038</v>
      </c>
      <c r="CO212" s="1616">
        <f>((CM201+CN201+2*CO201)/CL202-1)*100</f>
        <v>2.7752496050748476</v>
      </c>
      <c r="CP212" s="1674"/>
      <c r="CQ212" s="1616">
        <f>(4*CQ201/CP202-1)*100</f>
        <v>1.4309616437497619</v>
      </c>
      <c r="CR212" s="1616">
        <f>((CQ201+3*CR201)/CP202-1)*100</f>
        <v>2.5139019374478266</v>
      </c>
      <c r="CS212" s="1616">
        <f>((CQ201+CR201+2*CS201)/CP202-1)*100</f>
        <v>2.9100234054949103</v>
      </c>
      <c r="CT212" s="1674"/>
      <c r="CU212" s="1616">
        <f>(4*CU201/CT202-1)*100</f>
        <v>1.9392896011642069</v>
      </c>
      <c r="CV212" s="1616">
        <f>((CU201+3*CV201)/CT202-1)*100</f>
        <v>2.2031379445041743</v>
      </c>
      <c r="CW212" s="1616">
        <f>((CU201+CV201+2*CW201)/CT202-1)*100</f>
        <v>2.3770474304369626</v>
      </c>
      <c r="CX212" s="1674"/>
      <c r="CY212" s="1616">
        <f>(4*CY201/CX202-1)*100</f>
        <v>1.2735552044419007</v>
      </c>
      <c r="CZ212" s="1616">
        <f>((CY201+3*CZ201)/CX202-1)*100</f>
        <v>1.7262979781075716</v>
      </c>
      <c r="DA212" s="1616">
        <f>((CY201+CZ201+2*DA201)/CX202-1)*100</f>
        <v>1.9628491933854963</v>
      </c>
      <c r="DB212" s="1674"/>
      <c r="DC212" s="1616">
        <f>(4*DC201/DB202-1)*100</f>
        <v>1.429145538131249</v>
      </c>
      <c r="DD212" s="1616">
        <f>((DC201+3*DD201)/DB202-1)*100</f>
        <v>1.9315077867574582</v>
      </c>
      <c r="DE212" s="1616">
        <f>((DC201+DD201+2*DE201)/DB202-1)*100</f>
        <v>2.2134539678983156</v>
      </c>
      <c r="DF212" s="1674"/>
    </row>
    <row r="213" spans="1:110" ht="12.75">
      <c r="C213" s="1607"/>
      <c r="D213" s="865"/>
      <c r="E213" s="1614" t="s">
        <v>155</v>
      </c>
      <c r="F213" s="865"/>
      <c r="G213" s="913"/>
      <c r="H213" s="913"/>
      <c r="I213" s="913"/>
      <c r="J213" s="913"/>
      <c r="K213" s="1673"/>
      <c r="L213" s="920">
        <f>(4*L201/(K201+3*L201)-1)*100</f>
        <v>0.2726986289578015</v>
      </c>
      <c r="M213" s="920">
        <f>(4*M201/(K201+L201+2*M201)-1)*100</f>
        <v>0.54216750667861469</v>
      </c>
      <c r="N213" s="920">
        <f>+(4*N201/N202-1)*100</f>
        <v>1.6835159382100784</v>
      </c>
      <c r="O213" s="1673"/>
      <c r="P213" s="920">
        <f>(4*P201/(O201+3*P201)-1)*100</f>
        <v>0.67536125486478138</v>
      </c>
      <c r="Q213" s="920">
        <f>(4*Q201/(O201+P201+2*Q201)-1)*100</f>
        <v>0.75509369358983669</v>
      </c>
      <c r="R213" s="920">
        <f>+(4*R201/R202-1)*100</f>
        <v>2.0970363975587603</v>
      </c>
      <c r="S213" s="1673"/>
      <c r="T213" s="920">
        <f>(4*T201/(S201+3*T201)-1)*100</f>
        <v>0.32667326475599445</v>
      </c>
      <c r="U213" s="920">
        <f>(4*U201/(S201+T201+2*U201)-1)*100</f>
        <v>1.1641370333179912</v>
      </c>
      <c r="V213" s="920">
        <f>+(4*V201/V202-1)*100</f>
        <v>2.4347823470637131</v>
      </c>
      <c r="W213" s="1673"/>
      <c r="X213" s="920">
        <f>(4*X201/(W201+3*X201)-1)*100</f>
        <v>0.19637587583631877</v>
      </c>
      <c r="Y213" s="920">
        <f>(4*Y201/(W201+X201+2*Y201)-1)*100</f>
        <v>1.1577354774908288</v>
      </c>
      <c r="Z213" s="920">
        <f>+(4*Z201/Z202-1)*100</f>
        <v>1.9981247811548419</v>
      </c>
      <c r="AA213" s="1673"/>
      <c r="AB213" s="920">
        <f>(4*AB201/(AA201+3*AB201)-1)*100</f>
        <v>0.69669825319058631</v>
      </c>
      <c r="AC213" s="920">
        <f>(4*AC201/(AA201+AB201+2*AC201)-1)*100</f>
        <v>1.4940566735275329</v>
      </c>
      <c r="AD213" s="920">
        <f>+(4*AD201/AD202-1)*100</f>
        <v>1.8946743320779502</v>
      </c>
      <c r="AE213" s="1673"/>
      <c r="AF213" s="920">
        <f>(4*AF201/(AE201+3*AF201)-1)*100</f>
        <v>-2.6447508500482275E-2</v>
      </c>
      <c r="AG213" s="920">
        <f>(4*AG201/(AE201+AF201+2*AG201)-1)*100</f>
        <v>0.21878667794852369</v>
      </c>
      <c r="AH213" s="920">
        <f>+(4*AH201/AH202-1)*100</f>
        <v>0.95014733297251741</v>
      </c>
      <c r="AI213" s="1673"/>
      <c r="AJ213" s="920">
        <f>(4*AJ201/(AI201+3*AJ201)-1)*100</f>
        <v>0.36899020851806075</v>
      </c>
      <c r="AK213" s="920">
        <f>(4*AK201/(AI201+AJ201+2*AK201)-1)*100</f>
        <v>-0.16763215397647135</v>
      </c>
      <c r="AL213" s="920">
        <f>+(4*AL201/AL202-1)*100</f>
        <v>0.7987988798384249</v>
      </c>
      <c r="AM213" s="1673"/>
      <c r="AN213" s="920">
        <f>(4*AN201/(AM201+3*AN201)-1)*100</f>
        <v>-1.8006256899005812E-2</v>
      </c>
      <c r="AO213" s="920">
        <f>(4*AO201/(AM201+AN201+2*AO201)-1)*100</f>
        <v>0.49914629545437794</v>
      </c>
      <c r="AP213" s="920">
        <f>+(4*AP201/AP202-1)*100</f>
        <v>1.2622152348156224</v>
      </c>
      <c r="AQ213" s="1673"/>
      <c r="AR213" s="920">
        <f>(4*AR201/(AQ201+3*AR201)-1)*100</f>
        <v>0.43250527189893084</v>
      </c>
      <c r="AS213" s="920">
        <f>(4*AS201/(AQ201+AR201+2*AS201)-1)*100</f>
        <v>0.59897727813331691</v>
      </c>
      <c r="AT213" s="920">
        <f>+(4*AT201/AT202-1)*100</f>
        <v>1.3594328679255252</v>
      </c>
      <c r="AU213" s="1673"/>
      <c r="AV213" s="920">
        <f>(4*AV201/(AU201+3*AV201)-1)*100</f>
        <v>0.38538753258878788</v>
      </c>
      <c r="AW213" s="920">
        <f>(4*AW201/(AU201+AV201+2*AW201)-1)*100</f>
        <v>1.3027998153888776</v>
      </c>
      <c r="AX213" s="920">
        <f>+(4*AX201/AX202-1)*100</f>
        <v>1.4533248666757537</v>
      </c>
      <c r="AY213" s="1673"/>
      <c r="AZ213" s="920">
        <f>(4*AZ201/(AY201+3*AZ201)-1)*100</f>
        <v>0.2973724319537574</v>
      </c>
      <c r="BA213" s="920">
        <f>(4*BA201/(AY201+AZ201+2*BA201)-1)*100</f>
        <v>0.85929047087225374</v>
      </c>
      <c r="BB213" s="920">
        <f>+(4*BB201/BB202-1)*100</f>
        <v>2.4527123145471563</v>
      </c>
      <c r="BC213" s="1673"/>
      <c r="BD213" s="920">
        <f>(4*BD201/(BC201+3*BD201)-1)*100</f>
        <v>0.29101321533493429</v>
      </c>
      <c r="BE213" s="920">
        <f>(4*BE201/(BC201+BD201+2*BE201)-1)*100</f>
        <v>0.68219040395967045</v>
      </c>
      <c r="BF213" s="920">
        <f>+(4*BF201/BF202-1)*100</f>
        <v>2.1933609567612811</v>
      </c>
      <c r="BG213" s="1673"/>
      <c r="BH213" s="920">
        <f>(4*BH201/(BG201+3*BH201)-1)*100</f>
        <v>-0.22893621956724397</v>
      </c>
      <c r="BI213" s="920">
        <f>(4*BI201/(BG201+BH201+2*BI201)-1)*100</f>
        <v>-0.59658451109402266</v>
      </c>
      <c r="BJ213" s="920">
        <f>+(4*BJ201/BJ202-1)*100</f>
        <v>-2.5126754640335758</v>
      </c>
      <c r="BK213" s="1673"/>
      <c r="BL213" s="920">
        <f>(4*BL201/(BK201+3*BL201)-1)*100</f>
        <v>-0.22922683110759845</v>
      </c>
      <c r="BM213" s="920">
        <f>(4*BM201/(BK201+BL201+2*BM201)-1)*100</f>
        <v>0.13162886848365751</v>
      </c>
      <c r="BN213" s="920">
        <f>+(4*BN201/BN202-1)*100</f>
        <v>0.71219027734048534</v>
      </c>
      <c r="BO213" s="1673"/>
      <c r="BP213" s="920">
        <f>(4*BP201/(BO201+3*BP201)-1)*100</f>
        <v>0.60073143143115626</v>
      </c>
      <c r="BQ213" s="920">
        <f>(4*BQ201/(BO201+BP201+2*BQ201)-1)*100</f>
        <v>1.6377991454588292</v>
      </c>
      <c r="BR213" s="920">
        <f>+(4*BR201/BR202-1)*100</f>
        <v>3.0426081208598799</v>
      </c>
      <c r="BS213" s="1673"/>
      <c r="BT213" s="920">
        <f>(4*BT201/(BS201+3*BT201)-1)*100</f>
        <v>0.33039547118418611</v>
      </c>
      <c r="BU213" s="920">
        <f>(4*BU201/(BS201+BT201+2*BU201)-1)*100</f>
        <v>0.73341337543153529</v>
      </c>
      <c r="BV213" s="920">
        <f>+(4*BV201/BV202-1)*100</f>
        <v>-0.63987987551598069</v>
      </c>
      <c r="BW213" s="1673"/>
      <c r="BX213" s="920">
        <f>(4*BX201/(BW201+3*BX201)-1)*100</f>
        <v>7.3270387949908589E-2</v>
      </c>
      <c r="BY213" s="920">
        <f>(4*BY201/(BW201+BX201+2*BY201)-1)*100</f>
        <v>-0.31713667369499543</v>
      </c>
      <c r="BZ213" s="920">
        <f>+(4*BZ201/BZ202-1)*100</f>
        <v>-0.27296717879510268</v>
      </c>
      <c r="CA213" s="1673"/>
      <c r="CB213" s="920">
        <f>(4*CB201/(CA201+3*CB201)-1)*100</f>
        <v>0.1909269563601157</v>
      </c>
      <c r="CC213" s="920">
        <f>(4*CC201/(CA201+CB201+2*CC201)-1)*100</f>
        <v>0.60421667298595771</v>
      </c>
      <c r="CD213" s="920">
        <f>+(4*CD201/CD202-1)*100</f>
        <v>0.51868804289885162</v>
      </c>
      <c r="CE213" s="1673"/>
      <c r="CF213" s="920">
        <f>(4*CF201/(CE201+3*CF201)-1)*100</f>
        <v>0.24893380053525593</v>
      </c>
      <c r="CG213" s="920">
        <f>(4*CG201/(CE201+CF201+2*CG201)-1)*100</f>
        <v>0.50244590272396916</v>
      </c>
      <c r="CH213" s="920">
        <f>+(4*CH201/CH202-1)*100</f>
        <v>1.4921160638300401</v>
      </c>
      <c r="CI213" s="1673"/>
      <c r="CJ213" s="920">
        <f>(4*CJ201/(CI201+3*CJ201)-1)*100</f>
        <v>0.1951638385668808</v>
      </c>
      <c r="CK213" s="920">
        <f>(4*CK201/(CI201+CJ201+2*CK201)-1)*100</f>
        <v>0.929093538960446</v>
      </c>
      <c r="CL213" s="920">
        <f>+(4*CL201/CL202-1)*100</f>
        <v>2.1234810018553985</v>
      </c>
      <c r="CM213" s="1673"/>
      <c r="CN213" s="920">
        <f>(4*CN201/(CM201+3*CN201)-1)*100</f>
        <v>3.453314102868088E-2</v>
      </c>
      <c r="CO213" s="920">
        <f>(4*CO201/(CM201+CN201+2*CO201)-1)*100</f>
        <v>0.49311686599862181</v>
      </c>
      <c r="CP213" s="920">
        <f>+(4*CP201/CP202-1)*100</f>
        <v>1.0632867982639294</v>
      </c>
      <c r="CQ213" s="1673"/>
      <c r="CR213" s="920">
        <f>(4*CR201/(CQ201+3*CR201)-1)*100</f>
        <v>0.35212794662680125</v>
      </c>
      <c r="CS213" s="920">
        <f>(4*CS201/(CQ201+CR201+2*CS201)-1)*100</f>
        <v>0.73569273516074229</v>
      </c>
      <c r="CT213" s="920">
        <f>+(4*CT201/CT202-1)*100</f>
        <v>1.3579902012079481</v>
      </c>
      <c r="CU213" s="1673"/>
      <c r="CV213" s="920">
        <f>(4*CV201/(CU201+3*CV201)-1)*100</f>
        <v>8.6053568949862047E-2</v>
      </c>
      <c r="CW213" s="920">
        <f>(4*CW201/(CU201+CV201+2*CW201)-1)*100</f>
        <v>0.2557789468295546</v>
      </c>
      <c r="CX213" s="920">
        <f>+(4*CX201/CX202-1)*100</f>
        <v>0.54369382768411079</v>
      </c>
      <c r="CY213" s="1673"/>
      <c r="CZ213" s="920">
        <f>(4*CZ201/(CY201+3*CZ201)-1)*100</f>
        <v>0.14835323892454788</v>
      </c>
      <c r="DA213" s="920">
        <f>(4*DA201/(CY201+CZ201+2*DA201)-1)*100</f>
        <v>0.3800065182874679</v>
      </c>
      <c r="DB213" s="920">
        <f>+(4*DB201/DB202-1)*100</f>
        <v>0.73224384392127639</v>
      </c>
      <c r="DC213" s="1673"/>
      <c r="DD213" s="920">
        <f>(4*DD201/(DC201+3*DD201)-1)*100</f>
        <v>0.16428098289855697</v>
      </c>
      <c r="DE213" s="920">
        <f>(4*DE201/(DC201+DD201+2*DE201)-1)*100</f>
        <v>0.43966840623290704</v>
      </c>
      <c r="DF213" s="920">
        <f>+(4*DF201/DF202-1)*100</f>
        <v>0.76566701077331878</v>
      </c>
    </row>
    <row r="214" spans="1:110" s="921" customFormat="1" ht="30" customHeight="1">
      <c r="A214" s="701"/>
      <c r="B214" s="701"/>
      <c r="C214" s="703"/>
      <c r="D214" s="1081"/>
      <c r="E214" s="1608"/>
      <c r="F214" s="1081"/>
      <c r="G214" s="1084"/>
      <c r="H214" s="1609"/>
      <c r="I214" s="1609"/>
      <c r="J214" s="1609"/>
      <c r="K214" s="1084"/>
      <c r="L214" s="1609"/>
      <c r="M214" s="1609"/>
      <c r="N214" s="1609"/>
      <c r="O214" s="1084"/>
      <c r="P214" s="1609"/>
      <c r="Q214" s="1609"/>
      <c r="R214" s="1609"/>
      <c r="S214" s="1084"/>
      <c r="T214" s="1609"/>
      <c r="U214" s="1609"/>
      <c r="V214" s="1609"/>
      <c r="W214" s="1084"/>
      <c r="X214" s="1609"/>
      <c r="Y214" s="1609"/>
      <c r="Z214" s="1609"/>
      <c r="AA214" s="1084"/>
      <c r="AB214" s="1609"/>
      <c r="AC214" s="1609"/>
      <c r="AD214" s="1609"/>
      <c r="AE214" s="1084"/>
      <c r="AF214" s="1609"/>
      <c r="AG214" s="1609"/>
      <c r="AH214" s="1609"/>
      <c r="AI214" s="1084"/>
      <c r="AJ214" s="1609"/>
      <c r="AK214" s="1609"/>
      <c r="AL214" s="1609"/>
      <c r="AM214" s="1084"/>
      <c r="AN214" s="1609"/>
      <c r="AO214" s="1609"/>
      <c r="AP214" s="1609"/>
      <c r="AQ214" s="1084"/>
      <c r="AR214" s="1609"/>
      <c r="AS214" s="1609"/>
      <c r="AT214" s="1609"/>
      <c r="AU214" s="1084"/>
      <c r="AV214" s="1609"/>
      <c r="AW214" s="1609"/>
      <c r="AX214" s="1609"/>
      <c r="AY214" s="1610"/>
      <c r="AZ214" s="1609"/>
      <c r="BA214" s="1610"/>
      <c r="BB214" s="1610"/>
      <c r="BC214" s="1610"/>
      <c r="BD214" s="1610"/>
      <c r="BE214" s="1610"/>
      <c r="BF214" s="1610"/>
      <c r="BG214" s="1610"/>
      <c r="BH214" s="1610"/>
      <c r="BI214" s="1610"/>
      <c r="BJ214" s="1610"/>
      <c r="BK214" s="1610"/>
      <c r="BL214" s="1610"/>
      <c r="BM214" s="1610"/>
      <c r="BN214" s="1610"/>
      <c r="BO214" s="1610"/>
      <c r="BP214" s="1610"/>
      <c r="BQ214" s="1610"/>
      <c r="BR214" s="1610"/>
      <c r="BS214" s="1610"/>
      <c r="BT214" s="1610"/>
      <c r="BU214" s="1610"/>
      <c r="BV214" s="1610"/>
      <c r="BW214" s="1610"/>
      <c r="BX214" s="1610"/>
      <c r="BY214" s="1610"/>
      <c r="BZ214" s="1610"/>
      <c r="CA214" s="1610"/>
      <c r="CB214" s="1610"/>
      <c r="CC214" s="1610"/>
      <c r="CD214" s="1610"/>
      <c r="CE214" s="1610"/>
      <c r="CF214" s="1610"/>
      <c r="CG214" s="1610"/>
      <c r="CH214" s="1610"/>
      <c r="CI214" s="1610"/>
      <c r="CJ214" s="1610"/>
      <c r="CK214" s="1610"/>
      <c r="CL214" s="1610"/>
      <c r="CM214" s="1610"/>
      <c r="CN214" s="1610"/>
      <c r="CO214" s="1610"/>
      <c r="CP214" s="1610"/>
      <c r="CQ214" s="1610"/>
      <c r="CR214" s="1610"/>
      <c r="CS214" s="1610"/>
      <c r="CT214" s="1610"/>
      <c r="CU214" s="1610"/>
      <c r="CV214" s="1610"/>
      <c r="CW214" s="1610"/>
      <c r="CX214" s="1610"/>
      <c r="CY214" s="1610"/>
      <c r="CZ214" s="1610"/>
      <c r="DA214" s="1610"/>
      <c r="DB214" s="1610"/>
      <c r="DC214" s="1610"/>
      <c r="DD214" s="1610"/>
      <c r="DE214" s="1610"/>
      <c r="DF214" s="1610"/>
    </row>
    <row r="215" spans="1:110" s="921" customFormat="1" ht="30" customHeight="1">
      <c r="A215" s="701"/>
      <c r="B215" s="701"/>
      <c r="C215" s="703"/>
      <c r="D215" s="1081"/>
      <c r="E215" s="1608"/>
      <c r="F215" s="1081"/>
      <c r="G215" s="1084"/>
      <c r="H215" s="1609"/>
      <c r="I215" s="1609"/>
      <c r="J215" s="1609"/>
      <c r="K215" s="1084"/>
      <c r="L215" s="1609"/>
      <c r="M215" s="1609"/>
      <c r="N215" s="1609"/>
      <c r="O215" s="1084"/>
      <c r="P215" s="1609"/>
      <c r="Q215" s="1609"/>
      <c r="R215" s="1609"/>
      <c r="S215" s="1084"/>
      <c r="T215" s="1609"/>
      <c r="U215" s="1609"/>
      <c r="V215" s="1609"/>
      <c r="W215" s="1084"/>
      <c r="X215" s="1609"/>
      <c r="Y215" s="1609"/>
      <c r="Z215" s="1609"/>
      <c r="AA215" s="1084"/>
      <c r="AB215" s="1609"/>
      <c r="AC215" s="1609"/>
      <c r="AD215" s="1609"/>
      <c r="AE215" s="1084"/>
      <c r="AF215" s="1609"/>
      <c r="AG215" s="1609"/>
      <c r="AH215" s="1609"/>
      <c r="AI215" s="1084"/>
      <c r="AJ215" s="1609"/>
      <c r="AK215" s="1609"/>
      <c r="AL215" s="1609"/>
      <c r="AM215" s="1084"/>
      <c r="AN215" s="1609"/>
      <c r="AO215" s="1609"/>
      <c r="AP215" s="1609"/>
      <c r="AQ215" s="1084"/>
      <c r="AR215" s="1609"/>
      <c r="AS215" s="1609"/>
      <c r="AT215" s="1609"/>
      <c r="AU215" s="1084"/>
      <c r="AV215" s="1609"/>
      <c r="AW215" s="1609"/>
      <c r="AX215" s="1609"/>
      <c r="AY215" s="1610"/>
      <c r="AZ215" s="1609"/>
      <c r="BA215" s="1610"/>
      <c r="BB215" s="1610"/>
      <c r="BC215" s="1610"/>
      <c r="BD215" s="1610"/>
      <c r="BE215" s="1610"/>
      <c r="BF215" s="1610"/>
      <c r="BG215" s="1610"/>
      <c r="BH215" s="1610"/>
      <c r="BI215" s="1610"/>
      <c r="BJ215" s="1610"/>
      <c r="BK215" s="1610"/>
      <c r="BL215" s="1610"/>
      <c r="BM215" s="1610"/>
      <c r="BN215" s="1610"/>
      <c r="BO215" s="1610"/>
      <c r="BP215" s="1610"/>
      <c r="BQ215" s="1610"/>
      <c r="BR215" s="1610"/>
      <c r="BS215" s="1610"/>
      <c r="BT215" s="1610"/>
      <c r="BU215" s="1610"/>
      <c r="BV215" s="1610"/>
      <c r="BW215" s="1610"/>
      <c r="BX215" s="1610"/>
      <c r="BY215" s="1610"/>
      <c r="BZ215" s="1610"/>
      <c r="CA215" s="1610"/>
      <c r="CB215" s="1610"/>
      <c r="CC215" s="1610"/>
      <c r="CD215" s="1610"/>
      <c r="CE215" s="1610"/>
      <c r="CF215" s="1610"/>
      <c r="CG215" s="1610"/>
      <c r="CH215" s="1610"/>
      <c r="CI215" s="1610"/>
      <c r="CJ215" s="1610"/>
      <c r="CK215" s="1610"/>
      <c r="CL215" s="1610"/>
      <c r="CM215" s="1610"/>
      <c r="CN215" s="1610"/>
      <c r="CO215" s="1610"/>
      <c r="CP215" s="3410">
        <f ca="1">CP208-CP207</f>
        <v>0.181480369692963</v>
      </c>
      <c r="CQ215" s="1610"/>
      <c r="CR215" s="1610"/>
      <c r="CS215" s="1610"/>
      <c r="CT215" s="3410">
        <f ca="1">CT208-CT207</f>
        <v>-0.25717505507483907</v>
      </c>
      <c r="CU215" s="1610"/>
      <c r="CV215" s="1610"/>
      <c r="CW215" s="1610"/>
      <c r="CX215" s="3410">
        <f ca="1">CX208-CX207</f>
        <v>0.29393549993339718</v>
      </c>
      <c r="CY215" s="1610"/>
      <c r="CZ215" s="1610"/>
      <c r="DA215" s="1610"/>
      <c r="DB215" s="3410">
        <f ca="1">DB208-DB207</f>
        <v>0.11517290552988868</v>
      </c>
      <c r="DC215" s="1610"/>
      <c r="DD215" s="1610"/>
      <c r="DE215" s="1610"/>
      <c r="DF215" s="3410">
        <f ca="1">DF208-DF207</f>
        <v>-0.13563242258474872</v>
      </c>
    </row>
    <row r="216" spans="1:110" ht="30" customHeight="1">
      <c r="C216" s="3816" t="s">
        <v>1398</v>
      </c>
      <c r="D216" s="3816"/>
      <c r="E216" s="3816"/>
      <c r="F216" s="3816"/>
      <c r="CA216" s="2016"/>
      <c r="CB216" s="2016"/>
      <c r="CC216" s="2016"/>
      <c r="CD216" s="2016"/>
      <c r="CE216" s="2016"/>
      <c r="CF216" s="2016"/>
      <c r="CH216" s="2016"/>
      <c r="CI216" s="2016"/>
      <c r="CJ216" s="2016"/>
    </row>
    <row r="217" spans="1:110">
      <c r="A217" s="701"/>
    </row>
    <row r="218" spans="1:110">
      <c r="A218" s="701"/>
      <c r="G218" s="3820">
        <f ca="1">OFFSET(InputY!$G$3,0,(COLUMN()-7)/4)</f>
        <v>1995</v>
      </c>
      <c r="H218" s="3821"/>
      <c r="I218" s="3821"/>
      <c r="J218" s="3821"/>
      <c r="K218" s="3820">
        <f ca="1">OFFSET(InputY!$G$3,0,(COLUMN()-7)/4)</f>
        <v>1996</v>
      </c>
      <c r="L218" s="3821"/>
      <c r="M218" s="3821"/>
      <c r="N218" s="3821"/>
      <c r="O218" s="3820">
        <f ca="1">OFFSET(InputY!$G$3,0,(COLUMN()-7)/4)</f>
        <v>1997</v>
      </c>
      <c r="P218" s="3821"/>
      <c r="Q218" s="3821"/>
      <c r="R218" s="3821"/>
      <c r="S218" s="3820">
        <f ca="1">OFFSET(InputY!$G$3,0,(COLUMN()-7)/4)</f>
        <v>1998</v>
      </c>
      <c r="T218" s="3821"/>
      <c r="U218" s="3821"/>
      <c r="V218" s="3821"/>
      <c r="W218" s="3820">
        <f ca="1">OFFSET(InputY!$G$3,0,(COLUMN()-7)/4)</f>
        <v>1999</v>
      </c>
      <c r="X218" s="3821"/>
      <c r="Y218" s="3821"/>
      <c r="Z218" s="3821"/>
      <c r="AA218" s="3820">
        <f ca="1">OFFSET(InputY!$G$3,0,(COLUMN()-7)/4)</f>
        <v>2000</v>
      </c>
      <c r="AB218" s="3821"/>
      <c r="AC218" s="3821"/>
      <c r="AD218" s="3821"/>
      <c r="AE218" s="3820">
        <f ca="1">OFFSET(InputY!$G$3,0,(COLUMN()-7)/4)</f>
        <v>2001</v>
      </c>
      <c r="AF218" s="3821"/>
      <c r="AG218" s="3821"/>
      <c r="AH218" s="3821"/>
      <c r="AI218" s="3820">
        <f ca="1">OFFSET(InputY!$G$3,0,(COLUMN()-7)/4)</f>
        <v>2002</v>
      </c>
      <c r="AJ218" s="3821"/>
      <c r="AK218" s="3821"/>
      <c r="AL218" s="3821"/>
      <c r="AM218" s="3820">
        <f ca="1">OFFSET(InputY!$G$3,0,(COLUMN()-7)/4)</f>
        <v>2003</v>
      </c>
      <c r="AN218" s="3821"/>
      <c r="AO218" s="3821"/>
      <c r="AP218" s="3821"/>
      <c r="AQ218" s="3820">
        <f ca="1">OFFSET(InputY!$G$3,0,(COLUMN()-7)/4)</f>
        <v>2004</v>
      </c>
      <c r="AR218" s="3821"/>
      <c r="AS218" s="3821"/>
      <c r="AT218" s="3821"/>
      <c r="AU218" s="3820">
        <f ca="1">OFFSET(InputY!$G$3,0,(COLUMN()-7)/4)</f>
        <v>2005</v>
      </c>
      <c r="AV218" s="3821"/>
      <c r="AW218" s="3821"/>
      <c r="AX218" s="3821"/>
      <c r="AY218" s="3820">
        <f ca="1">OFFSET(InputY!$G$3,0,(COLUMN()-7)/4)</f>
        <v>2006</v>
      </c>
      <c r="AZ218" s="3821"/>
      <c r="BA218" s="3821"/>
      <c r="BB218" s="3821"/>
      <c r="BC218" s="3820">
        <f ca="1">OFFSET(InputY!$G$3,0,(COLUMN()-7)/4)</f>
        <v>2007</v>
      </c>
      <c r="BD218" s="3821"/>
      <c r="BE218" s="3821"/>
      <c r="BF218" s="3821"/>
      <c r="BG218" s="3820">
        <f ca="1">OFFSET(InputY!$G$3,0,(COLUMN()-7)/4)</f>
        <v>2008</v>
      </c>
      <c r="BH218" s="3821"/>
      <c r="BI218" s="3821"/>
      <c r="BJ218" s="3821"/>
      <c r="BK218" s="3820">
        <f ca="1">OFFSET(InputY!$G$3,0,(COLUMN()-7)/4)</f>
        <v>2009</v>
      </c>
      <c r="BL218" s="3821"/>
      <c r="BM218" s="3821"/>
      <c r="BN218" s="3821"/>
      <c r="BO218" s="3820">
        <f ca="1">OFFSET(InputY!$G$3,0,(COLUMN()-7)/4)</f>
        <v>2010</v>
      </c>
      <c r="BP218" s="3821"/>
      <c r="BQ218" s="3821"/>
      <c r="BR218" s="3821"/>
      <c r="BS218" s="3820">
        <f ca="1">OFFSET(InputY!$G$3,0,(COLUMN()-7)/4)</f>
        <v>2011</v>
      </c>
      <c r="BT218" s="3821"/>
      <c r="BU218" s="3821"/>
      <c r="BV218" s="3821"/>
      <c r="BW218" s="3817">
        <f ca="1">OFFSET(InputY!$G$3,0,(COLUMN()-7)/4)</f>
        <v>2012</v>
      </c>
      <c r="BX218" s="3818"/>
      <c r="BY218" s="3818"/>
      <c r="BZ218" s="3819"/>
      <c r="CA218" s="3817">
        <f ca="1">OFFSET(InputY!$G$3,0,(COLUMN()-7)/4)</f>
        <v>2013</v>
      </c>
      <c r="CB218" s="3818"/>
      <c r="CC218" s="3818"/>
      <c r="CD218" s="3819"/>
      <c r="CE218" s="3817">
        <f ca="1">OFFSET(InputY!$G$3,0,(COLUMN()-7)/4)</f>
        <v>2014</v>
      </c>
      <c r="CF218" s="3818"/>
      <c r="CG218" s="3818"/>
      <c r="CH218" s="3819"/>
      <c r="CI218" s="3817">
        <f ca="1">OFFSET(InputY!$G$3,0,(COLUMN()-7)/4)</f>
        <v>2015</v>
      </c>
      <c r="CJ218" s="3818"/>
      <c r="CK218" s="3818"/>
      <c r="CL218" s="3819"/>
      <c r="CM218" s="3817">
        <f ca="1">OFFSET(InputY!$G$3,0,(COLUMN()-7)/4)</f>
        <v>2016</v>
      </c>
      <c r="CN218" s="3818"/>
      <c r="CO218" s="3818"/>
      <c r="CP218" s="3819"/>
      <c r="CQ218" s="3817">
        <f ca="1">OFFSET(InputY!$G$3,0,(COLUMN()-7)/4)</f>
        <v>2017</v>
      </c>
      <c r="CR218" s="3818"/>
      <c r="CS218" s="3818"/>
      <c r="CT218" s="3819"/>
      <c r="CU218" s="3817">
        <f ca="1">OFFSET(InputY!$G$3,0,(COLUMN()-7)/4)</f>
        <v>2018</v>
      </c>
      <c r="CV218" s="3818"/>
      <c r="CW218" s="3818"/>
      <c r="CX218" s="3819"/>
      <c r="CY218" s="3817">
        <f ca="1">OFFSET(InputY!$G$3,0,(COLUMN()-7)/4)</f>
        <v>2019</v>
      </c>
      <c r="CZ218" s="3818"/>
      <c r="DA218" s="3818"/>
      <c r="DB218" s="3819"/>
      <c r="DC218" s="3817">
        <f ca="1">OFFSET(InputY!$G$3,0,(COLUMN()-7)/4)</f>
        <v>2020</v>
      </c>
      <c r="DD218" s="3818"/>
      <c r="DE218" s="3818"/>
      <c r="DF218" s="3819"/>
    </row>
    <row r="219" spans="1:110" s="736" customFormat="1" ht="12.75" customHeight="1">
      <c r="A219" s="701"/>
      <c r="B219" s="701"/>
      <c r="C219" s="703"/>
      <c r="D219" s="732"/>
      <c r="E219" s="733" t="s">
        <v>214</v>
      </c>
      <c r="F219" s="734"/>
      <c r="G219" s="1618" t="s">
        <v>131</v>
      </c>
      <c r="H219" s="1619" t="s">
        <v>132</v>
      </c>
      <c r="I219" s="1619" t="s">
        <v>133</v>
      </c>
      <c r="J219" s="1620" t="s">
        <v>134</v>
      </c>
      <c r="K219" s="1618" t="s">
        <v>131</v>
      </c>
      <c r="L219" s="1619" t="s">
        <v>132</v>
      </c>
      <c r="M219" s="1619" t="s">
        <v>133</v>
      </c>
      <c r="N219" s="1620" t="s">
        <v>134</v>
      </c>
      <c r="O219" s="1618" t="s">
        <v>131</v>
      </c>
      <c r="P219" s="1619" t="s">
        <v>132</v>
      </c>
      <c r="Q219" s="1619" t="s">
        <v>133</v>
      </c>
      <c r="R219" s="1620" t="s">
        <v>134</v>
      </c>
      <c r="S219" s="1618" t="s">
        <v>131</v>
      </c>
      <c r="T219" s="1619" t="s">
        <v>132</v>
      </c>
      <c r="U219" s="1619" t="s">
        <v>133</v>
      </c>
      <c r="V219" s="1620" t="s">
        <v>134</v>
      </c>
      <c r="W219" s="1618" t="s">
        <v>131</v>
      </c>
      <c r="X219" s="1619" t="s">
        <v>132</v>
      </c>
      <c r="Y219" s="1619" t="s">
        <v>133</v>
      </c>
      <c r="Z219" s="1620" t="s">
        <v>134</v>
      </c>
      <c r="AA219" s="1618" t="s">
        <v>131</v>
      </c>
      <c r="AB219" s="1619" t="s">
        <v>132</v>
      </c>
      <c r="AC219" s="1619" t="s">
        <v>133</v>
      </c>
      <c r="AD219" s="1620" t="s">
        <v>134</v>
      </c>
      <c r="AE219" s="1618" t="s">
        <v>131</v>
      </c>
      <c r="AF219" s="1619" t="s">
        <v>132</v>
      </c>
      <c r="AG219" s="1619" t="s">
        <v>133</v>
      </c>
      <c r="AH219" s="1620" t="s">
        <v>134</v>
      </c>
      <c r="AI219" s="1618" t="s">
        <v>131</v>
      </c>
      <c r="AJ219" s="1619" t="s">
        <v>132</v>
      </c>
      <c r="AK219" s="1619" t="s">
        <v>133</v>
      </c>
      <c r="AL219" s="1620" t="s">
        <v>134</v>
      </c>
      <c r="AM219" s="1618" t="s">
        <v>131</v>
      </c>
      <c r="AN219" s="1619" t="s">
        <v>132</v>
      </c>
      <c r="AO219" s="1619" t="s">
        <v>133</v>
      </c>
      <c r="AP219" s="1620" t="s">
        <v>134</v>
      </c>
      <c r="AQ219" s="1618" t="s">
        <v>131</v>
      </c>
      <c r="AR219" s="1619" t="s">
        <v>132</v>
      </c>
      <c r="AS219" s="1619" t="s">
        <v>133</v>
      </c>
      <c r="AT219" s="1620" t="s">
        <v>134</v>
      </c>
      <c r="AU219" s="1618" t="s">
        <v>131</v>
      </c>
      <c r="AV219" s="1619" t="s">
        <v>132</v>
      </c>
      <c r="AW219" s="1619" t="s">
        <v>133</v>
      </c>
      <c r="AX219" s="1620" t="s">
        <v>134</v>
      </c>
      <c r="AY219" s="1618" t="s">
        <v>131</v>
      </c>
      <c r="AZ219" s="1619" t="s">
        <v>132</v>
      </c>
      <c r="BA219" s="1619" t="s">
        <v>133</v>
      </c>
      <c r="BB219" s="1620" t="s">
        <v>134</v>
      </c>
      <c r="BC219" s="1618" t="s">
        <v>131</v>
      </c>
      <c r="BD219" s="1619" t="s">
        <v>132</v>
      </c>
      <c r="BE219" s="1619" t="s">
        <v>133</v>
      </c>
      <c r="BF219" s="1620" t="s">
        <v>134</v>
      </c>
      <c r="BG219" s="1618" t="s">
        <v>131</v>
      </c>
      <c r="BH219" s="1619" t="s">
        <v>132</v>
      </c>
      <c r="BI219" s="1619" t="s">
        <v>133</v>
      </c>
      <c r="BJ219" s="1620" t="s">
        <v>134</v>
      </c>
      <c r="BK219" s="1618" t="s">
        <v>131</v>
      </c>
      <c r="BL219" s="1619" t="s">
        <v>132</v>
      </c>
      <c r="BM219" s="1619" t="s">
        <v>133</v>
      </c>
      <c r="BN219" s="1620" t="s">
        <v>134</v>
      </c>
      <c r="BO219" s="1618" t="s">
        <v>131</v>
      </c>
      <c r="BP219" s="1619" t="s">
        <v>132</v>
      </c>
      <c r="BQ219" s="1619" t="s">
        <v>133</v>
      </c>
      <c r="BR219" s="1620" t="s">
        <v>134</v>
      </c>
      <c r="BS219" s="1618" t="s">
        <v>131</v>
      </c>
      <c r="BT219" s="1619" t="s">
        <v>132</v>
      </c>
      <c r="BU219" s="1619" t="s">
        <v>133</v>
      </c>
      <c r="BV219" s="1620" t="s">
        <v>134</v>
      </c>
      <c r="BW219" s="1618" t="s">
        <v>131</v>
      </c>
      <c r="BX219" s="1619" t="s">
        <v>132</v>
      </c>
      <c r="BY219" s="1619" t="s">
        <v>133</v>
      </c>
      <c r="BZ219" s="1620" t="s">
        <v>134</v>
      </c>
      <c r="CA219" s="1618" t="s">
        <v>131</v>
      </c>
      <c r="CB219" s="1619" t="s">
        <v>132</v>
      </c>
      <c r="CC219" s="1619" t="s">
        <v>133</v>
      </c>
      <c r="CD219" s="1620" t="s">
        <v>134</v>
      </c>
      <c r="CE219" s="1618" t="s">
        <v>131</v>
      </c>
      <c r="CF219" s="1619" t="s">
        <v>132</v>
      </c>
      <c r="CG219" s="1619" t="s">
        <v>133</v>
      </c>
      <c r="CH219" s="1620" t="s">
        <v>134</v>
      </c>
      <c r="CI219" s="1618" t="s">
        <v>131</v>
      </c>
      <c r="CJ219" s="1619" t="s">
        <v>132</v>
      </c>
      <c r="CK219" s="1619" t="s">
        <v>133</v>
      </c>
      <c r="CL219" s="1620" t="s">
        <v>134</v>
      </c>
      <c r="CM219" s="1618" t="s">
        <v>131</v>
      </c>
      <c r="CN219" s="1619" t="s">
        <v>132</v>
      </c>
      <c r="CO219" s="1619" t="s">
        <v>133</v>
      </c>
      <c r="CP219" s="1620" t="s">
        <v>134</v>
      </c>
      <c r="CQ219" s="1618" t="s">
        <v>131</v>
      </c>
      <c r="CR219" s="1619" t="s">
        <v>132</v>
      </c>
      <c r="CS219" s="1619" t="s">
        <v>133</v>
      </c>
      <c r="CT219" s="1620" t="s">
        <v>134</v>
      </c>
      <c r="CU219" s="1618" t="s">
        <v>131</v>
      </c>
      <c r="CV219" s="1619" t="s">
        <v>132</v>
      </c>
      <c r="CW219" s="1619" t="s">
        <v>133</v>
      </c>
      <c r="CX219" s="1620" t="s">
        <v>134</v>
      </c>
      <c r="CY219" s="1618" t="s">
        <v>131</v>
      </c>
      <c r="CZ219" s="1619" t="s">
        <v>132</v>
      </c>
      <c r="DA219" s="1619" t="s">
        <v>133</v>
      </c>
      <c r="DB219" s="1620" t="s">
        <v>134</v>
      </c>
      <c r="DC219" s="1618" t="s">
        <v>131</v>
      </c>
      <c r="DD219" s="1619" t="s">
        <v>132</v>
      </c>
      <c r="DE219" s="1619" t="s">
        <v>133</v>
      </c>
      <c r="DF219" s="1620" t="s">
        <v>134</v>
      </c>
    </row>
    <row r="220" spans="1:110" s="736" customFormat="1" ht="12.75" hidden="1" customHeight="1">
      <c r="A220" s="701" t="str">
        <f>"Q" &amp; ROW(InputQ!A68)</f>
        <v>Q68</v>
      </c>
      <c r="C220" s="3171" t="s">
        <v>1791</v>
      </c>
      <c r="D220" s="705"/>
      <c r="E220" s="737" t="s">
        <v>1417</v>
      </c>
      <c r="F220" s="738"/>
      <c r="G220" s="817" t="e">
        <f>InputQ!G68/1000</f>
        <v>#VALUE!</v>
      </c>
      <c r="H220" s="817" t="e">
        <f>InputQ!H68/1000</f>
        <v>#VALUE!</v>
      </c>
      <c r="I220" s="817" t="e">
        <f>InputQ!I68/1000</f>
        <v>#VALUE!</v>
      </c>
      <c r="J220" s="817" t="e">
        <f>InputQ!J68/1000</f>
        <v>#VALUE!</v>
      </c>
      <c r="K220" s="817" t="e">
        <f>InputQ!K68/1000</f>
        <v>#VALUE!</v>
      </c>
      <c r="L220" s="817" t="e">
        <f>InputQ!L68/1000</f>
        <v>#VALUE!</v>
      </c>
      <c r="M220" s="817" t="e">
        <f>InputQ!M68/1000</f>
        <v>#VALUE!</v>
      </c>
      <c r="N220" s="817" t="e">
        <f>InputQ!N68/1000</f>
        <v>#VALUE!</v>
      </c>
      <c r="O220" s="817" t="e">
        <f>InputQ!O68/1000</f>
        <v>#VALUE!</v>
      </c>
      <c r="P220" s="817" t="e">
        <f>InputQ!P68/1000</f>
        <v>#VALUE!</v>
      </c>
      <c r="Q220" s="817" t="e">
        <f>InputQ!Q68/1000</f>
        <v>#VALUE!</v>
      </c>
      <c r="R220" s="817" t="e">
        <f>InputQ!R68/1000</f>
        <v>#VALUE!</v>
      </c>
      <c r="S220" s="817" t="e">
        <f>InputQ!S68/1000</f>
        <v>#VALUE!</v>
      </c>
      <c r="T220" s="817" t="e">
        <f>InputQ!T68/1000</f>
        <v>#VALUE!</v>
      </c>
      <c r="U220" s="817" t="e">
        <f>InputQ!U68/1000</f>
        <v>#VALUE!</v>
      </c>
      <c r="V220" s="817" t="e">
        <f>InputQ!V68/1000</f>
        <v>#VALUE!</v>
      </c>
      <c r="W220" s="817" t="e">
        <f>InputQ!W68/1000</f>
        <v>#VALUE!</v>
      </c>
      <c r="X220" s="817" t="e">
        <f>InputQ!X68/1000</f>
        <v>#VALUE!</v>
      </c>
      <c r="Y220" s="817" t="e">
        <f>InputQ!Y68/1000</f>
        <v>#VALUE!</v>
      </c>
      <c r="Z220" s="817" t="e">
        <f>InputQ!Z68/1000</f>
        <v>#VALUE!</v>
      </c>
      <c r="AA220" s="817" t="e">
        <f>InputQ!AA68/1000</f>
        <v>#VALUE!</v>
      </c>
      <c r="AB220" s="817" t="e">
        <f>InputQ!AB68/1000</f>
        <v>#VALUE!</v>
      </c>
      <c r="AC220" s="817" t="e">
        <f>InputQ!AC68/1000</f>
        <v>#VALUE!</v>
      </c>
      <c r="AD220" s="817" t="e">
        <f>InputQ!AD68/1000</f>
        <v>#VALUE!</v>
      </c>
      <c r="AE220" s="817" t="e">
        <f>InputQ!AE68/1000</f>
        <v>#VALUE!</v>
      </c>
      <c r="AF220" s="817" t="e">
        <f>InputQ!AF68/1000</f>
        <v>#VALUE!</v>
      </c>
      <c r="AG220" s="817" t="e">
        <f>InputQ!AG68/1000</f>
        <v>#VALUE!</v>
      </c>
      <c r="AH220" s="817" t="e">
        <f>InputQ!AH68/1000</f>
        <v>#VALUE!</v>
      </c>
      <c r="AI220" s="817" t="e">
        <f>InputQ!AI68/1000</f>
        <v>#VALUE!</v>
      </c>
      <c r="AJ220" s="817" t="e">
        <f>InputQ!AJ68/1000</f>
        <v>#VALUE!</v>
      </c>
      <c r="AK220" s="817" t="e">
        <f>InputQ!AK68/1000</f>
        <v>#VALUE!</v>
      </c>
      <c r="AL220" s="817" t="e">
        <f>InputQ!AL68/1000</f>
        <v>#VALUE!</v>
      </c>
      <c r="AM220" s="817" t="e">
        <f>InputQ!AM68/1000</f>
        <v>#VALUE!</v>
      </c>
      <c r="AN220" s="817" t="e">
        <f>InputQ!AN68/1000</f>
        <v>#VALUE!</v>
      </c>
      <c r="AO220" s="817" t="e">
        <f>InputQ!AO68/1000</f>
        <v>#VALUE!</v>
      </c>
      <c r="AP220" s="817" t="e">
        <f>InputQ!AP68/1000</f>
        <v>#VALUE!</v>
      </c>
      <c r="AQ220" s="817" t="e">
        <f>InputQ!AQ68/1000</f>
        <v>#VALUE!</v>
      </c>
      <c r="AR220" s="817" t="e">
        <f>InputQ!AR68/1000</f>
        <v>#VALUE!</v>
      </c>
      <c r="AS220" s="817" t="e">
        <f>InputQ!AS68/1000</f>
        <v>#VALUE!</v>
      </c>
      <c r="AT220" s="817" t="e">
        <f>InputQ!AT68/1000</f>
        <v>#VALUE!</v>
      </c>
      <c r="AU220" s="817" t="e">
        <f>InputQ!AU68/1000</f>
        <v>#VALUE!</v>
      </c>
      <c r="AV220" s="817" t="e">
        <f>InputQ!AV68/1000</f>
        <v>#VALUE!</v>
      </c>
      <c r="AW220" s="817" t="e">
        <f>InputQ!AW68/1000</f>
        <v>#VALUE!</v>
      </c>
      <c r="AX220" s="817" t="e">
        <f>InputQ!AX68/1000</f>
        <v>#VALUE!</v>
      </c>
      <c r="AY220" s="817" t="e">
        <f>InputQ!AY68/1000</f>
        <v>#VALUE!</v>
      </c>
      <c r="AZ220" s="817" t="e">
        <f>InputQ!AZ68/1000</f>
        <v>#VALUE!</v>
      </c>
      <c r="BA220" s="817" t="e">
        <f>InputQ!BA68/1000</f>
        <v>#VALUE!</v>
      </c>
      <c r="BB220" s="817" t="e">
        <f>InputQ!BB68/1000</f>
        <v>#VALUE!</v>
      </c>
      <c r="BC220" s="817" t="e">
        <f>InputQ!BC68/1000</f>
        <v>#VALUE!</v>
      </c>
      <c r="BD220" s="817" t="e">
        <f>InputQ!BD68/1000</f>
        <v>#VALUE!</v>
      </c>
      <c r="BE220" s="817" t="e">
        <f>InputQ!BE68/1000</f>
        <v>#VALUE!</v>
      </c>
      <c r="BF220" s="817" t="e">
        <f>InputQ!BF68/1000</f>
        <v>#VALUE!</v>
      </c>
      <c r="BG220" s="817" t="e">
        <f>InputQ!BG68/1000</f>
        <v>#VALUE!</v>
      </c>
      <c r="BH220" s="817" t="e">
        <f>InputQ!BH68/1000</f>
        <v>#VALUE!</v>
      </c>
      <c r="BI220" s="817" t="e">
        <f>InputQ!BI68/1000</f>
        <v>#VALUE!</v>
      </c>
      <c r="BJ220" s="817" t="e">
        <f>InputQ!BJ68/1000</f>
        <v>#VALUE!</v>
      </c>
      <c r="BK220" s="817" t="e">
        <f>InputQ!BK68/1000</f>
        <v>#VALUE!</v>
      </c>
      <c r="BL220" s="817" t="e">
        <f>InputQ!BL68/1000</f>
        <v>#VALUE!</v>
      </c>
      <c r="BM220" s="817" t="e">
        <f>InputQ!BM68/1000</f>
        <v>#VALUE!</v>
      </c>
      <c r="BN220" s="817" t="e">
        <f>InputQ!BN68/1000</f>
        <v>#VALUE!</v>
      </c>
      <c r="BO220" s="817" t="e">
        <f>InputQ!BO68/1000</f>
        <v>#VALUE!</v>
      </c>
      <c r="BP220" s="817" t="e">
        <f>InputQ!BP68/1000</f>
        <v>#VALUE!</v>
      </c>
      <c r="BQ220" s="817" t="e">
        <f>InputQ!BQ68/1000</f>
        <v>#VALUE!</v>
      </c>
      <c r="BR220" s="817" t="e">
        <f>InputQ!BR68/1000</f>
        <v>#VALUE!</v>
      </c>
      <c r="BS220" s="817" t="e">
        <f>InputQ!BS68/1000</f>
        <v>#VALUE!</v>
      </c>
      <c r="BT220" s="817" t="e">
        <f>InputQ!BT68/1000</f>
        <v>#VALUE!</v>
      </c>
      <c r="BU220" s="817" t="e">
        <f>InputQ!BU68/1000</f>
        <v>#VALUE!</v>
      </c>
      <c r="BV220" s="817" t="e">
        <f>InputQ!BV68/1000</f>
        <v>#VALUE!</v>
      </c>
      <c r="BW220" s="1643" t="e">
        <f t="shared" ref="BW220:CD220" si="898">+BV220*(1+BW233/100)</f>
        <v>#VALUE!</v>
      </c>
      <c r="BX220" s="1643" t="e">
        <f t="shared" si="898"/>
        <v>#VALUE!</v>
      </c>
      <c r="BY220" s="1643" t="e">
        <f t="shared" si="898"/>
        <v>#VALUE!</v>
      </c>
      <c r="BZ220" s="1643" t="e">
        <f t="shared" si="898"/>
        <v>#VALUE!</v>
      </c>
      <c r="CA220" s="1643" t="e">
        <f>+BZ220*(1+CA233/100)</f>
        <v>#VALUE!</v>
      </c>
      <c r="CB220" s="1643" t="e">
        <f>+CA220*(1+CB233/100)</f>
        <v>#VALUE!</v>
      </c>
      <c r="CC220" s="1643" t="e">
        <f t="shared" si="898"/>
        <v>#VALUE!</v>
      </c>
      <c r="CD220" s="1643" t="e">
        <f t="shared" si="898"/>
        <v>#VALUE!</v>
      </c>
      <c r="CE220" s="1643" t="e">
        <f>+CD220*(1+CE233/100)</f>
        <v>#VALUE!</v>
      </c>
      <c r="CF220" s="1643" t="e">
        <f>+CE220*(1+CF233/100)</f>
        <v>#VALUE!</v>
      </c>
      <c r="CG220" s="1643" t="e">
        <f t="shared" ref="CG220:CL220" si="899">+CF220*(1+CG233/100)</f>
        <v>#VALUE!</v>
      </c>
      <c r="CH220" s="1643" t="e">
        <f t="shared" si="899"/>
        <v>#VALUE!</v>
      </c>
      <c r="CI220" s="1643" t="e">
        <f>+CH220*(1+CI233/100)</f>
        <v>#VALUE!</v>
      </c>
      <c r="CJ220" s="1643" t="e">
        <f>+CI220*(1+CJ233/100)</f>
        <v>#VALUE!</v>
      </c>
      <c r="CK220" s="1643" t="e">
        <f t="shared" si="899"/>
        <v>#VALUE!</v>
      </c>
      <c r="CL220" s="1643" t="e">
        <f t="shared" si="899"/>
        <v>#VALUE!</v>
      </c>
      <c r="CM220" s="1643" t="e">
        <f t="shared" ref="CM220:CV220" si="900">+CL220*(1+CM233/100)</f>
        <v>#VALUE!</v>
      </c>
      <c r="CN220" s="1643" t="e">
        <f t="shared" si="900"/>
        <v>#VALUE!</v>
      </c>
      <c r="CO220" s="1643" t="e">
        <f t="shared" si="900"/>
        <v>#VALUE!</v>
      </c>
      <c r="CP220" s="1643" t="e">
        <f t="shared" si="900"/>
        <v>#VALUE!</v>
      </c>
      <c r="CQ220" s="1643" t="e">
        <f t="shared" si="900"/>
        <v>#VALUE!</v>
      </c>
      <c r="CR220" s="1643" t="e">
        <f t="shared" si="900"/>
        <v>#VALUE!</v>
      </c>
      <c r="CS220" s="1643" t="e">
        <f t="shared" si="900"/>
        <v>#VALUE!</v>
      </c>
      <c r="CT220" s="1643" t="e">
        <f t="shared" si="900"/>
        <v>#VALUE!</v>
      </c>
      <c r="CU220" s="1643" t="e">
        <f t="shared" ref="CU220" si="901">+CT220*(1+CU233/100)</f>
        <v>#VALUE!</v>
      </c>
      <c r="CV220" s="1643" t="e">
        <f t="shared" si="900"/>
        <v>#VALUE!</v>
      </c>
      <c r="CW220" s="1643" t="e">
        <f t="shared" ref="CW220" si="902">+CV220*(1+CW233/100)</f>
        <v>#VALUE!</v>
      </c>
      <c r="CX220" s="1643" t="e">
        <f t="shared" ref="CX220" si="903">+CW220*(1+CX233/100)</f>
        <v>#VALUE!</v>
      </c>
      <c r="CY220" s="1643" t="e">
        <f t="shared" ref="CY220" si="904">+CX220*(1+CY233/100)</f>
        <v>#VALUE!</v>
      </c>
      <c r="CZ220" s="1643" t="e">
        <f t="shared" ref="CZ220" si="905">+CY220*(1+CZ233/100)</f>
        <v>#VALUE!</v>
      </c>
      <c r="DA220" s="1643" t="e">
        <f t="shared" ref="DA220" si="906">+CZ220*(1+DA233/100)</f>
        <v>#VALUE!</v>
      </c>
      <c r="DB220" s="1643" t="e">
        <f t="shared" ref="DB220" si="907">+DA220*(1+DB233/100)</f>
        <v>#VALUE!</v>
      </c>
      <c r="DC220" s="1643" t="e">
        <f t="shared" ref="DC220" si="908">+DB220*(1+DC233/100)</f>
        <v>#VALUE!</v>
      </c>
      <c r="DD220" s="1643" t="e">
        <f t="shared" ref="DD220" si="909">+DC220*(1+DD233/100)</f>
        <v>#VALUE!</v>
      </c>
      <c r="DE220" s="1643" t="e">
        <f t="shared" ref="DE220" si="910">+DD220*(1+DE233/100)</f>
        <v>#VALUE!</v>
      </c>
      <c r="DF220" s="1643" t="e">
        <f t="shared" ref="DF220" si="911">+DE220*(1+DF233/100)</f>
        <v>#VALUE!</v>
      </c>
    </row>
    <row r="221" spans="1:110" s="736" customFormat="1" ht="12.75" hidden="1" customHeight="1">
      <c r="A221" s="701"/>
      <c r="C221" s="3172"/>
      <c r="D221" s="716"/>
      <c r="E221" s="717" t="s">
        <v>353</v>
      </c>
      <c r="F221" s="1969"/>
      <c r="G221" s="3165"/>
      <c r="H221" s="3165"/>
      <c r="I221" s="3167"/>
      <c r="J221" s="1627" t="e">
        <f>SUM(G220:J220)</f>
        <v>#VALUE!</v>
      </c>
      <c r="K221" s="3165"/>
      <c r="L221" s="3165"/>
      <c r="M221" s="3167"/>
      <c r="N221" s="1627" t="e">
        <f>SUM(K220:N220)</f>
        <v>#VALUE!</v>
      </c>
      <c r="O221" s="3165"/>
      <c r="P221" s="3165"/>
      <c r="Q221" s="3167"/>
      <c r="R221" s="1627" t="e">
        <f>SUM(O220:R220)</f>
        <v>#VALUE!</v>
      </c>
      <c r="S221" s="3165"/>
      <c r="T221" s="3165"/>
      <c r="U221" s="3167"/>
      <c r="V221" s="1627" t="e">
        <f>SUM(S220:V220)</f>
        <v>#VALUE!</v>
      </c>
      <c r="W221" s="3165"/>
      <c r="X221" s="3165"/>
      <c r="Y221" s="3167"/>
      <c r="Z221" s="1627" t="e">
        <f>SUM(W220:Z220)</f>
        <v>#VALUE!</v>
      </c>
      <c r="AA221" s="3165"/>
      <c r="AB221" s="3165"/>
      <c r="AC221" s="3167"/>
      <c r="AD221" s="1627" t="e">
        <f>SUM(AA220:AD220)</f>
        <v>#VALUE!</v>
      </c>
      <c r="AE221" s="3165"/>
      <c r="AF221" s="3165"/>
      <c r="AG221" s="3167"/>
      <c r="AH221" s="1627" t="e">
        <f>SUM(AE220:AH220)</f>
        <v>#VALUE!</v>
      </c>
      <c r="AI221" s="3165"/>
      <c r="AJ221" s="3165"/>
      <c r="AK221" s="3167"/>
      <c r="AL221" s="1627" t="e">
        <f>SUM(AI220:AL220)</f>
        <v>#VALUE!</v>
      </c>
      <c r="AM221" s="3165"/>
      <c r="AN221" s="3165"/>
      <c r="AO221" s="3167"/>
      <c r="AP221" s="1627" t="e">
        <f>SUM(AM220:AP220)</f>
        <v>#VALUE!</v>
      </c>
      <c r="AQ221" s="3165"/>
      <c r="AR221" s="3165"/>
      <c r="AS221" s="3167"/>
      <c r="AT221" s="1627" t="e">
        <f>SUM(AQ220:AT220)</f>
        <v>#VALUE!</v>
      </c>
      <c r="AU221" s="3165"/>
      <c r="AV221" s="3165"/>
      <c r="AW221" s="3167"/>
      <c r="AX221" s="1627" t="e">
        <f>SUM(AU220:AX220)</f>
        <v>#VALUE!</v>
      </c>
      <c r="AY221" s="3165"/>
      <c r="AZ221" s="3165"/>
      <c r="BA221" s="3167"/>
      <c r="BB221" s="1627" t="e">
        <f>SUM(AY220:BB220)</f>
        <v>#VALUE!</v>
      </c>
      <c r="BC221" s="3165"/>
      <c r="BD221" s="3165"/>
      <c r="BE221" s="3167"/>
      <c r="BF221" s="1627" t="e">
        <f>SUM(BC220:BF220)</f>
        <v>#VALUE!</v>
      </c>
      <c r="BG221" s="3165"/>
      <c r="BH221" s="3165"/>
      <c r="BI221" s="3167"/>
      <c r="BJ221" s="1627" t="e">
        <f>SUM(BG220:BJ220)</f>
        <v>#VALUE!</v>
      </c>
      <c r="BK221" s="3165"/>
      <c r="BL221" s="3165"/>
      <c r="BM221" s="3167"/>
      <c r="BN221" s="1627" t="e">
        <f>SUM(BK220:BN220)</f>
        <v>#VALUE!</v>
      </c>
      <c r="BO221" s="3165"/>
      <c r="BP221" s="3165"/>
      <c r="BQ221" s="3167"/>
      <c r="BR221" s="1627" t="e">
        <f>SUM(BO220:BR220)</f>
        <v>#VALUE!</v>
      </c>
      <c r="BS221" s="3165"/>
      <c r="BT221" s="3165"/>
      <c r="BU221" s="3167"/>
      <c r="BV221" s="1627" t="e">
        <f>SUM(BS220:BV220)</f>
        <v>#VALUE!</v>
      </c>
      <c r="BW221" s="3165"/>
      <c r="BX221" s="3165"/>
      <c r="BY221" s="3167"/>
      <c r="BZ221" s="1627" t="e">
        <f>SUM(BW220:BZ220)</f>
        <v>#VALUE!</v>
      </c>
      <c r="CA221" s="3165"/>
      <c r="CB221" s="3165"/>
      <c r="CC221" s="3167"/>
      <c r="CD221" s="1627" t="e">
        <f>SUM(CA220:CD220)</f>
        <v>#VALUE!</v>
      </c>
      <c r="CE221" s="3165"/>
      <c r="CF221" s="3165"/>
      <c r="CG221" s="3167"/>
      <c r="CH221" s="1627" t="e">
        <f>SUM(CE220:CH220)</f>
        <v>#VALUE!</v>
      </c>
      <c r="CI221" s="3165"/>
      <c r="CJ221" s="3165"/>
      <c r="CK221" s="3167"/>
      <c r="CL221" s="1627" t="e">
        <f>SUM(CI220:CL220)</f>
        <v>#VALUE!</v>
      </c>
      <c r="CM221" s="3165"/>
      <c r="CN221" s="3165"/>
      <c r="CO221" s="3167"/>
      <c r="CP221" s="1627" t="e">
        <f>SUM(CM220:CP220)</f>
        <v>#VALUE!</v>
      </c>
      <c r="CQ221" s="3165"/>
      <c r="CR221" s="3165"/>
      <c r="CS221" s="3167"/>
      <c r="CT221" s="1627" t="e">
        <f>SUM(CQ220:CT220)</f>
        <v>#VALUE!</v>
      </c>
      <c r="CU221" s="3165"/>
      <c r="CV221" s="3165"/>
      <c r="CW221" s="3167"/>
      <c r="CX221" s="1627" t="e">
        <f>SUM(CU220:CX220)</f>
        <v>#VALUE!</v>
      </c>
      <c r="CY221" s="3165"/>
      <c r="CZ221" s="3165"/>
      <c r="DA221" s="3167"/>
      <c r="DB221" s="1627" t="e">
        <f>SUM(CY220:DB220)</f>
        <v>#VALUE!</v>
      </c>
      <c r="DC221" s="3165"/>
      <c r="DD221" s="3165"/>
      <c r="DE221" s="3167"/>
      <c r="DF221" s="1627" t="e">
        <f>SUM(DC220:DF220)</f>
        <v>#VALUE!</v>
      </c>
    </row>
    <row r="222" spans="1:110" s="736" customFormat="1" ht="12.75" hidden="1" customHeight="1">
      <c r="A222" s="701"/>
      <c r="C222" s="3172"/>
      <c r="D222" s="716"/>
      <c r="E222" s="717" t="s">
        <v>136</v>
      </c>
      <c r="F222" s="1969"/>
      <c r="G222" s="3165"/>
      <c r="H222" s="3168" t="s">
        <v>1694</v>
      </c>
      <c r="I222" s="3165" t="e">
        <f ca="1">+J222/J221*100</f>
        <v>#VALUE!</v>
      </c>
      <c r="J222" s="1627">
        <f ca="1">OFFSET('VVP2'!$G$104,0,(COLUMN()-10)/4)</f>
        <v>518.59081000000003</v>
      </c>
      <c r="K222" s="3165"/>
      <c r="L222" s="3168" t="s">
        <v>1694</v>
      </c>
      <c r="M222" s="3165" t="e">
        <f ca="1">+N222/N221*100</f>
        <v>#VALUE!</v>
      </c>
      <c r="N222" s="1627">
        <f ca="1">OFFSET('VVP2'!$G$104,0,(COLUMN()-10)/4)</f>
        <v>532.17899999999997</v>
      </c>
      <c r="O222" s="3165"/>
      <c r="P222" s="3168" t="s">
        <v>1694</v>
      </c>
      <c r="Q222" s="3165" t="e">
        <f ca="1">+R222/R221*100</f>
        <v>#VALUE!</v>
      </c>
      <c r="R222" s="1627">
        <f ca="1">OFFSET('VVP2'!$G$104,0,(COLUMN()-10)/4)</f>
        <v>592.95186000000001</v>
      </c>
      <c r="S222" s="3165"/>
      <c r="T222" s="3168" t="s">
        <v>1694</v>
      </c>
      <c r="U222" s="3165" t="e">
        <f ca="1">+V222/V221*100</f>
        <v>#VALUE!</v>
      </c>
      <c r="V222" s="1627">
        <f ca="1">OFFSET('VVP2'!$G$104,0,(COLUMN()-10)/4)</f>
        <v>652.88130000000001</v>
      </c>
      <c r="W222" s="3165"/>
      <c r="X222" s="3168" t="s">
        <v>1694</v>
      </c>
      <c r="Y222" s="3165" t="e">
        <f ca="1">+Z222/Z221*100</f>
        <v>#VALUE!</v>
      </c>
      <c r="Z222" s="1627">
        <f ca="1">OFFSET('VVP2'!$G$104,0,(COLUMN()-10)/4)</f>
        <v>680.27481999999998</v>
      </c>
      <c r="AA222" s="3165"/>
      <c r="AB222" s="3168" t="s">
        <v>1694</v>
      </c>
      <c r="AC222" s="3165" t="e">
        <f ca="1">+AD222/AD221*100</f>
        <v>#VALUE!</v>
      </c>
      <c r="AD222" s="1627">
        <f ca="1">OFFSET('VVP2'!$G$104,0,(COLUMN()-10)/4)</f>
        <v>762.98306000000002</v>
      </c>
      <c r="AE222" s="3165"/>
      <c r="AF222" s="3168" t="s">
        <v>1694</v>
      </c>
      <c r="AG222" s="3165" t="e">
        <f ca="1">+AH222/AH221*100</f>
        <v>#VALUE!</v>
      </c>
      <c r="AH222" s="1627">
        <f ca="1">OFFSET('VVP2'!$G$104,0,(COLUMN()-10)/4)</f>
        <v>729.84081000000003</v>
      </c>
      <c r="AI222" s="3165"/>
      <c r="AJ222" s="3168" t="s">
        <v>1694</v>
      </c>
      <c r="AK222" s="3165" t="e">
        <f ca="1">+AL222/AL221*100</f>
        <v>#VALUE!</v>
      </c>
      <c r="AL222" s="1627">
        <f ca="1">OFFSET('VVP2'!$G$104,0,(COLUMN()-10)/4)</f>
        <v>726.90559999999994</v>
      </c>
      <c r="AM222" s="3165"/>
      <c r="AN222" s="3168" t="s">
        <v>1694</v>
      </c>
      <c r="AO222" s="3165" t="e">
        <f ca="1">+AP222/AP221*100</f>
        <v>#VALUE!</v>
      </c>
      <c r="AP222" s="1627">
        <f ca="1">OFFSET('VVP2'!$G$104,0,(COLUMN()-10)/4)</f>
        <v>770.38088000000005</v>
      </c>
      <c r="AQ222" s="3165"/>
      <c r="AR222" s="3168" t="s">
        <v>1694</v>
      </c>
      <c r="AS222" s="3165" t="e">
        <f ca="1">+AT222/AT221*100</f>
        <v>#VALUE!</v>
      </c>
      <c r="AT222" s="1627">
        <f ca="1">OFFSET('VVP2'!$G$104,0,(COLUMN()-10)/4)</f>
        <v>830.82015000000001</v>
      </c>
      <c r="AU222" s="3165"/>
      <c r="AV222" s="3168" t="s">
        <v>1694</v>
      </c>
      <c r="AW222" s="3165" t="e">
        <f ca="1">+AX222/AX221*100</f>
        <v>#VALUE!</v>
      </c>
      <c r="AX222" s="1627">
        <f ca="1">OFFSET('VVP2'!$G$104,0,(COLUMN()-10)/4)</f>
        <v>892.85815000000002</v>
      </c>
      <c r="AY222" s="3165"/>
      <c r="AZ222" s="3168" t="s">
        <v>1694</v>
      </c>
      <c r="BA222" s="3165" t="e">
        <f ca="1">+BB222/BB221*100</f>
        <v>#VALUE!</v>
      </c>
      <c r="BB222" s="1627">
        <f ca="1">OFFSET('VVP2'!$G$104,0,(COLUMN()-10)/4)</f>
        <v>978.61279000000002</v>
      </c>
      <c r="BC222" s="3165"/>
      <c r="BD222" s="3168" t="s">
        <v>1694</v>
      </c>
      <c r="BE222" s="3165" t="e">
        <f ca="1">+BF222/BF221*100</f>
        <v>#VALUE!</v>
      </c>
      <c r="BF222" s="1627">
        <f ca="1">OFFSET('VVP2'!$G$104,0,(COLUMN()-10)/4)</f>
        <v>1046.51072</v>
      </c>
      <c r="BG222" s="3165"/>
      <c r="BH222" s="3168" t="s">
        <v>1694</v>
      </c>
      <c r="BI222" s="3165" t="e">
        <f ca="1">+BJ222/BJ221*100</f>
        <v>#VALUE!</v>
      </c>
      <c r="BJ222" s="1627">
        <f ca="1">OFFSET('VVP2'!$G$104,0,(COLUMN()-10)/4)</f>
        <v>1077.08178</v>
      </c>
      <c r="BK222" s="3165"/>
      <c r="BL222" s="3168" t="s">
        <v>1694</v>
      </c>
      <c r="BM222" s="3165" t="e">
        <f ca="1">+BN222/BN221*100</f>
        <v>#VALUE!</v>
      </c>
      <c r="BN222" s="1627">
        <f ca="1">OFFSET('VVP2'!$G$104,0,(COLUMN()-10)/4)</f>
        <v>898.52294999999992</v>
      </c>
      <c r="BO222" s="3165"/>
      <c r="BP222" s="3168" t="s">
        <v>1694</v>
      </c>
      <c r="BQ222" s="3165" t="e">
        <f ca="1">+BR222/BR221*100</f>
        <v>#VALUE!</v>
      </c>
      <c r="BR222" s="1627">
        <f ca="1">OFFSET('VVP2'!$G$104,0,(COLUMN()-10)/4)</f>
        <v>1053.02</v>
      </c>
      <c r="BS222" s="3165"/>
      <c r="BT222" s="3168" t="s">
        <v>1694</v>
      </c>
      <c r="BU222" s="3165" t="e">
        <f ca="1">+BV222/BV221*100</f>
        <v>#VALUE!</v>
      </c>
      <c r="BV222" s="1627">
        <f ca="1">OFFSET('VVP2'!$G$104,0,(COLUMN()-10)/4)</f>
        <v>1144.30413</v>
      </c>
      <c r="BW222" s="3165"/>
      <c r="BX222" s="3168" t="s">
        <v>1694</v>
      </c>
      <c r="BY222" s="3165" t="e">
        <f ca="1">+BZ222/BZ221*100</f>
        <v>#VALUE!</v>
      </c>
      <c r="BZ222" s="1627">
        <f ca="1">OFFSET('VVP2'!$G$104,0,(COLUMN()-10)/4)</f>
        <v>1134.5994800000001</v>
      </c>
      <c r="CA222" s="3165"/>
      <c r="CB222" s="3168" t="s">
        <v>1694</v>
      </c>
      <c r="CC222" s="3165" t="e">
        <f ca="1">+CD222/CD221*100</f>
        <v>#VALUE!</v>
      </c>
      <c r="CD222" s="1627">
        <f ca="1">OFFSET('VVP2'!$G$104,0,(COLUMN()-10)/4)</f>
        <v>1115.48181</v>
      </c>
      <c r="CE222" s="3165"/>
      <c r="CF222" s="3168" t="s">
        <v>1694</v>
      </c>
      <c r="CG222" s="3165" t="e">
        <f ca="1">+CH222/CH221*100</f>
        <v>#VALUE!</v>
      </c>
      <c r="CH222" s="1627">
        <f ca="1">OFFSET('VVP2'!$G$104,0,(COLUMN()-10)/4)</f>
        <v>1166.9024999999999</v>
      </c>
      <c r="CI222" s="3165"/>
      <c r="CJ222" s="3168" t="s">
        <v>1694</v>
      </c>
      <c r="CK222" s="3165" t="e">
        <f ca="1">+CL222/CL221*100</f>
        <v>#VALUE!</v>
      </c>
      <c r="CL222" s="1627">
        <f ca="1">OFFSET('VVP2'!$G$104,0,(COLUMN()-10)/4)</f>
        <v>1229.95072</v>
      </c>
      <c r="CM222" s="3165"/>
      <c r="CN222" s="3168" t="s">
        <v>1694</v>
      </c>
      <c r="CO222" s="3165" t="e">
        <f ca="1">+CP222/CP221*100</f>
        <v>#VALUE!</v>
      </c>
      <c r="CP222" s="1627">
        <f ca="1">OFFSET('VVP2'!$G$104,0,(COLUMN()-10)/4)</f>
        <v>1302.12977</v>
      </c>
      <c r="CQ222" s="3165"/>
      <c r="CR222" s="3168" t="s">
        <v>1694</v>
      </c>
      <c r="CS222" s="3165" t="e">
        <f ca="1">+CT222/CT221*100</f>
        <v>#VALUE!</v>
      </c>
      <c r="CT222" s="1627">
        <f ca="1">OFFSET('VVP2'!$G$104,0,(COLUMN()-10)/4)</f>
        <v>1354.5050900000001</v>
      </c>
      <c r="CU222" s="3165"/>
      <c r="CV222" s="3168" t="s">
        <v>1694</v>
      </c>
      <c r="CW222" s="3165" t="e">
        <f ca="1">+CX222/CX221*100</f>
        <v>#VALUE!</v>
      </c>
      <c r="CX222" s="1627">
        <f ca="1">OFFSET('VVP2'!$G$104,0,(COLUMN()-10)/4)</f>
        <v>1408.8207441090001</v>
      </c>
      <c r="CY222" s="3165"/>
      <c r="CZ222" s="3168" t="s">
        <v>1694</v>
      </c>
      <c r="DA222" s="3165" t="e">
        <f ca="1">+DB222/DB221*100</f>
        <v>#VALUE!</v>
      </c>
      <c r="DB222" s="1627">
        <f ca="1">OFFSET('VVP2'!$G$104,0,(COLUMN()-10)/4)</f>
        <v>1456.1571211110627</v>
      </c>
      <c r="DC222" s="3165"/>
      <c r="DD222" s="3168" t="s">
        <v>1694</v>
      </c>
      <c r="DE222" s="3165" t="e">
        <f ca="1">+DF222/DF221*100</f>
        <v>#VALUE!</v>
      </c>
      <c r="DF222" s="1627">
        <f ca="1">OFFSET('VVP2'!$G$104,0,(COLUMN()-10)/4)</f>
        <v>1501.5892232897277</v>
      </c>
    </row>
    <row r="223" spans="1:110" s="736" customFormat="1" ht="12.75" hidden="1" customHeight="1">
      <c r="A223" s="701" t="str">
        <f>"Q" &amp; ROW(InputQ!A69)</f>
        <v>Q69</v>
      </c>
      <c r="C223" s="3172" t="s">
        <v>1791</v>
      </c>
      <c r="D223" s="711"/>
      <c r="E223" s="820" t="s">
        <v>1416</v>
      </c>
      <c r="F223" s="741"/>
      <c r="G223" s="743" t="e">
        <f>InputQ!G69/1000</f>
        <v>#VALUE!</v>
      </c>
      <c r="H223" s="743" t="e">
        <f>InputQ!H69/1000</f>
        <v>#VALUE!</v>
      </c>
      <c r="I223" s="743" t="e">
        <f>InputQ!I69/1000</f>
        <v>#VALUE!</v>
      </c>
      <c r="J223" s="743" t="e">
        <f>InputQ!J69/1000</f>
        <v>#VALUE!</v>
      </c>
      <c r="K223" s="743" t="e">
        <f>InputQ!K69/1000</f>
        <v>#VALUE!</v>
      </c>
      <c r="L223" s="743" t="e">
        <f>InputQ!L69/1000</f>
        <v>#VALUE!</v>
      </c>
      <c r="M223" s="743" t="e">
        <f>InputQ!M69/1000</f>
        <v>#VALUE!</v>
      </c>
      <c r="N223" s="743" t="e">
        <f>InputQ!N69/1000</f>
        <v>#VALUE!</v>
      </c>
      <c r="O223" s="743" t="e">
        <f>InputQ!O69/1000</f>
        <v>#VALUE!</v>
      </c>
      <c r="P223" s="743" t="e">
        <f>InputQ!P69/1000</f>
        <v>#VALUE!</v>
      </c>
      <c r="Q223" s="743" t="e">
        <f>InputQ!Q69/1000</f>
        <v>#VALUE!</v>
      </c>
      <c r="R223" s="743" t="e">
        <f>InputQ!R69/1000</f>
        <v>#VALUE!</v>
      </c>
      <c r="S223" s="743" t="e">
        <f>InputQ!S69/1000</f>
        <v>#VALUE!</v>
      </c>
      <c r="T223" s="743" t="e">
        <f>InputQ!T69/1000</f>
        <v>#VALUE!</v>
      </c>
      <c r="U223" s="743" t="e">
        <f>InputQ!U69/1000</f>
        <v>#VALUE!</v>
      </c>
      <c r="V223" s="743" t="e">
        <f>InputQ!V69/1000</f>
        <v>#VALUE!</v>
      </c>
      <c r="W223" s="743" t="e">
        <f>InputQ!W69/1000</f>
        <v>#VALUE!</v>
      </c>
      <c r="X223" s="743" t="e">
        <f>InputQ!X69/1000</f>
        <v>#VALUE!</v>
      </c>
      <c r="Y223" s="743" t="e">
        <f>InputQ!Y69/1000</f>
        <v>#VALUE!</v>
      </c>
      <c r="Z223" s="743" t="e">
        <f>InputQ!Z69/1000</f>
        <v>#VALUE!</v>
      </c>
      <c r="AA223" s="743" t="e">
        <f>InputQ!AA69/1000</f>
        <v>#VALUE!</v>
      </c>
      <c r="AB223" s="743" t="e">
        <f>InputQ!AB69/1000</f>
        <v>#VALUE!</v>
      </c>
      <c r="AC223" s="743" t="e">
        <f>InputQ!AC69/1000</f>
        <v>#VALUE!</v>
      </c>
      <c r="AD223" s="743" t="e">
        <f>InputQ!AD69/1000</f>
        <v>#VALUE!</v>
      </c>
      <c r="AE223" s="743" t="e">
        <f>InputQ!AE69/1000</f>
        <v>#VALUE!</v>
      </c>
      <c r="AF223" s="743" t="e">
        <f>InputQ!AF69/1000</f>
        <v>#VALUE!</v>
      </c>
      <c r="AG223" s="743" t="e">
        <f>InputQ!AG69/1000</f>
        <v>#VALUE!</v>
      </c>
      <c r="AH223" s="743" t="e">
        <f>InputQ!AH69/1000</f>
        <v>#VALUE!</v>
      </c>
      <c r="AI223" s="743" t="e">
        <f>InputQ!AI69/1000</f>
        <v>#VALUE!</v>
      </c>
      <c r="AJ223" s="743" t="e">
        <f>InputQ!AJ69/1000</f>
        <v>#VALUE!</v>
      </c>
      <c r="AK223" s="743" t="e">
        <f>InputQ!AK69/1000</f>
        <v>#VALUE!</v>
      </c>
      <c r="AL223" s="743" t="e">
        <f>InputQ!AL69/1000</f>
        <v>#VALUE!</v>
      </c>
      <c r="AM223" s="743" t="e">
        <f>InputQ!AM69/1000</f>
        <v>#VALUE!</v>
      </c>
      <c r="AN223" s="743" t="e">
        <f>InputQ!AN69/1000</f>
        <v>#VALUE!</v>
      </c>
      <c r="AO223" s="743" t="e">
        <f>InputQ!AO69/1000</f>
        <v>#VALUE!</v>
      </c>
      <c r="AP223" s="743" t="e">
        <f>InputQ!AP69/1000</f>
        <v>#VALUE!</v>
      </c>
      <c r="AQ223" s="743" t="e">
        <f>InputQ!AQ69/1000</f>
        <v>#VALUE!</v>
      </c>
      <c r="AR223" s="743" t="e">
        <f>InputQ!AR69/1000</f>
        <v>#VALUE!</v>
      </c>
      <c r="AS223" s="743" t="e">
        <f>InputQ!AS69/1000</f>
        <v>#VALUE!</v>
      </c>
      <c r="AT223" s="743" t="e">
        <f>InputQ!AT69/1000</f>
        <v>#VALUE!</v>
      </c>
      <c r="AU223" s="743" t="e">
        <f>InputQ!AU69/1000</f>
        <v>#VALUE!</v>
      </c>
      <c r="AV223" s="743" t="e">
        <f>InputQ!AV69/1000</f>
        <v>#VALUE!</v>
      </c>
      <c r="AW223" s="743" t="e">
        <f>InputQ!AW69/1000</f>
        <v>#VALUE!</v>
      </c>
      <c r="AX223" s="743" t="e">
        <f>InputQ!AX69/1000</f>
        <v>#VALUE!</v>
      </c>
      <c r="AY223" s="743" t="e">
        <f>InputQ!AY69/1000</f>
        <v>#VALUE!</v>
      </c>
      <c r="AZ223" s="743" t="e">
        <f>InputQ!AZ69/1000</f>
        <v>#VALUE!</v>
      </c>
      <c r="BA223" s="743" t="e">
        <f>InputQ!BA69/1000</f>
        <v>#VALUE!</v>
      </c>
      <c r="BB223" s="743" t="e">
        <f>InputQ!BB69/1000</f>
        <v>#VALUE!</v>
      </c>
      <c r="BC223" s="743" t="e">
        <f>InputQ!BC69/1000</f>
        <v>#VALUE!</v>
      </c>
      <c r="BD223" s="743" t="e">
        <f>InputQ!BD69/1000</f>
        <v>#VALUE!</v>
      </c>
      <c r="BE223" s="743" t="e">
        <f>InputQ!BE69/1000</f>
        <v>#VALUE!</v>
      </c>
      <c r="BF223" s="743" t="e">
        <f>InputQ!BF69/1000</f>
        <v>#VALUE!</v>
      </c>
      <c r="BG223" s="743" t="e">
        <f>InputQ!BG69/1000</f>
        <v>#VALUE!</v>
      </c>
      <c r="BH223" s="743" t="e">
        <f>InputQ!BH69/1000</f>
        <v>#VALUE!</v>
      </c>
      <c r="BI223" s="743" t="e">
        <f>InputQ!BI69/1000</f>
        <v>#VALUE!</v>
      </c>
      <c r="BJ223" s="743" t="e">
        <f>InputQ!BJ69/1000</f>
        <v>#VALUE!</v>
      </c>
      <c r="BK223" s="743" t="e">
        <f>InputQ!BK69/1000</f>
        <v>#VALUE!</v>
      </c>
      <c r="BL223" s="743" t="e">
        <f>InputQ!BL69/1000</f>
        <v>#VALUE!</v>
      </c>
      <c r="BM223" s="743" t="e">
        <f>InputQ!BM69/1000</f>
        <v>#VALUE!</v>
      </c>
      <c r="BN223" s="743" t="e">
        <f>InputQ!BN69/1000</f>
        <v>#VALUE!</v>
      </c>
      <c r="BO223" s="743" t="e">
        <f>InputQ!BO69/1000</f>
        <v>#VALUE!</v>
      </c>
      <c r="BP223" s="743" t="e">
        <f>InputQ!BP69/1000</f>
        <v>#VALUE!</v>
      </c>
      <c r="BQ223" s="743" t="e">
        <f>InputQ!BQ69/1000</f>
        <v>#VALUE!</v>
      </c>
      <c r="BR223" s="743" t="e">
        <f>InputQ!BR69/1000</f>
        <v>#VALUE!</v>
      </c>
      <c r="BS223" s="743" t="e">
        <f>InputQ!BS69/1000</f>
        <v>#VALUE!</v>
      </c>
      <c r="BT223" s="743" t="e">
        <f>InputQ!BT69/1000</f>
        <v>#VALUE!</v>
      </c>
      <c r="BU223" s="743" t="e">
        <f>InputQ!BU69/1000</f>
        <v>#VALUE!</v>
      </c>
      <c r="BV223" s="743" t="e">
        <f>InputQ!BV69/1000</f>
        <v>#VALUE!</v>
      </c>
      <c r="BW223" s="3166" t="e">
        <f t="shared" ref="BW223:CD223" si="912">+BV223*(1+BW236/100)</f>
        <v>#VALUE!</v>
      </c>
      <c r="BX223" s="3166" t="e">
        <f t="shared" si="912"/>
        <v>#VALUE!</v>
      </c>
      <c r="BY223" s="3166" t="e">
        <f t="shared" si="912"/>
        <v>#VALUE!</v>
      </c>
      <c r="BZ223" s="3166" t="e">
        <f t="shared" si="912"/>
        <v>#VALUE!</v>
      </c>
      <c r="CA223" s="3166" t="e">
        <f>+BZ223*(1+CA236/100)</f>
        <v>#VALUE!</v>
      </c>
      <c r="CB223" s="3166" t="e">
        <f>+CA223*(1+CB236/100)</f>
        <v>#VALUE!</v>
      </c>
      <c r="CC223" s="3166" t="e">
        <f t="shared" si="912"/>
        <v>#VALUE!</v>
      </c>
      <c r="CD223" s="3166" t="e">
        <f t="shared" si="912"/>
        <v>#VALUE!</v>
      </c>
      <c r="CE223" s="3166" t="e">
        <f>+CD223*(1+CE236/100)</f>
        <v>#VALUE!</v>
      </c>
      <c r="CF223" s="3166" t="e">
        <f>+CE223*(1+CF236/100)</f>
        <v>#VALUE!</v>
      </c>
      <c r="CG223" s="3166" t="e">
        <f t="shared" ref="CG223:CL223" si="913">+CF223*(1+CG236/100)</f>
        <v>#VALUE!</v>
      </c>
      <c r="CH223" s="3166" t="e">
        <f t="shared" si="913"/>
        <v>#VALUE!</v>
      </c>
      <c r="CI223" s="3166" t="e">
        <f>+CH223*(1+CI236/100)</f>
        <v>#VALUE!</v>
      </c>
      <c r="CJ223" s="3166" t="e">
        <f>+CI223*(1+CJ236/100)</f>
        <v>#VALUE!</v>
      </c>
      <c r="CK223" s="3166" t="e">
        <f t="shared" si="913"/>
        <v>#VALUE!</v>
      </c>
      <c r="CL223" s="3166" t="e">
        <f t="shared" si="913"/>
        <v>#VALUE!</v>
      </c>
      <c r="CM223" s="3166" t="e">
        <f t="shared" ref="CM223:CV223" si="914">+CL223*(1+CM236/100)</f>
        <v>#VALUE!</v>
      </c>
      <c r="CN223" s="3166" t="e">
        <f t="shared" si="914"/>
        <v>#VALUE!</v>
      </c>
      <c r="CO223" s="3166" t="e">
        <f t="shared" si="914"/>
        <v>#VALUE!</v>
      </c>
      <c r="CP223" s="3166" t="e">
        <f t="shared" si="914"/>
        <v>#VALUE!</v>
      </c>
      <c r="CQ223" s="3166" t="e">
        <f t="shared" si="914"/>
        <v>#VALUE!</v>
      </c>
      <c r="CR223" s="3166" t="e">
        <f t="shared" si="914"/>
        <v>#VALUE!</v>
      </c>
      <c r="CS223" s="3166" t="e">
        <f t="shared" si="914"/>
        <v>#VALUE!</v>
      </c>
      <c r="CT223" s="3166" t="e">
        <f t="shared" si="914"/>
        <v>#VALUE!</v>
      </c>
      <c r="CU223" s="3166" t="e">
        <f t="shared" ref="CU223" si="915">+CT223*(1+CU236/100)</f>
        <v>#VALUE!</v>
      </c>
      <c r="CV223" s="3166" t="e">
        <f t="shared" si="914"/>
        <v>#VALUE!</v>
      </c>
      <c r="CW223" s="3166" t="e">
        <f t="shared" ref="CW223" si="916">+CV223*(1+CW236/100)</f>
        <v>#VALUE!</v>
      </c>
      <c r="CX223" s="3166" t="e">
        <f t="shared" ref="CX223" si="917">+CW223*(1+CX236/100)</f>
        <v>#VALUE!</v>
      </c>
      <c r="CY223" s="3166" t="e">
        <f t="shared" ref="CY223" si="918">+CX223*(1+CY236/100)</f>
        <v>#VALUE!</v>
      </c>
      <c r="CZ223" s="3166" t="e">
        <f t="shared" ref="CZ223" si="919">+CY223*(1+CZ236/100)</f>
        <v>#VALUE!</v>
      </c>
      <c r="DA223" s="3166" t="e">
        <f t="shared" ref="DA223" si="920">+CZ223*(1+DA236/100)</f>
        <v>#VALUE!</v>
      </c>
      <c r="DB223" s="3166" t="e">
        <f t="shared" ref="DB223" si="921">+DA223*(1+DB236/100)</f>
        <v>#VALUE!</v>
      </c>
      <c r="DC223" s="3166" t="e">
        <f t="shared" ref="DC223" si="922">+DB223*(1+DC236/100)</f>
        <v>#VALUE!</v>
      </c>
      <c r="DD223" s="3166" t="e">
        <f t="shared" ref="DD223" si="923">+DC223*(1+DD236/100)</f>
        <v>#VALUE!</v>
      </c>
      <c r="DE223" s="3166" t="e">
        <f t="shared" ref="DE223" si="924">+DD223*(1+DE236/100)</f>
        <v>#VALUE!</v>
      </c>
      <c r="DF223" s="3166" t="e">
        <f t="shared" ref="DF223" si="925">+DE223*(1+DF236/100)</f>
        <v>#VALUE!</v>
      </c>
    </row>
    <row r="224" spans="1:110" s="736" customFormat="1" ht="12.75" hidden="1" customHeight="1">
      <c r="A224" s="701"/>
      <c r="C224" s="3172"/>
      <c r="D224" s="716"/>
      <c r="E224" s="717" t="s">
        <v>353</v>
      </c>
      <c r="F224" s="1969"/>
      <c r="G224" s="3165"/>
      <c r="H224" s="3165"/>
      <c r="I224" s="3167"/>
      <c r="J224" s="1627" t="e">
        <f>SUM(G223:J223)</f>
        <v>#VALUE!</v>
      </c>
      <c r="K224" s="3165"/>
      <c r="L224" s="3165"/>
      <c r="M224" s="3167"/>
      <c r="N224" s="1627" t="e">
        <f>SUM(K223:N223)</f>
        <v>#VALUE!</v>
      </c>
      <c r="O224" s="3165"/>
      <c r="P224" s="3165"/>
      <c r="Q224" s="3167"/>
      <c r="R224" s="1627" t="e">
        <f>SUM(O223:R223)</f>
        <v>#VALUE!</v>
      </c>
      <c r="S224" s="3165"/>
      <c r="T224" s="3165"/>
      <c r="U224" s="3167"/>
      <c r="V224" s="1627" t="e">
        <f>SUM(S223:V223)</f>
        <v>#VALUE!</v>
      </c>
      <c r="W224" s="3165"/>
      <c r="X224" s="3165"/>
      <c r="Y224" s="3167"/>
      <c r="Z224" s="1627" t="e">
        <f>SUM(W223:Z223)</f>
        <v>#VALUE!</v>
      </c>
      <c r="AA224" s="3165"/>
      <c r="AB224" s="3165"/>
      <c r="AC224" s="3167"/>
      <c r="AD224" s="1627" t="e">
        <f>SUM(AA223:AD223)</f>
        <v>#VALUE!</v>
      </c>
      <c r="AE224" s="3165"/>
      <c r="AF224" s="3165"/>
      <c r="AG224" s="3167"/>
      <c r="AH224" s="1627" t="e">
        <f>SUM(AE223:AH223)</f>
        <v>#VALUE!</v>
      </c>
      <c r="AI224" s="3165"/>
      <c r="AJ224" s="3165"/>
      <c r="AK224" s="3167"/>
      <c r="AL224" s="1627" t="e">
        <f>SUM(AI223:AL223)</f>
        <v>#VALUE!</v>
      </c>
      <c r="AM224" s="3165"/>
      <c r="AN224" s="3165"/>
      <c r="AO224" s="3167"/>
      <c r="AP224" s="1627" t="e">
        <f>SUM(AM223:AP223)</f>
        <v>#VALUE!</v>
      </c>
      <c r="AQ224" s="3165"/>
      <c r="AR224" s="3165"/>
      <c r="AS224" s="3167"/>
      <c r="AT224" s="1627" t="e">
        <f>SUM(AQ223:AT223)</f>
        <v>#VALUE!</v>
      </c>
      <c r="AU224" s="3165"/>
      <c r="AV224" s="3165"/>
      <c r="AW224" s="3167"/>
      <c r="AX224" s="1627" t="e">
        <f>SUM(AU223:AX223)</f>
        <v>#VALUE!</v>
      </c>
      <c r="AY224" s="3165"/>
      <c r="AZ224" s="3165"/>
      <c r="BA224" s="3167"/>
      <c r="BB224" s="1627" t="e">
        <f>SUM(AY223:BB223)</f>
        <v>#VALUE!</v>
      </c>
      <c r="BC224" s="3165"/>
      <c r="BD224" s="3165"/>
      <c r="BE224" s="3167"/>
      <c r="BF224" s="1627" t="e">
        <f>SUM(BC223:BF223)</f>
        <v>#VALUE!</v>
      </c>
      <c r="BG224" s="3165"/>
      <c r="BH224" s="3165"/>
      <c r="BI224" s="3167"/>
      <c r="BJ224" s="1627" t="e">
        <f>SUM(BG223:BJ223)</f>
        <v>#VALUE!</v>
      </c>
      <c r="BK224" s="3165"/>
      <c r="BL224" s="3165"/>
      <c r="BM224" s="3167"/>
      <c r="BN224" s="1627" t="e">
        <f>SUM(BK223:BN223)</f>
        <v>#VALUE!</v>
      </c>
      <c r="BO224" s="3165"/>
      <c r="BP224" s="3165"/>
      <c r="BQ224" s="3167"/>
      <c r="BR224" s="1627" t="e">
        <f>SUM(BO223:BR223)</f>
        <v>#VALUE!</v>
      </c>
      <c r="BS224" s="3165"/>
      <c r="BT224" s="3165"/>
      <c r="BU224" s="3167"/>
      <c r="BV224" s="1627" t="e">
        <f>SUM(BS223:BV223)</f>
        <v>#VALUE!</v>
      </c>
      <c r="BW224" s="3165"/>
      <c r="BX224" s="3165"/>
      <c r="BY224" s="3167"/>
      <c r="BZ224" s="1627" t="e">
        <f>SUM(BW223:BZ223)</f>
        <v>#VALUE!</v>
      </c>
      <c r="CA224" s="3165"/>
      <c r="CB224" s="3165"/>
      <c r="CC224" s="3167"/>
      <c r="CD224" s="1627" t="e">
        <f>SUM(CA223:CD223)</f>
        <v>#VALUE!</v>
      </c>
      <c r="CE224" s="3165"/>
      <c r="CF224" s="3165"/>
      <c r="CG224" s="3167"/>
      <c r="CH224" s="1627" t="e">
        <f>SUM(CE223:CH223)</f>
        <v>#VALUE!</v>
      </c>
      <c r="CI224" s="3165"/>
      <c r="CJ224" s="3165"/>
      <c r="CK224" s="3167"/>
      <c r="CL224" s="1627" t="e">
        <f>SUM(CI223:CL223)</f>
        <v>#VALUE!</v>
      </c>
      <c r="CM224" s="3165"/>
      <c r="CN224" s="3165"/>
      <c r="CO224" s="3167"/>
      <c r="CP224" s="1627" t="e">
        <f>SUM(CM223:CP223)</f>
        <v>#VALUE!</v>
      </c>
      <c r="CQ224" s="3165"/>
      <c r="CR224" s="3165"/>
      <c r="CS224" s="3167"/>
      <c r="CT224" s="1627" t="e">
        <f>SUM(CQ223:CT223)</f>
        <v>#VALUE!</v>
      </c>
      <c r="CU224" s="3165"/>
      <c r="CV224" s="3165"/>
      <c r="CW224" s="3167"/>
      <c r="CX224" s="1627" t="e">
        <f>SUM(CU223:CX223)</f>
        <v>#VALUE!</v>
      </c>
      <c r="CY224" s="3165"/>
      <c r="CZ224" s="3165"/>
      <c r="DA224" s="3167"/>
      <c r="DB224" s="1627" t="e">
        <f>SUM(CY223:DB223)</f>
        <v>#VALUE!</v>
      </c>
      <c r="DC224" s="3165"/>
      <c r="DD224" s="3165"/>
      <c r="DE224" s="3167"/>
      <c r="DF224" s="1627" t="e">
        <f>SUM(DC223:DF223)</f>
        <v>#VALUE!</v>
      </c>
    </row>
    <row r="225" spans="1:110" s="736" customFormat="1" ht="12.75" hidden="1" customHeight="1">
      <c r="A225" s="701"/>
      <c r="C225" s="3172"/>
      <c r="D225" s="716"/>
      <c r="E225" s="717" t="s">
        <v>136</v>
      </c>
      <c r="F225" s="1969"/>
      <c r="G225" s="3165"/>
      <c r="H225" s="3168" t="s">
        <v>1694</v>
      </c>
      <c r="I225" s="3165" t="e">
        <f ca="1">+J225/J224*100</f>
        <v>#VALUE!</v>
      </c>
      <c r="J225" s="1627">
        <f ca="1">OFFSET('VVP2'!$G$103,0,(COLUMN()-10)/4)</f>
        <v>178.36304000000001</v>
      </c>
      <c r="K225" s="3165"/>
      <c r="L225" s="3168" t="s">
        <v>1694</v>
      </c>
      <c r="M225" s="3165" t="e">
        <f ca="1">+N225/N224*100</f>
        <v>#VALUE!</v>
      </c>
      <c r="N225" s="1627">
        <f ca="1">OFFSET('VVP2'!$G$103,0,(COLUMN()-10)/4)</f>
        <v>189.27348999999998</v>
      </c>
      <c r="O225" s="3165"/>
      <c r="P225" s="3168" t="s">
        <v>1694</v>
      </c>
      <c r="Q225" s="3165" t="e">
        <f ca="1">+R225/R224*100</f>
        <v>#VALUE!</v>
      </c>
      <c r="R225" s="1627">
        <f ca="1">OFFSET('VVP2'!$G$103,0,(COLUMN()-10)/4)</f>
        <v>218.75745000000001</v>
      </c>
      <c r="S225" s="3165"/>
      <c r="T225" s="3168" t="s">
        <v>1694</v>
      </c>
      <c r="U225" s="3165" t="e">
        <f ca="1">+V225/V224*100</f>
        <v>#VALUE!</v>
      </c>
      <c r="V225" s="1627">
        <f ca="1">OFFSET('VVP2'!$G$103,0,(COLUMN()-10)/4)</f>
        <v>251.19322</v>
      </c>
      <c r="W225" s="3165"/>
      <c r="X225" s="3168" t="s">
        <v>1694</v>
      </c>
      <c r="Y225" s="3165" t="e">
        <f ca="1">+Z225/Z224*100</f>
        <v>#VALUE!</v>
      </c>
      <c r="Z225" s="1627">
        <f ca="1">OFFSET('VVP2'!$G$103,0,(COLUMN()-10)/4)</f>
        <v>270.52501000000001</v>
      </c>
      <c r="AA225" s="3165"/>
      <c r="AB225" s="3168" t="s">
        <v>1694</v>
      </c>
      <c r="AC225" s="3165" t="e">
        <f ca="1">+AD225/AD224*100</f>
        <v>#VALUE!</v>
      </c>
      <c r="AD225" s="1627">
        <f ca="1">OFFSET('VVP2'!$G$103,0,(COLUMN()-10)/4)</f>
        <v>299.34490999999997</v>
      </c>
      <c r="AE225" s="3165"/>
      <c r="AF225" s="3168" t="s">
        <v>1694</v>
      </c>
      <c r="AG225" s="3165" t="e">
        <f ca="1">+AH225/AH224*100</f>
        <v>#VALUE!</v>
      </c>
      <c r="AH225" s="1627">
        <f ca="1">OFFSET('VVP2'!$G$103,0,(COLUMN()-10)/4)</f>
        <v>315.92808000000002</v>
      </c>
      <c r="AI225" s="3165"/>
      <c r="AJ225" s="3168" t="s">
        <v>1694</v>
      </c>
      <c r="AK225" s="3165" t="e">
        <f ca="1">+AL225/AL224*100</f>
        <v>#VALUE!</v>
      </c>
      <c r="AL225" s="1627">
        <f ca="1">OFFSET('VVP2'!$G$103,0,(COLUMN()-10)/4)</f>
        <v>305.39630999999997</v>
      </c>
      <c r="AM225" s="3165"/>
      <c r="AN225" s="3168" t="s">
        <v>1694</v>
      </c>
      <c r="AO225" s="3165" t="e">
        <f ca="1">+AP225/AP224*100</f>
        <v>#VALUE!</v>
      </c>
      <c r="AP225" s="1627">
        <f ca="1">OFFSET('VVP2'!$G$103,0,(COLUMN()-10)/4)</f>
        <v>300.83744000000002</v>
      </c>
      <c r="AQ225" s="3165"/>
      <c r="AR225" s="3168" t="s">
        <v>1694</v>
      </c>
      <c r="AS225" s="3165" t="e">
        <f ca="1">+AT225/AT224*100</f>
        <v>#VALUE!</v>
      </c>
      <c r="AT225" s="1627">
        <f ca="1">OFFSET('VVP2'!$G$103,0,(COLUMN()-10)/4)</f>
        <v>311.0598</v>
      </c>
      <c r="AU225" s="3165"/>
      <c r="AV225" s="3168" t="s">
        <v>1694</v>
      </c>
      <c r="AW225" s="3165" t="e">
        <f ca="1">+AX225/AX224*100</f>
        <v>#VALUE!</v>
      </c>
      <c r="AX225" s="1627">
        <f ca="1">OFFSET('VVP2'!$G$103,0,(COLUMN()-10)/4)</f>
        <v>328.86672999999996</v>
      </c>
      <c r="AY225" s="3165"/>
      <c r="AZ225" s="3168" t="s">
        <v>1694</v>
      </c>
      <c r="BA225" s="3165" t="e">
        <f ca="1">+BB225/BB224*100</f>
        <v>#VALUE!</v>
      </c>
      <c r="BB225" s="1627">
        <f ca="1">OFFSET('VVP2'!$G$103,0,(COLUMN()-10)/4)</f>
        <v>343.36811999999998</v>
      </c>
      <c r="BC225" s="3165"/>
      <c r="BD225" s="3168" t="s">
        <v>1694</v>
      </c>
      <c r="BE225" s="3165" t="e">
        <f ca="1">+BF225/BF224*100</f>
        <v>#VALUE!</v>
      </c>
      <c r="BF225" s="1627">
        <f ca="1">OFFSET('VVP2'!$G$103,0,(COLUMN()-10)/4)</f>
        <v>376.69238999999999</v>
      </c>
      <c r="BG225" s="3165"/>
      <c r="BH225" s="3168" t="s">
        <v>1694</v>
      </c>
      <c r="BI225" s="3165" t="e">
        <f ca="1">+BJ225/BJ224*100</f>
        <v>#VALUE!</v>
      </c>
      <c r="BJ225" s="1627">
        <f ca="1">OFFSET('VVP2'!$G$103,0,(COLUMN()-10)/4)</f>
        <v>400.3383</v>
      </c>
      <c r="BK225" s="3165"/>
      <c r="BL225" s="3168" t="s">
        <v>1694</v>
      </c>
      <c r="BM225" s="3165" t="e">
        <f ca="1">+BN225/BN224*100</f>
        <v>#VALUE!</v>
      </c>
      <c r="BN225" s="1627">
        <f ca="1">OFFSET('VVP2'!$G$103,0,(COLUMN()-10)/4)</f>
        <v>371.75391999999999</v>
      </c>
      <c r="BO225" s="3165"/>
      <c r="BP225" s="3168" t="s">
        <v>1694</v>
      </c>
      <c r="BQ225" s="3165" t="e">
        <f ca="1">+BR225/BR224*100</f>
        <v>#VALUE!</v>
      </c>
      <c r="BR225" s="1627">
        <f ca="1">OFFSET('VVP2'!$G$103,0,(COLUMN()-10)/4)</f>
        <v>380.23899999999998</v>
      </c>
      <c r="BS225" s="3165"/>
      <c r="BT225" s="3168" t="s">
        <v>1694</v>
      </c>
      <c r="BU225" s="3165" t="e">
        <f ca="1">+BV225/BV224*100</f>
        <v>#VALUE!</v>
      </c>
      <c r="BV225" s="1627">
        <f ca="1">OFFSET('VVP2'!$G$103,0,(COLUMN()-10)/4)</f>
        <v>394.20377000000002</v>
      </c>
      <c r="BW225" s="3165"/>
      <c r="BX225" s="3168" t="s">
        <v>1694</v>
      </c>
      <c r="BY225" s="3165" t="e">
        <f ca="1">+BZ225/BZ224*100</f>
        <v>#VALUE!</v>
      </c>
      <c r="BZ225" s="1627">
        <f ca="1">OFFSET('VVP2'!$G$103,0,(COLUMN()-10)/4)</f>
        <v>411.28568999999999</v>
      </c>
      <c r="CA225" s="3165"/>
      <c r="CB225" s="3168" t="s">
        <v>1694</v>
      </c>
      <c r="CC225" s="3165" t="e">
        <f ca="1">+CD225/CD224*100</f>
        <v>#VALUE!</v>
      </c>
      <c r="CD225" s="1627">
        <f ca="1">OFFSET('VVP2'!$G$103,0,(COLUMN()-10)/4)</f>
        <v>428.03694999999999</v>
      </c>
      <c r="CE225" s="3165"/>
      <c r="CF225" s="3168" t="s">
        <v>1694</v>
      </c>
      <c r="CG225" s="3165" t="e">
        <f ca="1">+CH225/CH224*100</f>
        <v>#VALUE!</v>
      </c>
      <c r="CH225" s="1627">
        <f ca="1">OFFSET('VVP2'!$G$103,0,(COLUMN()-10)/4)</f>
        <v>472.40280999999999</v>
      </c>
      <c r="CI225" s="3165"/>
      <c r="CJ225" s="3168" t="s">
        <v>1694</v>
      </c>
      <c r="CK225" s="3165" t="e">
        <f ca="1">+CL225/CL224*100</f>
        <v>#VALUE!</v>
      </c>
      <c r="CL225" s="1627">
        <f ca="1">OFFSET('VVP2'!$G$103,0,(COLUMN()-10)/4)</f>
        <v>495.46224000000001</v>
      </c>
      <c r="CM225" s="3165"/>
      <c r="CN225" s="3168" t="s">
        <v>1694</v>
      </c>
      <c r="CO225" s="3165" t="e">
        <f ca="1">+CP225/CP224*100</f>
        <v>#VALUE!</v>
      </c>
      <c r="CP225" s="1627">
        <f ca="1">OFFSET('VVP2'!$G$103,0,(COLUMN()-10)/4)</f>
        <v>499.86687000000001</v>
      </c>
      <c r="CQ225" s="3165"/>
      <c r="CR225" s="3168" t="s">
        <v>1694</v>
      </c>
      <c r="CS225" s="3165" t="e">
        <f ca="1">+CT225/CT224*100</f>
        <v>#VALUE!</v>
      </c>
      <c r="CT225" s="1627">
        <f ca="1">OFFSET('VVP2'!$G$103,0,(COLUMN()-10)/4)</f>
        <v>531.81220999999994</v>
      </c>
      <c r="CU225" s="3165"/>
      <c r="CV225" s="3168" t="s">
        <v>1694</v>
      </c>
      <c r="CW225" s="3165" t="e">
        <f ca="1">+CX225/CX224*100</f>
        <v>#VALUE!</v>
      </c>
      <c r="CX225" s="1627">
        <f ca="1">OFFSET('VVP2'!$G$103,0,(COLUMN()-10)/4)</f>
        <v>548.03248240499988</v>
      </c>
      <c r="CY225" s="3165"/>
      <c r="CZ225" s="3168" t="s">
        <v>1694</v>
      </c>
      <c r="DA225" s="3165" t="e">
        <f ca="1">+DB225/DB224*100</f>
        <v>#VALUE!</v>
      </c>
      <c r="DB225" s="1627">
        <f ca="1">OFFSET('VVP2'!$G$103,0,(COLUMN()-10)/4)</f>
        <v>563.54180165706134</v>
      </c>
      <c r="DC225" s="3165"/>
      <c r="DD225" s="3168" t="s">
        <v>1694</v>
      </c>
      <c r="DE225" s="3165" t="e">
        <f ca="1">+DF225/DF224*100</f>
        <v>#VALUE!</v>
      </c>
      <c r="DF225" s="1627">
        <f ca="1">OFFSET('VVP2'!$G$103,0,(COLUMN()-10)/4)</f>
        <v>581.63149349025298</v>
      </c>
    </row>
    <row r="226" spans="1:110" s="736" customFormat="1" ht="12.75" hidden="1" customHeight="1">
      <c r="A226" s="701"/>
      <c r="C226" s="3172" t="s">
        <v>1791</v>
      </c>
      <c r="D226" s="711"/>
      <c r="E226" s="820" t="s">
        <v>487</v>
      </c>
      <c r="F226" s="741"/>
      <c r="G226" s="743" t="e">
        <f t="shared" ref="G226:AL226" si="926">G227-G220-G223</f>
        <v>#VALUE!</v>
      </c>
      <c r="H226" s="743" t="e">
        <f t="shared" si="926"/>
        <v>#VALUE!</v>
      </c>
      <c r="I226" s="743" t="e">
        <f t="shared" si="926"/>
        <v>#VALUE!</v>
      </c>
      <c r="J226" s="743" t="e">
        <f t="shared" si="926"/>
        <v>#VALUE!</v>
      </c>
      <c r="K226" s="743" t="e">
        <f t="shared" si="926"/>
        <v>#VALUE!</v>
      </c>
      <c r="L226" s="743" t="e">
        <f t="shared" si="926"/>
        <v>#VALUE!</v>
      </c>
      <c r="M226" s="743" t="e">
        <f t="shared" si="926"/>
        <v>#VALUE!</v>
      </c>
      <c r="N226" s="743" t="e">
        <f t="shared" si="926"/>
        <v>#VALUE!</v>
      </c>
      <c r="O226" s="743" t="e">
        <f t="shared" si="926"/>
        <v>#VALUE!</v>
      </c>
      <c r="P226" s="743" t="e">
        <f t="shared" si="926"/>
        <v>#VALUE!</v>
      </c>
      <c r="Q226" s="743" t="e">
        <f t="shared" si="926"/>
        <v>#VALUE!</v>
      </c>
      <c r="R226" s="743" t="e">
        <f t="shared" si="926"/>
        <v>#VALUE!</v>
      </c>
      <c r="S226" s="743" t="e">
        <f t="shared" si="926"/>
        <v>#VALUE!</v>
      </c>
      <c r="T226" s="743" t="e">
        <f t="shared" si="926"/>
        <v>#VALUE!</v>
      </c>
      <c r="U226" s="743" t="e">
        <f t="shared" si="926"/>
        <v>#VALUE!</v>
      </c>
      <c r="V226" s="743" t="e">
        <f t="shared" si="926"/>
        <v>#VALUE!</v>
      </c>
      <c r="W226" s="743" t="e">
        <f t="shared" si="926"/>
        <v>#VALUE!</v>
      </c>
      <c r="X226" s="743" t="e">
        <f t="shared" si="926"/>
        <v>#VALUE!</v>
      </c>
      <c r="Y226" s="743" t="e">
        <f t="shared" si="926"/>
        <v>#VALUE!</v>
      </c>
      <c r="Z226" s="743" t="e">
        <f t="shared" si="926"/>
        <v>#VALUE!</v>
      </c>
      <c r="AA226" s="743" t="e">
        <f t="shared" si="926"/>
        <v>#VALUE!</v>
      </c>
      <c r="AB226" s="743" t="e">
        <f t="shared" si="926"/>
        <v>#VALUE!</v>
      </c>
      <c r="AC226" s="743" t="e">
        <f t="shared" si="926"/>
        <v>#VALUE!</v>
      </c>
      <c r="AD226" s="743" t="e">
        <f t="shared" si="926"/>
        <v>#VALUE!</v>
      </c>
      <c r="AE226" s="743" t="e">
        <f t="shared" si="926"/>
        <v>#VALUE!</v>
      </c>
      <c r="AF226" s="743" t="e">
        <f t="shared" si="926"/>
        <v>#VALUE!</v>
      </c>
      <c r="AG226" s="743" t="e">
        <f t="shared" si="926"/>
        <v>#VALUE!</v>
      </c>
      <c r="AH226" s="743" t="e">
        <f t="shared" si="926"/>
        <v>#VALUE!</v>
      </c>
      <c r="AI226" s="743" t="e">
        <f t="shared" si="926"/>
        <v>#VALUE!</v>
      </c>
      <c r="AJ226" s="743" t="e">
        <f t="shared" si="926"/>
        <v>#VALUE!</v>
      </c>
      <c r="AK226" s="743" t="e">
        <f t="shared" si="926"/>
        <v>#VALUE!</v>
      </c>
      <c r="AL226" s="743" t="e">
        <f t="shared" si="926"/>
        <v>#VALUE!</v>
      </c>
      <c r="AM226" s="743" t="e">
        <f t="shared" ref="AM226:BI226" si="927">AM227-AM220-AM223</f>
        <v>#VALUE!</v>
      </c>
      <c r="AN226" s="743" t="e">
        <f t="shared" si="927"/>
        <v>#VALUE!</v>
      </c>
      <c r="AO226" s="743" t="e">
        <f t="shared" si="927"/>
        <v>#VALUE!</v>
      </c>
      <c r="AP226" s="743" t="e">
        <f t="shared" si="927"/>
        <v>#VALUE!</v>
      </c>
      <c r="AQ226" s="743" t="e">
        <f t="shared" si="927"/>
        <v>#VALUE!</v>
      </c>
      <c r="AR226" s="743" t="e">
        <f t="shared" si="927"/>
        <v>#VALUE!</v>
      </c>
      <c r="AS226" s="743" t="e">
        <f t="shared" si="927"/>
        <v>#VALUE!</v>
      </c>
      <c r="AT226" s="743" t="e">
        <f t="shared" si="927"/>
        <v>#VALUE!</v>
      </c>
      <c r="AU226" s="743" t="e">
        <f t="shared" si="927"/>
        <v>#VALUE!</v>
      </c>
      <c r="AV226" s="743" t="e">
        <f t="shared" si="927"/>
        <v>#VALUE!</v>
      </c>
      <c r="AW226" s="743" t="e">
        <f t="shared" si="927"/>
        <v>#VALUE!</v>
      </c>
      <c r="AX226" s="743" t="e">
        <f t="shared" si="927"/>
        <v>#VALUE!</v>
      </c>
      <c r="AY226" s="743" t="e">
        <f t="shared" si="927"/>
        <v>#VALUE!</v>
      </c>
      <c r="AZ226" s="743" t="e">
        <f t="shared" si="927"/>
        <v>#VALUE!</v>
      </c>
      <c r="BA226" s="743" t="e">
        <f t="shared" si="927"/>
        <v>#VALUE!</v>
      </c>
      <c r="BB226" s="743" t="e">
        <f t="shared" si="927"/>
        <v>#VALUE!</v>
      </c>
      <c r="BC226" s="743" t="e">
        <f t="shared" si="927"/>
        <v>#VALUE!</v>
      </c>
      <c r="BD226" s="743" t="e">
        <f t="shared" si="927"/>
        <v>#VALUE!</v>
      </c>
      <c r="BE226" s="743" t="e">
        <f t="shared" si="927"/>
        <v>#VALUE!</v>
      </c>
      <c r="BF226" s="743" t="e">
        <f t="shared" si="927"/>
        <v>#VALUE!</v>
      </c>
      <c r="BG226" s="743" t="e">
        <f t="shared" si="927"/>
        <v>#VALUE!</v>
      </c>
      <c r="BH226" s="743" t="e">
        <f t="shared" si="927"/>
        <v>#VALUE!</v>
      </c>
      <c r="BI226" s="743" t="e">
        <f t="shared" si="927"/>
        <v>#VALUE!</v>
      </c>
      <c r="BJ226" s="743" t="e">
        <f t="shared" ref="BJ226:BR226" si="928">BJ227-BJ220-BJ223</f>
        <v>#VALUE!</v>
      </c>
      <c r="BK226" s="743" t="e">
        <f t="shared" si="928"/>
        <v>#VALUE!</v>
      </c>
      <c r="BL226" s="743" t="e">
        <f t="shared" si="928"/>
        <v>#VALUE!</v>
      </c>
      <c r="BM226" s="743" t="e">
        <f t="shared" si="928"/>
        <v>#VALUE!</v>
      </c>
      <c r="BN226" s="743" t="e">
        <f t="shared" si="928"/>
        <v>#VALUE!</v>
      </c>
      <c r="BO226" s="743" t="e">
        <f t="shared" si="928"/>
        <v>#VALUE!</v>
      </c>
      <c r="BP226" s="743" t="e">
        <f t="shared" si="928"/>
        <v>#VALUE!</v>
      </c>
      <c r="BQ226" s="743" t="e">
        <f t="shared" si="928"/>
        <v>#VALUE!</v>
      </c>
      <c r="BR226" s="743" t="e">
        <f t="shared" si="928"/>
        <v>#VALUE!</v>
      </c>
      <c r="BS226" s="743" t="e">
        <f t="shared" ref="BS226:BZ226" si="929">BS227-BS220-BS223</f>
        <v>#VALUE!</v>
      </c>
      <c r="BT226" s="743" t="e">
        <f t="shared" si="929"/>
        <v>#VALUE!</v>
      </c>
      <c r="BU226" s="743" t="e">
        <f t="shared" si="929"/>
        <v>#VALUE!</v>
      </c>
      <c r="BV226" s="743" t="e">
        <f t="shared" si="929"/>
        <v>#VALUE!</v>
      </c>
      <c r="BW226" s="743" t="e">
        <f t="shared" si="929"/>
        <v>#VALUE!</v>
      </c>
      <c r="BX226" s="743" t="e">
        <f t="shared" si="929"/>
        <v>#VALUE!</v>
      </c>
      <c r="BY226" s="743" t="e">
        <f t="shared" si="929"/>
        <v>#VALUE!</v>
      </c>
      <c r="BZ226" s="743" t="e">
        <f t="shared" si="929"/>
        <v>#VALUE!</v>
      </c>
      <c r="CA226" s="743" t="e">
        <f t="shared" ref="CA226:CF226" si="930">CA227-CA220-CA223</f>
        <v>#VALUE!</v>
      </c>
      <c r="CB226" s="743" t="e">
        <f t="shared" si="930"/>
        <v>#VALUE!</v>
      </c>
      <c r="CC226" s="743" t="e">
        <f t="shared" si="930"/>
        <v>#VALUE!</v>
      </c>
      <c r="CD226" s="743" t="e">
        <f t="shared" si="930"/>
        <v>#VALUE!</v>
      </c>
      <c r="CE226" s="743" t="e">
        <f t="shared" si="930"/>
        <v>#VALUE!</v>
      </c>
      <c r="CF226" s="743" t="e">
        <f t="shared" si="930"/>
        <v>#VALUE!</v>
      </c>
      <c r="CG226" s="743" t="e">
        <f t="shared" ref="CG226:CL226" si="931">CG227-CG220-CG223</f>
        <v>#VALUE!</v>
      </c>
      <c r="CH226" s="743" t="e">
        <f t="shared" si="931"/>
        <v>#VALUE!</v>
      </c>
      <c r="CI226" s="743" t="e">
        <f t="shared" si="931"/>
        <v>#VALUE!</v>
      </c>
      <c r="CJ226" s="743" t="e">
        <f t="shared" si="931"/>
        <v>#VALUE!</v>
      </c>
      <c r="CK226" s="743" t="e">
        <f t="shared" si="931"/>
        <v>#VALUE!</v>
      </c>
      <c r="CL226" s="743" t="e">
        <f t="shared" si="931"/>
        <v>#VALUE!</v>
      </c>
      <c r="CM226" s="743" t="e">
        <f t="shared" ref="CM226:CT226" si="932">CM227-CM220-CM223</f>
        <v>#VALUE!</v>
      </c>
      <c r="CN226" s="743" t="e">
        <f t="shared" si="932"/>
        <v>#VALUE!</v>
      </c>
      <c r="CO226" s="743" t="e">
        <f t="shared" si="932"/>
        <v>#VALUE!</v>
      </c>
      <c r="CP226" s="743" t="e">
        <f t="shared" si="932"/>
        <v>#VALUE!</v>
      </c>
      <c r="CQ226" s="743" t="e">
        <f t="shared" si="932"/>
        <v>#VALUE!</v>
      </c>
      <c r="CR226" s="743" t="e">
        <f t="shared" si="932"/>
        <v>#VALUE!</v>
      </c>
      <c r="CS226" s="743" t="e">
        <f t="shared" si="932"/>
        <v>#VALUE!</v>
      </c>
      <c r="CT226" s="743" t="e">
        <f t="shared" si="932"/>
        <v>#VALUE!</v>
      </c>
      <c r="CU226" s="743" t="e">
        <f t="shared" ref="CU226:CX226" si="933">CU227-CU220-CU223</f>
        <v>#VALUE!</v>
      </c>
      <c r="CV226" s="743" t="e">
        <f t="shared" si="933"/>
        <v>#VALUE!</v>
      </c>
      <c r="CW226" s="743" t="e">
        <f t="shared" si="933"/>
        <v>#VALUE!</v>
      </c>
      <c r="CX226" s="743" t="e">
        <f t="shared" si="933"/>
        <v>#VALUE!</v>
      </c>
      <c r="CY226" s="743" t="e">
        <f t="shared" ref="CY226:DB226" si="934">CY227-CY220-CY223</f>
        <v>#VALUE!</v>
      </c>
      <c r="CZ226" s="743" t="e">
        <f t="shared" si="934"/>
        <v>#VALUE!</v>
      </c>
      <c r="DA226" s="743" t="e">
        <f t="shared" si="934"/>
        <v>#VALUE!</v>
      </c>
      <c r="DB226" s="743" t="e">
        <f t="shared" si="934"/>
        <v>#VALUE!</v>
      </c>
      <c r="DC226" s="743" t="e">
        <f t="shared" ref="DC226:DF226" si="935">DC227-DC220-DC223</f>
        <v>#VALUE!</v>
      </c>
      <c r="DD226" s="743" t="e">
        <f t="shared" si="935"/>
        <v>#VALUE!</v>
      </c>
      <c r="DE226" s="743" t="e">
        <f t="shared" si="935"/>
        <v>#VALUE!</v>
      </c>
      <c r="DF226" s="743" t="e">
        <f t="shared" si="935"/>
        <v>#VALUE!</v>
      </c>
    </row>
    <row r="227" spans="1:110" s="736" customFormat="1" ht="12.75" hidden="1" customHeight="1">
      <c r="A227" s="702" t="str">
        <f>"Q" &amp; ROW(InputQ!A10)</f>
        <v>Q10</v>
      </c>
      <c r="B227" s="2014" t="s">
        <v>158</v>
      </c>
      <c r="C227" s="3173"/>
      <c r="D227" s="783"/>
      <c r="E227" s="1613" t="s">
        <v>1418</v>
      </c>
      <c r="F227" s="785"/>
      <c r="G227" s="836">
        <f>InputQ!G10/1000</f>
        <v>171.60410000000002</v>
      </c>
      <c r="H227" s="836">
        <f>InputQ!H10/1000</f>
        <v>174.011</v>
      </c>
      <c r="I227" s="836">
        <f>InputQ!I10/1000</f>
        <v>177.2296</v>
      </c>
      <c r="J227" s="836">
        <f>InputQ!J10/1000</f>
        <v>176.9992</v>
      </c>
      <c r="K227" s="836">
        <f>InputQ!K10/1000</f>
        <v>176.17750000000001</v>
      </c>
      <c r="L227" s="836">
        <f>InputQ!L10/1000</f>
        <v>178.57040000000001</v>
      </c>
      <c r="M227" s="836">
        <f>InputQ!M10/1000</f>
        <v>181.2294</v>
      </c>
      <c r="N227" s="836">
        <f>InputQ!N10/1000</f>
        <v>187.9425</v>
      </c>
      <c r="O227" s="836">
        <f>InputQ!O10/1000</f>
        <v>194.0891</v>
      </c>
      <c r="P227" s="836">
        <f>InputQ!P10/1000</f>
        <v>203.11410000000001</v>
      </c>
      <c r="Q227" s="836">
        <f>InputQ!Q10/1000</f>
        <v>206.30799999999999</v>
      </c>
      <c r="R227" s="836">
        <f>InputQ!R10/1000</f>
        <v>213.03110000000001</v>
      </c>
      <c r="S227" s="836">
        <f>InputQ!S10/1000</f>
        <v>223.17939999999999</v>
      </c>
      <c r="T227" s="836">
        <f>InputQ!T10/1000</f>
        <v>226.316</v>
      </c>
      <c r="U227" s="836">
        <f>InputQ!U10/1000</f>
        <v>227.55600000000001</v>
      </c>
      <c r="V227" s="836">
        <f>InputQ!V10/1000</f>
        <v>230.51060000000001</v>
      </c>
      <c r="W227" s="836">
        <f>InputQ!W10/1000</f>
        <v>231.69129999999998</v>
      </c>
      <c r="X227" s="836">
        <f>InputQ!X10/1000</f>
        <v>233.6215</v>
      </c>
      <c r="Y227" s="836">
        <f>InputQ!Y10/1000</f>
        <v>240.25060000000002</v>
      </c>
      <c r="Z227" s="836">
        <f>InputQ!Z10/1000</f>
        <v>244.83970000000002</v>
      </c>
      <c r="AA227" s="836">
        <f>InputQ!AA10/1000</f>
        <v>254.24639999999999</v>
      </c>
      <c r="AB227" s="836">
        <f>InputQ!AB10/1000</f>
        <v>265.18579999999997</v>
      </c>
      <c r="AC227" s="836">
        <f>InputQ!AC10/1000</f>
        <v>275.47459999999995</v>
      </c>
      <c r="AD227" s="836">
        <f>InputQ!AD10/1000</f>
        <v>269.66720000000004</v>
      </c>
      <c r="AE227" s="836">
        <f>InputQ!AE10/1000</f>
        <v>271.74670000000003</v>
      </c>
      <c r="AF227" s="836">
        <f>InputQ!AF10/1000</f>
        <v>261.46389999999997</v>
      </c>
      <c r="AG227" s="836">
        <f>InputQ!AG10/1000</f>
        <v>256.76990000000001</v>
      </c>
      <c r="AH227" s="836">
        <f>InputQ!AH10/1000</f>
        <v>257.81020000000001</v>
      </c>
      <c r="AI227" s="836">
        <f>InputQ!AI10/1000</f>
        <v>261.52019999999999</v>
      </c>
      <c r="AJ227" s="836">
        <f>InputQ!AJ10/1000</f>
        <v>259.03829999999999</v>
      </c>
      <c r="AK227" s="836">
        <f>InputQ!AK10/1000</f>
        <v>254.3947</v>
      </c>
      <c r="AL227" s="836">
        <f>InputQ!AL10/1000</f>
        <v>259.38830000000002</v>
      </c>
      <c r="AM227" s="836">
        <f>InputQ!AM10/1000</f>
        <v>267.7133</v>
      </c>
      <c r="AN227" s="836">
        <f>InputQ!AN10/1000</f>
        <v>265.88</v>
      </c>
      <c r="AO227" s="836">
        <f>InputQ!AO10/1000</f>
        <v>267.59359999999998</v>
      </c>
      <c r="AP227" s="836">
        <f>InputQ!AP10/1000</f>
        <v>274.28800000000001</v>
      </c>
      <c r="AQ227" s="836">
        <f>InputQ!AQ10/1000</f>
        <v>273.37040000000002</v>
      </c>
      <c r="AR227" s="836">
        <f>InputQ!AR10/1000</f>
        <v>284.64400000000001</v>
      </c>
      <c r="AS227" s="836">
        <f>InputQ!AS10/1000</f>
        <v>287.12690000000003</v>
      </c>
      <c r="AT227" s="836">
        <f>InputQ!AT10/1000</f>
        <v>292.9699</v>
      </c>
      <c r="AU227" s="836">
        <f>InputQ!AU10/1000</f>
        <v>292.64749999999998</v>
      </c>
      <c r="AV227" s="836">
        <f>InputQ!AV10/1000</f>
        <v>301.5104</v>
      </c>
      <c r="AW227" s="836">
        <f>InputQ!AW10/1000</f>
        <v>306.20729999999998</v>
      </c>
      <c r="AX227" s="836">
        <f>InputQ!AX10/1000</f>
        <v>317.01229999999998</v>
      </c>
      <c r="AY227" s="836">
        <f>InputQ!AY10/1000</f>
        <v>318.14150000000001</v>
      </c>
      <c r="AZ227" s="836">
        <f>InputQ!AZ10/1000</f>
        <v>326.05109999999996</v>
      </c>
      <c r="BA227" s="836">
        <f>InputQ!BA10/1000</f>
        <v>332.57940000000002</v>
      </c>
      <c r="BB227" s="836">
        <f>InputQ!BB10/1000</f>
        <v>346.15199999999999</v>
      </c>
      <c r="BC227" s="836">
        <f>InputQ!BC10/1000</f>
        <v>345.59429999999998</v>
      </c>
      <c r="BD227" s="836">
        <f>InputQ!BD10/1000</f>
        <v>349.16699999999997</v>
      </c>
      <c r="BE227" s="836">
        <f>InputQ!BE10/1000</f>
        <v>363.63059999999996</v>
      </c>
      <c r="BF227" s="836">
        <f>InputQ!BF10/1000</f>
        <v>369.08790000000005</v>
      </c>
      <c r="BG227" s="836">
        <f>InputQ!BG10/1000</f>
        <v>379.10270000000003</v>
      </c>
      <c r="BH227" s="836">
        <f>InputQ!BH10/1000</f>
        <v>377.26650000000001</v>
      </c>
      <c r="BI227" s="836">
        <f>InputQ!BI10/1000</f>
        <v>371.76659999999998</v>
      </c>
      <c r="BJ227" s="836">
        <f>InputQ!BJ10/1000</f>
        <v>349.13240000000002</v>
      </c>
      <c r="BK227" s="836">
        <f>InputQ!BK10/1000</f>
        <v>321.08920000000001</v>
      </c>
      <c r="BL227" s="836">
        <f>InputQ!BL10/1000</f>
        <v>302.90370000000001</v>
      </c>
      <c r="BM227" s="836">
        <f>InputQ!BM10/1000</f>
        <v>319.63959999999997</v>
      </c>
      <c r="BN227" s="836">
        <f>InputQ!BN10/1000</f>
        <v>326.95299999999997</v>
      </c>
      <c r="BO227" s="836">
        <f>InputQ!BO10/1000</f>
        <v>337.3732</v>
      </c>
      <c r="BP227" s="836">
        <f>InputQ!BP10/1000</f>
        <v>352.92849999999999</v>
      </c>
      <c r="BQ227" s="836">
        <f>InputQ!BQ10/1000</f>
        <v>368.23450000000003</v>
      </c>
      <c r="BR227" s="836">
        <f>InputQ!BR10/1000</f>
        <v>368.7448</v>
      </c>
      <c r="BS227" s="836">
        <f>InputQ!BS10/1000</f>
        <v>382.83459999999997</v>
      </c>
      <c r="BT227" s="836">
        <f>InputQ!BT10/1000</f>
        <v>384.66490000000005</v>
      </c>
      <c r="BU227" s="836">
        <f>InputQ!BU10/1000</f>
        <v>385.24629999999996</v>
      </c>
      <c r="BV227" s="836">
        <f>InputQ!BV10/1000</f>
        <v>380.21420000000001</v>
      </c>
      <c r="BW227" s="3166">
        <f t="shared" ref="BW227:CD227" si="936">+BV227*(1+BW240/100)</f>
        <v>388.2534</v>
      </c>
      <c r="BX227" s="3166">
        <f t="shared" si="936"/>
        <v>388.00220000000002</v>
      </c>
      <c r="BY227" s="3166">
        <f t="shared" si="936"/>
        <v>389.53779999999995</v>
      </c>
      <c r="BZ227" s="3166">
        <f t="shared" si="936"/>
        <v>382.69319999999993</v>
      </c>
      <c r="CA227" s="3166">
        <f>+BZ227*(1+CA240/100)</f>
        <v>379.55659999999995</v>
      </c>
      <c r="CB227" s="3166">
        <f>+CA227*(1+CB240/100)</f>
        <v>387.94779999999992</v>
      </c>
      <c r="CC227" s="3166">
        <f t="shared" si="936"/>
        <v>387.97149999999993</v>
      </c>
      <c r="CD227" s="3166">
        <f t="shared" si="936"/>
        <v>390.55139999999994</v>
      </c>
      <c r="CE227" s="3166">
        <f>+CD227*(1+CE240/100)</f>
        <v>401.05869999999987</v>
      </c>
      <c r="CF227" s="3166">
        <f>+CE227*(1+CF240/100)</f>
        <v>411.97829999999982</v>
      </c>
      <c r="CG227" s="3166">
        <f t="shared" ref="CG227:CL227" si="937">+CF227*(1+CG240/100)</f>
        <v>410.45949999999982</v>
      </c>
      <c r="CH227" s="3166">
        <f t="shared" si="937"/>
        <v>422.12959999999981</v>
      </c>
      <c r="CI227" s="3166">
        <f>+CH227*(1+CI240/100)</f>
        <v>422.94539999999989</v>
      </c>
      <c r="CJ227" s="3166">
        <f>+CI227*(1+CJ240/100)</f>
        <v>421.05479999999989</v>
      </c>
      <c r="CK227" s="3166">
        <f t="shared" si="937"/>
        <v>435.83969999999988</v>
      </c>
      <c r="CL227" s="3166">
        <f t="shared" si="937"/>
        <v>445.87529999999987</v>
      </c>
      <c r="CM227" s="3166">
        <f t="shared" ref="CM227:CV227" si="938">+CL227*(1+CM240/100)</f>
        <v>445.73189999999988</v>
      </c>
      <c r="CN227" s="3166">
        <f t="shared" si="938"/>
        <v>444.5927999999999</v>
      </c>
      <c r="CO227" s="3166">
        <f t="shared" si="938"/>
        <v>449.08999999999986</v>
      </c>
      <c r="CP227" s="3166">
        <f t="shared" si="938"/>
        <v>454.52659999999992</v>
      </c>
      <c r="CQ227" s="3166">
        <f t="shared" si="938"/>
        <v>460.40519999999998</v>
      </c>
      <c r="CR227" s="3166">
        <f t="shared" si="938"/>
        <v>469.72090000000003</v>
      </c>
      <c r="CS227" s="3166">
        <f t="shared" si="938"/>
        <v>475.39879999999999</v>
      </c>
      <c r="CT227" s="3166">
        <f t="shared" si="938"/>
        <v>480.33890000000002</v>
      </c>
      <c r="CU227" s="3166">
        <f t="shared" ref="CU227" si="939">+CT227*(1+CU240/100)</f>
        <v>484.57610000000005</v>
      </c>
      <c r="CV227" s="3166">
        <f t="shared" si="938"/>
        <v>488.4058</v>
      </c>
      <c r="CW227" s="3166">
        <f t="shared" ref="CW227" si="940">+CV227*(1+CW240/100)</f>
        <v>490.79898841999994</v>
      </c>
      <c r="CX227" s="3166">
        <f t="shared" ref="CX227" si="941">+CW227*(1+CX240/100)</f>
        <v>492.41862508178599</v>
      </c>
      <c r="CY227" s="3166">
        <f t="shared" ref="CY227" si="942">+CX227*(1+CY240/100)</f>
        <v>497.58902064514473</v>
      </c>
      <c r="CZ227" s="3166">
        <f t="shared" ref="CZ227" si="943">+CY227*(1+CZ240/100)</f>
        <v>502.51515194953168</v>
      </c>
      <c r="DA227" s="3166">
        <f t="shared" ref="DA227" si="944">+CZ227*(1+DA240/100)</f>
        <v>507.13829134746743</v>
      </c>
      <c r="DB227" s="3166">
        <f t="shared" ref="DB227" si="945">+DA227*(1+DB240/100)</f>
        <v>511.60110831132511</v>
      </c>
      <c r="DC227" s="3166">
        <f t="shared" ref="DC227" si="946">+DB227*(1+DC240/100)</f>
        <v>515.54043684532235</v>
      </c>
      <c r="DD227" s="3166">
        <f t="shared" ref="DD227" si="947">+DC227*(1+DD240/100)</f>
        <v>519.35543607797774</v>
      </c>
      <c r="DE227" s="3166">
        <f t="shared" ref="DE227" si="948">+DD227*(1+DE240/100)</f>
        <v>522.5754397816612</v>
      </c>
      <c r="DF227" s="3166">
        <f t="shared" ref="DF227" si="949">+DE227*(1+DF240/100)</f>
        <v>524.92702926067864</v>
      </c>
    </row>
    <row r="228" spans="1:110" s="736" customFormat="1" ht="12.75" customHeight="1">
      <c r="A228" s="701" t="str">
        <f>"Q" &amp; ROW(InputQ!A10)</f>
        <v>Q10</v>
      </c>
      <c r="C228" s="704"/>
      <c r="D228" s="705"/>
      <c r="E228" s="737" t="s">
        <v>1418</v>
      </c>
      <c r="F228" s="737"/>
      <c r="G228" s="817">
        <f>InputQ!G10/1000</f>
        <v>171.60410000000002</v>
      </c>
      <c r="H228" s="817">
        <f>InputQ!H10/1000</f>
        <v>174.011</v>
      </c>
      <c r="I228" s="817">
        <f>InputQ!I10/1000</f>
        <v>177.2296</v>
      </c>
      <c r="J228" s="817">
        <f>InputQ!J10/1000</f>
        <v>176.9992</v>
      </c>
      <c r="K228" s="817">
        <f>InputQ!K10/1000</f>
        <v>176.17750000000001</v>
      </c>
      <c r="L228" s="817">
        <f>InputQ!L10/1000</f>
        <v>178.57040000000001</v>
      </c>
      <c r="M228" s="817">
        <f>InputQ!M10/1000</f>
        <v>181.2294</v>
      </c>
      <c r="N228" s="817">
        <f>InputQ!N10/1000</f>
        <v>187.9425</v>
      </c>
      <c r="O228" s="817">
        <f>InputQ!O10/1000</f>
        <v>194.0891</v>
      </c>
      <c r="P228" s="817">
        <f>InputQ!P10/1000</f>
        <v>203.11410000000001</v>
      </c>
      <c r="Q228" s="817">
        <f>InputQ!Q10/1000</f>
        <v>206.30799999999999</v>
      </c>
      <c r="R228" s="817">
        <f>InputQ!R10/1000</f>
        <v>213.03110000000001</v>
      </c>
      <c r="S228" s="817">
        <f>InputQ!S10/1000</f>
        <v>223.17939999999999</v>
      </c>
      <c r="T228" s="817">
        <f>InputQ!T10/1000</f>
        <v>226.316</v>
      </c>
      <c r="U228" s="817">
        <f>InputQ!U10/1000</f>
        <v>227.55600000000001</v>
      </c>
      <c r="V228" s="817">
        <f>InputQ!V10/1000</f>
        <v>230.51060000000001</v>
      </c>
      <c r="W228" s="817">
        <f>InputQ!W10/1000</f>
        <v>231.69129999999998</v>
      </c>
      <c r="X228" s="817">
        <f>InputQ!X10/1000</f>
        <v>233.6215</v>
      </c>
      <c r="Y228" s="817">
        <f>InputQ!Y10/1000</f>
        <v>240.25060000000002</v>
      </c>
      <c r="Z228" s="817">
        <f>InputQ!Z10/1000</f>
        <v>244.83970000000002</v>
      </c>
      <c r="AA228" s="817">
        <f>InputQ!AA10/1000</f>
        <v>254.24639999999999</v>
      </c>
      <c r="AB228" s="817">
        <f>InputQ!AB10/1000</f>
        <v>265.18579999999997</v>
      </c>
      <c r="AC228" s="817">
        <f>InputQ!AC10/1000</f>
        <v>275.47459999999995</v>
      </c>
      <c r="AD228" s="817">
        <f>InputQ!AD10/1000</f>
        <v>269.66720000000004</v>
      </c>
      <c r="AE228" s="817">
        <f>InputQ!AE10/1000</f>
        <v>271.74670000000003</v>
      </c>
      <c r="AF228" s="817">
        <f>InputQ!AF10/1000</f>
        <v>261.46389999999997</v>
      </c>
      <c r="AG228" s="817">
        <f>InputQ!AG10/1000</f>
        <v>256.76990000000001</v>
      </c>
      <c r="AH228" s="817">
        <f>InputQ!AH10/1000</f>
        <v>257.81020000000001</v>
      </c>
      <c r="AI228" s="817">
        <f>InputQ!AI10/1000</f>
        <v>261.52019999999999</v>
      </c>
      <c r="AJ228" s="817">
        <f>InputQ!AJ10/1000</f>
        <v>259.03829999999999</v>
      </c>
      <c r="AK228" s="817">
        <f>InputQ!AK10/1000</f>
        <v>254.3947</v>
      </c>
      <c r="AL228" s="817">
        <f>InputQ!AL10/1000</f>
        <v>259.38830000000002</v>
      </c>
      <c r="AM228" s="817">
        <f>InputQ!AM10/1000</f>
        <v>267.7133</v>
      </c>
      <c r="AN228" s="817">
        <f>InputQ!AN10/1000</f>
        <v>265.88</v>
      </c>
      <c r="AO228" s="817">
        <f>InputQ!AO10/1000</f>
        <v>267.59359999999998</v>
      </c>
      <c r="AP228" s="817">
        <f>InputQ!AP10/1000</f>
        <v>274.28800000000001</v>
      </c>
      <c r="AQ228" s="817">
        <f>InputQ!AQ10/1000</f>
        <v>273.37040000000002</v>
      </c>
      <c r="AR228" s="817">
        <f>InputQ!AR10/1000</f>
        <v>284.64400000000001</v>
      </c>
      <c r="AS228" s="817">
        <f>InputQ!AS10/1000</f>
        <v>287.12690000000003</v>
      </c>
      <c r="AT228" s="817">
        <f>InputQ!AT10/1000</f>
        <v>292.9699</v>
      </c>
      <c r="AU228" s="817">
        <f>InputQ!AU10/1000</f>
        <v>292.64749999999998</v>
      </c>
      <c r="AV228" s="817">
        <f>InputQ!AV10/1000</f>
        <v>301.5104</v>
      </c>
      <c r="AW228" s="817">
        <f>InputQ!AW10/1000</f>
        <v>306.20729999999998</v>
      </c>
      <c r="AX228" s="817">
        <f>InputQ!AX10/1000</f>
        <v>317.01229999999998</v>
      </c>
      <c r="AY228" s="817">
        <f>InputQ!AY10/1000</f>
        <v>318.14150000000001</v>
      </c>
      <c r="AZ228" s="817">
        <f>InputQ!AZ10/1000</f>
        <v>326.05109999999996</v>
      </c>
      <c r="BA228" s="817">
        <f>InputQ!BA10/1000</f>
        <v>332.57940000000002</v>
      </c>
      <c r="BB228" s="817">
        <f>InputQ!BB10/1000</f>
        <v>346.15199999999999</v>
      </c>
      <c r="BC228" s="817">
        <f>InputQ!BC10/1000</f>
        <v>345.59429999999998</v>
      </c>
      <c r="BD228" s="817">
        <f>InputQ!BD10/1000</f>
        <v>349.16699999999997</v>
      </c>
      <c r="BE228" s="817">
        <f>InputQ!BE10/1000</f>
        <v>363.63059999999996</v>
      </c>
      <c r="BF228" s="817">
        <f>InputQ!BF10/1000</f>
        <v>369.08790000000005</v>
      </c>
      <c r="BG228" s="817">
        <f>InputQ!BG10/1000</f>
        <v>379.10270000000003</v>
      </c>
      <c r="BH228" s="817">
        <f>InputQ!BH10/1000</f>
        <v>377.26650000000001</v>
      </c>
      <c r="BI228" s="817">
        <f>InputQ!BI10/1000</f>
        <v>371.76659999999998</v>
      </c>
      <c r="BJ228" s="817">
        <f>InputQ!BJ10/1000</f>
        <v>349.13240000000002</v>
      </c>
      <c r="BK228" s="817">
        <f>InputQ!BK10/1000</f>
        <v>321.08920000000001</v>
      </c>
      <c r="BL228" s="817">
        <f>InputQ!BL10/1000</f>
        <v>302.90370000000001</v>
      </c>
      <c r="BM228" s="817">
        <f>InputQ!BM10/1000</f>
        <v>319.63959999999997</v>
      </c>
      <c r="BN228" s="817">
        <f>InputQ!BN10/1000</f>
        <v>326.95299999999997</v>
      </c>
      <c r="BO228" s="817">
        <f>InputQ!BO10/1000</f>
        <v>337.3732</v>
      </c>
      <c r="BP228" s="817">
        <f>InputQ!BP10/1000</f>
        <v>352.92849999999999</v>
      </c>
      <c r="BQ228" s="817">
        <f>InputQ!BQ10/1000</f>
        <v>368.23450000000003</v>
      </c>
      <c r="BR228" s="817">
        <f>InputQ!BR10/1000</f>
        <v>368.7448</v>
      </c>
      <c r="BS228" s="817">
        <f>InputQ!BS10/1000</f>
        <v>382.83459999999997</v>
      </c>
      <c r="BT228" s="817">
        <f>InputQ!BT10/1000</f>
        <v>384.66490000000005</v>
      </c>
      <c r="BU228" s="817">
        <f>InputQ!BU10/1000</f>
        <v>385.24629999999996</v>
      </c>
      <c r="BV228" s="817">
        <f>InputQ!BV10/1000</f>
        <v>380.21420000000001</v>
      </c>
      <c r="BW228" s="817">
        <f>InputQ!BW10/1000</f>
        <v>388.2534</v>
      </c>
      <c r="BX228" s="817">
        <f>InputQ!BX10/1000</f>
        <v>388.00220000000002</v>
      </c>
      <c r="BY228" s="817">
        <f>InputQ!BY10/1000</f>
        <v>389.5378</v>
      </c>
      <c r="BZ228" s="817">
        <f>InputQ!BZ10/1000</f>
        <v>382.69319999999999</v>
      </c>
      <c r="CA228" s="817">
        <f>InputQ!CA10/1000</f>
        <v>379.5566</v>
      </c>
      <c r="CB228" s="817">
        <f>InputQ!CB10/1000</f>
        <v>387.94779999999997</v>
      </c>
      <c r="CC228" s="817">
        <f>InputQ!CC10/1000</f>
        <v>387.97149999999999</v>
      </c>
      <c r="CD228" s="817">
        <f>InputQ!CD10/1000</f>
        <v>390.5514</v>
      </c>
      <c r="CE228" s="817">
        <f>InputQ!CE10/1000</f>
        <v>401.05869999999999</v>
      </c>
      <c r="CF228" s="817">
        <f>InputQ!CF10/1000</f>
        <v>411.97829999999999</v>
      </c>
      <c r="CG228" s="817">
        <f>InputQ!CG10/1000</f>
        <v>410.45949999999999</v>
      </c>
      <c r="CH228" s="817">
        <f>InputQ!CH10/1000</f>
        <v>422.12959999999998</v>
      </c>
      <c r="CI228" s="817">
        <f>InputQ!CI10/1000</f>
        <v>422.94540000000001</v>
      </c>
      <c r="CJ228" s="817">
        <f>InputQ!CJ10/1000</f>
        <v>421.0548</v>
      </c>
      <c r="CK228" s="817">
        <f>InputQ!CK10/1000</f>
        <v>435.83969999999999</v>
      </c>
      <c r="CL228" s="817">
        <f>InputQ!CL10/1000</f>
        <v>445.87529999999998</v>
      </c>
      <c r="CM228" s="817">
        <f>InputQ!CM10/1000</f>
        <v>445.7319</v>
      </c>
      <c r="CN228" s="817">
        <f>InputQ!CN10/1000</f>
        <v>444.59280000000001</v>
      </c>
      <c r="CO228" s="817">
        <f>InputQ!CO10/1000</f>
        <v>449.09</v>
      </c>
      <c r="CP228" s="817">
        <f>InputQ!CP10/1000</f>
        <v>454.52659999999997</v>
      </c>
      <c r="CQ228" s="817">
        <f>InputQ!CQ10/1000</f>
        <v>460.40520000000004</v>
      </c>
      <c r="CR228" s="817">
        <f>InputQ!CR10/1000</f>
        <v>469.72090000000003</v>
      </c>
      <c r="CS228" s="817">
        <f>InputQ!CS10/1000</f>
        <v>475.39879999999999</v>
      </c>
      <c r="CT228" s="817">
        <f>InputQ!CT10/1000</f>
        <v>480.33890000000002</v>
      </c>
      <c r="CU228" s="817">
        <f>InputQ!CU10/1000</f>
        <v>484.5761</v>
      </c>
      <c r="CV228" s="817">
        <f>InputQ!CV10/1000</f>
        <v>488.4058</v>
      </c>
      <c r="CW228" s="1643">
        <f t="shared" ref="CW228:CX228" si="950">IF(UPPER($F241)="N",CV228*(1+CW240/100),CW227)</f>
        <v>490.79898841999994</v>
      </c>
      <c r="CX228" s="1643">
        <f t="shared" si="950"/>
        <v>492.41862508178599</v>
      </c>
      <c r="CY228" s="1643">
        <f t="shared" ref="CY228" si="951">IF(UPPER($F241)="N",CX228*(1+CY240/100),CY227)</f>
        <v>497.58902064514473</v>
      </c>
      <c r="CZ228" s="1643">
        <f t="shared" ref="CZ228" si="952">IF(UPPER($F241)="N",CY228*(1+CZ240/100),CZ227)</f>
        <v>502.51515194953168</v>
      </c>
      <c r="DA228" s="1643">
        <f t="shared" ref="DA228" si="953">IF(UPPER($F241)="N",CZ228*(1+DA240/100),DA227)</f>
        <v>507.13829134746743</v>
      </c>
      <c r="DB228" s="1643">
        <f t="shared" ref="DB228" si="954">IF(UPPER($F241)="N",DA228*(1+DB240/100),DB227)</f>
        <v>511.60110831132511</v>
      </c>
      <c r="DC228" s="1643">
        <f t="shared" ref="DC228" si="955">IF(UPPER($F241)="N",DB228*(1+DC240/100),DC227)</f>
        <v>515.54043684532235</v>
      </c>
      <c r="DD228" s="1643">
        <f t="shared" ref="DD228" si="956">IF(UPPER($F241)="N",DC228*(1+DD240/100),DD227)</f>
        <v>519.35543607797774</v>
      </c>
      <c r="DE228" s="1643">
        <f t="shared" ref="DE228" si="957">IF(UPPER($F241)="N",DD228*(1+DE240/100),DE227)</f>
        <v>522.5754397816612</v>
      </c>
      <c r="DF228" s="1643">
        <f t="shared" ref="DF228" si="958">IF(UPPER($F241)="N",DE228*(1+DF240/100),DF227)</f>
        <v>524.92702926067864</v>
      </c>
    </row>
    <row r="229" spans="1:110" s="26" customFormat="1" ht="12.75">
      <c r="A229" s="701"/>
      <c r="B229" s="710"/>
      <c r="C229" s="724"/>
      <c r="D229" s="720"/>
      <c r="E229" s="721" t="s">
        <v>353</v>
      </c>
      <c r="F229" s="722"/>
      <c r="G229" s="1622"/>
      <c r="H229" s="1623"/>
      <c r="I229" s="1623"/>
      <c r="J229" s="1627">
        <f>SUM(G228:J228)</f>
        <v>699.84389999999996</v>
      </c>
      <c r="K229" s="1622"/>
      <c r="L229" s="1623"/>
      <c r="M229" s="1623"/>
      <c r="N229" s="1627">
        <f>SUM(K228:N228)</f>
        <v>723.91980000000001</v>
      </c>
      <c r="O229" s="1622"/>
      <c r="P229" s="1623"/>
      <c r="Q229" s="1623"/>
      <c r="R229" s="1627">
        <f>SUM(O228:R228)</f>
        <v>816.54230000000007</v>
      </c>
      <c r="S229" s="1622"/>
      <c r="T229" s="1623"/>
      <c r="U229" s="1623"/>
      <c r="V229" s="1627">
        <f>SUM(S228:V228)</f>
        <v>907.56200000000013</v>
      </c>
      <c r="W229" s="1622"/>
      <c r="X229" s="1623"/>
      <c r="Y229" s="1623"/>
      <c r="Z229" s="1627">
        <f>SUM(W228:Z228)</f>
        <v>950.40309999999999</v>
      </c>
      <c r="AA229" s="1622"/>
      <c r="AB229" s="1623"/>
      <c r="AC229" s="1623"/>
      <c r="AD229" s="1627">
        <f>SUM(AA228:AD228)</f>
        <v>1064.5740000000001</v>
      </c>
      <c r="AE229" s="1622"/>
      <c r="AF229" s="1623"/>
      <c r="AG229" s="1623"/>
      <c r="AH229" s="1627">
        <f>SUM(AE228:AH228)</f>
        <v>1047.7907</v>
      </c>
      <c r="AI229" s="1622"/>
      <c r="AJ229" s="1623"/>
      <c r="AK229" s="1623"/>
      <c r="AL229" s="1627">
        <f>SUM(AI228:AL228)</f>
        <v>1034.3415</v>
      </c>
      <c r="AM229" s="1622"/>
      <c r="AN229" s="1623"/>
      <c r="AO229" s="1623"/>
      <c r="AP229" s="1627">
        <f>SUM(AM228:AP228)</f>
        <v>1075.4748999999999</v>
      </c>
      <c r="AQ229" s="1622"/>
      <c r="AR229" s="1623"/>
      <c r="AS229" s="1623"/>
      <c r="AT229" s="1627">
        <f>SUM(AQ228:AT228)</f>
        <v>1138.1112000000001</v>
      </c>
      <c r="AU229" s="1622"/>
      <c r="AV229" s="1623"/>
      <c r="AW229" s="1623"/>
      <c r="AX229" s="1627">
        <f>SUM(AU228:AX228)</f>
        <v>1217.3775000000001</v>
      </c>
      <c r="AY229" s="1622"/>
      <c r="AZ229" s="1623"/>
      <c r="BA229" s="1623"/>
      <c r="BB229" s="1627">
        <f>SUM(AY228:BB228)</f>
        <v>1322.924</v>
      </c>
      <c r="BC229" s="1622"/>
      <c r="BD229" s="1623"/>
      <c r="BE229" s="1623"/>
      <c r="BF229" s="1627">
        <f>SUM(BC228:BF228)</f>
        <v>1427.4797999999998</v>
      </c>
      <c r="BG229" s="1622"/>
      <c r="BH229" s="1623"/>
      <c r="BI229" s="1623"/>
      <c r="BJ229" s="1627">
        <f>SUM(BG228:BJ228)</f>
        <v>1477.2682</v>
      </c>
      <c r="BK229" s="1622"/>
      <c r="BL229" s="1623"/>
      <c r="BM229" s="1623"/>
      <c r="BN229" s="1627">
        <f>SUM(BK228:BN228)</f>
        <v>1270.5854999999999</v>
      </c>
      <c r="BO229" s="1622"/>
      <c r="BP229" s="1623"/>
      <c r="BQ229" s="1623"/>
      <c r="BR229" s="1627">
        <f>SUM(BO228:BR228)</f>
        <v>1427.2809999999999</v>
      </c>
      <c r="BS229" s="1622"/>
      <c r="BT229" s="1623"/>
      <c r="BU229" s="1623"/>
      <c r="BV229" s="1627">
        <f>SUM(BS228:BV228)</f>
        <v>1532.96</v>
      </c>
      <c r="BW229" s="1622"/>
      <c r="BX229" s="1623"/>
      <c r="BY229" s="1623"/>
      <c r="BZ229" s="1627">
        <f>SUM(BW228:BZ228)</f>
        <v>1548.4866</v>
      </c>
      <c r="CA229" s="1622"/>
      <c r="CB229" s="1623"/>
      <c r="CC229" s="1623"/>
      <c r="CD229" s="1627">
        <f>SUM(CA228:CD228)</f>
        <v>1546.0273</v>
      </c>
      <c r="CE229" s="1622"/>
      <c r="CF229" s="1623"/>
      <c r="CG229" s="1623"/>
      <c r="CH229" s="1627">
        <f>SUM(CE228:CH228)</f>
        <v>1645.6261</v>
      </c>
      <c r="CI229" s="1622"/>
      <c r="CJ229" s="1623"/>
      <c r="CK229" s="1623"/>
      <c r="CL229" s="1627">
        <f>SUM(CI228:CL228)</f>
        <v>1725.7151999999999</v>
      </c>
      <c r="CM229" s="1622"/>
      <c r="CN229" s="1623"/>
      <c r="CO229" s="1623"/>
      <c r="CP229" s="1627">
        <f>SUM(CM228:CP228)</f>
        <v>1793.9413</v>
      </c>
      <c r="CQ229" s="1622"/>
      <c r="CR229" s="1623"/>
      <c r="CS229" s="1623"/>
      <c r="CT229" s="1627">
        <f>SUM(CQ228:CT228)</f>
        <v>1885.8638000000001</v>
      </c>
      <c r="CU229" s="1622"/>
      <c r="CV229" s="1623"/>
      <c r="CW229" s="1623"/>
      <c r="CX229" s="1627">
        <f>SUM(CU228:CX228)</f>
        <v>1956.199513501786</v>
      </c>
      <c r="CY229" s="1622"/>
      <c r="CZ229" s="1623"/>
      <c r="DA229" s="1623"/>
      <c r="DB229" s="1627">
        <f>SUM(CY228:DB228)</f>
        <v>2018.8435722534689</v>
      </c>
      <c r="DC229" s="1622"/>
      <c r="DD229" s="1623"/>
      <c r="DE229" s="1623"/>
      <c r="DF229" s="1627">
        <f>SUM(DC228:DF228)</f>
        <v>2082.3983419656397</v>
      </c>
    </row>
    <row r="230" spans="1:110" s="736" customFormat="1" ht="12.75" customHeight="1">
      <c r="A230" s="701"/>
      <c r="B230" s="701"/>
      <c r="C230" s="706"/>
      <c r="D230" s="716"/>
      <c r="E230" s="1624" t="s">
        <v>136</v>
      </c>
      <c r="F230" s="716"/>
      <c r="G230" s="1625"/>
      <c r="H230" s="2916" t="s">
        <v>1694</v>
      </c>
      <c r="I230" s="2917">
        <f ca="1">+J230/J229*100</f>
        <v>100.01075382667479</v>
      </c>
      <c r="J230" s="1626">
        <f ca="1">OFFSET('VVP2'!$G$105,0,(COLUMN()-10)/4)</f>
        <v>699.91916000000003</v>
      </c>
      <c r="K230" s="1625"/>
      <c r="L230" s="2916" t="s">
        <v>1694</v>
      </c>
      <c r="M230" s="2917">
        <f ca="1">+N230/N229*100</f>
        <v>100.01209526248624</v>
      </c>
      <c r="N230" s="1626">
        <f ca="1">OFFSET('VVP2'!$G$105,0,(COLUMN()-10)/4)</f>
        <v>724.00735999999995</v>
      </c>
      <c r="O230" s="1625"/>
      <c r="P230" s="2916" t="s">
        <v>1694</v>
      </c>
      <c r="Q230" s="2917">
        <f ca="1">+R230/R229*100</f>
        <v>99.704374164081884</v>
      </c>
      <c r="R230" s="1626">
        <f ca="1">OFFSET('VVP2'!$G$105,0,(COLUMN()-10)/4)</f>
        <v>814.12838999999997</v>
      </c>
      <c r="S230" s="1625"/>
      <c r="T230" s="2916" t="s">
        <v>1694</v>
      </c>
      <c r="U230" s="2917">
        <f ca="1">+V230/V229*100</f>
        <v>99.850374960608747</v>
      </c>
      <c r="V230" s="1626">
        <f ca="1">OFFSET('VVP2'!$G$105,0,(COLUMN()-10)/4)</f>
        <v>906.20406000000003</v>
      </c>
      <c r="W230" s="1625"/>
      <c r="X230" s="2916" t="s">
        <v>1694</v>
      </c>
      <c r="Y230" s="2917">
        <f ca="1">+Z230/Z229*100</f>
        <v>100.22962993281483</v>
      </c>
      <c r="Z230" s="1626">
        <f ca="1">OFFSET('VVP2'!$G$105,0,(COLUMN()-10)/4)</f>
        <v>952.58551</v>
      </c>
      <c r="AA230" s="1625"/>
      <c r="AB230" s="2916" t="s">
        <v>1694</v>
      </c>
      <c r="AC230" s="2917">
        <f ca="1">+AD230/AD229*100</f>
        <v>99.993479081773557</v>
      </c>
      <c r="AD230" s="1626">
        <f ca="1">OFFSET('VVP2'!$G$105,0,(COLUMN()-10)/4)</f>
        <v>1064.50458</v>
      </c>
      <c r="AE230" s="1625"/>
      <c r="AF230" s="2916" t="s">
        <v>1694</v>
      </c>
      <c r="AG230" s="2917">
        <f ca="1">+AH230/AH229*100</f>
        <v>99.85015423404694</v>
      </c>
      <c r="AH230" s="1626">
        <f ca="1">OFFSET('VVP2'!$G$105,0,(COLUMN()-10)/4)</f>
        <v>1046.22063</v>
      </c>
      <c r="AI230" s="1625"/>
      <c r="AJ230" s="2916" t="s">
        <v>1694</v>
      </c>
      <c r="AK230" s="2917">
        <f ca="1">+AL230/AL229*100</f>
        <v>99.878816619076005</v>
      </c>
      <c r="AL230" s="1626">
        <f ca="1">OFFSET('VVP2'!$G$105,0,(COLUMN()-10)/4)</f>
        <v>1033.0880500000001</v>
      </c>
      <c r="AM230" s="1625"/>
      <c r="AN230" s="2916" t="s">
        <v>1694</v>
      </c>
      <c r="AO230" s="2917">
        <f ca="1">+AP230/AP229*100</f>
        <v>99.728269808993218</v>
      </c>
      <c r="AP230" s="1626">
        <f ca="1">OFFSET('VVP2'!$G$105,0,(COLUMN()-10)/4)</f>
        <v>1072.55251</v>
      </c>
      <c r="AQ230" s="1625"/>
      <c r="AR230" s="2916" t="s">
        <v>1694</v>
      </c>
      <c r="AS230" s="2917">
        <f ca="1">+AT230/AT229*100</f>
        <v>100.46471381706812</v>
      </c>
      <c r="AT230" s="1626">
        <f ca="1">OFFSET('VVP2'!$G$105,0,(COLUMN()-10)/4)</f>
        <v>1143.4001599999999</v>
      </c>
      <c r="AU230" s="1625"/>
      <c r="AV230" s="2916" t="s">
        <v>1694</v>
      </c>
      <c r="AW230" s="2917">
        <f ca="1">+AX230/AX229*100</f>
        <v>100.49109006861059</v>
      </c>
      <c r="AX230" s="1626">
        <f ca="1">OFFSET('VVP2'!$G$105,0,(COLUMN()-10)/4)</f>
        <v>1223.35592</v>
      </c>
      <c r="AY230" s="1625"/>
      <c r="AZ230" s="2916" t="s">
        <v>1694</v>
      </c>
      <c r="BA230" s="2917">
        <f ca="1">+BB230/BB229*100</f>
        <v>100.07988365166858</v>
      </c>
      <c r="BB230" s="1626">
        <f ca="1">OFFSET('VVP2'!$G$105,0,(COLUMN()-10)/4)</f>
        <v>1323.9808</v>
      </c>
      <c r="BC230" s="1625"/>
      <c r="BD230" s="2916" t="s">
        <v>1694</v>
      </c>
      <c r="BE230" s="2917">
        <f ca="1">+BF230/BF229*100</f>
        <v>99.830447338028875</v>
      </c>
      <c r="BF230" s="1626">
        <f ca="1">OFFSET('VVP2'!$G$105,0,(COLUMN()-10)/4)</f>
        <v>1425.0594699999999</v>
      </c>
      <c r="BG230" s="1625"/>
      <c r="BH230" s="2916" t="s">
        <v>1694</v>
      </c>
      <c r="BI230" s="2917">
        <f ca="1">+BJ230/BJ229*100</f>
        <v>100.12322948534329</v>
      </c>
      <c r="BJ230" s="1626">
        <f ca="1">OFFSET('VVP2'!$G$105,0,(COLUMN()-10)/4)</f>
        <v>1479.08863</v>
      </c>
      <c r="BK230" s="1625"/>
      <c r="BL230" s="2916" t="s">
        <v>1694</v>
      </c>
      <c r="BM230" s="2917">
        <f ca="1">+BN230/BN229*100</f>
        <v>100.02233773327336</v>
      </c>
      <c r="BN230" s="1626">
        <f ca="1">OFFSET('VVP2'!$G$105,0,(COLUMN()-10)/4)</f>
        <v>1270.86932</v>
      </c>
      <c r="BO230" s="1625"/>
      <c r="BP230" s="2916" t="s">
        <v>1694</v>
      </c>
      <c r="BQ230" s="2917">
        <f ca="1">+BR230/BR229*100</f>
        <v>100.41883833666951</v>
      </c>
      <c r="BR230" s="1626">
        <f ca="1">OFFSET('VVP2'!$G$105,0,(COLUMN()-10)/4)</f>
        <v>1433.259</v>
      </c>
      <c r="BS230" s="1625"/>
      <c r="BT230" s="2916" t="s">
        <v>1694</v>
      </c>
      <c r="BU230" s="2917">
        <f ca="1">+BV230/BV229*100</f>
        <v>100.36189333055003</v>
      </c>
      <c r="BV230" s="1626">
        <f ca="1">OFFSET('VVP2'!$G$105,0,(COLUMN()-10)/4)</f>
        <v>1538.5076799999999</v>
      </c>
      <c r="BW230" s="1625"/>
      <c r="BX230" s="2916" t="s">
        <v>1694</v>
      </c>
      <c r="BY230" s="2917">
        <f ca="1">+BZ230/BZ229*100</f>
        <v>99.834635960039947</v>
      </c>
      <c r="BZ230" s="1626">
        <f ca="1">OFFSET('VVP2'!$G$105,0,(COLUMN()-10)/4)</f>
        <v>1545.92596</v>
      </c>
      <c r="CA230" s="1625"/>
      <c r="CB230" s="2916" t="s">
        <v>1694</v>
      </c>
      <c r="CC230" s="2917">
        <f ca="1">+CD230/CD229*100</f>
        <v>99.875253173084317</v>
      </c>
      <c r="CD230" s="1626">
        <f ca="1">OFFSET('VVP2'!$G$105,0,(COLUMN()-10)/4)</f>
        <v>1544.0986799999998</v>
      </c>
      <c r="CE230" s="1625"/>
      <c r="CF230" s="2916" t="s">
        <v>1694</v>
      </c>
      <c r="CG230" s="2917">
        <f ca="1">+CH230/CH229*100</f>
        <v>99.723753166044233</v>
      </c>
      <c r="CH230" s="1626">
        <f ca="1">OFFSET('VVP2'!$G$105,0,(COLUMN()-10)/4)</f>
        <v>1641.0801100000001</v>
      </c>
      <c r="CI230" s="1625"/>
      <c r="CJ230" s="2916" t="s">
        <v>1694</v>
      </c>
      <c r="CK230" s="2917">
        <f ca="1">+CL230/CL229*100</f>
        <v>100.0820529366607</v>
      </c>
      <c r="CL230" s="1626">
        <f ca="1">OFFSET('VVP2'!$G$105,0,(COLUMN()-10)/4)</f>
        <v>1727.1312</v>
      </c>
      <c r="CM230" s="1625"/>
      <c r="CN230" s="2916" t="s">
        <v>1694</v>
      </c>
      <c r="CO230" s="2916" t="s">
        <v>1694</v>
      </c>
      <c r="CP230" s="1626">
        <f ca="1">OFFSET('VVP2'!$G$105,0,(COLUMN()-10)/4)</f>
        <v>1801.4898899999998</v>
      </c>
      <c r="CQ230" s="1625"/>
      <c r="CR230" s="2916" t="s">
        <v>1694</v>
      </c>
      <c r="CS230" s="2916" t="s">
        <v>1694</v>
      </c>
      <c r="CT230" s="1626">
        <f ca="1">OFFSET('VVP2'!$G$105,0,(COLUMN()-10)/4)</f>
        <v>1887.0841599999999</v>
      </c>
      <c r="CU230" s="1625"/>
      <c r="CV230" s="2916" t="s">
        <v>1694</v>
      </c>
      <c r="CW230" s="2917">
        <f ca="1">+CX230/CX229*100</f>
        <v>100.05065357609762</v>
      </c>
      <c r="CX230" s="1626">
        <f ca="1">OFFSET('VVP2'!$G$105,0,(COLUMN()-10)/4)</f>
        <v>1957.1903985109789</v>
      </c>
      <c r="CY230" s="1625"/>
      <c r="CZ230" s="2916" t="s">
        <v>1694</v>
      </c>
      <c r="DA230" s="2917">
        <f ca="1">+DB230/DB229*100</f>
        <v>100.0469633909421</v>
      </c>
      <c r="DB230" s="1626">
        <f ca="1">OFFSET('VVP2'!$G$105,0,(COLUMN()-10)/4)</f>
        <v>2019.7916896528159</v>
      </c>
      <c r="DC230" s="1625"/>
      <c r="DD230" s="2916" t="s">
        <v>1694</v>
      </c>
      <c r="DE230" s="2917">
        <f ca="1">+DF230/DF229*100</f>
        <v>100.04630352368567</v>
      </c>
      <c r="DF230" s="1626">
        <f ca="1">OFFSET('VVP2'!$G$105,0,(COLUMN()-10)/4)</f>
        <v>2083.3625657751418</v>
      </c>
    </row>
    <row r="231" spans="1:110">
      <c r="A231" s="701"/>
      <c r="AY231" s="217"/>
      <c r="BA231" s="217"/>
      <c r="BB231" s="217"/>
      <c r="BC231" s="217"/>
      <c r="BD231" s="217"/>
      <c r="BE231" s="217"/>
      <c r="BF231" s="217"/>
      <c r="BG231" s="217"/>
      <c r="BH231" s="217"/>
      <c r="BI231" s="217"/>
      <c r="BJ231" s="217"/>
      <c r="BK231" s="217"/>
      <c r="BL231" s="217"/>
      <c r="BM231" s="217"/>
      <c r="BN231" s="217"/>
      <c r="BO231" s="217"/>
      <c r="BP231" s="217"/>
      <c r="BQ231" s="217"/>
      <c r="BR231" s="217"/>
      <c r="BS231" s="217"/>
      <c r="BT231" s="217"/>
      <c r="BU231" s="217"/>
      <c r="BV231" s="217"/>
    </row>
    <row r="232" spans="1:110" s="736" customFormat="1" ht="12.75" customHeight="1">
      <c r="A232" s="701"/>
      <c r="B232" s="701"/>
      <c r="C232" s="1603"/>
      <c r="D232" s="779"/>
      <c r="E232" s="780" t="s">
        <v>1641</v>
      </c>
      <c r="F232" s="781"/>
      <c r="G232" s="1630" t="str">
        <f t="shared" ref="G232:N232" si="959">G219</f>
        <v>Q1</v>
      </c>
      <c r="H232" s="1631" t="str">
        <f t="shared" si="959"/>
        <v>Q2</v>
      </c>
      <c r="I232" s="1631" t="str">
        <f t="shared" si="959"/>
        <v>Q3</v>
      </c>
      <c r="J232" s="1632" t="str">
        <f t="shared" si="959"/>
        <v>Q4</v>
      </c>
      <c r="K232" s="1630" t="str">
        <f t="shared" si="959"/>
        <v>Q1</v>
      </c>
      <c r="L232" s="1631" t="str">
        <f t="shared" si="959"/>
        <v>Q2</v>
      </c>
      <c r="M232" s="1631" t="str">
        <f t="shared" si="959"/>
        <v>Q3</v>
      </c>
      <c r="N232" s="1632" t="str">
        <f t="shared" si="959"/>
        <v>Q4</v>
      </c>
      <c r="O232" s="1630" t="str">
        <f t="shared" ref="O232:BI232" si="960">O219</f>
        <v>Q1</v>
      </c>
      <c r="P232" s="1631" t="str">
        <f t="shared" si="960"/>
        <v>Q2</v>
      </c>
      <c r="Q232" s="1631" t="str">
        <f t="shared" si="960"/>
        <v>Q3</v>
      </c>
      <c r="R232" s="1632" t="str">
        <f t="shared" si="960"/>
        <v>Q4</v>
      </c>
      <c r="S232" s="1630" t="str">
        <f t="shared" si="960"/>
        <v>Q1</v>
      </c>
      <c r="T232" s="1631" t="str">
        <f t="shared" si="960"/>
        <v>Q2</v>
      </c>
      <c r="U232" s="1631" t="str">
        <f t="shared" si="960"/>
        <v>Q3</v>
      </c>
      <c r="V232" s="1632" t="str">
        <f t="shared" si="960"/>
        <v>Q4</v>
      </c>
      <c r="W232" s="1630" t="str">
        <f t="shared" si="960"/>
        <v>Q1</v>
      </c>
      <c r="X232" s="1631" t="str">
        <f t="shared" si="960"/>
        <v>Q2</v>
      </c>
      <c r="Y232" s="1631" t="str">
        <f t="shared" si="960"/>
        <v>Q3</v>
      </c>
      <c r="Z232" s="1632" t="str">
        <f t="shared" si="960"/>
        <v>Q4</v>
      </c>
      <c r="AA232" s="1630" t="str">
        <f t="shared" si="960"/>
        <v>Q1</v>
      </c>
      <c r="AB232" s="1631" t="str">
        <f t="shared" si="960"/>
        <v>Q2</v>
      </c>
      <c r="AC232" s="1631" t="str">
        <f t="shared" si="960"/>
        <v>Q3</v>
      </c>
      <c r="AD232" s="1632" t="str">
        <f t="shared" si="960"/>
        <v>Q4</v>
      </c>
      <c r="AE232" s="1630" t="str">
        <f t="shared" si="960"/>
        <v>Q1</v>
      </c>
      <c r="AF232" s="1631" t="str">
        <f t="shared" si="960"/>
        <v>Q2</v>
      </c>
      <c r="AG232" s="1631" t="str">
        <f t="shared" si="960"/>
        <v>Q3</v>
      </c>
      <c r="AH232" s="1632" t="str">
        <f t="shared" si="960"/>
        <v>Q4</v>
      </c>
      <c r="AI232" s="1630" t="str">
        <f t="shared" si="960"/>
        <v>Q1</v>
      </c>
      <c r="AJ232" s="1631" t="str">
        <f t="shared" si="960"/>
        <v>Q2</v>
      </c>
      <c r="AK232" s="1631" t="str">
        <f t="shared" si="960"/>
        <v>Q3</v>
      </c>
      <c r="AL232" s="1632" t="str">
        <f t="shared" si="960"/>
        <v>Q4</v>
      </c>
      <c r="AM232" s="1630" t="str">
        <f t="shared" si="960"/>
        <v>Q1</v>
      </c>
      <c r="AN232" s="1631" t="str">
        <f t="shared" si="960"/>
        <v>Q2</v>
      </c>
      <c r="AO232" s="1631" t="str">
        <f t="shared" si="960"/>
        <v>Q3</v>
      </c>
      <c r="AP232" s="1632" t="str">
        <f t="shared" si="960"/>
        <v>Q4</v>
      </c>
      <c r="AQ232" s="1630" t="str">
        <f t="shared" si="960"/>
        <v>Q1</v>
      </c>
      <c r="AR232" s="1631" t="str">
        <f t="shared" si="960"/>
        <v>Q2</v>
      </c>
      <c r="AS232" s="1631" t="str">
        <f t="shared" si="960"/>
        <v>Q3</v>
      </c>
      <c r="AT232" s="1632" t="str">
        <f t="shared" si="960"/>
        <v>Q4</v>
      </c>
      <c r="AU232" s="1630" t="str">
        <f t="shared" si="960"/>
        <v>Q1</v>
      </c>
      <c r="AV232" s="1631" t="str">
        <f t="shared" si="960"/>
        <v>Q2</v>
      </c>
      <c r="AW232" s="1631" t="str">
        <f t="shared" si="960"/>
        <v>Q3</v>
      </c>
      <c r="AX232" s="1632" t="str">
        <f t="shared" si="960"/>
        <v>Q4</v>
      </c>
      <c r="AY232" s="1630" t="str">
        <f t="shared" si="960"/>
        <v>Q1</v>
      </c>
      <c r="AZ232" s="1631" t="str">
        <f t="shared" si="960"/>
        <v>Q2</v>
      </c>
      <c r="BA232" s="1631" t="str">
        <f t="shared" si="960"/>
        <v>Q3</v>
      </c>
      <c r="BB232" s="1632" t="str">
        <f t="shared" si="960"/>
        <v>Q4</v>
      </c>
      <c r="BC232" s="1630" t="str">
        <f t="shared" si="960"/>
        <v>Q1</v>
      </c>
      <c r="BD232" s="1631" t="str">
        <f t="shared" si="960"/>
        <v>Q2</v>
      </c>
      <c r="BE232" s="1631" t="str">
        <f t="shared" si="960"/>
        <v>Q3</v>
      </c>
      <c r="BF232" s="1632" t="str">
        <f t="shared" si="960"/>
        <v>Q4</v>
      </c>
      <c r="BG232" s="1630" t="str">
        <f t="shared" si="960"/>
        <v>Q1</v>
      </c>
      <c r="BH232" s="1631" t="str">
        <f t="shared" si="960"/>
        <v>Q2</v>
      </c>
      <c r="BI232" s="1631" t="str">
        <f t="shared" si="960"/>
        <v>Q3</v>
      </c>
      <c r="BJ232" s="1632" t="str">
        <f>BJ219</f>
        <v>Q4</v>
      </c>
      <c r="BK232" s="1630" t="str">
        <f>BK219</f>
        <v>Q1</v>
      </c>
      <c r="BL232" s="1631" t="str">
        <f>BL219</f>
        <v>Q2</v>
      </c>
      <c r="BM232" s="1631" t="str">
        <f>BM219</f>
        <v>Q3</v>
      </c>
      <c r="BN232" s="1632" t="str">
        <f t="shared" ref="BN232:BV232" si="961">BN219</f>
        <v>Q4</v>
      </c>
      <c r="BO232" s="1630" t="str">
        <f t="shared" si="961"/>
        <v>Q1</v>
      </c>
      <c r="BP232" s="1631" t="str">
        <f t="shared" si="961"/>
        <v>Q2</v>
      </c>
      <c r="BQ232" s="1631" t="str">
        <f t="shared" si="961"/>
        <v>Q3</v>
      </c>
      <c r="BR232" s="1632" t="str">
        <f t="shared" si="961"/>
        <v>Q4</v>
      </c>
      <c r="BS232" s="1630" t="str">
        <f t="shared" si="961"/>
        <v>Q1</v>
      </c>
      <c r="BT232" s="1631" t="str">
        <f t="shared" si="961"/>
        <v>Q2</v>
      </c>
      <c r="BU232" s="1631" t="str">
        <f t="shared" si="961"/>
        <v>Q3</v>
      </c>
      <c r="BV232" s="1632" t="str">
        <f t="shared" si="961"/>
        <v>Q4</v>
      </c>
      <c r="BW232" s="1631" t="str">
        <f t="shared" ref="BW232:CD232" si="962">BW219</f>
        <v>Q1</v>
      </c>
      <c r="BX232" s="1631" t="str">
        <f t="shared" si="962"/>
        <v>Q2</v>
      </c>
      <c r="BY232" s="1631" t="str">
        <f t="shared" si="962"/>
        <v>Q3</v>
      </c>
      <c r="BZ232" s="1631" t="str">
        <f t="shared" si="962"/>
        <v>Q4</v>
      </c>
      <c r="CA232" s="1631" t="str">
        <f t="shared" si="962"/>
        <v>Q1</v>
      </c>
      <c r="CB232" s="1631" t="str">
        <f t="shared" si="962"/>
        <v>Q2</v>
      </c>
      <c r="CC232" s="1631" t="str">
        <f t="shared" si="962"/>
        <v>Q3</v>
      </c>
      <c r="CD232" s="1631" t="str">
        <f t="shared" si="962"/>
        <v>Q4</v>
      </c>
      <c r="CE232" s="1631" t="str">
        <f>CE219</f>
        <v>Q1</v>
      </c>
      <c r="CF232" s="1631" t="str">
        <f>CF219</f>
        <v>Q2</v>
      </c>
      <c r="CG232" s="1631" t="str">
        <f t="shared" ref="CG232:CL232" si="963">CG219</f>
        <v>Q3</v>
      </c>
      <c r="CH232" s="1631" t="str">
        <f t="shared" si="963"/>
        <v>Q4</v>
      </c>
      <c r="CI232" s="1631" t="str">
        <f>CI219</f>
        <v>Q1</v>
      </c>
      <c r="CJ232" s="1631" t="str">
        <f>CJ219</f>
        <v>Q2</v>
      </c>
      <c r="CK232" s="1631" t="str">
        <f t="shared" si="963"/>
        <v>Q3</v>
      </c>
      <c r="CL232" s="1631" t="str">
        <f t="shared" si="963"/>
        <v>Q4</v>
      </c>
      <c r="CM232" s="1631" t="str">
        <f>CM219</f>
        <v>Q1</v>
      </c>
      <c r="CN232" s="1631" t="str">
        <f>CN219</f>
        <v>Q2</v>
      </c>
      <c r="CO232" s="1631" t="str">
        <f>CO219</f>
        <v>Q3</v>
      </c>
      <c r="CP232" s="1631" t="str">
        <f t="shared" ref="CP232" si="964">CP219</f>
        <v>Q4</v>
      </c>
      <c r="CQ232" s="1631" t="str">
        <f>CQ219</f>
        <v>Q1</v>
      </c>
      <c r="CR232" s="1631" t="str">
        <f>CR219</f>
        <v>Q2</v>
      </c>
      <c r="CS232" s="1631" t="str">
        <f>CS219</f>
        <v>Q3</v>
      </c>
      <c r="CT232" s="1631" t="str">
        <f t="shared" ref="CT232" si="965">CT219</f>
        <v>Q4</v>
      </c>
      <c r="CU232" s="1631" t="str">
        <f t="shared" ref="CU232:CX232" si="966">CU219</f>
        <v>Q1</v>
      </c>
      <c r="CV232" s="1631" t="str">
        <f>CV219</f>
        <v>Q2</v>
      </c>
      <c r="CW232" s="1631" t="str">
        <f t="shared" si="966"/>
        <v>Q3</v>
      </c>
      <c r="CX232" s="1631" t="str">
        <f t="shared" si="966"/>
        <v>Q4</v>
      </c>
      <c r="CY232" s="1631" t="str">
        <f t="shared" ref="CY232:DB232" si="967">CY219</f>
        <v>Q1</v>
      </c>
      <c r="CZ232" s="1631" t="str">
        <f t="shared" si="967"/>
        <v>Q2</v>
      </c>
      <c r="DA232" s="1631" t="str">
        <f t="shared" si="967"/>
        <v>Q3</v>
      </c>
      <c r="DB232" s="1631" t="str">
        <f t="shared" si="967"/>
        <v>Q4</v>
      </c>
      <c r="DC232" s="1631" t="str">
        <f t="shared" ref="DC232:DF232" si="968">DC219</f>
        <v>Q1</v>
      </c>
      <c r="DD232" s="1631" t="str">
        <f t="shared" si="968"/>
        <v>Q2</v>
      </c>
      <c r="DE232" s="1631" t="str">
        <f t="shared" si="968"/>
        <v>Q3</v>
      </c>
      <c r="DF232" s="1631" t="str">
        <f t="shared" si="968"/>
        <v>Q4</v>
      </c>
    </row>
    <row r="233" spans="1:110" ht="12.75" hidden="1" customHeight="1">
      <c r="A233" s="701"/>
      <c r="C233" s="966"/>
      <c r="E233" s="217" t="s">
        <v>1417</v>
      </c>
      <c r="H233" s="217" t="e">
        <f t="shared" ref="H233:N233" si="969">(H220/G220-1)*100</f>
        <v>#VALUE!</v>
      </c>
      <c r="I233" s="217" t="e">
        <f t="shared" si="969"/>
        <v>#VALUE!</v>
      </c>
      <c r="J233" s="217" t="e">
        <f t="shared" si="969"/>
        <v>#VALUE!</v>
      </c>
      <c r="K233" s="217" t="e">
        <f t="shared" si="969"/>
        <v>#VALUE!</v>
      </c>
      <c r="L233" s="217" t="e">
        <f t="shared" si="969"/>
        <v>#VALUE!</v>
      </c>
      <c r="M233" s="217" t="e">
        <f t="shared" si="969"/>
        <v>#VALUE!</v>
      </c>
      <c r="N233" s="217" t="e">
        <f t="shared" si="969"/>
        <v>#VALUE!</v>
      </c>
      <c r="O233" s="217" t="e">
        <f t="shared" ref="O233:BJ233" si="970">(O220/N220-1)*100</f>
        <v>#VALUE!</v>
      </c>
      <c r="P233" s="217" t="e">
        <f t="shared" si="970"/>
        <v>#VALUE!</v>
      </c>
      <c r="Q233" s="217" t="e">
        <f t="shared" si="970"/>
        <v>#VALUE!</v>
      </c>
      <c r="R233" s="217" t="e">
        <f t="shared" si="970"/>
        <v>#VALUE!</v>
      </c>
      <c r="S233" s="217" t="e">
        <f t="shared" si="970"/>
        <v>#VALUE!</v>
      </c>
      <c r="T233" s="217" t="e">
        <f t="shared" si="970"/>
        <v>#VALUE!</v>
      </c>
      <c r="U233" s="217" t="e">
        <f t="shared" si="970"/>
        <v>#VALUE!</v>
      </c>
      <c r="V233" s="217" t="e">
        <f t="shared" si="970"/>
        <v>#VALUE!</v>
      </c>
      <c r="W233" s="217" t="e">
        <f t="shared" si="970"/>
        <v>#VALUE!</v>
      </c>
      <c r="X233" s="217" t="e">
        <f t="shared" si="970"/>
        <v>#VALUE!</v>
      </c>
      <c r="Y233" s="217" t="e">
        <f t="shared" si="970"/>
        <v>#VALUE!</v>
      </c>
      <c r="Z233" s="217" t="e">
        <f t="shared" si="970"/>
        <v>#VALUE!</v>
      </c>
      <c r="AA233" s="217" t="e">
        <f t="shared" si="970"/>
        <v>#VALUE!</v>
      </c>
      <c r="AB233" s="217" t="e">
        <f t="shared" si="970"/>
        <v>#VALUE!</v>
      </c>
      <c r="AC233" s="217" t="e">
        <f t="shared" si="970"/>
        <v>#VALUE!</v>
      </c>
      <c r="AD233" s="217" t="e">
        <f t="shared" si="970"/>
        <v>#VALUE!</v>
      </c>
      <c r="AE233" s="217" t="e">
        <f t="shared" si="970"/>
        <v>#VALUE!</v>
      </c>
      <c r="AF233" s="217" t="e">
        <f t="shared" si="970"/>
        <v>#VALUE!</v>
      </c>
      <c r="AG233" s="217" t="e">
        <f t="shared" si="970"/>
        <v>#VALUE!</v>
      </c>
      <c r="AH233" s="217" t="e">
        <f t="shared" si="970"/>
        <v>#VALUE!</v>
      </c>
      <c r="AI233" s="217" t="e">
        <f t="shared" si="970"/>
        <v>#VALUE!</v>
      </c>
      <c r="AJ233" s="217" t="e">
        <f t="shared" si="970"/>
        <v>#VALUE!</v>
      </c>
      <c r="AK233" s="217" t="e">
        <f t="shared" si="970"/>
        <v>#VALUE!</v>
      </c>
      <c r="AL233" s="217" t="e">
        <f t="shared" si="970"/>
        <v>#VALUE!</v>
      </c>
      <c r="AM233" s="217" t="e">
        <f t="shared" si="970"/>
        <v>#VALUE!</v>
      </c>
      <c r="AN233" s="217" t="e">
        <f t="shared" si="970"/>
        <v>#VALUE!</v>
      </c>
      <c r="AO233" s="217" t="e">
        <f t="shared" si="970"/>
        <v>#VALUE!</v>
      </c>
      <c r="AP233" s="217" t="e">
        <f t="shared" si="970"/>
        <v>#VALUE!</v>
      </c>
      <c r="AQ233" s="217" t="e">
        <f t="shared" si="970"/>
        <v>#VALUE!</v>
      </c>
      <c r="AR233" s="217" t="e">
        <f t="shared" si="970"/>
        <v>#VALUE!</v>
      </c>
      <c r="AS233" s="217" t="e">
        <f t="shared" si="970"/>
        <v>#VALUE!</v>
      </c>
      <c r="AT233" s="217" t="e">
        <f t="shared" si="970"/>
        <v>#VALUE!</v>
      </c>
      <c r="AU233" s="217" t="e">
        <f t="shared" si="970"/>
        <v>#VALUE!</v>
      </c>
      <c r="AV233" s="217" t="e">
        <f t="shared" si="970"/>
        <v>#VALUE!</v>
      </c>
      <c r="AW233" s="217" t="e">
        <f t="shared" si="970"/>
        <v>#VALUE!</v>
      </c>
      <c r="AX233" s="217" t="e">
        <f t="shared" si="970"/>
        <v>#VALUE!</v>
      </c>
      <c r="AY233" s="217" t="e">
        <f t="shared" si="970"/>
        <v>#VALUE!</v>
      </c>
      <c r="AZ233" s="217" t="e">
        <f t="shared" si="970"/>
        <v>#VALUE!</v>
      </c>
      <c r="BA233" s="217" t="e">
        <f t="shared" si="970"/>
        <v>#VALUE!</v>
      </c>
      <c r="BB233" s="217" t="e">
        <f t="shared" si="970"/>
        <v>#VALUE!</v>
      </c>
      <c r="BC233" s="217" t="e">
        <f t="shared" si="970"/>
        <v>#VALUE!</v>
      </c>
      <c r="BD233" s="217" t="e">
        <f t="shared" si="970"/>
        <v>#VALUE!</v>
      </c>
      <c r="BE233" s="217" t="e">
        <f t="shared" si="970"/>
        <v>#VALUE!</v>
      </c>
      <c r="BF233" s="217" t="e">
        <f t="shared" si="970"/>
        <v>#VALUE!</v>
      </c>
      <c r="BG233" s="217" t="e">
        <f t="shared" si="970"/>
        <v>#VALUE!</v>
      </c>
      <c r="BH233" s="217" t="e">
        <f t="shared" si="970"/>
        <v>#VALUE!</v>
      </c>
      <c r="BI233" s="217" t="e">
        <f t="shared" si="970"/>
        <v>#VALUE!</v>
      </c>
      <c r="BJ233" s="217" t="e">
        <f t="shared" si="970"/>
        <v>#VALUE!</v>
      </c>
      <c r="BK233" s="217" t="e">
        <f t="shared" ref="BK233:BR233" si="971">(BK220/BJ220-1)*100</f>
        <v>#VALUE!</v>
      </c>
      <c r="BL233" s="217" t="e">
        <f t="shared" si="971"/>
        <v>#VALUE!</v>
      </c>
      <c r="BM233" s="217" t="e">
        <f t="shared" si="971"/>
        <v>#VALUE!</v>
      </c>
      <c r="BN233" s="217" t="e">
        <f t="shared" si="971"/>
        <v>#VALUE!</v>
      </c>
      <c r="BO233" s="217" t="e">
        <f t="shared" si="971"/>
        <v>#VALUE!</v>
      </c>
      <c r="BP233" s="217" t="e">
        <f t="shared" si="971"/>
        <v>#VALUE!</v>
      </c>
      <c r="BQ233" s="217" t="e">
        <f t="shared" si="971"/>
        <v>#VALUE!</v>
      </c>
      <c r="BR233" s="217" t="e">
        <f t="shared" si="971"/>
        <v>#VALUE!</v>
      </c>
      <c r="BS233" s="217" t="e">
        <f>(BS220/BR220-1)*100</f>
        <v>#VALUE!</v>
      </c>
      <c r="BT233" s="217" t="e">
        <f>(BT220/BS220-1)*100</f>
        <v>#VALUE!</v>
      </c>
      <c r="BU233" s="217" t="e">
        <f>(BU220/BT220-1)*100</f>
        <v>#VALUE!</v>
      </c>
      <c r="BV233" s="217" t="e">
        <f>(BV220/BU220-1)*100</f>
        <v>#VALUE!</v>
      </c>
      <c r="BW233" s="777">
        <v>0.54</v>
      </c>
      <c r="BX233" s="777">
        <v>0.53</v>
      </c>
      <c r="BY233" s="777">
        <v>0.52</v>
      </c>
      <c r="BZ233" s="777">
        <v>0.5</v>
      </c>
      <c r="CA233" s="777">
        <v>0.54</v>
      </c>
      <c r="CB233" s="777">
        <v>0.53</v>
      </c>
      <c r="CC233" s="777">
        <v>0.52</v>
      </c>
      <c r="CD233" s="777">
        <v>0.5</v>
      </c>
      <c r="CE233" s="777">
        <v>0.54</v>
      </c>
      <c r="CF233" s="777">
        <v>0.53</v>
      </c>
      <c r="CG233" s="777">
        <v>0.52</v>
      </c>
      <c r="CH233" s="777">
        <v>0.5</v>
      </c>
      <c r="CI233" s="777">
        <v>0.54</v>
      </c>
      <c r="CJ233" s="777">
        <v>0.53</v>
      </c>
      <c r="CK233" s="777">
        <v>0.52</v>
      </c>
      <c r="CL233" s="777">
        <v>0.5</v>
      </c>
      <c r="CM233" s="777">
        <v>0.54</v>
      </c>
      <c r="CN233" s="777">
        <v>0.53</v>
      </c>
      <c r="CO233" s="777">
        <v>0.53</v>
      </c>
      <c r="CP233" s="777">
        <v>0.5</v>
      </c>
      <c r="CQ233" s="777">
        <v>0.54</v>
      </c>
      <c r="CR233" s="777">
        <v>0.53</v>
      </c>
      <c r="CS233" s="777">
        <v>0.53</v>
      </c>
      <c r="CT233" s="777">
        <v>0.5</v>
      </c>
      <c r="CU233" s="777">
        <v>0.54</v>
      </c>
      <c r="CV233" s="777">
        <v>0.53</v>
      </c>
      <c r="CW233" s="777">
        <v>0.52</v>
      </c>
      <c r="CX233" s="777">
        <v>0.5</v>
      </c>
      <c r="CY233" s="777">
        <v>0.54</v>
      </c>
      <c r="CZ233" s="777">
        <v>0.53</v>
      </c>
      <c r="DA233" s="777">
        <v>0.52</v>
      </c>
      <c r="DB233" s="777">
        <v>0.5</v>
      </c>
      <c r="DC233" s="777">
        <v>0.54</v>
      </c>
      <c r="DD233" s="777">
        <v>0.53</v>
      </c>
      <c r="DE233" s="777">
        <v>0.52</v>
      </c>
      <c r="DF233" s="777">
        <v>0.5</v>
      </c>
    </row>
    <row r="234" spans="1:110" ht="12.75" hidden="1" customHeight="1">
      <c r="C234" s="3174"/>
      <c r="D234" s="754"/>
      <c r="E234" s="3169" t="s">
        <v>353</v>
      </c>
      <c r="F234" s="961"/>
      <c r="G234" s="2931"/>
      <c r="H234" s="2931"/>
      <c r="I234" s="2931"/>
      <c r="J234" s="2931"/>
      <c r="K234" s="2931"/>
      <c r="L234" s="2931"/>
      <c r="M234" s="2931"/>
      <c r="N234" s="1660" t="e">
        <f>N221/J221*100-100</f>
        <v>#VALUE!</v>
      </c>
      <c r="O234" s="2931"/>
      <c r="P234" s="2931"/>
      <c r="Q234" s="2931"/>
      <c r="R234" s="1660" t="e">
        <f>R221/N221*100-100</f>
        <v>#VALUE!</v>
      </c>
      <c r="S234" s="2931"/>
      <c r="T234" s="2931"/>
      <c r="U234" s="2931"/>
      <c r="V234" s="1660" t="e">
        <f>V221/R221*100-100</f>
        <v>#VALUE!</v>
      </c>
      <c r="W234" s="2931"/>
      <c r="X234" s="2931"/>
      <c r="Y234" s="2931"/>
      <c r="Z234" s="1660" t="e">
        <f>Z221/V221*100-100</f>
        <v>#VALUE!</v>
      </c>
      <c r="AA234" s="2931"/>
      <c r="AB234" s="2931"/>
      <c r="AC234" s="2931"/>
      <c r="AD234" s="1660" t="e">
        <f>AD221/Z221*100-100</f>
        <v>#VALUE!</v>
      </c>
      <c r="AE234" s="2931"/>
      <c r="AF234" s="2931"/>
      <c r="AG234" s="2931"/>
      <c r="AH234" s="1660" t="e">
        <f>AH221/AD221*100-100</f>
        <v>#VALUE!</v>
      </c>
      <c r="AI234" s="2931"/>
      <c r="AJ234" s="2931"/>
      <c r="AK234" s="2931"/>
      <c r="AL234" s="1660" t="e">
        <f>AL221/AH221*100-100</f>
        <v>#VALUE!</v>
      </c>
      <c r="AM234" s="2931"/>
      <c r="AN234" s="2931"/>
      <c r="AO234" s="2931"/>
      <c r="AP234" s="1660" t="e">
        <f>AP221/AL221*100-100</f>
        <v>#VALUE!</v>
      </c>
      <c r="AQ234" s="2931"/>
      <c r="AR234" s="2931"/>
      <c r="AS234" s="2931"/>
      <c r="AT234" s="1660" t="e">
        <f>AT221/AP221*100-100</f>
        <v>#VALUE!</v>
      </c>
      <c r="AU234" s="2931"/>
      <c r="AV234" s="2931"/>
      <c r="AW234" s="2931"/>
      <c r="AX234" s="1660" t="e">
        <f>AX221/AT221*100-100</f>
        <v>#VALUE!</v>
      </c>
      <c r="AY234" s="2931"/>
      <c r="AZ234" s="2931"/>
      <c r="BA234" s="2931"/>
      <c r="BB234" s="1660" t="e">
        <f>BB221/AX221*100-100</f>
        <v>#VALUE!</v>
      </c>
      <c r="BC234" s="2931"/>
      <c r="BD234" s="2931"/>
      <c r="BE234" s="2931"/>
      <c r="BF234" s="1660" t="e">
        <f>BF221/BB221*100-100</f>
        <v>#VALUE!</v>
      </c>
      <c r="BG234" s="2931"/>
      <c r="BH234" s="2931"/>
      <c r="BI234" s="2931"/>
      <c r="BJ234" s="1660" t="e">
        <f>BJ221/BF221*100-100</f>
        <v>#VALUE!</v>
      </c>
      <c r="BK234" s="2931"/>
      <c r="BL234" s="2931"/>
      <c r="BM234" s="2931"/>
      <c r="BN234" s="1660" t="e">
        <f>BN221/BJ221*100-100</f>
        <v>#VALUE!</v>
      </c>
      <c r="BO234" s="2931"/>
      <c r="BP234" s="2931"/>
      <c r="BQ234" s="2931"/>
      <c r="BR234" s="1660" t="e">
        <f>BR221/BN221*100-100</f>
        <v>#VALUE!</v>
      </c>
      <c r="BS234" s="2931"/>
      <c r="BT234" s="2931"/>
      <c r="BU234" s="2931"/>
      <c r="BV234" s="1660" t="e">
        <f>BV221/BR221*100-100</f>
        <v>#VALUE!</v>
      </c>
      <c r="BW234" s="2931"/>
      <c r="BX234" s="2931"/>
      <c r="BY234" s="2931"/>
      <c r="BZ234" s="1660" t="e">
        <f>BZ221/BV221*100-100</f>
        <v>#VALUE!</v>
      </c>
      <c r="CA234" s="2931"/>
      <c r="CB234" s="2931"/>
      <c r="CC234" s="2931"/>
      <c r="CD234" s="1660" t="e">
        <f>CD221/BZ221*100-100</f>
        <v>#VALUE!</v>
      </c>
      <c r="CE234" s="2931"/>
      <c r="CF234" s="2931"/>
      <c r="CG234" s="2931"/>
      <c r="CH234" s="1660" t="e">
        <f>CH221/CD221*100-100</f>
        <v>#VALUE!</v>
      </c>
      <c r="CI234" s="2931"/>
      <c r="CJ234" s="2931"/>
      <c r="CK234" s="2931"/>
      <c r="CL234" s="1660" t="e">
        <f>CL221/CH221*100-100</f>
        <v>#VALUE!</v>
      </c>
      <c r="CM234" s="2931"/>
      <c r="CN234" s="2931"/>
      <c r="CO234" s="2931"/>
      <c r="CP234" s="1660" t="e">
        <f>CP221/CL221*100-100</f>
        <v>#VALUE!</v>
      </c>
      <c r="CQ234" s="2931"/>
      <c r="CR234" s="2931"/>
      <c r="CS234" s="2931"/>
      <c r="CT234" s="1660" t="e">
        <f>CT221/CP221*100-100</f>
        <v>#VALUE!</v>
      </c>
      <c r="CU234" s="2931"/>
      <c r="CV234" s="2931"/>
      <c r="CW234" s="2931"/>
      <c r="CX234" s="1660" t="e">
        <f>CX221/CT221*100-100</f>
        <v>#VALUE!</v>
      </c>
      <c r="CY234" s="2931"/>
      <c r="CZ234" s="2931"/>
      <c r="DA234" s="2931"/>
      <c r="DB234" s="1660" t="e">
        <f>DB221/CX221*100-100</f>
        <v>#VALUE!</v>
      </c>
      <c r="DC234" s="2931"/>
      <c r="DD234" s="2931"/>
      <c r="DE234" s="2931"/>
      <c r="DF234" s="1660" t="e">
        <f>DF221/DB221*100-100</f>
        <v>#VALUE!</v>
      </c>
    </row>
    <row r="235" spans="1:110" ht="12.75" hidden="1" customHeight="1">
      <c r="C235" s="3174"/>
      <c r="D235" s="754"/>
      <c r="E235" s="3169" t="s">
        <v>136</v>
      </c>
      <c r="F235" s="961"/>
      <c r="G235" s="2931"/>
      <c r="H235" s="2931"/>
      <c r="I235" s="2931"/>
      <c r="J235" s="2931"/>
      <c r="K235" s="2931"/>
      <c r="L235" s="2931"/>
      <c r="M235" s="2931"/>
      <c r="N235" s="1651">
        <f ca="1">N222/J222*100-100</f>
        <v>2.6202141916089801</v>
      </c>
      <c r="O235" s="2931"/>
      <c r="P235" s="2931"/>
      <c r="Q235" s="2931"/>
      <c r="R235" s="1651">
        <f ca="1">R222/N222*100-100</f>
        <v>11.419627606500839</v>
      </c>
      <c r="S235" s="2931"/>
      <c r="T235" s="2931"/>
      <c r="U235" s="2931"/>
      <c r="V235" s="1651">
        <f ca="1">V222/R222*100-100</f>
        <v>10.106965513186864</v>
      </c>
      <c r="W235" s="2931"/>
      <c r="X235" s="2931"/>
      <c r="Y235" s="2931"/>
      <c r="Z235" s="1651">
        <f ca="1">Z222/V222*100-100</f>
        <v>4.1957887291303848</v>
      </c>
      <c r="AA235" s="2931"/>
      <c r="AB235" s="2931"/>
      <c r="AC235" s="2931"/>
      <c r="AD235" s="1651">
        <f ca="1">AD222/Z222*100-100</f>
        <v>12.158062825256422</v>
      </c>
      <c r="AE235" s="2931"/>
      <c r="AF235" s="2931"/>
      <c r="AG235" s="2931"/>
      <c r="AH235" s="1651">
        <f ca="1">AH222/AD222*100-100</f>
        <v>-4.343772717575149</v>
      </c>
      <c r="AI235" s="2931"/>
      <c r="AJ235" s="2931"/>
      <c r="AK235" s="2931"/>
      <c r="AL235" s="1651">
        <f ca="1">AL222/AH222*100-100</f>
        <v>-0.40217126252505864</v>
      </c>
      <c r="AM235" s="2931"/>
      <c r="AN235" s="2931"/>
      <c r="AO235" s="2931"/>
      <c r="AP235" s="1651">
        <f ca="1">AP222/AL222*100-100</f>
        <v>5.9808701432483247</v>
      </c>
      <c r="AQ235" s="2931"/>
      <c r="AR235" s="2931"/>
      <c r="AS235" s="2931"/>
      <c r="AT235" s="1651">
        <f ca="1">AT222/AP222*100-100</f>
        <v>7.8453751344399905</v>
      </c>
      <c r="AU235" s="2931"/>
      <c r="AV235" s="2931"/>
      <c r="AW235" s="2931"/>
      <c r="AX235" s="1651">
        <f ca="1">AX222/AT222*100-100</f>
        <v>7.4670793672974867</v>
      </c>
      <c r="AY235" s="2931"/>
      <c r="AZ235" s="2931"/>
      <c r="BA235" s="2931"/>
      <c r="BB235" s="1651">
        <f ca="1">BB222/AX222*100-100</f>
        <v>9.6045088461140153</v>
      </c>
      <c r="BC235" s="2931"/>
      <c r="BD235" s="2931"/>
      <c r="BE235" s="2931"/>
      <c r="BF235" s="1651">
        <f ca="1">BF222/BB222*100-100</f>
        <v>6.9381813413658762</v>
      </c>
      <c r="BG235" s="2931"/>
      <c r="BH235" s="2931"/>
      <c r="BI235" s="2931"/>
      <c r="BJ235" s="1651">
        <f ca="1">BJ222/BF222*100-100</f>
        <v>2.9212371565577371</v>
      </c>
      <c r="BK235" s="2931"/>
      <c r="BL235" s="2931"/>
      <c r="BM235" s="2931"/>
      <c r="BN235" s="1651">
        <f ca="1">BN222/BJ222*100-100</f>
        <v>-16.578019730312405</v>
      </c>
      <c r="BO235" s="2931"/>
      <c r="BP235" s="2931"/>
      <c r="BQ235" s="2931"/>
      <c r="BR235" s="1651">
        <f ca="1">BR222/BN222*100-100</f>
        <v>17.194558024366557</v>
      </c>
      <c r="BS235" s="2931"/>
      <c r="BT235" s="2931"/>
      <c r="BU235" s="2931"/>
      <c r="BV235" s="1651">
        <f ca="1">BV222/BR222*100-100</f>
        <v>8.6687935651744539</v>
      </c>
      <c r="BW235" s="2931"/>
      <c r="BX235" s="2931"/>
      <c r="BY235" s="2931"/>
      <c r="BZ235" s="1651">
        <f ca="1">BZ222/BV222*100-100</f>
        <v>-0.84808310531920483</v>
      </c>
      <c r="CA235" s="2931"/>
      <c r="CB235" s="2931"/>
      <c r="CC235" s="2931"/>
      <c r="CD235" s="1651">
        <f ca="1">CD222/BZ222*100-100</f>
        <v>-1.6849708057331441</v>
      </c>
      <c r="CE235" s="2931"/>
      <c r="CF235" s="2931"/>
      <c r="CG235" s="2931"/>
      <c r="CH235" s="1651">
        <f ca="1">CH222/CD222*100-100</f>
        <v>4.6097291357892942</v>
      </c>
      <c r="CI235" s="2931"/>
      <c r="CJ235" s="2931"/>
      <c r="CK235" s="2931"/>
      <c r="CL235" s="1651">
        <f ca="1">CL222/CH222*100-100</f>
        <v>5.4030409567209006</v>
      </c>
      <c r="CM235" s="2931"/>
      <c r="CN235" s="2931"/>
      <c r="CO235" s="2931"/>
      <c r="CP235" s="1651">
        <f ca="1">CP222/CL222*100-100</f>
        <v>5.8684505668649791</v>
      </c>
      <c r="CQ235" s="2931"/>
      <c r="CR235" s="2931"/>
      <c r="CS235" s="2931"/>
      <c r="CT235" s="1651">
        <f ca="1">CT222/CP222*100-100</f>
        <v>4.0222811279401185</v>
      </c>
      <c r="CU235" s="2931"/>
      <c r="CV235" s="2931"/>
      <c r="CW235" s="2931"/>
      <c r="CX235" s="1651">
        <f ca="1">CX222/CT222*100-100</f>
        <v>4.0100000000000051</v>
      </c>
      <c r="CY235" s="2931"/>
      <c r="CZ235" s="2931"/>
      <c r="DA235" s="2931"/>
      <c r="DB235" s="1651">
        <f ca="1">DB222/CX222*100-100</f>
        <v>3.3600000000000136</v>
      </c>
      <c r="DC235" s="2931"/>
      <c r="DD235" s="2931"/>
      <c r="DE235" s="2931"/>
      <c r="DF235" s="1651">
        <f ca="1">DF222/DB222*100-100</f>
        <v>3.1199999999999903</v>
      </c>
    </row>
    <row r="236" spans="1:110" ht="12.75" hidden="1" customHeight="1">
      <c r="C236" s="3174"/>
      <c r="D236" s="711"/>
      <c r="E236" s="220" t="s">
        <v>1416</v>
      </c>
      <c r="F236" s="747"/>
      <c r="G236" s="2930"/>
      <c r="H236" s="2930" t="e">
        <f t="shared" ref="H236:N236" si="972">(H223/G223-1)*100</f>
        <v>#VALUE!</v>
      </c>
      <c r="I236" s="2930" t="e">
        <f t="shared" si="972"/>
        <v>#VALUE!</v>
      </c>
      <c r="J236" s="2930" t="e">
        <f t="shared" si="972"/>
        <v>#VALUE!</v>
      </c>
      <c r="K236" s="2930" t="e">
        <f t="shared" si="972"/>
        <v>#VALUE!</v>
      </c>
      <c r="L236" s="2930" t="e">
        <f t="shared" si="972"/>
        <v>#VALUE!</v>
      </c>
      <c r="M236" s="2930" t="e">
        <f t="shared" si="972"/>
        <v>#VALUE!</v>
      </c>
      <c r="N236" s="2930" t="e">
        <f t="shared" si="972"/>
        <v>#VALUE!</v>
      </c>
      <c r="O236" s="2930" t="e">
        <f t="shared" ref="O236:BJ236" si="973">(O223/N223-1)*100</f>
        <v>#VALUE!</v>
      </c>
      <c r="P236" s="2930" t="e">
        <f t="shared" si="973"/>
        <v>#VALUE!</v>
      </c>
      <c r="Q236" s="2930" t="e">
        <f t="shared" si="973"/>
        <v>#VALUE!</v>
      </c>
      <c r="R236" s="2930" t="e">
        <f t="shared" si="973"/>
        <v>#VALUE!</v>
      </c>
      <c r="S236" s="2930" t="e">
        <f t="shared" si="973"/>
        <v>#VALUE!</v>
      </c>
      <c r="T236" s="2930" t="e">
        <f t="shared" si="973"/>
        <v>#VALUE!</v>
      </c>
      <c r="U236" s="2930" t="e">
        <f t="shared" si="973"/>
        <v>#VALUE!</v>
      </c>
      <c r="V236" s="2930" t="e">
        <f t="shared" si="973"/>
        <v>#VALUE!</v>
      </c>
      <c r="W236" s="2930" t="e">
        <f t="shared" si="973"/>
        <v>#VALUE!</v>
      </c>
      <c r="X236" s="2930" t="e">
        <f t="shared" si="973"/>
        <v>#VALUE!</v>
      </c>
      <c r="Y236" s="2930" t="e">
        <f t="shared" si="973"/>
        <v>#VALUE!</v>
      </c>
      <c r="Z236" s="2930" t="e">
        <f t="shared" si="973"/>
        <v>#VALUE!</v>
      </c>
      <c r="AA236" s="2930" t="e">
        <f t="shared" si="973"/>
        <v>#VALUE!</v>
      </c>
      <c r="AB236" s="2930" t="e">
        <f t="shared" si="973"/>
        <v>#VALUE!</v>
      </c>
      <c r="AC236" s="2930" t="e">
        <f t="shared" si="973"/>
        <v>#VALUE!</v>
      </c>
      <c r="AD236" s="2930" t="e">
        <f t="shared" si="973"/>
        <v>#VALUE!</v>
      </c>
      <c r="AE236" s="2930" t="e">
        <f t="shared" si="973"/>
        <v>#VALUE!</v>
      </c>
      <c r="AF236" s="2930" t="e">
        <f t="shared" si="973"/>
        <v>#VALUE!</v>
      </c>
      <c r="AG236" s="2930" t="e">
        <f t="shared" si="973"/>
        <v>#VALUE!</v>
      </c>
      <c r="AH236" s="2930" t="e">
        <f t="shared" si="973"/>
        <v>#VALUE!</v>
      </c>
      <c r="AI236" s="2930" t="e">
        <f t="shared" si="973"/>
        <v>#VALUE!</v>
      </c>
      <c r="AJ236" s="2930" t="e">
        <f t="shared" si="973"/>
        <v>#VALUE!</v>
      </c>
      <c r="AK236" s="2930" t="e">
        <f t="shared" si="973"/>
        <v>#VALUE!</v>
      </c>
      <c r="AL236" s="2930" t="e">
        <f t="shared" si="973"/>
        <v>#VALUE!</v>
      </c>
      <c r="AM236" s="2930" t="e">
        <f t="shared" si="973"/>
        <v>#VALUE!</v>
      </c>
      <c r="AN236" s="2930" t="e">
        <f t="shared" si="973"/>
        <v>#VALUE!</v>
      </c>
      <c r="AO236" s="2930" t="e">
        <f t="shared" si="973"/>
        <v>#VALUE!</v>
      </c>
      <c r="AP236" s="2930" t="e">
        <f t="shared" si="973"/>
        <v>#VALUE!</v>
      </c>
      <c r="AQ236" s="2930" t="e">
        <f t="shared" si="973"/>
        <v>#VALUE!</v>
      </c>
      <c r="AR236" s="2930" t="e">
        <f t="shared" si="973"/>
        <v>#VALUE!</v>
      </c>
      <c r="AS236" s="2930" t="e">
        <f t="shared" si="973"/>
        <v>#VALUE!</v>
      </c>
      <c r="AT236" s="2930" t="e">
        <f t="shared" si="973"/>
        <v>#VALUE!</v>
      </c>
      <c r="AU236" s="2930" t="e">
        <f t="shared" si="973"/>
        <v>#VALUE!</v>
      </c>
      <c r="AV236" s="2930" t="e">
        <f t="shared" si="973"/>
        <v>#VALUE!</v>
      </c>
      <c r="AW236" s="2930" t="e">
        <f t="shared" si="973"/>
        <v>#VALUE!</v>
      </c>
      <c r="AX236" s="2930" t="e">
        <f t="shared" si="973"/>
        <v>#VALUE!</v>
      </c>
      <c r="AY236" s="2930" t="e">
        <f t="shared" si="973"/>
        <v>#VALUE!</v>
      </c>
      <c r="AZ236" s="2930" t="e">
        <f t="shared" si="973"/>
        <v>#VALUE!</v>
      </c>
      <c r="BA236" s="2930" t="e">
        <f t="shared" si="973"/>
        <v>#VALUE!</v>
      </c>
      <c r="BB236" s="2930" t="e">
        <f t="shared" si="973"/>
        <v>#VALUE!</v>
      </c>
      <c r="BC236" s="2930" t="e">
        <f t="shared" si="973"/>
        <v>#VALUE!</v>
      </c>
      <c r="BD236" s="2930" t="e">
        <f t="shared" si="973"/>
        <v>#VALUE!</v>
      </c>
      <c r="BE236" s="2930" t="e">
        <f t="shared" si="973"/>
        <v>#VALUE!</v>
      </c>
      <c r="BF236" s="2930" t="e">
        <f t="shared" si="973"/>
        <v>#VALUE!</v>
      </c>
      <c r="BG236" s="2930" t="e">
        <f t="shared" si="973"/>
        <v>#VALUE!</v>
      </c>
      <c r="BH236" s="2930" t="e">
        <f t="shared" si="973"/>
        <v>#VALUE!</v>
      </c>
      <c r="BI236" s="2930" t="e">
        <f t="shared" si="973"/>
        <v>#VALUE!</v>
      </c>
      <c r="BJ236" s="2930" t="e">
        <f t="shared" si="973"/>
        <v>#VALUE!</v>
      </c>
      <c r="BK236" s="2930" t="e">
        <f t="shared" ref="BK236:BR236" si="974">(BK223/BJ223-1)*100</f>
        <v>#VALUE!</v>
      </c>
      <c r="BL236" s="2930" t="e">
        <f t="shared" si="974"/>
        <v>#VALUE!</v>
      </c>
      <c r="BM236" s="2930" t="e">
        <f t="shared" si="974"/>
        <v>#VALUE!</v>
      </c>
      <c r="BN236" s="2930" t="e">
        <f t="shared" si="974"/>
        <v>#VALUE!</v>
      </c>
      <c r="BO236" s="2930" t="e">
        <f t="shared" si="974"/>
        <v>#VALUE!</v>
      </c>
      <c r="BP236" s="2930" t="e">
        <f t="shared" si="974"/>
        <v>#VALUE!</v>
      </c>
      <c r="BQ236" s="2930" t="e">
        <f t="shared" si="974"/>
        <v>#VALUE!</v>
      </c>
      <c r="BR236" s="2930" t="e">
        <f t="shared" si="974"/>
        <v>#VALUE!</v>
      </c>
      <c r="BS236" s="2930" t="e">
        <f>(BS223/BR223-1)*100</f>
        <v>#VALUE!</v>
      </c>
      <c r="BT236" s="2930" t="e">
        <f>(BT223/BS223-1)*100</f>
        <v>#VALUE!</v>
      </c>
      <c r="BU236" s="2930" t="e">
        <f>(BU223/BT223-1)*100</f>
        <v>#VALUE!</v>
      </c>
      <c r="BV236" s="2930" t="e">
        <f>(BV223/BU223-1)*100</f>
        <v>#VALUE!</v>
      </c>
      <c r="BW236" s="777">
        <v>0.54</v>
      </c>
      <c r="BX236" s="777">
        <v>0.53</v>
      </c>
      <c r="BY236" s="777">
        <v>0.52</v>
      </c>
      <c r="BZ236" s="777">
        <v>0.5</v>
      </c>
      <c r="CA236" s="777">
        <v>0.54</v>
      </c>
      <c r="CB236" s="777">
        <v>0.53</v>
      </c>
      <c r="CC236" s="777">
        <v>0.52</v>
      </c>
      <c r="CD236" s="777">
        <v>0.5</v>
      </c>
      <c r="CE236" s="777">
        <v>0.54</v>
      </c>
      <c r="CF236" s="777">
        <v>0.53</v>
      </c>
      <c r="CG236" s="777">
        <v>0.52</v>
      </c>
      <c r="CH236" s="777">
        <v>0.5</v>
      </c>
      <c r="CI236" s="777">
        <v>0.54</v>
      </c>
      <c r="CJ236" s="777">
        <v>0.53</v>
      </c>
      <c r="CK236" s="777">
        <v>0.52</v>
      </c>
      <c r="CL236" s="777">
        <v>0.5</v>
      </c>
      <c r="CM236" s="777">
        <v>0.54</v>
      </c>
      <c r="CN236" s="777">
        <v>0.53</v>
      </c>
      <c r="CO236" s="777">
        <v>0.53</v>
      </c>
      <c r="CP236" s="777">
        <v>0.5</v>
      </c>
      <c r="CQ236" s="777">
        <v>0.54</v>
      </c>
      <c r="CR236" s="777">
        <v>0.53</v>
      </c>
      <c r="CS236" s="777">
        <v>0.53</v>
      </c>
      <c r="CT236" s="777">
        <v>0.5</v>
      </c>
      <c r="CU236" s="777">
        <v>0.54</v>
      </c>
      <c r="CV236" s="777">
        <v>0.53</v>
      </c>
      <c r="CW236" s="777">
        <v>0.52</v>
      </c>
      <c r="CX236" s="777">
        <v>0.5</v>
      </c>
      <c r="CY236" s="777">
        <v>0.54</v>
      </c>
      <c r="CZ236" s="777">
        <v>0.53</v>
      </c>
      <c r="DA236" s="777">
        <v>0.52</v>
      </c>
      <c r="DB236" s="777">
        <v>0.5</v>
      </c>
      <c r="DC236" s="777">
        <v>0.54</v>
      </c>
      <c r="DD236" s="777">
        <v>0.53</v>
      </c>
      <c r="DE236" s="777">
        <v>0.52</v>
      </c>
      <c r="DF236" s="777">
        <v>0.5</v>
      </c>
    </row>
    <row r="237" spans="1:110" ht="12.75" hidden="1" customHeight="1">
      <c r="C237" s="3174"/>
      <c r="D237" s="754"/>
      <c r="E237" s="3169" t="s">
        <v>353</v>
      </c>
      <c r="F237" s="961"/>
      <c r="G237" s="2931"/>
      <c r="H237" s="2931"/>
      <c r="I237" s="2931"/>
      <c r="J237" s="2931"/>
      <c r="K237" s="2931"/>
      <c r="L237" s="2931"/>
      <c r="M237" s="2931"/>
      <c r="N237" s="1660" t="e">
        <f>N224/J224*100-100</f>
        <v>#VALUE!</v>
      </c>
      <c r="O237" s="2931"/>
      <c r="P237" s="2931"/>
      <c r="Q237" s="2931"/>
      <c r="R237" s="1660" t="e">
        <f>R224/N224*100-100</f>
        <v>#VALUE!</v>
      </c>
      <c r="S237" s="2931"/>
      <c r="T237" s="2931"/>
      <c r="U237" s="2931"/>
      <c r="V237" s="1660" t="e">
        <f>V224/R224*100-100</f>
        <v>#VALUE!</v>
      </c>
      <c r="W237" s="2931"/>
      <c r="X237" s="2931"/>
      <c r="Y237" s="2931"/>
      <c r="Z237" s="1660" t="e">
        <f>Z224/V224*100-100</f>
        <v>#VALUE!</v>
      </c>
      <c r="AA237" s="2931"/>
      <c r="AB237" s="2931"/>
      <c r="AC237" s="2931"/>
      <c r="AD237" s="1660" t="e">
        <f>AD224/Z224*100-100</f>
        <v>#VALUE!</v>
      </c>
      <c r="AE237" s="2931"/>
      <c r="AF237" s="2931"/>
      <c r="AG237" s="2931"/>
      <c r="AH237" s="1660" t="e">
        <f>AH224/AD224*100-100</f>
        <v>#VALUE!</v>
      </c>
      <c r="AI237" s="2931"/>
      <c r="AJ237" s="2931"/>
      <c r="AK237" s="2931"/>
      <c r="AL237" s="1660" t="e">
        <f>AL224/AH224*100-100</f>
        <v>#VALUE!</v>
      </c>
      <c r="AM237" s="2931"/>
      <c r="AN237" s="2931"/>
      <c r="AO237" s="2931"/>
      <c r="AP237" s="1660" t="e">
        <f>AP224/AL224*100-100</f>
        <v>#VALUE!</v>
      </c>
      <c r="AQ237" s="2931"/>
      <c r="AR237" s="2931"/>
      <c r="AS237" s="2931"/>
      <c r="AT237" s="1660" t="e">
        <f>AT224/AP224*100-100</f>
        <v>#VALUE!</v>
      </c>
      <c r="AU237" s="2931"/>
      <c r="AV237" s="2931"/>
      <c r="AW237" s="2931"/>
      <c r="AX237" s="1660" t="e">
        <f>AX224/AT224*100-100</f>
        <v>#VALUE!</v>
      </c>
      <c r="AY237" s="2931"/>
      <c r="AZ237" s="2931"/>
      <c r="BA237" s="2931"/>
      <c r="BB237" s="1660" t="e">
        <f>BB224/AX224*100-100</f>
        <v>#VALUE!</v>
      </c>
      <c r="BC237" s="2931"/>
      <c r="BD237" s="2931"/>
      <c r="BE237" s="2931"/>
      <c r="BF237" s="1660" t="e">
        <f>BF224/BB224*100-100</f>
        <v>#VALUE!</v>
      </c>
      <c r="BG237" s="2931"/>
      <c r="BH237" s="2931"/>
      <c r="BI237" s="2931"/>
      <c r="BJ237" s="1660" t="e">
        <f>BJ224/BF224*100-100</f>
        <v>#VALUE!</v>
      </c>
      <c r="BK237" s="2931"/>
      <c r="BL237" s="2931"/>
      <c r="BM237" s="2931"/>
      <c r="BN237" s="1660" t="e">
        <f>BN224/BJ224*100-100</f>
        <v>#VALUE!</v>
      </c>
      <c r="BO237" s="2931"/>
      <c r="BP237" s="2931"/>
      <c r="BQ237" s="2931"/>
      <c r="BR237" s="1660" t="e">
        <f>BR224/BN224*100-100</f>
        <v>#VALUE!</v>
      </c>
      <c r="BS237" s="2931"/>
      <c r="BT237" s="2931"/>
      <c r="BU237" s="2931"/>
      <c r="BV237" s="1660" t="e">
        <f>BV224/BR224*100-100</f>
        <v>#VALUE!</v>
      </c>
      <c r="BW237" s="2931"/>
      <c r="BX237" s="2931"/>
      <c r="BY237" s="2931"/>
      <c r="BZ237" s="1660" t="e">
        <f>BZ224/BV224*100-100</f>
        <v>#VALUE!</v>
      </c>
      <c r="CA237" s="2931"/>
      <c r="CB237" s="2931"/>
      <c r="CC237" s="2931"/>
      <c r="CD237" s="1660" t="e">
        <f>CD224/BZ224*100-100</f>
        <v>#VALUE!</v>
      </c>
      <c r="CE237" s="2931"/>
      <c r="CF237" s="2931"/>
      <c r="CG237" s="2931"/>
      <c r="CH237" s="1660" t="e">
        <f>CH224/CD224*100-100</f>
        <v>#VALUE!</v>
      </c>
      <c r="CI237" s="2931"/>
      <c r="CJ237" s="2931"/>
      <c r="CK237" s="2931"/>
      <c r="CL237" s="1660" t="e">
        <f>CL224/CH224*100-100</f>
        <v>#VALUE!</v>
      </c>
      <c r="CM237" s="2931"/>
      <c r="CN237" s="2931"/>
      <c r="CO237" s="2931"/>
      <c r="CP237" s="1660" t="e">
        <f>CP224/CL224*100-100</f>
        <v>#VALUE!</v>
      </c>
      <c r="CQ237" s="2931"/>
      <c r="CR237" s="2931"/>
      <c r="CS237" s="2931"/>
      <c r="CT237" s="1660" t="e">
        <f>CT224/CP224*100-100</f>
        <v>#VALUE!</v>
      </c>
      <c r="CU237" s="2931"/>
      <c r="CV237" s="2931"/>
      <c r="CW237" s="2931"/>
      <c r="CX237" s="1660" t="e">
        <f>CX224/CT224*100-100</f>
        <v>#VALUE!</v>
      </c>
      <c r="CY237" s="2931"/>
      <c r="CZ237" s="2931"/>
      <c r="DA237" s="2931"/>
      <c r="DB237" s="1660" t="e">
        <f>DB224/CX224*100-100</f>
        <v>#VALUE!</v>
      </c>
      <c r="DC237" s="2931"/>
      <c r="DD237" s="2931"/>
      <c r="DE237" s="2931"/>
      <c r="DF237" s="1660" t="e">
        <f>DF224/DB224*100-100</f>
        <v>#VALUE!</v>
      </c>
    </row>
    <row r="238" spans="1:110" ht="12.75" hidden="1" customHeight="1">
      <c r="C238" s="3174"/>
      <c r="D238" s="754"/>
      <c r="E238" s="3169" t="s">
        <v>136</v>
      </c>
      <c r="F238" s="961"/>
      <c r="G238" s="2931"/>
      <c r="H238" s="2931"/>
      <c r="I238" s="2931"/>
      <c r="J238" s="2931"/>
      <c r="K238" s="2931"/>
      <c r="L238" s="2931"/>
      <c r="M238" s="2931"/>
      <c r="N238" s="1651">
        <f ca="1">N225/J225*100-100</f>
        <v>6.1169903809667971</v>
      </c>
      <c r="O238" s="2931"/>
      <c r="P238" s="2931"/>
      <c r="Q238" s="2931"/>
      <c r="R238" s="1651">
        <f ca="1">R225/N225*100-100</f>
        <v>15.577437706675141</v>
      </c>
      <c r="S238" s="2931"/>
      <c r="T238" s="2931"/>
      <c r="U238" s="2931"/>
      <c r="V238" s="1651">
        <f ca="1">V225/R225*100-100</f>
        <v>14.827275596785384</v>
      </c>
      <c r="W238" s="2931"/>
      <c r="X238" s="2931"/>
      <c r="Y238" s="2931"/>
      <c r="Z238" s="1651">
        <f ca="1">Z225/V225*100-100</f>
        <v>7.6959839919246349</v>
      </c>
      <c r="AA238" s="2931"/>
      <c r="AB238" s="2931"/>
      <c r="AC238" s="2931"/>
      <c r="AD238" s="1651">
        <f ca="1">AD225/Z225*100-100</f>
        <v>10.65332184998347</v>
      </c>
      <c r="AE238" s="2931"/>
      <c r="AF238" s="2931"/>
      <c r="AG238" s="2931"/>
      <c r="AH238" s="1651">
        <f ca="1">AH225/AD225*100-100</f>
        <v>5.5398202695345873</v>
      </c>
      <c r="AI238" s="2931"/>
      <c r="AJ238" s="2931"/>
      <c r="AK238" s="2931"/>
      <c r="AL238" s="1651">
        <f ca="1">AL225/AH225*100-100</f>
        <v>-3.3335973174654328</v>
      </c>
      <c r="AM238" s="2931"/>
      <c r="AN238" s="2931"/>
      <c r="AO238" s="2931"/>
      <c r="AP238" s="1651">
        <f ca="1">AP225/AL225*100-100</f>
        <v>-1.4927718019906564</v>
      </c>
      <c r="AQ238" s="2931"/>
      <c r="AR238" s="2931"/>
      <c r="AS238" s="2931"/>
      <c r="AT238" s="1651">
        <f ca="1">AT225/AP225*100-100</f>
        <v>3.3979680188742378</v>
      </c>
      <c r="AU238" s="2931"/>
      <c r="AV238" s="2931"/>
      <c r="AW238" s="2931"/>
      <c r="AX238" s="1651">
        <f ca="1">AX225/AT225*100-100</f>
        <v>5.7246002215651117</v>
      </c>
      <c r="AY238" s="2931"/>
      <c r="AZ238" s="2931"/>
      <c r="BA238" s="2931"/>
      <c r="BB238" s="1651">
        <f ca="1">BB225/AX225*100-100</f>
        <v>4.4095035092178421</v>
      </c>
      <c r="BC238" s="2931"/>
      <c r="BD238" s="2931"/>
      <c r="BE238" s="2931"/>
      <c r="BF238" s="1651">
        <f ca="1">BF225/BB225*100-100</f>
        <v>9.7051147322587923</v>
      </c>
      <c r="BG238" s="2931"/>
      <c r="BH238" s="2931"/>
      <c r="BI238" s="2931"/>
      <c r="BJ238" s="1651">
        <f ca="1">BJ225/BF225*100-100</f>
        <v>6.2772465352963565</v>
      </c>
      <c r="BK238" s="2931"/>
      <c r="BL238" s="2931"/>
      <c r="BM238" s="2931"/>
      <c r="BN238" s="1651">
        <f ca="1">BN225/BJ225*100-100</f>
        <v>-7.1400562973864936</v>
      </c>
      <c r="BO238" s="2931"/>
      <c r="BP238" s="2931"/>
      <c r="BQ238" s="2931"/>
      <c r="BR238" s="1651">
        <f ca="1">BR225/BN225*100-100</f>
        <v>2.2824453337304362</v>
      </c>
      <c r="BS238" s="2931"/>
      <c r="BT238" s="2931"/>
      <c r="BU238" s="2931"/>
      <c r="BV238" s="1651">
        <f ca="1">BV225/BR225*100-100</f>
        <v>3.6726295829728315</v>
      </c>
      <c r="BW238" s="2931"/>
      <c r="BX238" s="2931"/>
      <c r="BY238" s="2931"/>
      <c r="BZ238" s="1651">
        <f ca="1">BZ225/BV225*100-100</f>
        <v>4.333271597072752</v>
      </c>
      <c r="CA238" s="2931"/>
      <c r="CB238" s="2931"/>
      <c r="CC238" s="2931"/>
      <c r="CD238" s="1651">
        <f ca="1">CD225/BZ225*100-100</f>
        <v>4.0729012477920321</v>
      </c>
      <c r="CE238" s="2931"/>
      <c r="CF238" s="2931"/>
      <c r="CG238" s="2931"/>
      <c r="CH238" s="1651">
        <f ca="1">CH225/CD225*100-100</f>
        <v>10.364960314757866</v>
      </c>
      <c r="CI238" s="2931"/>
      <c r="CJ238" s="2931"/>
      <c r="CK238" s="2931"/>
      <c r="CL238" s="1651">
        <f ca="1">CL225/CH225*100-100</f>
        <v>4.8813066967150434</v>
      </c>
      <c r="CM238" s="2931"/>
      <c r="CN238" s="2931"/>
      <c r="CO238" s="2931"/>
      <c r="CP238" s="1651">
        <f ca="1">CP225/CL225*100-100</f>
        <v>0.88899408358547305</v>
      </c>
      <c r="CQ238" s="2931"/>
      <c r="CR238" s="2931"/>
      <c r="CS238" s="2931"/>
      <c r="CT238" s="1651">
        <f ca="1">CT225/CP225*100-100</f>
        <v>6.3907696063153736</v>
      </c>
      <c r="CU238" s="2931"/>
      <c r="CV238" s="2931"/>
      <c r="CW238" s="2931"/>
      <c r="CX238" s="1651">
        <f ca="1">CX225/CT225*100-100</f>
        <v>3.0499999999999972</v>
      </c>
      <c r="CY238" s="2931"/>
      <c r="CZ238" s="2931"/>
      <c r="DA238" s="2931"/>
      <c r="DB238" s="1651">
        <f ca="1">DB225/CX225*100-100</f>
        <v>2.8299999999999983</v>
      </c>
      <c r="DC238" s="2931"/>
      <c r="DD238" s="2931"/>
      <c r="DE238" s="2931"/>
      <c r="DF238" s="1651">
        <f ca="1">DF225/DB225*100-100</f>
        <v>3.210000000000008</v>
      </c>
    </row>
    <row r="239" spans="1:110" ht="12.75" hidden="1" customHeight="1">
      <c r="C239" s="3174"/>
      <c r="D239" s="711"/>
      <c r="E239" s="2930" t="s">
        <v>487</v>
      </c>
      <c r="F239" s="747"/>
      <c r="G239" s="2930"/>
      <c r="H239" s="2930" t="e">
        <f t="shared" ref="H239:N241" si="975">(H226/G226-1)*100</f>
        <v>#VALUE!</v>
      </c>
      <c r="I239" s="2930" t="e">
        <f t="shared" si="975"/>
        <v>#VALUE!</v>
      </c>
      <c r="J239" s="2930" t="e">
        <f t="shared" si="975"/>
        <v>#VALUE!</v>
      </c>
      <c r="K239" s="2930" t="e">
        <f t="shared" si="975"/>
        <v>#VALUE!</v>
      </c>
      <c r="L239" s="2930" t="e">
        <f t="shared" si="975"/>
        <v>#VALUE!</v>
      </c>
      <c r="M239" s="2930" t="e">
        <f t="shared" si="975"/>
        <v>#VALUE!</v>
      </c>
      <c r="N239" s="2930" t="e">
        <f t="shared" si="975"/>
        <v>#VALUE!</v>
      </c>
      <c r="O239" s="2930" t="e">
        <f t="shared" ref="O239:BJ239" si="976">(O226/N226-1)*100</f>
        <v>#VALUE!</v>
      </c>
      <c r="P239" s="2930" t="e">
        <f t="shared" si="976"/>
        <v>#VALUE!</v>
      </c>
      <c r="Q239" s="2930" t="e">
        <f t="shared" si="976"/>
        <v>#VALUE!</v>
      </c>
      <c r="R239" s="2930" t="e">
        <f t="shared" si="976"/>
        <v>#VALUE!</v>
      </c>
      <c r="S239" s="2930" t="e">
        <f t="shared" si="976"/>
        <v>#VALUE!</v>
      </c>
      <c r="T239" s="2930" t="e">
        <f t="shared" si="976"/>
        <v>#VALUE!</v>
      </c>
      <c r="U239" s="2930" t="e">
        <f t="shared" si="976"/>
        <v>#VALUE!</v>
      </c>
      <c r="V239" s="2930" t="e">
        <f t="shared" si="976"/>
        <v>#VALUE!</v>
      </c>
      <c r="W239" s="2930" t="e">
        <f t="shared" si="976"/>
        <v>#VALUE!</v>
      </c>
      <c r="X239" s="2930" t="e">
        <f t="shared" si="976"/>
        <v>#VALUE!</v>
      </c>
      <c r="Y239" s="2930" t="e">
        <f t="shared" si="976"/>
        <v>#VALUE!</v>
      </c>
      <c r="Z239" s="2930" t="e">
        <f t="shared" si="976"/>
        <v>#VALUE!</v>
      </c>
      <c r="AA239" s="2930" t="e">
        <f t="shared" si="976"/>
        <v>#VALUE!</v>
      </c>
      <c r="AB239" s="2930" t="e">
        <f t="shared" si="976"/>
        <v>#VALUE!</v>
      </c>
      <c r="AC239" s="2930" t="e">
        <f t="shared" si="976"/>
        <v>#VALUE!</v>
      </c>
      <c r="AD239" s="2930" t="e">
        <f t="shared" si="976"/>
        <v>#VALUE!</v>
      </c>
      <c r="AE239" s="2930" t="e">
        <f t="shared" si="976"/>
        <v>#VALUE!</v>
      </c>
      <c r="AF239" s="2930" t="e">
        <f t="shared" si="976"/>
        <v>#VALUE!</v>
      </c>
      <c r="AG239" s="2930" t="e">
        <f t="shared" si="976"/>
        <v>#VALUE!</v>
      </c>
      <c r="AH239" s="2930" t="e">
        <f t="shared" si="976"/>
        <v>#VALUE!</v>
      </c>
      <c r="AI239" s="2930" t="e">
        <f t="shared" si="976"/>
        <v>#VALUE!</v>
      </c>
      <c r="AJ239" s="2930" t="e">
        <f t="shared" si="976"/>
        <v>#VALUE!</v>
      </c>
      <c r="AK239" s="2930" t="e">
        <f t="shared" si="976"/>
        <v>#VALUE!</v>
      </c>
      <c r="AL239" s="2930" t="e">
        <f t="shared" si="976"/>
        <v>#VALUE!</v>
      </c>
      <c r="AM239" s="2930" t="e">
        <f t="shared" si="976"/>
        <v>#VALUE!</v>
      </c>
      <c r="AN239" s="2930" t="e">
        <f t="shared" si="976"/>
        <v>#VALUE!</v>
      </c>
      <c r="AO239" s="2930" t="e">
        <f t="shared" si="976"/>
        <v>#VALUE!</v>
      </c>
      <c r="AP239" s="2930" t="e">
        <f t="shared" si="976"/>
        <v>#VALUE!</v>
      </c>
      <c r="AQ239" s="2930" t="e">
        <f t="shared" si="976"/>
        <v>#VALUE!</v>
      </c>
      <c r="AR239" s="2930" t="e">
        <f t="shared" si="976"/>
        <v>#VALUE!</v>
      </c>
      <c r="AS239" s="2930" t="e">
        <f t="shared" si="976"/>
        <v>#VALUE!</v>
      </c>
      <c r="AT239" s="2930" t="e">
        <f t="shared" si="976"/>
        <v>#VALUE!</v>
      </c>
      <c r="AU239" s="2930" t="e">
        <f t="shared" si="976"/>
        <v>#VALUE!</v>
      </c>
      <c r="AV239" s="2930" t="e">
        <f t="shared" si="976"/>
        <v>#VALUE!</v>
      </c>
      <c r="AW239" s="2930" t="e">
        <f t="shared" si="976"/>
        <v>#VALUE!</v>
      </c>
      <c r="AX239" s="2930" t="e">
        <f t="shared" si="976"/>
        <v>#VALUE!</v>
      </c>
      <c r="AY239" s="2930" t="e">
        <f t="shared" si="976"/>
        <v>#VALUE!</v>
      </c>
      <c r="AZ239" s="2930" t="e">
        <f t="shared" si="976"/>
        <v>#VALUE!</v>
      </c>
      <c r="BA239" s="2930" t="e">
        <f t="shared" si="976"/>
        <v>#VALUE!</v>
      </c>
      <c r="BB239" s="2930" t="e">
        <f t="shared" si="976"/>
        <v>#VALUE!</v>
      </c>
      <c r="BC239" s="2930" t="e">
        <f t="shared" si="976"/>
        <v>#VALUE!</v>
      </c>
      <c r="BD239" s="2930" t="e">
        <f t="shared" si="976"/>
        <v>#VALUE!</v>
      </c>
      <c r="BE239" s="2930" t="e">
        <f t="shared" si="976"/>
        <v>#VALUE!</v>
      </c>
      <c r="BF239" s="2930" t="e">
        <f t="shared" si="976"/>
        <v>#VALUE!</v>
      </c>
      <c r="BG239" s="2930" t="e">
        <f t="shared" si="976"/>
        <v>#VALUE!</v>
      </c>
      <c r="BH239" s="2930" t="e">
        <f t="shared" si="976"/>
        <v>#VALUE!</v>
      </c>
      <c r="BI239" s="2930" t="e">
        <f t="shared" si="976"/>
        <v>#VALUE!</v>
      </c>
      <c r="BJ239" s="2930" t="e">
        <f t="shared" si="976"/>
        <v>#VALUE!</v>
      </c>
      <c r="BK239" s="2930" t="e">
        <f t="shared" ref="BK239:BM241" si="977">(BK226/BJ226-1)*100</f>
        <v>#VALUE!</v>
      </c>
      <c r="BL239" s="2930" t="e">
        <f t="shared" si="977"/>
        <v>#VALUE!</v>
      </c>
      <c r="BM239" s="2930" t="e">
        <f t="shared" si="977"/>
        <v>#VALUE!</v>
      </c>
      <c r="BN239" s="2930" t="e">
        <f t="shared" ref="BN239:BR241" si="978">(BN226/BM226-1)*100</f>
        <v>#VALUE!</v>
      </c>
      <c r="BO239" s="2930" t="e">
        <f t="shared" si="978"/>
        <v>#VALUE!</v>
      </c>
      <c r="BP239" s="2930" t="e">
        <f t="shared" si="978"/>
        <v>#VALUE!</v>
      </c>
      <c r="BQ239" s="2930" t="e">
        <f t="shared" si="978"/>
        <v>#VALUE!</v>
      </c>
      <c r="BR239" s="2930" t="e">
        <f t="shared" si="978"/>
        <v>#VALUE!</v>
      </c>
      <c r="BS239" s="2930" t="e">
        <f t="shared" ref="BS239:BV241" si="979">(BS226/BR226-1)*100</f>
        <v>#VALUE!</v>
      </c>
      <c r="BT239" s="2930" t="e">
        <f t="shared" si="979"/>
        <v>#VALUE!</v>
      </c>
      <c r="BU239" s="2930" t="e">
        <f t="shared" si="979"/>
        <v>#VALUE!</v>
      </c>
      <c r="BV239" s="2930" t="e">
        <f t="shared" si="979"/>
        <v>#VALUE!</v>
      </c>
      <c r="BW239" s="2930" t="e">
        <f t="shared" ref="BW239:CD239" si="980">(BW226/BV226-1)*100</f>
        <v>#VALUE!</v>
      </c>
      <c r="BX239" s="2930" t="e">
        <f t="shared" si="980"/>
        <v>#VALUE!</v>
      </c>
      <c r="BY239" s="2930" t="e">
        <f t="shared" si="980"/>
        <v>#VALUE!</v>
      </c>
      <c r="BZ239" s="2930" t="e">
        <f t="shared" si="980"/>
        <v>#VALUE!</v>
      </c>
      <c r="CA239" s="2930" t="e">
        <f>(CA226/BZ226-1)*100</f>
        <v>#VALUE!</v>
      </c>
      <c r="CB239" s="2930" t="e">
        <f>(CB226/CA226-1)*100</f>
        <v>#VALUE!</v>
      </c>
      <c r="CC239" s="2930" t="e">
        <f t="shared" si="980"/>
        <v>#VALUE!</v>
      </c>
      <c r="CD239" s="2930" t="e">
        <f t="shared" si="980"/>
        <v>#VALUE!</v>
      </c>
      <c r="CE239" s="2930" t="e">
        <f>(CE226/CD226-1)*100</f>
        <v>#VALUE!</v>
      </c>
      <c r="CF239" s="2930" t="e">
        <f>(CF226/CE226-1)*100</f>
        <v>#VALUE!</v>
      </c>
      <c r="CG239" s="2930" t="e">
        <f t="shared" ref="CG239:CL239" si="981">(CG226/CF226-1)*100</f>
        <v>#VALUE!</v>
      </c>
      <c r="CH239" s="2930" t="e">
        <f t="shared" si="981"/>
        <v>#VALUE!</v>
      </c>
      <c r="CI239" s="2930" t="e">
        <f>(CI226/CH226-1)*100</f>
        <v>#VALUE!</v>
      </c>
      <c r="CJ239" s="2930" t="e">
        <f>(CJ226/CI226-1)*100</f>
        <v>#VALUE!</v>
      </c>
      <c r="CK239" s="2930" t="e">
        <f t="shared" si="981"/>
        <v>#VALUE!</v>
      </c>
      <c r="CL239" s="2930" t="e">
        <f t="shared" si="981"/>
        <v>#VALUE!</v>
      </c>
      <c r="CM239" s="2930" t="e">
        <f>(CM226/CL226-1)*100</f>
        <v>#VALUE!</v>
      </c>
      <c r="CN239" s="2930" t="e">
        <f>(CN226/CM226-1)*100</f>
        <v>#VALUE!</v>
      </c>
      <c r="CO239" s="2930" t="e">
        <f>(CO226/CN226-1)*100</f>
        <v>#VALUE!</v>
      </c>
      <c r="CP239" s="2930" t="e">
        <f t="shared" ref="CP239" si="982">(CP226/CO226-1)*100</f>
        <v>#VALUE!</v>
      </c>
      <c r="CQ239" s="2930" t="e">
        <f>(CQ226/CP226-1)*100</f>
        <v>#VALUE!</v>
      </c>
      <c r="CR239" s="2930" t="e">
        <f>(CR226/CQ226-1)*100</f>
        <v>#VALUE!</v>
      </c>
      <c r="CS239" s="2930" t="e">
        <f>(CS226/CR226-1)*100</f>
        <v>#VALUE!</v>
      </c>
      <c r="CT239" s="2930" t="e">
        <f t="shared" ref="CT239" si="983">(CT226/CS226-1)*100</f>
        <v>#VALUE!</v>
      </c>
      <c r="CU239" s="2930" t="e">
        <f t="shared" ref="CU239" si="984">(CU226/CT226-1)*100</f>
        <v>#VALUE!</v>
      </c>
      <c r="CV239" s="2930" t="e">
        <f>(CV226/CU226-1)*100</f>
        <v>#VALUE!</v>
      </c>
      <c r="CW239" s="2930" t="e">
        <f t="shared" ref="CW239" si="985">(CW226/CV226-1)*100</f>
        <v>#VALUE!</v>
      </c>
      <c r="CX239" s="2930" t="e">
        <f t="shared" ref="CX239" si="986">(CX226/CW226-1)*100</f>
        <v>#VALUE!</v>
      </c>
      <c r="CY239" s="2930" t="e">
        <f t="shared" ref="CY239" si="987">(CY226/CX226-1)*100</f>
        <v>#VALUE!</v>
      </c>
      <c r="CZ239" s="2930" t="e">
        <f t="shared" ref="CZ239" si="988">(CZ226/CY226-1)*100</f>
        <v>#VALUE!</v>
      </c>
      <c r="DA239" s="2930" t="e">
        <f t="shared" ref="DA239" si="989">(DA226/CZ226-1)*100</f>
        <v>#VALUE!</v>
      </c>
      <c r="DB239" s="2930" t="e">
        <f t="shared" ref="DB239" si="990">(DB226/DA226-1)*100</f>
        <v>#VALUE!</v>
      </c>
      <c r="DC239" s="2930" t="e">
        <f t="shared" ref="DC239" si="991">(DC226/DB226-1)*100</f>
        <v>#VALUE!</v>
      </c>
      <c r="DD239" s="2930" t="e">
        <f t="shared" ref="DD239" si="992">(DD226/DC226-1)*100</f>
        <v>#VALUE!</v>
      </c>
      <c r="DE239" s="2930" t="e">
        <f t="shared" ref="DE239" si="993">(DE226/DD226-1)*100</f>
        <v>#VALUE!</v>
      </c>
      <c r="DF239" s="2930" t="e">
        <f t="shared" ref="DF239" si="994">(DF226/DE226-1)*100</f>
        <v>#VALUE!</v>
      </c>
    </row>
    <row r="240" spans="1:110" ht="12.75" hidden="1" customHeight="1">
      <c r="C240" s="3174"/>
      <c r="D240" s="754"/>
      <c r="E240" s="755" t="s">
        <v>1418</v>
      </c>
      <c r="F240" s="961"/>
      <c r="G240" s="2931"/>
      <c r="H240" s="2931">
        <f t="shared" si="975"/>
        <v>1.402588865883736</v>
      </c>
      <c r="I240" s="2931">
        <f t="shared" si="975"/>
        <v>1.8496531828447571</v>
      </c>
      <c r="J240" s="2931">
        <f t="shared" si="975"/>
        <v>-0.13000085764455216</v>
      </c>
      <c r="K240" s="2931">
        <f t="shared" si="975"/>
        <v>-0.46423938639270634</v>
      </c>
      <c r="L240" s="2931">
        <f t="shared" si="975"/>
        <v>1.3582324644179966</v>
      </c>
      <c r="M240" s="2931">
        <f t="shared" si="975"/>
        <v>1.4890485769198047</v>
      </c>
      <c r="N240" s="2931">
        <f t="shared" si="975"/>
        <v>3.7042003118699318</v>
      </c>
      <c r="O240" s="2931">
        <f t="shared" ref="O240:BJ240" si="995">(O227/N227-1)*100</f>
        <v>3.2704683613339114</v>
      </c>
      <c r="P240" s="2931">
        <f t="shared" si="995"/>
        <v>4.6499262452141865</v>
      </c>
      <c r="Q240" s="2931">
        <f t="shared" si="995"/>
        <v>1.5724659194019441</v>
      </c>
      <c r="R240" s="2931">
        <f t="shared" si="995"/>
        <v>3.2587684432983766</v>
      </c>
      <c r="S240" s="2931">
        <f t="shared" si="995"/>
        <v>4.7637645395437467</v>
      </c>
      <c r="T240" s="2931">
        <f t="shared" si="995"/>
        <v>1.4054164497260935</v>
      </c>
      <c r="U240" s="2931">
        <f t="shared" si="995"/>
        <v>0.54790646706375234</v>
      </c>
      <c r="V240" s="2931">
        <f t="shared" si="995"/>
        <v>1.2984056671764277</v>
      </c>
      <c r="W240" s="2931">
        <f t="shared" si="995"/>
        <v>0.51221071829232745</v>
      </c>
      <c r="X240" s="2931">
        <f t="shared" si="995"/>
        <v>0.83309127274093786</v>
      </c>
      <c r="Y240" s="2931">
        <f t="shared" si="995"/>
        <v>2.837538497098957</v>
      </c>
      <c r="Z240" s="2931">
        <f t="shared" si="995"/>
        <v>1.9101305053972784</v>
      </c>
      <c r="AA240" s="2931">
        <f t="shared" si="995"/>
        <v>3.8419831424397088</v>
      </c>
      <c r="AB240" s="2931">
        <f t="shared" si="995"/>
        <v>4.3026764587423827</v>
      </c>
      <c r="AC240" s="2931">
        <f t="shared" si="995"/>
        <v>3.8798457534302333</v>
      </c>
      <c r="AD240" s="2931">
        <f t="shared" si="995"/>
        <v>-2.1081435457206976</v>
      </c>
      <c r="AE240" s="2931">
        <f t="shared" si="995"/>
        <v>0.77113568131386145</v>
      </c>
      <c r="AF240" s="2931">
        <f t="shared" si="995"/>
        <v>-3.7839649938711584</v>
      </c>
      <c r="AG240" s="2931">
        <f t="shared" si="995"/>
        <v>-1.7952765180967445</v>
      </c>
      <c r="AH240" s="2931">
        <f t="shared" si="995"/>
        <v>0.40514873433372678</v>
      </c>
      <c r="AI240" s="2931">
        <f t="shared" si="995"/>
        <v>1.4390431410393978</v>
      </c>
      <c r="AJ240" s="2931">
        <f t="shared" si="995"/>
        <v>-0.94902802919238916</v>
      </c>
      <c r="AK240" s="2931">
        <f t="shared" si="995"/>
        <v>-1.7926306650406509</v>
      </c>
      <c r="AL240" s="2931">
        <f t="shared" si="995"/>
        <v>1.9629339762188502</v>
      </c>
      <c r="AM240" s="2931">
        <f t="shared" si="995"/>
        <v>3.2094739816714846</v>
      </c>
      <c r="AN240" s="2931">
        <f t="shared" si="995"/>
        <v>-0.68479974659458875</v>
      </c>
      <c r="AO240" s="2931">
        <f t="shared" si="995"/>
        <v>0.64450127877238028</v>
      </c>
      <c r="AP240" s="2931">
        <f t="shared" si="995"/>
        <v>2.5017040766296406</v>
      </c>
      <c r="AQ240" s="2931">
        <f t="shared" si="995"/>
        <v>-0.33453887884267175</v>
      </c>
      <c r="AR240" s="2931">
        <f t="shared" si="995"/>
        <v>4.1239285599318665</v>
      </c>
      <c r="AS240" s="2931">
        <f t="shared" si="995"/>
        <v>0.87228257050913083</v>
      </c>
      <c r="AT240" s="2931">
        <f t="shared" si="995"/>
        <v>2.0349887105666431</v>
      </c>
      <c r="AU240" s="2931">
        <f t="shared" si="995"/>
        <v>-0.11004543470165551</v>
      </c>
      <c r="AV240" s="2931">
        <f t="shared" si="995"/>
        <v>3.0285240776019018</v>
      </c>
      <c r="AW240" s="2931">
        <f t="shared" si="995"/>
        <v>1.5577903780433333</v>
      </c>
      <c r="AX240" s="2931">
        <f t="shared" si="995"/>
        <v>3.5286552606681898</v>
      </c>
      <c r="AY240" s="2931">
        <f t="shared" si="995"/>
        <v>0.35620069000477095</v>
      </c>
      <c r="AZ240" s="2931">
        <f t="shared" si="995"/>
        <v>2.4861893214182862</v>
      </c>
      <c r="BA240" s="2931">
        <f t="shared" si="995"/>
        <v>2.002232165448925</v>
      </c>
      <c r="BB240" s="2931">
        <f t="shared" si="995"/>
        <v>4.0810104293891758</v>
      </c>
      <c r="BC240" s="2931">
        <f t="shared" si="995"/>
        <v>-0.16111419260903537</v>
      </c>
      <c r="BD240" s="2931">
        <f t="shared" si="995"/>
        <v>1.0337844113748496</v>
      </c>
      <c r="BE240" s="2931">
        <f t="shared" si="995"/>
        <v>4.142315854591061</v>
      </c>
      <c r="BF240" s="2931">
        <f t="shared" si="995"/>
        <v>1.5007812873834236</v>
      </c>
      <c r="BG240" s="2931">
        <f t="shared" si="995"/>
        <v>2.7133915796210051</v>
      </c>
      <c r="BH240" s="2931">
        <f t="shared" si="995"/>
        <v>-0.48435423962952528</v>
      </c>
      <c r="BI240" s="2931">
        <f t="shared" si="995"/>
        <v>-1.4578288822357788</v>
      </c>
      <c r="BJ240" s="2931">
        <f t="shared" si="995"/>
        <v>-6.0882822717263867</v>
      </c>
      <c r="BK240" s="2931">
        <f t="shared" si="977"/>
        <v>-8.0322536665173523</v>
      </c>
      <c r="BL240" s="2931">
        <f t="shared" si="977"/>
        <v>-5.6636909618884683</v>
      </c>
      <c r="BM240" s="2931">
        <f t="shared" si="977"/>
        <v>5.5251553546556087</v>
      </c>
      <c r="BN240" s="2931">
        <f t="shared" si="978"/>
        <v>2.2880143761911942</v>
      </c>
      <c r="BO240" s="2931">
        <f t="shared" si="978"/>
        <v>3.187063584062555</v>
      </c>
      <c r="BP240" s="2931">
        <f t="shared" si="978"/>
        <v>4.6107100386159949</v>
      </c>
      <c r="BQ240" s="2931">
        <f t="shared" si="978"/>
        <v>4.3368557654029249</v>
      </c>
      <c r="BR240" s="2931">
        <f t="shared" si="978"/>
        <v>0.13858017105947695</v>
      </c>
      <c r="BS240" s="2931">
        <f t="shared" si="979"/>
        <v>3.8210165946746866</v>
      </c>
      <c r="BT240" s="2931">
        <f t="shared" si="979"/>
        <v>0.47809158315368361</v>
      </c>
      <c r="BU240" s="2931">
        <f t="shared" si="979"/>
        <v>0.15114454165168212</v>
      </c>
      <c r="BV240" s="2931">
        <f t="shared" si="979"/>
        <v>-1.3062033301812215</v>
      </c>
      <c r="BW240" s="2931">
        <f t="shared" ref="BW240:CD240" si="996">IF(UPPER($F241)="N",BW241,(BV220*BW233+BV223*BW236)/(BV220+BV223))</f>
        <v>2.1143871007447856</v>
      </c>
      <c r="BX240" s="2931">
        <f t="shared" si="996"/>
        <v>-6.4700012929697071E-2</v>
      </c>
      <c r="BY240" s="2931">
        <f t="shared" si="996"/>
        <v>0.39577095181417832</v>
      </c>
      <c r="BZ240" s="2931">
        <f t="shared" si="996"/>
        <v>-1.757108039322508</v>
      </c>
      <c r="CA240" s="2931">
        <f>IF(UPPER($F241)="N",CA241,(BZ220*CA233+BZ223*CA236)/(BZ220+BZ223))</f>
        <v>-0.81961215929626796</v>
      </c>
      <c r="CB240" s="2931">
        <f>IF(UPPER($F241)="N",CB241,(CA220*CB233+CA223*CB236)/(CA220+CA223))</f>
        <v>2.2107901693713128</v>
      </c>
      <c r="CC240" s="2931">
        <f t="shared" si="996"/>
        <v>6.1090693129317586E-3</v>
      </c>
      <c r="CD240" s="2931">
        <f t="shared" si="996"/>
        <v>0.66497152497027034</v>
      </c>
      <c r="CE240" s="2931">
        <f>IF(UPPER($F241)="N",CE241,(CD220*CE233+CD223*CE236)/(CD220+CD223))</f>
        <v>2.6903757098297287</v>
      </c>
      <c r="CF240" s="2931">
        <f>IF(UPPER($F241)="N",CF241,(CE220*CF233+CE223*CF236)/(CE220+CE223))</f>
        <v>2.7226937104219306</v>
      </c>
      <c r="CG240" s="2931">
        <f t="shared" ref="CG240:CL240" si="997">IF(UPPER($F241)="N",CG241,(CF220*CG233+CF223*CG236)/(CF220+CF223))</f>
        <v>-0.36866019399565131</v>
      </c>
      <c r="CH240" s="2931">
        <f t="shared" si="997"/>
        <v>2.8431794123415344</v>
      </c>
      <c r="CI240" s="2931">
        <f>IF(UPPER($F241)="N",CI241,(CH220*CI233+CH223*CI236)/(CH220+CH223))</f>
        <v>0.19325818421642715</v>
      </c>
      <c r="CJ240" s="2931">
        <f>IF(UPPER($F241)="N",CJ241,(CI220*CJ233+CI223*CJ236)/(CI220+CI223))</f>
        <v>-0.4470080535218024</v>
      </c>
      <c r="CK240" s="2931">
        <f t="shared" si="997"/>
        <v>3.5113956663123114</v>
      </c>
      <c r="CL240" s="2931">
        <f t="shared" si="997"/>
        <v>2.3025896906591958</v>
      </c>
      <c r="CM240" s="2931">
        <f>IF(UPPER($F241)="N",CM241,(CL220*CM233+CL223*CM236)/(CL220+CL223))</f>
        <v>-3.2161458596158266E-2</v>
      </c>
      <c r="CN240" s="2931">
        <f>IF(UPPER($F241)="N",CN241,(CM220*CN233+CM223*CN236)/(CM220+CM223))</f>
        <v>-0.2555572082680202</v>
      </c>
      <c r="CO240" s="2931">
        <f>IF(UPPER($F241)="N",CO241,(CN220*CO233+CN223*CO236)/(CN220+CN223))</f>
        <v>1.0115323505013984</v>
      </c>
      <c r="CP240" s="2931">
        <f t="shared" ref="CP240" si="998">IF(UPPER($F241)="N",CP241,(CO220*CP233+CO223*CP236)/(CO220+CO223))</f>
        <v>1.2105813979380597</v>
      </c>
      <c r="CQ240" s="2931">
        <f>IF(UPPER($F241)="N",CQ241,(CP220*CQ233+CP223*CQ236)/(CP220+CP223))</f>
        <v>1.2933456479774952</v>
      </c>
      <c r="CR240" s="2931">
        <f>IF(UPPER($F241)="N",CR241,(CQ220*CR233+CQ223*CR236)/(CQ220+CQ223))</f>
        <v>2.0233698489938945</v>
      </c>
      <c r="CS240" s="2931">
        <f>IF(UPPER($F241)="N",CS241,(CR220*CS233+CR223*CS236)/(CR220+CR223))</f>
        <v>1.2087816403315133</v>
      </c>
      <c r="CT240" s="2931">
        <f t="shared" ref="CT240" si="999">IF(UPPER($F241)="N",CT241,(CS220*CT233+CS223*CT236)/(CS220+CS223))</f>
        <v>1.0391486053393573</v>
      </c>
      <c r="CU240" s="2931">
        <f t="shared" ref="CU240" si="1000">IF(UPPER($F241)="N",CU241,(CT220*CU233+CT223*CU236)/(CT220+CT223))</f>
        <v>0.88212718145459501</v>
      </c>
      <c r="CV240" s="2931">
        <f>IF(UPPER($F241)="N",CV241,(CU220*CV233+CU223*CV236)/(CU220+CU223))</f>
        <v>0.79031962162392499</v>
      </c>
      <c r="CW240" s="2931">
        <f t="shared" ref="CW240" si="1001">IF(UPPER($F241)="N",CW241,(CV220*CW233+CV223*CW236)/(CV220+CV223))</f>
        <v>0.49</v>
      </c>
      <c r="CX240" s="2931">
        <f t="shared" ref="CX240" si="1002">IF(UPPER($F241)="N",CX241,(CW220*CX233+CW223*CX236)/(CW220+CW223))</f>
        <v>0.33</v>
      </c>
      <c r="CY240" s="2931">
        <f t="shared" ref="CY240" si="1003">IF(UPPER($F241)="N",CY241,(CX220*CY233+CX223*CY236)/(CX220+CX223))</f>
        <v>1.05</v>
      </c>
      <c r="CZ240" s="2931">
        <f t="shared" ref="CZ240" si="1004">IF(UPPER($F241)="N",CZ241,(CY220*CZ233+CY223*CZ236)/(CY220+CY223))</f>
        <v>0.99</v>
      </c>
      <c r="DA240" s="2931">
        <f t="shared" ref="DA240" si="1005">IF(UPPER($F241)="N",DA241,(CZ220*DA233+CZ223*DA236)/(CZ220+CZ223))</f>
        <v>0.92</v>
      </c>
      <c r="DB240" s="2931">
        <f t="shared" ref="DB240" si="1006">IF(UPPER($F241)="N",DB241,(DA220*DB233+DA223*DB236)/(DA220+DA223))</f>
        <v>0.88</v>
      </c>
      <c r="DC240" s="2931">
        <f t="shared" ref="DC240" si="1007">IF(UPPER($F241)="N",DC241,(DB220*DC233+DB223*DC236)/(DB220+DB223))</f>
        <v>0.77</v>
      </c>
      <c r="DD240" s="2931">
        <f t="shared" ref="DD240" si="1008">IF(UPPER($F241)="N",DD241,(DC220*DD233+DC223*DD236)/(DC220+DC223))</f>
        <v>0.74</v>
      </c>
      <c r="DE240" s="2931">
        <f t="shared" ref="DE240" si="1009">IF(UPPER($F241)="N",DE241,(DD220*DE233+DD223*DE236)/(DD220+DD223))</f>
        <v>0.62</v>
      </c>
      <c r="DF240" s="2931">
        <f t="shared" ref="DF240" si="1010">IF(UPPER($F241)="N",DF241,(DE220*DF233+DE223*DF236)/(DE220+DE223))</f>
        <v>0.45</v>
      </c>
    </row>
    <row r="241" spans="1:110" s="736" customFormat="1" ht="12.75" customHeight="1">
      <c r="A241" s="701"/>
      <c r="B241" s="701"/>
      <c r="C241" s="1628"/>
      <c r="D241" s="726"/>
      <c r="E241" s="775" t="s">
        <v>1418</v>
      </c>
      <c r="F241" s="3170" t="s">
        <v>1618</v>
      </c>
      <c r="G241" s="1015"/>
      <c r="H241" s="1015">
        <f t="shared" si="975"/>
        <v>1.402588865883736</v>
      </c>
      <c r="I241" s="1015">
        <f t="shared" si="975"/>
        <v>1.8496531828447571</v>
      </c>
      <c r="J241" s="1015">
        <f t="shared" si="975"/>
        <v>-0.13000085764455216</v>
      </c>
      <c r="K241" s="1015">
        <f t="shared" si="975"/>
        <v>-0.46423938639270634</v>
      </c>
      <c r="L241" s="1015">
        <f t="shared" si="975"/>
        <v>1.3582324644179966</v>
      </c>
      <c r="M241" s="1015">
        <f t="shared" si="975"/>
        <v>1.4890485769198047</v>
      </c>
      <c r="N241" s="1015">
        <f t="shared" si="975"/>
        <v>3.7042003118699318</v>
      </c>
      <c r="O241" s="1015">
        <f t="shared" ref="O241:BJ241" si="1011">(O228/N228-1)*100</f>
        <v>3.2704683613339114</v>
      </c>
      <c r="P241" s="1015">
        <f t="shared" si="1011"/>
        <v>4.6499262452141865</v>
      </c>
      <c r="Q241" s="1015">
        <f t="shared" si="1011"/>
        <v>1.5724659194019441</v>
      </c>
      <c r="R241" s="1015">
        <f t="shared" si="1011"/>
        <v>3.2587684432983766</v>
      </c>
      <c r="S241" s="1015">
        <f t="shared" si="1011"/>
        <v>4.7637645395437467</v>
      </c>
      <c r="T241" s="1015">
        <f t="shared" si="1011"/>
        <v>1.4054164497260935</v>
      </c>
      <c r="U241" s="1015">
        <f t="shared" si="1011"/>
        <v>0.54790646706375234</v>
      </c>
      <c r="V241" s="1015">
        <f t="shared" si="1011"/>
        <v>1.2984056671764277</v>
      </c>
      <c r="W241" s="1015">
        <f t="shared" si="1011"/>
        <v>0.51221071829232745</v>
      </c>
      <c r="X241" s="1015">
        <f t="shared" si="1011"/>
        <v>0.83309127274093786</v>
      </c>
      <c r="Y241" s="1015">
        <f t="shared" si="1011"/>
        <v>2.837538497098957</v>
      </c>
      <c r="Z241" s="1015">
        <f t="shared" si="1011"/>
        <v>1.9101305053972784</v>
      </c>
      <c r="AA241" s="1015">
        <f t="shared" si="1011"/>
        <v>3.8419831424397088</v>
      </c>
      <c r="AB241" s="1015">
        <f t="shared" si="1011"/>
        <v>4.3026764587423827</v>
      </c>
      <c r="AC241" s="1015">
        <f t="shared" si="1011"/>
        <v>3.8798457534302333</v>
      </c>
      <c r="AD241" s="1015">
        <f t="shared" si="1011"/>
        <v>-2.1081435457206976</v>
      </c>
      <c r="AE241" s="1015">
        <f t="shared" si="1011"/>
        <v>0.77113568131386145</v>
      </c>
      <c r="AF241" s="1015">
        <f t="shared" si="1011"/>
        <v>-3.7839649938711584</v>
      </c>
      <c r="AG241" s="1015">
        <f t="shared" si="1011"/>
        <v>-1.7952765180967445</v>
      </c>
      <c r="AH241" s="1015">
        <f t="shared" si="1011"/>
        <v>0.40514873433372678</v>
      </c>
      <c r="AI241" s="1015">
        <f t="shared" si="1011"/>
        <v>1.4390431410393978</v>
      </c>
      <c r="AJ241" s="1015">
        <f t="shared" si="1011"/>
        <v>-0.94902802919238916</v>
      </c>
      <c r="AK241" s="1015">
        <f t="shared" si="1011"/>
        <v>-1.7926306650406509</v>
      </c>
      <c r="AL241" s="1015">
        <f t="shared" si="1011"/>
        <v>1.9629339762188502</v>
      </c>
      <c r="AM241" s="1015">
        <f t="shared" si="1011"/>
        <v>3.2094739816714846</v>
      </c>
      <c r="AN241" s="1015">
        <f t="shared" si="1011"/>
        <v>-0.68479974659458875</v>
      </c>
      <c r="AO241" s="1015">
        <f t="shared" si="1011"/>
        <v>0.64450127877238028</v>
      </c>
      <c r="AP241" s="1015">
        <f t="shared" si="1011"/>
        <v>2.5017040766296406</v>
      </c>
      <c r="AQ241" s="1015">
        <f t="shared" si="1011"/>
        <v>-0.33453887884267175</v>
      </c>
      <c r="AR241" s="1015">
        <f t="shared" si="1011"/>
        <v>4.1239285599318665</v>
      </c>
      <c r="AS241" s="1015">
        <f t="shared" si="1011"/>
        <v>0.87228257050913083</v>
      </c>
      <c r="AT241" s="1015">
        <f t="shared" si="1011"/>
        <v>2.0349887105666431</v>
      </c>
      <c r="AU241" s="1015">
        <f t="shared" si="1011"/>
        <v>-0.11004543470165551</v>
      </c>
      <c r="AV241" s="1015">
        <f t="shared" si="1011"/>
        <v>3.0285240776019018</v>
      </c>
      <c r="AW241" s="1015">
        <f t="shared" si="1011"/>
        <v>1.5577903780433333</v>
      </c>
      <c r="AX241" s="1015">
        <f t="shared" si="1011"/>
        <v>3.5286552606681898</v>
      </c>
      <c r="AY241" s="1015">
        <f t="shared" si="1011"/>
        <v>0.35620069000477095</v>
      </c>
      <c r="AZ241" s="1015">
        <f t="shared" si="1011"/>
        <v>2.4861893214182862</v>
      </c>
      <c r="BA241" s="1015">
        <f t="shared" si="1011"/>
        <v>2.002232165448925</v>
      </c>
      <c r="BB241" s="1015">
        <f t="shared" si="1011"/>
        <v>4.0810104293891758</v>
      </c>
      <c r="BC241" s="1015">
        <f t="shared" si="1011"/>
        <v>-0.16111419260903537</v>
      </c>
      <c r="BD241" s="1015">
        <f t="shared" si="1011"/>
        <v>1.0337844113748496</v>
      </c>
      <c r="BE241" s="1015">
        <f t="shared" si="1011"/>
        <v>4.142315854591061</v>
      </c>
      <c r="BF241" s="1015">
        <f t="shared" si="1011"/>
        <v>1.5007812873834236</v>
      </c>
      <c r="BG241" s="1015">
        <f t="shared" si="1011"/>
        <v>2.7133915796210051</v>
      </c>
      <c r="BH241" s="1015">
        <f t="shared" si="1011"/>
        <v>-0.48435423962952528</v>
      </c>
      <c r="BI241" s="1015">
        <f t="shared" si="1011"/>
        <v>-1.4578288822357788</v>
      </c>
      <c r="BJ241" s="1015">
        <f t="shared" si="1011"/>
        <v>-6.0882822717263867</v>
      </c>
      <c r="BK241" s="1015">
        <f t="shared" si="977"/>
        <v>-8.0322536665173523</v>
      </c>
      <c r="BL241" s="1015">
        <f t="shared" si="977"/>
        <v>-5.6636909618884683</v>
      </c>
      <c r="BM241" s="1015">
        <f t="shared" si="977"/>
        <v>5.5251553546556087</v>
      </c>
      <c r="BN241" s="1015">
        <f t="shared" si="978"/>
        <v>2.2880143761911942</v>
      </c>
      <c r="BO241" s="1015">
        <f t="shared" si="978"/>
        <v>3.187063584062555</v>
      </c>
      <c r="BP241" s="1015">
        <f t="shared" si="978"/>
        <v>4.6107100386159949</v>
      </c>
      <c r="BQ241" s="1015">
        <f t="shared" si="978"/>
        <v>4.3368557654029249</v>
      </c>
      <c r="BR241" s="1015">
        <f t="shared" si="978"/>
        <v>0.13858017105947695</v>
      </c>
      <c r="BS241" s="1015">
        <f t="shared" si="979"/>
        <v>3.8210165946746866</v>
      </c>
      <c r="BT241" s="1015">
        <f t="shared" si="979"/>
        <v>0.47809158315368361</v>
      </c>
      <c r="BU241" s="1015">
        <f t="shared" si="979"/>
        <v>0.15114454165168212</v>
      </c>
      <c r="BV241" s="1015">
        <f t="shared" si="979"/>
        <v>-1.3062033301812215</v>
      </c>
      <c r="BW241" s="1015">
        <f t="shared" ref="BW241:CL241" si="1012">(BW228/BV228-1)*100</f>
        <v>2.1143871007447856</v>
      </c>
      <c r="BX241" s="1015">
        <f t="shared" si="1012"/>
        <v>-6.4700012929697071E-2</v>
      </c>
      <c r="BY241" s="1015">
        <f t="shared" si="1012"/>
        <v>0.39577095181417832</v>
      </c>
      <c r="BZ241" s="1015">
        <f t="shared" si="1012"/>
        <v>-1.757108039322508</v>
      </c>
      <c r="CA241" s="1015">
        <f t="shared" si="1012"/>
        <v>-0.81961215929626796</v>
      </c>
      <c r="CB241" s="1015">
        <f t="shared" si="1012"/>
        <v>2.2107901693713128</v>
      </c>
      <c r="CC241" s="1015">
        <f t="shared" si="1012"/>
        <v>6.1090693129317586E-3</v>
      </c>
      <c r="CD241" s="1015">
        <f t="shared" si="1012"/>
        <v>0.66497152497027034</v>
      </c>
      <c r="CE241" s="1015">
        <f t="shared" si="1012"/>
        <v>2.6903757098297287</v>
      </c>
      <c r="CF241" s="1015">
        <f t="shared" si="1012"/>
        <v>2.7226937104219306</v>
      </c>
      <c r="CG241" s="1015">
        <f t="shared" si="1012"/>
        <v>-0.36866019399565131</v>
      </c>
      <c r="CH241" s="1015">
        <f t="shared" si="1012"/>
        <v>2.8431794123415344</v>
      </c>
      <c r="CI241" s="1015">
        <f t="shared" si="1012"/>
        <v>0.19325818421642715</v>
      </c>
      <c r="CJ241" s="1015">
        <f t="shared" si="1012"/>
        <v>-0.4470080535218024</v>
      </c>
      <c r="CK241" s="1015">
        <f t="shared" si="1012"/>
        <v>3.5113956663123114</v>
      </c>
      <c r="CL241" s="1015">
        <f t="shared" si="1012"/>
        <v>2.3025896906591958</v>
      </c>
      <c r="CM241" s="1015">
        <f t="shared" ref="CM241" si="1013">(CM228/CL228-1)*100</f>
        <v>-3.2161458596158266E-2</v>
      </c>
      <c r="CN241" s="1015">
        <f t="shared" ref="CN241:CP241" si="1014">(CN228/CM228-1)*100</f>
        <v>-0.2555572082680202</v>
      </c>
      <c r="CO241" s="1015">
        <f t="shared" si="1014"/>
        <v>1.0115323505013984</v>
      </c>
      <c r="CP241" s="1015">
        <f t="shared" si="1014"/>
        <v>1.2105813979380597</v>
      </c>
      <c r="CQ241" s="1015">
        <f t="shared" ref="CQ241" si="1015">(CQ228/CP228-1)*100</f>
        <v>1.2933456479774952</v>
      </c>
      <c r="CR241" s="1015">
        <f t="shared" ref="CR241" si="1016">(CR228/CQ228-1)*100</f>
        <v>2.0233698489938945</v>
      </c>
      <c r="CS241" s="1015">
        <f t="shared" ref="CS241" si="1017">(CS228/CR228-1)*100</f>
        <v>1.2087816403315133</v>
      </c>
      <c r="CT241" s="1015">
        <f t="shared" ref="CT241:CV241" si="1018">(CT228/CS228-1)*100</f>
        <v>1.0391486053393573</v>
      </c>
      <c r="CU241" s="1015">
        <f t="shared" si="1018"/>
        <v>0.88212718145459501</v>
      </c>
      <c r="CV241" s="1015">
        <f t="shared" si="1018"/>
        <v>0.79031962162392499</v>
      </c>
      <c r="CW241" s="777">
        <v>0.49</v>
      </c>
      <c r="CX241" s="777">
        <v>0.33</v>
      </c>
      <c r="CY241" s="777">
        <v>1.05</v>
      </c>
      <c r="CZ241" s="3248">
        <v>0.99</v>
      </c>
      <c r="DA241" s="777">
        <v>0.92</v>
      </c>
      <c r="DB241" s="777">
        <v>0.88</v>
      </c>
      <c r="DC241" s="777">
        <v>0.77</v>
      </c>
      <c r="DD241" s="3248">
        <v>0.74</v>
      </c>
      <c r="DE241" s="777">
        <v>0.62</v>
      </c>
      <c r="DF241" s="777">
        <v>0.45</v>
      </c>
    </row>
    <row r="242" spans="1:110" ht="12.75">
      <c r="A242" s="701"/>
      <c r="C242" s="1629"/>
      <c r="D242" s="1633"/>
      <c r="E242" s="1634" t="s">
        <v>353</v>
      </c>
      <c r="F242" s="1704"/>
      <c r="G242" s="1657"/>
      <c r="H242" s="1658"/>
      <c r="I242" s="1658"/>
      <c r="J242" s="1658"/>
      <c r="K242" s="1659"/>
      <c r="L242" s="1659"/>
      <c r="M242" s="1659"/>
      <c r="N242" s="1660">
        <f>N229/J229*100-100</f>
        <v>3.4401814461767941</v>
      </c>
      <c r="O242" s="1659"/>
      <c r="P242" s="1659"/>
      <c r="Q242" s="1659"/>
      <c r="R242" s="1660">
        <f>R229/N229*100-100</f>
        <v>12.794580283617066</v>
      </c>
      <c r="S242" s="1659"/>
      <c r="T242" s="1659"/>
      <c r="U242" s="1659"/>
      <c r="V242" s="1660">
        <f>V229/R229*100-100</f>
        <v>11.146966911573358</v>
      </c>
      <c r="W242" s="1659"/>
      <c r="X242" s="1659"/>
      <c r="Y242" s="1659"/>
      <c r="Z242" s="1660">
        <f>Z229/V229*100-100</f>
        <v>4.7204598694083728</v>
      </c>
      <c r="AA242" s="1659"/>
      <c r="AB242" s="1659"/>
      <c r="AC242" s="1659"/>
      <c r="AD242" s="1660">
        <f>AD229/Z229*100-100</f>
        <v>12.01289221384063</v>
      </c>
      <c r="AE242" s="1659"/>
      <c r="AF242" s="1659"/>
      <c r="AG242" s="1659"/>
      <c r="AH242" s="1660">
        <f>AH229/AD229*100-100</f>
        <v>-1.5765273245448554</v>
      </c>
      <c r="AI242" s="1659"/>
      <c r="AJ242" s="1659"/>
      <c r="AK242" s="1659"/>
      <c r="AL242" s="1660">
        <f>AL229/AH229*100-100</f>
        <v>-1.2835769586425982</v>
      </c>
      <c r="AM242" s="1659"/>
      <c r="AN242" s="1659"/>
      <c r="AO242" s="1659"/>
      <c r="AP242" s="1660">
        <f>AP229/AL229*100-100</f>
        <v>3.9767716948415881</v>
      </c>
      <c r="AQ242" s="1659"/>
      <c r="AR242" s="1659"/>
      <c r="AS242" s="1659"/>
      <c r="AT242" s="1660">
        <f>AT229/AP229*100-100</f>
        <v>5.82405967819426</v>
      </c>
      <c r="AU242" s="1659"/>
      <c r="AV242" s="1659"/>
      <c r="AW242" s="1659"/>
      <c r="AX242" s="1660">
        <f>AX229/AT229*100-100</f>
        <v>6.9647236579343001</v>
      </c>
      <c r="AY242" s="1659"/>
      <c r="AZ242" s="1659"/>
      <c r="BA242" s="1659"/>
      <c r="BB242" s="1660">
        <f>BB229/AX229*100-100</f>
        <v>8.6699893829153183</v>
      </c>
      <c r="BC242" s="1659"/>
      <c r="BD242" s="1659"/>
      <c r="BE242" s="1659"/>
      <c r="BF242" s="1660">
        <f>BF229/BB229*100-100</f>
        <v>7.9033867402813769</v>
      </c>
      <c r="BG242" s="1659"/>
      <c r="BH242" s="1659"/>
      <c r="BI242" s="1659"/>
      <c r="BJ242" s="1660">
        <f>BJ229/BF229*100-100</f>
        <v>3.4878532081504829</v>
      </c>
      <c r="BK242" s="1659"/>
      <c r="BL242" s="1659"/>
      <c r="BM242" s="1659"/>
      <c r="BN242" s="1660">
        <f>BN229/BJ229*100-100</f>
        <v>-13.99087179971788</v>
      </c>
      <c r="BO242" s="1659"/>
      <c r="BP242" s="1659"/>
      <c r="BQ242" s="1659"/>
      <c r="BR242" s="1660">
        <f>BR229/BN229*100-100</f>
        <v>12.332542752927694</v>
      </c>
      <c r="BS242" s="1659"/>
      <c r="BT242" s="1659"/>
      <c r="BU242" s="1659"/>
      <c r="BV242" s="1660">
        <f>BV229/BR229*100-100</f>
        <v>7.4042182303274586</v>
      </c>
      <c r="BW242" s="1659"/>
      <c r="BX242" s="1659"/>
      <c r="BY242" s="1659"/>
      <c r="BZ242" s="1660">
        <f>BZ229/BV229*100-100</f>
        <v>1.012850955015125</v>
      </c>
      <c r="CA242" s="1659"/>
      <c r="CB242" s="1659"/>
      <c r="CC242" s="1659"/>
      <c r="CD242" s="1660">
        <f>CD229/BZ229*100-100</f>
        <v>-0.15881958552304809</v>
      </c>
      <c r="CE242" s="1659"/>
      <c r="CF242" s="1659"/>
      <c r="CG242" s="1659"/>
      <c r="CH242" s="1660">
        <f>CH229/CD229*100-100</f>
        <v>6.4422407029940558</v>
      </c>
      <c r="CI242" s="1659"/>
      <c r="CJ242" s="1659"/>
      <c r="CK242" s="1659"/>
      <c r="CL242" s="1660">
        <f>CL229/CH229*100-100</f>
        <v>4.8667859606747754</v>
      </c>
      <c r="CM242" s="1659"/>
      <c r="CN242" s="1659"/>
      <c r="CO242" s="1659"/>
      <c r="CP242" s="1660">
        <f>CP229/CL229*100-100</f>
        <v>3.9534970776174561</v>
      </c>
      <c r="CQ242" s="1659"/>
      <c r="CR242" s="1659"/>
      <c r="CS242" s="1659"/>
      <c r="CT242" s="1660">
        <f>CT229/CP229*100-100</f>
        <v>5.1240528327209063</v>
      </c>
      <c r="CU242" s="1659"/>
      <c r="CV242" s="1659"/>
      <c r="CW242" s="1659"/>
      <c r="CX242" s="1660">
        <f>CX229/CT229*100-100</f>
        <v>3.729628486520923</v>
      </c>
      <c r="CY242" s="1659"/>
      <c r="CZ242" s="1659"/>
      <c r="DA242" s="1659"/>
      <c r="DB242" s="1660">
        <f>DB229/CX229*100-100</f>
        <v>3.2023348497589552</v>
      </c>
      <c r="DC242" s="1659"/>
      <c r="DD242" s="1659"/>
      <c r="DE242" s="1659"/>
      <c r="DF242" s="1660">
        <f>DF229/DB229*100-100</f>
        <v>3.1480779682811146</v>
      </c>
    </row>
    <row r="243" spans="1:110" s="736" customFormat="1" ht="12.75" customHeight="1">
      <c r="A243" s="701"/>
      <c r="B243" s="701"/>
      <c r="C243" s="703"/>
      <c r="D243" s="754"/>
      <c r="E243" s="1648" t="s">
        <v>136</v>
      </c>
      <c r="F243" s="754"/>
      <c r="G243" s="1649"/>
      <c r="H243" s="1649"/>
      <c r="I243" s="1649"/>
      <c r="J243" s="1650"/>
      <c r="K243" s="1649"/>
      <c r="L243" s="1649"/>
      <c r="M243" s="1649"/>
      <c r="N243" s="1651">
        <f ca="1">N230/J230*100-100</f>
        <v>3.4415688806118681</v>
      </c>
      <c r="O243" s="1649"/>
      <c r="P243" s="1649"/>
      <c r="Q243" s="1649"/>
      <c r="R243" s="1651">
        <f ca="1">R230/N230*100-100</f>
        <v>12.447529538926233</v>
      </c>
      <c r="S243" s="1649"/>
      <c r="T243" s="1649"/>
      <c r="U243" s="1649"/>
      <c r="V243" s="1651">
        <f ca="1">V230/R230*100-100</f>
        <v>11.309723519161395</v>
      </c>
      <c r="W243" s="1649"/>
      <c r="X243" s="1649"/>
      <c r="Y243" s="1649"/>
      <c r="Z243" s="1651">
        <f ca="1">Z230/V230*100-100</f>
        <v>5.1182125579971398</v>
      </c>
      <c r="AA243" s="1649"/>
      <c r="AB243" s="1649"/>
      <c r="AC243" s="1649"/>
      <c r="AD243" s="1651">
        <f ca="1">AD230/Z230*100-100</f>
        <v>11.74897883970543</v>
      </c>
      <c r="AE243" s="1649"/>
      <c r="AF243" s="1649"/>
      <c r="AG243" s="1649"/>
      <c r="AH243" s="1651">
        <f ca="1">AH230/AD230*100-100</f>
        <v>-1.7176018162364386</v>
      </c>
      <c r="AI243" s="1649"/>
      <c r="AJ243" s="1649"/>
      <c r="AK243" s="1649"/>
      <c r="AL243" s="1651">
        <f ca="1">AL230/AH230*100-100</f>
        <v>-1.2552400156743175</v>
      </c>
      <c r="AM243" s="1649"/>
      <c r="AN243" s="1649"/>
      <c r="AO243" s="1649"/>
      <c r="AP243" s="1651">
        <f ca="1">AP230/AL230*100-100</f>
        <v>3.8200480588271262</v>
      </c>
      <c r="AQ243" s="1649"/>
      <c r="AR243" s="1649"/>
      <c r="AS243" s="1649"/>
      <c r="AT243" s="1651">
        <f ca="1">AT230/AP230*100-100</f>
        <v>6.6055180832125302</v>
      </c>
      <c r="AU243" s="1649"/>
      <c r="AV243" s="1649"/>
      <c r="AW243" s="1649"/>
      <c r="AX243" s="1651">
        <f ca="1">AX230/AT230*100-100</f>
        <v>6.9928064379490849</v>
      </c>
      <c r="AY243" s="1649"/>
      <c r="AZ243" s="1649"/>
      <c r="BA243" s="1649"/>
      <c r="BB243" s="1651">
        <f ca="1">BB230/AX230*100-100</f>
        <v>8.2253151642082969</v>
      </c>
      <c r="BC243" s="1649"/>
      <c r="BD243" s="1649"/>
      <c r="BE243" s="1649"/>
      <c r="BF243" s="1651">
        <f ca="1">BF230/BB230*100-100</f>
        <v>7.6344513455179879</v>
      </c>
      <c r="BG243" s="1649"/>
      <c r="BH243" s="1649"/>
      <c r="BI243" s="1649"/>
      <c r="BJ243" s="1651">
        <f ca="1">BJ230/BF230*100-100</f>
        <v>3.7913617738353054</v>
      </c>
      <c r="BK243" s="1649"/>
      <c r="BL243" s="1649"/>
      <c r="BM243" s="1649"/>
      <c r="BN243" s="1651">
        <f ca="1">BN230/BJ230*100-100</f>
        <v>-14.077541113949337</v>
      </c>
      <c r="BO243" s="1649"/>
      <c r="BP243" s="1649"/>
      <c r="BQ243" s="1649"/>
      <c r="BR243" s="1651">
        <f ca="1">BR230/BN230*100-100</f>
        <v>12.777842492885114</v>
      </c>
      <c r="BS243" s="1649"/>
      <c r="BT243" s="1649"/>
      <c r="BU243" s="1649"/>
      <c r="BV243" s="1651">
        <f ca="1">BV230/BR230*100-100</f>
        <v>7.3433119903660042</v>
      </c>
      <c r="BW243" s="1649"/>
      <c r="BX243" s="1649"/>
      <c r="BY243" s="1649"/>
      <c r="BZ243" s="1651">
        <f ca="1">BZ230/BV230*100-100</f>
        <v>0.48217373864522983</v>
      </c>
      <c r="CA243" s="1649"/>
      <c r="CB243" s="1649"/>
      <c r="CC243" s="1649"/>
      <c r="CD243" s="1651">
        <f ca="1">CD230/BZ230*100-100</f>
        <v>-0.11819970990073614</v>
      </c>
      <c r="CE243" s="1649"/>
      <c r="CF243" s="1649"/>
      <c r="CG243" s="1649"/>
      <c r="CH243" s="1651">
        <f ca="1">CH230/CD230*100-100</f>
        <v>6.280779282837031</v>
      </c>
      <c r="CI243" s="1649"/>
      <c r="CJ243" s="1649"/>
      <c r="CK243" s="1649"/>
      <c r="CL243" s="1651">
        <f ca="1">CL230/CH230*100-100</f>
        <v>5.2435642523264647</v>
      </c>
      <c r="CM243" s="1649"/>
      <c r="CN243" s="1649"/>
      <c r="CO243" s="1649"/>
      <c r="CP243" s="1651">
        <f ca="1">CP230/CL230*100-100</f>
        <v>4.3053295545816042</v>
      </c>
      <c r="CQ243" s="1649"/>
      <c r="CR243" s="1649"/>
      <c r="CS243" s="1649"/>
      <c r="CT243" s="1651">
        <f ca="1">CT230/CP230*100-100</f>
        <v>4.7513044883088469</v>
      </c>
      <c r="CU243" s="1649"/>
      <c r="CV243" s="1649"/>
      <c r="CW243" s="1649"/>
      <c r="CX243" s="1651">
        <f ca="1">CX230/CT230*100-100</f>
        <v>3.715056275549415</v>
      </c>
      <c r="CY243" s="1649"/>
      <c r="CZ243" s="1649"/>
      <c r="DA243" s="1649"/>
      <c r="DB243" s="1651">
        <f ca="1">DB230/CX230*100-100</f>
        <v>3.1985284206106854</v>
      </c>
      <c r="DC243" s="1649"/>
      <c r="DD243" s="1649"/>
      <c r="DE243" s="1649"/>
      <c r="DF243" s="1651">
        <f ca="1">DF230/DB230*100-100</f>
        <v>3.1473976473907186</v>
      </c>
    </row>
    <row r="244" spans="1:110" ht="12.75">
      <c r="A244" s="701"/>
      <c r="AY244" s="217"/>
      <c r="BA244" s="217"/>
      <c r="BB244" s="217"/>
      <c r="BC244" s="217"/>
      <c r="BD244" s="217"/>
      <c r="BE244" s="217"/>
      <c r="BF244" s="217"/>
      <c r="BG244" s="217"/>
      <c r="BH244" s="217"/>
      <c r="BI244" s="217"/>
      <c r="BJ244" s="217"/>
      <c r="BK244" s="217"/>
      <c r="BL244" s="217"/>
      <c r="BM244" s="217"/>
      <c r="BN244" s="217"/>
      <c r="BO244" s="217"/>
      <c r="BP244" s="217"/>
      <c r="BQ244" s="217"/>
      <c r="BR244" s="217"/>
      <c r="BS244" s="217"/>
      <c r="BT244" s="217"/>
      <c r="BU244" s="217"/>
      <c r="BV244" s="217"/>
      <c r="BW244" s="1654"/>
      <c r="BX244" s="1654"/>
      <c r="BY244" s="1654"/>
      <c r="BZ244" s="1654"/>
      <c r="CA244" s="1654"/>
      <c r="CB244" s="1654"/>
      <c r="CC244" s="1654"/>
      <c r="CD244" s="1654"/>
      <c r="CE244" s="1654"/>
      <c r="CF244" s="1654"/>
      <c r="CG244" s="1654"/>
      <c r="CH244" s="1654"/>
      <c r="CI244" s="1654"/>
      <c r="CJ244" s="1654"/>
      <c r="CK244" s="1654"/>
      <c r="CL244" s="1654"/>
      <c r="CM244" s="1654"/>
      <c r="CN244" s="1654"/>
      <c r="CO244" s="1654"/>
      <c r="CP244" s="1654"/>
      <c r="CQ244" s="1654"/>
      <c r="CR244" s="1654"/>
      <c r="CS244" s="1654"/>
      <c r="CT244" s="1654"/>
      <c r="CU244" s="1654"/>
      <c r="CV244" s="1654"/>
      <c r="CW244" s="1654"/>
      <c r="CX244" s="1654"/>
      <c r="CY244" s="1654"/>
      <c r="CZ244" s="1654"/>
      <c r="DA244" s="1654"/>
      <c r="DB244" s="1654"/>
      <c r="DC244" s="1654"/>
      <c r="DD244" s="1654"/>
      <c r="DE244" s="1654"/>
      <c r="DF244" s="1654"/>
    </row>
    <row r="245" spans="1:110" s="736" customFormat="1" ht="12.75" customHeight="1">
      <c r="A245" s="701"/>
      <c r="B245" s="701"/>
      <c r="C245" s="703"/>
      <c r="D245" s="895"/>
      <c r="E245" s="896"/>
      <c r="F245" s="897"/>
      <c r="G245" s="1640" t="str">
        <f>G232</f>
        <v>Q1</v>
      </c>
      <c r="H245" s="1640" t="str">
        <f t="shared" ref="H245:BI245" si="1019">H232</f>
        <v>Q2</v>
      </c>
      <c r="I245" s="1640" t="str">
        <f t="shared" si="1019"/>
        <v>Q3</v>
      </c>
      <c r="J245" s="1640" t="str">
        <f t="shared" si="1019"/>
        <v>Q4</v>
      </c>
      <c r="K245" s="1645" t="str">
        <f t="shared" si="1019"/>
        <v>Q1</v>
      </c>
      <c r="L245" s="1640" t="str">
        <f t="shared" si="1019"/>
        <v>Q2</v>
      </c>
      <c r="M245" s="1640" t="str">
        <f t="shared" si="1019"/>
        <v>Q3</v>
      </c>
      <c r="N245" s="1646" t="str">
        <f t="shared" si="1019"/>
        <v>Q4</v>
      </c>
      <c r="O245" s="1645" t="str">
        <f t="shared" si="1019"/>
        <v>Q1</v>
      </c>
      <c r="P245" s="1640" t="str">
        <f t="shared" si="1019"/>
        <v>Q2</v>
      </c>
      <c r="Q245" s="1640" t="str">
        <f t="shared" si="1019"/>
        <v>Q3</v>
      </c>
      <c r="R245" s="1646" t="str">
        <f t="shared" si="1019"/>
        <v>Q4</v>
      </c>
      <c r="S245" s="1645" t="str">
        <f t="shared" si="1019"/>
        <v>Q1</v>
      </c>
      <c r="T245" s="1640" t="str">
        <f t="shared" si="1019"/>
        <v>Q2</v>
      </c>
      <c r="U245" s="1640" t="str">
        <f t="shared" si="1019"/>
        <v>Q3</v>
      </c>
      <c r="V245" s="1646" t="str">
        <f t="shared" si="1019"/>
        <v>Q4</v>
      </c>
      <c r="W245" s="1645" t="str">
        <f t="shared" si="1019"/>
        <v>Q1</v>
      </c>
      <c r="X245" s="1640" t="str">
        <f t="shared" si="1019"/>
        <v>Q2</v>
      </c>
      <c r="Y245" s="1640" t="str">
        <f t="shared" si="1019"/>
        <v>Q3</v>
      </c>
      <c r="Z245" s="1646" t="str">
        <f t="shared" si="1019"/>
        <v>Q4</v>
      </c>
      <c r="AA245" s="1645" t="str">
        <f t="shared" si="1019"/>
        <v>Q1</v>
      </c>
      <c r="AB245" s="1640" t="str">
        <f t="shared" si="1019"/>
        <v>Q2</v>
      </c>
      <c r="AC245" s="1640" t="str">
        <f t="shared" si="1019"/>
        <v>Q3</v>
      </c>
      <c r="AD245" s="1646" t="str">
        <f t="shared" si="1019"/>
        <v>Q4</v>
      </c>
      <c r="AE245" s="1645" t="str">
        <f t="shared" si="1019"/>
        <v>Q1</v>
      </c>
      <c r="AF245" s="1640" t="str">
        <f t="shared" si="1019"/>
        <v>Q2</v>
      </c>
      <c r="AG245" s="1640" t="str">
        <f t="shared" si="1019"/>
        <v>Q3</v>
      </c>
      <c r="AH245" s="1646" t="str">
        <f t="shared" si="1019"/>
        <v>Q4</v>
      </c>
      <c r="AI245" s="1645" t="str">
        <f t="shared" si="1019"/>
        <v>Q1</v>
      </c>
      <c r="AJ245" s="1640" t="str">
        <f t="shared" si="1019"/>
        <v>Q2</v>
      </c>
      <c r="AK245" s="1640" t="str">
        <f t="shared" si="1019"/>
        <v>Q3</v>
      </c>
      <c r="AL245" s="1646" t="str">
        <f t="shared" si="1019"/>
        <v>Q4</v>
      </c>
      <c r="AM245" s="1645" t="str">
        <f t="shared" si="1019"/>
        <v>Q1</v>
      </c>
      <c r="AN245" s="1640" t="str">
        <f t="shared" si="1019"/>
        <v>Q2</v>
      </c>
      <c r="AO245" s="1640" t="str">
        <f t="shared" si="1019"/>
        <v>Q3</v>
      </c>
      <c r="AP245" s="1646" t="str">
        <f t="shared" si="1019"/>
        <v>Q4</v>
      </c>
      <c r="AQ245" s="1645" t="str">
        <f t="shared" si="1019"/>
        <v>Q1</v>
      </c>
      <c r="AR245" s="1640" t="str">
        <f t="shared" si="1019"/>
        <v>Q2</v>
      </c>
      <c r="AS245" s="1640" t="str">
        <f t="shared" si="1019"/>
        <v>Q3</v>
      </c>
      <c r="AT245" s="1646" t="str">
        <f t="shared" si="1019"/>
        <v>Q4</v>
      </c>
      <c r="AU245" s="1645" t="str">
        <f t="shared" si="1019"/>
        <v>Q1</v>
      </c>
      <c r="AV245" s="1640" t="str">
        <f t="shared" si="1019"/>
        <v>Q2</v>
      </c>
      <c r="AW245" s="1640" t="str">
        <f t="shared" si="1019"/>
        <v>Q3</v>
      </c>
      <c r="AX245" s="1646" t="str">
        <f t="shared" si="1019"/>
        <v>Q4</v>
      </c>
      <c r="AY245" s="1645" t="str">
        <f t="shared" si="1019"/>
        <v>Q1</v>
      </c>
      <c r="AZ245" s="1640" t="str">
        <f t="shared" si="1019"/>
        <v>Q2</v>
      </c>
      <c r="BA245" s="1640" t="str">
        <f t="shared" si="1019"/>
        <v>Q3</v>
      </c>
      <c r="BB245" s="1646" t="str">
        <f t="shared" si="1019"/>
        <v>Q4</v>
      </c>
      <c r="BC245" s="1645" t="str">
        <f t="shared" si="1019"/>
        <v>Q1</v>
      </c>
      <c r="BD245" s="1640" t="str">
        <f t="shared" si="1019"/>
        <v>Q2</v>
      </c>
      <c r="BE245" s="1640" t="str">
        <f t="shared" si="1019"/>
        <v>Q3</v>
      </c>
      <c r="BF245" s="1646" t="str">
        <f t="shared" si="1019"/>
        <v>Q4</v>
      </c>
      <c r="BG245" s="1645" t="str">
        <f t="shared" si="1019"/>
        <v>Q1</v>
      </c>
      <c r="BH245" s="1640" t="str">
        <f t="shared" si="1019"/>
        <v>Q2</v>
      </c>
      <c r="BI245" s="1640" t="str">
        <f t="shared" si="1019"/>
        <v>Q3</v>
      </c>
      <c r="BJ245" s="1646" t="str">
        <f t="shared" ref="BJ245:BR245" si="1020">BJ232</f>
        <v>Q4</v>
      </c>
      <c r="BK245" s="1645" t="str">
        <f t="shared" si="1020"/>
        <v>Q1</v>
      </c>
      <c r="BL245" s="1640" t="str">
        <f t="shared" si="1020"/>
        <v>Q2</v>
      </c>
      <c r="BM245" s="1640" t="str">
        <f t="shared" si="1020"/>
        <v>Q3</v>
      </c>
      <c r="BN245" s="1646" t="str">
        <f t="shared" si="1020"/>
        <v>Q4</v>
      </c>
      <c r="BO245" s="1645" t="str">
        <f t="shared" si="1020"/>
        <v>Q1</v>
      </c>
      <c r="BP245" s="1640" t="str">
        <f t="shared" si="1020"/>
        <v>Q2</v>
      </c>
      <c r="BQ245" s="1640" t="str">
        <f t="shared" si="1020"/>
        <v>Q3</v>
      </c>
      <c r="BR245" s="1646" t="str">
        <f t="shared" si="1020"/>
        <v>Q4</v>
      </c>
      <c r="BS245" s="1645" t="str">
        <f t="shared" ref="BS245:BZ245" si="1021">BS232</f>
        <v>Q1</v>
      </c>
      <c r="BT245" s="1640" t="str">
        <f t="shared" si="1021"/>
        <v>Q2</v>
      </c>
      <c r="BU245" s="1640" t="str">
        <f t="shared" si="1021"/>
        <v>Q3</v>
      </c>
      <c r="BV245" s="1646" t="str">
        <f t="shared" si="1021"/>
        <v>Q4</v>
      </c>
      <c r="BW245" s="1645" t="str">
        <f t="shared" si="1021"/>
        <v>Q1</v>
      </c>
      <c r="BX245" s="1640" t="str">
        <f t="shared" si="1021"/>
        <v>Q2</v>
      </c>
      <c r="BY245" s="1640" t="str">
        <f t="shared" si="1021"/>
        <v>Q3</v>
      </c>
      <c r="BZ245" s="1646" t="str">
        <f t="shared" si="1021"/>
        <v>Q4</v>
      </c>
      <c r="CA245" s="1645" t="str">
        <f t="shared" ref="CA245:CF245" si="1022">CA232</f>
        <v>Q1</v>
      </c>
      <c r="CB245" s="1640" t="str">
        <f t="shared" si="1022"/>
        <v>Q2</v>
      </c>
      <c r="CC245" s="1640" t="str">
        <f t="shared" si="1022"/>
        <v>Q3</v>
      </c>
      <c r="CD245" s="1646" t="str">
        <f t="shared" si="1022"/>
        <v>Q4</v>
      </c>
      <c r="CE245" s="1645" t="str">
        <f t="shared" si="1022"/>
        <v>Q1</v>
      </c>
      <c r="CF245" s="1640" t="str">
        <f t="shared" si="1022"/>
        <v>Q2</v>
      </c>
      <c r="CG245" s="1640" t="str">
        <f t="shared" ref="CG245:CL245" si="1023">CG232</f>
        <v>Q3</v>
      </c>
      <c r="CH245" s="1646" t="str">
        <f t="shared" si="1023"/>
        <v>Q4</v>
      </c>
      <c r="CI245" s="1645" t="str">
        <f t="shared" si="1023"/>
        <v>Q1</v>
      </c>
      <c r="CJ245" s="1640" t="str">
        <f t="shared" si="1023"/>
        <v>Q2</v>
      </c>
      <c r="CK245" s="1640" t="str">
        <f t="shared" si="1023"/>
        <v>Q3</v>
      </c>
      <c r="CL245" s="1646" t="str">
        <f t="shared" si="1023"/>
        <v>Q4</v>
      </c>
      <c r="CM245" s="1645" t="str">
        <f t="shared" ref="CM245:CN245" si="1024">CM232</f>
        <v>Q1</v>
      </c>
      <c r="CN245" s="1640" t="str">
        <f t="shared" si="1024"/>
        <v>Q2</v>
      </c>
      <c r="CO245" s="1640" t="str">
        <f t="shared" ref="CO245:CR245" si="1025">CO232</f>
        <v>Q3</v>
      </c>
      <c r="CP245" s="1646" t="str">
        <f t="shared" si="1025"/>
        <v>Q4</v>
      </c>
      <c r="CQ245" s="1645" t="str">
        <f t="shared" si="1025"/>
        <v>Q1</v>
      </c>
      <c r="CR245" s="1640" t="str">
        <f t="shared" si="1025"/>
        <v>Q2</v>
      </c>
      <c r="CS245" s="1640" t="str">
        <f t="shared" ref="CS245:CT245" si="1026">CS232</f>
        <v>Q3</v>
      </c>
      <c r="CT245" s="1646" t="str">
        <f t="shared" si="1026"/>
        <v>Q4</v>
      </c>
      <c r="CU245" s="1645" t="str">
        <f t="shared" ref="CU245:CX245" si="1027">CU232</f>
        <v>Q1</v>
      </c>
      <c r="CV245" s="1640" t="str">
        <f t="shared" si="1027"/>
        <v>Q2</v>
      </c>
      <c r="CW245" s="1640" t="str">
        <f t="shared" si="1027"/>
        <v>Q3</v>
      </c>
      <c r="CX245" s="1646" t="str">
        <f t="shared" si="1027"/>
        <v>Q4</v>
      </c>
      <c r="CY245" s="1645" t="str">
        <f t="shared" ref="CY245:DB245" si="1028">CY232</f>
        <v>Q1</v>
      </c>
      <c r="CZ245" s="1640" t="str">
        <f t="shared" si="1028"/>
        <v>Q2</v>
      </c>
      <c r="DA245" s="1640" t="str">
        <f t="shared" si="1028"/>
        <v>Q3</v>
      </c>
      <c r="DB245" s="1646" t="str">
        <f t="shared" si="1028"/>
        <v>Q4</v>
      </c>
      <c r="DC245" s="1645" t="str">
        <f t="shared" ref="DC245:DF245" si="1029">DC232</f>
        <v>Q1</v>
      </c>
      <c r="DD245" s="1640" t="str">
        <f t="shared" si="1029"/>
        <v>Q2</v>
      </c>
      <c r="DE245" s="1640" t="str">
        <f t="shared" si="1029"/>
        <v>Q3</v>
      </c>
      <c r="DF245" s="1646" t="str">
        <f t="shared" si="1029"/>
        <v>Q4</v>
      </c>
    </row>
    <row r="246" spans="1:110" s="736" customFormat="1" ht="12.75" customHeight="1">
      <c r="A246" s="701"/>
      <c r="B246" s="701"/>
      <c r="C246" s="899"/>
      <c r="D246" s="900"/>
      <c r="E246" s="901" t="s">
        <v>137</v>
      </c>
      <c r="F246" s="902"/>
      <c r="G246" s="742"/>
      <c r="H246" s="742"/>
      <c r="I246" s="742"/>
      <c r="J246" s="742"/>
      <c r="K246" s="1616">
        <f t="shared" ref="K246:AP246" si="1030">(K228/G228-1)*100</f>
        <v>2.6650878388103649</v>
      </c>
      <c r="L246" s="1616">
        <f t="shared" si="1030"/>
        <v>2.6201791840745781</v>
      </c>
      <c r="M246" s="1616">
        <f t="shared" si="1030"/>
        <v>2.2568464861400184</v>
      </c>
      <c r="N246" s="1616">
        <f t="shared" si="1030"/>
        <v>6.1826833115629753</v>
      </c>
      <c r="O246" s="1616">
        <f t="shared" si="1030"/>
        <v>10.166792013736137</v>
      </c>
      <c r="P246" s="1616">
        <f t="shared" si="1030"/>
        <v>13.744551168614727</v>
      </c>
      <c r="Q246" s="1616">
        <f t="shared" si="1030"/>
        <v>13.838041730535998</v>
      </c>
      <c r="R246" s="1616">
        <f t="shared" si="1030"/>
        <v>13.349082831185077</v>
      </c>
      <c r="S246" s="1616">
        <f t="shared" si="1030"/>
        <v>14.988116282676355</v>
      </c>
      <c r="T246" s="1616">
        <f t="shared" si="1030"/>
        <v>11.423086826566941</v>
      </c>
      <c r="U246" s="1616">
        <f t="shared" si="1030"/>
        <v>10.299164356205303</v>
      </c>
      <c r="V246" s="1616">
        <f t="shared" si="1030"/>
        <v>8.2051400006853505</v>
      </c>
      <c r="W246" s="1616">
        <f t="shared" si="1030"/>
        <v>3.8139272710653316</v>
      </c>
      <c r="X246" s="1616">
        <f t="shared" si="1030"/>
        <v>3.2280086251082585</v>
      </c>
      <c r="Y246" s="1616">
        <f t="shared" si="1030"/>
        <v>5.5786707447837092</v>
      </c>
      <c r="Z246" s="1616">
        <f t="shared" si="1030"/>
        <v>6.2162434178731907</v>
      </c>
      <c r="AA246" s="1616">
        <f t="shared" si="1030"/>
        <v>9.7349792590399442</v>
      </c>
      <c r="AB246" s="1616">
        <f t="shared" si="1030"/>
        <v>13.510871216904263</v>
      </c>
      <c r="AC246" s="1616">
        <f t="shared" si="1030"/>
        <v>14.661357765599714</v>
      </c>
      <c r="AD246" s="1616">
        <f t="shared" si="1030"/>
        <v>10.140308128134446</v>
      </c>
      <c r="AE246" s="1616">
        <f t="shared" si="1030"/>
        <v>6.8832046392790724</v>
      </c>
      <c r="AF246" s="1616">
        <f t="shared" si="1030"/>
        <v>-1.4035065225966092</v>
      </c>
      <c r="AG246" s="1616">
        <f t="shared" si="1030"/>
        <v>-6.7899908013297594</v>
      </c>
      <c r="AH246" s="1616">
        <f t="shared" si="1030"/>
        <v>-4.3969010691697115</v>
      </c>
      <c r="AI246" s="1616">
        <f t="shared" si="1030"/>
        <v>-3.7632471709868165</v>
      </c>
      <c r="AJ246" s="1616">
        <f t="shared" si="1030"/>
        <v>-0.92769977040806362</v>
      </c>
      <c r="AK246" s="1616">
        <f t="shared" si="1030"/>
        <v>-0.92503054291021014</v>
      </c>
      <c r="AL246" s="1616">
        <f t="shared" si="1030"/>
        <v>0.61211697597689518</v>
      </c>
      <c r="AM246" s="1616">
        <f t="shared" si="1030"/>
        <v>2.3681153501718066</v>
      </c>
      <c r="AN246" s="1616">
        <f t="shared" si="1030"/>
        <v>2.6411924414266208</v>
      </c>
      <c r="AO246" s="1616">
        <f t="shared" si="1030"/>
        <v>5.1883549460739475</v>
      </c>
      <c r="AP246" s="1616">
        <f t="shared" si="1030"/>
        <v>5.7441681062715633</v>
      </c>
      <c r="AQ246" s="1616">
        <f t="shared" ref="AQ246:BJ246" si="1031">(AQ228/AM228-1)*100</f>
        <v>2.1131187729559908</v>
      </c>
      <c r="AR246" s="1616">
        <f t="shared" si="1031"/>
        <v>7.0573190913193917</v>
      </c>
      <c r="AS246" s="1616">
        <f t="shared" si="1031"/>
        <v>7.2996140415914512</v>
      </c>
      <c r="AT246" s="1616">
        <f t="shared" si="1031"/>
        <v>6.8110526162281859</v>
      </c>
      <c r="AU246" s="1616">
        <f t="shared" si="1031"/>
        <v>7.0516412896202141</v>
      </c>
      <c r="AV246" s="1616">
        <f t="shared" si="1031"/>
        <v>5.9254366858251029</v>
      </c>
      <c r="AW246" s="1616">
        <f t="shared" si="1031"/>
        <v>6.6452847155734851</v>
      </c>
      <c r="AX246" s="1616">
        <f t="shared" si="1031"/>
        <v>8.2064403203195866</v>
      </c>
      <c r="AY246" s="1616">
        <f t="shared" si="1031"/>
        <v>8.7115044550184262</v>
      </c>
      <c r="AZ246" s="1616">
        <f t="shared" si="1031"/>
        <v>8.1392548980068202</v>
      </c>
      <c r="BA246" s="1616">
        <f t="shared" si="1031"/>
        <v>8.6124987875860768</v>
      </c>
      <c r="BB246" s="1616">
        <f t="shared" si="1031"/>
        <v>9.1919777245236247</v>
      </c>
      <c r="BC246" s="1616">
        <f t="shared" si="1031"/>
        <v>8.6291162894498008</v>
      </c>
      <c r="BD246" s="1616">
        <f t="shared" si="1031"/>
        <v>7.0896555785274096</v>
      </c>
      <c r="BE246" s="1616">
        <f t="shared" si="1031"/>
        <v>9.3364772442309896</v>
      </c>
      <c r="BF246" s="1616">
        <f t="shared" si="1031"/>
        <v>6.6259620051307033</v>
      </c>
      <c r="BG246" s="1616">
        <f t="shared" si="1031"/>
        <v>9.6958775072389933</v>
      </c>
      <c r="BH246" s="1616">
        <f t="shared" si="1031"/>
        <v>8.0475818161510162</v>
      </c>
      <c r="BI246" s="1616">
        <f t="shared" si="1031"/>
        <v>2.237435463352111</v>
      </c>
      <c r="BJ246" s="1616">
        <f t="shared" si="1031"/>
        <v>-5.4067066408841953</v>
      </c>
      <c r="BK246" s="1616">
        <f t="shared" ref="BK246:BR246" si="1032">(BK228/BG228-1)*100</f>
        <v>-15.302845376727737</v>
      </c>
      <c r="BL246" s="1616">
        <f t="shared" si="1032"/>
        <v>-19.710947036113723</v>
      </c>
      <c r="BM246" s="1616">
        <f t="shared" si="1032"/>
        <v>-14.021431726249755</v>
      </c>
      <c r="BN246" s="1616">
        <f t="shared" si="1032"/>
        <v>-6.3527189112210891</v>
      </c>
      <c r="BO246" s="1616">
        <f t="shared" si="1032"/>
        <v>5.0714879229821541</v>
      </c>
      <c r="BP246" s="1616">
        <f t="shared" si="1032"/>
        <v>16.515083836876187</v>
      </c>
      <c r="BQ246" s="1616">
        <f t="shared" si="1032"/>
        <v>15.203028661029494</v>
      </c>
      <c r="BR246" s="1616">
        <f t="shared" si="1032"/>
        <v>12.782204170018318</v>
      </c>
      <c r="BS246" s="1616">
        <f>(BS228/BO228-1)*100</f>
        <v>13.475107092086747</v>
      </c>
      <c r="BT246" s="1616">
        <f>(BT228/BP228-1)*100</f>
        <v>8.9923029735484938</v>
      </c>
      <c r="BU246" s="1616">
        <f>(BU228/BQ228-1)*100</f>
        <v>4.619827854261338</v>
      </c>
      <c r="BV246" s="1616">
        <f>(BV228/BR228-1)*100</f>
        <v>3.1103896244774276</v>
      </c>
      <c r="BW246" s="1616">
        <f t="shared" ref="BW246:CD246" si="1033">(BW228/BS228-1)*100</f>
        <v>1.4154415509987972</v>
      </c>
      <c r="BX246" s="1616">
        <f t="shared" si="1033"/>
        <v>0.86758630693883898</v>
      </c>
      <c r="BY246" s="1616">
        <f t="shared" si="1033"/>
        <v>1.1139626779024248</v>
      </c>
      <c r="BZ246" s="1616">
        <f t="shared" si="1033"/>
        <v>0.65200089844092979</v>
      </c>
      <c r="CA246" s="1616">
        <f>(CA228/BW228-1)*100</f>
        <v>-2.2399803839451282</v>
      </c>
      <c r="CB246" s="1616">
        <f>(CB228/BX228-1)*100</f>
        <v>-1.4020539058812176E-2</v>
      </c>
      <c r="CC246" s="1616">
        <f t="shared" si="1033"/>
        <v>-0.40209191508501219</v>
      </c>
      <c r="CD246" s="1616">
        <f t="shared" si="1033"/>
        <v>2.053394207161241</v>
      </c>
      <c r="CE246" s="1616">
        <f>(CE228/CA228-1)*100</f>
        <v>5.6650575961529892</v>
      </c>
      <c r="CF246" s="1616">
        <f>(CF228/CB228-1)*100</f>
        <v>6.1942611866854236</v>
      </c>
      <c r="CG246" s="1616">
        <f t="shared" ref="CG246:CL246" si="1034">(CG228/CC228-1)*100</f>
        <v>5.7963020479597116</v>
      </c>
      <c r="CH246" s="1616">
        <f t="shared" si="1034"/>
        <v>8.0855426456031054</v>
      </c>
      <c r="CI246" s="1616">
        <f>(CI228/CE228-1)*100</f>
        <v>5.4572310736558105</v>
      </c>
      <c r="CJ246" s="1616">
        <f>(CJ228/CF228-1)*100</f>
        <v>2.2031500202801979</v>
      </c>
      <c r="CK246" s="1616">
        <f t="shared" si="1034"/>
        <v>6.1833627921877854</v>
      </c>
      <c r="CL246" s="1616">
        <f t="shared" si="1034"/>
        <v>5.625215573605824</v>
      </c>
      <c r="CM246" s="1616">
        <f>(CM228/CI228-1)*100</f>
        <v>5.3875748500870291</v>
      </c>
      <c r="CN246" s="1616">
        <f>(CN228/CJ228-1)*100</f>
        <v>5.5902462102320305</v>
      </c>
      <c r="CO246" s="1616">
        <f t="shared" ref="CO246:CP246" si="1035">(CO228/CK228-1)*100</f>
        <v>3.0401773863188541</v>
      </c>
      <c r="CP246" s="1616">
        <f t="shared" si="1035"/>
        <v>1.9402958629912925</v>
      </c>
      <c r="CQ246" s="1616">
        <f>(CQ228/CM228-1)*100</f>
        <v>3.2919564428752102</v>
      </c>
      <c r="CR246" s="1616">
        <f>(CR228/CN228-1)*100</f>
        <v>5.6519358838019951</v>
      </c>
      <c r="CS246" s="1616">
        <f t="shared" ref="CS246" si="1036">(CS228/CO228-1)*100</f>
        <v>5.8582466766126995</v>
      </c>
      <c r="CT246" s="1616">
        <f t="shared" ref="CT246" si="1037">(CT228/CP228-1)*100</f>
        <v>5.6789415624960204</v>
      </c>
      <c r="CU246" s="1616">
        <f t="shared" ref="CU246" si="1038">(CU228/CQ228-1)*100</f>
        <v>5.2499189844076311</v>
      </c>
      <c r="CV246" s="1616">
        <f>(CV228/CR228-1)*100</f>
        <v>3.9778728176668166</v>
      </c>
      <c r="CW246" s="1616">
        <f t="shared" ref="CW246" si="1039">(CW228/CS228-1)*100</f>
        <v>3.2394251773458338</v>
      </c>
      <c r="CX246" s="1616">
        <f t="shared" ref="CX246" si="1040">(CX228/CT228-1)*100</f>
        <v>2.5148338145809079</v>
      </c>
      <c r="CY246" s="1616">
        <f t="shared" ref="CY246" si="1041">(CY228/CU228-1)*100</f>
        <v>2.6854235372204105</v>
      </c>
      <c r="CZ246" s="1616">
        <f t="shared" ref="CZ246" si="1042">(CZ228/CV228-1)*100</f>
        <v>2.8888583938871504</v>
      </c>
      <c r="DA246" s="1616">
        <f t="shared" ref="DA246" si="1043">(DA228/CW228-1)*100</f>
        <v>3.3291231874922333</v>
      </c>
      <c r="DB246" s="1616">
        <f t="shared" ref="DB246" si="1044">(DB228/CX228-1)*100</f>
        <v>3.8955641099791993</v>
      </c>
      <c r="DC246" s="1616">
        <f t="shared" ref="DC246" si="1045">(DC228/CY228-1)*100</f>
        <v>3.6076793207580948</v>
      </c>
      <c r="DD246" s="1616">
        <f t="shared" ref="DD246" si="1046">(DD228/CZ228-1)*100</f>
        <v>3.3511992749100994</v>
      </c>
      <c r="DE246" s="1616">
        <f t="shared" ref="DE246" si="1047">(DE228/DA228-1)*100</f>
        <v>3.0439721664828889</v>
      </c>
      <c r="DF246" s="1616">
        <f t="shared" ref="DF246" si="1048">(DF228/DB228-1)*100</f>
        <v>2.6047482565741964</v>
      </c>
    </row>
    <row r="247" spans="1:110" s="736" customFormat="1" ht="12.75" customHeight="1">
      <c r="A247" s="701"/>
      <c r="B247" s="701"/>
      <c r="C247" s="981"/>
      <c r="D247" s="711"/>
      <c r="E247" s="820" t="s">
        <v>156</v>
      </c>
      <c r="F247" s="741"/>
      <c r="G247" s="742"/>
      <c r="H247" s="742"/>
      <c r="I247" s="742"/>
      <c r="J247" s="742"/>
      <c r="K247" s="1616">
        <f>(4*K228/J229-1)*100</f>
        <v>0.69531219747718254</v>
      </c>
      <c r="L247" s="1616">
        <f>((K228+3*L228)/J229-1)*100</f>
        <v>1.7210695127870768</v>
      </c>
      <c r="M247" s="1616">
        <f>((K228+L228+2*M228)/J229-1)*100</f>
        <v>2.4809532525753131</v>
      </c>
      <c r="N247" s="1674"/>
      <c r="O247" s="1616">
        <f>(4*O228/N229-1)*100</f>
        <v>7.243426688978527</v>
      </c>
      <c r="P247" s="1616">
        <f>((O228+3*P228)/N229-1)*100</f>
        <v>10.983481871886912</v>
      </c>
      <c r="Q247" s="1616">
        <f>((O228+P228+2*Q228)/N229-1)*100</f>
        <v>11.865872435040448</v>
      </c>
      <c r="R247" s="1674"/>
      <c r="S247" s="1616">
        <f>(4*S228/R229-1)*100</f>
        <v>9.3290084298143441</v>
      </c>
      <c r="T247" s="1616">
        <f>((S228+3*T228)/R229-1)*100</f>
        <v>10.481404331410626</v>
      </c>
      <c r="U247" s="1616">
        <f>((S228+T228+2*U228)/R229-1)*100</f>
        <v>10.785124052973138</v>
      </c>
      <c r="V247" s="1674"/>
      <c r="W247" s="1616">
        <f>(4*W228/V229-1)*100</f>
        <v>2.1159105383433685</v>
      </c>
      <c r="X247" s="1616">
        <f>((W228+3*X228)/V229-1)*100</f>
        <v>2.7539495924245205</v>
      </c>
      <c r="Y247" s="1616">
        <f>((W228+X228+2*Y228)/V229-1)*100</f>
        <v>4.2148084648762296</v>
      </c>
      <c r="Z247" s="1674"/>
      <c r="AA247" s="1616">
        <f>(4*AA228/Z229-1)*100</f>
        <v>7.0057115764879052</v>
      </c>
      <c r="AB247" s="1616">
        <f>((AA228+3*AB228)/Z229-1)*100</f>
        <v>10.458793747621398</v>
      </c>
      <c r="AC247" s="1616">
        <f>((AA228+AB228+2*AC228)/Z229-1)*100</f>
        <v>12.623938200538243</v>
      </c>
      <c r="AD247" s="1674"/>
      <c r="AE247" s="1616">
        <f>(4*AE228/AD229-1)*100</f>
        <v>2.1053303950688385</v>
      </c>
      <c r="AF247" s="1616">
        <f>((AE228+3*AF228)/AD229-1)*100</f>
        <v>-0.79239207420059854</v>
      </c>
      <c r="AG247" s="1616">
        <f>((AE228+AF228+2*AG228)/AD229-1)*100</f>
        <v>-1.6742471636542078</v>
      </c>
      <c r="AH247" s="1674"/>
      <c r="AI247" s="1616">
        <f>(4*AI228/AH229-1)*100</f>
        <v>-0.16319098842927371</v>
      </c>
      <c r="AJ247" s="1616">
        <f>((AI228+3*AJ228)/AH229-1)*100</f>
        <v>-0.87380046415759249</v>
      </c>
      <c r="AK247" s="1616">
        <f>((AI228+AJ228+2*AK228)/AH229-1)*100</f>
        <v>-1.7601606885802701</v>
      </c>
      <c r="AL247" s="1674"/>
      <c r="AM247" s="1616">
        <f>(4*AM228/AL229-1)*100</f>
        <v>3.5299463475070958</v>
      </c>
      <c r="AN247" s="1616">
        <f>((AM228+3*AN228)/AL229-1)*100</f>
        <v>2.9982167398291626</v>
      </c>
      <c r="AO247" s="1616">
        <f>((AM228+AN228+2*AO228)/AL229-1)*100</f>
        <v>3.3295579844760947</v>
      </c>
      <c r="AP247" s="1674"/>
      <c r="AQ247" s="1616">
        <f>(4*AQ228/AP229-1)*100</f>
        <v>1.6743022082616799</v>
      </c>
      <c r="AR247" s="1616">
        <f>((AQ228+3*AR228)/AP229-1)*100</f>
        <v>4.8190338984201331</v>
      </c>
      <c r="AS247" s="1616">
        <f>((AQ228+AR228+2*AS228)/AP229-1)*100</f>
        <v>5.2807648044598698</v>
      </c>
      <c r="AT247" s="1674"/>
      <c r="AU247" s="1616">
        <f>(4*AU228/AT229-1)*100</f>
        <v>2.8537457499759222</v>
      </c>
      <c r="AV247" s="1616">
        <f>((AU228+3*AV228)/AT229-1)*100</f>
        <v>5.1899585910410106</v>
      </c>
      <c r="AW247" s="1616">
        <f>((AU228+AV228+2*AW228)/AT229-1)*100</f>
        <v>6.0153436676486205</v>
      </c>
      <c r="AX247" s="1674"/>
      <c r="AY247" s="1616">
        <f>(4*AY228/AX229-1)*100</f>
        <v>4.5333924768611089</v>
      </c>
      <c r="AZ247" s="1616">
        <f>((AY228+3*AZ228)/AX229-1)*100</f>
        <v>6.4825660076681002</v>
      </c>
      <c r="BA247" s="1616">
        <f>((AY228+AZ228+2*BA228)/AX229-1)*100</f>
        <v>7.5550845978342718</v>
      </c>
      <c r="BB247" s="1674"/>
      <c r="BC247" s="1616">
        <f>(4*BC228/BB229-1)*100</f>
        <v>4.4940752454411426</v>
      </c>
      <c r="BD247" s="1616">
        <f>((BC228+3*BD228)/BB229-1)*100</f>
        <v>5.3042578409643992</v>
      </c>
      <c r="BE247" s="1616">
        <f>((BC228+BD228+2*BE228)/BB229-1)*100</f>
        <v>7.4908687120348372</v>
      </c>
      <c r="BF247" s="1674"/>
      <c r="BG247" s="1616">
        <f>(4*BG228/BF229-1)*100</f>
        <v>6.2299305391221749</v>
      </c>
      <c r="BH247" s="1616">
        <f>((BG228+3*BH228)/BF229-1)*100</f>
        <v>5.8440336598808651</v>
      </c>
      <c r="BI247" s="1616">
        <f>((BG228+BH228+2*BI228)/BF229-1)*100</f>
        <v>5.0734588328325225</v>
      </c>
      <c r="BJ247" s="1674"/>
      <c r="BK247" s="1616">
        <f>(4*BK228/BJ229-1)*100</f>
        <v>-13.058657865917645</v>
      </c>
      <c r="BL247" s="1616">
        <f>((BK228+3*BL228)/BJ229-1)*100</f>
        <v>-16.751724568362071</v>
      </c>
      <c r="BM247" s="1616">
        <f>((BK228+BL228+2*BM228)/BJ229-1)*100</f>
        <v>-14.485934239970788</v>
      </c>
      <c r="BN247" s="1674"/>
      <c r="BO247" s="1616">
        <f>(4*BO228/BN229-1)*100</f>
        <v>6.2103101286768991</v>
      </c>
      <c r="BP247" s="1616">
        <f>((BO228+3*BP228)/BN229-1)*100</f>
        <v>9.8830972020379715</v>
      </c>
      <c r="BQ247" s="1616">
        <f>((BO228+BP228+2*BQ228)/BN229-1)*100</f>
        <v>12.292380166466565</v>
      </c>
      <c r="BR247" s="1674"/>
      <c r="BS247" s="1616">
        <f>(4*BS228/BR229-1)*100</f>
        <v>7.2906036022339027</v>
      </c>
      <c r="BT247" s="1616">
        <f>((BS228+3*BT228)/BR229-1)*100</f>
        <v>7.6753141112366974</v>
      </c>
      <c r="BU247" s="1616">
        <f>((BS228+BT228+2*BU228)/BR229-1)*100</f>
        <v>7.7567837027186615</v>
      </c>
      <c r="BV247" s="1674"/>
      <c r="BW247" s="1616">
        <f>(4*BW228/BV229-1)*100</f>
        <v>1.3081619872664652</v>
      </c>
      <c r="BX247" s="1616">
        <f>((BW228+3*BX228)/BV229-1)*100</f>
        <v>1.2590021918380323</v>
      </c>
      <c r="BY247" s="1616">
        <f>((BW228+BX228+2*BY228)/BV229-1)*100</f>
        <v>1.4593466235257369</v>
      </c>
      <c r="BZ247" s="1674"/>
      <c r="CA247" s="1616">
        <f>(4*CA228/BZ229-1)*100</f>
        <v>-1.9541790029051542</v>
      </c>
      <c r="CB247" s="1616">
        <f>((CA228+3*CB228)/BZ229-1)*100</f>
        <v>-0.32848847384276958</v>
      </c>
      <c r="CC247" s="1616">
        <f>((CA228+CB228+2*CC228)/BZ229-1)*100</f>
        <v>-0.32542742055371443</v>
      </c>
      <c r="CD247" s="1674"/>
      <c r="CE247" s="1616">
        <f>(4*CE228/CD229-1)*100</f>
        <v>3.7649723261678592</v>
      </c>
      <c r="CF247" s="1616">
        <f>((CE228+3*CF228)/CD229-1)*100</f>
        <v>5.8838741075270873</v>
      </c>
      <c r="CG247" s="1616">
        <f>((CE228+CF228+2*CG228)/CD229-1)*100</f>
        <v>5.6873963351099954</v>
      </c>
      <c r="CH247" s="1674"/>
      <c r="CI247" s="1616">
        <f>(4*CI228/CH229-1)*100</f>
        <v>2.8047379656897853</v>
      </c>
      <c r="CJ247" s="1616">
        <f>((CI228+3*CJ228)/CH229-1)*100</f>
        <v>2.4600788721083289</v>
      </c>
      <c r="CK247" s="1616">
        <f>((CI228+CJ228+2*CK228)/CH229-1)*100</f>
        <v>4.2569511993034048</v>
      </c>
      <c r="CL247" s="1674"/>
      <c r="CM247" s="1616">
        <f>(4*CM228/CL229-1)*100</f>
        <v>3.3152863230271112</v>
      </c>
      <c r="CN247" s="1616">
        <f>((CM228+3*CN228)/CL229-1)*100</f>
        <v>3.1172640769461912</v>
      </c>
      <c r="CO247" s="1616">
        <f>((CM228+CN228+2*CO228)/CL229-1)*100</f>
        <v>3.6384624763112772</v>
      </c>
      <c r="CP247" s="1674"/>
      <c r="CQ247" s="1616">
        <f>(4*CQ228/CP229-1)*100</f>
        <v>2.6578071422961314</v>
      </c>
      <c r="CR247" s="1616">
        <f>((CQ228+3*CR228)/CP229-1)*100</f>
        <v>4.2156674803127681</v>
      </c>
      <c r="CS247" s="1616">
        <f>((CQ228+CR228+2*CS228)/CP229-1)*100</f>
        <v>4.8486759293629111</v>
      </c>
      <c r="CT247" s="1674"/>
      <c r="CU247" s="1616">
        <f>(4*CU228/CT229-1)*100</f>
        <v>2.7807204316663725</v>
      </c>
      <c r="CV247" s="1616">
        <f>((CU228+3*CV228)/CT229-1)*100</f>
        <v>3.3899425822798035</v>
      </c>
      <c r="CW247" s="1616">
        <f>((CU228+CV228+2*CW228)/CT229-1)*100</f>
        <v>3.6437454730293917</v>
      </c>
      <c r="CX247" s="1674"/>
      <c r="CY247" s="1616">
        <f>(4*CY228/CX229-1)*100</f>
        <v>1.7460677626715881</v>
      </c>
      <c r="CZ247" s="1616">
        <f>((CY228+3*CZ228)/CX229-1)*100</f>
        <v>2.5015323158094294</v>
      </c>
      <c r="DA247" s="1616">
        <f>((CY228+CZ228+2*DA228)/CX229-1)*100</f>
        <v>2.9741977434436295</v>
      </c>
      <c r="DB247" s="1674"/>
      <c r="DC247" s="1616">
        <f>(4*DC228/DB229-1)*100</f>
        <v>2.1456925005570282</v>
      </c>
      <c r="DD247" s="1616">
        <f>((DC228+3*DD228)/DB229-1)*100</f>
        <v>2.7126010939351408</v>
      </c>
      <c r="DE247" s="1616">
        <f>((DC228+DD228+2*DE228)/DB229-1)*100</f>
        <v>3.0315959628728351</v>
      </c>
      <c r="DF247" s="1674"/>
    </row>
    <row r="248" spans="1:110" ht="12.75">
      <c r="C248" s="1607"/>
      <c r="D248" s="865"/>
      <c r="E248" s="1614" t="s">
        <v>155</v>
      </c>
      <c r="F248" s="865"/>
      <c r="G248" s="913"/>
      <c r="H248" s="913"/>
      <c r="I248" s="913"/>
      <c r="J248" s="913"/>
      <c r="K248" s="1673"/>
      <c r="L248" s="920">
        <f>(4*L228/(K228+3*L228)-1)*100</f>
        <v>0.33613400521739223</v>
      </c>
      <c r="M248" s="920">
        <f>(4*M228/(K228+L228+2*M228)-1)*100</f>
        <v>1.0751293873858092</v>
      </c>
      <c r="N248" s="920">
        <f>+(4*N228/N229-1)*100</f>
        <v>3.8471388681453389</v>
      </c>
      <c r="O248" s="1673"/>
      <c r="P248" s="920">
        <f>(4*P228/(O228+3*P228)-1)*100</f>
        <v>1.1233068560676074</v>
      </c>
      <c r="Q248" s="920">
        <f>(4*Q228/(O228+P228+2*Q228)-1)*100</f>
        <v>1.9032396366991389</v>
      </c>
      <c r="R248" s="920">
        <f>+(4*R228/R229-1)*100</f>
        <v>4.3576554454068051</v>
      </c>
      <c r="S248" s="1673"/>
      <c r="T248" s="920">
        <f>(4*T228/(S228+3*T228)-1)*100</f>
        <v>0.34768925098607184</v>
      </c>
      <c r="U248" s="920">
        <f>(4*U228/(S228+T228+2*U228)-1)*100</f>
        <v>0.6208881333493288</v>
      </c>
      <c r="V248" s="920">
        <f>+(4*V228/V229-1)*100</f>
        <v>1.5955273579105311</v>
      </c>
      <c r="W248" s="1673"/>
      <c r="X248" s="920">
        <f>(4*X228/(W228+3*X228)-1)*100</f>
        <v>0.20697957162456593</v>
      </c>
      <c r="Y248" s="920">
        <f>(4*Y228/(W228+X228+2*Y228)-1)*100</f>
        <v>1.6058548509537918</v>
      </c>
      <c r="Z248" s="920">
        <f>+(4*Z228/Z229-1)*100</f>
        <v>3.0466756684611074</v>
      </c>
      <c r="AA248" s="1673"/>
      <c r="AB248" s="920">
        <f>(4*AB228/(AA228+3*AB228)-1)*100</f>
        <v>1.0420423321005234</v>
      </c>
      <c r="AC248" s="920">
        <f>(4*AC228/(AA228+AB228+2*AC228)-1)*100</f>
        <v>2.9444644684595733</v>
      </c>
      <c r="AD248" s="920">
        <f>+(4*AD228/AD229-1)*100</f>
        <v>1.3239849930582581</v>
      </c>
      <c r="AE248" s="1673"/>
      <c r="AF248" s="920">
        <f>(4*AF228/(AE228+3*AF228)-1)*100</f>
        <v>-0.9736223964586399</v>
      </c>
      <c r="AG248" s="920">
        <f>(4*AG228/(AE228+AF228+2*AG228)-1)*100</f>
        <v>-1.8792254581416756</v>
      </c>
      <c r="AH248" s="920">
        <f>+(4*AH228/AH229-1)*100</f>
        <v>-1.5795043800255093</v>
      </c>
      <c r="AI248" s="1673"/>
      <c r="AJ248" s="920">
        <f>(4*AJ228/(AI228+3*AJ228)-1)*100</f>
        <v>-0.23895783995745434</v>
      </c>
      <c r="AK248" s="920">
        <f>(4*AK228/(AI228+AJ228+2*AK228)-1)*100</f>
        <v>-1.1433549337400928</v>
      </c>
      <c r="AL248" s="920">
        <f>+(4*AL228/AL229-1)*100</f>
        <v>0.31050673302772669</v>
      </c>
      <c r="AM248" s="1673"/>
      <c r="AN248" s="920">
        <f>(4*AN228/(AM228+3*AN228)-1)*100</f>
        <v>-0.17208375850528146</v>
      </c>
      <c r="AO248" s="920">
        <f>(4*AO228/(AM228+AN228+2*AO228)-1)*100</f>
        <v>0.14913258615778524</v>
      </c>
      <c r="AP248" s="920">
        <f>+(4*AP228/AP229-1)*100</f>
        <v>2.0155839992174629</v>
      </c>
      <c r="AQ248" s="1673"/>
      <c r="AR248" s="920">
        <f>(4*AR228/(AQ228+3*AR228)-1)*100</f>
        <v>1.0000510954292219</v>
      </c>
      <c r="AS248" s="920">
        <f>(4*AS228/(AQ228+AR228+2*AS228)-1)*100</f>
        <v>1.4342361641879631</v>
      </c>
      <c r="AT248" s="920">
        <f>+(4*AT228/AT229-1)*100</f>
        <v>2.9670562946748857</v>
      </c>
      <c r="AU248" s="1673"/>
      <c r="AV248" s="920">
        <f>(4*AV228/(AU228+3*AV228)-1)*100</f>
        <v>0.74031554353581885</v>
      </c>
      <c r="AW248" s="920">
        <f>(4*AW228/(AU228+AV228+2*AW228)-1)*100</f>
        <v>1.5131042684961127</v>
      </c>
      <c r="AX248" s="920">
        <f>+(4*AX228/AX229-1)*100</f>
        <v>4.1623654125363618</v>
      </c>
      <c r="AY248" s="1673"/>
      <c r="AZ248" s="920">
        <f>(4*AZ228/(AY228+3*AZ228)-1)*100</f>
        <v>0.61016984716748546</v>
      </c>
      <c r="BA248" s="920">
        <f>(4*BA228/(AY228+AZ228+2*BA228)-1)*100</f>
        <v>1.6012660925096345</v>
      </c>
      <c r="BB248" s="920">
        <f>+(4*BB228/BB229-1)*100</f>
        <v>4.6627017122676806</v>
      </c>
      <c r="BC248" s="1673"/>
      <c r="BD248" s="920">
        <f>(4*BD228/(BC228+3*BD228)-1)*100</f>
        <v>0.25645768814237524</v>
      </c>
      <c r="BE248" s="920">
        <f>(4*BE228/(BC228+BD228+2*BE228)-1)*100</f>
        <v>2.285470166611292</v>
      </c>
      <c r="BF248" s="920">
        <f>+(4*BF228/BF229-1)*100</f>
        <v>3.4236421419063356</v>
      </c>
      <c r="BG248" s="1673"/>
      <c r="BH248" s="920">
        <f>(4*BH228/(BG228+3*BH228)-1)*100</f>
        <v>-0.12153003682170427</v>
      </c>
      <c r="BI248" s="920">
        <f>(4*BI228/(BG228+BH228+2*BI228)-1)*100</f>
        <v>-0.85578901667201501</v>
      </c>
      <c r="BJ248" s="920">
        <f>+(4*BJ228/BJ229-1)*100</f>
        <v>-5.4653989031917094</v>
      </c>
      <c r="BK248" s="1673"/>
      <c r="BL248" s="920">
        <f>(4*BL228/(BK228+3*BL228)-1)*100</f>
        <v>-1.4787360191731769</v>
      </c>
      <c r="BM248" s="920">
        <f>(4*BM228/(BK228+BL228+2*BM228)-1)*100</f>
        <v>1.210056012477434</v>
      </c>
      <c r="BN248" s="920">
        <f>+(4*BN228/BN229-1)*100</f>
        <v>2.9298697332843737</v>
      </c>
      <c r="BO248" s="1673"/>
      <c r="BP248" s="920">
        <f>(4*BP228/(BO228+3*BP228)-1)*100</f>
        <v>1.1141498455727206</v>
      </c>
      <c r="BQ248" s="920">
        <f>(4*BQ228/(BO228+BP228+2*BQ228)-1)*100</f>
        <v>3.2357897453318962</v>
      </c>
      <c r="BR248" s="920">
        <f>+(4*BR228/BR229-1)*100</f>
        <v>3.3418927317045544</v>
      </c>
      <c r="BS248" s="1673"/>
      <c r="BT248" s="920">
        <f>(4*BT228/(BS228+3*BT228)-1)*100</f>
        <v>0.11909585534322087</v>
      </c>
      <c r="BU248" s="920">
        <f>(4*BU228/(BS228+BT228+2*BU228)-1)*100</f>
        <v>0.19461088259165038</v>
      </c>
      <c r="BV248" s="920">
        <f>+(4*BV228/BV229-1)*100</f>
        <v>-0.78953136415823577</v>
      </c>
      <c r="BW248" s="1673"/>
      <c r="BX248" s="920">
        <f>(4*BX228/(BW228+3*BX228)-1)*100</f>
        <v>-1.6182855964863574E-2</v>
      </c>
      <c r="BY248" s="920">
        <f>(4*BY228/(BW228+BX228+2*BY228)-1)*100</f>
        <v>0.18131186463692384</v>
      </c>
      <c r="BZ248" s="920">
        <f>+(4*BZ228/BZ229-1)*100</f>
        <v>-1.1439427373798439</v>
      </c>
      <c r="CA248" s="1673"/>
      <c r="CB248" s="920">
        <f>(4*CB228/(CA228+3*CB228)-1)*100</f>
        <v>0.54368277828169553</v>
      </c>
      <c r="CC248" s="920">
        <f>(4*CC228/(CA228+CB228+2*CC228)-1)*100</f>
        <v>0.54673712884545367</v>
      </c>
      <c r="CD248" s="920">
        <f>+(4*CD228/CD229-1)*100</f>
        <v>1.0464433584064237</v>
      </c>
      <c r="CE248" s="1673"/>
      <c r="CF248" s="920">
        <f>(4*CF228/(CE228+3*CF228)-1)*100</f>
        <v>0.6670520886581377</v>
      </c>
      <c r="CG248" s="920">
        <f>(4*CG228/(CE228+CF228+2*CG228)-1)*100</f>
        <v>0.48238753063116757</v>
      </c>
      <c r="CH248" s="920">
        <f>+(4*CH228/CH229-1)*100</f>
        <v>2.6064426177975664</v>
      </c>
      <c r="CI248" s="1673"/>
      <c r="CJ248" s="920">
        <f>(4*CJ228/(CI228+3*CJ228)-1)*100</f>
        <v>-0.11212792903523283</v>
      </c>
      <c r="CK248" s="920">
        <f>(4*CK228/(CI228+CJ228+2*CK228)-1)*100</f>
        <v>1.6133082190870729</v>
      </c>
      <c r="CL248" s="920">
        <f>+(4*CL228/CL229-1)*100</f>
        <v>3.3485247160133902</v>
      </c>
      <c r="CM248" s="1673"/>
      <c r="CN248" s="920">
        <f>(4*CN228/(CM228+3*CN228)-1)*100</f>
        <v>-6.4011992512780225E-2</v>
      </c>
      <c r="CO248" s="920">
        <f>(4*CO228/(CM228+CN228+2*CO228)-1)*100</f>
        <v>0.43921047565600446</v>
      </c>
      <c r="CP248" s="920">
        <f>+(4*CP228/CP229-1)*100</f>
        <v>1.3470396160677023</v>
      </c>
      <c r="CQ248" s="1673"/>
      <c r="CR248" s="920">
        <f>(4*CR228/(CQ228+3*CR228)-1)*100</f>
        <v>0.49828091293180332</v>
      </c>
      <c r="CS248" s="920">
        <f>(4*CS228/(CQ228+CR228+2*CS228)-1)*100</f>
        <v>1.0990078970242179</v>
      </c>
      <c r="CT248" s="920">
        <f>+(4*CT228/CT229-1)*100</f>
        <v>1.881991689961926</v>
      </c>
      <c r="CU248" s="1673"/>
      <c r="CV248" s="920">
        <f>(4*CV228/(CU228+3*CV228)-1)*100</f>
        <v>0.19641567171087004</v>
      </c>
      <c r="CW248" s="920">
        <f>(4*CW228/(CU228+CV228+2*CW228)-1)*100</f>
        <v>0.44081477263182567</v>
      </c>
      <c r="CX248" s="920">
        <f>+(4*CX228/CX229-1)*100</f>
        <v>0.68883499522174318</v>
      </c>
      <c r="CY248" s="1673"/>
      <c r="CZ248" s="920">
        <f>(4*CZ228/(CY228+3*CZ228)-1)*100</f>
        <v>0.24567585676353865</v>
      </c>
      <c r="DA248" s="920">
        <f>(4*DA228/(CY228+CZ228+2*DA228)-1)*100</f>
        <v>0.70356163118827642</v>
      </c>
      <c r="DB248" s="920">
        <f>+(4*DB228/DB229-1)*100</f>
        <v>1.3651806098611052</v>
      </c>
      <c r="DC248" s="1673"/>
      <c r="DD248" s="920">
        <f>(4*DD228/(DC228+3*DD228)-1)*100</f>
        <v>0.18397891701058544</v>
      </c>
      <c r="DE248" s="920">
        <f>(4*DE228/(DC228+DD228+2*DE228)-1)*100</f>
        <v>0.4930180837408038</v>
      </c>
      <c r="DF248" s="920">
        <f>+(4*DF228/DF229-1)*100</f>
        <v>0.83124226178241667</v>
      </c>
    </row>
    <row r="249" spans="1:110" ht="30" customHeight="1"/>
    <row r="250" spans="1:110" ht="30" customHeight="1"/>
    <row r="251" spans="1:110" ht="30" customHeight="1">
      <c r="C251" s="3824" t="s">
        <v>1484</v>
      </c>
      <c r="D251" s="3824"/>
      <c r="E251" s="3824"/>
      <c r="F251" s="3824"/>
      <c r="G251" s="3176"/>
    </row>
    <row r="252" spans="1:110">
      <c r="Z252" s="1748"/>
      <c r="AD252" s="1748"/>
      <c r="AH252" s="1748"/>
      <c r="AL252" s="1748"/>
      <c r="AP252" s="1748"/>
      <c r="AT252" s="1748"/>
      <c r="AX252" s="1748"/>
      <c r="BB252" s="1748"/>
      <c r="BF252" s="1748"/>
      <c r="BJ252" s="1748"/>
      <c r="BN252" s="1748"/>
      <c r="BR252" s="1748"/>
      <c r="BV252" s="1748"/>
    </row>
    <row r="253" spans="1:110">
      <c r="G253" s="3820">
        <f ca="1">OFFSET(InputY!$G$3,0,(COLUMN()-7)/4)</f>
        <v>1995</v>
      </c>
      <c r="H253" s="3821"/>
      <c r="I253" s="3821"/>
      <c r="J253" s="3821"/>
      <c r="K253" s="3817">
        <f ca="1">OFFSET(InputY!$G$3,0,(COLUMN()-7)/4)</f>
        <v>1996</v>
      </c>
      <c r="L253" s="3818"/>
      <c r="M253" s="3818"/>
      <c r="N253" s="3819"/>
      <c r="O253" s="3817">
        <f ca="1">OFFSET(InputY!$G$3,0,(COLUMN()-7)/4)</f>
        <v>1997</v>
      </c>
      <c r="P253" s="3818"/>
      <c r="Q253" s="3818"/>
      <c r="R253" s="3819"/>
      <c r="S253" s="3817">
        <f ca="1">OFFSET(InputY!$G$3,0,(COLUMN()-7)/4)</f>
        <v>1998</v>
      </c>
      <c r="T253" s="3818"/>
      <c r="U253" s="3818"/>
      <c r="V253" s="3819"/>
      <c r="W253" s="3817">
        <f ca="1">OFFSET(InputY!$G$3,0,(COLUMN()-7)/4)</f>
        <v>1999</v>
      </c>
      <c r="X253" s="3818"/>
      <c r="Y253" s="3818"/>
      <c r="Z253" s="3819"/>
      <c r="AA253" s="3817">
        <f ca="1">OFFSET(InputY!$G$3,0,(COLUMN()-7)/4)</f>
        <v>2000</v>
      </c>
      <c r="AB253" s="3818"/>
      <c r="AC253" s="3818"/>
      <c r="AD253" s="3819"/>
      <c r="AE253" s="3817">
        <f ca="1">OFFSET(InputY!$G$3,0,(COLUMN()-7)/4)</f>
        <v>2001</v>
      </c>
      <c r="AF253" s="3818"/>
      <c r="AG253" s="3818"/>
      <c r="AH253" s="3819"/>
      <c r="AI253" s="3817">
        <f ca="1">OFFSET(InputY!$G$3,0,(COLUMN()-7)/4)</f>
        <v>2002</v>
      </c>
      <c r="AJ253" s="3818"/>
      <c r="AK253" s="3818"/>
      <c r="AL253" s="3819"/>
      <c r="AM253" s="3817">
        <f ca="1">OFFSET(InputY!$G$3,0,(COLUMN()-7)/4)</f>
        <v>2003</v>
      </c>
      <c r="AN253" s="3818"/>
      <c r="AO253" s="3818"/>
      <c r="AP253" s="3819"/>
      <c r="AQ253" s="3817">
        <f ca="1">OFFSET(InputY!$G$3,0,(COLUMN()-7)/4)</f>
        <v>2004</v>
      </c>
      <c r="AR253" s="3818"/>
      <c r="AS253" s="3818"/>
      <c r="AT253" s="3819"/>
      <c r="AU253" s="3817">
        <f ca="1">OFFSET(InputY!$G$3,0,(COLUMN()-7)/4)</f>
        <v>2005</v>
      </c>
      <c r="AV253" s="3818"/>
      <c r="AW253" s="3818"/>
      <c r="AX253" s="3819"/>
      <c r="AY253" s="3817">
        <f ca="1">OFFSET(InputY!$G$3,0,(COLUMN()-7)/4)</f>
        <v>2006</v>
      </c>
      <c r="AZ253" s="3818"/>
      <c r="BA253" s="3818"/>
      <c r="BB253" s="3819"/>
      <c r="BC253" s="3817">
        <f ca="1">OFFSET(InputY!$G$3,0,(COLUMN()-7)/4)</f>
        <v>2007</v>
      </c>
      <c r="BD253" s="3818"/>
      <c r="BE253" s="3818"/>
      <c r="BF253" s="3819"/>
      <c r="BG253" s="3817">
        <f ca="1">OFFSET(InputY!$G$3,0,(COLUMN()-7)/4)</f>
        <v>2008</v>
      </c>
      <c r="BH253" s="3818"/>
      <c r="BI253" s="3818"/>
      <c r="BJ253" s="3819"/>
      <c r="BK253" s="3817">
        <f ca="1">OFFSET(InputY!$G$3,0,(COLUMN()-7)/4)</f>
        <v>2009</v>
      </c>
      <c r="BL253" s="3818"/>
      <c r="BM253" s="3818"/>
      <c r="BN253" s="3819"/>
      <c r="BO253" s="3817">
        <f ca="1">OFFSET(InputY!$G$3,0,(COLUMN()-7)/4)</f>
        <v>2010</v>
      </c>
      <c r="BP253" s="3818"/>
      <c r="BQ253" s="3818"/>
      <c r="BR253" s="3819"/>
      <c r="BS253" s="3817">
        <f ca="1">OFFSET(InputY!$G$3,0,(COLUMN()-7)/4)</f>
        <v>2011</v>
      </c>
      <c r="BT253" s="3818"/>
      <c r="BU253" s="3818"/>
      <c r="BV253" s="3819"/>
      <c r="BW253" s="3817">
        <f ca="1">OFFSET(InputY!$G$3,0,(COLUMN()-7)/4)</f>
        <v>2012</v>
      </c>
      <c r="BX253" s="3818"/>
      <c r="BY253" s="3818"/>
      <c r="BZ253" s="3819"/>
      <c r="CA253" s="3817">
        <f ca="1">OFFSET(InputY!$G$3,0,(COLUMN()-7)/4)</f>
        <v>2013</v>
      </c>
      <c r="CB253" s="3818"/>
      <c r="CC253" s="3818"/>
      <c r="CD253" s="3819"/>
      <c r="CE253" s="3817">
        <f ca="1">OFFSET(InputY!$G$3,0,(COLUMN()-7)/4)</f>
        <v>2014</v>
      </c>
      <c r="CF253" s="3818"/>
      <c r="CG253" s="3818"/>
      <c r="CH253" s="3819"/>
      <c r="CI253" s="3817">
        <f ca="1">OFFSET(InputY!$G$3,0,(COLUMN()-7)/4)</f>
        <v>2015</v>
      </c>
      <c r="CJ253" s="3818"/>
      <c r="CK253" s="3818"/>
      <c r="CL253" s="3819"/>
      <c r="CM253" s="3817">
        <f ca="1">OFFSET(InputY!$G$3,0,(COLUMN()-7)/4)</f>
        <v>2016</v>
      </c>
      <c r="CN253" s="3818"/>
      <c r="CO253" s="3818"/>
      <c r="CP253" s="3819"/>
      <c r="CQ253" s="3817">
        <f ca="1">OFFSET(InputY!$G$3,0,(COLUMN()-7)/4)</f>
        <v>2017</v>
      </c>
      <c r="CR253" s="3818"/>
      <c r="CS253" s="3818"/>
      <c r="CT253" s="3819"/>
      <c r="CU253" s="3817">
        <f ca="1">OFFSET(InputY!$G$3,0,(COLUMN()-7)/4)</f>
        <v>2018</v>
      </c>
      <c r="CV253" s="3818"/>
      <c r="CW253" s="3818"/>
      <c r="CX253" s="3819"/>
      <c r="CY253" s="3817">
        <f ca="1">OFFSET(InputY!$G$3,0,(COLUMN()-7)/4)</f>
        <v>2019</v>
      </c>
      <c r="CZ253" s="3818"/>
      <c r="DA253" s="3818"/>
      <c r="DB253" s="3819"/>
      <c r="DC253" s="3817">
        <f ca="1">OFFSET(InputY!$G$3,0,(COLUMN()-7)/4)</f>
        <v>2020</v>
      </c>
      <c r="DD253" s="3818"/>
      <c r="DE253" s="3818"/>
      <c r="DF253" s="3819"/>
    </row>
    <row r="254" spans="1:110" s="736" customFormat="1" ht="12.75" customHeight="1">
      <c r="A254" s="701"/>
      <c r="B254" s="701"/>
      <c r="C254" s="703"/>
      <c r="D254" s="732"/>
      <c r="E254" s="733" t="s">
        <v>214</v>
      </c>
      <c r="F254" s="734"/>
      <c r="G254" s="1618" t="s">
        <v>131</v>
      </c>
      <c r="H254" s="1619" t="s">
        <v>132</v>
      </c>
      <c r="I254" s="1619" t="s">
        <v>133</v>
      </c>
      <c r="J254" s="1620" t="s">
        <v>134</v>
      </c>
      <c r="K254" s="1618" t="s">
        <v>131</v>
      </c>
      <c r="L254" s="1619" t="s">
        <v>132</v>
      </c>
      <c r="M254" s="1619" t="s">
        <v>133</v>
      </c>
      <c r="N254" s="1620" t="s">
        <v>134</v>
      </c>
      <c r="O254" s="1618" t="s">
        <v>131</v>
      </c>
      <c r="P254" s="1619" t="s">
        <v>132</v>
      </c>
      <c r="Q254" s="1619" t="s">
        <v>133</v>
      </c>
      <c r="R254" s="1620" t="s">
        <v>134</v>
      </c>
      <c r="S254" s="1618" t="s">
        <v>131</v>
      </c>
      <c r="T254" s="1619" t="s">
        <v>132</v>
      </c>
      <c r="U254" s="1619" t="s">
        <v>133</v>
      </c>
      <c r="V254" s="1620" t="s">
        <v>134</v>
      </c>
      <c r="W254" s="1618" t="s">
        <v>131</v>
      </c>
      <c r="X254" s="1619" t="s">
        <v>132</v>
      </c>
      <c r="Y254" s="1619" t="s">
        <v>133</v>
      </c>
      <c r="Z254" s="1620" t="s">
        <v>134</v>
      </c>
      <c r="AA254" s="1618" t="s">
        <v>131</v>
      </c>
      <c r="AB254" s="1619" t="s">
        <v>132</v>
      </c>
      <c r="AC254" s="1619" t="s">
        <v>133</v>
      </c>
      <c r="AD254" s="1620" t="s">
        <v>134</v>
      </c>
      <c r="AE254" s="1618" t="s">
        <v>131</v>
      </c>
      <c r="AF254" s="1619" t="s">
        <v>132</v>
      </c>
      <c r="AG254" s="1619" t="s">
        <v>133</v>
      </c>
      <c r="AH254" s="1620" t="s">
        <v>134</v>
      </c>
      <c r="AI254" s="1618" t="s">
        <v>131</v>
      </c>
      <c r="AJ254" s="1619" t="s">
        <v>132</v>
      </c>
      <c r="AK254" s="1619" t="s">
        <v>133</v>
      </c>
      <c r="AL254" s="1620" t="s">
        <v>134</v>
      </c>
      <c r="AM254" s="1618" t="s">
        <v>131</v>
      </c>
      <c r="AN254" s="1619" t="s">
        <v>132</v>
      </c>
      <c r="AO254" s="1619" t="s">
        <v>133</v>
      </c>
      <c r="AP254" s="1620" t="s">
        <v>134</v>
      </c>
      <c r="AQ254" s="1618" t="s">
        <v>131</v>
      </c>
      <c r="AR254" s="1619" t="s">
        <v>132</v>
      </c>
      <c r="AS254" s="1619" t="s">
        <v>133</v>
      </c>
      <c r="AT254" s="1620" t="s">
        <v>134</v>
      </c>
      <c r="AU254" s="1618" t="s">
        <v>131</v>
      </c>
      <c r="AV254" s="1619" t="s">
        <v>132</v>
      </c>
      <c r="AW254" s="1619" t="s">
        <v>133</v>
      </c>
      <c r="AX254" s="1620" t="s">
        <v>134</v>
      </c>
      <c r="AY254" s="1618" t="s">
        <v>131</v>
      </c>
      <c r="AZ254" s="1619" t="s">
        <v>132</v>
      </c>
      <c r="BA254" s="1619" t="s">
        <v>133</v>
      </c>
      <c r="BB254" s="1620" t="s">
        <v>134</v>
      </c>
      <c r="BC254" s="1618" t="s">
        <v>131</v>
      </c>
      <c r="BD254" s="1619" t="s">
        <v>132</v>
      </c>
      <c r="BE254" s="1619" t="s">
        <v>133</v>
      </c>
      <c r="BF254" s="1620" t="s">
        <v>134</v>
      </c>
      <c r="BG254" s="1618" t="s">
        <v>131</v>
      </c>
      <c r="BH254" s="1619" t="s">
        <v>132</v>
      </c>
      <c r="BI254" s="1619" t="s">
        <v>133</v>
      </c>
      <c r="BJ254" s="1620" t="s">
        <v>134</v>
      </c>
      <c r="BK254" s="1618" t="s">
        <v>131</v>
      </c>
      <c r="BL254" s="1619" t="s">
        <v>132</v>
      </c>
      <c r="BM254" s="1619" t="s">
        <v>133</v>
      </c>
      <c r="BN254" s="1620" t="s">
        <v>134</v>
      </c>
      <c r="BO254" s="1618" t="s">
        <v>131</v>
      </c>
      <c r="BP254" s="1619" t="s">
        <v>132</v>
      </c>
      <c r="BQ254" s="1619" t="s">
        <v>133</v>
      </c>
      <c r="BR254" s="1620" t="s">
        <v>134</v>
      </c>
      <c r="BS254" s="1618" t="s">
        <v>131</v>
      </c>
      <c r="BT254" s="1619" t="s">
        <v>132</v>
      </c>
      <c r="BU254" s="1619" t="s">
        <v>133</v>
      </c>
      <c r="BV254" s="1620" t="s">
        <v>134</v>
      </c>
      <c r="BW254" s="1618" t="s">
        <v>131</v>
      </c>
      <c r="BX254" s="1619" t="s">
        <v>132</v>
      </c>
      <c r="BY254" s="1619" t="s">
        <v>133</v>
      </c>
      <c r="BZ254" s="1620" t="s">
        <v>134</v>
      </c>
      <c r="CA254" s="1618" t="s">
        <v>131</v>
      </c>
      <c r="CB254" s="1619" t="s">
        <v>132</v>
      </c>
      <c r="CC254" s="1619" t="s">
        <v>133</v>
      </c>
      <c r="CD254" s="1620" t="s">
        <v>134</v>
      </c>
      <c r="CE254" s="1618" t="s">
        <v>131</v>
      </c>
      <c r="CF254" s="1619" t="s">
        <v>132</v>
      </c>
      <c r="CG254" s="1619" t="s">
        <v>133</v>
      </c>
      <c r="CH254" s="1620" t="s">
        <v>134</v>
      </c>
      <c r="CI254" s="1618" t="s">
        <v>131</v>
      </c>
      <c r="CJ254" s="1619" t="s">
        <v>132</v>
      </c>
      <c r="CK254" s="1619" t="s">
        <v>133</v>
      </c>
      <c r="CL254" s="1620" t="s">
        <v>134</v>
      </c>
      <c r="CM254" s="1618" t="s">
        <v>131</v>
      </c>
      <c r="CN254" s="1619" t="s">
        <v>132</v>
      </c>
      <c r="CO254" s="1619" t="s">
        <v>133</v>
      </c>
      <c r="CP254" s="1620" t="s">
        <v>134</v>
      </c>
      <c r="CQ254" s="1618" t="s">
        <v>131</v>
      </c>
      <c r="CR254" s="1619" t="s">
        <v>132</v>
      </c>
      <c r="CS254" s="1619" t="s">
        <v>133</v>
      </c>
      <c r="CT254" s="1620" t="s">
        <v>134</v>
      </c>
      <c r="CU254" s="1618" t="s">
        <v>131</v>
      </c>
      <c r="CV254" s="1619" t="s">
        <v>132</v>
      </c>
      <c r="CW254" s="1619" t="s">
        <v>133</v>
      </c>
      <c r="CX254" s="1620" t="s">
        <v>134</v>
      </c>
      <c r="CY254" s="1618" t="s">
        <v>131</v>
      </c>
      <c r="CZ254" s="1619" t="s">
        <v>132</v>
      </c>
      <c r="DA254" s="1619" t="s">
        <v>133</v>
      </c>
      <c r="DB254" s="1620" t="s">
        <v>134</v>
      </c>
      <c r="DC254" s="1618" t="s">
        <v>131</v>
      </c>
      <c r="DD254" s="1619" t="s">
        <v>132</v>
      </c>
      <c r="DE254" s="1619" t="s">
        <v>133</v>
      </c>
      <c r="DF254" s="1620" t="s">
        <v>134</v>
      </c>
    </row>
    <row r="255" spans="1:110" s="736" customFormat="1" ht="12.75" customHeight="1">
      <c r="A255" s="701"/>
      <c r="B255" s="701"/>
      <c r="C255" s="1611" t="s">
        <v>1791</v>
      </c>
      <c r="D255" s="705"/>
      <c r="E255" s="737" t="str">
        <f>E201</f>
        <v xml:space="preserve">Final demand                                                                    </v>
      </c>
      <c r="F255" s="738"/>
      <c r="G255" s="817">
        <f>G201</f>
        <v>769.67969999999991</v>
      </c>
      <c r="H255" s="817">
        <f t="shared" ref="H255:AX255" si="1049">H201</f>
        <v>776.30259999999998</v>
      </c>
      <c r="I255" s="817">
        <f t="shared" si="1049"/>
        <v>775.63110000000006</v>
      </c>
      <c r="J255" s="817">
        <f t="shared" si="1049"/>
        <v>783.85400000000004</v>
      </c>
      <c r="K255" s="817">
        <f t="shared" si="1049"/>
        <v>784.35749999999996</v>
      </c>
      <c r="L255" s="817">
        <f t="shared" si="1049"/>
        <v>792.98380000000009</v>
      </c>
      <c r="M255" s="817">
        <f t="shared" si="1049"/>
        <v>797.26909999999998</v>
      </c>
      <c r="N255" s="817">
        <f t="shared" si="1049"/>
        <v>809.40459999999996</v>
      </c>
      <c r="O255" s="817">
        <f>O201</f>
        <v>813.53189999999995</v>
      </c>
      <c r="P255" s="817">
        <f>P201</f>
        <v>835.96349999999995</v>
      </c>
      <c r="Q255" s="817">
        <f>Q201</f>
        <v>837.29769999999996</v>
      </c>
      <c r="R255" s="817">
        <f>R201</f>
        <v>852.27149999999995</v>
      </c>
      <c r="S255" s="817">
        <f t="shared" si="1049"/>
        <v>861.12300000000005</v>
      </c>
      <c r="T255" s="817">
        <f t="shared" si="1049"/>
        <v>872.48660000000007</v>
      </c>
      <c r="U255" s="817">
        <f t="shared" si="1049"/>
        <v>887.22410000000013</v>
      </c>
      <c r="V255" s="817">
        <f t="shared" si="1049"/>
        <v>902.20399999999995</v>
      </c>
      <c r="W255" s="817">
        <f t="shared" si="1049"/>
        <v>904.79309999999998</v>
      </c>
      <c r="X255" s="817">
        <f t="shared" si="1049"/>
        <v>911.94240000000002</v>
      </c>
      <c r="Y255" s="817">
        <f t="shared" si="1049"/>
        <v>929.64710000000002</v>
      </c>
      <c r="Z255" s="817">
        <f t="shared" si="1049"/>
        <v>940.01379999999995</v>
      </c>
      <c r="AA255" s="817">
        <f t="shared" si="1049"/>
        <v>949.60690000000011</v>
      </c>
      <c r="AB255" s="817">
        <f t="shared" si="1049"/>
        <v>976.63539999999989</v>
      </c>
      <c r="AC255" s="817">
        <f t="shared" si="1049"/>
        <v>992.33679999999993</v>
      </c>
      <c r="AD255" s="817">
        <f t="shared" si="1049"/>
        <v>997.59260000000006</v>
      </c>
      <c r="AE255" s="817">
        <f t="shared" si="1049"/>
        <v>985.37300000000005</v>
      </c>
      <c r="AF255" s="817">
        <f t="shared" si="1049"/>
        <v>984.33139999999992</v>
      </c>
      <c r="AG255" s="817">
        <f t="shared" si="1049"/>
        <v>989.17110000000002</v>
      </c>
      <c r="AH255" s="817">
        <f t="shared" si="1049"/>
        <v>998.82650000000001</v>
      </c>
      <c r="AI255" s="817">
        <f t="shared" si="1049"/>
        <v>993.39880000000005</v>
      </c>
      <c r="AJ255" s="817">
        <f t="shared" si="1049"/>
        <v>1008.2251000000001</v>
      </c>
      <c r="AK255" s="817">
        <f t="shared" si="1049"/>
        <v>997.46219999999994</v>
      </c>
      <c r="AL255" s="817">
        <f t="shared" si="1049"/>
        <v>1010.3711999999999</v>
      </c>
      <c r="AM255" s="817">
        <f t="shared" si="1049"/>
        <v>1022.2801000000001</v>
      </c>
      <c r="AN255" s="817">
        <f t="shared" si="1049"/>
        <v>1021.5441999999999</v>
      </c>
      <c r="AO255" s="817">
        <f t="shared" si="1049"/>
        <v>1032.165</v>
      </c>
      <c r="AP255" s="817">
        <f t="shared" si="1049"/>
        <v>1042.6584999999998</v>
      </c>
      <c r="AQ255" s="817">
        <f>AQ201</f>
        <v>1057.3931</v>
      </c>
      <c r="AR255" s="817">
        <f>AR201</f>
        <v>1075.9267</v>
      </c>
      <c r="AS255" s="817">
        <f>AS201</f>
        <v>1079.5150000000001</v>
      </c>
      <c r="AT255" s="817">
        <f>AT201</f>
        <v>1090.4449999999999</v>
      </c>
      <c r="AU255" s="817">
        <f t="shared" si="1049"/>
        <v>1094.3385000000001</v>
      </c>
      <c r="AV255" s="817">
        <f t="shared" si="1049"/>
        <v>1111.4056</v>
      </c>
      <c r="AW255" s="817">
        <f t="shared" si="1049"/>
        <v>1131.9878000000001</v>
      </c>
      <c r="AX255" s="817">
        <f t="shared" si="1049"/>
        <v>1134.2413999999999</v>
      </c>
      <c r="AY255" s="817">
        <f t="shared" ref="AY255:BD255" si="1050">AY201</f>
        <v>1159.4181000000001</v>
      </c>
      <c r="AZ255" s="817">
        <f t="shared" si="1050"/>
        <v>1173.3334</v>
      </c>
      <c r="BA255" s="817">
        <f t="shared" si="1050"/>
        <v>1186.5946000000001</v>
      </c>
      <c r="BB255" s="817">
        <f t="shared" si="1050"/>
        <v>1211.7958000000001</v>
      </c>
      <c r="BC255" s="817">
        <f t="shared" si="1050"/>
        <v>1212.2829999999999</v>
      </c>
      <c r="BD255" s="817">
        <f t="shared" si="1050"/>
        <v>1226.5188999999998</v>
      </c>
      <c r="BE255" s="817">
        <f t="shared" ref="BE255:BZ255" si="1051">BE201</f>
        <v>1236.1524999999999</v>
      </c>
      <c r="BF255" s="817">
        <f t="shared" si="1051"/>
        <v>1261.0731000000001</v>
      </c>
      <c r="BG255" s="817">
        <f t="shared" si="1051"/>
        <v>1265.2799</v>
      </c>
      <c r="BH255" s="817">
        <f t="shared" si="1051"/>
        <v>1253.7722000000001</v>
      </c>
      <c r="BI255" s="817">
        <f t="shared" si="1051"/>
        <v>1244.5869</v>
      </c>
      <c r="BJ255" s="817">
        <f t="shared" si="1051"/>
        <v>1212.8652</v>
      </c>
      <c r="BK255" s="817">
        <f t="shared" si="1051"/>
        <v>1163.0327999999997</v>
      </c>
      <c r="BL255" s="817">
        <f t="shared" si="1051"/>
        <v>1152.4416999999999</v>
      </c>
      <c r="BM255" s="817">
        <f t="shared" si="1051"/>
        <v>1160.7891000000002</v>
      </c>
      <c r="BN255" s="817">
        <f t="shared" si="1051"/>
        <v>1169.7841000000001</v>
      </c>
      <c r="BO255" s="817">
        <f t="shared" ref="BO255:BV255" si="1052">BO201</f>
        <v>1189.8689000000002</v>
      </c>
      <c r="BP255" s="817">
        <f t="shared" si="1052"/>
        <v>1218.9853000000001</v>
      </c>
      <c r="BQ255" s="817">
        <f t="shared" si="1052"/>
        <v>1244.5362000000002</v>
      </c>
      <c r="BR255" s="817">
        <f t="shared" si="1052"/>
        <v>1267.7067</v>
      </c>
      <c r="BS255" s="817">
        <f t="shared" si="1052"/>
        <v>1264.5222999999999</v>
      </c>
      <c r="BT255" s="817">
        <f t="shared" si="1052"/>
        <v>1281.4012999999998</v>
      </c>
      <c r="BU255" s="817">
        <f t="shared" si="1052"/>
        <v>1291.7719</v>
      </c>
      <c r="BV255" s="817">
        <f t="shared" si="1052"/>
        <v>1268.3409999999999</v>
      </c>
      <c r="BW255" s="817">
        <f t="shared" si="1051"/>
        <v>1293.0025000000001</v>
      </c>
      <c r="BX255" s="817">
        <f t="shared" si="1051"/>
        <v>1296.8003999999999</v>
      </c>
      <c r="BY255" s="817">
        <f t="shared" si="1051"/>
        <v>1286.7142000000001</v>
      </c>
      <c r="BZ255" s="817">
        <f t="shared" si="1051"/>
        <v>1287.4737000000002</v>
      </c>
      <c r="CA255" s="817">
        <f t="shared" ref="CA255:CL255" si="1053">CA201</f>
        <v>1287.0596</v>
      </c>
      <c r="CB255" s="817">
        <f t="shared" si="1053"/>
        <v>1296.9456</v>
      </c>
      <c r="CC255" s="817">
        <f t="shared" si="1053"/>
        <v>1307.7104999999999</v>
      </c>
      <c r="CD255" s="817">
        <f t="shared" si="1053"/>
        <v>1306.2256</v>
      </c>
      <c r="CE255" s="817">
        <f>CE201</f>
        <v>1329.9278999999999</v>
      </c>
      <c r="CF255" s="817">
        <f>CF201</f>
        <v>1343.2701000000002</v>
      </c>
      <c r="CG255" s="817">
        <f t="shared" si="1053"/>
        <v>1350.0981999999999</v>
      </c>
      <c r="CH255" s="817">
        <f>CH201</f>
        <v>1367.9131</v>
      </c>
      <c r="CI255" s="817">
        <f>CI201</f>
        <v>1379.4536000000001</v>
      </c>
      <c r="CJ255" s="817">
        <f>CJ201</f>
        <v>1390.2858000000001</v>
      </c>
      <c r="CK255" s="817">
        <f t="shared" si="1053"/>
        <v>1410.8444999999999</v>
      </c>
      <c r="CL255" s="817">
        <f t="shared" si="1053"/>
        <v>1433.2643</v>
      </c>
      <c r="CM255" s="817">
        <f>CM201</f>
        <v>1434.3072000000002</v>
      </c>
      <c r="CN255" s="817">
        <f>CN201</f>
        <v>1436.2905000000001</v>
      </c>
      <c r="CO255" s="817">
        <f t="shared" ref="CO255:CP255" si="1054">CO201</f>
        <v>1449.5244</v>
      </c>
      <c r="CP255" s="817">
        <f t="shared" si="1054"/>
        <v>1460.529</v>
      </c>
      <c r="CQ255" s="817">
        <f>CQ201</f>
        <v>1465.8425</v>
      </c>
      <c r="CR255" s="817">
        <f>CR201</f>
        <v>1486.7094999999999</v>
      </c>
      <c r="CS255" s="817">
        <f t="shared" ref="CS255:CT255" si="1055">CS201</f>
        <v>1498.1587</v>
      </c>
      <c r="CT255" s="817">
        <f t="shared" si="1055"/>
        <v>1510.5546999999999</v>
      </c>
      <c r="CU255" s="817">
        <f t="shared" ref="CU255:CX255" si="1056">CU201</f>
        <v>1519.2178999999999</v>
      </c>
      <c r="CV255" s="817">
        <f>CV201</f>
        <v>1524.4607999999998</v>
      </c>
      <c r="CW255" s="817">
        <f t="shared" si="1056"/>
        <v>1529.6444030061141</v>
      </c>
      <c r="CX255" s="817">
        <f t="shared" si="1056"/>
        <v>1535.5121544147007</v>
      </c>
      <c r="CY255" s="817">
        <f t="shared" ref="CY255:DB255" si="1057">CY201</f>
        <v>1546.6586616931199</v>
      </c>
      <c r="CZ255" s="817">
        <f t="shared" si="1057"/>
        <v>1555.8777650874908</v>
      </c>
      <c r="DA255" s="817">
        <f t="shared" si="1057"/>
        <v>1563.1030271078689</v>
      </c>
      <c r="DB255" s="817">
        <f t="shared" si="1057"/>
        <v>1570.4342398711431</v>
      </c>
      <c r="DC255" s="817">
        <f t="shared" ref="DC255:DF255" si="1058">DC201</f>
        <v>1581.2990656771415</v>
      </c>
      <c r="DD255" s="817">
        <f t="shared" si="1058"/>
        <v>1591.7416256884608</v>
      </c>
      <c r="DE255" s="817">
        <f t="shared" si="1058"/>
        <v>1600.5328115048032</v>
      </c>
      <c r="DF255" s="817">
        <f t="shared" si="1058"/>
        <v>1607.4770339238037</v>
      </c>
    </row>
    <row r="256" spans="1:110" s="736" customFormat="1" ht="12.75" customHeight="1">
      <c r="A256" s="701"/>
      <c r="B256" s="701"/>
      <c r="C256" s="1612" t="s">
        <v>301</v>
      </c>
      <c r="D256" s="711"/>
      <c r="E256" s="820" t="s">
        <v>1418</v>
      </c>
      <c r="F256" s="741"/>
      <c r="G256" s="743">
        <f>G227</f>
        <v>171.60410000000002</v>
      </c>
      <c r="H256" s="743">
        <f t="shared" ref="H256:BI256" si="1059">H227</f>
        <v>174.011</v>
      </c>
      <c r="I256" s="743">
        <f t="shared" si="1059"/>
        <v>177.2296</v>
      </c>
      <c r="J256" s="743">
        <f t="shared" si="1059"/>
        <v>176.9992</v>
      </c>
      <c r="K256" s="743">
        <f t="shared" si="1059"/>
        <v>176.17750000000001</v>
      </c>
      <c r="L256" s="743">
        <f t="shared" si="1059"/>
        <v>178.57040000000001</v>
      </c>
      <c r="M256" s="743">
        <f t="shared" si="1059"/>
        <v>181.2294</v>
      </c>
      <c r="N256" s="743">
        <f t="shared" si="1059"/>
        <v>187.9425</v>
      </c>
      <c r="O256" s="743">
        <f t="shared" si="1059"/>
        <v>194.0891</v>
      </c>
      <c r="P256" s="743">
        <f t="shared" si="1059"/>
        <v>203.11410000000001</v>
      </c>
      <c r="Q256" s="743">
        <f t="shared" si="1059"/>
        <v>206.30799999999999</v>
      </c>
      <c r="R256" s="743">
        <f t="shared" si="1059"/>
        <v>213.03110000000001</v>
      </c>
      <c r="S256" s="743">
        <f t="shared" si="1059"/>
        <v>223.17939999999999</v>
      </c>
      <c r="T256" s="743">
        <f t="shared" si="1059"/>
        <v>226.316</v>
      </c>
      <c r="U256" s="743">
        <f t="shared" si="1059"/>
        <v>227.55600000000001</v>
      </c>
      <c r="V256" s="743">
        <f t="shared" si="1059"/>
        <v>230.51060000000001</v>
      </c>
      <c r="W256" s="743">
        <f t="shared" si="1059"/>
        <v>231.69129999999998</v>
      </c>
      <c r="X256" s="743">
        <f t="shared" si="1059"/>
        <v>233.6215</v>
      </c>
      <c r="Y256" s="743">
        <f t="shared" si="1059"/>
        <v>240.25060000000002</v>
      </c>
      <c r="Z256" s="743">
        <f t="shared" si="1059"/>
        <v>244.83970000000002</v>
      </c>
      <c r="AA256" s="743">
        <f t="shared" si="1059"/>
        <v>254.24639999999999</v>
      </c>
      <c r="AB256" s="743">
        <f t="shared" si="1059"/>
        <v>265.18579999999997</v>
      </c>
      <c r="AC256" s="743">
        <f t="shared" si="1059"/>
        <v>275.47459999999995</v>
      </c>
      <c r="AD256" s="743">
        <f t="shared" si="1059"/>
        <v>269.66720000000004</v>
      </c>
      <c r="AE256" s="743">
        <f t="shared" si="1059"/>
        <v>271.74670000000003</v>
      </c>
      <c r="AF256" s="743">
        <f t="shared" si="1059"/>
        <v>261.46389999999997</v>
      </c>
      <c r="AG256" s="743">
        <f t="shared" si="1059"/>
        <v>256.76990000000001</v>
      </c>
      <c r="AH256" s="743">
        <f t="shared" si="1059"/>
        <v>257.81020000000001</v>
      </c>
      <c r="AI256" s="743">
        <f t="shared" si="1059"/>
        <v>261.52019999999999</v>
      </c>
      <c r="AJ256" s="743">
        <f t="shared" si="1059"/>
        <v>259.03829999999999</v>
      </c>
      <c r="AK256" s="743">
        <f t="shared" si="1059"/>
        <v>254.3947</v>
      </c>
      <c r="AL256" s="743">
        <f t="shared" si="1059"/>
        <v>259.38830000000002</v>
      </c>
      <c r="AM256" s="743">
        <f t="shared" si="1059"/>
        <v>267.7133</v>
      </c>
      <c r="AN256" s="743">
        <f t="shared" si="1059"/>
        <v>265.88</v>
      </c>
      <c r="AO256" s="743">
        <f t="shared" si="1059"/>
        <v>267.59359999999998</v>
      </c>
      <c r="AP256" s="743">
        <f t="shared" si="1059"/>
        <v>274.28800000000001</v>
      </c>
      <c r="AQ256" s="743">
        <f t="shared" si="1059"/>
        <v>273.37040000000002</v>
      </c>
      <c r="AR256" s="743">
        <f t="shared" si="1059"/>
        <v>284.64400000000001</v>
      </c>
      <c r="AS256" s="743">
        <f t="shared" si="1059"/>
        <v>287.12690000000003</v>
      </c>
      <c r="AT256" s="743">
        <f t="shared" si="1059"/>
        <v>292.9699</v>
      </c>
      <c r="AU256" s="743">
        <f t="shared" si="1059"/>
        <v>292.64749999999998</v>
      </c>
      <c r="AV256" s="743">
        <f t="shared" si="1059"/>
        <v>301.5104</v>
      </c>
      <c r="AW256" s="743">
        <f t="shared" si="1059"/>
        <v>306.20729999999998</v>
      </c>
      <c r="AX256" s="743">
        <f t="shared" si="1059"/>
        <v>317.01229999999998</v>
      </c>
      <c r="AY256" s="743">
        <f t="shared" si="1059"/>
        <v>318.14150000000001</v>
      </c>
      <c r="AZ256" s="743">
        <f t="shared" si="1059"/>
        <v>326.05109999999996</v>
      </c>
      <c r="BA256" s="743">
        <f t="shared" si="1059"/>
        <v>332.57940000000002</v>
      </c>
      <c r="BB256" s="743">
        <f t="shared" si="1059"/>
        <v>346.15199999999999</v>
      </c>
      <c r="BC256" s="743">
        <f t="shared" si="1059"/>
        <v>345.59429999999998</v>
      </c>
      <c r="BD256" s="743">
        <f t="shared" si="1059"/>
        <v>349.16699999999997</v>
      </c>
      <c r="BE256" s="743">
        <f t="shared" si="1059"/>
        <v>363.63059999999996</v>
      </c>
      <c r="BF256" s="743">
        <f t="shared" si="1059"/>
        <v>369.08790000000005</v>
      </c>
      <c r="BG256" s="743">
        <f t="shared" si="1059"/>
        <v>379.10270000000003</v>
      </c>
      <c r="BH256" s="743">
        <f t="shared" si="1059"/>
        <v>377.26650000000001</v>
      </c>
      <c r="BI256" s="743">
        <f t="shared" si="1059"/>
        <v>371.76659999999998</v>
      </c>
      <c r="BJ256" s="743">
        <f t="shared" ref="BJ256:BR256" si="1060">BJ227</f>
        <v>349.13240000000002</v>
      </c>
      <c r="BK256" s="743">
        <f t="shared" si="1060"/>
        <v>321.08920000000001</v>
      </c>
      <c r="BL256" s="743">
        <f t="shared" si="1060"/>
        <v>302.90370000000001</v>
      </c>
      <c r="BM256" s="743">
        <f t="shared" si="1060"/>
        <v>319.63959999999997</v>
      </c>
      <c r="BN256" s="743">
        <f t="shared" si="1060"/>
        <v>326.95299999999997</v>
      </c>
      <c r="BO256" s="743">
        <f t="shared" si="1060"/>
        <v>337.3732</v>
      </c>
      <c r="BP256" s="743">
        <f t="shared" si="1060"/>
        <v>352.92849999999999</v>
      </c>
      <c r="BQ256" s="743">
        <f t="shared" si="1060"/>
        <v>368.23450000000003</v>
      </c>
      <c r="BR256" s="743">
        <f t="shared" si="1060"/>
        <v>368.7448</v>
      </c>
      <c r="BS256" s="743">
        <f t="shared" ref="BS256:BZ256" si="1061">BS227</f>
        <v>382.83459999999997</v>
      </c>
      <c r="BT256" s="743">
        <f t="shared" si="1061"/>
        <v>384.66490000000005</v>
      </c>
      <c r="BU256" s="743">
        <f t="shared" si="1061"/>
        <v>385.24629999999996</v>
      </c>
      <c r="BV256" s="743">
        <f t="shared" si="1061"/>
        <v>380.21420000000001</v>
      </c>
      <c r="BW256" s="743">
        <f t="shared" si="1061"/>
        <v>388.2534</v>
      </c>
      <c r="BX256" s="743">
        <f t="shared" si="1061"/>
        <v>388.00220000000002</v>
      </c>
      <c r="BY256" s="743">
        <f t="shared" si="1061"/>
        <v>389.53779999999995</v>
      </c>
      <c r="BZ256" s="743">
        <f t="shared" si="1061"/>
        <v>382.69319999999993</v>
      </c>
      <c r="CA256" s="743">
        <f t="shared" ref="CA256:CF256" si="1062">CA227</f>
        <v>379.55659999999995</v>
      </c>
      <c r="CB256" s="743">
        <f t="shared" si="1062"/>
        <v>387.94779999999992</v>
      </c>
      <c r="CC256" s="743">
        <f t="shared" si="1062"/>
        <v>387.97149999999993</v>
      </c>
      <c r="CD256" s="743">
        <f t="shared" si="1062"/>
        <v>390.55139999999994</v>
      </c>
      <c r="CE256" s="743">
        <f t="shared" si="1062"/>
        <v>401.05869999999987</v>
      </c>
      <c r="CF256" s="743">
        <f t="shared" si="1062"/>
        <v>411.97829999999982</v>
      </c>
      <c r="CG256" s="743">
        <f t="shared" ref="CG256:CL256" si="1063">CG227</f>
        <v>410.45949999999982</v>
      </c>
      <c r="CH256" s="743">
        <f t="shared" si="1063"/>
        <v>422.12959999999981</v>
      </c>
      <c r="CI256" s="743">
        <f t="shared" si="1063"/>
        <v>422.94539999999989</v>
      </c>
      <c r="CJ256" s="743">
        <f t="shared" si="1063"/>
        <v>421.05479999999989</v>
      </c>
      <c r="CK256" s="743">
        <f t="shared" si="1063"/>
        <v>435.83969999999988</v>
      </c>
      <c r="CL256" s="743">
        <f t="shared" si="1063"/>
        <v>445.87529999999987</v>
      </c>
      <c r="CM256" s="743">
        <f t="shared" ref="CM256:CN256" si="1064">CM227</f>
        <v>445.73189999999988</v>
      </c>
      <c r="CN256" s="743">
        <f t="shared" si="1064"/>
        <v>444.5927999999999</v>
      </c>
      <c r="CO256" s="743">
        <f t="shared" ref="CO256:CR256" si="1065">CO227</f>
        <v>449.08999999999986</v>
      </c>
      <c r="CP256" s="743">
        <f t="shared" si="1065"/>
        <v>454.52659999999992</v>
      </c>
      <c r="CQ256" s="743">
        <f t="shared" si="1065"/>
        <v>460.40519999999998</v>
      </c>
      <c r="CR256" s="743">
        <f t="shared" si="1065"/>
        <v>469.72090000000003</v>
      </c>
      <c r="CS256" s="743">
        <f t="shared" ref="CS256:CT256" si="1066">CS227</f>
        <v>475.39879999999999</v>
      </c>
      <c r="CT256" s="743">
        <f t="shared" si="1066"/>
        <v>480.33890000000002</v>
      </c>
      <c r="CU256" s="743">
        <f t="shared" ref="CU256:CX256" si="1067">CU227</f>
        <v>484.57610000000005</v>
      </c>
      <c r="CV256" s="743">
        <f t="shared" si="1067"/>
        <v>488.4058</v>
      </c>
      <c r="CW256" s="743">
        <f t="shared" si="1067"/>
        <v>490.79898841999994</v>
      </c>
      <c r="CX256" s="743">
        <f t="shared" si="1067"/>
        <v>492.41862508178599</v>
      </c>
      <c r="CY256" s="743">
        <f t="shared" ref="CY256:DB256" si="1068">CY227</f>
        <v>497.58902064514473</v>
      </c>
      <c r="CZ256" s="743">
        <f t="shared" si="1068"/>
        <v>502.51515194953168</v>
      </c>
      <c r="DA256" s="743">
        <f t="shared" si="1068"/>
        <v>507.13829134746743</v>
      </c>
      <c r="DB256" s="743">
        <f t="shared" si="1068"/>
        <v>511.60110831132511</v>
      </c>
      <c r="DC256" s="743">
        <f t="shared" ref="DC256:DF256" si="1069">DC227</f>
        <v>515.54043684532235</v>
      </c>
      <c r="DD256" s="743">
        <f t="shared" si="1069"/>
        <v>519.35543607797774</v>
      </c>
      <c r="DE256" s="743">
        <f t="shared" si="1069"/>
        <v>522.5754397816612</v>
      </c>
      <c r="DF256" s="743">
        <f t="shared" si="1069"/>
        <v>524.92702926067864</v>
      </c>
    </row>
    <row r="257" spans="1:110" s="2021" customFormat="1" ht="12.75" customHeight="1">
      <c r="A257" s="2018"/>
      <c r="B257" s="2018"/>
      <c r="C257" s="3163" t="s">
        <v>1791</v>
      </c>
      <c r="D257" s="715"/>
      <c r="E257" s="827" t="s">
        <v>441</v>
      </c>
      <c r="F257" s="828"/>
      <c r="G257" s="3164">
        <f>+G258-G255+G256</f>
        <v>-3.3922999999998638</v>
      </c>
      <c r="H257" s="3164">
        <f>+H258-H255+H256</f>
        <v>-4.454799999999949</v>
      </c>
      <c r="I257" s="3164">
        <f t="shared" ref="I257:BJ257" si="1070">+I258-I255+I256</f>
        <v>1.5826999999999316</v>
      </c>
      <c r="J257" s="3164">
        <f t="shared" si="1070"/>
        <v>1.1462999999999113</v>
      </c>
      <c r="K257" s="3164">
        <f t="shared" si="1070"/>
        <v>2.0716999999999643</v>
      </c>
      <c r="L257" s="3164">
        <f t="shared" si="1070"/>
        <v>-8.7525000000001114</v>
      </c>
      <c r="M257" s="3164">
        <f t="shared" si="1070"/>
        <v>-7.4916000000000054</v>
      </c>
      <c r="N257" s="3164">
        <f t="shared" si="1070"/>
        <v>-8.3751999999999498</v>
      </c>
      <c r="O257" s="3164">
        <f t="shared" si="1070"/>
        <v>-2.739799999999974</v>
      </c>
      <c r="P257" s="3164">
        <f t="shared" si="1070"/>
        <v>-8.2101999999999862</v>
      </c>
      <c r="Q257" s="3164">
        <f t="shared" si="1070"/>
        <v>-0.12069999999994252</v>
      </c>
      <c r="R257" s="3164">
        <f t="shared" si="1070"/>
        <v>2.2574000000001604</v>
      </c>
      <c r="S257" s="3164">
        <f t="shared" si="1070"/>
        <v>5.1932999999999083</v>
      </c>
      <c r="T257" s="3164">
        <f t="shared" si="1070"/>
        <v>7.3753999999999849</v>
      </c>
      <c r="U257" s="3164">
        <f t="shared" si="1070"/>
        <v>-2.6826000000001216</v>
      </c>
      <c r="V257" s="3164">
        <f t="shared" si="1070"/>
        <v>-7.4388999999999328</v>
      </c>
      <c r="W257" s="3164">
        <f t="shared" si="1070"/>
        <v>0.98979999999997403</v>
      </c>
      <c r="X257" s="3164">
        <f t="shared" si="1070"/>
        <v>-2.0890000000000271</v>
      </c>
      <c r="Y257" s="3164">
        <f t="shared" si="1070"/>
        <v>-6.4227999999999952</v>
      </c>
      <c r="Z257" s="3164">
        <f t="shared" si="1070"/>
        <v>0.29250000000004661</v>
      </c>
      <c r="AA257" s="3164">
        <f t="shared" si="1070"/>
        <v>5.1568999999999505</v>
      </c>
      <c r="AB257" s="3164">
        <f t="shared" si="1070"/>
        <v>4.305300000000102</v>
      </c>
      <c r="AC257" s="3164">
        <f t="shared" si="1070"/>
        <v>5.1162000000001058</v>
      </c>
      <c r="AD257" s="3164">
        <f t="shared" si="1070"/>
        <v>-3.922300000000007</v>
      </c>
      <c r="AE257" s="3164">
        <f t="shared" si="1070"/>
        <v>8.5978000000000065</v>
      </c>
      <c r="AF257" s="3164">
        <f t="shared" si="1070"/>
        <v>2.497600000000034</v>
      </c>
      <c r="AG257" s="3164">
        <f t="shared" si="1070"/>
        <v>-2.5978000000000065</v>
      </c>
      <c r="AH257" s="3164">
        <f t="shared" si="1070"/>
        <v>-6.8147999999999911</v>
      </c>
      <c r="AI257" s="3164">
        <f t="shared" si="1070"/>
        <v>2.0618999999999801</v>
      </c>
      <c r="AJ257" s="3164">
        <f t="shared" si="1070"/>
        <v>-5.0918000000000916</v>
      </c>
      <c r="AK257" s="3164">
        <f t="shared" si="1070"/>
        <v>2.4191000000000145</v>
      </c>
      <c r="AL257" s="3164">
        <f t="shared" si="1070"/>
        <v>-2.1984999999999104</v>
      </c>
      <c r="AM257" s="3164">
        <f t="shared" si="1070"/>
        <v>3.1516999999998916</v>
      </c>
      <c r="AN257" s="3164">
        <f t="shared" si="1070"/>
        <v>-1.1440000000000055</v>
      </c>
      <c r="AO257" s="3164">
        <f t="shared" si="1070"/>
        <v>0.19110000000006266</v>
      </c>
      <c r="AP257" s="3164">
        <f t="shared" si="1070"/>
        <v>1.0250000000002046</v>
      </c>
      <c r="AQ257" s="3164">
        <f t="shared" si="1070"/>
        <v>-2.6893000000000029</v>
      </c>
      <c r="AR257" s="3164">
        <f t="shared" si="1070"/>
        <v>-4.3569999999999709</v>
      </c>
      <c r="AS257" s="3164">
        <f t="shared" si="1070"/>
        <v>1.3367999999999824</v>
      </c>
      <c r="AT257" s="3164">
        <f t="shared" si="1070"/>
        <v>2.8070000000000732</v>
      </c>
      <c r="AU257" s="3164">
        <f t="shared" si="1070"/>
        <v>-0.56610000000006266</v>
      </c>
      <c r="AV257" s="3164">
        <f t="shared" si="1070"/>
        <v>-0.12760000000002947</v>
      </c>
      <c r="AW257" s="3164">
        <f t="shared" si="1070"/>
        <v>-8.380700000000104</v>
      </c>
      <c r="AX257" s="3164">
        <f t="shared" si="1070"/>
        <v>5.6411000000000513</v>
      </c>
      <c r="AY257" s="3164">
        <f t="shared" si="1070"/>
        <v>-2.3189000000001556</v>
      </c>
      <c r="AZ257" s="3164">
        <f t="shared" si="1070"/>
        <v>1.2802999999999543</v>
      </c>
      <c r="BA257" s="3164">
        <f t="shared" si="1070"/>
        <v>5.7293999999998846</v>
      </c>
      <c r="BB257" s="3164">
        <f t="shared" si="1070"/>
        <v>-0.92380000000008522</v>
      </c>
      <c r="BC257" s="3164">
        <f t="shared" si="1070"/>
        <v>5.4976000000001477</v>
      </c>
      <c r="BD257" s="3164">
        <f t="shared" si="1070"/>
        <v>1.1082000000001813</v>
      </c>
      <c r="BE257" s="3164">
        <f t="shared" si="1070"/>
        <v>12.706099999999992</v>
      </c>
      <c r="BF257" s="3164">
        <f t="shared" si="1070"/>
        <v>4.6632999999999925</v>
      </c>
      <c r="BG257" s="3164">
        <f t="shared" si="1070"/>
        <v>-1.4943999999999278</v>
      </c>
      <c r="BH257" s="3164">
        <f t="shared" si="1070"/>
        <v>10.028699999999901</v>
      </c>
      <c r="BI257" s="3164">
        <f t="shared" si="1070"/>
        <v>11.732500000000016</v>
      </c>
      <c r="BJ257" s="3164">
        <f t="shared" si="1070"/>
        <v>-12.263299999999902</v>
      </c>
      <c r="BK257" s="3164">
        <f t="shared" ref="BK257:BR257" si="1071">+BK258-BK255+BK256</f>
        <v>-11.89759999999967</v>
      </c>
      <c r="BL257" s="3164">
        <f t="shared" si="1071"/>
        <v>-19.103699999999833</v>
      </c>
      <c r="BM257" s="3164">
        <f t="shared" si="1071"/>
        <v>-10.084900000000289</v>
      </c>
      <c r="BN257" s="3164">
        <f t="shared" si="1071"/>
        <v>-7.0573000000000548</v>
      </c>
      <c r="BO257" s="3164">
        <f t="shared" si="1071"/>
        <v>3.0740999999999303</v>
      </c>
      <c r="BP257" s="3164">
        <f t="shared" si="1071"/>
        <v>8.2115000000000009</v>
      </c>
      <c r="BQ257" s="3164">
        <f t="shared" si="1071"/>
        <v>9.1871999999998479</v>
      </c>
      <c r="BR257" s="3164">
        <f t="shared" si="1071"/>
        <v>2.7921000000000618</v>
      </c>
      <c r="BS257" s="3164">
        <f t="shared" ref="BS257:BZ257" si="1072">+BS258-BS255+BS256</f>
        <v>19.167800000000113</v>
      </c>
      <c r="BT257" s="3164">
        <f t="shared" si="1072"/>
        <v>6.7804000000003839</v>
      </c>
      <c r="BU257" s="3164">
        <f t="shared" si="1072"/>
        <v>5.7854000000000383</v>
      </c>
      <c r="BV257" s="3164">
        <f t="shared" si="1072"/>
        <v>8.909900000000107</v>
      </c>
      <c r="BW257" s="3164">
        <f t="shared" si="1072"/>
        <v>-3.991299999999967</v>
      </c>
      <c r="BX257" s="3164">
        <f t="shared" si="1072"/>
        <v>-2.2812999999997601</v>
      </c>
      <c r="BY257" s="3164">
        <f t="shared" si="1072"/>
        <v>8.617799999999761</v>
      </c>
      <c r="BZ257" s="3164">
        <f t="shared" si="1072"/>
        <v>-3.3287000000002536</v>
      </c>
      <c r="CA257" s="3164">
        <f t="shared" ref="CA257:CG257" si="1073">+CA258-CA255+CA256</f>
        <v>4.6259999999999195</v>
      </c>
      <c r="CB257" s="3164">
        <f t="shared" si="1073"/>
        <v>-0.16130000000009659</v>
      </c>
      <c r="CC257" s="3164">
        <f t="shared" si="1073"/>
        <v>-4.569500000000005</v>
      </c>
      <c r="CD257" s="3164">
        <f t="shared" si="1073"/>
        <v>6.7293999999999414</v>
      </c>
      <c r="CE257" s="3164">
        <f t="shared" si="1073"/>
        <v>0.12380000000001701</v>
      </c>
      <c r="CF257" s="3164">
        <f t="shared" si="1073"/>
        <v>4.6590999999996825</v>
      </c>
      <c r="CG257" s="3164">
        <f t="shared" si="1073"/>
        <v>0.3811999999999216</v>
      </c>
      <c r="CH257" s="3164">
        <f t="shared" ref="CH257:CN257" si="1074">+CH258-CH255+CH256</f>
        <v>6.7614999999997849</v>
      </c>
      <c r="CI257" s="3164">
        <f t="shared" si="1074"/>
        <v>6.1033999999997945</v>
      </c>
      <c r="CJ257" s="3164">
        <f t="shared" si="1074"/>
        <v>1.8914999999997235</v>
      </c>
      <c r="CK257" s="3164">
        <f t="shared" si="1074"/>
        <v>10.523199999999974</v>
      </c>
      <c r="CL257" s="3164">
        <f t="shared" si="1074"/>
        <v>9.1021999999997547</v>
      </c>
      <c r="CM257" s="3164">
        <f t="shared" si="1074"/>
        <v>8.7739999999997735</v>
      </c>
      <c r="CN257" s="3164">
        <f t="shared" si="1074"/>
        <v>8.1621999999998707</v>
      </c>
      <c r="CO257" s="3164">
        <f t="shared" ref="CO257:CR257" si="1075">+CO258-CO255+CO256</f>
        <v>4.3264999999998395</v>
      </c>
      <c r="CP257" s="3164">
        <f t="shared" si="1075"/>
        <v>3.9168999999999414</v>
      </c>
      <c r="CQ257" s="3164">
        <f t="shared" si="1075"/>
        <v>8.564399999999921</v>
      </c>
      <c r="CR257" s="3164">
        <f t="shared" si="1075"/>
        <v>8.6309000000001106</v>
      </c>
      <c r="CS257" s="3164">
        <f t="shared" ref="CS257:CV257" si="1076">+CS258-CS255+CS256</f>
        <v>7.1768999999999892</v>
      </c>
      <c r="CT257" s="3164">
        <f t="shared" si="1076"/>
        <v>6.8098000000000525</v>
      </c>
      <c r="CU257" s="3164">
        <f t="shared" si="1076"/>
        <v>8.0802000000001613</v>
      </c>
      <c r="CV257" s="3164">
        <f t="shared" si="1076"/>
        <v>14.642600000000357</v>
      </c>
      <c r="CW257" s="3178">
        <v>14.5</v>
      </c>
      <c r="CX257" s="3178">
        <v>14.5</v>
      </c>
      <c r="CY257" s="3178">
        <v>12</v>
      </c>
      <c r="CZ257" s="3178">
        <v>12</v>
      </c>
      <c r="DA257" s="3178">
        <v>13</v>
      </c>
      <c r="DB257" s="3178">
        <v>13</v>
      </c>
      <c r="DC257" s="3178">
        <v>10</v>
      </c>
      <c r="DD257" s="3178">
        <v>8</v>
      </c>
      <c r="DE257" s="3178">
        <v>7</v>
      </c>
      <c r="DF257" s="3178">
        <v>6</v>
      </c>
    </row>
    <row r="258" spans="1:110" s="736" customFormat="1" ht="12.75" customHeight="1">
      <c r="A258" s="702" t="str">
        <f>"Q" &amp; ROW(InputQ!A15)</f>
        <v>Q15</v>
      </c>
      <c r="B258" s="2014" t="s">
        <v>158</v>
      </c>
      <c r="C258" s="1612" t="s">
        <v>1793</v>
      </c>
      <c r="D258" s="783"/>
      <c r="E258" s="1613" t="s">
        <v>129</v>
      </c>
      <c r="F258" s="785"/>
      <c r="G258" s="836">
        <f>+InputQ!G15/1000</f>
        <v>594.68330000000003</v>
      </c>
      <c r="H258" s="836">
        <f>+InputQ!H15/1000</f>
        <v>597.83680000000004</v>
      </c>
      <c r="I258" s="836">
        <f>+InputQ!I15/1000</f>
        <v>599.98419999999999</v>
      </c>
      <c r="J258" s="836">
        <f>+InputQ!J15/1000</f>
        <v>608.00109999999995</v>
      </c>
      <c r="K258" s="836">
        <f>+InputQ!K15/1000</f>
        <v>610.25169999999991</v>
      </c>
      <c r="L258" s="836">
        <f>+InputQ!L15/1000</f>
        <v>605.66089999999997</v>
      </c>
      <c r="M258" s="836">
        <f>+InputQ!M15/1000</f>
        <v>608.54809999999998</v>
      </c>
      <c r="N258" s="836">
        <f>+InputQ!N15/1000</f>
        <v>613.08690000000001</v>
      </c>
      <c r="O258" s="836">
        <f>+InputQ!O15/1000</f>
        <v>616.70299999999997</v>
      </c>
      <c r="P258" s="836">
        <f>+InputQ!P15/1000</f>
        <v>624.63919999999996</v>
      </c>
      <c r="Q258" s="836">
        <f>+InputQ!Q15/1000</f>
        <v>630.86900000000003</v>
      </c>
      <c r="R258" s="836">
        <f>+InputQ!R15/1000</f>
        <v>641.4978000000001</v>
      </c>
      <c r="S258" s="836">
        <f>+InputQ!S15/1000</f>
        <v>643.13689999999997</v>
      </c>
      <c r="T258" s="836">
        <f>+InputQ!T15/1000</f>
        <v>653.54600000000005</v>
      </c>
      <c r="U258" s="836">
        <f>+InputQ!U15/1000</f>
        <v>656.9855</v>
      </c>
      <c r="V258" s="836">
        <f>+InputQ!V15/1000</f>
        <v>664.25450000000001</v>
      </c>
      <c r="W258" s="836">
        <f>+InputQ!W15/1000</f>
        <v>674.09159999999997</v>
      </c>
      <c r="X258" s="836">
        <f>+InputQ!X15/1000</f>
        <v>676.2319</v>
      </c>
      <c r="Y258" s="836">
        <f>+InputQ!Y15/1000</f>
        <v>682.97370000000001</v>
      </c>
      <c r="Z258" s="836">
        <f>+InputQ!Z15/1000</f>
        <v>695.46659999999997</v>
      </c>
      <c r="AA258" s="836">
        <f>+InputQ!AA15/1000</f>
        <v>700.51740000000007</v>
      </c>
      <c r="AB258" s="836">
        <f>+InputQ!AB15/1000</f>
        <v>715.75490000000002</v>
      </c>
      <c r="AC258" s="836">
        <f>+InputQ!AC15/1000</f>
        <v>721.97840000000008</v>
      </c>
      <c r="AD258" s="836">
        <f>+InputQ!AD15/1000</f>
        <v>724.00310000000002</v>
      </c>
      <c r="AE258" s="836">
        <f>+InputQ!AE15/1000</f>
        <v>722.22410000000002</v>
      </c>
      <c r="AF258" s="836">
        <f>+InputQ!AF15/1000</f>
        <v>725.36509999999998</v>
      </c>
      <c r="AG258" s="836">
        <f>+InputQ!AG15/1000</f>
        <v>729.80340000000001</v>
      </c>
      <c r="AH258" s="836">
        <f>+InputQ!AH15/1000</f>
        <v>734.20150000000001</v>
      </c>
      <c r="AI258" s="836">
        <f>+InputQ!AI15/1000</f>
        <v>733.94050000000004</v>
      </c>
      <c r="AJ258" s="836">
        <f>+InputQ!AJ15/1000</f>
        <v>744.09500000000003</v>
      </c>
      <c r="AK258" s="836">
        <f>+InputQ!AK15/1000</f>
        <v>745.48659999999995</v>
      </c>
      <c r="AL258" s="836">
        <f>+InputQ!AL15/1000</f>
        <v>748.78440000000001</v>
      </c>
      <c r="AM258" s="836">
        <f>+InputQ!AM15/1000</f>
        <v>757.71849999999995</v>
      </c>
      <c r="AN258" s="836">
        <f>+InputQ!AN15/1000</f>
        <v>754.52019999999993</v>
      </c>
      <c r="AO258" s="836">
        <f>+InputQ!AO15/1000</f>
        <v>764.76250000000005</v>
      </c>
      <c r="AP258" s="836">
        <f>+InputQ!AP15/1000</f>
        <v>769.39549999999997</v>
      </c>
      <c r="AQ258" s="836">
        <f>+InputQ!AQ15/1000</f>
        <v>781.33339999999998</v>
      </c>
      <c r="AR258" s="836">
        <f>+InputQ!AR15/1000</f>
        <v>786.92570000000001</v>
      </c>
      <c r="AS258" s="836">
        <f>+InputQ!AS15/1000</f>
        <v>793.72490000000005</v>
      </c>
      <c r="AT258" s="836">
        <f>+InputQ!AT15/1000</f>
        <v>800.28210000000001</v>
      </c>
      <c r="AU258" s="836">
        <f>+InputQ!AU15/1000</f>
        <v>801.12490000000003</v>
      </c>
      <c r="AV258" s="836">
        <f>+InputQ!AV15/1000</f>
        <v>809.76760000000002</v>
      </c>
      <c r="AW258" s="836">
        <f>+InputQ!AW15/1000</f>
        <v>817.39980000000003</v>
      </c>
      <c r="AX258" s="836">
        <f>+InputQ!AX15/1000</f>
        <v>822.87019999999995</v>
      </c>
      <c r="AY258" s="836">
        <f>+InputQ!AY15/1000</f>
        <v>838.95769999999993</v>
      </c>
      <c r="AZ258" s="836">
        <f>+InputQ!AZ15/1000</f>
        <v>848.56259999999997</v>
      </c>
      <c r="BA258" s="836">
        <f>+InputQ!BA15/1000</f>
        <v>859.74459999999999</v>
      </c>
      <c r="BB258" s="836">
        <f>+InputQ!BB15/1000</f>
        <v>864.72</v>
      </c>
      <c r="BC258" s="836">
        <f>+InputQ!BC15/1000</f>
        <v>872.18630000000007</v>
      </c>
      <c r="BD258" s="836">
        <f>+InputQ!BD15/1000</f>
        <v>878.46010000000001</v>
      </c>
      <c r="BE258" s="836">
        <f>+InputQ!BE15/1000</f>
        <v>885.22799999999995</v>
      </c>
      <c r="BF258" s="836">
        <f>+InputQ!BF15/1000</f>
        <v>896.64850000000001</v>
      </c>
      <c r="BG258" s="836">
        <f>+InputQ!BG15/1000</f>
        <v>884.68280000000004</v>
      </c>
      <c r="BH258" s="836">
        <f>+InputQ!BH15/1000</f>
        <v>886.53440000000001</v>
      </c>
      <c r="BI258" s="836">
        <f>+InputQ!BI15/1000</f>
        <v>884.55280000000005</v>
      </c>
      <c r="BJ258" s="836">
        <f>+InputQ!BJ15/1000</f>
        <v>851.46950000000004</v>
      </c>
      <c r="BK258" s="836">
        <f>+InputQ!BK15/1000</f>
        <v>830.04600000000005</v>
      </c>
      <c r="BL258" s="836">
        <f>+InputQ!BL15/1000</f>
        <v>830.43430000000001</v>
      </c>
      <c r="BM258" s="836">
        <f>+InputQ!BM15/1000</f>
        <v>831.06459999999993</v>
      </c>
      <c r="BN258" s="836">
        <f>+InputQ!BN15/1000</f>
        <v>835.77380000000005</v>
      </c>
      <c r="BO258" s="836">
        <f>+InputQ!BO15/1000</f>
        <v>855.5698000000001</v>
      </c>
      <c r="BP258" s="836">
        <f>+InputQ!BP15/1000</f>
        <v>874.26830000000007</v>
      </c>
      <c r="BQ258" s="836">
        <f>+InputQ!BQ15/1000</f>
        <v>885.48890000000006</v>
      </c>
      <c r="BR258" s="836">
        <f>+InputQ!BR15/1000</f>
        <v>901.75400000000002</v>
      </c>
      <c r="BS258" s="836">
        <f>+InputQ!BS15/1000</f>
        <v>900.85550000000001</v>
      </c>
      <c r="BT258" s="836">
        <f>+InputQ!BT15/1000</f>
        <v>903.5168000000001</v>
      </c>
      <c r="BU258" s="836">
        <f>+InputQ!BU15/1000</f>
        <v>912.31100000000004</v>
      </c>
      <c r="BV258" s="836">
        <f>+InputQ!BV15/1000</f>
        <v>897.0367</v>
      </c>
      <c r="BW258" s="836">
        <f>+InputQ!BW15/1000</f>
        <v>900.75780000000009</v>
      </c>
      <c r="BX258" s="836">
        <f>+InputQ!BX15/1000</f>
        <v>906.51690000000008</v>
      </c>
      <c r="BY258" s="836">
        <f>+InputQ!BY15/1000</f>
        <v>905.79419999999993</v>
      </c>
      <c r="BZ258" s="836">
        <f>+InputQ!BZ15/1000</f>
        <v>901.45180000000005</v>
      </c>
      <c r="CA258" s="836">
        <f>+InputQ!CA15/1000</f>
        <v>912.12900000000002</v>
      </c>
      <c r="CB258" s="836">
        <f>+InputQ!CB15/1000</f>
        <v>908.8365</v>
      </c>
      <c r="CC258" s="836">
        <f>+InputQ!CC15/1000</f>
        <v>915.16949999999997</v>
      </c>
      <c r="CD258" s="836">
        <f>+InputQ!CD15/1000</f>
        <v>922.40359999999998</v>
      </c>
      <c r="CE258" s="836">
        <f>+InputQ!CE15/1000</f>
        <v>928.99300000000005</v>
      </c>
      <c r="CF258" s="836">
        <f>+InputQ!CF15/1000</f>
        <v>935.95090000000005</v>
      </c>
      <c r="CG258" s="836">
        <f>+InputQ!CG15/1000</f>
        <v>940.01990000000001</v>
      </c>
      <c r="CH258" s="836">
        <f>+InputQ!CH15/1000</f>
        <v>952.54499999999996</v>
      </c>
      <c r="CI258" s="836">
        <f>+InputQ!CI15/1000</f>
        <v>962.61159999999995</v>
      </c>
      <c r="CJ258" s="836">
        <f>+InputQ!CJ15/1000</f>
        <v>971.12249999999995</v>
      </c>
      <c r="CK258" s="836">
        <f>+InputQ!CK15/1000</f>
        <v>985.52800000000002</v>
      </c>
      <c r="CL258" s="836">
        <f>+InputQ!CL15/1000</f>
        <v>996.49119999999994</v>
      </c>
      <c r="CM258" s="836">
        <f>+InputQ!CM15/1000</f>
        <v>997.34930000000008</v>
      </c>
      <c r="CN258" s="836">
        <f>+InputQ!CN15/1000</f>
        <v>999.85990000000004</v>
      </c>
      <c r="CO258" s="836">
        <f>+InputQ!CO15/1000</f>
        <v>1004.7609</v>
      </c>
      <c r="CP258" s="836">
        <f>+InputQ!CP15/1000</f>
        <v>1009.9193</v>
      </c>
      <c r="CQ258" s="836">
        <f>+InputQ!CQ15/1000</f>
        <v>1014.0016999999999</v>
      </c>
      <c r="CR258" s="836">
        <f>+InputQ!CR15/1000</f>
        <v>1025.6195</v>
      </c>
      <c r="CS258" s="836">
        <f>+InputQ!CS15/1000</f>
        <v>1029.9367999999999</v>
      </c>
      <c r="CT258" s="836">
        <f>+InputQ!CT15/1000</f>
        <v>1037.0255999999999</v>
      </c>
      <c r="CU258" s="836">
        <f>+InputQ!CU15/1000</f>
        <v>1042.722</v>
      </c>
      <c r="CV258" s="836">
        <f>+InputQ!CV15/1000</f>
        <v>1050.6976000000002</v>
      </c>
      <c r="CW258" s="1643">
        <f t="shared" ref="CW258:CX258" si="1077">CW255-CW256+CW257</f>
        <v>1053.3454145861142</v>
      </c>
      <c r="CX258" s="1643">
        <f t="shared" si="1077"/>
        <v>1057.5935293329148</v>
      </c>
      <c r="CY258" s="1643">
        <f t="shared" ref="CY258:DB258" si="1078">CY255-CY256+CY257</f>
        <v>1061.0696410479752</v>
      </c>
      <c r="CZ258" s="1643">
        <f t="shared" si="1078"/>
        <v>1065.3626131379592</v>
      </c>
      <c r="DA258" s="1643">
        <f t="shared" si="1078"/>
        <v>1068.9647357604015</v>
      </c>
      <c r="DB258" s="1643">
        <f t="shared" si="1078"/>
        <v>1071.833131559818</v>
      </c>
      <c r="DC258" s="1643">
        <f t="shared" ref="DC258:DF258" si="1079">DC255-DC256+DC257</f>
        <v>1075.7586288318191</v>
      </c>
      <c r="DD258" s="1643">
        <f t="shared" si="1079"/>
        <v>1080.3861896104831</v>
      </c>
      <c r="DE258" s="1643">
        <f t="shared" si="1079"/>
        <v>1084.9573717231419</v>
      </c>
      <c r="DF258" s="1643">
        <f t="shared" si="1079"/>
        <v>1088.550004663125</v>
      </c>
    </row>
    <row r="259" spans="1:110" s="26" customFormat="1" ht="12.75">
      <c r="A259" s="710"/>
      <c r="B259" s="710"/>
      <c r="C259" s="1665"/>
      <c r="D259" s="720"/>
      <c r="E259" s="721" t="s">
        <v>353</v>
      </c>
      <c r="F259" s="722"/>
      <c r="G259" s="1623"/>
      <c r="H259" s="1623"/>
      <c r="I259" s="1623"/>
      <c r="J259" s="1627">
        <f>SUM(G258:J258)</f>
        <v>2400.5054</v>
      </c>
      <c r="K259" s="1623"/>
      <c r="L259" s="1623"/>
      <c r="M259" s="1623"/>
      <c r="N259" s="1627">
        <f>SUM(K258:N258)</f>
        <v>2437.5475999999999</v>
      </c>
      <c r="O259" s="1623"/>
      <c r="P259" s="1623"/>
      <c r="Q259" s="1623"/>
      <c r="R259" s="1627">
        <f>SUM(O258:R258)</f>
        <v>2513.7090000000003</v>
      </c>
      <c r="S259" s="1623"/>
      <c r="T259" s="1623"/>
      <c r="U259" s="1623"/>
      <c r="V259" s="1627">
        <f>SUM(S258:V258)</f>
        <v>2617.9229</v>
      </c>
      <c r="W259" s="1623"/>
      <c r="X259" s="1623"/>
      <c r="Y259" s="1623"/>
      <c r="Z259" s="1627">
        <f>SUM(W258:Z258)</f>
        <v>2728.7637999999997</v>
      </c>
      <c r="AA259" s="1623"/>
      <c r="AB259" s="1623"/>
      <c r="AC259" s="1623"/>
      <c r="AD259" s="1627">
        <f>SUM(AA258:AD258)</f>
        <v>2862.2538</v>
      </c>
      <c r="AE259" s="1623"/>
      <c r="AF259" s="1623"/>
      <c r="AG259" s="1623"/>
      <c r="AH259" s="1627">
        <f>SUM(AE258:AH258)</f>
        <v>2911.5941000000003</v>
      </c>
      <c r="AI259" s="1623"/>
      <c r="AJ259" s="1623"/>
      <c r="AK259" s="1623"/>
      <c r="AL259" s="1627">
        <f>SUM(AI258:AL258)</f>
        <v>2972.3065000000001</v>
      </c>
      <c r="AM259" s="1623"/>
      <c r="AN259" s="1623"/>
      <c r="AO259" s="1623"/>
      <c r="AP259" s="1627">
        <f>SUM(AM258:AP258)</f>
        <v>3046.3966999999998</v>
      </c>
      <c r="AQ259" s="1623"/>
      <c r="AR259" s="1623"/>
      <c r="AS259" s="1623"/>
      <c r="AT259" s="1627">
        <f>SUM(AQ258:AT258)</f>
        <v>3162.2660999999998</v>
      </c>
      <c r="AU259" s="1623"/>
      <c r="AV259" s="1623"/>
      <c r="AW259" s="1623"/>
      <c r="AX259" s="1627">
        <f>SUM(AU258:AX258)</f>
        <v>3251.1624999999999</v>
      </c>
      <c r="AY259" s="1623"/>
      <c r="AZ259" s="1623"/>
      <c r="BA259" s="1671"/>
      <c r="BB259" s="1644">
        <f>SUM(AY258:BB258)</f>
        <v>3411.9849000000004</v>
      </c>
      <c r="BC259" s="1671"/>
      <c r="BD259" s="1671"/>
      <c r="BE259" s="1671"/>
      <c r="BF259" s="1627">
        <f>SUM(BC258:BF258)</f>
        <v>3532.5228999999999</v>
      </c>
      <c r="BG259" s="1671"/>
      <c r="BH259" s="1671"/>
      <c r="BI259" s="1671"/>
      <c r="BJ259" s="1627">
        <f>SUM(BG258:BJ258)</f>
        <v>3507.2395000000001</v>
      </c>
      <c r="BK259" s="1671"/>
      <c r="BL259" s="1671"/>
      <c r="BM259" s="1671"/>
      <c r="BN259" s="1627">
        <f>SUM(BK258:BN258)</f>
        <v>3327.3186999999998</v>
      </c>
      <c r="BO259" s="1671"/>
      <c r="BP259" s="1671"/>
      <c r="BQ259" s="1671"/>
      <c r="BR259" s="1627">
        <f>SUM(BO258:BR258)</f>
        <v>3517.0810000000001</v>
      </c>
      <c r="BS259" s="1671"/>
      <c r="BT259" s="1671"/>
      <c r="BU259" s="1671"/>
      <c r="BV259" s="1627">
        <f>SUM(BS258:BV258)</f>
        <v>3613.7200000000003</v>
      </c>
      <c r="BW259" s="1671"/>
      <c r="BX259" s="1671"/>
      <c r="BY259" s="1671"/>
      <c r="BZ259" s="1627">
        <f>SUM(BW258:BZ258)</f>
        <v>3614.5207</v>
      </c>
      <c r="CA259" s="1671"/>
      <c r="CB259" s="1671"/>
      <c r="CC259" s="1671"/>
      <c r="CD259" s="1627">
        <f>SUM(CA258:CD258)</f>
        <v>3658.5386000000003</v>
      </c>
      <c r="CE259" s="1671"/>
      <c r="CF259" s="1671"/>
      <c r="CG259" s="1671"/>
      <c r="CH259" s="1627">
        <f>SUM(CE258:CH258)</f>
        <v>3757.5088000000005</v>
      </c>
      <c r="CI259" s="1671"/>
      <c r="CJ259" s="1671"/>
      <c r="CK259" s="1671"/>
      <c r="CL259" s="1627">
        <f>SUM(CI258:CL258)</f>
        <v>3915.7532999999999</v>
      </c>
      <c r="CM259" s="1671"/>
      <c r="CN259" s="1671"/>
      <c r="CO259" s="1671"/>
      <c r="CP259" s="1627">
        <f>SUM(CM258:CP258)</f>
        <v>4011.8894000000005</v>
      </c>
      <c r="CQ259" s="1671"/>
      <c r="CR259" s="1671"/>
      <c r="CS259" s="1671"/>
      <c r="CT259" s="1627">
        <f>SUM(CQ258:CT258)</f>
        <v>4106.5835999999999</v>
      </c>
      <c r="CU259" s="1671"/>
      <c r="CV259" s="1671"/>
      <c r="CW259" s="1671"/>
      <c r="CX259" s="1627">
        <f>SUM(CU258:CX258)</f>
        <v>4204.3585439190292</v>
      </c>
      <c r="CY259" s="1671"/>
      <c r="CZ259" s="1671"/>
      <c r="DA259" s="1671"/>
      <c r="DB259" s="1627">
        <f>SUM(CY258:DB258)</f>
        <v>4267.2301215061543</v>
      </c>
      <c r="DC259" s="1671"/>
      <c r="DD259" s="1671"/>
      <c r="DE259" s="1671"/>
      <c r="DF259" s="1627">
        <f>SUM(DC258:DF258)</f>
        <v>4329.6521948285699</v>
      </c>
    </row>
    <row r="260" spans="1:110" s="1652" customFormat="1" ht="12.75" customHeight="1">
      <c r="A260" s="1036"/>
      <c r="B260" s="1036"/>
      <c r="C260" s="1666"/>
      <c r="D260" s="716"/>
      <c r="E260" s="1624" t="s">
        <v>136</v>
      </c>
      <c r="F260" s="716"/>
      <c r="G260" s="1625"/>
      <c r="H260" s="2916" t="s">
        <v>1694</v>
      </c>
      <c r="I260" s="2917">
        <f ca="1">+J260/J259*100</f>
        <v>100.01498142849418</v>
      </c>
      <c r="J260" s="1667">
        <f ca="1">OFFSET('VVP2'!$G$125,0,(COLUMN()-10)/4)</f>
        <v>2400.8650299999999</v>
      </c>
      <c r="K260" s="1625"/>
      <c r="L260" s="2916" t="s">
        <v>1694</v>
      </c>
      <c r="M260" s="2917">
        <f ca="1">+N260/N259*100</f>
        <v>99.991278119040643</v>
      </c>
      <c r="N260" s="1667">
        <f ca="1">OFFSET('VVP2'!$G$125,0,(COLUMN()-10)/4)</f>
        <v>2437.335</v>
      </c>
      <c r="O260" s="1625"/>
      <c r="P260" s="2916" t="s">
        <v>1694</v>
      </c>
      <c r="Q260" s="2917">
        <f ca="1">+R260/R259*100</f>
        <v>99.785522906589406</v>
      </c>
      <c r="R260" s="1667">
        <f ca="1">OFFSET('VVP2'!$G$125,0,(COLUMN()-10)/4)</f>
        <v>2508.3176699999999</v>
      </c>
      <c r="S260" s="1625"/>
      <c r="T260" s="2916" t="s">
        <v>1694</v>
      </c>
      <c r="U260" s="2917">
        <f ca="1">+V260/V259*100</f>
        <v>99.876673984554685</v>
      </c>
      <c r="V260" s="1667">
        <f ca="1">OFFSET('VVP2'!$G$125,0,(COLUMN()-10)/4)</f>
        <v>2614.6943199999996</v>
      </c>
      <c r="W260" s="1625"/>
      <c r="X260" s="2916" t="s">
        <v>1694</v>
      </c>
      <c r="Y260" s="2917">
        <f ca="1">+Z260/Z259*100</f>
        <v>100.11888423615119</v>
      </c>
      <c r="Z260" s="1667">
        <f ca="1">OFFSET('VVP2'!$G$125,0,(COLUMN()-10)/4)</f>
        <v>2732.0078699999999</v>
      </c>
      <c r="AA260" s="1625"/>
      <c r="AB260" s="2916" t="s">
        <v>1694</v>
      </c>
      <c r="AC260" s="2917">
        <f ca="1">+AD260/AD259*100</f>
        <v>99.979201355239724</v>
      </c>
      <c r="AD260" s="1667">
        <f ca="1">OFFSET('VVP2'!$G$125,0,(COLUMN()-10)/4)</f>
        <v>2861.6584900000003</v>
      </c>
      <c r="AE260" s="1625"/>
      <c r="AF260" s="2916" t="s">
        <v>1694</v>
      </c>
      <c r="AG260" s="2917">
        <f ca="1">+AH260/AH259*100</f>
        <v>99.831399575923015</v>
      </c>
      <c r="AH260" s="1667">
        <f ca="1">OFFSET('VVP2'!$G$125,0,(COLUMN()-10)/4)</f>
        <v>2906.68514</v>
      </c>
      <c r="AI260" s="1625"/>
      <c r="AJ260" s="2916" t="s">
        <v>1694</v>
      </c>
      <c r="AK260" s="2917">
        <f ca="1">+AL260/AL259*100</f>
        <v>99.821724307368697</v>
      </c>
      <c r="AL260" s="1667">
        <f ca="1">OFFSET('VVP2'!$G$125,0,(COLUMN()-10)/4)</f>
        <v>2967.0075999999999</v>
      </c>
      <c r="AM260" s="1625"/>
      <c r="AN260" s="2916" t="s">
        <v>1694</v>
      </c>
      <c r="AO260" s="2917">
        <f ca="1">+AP260/AP259*100</f>
        <v>99.692280391453949</v>
      </c>
      <c r="AP260" s="1667">
        <f ca="1">OFFSET('VVP2'!$G$125,0,(COLUMN()-10)/4)</f>
        <v>3037.02234</v>
      </c>
      <c r="AQ260" s="1625"/>
      <c r="AR260" s="2916" t="s">
        <v>1694</v>
      </c>
      <c r="AS260" s="2917">
        <f ca="1">+AT260/AT259*100</f>
        <v>100.17948173305213</v>
      </c>
      <c r="AT260" s="1667">
        <f ca="1">OFFSET('VVP2'!$G$125,0,(COLUMN()-10)/4)</f>
        <v>3167.9417899999999</v>
      </c>
      <c r="AU260" s="1625"/>
      <c r="AV260" s="2916" t="s">
        <v>1694</v>
      </c>
      <c r="AW260" s="2917">
        <f ca="1">+AX260/AX259*100</f>
        <v>100.18485664742998</v>
      </c>
      <c r="AX260" s="1667">
        <f ca="1">OFFSET('VVP2'!$G$125,0,(COLUMN()-10)/4)</f>
        <v>3257.1724900000004</v>
      </c>
      <c r="AY260" s="1625"/>
      <c r="AZ260" s="2916" t="s">
        <v>1694</v>
      </c>
      <c r="BA260" s="2917">
        <f ca="1">+BB260/BB259*100</f>
        <v>99.949012376930497</v>
      </c>
      <c r="BB260" s="1672">
        <f ca="1">OFFSET('VVP2'!$G$125,0,(COLUMN()-10)/4)</f>
        <v>3410.24521</v>
      </c>
      <c r="BC260" s="1625"/>
      <c r="BD260" s="2916" t="s">
        <v>1694</v>
      </c>
      <c r="BE260" s="2917">
        <f ca="1">+BF260/BF259*100</f>
        <v>99.82864428140013</v>
      </c>
      <c r="BF260" s="1667">
        <f ca="1">OFFSET('VVP2'!$G$125,0,(COLUMN()-10)/4)</f>
        <v>3526.4697200000001</v>
      </c>
      <c r="BG260" s="1625"/>
      <c r="BH260" s="2916" t="s">
        <v>1694</v>
      </c>
      <c r="BI260" s="2917">
        <f ca="1">+BJ260/BJ259*100</f>
        <v>99.988188431385993</v>
      </c>
      <c r="BJ260" s="1667">
        <f ca="1">OFFSET('VVP2'!$G$125,0,(COLUMN()-10)/4)</f>
        <v>3506.8252400000001</v>
      </c>
      <c r="BK260" s="1625"/>
      <c r="BL260" s="2916" t="s">
        <v>1694</v>
      </c>
      <c r="BM260" s="2917">
        <f ca="1">+BN260/BN259*100</f>
        <v>99.918717735094035</v>
      </c>
      <c r="BN260" s="1667">
        <f ca="1">OFFSET('VVP2'!$G$125,0,(COLUMN()-10)/4)</f>
        <v>3324.61418</v>
      </c>
      <c r="BO260" s="1625"/>
      <c r="BP260" s="2916" t="s">
        <v>1694</v>
      </c>
      <c r="BQ260" s="2917">
        <f ca="1">+BR260/BR259*100</f>
        <v>100.19172148722193</v>
      </c>
      <c r="BR260" s="1667">
        <f ca="1">OFFSET('VVP2'!$G$125,0,(COLUMN()-10)/4)</f>
        <v>3523.8240000000001</v>
      </c>
      <c r="BS260" s="1625"/>
      <c r="BT260" s="2916" t="s">
        <v>1694</v>
      </c>
      <c r="BU260" s="2917">
        <f ca="1">+BV260/BV259*100</f>
        <v>100.12494825276998</v>
      </c>
      <c r="BV260" s="1667">
        <f ca="1">OFFSET('VVP2'!$G$125,0,(COLUMN()-10)/4)</f>
        <v>3618.2352799999999</v>
      </c>
      <c r="BW260" s="1625"/>
      <c r="BX260" s="2916" t="s">
        <v>1694</v>
      </c>
      <c r="BY260" s="2917">
        <f ca="1">+BZ260/BZ259*100</f>
        <v>99.803949110043831</v>
      </c>
      <c r="BZ260" s="1667">
        <f ca="1">OFFSET('VVP2'!$G$125,0,(COLUMN()-10)/4)</f>
        <v>3607.4344000000001</v>
      </c>
      <c r="CA260" s="1625"/>
      <c r="CB260" s="2916" t="s">
        <v>1694</v>
      </c>
      <c r="CC260" s="2917">
        <f ca="1">+CD260/CD259*100</f>
        <v>99.824204123471588</v>
      </c>
      <c r="CD260" s="1667">
        <f ca="1">OFFSET('VVP2'!$G$125,0,(COLUMN()-10)/4)</f>
        <v>3652.1070399999999</v>
      </c>
      <c r="CE260" s="1625"/>
      <c r="CF260" s="2916" t="s">
        <v>1694</v>
      </c>
      <c r="CG260" s="2917">
        <f ca="1">+CH260/CH259*100</f>
        <v>99.723820207686515</v>
      </c>
      <c r="CH260" s="1667">
        <f ca="1">OFFSET('VVP2'!$G$125,0,(COLUMN()-10)/4)</f>
        <v>3747.13132</v>
      </c>
      <c r="CI260" s="1625"/>
      <c r="CJ260" s="2916" t="s">
        <v>1694</v>
      </c>
      <c r="CK260" s="2917">
        <f ca="1">+CL260/CL259*100</f>
        <v>99.958411833554479</v>
      </c>
      <c r="CL260" s="1667">
        <f ca="1">OFFSET('VVP2'!$G$125,0,(COLUMN()-10)/4)</f>
        <v>3914.1248100000003</v>
      </c>
      <c r="CM260" s="1625"/>
      <c r="CN260" s="2916" t="s">
        <v>1694</v>
      </c>
      <c r="CO260" s="2917">
        <f ca="1">+CP260/CP259*100</f>
        <v>100.18168995386563</v>
      </c>
      <c r="CP260" s="1667">
        <f ca="1">OFFSET('VVP2'!$G$125,0,(COLUMN()-10)/4)</f>
        <v>4019.1786000000002</v>
      </c>
      <c r="CQ260" s="1625"/>
      <c r="CR260" s="2916" t="s">
        <v>1694</v>
      </c>
      <c r="CS260" s="2917">
        <f ca="1">+CT260/CT259*100</f>
        <v>99.94078605875697</v>
      </c>
      <c r="CT260" s="1667">
        <f ca="1">OFFSET('VVP2'!$G$125,0,(COLUMN()-10)/4)</f>
        <v>4104.15193</v>
      </c>
      <c r="CU260" s="1625"/>
      <c r="CV260" s="2916" t="s">
        <v>1694</v>
      </c>
      <c r="CW260" s="2917">
        <f ca="1">+CX260/CX259*100</f>
        <v>99.935442952612107</v>
      </c>
      <c r="CX260" s="1667">
        <f ca="1">OFFSET('VVP2'!$G$125,0,(COLUMN()-10)/4)</f>
        <v>4201.6443341814747</v>
      </c>
      <c r="CY260" s="1625"/>
      <c r="CZ260" s="2916" t="s">
        <v>1694</v>
      </c>
      <c r="DA260" s="2917">
        <f ca="1">+DB260/DB259*100</f>
        <v>100.19672463371241</v>
      </c>
      <c r="DB260" s="1667">
        <f ca="1">OFFSET('VVP2'!$G$125,0,(COLUMN()-10)/4)</f>
        <v>4275.6248143323528</v>
      </c>
      <c r="DC260" s="1625"/>
      <c r="DD260" s="2916" t="s">
        <v>1694</v>
      </c>
      <c r="DE260" s="2917">
        <f ca="1">+DF260/DF259*100</f>
        <v>100.49110121858035</v>
      </c>
      <c r="DF260" s="1667">
        <f ca="1">OFFSET('VVP2'!$G$125,0,(COLUMN()-10)/4)</f>
        <v>4350.9151695176643</v>
      </c>
    </row>
    <row r="261" spans="1:110">
      <c r="AY261" s="217"/>
      <c r="BC261" s="1978"/>
      <c r="BD261" s="1978"/>
      <c r="BF261" s="217"/>
      <c r="BG261" s="1978"/>
      <c r="BH261" s="1978"/>
      <c r="BJ261" s="217"/>
      <c r="BK261" s="1978"/>
      <c r="BL261" s="1978"/>
      <c r="BN261" s="217"/>
      <c r="BO261" s="1978"/>
      <c r="BP261" s="1978"/>
      <c r="BR261" s="217"/>
      <c r="BS261" s="1978"/>
      <c r="BT261" s="1978"/>
      <c r="BV261" s="217"/>
      <c r="BW261" s="1978"/>
      <c r="BX261" s="1978"/>
      <c r="BY261" s="1978"/>
      <c r="BZ261" s="1978"/>
      <c r="CA261" s="1978"/>
      <c r="CB261" s="1978"/>
      <c r="CC261" s="1978"/>
      <c r="CD261" s="1978"/>
      <c r="CE261" s="1978"/>
      <c r="CF261" s="1978"/>
      <c r="CG261" s="1978"/>
      <c r="CH261" s="1978"/>
      <c r="CI261" s="1978"/>
      <c r="CJ261" s="1978"/>
      <c r="CK261" s="1978"/>
      <c r="CL261" s="1978"/>
      <c r="CM261" s="1978"/>
      <c r="CN261" s="1978"/>
      <c r="CO261" s="1978"/>
      <c r="CP261" s="1978"/>
      <c r="CQ261" s="1978"/>
      <c r="CR261" s="1978"/>
      <c r="CS261" s="1978"/>
      <c r="CT261" s="1978"/>
      <c r="CU261" s="1978"/>
      <c r="CV261" s="1978"/>
      <c r="CW261" s="1978"/>
      <c r="CX261" s="1978"/>
      <c r="CY261" s="1978"/>
      <c r="CZ261" s="1978"/>
      <c r="DA261" s="1978"/>
      <c r="DB261" s="1978"/>
      <c r="DC261" s="1978"/>
      <c r="DD261" s="1978"/>
      <c r="DE261" s="1978"/>
      <c r="DF261" s="1978"/>
    </row>
    <row r="262" spans="1:110" s="736" customFormat="1" ht="12.75" customHeight="1">
      <c r="A262" s="701"/>
      <c r="B262" s="701"/>
      <c r="C262" s="1603"/>
      <c r="D262" s="779"/>
      <c r="E262" s="780" t="s">
        <v>1641</v>
      </c>
      <c r="F262" s="781"/>
      <c r="G262" s="1630" t="str">
        <f t="shared" ref="G262:BD262" si="1080">G254</f>
        <v>Q1</v>
      </c>
      <c r="H262" s="1631" t="str">
        <f t="shared" si="1080"/>
        <v>Q2</v>
      </c>
      <c r="I262" s="1631" t="str">
        <f t="shared" si="1080"/>
        <v>Q3</v>
      </c>
      <c r="J262" s="1632" t="str">
        <f t="shared" si="1080"/>
        <v>Q4</v>
      </c>
      <c r="K262" s="1630" t="str">
        <f t="shared" si="1080"/>
        <v>Q1</v>
      </c>
      <c r="L262" s="1631" t="str">
        <f t="shared" si="1080"/>
        <v>Q2</v>
      </c>
      <c r="M262" s="1631" t="str">
        <f t="shared" si="1080"/>
        <v>Q3</v>
      </c>
      <c r="N262" s="1632" t="str">
        <f t="shared" si="1080"/>
        <v>Q4</v>
      </c>
      <c r="O262" s="1630" t="str">
        <f>O254</f>
        <v>Q1</v>
      </c>
      <c r="P262" s="1631" t="str">
        <f>P254</f>
        <v>Q2</v>
      </c>
      <c r="Q262" s="1631" t="str">
        <f>Q254</f>
        <v>Q3</v>
      </c>
      <c r="R262" s="1632" t="str">
        <f>R254</f>
        <v>Q4</v>
      </c>
      <c r="S262" s="1630" t="str">
        <f t="shared" si="1080"/>
        <v>Q1</v>
      </c>
      <c r="T262" s="1631" t="str">
        <f t="shared" si="1080"/>
        <v>Q2</v>
      </c>
      <c r="U262" s="1631" t="str">
        <f t="shared" si="1080"/>
        <v>Q3</v>
      </c>
      <c r="V262" s="1632" t="str">
        <f t="shared" si="1080"/>
        <v>Q4</v>
      </c>
      <c r="W262" s="1630" t="str">
        <f t="shared" si="1080"/>
        <v>Q1</v>
      </c>
      <c r="X262" s="1631" t="str">
        <f t="shared" si="1080"/>
        <v>Q2</v>
      </c>
      <c r="Y262" s="1631" t="str">
        <f t="shared" si="1080"/>
        <v>Q3</v>
      </c>
      <c r="Z262" s="1632" t="str">
        <f t="shared" si="1080"/>
        <v>Q4</v>
      </c>
      <c r="AA262" s="1630" t="str">
        <f t="shared" si="1080"/>
        <v>Q1</v>
      </c>
      <c r="AB262" s="1631" t="str">
        <f t="shared" si="1080"/>
        <v>Q2</v>
      </c>
      <c r="AC262" s="1631" t="str">
        <f t="shared" si="1080"/>
        <v>Q3</v>
      </c>
      <c r="AD262" s="1632" t="str">
        <f t="shared" si="1080"/>
        <v>Q4</v>
      </c>
      <c r="AE262" s="1630" t="str">
        <f t="shared" si="1080"/>
        <v>Q1</v>
      </c>
      <c r="AF262" s="1631" t="str">
        <f t="shared" si="1080"/>
        <v>Q2</v>
      </c>
      <c r="AG262" s="1631" t="str">
        <f t="shared" si="1080"/>
        <v>Q3</v>
      </c>
      <c r="AH262" s="1632" t="str">
        <f t="shared" si="1080"/>
        <v>Q4</v>
      </c>
      <c r="AI262" s="1630" t="str">
        <f t="shared" si="1080"/>
        <v>Q1</v>
      </c>
      <c r="AJ262" s="1631" t="str">
        <f t="shared" si="1080"/>
        <v>Q2</v>
      </c>
      <c r="AK262" s="1631" t="str">
        <f t="shared" si="1080"/>
        <v>Q3</v>
      </c>
      <c r="AL262" s="1632" t="str">
        <f t="shared" si="1080"/>
        <v>Q4</v>
      </c>
      <c r="AM262" s="1630" t="str">
        <f t="shared" si="1080"/>
        <v>Q1</v>
      </c>
      <c r="AN262" s="1631" t="str">
        <f t="shared" si="1080"/>
        <v>Q2</v>
      </c>
      <c r="AO262" s="1631" t="str">
        <f t="shared" si="1080"/>
        <v>Q3</v>
      </c>
      <c r="AP262" s="1632" t="str">
        <f t="shared" si="1080"/>
        <v>Q4</v>
      </c>
      <c r="AQ262" s="1630" t="str">
        <f>AQ254</f>
        <v>Q1</v>
      </c>
      <c r="AR262" s="1631" t="str">
        <f>AR254</f>
        <v>Q2</v>
      </c>
      <c r="AS262" s="1631" t="str">
        <f>AS254</f>
        <v>Q3</v>
      </c>
      <c r="AT262" s="1632" t="str">
        <f>AT254</f>
        <v>Q4</v>
      </c>
      <c r="AU262" s="1630" t="str">
        <f t="shared" si="1080"/>
        <v>Q1</v>
      </c>
      <c r="AV262" s="1631" t="str">
        <f t="shared" si="1080"/>
        <v>Q2</v>
      </c>
      <c r="AW262" s="1631" t="str">
        <f t="shared" si="1080"/>
        <v>Q3</v>
      </c>
      <c r="AX262" s="1632" t="str">
        <f t="shared" si="1080"/>
        <v>Q4</v>
      </c>
      <c r="AY262" s="1630" t="str">
        <f>AY254</f>
        <v>Q1</v>
      </c>
      <c r="AZ262" s="1631" t="str">
        <f>AZ254</f>
        <v>Q2</v>
      </c>
      <c r="BA262" s="1631" t="str">
        <f t="shared" si="1080"/>
        <v>Q3</v>
      </c>
      <c r="BB262" s="1631" t="str">
        <f t="shared" si="1080"/>
        <v>Q4</v>
      </c>
      <c r="BC262" s="1631" t="str">
        <f t="shared" si="1080"/>
        <v>Q1</v>
      </c>
      <c r="BD262" s="1631" t="str">
        <f t="shared" si="1080"/>
        <v>Q2</v>
      </c>
      <c r="BE262" s="1631" t="str">
        <f t="shared" ref="BE262:BJ262" si="1081">BE254</f>
        <v>Q3</v>
      </c>
      <c r="BF262" s="1632" t="str">
        <f t="shared" si="1081"/>
        <v>Q4</v>
      </c>
      <c r="BG262" s="1631" t="str">
        <f t="shared" si="1081"/>
        <v>Q1</v>
      </c>
      <c r="BH262" s="1631" t="str">
        <f t="shared" si="1081"/>
        <v>Q2</v>
      </c>
      <c r="BI262" s="1631" t="str">
        <f t="shared" si="1081"/>
        <v>Q3</v>
      </c>
      <c r="BJ262" s="1632" t="str">
        <f t="shared" si="1081"/>
        <v>Q4</v>
      </c>
      <c r="BK262" s="1631" t="str">
        <f t="shared" ref="BK262:BZ262" si="1082">BK254</f>
        <v>Q1</v>
      </c>
      <c r="BL262" s="1631" t="str">
        <f t="shared" si="1082"/>
        <v>Q2</v>
      </c>
      <c r="BM262" s="1631" t="str">
        <f t="shared" si="1082"/>
        <v>Q3</v>
      </c>
      <c r="BN262" s="1632" t="str">
        <f t="shared" si="1082"/>
        <v>Q4</v>
      </c>
      <c r="BO262" s="1631" t="str">
        <f t="shared" ref="BO262:BV262" si="1083">BO254</f>
        <v>Q1</v>
      </c>
      <c r="BP262" s="1631" t="str">
        <f t="shared" si="1083"/>
        <v>Q2</v>
      </c>
      <c r="BQ262" s="1631" t="str">
        <f t="shared" si="1083"/>
        <v>Q3</v>
      </c>
      <c r="BR262" s="1632" t="str">
        <f t="shared" si="1083"/>
        <v>Q4</v>
      </c>
      <c r="BS262" s="1631" t="str">
        <f t="shared" si="1083"/>
        <v>Q1</v>
      </c>
      <c r="BT262" s="1631" t="str">
        <f t="shared" si="1083"/>
        <v>Q2</v>
      </c>
      <c r="BU262" s="1631" t="str">
        <f t="shared" si="1083"/>
        <v>Q3</v>
      </c>
      <c r="BV262" s="1632" t="str">
        <f t="shared" si="1083"/>
        <v>Q4</v>
      </c>
      <c r="BW262" s="1631" t="str">
        <f t="shared" si="1082"/>
        <v>Q1</v>
      </c>
      <c r="BX262" s="1631" t="str">
        <f t="shared" si="1082"/>
        <v>Q2</v>
      </c>
      <c r="BY262" s="1631" t="str">
        <f t="shared" si="1082"/>
        <v>Q3</v>
      </c>
      <c r="BZ262" s="1631" t="str">
        <f t="shared" si="1082"/>
        <v>Q4</v>
      </c>
      <c r="CA262" s="1631" t="str">
        <f t="shared" ref="CA262:CL262" si="1084">CA254</f>
        <v>Q1</v>
      </c>
      <c r="CB262" s="1631" t="str">
        <f t="shared" si="1084"/>
        <v>Q2</v>
      </c>
      <c r="CC262" s="1631" t="str">
        <f t="shared" si="1084"/>
        <v>Q3</v>
      </c>
      <c r="CD262" s="1631" t="str">
        <f t="shared" si="1084"/>
        <v>Q4</v>
      </c>
      <c r="CE262" s="1631" t="str">
        <f>CE254</f>
        <v>Q1</v>
      </c>
      <c r="CF262" s="1631" t="str">
        <f>CF254</f>
        <v>Q2</v>
      </c>
      <c r="CG262" s="1631" t="str">
        <f t="shared" si="1084"/>
        <v>Q3</v>
      </c>
      <c r="CH262" s="1631" t="str">
        <f>CH254</f>
        <v>Q4</v>
      </c>
      <c r="CI262" s="1631" t="str">
        <f>CI254</f>
        <v>Q1</v>
      </c>
      <c r="CJ262" s="1631" t="str">
        <f>CJ254</f>
        <v>Q2</v>
      </c>
      <c r="CK262" s="1631" t="str">
        <f t="shared" si="1084"/>
        <v>Q3</v>
      </c>
      <c r="CL262" s="1631" t="str">
        <f t="shared" si="1084"/>
        <v>Q4</v>
      </c>
      <c r="CM262" s="1631" t="str">
        <f>CM254</f>
        <v>Q1</v>
      </c>
      <c r="CN262" s="1631" t="str">
        <f>CN254</f>
        <v>Q2</v>
      </c>
      <c r="CO262" s="1631" t="str">
        <f t="shared" ref="CO262:CP262" si="1085">CO254</f>
        <v>Q3</v>
      </c>
      <c r="CP262" s="1631" t="str">
        <f t="shared" si="1085"/>
        <v>Q4</v>
      </c>
      <c r="CQ262" s="1631" t="str">
        <f>CQ254</f>
        <v>Q1</v>
      </c>
      <c r="CR262" s="1631" t="str">
        <f>CR254</f>
        <v>Q2</v>
      </c>
      <c r="CS262" s="1631" t="str">
        <f t="shared" ref="CS262:CT262" si="1086">CS254</f>
        <v>Q3</v>
      </c>
      <c r="CT262" s="1631" t="str">
        <f t="shared" si="1086"/>
        <v>Q4</v>
      </c>
      <c r="CU262" s="1631" t="str">
        <f t="shared" ref="CU262:CX262" si="1087">CU254</f>
        <v>Q1</v>
      </c>
      <c r="CV262" s="1631" t="str">
        <f>CV254</f>
        <v>Q2</v>
      </c>
      <c r="CW262" s="1631" t="str">
        <f t="shared" si="1087"/>
        <v>Q3</v>
      </c>
      <c r="CX262" s="1631" t="str">
        <f t="shared" si="1087"/>
        <v>Q4</v>
      </c>
      <c r="CY262" s="1631" t="str">
        <f t="shared" ref="CY262:DB262" si="1088">CY254</f>
        <v>Q1</v>
      </c>
      <c r="CZ262" s="1631" t="str">
        <f t="shared" si="1088"/>
        <v>Q2</v>
      </c>
      <c r="DA262" s="1631" t="str">
        <f t="shared" si="1088"/>
        <v>Q3</v>
      </c>
      <c r="DB262" s="1631" t="str">
        <f t="shared" si="1088"/>
        <v>Q4</v>
      </c>
      <c r="DC262" s="1631" t="str">
        <f t="shared" ref="DC262:DF262" si="1089">DC254</f>
        <v>Q1</v>
      </c>
      <c r="DD262" s="1631" t="str">
        <f t="shared" si="1089"/>
        <v>Q2</v>
      </c>
      <c r="DE262" s="1631" t="str">
        <f t="shared" si="1089"/>
        <v>Q3</v>
      </c>
      <c r="DF262" s="1631" t="str">
        <f t="shared" si="1089"/>
        <v>Q4</v>
      </c>
    </row>
    <row r="263" spans="1:110" s="736" customFormat="1" ht="12.75" customHeight="1">
      <c r="B263" s="701"/>
      <c r="C263" s="729"/>
      <c r="D263" s="726"/>
      <c r="E263" s="775" t="str">
        <f>E258</f>
        <v xml:space="preserve">Gross domestic product at market prices                                         </v>
      </c>
      <c r="F263" s="770" t="s">
        <v>1406</v>
      </c>
      <c r="G263" s="1015"/>
      <c r="H263" s="1015">
        <f>(H258/G258-1)*100</f>
        <v>0.53028225275537633</v>
      </c>
      <c r="I263" s="1015">
        <f t="shared" ref="I263:BE263" si="1090">(I258/H258-1)*100</f>
        <v>0.35919501777073037</v>
      </c>
      <c r="J263" s="1015">
        <f t="shared" si="1090"/>
        <v>1.3361851862099039</v>
      </c>
      <c r="K263" s="1015">
        <f t="shared" si="1090"/>
        <v>0.37016380397996151</v>
      </c>
      <c r="L263" s="1015">
        <f t="shared" si="1090"/>
        <v>-0.75227975604164055</v>
      </c>
      <c r="M263" s="1015">
        <f t="shared" si="1090"/>
        <v>0.47670239237831424</v>
      </c>
      <c r="N263" s="1015">
        <f t="shared" si="1090"/>
        <v>0.7458407971366654</v>
      </c>
      <c r="O263" s="1015">
        <f>(O258/N258-1)*100</f>
        <v>0.58981850696857574</v>
      </c>
      <c r="P263" s="1015">
        <f>(P258/O258-1)*100</f>
        <v>1.2868755300363466</v>
      </c>
      <c r="Q263" s="1015">
        <f>(Q258/P258-1)*100</f>
        <v>0.99734374659805614</v>
      </c>
      <c r="R263" s="1015">
        <f>(R258/Q258-1)*100</f>
        <v>1.6847871745164333</v>
      </c>
      <c r="S263" s="1015">
        <f t="shared" si="1090"/>
        <v>0.25551139848023485</v>
      </c>
      <c r="T263" s="1015">
        <f t="shared" si="1090"/>
        <v>1.6184890028857035</v>
      </c>
      <c r="U263" s="1015">
        <f t="shared" si="1090"/>
        <v>0.52628277122037659</v>
      </c>
      <c r="V263" s="1015">
        <f t="shared" si="1090"/>
        <v>1.1064171127064482</v>
      </c>
      <c r="W263" s="1015">
        <f t="shared" si="1090"/>
        <v>1.4809233509144315</v>
      </c>
      <c r="X263" s="1015">
        <f t="shared" si="1090"/>
        <v>0.31750877773881747</v>
      </c>
      <c r="Y263" s="1015">
        <f t="shared" si="1090"/>
        <v>0.99696568588378831</v>
      </c>
      <c r="Z263" s="1015">
        <f t="shared" si="1090"/>
        <v>1.8291919586361782</v>
      </c>
      <c r="AA263" s="1015">
        <f t="shared" si="1090"/>
        <v>0.7262462352613408</v>
      </c>
      <c r="AB263" s="1015">
        <f t="shared" si="1090"/>
        <v>2.1751779470431387</v>
      </c>
      <c r="AC263" s="1015">
        <f t="shared" si="1090"/>
        <v>0.86950155702743004</v>
      </c>
      <c r="AD263" s="1015">
        <f t="shared" si="1090"/>
        <v>0.28043775270838456</v>
      </c>
      <c r="AE263" s="1015">
        <f t="shared" si="1090"/>
        <v>-0.24571717994025244</v>
      </c>
      <c r="AF263" s="1015">
        <f t="shared" si="1090"/>
        <v>0.43490656155062979</v>
      </c>
      <c r="AG263" s="1015">
        <f t="shared" si="1090"/>
        <v>0.61187118045795685</v>
      </c>
      <c r="AH263" s="1015">
        <f t="shared" si="1090"/>
        <v>0.60264175255966279</v>
      </c>
      <c r="AI263" s="1015">
        <f t="shared" si="1090"/>
        <v>-3.5548824130704482E-2</v>
      </c>
      <c r="AJ263" s="1015">
        <f t="shared" si="1090"/>
        <v>1.3835590214738014</v>
      </c>
      <c r="AK263" s="1015">
        <f t="shared" si="1090"/>
        <v>0.18701913062175723</v>
      </c>
      <c r="AL263" s="1015">
        <f t="shared" si="1090"/>
        <v>0.44236878302037486</v>
      </c>
      <c r="AM263" s="1015">
        <f t="shared" si="1090"/>
        <v>1.1931471862928644</v>
      </c>
      <c r="AN263" s="1015">
        <f t="shared" si="1090"/>
        <v>-0.42209606865875049</v>
      </c>
      <c r="AO263" s="1015">
        <f t="shared" si="1090"/>
        <v>1.3574586869907757</v>
      </c>
      <c r="AP263" s="1015">
        <f t="shared" si="1090"/>
        <v>0.60580899298801061</v>
      </c>
      <c r="AQ263" s="1015">
        <f>(AQ258/AP258-1)*100</f>
        <v>1.5515947259894247</v>
      </c>
      <c r="AR263" s="1015">
        <f>(AR258/AQ258-1)*100</f>
        <v>0.71573799353772394</v>
      </c>
      <c r="AS263" s="1015">
        <f>(AS258/AR258-1)*100</f>
        <v>0.86402058034196205</v>
      </c>
      <c r="AT263" s="1015">
        <f>(AT258/AS258-1)*100</f>
        <v>0.82613006093168462</v>
      </c>
      <c r="AU263" s="1015">
        <f t="shared" si="1090"/>
        <v>0.10531286405131013</v>
      </c>
      <c r="AV263" s="1015">
        <f t="shared" si="1090"/>
        <v>1.0788205434633324</v>
      </c>
      <c r="AW263" s="1015">
        <f t="shared" si="1090"/>
        <v>0.94251733460315457</v>
      </c>
      <c r="AX263" s="1015">
        <f t="shared" si="1090"/>
        <v>0.66924410796282974</v>
      </c>
      <c r="AY263" s="1015">
        <f t="shared" si="1090"/>
        <v>1.9550471022039551</v>
      </c>
      <c r="AZ263" s="1015">
        <f t="shared" si="1090"/>
        <v>1.144861057953217</v>
      </c>
      <c r="BA263" s="1015">
        <f t="shared" si="1090"/>
        <v>1.3177578177496985</v>
      </c>
      <c r="BB263" s="1015">
        <f>(BB258/BA258-1)*100</f>
        <v>0.57870674616624651</v>
      </c>
      <c r="BC263" s="1015">
        <f>(BC258/BB258-1)*100</f>
        <v>0.86343556295680468</v>
      </c>
      <c r="BD263" s="1015">
        <f>(BD258/BC258-1)*100</f>
        <v>0.71931879691298217</v>
      </c>
      <c r="BE263" s="1015">
        <f t="shared" si="1090"/>
        <v>0.77042770639212943</v>
      </c>
      <c r="BF263" s="1015">
        <f t="shared" ref="BF263:BZ263" si="1091">(BF258/BE258-1)*100</f>
        <v>1.2901196076039234</v>
      </c>
      <c r="BG263" s="1015">
        <f t="shared" si="1091"/>
        <v>-1.3344917211147944</v>
      </c>
      <c r="BH263" s="1015">
        <f t="shared" si="1091"/>
        <v>0.20929535422187229</v>
      </c>
      <c r="BI263" s="1015">
        <f t="shared" si="1091"/>
        <v>-0.2235220652464176</v>
      </c>
      <c r="BJ263" s="1015">
        <f t="shared" si="1091"/>
        <v>-3.7401159094177294</v>
      </c>
      <c r="BK263" s="1015">
        <f t="shared" si="1091"/>
        <v>-2.5160619376266569</v>
      </c>
      <c r="BL263" s="1015">
        <f t="shared" si="1091"/>
        <v>4.6780539873680915E-2</v>
      </c>
      <c r="BM263" s="1015">
        <f t="shared" si="1091"/>
        <v>7.5900044109444842E-2</v>
      </c>
      <c r="BN263" s="1015">
        <f t="shared" si="1091"/>
        <v>0.56664668426498199</v>
      </c>
      <c r="BO263" s="1015">
        <f t="shared" ref="BO263:BV263" si="1092">(BO258/BN258-1)*100</f>
        <v>2.3685834612188206</v>
      </c>
      <c r="BP263" s="1015">
        <f t="shared" si="1092"/>
        <v>2.18550257384027</v>
      </c>
      <c r="BQ263" s="1015">
        <f t="shared" si="1092"/>
        <v>1.2834275244796078</v>
      </c>
      <c r="BR263" s="1015">
        <f t="shared" si="1092"/>
        <v>1.8368496770541087</v>
      </c>
      <c r="BS263" s="1015">
        <f t="shared" si="1092"/>
        <v>-9.9639147705476994E-2</v>
      </c>
      <c r="BT263" s="1015">
        <f t="shared" si="1092"/>
        <v>0.29541918764997011</v>
      </c>
      <c r="BU263" s="1015">
        <f t="shared" si="1092"/>
        <v>0.97332999231447559</v>
      </c>
      <c r="BV263" s="1015">
        <f t="shared" si="1092"/>
        <v>-1.6742426650561137</v>
      </c>
      <c r="BW263" s="3274">
        <f t="shared" si="1091"/>
        <v>0.41482137798822816</v>
      </c>
      <c r="BX263" s="3274">
        <f t="shared" si="1091"/>
        <v>0.63936165748439411</v>
      </c>
      <c r="BY263" s="3274">
        <f t="shared" si="1091"/>
        <v>-7.9722727728537279E-2</v>
      </c>
      <c r="BZ263" s="3274">
        <f t="shared" si="1091"/>
        <v>-0.47940249562206105</v>
      </c>
      <c r="CA263" s="3275">
        <f t="shared" ref="CA263:CL263" si="1093">(CA258/BZ258-1)*100</f>
        <v>1.1844449143037838</v>
      </c>
      <c r="CB263" s="3275">
        <f t="shared" si="1093"/>
        <v>-0.3609686787724109</v>
      </c>
      <c r="CC263" s="3274">
        <f t="shared" si="1093"/>
        <v>0.69682500647805234</v>
      </c>
      <c r="CD263" s="3274">
        <f t="shared" si="1093"/>
        <v>0.7904655913467451</v>
      </c>
      <c r="CE263" s="3275">
        <f t="shared" si="1093"/>
        <v>0.71437275396584177</v>
      </c>
      <c r="CF263" s="3275">
        <f t="shared" si="1093"/>
        <v>0.74897227427979107</v>
      </c>
      <c r="CG263" s="3275">
        <f t="shared" si="1093"/>
        <v>0.43474502775733281</v>
      </c>
      <c r="CH263" s="3274">
        <f t="shared" si="1093"/>
        <v>1.3324292389980119</v>
      </c>
      <c r="CI263" s="3275">
        <f t="shared" si="1093"/>
        <v>1.0568109643114054</v>
      </c>
      <c r="CJ263" s="3275">
        <f t="shared" si="1093"/>
        <v>0.88414683554614015</v>
      </c>
      <c r="CK263" s="3275">
        <f t="shared" si="1093"/>
        <v>1.4833864934650443</v>
      </c>
      <c r="CL263" s="3275">
        <f t="shared" si="1093"/>
        <v>1.1124189267073037</v>
      </c>
      <c r="CM263" s="3275">
        <f t="shared" ref="CM263" si="1094">(CM258/CL258-1)*100</f>
        <v>8.611215031302244E-2</v>
      </c>
      <c r="CN263" s="3275">
        <f t="shared" ref="CN263:CP263" si="1095">(CN258/CM258-1)*100</f>
        <v>0.25172725343065583</v>
      </c>
      <c r="CO263" s="3275">
        <f t="shared" si="1095"/>
        <v>0.49016867263103059</v>
      </c>
      <c r="CP263" s="3275">
        <f t="shared" si="1095"/>
        <v>0.51339577405928871</v>
      </c>
      <c r="CQ263" s="3275">
        <f t="shared" ref="CQ263" si="1096">(CQ258/CP258-1)*100</f>
        <v>0.40423031820462363</v>
      </c>
      <c r="CR263" s="3275">
        <f t="shared" ref="CR263" si="1097">(CR258/CQ258-1)*100</f>
        <v>1.1457377241083533</v>
      </c>
      <c r="CS263" s="3275">
        <f t="shared" ref="CS263" si="1098">(CS258/CR258-1)*100</f>
        <v>0.42094558459544462</v>
      </c>
      <c r="CT263" s="3275">
        <f t="shared" ref="CT263:CV263" si="1099">(CT258/CS258-1)*100</f>
        <v>0.68827524174299715</v>
      </c>
      <c r="CU263" s="3275">
        <f t="shared" si="1099"/>
        <v>0.54930177229954857</v>
      </c>
      <c r="CV263" s="3275">
        <f t="shared" si="1099"/>
        <v>0.76488268205716636</v>
      </c>
      <c r="CW263" s="1840">
        <f t="shared" ref="CW263" si="1100">(CW258/CV258-1)*100</f>
        <v>0.25200539014402779</v>
      </c>
      <c r="CX263" s="1840">
        <f t="shared" ref="CX263" si="1101">(CX258/CW258-1)*100</f>
        <v>0.40329740728684005</v>
      </c>
      <c r="CY263" s="1840">
        <f t="shared" ref="CY263" si="1102">(CY258/CX258-1)*100</f>
        <v>0.32868125784137892</v>
      </c>
      <c r="CZ263" s="1840">
        <f t="shared" ref="CZ263" si="1103">(CZ258/CY258-1)*100</f>
        <v>0.40458909801095455</v>
      </c>
      <c r="DA263" s="1840">
        <f t="shared" ref="DA263" si="1104">(DA258/CZ258-1)*100</f>
        <v>0.33811235517571259</v>
      </c>
      <c r="DB263" s="1840">
        <f t="shared" ref="DB263" si="1105">(DB258/DA258-1)*100</f>
        <v>0.26833399675958436</v>
      </c>
      <c r="DC263" s="1840">
        <f t="shared" ref="DC263" si="1106">(DC258/DB258-1)*100</f>
        <v>0.36624145647452533</v>
      </c>
      <c r="DD263" s="1840">
        <f t="shared" ref="DD263" si="1107">(DD258/DC258-1)*100</f>
        <v>0.43016720058188795</v>
      </c>
      <c r="DE263" s="1840">
        <f t="shared" ref="DE263" si="1108">(DE258/DD258-1)*100</f>
        <v>0.42310630741280164</v>
      </c>
      <c r="DF263" s="1840">
        <f t="shared" ref="DF263" si="1109">(DF258/DE258-1)*100</f>
        <v>0.33113125304427005</v>
      </c>
    </row>
    <row r="264" spans="1:110" ht="12.75">
      <c r="C264" s="1605"/>
      <c r="D264" s="1633"/>
      <c r="E264" s="1634" t="s">
        <v>1783</v>
      </c>
      <c r="F264" s="1704"/>
      <c r="G264" s="1657"/>
      <c r="H264" s="1658"/>
      <c r="I264" s="1658"/>
      <c r="J264" s="1658"/>
      <c r="K264" s="1659"/>
      <c r="L264" s="1659"/>
      <c r="M264" s="1659"/>
      <c r="N264" s="1660">
        <f>N259/J259*100-100</f>
        <v>1.5431000488480322</v>
      </c>
      <c r="O264" s="1659"/>
      <c r="P264" s="1659"/>
      <c r="Q264" s="1659"/>
      <c r="R264" s="1660">
        <f>R259/N259*100-100</f>
        <v>3.1245092403529071</v>
      </c>
      <c r="S264" s="1659"/>
      <c r="T264" s="1659"/>
      <c r="U264" s="1659"/>
      <c r="V264" s="1660">
        <f>V259/R259*100-100</f>
        <v>4.1458219706417765</v>
      </c>
      <c r="W264" s="1659"/>
      <c r="X264" s="1659"/>
      <c r="Y264" s="1659"/>
      <c r="Z264" s="1660">
        <f>Z259/V259*100-100</f>
        <v>4.2339253000918973</v>
      </c>
      <c r="AA264" s="1659"/>
      <c r="AB264" s="1659"/>
      <c r="AC264" s="1659"/>
      <c r="AD264" s="1660">
        <f>AD259/Z259*100-100</f>
        <v>4.8919587690220823</v>
      </c>
      <c r="AE264" s="1659"/>
      <c r="AF264" s="1659"/>
      <c r="AG264" s="1659"/>
      <c r="AH264" s="1660">
        <f>AH259/AD259*100-100</f>
        <v>1.7238268667858989</v>
      </c>
      <c r="AI264" s="1659"/>
      <c r="AJ264" s="1659"/>
      <c r="AK264" s="1659"/>
      <c r="AL264" s="1660">
        <f>AL259/AH259*100-100</f>
        <v>2.0851944987798845</v>
      </c>
      <c r="AM264" s="1659"/>
      <c r="AN264" s="1659"/>
      <c r="AO264" s="1659"/>
      <c r="AP264" s="1660">
        <f>AP259/AL259*100-100</f>
        <v>2.4926837121272456</v>
      </c>
      <c r="AQ264" s="1659"/>
      <c r="AR264" s="1659"/>
      <c r="AS264" s="1659"/>
      <c r="AT264" s="1660">
        <f>AT259/AP259*100-100</f>
        <v>3.8034902020475556</v>
      </c>
      <c r="AU264" s="1659"/>
      <c r="AV264" s="1659"/>
      <c r="AW264" s="1659"/>
      <c r="AX264" s="1660">
        <f>AX259/AT259*100-100</f>
        <v>2.8111612745050252</v>
      </c>
      <c r="AY264" s="1659"/>
      <c r="AZ264" s="1659"/>
      <c r="BA264" s="1661"/>
      <c r="BB264" s="1660">
        <f>BB259/AX259*100-100</f>
        <v>4.9466121733380106</v>
      </c>
      <c r="BC264" s="1661"/>
      <c r="BD264" s="1661"/>
      <c r="BE264" s="1661"/>
      <c r="BF264" s="1660">
        <f>BF259/BB259*100-100</f>
        <v>3.5327823402735277</v>
      </c>
      <c r="BG264" s="1661"/>
      <c r="BH264" s="1661"/>
      <c r="BI264" s="1661"/>
      <c r="BJ264" s="1660">
        <f>BJ259/BF259*100-100</f>
        <v>-0.71573209051240383</v>
      </c>
      <c r="BK264" s="1661"/>
      <c r="BL264" s="1661"/>
      <c r="BM264" s="1661"/>
      <c r="BN264" s="1660">
        <f>BN259/BJ259*100-100</f>
        <v>-5.1299832817234261</v>
      </c>
      <c r="BO264" s="1661"/>
      <c r="BP264" s="1661"/>
      <c r="BQ264" s="1661"/>
      <c r="BR264" s="1660">
        <f>BR259/BN259*100-100</f>
        <v>5.7031597243750696</v>
      </c>
      <c r="BS264" s="1661"/>
      <c r="BT264" s="1661"/>
      <c r="BU264" s="1661"/>
      <c r="BV264" s="1660">
        <f>BV259/BR259*100-100</f>
        <v>2.7477047017114558</v>
      </c>
      <c r="BW264" s="1661"/>
      <c r="BX264" s="1661"/>
      <c r="BY264" s="1661"/>
      <c r="BZ264" s="1660">
        <f>BZ259/BV259*100-100</f>
        <v>2.2157223027789996E-2</v>
      </c>
      <c r="CA264" s="1661"/>
      <c r="CB264" s="1661"/>
      <c r="CC264" s="1661"/>
      <c r="CD264" s="1660">
        <f>CD259/BZ259*100-100</f>
        <v>1.2178073845309711</v>
      </c>
      <c r="CE264" s="1661"/>
      <c r="CF264" s="1661"/>
      <c r="CG264" s="1661"/>
      <c r="CH264" s="1660">
        <f>CH259/CD259*100-100</f>
        <v>2.7051839770120267</v>
      </c>
      <c r="CI264" s="1661"/>
      <c r="CJ264" s="1661"/>
      <c r="CK264" s="1661"/>
      <c r="CL264" s="1660">
        <f>CL259/CH259*100-100</f>
        <v>4.2114206093143167</v>
      </c>
      <c r="CM264" s="1661"/>
      <c r="CN264" s="1661"/>
      <c r="CO264" s="1661"/>
      <c r="CP264" s="1660">
        <f>CP259/CL259*100-100</f>
        <v>2.4551112553490242</v>
      </c>
      <c r="CQ264" s="1661"/>
      <c r="CR264" s="1661"/>
      <c r="CS264" s="1661"/>
      <c r="CT264" s="1660">
        <f>CT259/CP259*100-100</f>
        <v>2.3603392456432033</v>
      </c>
      <c r="CU264" s="1661"/>
      <c r="CV264" s="1661"/>
      <c r="CW264" s="1661"/>
      <c r="CX264" s="1660">
        <f>CX259/CT259*100-100</f>
        <v>2.3809315344031745</v>
      </c>
      <c r="CY264" s="1661"/>
      <c r="CZ264" s="1661"/>
      <c r="DA264" s="1661"/>
      <c r="DB264" s="1660">
        <f>DB259/CX259*100-100</f>
        <v>1.4953904841931092</v>
      </c>
      <c r="DC264" s="1661"/>
      <c r="DD264" s="1661"/>
      <c r="DE264" s="1661"/>
      <c r="DF264" s="1660">
        <f>DF259/DB259*100-100</f>
        <v>1.4628241633329822</v>
      </c>
    </row>
    <row r="265" spans="1:110" s="736" customFormat="1" ht="12.75" customHeight="1">
      <c r="A265" s="701"/>
      <c r="B265" s="701"/>
      <c r="C265" s="703"/>
      <c r="D265" s="754"/>
      <c r="E265" s="1648" t="s">
        <v>136</v>
      </c>
      <c r="F265" s="754"/>
      <c r="G265" s="1649"/>
      <c r="H265" s="1649"/>
      <c r="I265" s="1649"/>
      <c r="J265" s="1650"/>
      <c r="K265" s="1649"/>
      <c r="L265" s="1649"/>
      <c r="M265" s="1649"/>
      <c r="N265" s="1651">
        <f ca="1">N260/J260*100-100</f>
        <v>1.5190345789659006</v>
      </c>
      <c r="O265" s="1649"/>
      <c r="P265" s="1649"/>
      <c r="Q265" s="1649"/>
      <c r="R265" s="1651">
        <f ca="1">R260/N260*100-100</f>
        <v>2.9123066792213592</v>
      </c>
      <c r="S265" s="1649"/>
      <c r="T265" s="1649"/>
      <c r="U265" s="1649"/>
      <c r="V265" s="1651">
        <f ca="1">V260/R260*100-100</f>
        <v>4.2409560508338586</v>
      </c>
      <c r="W265" s="1649"/>
      <c r="X265" s="1649"/>
      <c r="Y265" s="1649"/>
      <c r="Z265" s="1651">
        <f ca="1">Z260/V260*100-100</f>
        <v>4.4867022926029989</v>
      </c>
      <c r="AA265" s="1649"/>
      <c r="AB265" s="1649"/>
      <c r="AC265" s="1649"/>
      <c r="AD265" s="1651">
        <f ca="1">AD260/Z260*100-100</f>
        <v>4.7456166368949937</v>
      </c>
      <c r="AE265" s="1649"/>
      <c r="AF265" s="1649"/>
      <c r="AG265" s="1649"/>
      <c r="AH265" s="1651">
        <f ca="1">AH260/AD260*100-100</f>
        <v>1.573445963497889</v>
      </c>
      <c r="AI265" s="1649"/>
      <c r="AJ265" s="1649"/>
      <c r="AK265" s="1649"/>
      <c r="AL265" s="1651">
        <f ca="1">AL260/AH260*100-100</f>
        <v>2.075300801241923</v>
      </c>
      <c r="AM265" s="1649"/>
      <c r="AN265" s="1649"/>
      <c r="AO265" s="1649"/>
      <c r="AP265" s="1651">
        <f ca="1">AP260/AL260*100-100</f>
        <v>2.3597762270646001</v>
      </c>
      <c r="AQ265" s="1649"/>
      <c r="AR265" s="1649"/>
      <c r="AS265" s="1649"/>
      <c r="AT265" s="1651">
        <f ca="1">AT260/AP260*100-100</f>
        <v>4.3107832390854242</v>
      </c>
      <c r="AU265" s="1649"/>
      <c r="AV265" s="1649"/>
      <c r="AW265" s="1649"/>
      <c r="AX265" s="1651">
        <f ca="1">AX260/AT260*100-100</f>
        <v>2.8166773859819045</v>
      </c>
      <c r="AY265" s="1649"/>
      <c r="AZ265" s="1649"/>
      <c r="BA265" s="1663"/>
      <c r="BB265" s="1651">
        <f ca="1">BB260/AX260*100-100</f>
        <v>4.6995582969571217</v>
      </c>
      <c r="BC265" s="1663"/>
      <c r="BD265" s="1663"/>
      <c r="BE265" s="1663"/>
      <c r="BF265" s="1651">
        <f ca="1">BF260/BB260*100-100</f>
        <v>3.4080983285069948</v>
      </c>
      <c r="BG265" s="1663"/>
      <c r="BH265" s="1663"/>
      <c r="BI265" s="1663"/>
      <c r="BJ265" s="1651">
        <f ca="1">BJ260/BF260*100-100</f>
        <v>-0.55705795199625641</v>
      </c>
      <c r="BK265" s="1663"/>
      <c r="BL265" s="1663"/>
      <c r="BM265" s="1663"/>
      <c r="BN265" s="1651">
        <f ca="1">BN260/BJ260*100-100</f>
        <v>-5.1958979284636371</v>
      </c>
      <c r="BO265" s="1663"/>
      <c r="BP265" s="1663"/>
      <c r="BQ265" s="1663"/>
      <c r="BR265" s="1651">
        <f ca="1">BR260/BN260*100-100</f>
        <v>5.991968066502082</v>
      </c>
      <c r="BS265" s="1663"/>
      <c r="BT265" s="1663"/>
      <c r="BU265" s="1663"/>
      <c r="BV265" s="1651">
        <f ca="1">BV260/BR260*100-100</f>
        <v>2.6792280204686705</v>
      </c>
      <c r="BW265" s="1663"/>
      <c r="BX265" s="1663"/>
      <c r="BY265" s="1663"/>
      <c r="BZ265" s="1651">
        <f ca="1">BZ260/BV260*100-100</f>
        <v>-0.29851237313677359</v>
      </c>
      <c r="CA265" s="1663"/>
      <c r="CB265" s="1663"/>
      <c r="CC265" s="1663"/>
      <c r="CD265" s="1651">
        <f ca="1">CD260/BZ260*100-100</f>
        <v>1.2383493376899537</v>
      </c>
      <c r="CE265" s="1663"/>
      <c r="CF265" s="1663"/>
      <c r="CG265" s="1663"/>
      <c r="CH265" s="1651">
        <f ca="1">CH260/CD260*100-100</f>
        <v>2.6019029277958907</v>
      </c>
      <c r="CI265" s="1663"/>
      <c r="CJ265" s="1663"/>
      <c r="CK265" s="1663"/>
      <c r="CL265" s="1651">
        <f ca="1">CL260/CH260*100-100</f>
        <v>4.4565689253719682</v>
      </c>
      <c r="CM265" s="1663"/>
      <c r="CN265" s="1663"/>
      <c r="CO265" s="1663"/>
      <c r="CP265" s="1651">
        <f ca="1">CP260/CL260*100-100</f>
        <v>2.6839662785306047</v>
      </c>
      <c r="CQ265" s="1663"/>
      <c r="CR265" s="1663"/>
      <c r="CS265" s="1663"/>
      <c r="CT265" s="1651">
        <f ca="1">CT260/CP260*100-100</f>
        <v>2.1141964181437487</v>
      </c>
      <c r="CU265" s="1663"/>
      <c r="CV265" s="1663"/>
      <c r="CW265" s="1663"/>
      <c r="CX265" s="1651">
        <f ca="1">CX260/CT260*100-100</f>
        <v>2.3754579714468491</v>
      </c>
      <c r="CY265" s="1663"/>
      <c r="CZ265" s="1663"/>
      <c r="DA265" s="1663"/>
      <c r="DB265" s="1651">
        <f ca="1">DB260/CX260*100-100</f>
        <v>1.7607506553809742</v>
      </c>
      <c r="DC265" s="1663"/>
      <c r="DD265" s="1663"/>
      <c r="DE265" s="1663"/>
      <c r="DF265" s="1651">
        <f ca="1">DF260/DB260*100-100</f>
        <v>1.7609205310281197</v>
      </c>
    </row>
    <row r="266" spans="1:110">
      <c r="AY266" s="217"/>
      <c r="BB266" s="2016"/>
      <c r="BF266" s="217"/>
      <c r="BJ266" s="217"/>
      <c r="BN266" s="217"/>
      <c r="BR266" s="217"/>
      <c r="BV266" s="217"/>
    </row>
    <row r="267" spans="1:110" s="736" customFormat="1" ht="12.75" customHeight="1">
      <c r="A267" s="701"/>
      <c r="B267" s="701"/>
      <c r="C267" s="703"/>
      <c r="D267" s="895"/>
      <c r="E267" s="896"/>
      <c r="F267" s="897"/>
      <c r="G267" s="1645" t="str">
        <f>+G262</f>
        <v>Q1</v>
      </c>
      <c r="H267" s="1640" t="str">
        <f t="shared" ref="H267:BD267" si="1110">+H262</f>
        <v>Q2</v>
      </c>
      <c r="I267" s="1640" t="str">
        <f t="shared" si="1110"/>
        <v>Q3</v>
      </c>
      <c r="J267" s="1646" t="str">
        <f t="shared" si="1110"/>
        <v>Q4</v>
      </c>
      <c r="K267" s="1645" t="str">
        <f>+K262</f>
        <v>Q1</v>
      </c>
      <c r="L267" s="1640" t="str">
        <f t="shared" si="1110"/>
        <v>Q2</v>
      </c>
      <c r="M267" s="1640" t="str">
        <f t="shared" si="1110"/>
        <v>Q3</v>
      </c>
      <c r="N267" s="1646" t="str">
        <f t="shared" si="1110"/>
        <v>Q4</v>
      </c>
      <c r="O267" s="1645" t="str">
        <f>+O262</f>
        <v>Q1</v>
      </c>
      <c r="P267" s="1640" t="str">
        <f t="shared" si="1110"/>
        <v>Q2</v>
      </c>
      <c r="Q267" s="1640" t="str">
        <f t="shared" si="1110"/>
        <v>Q3</v>
      </c>
      <c r="R267" s="1646" t="str">
        <f t="shared" si="1110"/>
        <v>Q4</v>
      </c>
      <c r="S267" s="1645" t="str">
        <f>+S262</f>
        <v>Q1</v>
      </c>
      <c r="T267" s="1640" t="str">
        <f t="shared" si="1110"/>
        <v>Q2</v>
      </c>
      <c r="U267" s="1640" t="str">
        <f t="shared" si="1110"/>
        <v>Q3</v>
      </c>
      <c r="V267" s="1646" t="str">
        <f t="shared" si="1110"/>
        <v>Q4</v>
      </c>
      <c r="W267" s="1645" t="str">
        <f>+W262</f>
        <v>Q1</v>
      </c>
      <c r="X267" s="1640" t="str">
        <f t="shared" si="1110"/>
        <v>Q2</v>
      </c>
      <c r="Y267" s="1640" t="str">
        <f t="shared" si="1110"/>
        <v>Q3</v>
      </c>
      <c r="Z267" s="1646" t="str">
        <f t="shared" si="1110"/>
        <v>Q4</v>
      </c>
      <c r="AA267" s="1645" t="str">
        <f>+AA262</f>
        <v>Q1</v>
      </c>
      <c r="AB267" s="1640" t="str">
        <f t="shared" si="1110"/>
        <v>Q2</v>
      </c>
      <c r="AC267" s="1640" t="str">
        <f t="shared" si="1110"/>
        <v>Q3</v>
      </c>
      <c r="AD267" s="1646" t="str">
        <f t="shared" si="1110"/>
        <v>Q4</v>
      </c>
      <c r="AE267" s="1645" t="str">
        <f>+AE262</f>
        <v>Q1</v>
      </c>
      <c r="AF267" s="1640" t="str">
        <f t="shared" si="1110"/>
        <v>Q2</v>
      </c>
      <c r="AG267" s="1640" t="str">
        <f t="shared" si="1110"/>
        <v>Q3</v>
      </c>
      <c r="AH267" s="1646" t="str">
        <f t="shared" si="1110"/>
        <v>Q4</v>
      </c>
      <c r="AI267" s="1645" t="str">
        <f>+AI262</f>
        <v>Q1</v>
      </c>
      <c r="AJ267" s="1640" t="str">
        <f t="shared" si="1110"/>
        <v>Q2</v>
      </c>
      <c r="AK267" s="1640" t="str">
        <f t="shared" si="1110"/>
        <v>Q3</v>
      </c>
      <c r="AL267" s="1646" t="str">
        <f t="shared" si="1110"/>
        <v>Q4</v>
      </c>
      <c r="AM267" s="1645" t="str">
        <f>+AM262</f>
        <v>Q1</v>
      </c>
      <c r="AN267" s="1640" t="str">
        <f t="shared" si="1110"/>
        <v>Q2</v>
      </c>
      <c r="AO267" s="1640" t="str">
        <f t="shared" si="1110"/>
        <v>Q3</v>
      </c>
      <c r="AP267" s="1646" t="str">
        <f t="shared" si="1110"/>
        <v>Q4</v>
      </c>
      <c r="AQ267" s="1645" t="str">
        <f>+AQ262</f>
        <v>Q1</v>
      </c>
      <c r="AR267" s="1640" t="str">
        <f t="shared" si="1110"/>
        <v>Q2</v>
      </c>
      <c r="AS267" s="1640" t="str">
        <f t="shared" si="1110"/>
        <v>Q3</v>
      </c>
      <c r="AT267" s="1646" t="str">
        <f t="shared" si="1110"/>
        <v>Q4</v>
      </c>
      <c r="AU267" s="1645" t="str">
        <f>+AU262</f>
        <v>Q1</v>
      </c>
      <c r="AV267" s="1640" t="str">
        <f t="shared" si="1110"/>
        <v>Q2</v>
      </c>
      <c r="AW267" s="1640" t="str">
        <f t="shared" si="1110"/>
        <v>Q3</v>
      </c>
      <c r="AX267" s="1646" t="str">
        <f t="shared" si="1110"/>
        <v>Q4</v>
      </c>
      <c r="AY267" s="1645" t="str">
        <f>+AY262</f>
        <v>Q1</v>
      </c>
      <c r="AZ267" s="1640" t="str">
        <f t="shared" si="1110"/>
        <v>Q2</v>
      </c>
      <c r="BA267" s="1640" t="str">
        <f t="shared" si="1110"/>
        <v>Q3</v>
      </c>
      <c r="BB267" s="1646" t="str">
        <f t="shared" si="1110"/>
        <v>Q4</v>
      </c>
      <c r="BC267" s="1645" t="str">
        <f>+BC262</f>
        <v>Q1</v>
      </c>
      <c r="BD267" s="1640" t="str">
        <f t="shared" si="1110"/>
        <v>Q2</v>
      </c>
      <c r="BE267" s="1640" t="str">
        <f t="shared" ref="BE267:BJ267" si="1111">+BE262</f>
        <v>Q3</v>
      </c>
      <c r="BF267" s="1646" t="str">
        <f t="shared" si="1111"/>
        <v>Q4</v>
      </c>
      <c r="BG267" s="1645" t="str">
        <f t="shared" si="1111"/>
        <v>Q1</v>
      </c>
      <c r="BH267" s="1640" t="str">
        <f t="shared" si="1111"/>
        <v>Q2</v>
      </c>
      <c r="BI267" s="1640" t="str">
        <f t="shared" si="1111"/>
        <v>Q3</v>
      </c>
      <c r="BJ267" s="1646" t="str">
        <f t="shared" si="1111"/>
        <v>Q4</v>
      </c>
      <c r="BK267" s="1645" t="str">
        <f t="shared" ref="BK267:BZ267" si="1112">+BK262</f>
        <v>Q1</v>
      </c>
      <c r="BL267" s="1640" t="str">
        <f t="shared" si="1112"/>
        <v>Q2</v>
      </c>
      <c r="BM267" s="1640" t="str">
        <f t="shared" si="1112"/>
        <v>Q3</v>
      </c>
      <c r="BN267" s="1646" t="str">
        <f t="shared" si="1112"/>
        <v>Q4</v>
      </c>
      <c r="BO267" s="1645" t="str">
        <f t="shared" ref="BO267:BV267" si="1113">+BO262</f>
        <v>Q1</v>
      </c>
      <c r="BP267" s="1640" t="str">
        <f t="shared" si="1113"/>
        <v>Q2</v>
      </c>
      <c r="BQ267" s="1640" t="str">
        <f t="shared" si="1113"/>
        <v>Q3</v>
      </c>
      <c r="BR267" s="1646" t="str">
        <f t="shared" si="1113"/>
        <v>Q4</v>
      </c>
      <c r="BS267" s="1645" t="str">
        <f t="shared" si="1113"/>
        <v>Q1</v>
      </c>
      <c r="BT267" s="1640" t="str">
        <f t="shared" si="1113"/>
        <v>Q2</v>
      </c>
      <c r="BU267" s="1640" t="str">
        <f t="shared" si="1113"/>
        <v>Q3</v>
      </c>
      <c r="BV267" s="1646" t="str">
        <f t="shared" si="1113"/>
        <v>Q4</v>
      </c>
      <c r="BW267" s="1645" t="str">
        <f t="shared" si="1112"/>
        <v>Q1</v>
      </c>
      <c r="BX267" s="1640" t="str">
        <f t="shared" si="1112"/>
        <v>Q2</v>
      </c>
      <c r="BY267" s="1640" t="str">
        <f t="shared" si="1112"/>
        <v>Q3</v>
      </c>
      <c r="BZ267" s="1646" t="str">
        <f t="shared" si="1112"/>
        <v>Q4</v>
      </c>
      <c r="CA267" s="1645" t="str">
        <f t="shared" ref="CA267:CL267" si="1114">+CA262</f>
        <v>Q1</v>
      </c>
      <c r="CB267" s="1640" t="str">
        <f t="shared" si="1114"/>
        <v>Q2</v>
      </c>
      <c r="CC267" s="1640" t="str">
        <f t="shared" si="1114"/>
        <v>Q3</v>
      </c>
      <c r="CD267" s="1646" t="str">
        <f t="shared" si="1114"/>
        <v>Q4</v>
      </c>
      <c r="CE267" s="1645" t="str">
        <f>+CE262</f>
        <v>Q1</v>
      </c>
      <c r="CF267" s="1640" t="str">
        <f>+CF262</f>
        <v>Q2</v>
      </c>
      <c r="CG267" s="1640" t="str">
        <f t="shared" si="1114"/>
        <v>Q3</v>
      </c>
      <c r="CH267" s="1646" t="str">
        <f>+CH262</f>
        <v>Q4</v>
      </c>
      <c r="CI267" s="1645" t="str">
        <f>+CI262</f>
        <v>Q1</v>
      </c>
      <c r="CJ267" s="1640" t="str">
        <f>+CJ262</f>
        <v>Q2</v>
      </c>
      <c r="CK267" s="1640" t="str">
        <f t="shared" si="1114"/>
        <v>Q3</v>
      </c>
      <c r="CL267" s="1646" t="str">
        <f t="shared" si="1114"/>
        <v>Q4</v>
      </c>
      <c r="CM267" s="1645" t="str">
        <f>+CM262</f>
        <v>Q1</v>
      </c>
      <c r="CN267" s="1640" t="str">
        <f>+CN262</f>
        <v>Q2</v>
      </c>
      <c r="CO267" s="1640" t="str">
        <f t="shared" ref="CO267:CP267" si="1115">+CO262</f>
        <v>Q3</v>
      </c>
      <c r="CP267" s="1646" t="str">
        <f t="shared" si="1115"/>
        <v>Q4</v>
      </c>
      <c r="CQ267" s="1645" t="str">
        <f>+CQ262</f>
        <v>Q1</v>
      </c>
      <c r="CR267" s="1640" t="str">
        <f>+CR262</f>
        <v>Q2</v>
      </c>
      <c r="CS267" s="1640" t="str">
        <f t="shared" ref="CS267:CT267" si="1116">+CS262</f>
        <v>Q3</v>
      </c>
      <c r="CT267" s="1646" t="str">
        <f t="shared" si="1116"/>
        <v>Q4</v>
      </c>
      <c r="CU267" s="1645" t="str">
        <f t="shared" ref="CU267:CX267" si="1117">+CU262</f>
        <v>Q1</v>
      </c>
      <c r="CV267" s="1640" t="str">
        <f>+CV262</f>
        <v>Q2</v>
      </c>
      <c r="CW267" s="1640" t="str">
        <f t="shared" si="1117"/>
        <v>Q3</v>
      </c>
      <c r="CX267" s="1646" t="str">
        <f t="shared" si="1117"/>
        <v>Q4</v>
      </c>
      <c r="CY267" s="1645" t="str">
        <f t="shared" ref="CY267:DB267" si="1118">+CY262</f>
        <v>Q1</v>
      </c>
      <c r="CZ267" s="1640" t="str">
        <f t="shared" si="1118"/>
        <v>Q2</v>
      </c>
      <c r="DA267" s="1640" t="str">
        <f t="shared" si="1118"/>
        <v>Q3</v>
      </c>
      <c r="DB267" s="1646" t="str">
        <f t="shared" si="1118"/>
        <v>Q4</v>
      </c>
      <c r="DC267" s="1645" t="str">
        <f t="shared" ref="DC267:DF267" si="1119">+DC262</f>
        <v>Q1</v>
      </c>
      <c r="DD267" s="1640" t="str">
        <f t="shared" si="1119"/>
        <v>Q2</v>
      </c>
      <c r="DE267" s="1640" t="str">
        <f t="shared" si="1119"/>
        <v>Q3</v>
      </c>
      <c r="DF267" s="1646" t="str">
        <f t="shared" si="1119"/>
        <v>Q4</v>
      </c>
    </row>
    <row r="268" spans="1:110" s="736" customFormat="1" ht="12.75" customHeight="1">
      <c r="A268" s="701"/>
      <c r="B268" s="701"/>
      <c r="C268" s="899"/>
      <c r="D268" s="900"/>
      <c r="E268" s="901" t="s">
        <v>137</v>
      </c>
      <c r="F268" s="902"/>
      <c r="G268" s="742"/>
      <c r="H268" s="742"/>
      <c r="I268" s="742"/>
      <c r="J268" s="742"/>
      <c r="K268" s="1616">
        <f t="shared" ref="K268:BE268" si="1120">(K258/G258-1)*100</f>
        <v>2.6179312585370873</v>
      </c>
      <c r="L268" s="1616">
        <f t="shared" si="1120"/>
        <v>1.3087350929216646</v>
      </c>
      <c r="M268" s="1616">
        <f t="shared" si="1120"/>
        <v>1.4273542536620054</v>
      </c>
      <c r="N268" s="1616">
        <f t="shared" si="1120"/>
        <v>0.83647874979173586</v>
      </c>
      <c r="O268" s="1616">
        <f t="shared" si="1120"/>
        <v>1.0571539579488309</v>
      </c>
      <c r="P268" s="1616">
        <f t="shared" si="1120"/>
        <v>3.1334860810727561</v>
      </c>
      <c r="Q268" s="1616">
        <f t="shared" si="1120"/>
        <v>3.6678941237348495</v>
      </c>
      <c r="R268" s="1616">
        <f t="shared" si="1120"/>
        <v>4.6340738971914153</v>
      </c>
      <c r="S268" s="1616">
        <f t="shared" si="1120"/>
        <v>4.2863258326941711</v>
      </c>
      <c r="T268" s="1616">
        <f t="shared" si="1120"/>
        <v>4.6277595130116866</v>
      </c>
      <c r="U268" s="1616">
        <f t="shared" si="1120"/>
        <v>4.1397659418991761</v>
      </c>
      <c r="V268" s="1616">
        <f t="shared" si="1120"/>
        <v>3.5474322749041276</v>
      </c>
      <c r="W268" s="1616">
        <f t="shared" si="1120"/>
        <v>4.8130810096575161</v>
      </c>
      <c r="X268" s="1616">
        <f t="shared" si="1120"/>
        <v>3.4712017210724255</v>
      </c>
      <c r="Y268" s="1616">
        <f t="shared" si="1120"/>
        <v>3.9556732987257703</v>
      </c>
      <c r="Z268" s="1616">
        <f t="shared" si="1120"/>
        <v>4.6988164927749709</v>
      </c>
      <c r="AA268" s="1616">
        <f t="shared" si="1120"/>
        <v>3.9202090635753528</v>
      </c>
      <c r="AB268" s="1616">
        <f t="shared" si="1120"/>
        <v>5.8445926611861987</v>
      </c>
      <c r="AC268" s="1616">
        <f t="shared" si="1120"/>
        <v>5.7110105411086964</v>
      </c>
      <c r="AD268" s="1616">
        <f t="shared" si="1120"/>
        <v>4.1032164592807341</v>
      </c>
      <c r="AE268" s="1616">
        <f t="shared" si="1120"/>
        <v>3.0986667854360217</v>
      </c>
      <c r="AF268" s="1616">
        <f t="shared" si="1120"/>
        <v>1.3426663233461644</v>
      </c>
      <c r="AG268" s="1616">
        <f t="shared" si="1120"/>
        <v>1.0838274386048008</v>
      </c>
      <c r="AH268" s="1616">
        <f t="shared" si="1120"/>
        <v>1.4086127531774295</v>
      </c>
      <c r="AI268" s="1616">
        <f t="shared" si="1120"/>
        <v>1.6222665513377477</v>
      </c>
      <c r="AJ268" s="1616">
        <f t="shared" si="1120"/>
        <v>2.5821341556135025</v>
      </c>
      <c r="AK268" s="1616">
        <f t="shared" si="1120"/>
        <v>2.1489623095754196</v>
      </c>
      <c r="AL268" s="1616">
        <f t="shared" si="1120"/>
        <v>1.9862258521672782</v>
      </c>
      <c r="AM268" s="1616">
        <f t="shared" si="1120"/>
        <v>3.2397721613672825</v>
      </c>
      <c r="AN268" s="1616">
        <f t="shared" si="1120"/>
        <v>1.4010576606481528</v>
      </c>
      <c r="AO268" s="1616">
        <f t="shared" si="1120"/>
        <v>2.5856802791626388</v>
      </c>
      <c r="AP268" s="1616">
        <f t="shared" si="1120"/>
        <v>2.7526080938651942</v>
      </c>
      <c r="AQ268" s="1616">
        <f t="shared" si="1120"/>
        <v>3.11657957407665</v>
      </c>
      <c r="AR268" s="1616">
        <f t="shared" si="1120"/>
        <v>4.294848567341214</v>
      </c>
      <c r="AS268" s="1616">
        <f t="shared" si="1120"/>
        <v>3.7871103774047565</v>
      </c>
      <c r="AT268" s="1616">
        <f t="shared" si="1120"/>
        <v>4.0143983166005093</v>
      </c>
      <c r="AU268" s="1616">
        <f t="shared" si="1120"/>
        <v>2.5330415927439009</v>
      </c>
      <c r="AV268" s="1616">
        <f t="shared" si="1120"/>
        <v>2.9026755639064872</v>
      </c>
      <c r="AW268" s="1616">
        <f t="shared" si="1120"/>
        <v>2.982758887871606</v>
      </c>
      <c r="AX268" s="1616">
        <f t="shared" si="1120"/>
        <v>2.8225172098688578</v>
      </c>
      <c r="AY268" s="1616">
        <f t="shared" si="1120"/>
        <v>4.7224596314507039</v>
      </c>
      <c r="AZ268" s="1616">
        <f t="shared" si="1120"/>
        <v>4.7908807415856014</v>
      </c>
      <c r="BA268" s="1616">
        <f t="shared" si="1120"/>
        <v>5.1804270076895031</v>
      </c>
      <c r="BB268" s="1616">
        <f t="shared" si="1120"/>
        <v>5.0858324921719156</v>
      </c>
      <c r="BC268" s="1616">
        <f t="shared" si="1120"/>
        <v>3.9607002832204863</v>
      </c>
      <c r="BD268" s="1616">
        <f t="shared" si="1120"/>
        <v>3.5233110674451229</v>
      </c>
      <c r="BE268" s="1616">
        <f t="shared" si="1120"/>
        <v>2.9640663052725058</v>
      </c>
      <c r="BF268" s="1616">
        <f t="shared" ref="BF268:BZ268" si="1121">(BF258/BB258-1)*100</f>
        <v>3.6923512813396231</v>
      </c>
      <c r="BG268" s="1616">
        <f t="shared" si="1121"/>
        <v>1.4327787538052306</v>
      </c>
      <c r="BH268" s="1616">
        <f t="shared" si="1121"/>
        <v>0.91914248581124181</v>
      </c>
      <c r="BI268" s="1616">
        <f t="shared" si="1121"/>
        <v>-7.6274135025089507E-2</v>
      </c>
      <c r="BJ268" s="1616">
        <f t="shared" si="1121"/>
        <v>-5.0386522700924585</v>
      </c>
      <c r="BK268" s="1616">
        <f t="shared" si="1121"/>
        <v>-6.1758632585600211</v>
      </c>
      <c r="BL268" s="1616">
        <f t="shared" si="1121"/>
        <v>-6.3280229171028264</v>
      </c>
      <c r="BM268" s="1616">
        <f t="shared" si="1121"/>
        <v>-6.0469199803561917</v>
      </c>
      <c r="BN268" s="1616">
        <f t="shared" si="1121"/>
        <v>-1.8433660865127877</v>
      </c>
      <c r="BO268" s="1616">
        <f t="shared" ref="BO268:BV268" si="1122">(BO258/BK258-1)*100</f>
        <v>3.0749862055837962</v>
      </c>
      <c r="BP268" s="1616">
        <f t="shared" si="1122"/>
        <v>5.2784428581526655</v>
      </c>
      <c r="BQ268" s="1616">
        <f t="shared" si="1122"/>
        <v>6.548744826816133</v>
      </c>
      <c r="BR268" s="1616">
        <f t="shared" si="1122"/>
        <v>7.8945044699893607</v>
      </c>
      <c r="BS268" s="1616">
        <f t="shared" si="1122"/>
        <v>5.2930456404608917</v>
      </c>
      <c r="BT268" s="1616">
        <f t="shared" si="1122"/>
        <v>3.3454833030089226</v>
      </c>
      <c r="BU268" s="1616">
        <f t="shared" si="1122"/>
        <v>3.0290724141206038</v>
      </c>
      <c r="BV268" s="1616">
        <f t="shared" si="1122"/>
        <v>-0.52312493207682387</v>
      </c>
      <c r="BW268" s="1616">
        <f t="shared" si="1121"/>
        <v>-1.0845246546187237E-2</v>
      </c>
      <c r="BX268" s="1616">
        <f t="shared" si="1121"/>
        <v>0.33204695253037375</v>
      </c>
      <c r="BY268" s="1616">
        <f t="shared" si="1121"/>
        <v>-0.71431781486797075</v>
      </c>
      <c r="BZ268" s="1616">
        <f t="shared" si="1121"/>
        <v>0.49218722043369301</v>
      </c>
      <c r="CA268" s="1616">
        <f t="shared" ref="CA268:CL268" si="1123">(CA258/BW258-1)*100</f>
        <v>1.2624037227321194</v>
      </c>
      <c r="CB268" s="1616">
        <f t="shared" si="1123"/>
        <v>0.25588050261389217</v>
      </c>
      <c r="CC268" s="1616">
        <f t="shared" si="1123"/>
        <v>1.0350364354287045</v>
      </c>
      <c r="CD268" s="1616">
        <f t="shared" si="1123"/>
        <v>2.3242285388969108</v>
      </c>
      <c r="CE268" s="1616">
        <f t="shared" si="1123"/>
        <v>1.8488612904534296</v>
      </c>
      <c r="CF268" s="1616">
        <f t="shared" si="1123"/>
        <v>2.9834189097819097</v>
      </c>
      <c r="CG268" s="1616">
        <f t="shared" si="1123"/>
        <v>2.7153876959404855</v>
      </c>
      <c r="CH268" s="1616">
        <f t="shared" si="1123"/>
        <v>3.2677019040255217</v>
      </c>
      <c r="CI268" s="1616">
        <f t="shared" si="1123"/>
        <v>3.6188216703462617</v>
      </c>
      <c r="CJ268" s="1616">
        <f t="shared" si="1123"/>
        <v>3.757846699009515</v>
      </c>
      <c r="CK268" s="1616">
        <f t="shared" si="1123"/>
        <v>4.841184745131466</v>
      </c>
      <c r="CL268" s="1616">
        <f t="shared" si="1123"/>
        <v>4.6135563149247494</v>
      </c>
      <c r="CM268" s="1616">
        <f t="shared" ref="CM268" si="1124">(CM258/CI258-1)*100</f>
        <v>3.6086932673572658</v>
      </c>
      <c r="CN268" s="1616">
        <f t="shared" ref="CN268" si="1125">(CN258/CJ258-1)*100</f>
        <v>2.9591941284441647</v>
      </c>
      <c r="CO268" s="1616">
        <f t="shared" ref="CO268:CP268" si="1126">(CO258/CK258-1)*100</f>
        <v>1.9515325794903893</v>
      </c>
      <c r="CP268" s="1616">
        <f t="shared" si="1126"/>
        <v>1.3475382421841875</v>
      </c>
      <c r="CQ268" s="1616">
        <f t="shared" ref="CQ268" si="1127">(CQ258/CM258-1)*100</f>
        <v>1.6696657830912232</v>
      </c>
      <c r="CR268" s="1616">
        <f t="shared" ref="CR268" si="1128">(CR258/CN258-1)*100</f>
        <v>2.5763209425640587</v>
      </c>
      <c r="CS268" s="1616">
        <f t="shared" ref="CS268" si="1129">(CS258/CO258-1)*100</f>
        <v>2.5056607994996538</v>
      </c>
      <c r="CT268" s="1616">
        <f t="shared" ref="CT268" si="1130">(CT258/CP258-1)*100</f>
        <v>2.6840065339874153</v>
      </c>
      <c r="CU268" s="1616">
        <f t="shared" ref="CU268:CV268" si="1131">(CU258/CQ258-1)*100</f>
        <v>2.8323719772856526</v>
      </c>
      <c r="CV268" s="1616">
        <f t="shared" si="1131"/>
        <v>2.4451660679228659</v>
      </c>
      <c r="CW268" s="1616">
        <f t="shared" ref="CW268" si="1132">(CW258/CS258-1)*100</f>
        <v>2.2728204862778156</v>
      </c>
      <c r="CX268" s="1616">
        <f t="shared" ref="CX268" si="1133">(CX258/CT258-1)*100</f>
        <v>1.9833579164212356</v>
      </c>
      <c r="CY268" s="1616">
        <f t="shared" ref="CY268" si="1134">(CY258/CU258-1)*100</f>
        <v>1.759590863909577</v>
      </c>
      <c r="CZ268" s="1616">
        <f t="shared" ref="CZ268" si="1135">(CZ258/CV258-1)*100</f>
        <v>1.3957406144221807</v>
      </c>
      <c r="DA268" s="1616">
        <f t="shared" ref="DA268" si="1136">(DA258/CW258-1)*100</f>
        <v>1.4828299395430955</v>
      </c>
      <c r="DB268" s="1616">
        <f t="shared" ref="DB268" si="1137">(DB258/CX258-1)*100</f>
        <v>1.346415407428303</v>
      </c>
      <c r="DC268" s="1616">
        <f t="shared" ref="DC268" si="1138">(DC258/CY258-1)*100</f>
        <v>1.3843566167189847</v>
      </c>
      <c r="DD268" s="1616">
        <f t="shared" ref="DD268" si="1139">(DD258/CZ258-1)*100</f>
        <v>1.4101843153921934</v>
      </c>
      <c r="DE268" s="1616">
        <f t="shared" ref="DE268" si="1140">(DE258/DA258-1)*100</f>
        <v>1.4960863934734281</v>
      </c>
      <c r="DF268" s="1616">
        <f t="shared" ref="DF268" si="1141">(DF258/DB258-1)*100</f>
        <v>1.5596525812725526</v>
      </c>
    </row>
    <row r="269" spans="1:110" s="736" customFormat="1" ht="12.75" customHeight="1">
      <c r="A269" s="701"/>
      <c r="B269" s="701"/>
      <c r="C269" s="981"/>
      <c r="D269" s="711"/>
      <c r="E269" s="820" t="s">
        <v>156</v>
      </c>
      <c r="F269" s="741"/>
      <c r="G269" s="742"/>
      <c r="H269" s="742"/>
      <c r="I269" s="742"/>
      <c r="J269" s="742"/>
      <c r="K269" s="1616">
        <f>(4*K258/J259-1)*100</f>
        <v>1.6872030364938784</v>
      </c>
      <c r="L269" s="1616">
        <f>((K258+3*L258)/J259-1)*100</f>
        <v>1.1134738542974976</v>
      </c>
      <c r="M269" s="1616">
        <f>((K258+L258+2*M258)/J259-1)*100</f>
        <v>1.3540231986147511</v>
      </c>
      <c r="N269" s="1674"/>
      <c r="O269" s="1616">
        <f>(4*O258/N259-1)*100</f>
        <v>1.2005673243058013</v>
      </c>
      <c r="P269" s="1616">
        <f>((O258+3*P258)/N259-1)*100</f>
        <v>2.1773113271716049</v>
      </c>
      <c r="Q269" s="1616">
        <f>((O258+P258+2*Q258)/N259-1)*100</f>
        <v>2.688464422192216</v>
      </c>
      <c r="R269" s="1674"/>
      <c r="S269" s="1616">
        <f>(4*S258/R259-1)*100</f>
        <v>2.3407084909191855</v>
      </c>
      <c r="T269" s="1616">
        <f>((S258+3*T258)/R259-1)*100</f>
        <v>3.5829883252198158</v>
      </c>
      <c r="U269" s="1616">
        <f>((S258+T258+2*U258)/R259-1)*100</f>
        <v>3.8566476867449628</v>
      </c>
      <c r="V269" s="1674"/>
      <c r="W269" s="1616">
        <f>(4*W258/V259-1)*100</f>
        <v>2.9964022240685395</v>
      </c>
      <c r="X269" s="1616">
        <f>((W258+3*X258)/V259-1)*100</f>
        <v>3.2416691874309844</v>
      </c>
      <c r="Y269" s="1616">
        <f>((W258+X258+2*Y258)/V259-1)*100</f>
        <v>3.7567187330077578</v>
      </c>
      <c r="Z269" s="1674"/>
      <c r="AA269" s="1616">
        <f>(4*AA258/Z259-1)*100</f>
        <v>2.6864106010201505</v>
      </c>
      <c r="AB269" s="1616">
        <f>((AA258+3*AB258)/Z259-1)*100</f>
        <v>4.3616197195228246</v>
      </c>
      <c r="AC269" s="1616">
        <f>((AA258+AB258+2*AC258)/Z259-1)*100</f>
        <v>4.8177603352844489</v>
      </c>
      <c r="AD269" s="1674"/>
      <c r="AE269" s="1616">
        <f>(4*AE258/AD259-1)*100</f>
        <v>0.93082591068618381</v>
      </c>
      <c r="AF269" s="1616">
        <f>((AE258+3*AF258)/AD259-1)*100</f>
        <v>1.2600419990707934</v>
      </c>
      <c r="AG269" s="1616">
        <f>((AE258+AF258+2*AG258)/AD259-1)*100</f>
        <v>1.5701682359544833</v>
      </c>
      <c r="AH269" s="1674"/>
      <c r="AI269" s="1616">
        <f>(4*AI258/AH259-1)*100</f>
        <v>0.83005732152019451</v>
      </c>
      <c r="AJ269" s="1616">
        <f>((AI258+3*AJ258)/AH259-1)*100</f>
        <v>1.8763398373420115</v>
      </c>
      <c r="AK269" s="1616">
        <f>((AI258+AJ258+2*AK258)/AH259-1)*100</f>
        <v>1.9719300846227084</v>
      </c>
      <c r="AL269" s="1674"/>
      <c r="AM269" s="1616">
        <f>(4*AM258/AL259-1)*100</f>
        <v>1.9704394550158044</v>
      </c>
      <c r="AN269" s="1616">
        <f>((AM258+3*AN258)/AL259-1)*100</f>
        <v>1.6476295429155741</v>
      </c>
      <c r="AO269" s="1616">
        <f>((AM258+AN258+2*AO258)/AL259-1)*100</f>
        <v>2.3368114963917774</v>
      </c>
      <c r="AP269" s="1674"/>
      <c r="AQ269" s="1616">
        <f>(4*AQ258/AP259-1)*100</f>
        <v>2.5911562995062365</v>
      </c>
      <c r="AR269" s="1616">
        <f>((AQ258+3*AR258)/AP259-1)*100</f>
        <v>3.1418692122401781</v>
      </c>
      <c r="AS269" s="1616">
        <f>((AQ258+AR258+2*AS258)/AP259-1)*100</f>
        <v>3.5882457461958284</v>
      </c>
      <c r="AT269" s="1674"/>
      <c r="AU269" s="1616">
        <f>(4*AU258/AT259-1)*100</f>
        <v>1.3355454178887838</v>
      </c>
      <c r="AV269" s="1616">
        <f>((AU258+3*AV258)/AT259-1)*100</f>
        <v>2.1554669292378703</v>
      </c>
      <c r="AW269" s="1616">
        <f>((AU258+AV258+2*AW258)/AT259-1)*100</f>
        <v>2.6381714049934057</v>
      </c>
      <c r="AX269" s="1674"/>
      <c r="AY269" s="1616">
        <f>(4*AY258/AX259-1)*100</f>
        <v>3.2194115181877203</v>
      </c>
      <c r="AZ269" s="1616">
        <f>((AY258+3*AZ258)/AX259-1)*100</f>
        <v>4.1057006532278839</v>
      </c>
      <c r="BA269" s="1616">
        <f>((AY258+AZ258+2*BA258)/AX259-1)*100</f>
        <v>4.7935776818291975</v>
      </c>
      <c r="BB269" s="1674"/>
      <c r="BC269" s="1616">
        <f>(4*BC258/BB259-1)*100</f>
        <v>2.249725665550284</v>
      </c>
      <c r="BD269" s="1616">
        <f>((BC258+3*BD258)/BB259-1)*100</f>
        <v>2.8013517879284855</v>
      </c>
      <c r="BE269" s="1616">
        <f>((BC258+BD258+2*BE258)/BB259-1)*100</f>
        <v>3.198065149702134</v>
      </c>
      <c r="BF269" s="1674"/>
      <c r="BG269" s="1616">
        <f>(4*BG258/BF259-1)*100</f>
        <v>0.1757469144786139</v>
      </c>
      <c r="BH269" s="1616">
        <f>((BG258+3*BH258)/BF259-1)*100</f>
        <v>0.33299430274040809</v>
      </c>
      <c r="BI269" s="1616">
        <f>((BG258+BH258+2*BI258)/BF259-1)*100</f>
        <v>0.22080253181091525</v>
      </c>
      <c r="BJ269" s="1674"/>
      <c r="BK269" s="1616">
        <f>(4*BK258/BJ259-1)*100</f>
        <v>-5.3334110772874199</v>
      </c>
      <c r="BL269" s="1616">
        <f>((BK258+3*BL258)/BJ259-1)*100</f>
        <v>-5.3001969212538853</v>
      </c>
      <c r="BM269" s="1616">
        <f>((BK258+BL258+2*BM258)/BJ259-1)*100</f>
        <v>-5.2642541235065394</v>
      </c>
      <c r="BN269" s="1674"/>
      <c r="BO269" s="1616">
        <f>(4*BO258/BN259-1)*100</f>
        <v>2.8539646653024331</v>
      </c>
      <c r="BP269" s="1616">
        <f>((BO258+3*BP258)/BN259-1)*100</f>
        <v>4.5398716990951549</v>
      </c>
      <c r="BQ269" s="1616">
        <f>((BO258+BP258+2*BQ258)/BN259-1)*100</f>
        <v>5.2143246753008965</v>
      </c>
      <c r="BR269" s="1674"/>
      <c r="BS269" s="1616">
        <f>(4*BS258/BR259-1)*100</f>
        <v>2.4549050761128344</v>
      </c>
      <c r="BT269" s="1616">
        <f>((BS258+3*BT258)/BR259-1)*100</f>
        <v>2.6819086623253829</v>
      </c>
      <c r="BU269" s="1616">
        <f>((BS258+BT258+2*BU258)/BR259-1)*100</f>
        <v>3.1819938181691043</v>
      </c>
      <c r="BV269" s="1674"/>
      <c r="BW269" s="1616">
        <f>(4*BW258/BV259-1)*100</f>
        <v>-0.29578384600910113</v>
      </c>
      <c r="BX269" s="1616">
        <f>((BW258+3*BX258)/BV259-1)*100</f>
        <v>0.18231905072887411</v>
      </c>
      <c r="BY269" s="1616">
        <f>((BW258+BX258+2*BY258)/BV259-1)*100</f>
        <v>0.14232148589263804</v>
      </c>
      <c r="BZ269" s="1674"/>
      <c r="CA269" s="1616">
        <f>(4*CA258/BZ259-1)*100</f>
        <v>0.94052027423718876</v>
      </c>
      <c r="CB269" s="1616">
        <f>((CA258+3*CB258)/BZ259-1)*100</f>
        <v>0.66724752745226379</v>
      </c>
      <c r="CC269" s="1616">
        <f>((CA258+CB258+2*CC258)/BZ259-1)*100</f>
        <v>1.0176674323652435</v>
      </c>
      <c r="CD269" s="1674"/>
      <c r="CE269" s="1616">
        <f>(4*CE258/CD259-1)*100</f>
        <v>1.5698454022051278</v>
      </c>
      <c r="CF269" s="1616">
        <f>((CE258+3*CF258)/CD259-1)*100</f>
        <v>2.1403928880236567</v>
      </c>
      <c r="CG269" s="1616">
        <f>((CE258+CF258+2*CG258)/CD259-1)*100</f>
        <v>2.3628314322008181</v>
      </c>
      <c r="CH269" s="1674"/>
      <c r="CI269" s="1616">
        <f>(4*CI258/CH259-1)*100</f>
        <v>2.4733834289356604</v>
      </c>
      <c r="CJ269" s="1616">
        <f>((CI258+3*CJ258)/CH259-1)*100</f>
        <v>3.1528948115836508</v>
      </c>
      <c r="CK269" s="1616">
        <f>((CI258+CJ258+2*CK258)/CH259-1)*100</f>
        <v>3.9196528295555755</v>
      </c>
      <c r="CL269" s="1674"/>
      <c r="CM269" s="1616">
        <f>(4*CM258/CL259-1)*100</f>
        <v>1.8807083684255765</v>
      </c>
      <c r="CN269" s="1616">
        <f>((CM258+3*CN258)/CL259-1)*100</f>
        <v>2.0730545001392153</v>
      </c>
      <c r="CO269" s="1616">
        <f>((CM258+CN258+2*CO258)/CL259-1)*100</f>
        <v>2.3233767050646614</v>
      </c>
      <c r="CP269" s="1674"/>
      <c r="CQ269" s="1616">
        <f>(4*CQ258/CP259-1)*100</f>
        <v>1.0996664065564543</v>
      </c>
      <c r="CR269" s="1616">
        <f>((CQ258+3*CR258)/CP259-1)*100</f>
        <v>1.9684191692821651</v>
      </c>
      <c r="CS269" s="1616">
        <f>((CQ258+CR258+2*CS258)/CP259-1)*100</f>
        <v>2.1836444444355729</v>
      </c>
      <c r="CT269" s="1674"/>
      <c r="CU269" s="1616">
        <f>(4*CU258/CT259-1)*100</f>
        <v>1.5658855696983665</v>
      </c>
      <c r="CV269" s="1616">
        <f>((CU258+3*CV258)/CT259-1)*100</f>
        <v>2.1485304718988241</v>
      </c>
      <c r="CW269" s="1616">
        <f>((CU258+CV258+2*CW258)/CT259-1)*100</f>
        <v>2.2774850893630516</v>
      </c>
      <c r="CX269" s="1674"/>
      <c r="CY269" s="1616">
        <f>(4*CY258/CX259-1)*100</f>
        <v>0.94949133990034351</v>
      </c>
      <c r="CZ269" s="1616">
        <f>((CY258+3*CZ258)/CX259-1)*100</f>
        <v>1.2558143172444192</v>
      </c>
      <c r="DA269" s="1616">
        <f>((CY258+CZ258+2*DA258)/CX259-1)*100</f>
        <v>1.4271661458201468</v>
      </c>
      <c r="DB269" s="1674"/>
      <c r="DC269" s="1616">
        <f>(4*DC258/DB259-1)*100</f>
        <v>0.83905467485041463</v>
      </c>
      <c r="DD269" s="1616">
        <f>((DC258+3*DD258)/DB259-1)*100</f>
        <v>1.1643870787914512</v>
      </c>
      <c r="DE269" s="1616">
        <f>((DC258+DD258+2*DE258)/DB259-1)*100</f>
        <v>1.3786329470712344</v>
      </c>
      <c r="DF269" s="1674"/>
    </row>
    <row r="270" spans="1:110" ht="12.75">
      <c r="C270" s="1607"/>
      <c r="D270" s="865"/>
      <c r="E270" s="1614" t="s">
        <v>155</v>
      </c>
      <c r="F270" s="865"/>
      <c r="G270" s="913"/>
      <c r="H270" s="913"/>
      <c r="I270" s="913"/>
      <c r="J270" s="913"/>
      <c r="K270" s="1673"/>
      <c r="L270" s="920">
        <f>(4*L258/(K258+3*L258)-1)*100</f>
        <v>-0.1891370689209082</v>
      </c>
      <c r="M270" s="920">
        <f>(4*M258/(K258+L258+2*M258)-1)*100</f>
        <v>4.864758401204039E-2</v>
      </c>
      <c r="N270" s="920">
        <f>+(4*N258/N259-1)*100</f>
        <v>0.60716763028545451</v>
      </c>
      <c r="O270" s="1673"/>
      <c r="P270" s="920">
        <f>(4*P258/(O258+3*P258)-1)*100</f>
        <v>0.31864347383940839</v>
      </c>
      <c r="Q270" s="920">
        <f>(4*Q258/(O258+P258+2*Q258)-1)*100</f>
        <v>0.81482806663564222</v>
      </c>
      <c r="R270" s="920">
        <f>+(4*R258/R259-1)*100</f>
        <v>2.0798827549250998</v>
      </c>
      <c r="S270" s="1673"/>
      <c r="T270" s="920">
        <f>(4*T258/(S258+3*T258)-1)*100</f>
        <v>0.39976958069607438</v>
      </c>
      <c r="U270" s="920">
        <f>(4*U258/(S258+T258+2*U258)-1)*100</f>
        <v>0.66221340178411747</v>
      </c>
      <c r="V270" s="920">
        <f>+(4*V258/V259-1)*100</f>
        <v>1.4933633072234498</v>
      </c>
      <c r="W270" s="1673"/>
      <c r="X270" s="920">
        <f>(4*X258/(W258+3*X258)-1)*100</f>
        <v>7.9188621316972352E-2</v>
      </c>
      <c r="Y270" s="920">
        <f>(4*Y258/(W258+X258+2*Y258)-1)*100</f>
        <v>0.57519667865233437</v>
      </c>
      <c r="Z270" s="920">
        <f>+(4*Z258/Z259-1)*100</f>
        <v>1.9460313860804046</v>
      </c>
      <c r="AA270" s="1673"/>
      <c r="AB270" s="920">
        <f>(4*AB258/(AA258+3*AB258)-1)*100</f>
        <v>0.53506551642414912</v>
      </c>
      <c r="AC270" s="920">
        <f>(4*AC258/(AA258+AB258+2*AC258)-1)*100</f>
        <v>0.96791197600218926</v>
      </c>
      <c r="AD270" s="920">
        <f>+(4*AD258/AD259-1)*100</f>
        <v>1.1794411802335647</v>
      </c>
      <c r="AE270" s="1673"/>
      <c r="AF270" s="920">
        <f>(4*AF258/(AE258+3*AF258)-1)*100</f>
        <v>0.108373148935903</v>
      </c>
      <c r="AG270" s="920">
        <f>(4*AG258/(AE258+AF258+2*AG258)-1)*100</f>
        <v>0.4133742616596825</v>
      </c>
      <c r="AH270" s="920">
        <f>+(4*AH258/AH259-1)*100</f>
        <v>0.86591396788446851</v>
      </c>
      <c r="AI270" s="1673"/>
      <c r="AJ270" s="920">
        <f>(4*AJ258/(AI258+3*AJ258)-1)*100</f>
        <v>0.34233742512159715</v>
      </c>
      <c r="AK270" s="920">
        <f>(4*AK258/(AI258+AJ258+2*AK258)-1)*100</f>
        <v>0.43575823809476333</v>
      </c>
      <c r="AL270" s="920">
        <f>+(4*AL258/AL259-1)*100</f>
        <v>0.76812737851899016</v>
      </c>
      <c r="AM270" s="1673"/>
      <c r="AN270" s="920">
        <f>(4*AN258/(AM258+3*AN258)-1)*100</f>
        <v>-0.10585913760831067</v>
      </c>
      <c r="AO270" s="920">
        <f>(4*AO258/(AM258+AN258+2*AO258)-1)*100</f>
        <v>0.56829858282549939</v>
      </c>
      <c r="AP270" s="920">
        <f>+(4*AP258/AP259-1)*100</f>
        <v>1.023678235995984</v>
      </c>
      <c r="AQ270" s="1673"/>
      <c r="AR270" s="920">
        <f>(4*AR258/(AQ258+3*AR258)-1)*100</f>
        <v>0.17797910035308728</v>
      </c>
      <c r="AS270" s="920">
        <f>(4*AS258/(AQ258+AR258+2*AS258)-1)*100</f>
        <v>0.60812643396861432</v>
      </c>
      <c r="AT270" s="920">
        <f>+(4*AT258/AT259-1)*100</f>
        <v>1.2289383236913531</v>
      </c>
      <c r="AU270" s="1673"/>
      <c r="AV270" s="920">
        <f>(4*AV258/(AU258+3*AV258)-1)*100</f>
        <v>0.26754042506507147</v>
      </c>
      <c r="AW270" s="920">
        <f>(4*AW258/(AU258+AV258+2*AW258)-1)*100</f>
        <v>0.73657941860842957</v>
      </c>
      <c r="AX270" s="920">
        <f>+(4*AX258/AX259-1)*100</f>
        <v>1.2401194957188277</v>
      </c>
      <c r="AY270" s="1673"/>
      <c r="AZ270" s="920">
        <f>(4*AZ258/(AY258+3*AZ258)-1)*100</f>
        <v>0.28377861137895977</v>
      </c>
      <c r="BA270" s="920">
        <f>(4*BA258/(AY258+AZ258+2*BA258)-1)*100</f>
        <v>0.93832729260072689</v>
      </c>
      <c r="BB270" s="920">
        <f>+(4*BB258/BB259-1)*100</f>
        <v>1.3744228469475317</v>
      </c>
      <c r="BC270" s="1673"/>
      <c r="BD270" s="920">
        <f>(4*BD258/(BC258+3*BD258)-1)*100</f>
        <v>0.17886474343780101</v>
      </c>
      <c r="BE270" s="920">
        <f>(4*BE258/(BC258+BD258+2*BE258)-1)*100</f>
        <v>0.56259653226784501</v>
      </c>
      <c r="BF270" s="920">
        <f>+(4*BF258/BF259-1)*100</f>
        <v>1.5306652364518225</v>
      </c>
      <c r="BG270" s="1673"/>
      <c r="BH270" s="920">
        <f>(4*BH258/(BG258+3*BH258)-1)*100</f>
        <v>5.2241833757205036E-2</v>
      </c>
      <c r="BI270" s="920">
        <f>(4*BI258/(BG258+BH258+2*BI258)-1)*100</f>
        <v>-5.9644278764625636E-2</v>
      </c>
      <c r="BJ270" s="920">
        <f>+(4*BJ258/BJ259-1)*100</f>
        <v>-2.890064964197625</v>
      </c>
      <c r="BK270" s="1673"/>
      <c r="BL270" s="920">
        <f>(4*BL258/(BK258+3*BL258)-1)*100</f>
        <v>1.1691033122107619E-2</v>
      </c>
      <c r="BM270" s="920">
        <f>(4*BM258/(BK258+BL258+2*BM258)-1)*100</f>
        <v>4.9626656397627755E-2</v>
      </c>
      <c r="BN270" s="920">
        <f>+(4*BN258/BN259-1)*100</f>
        <v>0.47415055251547322</v>
      </c>
      <c r="BO270" s="1673"/>
      <c r="BP270" s="920">
        <f>(4*BP258/(BO258+3*BP258)-1)*100</f>
        <v>0.53756428253690647</v>
      </c>
      <c r="BQ270" s="920">
        <f>(4*BQ258/(BO258+BP258+2*BQ258)-1)*100</f>
        <v>1.1751460566663763</v>
      </c>
      <c r="BR270" s="920">
        <f>+(4*BR258/BR259-1)*100</f>
        <v>2.5570920885814141</v>
      </c>
      <c r="BS270" s="1673"/>
      <c r="BT270" s="920">
        <f>(4*BT258/(BS258+3*BT258)-1)*100</f>
        <v>7.3691522739105508E-2</v>
      </c>
      <c r="BU270" s="920">
        <f>(4*BU258/(BS258+BT258+2*BU258)-1)*100</f>
        <v>0.55799756973990977</v>
      </c>
      <c r="BV270" s="920">
        <f>+(4*BV258/BV259-1)*100</f>
        <v>-0.70766965896639222</v>
      </c>
      <c r="BW270" s="1673"/>
      <c r="BX270" s="920">
        <f>(4*BX258/(BW258+3*BX258)-1)*100</f>
        <v>0.15907760346942634</v>
      </c>
      <c r="BY270" s="920">
        <f>(4*BY258/(BW258+BX258+2*BY258)-1)*100</f>
        <v>0.11920041960138406</v>
      </c>
      <c r="BZ270" s="920">
        <f>+(4*BZ258/BZ259-1)*100</f>
        <v>-0.24106930692082695</v>
      </c>
      <c r="CA270" s="1673"/>
      <c r="CB270" s="920">
        <f>(4*CB258/(CA258+3*CB258)-1)*100</f>
        <v>-9.0487142374817697E-2</v>
      </c>
      <c r="CC270" s="920">
        <f>(4*CC258/(CA258+CB258+2*CC258)-1)*100</f>
        <v>0.25671646941523019</v>
      </c>
      <c r="CD270" s="920">
        <f>+(4*CD258/CD259-1)*100</f>
        <v>0.84940473226111646</v>
      </c>
      <c r="CE270" s="1673"/>
      <c r="CF270" s="920">
        <f>(4*CF258/(CE258+3*CF258)-1)*100</f>
        <v>0.18619714482726035</v>
      </c>
      <c r="CG270" s="920">
        <f>(4*CG258/(CE258+CF258+2*CG258)-1)*100</f>
        <v>0.4030965475230186</v>
      </c>
      <c r="CH270" s="920">
        <f>+(4*CH258/CH259-1)*100</f>
        <v>1.4017585268196742</v>
      </c>
      <c r="CI270" s="1673"/>
      <c r="CJ270" s="920">
        <f>(4*CJ258/(CI258+3*CJ258)-1)*100</f>
        <v>0.21958064737759297</v>
      </c>
      <c r="CK270" s="920">
        <f>(4*CK258/(CI258+CJ258+2*CK258)-1)*100</f>
        <v>0.95579785453767663</v>
      </c>
      <c r="CL270" s="920">
        <f>+(4*CL258/CL259-1)*100</f>
        <v>1.7930521823221079</v>
      </c>
      <c r="CM270" s="1673"/>
      <c r="CN270" s="920">
        <f>(4*CN258/(CM258+3*CN258)-1)*100</f>
        <v>6.281322485337526E-2</v>
      </c>
      <c r="CO270" s="920">
        <f>(4*CO258/(CM258+CN258+2*CO258)-1)*100</f>
        <v>0.30729789446808375</v>
      </c>
      <c r="CP270" s="920">
        <f>+(4*CP258/CP259-1)*100</f>
        <v>0.69263624266411306</v>
      </c>
      <c r="CQ270" s="1673"/>
      <c r="CR270" s="920">
        <f>(4*CR258/(CQ258+3*CR258)-1)*100</f>
        <v>0.28399406071124567</v>
      </c>
      <c r="CS270" s="920">
        <f>(4*CS258/(CQ258+CR258+2*CS258)-1)*100</f>
        <v>0.49402184874096644</v>
      </c>
      <c r="CT270" s="920">
        <f>+(4*CT258/CT259-1)*100</f>
        <v>1.0110301906431474</v>
      </c>
      <c r="CU270" s="1673"/>
      <c r="CV270" s="920">
        <f>(4*CV258/(CU258+3*CV258)-1)*100</f>
        <v>0.19012996712037822</v>
      </c>
      <c r="CW270" s="920">
        <f>(4*CW258/(CU258+CV258+2*CW258)-1)*100</f>
        <v>0.31597333917823267</v>
      </c>
      <c r="CX270" s="920">
        <f>+(4*CX258/CX259-1)*100</f>
        <v>0.61877628039734844</v>
      </c>
      <c r="CY270" s="1673"/>
      <c r="CZ270" s="920">
        <f>(4*CZ258/(CY258+3*CZ258)-1)*100</f>
        <v>0.10084127988421177</v>
      </c>
      <c r="DA270" s="920">
        <f>(4*DA258/(CY258+CZ258+2*DA258)-1)*100</f>
        <v>0.26961168105321676</v>
      </c>
      <c r="DB270" s="920">
        <f>+(4*DB258/DB259-1)*100</f>
        <v>0.47108789919261262</v>
      </c>
      <c r="DC270" s="1673"/>
      <c r="DD270" s="920">
        <f>(4*DD258/(DC258+3*DD258)-1)*100</f>
        <v>0.10719595875428034</v>
      </c>
      <c r="DE270" s="920">
        <f>(4*DE258/(DC258+DD258+2*DE258)-1)*100</f>
        <v>0.31830178958447419</v>
      </c>
      <c r="DF270" s="920">
        <f>+(4*DF258/DF259-1)*100</f>
        <v>0.56696987931850185</v>
      </c>
    </row>
    <row r="271" spans="1:110" s="921" customFormat="1" ht="12.75" customHeight="1">
      <c r="A271" s="701"/>
      <c r="B271" s="701"/>
      <c r="C271" s="703"/>
      <c r="D271" s="1081"/>
      <c r="E271" s="1608"/>
      <c r="F271" s="1081"/>
      <c r="G271" s="1084"/>
      <c r="H271" s="1609"/>
      <c r="I271" s="1609"/>
      <c r="J271" s="1609"/>
      <c r="K271" s="1084"/>
      <c r="L271" s="1609"/>
      <c r="M271" s="1609"/>
      <c r="N271" s="1609"/>
      <c r="O271" s="1084"/>
      <c r="P271" s="1609"/>
      <c r="Q271" s="1609"/>
      <c r="R271" s="1609"/>
      <c r="S271" s="1084"/>
      <c r="T271" s="1609"/>
      <c r="U271" s="1609"/>
      <c r="V271" s="1609"/>
      <c r="W271" s="1084"/>
      <c r="X271" s="1609"/>
      <c r="Y271" s="1609"/>
      <c r="Z271" s="1609"/>
      <c r="AA271" s="1084"/>
      <c r="AB271" s="1609"/>
      <c r="AC271" s="1609"/>
      <c r="AD271" s="1609"/>
      <c r="AE271" s="1084"/>
      <c r="AF271" s="1609"/>
      <c r="AG271" s="1609"/>
      <c r="AH271" s="1609"/>
      <c r="AI271" s="1084"/>
      <c r="AJ271" s="1609"/>
      <c r="AK271" s="1609"/>
      <c r="AL271" s="1609"/>
      <c r="AM271" s="1084"/>
      <c r="AN271" s="1609"/>
      <c r="AO271" s="1609"/>
      <c r="AP271" s="1609"/>
      <c r="AQ271" s="1084"/>
      <c r="AR271" s="1609"/>
      <c r="AS271" s="1609"/>
      <c r="AT271" s="1609"/>
      <c r="AU271" s="1084"/>
      <c r="AV271" s="1609"/>
      <c r="AW271" s="1609"/>
      <c r="AX271" s="1609"/>
      <c r="AY271" s="1610"/>
      <c r="AZ271" s="1609"/>
      <c r="BA271" s="1610"/>
      <c r="BB271" s="1610"/>
      <c r="BC271" s="1610"/>
      <c r="BD271" s="1610"/>
      <c r="BE271" s="1610"/>
      <c r="BF271" s="1610"/>
      <c r="BG271" s="1610"/>
      <c r="BH271" s="1610"/>
      <c r="BI271" s="1610"/>
      <c r="BJ271" s="1610"/>
      <c r="BK271" s="1610"/>
      <c r="BL271" s="1610"/>
      <c r="BM271" s="1610"/>
      <c r="BN271" s="1610"/>
      <c r="BO271" s="1610"/>
      <c r="BP271" s="1610"/>
      <c r="BQ271" s="1610"/>
      <c r="BR271" s="1610"/>
      <c r="BS271" s="1610"/>
      <c r="BT271" s="1610"/>
      <c r="BU271" s="1610"/>
      <c r="BV271" s="1610"/>
      <c r="BW271" s="1610"/>
      <c r="BX271" s="1610"/>
      <c r="BY271" s="1610"/>
      <c r="BZ271" s="1610"/>
      <c r="CA271" s="1610"/>
      <c r="CB271" s="1610"/>
      <c r="CC271" s="1610"/>
      <c r="CD271" s="1610"/>
      <c r="CE271" s="1610"/>
      <c r="CF271" s="1610"/>
      <c r="CG271" s="1610"/>
      <c r="CH271" s="1610"/>
      <c r="CI271" s="1610"/>
      <c r="CJ271" s="1610"/>
      <c r="CK271" s="1610"/>
      <c r="CL271" s="1610"/>
      <c r="CM271" s="1610"/>
      <c r="CN271" s="1610"/>
      <c r="CO271" s="1610"/>
      <c r="CP271" s="1610"/>
      <c r="CQ271" s="1610"/>
      <c r="CR271" s="1610"/>
      <c r="CS271" s="1610"/>
      <c r="CT271" s="1610"/>
      <c r="CU271" s="1610"/>
      <c r="CV271" s="1610"/>
      <c r="CW271" s="1610"/>
      <c r="CX271" s="1610"/>
      <c r="CY271" s="1610"/>
      <c r="CZ271" s="1610"/>
      <c r="DA271" s="1610"/>
      <c r="DB271" s="1610"/>
      <c r="DC271" s="1610"/>
      <c r="DD271" s="1610"/>
      <c r="DE271" s="1610"/>
      <c r="DF271" s="1610"/>
    </row>
    <row r="272" spans="1:110" s="921" customFormat="1" ht="12.75" customHeight="1">
      <c r="A272" s="701"/>
      <c r="B272" s="701"/>
      <c r="C272" s="703"/>
      <c r="D272" s="1081"/>
      <c r="E272" s="1608"/>
      <c r="F272" s="1081"/>
      <c r="G272" s="1084"/>
      <c r="H272" s="1609"/>
      <c r="I272" s="1609"/>
      <c r="J272" s="1609"/>
      <c r="K272" s="1084"/>
      <c r="L272" s="1609"/>
      <c r="M272" s="1609"/>
      <c r="N272" s="1609"/>
      <c r="O272" s="1084"/>
      <c r="P272" s="1609"/>
      <c r="Q272" s="1609"/>
      <c r="R272" s="1609"/>
      <c r="S272" s="1084"/>
      <c r="T272" s="1609"/>
      <c r="U272" s="1609"/>
      <c r="V272" s="1609"/>
      <c r="W272" s="1084"/>
      <c r="X272" s="1609"/>
      <c r="Y272" s="1609"/>
      <c r="Z272" s="1609"/>
      <c r="AA272" s="1084"/>
      <c r="AB272" s="1609"/>
      <c r="AC272" s="1609"/>
      <c r="AD272" s="1609"/>
      <c r="AE272" s="1084"/>
      <c r="AF272" s="1609"/>
      <c r="AG272" s="1609"/>
      <c r="AH272" s="1609"/>
      <c r="AI272" s="1084"/>
      <c r="AJ272" s="1609"/>
      <c r="AK272" s="1609"/>
      <c r="AL272" s="1609"/>
      <c r="AM272" s="1084"/>
      <c r="AN272" s="1609"/>
      <c r="AO272" s="1609"/>
      <c r="AP272" s="1609"/>
      <c r="AQ272" s="1084"/>
      <c r="AR272" s="1609"/>
      <c r="AS272" s="1609"/>
      <c r="AT272" s="1609"/>
      <c r="AU272" s="1084"/>
      <c r="AV272" s="1609"/>
      <c r="AW272" s="1609"/>
      <c r="AX272" s="1609"/>
      <c r="AY272" s="1610"/>
      <c r="AZ272" s="1609"/>
      <c r="BA272" s="1610"/>
      <c r="BB272" s="1610"/>
      <c r="BC272" s="1610"/>
      <c r="BD272" s="1610"/>
      <c r="BE272" s="1610"/>
      <c r="BF272" s="1610"/>
      <c r="BG272" s="1610"/>
      <c r="BH272" s="1610"/>
      <c r="BI272" s="1610"/>
      <c r="BJ272" s="1610"/>
      <c r="BK272" s="1610"/>
      <c r="BL272" s="1610"/>
      <c r="BM272" s="1610"/>
      <c r="BN272" s="1610"/>
      <c r="BO272" s="1610"/>
      <c r="BP272" s="1610"/>
      <c r="BQ272" s="1610"/>
      <c r="BR272" s="1610"/>
      <c r="BS272" s="1610"/>
      <c r="BT272" s="1610"/>
      <c r="BU272" s="1610"/>
      <c r="BV272" s="1610"/>
      <c r="BW272" s="1610"/>
      <c r="BX272" s="1610"/>
      <c r="BY272" s="1610"/>
      <c r="BZ272" s="1610"/>
      <c r="CA272" s="1610"/>
      <c r="CB272" s="1610"/>
      <c r="CC272" s="1610"/>
      <c r="CD272" s="1610"/>
      <c r="CE272" s="1610"/>
      <c r="CF272" s="1610"/>
      <c r="CG272" s="1610"/>
      <c r="CH272" s="3410">
        <f ca="1">CH265-CH264</f>
        <v>-0.10328104921613601</v>
      </c>
      <c r="CI272" s="1610"/>
      <c r="CJ272" s="1610"/>
      <c r="CK272" s="1610"/>
      <c r="CL272" s="3410">
        <f ca="1">CL265-CL264</f>
        <v>0.24514831605765153</v>
      </c>
      <c r="CM272" s="1610"/>
      <c r="CN272" s="1610"/>
      <c r="CO272" s="1610"/>
      <c r="CP272" s="3410">
        <f ca="1">CP265-CP264</f>
        <v>0.22885502318158046</v>
      </c>
      <c r="CQ272" s="1610"/>
      <c r="CR272" s="1610"/>
      <c r="CS272" s="1610"/>
      <c r="CT272" s="3410">
        <f ca="1">CT265-CT264</f>
        <v>-0.2461428274994546</v>
      </c>
      <c r="CU272" s="1610"/>
      <c r="CV272" s="1610"/>
      <c r="CW272" s="1610"/>
      <c r="CX272" s="3410">
        <f ca="1">CX265-CX264</f>
        <v>-5.4735629563253951E-3</v>
      </c>
      <c r="CY272" s="1610"/>
      <c r="CZ272" s="1610"/>
      <c r="DA272" s="1610"/>
      <c r="DB272" s="3410">
        <f ca="1">DB265-DB264</f>
        <v>0.26536017118786503</v>
      </c>
      <c r="DC272" s="1610"/>
      <c r="DD272" s="1610"/>
      <c r="DE272" s="1610"/>
      <c r="DF272" s="3410">
        <f ca="1">DF265-DF264</f>
        <v>0.29809636769513759</v>
      </c>
    </row>
    <row r="273" spans="1:110" ht="30" customHeight="1">
      <c r="C273" s="3816" t="s">
        <v>1628</v>
      </c>
      <c r="D273" s="3816"/>
      <c r="E273" s="3816"/>
      <c r="F273" s="3816"/>
    </row>
    <row r="274" spans="1:110">
      <c r="C274" s="217"/>
      <c r="D274" s="217"/>
      <c r="BG274" s="3091"/>
      <c r="BH274" s="3091"/>
      <c r="BI274" s="3091"/>
      <c r="BK274" s="3091"/>
      <c r="BL274" s="3091"/>
      <c r="BM274" s="3091"/>
      <c r="BO274" s="3091"/>
      <c r="BP274" s="3091"/>
      <c r="BQ274" s="3091"/>
      <c r="BS274" s="3091"/>
      <c r="BT274" s="3091"/>
      <c r="BU274" s="3091"/>
      <c r="BW274" s="3091"/>
      <c r="BX274" s="3091"/>
      <c r="BY274" s="3091"/>
      <c r="BZ274" s="3091"/>
      <c r="CA274" s="3091"/>
      <c r="CB274" s="3091"/>
      <c r="CC274" s="3091"/>
      <c r="CD274" s="3091"/>
      <c r="CE274" s="3091"/>
      <c r="CF274" s="3091"/>
      <c r="CG274" s="3091"/>
      <c r="CH274" s="3091"/>
      <c r="CI274" s="3091"/>
      <c r="CJ274" s="3091"/>
      <c r="CK274" s="3091"/>
      <c r="CL274" s="3091"/>
      <c r="CM274" s="3091"/>
      <c r="CN274" s="3091"/>
      <c r="CO274" s="3091"/>
      <c r="CP274" s="3091"/>
      <c r="CQ274" s="3091"/>
      <c r="CR274" s="3091"/>
      <c r="CS274" s="3091"/>
      <c r="CT274" s="3091"/>
      <c r="CU274" s="3091"/>
      <c r="CV274" s="3091"/>
      <c r="CW274" s="3091"/>
      <c r="CX274" s="3091"/>
      <c r="CY274" s="3091"/>
      <c r="CZ274" s="3091"/>
      <c r="DA274" s="3091"/>
      <c r="DB274" s="3091"/>
      <c r="DC274" s="3091"/>
      <c r="DD274" s="3091"/>
      <c r="DE274" s="3091"/>
      <c r="DF274" s="3091"/>
    </row>
    <row r="275" spans="1:110">
      <c r="G275" s="3820">
        <f ca="1">OFFSET(InputY!$G$3,0,(COLUMN()-7)/4)</f>
        <v>1995</v>
      </c>
      <c r="H275" s="3821"/>
      <c r="I275" s="3821"/>
      <c r="J275" s="3821"/>
      <c r="K275" s="3817">
        <f ca="1">OFFSET(InputY!$G$3,0,(COLUMN()-7)/4)</f>
        <v>1996</v>
      </c>
      <c r="L275" s="3822"/>
      <c r="M275" s="3822"/>
      <c r="N275" s="3823"/>
      <c r="O275" s="3817">
        <f ca="1">OFFSET(InputY!$G$3,0,(COLUMN()-7)/4)</f>
        <v>1997</v>
      </c>
      <c r="P275" s="3818"/>
      <c r="Q275" s="3818"/>
      <c r="R275" s="3819"/>
      <c r="S275" s="3817">
        <f ca="1">OFFSET(InputY!$G$3,0,(COLUMN()-7)/4)</f>
        <v>1998</v>
      </c>
      <c r="T275" s="3818"/>
      <c r="U275" s="3818"/>
      <c r="V275" s="3819"/>
      <c r="W275" s="3817">
        <f ca="1">OFFSET(InputY!$G$3,0,(COLUMN()-7)/4)</f>
        <v>1999</v>
      </c>
      <c r="X275" s="3818"/>
      <c r="Y275" s="3818"/>
      <c r="Z275" s="3819"/>
      <c r="AA275" s="3817">
        <f ca="1">OFFSET(InputY!$G$3,0,(COLUMN()-7)/4)</f>
        <v>2000</v>
      </c>
      <c r="AB275" s="3818"/>
      <c r="AC275" s="3818"/>
      <c r="AD275" s="3819"/>
      <c r="AE275" s="3817">
        <f ca="1">OFFSET(InputY!$G$3,0,(COLUMN()-7)/4)</f>
        <v>2001</v>
      </c>
      <c r="AF275" s="3818"/>
      <c r="AG275" s="3818"/>
      <c r="AH275" s="3819"/>
      <c r="AI275" s="3817">
        <f ca="1">OFFSET(InputY!$G$3,0,(COLUMN()-7)/4)</f>
        <v>2002</v>
      </c>
      <c r="AJ275" s="3818"/>
      <c r="AK275" s="3818"/>
      <c r="AL275" s="3819"/>
      <c r="AM275" s="3817">
        <f ca="1">OFFSET(InputY!$G$3,0,(COLUMN()-7)/4)</f>
        <v>2003</v>
      </c>
      <c r="AN275" s="3818"/>
      <c r="AO275" s="3818"/>
      <c r="AP275" s="3819"/>
      <c r="AQ275" s="3817">
        <f ca="1">OFFSET(InputY!$G$3,0,(COLUMN()-7)/4)</f>
        <v>2004</v>
      </c>
      <c r="AR275" s="3818"/>
      <c r="AS275" s="3818"/>
      <c r="AT275" s="3819"/>
      <c r="AU275" s="3817">
        <f ca="1">OFFSET(InputY!$G$3,0,(COLUMN()-7)/4)</f>
        <v>2005</v>
      </c>
      <c r="AV275" s="3818"/>
      <c r="AW275" s="3818"/>
      <c r="AX275" s="3819"/>
      <c r="AY275" s="3817">
        <f ca="1">OFFSET(InputY!$G$3,0,(COLUMN()-7)/4)</f>
        <v>2006</v>
      </c>
      <c r="AZ275" s="3818"/>
      <c r="BA275" s="3818"/>
      <c r="BB275" s="3819"/>
      <c r="BC275" s="3817">
        <f ca="1">OFFSET(InputY!$G$3,0,(COLUMN()-7)/4)</f>
        <v>2007</v>
      </c>
      <c r="BD275" s="3818"/>
      <c r="BE275" s="3818"/>
      <c r="BF275" s="3819"/>
      <c r="BG275" s="3817">
        <f ca="1">OFFSET(InputY!$G$3,0,(COLUMN()-7)/4)</f>
        <v>2008</v>
      </c>
      <c r="BH275" s="3822"/>
      <c r="BI275" s="3822"/>
      <c r="BJ275" s="3823"/>
      <c r="BK275" s="3817">
        <f ca="1">OFFSET(InputY!$G$3,0,(COLUMN()-7)/4)</f>
        <v>2009</v>
      </c>
      <c r="BL275" s="3822"/>
      <c r="BM275" s="3822"/>
      <c r="BN275" s="3823"/>
      <c r="BO275" s="3817">
        <f ca="1">OFFSET(InputY!$G$3,0,(COLUMN()-7)/4)</f>
        <v>2010</v>
      </c>
      <c r="BP275" s="3822"/>
      <c r="BQ275" s="3822"/>
      <c r="BR275" s="3823"/>
      <c r="BS275" s="3817">
        <f ca="1">OFFSET(InputY!$G$3,0,(COLUMN()-7)/4)</f>
        <v>2011</v>
      </c>
      <c r="BT275" s="3822"/>
      <c r="BU275" s="3822"/>
      <c r="BV275" s="3823"/>
      <c r="BW275" s="3817">
        <f ca="1">OFFSET(InputY!$G$3,0,(COLUMN()-7)/4)</f>
        <v>2012</v>
      </c>
      <c r="BX275" s="3822"/>
      <c r="BY275" s="3822"/>
      <c r="BZ275" s="3823"/>
      <c r="CA275" s="3817">
        <f ca="1">OFFSET(InputY!$G$3,0,(COLUMN()-7)/4)</f>
        <v>2013</v>
      </c>
      <c r="CB275" s="3818"/>
      <c r="CC275" s="3818"/>
      <c r="CD275" s="3819"/>
      <c r="CE275" s="3817">
        <f ca="1">OFFSET(InputY!$G$3,0,(COLUMN()-7)/4)</f>
        <v>2014</v>
      </c>
      <c r="CF275" s="3818"/>
      <c r="CG275" s="3818"/>
      <c r="CH275" s="3819"/>
      <c r="CI275" s="3817">
        <f ca="1">OFFSET(InputY!$G$3,0,(COLUMN()-7)/4)</f>
        <v>2015</v>
      </c>
      <c r="CJ275" s="3818"/>
      <c r="CK275" s="3818"/>
      <c r="CL275" s="3819"/>
      <c r="CM275" s="3817">
        <f ca="1">OFFSET(InputY!$G$3,0,(COLUMN()-7)/4)</f>
        <v>2016</v>
      </c>
      <c r="CN275" s="3818"/>
      <c r="CO275" s="3818"/>
      <c r="CP275" s="3819"/>
      <c r="CQ275" s="3817">
        <f ca="1">OFFSET(InputY!$G$3,0,(COLUMN()-7)/4)</f>
        <v>2017</v>
      </c>
      <c r="CR275" s="3818"/>
      <c r="CS275" s="3818"/>
      <c r="CT275" s="3819"/>
      <c r="CU275" s="3817">
        <f ca="1">OFFSET(InputY!$G$3,0,(COLUMN()-7)/4)</f>
        <v>2018</v>
      </c>
      <c r="CV275" s="3818"/>
      <c r="CW275" s="3818"/>
      <c r="CX275" s="3819"/>
      <c r="CY275" s="3817">
        <f ca="1">OFFSET(InputY!$G$3,0,(COLUMN()-7)/4)</f>
        <v>2019</v>
      </c>
      <c r="CZ275" s="3818"/>
      <c r="DA275" s="3818"/>
      <c r="DB275" s="3819"/>
      <c r="DC275" s="3817">
        <f ca="1">OFFSET(InputY!$G$3,0,(COLUMN()-7)/4)</f>
        <v>2020</v>
      </c>
      <c r="DD275" s="3818"/>
      <c r="DE275" s="3818"/>
      <c r="DF275" s="3819"/>
    </row>
    <row r="276" spans="1:110" s="736" customFormat="1" ht="12.75" customHeight="1">
      <c r="A276" s="701"/>
      <c r="B276" s="701"/>
      <c r="C276" s="703"/>
      <c r="D276" s="732"/>
      <c r="E276" s="733" t="s">
        <v>1685</v>
      </c>
      <c r="F276" s="734"/>
      <c r="G276" s="1618" t="s">
        <v>131</v>
      </c>
      <c r="H276" s="1619" t="s">
        <v>132</v>
      </c>
      <c r="I276" s="1619" t="s">
        <v>133</v>
      </c>
      <c r="J276" s="1619" t="s">
        <v>134</v>
      </c>
      <c r="K276" s="1619" t="s">
        <v>131</v>
      </c>
      <c r="L276" s="1619" t="s">
        <v>132</v>
      </c>
      <c r="M276" s="1619" t="s">
        <v>133</v>
      </c>
      <c r="N276" s="1619" t="s">
        <v>134</v>
      </c>
      <c r="O276" s="1619" t="s">
        <v>131</v>
      </c>
      <c r="P276" s="1619" t="s">
        <v>132</v>
      </c>
      <c r="Q276" s="1619" t="s">
        <v>133</v>
      </c>
      <c r="R276" s="1619" t="s">
        <v>134</v>
      </c>
      <c r="S276" s="1619" t="s">
        <v>131</v>
      </c>
      <c r="T276" s="1619" t="s">
        <v>132</v>
      </c>
      <c r="U276" s="1619" t="s">
        <v>133</v>
      </c>
      <c r="V276" s="1619" t="s">
        <v>134</v>
      </c>
      <c r="W276" s="1619" t="s">
        <v>131</v>
      </c>
      <c r="X276" s="1619" t="s">
        <v>132</v>
      </c>
      <c r="Y276" s="1619" t="s">
        <v>133</v>
      </c>
      <c r="Z276" s="1619" t="s">
        <v>134</v>
      </c>
      <c r="AA276" s="1619" t="s">
        <v>131</v>
      </c>
      <c r="AB276" s="1619" t="s">
        <v>132</v>
      </c>
      <c r="AC276" s="1619" t="s">
        <v>133</v>
      </c>
      <c r="AD276" s="1619" t="s">
        <v>134</v>
      </c>
      <c r="AE276" s="1619" t="s">
        <v>131</v>
      </c>
      <c r="AF276" s="1619" t="s">
        <v>132</v>
      </c>
      <c r="AG276" s="1619" t="s">
        <v>133</v>
      </c>
      <c r="AH276" s="1619" t="s">
        <v>134</v>
      </c>
      <c r="AI276" s="1619" t="s">
        <v>131</v>
      </c>
      <c r="AJ276" s="1619" t="s">
        <v>132</v>
      </c>
      <c r="AK276" s="1619" t="s">
        <v>133</v>
      </c>
      <c r="AL276" s="1619" t="s">
        <v>134</v>
      </c>
      <c r="AM276" s="1619" t="s">
        <v>131</v>
      </c>
      <c r="AN276" s="1619" t="s">
        <v>132</v>
      </c>
      <c r="AO276" s="1619" t="s">
        <v>133</v>
      </c>
      <c r="AP276" s="1619" t="s">
        <v>134</v>
      </c>
      <c r="AQ276" s="1619" t="s">
        <v>131</v>
      </c>
      <c r="AR276" s="1619" t="s">
        <v>132</v>
      </c>
      <c r="AS276" s="1619" t="s">
        <v>133</v>
      </c>
      <c r="AT276" s="1619" t="s">
        <v>134</v>
      </c>
      <c r="AU276" s="1619" t="s">
        <v>131</v>
      </c>
      <c r="AV276" s="1619" t="s">
        <v>132</v>
      </c>
      <c r="AW276" s="1619" t="s">
        <v>133</v>
      </c>
      <c r="AX276" s="1619" t="s">
        <v>134</v>
      </c>
      <c r="AY276" s="1619" t="s">
        <v>131</v>
      </c>
      <c r="AZ276" s="1619" t="s">
        <v>132</v>
      </c>
      <c r="BA276" s="1619" t="s">
        <v>133</v>
      </c>
      <c r="BB276" s="1619" t="s">
        <v>134</v>
      </c>
      <c r="BC276" s="1619" t="s">
        <v>131</v>
      </c>
      <c r="BD276" s="1619" t="s">
        <v>132</v>
      </c>
      <c r="BE276" s="1619" t="s">
        <v>133</v>
      </c>
      <c r="BF276" s="1619" t="s">
        <v>134</v>
      </c>
      <c r="BG276" s="1619" t="s">
        <v>131</v>
      </c>
      <c r="BH276" s="1619" t="s">
        <v>132</v>
      </c>
      <c r="BI276" s="1619" t="s">
        <v>133</v>
      </c>
      <c r="BJ276" s="1619" t="s">
        <v>134</v>
      </c>
      <c r="BK276" s="1619" t="s">
        <v>131</v>
      </c>
      <c r="BL276" s="1619" t="s">
        <v>132</v>
      </c>
      <c r="BM276" s="1619" t="s">
        <v>133</v>
      </c>
      <c r="BN276" s="1619" t="s">
        <v>134</v>
      </c>
      <c r="BO276" s="1619" t="s">
        <v>131</v>
      </c>
      <c r="BP276" s="1619" t="s">
        <v>132</v>
      </c>
      <c r="BQ276" s="1619" t="s">
        <v>133</v>
      </c>
      <c r="BR276" s="1619" t="s">
        <v>134</v>
      </c>
      <c r="BS276" s="1619" t="s">
        <v>131</v>
      </c>
      <c r="BT276" s="1619" t="s">
        <v>132</v>
      </c>
      <c r="BU276" s="1619" t="s">
        <v>133</v>
      </c>
      <c r="BV276" s="1619" t="s">
        <v>134</v>
      </c>
      <c r="BW276" s="1619" t="s">
        <v>131</v>
      </c>
      <c r="BX276" s="1619" t="s">
        <v>132</v>
      </c>
      <c r="BY276" s="1619" t="s">
        <v>133</v>
      </c>
      <c r="BZ276" s="1619" t="s">
        <v>134</v>
      </c>
      <c r="CA276" s="1619" t="s">
        <v>131</v>
      </c>
      <c r="CB276" s="1619" t="s">
        <v>132</v>
      </c>
      <c r="CC276" s="1619" t="s">
        <v>133</v>
      </c>
      <c r="CD276" s="1619" t="s">
        <v>134</v>
      </c>
      <c r="CE276" s="1619" t="s">
        <v>131</v>
      </c>
      <c r="CF276" s="1619" t="s">
        <v>132</v>
      </c>
      <c r="CG276" s="1619" t="s">
        <v>133</v>
      </c>
      <c r="CH276" s="1619" t="s">
        <v>134</v>
      </c>
      <c r="CI276" s="1619" t="s">
        <v>131</v>
      </c>
      <c r="CJ276" s="1619" t="s">
        <v>132</v>
      </c>
      <c r="CK276" s="1619" t="s">
        <v>133</v>
      </c>
      <c r="CL276" s="1619" t="s">
        <v>134</v>
      </c>
      <c r="CM276" s="1619" t="s">
        <v>131</v>
      </c>
      <c r="CN276" s="1619" t="s">
        <v>132</v>
      </c>
      <c r="CO276" s="1619" t="s">
        <v>133</v>
      </c>
      <c r="CP276" s="1619" t="s">
        <v>134</v>
      </c>
      <c r="CQ276" s="1619" t="s">
        <v>131</v>
      </c>
      <c r="CR276" s="1619" t="s">
        <v>132</v>
      </c>
      <c r="CS276" s="1619" t="s">
        <v>133</v>
      </c>
      <c r="CT276" s="1619" t="s">
        <v>134</v>
      </c>
      <c r="CU276" s="1619" t="s">
        <v>131</v>
      </c>
      <c r="CV276" s="1619" t="s">
        <v>132</v>
      </c>
      <c r="CW276" s="1619" t="s">
        <v>133</v>
      </c>
      <c r="CX276" s="1619" t="s">
        <v>134</v>
      </c>
      <c r="CY276" s="1619" t="s">
        <v>131</v>
      </c>
      <c r="CZ276" s="1619" t="s">
        <v>132</v>
      </c>
      <c r="DA276" s="1619" t="s">
        <v>133</v>
      </c>
      <c r="DB276" s="1619" t="s">
        <v>134</v>
      </c>
      <c r="DC276" s="1619" t="s">
        <v>131</v>
      </c>
      <c r="DD276" s="1619" t="s">
        <v>132</v>
      </c>
      <c r="DE276" s="1619" t="s">
        <v>133</v>
      </c>
      <c r="DF276" s="1619" t="s">
        <v>134</v>
      </c>
    </row>
    <row r="277" spans="1:110" s="736" customFormat="1" ht="12.75" customHeight="1">
      <c r="A277" s="701" t="str">
        <f>"Q" &amp; ROW(InputQ!A18)</f>
        <v>Q18</v>
      </c>
      <c r="B277" s="701">
        <v>167</v>
      </c>
      <c r="C277" s="1611"/>
      <c r="D277" s="705"/>
      <c r="E277" s="737" t="s">
        <v>1680</v>
      </c>
      <c r="F277" s="738"/>
      <c r="G277" s="817" t="str">
        <f>+InputQ!G18</f>
        <v>:</v>
      </c>
      <c r="H277" s="817" t="str">
        <f>+InputQ!H18</f>
        <v>:</v>
      </c>
      <c r="I277" s="817" t="str">
        <f>+InputQ!I18</f>
        <v>:</v>
      </c>
      <c r="J277" s="817" t="str">
        <f>+InputQ!J18</f>
        <v>:</v>
      </c>
      <c r="K277" s="817">
        <f>+InputQ!K18</f>
        <v>102.74000000000001</v>
      </c>
      <c r="L277" s="817">
        <f>+InputQ!L18</f>
        <v>103.94666666666666</v>
      </c>
      <c r="M277" s="817">
        <f>+InputQ!M18</f>
        <v>101.95</v>
      </c>
      <c r="N277" s="817">
        <f>+InputQ!N18</f>
        <v>103.44666666666667</v>
      </c>
      <c r="O277" s="817">
        <f>+InputQ!O18</f>
        <v>101.04666666666667</v>
      </c>
      <c r="P277" s="817">
        <f>+InputQ!P18</f>
        <v>102</v>
      </c>
      <c r="Q277" s="817">
        <f>+InputQ!Q18</f>
        <v>100.88333333333333</v>
      </c>
      <c r="R277" s="817">
        <f>+InputQ!R18</f>
        <v>103.04333333333334</v>
      </c>
      <c r="S277" s="817">
        <f>+InputQ!S18</f>
        <v>100.18333333333334</v>
      </c>
      <c r="T277" s="817">
        <f>+InputQ!T18</f>
        <v>101.03333333333335</v>
      </c>
      <c r="U277" s="817">
        <f>+InputQ!U18</f>
        <v>100.17333333333333</v>
      </c>
      <c r="V277" s="817">
        <f>+InputQ!V18</f>
        <v>102.22000000000001</v>
      </c>
      <c r="W277" s="817">
        <f>+InputQ!W18</f>
        <v>99.860000000000014</v>
      </c>
      <c r="X277" s="817">
        <f>+InputQ!X18</f>
        <v>100.93333333333334</v>
      </c>
      <c r="Y277" s="817">
        <f>+InputQ!Y18</f>
        <v>99.893333333333317</v>
      </c>
      <c r="Z277" s="817">
        <f>+InputQ!Z18</f>
        <v>101.97333333333334</v>
      </c>
      <c r="AA277" s="817">
        <f>+InputQ!AA18</f>
        <v>99.603333333333339</v>
      </c>
      <c r="AB277" s="817">
        <f>+InputQ!AB18</f>
        <v>100.95</v>
      </c>
      <c r="AC277" s="817">
        <f>+InputQ!AC18</f>
        <v>100.40666666666668</v>
      </c>
      <c r="AD277" s="817">
        <f>+InputQ!AD18</f>
        <v>102.06</v>
      </c>
      <c r="AE277" s="817">
        <f>+InputQ!AE18</f>
        <v>99.600000000000009</v>
      </c>
      <c r="AF277" s="817">
        <f>+InputQ!AF18</f>
        <v>101.66333333333334</v>
      </c>
      <c r="AG277" s="817">
        <f>+InputQ!AG18</f>
        <v>101.03333333333335</v>
      </c>
      <c r="AH277" s="817">
        <f>+InputQ!AH18</f>
        <v>103.93666666666667</v>
      </c>
      <c r="AI277" s="817">
        <f>+InputQ!AI18</f>
        <v>101.22666666666667</v>
      </c>
      <c r="AJ277" s="817">
        <f>+InputQ!AJ18</f>
        <v>102.61333333333334</v>
      </c>
      <c r="AK277" s="817">
        <f>+InputQ!AK18</f>
        <v>101.58666666666666</v>
      </c>
      <c r="AL277" s="817">
        <f>+InputQ!AL18</f>
        <v>104.06333333333333</v>
      </c>
      <c r="AM277" s="817">
        <f>+InputQ!AM18</f>
        <v>101.68666666666667</v>
      </c>
      <c r="AN277" s="817">
        <f>+InputQ!AN18</f>
        <v>102.87666666666667</v>
      </c>
      <c r="AO277" s="817">
        <f>+InputQ!AO18</f>
        <v>101.39</v>
      </c>
      <c r="AP277" s="817">
        <f>+InputQ!AP18</f>
        <v>103.16333333333334</v>
      </c>
      <c r="AQ277" s="817">
        <f>+InputQ!AQ18</f>
        <v>100.33</v>
      </c>
      <c r="AR277" s="817">
        <f>+InputQ!AR18</f>
        <v>101.66666666666667</v>
      </c>
      <c r="AS277" s="817">
        <f>+InputQ!AS18</f>
        <v>99.96</v>
      </c>
      <c r="AT277" s="817">
        <f>+InputQ!AT18</f>
        <v>102.35000000000001</v>
      </c>
      <c r="AU277" s="817">
        <f>+InputQ!AU18</f>
        <v>99.106666666666669</v>
      </c>
      <c r="AV277" s="817">
        <f>+InputQ!AV18</f>
        <v>99.893333333333331</v>
      </c>
      <c r="AW277" s="817">
        <f>+InputQ!AW18</f>
        <v>98.83</v>
      </c>
      <c r="AX277" s="817">
        <f>+InputQ!AX18</f>
        <v>101.17333333333333</v>
      </c>
      <c r="AY277" s="817">
        <f>+InputQ!AY18</f>
        <v>98.416666666666671</v>
      </c>
      <c r="AZ277" s="817">
        <f>+InputQ!AZ18</f>
        <v>99.783333333333346</v>
      </c>
      <c r="BA277" s="817">
        <f>+InputQ!BA18</f>
        <v>98.556666666666672</v>
      </c>
      <c r="BB277" s="817">
        <f>+InputQ!BB18</f>
        <v>100.74</v>
      </c>
      <c r="BC277" s="817">
        <f>+InputQ!BC18</f>
        <v>98.71</v>
      </c>
      <c r="BD277" s="817">
        <f>+InputQ!BD18</f>
        <v>100.39999999999999</v>
      </c>
      <c r="BE277" s="817">
        <f>+InputQ!BE18</f>
        <v>99.04</v>
      </c>
      <c r="BF277" s="817">
        <f>+InputQ!BF18</f>
        <v>101.64666666666666</v>
      </c>
      <c r="BG277" s="817">
        <f>+InputQ!BG18</f>
        <v>98.956666666666663</v>
      </c>
      <c r="BH277" s="817">
        <f>+InputQ!BH18</f>
        <v>100.33666666666666</v>
      </c>
      <c r="BI277" s="817">
        <f>+InputQ!BI18</f>
        <v>99.160000000000011</v>
      </c>
      <c r="BJ277" s="817">
        <f>+InputQ!BJ18</f>
        <v>101.09666666666665</v>
      </c>
      <c r="BK277" s="817">
        <f>+InputQ!BK18</f>
        <v>99.483333333333334</v>
      </c>
      <c r="BL277" s="817">
        <f>+InputQ!BL18</f>
        <v>101.00999999999999</v>
      </c>
      <c r="BM277" s="817">
        <f>+InputQ!BM18</f>
        <v>101.41333333333334</v>
      </c>
      <c r="BN277" s="817">
        <f>+InputQ!BN18</f>
        <v>103.70333333333333</v>
      </c>
      <c r="BO277" s="817">
        <f>+InputQ!BO18</f>
        <v>101.73666666666666</v>
      </c>
      <c r="BP277" s="817">
        <f>+InputQ!BP18</f>
        <v>102.57000000000001</v>
      </c>
      <c r="BQ277" s="817">
        <f>+InputQ!BQ18</f>
        <v>101.36333333333334</v>
      </c>
      <c r="BR277" s="817">
        <f>+InputQ!BR18</f>
        <v>103.57333333333334</v>
      </c>
      <c r="BS277" s="817">
        <f>+InputQ!BS18</f>
        <v>101.08666666666666</v>
      </c>
      <c r="BT277" s="817">
        <f>+InputQ!BT18</f>
        <v>102.02999999999999</v>
      </c>
      <c r="BU277" s="817">
        <f>+InputQ!BU18</f>
        <v>101.18666666666667</v>
      </c>
      <c r="BV277" s="817">
        <f>+InputQ!BV18</f>
        <v>102.99333333333334</v>
      </c>
      <c r="BW277" s="817">
        <f>+InputQ!BW18</f>
        <v>99.98</v>
      </c>
      <c r="BX277" s="817">
        <f>+InputQ!BX18</f>
        <v>101.42666666666668</v>
      </c>
      <c r="BY277" s="817">
        <f>+InputQ!BY18</f>
        <v>100.14</v>
      </c>
      <c r="BZ277" s="817">
        <f>+InputQ!BZ18</f>
        <v>101.73666666666668</v>
      </c>
      <c r="CA277" s="3239">
        <f>+InputQ!CA18</f>
        <v>99.336666666666659</v>
      </c>
      <c r="CB277" s="3239">
        <f>+InputQ!CB18</f>
        <v>100.26333333333334</v>
      </c>
      <c r="CC277" s="817">
        <f>+InputQ!CC18</f>
        <v>99.353333333333339</v>
      </c>
      <c r="CD277" s="817">
        <f>+InputQ!CD18</f>
        <v>101.22666666666665</v>
      </c>
      <c r="CE277" s="3239">
        <f>+InputQ!CE18</f>
        <v>99.043333333333337</v>
      </c>
      <c r="CF277" s="3239">
        <f>+InputQ!CF18</f>
        <v>99.956666666666663</v>
      </c>
      <c r="CG277" s="3239">
        <f>+InputQ!CG18</f>
        <v>98.883333333333326</v>
      </c>
      <c r="CH277" s="817">
        <f>+InputQ!CH18</f>
        <v>100.74666666666667</v>
      </c>
      <c r="CI277" s="3239">
        <f>+InputQ!CI18</f>
        <v>98.903333333333322</v>
      </c>
      <c r="CJ277" s="3239">
        <f>+InputQ!CJ18</f>
        <v>99.733333333333334</v>
      </c>
      <c r="CK277" s="3239">
        <f>+InputQ!CK18</f>
        <v>99.723333333333343</v>
      </c>
      <c r="CL277" s="3239">
        <f>+InputQ!CL18</f>
        <v>101.64333333333333</v>
      </c>
      <c r="CM277" s="3239">
        <f>+InputQ!CM18</f>
        <v>100.10333333333331</v>
      </c>
      <c r="CN277" s="3239">
        <f>+InputQ!CN18</f>
        <v>101.21666666666665</v>
      </c>
      <c r="CO277" s="3239">
        <f>+InputQ!CO18</f>
        <v>100.72666666666667</v>
      </c>
      <c r="CP277" s="3239">
        <f>+InputQ!CP18</f>
        <v>102.31</v>
      </c>
      <c r="CQ277" s="3239">
        <f>+InputQ!CQ18</f>
        <v>100.48333333333333</v>
      </c>
      <c r="CR277" s="3239">
        <f>+InputQ!CR18</f>
        <v>101.47666666666667</v>
      </c>
      <c r="CS277" s="3239">
        <f>+InputQ!CS18</f>
        <v>100.69666666666666</v>
      </c>
      <c r="CT277" s="3239">
        <f>+InputQ!CT18</f>
        <v>102.10333333333334</v>
      </c>
      <c r="CU277" s="3239">
        <f>+InputQ!CU18</f>
        <v>100.63</v>
      </c>
      <c r="CV277" s="3239">
        <f>+InputQ!CV18</f>
        <v>101.57333333333334</v>
      </c>
      <c r="CW277" s="3239">
        <f>+InputQ!CW18</f>
        <v>100.75999999999999</v>
      </c>
      <c r="CX277" s="3240">
        <f t="shared" ref="CX277:CX281" si="1142">+CT277*(1+CX311/100)</f>
        <v>102.40964333333332</v>
      </c>
      <c r="CY277" s="3240">
        <f t="shared" ref="CY277:CY281" si="1143">+CU277*(1+CY311/100)</f>
        <v>100.89163799999999</v>
      </c>
      <c r="CZ277" s="3240">
        <f t="shared" ref="CZ277:CZ281" si="1144">+CV277*(1+CZ311/100)</f>
        <v>101.78663733333333</v>
      </c>
      <c r="DA277" s="3240">
        <f t="shared" ref="DA277:DA281" si="1145">+CW277*(1+DA311/100)</f>
        <v>100.91114</v>
      </c>
      <c r="DB277" s="3240">
        <f t="shared" ref="DB277:DB281" si="1146">+CX277*(1+DB311/100)</f>
        <v>102.51205297666664</v>
      </c>
      <c r="DC277" s="3240">
        <f t="shared" ref="DC277:DC281" si="1147">+CY277*(1+DC311/100)</f>
        <v>100.81092468959999</v>
      </c>
      <c r="DD277" s="3240">
        <f t="shared" ref="DD277:DD281" si="1148">+CZ277*(1+DD311/100)</f>
        <v>101.89860263440001</v>
      </c>
      <c r="DE277" s="3240">
        <f t="shared" ref="DE277:DE281" si="1149">+DA277*(1+DE311/100)</f>
        <v>101.123053394</v>
      </c>
      <c r="DF277" s="3240">
        <f t="shared" ref="DF277:DF281" si="1150">+DB277*(1+DF311/100)</f>
        <v>102.66582105613165</v>
      </c>
    </row>
    <row r="278" spans="1:110" s="736" customFormat="1" ht="12.75" customHeight="1">
      <c r="A278" s="701" t="str">
        <f>"Q" &amp; ROW(InputQ!A19)</f>
        <v>Q19</v>
      </c>
      <c r="B278" s="701">
        <v>168</v>
      </c>
      <c r="C278" s="1612"/>
      <c r="D278" s="711"/>
      <c r="E278" s="820" t="s">
        <v>1681</v>
      </c>
      <c r="F278" s="741"/>
      <c r="G278" s="743" t="str">
        <f>+InputQ!G19</f>
        <v>:</v>
      </c>
      <c r="H278" s="743" t="str">
        <f>+InputQ!H19</f>
        <v>:</v>
      </c>
      <c r="I278" s="743" t="str">
        <f>+InputQ!I19</f>
        <v>:</v>
      </c>
      <c r="J278" s="743" t="str">
        <f>+InputQ!J19</f>
        <v>:</v>
      </c>
      <c r="K278" s="743">
        <f>+InputQ!K19</f>
        <v>56.18</v>
      </c>
      <c r="L278" s="743">
        <f>+InputQ!L19</f>
        <v>57.243333333333339</v>
      </c>
      <c r="M278" s="743">
        <f>+InputQ!M19</f>
        <v>57.640000000000008</v>
      </c>
      <c r="N278" s="743">
        <f>+InputQ!N19</f>
        <v>58.963333333333331</v>
      </c>
      <c r="O278" s="743">
        <f>+InputQ!O19</f>
        <v>59.49</v>
      </c>
      <c r="P278" s="743">
        <f>+InputQ!P19</f>
        <v>59.49666666666667</v>
      </c>
      <c r="Q278" s="743">
        <f>+InputQ!Q19</f>
        <v>61.316666666666663</v>
      </c>
      <c r="R278" s="743">
        <f>+InputQ!R19</f>
        <v>60.836666666666673</v>
      </c>
      <c r="S278" s="743">
        <f>+InputQ!S19</f>
        <v>60.826666666666661</v>
      </c>
      <c r="T278" s="743">
        <f>+InputQ!T19</f>
        <v>60.51</v>
      </c>
      <c r="U278" s="743">
        <f>+InputQ!U19</f>
        <v>60.336666666666666</v>
      </c>
      <c r="V278" s="743">
        <f>+InputQ!V19</f>
        <v>59.576666666666675</v>
      </c>
      <c r="W278" s="743">
        <f>+InputQ!W19</f>
        <v>58.81</v>
      </c>
      <c r="X278" s="743">
        <f>+InputQ!X19</f>
        <v>59.603333333333332</v>
      </c>
      <c r="Y278" s="743">
        <f>+InputQ!Y19</f>
        <v>61.109999999999992</v>
      </c>
      <c r="Z278" s="743">
        <f>+InputQ!Z19</f>
        <v>61.263333333333343</v>
      </c>
      <c r="AA278" s="743">
        <f>+InputQ!AA19</f>
        <v>62.956666666666671</v>
      </c>
      <c r="AB278" s="743">
        <f>+InputQ!AB19</f>
        <v>63.71</v>
      </c>
      <c r="AC278" s="743">
        <f>+InputQ!AC19</f>
        <v>64.73</v>
      </c>
      <c r="AD278" s="743">
        <f>+InputQ!AD19</f>
        <v>64.99666666666667</v>
      </c>
      <c r="AE278" s="743">
        <f>+InputQ!AE19</f>
        <v>66.323333333333338</v>
      </c>
      <c r="AF278" s="743">
        <f>+InputQ!AF19</f>
        <v>69.883333333333326</v>
      </c>
      <c r="AG278" s="743">
        <f>+InputQ!AG19</f>
        <v>69.339999999999989</v>
      </c>
      <c r="AH278" s="743">
        <f>+InputQ!AH19</f>
        <v>67.056666666666672</v>
      </c>
      <c r="AI278" s="743">
        <f>+InputQ!AI19</f>
        <v>68.266666666666666</v>
      </c>
      <c r="AJ278" s="743">
        <f>+InputQ!AJ19</f>
        <v>69.646666666666661</v>
      </c>
      <c r="AK278" s="743">
        <f>+InputQ!AK19</f>
        <v>69.596666666666678</v>
      </c>
      <c r="AL278" s="743">
        <f>+InputQ!AL19</f>
        <v>69.876666666666665</v>
      </c>
      <c r="AM278" s="743">
        <f>+InputQ!AM19</f>
        <v>78.47</v>
      </c>
      <c r="AN278" s="743">
        <f>+InputQ!AN19</f>
        <v>76.260000000000005</v>
      </c>
      <c r="AO278" s="743">
        <f>+InputQ!AO19</f>
        <v>76.38333333333334</v>
      </c>
      <c r="AP278" s="743">
        <f>+InputQ!AP19</f>
        <v>76.276666666666685</v>
      </c>
      <c r="AQ278" s="743">
        <f>+InputQ!AQ19</f>
        <v>78.306666666666672</v>
      </c>
      <c r="AR278" s="743">
        <f>+InputQ!AR19</f>
        <v>79.423333333333332</v>
      </c>
      <c r="AS278" s="743">
        <f>+InputQ!AS19</f>
        <v>80.11333333333333</v>
      </c>
      <c r="AT278" s="743">
        <f>+InputQ!AT19</f>
        <v>79.58</v>
      </c>
      <c r="AU278" s="743">
        <f>+InputQ!AU19</f>
        <v>80.383333333333326</v>
      </c>
      <c r="AV278" s="743">
        <f>+InputQ!AV19</f>
        <v>82.59333333333332</v>
      </c>
      <c r="AW278" s="743">
        <f>+InputQ!AW19</f>
        <v>86.456666666666663</v>
      </c>
      <c r="AX278" s="743">
        <f>+InputQ!AX19</f>
        <v>85.626666666666665</v>
      </c>
      <c r="AY278" s="743">
        <f>+InputQ!AY19</f>
        <v>86.763333333333321</v>
      </c>
      <c r="AZ278" s="743">
        <f>+InputQ!AZ19</f>
        <v>90.48</v>
      </c>
      <c r="BA278" s="743">
        <f>+InputQ!BA19</f>
        <v>91.113333333333344</v>
      </c>
      <c r="BB278" s="743">
        <f>+InputQ!BB19</f>
        <v>89.889999999999986</v>
      </c>
      <c r="BC278" s="743">
        <f>+InputQ!BC19</f>
        <v>89.373333333333335</v>
      </c>
      <c r="BD278" s="743">
        <f>+InputQ!BD19</f>
        <v>90.12</v>
      </c>
      <c r="BE278" s="743">
        <f>+InputQ!BE19</f>
        <v>88.983333333333334</v>
      </c>
      <c r="BF278" s="743">
        <f>+InputQ!BF19</f>
        <v>91.516666666666666</v>
      </c>
      <c r="BG278" s="743">
        <f>+InputQ!BG19</f>
        <v>95.52</v>
      </c>
      <c r="BH278" s="743">
        <f>+InputQ!BH19</f>
        <v>99.24666666666667</v>
      </c>
      <c r="BI278" s="743">
        <f>+InputQ!BI19</f>
        <v>102.85000000000001</v>
      </c>
      <c r="BJ278" s="743">
        <f>+InputQ!BJ19</f>
        <v>96.486666666666679</v>
      </c>
      <c r="BK278" s="743">
        <f>+InputQ!BK19</f>
        <v>96.226666666666674</v>
      </c>
      <c r="BL278" s="743">
        <f>+InputQ!BL19</f>
        <v>98.63</v>
      </c>
      <c r="BM278" s="743">
        <f>+InputQ!BM19</f>
        <v>98.089999999999989</v>
      </c>
      <c r="BN278" s="743">
        <f>+InputQ!BN19</f>
        <v>97.86333333333333</v>
      </c>
      <c r="BO278" s="743">
        <f>+InputQ!BO19</f>
        <v>103.73666666666666</v>
      </c>
      <c r="BP278" s="743">
        <f>+InputQ!BP19</f>
        <v>102.37333333333333</v>
      </c>
      <c r="BQ278" s="743">
        <f>+InputQ!BQ19</f>
        <v>101.45</v>
      </c>
      <c r="BR278" s="743">
        <f>+InputQ!BR19</f>
        <v>104.68666666666667</v>
      </c>
      <c r="BS278" s="743">
        <f>+InputQ!BS19</f>
        <v>108.71333333333332</v>
      </c>
      <c r="BT278" s="743">
        <f>+InputQ!BT19</f>
        <v>109.11</v>
      </c>
      <c r="BU278" s="743">
        <f>+InputQ!BU19</f>
        <v>107.27999999999999</v>
      </c>
      <c r="BV278" s="743">
        <f>+InputQ!BV19</f>
        <v>106.75999999999999</v>
      </c>
      <c r="BW278" s="743">
        <f>+InputQ!BW19</f>
        <v>110.33333333333333</v>
      </c>
      <c r="BX278" s="743">
        <f>+InputQ!BX19</f>
        <v>108.81666666666666</v>
      </c>
      <c r="BY278" s="743">
        <f>+InputQ!BY19</f>
        <v>107.64666666666666</v>
      </c>
      <c r="BZ278" s="743">
        <f>+InputQ!BZ19</f>
        <v>107.42333333333333</v>
      </c>
      <c r="CA278" s="743">
        <f>+InputQ!CA19</f>
        <v>108.37</v>
      </c>
      <c r="CB278" s="743">
        <f>+InputQ!CB19</f>
        <v>106.28666666666668</v>
      </c>
      <c r="CC278" s="743">
        <f>+InputQ!CC19</f>
        <v>107.33666666666666</v>
      </c>
      <c r="CD278" s="743">
        <f>+InputQ!CD19</f>
        <v>106.35666666666667</v>
      </c>
      <c r="CE278" s="743">
        <f>+InputQ!CE19</f>
        <v>105.34333333333332</v>
      </c>
      <c r="CF278" s="743">
        <f>+InputQ!CF19</f>
        <v>105.81666666666668</v>
      </c>
      <c r="CG278" s="743">
        <f>+InputQ!CG19</f>
        <v>105.76666666666665</v>
      </c>
      <c r="CH278" s="743">
        <f>+InputQ!CH19</f>
        <v>102.64999999999999</v>
      </c>
      <c r="CI278" s="743">
        <f>+InputQ!CI19</f>
        <v>101.01666666666665</v>
      </c>
      <c r="CJ278" s="743">
        <f>+InputQ!CJ19</f>
        <v>101.78333333333335</v>
      </c>
      <c r="CK278" s="743">
        <f>+InputQ!CK19</f>
        <v>98.969999999999985</v>
      </c>
      <c r="CL278" s="743">
        <f>+InputQ!CL19</f>
        <v>98.236666666666665</v>
      </c>
      <c r="CM278" s="743">
        <f>+InputQ!CM19</f>
        <v>98.88666666666667</v>
      </c>
      <c r="CN278" s="743">
        <f>+InputQ!CN19</f>
        <v>100.03333333333335</v>
      </c>
      <c r="CO278" s="743">
        <f>+InputQ!CO19</f>
        <v>100.66666666666667</v>
      </c>
      <c r="CP278" s="743">
        <f>+InputQ!CP19</f>
        <v>104.60000000000001</v>
      </c>
      <c r="CQ278" s="743">
        <f>+InputQ!CQ19</f>
        <v>106.75</v>
      </c>
      <c r="CR278" s="743">
        <f>+InputQ!CR19</f>
        <v>104.47333333333334</v>
      </c>
      <c r="CS278" s="743">
        <f>+InputQ!CS19</f>
        <v>106.20666666666666</v>
      </c>
      <c r="CT278" s="743">
        <f>+InputQ!CT19</f>
        <v>108.18666666666665</v>
      </c>
      <c r="CU278" s="743">
        <f>+InputQ!CU19</f>
        <v>112.30666666666667</v>
      </c>
      <c r="CV278" s="743">
        <f>+InputQ!CV19</f>
        <v>114.29666666666667</v>
      </c>
      <c r="CW278" s="743">
        <f>+InputQ!CW19</f>
        <v>120.05333333333333</v>
      </c>
      <c r="CX278" s="3241">
        <f t="shared" ref="CX278" si="1151">+CT278*(1+CX312/100)</f>
        <v>120.62813333333332</v>
      </c>
      <c r="CY278" s="3241">
        <f t="shared" si="1143"/>
        <v>124.2851939930483</v>
      </c>
      <c r="CZ278" s="3241">
        <f t="shared" si="1144"/>
        <v>122.01469855720779</v>
      </c>
      <c r="DA278" s="3241">
        <f t="shared" si="1145"/>
        <v>124.90015012757546</v>
      </c>
      <c r="DB278" s="3241">
        <f t="shared" si="1146"/>
        <v>123.27254080837595</v>
      </c>
      <c r="DC278" s="3241">
        <f t="shared" si="1147"/>
        <v>125.33853157010736</v>
      </c>
      <c r="DD278" s="3241">
        <f t="shared" si="1148"/>
        <v>122.92080232978779</v>
      </c>
      <c r="DE278" s="3241">
        <f t="shared" si="1149"/>
        <v>126.21660953214413</v>
      </c>
      <c r="DF278" s="3241">
        <f t="shared" si="1150"/>
        <v>125.04635145838573</v>
      </c>
    </row>
    <row r="279" spans="1:110" s="736" customFormat="1" ht="12.75" customHeight="1">
      <c r="A279" s="701" t="str">
        <f>"Q" &amp; ROW(InputQ!A20)</f>
        <v>Q20</v>
      </c>
      <c r="B279" s="701">
        <v>170</v>
      </c>
      <c r="C279" s="1612"/>
      <c r="D279" s="711"/>
      <c r="E279" s="820" t="s">
        <v>1683</v>
      </c>
      <c r="F279" s="741"/>
      <c r="G279" s="743" t="str">
        <f>+InputQ!G20</f>
        <v>:</v>
      </c>
      <c r="H279" s="743" t="str">
        <f>+InputQ!H20</f>
        <v>:</v>
      </c>
      <c r="I279" s="743" t="str">
        <f>+InputQ!I20</f>
        <v>:</v>
      </c>
      <c r="J279" s="743" t="str">
        <f>+InputQ!J20</f>
        <v>:</v>
      </c>
      <c r="K279" s="743">
        <f>+InputQ!K20</f>
        <v>70.566666666666677</v>
      </c>
      <c r="L279" s="743">
        <f>+InputQ!L20</f>
        <v>72.100000000000009</v>
      </c>
      <c r="M279" s="743">
        <f>+InputQ!M20</f>
        <v>71.00333333333333</v>
      </c>
      <c r="N279" s="743">
        <f>+InputQ!N20</f>
        <v>67.106666666666669</v>
      </c>
      <c r="O279" s="743">
        <f>+InputQ!O20</f>
        <v>68.823333333333323</v>
      </c>
      <c r="P279" s="743">
        <f>+InputQ!P20</f>
        <v>70.790000000000006</v>
      </c>
      <c r="Q279" s="743">
        <f>+InputQ!Q20</f>
        <v>70.933333333333337</v>
      </c>
      <c r="R279" s="743">
        <f>+InputQ!R20</f>
        <v>68.903333333333322</v>
      </c>
      <c r="S279" s="743">
        <f>+InputQ!S20</f>
        <v>69.546666666666667</v>
      </c>
      <c r="T279" s="743">
        <f>+InputQ!T20</f>
        <v>71.56</v>
      </c>
      <c r="U279" s="743">
        <f>+InputQ!U20</f>
        <v>71.58</v>
      </c>
      <c r="V279" s="743">
        <f>+InputQ!V20</f>
        <v>70.413333333333341</v>
      </c>
      <c r="W279" s="743">
        <f>+InputQ!W20</f>
        <v>72.63333333333334</v>
      </c>
      <c r="X279" s="743">
        <f>+InputQ!X20</f>
        <v>73.529999999999987</v>
      </c>
      <c r="Y279" s="743">
        <f>+InputQ!Y20</f>
        <v>71.486666666666665</v>
      </c>
      <c r="Z279" s="743">
        <f>+InputQ!Z20</f>
        <v>71.2</v>
      </c>
      <c r="AA279" s="743">
        <f>+InputQ!AA20</f>
        <v>71.916666666666671</v>
      </c>
      <c r="AB279" s="743">
        <f>+InputQ!AB20</f>
        <v>72.913333333333341</v>
      </c>
      <c r="AC279" s="743">
        <f>+InputQ!AC20</f>
        <v>71.983333333333334</v>
      </c>
      <c r="AD279" s="743">
        <f>+InputQ!AD20</f>
        <v>71.513333333333321</v>
      </c>
      <c r="AE279" s="743">
        <f>+InputQ!AE20</f>
        <v>73.356666666666669</v>
      </c>
      <c r="AF279" s="743">
        <f>+InputQ!AF20</f>
        <v>78.483333333333334</v>
      </c>
      <c r="AG279" s="743">
        <f>+InputQ!AG20</f>
        <v>77.806666666666672</v>
      </c>
      <c r="AH279" s="743">
        <f>+InputQ!AH20</f>
        <v>78.206666666666663</v>
      </c>
      <c r="AI279" s="743">
        <f>+InputQ!AI20</f>
        <v>82.503333333333345</v>
      </c>
      <c r="AJ279" s="743">
        <f>+InputQ!AJ20</f>
        <v>81.093333333333348</v>
      </c>
      <c r="AK279" s="743">
        <f>+InputQ!AK20</f>
        <v>80.043333333333337</v>
      </c>
      <c r="AL279" s="743">
        <f>+InputQ!AL20</f>
        <v>78.176666666666662</v>
      </c>
      <c r="AM279" s="743">
        <f>+InputQ!AM20</f>
        <v>80.466666666666654</v>
      </c>
      <c r="AN279" s="743">
        <f>+InputQ!AN20</f>
        <v>80.176666666666662</v>
      </c>
      <c r="AO279" s="743">
        <f>+InputQ!AO20</f>
        <v>80.850000000000009</v>
      </c>
      <c r="AP279" s="743">
        <f>+InputQ!AP20</f>
        <v>79.596666666666678</v>
      </c>
      <c r="AQ279" s="743">
        <f>+InputQ!AQ20</f>
        <v>80.443333333333342</v>
      </c>
      <c r="AR279" s="743">
        <f>+InputQ!AR20</f>
        <v>80.570000000000007</v>
      </c>
      <c r="AS279" s="743">
        <f>+InputQ!AS20</f>
        <v>79.713333333333324</v>
      </c>
      <c r="AT279" s="743">
        <f>+InputQ!AT20</f>
        <v>78.53</v>
      </c>
      <c r="AU279" s="743">
        <f>+InputQ!AU20</f>
        <v>80.75</v>
      </c>
      <c r="AV279" s="743">
        <f>+InputQ!AV20</f>
        <v>80.95</v>
      </c>
      <c r="AW279" s="743">
        <f>+InputQ!AW20</f>
        <v>79.296666666666667</v>
      </c>
      <c r="AX279" s="743">
        <f>+InputQ!AX20</f>
        <v>78.913333333333341</v>
      </c>
      <c r="AY279" s="743">
        <f>+InputQ!AY20</f>
        <v>80.823333333333338</v>
      </c>
      <c r="AZ279" s="743">
        <f>+InputQ!AZ20</f>
        <v>82.516666666666666</v>
      </c>
      <c r="BA279" s="743">
        <f>+InputQ!BA20</f>
        <v>82.93</v>
      </c>
      <c r="BB279" s="743">
        <f>+InputQ!BB20</f>
        <v>81.876666666666665</v>
      </c>
      <c r="BC279" s="743">
        <f>+InputQ!BC20</f>
        <v>83.153333333333322</v>
      </c>
      <c r="BD279" s="743">
        <f>+InputQ!BD20</f>
        <v>83.596666666666664</v>
      </c>
      <c r="BE279" s="743">
        <f>+InputQ!BE20</f>
        <v>83.600000000000009</v>
      </c>
      <c r="BF279" s="743">
        <f>+InputQ!BF20</f>
        <v>84.969999999999985</v>
      </c>
      <c r="BG279" s="743">
        <f>+InputQ!BG20</f>
        <v>87.476666666666674</v>
      </c>
      <c r="BH279" s="743">
        <f>+InputQ!BH20</f>
        <v>89.453333333333333</v>
      </c>
      <c r="BI279" s="743">
        <f>+InputQ!BI20</f>
        <v>89.509999999999991</v>
      </c>
      <c r="BJ279" s="743">
        <f>+InputQ!BJ20</f>
        <v>90.58</v>
      </c>
      <c r="BK279" s="743">
        <f>+InputQ!BK20</f>
        <v>93.96</v>
      </c>
      <c r="BL279" s="743">
        <f>+InputQ!BL20</f>
        <v>93.103333333333339</v>
      </c>
      <c r="BM279" s="743">
        <f>+InputQ!BM20</f>
        <v>91.23</v>
      </c>
      <c r="BN279" s="743">
        <f>+InputQ!BN20</f>
        <v>90.339999999999989</v>
      </c>
      <c r="BO279" s="743">
        <f>+InputQ!BO20</f>
        <v>94.11</v>
      </c>
      <c r="BP279" s="743">
        <f>+InputQ!BP20</f>
        <v>93.566666666666677</v>
      </c>
      <c r="BQ279" s="743">
        <f>+InputQ!BQ20</f>
        <v>92.259999999999991</v>
      </c>
      <c r="BR279" s="743">
        <f>+InputQ!BR20</f>
        <v>92.009999999999991</v>
      </c>
      <c r="BS279" s="743">
        <f>+InputQ!BS20</f>
        <v>93</v>
      </c>
      <c r="BT279" s="743">
        <f>+InputQ!BT20</f>
        <v>91.726666666666674</v>
      </c>
      <c r="BU279" s="743">
        <f>+InputQ!BU20</f>
        <v>90.62</v>
      </c>
      <c r="BV279" s="743">
        <f>+InputQ!BV20</f>
        <v>90.053333333333342</v>
      </c>
      <c r="BW279" s="743">
        <f>+InputQ!BW20</f>
        <v>92.173333333333332</v>
      </c>
      <c r="BX279" s="743">
        <f>+InputQ!BX20</f>
        <v>93.133333333333326</v>
      </c>
      <c r="BY279" s="743">
        <f>+InputQ!BY20</f>
        <v>92.61333333333333</v>
      </c>
      <c r="BZ279" s="743">
        <f>+InputQ!BZ20</f>
        <v>93.443333333333342</v>
      </c>
      <c r="CA279" s="743">
        <f>+InputQ!CA20</f>
        <v>95.286666666666676</v>
      </c>
      <c r="CB279" s="743">
        <f>+InputQ!CB20</f>
        <v>97.683333333333323</v>
      </c>
      <c r="CC279" s="743">
        <f>+InputQ!CC20</f>
        <v>96.81</v>
      </c>
      <c r="CD279" s="743">
        <f>+InputQ!CD20</f>
        <v>94.54</v>
      </c>
      <c r="CE279" s="743">
        <f>+InputQ!CE20</f>
        <v>95.853333333333339</v>
      </c>
      <c r="CF279" s="743">
        <f>+InputQ!CF20</f>
        <v>96.29</v>
      </c>
      <c r="CG279" s="743">
        <f>+InputQ!CG20</f>
        <v>96.033333333333317</v>
      </c>
      <c r="CH279" s="743">
        <f>+InputQ!CH20</f>
        <v>96.089999999999989</v>
      </c>
      <c r="CI279" s="743">
        <f>+InputQ!CI20</f>
        <v>97.823333333333338</v>
      </c>
      <c r="CJ279" s="743">
        <f>+InputQ!CJ20</f>
        <v>99.936666666666667</v>
      </c>
      <c r="CK279" s="743">
        <f>+InputQ!CK20</f>
        <v>101.23333333333335</v>
      </c>
      <c r="CL279" s="743">
        <f>+InputQ!CL20</f>
        <v>101.00666666666666</v>
      </c>
      <c r="CM279" s="743">
        <f>+InputQ!CM20</f>
        <v>101.92333333333333</v>
      </c>
      <c r="CN279" s="743">
        <f>+InputQ!CN20</f>
        <v>102.56333333333333</v>
      </c>
      <c r="CO279" s="743">
        <f>+InputQ!CO20</f>
        <v>102.85333333333334</v>
      </c>
      <c r="CP279" s="743">
        <f>+InputQ!CP20</f>
        <v>103.03333333333335</v>
      </c>
      <c r="CQ279" s="743">
        <f>+InputQ!CQ20</f>
        <v>105.15333333333332</v>
      </c>
      <c r="CR279" s="743">
        <f>+InputQ!CR20</f>
        <v>104.36333333333334</v>
      </c>
      <c r="CS279" s="743">
        <f>+InputQ!CS20</f>
        <v>105.18</v>
      </c>
      <c r="CT279" s="743">
        <f>+InputQ!CT20</f>
        <v>104.90666666666668</v>
      </c>
      <c r="CU279" s="743">
        <f>+InputQ!CU20</f>
        <v>106.3</v>
      </c>
      <c r="CV279" s="743">
        <f>+InputQ!CV20</f>
        <v>108.51333333333334</v>
      </c>
      <c r="CW279" s="743">
        <f>+InputQ!CW20</f>
        <v>110.08</v>
      </c>
      <c r="CX279" s="3241">
        <f t="shared" si="1142"/>
        <v>109.10293333333335</v>
      </c>
      <c r="CY279" s="3241">
        <f t="shared" si="1143"/>
        <v>110.02049999999998</v>
      </c>
      <c r="CZ279" s="3241">
        <f t="shared" si="1144"/>
        <v>111.87724666666666</v>
      </c>
      <c r="DA279" s="3241">
        <f t="shared" si="1145"/>
        <v>112.77695999999999</v>
      </c>
      <c r="DB279" s="3241">
        <f t="shared" si="1146"/>
        <v>111.77595520000001</v>
      </c>
      <c r="DC279" s="3241">
        <f t="shared" si="1147"/>
        <v>112.33093049999998</v>
      </c>
      <c r="DD279" s="3241">
        <f t="shared" si="1148"/>
        <v>114.10360387533333</v>
      </c>
      <c r="DE279" s="3241">
        <f t="shared" si="1149"/>
        <v>114.78438988799999</v>
      </c>
      <c r="DF279" s="3241">
        <f t="shared" si="1150"/>
        <v>113.50848250560001</v>
      </c>
    </row>
    <row r="280" spans="1:110" s="736" customFormat="1" ht="12.75" customHeight="1">
      <c r="A280" s="701" t="str">
        <f>"Q" &amp; ROW(InputQ!A21)</f>
        <v>Q21</v>
      </c>
      <c r="B280" s="701">
        <v>169</v>
      </c>
      <c r="C280" s="1612"/>
      <c r="D280" s="711"/>
      <c r="E280" s="820" t="s">
        <v>1682</v>
      </c>
      <c r="F280" s="741"/>
      <c r="G280" s="743" t="str">
        <f>+InputQ!G21</f>
        <v>:</v>
      </c>
      <c r="H280" s="743" t="str">
        <f>+InputQ!H21</f>
        <v>:</v>
      </c>
      <c r="I280" s="743" t="str">
        <f>+InputQ!I21</f>
        <v>:</v>
      </c>
      <c r="J280" s="743" t="str">
        <f>+InputQ!J21</f>
        <v>:</v>
      </c>
      <c r="K280" s="743">
        <f>+InputQ!K21</f>
        <v>68.63</v>
      </c>
      <c r="L280" s="743">
        <f>+InputQ!L21</f>
        <v>69.08</v>
      </c>
      <c r="M280" s="743">
        <f>+InputQ!M21</f>
        <v>69.566666666666677</v>
      </c>
      <c r="N280" s="743">
        <f>+InputQ!N21</f>
        <v>69.423333333333332</v>
      </c>
      <c r="O280" s="743">
        <f>+InputQ!O21</f>
        <v>69.97</v>
      </c>
      <c r="P280" s="743">
        <f>+InputQ!P21</f>
        <v>71.623333333333335</v>
      </c>
      <c r="Q280" s="743">
        <f>+InputQ!Q21</f>
        <v>73.12</v>
      </c>
      <c r="R280" s="743">
        <f>+InputQ!R21</f>
        <v>74.706666666666663</v>
      </c>
      <c r="S280" s="743">
        <f>+InputQ!S21</f>
        <v>75.073333333333338</v>
      </c>
      <c r="T280" s="743">
        <f>+InputQ!T21</f>
        <v>75.47</v>
      </c>
      <c r="U280" s="743">
        <f>+InputQ!U21</f>
        <v>74.190000000000012</v>
      </c>
      <c r="V280" s="743">
        <f>+InputQ!V21</f>
        <v>73.346666666666678</v>
      </c>
      <c r="W280" s="743">
        <f>+InputQ!W21</f>
        <v>73.760000000000005</v>
      </c>
      <c r="X280" s="743">
        <f>+InputQ!X21</f>
        <v>73.933333333333337</v>
      </c>
      <c r="Y280" s="743">
        <f>+InputQ!Y21</f>
        <v>74.206666666666663</v>
      </c>
      <c r="Z280" s="743">
        <f>+InputQ!Z21</f>
        <v>74.226666666666674</v>
      </c>
      <c r="AA280" s="743">
        <f>+InputQ!AA21</f>
        <v>74.533333333333346</v>
      </c>
      <c r="AB280" s="743">
        <f>+InputQ!AB21</f>
        <v>74.75</v>
      </c>
      <c r="AC280" s="743">
        <f>+InputQ!AC21</f>
        <v>75.13666666666667</v>
      </c>
      <c r="AD280" s="743">
        <f>+InputQ!AD21</f>
        <v>75.13666666666667</v>
      </c>
      <c r="AE280" s="743">
        <f>+InputQ!AE21</f>
        <v>75.143333333333331</v>
      </c>
      <c r="AF280" s="743">
        <f>+InputQ!AF21</f>
        <v>75.233333333333334</v>
      </c>
      <c r="AG280" s="743">
        <f>+InputQ!AG21</f>
        <v>75.916666666666671</v>
      </c>
      <c r="AH280" s="743">
        <f>+InputQ!AH21</f>
        <v>76.25333333333333</v>
      </c>
      <c r="AI280" s="743">
        <f>+InputQ!AI21</f>
        <v>76.493333333333339</v>
      </c>
      <c r="AJ280" s="743">
        <f>+InputQ!AJ21</f>
        <v>77.183333333333323</v>
      </c>
      <c r="AK280" s="743">
        <f>+InputQ!AK21</f>
        <v>77.526666666666671</v>
      </c>
      <c r="AL280" s="743">
        <f>+InputQ!AL21</f>
        <v>77.516666666666666</v>
      </c>
      <c r="AM280" s="743">
        <f>+InputQ!AM21</f>
        <v>77.8</v>
      </c>
      <c r="AN280" s="743">
        <f>+InputQ!AN21</f>
        <v>78.133333333333326</v>
      </c>
      <c r="AO280" s="743">
        <f>+InputQ!AO21</f>
        <v>78.47</v>
      </c>
      <c r="AP280" s="743">
        <f>+InputQ!AP21</f>
        <v>78.42</v>
      </c>
      <c r="AQ280" s="743">
        <f>+InputQ!AQ21</f>
        <v>78.513333333333335</v>
      </c>
      <c r="AR280" s="743">
        <f>+InputQ!AR21</f>
        <v>78.52</v>
      </c>
      <c r="AS280" s="743">
        <f>+InputQ!AS21</f>
        <v>78.55</v>
      </c>
      <c r="AT280" s="743">
        <f>+InputQ!AT21</f>
        <v>78.213333333333324</v>
      </c>
      <c r="AU280" s="743">
        <f>+InputQ!AU21</f>
        <v>78.11999999999999</v>
      </c>
      <c r="AV280" s="743">
        <f>+InputQ!AV21</f>
        <v>77.783333333333346</v>
      </c>
      <c r="AW280" s="743">
        <f>+InputQ!AW21</f>
        <v>77.89</v>
      </c>
      <c r="AX280" s="743">
        <f>+InputQ!AX21</f>
        <v>77.690000000000012</v>
      </c>
      <c r="AY280" s="743">
        <f>+InputQ!AY21</f>
        <v>77.753333333333345</v>
      </c>
      <c r="AZ280" s="743">
        <f>+InputQ!AZ21</f>
        <v>77.806666666666672</v>
      </c>
      <c r="BA280" s="743">
        <f>+InputQ!BA21</f>
        <v>78.063333333333333</v>
      </c>
      <c r="BB280" s="743">
        <f>+InputQ!BB21</f>
        <v>78.323333333333338</v>
      </c>
      <c r="BC280" s="743">
        <f>+InputQ!BC21</f>
        <v>79.973333333333315</v>
      </c>
      <c r="BD280" s="743">
        <f>+InputQ!BD21</f>
        <v>80.42</v>
      </c>
      <c r="BE280" s="743">
        <f>+InputQ!BE21</f>
        <v>80.840000000000018</v>
      </c>
      <c r="BF280" s="743">
        <f>+InputQ!BF21</f>
        <v>82.286666666666676</v>
      </c>
      <c r="BG280" s="743">
        <f>+InputQ!BG21</f>
        <v>85.643333333333331</v>
      </c>
      <c r="BH280" s="743">
        <f>+InputQ!BH21</f>
        <v>86.883333333333326</v>
      </c>
      <c r="BI280" s="743">
        <f>+InputQ!BI21</f>
        <v>87.61333333333333</v>
      </c>
      <c r="BJ280" s="743">
        <f>+InputQ!BJ21</f>
        <v>87.966666666666654</v>
      </c>
      <c r="BK280" s="743">
        <f>+InputQ!BK21</f>
        <v>88.36</v>
      </c>
      <c r="BL280" s="743">
        <f>+InputQ!BL21</f>
        <v>89.046666666666667</v>
      </c>
      <c r="BM280" s="743">
        <f>+InputQ!BM21</f>
        <v>89.850000000000009</v>
      </c>
      <c r="BN280" s="743">
        <f>+InputQ!BN21</f>
        <v>90.29</v>
      </c>
      <c r="BO280" s="743">
        <f>+InputQ!BO21</f>
        <v>90.313333333333333</v>
      </c>
      <c r="BP280" s="743">
        <f>+InputQ!BP21</f>
        <v>90.63</v>
      </c>
      <c r="BQ280" s="743">
        <f>+InputQ!BQ21</f>
        <v>91.126666666666665</v>
      </c>
      <c r="BR280" s="743">
        <f>+InputQ!BR21</f>
        <v>91.883333333333326</v>
      </c>
      <c r="BS280" s="743">
        <f>+InputQ!BS21</f>
        <v>92.616666666666674</v>
      </c>
      <c r="BT280" s="743">
        <f>+InputQ!BT21</f>
        <v>93.273333333333326</v>
      </c>
      <c r="BU280" s="743">
        <f>+InputQ!BU21</f>
        <v>93.973333333333315</v>
      </c>
      <c r="BV280" s="743">
        <f>+InputQ!BV21</f>
        <v>94</v>
      </c>
      <c r="BW280" s="743">
        <f>+InputQ!BW21</f>
        <v>95.266666666666666</v>
      </c>
      <c r="BX280" s="743">
        <f>+InputQ!BX21</f>
        <v>95.686666666666667</v>
      </c>
      <c r="BY280" s="743">
        <f>+InputQ!BY21</f>
        <v>95.969999999999985</v>
      </c>
      <c r="BZ280" s="743">
        <f>+InputQ!BZ21</f>
        <v>95.83</v>
      </c>
      <c r="CA280" s="743">
        <f>+InputQ!CA21</f>
        <v>96.616666666666674</v>
      </c>
      <c r="CB280" s="743">
        <f>+InputQ!CB21</f>
        <v>96.756666666666661</v>
      </c>
      <c r="CC280" s="743">
        <f>+InputQ!CC21</f>
        <v>97.25</v>
      </c>
      <c r="CD280" s="743">
        <f>+InputQ!CD21</f>
        <v>97.186666666666667</v>
      </c>
      <c r="CE280" s="743">
        <f>+InputQ!CE21</f>
        <v>97.469999999999985</v>
      </c>
      <c r="CF280" s="743">
        <f>+InputQ!CF21</f>
        <v>97.616666666666674</v>
      </c>
      <c r="CG280" s="743">
        <f>+InputQ!CG21</f>
        <v>98.410000000000011</v>
      </c>
      <c r="CH280" s="743">
        <f>+InputQ!CH21</f>
        <v>98.346666666666678</v>
      </c>
      <c r="CI280" s="743">
        <f>+InputQ!CI21</f>
        <v>99.433333333333323</v>
      </c>
      <c r="CJ280" s="743">
        <f>+InputQ!CJ21</f>
        <v>99.98</v>
      </c>
      <c r="CK280" s="743">
        <f>+InputQ!CK21</f>
        <v>100.34666666666668</v>
      </c>
      <c r="CL280" s="743">
        <f>+InputQ!CL21</f>
        <v>100.24333333333333</v>
      </c>
      <c r="CM280" s="743">
        <f>+InputQ!CM21</f>
        <v>100.32333333333334</v>
      </c>
      <c r="CN280" s="743">
        <f>+InputQ!CN21</f>
        <v>100.39999999999999</v>
      </c>
      <c r="CO280" s="743">
        <f>+InputQ!CO21</f>
        <v>100.60666666666667</v>
      </c>
      <c r="CP280" s="743">
        <f>+InputQ!CP21</f>
        <v>100.70333333333333</v>
      </c>
      <c r="CQ280" s="743">
        <f>+InputQ!CQ21</f>
        <v>101.57333333333334</v>
      </c>
      <c r="CR280" s="743">
        <f>+InputQ!CR21</f>
        <v>102.26</v>
      </c>
      <c r="CS280" s="743">
        <f>+InputQ!CS21</f>
        <v>103.01333333333334</v>
      </c>
      <c r="CT280" s="743">
        <f>+InputQ!CT21</f>
        <v>103.53000000000002</v>
      </c>
      <c r="CU280" s="743">
        <f>+InputQ!CU21</f>
        <v>103.95333333333333</v>
      </c>
      <c r="CV280" s="743">
        <f>+InputQ!CV21</f>
        <v>104.12</v>
      </c>
      <c r="CW280" s="743">
        <f>+InputQ!CW21</f>
        <v>104.54</v>
      </c>
      <c r="CX280" s="3241">
        <f t="shared" si="1142"/>
        <v>105.54883500000003</v>
      </c>
      <c r="CY280" s="3241">
        <f t="shared" si="1143"/>
        <v>105.87647</v>
      </c>
      <c r="CZ280" s="3241">
        <f t="shared" si="1144"/>
        <v>106.31693199999999</v>
      </c>
      <c r="DA280" s="3241">
        <f t="shared" si="1145"/>
        <v>106.81897200000002</v>
      </c>
      <c r="DB280" s="3241">
        <f t="shared" si="1146"/>
        <v>107.90257402050003</v>
      </c>
      <c r="DC280" s="3241">
        <f t="shared" si="1147"/>
        <v>108.152814105</v>
      </c>
      <c r="DD280" s="3241">
        <f t="shared" si="1148"/>
        <v>108.60274603800001</v>
      </c>
      <c r="DE280" s="3241">
        <f t="shared" si="1149"/>
        <v>108.97671523440002</v>
      </c>
      <c r="DF280" s="3241">
        <f t="shared" si="1150"/>
        <v>110.04983524350799</v>
      </c>
    </row>
    <row r="281" spans="1:110" customFormat="1">
      <c r="A281" s="701" t="str">
        <f>"Q" &amp; ROW(InputQ!A22)</f>
        <v>Q22</v>
      </c>
      <c r="B281" s="701">
        <v>171</v>
      </c>
      <c r="C281" s="1121"/>
      <c r="D281" s="1117"/>
      <c r="E281" s="1118" t="s">
        <v>1684</v>
      </c>
      <c r="F281" s="1117"/>
      <c r="G281" s="1125" t="str">
        <f>+InputQ!G22</f>
        <v>:</v>
      </c>
      <c r="H281" s="1125" t="str">
        <f>+InputQ!H22</f>
        <v>:</v>
      </c>
      <c r="I281" s="1125" t="str">
        <f>+InputQ!I22</f>
        <v>:</v>
      </c>
      <c r="J281" s="1125" t="str">
        <f>+InputQ!J22</f>
        <v>:</v>
      </c>
      <c r="K281" s="1125">
        <f>+InputQ!K22</f>
        <v>69.736666666666665</v>
      </c>
      <c r="L281" s="1125">
        <f>+InputQ!L22</f>
        <v>69.959999999999994</v>
      </c>
      <c r="M281" s="1125">
        <f>+InputQ!M22</f>
        <v>70.11333333333333</v>
      </c>
      <c r="N281" s="1125">
        <f>+InputQ!N22</f>
        <v>70.146666666666661</v>
      </c>
      <c r="O281" s="1125">
        <f>+InputQ!O22</f>
        <v>71.286666666666648</v>
      </c>
      <c r="P281" s="1125">
        <f>+InputQ!P22</f>
        <v>71.800000000000011</v>
      </c>
      <c r="Q281" s="1125">
        <f>+InputQ!Q22</f>
        <v>71.660000000000011</v>
      </c>
      <c r="R281" s="1125">
        <f>+InputQ!R22</f>
        <v>72.11666666666666</v>
      </c>
      <c r="S281" s="1125">
        <f>+InputQ!S22</f>
        <v>72.61333333333333</v>
      </c>
      <c r="T281" s="1125">
        <f>+InputQ!T22</f>
        <v>72.94</v>
      </c>
      <c r="U281" s="1125">
        <f>+InputQ!U22</f>
        <v>73.08</v>
      </c>
      <c r="V281" s="1125">
        <f>+InputQ!V22</f>
        <v>73.526666666666671</v>
      </c>
      <c r="W281" s="1125">
        <f>+InputQ!W22</f>
        <v>74.076666666666668</v>
      </c>
      <c r="X281" s="1125">
        <f>+InputQ!X22</f>
        <v>74.413333333333341</v>
      </c>
      <c r="Y281" s="1125">
        <f>+InputQ!Y22</f>
        <v>74.443333333333328</v>
      </c>
      <c r="Z281" s="1125">
        <f>+InputQ!Z22</f>
        <v>74.426666666666662</v>
      </c>
      <c r="AA281" s="1125">
        <f>+InputQ!AA22</f>
        <v>74.930000000000007</v>
      </c>
      <c r="AB281" s="1125">
        <f>+InputQ!AB22</f>
        <v>75.063333333333333</v>
      </c>
      <c r="AC281" s="1125">
        <f>+InputQ!AC22</f>
        <v>74.850000000000009</v>
      </c>
      <c r="AD281" s="1125">
        <f>+InputQ!AD22</f>
        <v>75.526666666666671</v>
      </c>
      <c r="AE281" s="1125">
        <f>+InputQ!AE22</f>
        <v>76.430000000000007</v>
      </c>
      <c r="AF281" s="1125">
        <f>+InputQ!AF22</f>
        <v>77.256666666666661</v>
      </c>
      <c r="AG281" s="1125">
        <f>+InputQ!AG22</f>
        <v>77.733333333333334</v>
      </c>
      <c r="AH281" s="1125">
        <f>+InputQ!AH22</f>
        <v>78.143333333333331</v>
      </c>
      <c r="AI281" s="1125">
        <f>+InputQ!AI22</f>
        <v>78.303333333333342</v>
      </c>
      <c r="AJ281" s="1125">
        <f>+InputQ!AJ22</f>
        <v>79.3</v>
      </c>
      <c r="AK281" s="1125">
        <f>+InputQ!AK22</f>
        <v>79.23</v>
      </c>
      <c r="AL281" s="1125">
        <f>+InputQ!AL22</f>
        <v>79.783333333333346</v>
      </c>
      <c r="AM281" s="1125">
        <f>+InputQ!AM22</f>
        <v>80.476666666666674</v>
      </c>
      <c r="AN281" s="1125">
        <f>+InputQ!AN22</f>
        <v>80.98</v>
      </c>
      <c r="AO281" s="1125">
        <f>+InputQ!AO22</f>
        <v>81.34333333333332</v>
      </c>
      <c r="AP281" s="1125">
        <f>+InputQ!AP22</f>
        <v>81.536666666666676</v>
      </c>
      <c r="AQ281" s="1125">
        <f>+InputQ!AQ22</f>
        <v>82.336666666666659</v>
      </c>
      <c r="AR281" s="1125">
        <f>+InputQ!AR22</f>
        <v>82.969999999999985</v>
      </c>
      <c r="AS281" s="1125">
        <f>+InputQ!AS22</f>
        <v>83.49</v>
      </c>
      <c r="AT281" s="1125">
        <f>+InputQ!AT22</f>
        <v>83.546666666666667</v>
      </c>
      <c r="AU281" s="1125">
        <f>+InputQ!AU22</f>
        <v>84.11</v>
      </c>
      <c r="AV281" s="1125">
        <f>+InputQ!AV22</f>
        <v>84.31</v>
      </c>
      <c r="AW281" s="1125">
        <f>+InputQ!AW22</f>
        <v>84.51</v>
      </c>
      <c r="AX281" s="1125">
        <f>+InputQ!AX22</f>
        <v>84.856666666666669</v>
      </c>
      <c r="AY281" s="1125">
        <f>+InputQ!AY22</f>
        <v>85.143333333333331</v>
      </c>
      <c r="AZ281" s="1125">
        <f>+InputQ!AZ22</f>
        <v>85.490000000000009</v>
      </c>
      <c r="BA281" s="1125">
        <f>+InputQ!BA22</f>
        <v>85.693333333333328</v>
      </c>
      <c r="BB281" s="1125">
        <f>+InputQ!BB22</f>
        <v>85.976666666666674</v>
      </c>
      <c r="BC281" s="1125">
        <f>+InputQ!BC22</f>
        <v>86.559999999999988</v>
      </c>
      <c r="BD281" s="1125">
        <f>+InputQ!BD22</f>
        <v>87.106666666666669</v>
      </c>
      <c r="BE281" s="1125">
        <f>+InputQ!BE22</f>
        <v>87.98</v>
      </c>
      <c r="BF281" s="1125">
        <f>+InputQ!BF22</f>
        <v>87.953333333333333</v>
      </c>
      <c r="BG281" s="1125">
        <f>+InputQ!BG22</f>
        <v>88.649999999999991</v>
      </c>
      <c r="BH281" s="1125">
        <f>+InputQ!BH22</f>
        <v>89.306666666666658</v>
      </c>
      <c r="BI281" s="1125">
        <f>+InputQ!BI22</f>
        <v>89.466666666666654</v>
      </c>
      <c r="BJ281" s="1125">
        <f>+InputQ!BJ22</f>
        <v>89.856666666666669</v>
      </c>
      <c r="BK281" s="1125">
        <f>+InputQ!BK22</f>
        <v>90.723333333333315</v>
      </c>
      <c r="BL281" s="1125">
        <f>+InputQ!BL22</f>
        <v>91.553333333333327</v>
      </c>
      <c r="BM281" s="1125">
        <f>+InputQ!BM22</f>
        <v>92.11333333333333</v>
      </c>
      <c r="BN281" s="1125">
        <f>+InputQ!BN22</f>
        <v>92.336666666666659</v>
      </c>
      <c r="BO281" s="1125">
        <f>+InputQ!BO22</f>
        <v>92.586666666666659</v>
      </c>
      <c r="BP281" s="1125">
        <f>+InputQ!BP22</f>
        <v>93.160000000000011</v>
      </c>
      <c r="BQ281" s="1125">
        <f>+InputQ!BQ22</f>
        <v>93.686666666666667</v>
      </c>
      <c r="BR281" s="1125">
        <f>+InputQ!BR22</f>
        <v>93.969999999999985</v>
      </c>
      <c r="BS281" s="1125">
        <f>+InputQ!BS22</f>
        <v>94.149999999999991</v>
      </c>
      <c r="BT281" s="1125">
        <f>+InputQ!BT22</f>
        <v>94.986666666666679</v>
      </c>
      <c r="BU281" s="1125">
        <f>+InputQ!BU22</f>
        <v>95.24</v>
      </c>
      <c r="BV281" s="1125">
        <f>+InputQ!BV22</f>
        <v>95.38666666666667</v>
      </c>
      <c r="BW281" s="1125">
        <f>+InputQ!BW22</f>
        <v>95.886666666666656</v>
      </c>
      <c r="BX281" s="1125">
        <f>+InputQ!BX22</f>
        <v>96.63666666666667</v>
      </c>
      <c r="BY281" s="1125">
        <f>+InputQ!BY22</f>
        <v>96.933333333333337</v>
      </c>
      <c r="BZ281" s="1125">
        <f>+InputQ!BZ22</f>
        <v>97.263333333333335</v>
      </c>
      <c r="CA281" s="1564">
        <f>+InputQ!CA22</f>
        <v>97.286666666666676</v>
      </c>
      <c r="CB281" s="1564">
        <f>+InputQ!CB22</f>
        <v>97.666666666666671</v>
      </c>
      <c r="CC281" s="1125">
        <f>+InputQ!CC22</f>
        <v>98.15333333333335</v>
      </c>
      <c r="CD281" s="1125">
        <f>+InputQ!CD22</f>
        <v>97.926666666666662</v>
      </c>
      <c r="CE281" s="1564">
        <f>+InputQ!CE22</f>
        <v>97.783333333333346</v>
      </c>
      <c r="CF281" s="1564">
        <f>+InputQ!CF22</f>
        <v>98.660000000000011</v>
      </c>
      <c r="CG281" s="1564">
        <f>+InputQ!CG22</f>
        <v>99.086666666666659</v>
      </c>
      <c r="CH281" s="1125">
        <f>+InputQ!CH22</f>
        <v>99.213333333333324</v>
      </c>
      <c r="CI281" s="1564">
        <f>+InputQ!CI22</f>
        <v>99.34999999999998</v>
      </c>
      <c r="CJ281" s="1564">
        <f>+InputQ!CJ22</f>
        <v>99.853333333333339</v>
      </c>
      <c r="CK281" s="1564">
        <f>+InputQ!CK22</f>
        <v>100.53666666666668</v>
      </c>
      <c r="CL281" s="1564">
        <f>+InputQ!CL22</f>
        <v>100.25666666666666</v>
      </c>
      <c r="CM281" s="1564">
        <f>+InputQ!CM22</f>
        <v>100.72333333333334</v>
      </c>
      <c r="CN281" s="1564">
        <f>+InputQ!CN22</f>
        <v>101.2</v>
      </c>
      <c r="CO281" s="1564">
        <f>+InputQ!CO22</f>
        <v>101.72666666666667</v>
      </c>
      <c r="CP281" s="1564">
        <f>+InputQ!CP22</f>
        <v>101.35000000000001</v>
      </c>
      <c r="CQ281" s="1564">
        <f>+InputQ!CQ22</f>
        <v>101.81</v>
      </c>
      <c r="CR281" s="1564">
        <f>+InputQ!CR22</f>
        <v>103.62666666666667</v>
      </c>
      <c r="CS281" s="1564">
        <f>+InputQ!CS22</f>
        <v>104.82333333333334</v>
      </c>
      <c r="CT281" s="1564">
        <f>+InputQ!CT22</f>
        <v>103.79666666666667</v>
      </c>
      <c r="CU281" s="1564">
        <f>+InputQ!CU22</f>
        <v>103.82000000000001</v>
      </c>
      <c r="CV281" s="1564">
        <f>+InputQ!CV22</f>
        <v>105.19</v>
      </c>
      <c r="CW281" s="1564">
        <f>+InputQ!CW22</f>
        <v>106.27</v>
      </c>
      <c r="CX281" s="3242">
        <f t="shared" si="1142"/>
        <v>105.74804399999999</v>
      </c>
      <c r="CY281" s="3242">
        <f t="shared" si="1143"/>
        <v>105.771816</v>
      </c>
      <c r="CZ281" s="3242">
        <f t="shared" si="1144"/>
        <v>107.283281</v>
      </c>
      <c r="DA281" s="3242">
        <f t="shared" si="1145"/>
        <v>108.40602699999999</v>
      </c>
      <c r="DB281" s="3242">
        <f t="shared" si="1146"/>
        <v>108.2119734252</v>
      </c>
      <c r="DC281" s="3242">
        <f t="shared" si="1147"/>
        <v>108.363225492</v>
      </c>
      <c r="DD281" s="3242">
        <f t="shared" si="1148"/>
        <v>109.97609135309999</v>
      </c>
      <c r="DE281" s="3242">
        <f t="shared" si="1149"/>
        <v>111.27878671549999</v>
      </c>
      <c r="DF281" s="3242">
        <f t="shared" si="1150"/>
        <v>111.05794832628276</v>
      </c>
    </row>
    <row r="282" spans="1:110" customFormat="1">
      <c r="A282" s="701"/>
      <c r="B282" s="701"/>
      <c r="C282" s="731"/>
      <c r="D282" s="1095"/>
      <c r="E282" s="1096" t="s">
        <v>1196</v>
      </c>
      <c r="F282" s="1095"/>
      <c r="G282" s="1097"/>
      <c r="H282" s="1097"/>
      <c r="I282" s="1097"/>
      <c r="J282" s="1097"/>
      <c r="K282" s="1097"/>
      <c r="L282" s="1097"/>
      <c r="M282" s="1097"/>
      <c r="N282" s="1097">
        <f>+N283</f>
        <v>76.336666666666673</v>
      </c>
      <c r="O282" s="1097">
        <f ca="1">(O277/N277*O303+O278/N278*O304+O279/N279*O305+O280/N280*O306+O281/N281*O307)/1000*N283</f>
        <v>76.044016143148113</v>
      </c>
      <c r="P282" s="1097">
        <f ca="1">(P277/N277*P303+P278/N278*P304+P279/N279*P305+P280/N280*P306+P281/N281*P307)/1000*N283</f>
        <v>76.897008850035363</v>
      </c>
      <c r="Q282" s="1097">
        <f ca="1">(Q277/N277*Q303+Q278/N278*Q304+Q279/N279*Q305+Q280/N280*Q306+Q281/N281*Q307)/1000*N283</f>
        <v>77.183459185181178</v>
      </c>
      <c r="R282" s="1097">
        <f ca="1">(R277/N277*R303+R278/N278*R304+R279/N279*R305+R280/N280*R306+R281/N281*R307)/1000*N283</f>
        <v>77.834848480685622</v>
      </c>
      <c r="S282" s="1097">
        <f ca="1">(S277/R277*S303+S278/R278*S304+S279/R279*S305+S280/R280*S306+S281/R281*S307)/1000*R283</f>
        <v>77.536712544222752</v>
      </c>
      <c r="T282" s="1097">
        <f ca="1">(T277/R277*T303+T278/R278*T304+T279/R279*T305+T280/R280*T306+T281/R281*T307)/1000*R283</f>
        <v>78.03491621111894</v>
      </c>
      <c r="U282" s="1097">
        <f ca="1">(U277/R277*U303+U278/R278*U304+U279/R279*U305+U280/R280*U306+U281/R281*U307)/1000*R283</f>
        <v>77.656634263499726</v>
      </c>
      <c r="V282" s="1097">
        <f ca="1">(V277/R277*V303+V278/R278*V304+V279/R279*V305+V280/R280*V306+V281/R281*V307)/1000*R283</f>
        <v>77.91279939809678</v>
      </c>
      <c r="W282" s="1097">
        <f ca="1">(W277/V277*W303+W278/V278*W304+W279/V279*W305+W280/V280*W306+W281/V281*W307)/1000*V283</f>
        <v>77.956838582069977</v>
      </c>
      <c r="X282" s="1097">
        <f ca="1">(X277/V277*X303+X278/V278*X304+X279/V279*X305+X280/V280*X306+X281/V281*X307)/1000*V283</f>
        <v>78.553817421413427</v>
      </c>
      <c r="Y282" s="1097">
        <f ca="1">(Y277/V277*Y303+Y278/V278*Y304+Y279/V279*Y305+Y280/V280*Y306+Y281/V281*Y307)/1000*V283</f>
        <v>78.422932099460397</v>
      </c>
      <c r="Z282" s="1097">
        <f ca="1">(Z277/V277*Z303+Z278/V278*Z304+Z279/V279*Z305+Z280/V280*Z306+Z281/V281*Z307)/1000*V283</f>
        <v>78.896436277461319</v>
      </c>
      <c r="AA282" s="1097">
        <f ca="1">(AA277/Z277*AA303+AA278/Z278*AA304+AA279/Z279*AA305+AA280/Z280*AA306+AA281/Z281*AA307)/1000*Z283</f>
        <v>79.217625411061064</v>
      </c>
      <c r="AB282" s="1097">
        <f ca="1">(AB277/Z277*AB303+AB278/Z278*AB304+AB279/Z279*AB305+AB280/Z280*AB306+AB281/Z281*AB307)/1000*Z283</f>
        <v>79.801437886130273</v>
      </c>
      <c r="AC282" s="1097">
        <f ca="1">(AC277/Z277*AC303+AC278/Z278*AC304+AC279/Z279*AC305+AC280/Z280*AC306+AC281/Z281*AC307)/1000*Z283</f>
        <v>79.739098793000764</v>
      </c>
      <c r="AD282" s="1097">
        <f ca="1">(AD277/Z277*AD303+AD278/Z278*AD304+AD279/Z279*AD305+AD280/Z280*AD306+AD281/Z281*AD307)/1000*Z283</f>
        <v>80.396557293189261</v>
      </c>
      <c r="AE282" s="1097">
        <f ca="1">(AE277/AD277*AE303+AE278/AD278*AE304+AE279/AD279*AE305+AE280/AD280*AE306+AE281/AD281*AE307)/1000*AD283</f>
        <v>80.485713401297588</v>
      </c>
      <c r="AF282" s="1097">
        <f ca="1">(AF277/AD277*AF303+AF278/AD278*AF304+AF279/AD279*AF305+AF280/AD280*AF306+AF281/AD281*AF307)/1000*AD283</f>
        <v>82.1832527895195</v>
      </c>
      <c r="AG282" s="1097">
        <f ca="1">(AG277/AD277*AG303+AG278/AD278*AG304+AG279/AD279*AG305+AG280/AD280*AG306+AG281/AD281*AG307)/1000*AD283</f>
        <v>82.20868918566029</v>
      </c>
      <c r="AH282" s="1097">
        <f ca="1">(AH277/AD277*AH303+AH278/AD278*AH304+AH279/AD279*AH305+AH280/AD280*AH306+AH281/AD281*AH307)/1000*AD283</f>
        <v>82.828171467667985</v>
      </c>
      <c r="AI282" s="1097">
        <f ca="1">(AI277/AH277*AI303+AI278/AH278*AI304+AI279/AH279*AI305+AI280/AH280*AI306+AI281/AH281*AI307)/1000*AH283</f>
        <v>82.749948958729235</v>
      </c>
      <c r="AJ282" s="1097">
        <f ca="1">(AJ277/AH277*AJ303+AJ278/AH278*AJ304+AJ279/AH279*AJ305+AJ280/AH280*AJ306+AJ281/AH281*AJ307)/1000*AH283</f>
        <v>83.690330341005591</v>
      </c>
      <c r="AK282" s="1097">
        <f ca="1">(AK277/AH277*AK303+AK278/AH278*AK304+AK279/AH279*AK305+AK280/AH280*AK306+AK281/AH281*AK307)/1000*AH283</f>
        <v>83.401333506806083</v>
      </c>
      <c r="AL282" s="1097">
        <f ca="1">(AL277/AH277*AL303+AL278/AH278*AL304+AL279/AH279*AL305+AL280/AH280*AL306+AL281/AH281*AL307)/1000*AH283</f>
        <v>84.114239161834604</v>
      </c>
      <c r="AM282" s="1097">
        <f ca="1">(AM277/AL277*AM303+AM278/AL278*AM304+AM279/AL279*AM305+AM280/AL280*AM306+AM281/AL281*AM307)/1000*AL283</f>
        <v>85.234125226203801</v>
      </c>
      <c r="AN282" s="1097">
        <f ca="1">(AN277/AL277*AN303+AN278/AL278*AN304+AN279/AL279*AN305+AN280/AL280*AN306+AN281/AL281*AN307)/1000*AL283</f>
        <v>85.449165464311577</v>
      </c>
      <c r="AO282" s="1097">
        <f ca="1">(AO277/AL277*AO303+AO278/AL278*AO304+AO279/AL279*AO305+AO280/AL280*AO306+AO281/AL281*AO307)/1000*AL283</f>
        <v>85.353462774479837</v>
      </c>
      <c r="AP282" s="1097">
        <f ca="1">(AP277/AL277*AP303+AP278/AL278*AP304+AP279/AL279*AP305+AP280/AL280*AP306+AP281/AL281*AP307)/1000*AL283</f>
        <v>85.755041865653311</v>
      </c>
      <c r="AQ282" s="1097">
        <f ca="1">(AQ277/AP277*AQ303+AQ278/AP278*AQ304+AQ279/AP279*AQ305+AQ280/AP280*AQ306+AQ281/AP281*AQ307)/1000*AP283</f>
        <v>85.733180529830065</v>
      </c>
      <c r="AR282" s="1097">
        <f ca="1">(AR277/AP277*AR303+AR278/AP278*AR304+AR279/AP279*AR305+AR280/AP280*AR306+AR281/AP281*AR307)/1000*AP283</f>
        <v>86.481774392962748</v>
      </c>
      <c r="AS282" s="1097">
        <f ca="1">(AS277/AP277*AS303+AS278/AP278*AS304+AS279/AP279*AS305+AS280/AP280*AS306+AS281/AP281*AS307)/1000*AP283</f>
        <v>86.322900670074048</v>
      </c>
      <c r="AT282" s="1097">
        <f ca="1">(AT277/AP277*AT303+AT278/AP278*AT304+AT279/AP279*AT305+AT280/AP280*AT306+AT281/AP281*AT307)/1000*AP283</f>
        <v>86.730866283752675</v>
      </c>
      <c r="AU282" s="1097">
        <f ca="1">(AU277/AT277*AU303+AU278/AT278*AU304+AU279/AT279*AU305+AU280/AT280*AU306+AU281/AT281*AU307)/1000*AT283</f>
        <v>86.397868606266201</v>
      </c>
      <c r="AV282" s="1097">
        <f ca="1">(AV277/AT277*AV303+AV278/AT278*AV304+AV279/AT279*AV305+AV280/AT280*AV306+AV281/AT281*AV307)/1000*AT283</f>
        <v>86.919365700192785</v>
      </c>
      <c r="AW282" s="1097">
        <f ca="1">(AW277/AT277*AW303+AW278/AT278*AW304+AW279/AT279*AW305+AW280/AT280*AW306+AW281/AT281*AW307)/1000*AT283</f>
        <v>87.141371324997564</v>
      </c>
      <c r="AX282" s="1097">
        <f ca="1">(AX277/AT277*AX303+AX278/AT278*AX304+AX279/AT279*AX305+AX280/AT280*AX306+AX281/AT281*AX307)/1000*AT283</f>
        <v>87.698863887056802</v>
      </c>
      <c r="AY282" s="1097">
        <f ca="1">(AY277/AX277*AY303+AY278/AX278*AY304+AY279/AX279*AY305+AY280/AX280*AY306+AY281/AX281*AY307)/1000*AX283</f>
        <v>87.413417013223338</v>
      </c>
      <c r="AZ282" s="1097">
        <f ca="1">(AZ277/AX277*AZ303+AZ278/AX278*AZ304+AZ279/AX279*AZ305+AZ280/AX280*AZ306+AZ281/AX281*AZ307)/1000*AX283</f>
        <v>88.495510876127597</v>
      </c>
      <c r="BA282" s="1097">
        <f ca="1">(BA277/AX277*BA303+BA278/AX278*BA304+BA279/AX279*BA305+BA280/AX280*BA306+BA281/AX281*BA307)/1000*AX283</f>
        <v>88.421419405207246</v>
      </c>
      <c r="BB282" s="1097">
        <f ca="1">(BB277/AX277*BB303+BB278/AX278*BB304+BB279/AX279*BB305+BB280/AX280*BB306+BB281/AX281*BB307)/1000*AX283</f>
        <v>88.889975663858252</v>
      </c>
      <c r="BC282" s="1097">
        <f ca="1">(BC277/BB277*BC303+BC278/BB278*BC304+BC279/BB279*BC305+BC280/BB280*BC306+BC281/BB281*BC307)/1000*BB283</f>
        <v>88.901453135401809</v>
      </c>
      <c r="BD282" s="1097">
        <f ca="1">(BD277/BB277*BD303+BD278/BB278*BD304+BD279/BB279*BD305+BD280/BB280*BD306+BD281/BB281*BD307)/1000*BB283</f>
        <v>89.744818196389588</v>
      </c>
      <c r="BE282" s="1097">
        <f ca="1">(BE277/BB277*BE303+BE278/BB278*BE304+BE279/BB279*BE305+BE280/BB280*BE306+BE281/BB281*BE307)/1000*BB283</f>
        <v>89.677416390305766</v>
      </c>
      <c r="BF282" s="1097">
        <f ca="1">(BF277/BB277*BF303+BF278/BB278*BF304+BF279/BB279*BF305+BF280/BB280*BF306+BF281/BB281*BF307)/1000*BB283</f>
        <v>90.945876147731724</v>
      </c>
      <c r="BG282" s="1097">
        <f ca="1">(BG277/BF277*BG303+BG278/BF278*BG304+BG279/BF279*BG305+BG280/BF280*BG306+BG281/BF281*BG307)/1000*BF283</f>
        <v>91.642939776537332</v>
      </c>
      <c r="BH282" s="1097">
        <f ca="1">(BH277/BF277*BH303+BH278/BF278*BH304+BH279/BF279*BH305+BH280/BF280*BH306+BH281/BF281*BH307)/1000*BF283</f>
        <v>93.011373854927115</v>
      </c>
      <c r="BI282" s="1097">
        <f ca="1">(BI277/BF277*BI303+BI278/BF278*BI304+BI279/BF279*BI305+BI280/BF280*BI306+BI281/BF281*BI307)/1000*BF283</f>
        <v>93.290395173619871</v>
      </c>
      <c r="BJ282" s="1097">
        <f ca="1">(BJ277/BF277*BJ303+BJ278/BF278*BJ304+BJ279/BF279*BJ305+BJ280/BF280*BJ306+BJ281/BF281*BJ307)/1000*BF283</f>
        <v>93.355320370783303</v>
      </c>
      <c r="BK282" s="1097">
        <f ca="1">(BK277/BJ277*BK303+BK278/BJ278*BK304+BK279/BJ279*BK305+BK280/BJ280*BK306+BK281/BJ281*BK307)/1000*BJ283</f>
        <v>93.540344317072353</v>
      </c>
      <c r="BL282" s="1097">
        <f ca="1">(BL277/BJ277*BL303+BL278/BJ278*BL304+BL279/BJ279*BL305+BL280/BJ280*BL306+BL281/BJ281*BL307)/1000*BJ283</f>
        <v>94.591042141123552</v>
      </c>
      <c r="BM282" s="1097">
        <f ca="1">(BM277/BJ277*BM303+BM278/BJ278*BM304+BM279/BJ279*BM305+BM280/BJ280*BM306+BM281/BJ281*BM307)/1000*BJ283</f>
        <v>94.86040284886397</v>
      </c>
      <c r="BN282" s="1097">
        <f ca="1">(BN277/BJ277*BN303+BN278/BJ278*BN304+BN279/BJ279*BN305+BN280/BJ280*BN306+BN281/BJ281*BN307)/1000*BJ283</f>
        <v>95.547591145876297</v>
      </c>
      <c r="BO282" s="1097">
        <f ca="1">(BO277/BN277*BO303+BO278/BN278*BO304+BO279/BN279*BO305+BO280/BN280*BO306+BO281/BN281*BO307)/1000*BN283</f>
        <v>96.010314228749763</v>
      </c>
      <c r="BP282" s="1097">
        <f ca="1">(BP277/BN277*BP303+BP278/BN278*BP304+BP279/BN279*BP305+BP280/BN280*BP306+BP281/BN281*BP307)/1000*BN283</f>
        <v>96.333229346502748</v>
      </c>
      <c r="BQ282" s="1097">
        <f ca="1">(BQ277/BN277*BQ303+BQ278/BN278*BQ304+BQ279/BN279*BQ305+BQ280/BN280*BQ306+BQ281/BN281*BQ307)/1000*BN283</f>
        <v>96.121476242731731</v>
      </c>
      <c r="BR282" s="1097">
        <f ca="1">(BR277/BN277*BR303+BR278/BN278*BR304+BR279/BN279*BR305+BR280/BN280*BR306+BR281/BN281*BR307)/1000*BN283</f>
        <v>97.261213089280204</v>
      </c>
      <c r="BS282" s="1097">
        <f ca="1">(BS277/BR277*BS303+BS278/BR278*BS304+BS279/BR279*BS305+BS280/BR280*BS306+BS281/BR281*BS307)/1000*BR283</f>
        <v>97.30640127020142</v>
      </c>
      <c r="BT282" s="1097">
        <f ca="1">(BT277/BR277*BT303+BT278/BR278*BT304+BT279/BR279*BT305+BT280/BR280*BT306+BT281/BR281*BT307)/1000*BR283</f>
        <v>97.958806539548874</v>
      </c>
      <c r="BU282" s="1097">
        <f ca="1">(BU277/BR277*BU303+BU278/BR278*BU304+BU279/BR279*BU305+BU280/BR280*BU306+BU281/BR281*BU307)/1000*BR283</f>
        <v>97.670328742441271</v>
      </c>
      <c r="BV282" s="1097">
        <f ca="1">(BV277/BR277*BV303+BV278/BR278*BV304+BV279/BR279*BV305+BV280/BR280*BV306+BV281/BR281*BV307)/1000*BR283</f>
        <v>98.111345201923456</v>
      </c>
      <c r="BW282" s="1097">
        <f ca="1">(BW277/BV277*BW303+BW278/BV278*BW304+BW279/BV279*BW305+BW280/BV280*BW306+BW281/BV281*BW307)/1000*BV283</f>
        <v>98.192645077161458</v>
      </c>
      <c r="BX282" s="1097">
        <f ca="1">(BX277/BV277*BX303+BX278/BV278*BX304+BX279/BV279*BX305+BX280/BV280*BX306+BX281/BV281*BX307)/1000*BV283</f>
        <v>98.854232712062498</v>
      </c>
      <c r="BY282" s="1097">
        <f ca="1">(BY277/BV277*BY303+BY278/BV278*BY304+BY279/BV279*BY305+BY280/BV280*BY306+BY281/BV281*BY307)/1000*BV283</f>
        <v>98.511474326687207</v>
      </c>
      <c r="BZ282" s="1097">
        <f ca="1">(BZ277/BV277*BZ303+BZ278/BV278*BZ304+BZ279/BV279*BZ305+BZ280/BV280*BZ306+BZ281/BV281*BZ307)/1000*BV283</f>
        <v>99.089842152831608</v>
      </c>
      <c r="CA282" s="1097">
        <f ca="1">(CA277/BZ277*CA303+CA278/BZ278*CA304+CA279/BZ279*CA305+CA280/BZ280*CA306+CA281/BZ281*CA307)/1000*BZ283</f>
        <v>98.767193568323634</v>
      </c>
      <c r="CB282" s="1097">
        <f ca="1">(CB277/BZ277*CB303+CB278/BZ278*CB304+CB279/BZ279*CB305+CB280/BZ280*CB306+CB281/BZ281*CB307)/1000*BZ283</f>
        <v>99.148646994305736</v>
      </c>
      <c r="CC282" s="1097">
        <f ca="1">(CC277/BZ277*CC303+CC278/BZ278*CC304+CC279/BZ279*CC305+CC280/BZ280*CC306+CC281/BZ281*CC307)/1000*BZ283</f>
        <v>99.220085695055857</v>
      </c>
      <c r="CD282" s="1097">
        <f ca="1">(CD277/BZ277*CD303+CD278/BZ278*CD304+CD279/BZ279*CD305+CD280/BZ280*CD306+CD281/BZ281*CD307)/1000*BZ283</f>
        <v>99.37653936280077</v>
      </c>
      <c r="CE282" s="1097">
        <f ca="1">(CE277/CD277*CE303+CE278/CD278*CE304+CE279/CD279*CE305+CE280/CD280*CE306+CE281/CD281*CE307)/1000*CD283</f>
        <v>98.716543332453114</v>
      </c>
      <c r="CF282" s="1097">
        <f ca="1">(CF277/CD277*CF303+CF278/CD278*CF304+CF279/CD279*CF305+CF280/CD280*CF306+CF281/CD281*CF307)/1000*CD283</f>
        <v>99.431229832081357</v>
      </c>
      <c r="CG282" s="1097">
        <f ca="1">(CG277/CD277*CG303+CG278/CD278*CG304+CG279/CD279*CG305+CG280/CD280*CG306+CG281/CD281*CG307)/1000*CD283</f>
        <v>99.411408553904224</v>
      </c>
      <c r="CH282" s="1097">
        <f ca="1">(CH277/CD277*CH303+CH278/CD278*CH304+CH279/CD279*CH305+CH280/CD280*CH306+CH281/CD281*CH307)/1000*CD283</f>
        <v>99.655596646942399</v>
      </c>
      <c r="CI282" s="1097">
        <f ca="1">(CI277/CH277*CI303+CI278/CH278*CI304+CI279/CH279*CI305+CI280/CH280*CI306+CI281/CH281*CI307)/1000*CH283</f>
        <v>99.317522962985194</v>
      </c>
      <c r="CJ282" s="1097">
        <f ca="1">(CJ277/CH277*CJ303+CJ278/CH278*CJ304+CJ279/CH279*CJ305+CJ280/CH280*CJ306+CJ281/CH281*CJ307)/1000*CH283</f>
        <v>100.04074953712409</v>
      </c>
      <c r="CK282" s="1097">
        <f ca="1">(CK277/CH277*CK303+CK278/CH278*CK304+CK279/CH279*CK305+CK280/CH280*CK306+CK281/CH281*CK307)/1000*CH283</f>
        <v>100.19983990503226</v>
      </c>
      <c r="CL282" s="1097">
        <f ca="1">(CL277/CH277*CL303+CL278/CH278*CL304+CL279/CH279*CL305+CL280/CH280*CL306+CL281/CH281*CL307)/1000*CH283</f>
        <v>100.50821185790021</v>
      </c>
      <c r="CM282" s="1097">
        <f ca="1">(CM277/CL277*CM303+CM278/CL278*CM304+CM279/CL279*CM305+CM280/CL280*CM306+CM281/CL281*CM307)/1000*CL283</f>
        <v>100.37876162745431</v>
      </c>
      <c r="CN282" s="1097">
        <f ca="1">(CN277/CL277*CN303+CN278/CL278*CN304+CN279/CL279*CN305+CN280/CL280*CN306+CN281/CL281*CN307)/1000*CL283</f>
        <v>101.04845001737353</v>
      </c>
      <c r="CO282" s="1097">
        <f ca="1">(CO277/CL277*CO303+CO278/CL278*CO304+CO279/CL279*CO305+CO280/CL280*CO306+CO281/CL281*CO307)/1000*CL283</f>
        <v>101.2369198759994</v>
      </c>
      <c r="CP282" s="1097">
        <f ca="1">(CP277/CM277*CP303+CP278/CM278*CP304+CP279/CM279*CP305+CP280/CM280*CP306+CP281/CM281*CP307)/1000*CM283</f>
        <v>101.89199652644311</v>
      </c>
      <c r="CQ282" s="1097">
        <f t="shared" ref="CQ282:CW282" ca="1" si="1152">(CQ277/CN277*CQ303+CQ278/CN278*CQ304+CQ279/CN279*CQ305+CQ280/CN280*CQ306+CQ281/CN281*CQ307)/1000*CN283</f>
        <v>102.00356227489273</v>
      </c>
      <c r="CR282" s="1097">
        <f t="shared" ca="1" si="1152"/>
        <v>102.90341803296066</v>
      </c>
      <c r="CS282" s="1097">
        <f t="shared" ca="1" si="1152"/>
        <v>103.49124934962659</v>
      </c>
      <c r="CT282" s="1097">
        <f t="shared" ca="1" si="1152"/>
        <v>103.6943726248595</v>
      </c>
      <c r="CU282" s="1097">
        <f t="shared" ca="1" si="1152"/>
        <v>103.77990960606006</v>
      </c>
      <c r="CV282" s="1097">
        <f t="shared" ca="1" si="1152"/>
        <v>104.95924182318826</v>
      </c>
      <c r="CW282" s="1097">
        <f t="shared" ca="1" si="1152"/>
        <v>105.8062064763643</v>
      </c>
      <c r="CX282" s="3421">
        <f ca="1">(CX277/CT277*CX303+CX278/CT278*CX304+CX279/CT279*CX305+CX280/CT280*CX306+CX281/CT281*CX307)/1000*CT283</f>
        <v>106.20066301973334</v>
      </c>
      <c r="CY282" s="3421">
        <f ca="1">(CY277/CX277*CY303+CY278/CX278*CY304+CY279/CX279*CY305+CY280/CX280*CY306+CY281/CX281*CY307)/1000*CX283</f>
        <v>106.13963349971233</v>
      </c>
      <c r="CZ282" s="3421">
        <f ca="1">(CZ277/CX277*CZ303+CZ278/CX278*CZ304+CZ279/CX279*CZ305+CZ280/CX280*CZ306+CZ281/CX281*CZ307)/1000*CX283</f>
        <v>107.04308890578832</v>
      </c>
      <c r="DA282" s="3421">
        <f ca="1">(DA277/CX277*DA303+DA278/CX278*DA304+DA279/CX279*DA305+DA280/CX280*DA306+DA281/CX281*DA307)/1000*CX283</f>
        <v>107.60551583373538</v>
      </c>
      <c r="DB282" s="3421">
        <f ca="1">(DB277/CX277*DB303+DB278/CX278*DB304+DB279/CX279*DB305+DB280/CX280*DB306+DB281/CX281*DB307)/1000*CX283</f>
        <v>107.96715776780341</v>
      </c>
      <c r="DC282" s="3421">
        <f ca="1">(DC277/DB277*DC303+DC278/DB278*DC304+DC279/DB279*DC305+DC280/DB280*DC306+DC281/DB281*DC307)/1000*DB283</f>
        <v>107.73841194403387</v>
      </c>
      <c r="DD282" s="3421">
        <f ca="1">(DD277/DB277*DD303+DD278/DB278*DD304+DD279/DB279*DD305+DD280/DB280*DD306+DD281/DB281*DD307)/1000*DB283</f>
        <v>108.72814538424143</v>
      </c>
      <c r="DE282" s="3421">
        <f ca="1">(DE277/DB277*DE303+DE278/DB278*DE304+DE279/DB279*DE305+DE280/DB280*DE306+DE281/DB281*DE307)/1000*DB283</f>
        <v>109.38947437737376</v>
      </c>
      <c r="DF282" s="3421">
        <f ca="1">(DF277/DB277*DF303+DF278/DB278*DF304+DF279/DB279*DF305+DF280/DB280*DF306+DF281/DB281*DF307)/1000*DB283</f>
        <v>109.74853979060239</v>
      </c>
    </row>
    <row r="283" spans="1:110" customFormat="1">
      <c r="A283" s="701" t="str">
        <f>"Q" &amp; ROW(InputQ!A17)</f>
        <v>Q17</v>
      </c>
      <c r="B283" s="701"/>
      <c r="C283" s="731"/>
      <c r="D283" s="1095"/>
      <c r="E283" s="1096" t="s">
        <v>1628</v>
      </c>
      <c r="F283" s="1095"/>
      <c r="G283" s="1097" t="str">
        <f>+InputQ!G17</f>
        <v>:</v>
      </c>
      <c r="H283" s="1097" t="str">
        <f>+InputQ!H17</f>
        <v>:</v>
      </c>
      <c r="I283" s="1097" t="str">
        <f>+InputQ!I17</f>
        <v>:</v>
      </c>
      <c r="J283" s="1097" t="str">
        <f>+InputQ!J17</f>
        <v>:</v>
      </c>
      <c r="K283" s="1097">
        <f>+InputQ!K17</f>
        <v>75.716666666666654</v>
      </c>
      <c r="L283" s="1097">
        <f>+InputQ!L17</f>
        <v>76.443333333333342</v>
      </c>
      <c r="M283" s="1097">
        <f>+InputQ!M17</f>
        <v>76.13666666666667</v>
      </c>
      <c r="N283" s="1097">
        <f>+InputQ!N17</f>
        <v>76.336666666666673</v>
      </c>
      <c r="O283" s="1097">
        <f>+InputQ!O17</f>
        <v>76.593333333333334</v>
      </c>
      <c r="P283" s="1097">
        <f>+InputQ!P17</f>
        <v>77.446666666666673</v>
      </c>
      <c r="Q283" s="1097">
        <f>+InputQ!Q17</f>
        <v>77.736666666666665</v>
      </c>
      <c r="R283" s="1097">
        <f>+InputQ!R17</f>
        <v>78.38</v>
      </c>
      <c r="S283" s="1097">
        <f>+InputQ!S17</f>
        <v>78.066666666666663</v>
      </c>
      <c r="T283" s="1097">
        <f>+InputQ!T17</f>
        <v>78.566666666666663</v>
      </c>
      <c r="U283" s="1097">
        <f>+InputQ!U17</f>
        <v>78.190000000000012</v>
      </c>
      <c r="V283" s="1097">
        <f>+InputQ!V17</f>
        <v>78.446666666666658</v>
      </c>
      <c r="W283" s="1097">
        <f>+InputQ!W17</f>
        <v>78.25333333333333</v>
      </c>
      <c r="X283" s="1097">
        <f>+InputQ!X17</f>
        <v>78.853333333333339</v>
      </c>
      <c r="Y283" s="1097">
        <f>+InputQ!Y17</f>
        <v>78.726666666666674</v>
      </c>
      <c r="Z283" s="1097">
        <f>+InputQ!Z17</f>
        <v>79.203333333333333</v>
      </c>
      <c r="AA283" s="1097">
        <f>+InputQ!AA17</f>
        <v>79.206666666666663</v>
      </c>
      <c r="AB283" s="1097">
        <f>+InputQ!AB17</f>
        <v>79.793333333333337</v>
      </c>
      <c r="AC283" s="1097">
        <f>+InputQ!AC17</f>
        <v>79.73</v>
      </c>
      <c r="AD283" s="1097">
        <f>+InputQ!AD17</f>
        <v>80.38333333333334</v>
      </c>
      <c r="AE283" s="1097">
        <f>+InputQ!AE17</f>
        <v>80.476666666666674</v>
      </c>
      <c r="AF283" s="1097">
        <f>+InputQ!AF17</f>
        <v>82.176666666666662</v>
      </c>
      <c r="AG283" s="1097">
        <f>+InputQ!AG17</f>
        <v>82.2</v>
      </c>
      <c r="AH283" s="1097">
        <f>+InputQ!AH17</f>
        <v>82.813333333333333</v>
      </c>
      <c r="AI283" s="1097">
        <f>+InputQ!AI17</f>
        <v>82.763333333333335</v>
      </c>
      <c r="AJ283" s="1097">
        <f>+InputQ!AJ17</f>
        <v>83.703333333333333</v>
      </c>
      <c r="AK283" s="1097">
        <f>+InputQ!AK17</f>
        <v>83.42</v>
      </c>
      <c r="AL283" s="1097">
        <f>+InputQ!AL17</f>
        <v>84.133333333333326</v>
      </c>
      <c r="AM283" s="1097">
        <f>+InputQ!AM17</f>
        <v>85.226666666666674</v>
      </c>
      <c r="AN283" s="1097">
        <f>+InputQ!AN17</f>
        <v>85.443333333333328</v>
      </c>
      <c r="AO283" s="1097">
        <f>+InputQ!AO17</f>
        <v>85.346666666666678</v>
      </c>
      <c r="AP283" s="1097">
        <f>+InputQ!AP17</f>
        <v>85.75</v>
      </c>
      <c r="AQ283" s="1097">
        <f>+InputQ!AQ17</f>
        <v>85.73</v>
      </c>
      <c r="AR283" s="1097">
        <f>+InputQ!AR17</f>
        <v>86.48</v>
      </c>
      <c r="AS283" s="1097">
        <f>+InputQ!AS17</f>
        <v>86.32</v>
      </c>
      <c r="AT283" s="1097">
        <f>+InputQ!AT17</f>
        <v>86.73</v>
      </c>
      <c r="AU283" s="1097">
        <f>+InputQ!AU17</f>
        <v>86.386666666666656</v>
      </c>
      <c r="AV283" s="1097">
        <f>+InputQ!AV17</f>
        <v>86.913333333333341</v>
      </c>
      <c r="AW283" s="1097">
        <f>+InputQ!AW17</f>
        <v>87.14</v>
      </c>
      <c r="AX283" s="1097">
        <f>+InputQ!AX17</f>
        <v>87.696666666666673</v>
      </c>
      <c r="AY283" s="1097">
        <f>+InputQ!AY17</f>
        <v>87.443333333333342</v>
      </c>
      <c r="AZ283" s="1097">
        <f>+InputQ!AZ17</f>
        <v>88.530000000000015</v>
      </c>
      <c r="BA283" s="1097">
        <f>+InputQ!BA17</f>
        <v>88.453333333333333</v>
      </c>
      <c r="BB283" s="1097">
        <f>+InputQ!BB17</f>
        <v>88.92</v>
      </c>
      <c r="BC283" s="1097">
        <f>+InputQ!BC17</f>
        <v>88.899999999999991</v>
      </c>
      <c r="BD283" s="1097">
        <f>+InputQ!BD17</f>
        <v>89.74666666666667</v>
      </c>
      <c r="BE283" s="1097">
        <f>+InputQ!BE17</f>
        <v>89.676666666666662</v>
      </c>
      <c r="BF283" s="1097">
        <f>+InputQ!BF17</f>
        <v>90.946666666666673</v>
      </c>
      <c r="BG283" s="1097">
        <f>+InputQ!BG17</f>
        <v>91.646666666666661</v>
      </c>
      <c r="BH283" s="1097">
        <f>+InputQ!BH17</f>
        <v>93.009999999999991</v>
      </c>
      <c r="BI283" s="1097">
        <f>+InputQ!BI17</f>
        <v>93.283333333333346</v>
      </c>
      <c r="BJ283" s="1097">
        <f>+InputQ!BJ17</f>
        <v>93.360000000000014</v>
      </c>
      <c r="BK283" s="1097">
        <f>+InputQ!BK17</f>
        <v>93.530000000000015</v>
      </c>
      <c r="BL283" s="1097">
        <f>+InputQ!BL17</f>
        <v>94.586666666666659</v>
      </c>
      <c r="BM283" s="1097">
        <f>+InputQ!BM17</f>
        <v>94.853333333333339</v>
      </c>
      <c r="BN283" s="1097">
        <f>+InputQ!BN17</f>
        <v>95.536666666666676</v>
      </c>
      <c r="BO283" s="1097">
        <f>+InputQ!BO17</f>
        <v>96.006666666666661</v>
      </c>
      <c r="BP283" s="1097">
        <f>+InputQ!BP17</f>
        <v>96.333333333333329</v>
      </c>
      <c r="BQ283" s="1097">
        <f>+InputQ!BQ17</f>
        <v>96.123333333333335</v>
      </c>
      <c r="BR283" s="1097">
        <f>+InputQ!BR17</f>
        <v>97.259999999999991</v>
      </c>
      <c r="BS283" s="1097">
        <f>+InputQ!BS17</f>
        <v>97.286666666666676</v>
      </c>
      <c r="BT283" s="1097">
        <f>+InputQ!BT17</f>
        <v>97.94</v>
      </c>
      <c r="BU283" s="1097">
        <f>+InputQ!BU17</f>
        <v>97.65666666666668</v>
      </c>
      <c r="BV283" s="1097">
        <f>+InputQ!BV17</f>
        <v>98.103333333333353</v>
      </c>
      <c r="BW283" s="1097">
        <f>+InputQ!BW17</f>
        <v>98.196666666666673</v>
      </c>
      <c r="BX283" s="1097">
        <f>+InputQ!BX17</f>
        <v>98.86</v>
      </c>
      <c r="BY283" s="1097">
        <f>+InputQ!BY17</f>
        <v>98.513333333333335</v>
      </c>
      <c r="BZ283" s="1097">
        <f>+InputQ!BZ17</f>
        <v>99.083333333333329</v>
      </c>
      <c r="CA283" s="1097">
        <f>+InputQ!CA17</f>
        <v>98.736666666666665</v>
      </c>
      <c r="CB283" s="1097">
        <f>+InputQ!CB17</f>
        <v>99.116666666666674</v>
      </c>
      <c r="CC283" s="1097">
        <f>+InputQ!CC17</f>
        <v>99.19</v>
      </c>
      <c r="CD283" s="1097">
        <f>+InputQ!CD17</f>
        <v>99.34999999999998</v>
      </c>
      <c r="CE283" s="1097">
        <f>+InputQ!CE17</f>
        <v>98.716666666666654</v>
      </c>
      <c r="CF283" s="3364">
        <f>+InputQ!CF17</f>
        <v>99.429999999999993</v>
      </c>
      <c r="CG283" s="3364">
        <f>+InputQ!CG17</f>
        <v>99.410000000000011</v>
      </c>
      <c r="CH283" s="1097">
        <f>+InputQ!CH17</f>
        <v>99.65333333333335</v>
      </c>
      <c r="CI283" s="1097">
        <f>+InputQ!CI17</f>
        <v>99.303333333333327</v>
      </c>
      <c r="CJ283" s="3364">
        <f>+InputQ!CJ17</f>
        <v>100.02666666666666</v>
      </c>
      <c r="CK283" s="3364">
        <f>+InputQ!CK17</f>
        <v>100.17999999999999</v>
      </c>
      <c r="CL283" s="3364">
        <f>+InputQ!CL17</f>
        <v>100.49000000000001</v>
      </c>
      <c r="CM283" s="3364">
        <f>+InputQ!CM17</f>
        <v>100.37</v>
      </c>
      <c r="CN283" s="3364">
        <f>+InputQ!CN17</f>
        <v>101.04333333333334</v>
      </c>
      <c r="CO283" s="3364">
        <f>+InputQ!CO17</f>
        <v>101.23</v>
      </c>
      <c r="CP283" s="3364">
        <f>+InputQ!CP17</f>
        <v>101.90000000000002</v>
      </c>
      <c r="CQ283" s="3364">
        <f>+InputQ!CQ17</f>
        <v>102</v>
      </c>
      <c r="CR283" s="3364">
        <f>+InputQ!CR17</f>
        <v>102.91000000000001</v>
      </c>
      <c r="CS283" s="3364">
        <f>+InputQ!CS17</f>
        <v>103.49000000000001</v>
      </c>
      <c r="CT283" s="3364">
        <f>+InputQ!CT17</f>
        <v>103.69333333333333</v>
      </c>
      <c r="CU283" s="3364">
        <f>+InputQ!CU17</f>
        <v>103.75999999999999</v>
      </c>
      <c r="CV283" s="3364">
        <f>+InputQ!CV17</f>
        <v>104.94</v>
      </c>
      <c r="CW283" s="3364">
        <f>+InputQ!CW17</f>
        <v>105.8</v>
      </c>
      <c r="CX283" s="909">
        <f t="shared" ref="CX283" ca="1" si="1153">+CT283*(1+CX316/100)</f>
        <v>106.19959860855694</v>
      </c>
      <c r="CY283" s="909">
        <f t="shared" ref="CY283" ca="1" si="1154">+CU283*(1+CY316/100)</f>
        <v>106.11927119357466</v>
      </c>
      <c r="CZ283" s="909">
        <f t="shared" ref="CZ283" ca="1" si="1155">+CV283*(1+CZ316/100)</f>
        <v>107.02346505795489</v>
      </c>
      <c r="DA283" s="909">
        <f t="shared" ref="DA283" ca="1" si="1156">+CW283*(1+DA316/100)</f>
        <v>107.59920381185186</v>
      </c>
      <c r="DB283" s="909">
        <f t="shared" ref="DB283" ca="1" si="1157">+CX283*(1+DB316/100)</f>
        <v>107.96607565168338</v>
      </c>
      <c r="DC283" s="909">
        <f t="shared" ref="DC283" ca="1" si="1158">+CY283*(1+DC316/100)</f>
        <v>107.71774292102657</v>
      </c>
      <c r="DD283" s="909">
        <f t="shared" ref="DD283" ca="1" si="1159">+CZ283*(1+DD316/100)</f>
        <v>108.70821262069694</v>
      </c>
      <c r="DE283" s="909">
        <f t="shared" ref="DE283" ca="1" si="1160">+DA283*(1+DE316/100)</f>
        <v>109.38305771043298</v>
      </c>
      <c r="DF283" s="909">
        <f t="shared" ref="DF283" ca="1" si="1161">+DB283*(1+DF316/100)</f>
        <v>109.74743982032889</v>
      </c>
    </row>
    <row r="284" spans="1:110" s="1041" customFormat="1" ht="10.15">
      <c r="A284" s="710"/>
      <c r="B284" s="710"/>
      <c r="C284" s="1045"/>
      <c r="D284" s="1046"/>
      <c r="E284" s="1047" t="s">
        <v>487</v>
      </c>
      <c r="F284" s="1046"/>
      <c r="G284" s="1048"/>
      <c r="H284" s="1048"/>
      <c r="I284" s="1048"/>
      <c r="J284" s="1048"/>
      <c r="K284" s="2978"/>
      <c r="L284" s="2978"/>
      <c r="M284" s="2978"/>
      <c r="N284" s="2978">
        <f t="shared" ref="N284:BB284" si="1162">(N283-N282)</f>
        <v>0</v>
      </c>
      <c r="O284" s="2978">
        <f t="shared" ca="1" si="1162"/>
        <v>0.54931719018522074</v>
      </c>
      <c r="P284" s="2978">
        <f t="shared" ca="1" si="1162"/>
        <v>0.54965781663130997</v>
      </c>
      <c r="Q284" s="2978">
        <f t="shared" ca="1" si="1162"/>
        <v>0.5532074814854866</v>
      </c>
      <c r="R284" s="2978">
        <f t="shared" ca="1" si="1162"/>
        <v>0.54515151931437345</v>
      </c>
      <c r="S284" s="2978">
        <f t="shared" ca="1" si="1162"/>
        <v>0.52995412244391105</v>
      </c>
      <c r="T284" s="2978">
        <f t="shared" ca="1" si="1162"/>
        <v>0.53175045554772282</v>
      </c>
      <c r="U284" s="2978">
        <f t="shared" ca="1" si="1162"/>
        <v>0.5333657365002864</v>
      </c>
      <c r="V284" s="2978">
        <f t="shared" ca="1" si="1162"/>
        <v>0.53386726856987821</v>
      </c>
      <c r="W284" s="2978">
        <f t="shared" ca="1" si="1162"/>
        <v>0.2964947512633529</v>
      </c>
      <c r="X284" s="2978">
        <f t="shared" ca="1" si="1162"/>
        <v>0.29951591191991156</v>
      </c>
      <c r="Y284" s="2978">
        <f t="shared" ca="1" si="1162"/>
        <v>0.30373456720627701</v>
      </c>
      <c r="Z284" s="2978">
        <f t="shared" ca="1" si="1162"/>
        <v>0.30689705587201388</v>
      </c>
      <c r="AA284" s="2978">
        <f t="shared" ca="1" si="1162"/>
        <v>-1.095874439440081E-2</v>
      </c>
      <c r="AB284" s="2978">
        <f t="shared" ca="1" si="1162"/>
        <v>-8.1045527969365594E-3</v>
      </c>
      <c r="AC284" s="2978">
        <f t="shared" ca="1" si="1162"/>
        <v>-9.0987930007599971E-3</v>
      </c>
      <c r="AD284" s="2978">
        <f t="shared" ca="1" si="1162"/>
        <v>-1.3223959855920953E-2</v>
      </c>
      <c r="AE284" s="2978">
        <f t="shared" ca="1" si="1162"/>
        <v>-9.0467346309139884E-3</v>
      </c>
      <c r="AF284" s="2978">
        <f t="shared" ca="1" si="1162"/>
        <v>-6.5861228528376614E-3</v>
      </c>
      <c r="AG284" s="2978">
        <f t="shared" ca="1" si="1162"/>
        <v>-8.689185660287535E-3</v>
      </c>
      <c r="AH284" s="2978">
        <f t="shared" ca="1" si="1162"/>
        <v>-1.4838134334652864E-2</v>
      </c>
      <c r="AI284" s="2978">
        <f t="shared" ca="1" si="1162"/>
        <v>1.3384374604100913E-2</v>
      </c>
      <c r="AJ284" s="2978">
        <f t="shared" ca="1" si="1162"/>
        <v>1.3002992327741936E-2</v>
      </c>
      <c r="AK284" s="2978">
        <f t="shared" ca="1" si="1162"/>
        <v>1.8666493193919109E-2</v>
      </c>
      <c r="AL284" s="2978">
        <f t="shared" ca="1" si="1162"/>
        <v>1.9094171498721835E-2</v>
      </c>
      <c r="AM284" s="2978">
        <f t="shared" ca="1" si="1162"/>
        <v>-7.4585595371274849E-3</v>
      </c>
      <c r="AN284" s="2978">
        <f t="shared" ca="1" si="1162"/>
        <v>-5.8321309782485287E-3</v>
      </c>
      <c r="AO284" s="2978">
        <f t="shared" ca="1" si="1162"/>
        <v>-6.7961078131588692E-3</v>
      </c>
      <c r="AP284" s="2978">
        <f t="shared" ca="1" si="1162"/>
        <v>-5.0418656533111061E-3</v>
      </c>
      <c r="AQ284" s="2978">
        <f t="shared" ca="1" si="1162"/>
        <v>-3.1805298300611184E-3</v>
      </c>
      <c r="AR284" s="2978">
        <f t="shared" ca="1" si="1162"/>
        <v>-1.7743929627442867E-3</v>
      </c>
      <c r="AS284" s="2978">
        <f t="shared" ca="1" si="1162"/>
        <v>-2.900670074055256E-3</v>
      </c>
      <c r="AT284" s="2978">
        <f t="shared" ca="1" si="1162"/>
        <v>-8.662837526713929E-4</v>
      </c>
      <c r="AU284" s="2978">
        <f t="shared" ca="1" si="1162"/>
        <v>-1.120193959954463E-2</v>
      </c>
      <c r="AV284" s="2978">
        <f t="shared" ca="1" si="1162"/>
        <v>-6.0323668594435276E-3</v>
      </c>
      <c r="AW284" s="2978">
        <f t="shared" ca="1" si="1162"/>
        <v>-1.3713249975637609E-3</v>
      </c>
      <c r="AX284" s="2978">
        <f t="shared" ca="1" si="1162"/>
        <v>-2.1972203901299281E-3</v>
      </c>
      <c r="AY284" s="2978">
        <f t="shared" ca="1" si="1162"/>
        <v>2.9916320110004335E-2</v>
      </c>
      <c r="AZ284" s="2978">
        <f t="shared" ca="1" si="1162"/>
        <v>3.4489123872418759E-2</v>
      </c>
      <c r="BA284" s="2978">
        <f t="shared" ca="1" si="1162"/>
        <v>3.1913928126087399E-2</v>
      </c>
      <c r="BB284" s="2978">
        <f t="shared" ca="1" si="1162"/>
        <v>3.0024336141750041E-2</v>
      </c>
      <c r="BC284" s="2978">
        <f t="shared" ref="BC284:BJ284" ca="1" si="1163">(BC283-BC282)</f>
        <v>-1.4531354018174625E-3</v>
      </c>
      <c r="BD284" s="2978">
        <f t="shared" ca="1" si="1163"/>
        <v>1.8484702770820149E-3</v>
      </c>
      <c r="BE284" s="2978">
        <f t="shared" ca="1" si="1163"/>
        <v>-7.4972363910319473E-4</v>
      </c>
      <c r="BF284" s="2978">
        <f t="shared" ca="1" si="1163"/>
        <v>7.9051893494863634E-4</v>
      </c>
      <c r="BG284" s="2978">
        <f t="shared" ca="1" si="1163"/>
        <v>3.7268901293288081E-3</v>
      </c>
      <c r="BH284" s="2978">
        <f t="shared" ca="1" si="1163"/>
        <v>-1.3738549271238298E-3</v>
      </c>
      <c r="BI284" s="2978">
        <f t="shared" ca="1" si="1163"/>
        <v>-7.0618402865250118E-3</v>
      </c>
      <c r="BJ284" s="2978">
        <f t="shared" ca="1" si="1163"/>
        <v>4.6796292167101683E-3</v>
      </c>
      <c r="BK284" s="2978">
        <f ca="1">(BK283-BK282)</f>
        <v>-1.0344317072338072E-2</v>
      </c>
      <c r="BL284" s="2978">
        <f ca="1">(BL283-BL282)</f>
        <v>-4.3754744568929027E-3</v>
      </c>
      <c r="BM284" s="2978">
        <f ca="1">(BM283-BM282)</f>
        <v>-7.0695155306310653E-3</v>
      </c>
      <c r="BN284" s="2978">
        <f ca="1">(BN283-BN282)</f>
        <v>-1.0924479209620586E-2</v>
      </c>
      <c r="BO284" s="2978">
        <f t="shared" ref="BO284:BV284" ca="1" si="1164">(BO283-BO282)</f>
        <v>-3.6475620831026845E-3</v>
      </c>
      <c r="BP284" s="2978">
        <f t="shared" ca="1" si="1164"/>
        <v>1.0398683058099323E-4</v>
      </c>
      <c r="BQ284" s="2978">
        <f t="shared" ca="1" si="1164"/>
        <v>1.8570906016037725E-3</v>
      </c>
      <c r="BR284" s="2978">
        <f t="shared" ca="1" si="1164"/>
        <v>-1.213089280213353E-3</v>
      </c>
      <c r="BS284" s="2978">
        <f t="shared" ca="1" si="1164"/>
        <v>-1.9734603534743655E-2</v>
      </c>
      <c r="BT284" s="2978">
        <f t="shared" ca="1" si="1164"/>
        <v>-1.8806539548876344E-2</v>
      </c>
      <c r="BU284" s="2978">
        <f t="shared" ca="1" si="1164"/>
        <v>-1.3662075774590221E-2</v>
      </c>
      <c r="BV284" s="2978">
        <f t="shared" ca="1" si="1164"/>
        <v>-8.011868590102722E-3</v>
      </c>
      <c r="BW284" s="2978">
        <f t="shared" ref="BW284:CB284" ca="1" si="1165">(BW283-BW282)</f>
        <v>4.0215895052142514E-3</v>
      </c>
      <c r="BX284" s="2978">
        <f t="shared" ca="1" si="1165"/>
        <v>5.7672879375019193E-3</v>
      </c>
      <c r="BY284" s="2978">
        <f t="shared" ca="1" si="1165"/>
        <v>1.8590066461285915E-3</v>
      </c>
      <c r="BZ284" s="2978">
        <f t="shared" ca="1" si="1165"/>
        <v>-6.5088194982791947E-3</v>
      </c>
      <c r="CA284" s="2978">
        <f t="shared" ca="1" si="1165"/>
        <v>-3.0526901656969585E-2</v>
      </c>
      <c r="CB284" s="2978">
        <f t="shared" ca="1" si="1165"/>
        <v>-3.1980327639061557E-2</v>
      </c>
      <c r="CC284" s="2978">
        <f t="shared" ref="CC284:CJ284" ca="1" si="1166">(CC283-CC282)</f>
        <v>-3.0085695055859674E-2</v>
      </c>
      <c r="CD284" s="2978">
        <f t="shared" ca="1" si="1166"/>
        <v>-2.6539362800789945E-2</v>
      </c>
      <c r="CE284" s="2978">
        <f t="shared" ca="1" si="1166"/>
        <v>1.2333421354071561E-4</v>
      </c>
      <c r="CF284" s="2978">
        <f t="shared" ca="1" si="1166"/>
        <v>-1.2298320813641794E-3</v>
      </c>
      <c r="CG284" s="2978">
        <f t="shared" ca="1" si="1166"/>
        <v>-1.4085539042127948E-3</v>
      </c>
      <c r="CH284" s="2978">
        <f t="shared" ca="1" si="1166"/>
        <v>-2.263313609049078E-3</v>
      </c>
      <c r="CI284" s="2978">
        <f t="shared" ca="1" si="1166"/>
        <v>-1.4189629651866653E-2</v>
      </c>
      <c r="CJ284" s="2978">
        <f t="shared" ca="1" si="1166"/>
        <v>-1.4082870457428953E-2</v>
      </c>
      <c r="CK284" s="2978">
        <f t="shared" ref="CK284:CM284" ca="1" si="1167">(CK283-CK282)</f>
        <v>-1.9839905032270622E-2</v>
      </c>
      <c r="CL284" s="2978">
        <f t="shared" ca="1" si="1167"/>
        <v>-1.821185790019797E-2</v>
      </c>
      <c r="CM284" s="2978">
        <f t="shared" ca="1" si="1167"/>
        <v>-8.7616274543051986E-3</v>
      </c>
      <c r="CN284" s="2978">
        <f t="shared" ref="CN284:CO284" ca="1" si="1168">(CN283-CN282)</f>
        <v>-5.1166840401890568E-3</v>
      </c>
      <c r="CO284" s="2978">
        <f t="shared" ca="1" si="1168"/>
        <v>-6.9198759994009151E-3</v>
      </c>
      <c r="CP284" s="2978">
        <f t="shared" ref="CP284:CQ284" ca="1" si="1169">(CP283-CP282)</f>
        <v>8.0034735569114446E-3</v>
      </c>
      <c r="CQ284" s="2978">
        <f t="shared" ca="1" si="1169"/>
        <v>-3.5622748927295333E-3</v>
      </c>
      <c r="CR284" s="2978">
        <f t="shared" ref="CR284:CS284" ca="1" si="1170">(CR283-CR282)</f>
        <v>6.5819670393523211E-3</v>
      </c>
      <c r="CS284" s="2978">
        <f t="shared" ca="1" si="1170"/>
        <v>-1.2493496265761905E-3</v>
      </c>
      <c r="CT284" s="2978">
        <f t="shared" ref="CT284:CV284" ca="1" si="1171">(CT283-CT282)</f>
        <v>-1.039291526168995E-3</v>
      </c>
      <c r="CU284" s="2978">
        <f t="shared" ca="1" si="1171"/>
        <v>-1.9909606060068086E-2</v>
      </c>
      <c r="CV284" s="2978">
        <f t="shared" ca="1" si="1171"/>
        <v>-1.9241823188266949E-2</v>
      </c>
      <c r="CW284" s="2978">
        <f t="shared" ref="CW284" ca="1" si="1172">(CW283-CW282)</f>
        <v>-6.2064763642979415E-3</v>
      </c>
      <c r="CX284" s="2978">
        <f t="shared" ref="CX284" ca="1" si="1173">(CX283-CX282)</f>
        <v>-1.0644111764008812E-3</v>
      </c>
      <c r="CY284" s="2978">
        <f t="shared" ref="CY284:DB284" ca="1" si="1174">(CY283-CY282)</f>
        <v>-2.0362306137670316E-2</v>
      </c>
      <c r="CZ284" s="2978">
        <f t="shared" ca="1" si="1174"/>
        <v>-1.9623847833429409E-2</v>
      </c>
      <c r="DA284" s="2978">
        <f t="shared" ca="1" si="1174"/>
        <v>-6.3120218835166497E-3</v>
      </c>
      <c r="DB284" s="2978">
        <f t="shared" ca="1" si="1174"/>
        <v>-1.0821161200311735E-3</v>
      </c>
      <c r="DC284" s="2978">
        <f t="shared" ref="DC284:DF284" ca="1" si="1175">(DC283-DC282)</f>
        <v>-2.066902300730078E-2</v>
      </c>
      <c r="DD284" s="2978">
        <f t="shared" ca="1" si="1175"/>
        <v>-1.9932763544488807E-2</v>
      </c>
      <c r="DE284" s="2978">
        <f t="shared" ca="1" si="1175"/>
        <v>-6.4166669407796917E-3</v>
      </c>
      <c r="DF284" s="2978">
        <f t="shared" ca="1" si="1175"/>
        <v>-1.0999702735006167E-3</v>
      </c>
    </row>
    <row r="285" spans="1:110" customFormat="1">
      <c r="A285" s="701"/>
      <c r="B285" s="701"/>
      <c r="C285" s="731"/>
      <c r="D285" s="1095"/>
      <c r="E285" s="1096" t="s">
        <v>1946</v>
      </c>
      <c r="F285" s="1095"/>
      <c r="G285" s="1097" t="str">
        <f>+InputQ!G19</f>
        <v>:</v>
      </c>
      <c r="H285" s="1097" t="str">
        <f>+InputQ!H19</f>
        <v>:</v>
      </c>
      <c r="I285" s="1097" t="str">
        <f>+InputQ!I19</f>
        <v>:</v>
      </c>
      <c r="J285" s="1097" t="str">
        <f>+InputQ!J19</f>
        <v>:</v>
      </c>
      <c r="K285" s="1097"/>
      <c r="L285" s="1097"/>
      <c r="M285" s="1097"/>
      <c r="N285" s="1097">
        <f>+N286</f>
        <v>80.216666666666669</v>
      </c>
      <c r="O285" s="1097">
        <f ca="1">(O277/N277*O303+O280/N280*O306+O281/N281*O307)/(O303+O306+O307)*N286</f>
        <v>80.248353639657921</v>
      </c>
      <c r="P285" s="1097">
        <f ca="1">(P277/N277*P303+P280/N280*P306+P281/N281*P307)/(P303+P306+P307)*N286</f>
        <v>81.156916711396349</v>
      </c>
      <c r="Q285" s="1097">
        <f ca="1">(Q277/N277*Q303+Q280/N280*Q306+Q281/N281*Q307)/(Q303+Q306+Q307)*N286</f>
        <v>81.124396390349176</v>
      </c>
      <c r="R285" s="1097">
        <f ca="1">(R277/N277*R303+R280/N280*R306+R281/N281*R307)/(R303+R306+R307)*N286</f>
        <v>82.324971569522219</v>
      </c>
      <c r="S285" s="1097">
        <f ca="1">(S277/R277*S303+S280/R280*S306+S281/R281*S307)/(S303+S306+S307)*R286</f>
        <v>81.828652573636205</v>
      </c>
      <c r="T285" s="1097">
        <f ca="1">(T277/R277*T303+T280/R280*T306+T281/R281*T307)/(T303+T306+T307)*R286</f>
        <v>82.325022653167693</v>
      </c>
      <c r="U285" s="1097">
        <f ca="1">(U277/R277*U303+U280/R280*U306+U281/R281*U307)/(U303+U306+U307)*R286</f>
        <v>81.860398754519423</v>
      </c>
      <c r="V285" s="1097">
        <f ca="1">(V277/R277*V303+V280/R280*V306+V281/R281*V307)/(V303+V306+V307)*R286</f>
        <v>82.483739764485335</v>
      </c>
      <c r="W285" s="1097">
        <f ca="1">(W277/V277*W303+W280/V280*W306+W281/V281*W307)/(W303+W306+W307)*V286</f>
        <v>82.139474579811392</v>
      </c>
      <c r="X285" s="1097">
        <f ca="1">(X277/V277*X303+X280/V280*X306+X281/V281*X307)/(X303+X306+X307)*V286</f>
        <v>82.664153585425609</v>
      </c>
      <c r="Y285" s="1097">
        <f ca="1">(Y277/V277*Y303+Y280/V280*Y306+Y281/V281*Y307)/(Y303+Y306+Y307)*V286</f>
        <v>82.425216147340805</v>
      </c>
      <c r="Z285" s="1097">
        <f ca="1">(Z277/V277*Z303+Z280/V280*Z306+Z281/V281*Z307)/(Z303+Z306+Z307)*V286</f>
        <v>83.044042143881811</v>
      </c>
      <c r="AA285" s="1097">
        <f ca="1">(AA277/Z277*AA303+AA280/Z280*AA306+AA281/Z281*AA307)/(AA303+AA306+AA307)*Z286</f>
        <v>82.662955789702238</v>
      </c>
      <c r="AB285" s="1097">
        <f ca="1">(AB277/Z277*AB303+AB280/Z280*AB306+AB281/Z281*AB307)/(AB303+AB306+AB307)*Z286</f>
        <v>83.171948739484534</v>
      </c>
      <c r="AC285" s="1097">
        <f ca="1">(AC277/Z277*AC303+AC280/Z280*AC306+AC281/Z281*AC307)/(AC303+AC306+AC307)*Z286</f>
        <v>82.978630812378086</v>
      </c>
      <c r="AD285" s="1097">
        <f ca="1">(AD277/Z277*AD303+AD280/Z280*AD306+AD281/Z281*AD307)/(AD303+AD306+AD307)*Z286</f>
        <v>83.814255579297836</v>
      </c>
      <c r="AE285" s="1097">
        <f ca="1">(AE277/AD277*AE303+AE280/AD280*AE306+AE281/AD281*AE307)/(AE303+AE306+AE307)*AD286</f>
        <v>83.536910000597473</v>
      </c>
      <c r="AF285" s="1097">
        <f ca="1">(AF277/AD277*AF303+AF280/AD280*AF306+AF281/AD281*AF307)/(AF303+AF306+AF307)*AD286</f>
        <v>84.59567301089352</v>
      </c>
      <c r="AG285" s="1097">
        <f ca="1">(AG277/AD277*AG303+AG280/AD280*AG306+AG281/AD281*AG307)/(AG303+AG306+AG307)*AD286</f>
        <v>84.784168779143656</v>
      </c>
      <c r="AH285" s="1097">
        <f ca="1">(AH277/AD277*AH303+AH280/AD280*AH306+AH281/AD281*AH307)/(AH303+AH306+AH307)*AD286</f>
        <v>85.927479763121994</v>
      </c>
      <c r="AI285" s="1097">
        <f ca="1">(AI277/AH277*AI303+AI280/AH280*AI306+AI281/AH281*AI307)/(AI303+AI306+AI307)*AH286</f>
        <v>85.267281470066422</v>
      </c>
      <c r="AJ285" s="1097">
        <f ca="1">(AJ277/AH277*AJ303+AJ280/AH280*AJ306+AJ281/AH281*AJ307)/(AJ303+AJ306+AJ307)*AH286</f>
        <v>86.325068208833727</v>
      </c>
      <c r="AK285" s="1097">
        <f ca="1">(AK277/AH277*AK303+AK280/AH280*AK306+AK281/AH281*AK307)/(AK303+AK306+AK307)*AH286</f>
        <v>86.057478069275675</v>
      </c>
      <c r="AL285" s="1097">
        <f ca="1">(AL277/AH277*AL303+AL280/AH280*AL306+AL281/AH281*AL307)/(AL303+AL306+AL307)*AH286</f>
        <v>87.064419876668921</v>
      </c>
      <c r="AM285" s="1097">
        <f ca="1">(AM277/AL277*AM303+AM280/AL280*AM306+AM281/AL281*AM307)/(AM303+AM306+AM307)*AL286</f>
        <v>86.773375358225223</v>
      </c>
      <c r="AN285" s="1097">
        <f ca="1">(AN277/AL277*AN303+AN280/AL280*AN306+AN281/AL281*AN307)/(AN303+AN306+AN307)*AL286</f>
        <v>87.452558592101937</v>
      </c>
      <c r="AO285" s="1097">
        <f ca="1">(AO277/AL277*AO303+AO280/AL280*AO306+AO281/AL281*AO307)/(AO303+AO306+AO307)*AL286</f>
        <v>87.257772382260157</v>
      </c>
      <c r="AP285" s="1097">
        <f ca="1">(AP277/AL277*AP303+AP280/AL280*AP306+AP281/AL281*AP307)/(AP303+AP306+AP307)*AL286</f>
        <v>87.878979251846403</v>
      </c>
      <c r="AQ285" s="1097">
        <f ca="1">(AQ277/AP277*AQ303+AQ280/AP280*AQ306+AQ281/AP281*AQ307)/(AQ303+AQ306+AQ307)*AP286</f>
        <v>87.436746093500361</v>
      </c>
      <c r="AR285" s="1097">
        <f ca="1">(AR277/AP277*AR303+AR280/AP280*AR306+AR281/AP281*AR307)/(AR303+AR306+AR307)*AP286</f>
        <v>88.17104602282086</v>
      </c>
      <c r="AS285" s="1097">
        <f ca="1">(AS277/AP277*AS303+AS280/AP280*AS306+AS281/AP281*AS307)/(AS303+AS306+AS307)*AP286</f>
        <v>87.920691977181946</v>
      </c>
      <c r="AT285" s="1097">
        <f ca="1">(AT277/AP277*AT303+AT280/AP280*AT306+AT281/AP281*AT307)/(AT303+AT306+AT307)*AP286</f>
        <v>88.618205895343422</v>
      </c>
      <c r="AU285" s="1097">
        <f ca="1">(AU277/AT277*AU303+AU280/AT280*AU306+AU281/AT281*AU307)/(AU303+AU306+AU307)*AT286</f>
        <v>87.896684111789213</v>
      </c>
      <c r="AV285" s="1097">
        <f ca="1">(AV277/AT277*AV303+AV280/AT280*AV306+AV281/AT281*AV307)/(AV303+AV306+AV307)*AT286</f>
        <v>88.176124146553093</v>
      </c>
      <c r="AW285" s="1097">
        <f ca="1">(AW277/AT277*AW303+AW280/AT280*AW306+AW281/AT281*AW307)/(AW303+AW306+AW307)*AT286</f>
        <v>87.972599355003709</v>
      </c>
      <c r="AX285" s="1097">
        <f ca="1">(AX277/AT277*AX303+AX280/AT280*AX306+AX281/AT281*AX307)/(AX303+AX306+AX307)*AT286</f>
        <v>88.829025620059255</v>
      </c>
      <c r="AY285" s="1097">
        <f ca="1">(AY277/AX277*AY303+AY280/AX280*AY306+AY281/AX281*AY307)/(AY303+AY306+AY307)*AX286</f>
        <v>88.131308798782229</v>
      </c>
      <c r="AZ285" s="1097">
        <f ca="1">(AZ277/AX277*AZ303+AZ280/AX280*AZ306+AZ281/AX281*AZ307)/(AZ303+AZ306+AZ307)*AX286</f>
        <v>88.739899351051719</v>
      </c>
      <c r="BA285" s="1097">
        <f ca="1">(BA277/AX277*BA303+BA280/AX280*BA306+BA281/AX281*BA307)/(BA303+BA306+BA307)*AX286</f>
        <v>88.511477535139761</v>
      </c>
      <c r="BB285" s="1097">
        <f ca="1">(BB277/AX277*BB303+BB280/AX280*BB306+BB281/AX281*BB307)/(BB303+BB306+BB307)*AX286</f>
        <v>89.379001579765557</v>
      </c>
      <c r="BC285" s="1097">
        <f ca="1">(BC277/BB277*BC303+BC280/BB280*BC306+BC281/BB281*BC307)/(BC303+BC306+BC307)*BB286</f>
        <v>89.330480934415888</v>
      </c>
      <c r="BD285" s="1097">
        <f ca="1">(BD277/BB277*BD303+BD280/BB280*BD306+BD281/BB281*BD307)/(BD303+BD306+BD307)*BB286</f>
        <v>90.221223033902788</v>
      </c>
      <c r="BE285" s="1097">
        <f ca="1">(BE277/BB277*BE303+BE280/BB280*BE306+BE281/BB281*BE307)/(BE303+BE306+BE307)*BB286</f>
        <v>90.308145761532941</v>
      </c>
      <c r="BF285" s="1097">
        <f ca="1">(BF277/BB277*BF303+BF280/BB280*BF306+BF281/BB281*BF307)/(BF303+BF306+BF307)*BB286</f>
        <v>91.379372623090333</v>
      </c>
      <c r="BG285" s="1097">
        <f ca="1">(BG277/BF277*BG303+BG280/BF280*BG306+BG281/BF281*BG307)/(BG303+BG306+BG307)*BF286</f>
        <v>91.465004150873952</v>
      </c>
      <c r="BH285" s="1097">
        <f ca="1">(BH277/BF277*BH303+BH280/BF280*BH306+BH281/BF281*BH307)/(BH303+BH306+BH307)*BF286</f>
        <v>92.455972794727813</v>
      </c>
      <c r="BI285" s="1097">
        <f ca="1">(BI277/BF277*BI303+BI280/BF280*BI306+BI281/BF281*BI307)/(BI303+BI306+BI307)*BF286</f>
        <v>92.2908566735954</v>
      </c>
      <c r="BJ285" s="1097">
        <f ca="1">(BJ277/BF277*BJ303+BJ280/BF280*BJ306+BJ281/BF281*BJ307)/(BJ303+BJ306+BJ307)*BF286</f>
        <v>93.16770348488042</v>
      </c>
      <c r="BK285" s="1097">
        <f ca="1">(BK277/BJ277*BK303+BK280/BJ280*BK306+BK281/BJ281*BK307)/(BK303+BK306+BK307)*BJ286</f>
        <v>93.140157601872147</v>
      </c>
      <c r="BL285" s="1097">
        <f ca="1">(BL277/BJ277*BL303+BL280/BJ280*BL306+BL281/BJ281*BL307)/(BL303+BL306+BL307)*BJ286</f>
        <v>94.172173442325771</v>
      </c>
      <c r="BM285" s="1097">
        <f ca="1">(BM277/BJ277*BM303+BM280/BJ280*BM306+BM281/BJ281*BM307)/(BM303+BM306+BM307)*BJ286</f>
        <v>94.723614061290249</v>
      </c>
      <c r="BN285" s="1097">
        <f ca="1">(BN277/BJ277*BN303+BN280/BJ280*BN306+BN281/BJ281*BN307)/(BN303+BN306+BN307)*BJ286</f>
        <v>95.659725075172972</v>
      </c>
      <c r="BO285" s="1097">
        <f ca="1">(BO277/BN277*BO303+BO280/BN280*BO306+BO281/BN281*BO307)/(BO303+BO306+BO307)*BN286</f>
        <v>95.164275443443316</v>
      </c>
      <c r="BP285" s="1097">
        <f ca="1">(BP277/BN277*BP303+BP280/BN280*BP306+BP281/BN281*BP307)/(BP303+BP306+BP307)*BN286</f>
        <v>95.776381172496215</v>
      </c>
      <c r="BQ285" s="1097">
        <f ca="1">(BQ277/BN277*BQ303+BQ280/BN280*BQ306+BQ281/BN281*BQ307)/(BQ303+BQ306+BQ307)*BN286</f>
        <v>95.74561769118948</v>
      </c>
      <c r="BR285" s="1097">
        <f ca="1">(BR277/BN277*BR303+BR280/BN280*BR306+BR281/BN281*BR307)/(BR303+BR306+BR307)*BN286</f>
        <v>96.725259400045303</v>
      </c>
      <c r="BS285" s="1097">
        <f ca="1">(BS277/BR277*BS303+BS280/BR280*BS306+BS281/BR281*BS307)/(BS303+BS306+BS307)*BR286</f>
        <v>96.156544531117831</v>
      </c>
      <c r="BT285" s="1097">
        <f ca="1">(BT277/BR277*BT303+BT280/BR280*BT306+BT281/BR281*BT307)/(BT303+BT306+BT307)*BR286</f>
        <v>96.996208857192713</v>
      </c>
      <c r="BU285" s="1097">
        <f ca="1">(BU277/BR277*BU303+BU280/BR280*BU306+BU281/BR281*BU307)/(BU303+BU306+BU307)*BR286</f>
        <v>96.980871826088816</v>
      </c>
      <c r="BV285" s="1097">
        <f ca="1">(BV277/BR277*BV303+BV280/BR280*BV306+BV281/BR281*BV307)/(BV303+BV306+BV307)*BR286</f>
        <v>97.631862093750485</v>
      </c>
      <c r="BW285" s="1097">
        <f ca="1">(BW277/BV277*BW303+BW280/BV280*BW306+BW281/BV281*BW307)/(BW303+BW306+BW307)*BV286</f>
        <v>97.114377330897142</v>
      </c>
      <c r="BX285" s="1097">
        <f ca="1">(BX277/BV277*BX303+BX280/BV280*BX306+BX281/BV281*BX307)/(BX303+BX306+BX307)*BV286</f>
        <v>98.035392647579243</v>
      </c>
      <c r="BY285" s="1097">
        <f ca="1">(BY277/BV277*BY303+BY280/BV280*BY306+BY281/BV281*BY307)/(BY303+BY306+BY307)*BV286</f>
        <v>97.813148817929573</v>
      </c>
      <c r="BZ285" s="1097">
        <f ca="1">(BZ277/BV277*BZ303+BZ280/BV280*BZ306+BZ281/BV281*BZ307)/(BZ303+BZ306+BZ307)*BV286</f>
        <v>98.476281901838519</v>
      </c>
      <c r="CA285" s="1097">
        <f ca="1">(CA277/BZ277*CA303+CA280/BZ280*CA306+CA281/BZ281*CA307)/(CA303+CA306+CA307)*BZ286</f>
        <v>97.834920104032506</v>
      </c>
      <c r="CB285" s="1097">
        <f ca="1">(CB277/BZ277*CB303+CB280/BZ280*CB306+CB281/BZ281*CB307)/(CB303+CB306+CB307)*BZ286</f>
        <v>98.354222105651942</v>
      </c>
      <c r="CC285" s="1097">
        <f ca="1">(CC277/BZ277*CC303+CC280/BZ280*CC306+CC281/BZ281*CC307)/(CC303+CC306+CC307)*BZ286</f>
        <v>98.382552836775631</v>
      </c>
      <c r="CD285" s="1097">
        <f ca="1">(CD277/BZ277*CD303+CD280/BZ280*CD306+CD281/BZ281*CD307)/(CD303+CD306+CD307)*BZ286</f>
        <v>98.874186251233681</v>
      </c>
      <c r="CE285" s="1097">
        <f ca="1">(CE277/CD277*CE303+CE280/CD280*CE306+CE281/CD281*CE307)/(CE303+CE306+CE307)*CD286</f>
        <v>98.139507538465921</v>
      </c>
      <c r="CF285" s="1097">
        <f ca="1">(CF277/CD277*CF303+CF280/CD280*CF306+CF281/CD281*CF307)/(CF303+CF306+CF307)*CD286</f>
        <v>98.903758198062135</v>
      </c>
      <c r="CG285" s="1097">
        <f ca="1">(CG277/CD277*CG303+CG280/CD280*CG306+CG281/CD281*CG307)/(CG303+CG306+CG307)*CD286</f>
        <v>98.905255958231592</v>
      </c>
      <c r="CH285" s="1097">
        <f ca="1">(CH277/CD277*CH303+CH280/CD280*CH306+CH281/CD281*CH307)/(CH303+CH306+CH307)*CD286</f>
        <v>99.564117030845679</v>
      </c>
      <c r="CI285" s="1097">
        <f ca="1">(CI277/CH277*CI303+CI280/CH280*CI306+CI281/CH281*CI307)/(CI303+CI306+CI307)*CH286</f>
        <v>99.21980959801094</v>
      </c>
      <c r="CJ285" s="1097">
        <f ca="1">(CJ277/CH277*CJ303+CJ280/CH280*CJ306+CJ281/CH281*CJ307)/(CJ303+CJ306+CJ307)*CH286</f>
        <v>99.836345713012193</v>
      </c>
      <c r="CK285" s="1097">
        <f ca="1">(CK277/CH277*CK303+CK280/CH280*CK306+CK281/CH281*CK307)/(CK303+CK306+CK307)*CH286</f>
        <v>100.24125883646509</v>
      </c>
      <c r="CL285" s="1097">
        <f ca="1">(CL277/CH277*CL303+CL280/CH280*CL306+CL281/CH281*CL307)/(CL303+CL306+CL307)*CH286</f>
        <v>100.70407157324649</v>
      </c>
      <c r="CM285" s="1097">
        <f ca="1">(CM277/CL277*CM303+CM280/CL280*CM306+CM281/CL281*CM307)/(CM303+CM306+CM307)*CL286</f>
        <v>100.43695833586355</v>
      </c>
      <c r="CN285" s="1097">
        <f ca="1">(CN277/CL277*CN303+CN280/CL280*CN306+CN281/CL281*CN307)/(CN303+CN306+CN307)*CL286</f>
        <v>101.05914638328292</v>
      </c>
      <c r="CO285" s="1097">
        <f ca="1">(CO277/CL277*CO303+CO280/CL280*CO306+CO281/CL281*CO307)/(CO303+CO306+CO307)*CL286</f>
        <v>101.19373382377773</v>
      </c>
      <c r="CP285" s="1097">
        <f ca="1">(CP277/CL277*CP303+CP280/CL280*CP306+CP281/CL281*CP307)/(CP303+CP306+CP307)*CL286</f>
        <v>101.54896840505094</v>
      </c>
      <c r="CQ285" s="1097">
        <f t="shared" ref="CQ285:CW285" ca="1" si="1176">(CQ277/CM277*CQ303+CQ280/CM280*CQ306+CQ281/CM281*CQ307)/(CQ303+CQ306+CQ307)*CM286</f>
        <v>101.30994178498882</v>
      </c>
      <c r="CR285" s="1097">
        <f t="shared" ca="1" si="1176"/>
        <v>102.64818803085399</v>
      </c>
      <c r="CS285" s="1097">
        <f t="shared" ca="1" si="1176"/>
        <v>103.09957494840081</v>
      </c>
      <c r="CT285" s="1097">
        <f t="shared" ca="1" si="1176"/>
        <v>103.15834531012128</v>
      </c>
      <c r="CU285" s="1097">
        <f t="shared" ca="1" si="1176"/>
        <v>102.72811099899396</v>
      </c>
      <c r="CV285" s="1097">
        <f t="shared" ca="1" si="1176"/>
        <v>103.75482406184067</v>
      </c>
      <c r="CW285" s="1097">
        <f t="shared" ca="1" si="1176"/>
        <v>104.07971761261959</v>
      </c>
      <c r="CX285" s="909">
        <f ca="1">(CX277/CT277*CX303+CX280/CT280*CX306+CX281/CT281*CX307)/(CX303+CX306+CX307)*CT285</f>
        <v>104.55311099268367</v>
      </c>
      <c r="CY285" s="909">
        <f ca="1">(CY277/CX277*CY303+CY280/CX280*CY306+CY281/CX281*CY307)/(CY303+CY306+CY307)*CX285</f>
        <v>104.08822906137736</v>
      </c>
      <c r="CZ285" s="909">
        <f ca="1">(CZ277/CX277*CZ303+CZ280/CX280*CZ306+CZ281/CX281*CZ307)/(CZ303+CZ306+CZ307)*CX285</f>
        <v>105.21381707867133</v>
      </c>
      <c r="DA285" s="909">
        <f ca="1">(DA277/CX277*DA303+DA280/CX280*DA306+DA281/CX281*DA307)/(DA303+DA306+DA307)*CX285</f>
        <v>105.54117168982381</v>
      </c>
      <c r="DB285" s="909">
        <f ca="1">(DB277/CX277*DB303+DB280/CX280*DB306+DB281/CX281*DB307)/(DB303+DB306+DB307)*CX285</f>
        <v>106.17662684877416</v>
      </c>
      <c r="DC285" s="909">
        <f ca="1">(DC277/DB277*DC303+DC280/DB280*DC306+DC281/DB281*DC307)/(DC303+DC306+DC307)*DB285</f>
        <v>105.68884344215516</v>
      </c>
      <c r="DD285" s="909">
        <f ca="1">(DD277/DB277*DD303+DD280/DB280*DD306+DD281/DB281*DD307)/(DD303+DD306+DD307)*DB285</f>
        <v>106.93194996277204</v>
      </c>
      <c r="DE285" s="909">
        <f ca="1">(DE277/DB277*DE303+DE280/DB280*DE306+DE281/DB281*DE307)/(DE303+DE306+DE307)*DB285</f>
        <v>107.35299165177726</v>
      </c>
      <c r="DF285" s="909">
        <f ca="1">(DF277/DB277*DF303+DF280/DB280*DF306+DF281/DB281*DF307)/(DF303+DF306+DF307)*DB285</f>
        <v>107.96083048791397</v>
      </c>
    </row>
    <row r="286" spans="1:110" customFormat="1">
      <c r="A286" s="701" t="str">
        <f>"Q" &amp; ROW(InputQ!A23)</f>
        <v>Q23</v>
      </c>
      <c r="B286" s="701">
        <v>166</v>
      </c>
      <c r="C286" s="731"/>
      <c r="D286" s="1095"/>
      <c r="E286" s="1096" t="s">
        <v>1945</v>
      </c>
      <c r="F286" s="1095"/>
      <c r="G286" s="1097" t="str">
        <f>+InputQ!G23</f>
        <v>:</v>
      </c>
      <c r="H286" s="1097" t="str">
        <f>+InputQ!H23</f>
        <v>:</v>
      </c>
      <c r="I286" s="1097" t="str">
        <f>+InputQ!I23</f>
        <v>:</v>
      </c>
      <c r="J286" s="1097" t="str">
        <f>+InputQ!J23</f>
        <v>:</v>
      </c>
      <c r="K286" s="1097">
        <f>+InputQ!K23</f>
        <v>79.626666666666665</v>
      </c>
      <c r="L286" s="1097">
        <f>+InputQ!L23</f>
        <v>80.186666666666653</v>
      </c>
      <c r="M286" s="1097">
        <f>+InputQ!M23</f>
        <v>79.816666666666663</v>
      </c>
      <c r="N286" s="1097">
        <f>+InputQ!N23</f>
        <v>80.216666666666669</v>
      </c>
      <c r="O286" s="1097">
        <f>+InputQ!O23</f>
        <v>80.24666666666667</v>
      </c>
      <c r="P286" s="1097">
        <f>+InputQ!P23</f>
        <v>81.15333333333335</v>
      </c>
      <c r="Q286" s="1097">
        <f>+InputQ!Q23</f>
        <v>81.123333333333335</v>
      </c>
      <c r="R286" s="1097">
        <f>+InputQ!R23</f>
        <v>82.323333333333338</v>
      </c>
      <c r="S286" s="1097">
        <f>+InputQ!S23</f>
        <v>81.833333333333329</v>
      </c>
      <c r="T286" s="1097">
        <f>+InputQ!T23</f>
        <v>82.326666666666668</v>
      </c>
      <c r="U286" s="1097">
        <f>+InputQ!U23</f>
        <v>81.863333333333344</v>
      </c>
      <c r="V286" s="1097">
        <f>+InputQ!V23</f>
        <v>82.486666666666665</v>
      </c>
      <c r="W286" s="1097">
        <f>+InputQ!W23</f>
        <v>82.14</v>
      </c>
      <c r="X286" s="1097">
        <f>+InputQ!X23</f>
        <v>82.666666666666671</v>
      </c>
      <c r="Y286" s="1097">
        <f>+InputQ!Y23</f>
        <v>82.426666666666662</v>
      </c>
      <c r="Z286" s="1097">
        <f>+InputQ!Z23</f>
        <v>83.043333333333337</v>
      </c>
      <c r="AA286" s="1097">
        <f>+InputQ!AA23</f>
        <v>82.660000000000011</v>
      </c>
      <c r="AB286" s="1097">
        <f>+InputQ!AB23</f>
        <v>83.166666666666671</v>
      </c>
      <c r="AC286" s="1097">
        <f>+InputQ!AC23</f>
        <v>82.976666666666674</v>
      </c>
      <c r="AD286" s="1097">
        <f>+InputQ!AD23</f>
        <v>83.806666666666672</v>
      </c>
      <c r="AE286" s="1097">
        <f>+InputQ!AE23</f>
        <v>83.543333333333337</v>
      </c>
      <c r="AF286" s="1097">
        <f>+InputQ!AF23</f>
        <v>84.596666666666664</v>
      </c>
      <c r="AG286" s="1097">
        <f>+InputQ!AG23</f>
        <v>84.79</v>
      </c>
      <c r="AH286" s="1097">
        <f>+InputQ!AH23</f>
        <v>85.926666666666677</v>
      </c>
      <c r="AI286" s="1097">
        <f>+InputQ!AI23</f>
        <v>85.28</v>
      </c>
      <c r="AJ286" s="1097">
        <f>+InputQ!AJ23</f>
        <v>86.333333333333329</v>
      </c>
      <c r="AK286" s="1097">
        <f>+InputQ!AK23</f>
        <v>86.073333333333338</v>
      </c>
      <c r="AL286" s="1097">
        <f>+InputQ!AL23</f>
        <v>87.076666666666668</v>
      </c>
      <c r="AM286" s="1097">
        <f>+InputQ!AM23</f>
        <v>86.773333333333326</v>
      </c>
      <c r="AN286" s="1097">
        <f>+InputQ!AN23</f>
        <v>87.45</v>
      </c>
      <c r="AO286" s="1097">
        <f>+InputQ!AO23</f>
        <v>87.25333333333333</v>
      </c>
      <c r="AP286" s="1097">
        <f>+InputQ!AP23</f>
        <v>87.876666666666665</v>
      </c>
      <c r="AQ286" s="1097">
        <f>+InputQ!AQ23</f>
        <v>87.433333333333337</v>
      </c>
      <c r="AR286" s="1097">
        <f>+InputQ!AR23</f>
        <v>88.173333333333346</v>
      </c>
      <c r="AS286" s="1097">
        <f>+InputQ!AS23</f>
        <v>87.92</v>
      </c>
      <c r="AT286" s="1097">
        <f>+InputQ!AT23</f>
        <v>88.62</v>
      </c>
      <c r="AU286" s="1097">
        <f>+InputQ!AU23</f>
        <v>87.896666666666661</v>
      </c>
      <c r="AV286" s="1097">
        <f>+InputQ!AV23</f>
        <v>88.17</v>
      </c>
      <c r="AW286" s="1097">
        <f>+InputQ!AW23</f>
        <v>87.966666666666654</v>
      </c>
      <c r="AX286" s="1097">
        <f>+InputQ!AX23</f>
        <v>88.826666666666668</v>
      </c>
      <c r="AY286" s="1097">
        <f>+InputQ!AY23</f>
        <v>88.126666666666665</v>
      </c>
      <c r="AZ286" s="1097">
        <f>+InputQ!AZ23</f>
        <v>88.736666666666665</v>
      </c>
      <c r="BA286" s="1097">
        <f>+InputQ!BA23</f>
        <v>88.506666666666661</v>
      </c>
      <c r="BB286" s="1097">
        <f>+InputQ!BB23</f>
        <v>89.38</v>
      </c>
      <c r="BC286" s="1097">
        <f>+InputQ!BC23</f>
        <v>89.326666666666668</v>
      </c>
      <c r="BD286" s="1097">
        <f>+InputQ!BD23</f>
        <v>90.216666666666683</v>
      </c>
      <c r="BE286" s="1097">
        <f>+InputQ!BE23</f>
        <v>90.303333333333327</v>
      </c>
      <c r="BF286" s="1097">
        <f>+InputQ!BF23</f>
        <v>91.376666666666665</v>
      </c>
      <c r="BG286" s="1097">
        <f>+InputQ!BG23</f>
        <v>91.463333333333324</v>
      </c>
      <c r="BH286" s="1097">
        <f>+InputQ!BH23</f>
        <v>92.453333333333333</v>
      </c>
      <c r="BI286" s="1097">
        <f>+InputQ!BI23</f>
        <v>92.286666666666676</v>
      </c>
      <c r="BJ286" s="1097">
        <f>+InputQ!BJ23</f>
        <v>93.166666666666671</v>
      </c>
      <c r="BK286" s="1097">
        <f>+InputQ!BK23</f>
        <v>93.139999999999986</v>
      </c>
      <c r="BL286" s="1097">
        <f>+InputQ!BL23</f>
        <v>94.17</v>
      </c>
      <c r="BM286" s="1097">
        <f>+InputQ!BM23</f>
        <v>94.719999999999985</v>
      </c>
      <c r="BN286" s="1097">
        <f>+InputQ!BN23</f>
        <v>95.660000000000011</v>
      </c>
      <c r="BO286" s="1097">
        <f>+InputQ!BO23</f>
        <v>95.163333333333341</v>
      </c>
      <c r="BP286" s="1097">
        <f>+InputQ!BP23</f>
        <v>95.776666666666685</v>
      </c>
      <c r="BQ286" s="1097">
        <f>+InputQ!BQ23</f>
        <v>95.743333333333339</v>
      </c>
      <c r="BR286" s="1097">
        <f>+InputQ!BR23</f>
        <v>96.723333333333343</v>
      </c>
      <c r="BS286" s="1097">
        <f>+InputQ!BS23</f>
        <v>96.15666666666668</v>
      </c>
      <c r="BT286" s="1097">
        <f>+InputQ!BT23</f>
        <v>96.99666666666667</v>
      </c>
      <c r="BU286" s="1097">
        <f>+InputQ!BU23</f>
        <v>96.98</v>
      </c>
      <c r="BV286" s="1097">
        <f>+InputQ!BV23</f>
        <v>97.63</v>
      </c>
      <c r="BW286" s="1097">
        <f>+InputQ!BW23</f>
        <v>97.12</v>
      </c>
      <c r="BX286" s="1097">
        <f>+InputQ!BX23</f>
        <v>98.04</v>
      </c>
      <c r="BY286" s="1097">
        <f>+InputQ!BY23</f>
        <v>97.820000000000007</v>
      </c>
      <c r="BZ286" s="1097">
        <f>+InputQ!BZ23</f>
        <v>98.48</v>
      </c>
      <c r="CA286" s="1097">
        <f>+InputQ!CA23</f>
        <v>97.833333333333329</v>
      </c>
      <c r="CB286" s="1097">
        <f>+InputQ!CB23</f>
        <v>98.356666666666669</v>
      </c>
      <c r="CC286" s="1097">
        <f>+InputQ!CC23</f>
        <v>98.38</v>
      </c>
      <c r="CD286" s="1097">
        <f>+InputQ!CD23</f>
        <v>98.873333333333335</v>
      </c>
      <c r="CE286" s="1097">
        <f>+InputQ!CE23</f>
        <v>98.14</v>
      </c>
      <c r="CF286" s="1097">
        <f>+InputQ!CF23</f>
        <v>98.90333333333335</v>
      </c>
      <c r="CG286" s="1097">
        <f>+InputQ!CG23</f>
        <v>98.90666666666668</v>
      </c>
      <c r="CH286" s="1097">
        <f>+InputQ!CH23</f>
        <v>99.563333333333333</v>
      </c>
      <c r="CI286" s="1097">
        <f>+InputQ!CI23</f>
        <v>99.219999999999985</v>
      </c>
      <c r="CJ286" s="1097">
        <f>+InputQ!CJ23</f>
        <v>99.833333333333329</v>
      </c>
      <c r="CK286" s="1097">
        <f>+InputQ!CK23</f>
        <v>100.23666666666666</v>
      </c>
      <c r="CL286" s="1097">
        <f>+InputQ!CL23</f>
        <v>100.70333333333333</v>
      </c>
      <c r="CM286" s="1097">
        <f>+InputQ!CM23</f>
        <v>100.44000000000001</v>
      </c>
      <c r="CN286" s="1097">
        <f>+InputQ!CN23</f>
        <v>101.05666666666666</v>
      </c>
      <c r="CO286" s="1097">
        <f>+InputQ!CO23</f>
        <v>101.19333333333333</v>
      </c>
      <c r="CP286" s="1097">
        <f>+InputQ!CP23</f>
        <v>101.55333333333334</v>
      </c>
      <c r="CQ286" s="1097">
        <f>+InputQ!CQ23</f>
        <v>101.3</v>
      </c>
      <c r="CR286" s="1097">
        <f>+InputQ!CR23</f>
        <v>102.64999999999999</v>
      </c>
      <c r="CS286" s="1097">
        <f>+InputQ!CS23</f>
        <v>103.10333333333334</v>
      </c>
      <c r="CT286" s="1097">
        <f>+InputQ!CT23</f>
        <v>103.15666666666668</v>
      </c>
      <c r="CU286" s="1097">
        <f>+InputQ!CU23</f>
        <v>102.73</v>
      </c>
      <c r="CV286" s="1097">
        <f>+InputQ!CV23</f>
        <v>103.75666666666666</v>
      </c>
      <c r="CW286" s="1097">
        <f>+InputQ!CW23</f>
        <v>104.07666666666667</v>
      </c>
      <c r="CX286" s="909">
        <f t="shared" ref="CX286" ca="1" si="1177">+CT286*(1+CX319/100)</f>
        <v>104.55140965291423</v>
      </c>
      <c r="CY286" s="909">
        <f t="shared" ref="CY286" ca="1" si="1178">+CU286*(1+CY319/100)</f>
        <v>104.09014307271761</v>
      </c>
      <c r="CZ286" s="909">
        <f t="shared" ref="CZ286" ca="1" si="1179">+CV286*(1+CZ319/100)</f>
        <v>105.2156855940764</v>
      </c>
      <c r="DA286" s="909">
        <f t="shared" ref="DA286" ca="1" si="1180">+CW286*(1+DA319/100)</f>
        <v>105.53807790346448</v>
      </c>
      <c r="DB286" s="909">
        <f t="shared" ref="DB286" ca="1" si="1181">+CX286*(1+DB319/100)</f>
        <v>106.17489909035429</v>
      </c>
      <c r="DC286" s="909">
        <f t="shared" ref="DC286" ca="1" si="1182">+CY286*(1+DC319/100)</f>
        <v>105.69078688616136</v>
      </c>
      <c r="DD286" s="909">
        <f t="shared" ref="DD286" ca="1" si="1183">+CZ286*(1+DD319/100)</f>
        <v>106.93384899087832</v>
      </c>
      <c r="DE286" s="909">
        <f t="shared" ref="DE286" ca="1" si="1184">+DA286*(1+DE319/100)</f>
        <v>107.34984475454381</v>
      </c>
      <c r="DF286" s="909">
        <f t="shared" ref="DF286" ca="1" si="1185">+DB286*(1+DF319/100)</f>
        <v>107.95907369605281</v>
      </c>
    </row>
    <row r="287" spans="1:110" s="1041" customFormat="1" ht="10.15">
      <c r="A287" s="710"/>
      <c r="B287" s="710"/>
      <c r="C287" s="1045"/>
      <c r="D287" s="1046"/>
      <c r="E287" s="1047" t="s">
        <v>487</v>
      </c>
      <c r="F287" s="1046"/>
      <c r="G287" s="1048"/>
      <c r="H287" s="1048"/>
      <c r="I287" s="1048"/>
      <c r="J287" s="1048"/>
      <c r="K287" s="2978"/>
      <c r="L287" s="2978"/>
      <c r="M287" s="2978"/>
      <c r="N287" s="2978">
        <f t="shared" ref="N287:BB287" si="1186">(N286-N285)</f>
        <v>0</v>
      </c>
      <c r="O287" s="2978">
        <f t="shared" ca="1" si="1186"/>
        <v>-1.6869729912514231E-3</v>
      </c>
      <c r="P287" s="2978">
        <f t="shared" ca="1" si="1186"/>
        <v>-3.5833780629985768E-3</v>
      </c>
      <c r="Q287" s="2978">
        <f t="shared" ca="1" si="1186"/>
        <v>-1.0630570158411956E-3</v>
      </c>
      <c r="R287" s="2978">
        <f t="shared" ca="1" si="1186"/>
        <v>-1.6382361888815922E-3</v>
      </c>
      <c r="S287" s="2978">
        <f t="shared" ca="1" si="1186"/>
        <v>4.6807596971234489E-3</v>
      </c>
      <c r="T287" s="2978">
        <f t="shared" ca="1" si="1186"/>
        <v>1.6440134989750277E-3</v>
      </c>
      <c r="U287" s="2978">
        <f t="shared" ca="1" si="1186"/>
        <v>2.9345788139210072E-3</v>
      </c>
      <c r="V287" s="2978">
        <f t="shared" ca="1" si="1186"/>
        <v>2.9269021813291829E-3</v>
      </c>
      <c r="W287" s="2978">
        <f t="shared" ca="1" si="1186"/>
        <v>5.2542018860890494E-4</v>
      </c>
      <c r="X287" s="2978">
        <f t="shared" ca="1" si="1186"/>
        <v>2.5130812410623093E-3</v>
      </c>
      <c r="Y287" s="2978">
        <f t="shared" ca="1" si="1186"/>
        <v>1.450519325857158E-3</v>
      </c>
      <c r="Z287" s="2978">
        <f t="shared" ca="1" si="1186"/>
        <v>-7.0881054847404812E-4</v>
      </c>
      <c r="AA287" s="2978">
        <f t="shared" ca="1" si="1186"/>
        <v>-2.9557897022272073E-3</v>
      </c>
      <c r="AB287" s="2978">
        <f t="shared" ca="1" si="1186"/>
        <v>-5.2820728178630816E-3</v>
      </c>
      <c r="AC287" s="2978">
        <f t="shared" ca="1" si="1186"/>
        <v>-1.9641457114119021E-3</v>
      </c>
      <c r="AD287" s="2978">
        <f t="shared" ca="1" si="1186"/>
        <v>-7.5889126311636801E-3</v>
      </c>
      <c r="AE287" s="2978">
        <f t="shared" ca="1" si="1186"/>
        <v>6.4233327358635961E-3</v>
      </c>
      <c r="AF287" s="2978">
        <f t="shared" ca="1" si="1186"/>
        <v>9.9365577314358688E-4</v>
      </c>
      <c r="AG287" s="2978">
        <f t="shared" ca="1" si="1186"/>
        <v>5.8312208563506829E-3</v>
      </c>
      <c r="AH287" s="2978">
        <f t="shared" ca="1" si="1186"/>
        <v>-8.1309645531746355E-4</v>
      </c>
      <c r="AI287" s="2978">
        <f t="shared" ca="1" si="1186"/>
        <v>1.2718529933579248E-2</v>
      </c>
      <c r="AJ287" s="2978">
        <f t="shared" ca="1" si="1186"/>
        <v>8.2651244996014839E-3</v>
      </c>
      <c r="AK287" s="2978">
        <f t="shared" ca="1" si="1186"/>
        <v>1.5855264057663021E-2</v>
      </c>
      <c r="AL287" s="2978">
        <f t="shared" ca="1" si="1186"/>
        <v>1.2246789997746532E-2</v>
      </c>
      <c r="AM287" s="2978">
        <f t="shared" ca="1" si="1186"/>
        <v>-4.2024891897085581E-5</v>
      </c>
      <c r="AN287" s="2978">
        <f t="shared" ca="1" si="1186"/>
        <v>-2.5585921019342095E-3</v>
      </c>
      <c r="AO287" s="2978">
        <f t="shared" ca="1" si="1186"/>
        <v>-4.439048926826672E-3</v>
      </c>
      <c r="AP287" s="2978">
        <f t="shared" ca="1" si="1186"/>
        <v>-2.3125851797374253E-3</v>
      </c>
      <c r="AQ287" s="2978">
        <f t="shared" ca="1" si="1186"/>
        <v>-3.4127601670235208E-3</v>
      </c>
      <c r="AR287" s="2978">
        <f t="shared" ca="1" si="1186"/>
        <v>2.2873105124858739E-3</v>
      </c>
      <c r="AS287" s="2978">
        <f t="shared" ca="1" si="1186"/>
        <v>-6.9197718194402569E-4</v>
      </c>
      <c r="AT287" s="2978">
        <f t="shared" ca="1" si="1186"/>
        <v>1.7941046565823626E-3</v>
      </c>
      <c r="AU287" s="2978">
        <f t="shared" ca="1" si="1186"/>
        <v>-1.7445122551862369E-5</v>
      </c>
      <c r="AV287" s="2978">
        <f t="shared" ca="1" si="1186"/>
        <v>-6.1241465530912365E-3</v>
      </c>
      <c r="AW287" s="2978">
        <f t="shared" ca="1" si="1186"/>
        <v>-5.9326883370545147E-3</v>
      </c>
      <c r="AX287" s="2978">
        <f t="shared" ca="1" si="1186"/>
        <v>-2.358953392587182E-3</v>
      </c>
      <c r="AY287" s="2978">
        <f t="shared" ca="1" si="1186"/>
        <v>-4.6421321155634132E-3</v>
      </c>
      <c r="AZ287" s="2978">
        <f t="shared" ca="1" si="1186"/>
        <v>-3.2326843850540854E-3</v>
      </c>
      <c r="BA287" s="2978">
        <f t="shared" ca="1" si="1186"/>
        <v>-4.8108684731005269E-3</v>
      </c>
      <c r="BB287" s="2978">
        <f t="shared" ca="1" si="1186"/>
        <v>9.9842023443841299E-4</v>
      </c>
      <c r="BC287" s="2978">
        <f t="shared" ref="BC287:BJ287" ca="1" si="1187">(BC286-BC285)</f>
        <v>-3.8142677492203347E-3</v>
      </c>
      <c r="BD287" s="2978">
        <f t="shared" ca="1" si="1187"/>
        <v>-4.5563672361055296E-3</v>
      </c>
      <c r="BE287" s="2978">
        <f t="shared" ca="1" si="1187"/>
        <v>-4.8124281996138052E-3</v>
      </c>
      <c r="BF287" s="2978">
        <f t="shared" ca="1" si="1187"/>
        <v>-2.7059564236679989E-3</v>
      </c>
      <c r="BG287" s="2978">
        <f t="shared" ca="1" si="1187"/>
        <v>-1.6708175406279224E-3</v>
      </c>
      <c r="BH287" s="2978">
        <f t="shared" ca="1" si="1187"/>
        <v>-2.6394613944802359E-3</v>
      </c>
      <c r="BI287" s="2978">
        <f t="shared" ca="1" si="1187"/>
        <v>-4.1900069287237329E-3</v>
      </c>
      <c r="BJ287" s="2978">
        <f t="shared" ca="1" si="1187"/>
        <v>-1.0368182137483473E-3</v>
      </c>
      <c r="BK287" s="2978">
        <f ca="1">(BK286-BK285)</f>
        <v>-1.5760187216073973E-4</v>
      </c>
      <c r="BL287" s="2978">
        <f ca="1">(BL286-BL285)</f>
        <v>-2.1734423257697699E-3</v>
      </c>
      <c r="BM287" s="2978">
        <f ca="1">(BM286-BM285)</f>
        <v>-3.6140612902642033E-3</v>
      </c>
      <c r="BN287" s="2978">
        <f ca="1">(BN286-BN285)</f>
        <v>2.7492482703905807E-4</v>
      </c>
      <c r="BO287" s="2978">
        <f t="shared" ref="BO287:BV287" ca="1" si="1188">(BO286-BO285)</f>
        <v>-9.4211010997469202E-4</v>
      </c>
      <c r="BP287" s="2978">
        <f t="shared" ca="1" si="1188"/>
        <v>2.8549417046974668E-4</v>
      </c>
      <c r="BQ287" s="2978">
        <f t="shared" ca="1" si="1188"/>
        <v>-2.284357856140673E-3</v>
      </c>
      <c r="BR287" s="2978">
        <f t="shared" ca="1" si="1188"/>
        <v>-1.9260667119596064E-3</v>
      </c>
      <c r="BS287" s="2978">
        <f t="shared" ca="1" si="1188"/>
        <v>1.2213554884965561E-4</v>
      </c>
      <c r="BT287" s="2978">
        <f t="shared" ca="1" si="1188"/>
        <v>4.5780947395712701E-4</v>
      </c>
      <c r="BU287" s="2978">
        <f t="shared" ca="1" si="1188"/>
        <v>-8.7182608881164469E-4</v>
      </c>
      <c r="BV287" s="2978">
        <f t="shared" ca="1" si="1188"/>
        <v>-1.8620937504891799E-3</v>
      </c>
      <c r="BW287" s="2978">
        <f t="shared" ref="BW287:CB287" ca="1" si="1189">(BW286-BW285)</f>
        <v>5.6226691028626874E-3</v>
      </c>
      <c r="BX287" s="2978">
        <f t="shared" ca="1" si="1189"/>
        <v>4.6073524207628225E-3</v>
      </c>
      <c r="BY287" s="2978">
        <f t="shared" ca="1" si="1189"/>
        <v>6.8511820704344473E-3</v>
      </c>
      <c r="BZ287" s="2978">
        <f t="shared" ca="1" si="1189"/>
        <v>3.7180981614852726E-3</v>
      </c>
      <c r="CA287" s="2978">
        <f t="shared" ca="1" si="1189"/>
        <v>-1.5867706991770092E-3</v>
      </c>
      <c r="CB287" s="2978">
        <f t="shared" ca="1" si="1189"/>
        <v>2.4445610147267871E-3</v>
      </c>
      <c r="CC287" s="2978">
        <f t="shared" ref="CC287:CJ287" ca="1" si="1190">(CC286-CC285)</f>
        <v>-2.5528367756351145E-3</v>
      </c>
      <c r="CD287" s="2978">
        <f t="shared" ca="1" si="1190"/>
        <v>-8.5291790034602855E-4</v>
      </c>
      <c r="CE287" s="2978">
        <f t="shared" ca="1" si="1190"/>
        <v>4.9246153407977999E-4</v>
      </c>
      <c r="CF287" s="2978">
        <f t="shared" ca="1" si="1190"/>
        <v>-4.2486472878522363E-4</v>
      </c>
      <c r="CG287" s="2978">
        <f t="shared" ca="1" si="1190"/>
        <v>1.4107084350882815E-3</v>
      </c>
      <c r="CH287" s="2978">
        <f t="shared" ca="1" si="1190"/>
        <v>-7.8369751234674823E-4</v>
      </c>
      <c r="CI287" s="2978">
        <f t="shared" ca="1" si="1190"/>
        <v>1.9040198904463068E-4</v>
      </c>
      <c r="CJ287" s="2978">
        <f t="shared" ca="1" si="1190"/>
        <v>-3.0123796788643631E-3</v>
      </c>
      <c r="CK287" s="2978">
        <f t="shared" ref="CK287:CM287" ca="1" si="1191">(CK286-CK285)</f>
        <v>-4.5921697984283583E-3</v>
      </c>
      <c r="CL287" s="2978">
        <f t="shared" ca="1" si="1191"/>
        <v>-7.3823991316146476E-4</v>
      </c>
      <c r="CM287" s="2978">
        <f t="shared" ca="1" si="1191"/>
        <v>3.0416641364610086E-3</v>
      </c>
      <c r="CN287" s="2978">
        <f t="shared" ref="CN287:CO287" ca="1" si="1192">(CN286-CN285)</f>
        <v>-2.479716616264227E-3</v>
      </c>
      <c r="CO287" s="2978">
        <f t="shared" ca="1" si="1192"/>
        <v>-4.0049044440593207E-4</v>
      </c>
      <c r="CP287" s="2978">
        <f t="shared" ref="CP287:CQ287" ca="1" si="1193">(CP286-CP285)</f>
        <v>4.3649282823992053E-3</v>
      </c>
      <c r="CQ287" s="2978">
        <f t="shared" ca="1" si="1193"/>
        <v>-9.941784988825475E-3</v>
      </c>
      <c r="CR287" s="2978">
        <f t="shared" ref="CR287:CS287" ca="1" si="1194">(CR286-CR285)</f>
        <v>1.8119691460043441E-3</v>
      </c>
      <c r="CS287" s="2978">
        <f t="shared" ca="1" si="1194"/>
        <v>3.7583849325244501E-3</v>
      </c>
      <c r="CT287" s="2978">
        <f t="shared" ref="CT287:CV287" ca="1" si="1195">(CT286-CT285)</f>
        <v>-1.6786434545963402E-3</v>
      </c>
      <c r="CU287" s="2978">
        <f t="shared" ca="1" si="1195"/>
        <v>1.8890010060488294E-3</v>
      </c>
      <c r="CV287" s="2978">
        <f t="shared" ca="1" si="1195"/>
        <v>1.8426048259954086E-3</v>
      </c>
      <c r="CW287" s="2978">
        <f t="shared" ref="CW287" ca="1" si="1196">(CW286-CW285)</f>
        <v>-3.0509459529213245E-3</v>
      </c>
      <c r="CX287" s="2978">
        <f t="shared" ref="CX287" ca="1" si="1197">(CX286-CX285)</f>
        <v>-1.7013397694398691E-3</v>
      </c>
      <c r="CY287" s="2978">
        <f t="shared" ref="CY287:DB287" ca="1" si="1198">(CY286-CY285)</f>
        <v>1.914011340247157E-3</v>
      </c>
      <c r="CZ287" s="2978">
        <f t="shared" ca="1" si="1198"/>
        <v>1.8685154050785968E-3</v>
      </c>
      <c r="DA287" s="2978">
        <f t="shared" ca="1" si="1198"/>
        <v>-3.0937863593294423E-3</v>
      </c>
      <c r="DB287" s="2978">
        <f t="shared" ca="1" si="1198"/>
        <v>-1.7277584198751583E-3</v>
      </c>
      <c r="DC287" s="2978">
        <f t="shared" ref="DC287:DF287" ca="1" si="1199">(DC286-DC285)</f>
        <v>1.9434440062013891E-3</v>
      </c>
      <c r="DD287" s="2978">
        <f t="shared" ca="1" si="1199"/>
        <v>1.8990281062798431E-3</v>
      </c>
      <c r="DE287" s="2978">
        <f t="shared" ca="1" si="1199"/>
        <v>-3.1468972334494083E-3</v>
      </c>
      <c r="DF287" s="2978">
        <f t="shared" ca="1" si="1199"/>
        <v>-1.7567918611547384E-3</v>
      </c>
    </row>
    <row r="288" spans="1:110">
      <c r="AY288" s="217"/>
      <c r="BA288" s="217"/>
      <c r="BB288" s="217"/>
      <c r="BC288" s="217"/>
      <c r="BD288" s="217"/>
      <c r="BE288" s="217"/>
      <c r="BF288" s="217"/>
      <c r="BG288" s="217"/>
      <c r="BH288" s="217"/>
      <c r="BI288" s="217"/>
      <c r="BJ288" s="217"/>
      <c r="BK288" s="217"/>
      <c r="BL288" s="217"/>
      <c r="BM288" s="217"/>
      <c r="BN288" s="217"/>
      <c r="BO288" s="217"/>
      <c r="BP288" s="217"/>
      <c r="BQ288" s="217"/>
      <c r="BR288" s="217"/>
      <c r="BS288" s="217"/>
      <c r="BT288" s="217"/>
      <c r="BU288" s="217"/>
      <c r="BV288" s="217"/>
      <c r="BW288" s="217"/>
      <c r="BX288" s="217"/>
      <c r="BY288" s="217"/>
      <c r="BZ288" s="217"/>
      <c r="CA288" s="217"/>
      <c r="CB288" s="217"/>
      <c r="CC288" s="217"/>
      <c r="CD288" s="217"/>
      <c r="CE288" s="3363"/>
      <c r="CF288" s="217"/>
      <c r="CH288" s="217"/>
      <c r="CI288" s="3363"/>
      <c r="CJ288" s="217"/>
    </row>
    <row r="289" spans="1:110" s="736" customFormat="1" ht="12.75" customHeight="1">
      <c r="A289" s="701"/>
      <c r="B289" s="701"/>
      <c r="C289" s="703"/>
      <c r="D289" s="732"/>
      <c r="E289" s="733" t="s">
        <v>571</v>
      </c>
      <c r="F289" s="734"/>
      <c r="G289" s="1618" t="s">
        <v>131</v>
      </c>
      <c r="H289" s="1619" t="s">
        <v>132</v>
      </c>
      <c r="I289" s="1619" t="s">
        <v>133</v>
      </c>
      <c r="J289" s="1619" t="s">
        <v>134</v>
      </c>
      <c r="K289" s="1619" t="s">
        <v>131</v>
      </c>
      <c r="L289" s="1619" t="s">
        <v>132</v>
      </c>
      <c r="M289" s="1619" t="s">
        <v>133</v>
      </c>
      <c r="N289" s="1619" t="s">
        <v>134</v>
      </c>
      <c r="O289" s="1619" t="s">
        <v>131</v>
      </c>
      <c r="P289" s="1619" t="s">
        <v>132</v>
      </c>
      <c r="Q289" s="1619" t="s">
        <v>133</v>
      </c>
      <c r="R289" s="1619" t="s">
        <v>134</v>
      </c>
      <c r="S289" s="1619" t="s">
        <v>131</v>
      </c>
      <c r="T289" s="1619" t="s">
        <v>132</v>
      </c>
      <c r="U289" s="1619" t="s">
        <v>133</v>
      </c>
      <c r="V289" s="1619" t="s">
        <v>134</v>
      </c>
      <c r="W289" s="1619" t="s">
        <v>131</v>
      </c>
      <c r="X289" s="1619" t="s">
        <v>132</v>
      </c>
      <c r="Y289" s="1619" t="s">
        <v>133</v>
      </c>
      <c r="Z289" s="1619" t="s">
        <v>134</v>
      </c>
      <c r="AA289" s="1619" t="s">
        <v>131</v>
      </c>
      <c r="AB289" s="1619" t="s">
        <v>132</v>
      </c>
      <c r="AC289" s="1619" t="s">
        <v>133</v>
      </c>
      <c r="AD289" s="1619" t="s">
        <v>134</v>
      </c>
      <c r="AE289" s="1619" t="s">
        <v>131</v>
      </c>
      <c r="AF289" s="1619" t="s">
        <v>132</v>
      </c>
      <c r="AG289" s="1619" t="s">
        <v>133</v>
      </c>
      <c r="AH289" s="1619" t="s">
        <v>134</v>
      </c>
      <c r="AI289" s="1619" t="s">
        <v>131</v>
      </c>
      <c r="AJ289" s="1619" t="s">
        <v>132</v>
      </c>
      <c r="AK289" s="1619" t="s">
        <v>133</v>
      </c>
      <c r="AL289" s="1619" t="s">
        <v>134</v>
      </c>
      <c r="AM289" s="1619" t="s">
        <v>131</v>
      </c>
      <c r="AN289" s="1619" t="s">
        <v>132</v>
      </c>
      <c r="AO289" s="1619" t="s">
        <v>133</v>
      </c>
      <c r="AP289" s="1619" t="s">
        <v>134</v>
      </c>
      <c r="AQ289" s="1619" t="s">
        <v>131</v>
      </c>
      <c r="AR289" s="1619" t="s">
        <v>132</v>
      </c>
      <c r="AS289" s="1619" t="s">
        <v>133</v>
      </c>
      <c r="AT289" s="1619" t="s">
        <v>134</v>
      </c>
      <c r="AU289" s="1619" t="s">
        <v>131</v>
      </c>
      <c r="AV289" s="1619" t="s">
        <v>132</v>
      </c>
      <c r="AW289" s="1619" t="s">
        <v>133</v>
      </c>
      <c r="AX289" s="1619" t="s">
        <v>134</v>
      </c>
      <c r="AY289" s="1619" t="s">
        <v>131</v>
      </c>
      <c r="AZ289" s="1619" t="s">
        <v>132</v>
      </c>
      <c r="BA289" s="1619" t="s">
        <v>133</v>
      </c>
      <c r="BB289" s="1619" t="s">
        <v>134</v>
      </c>
      <c r="BC289" s="1619" t="s">
        <v>131</v>
      </c>
      <c r="BD289" s="1619" t="s">
        <v>132</v>
      </c>
      <c r="BE289" s="1619" t="s">
        <v>133</v>
      </c>
      <c r="BF289" s="1619" t="s">
        <v>134</v>
      </c>
      <c r="BG289" s="1619" t="s">
        <v>131</v>
      </c>
      <c r="BH289" s="1619" t="s">
        <v>132</v>
      </c>
      <c r="BI289" s="1619" t="s">
        <v>133</v>
      </c>
      <c r="BJ289" s="1619" t="s">
        <v>134</v>
      </c>
      <c r="BK289" s="1619" t="s">
        <v>131</v>
      </c>
      <c r="BL289" s="1619" t="s">
        <v>132</v>
      </c>
      <c r="BM289" s="1619" t="s">
        <v>133</v>
      </c>
      <c r="BN289" s="1619" t="s">
        <v>134</v>
      </c>
      <c r="BO289" s="1619" t="s">
        <v>131</v>
      </c>
      <c r="BP289" s="1619" t="s">
        <v>132</v>
      </c>
      <c r="BQ289" s="1619" t="s">
        <v>133</v>
      </c>
      <c r="BR289" s="1619" t="s">
        <v>134</v>
      </c>
      <c r="BS289" s="1619" t="s">
        <v>131</v>
      </c>
      <c r="BT289" s="1619" t="s">
        <v>132</v>
      </c>
      <c r="BU289" s="1619" t="s">
        <v>133</v>
      </c>
      <c r="BV289" s="1619" t="s">
        <v>134</v>
      </c>
      <c r="BW289" s="1619" t="s">
        <v>131</v>
      </c>
      <c r="BX289" s="1619" t="s">
        <v>132</v>
      </c>
      <c r="BY289" s="1619" t="s">
        <v>133</v>
      </c>
      <c r="BZ289" s="1619" t="s">
        <v>134</v>
      </c>
      <c r="CA289" s="1619" t="s">
        <v>131</v>
      </c>
      <c r="CB289" s="1619" t="s">
        <v>132</v>
      </c>
      <c r="CC289" s="1619" t="s">
        <v>133</v>
      </c>
      <c r="CD289" s="1619" t="s">
        <v>134</v>
      </c>
      <c r="CE289" s="1619" t="s">
        <v>131</v>
      </c>
      <c r="CF289" s="1619" t="s">
        <v>132</v>
      </c>
      <c r="CG289" s="1619" t="s">
        <v>133</v>
      </c>
      <c r="CH289" s="1619" t="s">
        <v>134</v>
      </c>
      <c r="CI289" s="1619" t="s">
        <v>131</v>
      </c>
      <c r="CJ289" s="1619" t="s">
        <v>132</v>
      </c>
      <c r="CK289" s="1619" t="s">
        <v>133</v>
      </c>
      <c r="CL289" s="1619" t="s">
        <v>134</v>
      </c>
      <c r="CM289" s="1619" t="s">
        <v>131</v>
      </c>
      <c r="CN289" s="1619" t="s">
        <v>132</v>
      </c>
      <c r="CO289" s="1619" t="s">
        <v>133</v>
      </c>
      <c r="CP289" s="1619" t="s">
        <v>134</v>
      </c>
      <c r="CQ289" s="1619" t="s">
        <v>131</v>
      </c>
      <c r="CR289" s="1619" t="s">
        <v>132</v>
      </c>
      <c r="CS289" s="1619" t="s">
        <v>133</v>
      </c>
      <c r="CT289" s="1619" t="s">
        <v>134</v>
      </c>
      <c r="CU289" s="1619" t="s">
        <v>131</v>
      </c>
      <c r="CV289" s="1619" t="s">
        <v>132</v>
      </c>
      <c r="CW289" s="1619" t="s">
        <v>133</v>
      </c>
      <c r="CX289" s="1619" t="s">
        <v>134</v>
      </c>
      <c r="CY289" s="1619" t="s">
        <v>131</v>
      </c>
      <c r="CZ289" s="1619" t="s">
        <v>132</v>
      </c>
      <c r="DA289" s="1619" t="s">
        <v>133</v>
      </c>
      <c r="DB289" s="1619" t="s">
        <v>134</v>
      </c>
      <c r="DC289" s="1619" t="s">
        <v>131</v>
      </c>
      <c r="DD289" s="1619" t="s">
        <v>132</v>
      </c>
      <c r="DE289" s="1619" t="s">
        <v>133</v>
      </c>
      <c r="DF289" s="1619" t="s">
        <v>134</v>
      </c>
    </row>
    <row r="290" spans="1:110" s="736" customFormat="1" ht="12.75" customHeight="1">
      <c r="A290" s="701"/>
      <c r="B290" s="701" t="s">
        <v>1197</v>
      </c>
      <c r="C290" s="1611"/>
      <c r="D290" s="705"/>
      <c r="E290" s="737" t="s">
        <v>1680</v>
      </c>
      <c r="F290" s="738"/>
      <c r="G290" s="817"/>
      <c r="H290" s="817"/>
      <c r="I290" s="817"/>
      <c r="J290" s="817"/>
      <c r="K290" s="817"/>
      <c r="L290" s="817"/>
      <c r="M290" s="817"/>
      <c r="N290" s="817">
        <f t="shared" ref="N290:N296" si="1200">AVERAGE(K277:N277)</f>
        <v>103.02083333333333</v>
      </c>
      <c r="O290" s="817"/>
      <c r="P290" s="817"/>
      <c r="Q290" s="817"/>
      <c r="R290" s="817">
        <f t="shared" ref="R290:R296" si="1201">AVERAGE(O277:R277)</f>
        <v>101.74333333333334</v>
      </c>
      <c r="S290" s="817"/>
      <c r="T290" s="817"/>
      <c r="U290" s="817"/>
      <c r="V290" s="817">
        <f t="shared" ref="V290:V296" si="1202">AVERAGE(S277:V277)</f>
        <v>100.90250000000002</v>
      </c>
      <c r="W290" s="817"/>
      <c r="X290" s="817"/>
      <c r="Y290" s="817"/>
      <c r="Z290" s="817">
        <f t="shared" ref="Z290:Z296" si="1203">AVERAGE(W277:Z277)</f>
        <v>100.66500000000001</v>
      </c>
      <c r="AA290" s="817"/>
      <c r="AB290" s="817"/>
      <c r="AC290" s="817"/>
      <c r="AD290" s="817">
        <f t="shared" ref="AD290:AD296" si="1204">AVERAGE(AA277:AD277)</f>
        <v>100.75500000000001</v>
      </c>
      <c r="AE290" s="817"/>
      <c r="AF290" s="817"/>
      <c r="AG290" s="817"/>
      <c r="AH290" s="817">
        <f t="shared" ref="AH290:AH296" si="1205">AVERAGE(AE277:AH277)</f>
        <v>101.55833333333334</v>
      </c>
      <c r="AI290" s="817"/>
      <c r="AJ290" s="817"/>
      <c r="AK290" s="817"/>
      <c r="AL290" s="817">
        <f t="shared" ref="AL290:AL296" si="1206">AVERAGE(AI277:AL277)</f>
        <v>102.3725</v>
      </c>
      <c r="AM290" s="817"/>
      <c r="AN290" s="817"/>
      <c r="AO290" s="817"/>
      <c r="AP290" s="817">
        <f t="shared" ref="AP290:AP296" si="1207">AVERAGE(AM277:AP277)</f>
        <v>102.27916666666667</v>
      </c>
      <c r="AQ290" s="817"/>
      <c r="AR290" s="817"/>
      <c r="AS290" s="817"/>
      <c r="AT290" s="817">
        <f>AVERAGE(AQ277:AT277)</f>
        <v>101.07666666666667</v>
      </c>
      <c r="AU290" s="817"/>
      <c r="AV290" s="817"/>
      <c r="AW290" s="817"/>
      <c r="AX290" s="817">
        <f t="shared" ref="AX290:AX296" si="1208">AVERAGE(AU277:AX277)</f>
        <v>99.750833333333333</v>
      </c>
      <c r="AY290" s="817"/>
      <c r="AZ290" s="817"/>
      <c r="BA290" s="817"/>
      <c r="BB290" s="817">
        <f t="shared" ref="BB290:BB296" si="1209">AVERAGE(AY277:BB277)</f>
        <v>99.374166666666667</v>
      </c>
      <c r="BC290" s="817"/>
      <c r="BD290" s="817"/>
      <c r="BE290" s="817"/>
      <c r="BF290" s="817">
        <f t="shared" ref="BF290:BF296" si="1210">AVERAGE(BC277:BF277)</f>
        <v>99.949166666666656</v>
      </c>
      <c r="BG290" s="817"/>
      <c r="BH290" s="817"/>
      <c r="BI290" s="817"/>
      <c r="BJ290" s="817">
        <f t="shared" ref="BJ290:BJ296" si="1211">AVERAGE(BG277:BJ277)</f>
        <v>99.887499999999989</v>
      </c>
      <c r="BK290" s="817"/>
      <c r="BL290" s="817"/>
      <c r="BM290" s="817"/>
      <c r="BN290" s="817">
        <f t="shared" ref="BN290:BN296" si="1212">AVERAGE(BK277:BN277)</f>
        <v>101.4025</v>
      </c>
      <c r="BO290" s="817"/>
      <c r="BP290" s="817"/>
      <c r="BQ290" s="817"/>
      <c r="BR290" s="817">
        <f t="shared" ref="BR290:BR296" si="1213">AVERAGE(BO277:BR277)</f>
        <v>102.31083333333333</v>
      </c>
      <c r="BS290" s="817"/>
      <c r="BT290" s="817"/>
      <c r="BU290" s="817"/>
      <c r="BV290" s="817">
        <f t="shared" ref="BV290:BV296" si="1214">AVERAGE(BS277:BV277)</f>
        <v>101.82416666666666</v>
      </c>
      <c r="BW290" s="817"/>
      <c r="BX290" s="817"/>
      <c r="BY290" s="817"/>
      <c r="BZ290" s="817">
        <f t="shared" ref="BZ290:BZ296" si="1215">AVERAGE(BW277:BZ277)</f>
        <v>100.82083333333334</v>
      </c>
      <c r="CA290" s="817"/>
      <c r="CB290" s="817"/>
      <c r="CC290" s="817"/>
      <c r="CD290" s="817">
        <f t="shared" ref="CD290:CD296" si="1216">AVERAGE(CA277:CD277)</f>
        <v>100.04499999999999</v>
      </c>
      <c r="CE290" s="817"/>
      <c r="CF290" s="817"/>
      <c r="CG290" s="883"/>
      <c r="CH290" s="817">
        <f t="shared" ref="CH290:CH296" si="1217">AVERAGE(CE277:CH277)</f>
        <v>99.657499999999999</v>
      </c>
      <c r="CI290" s="817"/>
      <c r="CJ290" s="817"/>
      <c r="CK290" s="883"/>
      <c r="CL290" s="883">
        <f t="shared" ref="CL290:CL295" si="1218">AVERAGE(CI277:CL277)</f>
        <v>100.00083333333333</v>
      </c>
      <c r="CM290" s="883"/>
      <c r="CN290" s="883"/>
      <c r="CO290" s="883"/>
      <c r="CP290" s="883">
        <f>AVERAGE(CM277:CP277)</f>
        <v>101.08916666666666</v>
      </c>
      <c r="CQ290" s="883"/>
      <c r="CR290" s="883"/>
      <c r="CS290" s="883"/>
      <c r="CT290" s="883">
        <f t="shared" ref="CT290:CT295" si="1219">AVERAGE(CQ277:CT277)</f>
        <v>101.19</v>
      </c>
      <c r="CU290" s="883"/>
      <c r="CV290" s="883"/>
      <c r="CW290" s="883"/>
      <c r="CX290" s="883">
        <f t="shared" ref="CX290:CX295" si="1220">AVERAGE(CU277:CX277)</f>
        <v>101.34324416666666</v>
      </c>
      <c r="CY290" s="883"/>
      <c r="CZ290" s="883"/>
      <c r="DA290" s="883"/>
      <c r="DB290" s="883">
        <f t="shared" ref="DB290:DB295" si="1221">AVERAGE(CY277:DB277)</f>
        <v>101.52536707749999</v>
      </c>
      <c r="DC290" s="883"/>
      <c r="DD290" s="883"/>
      <c r="DE290" s="883"/>
      <c r="DF290" s="883">
        <f t="shared" ref="DF290:DF295" si="1222">AVERAGE(DC277:DF277)</f>
        <v>101.6246004435329</v>
      </c>
    </row>
    <row r="291" spans="1:110" s="736" customFormat="1" ht="12.75" customHeight="1">
      <c r="A291" s="701"/>
      <c r="B291" s="701" t="s">
        <v>1198</v>
      </c>
      <c r="C291" s="1612"/>
      <c r="D291" s="711"/>
      <c r="E291" s="820" t="s">
        <v>1681</v>
      </c>
      <c r="F291" s="741"/>
      <c r="G291" s="743"/>
      <c r="H291" s="743"/>
      <c r="I291" s="743"/>
      <c r="J291" s="743"/>
      <c r="K291" s="743"/>
      <c r="L291" s="743"/>
      <c r="M291" s="743"/>
      <c r="N291" s="743">
        <f t="shared" si="1200"/>
        <v>57.506666666666675</v>
      </c>
      <c r="O291" s="743"/>
      <c r="P291" s="743"/>
      <c r="Q291" s="743"/>
      <c r="R291" s="743">
        <f t="shared" si="1201"/>
        <v>60.285000000000004</v>
      </c>
      <c r="S291" s="743"/>
      <c r="T291" s="743"/>
      <c r="U291" s="743"/>
      <c r="V291" s="743">
        <f t="shared" si="1202"/>
        <v>60.3125</v>
      </c>
      <c r="W291" s="743"/>
      <c r="X291" s="743"/>
      <c r="Y291" s="743"/>
      <c r="Z291" s="743">
        <f t="shared" si="1203"/>
        <v>60.196666666666665</v>
      </c>
      <c r="AA291" s="743"/>
      <c r="AB291" s="743"/>
      <c r="AC291" s="743"/>
      <c r="AD291" s="743">
        <f t="shared" si="1204"/>
        <v>64.098333333333329</v>
      </c>
      <c r="AE291" s="743"/>
      <c r="AF291" s="743"/>
      <c r="AG291" s="743"/>
      <c r="AH291" s="743">
        <f t="shared" si="1205"/>
        <v>68.150833333333324</v>
      </c>
      <c r="AI291" s="743"/>
      <c r="AJ291" s="743"/>
      <c r="AK291" s="743"/>
      <c r="AL291" s="743">
        <f t="shared" si="1206"/>
        <v>69.346666666666664</v>
      </c>
      <c r="AM291" s="743"/>
      <c r="AN291" s="743"/>
      <c r="AO291" s="743"/>
      <c r="AP291" s="743">
        <f t="shared" si="1207"/>
        <v>76.847500000000011</v>
      </c>
      <c r="AQ291" s="743"/>
      <c r="AR291" s="743"/>
      <c r="AS291" s="743"/>
      <c r="AT291" s="743">
        <f t="shared" ref="AT291:AT296" si="1223">AVERAGE(AQ278:AT278)</f>
        <v>79.355833333333337</v>
      </c>
      <c r="AU291" s="743"/>
      <c r="AV291" s="743"/>
      <c r="AW291" s="743"/>
      <c r="AX291" s="743">
        <f t="shared" si="1208"/>
        <v>83.764999999999986</v>
      </c>
      <c r="AY291" s="743"/>
      <c r="AZ291" s="743"/>
      <c r="BA291" s="743"/>
      <c r="BB291" s="743">
        <f t="shared" si="1209"/>
        <v>89.561666666666667</v>
      </c>
      <c r="BC291" s="743"/>
      <c r="BD291" s="743"/>
      <c r="BE291" s="743"/>
      <c r="BF291" s="743">
        <f t="shared" si="1210"/>
        <v>89.998333333333335</v>
      </c>
      <c r="BG291" s="743"/>
      <c r="BH291" s="743"/>
      <c r="BI291" s="743"/>
      <c r="BJ291" s="743">
        <f t="shared" si="1211"/>
        <v>98.525833333333338</v>
      </c>
      <c r="BK291" s="743"/>
      <c r="BL291" s="743"/>
      <c r="BM291" s="743"/>
      <c r="BN291" s="743">
        <f t="shared" si="1212"/>
        <v>97.702500000000001</v>
      </c>
      <c r="BO291" s="743"/>
      <c r="BP291" s="743"/>
      <c r="BQ291" s="743"/>
      <c r="BR291" s="743">
        <f t="shared" si="1213"/>
        <v>103.06166666666667</v>
      </c>
      <c r="BS291" s="743"/>
      <c r="BT291" s="743"/>
      <c r="BU291" s="743"/>
      <c r="BV291" s="743">
        <f t="shared" si="1214"/>
        <v>107.96583333333332</v>
      </c>
      <c r="BW291" s="743"/>
      <c r="BX291" s="743"/>
      <c r="BY291" s="743"/>
      <c r="BZ291" s="743">
        <f t="shared" si="1215"/>
        <v>108.55499999999999</v>
      </c>
      <c r="CA291" s="743"/>
      <c r="CB291" s="743"/>
      <c r="CC291" s="743"/>
      <c r="CD291" s="743">
        <f t="shared" si="1216"/>
        <v>107.08750000000001</v>
      </c>
      <c r="CE291" s="743"/>
      <c r="CF291" s="743"/>
      <c r="CG291" s="829"/>
      <c r="CH291" s="743">
        <f t="shared" si="1217"/>
        <v>104.89416666666665</v>
      </c>
      <c r="CI291" s="743"/>
      <c r="CJ291" s="743"/>
      <c r="CK291" s="829"/>
      <c r="CL291" s="829">
        <f t="shared" si="1218"/>
        <v>100.00166666666667</v>
      </c>
      <c r="CM291" s="829"/>
      <c r="CN291" s="829"/>
      <c r="CO291" s="829"/>
      <c r="CP291" s="829">
        <f t="shared" ref="CP291:CP294" si="1224">AVERAGE(CM278:CP278)</f>
        <v>101.04666666666668</v>
      </c>
      <c r="CQ291" s="829"/>
      <c r="CR291" s="829"/>
      <c r="CS291" s="829"/>
      <c r="CT291" s="829">
        <f t="shared" si="1219"/>
        <v>106.40416666666667</v>
      </c>
      <c r="CU291" s="829"/>
      <c r="CV291" s="829"/>
      <c r="CW291" s="829"/>
      <c r="CX291" s="829">
        <f t="shared" si="1220"/>
        <v>116.8212</v>
      </c>
      <c r="CY291" s="829"/>
      <c r="CZ291" s="829"/>
      <c r="DA291" s="829"/>
      <c r="DB291" s="829">
        <f t="shared" si="1221"/>
        <v>123.61814587155187</v>
      </c>
      <c r="DC291" s="829"/>
      <c r="DD291" s="829"/>
      <c r="DE291" s="829"/>
      <c r="DF291" s="829">
        <f t="shared" si="1222"/>
        <v>124.88057372260626</v>
      </c>
    </row>
    <row r="292" spans="1:110" s="736" customFormat="1" ht="12.75" customHeight="1">
      <c r="A292" s="701"/>
      <c r="B292" s="701" t="s">
        <v>1200</v>
      </c>
      <c r="C292" s="1612"/>
      <c r="D292" s="711"/>
      <c r="E292" s="820" t="s">
        <v>1683</v>
      </c>
      <c r="F292" s="741"/>
      <c r="G292" s="743"/>
      <c r="H292" s="743"/>
      <c r="I292" s="743"/>
      <c r="J292" s="743"/>
      <c r="K292" s="743"/>
      <c r="L292" s="743"/>
      <c r="M292" s="743"/>
      <c r="N292" s="743">
        <f t="shared" si="1200"/>
        <v>70.194166666666675</v>
      </c>
      <c r="O292" s="743"/>
      <c r="P292" s="743"/>
      <c r="Q292" s="743"/>
      <c r="R292" s="743">
        <f t="shared" si="1201"/>
        <v>69.862499999999997</v>
      </c>
      <c r="S292" s="743"/>
      <c r="T292" s="743"/>
      <c r="U292" s="743"/>
      <c r="V292" s="743">
        <f t="shared" si="1202"/>
        <v>70.775000000000006</v>
      </c>
      <c r="W292" s="743"/>
      <c r="X292" s="743"/>
      <c r="Y292" s="743"/>
      <c r="Z292" s="743">
        <f t="shared" si="1203"/>
        <v>72.212499999999991</v>
      </c>
      <c r="AA292" s="743"/>
      <c r="AB292" s="743"/>
      <c r="AC292" s="743"/>
      <c r="AD292" s="743">
        <f t="shared" si="1204"/>
        <v>72.081666666666663</v>
      </c>
      <c r="AE292" s="743"/>
      <c r="AF292" s="743"/>
      <c r="AG292" s="743"/>
      <c r="AH292" s="743">
        <f t="shared" si="1205"/>
        <v>76.963333333333338</v>
      </c>
      <c r="AI292" s="743"/>
      <c r="AJ292" s="743"/>
      <c r="AK292" s="743"/>
      <c r="AL292" s="743">
        <f t="shared" si="1206"/>
        <v>80.45416666666668</v>
      </c>
      <c r="AM292" s="743"/>
      <c r="AN292" s="743"/>
      <c r="AO292" s="743"/>
      <c r="AP292" s="743">
        <f t="shared" si="1207"/>
        <v>80.272500000000008</v>
      </c>
      <c r="AQ292" s="743"/>
      <c r="AR292" s="743"/>
      <c r="AS292" s="743"/>
      <c r="AT292" s="743">
        <f t="shared" si="1223"/>
        <v>79.814166666666665</v>
      </c>
      <c r="AU292" s="743"/>
      <c r="AV292" s="743"/>
      <c r="AW292" s="743"/>
      <c r="AX292" s="743">
        <f t="shared" si="1208"/>
        <v>79.977500000000006</v>
      </c>
      <c r="AY292" s="743"/>
      <c r="AZ292" s="743"/>
      <c r="BA292" s="743"/>
      <c r="BB292" s="743">
        <f t="shared" si="1209"/>
        <v>82.036666666666662</v>
      </c>
      <c r="BC292" s="743"/>
      <c r="BD292" s="743"/>
      <c r="BE292" s="743"/>
      <c r="BF292" s="743">
        <f t="shared" si="1210"/>
        <v>83.83</v>
      </c>
      <c r="BG292" s="743"/>
      <c r="BH292" s="743"/>
      <c r="BI292" s="743"/>
      <c r="BJ292" s="743">
        <f t="shared" si="1211"/>
        <v>89.254999999999995</v>
      </c>
      <c r="BK292" s="743"/>
      <c r="BL292" s="743"/>
      <c r="BM292" s="743"/>
      <c r="BN292" s="743">
        <f t="shared" si="1212"/>
        <v>92.158333333333331</v>
      </c>
      <c r="BO292" s="743"/>
      <c r="BP292" s="743"/>
      <c r="BQ292" s="743"/>
      <c r="BR292" s="743">
        <f t="shared" si="1213"/>
        <v>92.986666666666665</v>
      </c>
      <c r="BS292" s="743"/>
      <c r="BT292" s="743"/>
      <c r="BU292" s="743"/>
      <c r="BV292" s="743">
        <f t="shared" si="1214"/>
        <v>91.350000000000009</v>
      </c>
      <c r="BW292" s="743"/>
      <c r="BX292" s="743"/>
      <c r="BY292" s="743"/>
      <c r="BZ292" s="743">
        <f t="shared" si="1215"/>
        <v>92.840833333333336</v>
      </c>
      <c r="CA292" s="743"/>
      <c r="CB292" s="743"/>
      <c r="CC292" s="743"/>
      <c r="CD292" s="743">
        <f t="shared" si="1216"/>
        <v>96.08</v>
      </c>
      <c r="CE292" s="743"/>
      <c r="CF292" s="743"/>
      <c r="CG292" s="829"/>
      <c r="CH292" s="743">
        <f t="shared" si="1217"/>
        <v>96.066666666666663</v>
      </c>
      <c r="CI292" s="743"/>
      <c r="CJ292" s="743"/>
      <c r="CK292" s="829"/>
      <c r="CL292" s="829">
        <f t="shared" si="1218"/>
        <v>100</v>
      </c>
      <c r="CM292" s="829"/>
      <c r="CN292" s="829"/>
      <c r="CO292" s="829"/>
      <c r="CP292" s="829">
        <f t="shared" si="1224"/>
        <v>102.59333333333335</v>
      </c>
      <c r="CQ292" s="829"/>
      <c r="CR292" s="829"/>
      <c r="CS292" s="829"/>
      <c r="CT292" s="829">
        <f t="shared" si="1219"/>
        <v>104.90083333333334</v>
      </c>
      <c r="CU292" s="829"/>
      <c r="CV292" s="829"/>
      <c r="CW292" s="829"/>
      <c r="CX292" s="829">
        <f t="shared" si="1220"/>
        <v>108.49906666666666</v>
      </c>
      <c r="CY292" s="829"/>
      <c r="CZ292" s="829"/>
      <c r="DA292" s="829"/>
      <c r="DB292" s="829">
        <f t="shared" si="1221"/>
        <v>111.61266546666666</v>
      </c>
      <c r="DC292" s="829"/>
      <c r="DD292" s="829"/>
      <c r="DE292" s="829"/>
      <c r="DF292" s="829">
        <f t="shared" si="1222"/>
        <v>113.68185169223332</v>
      </c>
    </row>
    <row r="293" spans="1:110" s="736" customFormat="1" ht="12.75" customHeight="1">
      <c r="A293" s="701"/>
      <c r="B293" s="701" t="s">
        <v>1199</v>
      </c>
      <c r="C293" s="1612"/>
      <c r="D293" s="711"/>
      <c r="E293" s="820" t="s">
        <v>1682</v>
      </c>
      <c r="F293" s="741"/>
      <c r="G293" s="743"/>
      <c r="H293" s="743"/>
      <c r="I293" s="743"/>
      <c r="J293" s="743"/>
      <c r="K293" s="743"/>
      <c r="L293" s="743"/>
      <c r="M293" s="743"/>
      <c r="N293" s="743">
        <f>AVERAGE(K280:N280)</f>
        <v>69.174999999999997</v>
      </c>
      <c r="O293" s="743"/>
      <c r="P293" s="743"/>
      <c r="Q293" s="743"/>
      <c r="R293" s="743">
        <f t="shared" si="1201"/>
        <v>72.355000000000004</v>
      </c>
      <c r="S293" s="743"/>
      <c r="T293" s="743"/>
      <c r="U293" s="743"/>
      <c r="V293" s="743">
        <f t="shared" si="1202"/>
        <v>74.52000000000001</v>
      </c>
      <c r="W293" s="743"/>
      <c r="X293" s="743"/>
      <c r="Y293" s="743"/>
      <c r="Z293" s="743">
        <f t="shared" si="1203"/>
        <v>74.031666666666666</v>
      </c>
      <c r="AA293" s="743"/>
      <c r="AB293" s="743"/>
      <c r="AC293" s="743"/>
      <c r="AD293" s="743">
        <f t="shared" si="1204"/>
        <v>74.889166666666668</v>
      </c>
      <c r="AE293" s="743"/>
      <c r="AF293" s="743"/>
      <c r="AG293" s="743"/>
      <c r="AH293" s="743">
        <f t="shared" si="1205"/>
        <v>75.63666666666667</v>
      </c>
      <c r="AI293" s="743"/>
      <c r="AJ293" s="743"/>
      <c r="AK293" s="743"/>
      <c r="AL293" s="743">
        <f t="shared" si="1206"/>
        <v>77.180000000000007</v>
      </c>
      <c r="AM293" s="743"/>
      <c r="AN293" s="743"/>
      <c r="AO293" s="743"/>
      <c r="AP293" s="743">
        <f t="shared" si="1207"/>
        <v>78.205833333333331</v>
      </c>
      <c r="AQ293" s="743"/>
      <c r="AR293" s="743"/>
      <c r="AS293" s="743"/>
      <c r="AT293" s="743">
        <f t="shared" si="1223"/>
        <v>78.449166666666656</v>
      </c>
      <c r="AU293" s="743"/>
      <c r="AV293" s="743"/>
      <c r="AW293" s="743"/>
      <c r="AX293" s="743">
        <f t="shared" si="1208"/>
        <v>77.870833333333337</v>
      </c>
      <c r="AY293" s="743"/>
      <c r="AZ293" s="743"/>
      <c r="BA293" s="743"/>
      <c r="BB293" s="743">
        <f t="shared" si="1209"/>
        <v>77.986666666666665</v>
      </c>
      <c r="BC293" s="743"/>
      <c r="BD293" s="743"/>
      <c r="BE293" s="743"/>
      <c r="BF293" s="743">
        <f t="shared" si="1210"/>
        <v>80.88000000000001</v>
      </c>
      <c r="BG293" s="743"/>
      <c r="BH293" s="743"/>
      <c r="BI293" s="743"/>
      <c r="BJ293" s="743">
        <f t="shared" si="1211"/>
        <v>87.026666666666657</v>
      </c>
      <c r="BK293" s="743"/>
      <c r="BL293" s="743"/>
      <c r="BM293" s="743"/>
      <c r="BN293" s="743">
        <f t="shared" si="1212"/>
        <v>89.38666666666667</v>
      </c>
      <c r="BO293" s="743"/>
      <c r="BP293" s="743"/>
      <c r="BQ293" s="743"/>
      <c r="BR293" s="743">
        <f t="shared" si="1213"/>
        <v>90.98833333333333</v>
      </c>
      <c r="BS293" s="743"/>
      <c r="BT293" s="743"/>
      <c r="BU293" s="743"/>
      <c r="BV293" s="743">
        <f t="shared" si="1214"/>
        <v>93.465833333333322</v>
      </c>
      <c r="BW293" s="743"/>
      <c r="BX293" s="743"/>
      <c r="BY293" s="743"/>
      <c r="BZ293" s="743">
        <f t="shared" si="1215"/>
        <v>95.688333333333318</v>
      </c>
      <c r="CA293" s="743"/>
      <c r="CB293" s="743"/>
      <c r="CC293" s="743"/>
      <c r="CD293" s="743">
        <f t="shared" si="1216"/>
        <v>96.952500000000001</v>
      </c>
      <c r="CE293" s="743"/>
      <c r="CF293" s="743"/>
      <c r="CG293" s="829"/>
      <c r="CH293" s="743">
        <f t="shared" si="1217"/>
        <v>97.960833333333341</v>
      </c>
      <c r="CI293" s="743"/>
      <c r="CJ293" s="743"/>
      <c r="CK293" s="829"/>
      <c r="CL293" s="829">
        <f t="shared" si="1218"/>
        <v>100.00083333333333</v>
      </c>
      <c r="CM293" s="829"/>
      <c r="CN293" s="829"/>
      <c r="CO293" s="829"/>
      <c r="CP293" s="829">
        <f t="shared" si="1224"/>
        <v>100.50833333333333</v>
      </c>
      <c r="CQ293" s="829"/>
      <c r="CR293" s="829"/>
      <c r="CS293" s="829"/>
      <c r="CT293" s="829">
        <f t="shared" si="1219"/>
        <v>102.59416666666668</v>
      </c>
      <c r="CU293" s="829"/>
      <c r="CV293" s="829"/>
      <c r="CW293" s="829"/>
      <c r="CX293" s="829">
        <f t="shared" si="1220"/>
        <v>104.54054208333335</v>
      </c>
      <c r="CY293" s="829"/>
      <c r="CZ293" s="829"/>
      <c r="DA293" s="829"/>
      <c r="DB293" s="829">
        <f t="shared" si="1221"/>
        <v>106.72873700512501</v>
      </c>
      <c r="DC293" s="829"/>
      <c r="DD293" s="829"/>
      <c r="DE293" s="829"/>
      <c r="DF293" s="829">
        <f t="shared" si="1222"/>
        <v>108.945527655227</v>
      </c>
    </row>
    <row r="294" spans="1:110" customFormat="1">
      <c r="A294" s="701"/>
      <c r="B294" s="701" t="s">
        <v>1201</v>
      </c>
      <c r="C294" s="1121"/>
      <c r="D294" s="1117"/>
      <c r="E294" s="1118" t="s">
        <v>1684</v>
      </c>
      <c r="F294" s="1117"/>
      <c r="G294" s="1125"/>
      <c r="H294" s="1125"/>
      <c r="I294" s="1125"/>
      <c r="J294" s="1125"/>
      <c r="K294" s="1125"/>
      <c r="L294" s="1125"/>
      <c r="M294" s="1125"/>
      <c r="N294" s="1125">
        <f t="shared" si="1200"/>
        <v>69.989166666666662</v>
      </c>
      <c r="O294" s="1125"/>
      <c r="P294" s="1125"/>
      <c r="Q294" s="1125"/>
      <c r="R294" s="1125">
        <f t="shared" si="1201"/>
        <v>71.715833333333336</v>
      </c>
      <c r="S294" s="1125"/>
      <c r="T294" s="1125"/>
      <c r="U294" s="1125"/>
      <c r="V294" s="1125">
        <f t="shared" si="1202"/>
        <v>73.039999999999992</v>
      </c>
      <c r="W294" s="1125"/>
      <c r="X294" s="1125"/>
      <c r="Y294" s="1125"/>
      <c r="Z294" s="1125">
        <f t="shared" si="1203"/>
        <v>74.34</v>
      </c>
      <c r="AA294" s="1125"/>
      <c r="AB294" s="1125"/>
      <c r="AC294" s="1125"/>
      <c r="AD294" s="1125">
        <f t="shared" si="1204"/>
        <v>75.092500000000001</v>
      </c>
      <c r="AE294" s="1125"/>
      <c r="AF294" s="1125"/>
      <c r="AG294" s="1125"/>
      <c r="AH294" s="1125">
        <f t="shared" si="1205"/>
        <v>77.390833333333333</v>
      </c>
      <c r="AI294" s="1125"/>
      <c r="AJ294" s="1125"/>
      <c r="AK294" s="1125"/>
      <c r="AL294" s="1125">
        <f t="shared" si="1206"/>
        <v>79.154166666666683</v>
      </c>
      <c r="AM294" s="1125"/>
      <c r="AN294" s="1125"/>
      <c r="AO294" s="1125"/>
      <c r="AP294" s="1125">
        <f t="shared" si="1207"/>
        <v>81.084166666666675</v>
      </c>
      <c r="AQ294" s="1125"/>
      <c r="AR294" s="1125"/>
      <c r="AS294" s="1125"/>
      <c r="AT294" s="1125">
        <f t="shared" si="1223"/>
        <v>83.085833333333326</v>
      </c>
      <c r="AU294" s="1125"/>
      <c r="AV294" s="1125"/>
      <c r="AW294" s="1125"/>
      <c r="AX294" s="1125">
        <f t="shared" si="1208"/>
        <v>84.446666666666673</v>
      </c>
      <c r="AY294" s="1125"/>
      <c r="AZ294" s="1125"/>
      <c r="BA294" s="1125"/>
      <c r="BB294" s="1125">
        <f t="shared" si="1209"/>
        <v>85.575833333333335</v>
      </c>
      <c r="BC294" s="1125"/>
      <c r="BD294" s="1125"/>
      <c r="BE294" s="1125"/>
      <c r="BF294" s="1125">
        <f t="shared" si="1210"/>
        <v>87.399999999999991</v>
      </c>
      <c r="BG294" s="1125"/>
      <c r="BH294" s="1125"/>
      <c r="BI294" s="1125"/>
      <c r="BJ294" s="1125">
        <f t="shared" si="1211"/>
        <v>89.32</v>
      </c>
      <c r="BK294" s="1125"/>
      <c r="BL294" s="1125"/>
      <c r="BM294" s="1125"/>
      <c r="BN294" s="1125">
        <f t="shared" si="1212"/>
        <v>91.681666666666658</v>
      </c>
      <c r="BO294" s="1125"/>
      <c r="BP294" s="1125"/>
      <c r="BQ294" s="1125"/>
      <c r="BR294" s="1125">
        <f t="shared" si="1213"/>
        <v>93.350833333333327</v>
      </c>
      <c r="BS294" s="1125"/>
      <c r="BT294" s="1125"/>
      <c r="BU294" s="1125"/>
      <c r="BV294" s="1125">
        <f t="shared" si="1214"/>
        <v>94.94083333333333</v>
      </c>
      <c r="BW294" s="1125"/>
      <c r="BX294" s="1125"/>
      <c r="BY294" s="1125"/>
      <c r="BZ294" s="1125">
        <f t="shared" si="1215"/>
        <v>96.679999999999993</v>
      </c>
      <c r="CA294" s="1125"/>
      <c r="CB294" s="1125"/>
      <c r="CC294" s="1125"/>
      <c r="CD294" s="1125">
        <f t="shared" si="1216"/>
        <v>97.75833333333334</v>
      </c>
      <c r="CE294" s="1125"/>
      <c r="CF294" s="1125"/>
      <c r="CG294" s="975"/>
      <c r="CH294" s="1125">
        <f t="shared" si="1217"/>
        <v>98.685833333333335</v>
      </c>
      <c r="CI294" s="1125"/>
      <c r="CJ294" s="1125"/>
      <c r="CK294" s="975"/>
      <c r="CL294" s="975">
        <f t="shared" si="1218"/>
        <v>99.999166666666667</v>
      </c>
      <c r="CM294" s="975"/>
      <c r="CN294" s="975"/>
      <c r="CO294" s="975"/>
      <c r="CP294" s="975">
        <f t="shared" si="1224"/>
        <v>101.25000000000001</v>
      </c>
      <c r="CQ294" s="975"/>
      <c r="CR294" s="975"/>
      <c r="CS294" s="975"/>
      <c r="CT294" s="975">
        <f t="shared" si="1219"/>
        <v>103.51416666666667</v>
      </c>
      <c r="CU294" s="975"/>
      <c r="CV294" s="975"/>
      <c r="CW294" s="975"/>
      <c r="CX294" s="975">
        <f t="shared" si="1220"/>
        <v>105.25701099999999</v>
      </c>
      <c r="CY294" s="975"/>
      <c r="CZ294" s="975"/>
      <c r="DA294" s="975"/>
      <c r="DB294" s="975">
        <f t="shared" si="1221"/>
        <v>107.4182743563</v>
      </c>
      <c r="DC294" s="975"/>
      <c r="DD294" s="975"/>
      <c r="DE294" s="975"/>
      <c r="DF294" s="975">
        <f t="shared" si="1222"/>
        <v>110.16901297172068</v>
      </c>
    </row>
    <row r="295" spans="1:110" customFormat="1">
      <c r="A295" s="701"/>
      <c r="B295" s="701"/>
      <c r="C295" s="731"/>
      <c r="D295" s="1095"/>
      <c r="E295" s="1096" t="s">
        <v>1196</v>
      </c>
      <c r="F295" s="1095"/>
      <c r="G295" s="1097"/>
      <c r="H295" s="1097"/>
      <c r="I295" s="1097"/>
      <c r="J295" s="1097"/>
      <c r="K295" s="1097"/>
      <c r="L295" s="1097"/>
      <c r="M295" s="1097"/>
      <c r="N295" s="1097">
        <f>+N296</f>
        <v>76.158333333333331</v>
      </c>
      <c r="O295" s="1097"/>
      <c r="P295" s="1097"/>
      <c r="Q295" s="1097"/>
      <c r="R295" s="1097">
        <f t="shared" ca="1" si="1201"/>
        <v>76.989833164762558</v>
      </c>
      <c r="S295" s="1097"/>
      <c r="T295" s="1097"/>
      <c r="U295" s="1097"/>
      <c r="V295" s="1097">
        <f t="shared" ca="1" si="1202"/>
        <v>77.785265604234553</v>
      </c>
      <c r="W295" s="1097"/>
      <c r="X295" s="1097"/>
      <c r="Y295" s="1097"/>
      <c r="Z295" s="1097">
        <f t="shared" ca="1" si="1203"/>
        <v>78.45750609510128</v>
      </c>
      <c r="AA295" s="1097"/>
      <c r="AB295" s="1097"/>
      <c r="AC295" s="1097"/>
      <c r="AD295" s="1097">
        <f t="shared" ca="1" si="1204"/>
        <v>79.788679845845337</v>
      </c>
      <c r="AE295" s="1097"/>
      <c r="AF295" s="1097"/>
      <c r="AG295" s="1097"/>
      <c r="AH295" s="1097">
        <f t="shared" ca="1" si="1205"/>
        <v>81.926456711036337</v>
      </c>
      <c r="AI295" s="1097"/>
      <c r="AJ295" s="1097"/>
      <c r="AK295" s="1097"/>
      <c r="AL295" s="1097">
        <f t="shared" ca="1" si="1206"/>
        <v>83.488962992093875</v>
      </c>
      <c r="AM295" s="1097"/>
      <c r="AN295" s="1097"/>
      <c r="AO295" s="1097"/>
      <c r="AP295" s="1097">
        <f t="shared" ca="1" si="1207"/>
        <v>85.447948832662135</v>
      </c>
      <c r="AQ295" s="1097"/>
      <c r="AR295" s="1097"/>
      <c r="AS295" s="1097"/>
      <c r="AT295" s="1097">
        <f t="shared" ca="1" si="1223"/>
        <v>86.317180469154877</v>
      </c>
      <c r="AU295" s="1097"/>
      <c r="AV295" s="1097"/>
      <c r="AW295" s="1097"/>
      <c r="AX295" s="1097">
        <f t="shared" ca="1" si="1208"/>
        <v>87.039367379628345</v>
      </c>
      <c r="AY295" s="1097"/>
      <c r="AZ295" s="1097"/>
      <c r="BA295" s="1097"/>
      <c r="BB295" s="1097">
        <f t="shared" ca="1" si="1209"/>
        <v>88.305080739604108</v>
      </c>
      <c r="BC295" s="1097"/>
      <c r="BD295" s="1097"/>
      <c r="BE295" s="1097"/>
      <c r="BF295" s="1097">
        <f t="shared" ca="1" si="1210"/>
        <v>89.817390967457229</v>
      </c>
      <c r="BG295" s="1097"/>
      <c r="BH295" s="1097"/>
      <c r="BI295" s="1097"/>
      <c r="BJ295" s="1097">
        <f t="shared" ca="1" si="1211"/>
        <v>92.825007293966905</v>
      </c>
      <c r="BK295" s="1097"/>
      <c r="BL295" s="1097"/>
      <c r="BM295" s="1097"/>
      <c r="BN295" s="1097">
        <f t="shared" ca="1" si="1212"/>
        <v>94.63484511323405</v>
      </c>
      <c r="BO295" s="1097"/>
      <c r="BP295" s="1097"/>
      <c r="BQ295" s="1097"/>
      <c r="BR295" s="1097">
        <f t="shared" ca="1" si="1213"/>
        <v>96.431558226816108</v>
      </c>
      <c r="BS295" s="1097"/>
      <c r="BT295" s="1097"/>
      <c r="BU295" s="1097"/>
      <c r="BV295" s="1097">
        <f t="shared" ca="1" si="1214"/>
        <v>97.761720438528755</v>
      </c>
      <c r="BW295" s="1097"/>
      <c r="BX295" s="1097"/>
      <c r="BY295" s="1097"/>
      <c r="BZ295" s="1097">
        <f t="shared" ca="1" si="1215"/>
        <v>98.662048567185707</v>
      </c>
      <c r="CA295" s="1097"/>
      <c r="CB295" s="1097"/>
      <c r="CC295" s="1097"/>
      <c r="CD295" s="3454">
        <f t="shared" ca="1" si="1216"/>
        <v>99.128116405121503</v>
      </c>
      <c r="CE295" s="1097"/>
      <c r="CF295" s="1097"/>
      <c r="CG295" s="909"/>
      <c r="CH295" s="1097">
        <f ca="1">AVERAGE(CE282:CH282)</f>
        <v>99.303694591345277</v>
      </c>
      <c r="CI295" s="1097"/>
      <c r="CJ295" s="1097"/>
      <c r="CK295" s="909"/>
      <c r="CL295" s="909">
        <f t="shared" ca="1" si="1218"/>
        <v>100.01658106576043</v>
      </c>
      <c r="CM295" s="909"/>
      <c r="CN295" s="909"/>
      <c r="CO295" s="909"/>
      <c r="CP295" s="909">
        <f ca="1">AVERAGE(CM282:CP282)</f>
        <v>101.13903201181759</v>
      </c>
      <c r="CQ295" s="909"/>
      <c r="CR295" s="909"/>
      <c r="CS295" s="909"/>
      <c r="CT295" s="909">
        <f t="shared" ca="1" si="1219"/>
        <v>103.02315057058487</v>
      </c>
      <c r="CU295" s="909"/>
      <c r="CV295" s="909"/>
      <c r="CW295" s="909"/>
      <c r="CX295" s="909">
        <f t="shared" ca="1" si="1220"/>
        <v>105.18650523133648</v>
      </c>
      <c r="CY295" s="909"/>
      <c r="CZ295" s="909"/>
      <c r="DA295" s="909"/>
      <c r="DB295" s="909">
        <f t="shared" ca="1" si="1221"/>
        <v>107.18884900175988</v>
      </c>
      <c r="DC295" s="909"/>
      <c r="DD295" s="909"/>
      <c r="DE295" s="909"/>
      <c r="DF295" s="909">
        <f t="shared" ca="1" si="1222"/>
        <v>108.90114287406286</v>
      </c>
    </row>
    <row r="296" spans="1:110" customFormat="1">
      <c r="A296" s="701"/>
      <c r="B296" s="701"/>
      <c r="C296" s="731"/>
      <c r="D296" s="1095"/>
      <c r="E296" s="1096" t="s">
        <v>1628</v>
      </c>
      <c r="F296" s="1095"/>
      <c r="G296" s="1097"/>
      <c r="H296" s="1097"/>
      <c r="I296" s="1097"/>
      <c r="J296" s="1097" t="e">
        <f>AVERAGE(G283:J283)</f>
        <v>#DIV/0!</v>
      </c>
      <c r="K296" s="1097"/>
      <c r="L296" s="1097">
        <f>AVERAGE(I283:L283)</f>
        <v>76.08</v>
      </c>
      <c r="M296" s="1097"/>
      <c r="N296" s="1097">
        <f t="shared" si="1200"/>
        <v>76.158333333333331</v>
      </c>
      <c r="O296" s="1097"/>
      <c r="P296" s="1097">
        <f>AVERAGE(M283:P283)</f>
        <v>76.628333333333345</v>
      </c>
      <c r="Q296" s="1097"/>
      <c r="R296" s="1097">
        <f t="shared" si="1201"/>
        <v>77.539166666666674</v>
      </c>
      <c r="S296" s="1097"/>
      <c r="T296" s="1097">
        <f>AVERAGE(Q283:T283)</f>
        <v>78.1875</v>
      </c>
      <c r="U296" s="1097"/>
      <c r="V296" s="1097">
        <f t="shared" si="1202"/>
        <v>78.317499999999995</v>
      </c>
      <c r="W296" s="1097"/>
      <c r="X296" s="1097">
        <f>AVERAGE(U283:X283)</f>
        <v>78.435833333333335</v>
      </c>
      <c r="Y296" s="1097"/>
      <c r="Z296" s="1097">
        <f t="shared" si="1203"/>
        <v>78.759166666666673</v>
      </c>
      <c r="AA296" s="1097"/>
      <c r="AB296" s="1097">
        <f>AVERAGE(Y283:AB283)</f>
        <v>79.232500000000002</v>
      </c>
      <c r="AC296" s="1097"/>
      <c r="AD296" s="1097">
        <f t="shared" si="1204"/>
        <v>79.778333333333336</v>
      </c>
      <c r="AE296" s="1097"/>
      <c r="AF296" s="1097">
        <f>AVERAGE(AC283:AF283)</f>
        <v>80.691666666666677</v>
      </c>
      <c r="AG296" s="1097"/>
      <c r="AH296" s="1097">
        <f t="shared" si="1205"/>
        <v>81.916666666666671</v>
      </c>
      <c r="AI296" s="1097"/>
      <c r="AJ296" s="1097">
        <f>AVERAGE(AG283:AJ283)</f>
        <v>82.86999999999999</v>
      </c>
      <c r="AK296" s="1097"/>
      <c r="AL296" s="1097">
        <f t="shared" si="1206"/>
        <v>83.504999999999995</v>
      </c>
      <c r="AM296" s="1097"/>
      <c r="AN296" s="1097">
        <f>AVERAGE(AK283:AN283)</f>
        <v>84.555833333333339</v>
      </c>
      <c r="AO296" s="1097"/>
      <c r="AP296" s="1097">
        <f t="shared" si="1207"/>
        <v>85.441666666666677</v>
      </c>
      <c r="AQ296" s="1097"/>
      <c r="AR296" s="1097">
        <f>AVERAGE(AO283:AR283)</f>
        <v>85.826666666666682</v>
      </c>
      <c r="AS296" s="1097"/>
      <c r="AT296" s="1097">
        <f t="shared" si="1223"/>
        <v>86.314999999999998</v>
      </c>
      <c r="AU296" s="1097"/>
      <c r="AV296" s="1097">
        <f>AVERAGE(AS283:AV283)</f>
        <v>86.587500000000006</v>
      </c>
      <c r="AW296" s="1097"/>
      <c r="AX296" s="1097">
        <f t="shared" si="1208"/>
        <v>87.034166666666664</v>
      </c>
      <c r="AY296" s="1097"/>
      <c r="AZ296" s="1097">
        <f>AVERAGE(AW283:AZ283)</f>
        <v>87.702500000000015</v>
      </c>
      <c r="BA296" s="1097"/>
      <c r="BB296" s="1097">
        <f t="shared" si="1209"/>
        <v>88.336666666666673</v>
      </c>
      <c r="BC296" s="1097"/>
      <c r="BD296" s="1097">
        <f>AVERAGE(BA283:BD283)</f>
        <v>89.004999999999995</v>
      </c>
      <c r="BE296" s="1097"/>
      <c r="BF296" s="1097">
        <f t="shared" si="1210"/>
        <v>89.817499999999995</v>
      </c>
      <c r="BG296" s="1097"/>
      <c r="BH296" s="1097">
        <f>AVERAGE(BE283:BH283)</f>
        <v>91.32</v>
      </c>
      <c r="BI296" s="1097"/>
      <c r="BJ296" s="1097">
        <f t="shared" si="1211"/>
        <v>92.825000000000003</v>
      </c>
      <c r="BK296" s="1097"/>
      <c r="BL296" s="1097">
        <f>AVERAGE(BI283:BL283)</f>
        <v>93.690000000000012</v>
      </c>
      <c r="BM296" s="1097"/>
      <c r="BN296" s="1097">
        <f t="shared" si="1212"/>
        <v>94.626666666666679</v>
      </c>
      <c r="BO296" s="1097"/>
      <c r="BP296" s="1097">
        <f>AVERAGE(BM283:BP283)</f>
        <v>95.68249999999999</v>
      </c>
      <c r="BQ296" s="1097"/>
      <c r="BR296" s="1097">
        <f t="shared" si="1213"/>
        <v>96.430833333333325</v>
      </c>
      <c r="BS296" s="1097"/>
      <c r="BT296" s="1097">
        <f>AVERAGE(BQ283:BT283)</f>
        <v>97.152500000000003</v>
      </c>
      <c r="BU296" s="1097"/>
      <c r="BV296" s="1097">
        <f t="shared" si="1214"/>
        <v>97.746666666666684</v>
      </c>
      <c r="BW296" s="1097"/>
      <c r="BX296" s="1097">
        <f>AVERAGE(BU283:BX283)</f>
        <v>98.20416666666668</v>
      </c>
      <c r="BY296" s="1097"/>
      <c r="BZ296" s="1097">
        <f t="shared" si="1215"/>
        <v>98.663333333333327</v>
      </c>
      <c r="CA296" s="1097"/>
      <c r="CB296" s="1097">
        <f>AVERAGE(BY283:CB283)</f>
        <v>98.862499999999997</v>
      </c>
      <c r="CC296" s="1097"/>
      <c r="CD296" s="3454">
        <f t="shared" si="1216"/>
        <v>99.098333333333329</v>
      </c>
      <c r="CE296" s="1097"/>
      <c r="CF296" s="1097">
        <f>AVERAGE(CC283:CF283)</f>
        <v>99.171666666666653</v>
      </c>
      <c r="CG296" s="909"/>
      <c r="CH296" s="1097">
        <f t="shared" si="1217"/>
        <v>99.302500000000009</v>
      </c>
      <c r="CI296" s="1097"/>
      <c r="CJ296" s="1097">
        <f>AVERAGE(CG283:CJ283)</f>
        <v>99.598333333333329</v>
      </c>
      <c r="CK296" s="909"/>
      <c r="CL296" s="909">
        <f>AVERAGE(CI283:CL283)</f>
        <v>100</v>
      </c>
      <c r="CM296" s="909"/>
      <c r="CN296" s="1097">
        <f>AVERAGE(CK283:CN283)</f>
        <v>100.52083333333334</v>
      </c>
      <c r="CO296" s="909"/>
      <c r="CP296" s="909">
        <f>AVERAGE(CM283:CP283)</f>
        <v>101.13583333333335</v>
      </c>
      <c r="CQ296" s="909"/>
      <c r="CR296" s="1097">
        <f>AVERAGE(CO283:CR283)</f>
        <v>102.01</v>
      </c>
      <c r="CS296" s="909"/>
      <c r="CT296" s="909">
        <f>AVERAGE(CQ283:CT283)</f>
        <v>103.02333333333334</v>
      </c>
      <c r="CU296" s="909"/>
      <c r="CV296" s="1097">
        <f>AVERAGE(CS283:CV283)</f>
        <v>103.97083333333333</v>
      </c>
      <c r="CW296" s="1097">
        <f>AVERAGE(CT283:CW283)</f>
        <v>104.54833333333333</v>
      </c>
      <c r="CX296" s="909">
        <f ca="1">AVERAGE(CU283:CX283)</f>
        <v>105.17489965213923</v>
      </c>
      <c r="CY296" s="909"/>
      <c r="CZ296" s="1097">
        <f ca="1">AVERAGE(CW283:CZ283)</f>
        <v>106.28558371502163</v>
      </c>
      <c r="DA296" s="909"/>
      <c r="DB296" s="909">
        <f ca="1">AVERAGE(CY283:DB283)</f>
        <v>107.1770039287662</v>
      </c>
      <c r="DC296" s="909"/>
      <c r="DD296" s="1097">
        <f ca="1">AVERAGE(DA283:DD283)</f>
        <v>107.99780875131469</v>
      </c>
      <c r="DE296" s="909"/>
      <c r="DF296" s="909">
        <f ca="1">AVERAGE(DC283:DF283)</f>
        <v>108.88911326812135</v>
      </c>
    </row>
    <row r="297" spans="1:110" s="1041" customFormat="1" ht="10.15">
      <c r="A297" s="710"/>
      <c r="B297" s="710"/>
      <c r="C297" s="1045"/>
      <c r="D297" s="1046"/>
      <c r="E297" s="1047" t="s">
        <v>1097</v>
      </c>
      <c r="F297" s="1046"/>
      <c r="G297" s="1048"/>
      <c r="H297" s="1048"/>
      <c r="I297" s="1048"/>
      <c r="J297" s="1048"/>
      <c r="K297" s="2978"/>
      <c r="L297" s="2978"/>
      <c r="M297" s="2978"/>
      <c r="N297" s="2978">
        <f>(N296-N295)</f>
        <v>0</v>
      </c>
      <c r="O297" s="2978"/>
      <c r="P297" s="2978"/>
      <c r="Q297" s="2978"/>
      <c r="R297" s="2978">
        <f ca="1">(R296-R295)</f>
        <v>0.54933350190411545</v>
      </c>
      <c r="S297" s="2978"/>
      <c r="T297" s="2978"/>
      <c r="U297" s="2978"/>
      <c r="V297" s="2978">
        <f ca="1">(V296-V295)</f>
        <v>0.53223439576544251</v>
      </c>
      <c r="W297" s="2978"/>
      <c r="X297" s="2978"/>
      <c r="Y297" s="2978"/>
      <c r="Z297" s="2978">
        <f ca="1">(Z296-Z295)</f>
        <v>0.30166057156539239</v>
      </c>
      <c r="AA297" s="2978"/>
      <c r="AB297" s="2978"/>
      <c r="AC297" s="2978"/>
      <c r="AD297" s="2978">
        <f ca="1">(AD296-AD295)</f>
        <v>-1.0346512512001027E-2</v>
      </c>
      <c r="AE297" s="2978"/>
      <c r="AF297" s="2978"/>
      <c r="AG297" s="2978"/>
      <c r="AH297" s="2978">
        <f ca="1">(AH296-AH295)</f>
        <v>-9.7900443696659067E-3</v>
      </c>
      <c r="AI297" s="2978"/>
      <c r="AJ297" s="2978"/>
      <c r="AK297" s="2978"/>
      <c r="AL297" s="2978">
        <f ca="1">(AL296-AL295)</f>
        <v>1.6037007906120948E-2</v>
      </c>
      <c r="AM297" s="2978"/>
      <c r="AN297" s="2978"/>
      <c r="AO297" s="2978"/>
      <c r="AP297" s="2978">
        <f ca="1">(AP296-AP295)</f>
        <v>-6.2821659954579445E-3</v>
      </c>
      <c r="AQ297" s="2978"/>
      <c r="AR297" s="2978"/>
      <c r="AS297" s="2978"/>
      <c r="AT297" s="2978">
        <f ca="1">(AT296-AT295)</f>
        <v>-2.1804691548794608E-3</v>
      </c>
      <c r="AU297" s="2978"/>
      <c r="AV297" s="2978"/>
      <c r="AW297" s="2978"/>
      <c r="AX297" s="2978">
        <f ca="1">(AX296-AX295)</f>
        <v>-5.2007129616811199E-3</v>
      </c>
      <c r="AY297" s="2978"/>
      <c r="AZ297" s="2978"/>
      <c r="BA297" s="2978"/>
      <c r="BB297" s="2978">
        <f ca="1">(BB296-BB295)</f>
        <v>3.1585927062565133E-2</v>
      </c>
      <c r="BC297" s="2978"/>
      <c r="BD297" s="2978"/>
      <c r="BE297" s="2978"/>
      <c r="BF297" s="2978">
        <f ca="1">(BF296-BF295)</f>
        <v>1.0903254276684038E-4</v>
      </c>
      <c r="BG297" s="2978"/>
      <c r="BH297" s="2978"/>
      <c r="BI297" s="2978"/>
      <c r="BJ297" s="2978">
        <f ca="1">(BJ296-BJ295)</f>
        <v>-7.293966902466309E-6</v>
      </c>
      <c r="BK297" s="2978"/>
      <c r="BL297" s="2978"/>
      <c r="BM297" s="2978"/>
      <c r="BN297" s="2978">
        <f ca="1">(BN296-BN295)</f>
        <v>-8.1784465673706563E-3</v>
      </c>
      <c r="BO297" s="2978"/>
      <c r="BP297" s="2978"/>
      <c r="BQ297" s="2978"/>
      <c r="BR297" s="2978">
        <f ca="1">(BR296-BR295)</f>
        <v>-7.2489348278281796E-4</v>
      </c>
      <c r="BS297" s="2978"/>
      <c r="BT297" s="2978"/>
      <c r="BU297" s="2978"/>
      <c r="BV297" s="2978">
        <f ca="1">(BV296-BV295)</f>
        <v>-1.505377186207113E-2</v>
      </c>
      <c r="BW297" s="2978"/>
      <c r="BX297" s="2978"/>
      <c r="BY297" s="2978"/>
      <c r="BZ297" s="2978">
        <f ca="1">(BZ296-BZ295)</f>
        <v>1.2847661476200756E-3</v>
      </c>
      <c r="CA297" s="2978"/>
      <c r="CB297" s="2978"/>
      <c r="CC297" s="2978"/>
      <c r="CD297" s="2978">
        <f ca="1">(CD296-CD295)</f>
        <v>-2.9783071788173743E-2</v>
      </c>
      <c r="CE297" s="2978"/>
      <c r="CF297" s="2978"/>
      <c r="CG297" s="2985"/>
      <c r="CH297" s="2978">
        <f ca="1">(CH296-CH295)</f>
        <v>-1.1945913452677814E-3</v>
      </c>
      <c r="CI297" s="2978"/>
      <c r="CJ297" s="2978"/>
      <c r="CK297" s="2985"/>
      <c r="CL297" s="2978">
        <f ca="1">(CL296-CL295)</f>
        <v>-1.6581065760433944E-2</v>
      </c>
      <c r="CM297" s="2985"/>
      <c r="CN297" s="2985"/>
      <c r="CO297" s="2985"/>
      <c r="CP297" s="2978">
        <f ca="1">(CP296-CP295)</f>
        <v>-3.1986784842388261E-3</v>
      </c>
      <c r="CQ297" s="2985"/>
      <c r="CR297" s="2985"/>
      <c r="CS297" s="2985"/>
      <c r="CT297" s="2978">
        <f ca="1">(CT296-CT295)</f>
        <v>1.8276274846584784E-4</v>
      </c>
      <c r="CU297" s="2985"/>
      <c r="CV297" s="2985"/>
      <c r="CW297" s="2985"/>
      <c r="CX297" s="2978">
        <f ca="1">(CX296-CX295)</f>
        <v>-1.1605579197251359E-2</v>
      </c>
      <c r="CY297" s="2985"/>
      <c r="CZ297" s="2985"/>
      <c r="DA297" s="2985"/>
      <c r="DB297" s="2978">
        <f ca="1">(DB296-DB295)</f>
        <v>-1.1845072993679651E-2</v>
      </c>
      <c r="DC297" s="2985"/>
      <c r="DD297" s="2985"/>
      <c r="DE297" s="2985"/>
      <c r="DF297" s="2978">
        <f ca="1">(DF296-DF295)</f>
        <v>-1.2029605941506816E-2</v>
      </c>
    </row>
    <row r="298" spans="1:110" customFormat="1">
      <c r="A298" s="701"/>
      <c r="B298" s="701"/>
      <c r="C298" s="731"/>
      <c r="D298" s="1095"/>
      <c r="E298" s="1096" t="s">
        <v>1946</v>
      </c>
      <c r="F298" s="1095"/>
      <c r="G298" s="1097"/>
      <c r="H298" s="1097"/>
      <c r="I298" s="1097"/>
      <c r="J298" s="1097"/>
      <c r="K298" s="1097"/>
      <c r="L298" s="1097"/>
      <c r="M298" s="1097"/>
      <c r="N298" s="1097">
        <f>+N299</f>
        <v>79.961666666666673</v>
      </c>
      <c r="O298" s="1097"/>
      <c r="P298" s="1097"/>
      <c r="Q298" s="1097"/>
      <c r="R298" s="1097">
        <f ca="1">AVERAGE(O285:R285)</f>
        <v>81.21365957773142</v>
      </c>
      <c r="S298" s="1097"/>
      <c r="T298" s="1097"/>
      <c r="U298" s="1097"/>
      <c r="V298" s="1097">
        <f ca="1">AVERAGE(S285:V285)</f>
        <v>82.124453436452171</v>
      </c>
      <c r="W298" s="1097"/>
      <c r="X298" s="1097"/>
      <c r="Y298" s="1097"/>
      <c r="Z298" s="1097">
        <f ca="1">AVERAGE(W285:Z285)</f>
        <v>82.568221614114904</v>
      </c>
      <c r="AA298" s="1097"/>
      <c r="AB298" s="1097"/>
      <c r="AC298" s="1097"/>
      <c r="AD298" s="1097">
        <f ca="1">AVERAGE(AA285:AD285)</f>
        <v>83.156947730215663</v>
      </c>
      <c r="AE298" s="1097"/>
      <c r="AF298" s="1097"/>
      <c r="AG298" s="1097"/>
      <c r="AH298" s="1097">
        <f ca="1">AVERAGE(AE285:AH285)</f>
        <v>84.711057888439157</v>
      </c>
      <c r="AI298" s="1097"/>
      <c r="AJ298" s="1097"/>
      <c r="AK298" s="1097"/>
      <c r="AL298" s="1097">
        <f ca="1">AVERAGE(AI285:AL285)</f>
        <v>86.178561906211186</v>
      </c>
      <c r="AM298" s="1097"/>
      <c r="AN298" s="1097"/>
      <c r="AO298" s="1097"/>
      <c r="AP298" s="1097">
        <f ca="1">AVERAGE(AM285:AP285)</f>
        <v>87.340671396108434</v>
      </c>
      <c r="AQ298" s="1097"/>
      <c r="AR298" s="1097"/>
      <c r="AS298" s="1097"/>
      <c r="AT298" s="1097">
        <f ca="1">AVERAGE(AQ285:AT285)</f>
        <v>88.03667249721164</v>
      </c>
      <c r="AU298" s="1097"/>
      <c r="AV298" s="1097"/>
      <c r="AW298" s="1097"/>
      <c r="AX298" s="1097">
        <f ca="1">AVERAGE(AU285:AX285)</f>
        <v>88.218608308351321</v>
      </c>
      <c r="AY298" s="1097"/>
      <c r="AZ298" s="1097"/>
      <c r="BA298" s="1097"/>
      <c r="BB298" s="1097">
        <f ca="1">AVERAGE(AY285:BB285)</f>
        <v>88.690421816184809</v>
      </c>
      <c r="BC298" s="1097"/>
      <c r="BD298" s="1097"/>
      <c r="BE298" s="1097"/>
      <c r="BF298" s="1097">
        <f ca="1">AVERAGE(BC285:BF285)</f>
        <v>90.309805588235491</v>
      </c>
      <c r="BG298" s="1097"/>
      <c r="BH298" s="1097"/>
      <c r="BI298" s="1097"/>
      <c r="BJ298" s="1097">
        <f ca="1">AVERAGE(BG285:BJ285)</f>
        <v>92.344884276019386</v>
      </c>
      <c r="BK298" s="1097"/>
      <c r="BL298" s="1097"/>
      <c r="BM298" s="1097"/>
      <c r="BN298" s="1097">
        <f ca="1">AVERAGE(BK285:BN285)</f>
        <v>94.423917545165281</v>
      </c>
      <c r="BO298" s="1097"/>
      <c r="BP298" s="1097"/>
      <c r="BQ298" s="1097"/>
      <c r="BR298" s="1097">
        <f ca="1">AVERAGE(BO285:BR285)</f>
        <v>95.852883426793568</v>
      </c>
      <c r="BS298" s="1097"/>
      <c r="BT298" s="1097"/>
      <c r="BU298" s="1097"/>
      <c r="BV298" s="1097">
        <f ca="1">AVERAGE(BS285:BV285)</f>
        <v>96.941371827037457</v>
      </c>
      <c r="BW298" s="1097"/>
      <c r="BX298" s="1097"/>
      <c r="BY298" s="1097"/>
      <c r="BZ298" s="1097">
        <f ca="1">AVERAGE(BW285:BZ285)</f>
        <v>97.859800174561116</v>
      </c>
      <c r="CA298" s="1097"/>
      <c r="CB298" s="1097"/>
      <c r="CC298" s="1097"/>
      <c r="CD298" s="1097">
        <f ca="1">AVERAGE(CA285:CD285)</f>
        <v>98.361470324423436</v>
      </c>
      <c r="CE298" s="1097"/>
      <c r="CF298" s="1097"/>
      <c r="CG298" s="909"/>
      <c r="CH298" s="1097">
        <f ca="1">AVERAGE(CE285:CH285)</f>
        <v>98.878159681401328</v>
      </c>
      <c r="CI298" s="1097"/>
      <c r="CJ298" s="1097"/>
      <c r="CK298" s="909"/>
      <c r="CL298" s="909">
        <f ca="1">AVERAGE(CI285:CL285)</f>
        <v>100.00037143018368</v>
      </c>
      <c r="CM298" s="909"/>
      <c r="CN298" s="909"/>
      <c r="CO298" s="909"/>
      <c r="CP298" s="909">
        <f ca="1">AVERAGE(CM285:CP285)</f>
        <v>101.05970173699379</v>
      </c>
      <c r="CQ298" s="909"/>
      <c r="CR298" s="909"/>
      <c r="CS298" s="909"/>
      <c r="CT298" s="909">
        <f ca="1">AVERAGE(CQ285:CT285)</f>
        <v>102.55401251859122</v>
      </c>
      <c r="CU298" s="909"/>
      <c r="CV298" s="909"/>
      <c r="CW298" s="909"/>
      <c r="CX298" s="909">
        <f ca="1">AVERAGE(CU285:CX285)</f>
        <v>103.77894091653447</v>
      </c>
      <c r="CY298" s="909"/>
      <c r="CZ298" s="909"/>
      <c r="DA298" s="909"/>
      <c r="DB298" s="909">
        <f ca="1">AVERAGE(CY285:DB285)</f>
        <v>105.25496116966167</v>
      </c>
      <c r="DC298" s="909"/>
      <c r="DD298" s="909"/>
      <c r="DE298" s="909"/>
      <c r="DF298" s="909">
        <f ca="1">AVERAGE(DC285:DF285)</f>
        <v>106.9836538861546</v>
      </c>
    </row>
    <row r="299" spans="1:110" customFormat="1">
      <c r="A299" s="701"/>
      <c r="B299" s="701" t="s">
        <v>1104</v>
      </c>
      <c r="C299" s="731"/>
      <c r="D299" s="1095"/>
      <c r="E299" s="1096" t="s">
        <v>1945</v>
      </c>
      <c r="F299" s="1095"/>
      <c r="G299" s="1097"/>
      <c r="H299" s="1097"/>
      <c r="I299" s="1097"/>
      <c r="J299" s="1097"/>
      <c r="K299" s="1097"/>
      <c r="L299" s="1097"/>
      <c r="M299" s="1097"/>
      <c r="N299" s="1097">
        <f>AVERAGE(K286:N286)</f>
        <v>79.961666666666673</v>
      </c>
      <c r="O299" s="1097"/>
      <c r="P299" s="1097">
        <f>AVERAGE(M286:P286)</f>
        <v>80.358333333333334</v>
      </c>
      <c r="Q299" s="1097"/>
      <c r="R299" s="1097">
        <f>AVERAGE(O286:R286)</f>
        <v>81.211666666666673</v>
      </c>
      <c r="S299" s="1097"/>
      <c r="T299" s="1097">
        <f>AVERAGE(Q286:T286)</f>
        <v>81.901666666666657</v>
      </c>
      <c r="U299" s="1097"/>
      <c r="V299" s="1097">
        <f>AVERAGE(S286:V286)</f>
        <v>82.127499999999998</v>
      </c>
      <c r="W299" s="1097"/>
      <c r="X299" s="1097">
        <f>AVERAGE(U286:X286)</f>
        <v>82.289166666666674</v>
      </c>
      <c r="Y299" s="1097"/>
      <c r="Z299" s="1097">
        <f>AVERAGE(W286:Z286)</f>
        <v>82.569166666666675</v>
      </c>
      <c r="AA299" s="1097"/>
      <c r="AB299" s="1097">
        <f>AVERAGE(Y286:AB286)</f>
        <v>82.82416666666667</v>
      </c>
      <c r="AC299" s="1097"/>
      <c r="AD299" s="1097">
        <f>AVERAGE(AA286:AD286)</f>
        <v>83.152500000000003</v>
      </c>
      <c r="AE299" s="1097"/>
      <c r="AF299" s="1097">
        <f>AVERAGE(AC286:AF286)</f>
        <v>83.730833333333351</v>
      </c>
      <c r="AG299" s="1097"/>
      <c r="AH299" s="1097">
        <f>AVERAGE(AE286:AH286)</f>
        <v>84.714166666666671</v>
      </c>
      <c r="AI299" s="1097"/>
      <c r="AJ299" s="1097">
        <f>AVERAGE(AG286:AJ286)</f>
        <v>85.58250000000001</v>
      </c>
      <c r="AK299" s="1097"/>
      <c r="AL299" s="1097">
        <f>AVERAGE(AI286:AL286)</f>
        <v>86.19083333333333</v>
      </c>
      <c r="AM299" s="1097"/>
      <c r="AN299" s="1097">
        <f>AVERAGE(AK286:AN286)</f>
        <v>86.843333333333334</v>
      </c>
      <c r="AO299" s="1097"/>
      <c r="AP299" s="1097">
        <f>AVERAGE(AM286:AP286)</f>
        <v>87.338333333333338</v>
      </c>
      <c r="AQ299" s="1097"/>
      <c r="AR299" s="1097">
        <f>AVERAGE(AO286:AR286)</f>
        <v>87.68416666666667</v>
      </c>
      <c r="AS299" s="1097"/>
      <c r="AT299" s="1097">
        <f>AVERAGE(AQ286:AT286)</f>
        <v>88.036666666666676</v>
      </c>
      <c r="AU299" s="1097"/>
      <c r="AV299" s="1097">
        <f>AVERAGE(AS286:AV286)</f>
        <v>88.151666666666671</v>
      </c>
      <c r="AW299" s="1097"/>
      <c r="AX299" s="1097">
        <f>AVERAGE(AU286:AX286)</f>
        <v>88.214999999999989</v>
      </c>
      <c r="AY299" s="1097"/>
      <c r="AZ299" s="1097">
        <f>AVERAGE(AW286:AZ286)</f>
        <v>88.414166666666659</v>
      </c>
      <c r="BA299" s="1097"/>
      <c r="BB299" s="1097">
        <f>AVERAGE(AY286:BB286)</f>
        <v>88.6875</v>
      </c>
      <c r="BC299" s="1097"/>
      <c r="BD299" s="1097">
        <f>AVERAGE(BA286:BD286)</f>
        <v>89.357500000000002</v>
      </c>
      <c r="BE299" s="1097"/>
      <c r="BF299" s="1097">
        <f>AVERAGE(BC286:BF286)</f>
        <v>90.305833333333339</v>
      </c>
      <c r="BG299" s="1097"/>
      <c r="BH299" s="1097">
        <f>AVERAGE(BE286:BH286)</f>
        <v>91.399166666666659</v>
      </c>
      <c r="BI299" s="1097"/>
      <c r="BJ299" s="1097">
        <f>AVERAGE(BG286:BJ286)</f>
        <v>92.342500000000001</v>
      </c>
      <c r="BK299" s="1097"/>
      <c r="BL299" s="1097">
        <f>AVERAGE(BI286:BL286)</f>
        <v>93.190833333333345</v>
      </c>
      <c r="BM299" s="1097"/>
      <c r="BN299" s="1097">
        <f>AVERAGE(BK286:BN286)</f>
        <v>94.422499999999999</v>
      </c>
      <c r="BO299" s="1097"/>
      <c r="BP299" s="1097">
        <f>AVERAGE(BM286:BP286)</f>
        <v>95.330000000000013</v>
      </c>
      <c r="BQ299" s="1097"/>
      <c r="BR299" s="1097">
        <f>AVERAGE(BO286:BR286)</f>
        <v>95.851666666666688</v>
      </c>
      <c r="BS299" s="1097"/>
      <c r="BT299" s="1097">
        <f>AVERAGE(BQ286:BT286)</f>
        <v>96.405000000000015</v>
      </c>
      <c r="BU299" s="1097"/>
      <c r="BV299" s="1097">
        <f>AVERAGE(BS286:BV286)</f>
        <v>96.940833333333345</v>
      </c>
      <c r="BW299" s="1097"/>
      <c r="BX299" s="1097">
        <f>AVERAGE(BU286:BX286)</f>
        <v>97.44250000000001</v>
      </c>
      <c r="BY299" s="1097"/>
      <c r="BZ299" s="1097">
        <f>AVERAGE(BW286:BZ286)</f>
        <v>97.865000000000009</v>
      </c>
      <c r="CA299" s="1097"/>
      <c r="CB299" s="1097">
        <f>AVERAGE(BY286:CB286)</f>
        <v>98.122500000000002</v>
      </c>
      <c r="CC299" s="1097"/>
      <c r="CD299" s="1097">
        <f>AVERAGE(CA286:CD286)</f>
        <v>98.360833333333332</v>
      </c>
      <c r="CE299" s="1097"/>
      <c r="CF299" s="1097">
        <f>AVERAGE(CC286:CF286)</f>
        <v>98.57416666666667</v>
      </c>
      <c r="CG299" s="909"/>
      <c r="CH299" s="1097">
        <f>AVERAGE(CE286:CH286)</f>
        <v>98.878333333333345</v>
      </c>
      <c r="CI299" s="1097"/>
      <c r="CJ299" s="1097">
        <f>AVERAGE(CG286:CJ286)</f>
        <v>99.380833333333328</v>
      </c>
      <c r="CK299" s="909"/>
      <c r="CL299" s="909">
        <f>AVERAGE(CI286:CL286)</f>
        <v>99.998333333333321</v>
      </c>
      <c r="CM299" s="909"/>
      <c r="CN299" s="1097">
        <f>AVERAGE(CK286:CN286)</f>
        <v>100.60916666666667</v>
      </c>
      <c r="CO299" s="909"/>
      <c r="CP299" s="909">
        <f>AVERAGE(CM286:CP286)</f>
        <v>101.06083333333333</v>
      </c>
      <c r="CQ299" s="909"/>
      <c r="CR299" s="1097">
        <f>AVERAGE(CO286:CR286)</f>
        <v>101.67416666666666</v>
      </c>
      <c r="CS299" s="909"/>
      <c r="CT299" s="909">
        <f>AVERAGE(CQ286:CT286)</f>
        <v>102.55250000000001</v>
      </c>
      <c r="CU299" s="909"/>
      <c r="CV299" s="1097">
        <f>AVERAGE(CS286:CV286)</f>
        <v>103.18666666666667</v>
      </c>
      <c r="CW299" s="1097">
        <f>AVERAGE(CT286:CW286)</f>
        <v>103.42999999999999</v>
      </c>
      <c r="CX299" s="909">
        <f ca="1">AVERAGE(CU286:CX286)</f>
        <v>103.77868574656189</v>
      </c>
      <c r="CY299" s="909"/>
      <c r="CZ299" s="1097">
        <f ca="1">AVERAGE(CW286:CZ286)</f>
        <v>104.48347624659371</v>
      </c>
      <c r="DA299" s="909"/>
      <c r="DB299" s="909">
        <f ca="1">AVERAGE(CY286:DB286)</f>
        <v>105.25470141515319</v>
      </c>
      <c r="DC299" s="909"/>
      <c r="DD299" s="1097">
        <f ca="1">AVERAGE(DA286:DD286)</f>
        <v>106.08440321771462</v>
      </c>
      <c r="DE299" s="909"/>
      <c r="DF299" s="909">
        <f ca="1">AVERAGE(DC286:DF286)</f>
        <v>106.98338858190908</v>
      </c>
    </row>
    <row r="300" spans="1:110" s="1041" customFormat="1" ht="10.15">
      <c r="A300" s="710"/>
      <c r="B300" s="710"/>
      <c r="C300" s="1045"/>
      <c r="D300" s="1046"/>
      <c r="E300" s="1047" t="s">
        <v>1097</v>
      </c>
      <c r="F300" s="1046"/>
      <c r="G300" s="1048"/>
      <c r="H300" s="1048"/>
      <c r="I300" s="1048"/>
      <c r="J300" s="1048"/>
      <c r="K300" s="2978"/>
      <c r="L300" s="2978"/>
      <c r="M300" s="2978"/>
      <c r="N300" s="2978">
        <f>(N299-N298)</f>
        <v>0</v>
      </c>
      <c r="O300" s="2978"/>
      <c r="P300" s="2978"/>
      <c r="Q300" s="2978"/>
      <c r="R300" s="2978">
        <f ca="1">(R299-R298)</f>
        <v>-1.9929110647467496E-3</v>
      </c>
      <c r="S300" s="2978"/>
      <c r="T300" s="2978"/>
      <c r="U300" s="2978"/>
      <c r="V300" s="2978">
        <f ca="1">(V299-V298)</f>
        <v>3.0465635478265085E-3</v>
      </c>
      <c r="W300" s="2978"/>
      <c r="X300" s="2978"/>
      <c r="Y300" s="2978"/>
      <c r="Z300" s="2978">
        <f ca="1">(Z299-Z298)</f>
        <v>9.4505255177068648E-4</v>
      </c>
      <c r="AA300" s="2978"/>
      <c r="AB300" s="2978"/>
      <c r="AC300" s="2978"/>
      <c r="AD300" s="2978">
        <f ca="1">(AD299-AD298)</f>
        <v>-4.4477302156593623E-3</v>
      </c>
      <c r="AE300" s="2978"/>
      <c r="AF300" s="2978"/>
      <c r="AG300" s="2978"/>
      <c r="AH300" s="2978">
        <f ca="1">(AH299-AH298)</f>
        <v>3.1087782275136533E-3</v>
      </c>
      <c r="AI300" s="2978"/>
      <c r="AJ300" s="2978"/>
      <c r="AK300" s="2978"/>
      <c r="AL300" s="2978">
        <f ca="1">(AL299-AL298)</f>
        <v>1.2271427122144019E-2</v>
      </c>
      <c r="AM300" s="2978"/>
      <c r="AN300" s="2978"/>
      <c r="AO300" s="2978"/>
      <c r="AP300" s="2978">
        <f ca="1">(AP299-AP298)</f>
        <v>-2.3380627750952954E-3</v>
      </c>
      <c r="AQ300" s="2978"/>
      <c r="AR300" s="2978"/>
      <c r="AS300" s="2978"/>
      <c r="AT300" s="2978">
        <f ca="1">(AT299-AT298)</f>
        <v>-5.8305449641693485E-6</v>
      </c>
      <c r="AU300" s="2978"/>
      <c r="AV300" s="2978"/>
      <c r="AW300" s="2978"/>
      <c r="AX300" s="2978">
        <f ca="1">(AX299-AX298)</f>
        <v>-3.608308351331857E-3</v>
      </c>
      <c r="AY300" s="2978"/>
      <c r="AZ300" s="2978"/>
      <c r="BA300" s="2978"/>
      <c r="BB300" s="2978">
        <f ca="1">(BB299-BB298)</f>
        <v>-2.921816184809245E-3</v>
      </c>
      <c r="BC300" s="2978"/>
      <c r="BD300" s="2978"/>
      <c r="BE300" s="2978"/>
      <c r="BF300" s="2978">
        <f ca="1">(BF299-BF298)</f>
        <v>-3.9722549021519171E-3</v>
      </c>
      <c r="BG300" s="2978"/>
      <c r="BH300" s="2978"/>
      <c r="BI300" s="2978"/>
      <c r="BJ300" s="2978">
        <f ca="1">(BJ299-BJ298)</f>
        <v>-2.3842760193844015E-3</v>
      </c>
      <c r="BK300" s="2978"/>
      <c r="BL300" s="2978"/>
      <c r="BM300" s="2978"/>
      <c r="BN300" s="2978">
        <f ca="1">(BN299-BN298)</f>
        <v>-1.4175451652818083E-3</v>
      </c>
      <c r="BO300" s="2978"/>
      <c r="BP300" s="2978"/>
      <c r="BQ300" s="2978"/>
      <c r="BR300" s="2978">
        <f ca="1">(BR299-BR298)</f>
        <v>-1.2167601268799899E-3</v>
      </c>
      <c r="BS300" s="2978"/>
      <c r="BT300" s="2978"/>
      <c r="BU300" s="2978"/>
      <c r="BV300" s="2978">
        <f ca="1">(BV299-BV298)</f>
        <v>-5.3849370411285236E-4</v>
      </c>
      <c r="BW300" s="2978"/>
      <c r="BX300" s="2978"/>
      <c r="BY300" s="2978"/>
      <c r="BZ300" s="2978">
        <f ca="1">(BZ299-BZ298)</f>
        <v>5.1998254388934129E-3</v>
      </c>
      <c r="CA300" s="2978"/>
      <c r="CB300" s="2978"/>
      <c r="CC300" s="2978"/>
      <c r="CD300" s="2978">
        <f ca="1">(CD299-CD298)</f>
        <v>-6.3699109010428856E-4</v>
      </c>
      <c r="CE300" s="2978"/>
      <c r="CF300" s="2978"/>
      <c r="CG300" s="2985"/>
      <c r="CH300" s="2978">
        <f ca="1">(CH299-CH298)</f>
        <v>1.7365193201612783E-4</v>
      </c>
      <c r="CI300" s="2978"/>
      <c r="CJ300" s="2978"/>
      <c r="CK300" s="2985"/>
      <c r="CL300" s="2978">
        <f ca="1">(CL299-CL298)</f>
        <v>-2.0380968503559416E-3</v>
      </c>
      <c r="CM300" s="2985"/>
      <c r="CN300" s="2985"/>
      <c r="CO300" s="2985"/>
      <c r="CP300" s="2978">
        <f ca="1">(CP299-CP298)</f>
        <v>1.1315963395475137E-3</v>
      </c>
      <c r="CQ300" s="2985"/>
      <c r="CR300" s="2985"/>
      <c r="CS300" s="2985"/>
      <c r="CT300" s="2978">
        <f ca="1">(CT299-CT298)</f>
        <v>-1.5125185912125971E-3</v>
      </c>
      <c r="CU300" s="2985"/>
      <c r="CV300" s="2985"/>
      <c r="CW300" s="2985"/>
      <c r="CX300" s="2978">
        <f ca="1">(CX299-CX298)</f>
        <v>-2.5516997257568619E-4</v>
      </c>
      <c r="CY300" s="2985"/>
      <c r="CZ300" s="2985"/>
      <c r="DA300" s="2985"/>
      <c r="DB300" s="2978">
        <f ca="1">(DB299-DB298)</f>
        <v>-2.5975450847681714E-4</v>
      </c>
      <c r="DC300" s="2985"/>
      <c r="DD300" s="2985"/>
      <c r="DE300" s="2985"/>
      <c r="DF300" s="2978">
        <f ca="1">(DF299-DF298)</f>
        <v>-2.6530424551651777E-4</v>
      </c>
    </row>
    <row r="301" spans="1:110">
      <c r="AY301" s="217"/>
      <c r="BA301" s="217"/>
      <c r="BB301" s="217"/>
      <c r="BC301" s="217"/>
      <c r="BD301" s="217"/>
      <c r="BE301" s="217"/>
      <c r="BF301" s="217"/>
      <c r="BG301" s="217"/>
      <c r="BH301" s="217"/>
      <c r="BI301" s="217"/>
      <c r="BJ301" s="217"/>
      <c r="BK301" s="217"/>
      <c r="BL301" s="217"/>
      <c r="BM301" s="217"/>
      <c r="BN301" s="217"/>
      <c r="BO301" s="217"/>
      <c r="BP301" s="217"/>
      <c r="BQ301" s="217"/>
      <c r="BR301" s="217"/>
      <c r="BS301" s="217"/>
      <c r="BT301" s="217"/>
      <c r="BU301" s="217"/>
      <c r="BV301" s="217"/>
      <c r="BW301" s="217"/>
      <c r="BX301" s="217"/>
      <c r="BY301" s="217"/>
      <c r="BZ301" s="217"/>
      <c r="CA301" s="217"/>
      <c r="CB301" s="217"/>
      <c r="CC301" s="217"/>
      <c r="CD301" s="217"/>
      <c r="CE301" s="217"/>
      <c r="CF301" s="217"/>
      <c r="CH301" s="217"/>
      <c r="CI301" s="217"/>
      <c r="CJ301" s="217"/>
    </row>
    <row r="302" spans="1:110" s="736" customFormat="1" ht="12.75" customHeight="1">
      <c r="A302" s="701"/>
      <c r="B302" s="701"/>
      <c r="C302" s="703"/>
      <c r="D302" s="732"/>
      <c r="E302" s="733" t="s">
        <v>569</v>
      </c>
      <c r="F302" s="734"/>
      <c r="G302" s="1618" t="s">
        <v>131</v>
      </c>
      <c r="H302" s="1619" t="s">
        <v>132</v>
      </c>
      <c r="I302" s="1619" t="s">
        <v>133</v>
      </c>
      <c r="J302" s="1619" t="s">
        <v>134</v>
      </c>
      <c r="K302" s="1619" t="s">
        <v>131</v>
      </c>
      <c r="L302" s="1619" t="s">
        <v>132</v>
      </c>
      <c r="M302" s="1619" t="s">
        <v>133</v>
      </c>
      <c r="N302" s="1619" t="s">
        <v>134</v>
      </c>
      <c r="O302" s="1619" t="s">
        <v>131</v>
      </c>
      <c r="P302" s="1619" t="s">
        <v>132</v>
      </c>
      <c r="Q302" s="1619" t="s">
        <v>133</v>
      </c>
      <c r="R302" s="1619" t="s">
        <v>134</v>
      </c>
      <c r="S302" s="1619" t="s">
        <v>131</v>
      </c>
      <c r="T302" s="1619" t="s">
        <v>132</v>
      </c>
      <c r="U302" s="1619" t="s">
        <v>133</v>
      </c>
      <c r="V302" s="1619" t="s">
        <v>134</v>
      </c>
      <c r="W302" s="1619" t="s">
        <v>131</v>
      </c>
      <c r="X302" s="1619" t="s">
        <v>132</v>
      </c>
      <c r="Y302" s="1619" t="s">
        <v>133</v>
      </c>
      <c r="Z302" s="1619" t="s">
        <v>134</v>
      </c>
      <c r="AA302" s="1619" t="s">
        <v>131</v>
      </c>
      <c r="AB302" s="1619" t="s">
        <v>132</v>
      </c>
      <c r="AC302" s="1619" t="s">
        <v>133</v>
      </c>
      <c r="AD302" s="1619" t="s">
        <v>134</v>
      </c>
      <c r="AE302" s="1619" t="s">
        <v>131</v>
      </c>
      <c r="AF302" s="1619" t="s">
        <v>132</v>
      </c>
      <c r="AG302" s="1619" t="s">
        <v>133</v>
      </c>
      <c r="AH302" s="1619" t="s">
        <v>134</v>
      </c>
      <c r="AI302" s="1619" t="s">
        <v>131</v>
      </c>
      <c r="AJ302" s="1619" t="s">
        <v>132</v>
      </c>
      <c r="AK302" s="1619" t="s">
        <v>133</v>
      </c>
      <c r="AL302" s="1619" t="s">
        <v>134</v>
      </c>
      <c r="AM302" s="1619" t="s">
        <v>131</v>
      </c>
      <c r="AN302" s="1619" t="s">
        <v>132</v>
      </c>
      <c r="AO302" s="1619" t="s">
        <v>133</v>
      </c>
      <c r="AP302" s="1619" t="s">
        <v>134</v>
      </c>
      <c r="AQ302" s="1619" t="s">
        <v>131</v>
      </c>
      <c r="AR302" s="1619" t="s">
        <v>132</v>
      </c>
      <c r="AS302" s="1619" t="s">
        <v>133</v>
      </c>
      <c r="AT302" s="1619" t="s">
        <v>134</v>
      </c>
      <c r="AU302" s="1619" t="s">
        <v>131</v>
      </c>
      <c r="AV302" s="1619" t="s">
        <v>132</v>
      </c>
      <c r="AW302" s="1619" t="s">
        <v>133</v>
      </c>
      <c r="AX302" s="1619" t="s">
        <v>134</v>
      </c>
      <c r="AY302" s="1619" t="s">
        <v>131</v>
      </c>
      <c r="AZ302" s="1619" t="s">
        <v>132</v>
      </c>
      <c r="BA302" s="1619" t="s">
        <v>133</v>
      </c>
      <c r="BB302" s="1619" t="s">
        <v>134</v>
      </c>
      <c r="BC302" s="1619" t="s">
        <v>131</v>
      </c>
      <c r="BD302" s="1619" t="s">
        <v>132</v>
      </c>
      <c r="BE302" s="1619" t="s">
        <v>133</v>
      </c>
      <c r="BF302" s="1619" t="s">
        <v>134</v>
      </c>
      <c r="BG302" s="1619" t="s">
        <v>131</v>
      </c>
      <c r="BH302" s="1619" t="s">
        <v>132</v>
      </c>
      <c r="BI302" s="1619" t="s">
        <v>133</v>
      </c>
      <c r="BJ302" s="1619" t="s">
        <v>134</v>
      </c>
      <c r="BK302" s="1619" t="s">
        <v>131</v>
      </c>
      <c r="BL302" s="1619" t="s">
        <v>132</v>
      </c>
      <c r="BM302" s="1619" t="s">
        <v>133</v>
      </c>
      <c r="BN302" s="1619" t="s">
        <v>134</v>
      </c>
      <c r="BO302" s="1619" t="s">
        <v>131</v>
      </c>
      <c r="BP302" s="1619" t="s">
        <v>132</v>
      </c>
      <c r="BQ302" s="1619" t="s">
        <v>133</v>
      </c>
      <c r="BR302" s="1619" t="s">
        <v>134</v>
      </c>
      <c r="BS302" s="1619" t="s">
        <v>131</v>
      </c>
      <c r="BT302" s="1619" t="s">
        <v>132</v>
      </c>
      <c r="BU302" s="1619" t="s">
        <v>133</v>
      </c>
      <c r="BV302" s="3237" t="s">
        <v>134</v>
      </c>
      <c r="BW302" s="1619" t="s">
        <v>131</v>
      </c>
      <c r="BX302" s="1619" t="s">
        <v>132</v>
      </c>
      <c r="BY302" s="1619" t="s">
        <v>133</v>
      </c>
      <c r="BZ302" s="3237" t="s">
        <v>134</v>
      </c>
      <c r="CA302" s="1619" t="s">
        <v>131</v>
      </c>
      <c r="CB302" s="1619" t="s">
        <v>132</v>
      </c>
      <c r="CC302" s="1619" t="s">
        <v>133</v>
      </c>
      <c r="CD302" s="3237" t="s">
        <v>134</v>
      </c>
      <c r="CE302" s="1619" t="s">
        <v>131</v>
      </c>
      <c r="CF302" s="1619" t="s">
        <v>132</v>
      </c>
      <c r="CG302" s="3237" t="s">
        <v>133</v>
      </c>
      <c r="CH302" s="3237" t="s">
        <v>134</v>
      </c>
      <c r="CI302" s="1619" t="s">
        <v>131</v>
      </c>
      <c r="CJ302" s="1619" t="s">
        <v>132</v>
      </c>
      <c r="CK302" s="3237" t="s">
        <v>133</v>
      </c>
      <c r="CL302" s="3237" t="s">
        <v>134</v>
      </c>
      <c r="CM302" s="3237" t="s">
        <v>131</v>
      </c>
      <c r="CN302" s="3237" t="s">
        <v>132</v>
      </c>
      <c r="CO302" s="3237" t="s">
        <v>133</v>
      </c>
      <c r="CP302" s="3237" t="s">
        <v>134</v>
      </c>
      <c r="CQ302" s="3237" t="s">
        <v>131</v>
      </c>
      <c r="CR302" s="3237" t="s">
        <v>132</v>
      </c>
      <c r="CS302" s="3237" t="s">
        <v>133</v>
      </c>
      <c r="CT302" s="3237" t="s">
        <v>134</v>
      </c>
      <c r="CU302" s="3237" t="s">
        <v>131</v>
      </c>
      <c r="CV302" s="3237" t="s">
        <v>132</v>
      </c>
      <c r="CW302" s="3237" t="s">
        <v>133</v>
      </c>
      <c r="CX302" s="3237" t="s">
        <v>134</v>
      </c>
      <c r="CY302" s="3237" t="s">
        <v>131</v>
      </c>
      <c r="CZ302" s="3237" t="s">
        <v>132</v>
      </c>
      <c r="DA302" s="3237" t="s">
        <v>133</v>
      </c>
      <c r="DB302" s="3237" t="s">
        <v>134</v>
      </c>
      <c r="DC302" s="3237" t="s">
        <v>131</v>
      </c>
      <c r="DD302" s="3237" t="s">
        <v>132</v>
      </c>
      <c r="DE302" s="3237" t="s">
        <v>133</v>
      </c>
      <c r="DF302" s="3237" t="s">
        <v>134</v>
      </c>
    </row>
    <row r="303" spans="1:110" s="736" customFormat="1" ht="12.75" customHeight="1">
      <c r="A303" s="701" t="str">
        <f>"Y" &amp; ROW(InputY!A270)</f>
        <v>Y270</v>
      </c>
      <c r="B303" s="701" t="s">
        <v>1098</v>
      </c>
      <c r="C303" s="1611"/>
      <c r="D303" s="705"/>
      <c r="E303" s="737" t="str">
        <f>+E277</f>
        <v>Non-energy industrial goods</v>
      </c>
      <c r="F303" s="738"/>
      <c r="G303" s="817"/>
      <c r="H303" s="817"/>
      <c r="I303" s="817"/>
      <c r="J303" s="817">
        <f ca="1">OFFSET(InputY!$G270,0,(COLUMN()-10)/4)</f>
        <v>0</v>
      </c>
      <c r="K303" s="817">
        <f ca="1">OFFSET(InputY!$G270,0,(COLUMN()-7)/4)</f>
        <v>289.51</v>
      </c>
      <c r="L303" s="817">
        <f ca="1">+K303</f>
        <v>289.51</v>
      </c>
      <c r="M303" s="817">
        <f ca="1">+L303</f>
        <v>289.51</v>
      </c>
      <c r="N303" s="817">
        <f ca="1">+M303</f>
        <v>289.51</v>
      </c>
      <c r="O303" s="817">
        <f ca="1">OFFSET(InputY!$G270,0,(COLUMN()-7)/4)</f>
        <v>284.02</v>
      </c>
      <c r="P303" s="817">
        <f t="shared" ref="P303:R307" ca="1" si="1225">+O303</f>
        <v>284.02</v>
      </c>
      <c r="Q303" s="817">
        <f t="shared" ca="1" si="1225"/>
        <v>284.02</v>
      </c>
      <c r="R303" s="817">
        <f t="shared" ca="1" si="1225"/>
        <v>284.02</v>
      </c>
      <c r="S303" s="817">
        <f ca="1">OFFSET(InputY!$G270,0,(COLUMN()-7)/4)</f>
        <v>287.75</v>
      </c>
      <c r="T303" s="817">
        <f t="shared" ref="T303:V307" ca="1" si="1226">+S303</f>
        <v>287.75</v>
      </c>
      <c r="U303" s="817">
        <f t="shared" ca="1" si="1226"/>
        <v>287.75</v>
      </c>
      <c r="V303" s="817">
        <f t="shared" ca="1" si="1226"/>
        <v>287.75</v>
      </c>
      <c r="W303" s="817">
        <f ca="1">OFFSET(InputY!$G270,0,(COLUMN()-7)/4)</f>
        <v>299.40000000000003</v>
      </c>
      <c r="X303" s="817">
        <f t="shared" ref="X303:Z307" ca="1" si="1227">+W303</f>
        <v>299.40000000000003</v>
      </c>
      <c r="Y303" s="817">
        <f t="shared" ca="1" si="1227"/>
        <v>299.40000000000003</v>
      </c>
      <c r="Z303" s="817">
        <f t="shared" ca="1" si="1227"/>
        <v>299.40000000000003</v>
      </c>
      <c r="AA303" s="817">
        <f ca="1">OFFSET(InputY!$G270,0,(COLUMN()-7)/4)</f>
        <v>296.05</v>
      </c>
      <c r="AB303" s="817">
        <f t="shared" ref="AB303:AD307" ca="1" si="1228">+AA303</f>
        <v>296.05</v>
      </c>
      <c r="AC303" s="817">
        <f t="shared" ca="1" si="1228"/>
        <v>296.05</v>
      </c>
      <c r="AD303" s="817">
        <f t="shared" ca="1" si="1228"/>
        <v>296.05</v>
      </c>
      <c r="AE303" s="817">
        <f ca="1">OFFSET(InputY!$G270,0,(COLUMN()-7)/4)</f>
        <v>300.08</v>
      </c>
      <c r="AF303" s="817">
        <f t="shared" ref="AF303:AH307" ca="1" si="1229">+AE303</f>
        <v>300.08</v>
      </c>
      <c r="AG303" s="817">
        <f t="shared" ca="1" si="1229"/>
        <v>300.08</v>
      </c>
      <c r="AH303" s="817">
        <f t="shared" ca="1" si="1229"/>
        <v>300.08</v>
      </c>
      <c r="AI303" s="817">
        <f ca="1">OFFSET(InputY!$G270,0,(COLUMN()-7)/4)</f>
        <v>289.69</v>
      </c>
      <c r="AJ303" s="817">
        <f t="shared" ref="AJ303:AL307" ca="1" si="1230">+AI303</f>
        <v>289.69</v>
      </c>
      <c r="AK303" s="817">
        <f t="shared" ca="1" si="1230"/>
        <v>289.69</v>
      </c>
      <c r="AL303" s="817">
        <f t="shared" ca="1" si="1230"/>
        <v>289.69</v>
      </c>
      <c r="AM303" s="817">
        <f ca="1">OFFSET(InputY!$G270,0,(COLUMN()-7)/4)</f>
        <v>295.95999999999998</v>
      </c>
      <c r="AN303" s="817">
        <f t="shared" ref="AN303:AP307" ca="1" si="1231">+AM303</f>
        <v>295.95999999999998</v>
      </c>
      <c r="AO303" s="817">
        <f t="shared" ca="1" si="1231"/>
        <v>295.95999999999998</v>
      </c>
      <c r="AP303" s="817">
        <f t="shared" ca="1" si="1231"/>
        <v>295.95999999999998</v>
      </c>
      <c r="AQ303" s="817">
        <f ca="1">OFFSET(InputY!$G270,0,(COLUMN()-7)/4)</f>
        <v>293.8</v>
      </c>
      <c r="AR303" s="817">
        <f t="shared" ref="AR303:AT307" ca="1" si="1232">+AQ303</f>
        <v>293.8</v>
      </c>
      <c r="AS303" s="817">
        <f t="shared" ca="1" si="1232"/>
        <v>293.8</v>
      </c>
      <c r="AT303" s="817">
        <f t="shared" ca="1" si="1232"/>
        <v>293.8</v>
      </c>
      <c r="AU303" s="817">
        <f ca="1">OFFSET(InputY!$G270,0,(COLUMN()-7)/4)</f>
        <v>290.76</v>
      </c>
      <c r="AV303" s="817">
        <f t="shared" ref="AV303:AX307" ca="1" si="1233">+AU303</f>
        <v>290.76</v>
      </c>
      <c r="AW303" s="817">
        <f t="shared" ca="1" si="1233"/>
        <v>290.76</v>
      </c>
      <c r="AX303" s="817">
        <f t="shared" ca="1" si="1233"/>
        <v>290.76</v>
      </c>
      <c r="AY303" s="817">
        <f ca="1">OFFSET(InputY!$G270,0,(COLUMN()-7)/4)</f>
        <v>286.68</v>
      </c>
      <c r="AZ303" s="817">
        <f t="shared" ref="AZ303:BB307" ca="1" si="1234">+AY303</f>
        <v>286.68</v>
      </c>
      <c r="BA303" s="817">
        <f t="shared" ca="1" si="1234"/>
        <v>286.68</v>
      </c>
      <c r="BB303" s="817">
        <f t="shared" ca="1" si="1234"/>
        <v>286.68</v>
      </c>
      <c r="BC303" s="817">
        <f ca="1">OFFSET(InputY!$G270,0,(COLUMN()-7)/4)</f>
        <v>290.74</v>
      </c>
      <c r="BD303" s="817">
        <f t="shared" ref="BD303:BF307" ca="1" si="1235">+BC303</f>
        <v>290.74</v>
      </c>
      <c r="BE303" s="817">
        <f t="shared" ca="1" si="1235"/>
        <v>290.74</v>
      </c>
      <c r="BF303" s="817">
        <f t="shared" ca="1" si="1235"/>
        <v>290.74</v>
      </c>
      <c r="BG303" s="817">
        <f ca="1">OFFSET(InputY!$G270,0,(COLUMN()-7)/4)</f>
        <v>291.77999999999997</v>
      </c>
      <c r="BH303" s="817">
        <f t="shared" ref="BH303:BJ307" ca="1" si="1236">+BG303</f>
        <v>291.77999999999997</v>
      </c>
      <c r="BI303" s="817">
        <f t="shared" ca="1" si="1236"/>
        <v>291.77999999999997</v>
      </c>
      <c r="BJ303" s="817">
        <f t="shared" ca="1" si="1236"/>
        <v>291.77999999999997</v>
      </c>
      <c r="BK303" s="817">
        <f ca="1">OFFSET(InputY!$G270,0,(COLUMN()-7)/4)</f>
        <v>291.61</v>
      </c>
      <c r="BL303" s="817">
        <f t="shared" ref="BL303:BN307" ca="1" si="1237">+BK303</f>
        <v>291.61</v>
      </c>
      <c r="BM303" s="817">
        <f t="shared" ca="1" si="1237"/>
        <v>291.61</v>
      </c>
      <c r="BN303" s="817">
        <f t="shared" ca="1" si="1237"/>
        <v>291.61</v>
      </c>
      <c r="BO303" s="817">
        <f ca="1">OFFSET(InputY!$G270,0,(COLUMN()-7)/4)</f>
        <v>285.77</v>
      </c>
      <c r="BP303" s="817">
        <f t="shared" ref="BP303:BR307" ca="1" si="1238">+BO303</f>
        <v>285.77</v>
      </c>
      <c r="BQ303" s="817">
        <f t="shared" ca="1" si="1238"/>
        <v>285.77</v>
      </c>
      <c r="BR303" s="817">
        <f t="shared" ca="1" si="1238"/>
        <v>285.77</v>
      </c>
      <c r="BS303" s="817">
        <f ca="1">OFFSET(InputY!$G270,0,(COLUMN()-7)/4)</f>
        <v>277.3</v>
      </c>
      <c r="BT303" s="817">
        <f t="shared" ref="BT303:BV307" ca="1" si="1239">+BS303</f>
        <v>277.3</v>
      </c>
      <c r="BU303" s="817">
        <f t="shared" ca="1" si="1239"/>
        <v>277.3</v>
      </c>
      <c r="BV303" s="743">
        <f t="shared" ca="1" si="1239"/>
        <v>277.3</v>
      </c>
      <c r="BW303" s="817">
        <f ca="1">OFFSET(InputY!$G270,0,(COLUMN()-7)/4)</f>
        <v>284</v>
      </c>
      <c r="BX303" s="817">
        <f t="shared" ref="BX303:BZ307" ca="1" si="1240">+BW303</f>
        <v>284</v>
      </c>
      <c r="BY303" s="817">
        <f t="shared" ca="1" si="1240"/>
        <v>284</v>
      </c>
      <c r="BZ303" s="743">
        <f t="shared" ca="1" si="1240"/>
        <v>284</v>
      </c>
      <c r="CA303" s="817">
        <f ca="1">OFFSET(InputY!$G270,0,(COLUMN()-7)/4)</f>
        <v>280.81</v>
      </c>
      <c r="CB303" s="817">
        <f t="shared" ref="CB303:CJ307" ca="1" si="1241">+CA303</f>
        <v>280.81</v>
      </c>
      <c r="CC303" s="817">
        <f t="shared" ca="1" si="1241"/>
        <v>280.81</v>
      </c>
      <c r="CD303" s="743">
        <f t="shared" ca="1" si="1241"/>
        <v>280.81</v>
      </c>
      <c r="CE303" s="817">
        <f ca="1">OFFSET(InputY!$G270,0,(COLUMN()-7)/4)</f>
        <v>277.39999999999998</v>
      </c>
      <c r="CF303" s="817">
        <f t="shared" ca="1" si="1241"/>
        <v>277.39999999999998</v>
      </c>
      <c r="CG303" s="817">
        <f ca="1">+CF303</f>
        <v>277.39999999999998</v>
      </c>
      <c r="CH303" s="743">
        <f t="shared" ca="1" si="1241"/>
        <v>277.39999999999998</v>
      </c>
      <c r="CI303" s="817">
        <f ca="1">OFFSET(InputY!$G270,0,(COLUMN()-7)/4)</f>
        <v>276.72000000000003</v>
      </c>
      <c r="CJ303" s="817">
        <f t="shared" ca="1" si="1241"/>
        <v>276.72000000000003</v>
      </c>
      <c r="CK303" s="817">
        <f t="shared" ref="CK303:CK307" ca="1" si="1242">+CJ303</f>
        <v>276.72000000000003</v>
      </c>
      <c r="CL303" s="817">
        <f t="shared" ref="CL303:CL307" ca="1" si="1243">+CK303</f>
        <v>276.72000000000003</v>
      </c>
      <c r="CM303" s="817">
        <f ca="1">OFFSET(InputY!$G270,0,(COLUMN()-7)/4)</f>
        <v>286.07</v>
      </c>
      <c r="CN303" s="817">
        <f t="shared" ref="CN303:CP307" ca="1" si="1244">+CM303</f>
        <v>286.07</v>
      </c>
      <c r="CO303" s="817">
        <f t="shared" ca="1" si="1244"/>
        <v>286.07</v>
      </c>
      <c r="CP303" s="817">
        <f t="shared" ca="1" si="1244"/>
        <v>286.07</v>
      </c>
      <c r="CQ303" s="817">
        <f ca="1">OFFSET(InputY!$G270,0,(COLUMN()-7)/4)</f>
        <v>291.72000000000003</v>
      </c>
      <c r="CR303" s="817">
        <f t="shared" ref="CR303:CR304" ca="1" si="1245">+CQ303</f>
        <v>291.72000000000003</v>
      </c>
      <c r="CS303" s="817">
        <f t="shared" ref="CS303:CS307" ca="1" si="1246">+CR303</f>
        <v>291.72000000000003</v>
      </c>
      <c r="CT303" s="817">
        <f t="shared" ref="CT303:CT307" ca="1" si="1247">+CS303</f>
        <v>291.72000000000003</v>
      </c>
      <c r="CU303" s="817">
        <f ca="1">OFFSET(InputY!$G270,0,(COLUMN()-7)/4)</f>
        <v>290.10000000000002</v>
      </c>
      <c r="CV303" s="817">
        <f t="shared" ref="CV303:CW304" ca="1" si="1248">+CU303</f>
        <v>290.10000000000002</v>
      </c>
      <c r="CW303" s="817">
        <f t="shared" ca="1" si="1248"/>
        <v>290.10000000000002</v>
      </c>
      <c r="CX303" s="3240">
        <f t="shared" ref="CX303:CX307" ca="1" si="1249">+CW303</f>
        <v>290.10000000000002</v>
      </c>
      <c r="CY303" s="3243">
        <f ca="1">CU303</f>
        <v>290.10000000000002</v>
      </c>
      <c r="CZ303" s="3240">
        <f t="shared" ref="CZ303:CZ307" ca="1" si="1250">+CY303</f>
        <v>290.10000000000002</v>
      </c>
      <c r="DA303" s="3240">
        <f t="shared" ref="DA303:DA307" ca="1" si="1251">+CZ303</f>
        <v>290.10000000000002</v>
      </c>
      <c r="DB303" s="3240">
        <f t="shared" ref="DB303:DB307" ca="1" si="1252">+DA303</f>
        <v>290.10000000000002</v>
      </c>
      <c r="DC303" s="3243">
        <f ca="1">CY303</f>
        <v>290.10000000000002</v>
      </c>
      <c r="DD303" s="3240">
        <f t="shared" ref="DD303:DD307" ca="1" si="1253">+DC303</f>
        <v>290.10000000000002</v>
      </c>
      <c r="DE303" s="3240">
        <f t="shared" ref="DE303:DE307" ca="1" si="1254">+DD303</f>
        <v>290.10000000000002</v>
      </c>
      <c r="DF303" s="3240">
        <f t="shared" ref="DF303:DF307" ca="1" si="1255">+DE303</f>
        <v>290.10000000000002</v>
      </c>
    </row>
    <row r="304" spans="1:110" s="736" customFormat="1" ht="12.75" customHeight="1">
      <c r="A304" s="701" t="str">
        <f>"Y" &amp; ROW(InputY!A271)</f>
        <v>Y271</v>
      </c>
      <c r="B304" s="701" t="s">
        <v>1099</v>
      </c>
      <c r="C304" s="1612"/>
      <c r="D304" s="711"/>
      <c r="E304" s="820" t="str">
        <f>+E278</f>
        <v>Energy</v>
      </c>
      <c r="F304" s="741"/>
      <c r="G304" s="743"/>
      <c r="H304" s="743"/>
      <c r="I304" s="743"/>
      <c r="J304" s="743">
        <f ca="1">OFFSET(InputY!$G271,0,(COLUMN()-10)/4)</f>
        <v>0</v>
      </c>
      <c r="K304" s="743">
        <f ca="1">OFFSET(InputY!$G271,0,(COLUMN()-7)/4)</f>
        <v>123.93</v>
      </c>
      <c r="L304" s="743">
        <f t="shared" ref="L304:N307" ca="1" si="1256">+K304</f>
        <v>123.93</v>
      </c>
      <c r="M304" s="743">
        <f t="shared" ca="1" si="1256"/>
        <v>123.93</v>
      </c>
      <c r="N304" s="743">
        <f t="shared" ca="1" si="1256"/>
        <v>123.93</v>
      </c>
      <c r="O304" s="743">
        <f ca="1">OFFSET(InputY!$G271,0,(COLUMN()-7)/4)</f>
        <v>126.76</v>
      </c>
      <c r="P304" s="743">
        <f t="shared" ca="1" si="1225"/>
        <v>126.76</v>
      </c>
      <c r="Q304" s="743">
        <f t="shared" ca="1" si="1225"/>
        <v>126.76</v>
      </c>
      <c r="R304" s="743">
        <f t="shared" ca="1" si="1225"/>
        <v>126.76</v>
      </c>
      <c r="S304" s="743">
        <f ca="1">OFFSET(InputY!$G271,0,(COLUMN()-7)/4)</f>
        <v>121.05</v>
      </c>
      <c r="T304" s="743">
        <f t="shared" ca="1" si="1226"/>
        <v>121.05</v>
      </c>
      <c r="U304" s="743">
        <f t="shared" ca="1" si="1226"/>
        <v>121.05</v>
      </c>
      <c r="V304" s="743">
        <f t="shared" ca="1" si="1226"/>
        <v>121.05</v>
      </c>
      <c r="W304" s="743">
        <f ca="1">OFFSET(InputY!$G271,0,(COLUMN()-7)/4)</f>
        <v>113.52</v>
      </c>
      <c r="X304" s="743">
        <f t="shared" ca="1" si="1227"/>
        <v>113.52</v>
      </c>
      <c r="Y304" s="743">
        <f t="shared" ca="1" si="1227"/>
        <v>113.52</v>
      </c>
      <c r="Z304" s="743">
        <f t="shared" ca="1" si="1227"/>
        <v>113.52</v>
      </c>
      <c r="AA304" s="743">
        <f ca="1">OFFSET(InputY!$G271,0,(COLUMN()-7)/4)</f>
        <v>118.1</v>
      </c>
      <c r="AB304" s="743">
        <f t="shared" ca="1" si="1228"/>
        <v>118.1</v>
      </c>
      <c r="AC304" s="743">
        <f t="shared" ca="1" si="1228"/>
        <v>118.1</v>
      </c>
      <c r="AD304" s="743">
        <f t="shared" ca="1" si="1228"/>
        <v>118.1</v>
      </c>
      <c r="AE304" s="743">
        <f ca="1">OFFSET(InputY!$G271,0,(COLUMN()-7)/4)</f>
        <v>111.07</v>
      </c>
      <c r="AF304" s="743">
        <f t="shared" ca="1" si="1229"/>
        <v>111.07</v>
      </c>
      <c r="AG304" s="743">
        <f t="shared" ca="1" si="1229"/>
        <v>111.07</v>
      </c>
      <c r="AH304" s="743">
        <f t="shared" ca="1" si="1229"/>
        <v>111.07</v>
      </c>
      <c r="AI304" s="743">
        <f ca="1">OFFSET(InputY!$G271,0,(COLUMN()-7)/4)</f>
        <v>115.41</v>
      </c>
      <c r="AJ304" s="743">
        <f t="shared" ca="1" si="1230"/>
        <v>115.41</v>
      </c>
      <c r="AK304" s="743">
        <f t="shared" ca="1" si="1230"/>
        <v>115.41</v>
      </c>
      <c r="AL304" s="743">
        <f t="shared" ca="1" si="1230"/>
        <v>115.41</v>
      </c>
      <c r="AM304" s="743">
        <f ca="1">OFFSET(InputY!$G271,0,(COLUMN()-7)/4)</f>
        <v>115.9</v>
      </c>
      <c r="AN304" s="743">
        <f t="shared" ca="1" si="1231"/>
        <v>115.9</v>
      </c>
      <c r="AO304" s="743">
        <f t="shared" ca="1" si="1231"/>
        <v>115.9</v>
      </c>
      <c r="AP304" s="743">
        <f t="shared" ca="1" si="1231"/>
        <v>115.9</v>
      </c>
      <c r="AQ304" s="743">
        <f ca="1">OFFSET(InputY!$G271,0,(COLUMN()-7)/4)</f>
        <v>122.96</v>
      </c>
      <c r="AR304" s="743">
        <f t="shared" ca="1" si="1232"/>
        <v>122.96</v>
      </c>
      <c r="AS304" s="743">
        <f t="shared" ca="1" si="1232"/>
        <v>122.96</v>
      </c>
      <c r="AT304" s="743">
        <f t="shared" ca="1" si="1232"/>
        <v>122.96</v>
      </c>
      <c r="AU304" s="743">
        <f ca="1">OFFSET(InputY!$G271,0,(COLUMN()-7)/4)</f>
        <v>117.64</v>
      </c>
      <c r="AV304" s="743">
        <f t="shared" ca="1" si="1233"/>
        <v>117.64</v>
      </c>
      <c r="AW304" s="743">
        <f t="shared" ca="1" si="1233"/>
        <v>117.64</v>
      </c>
      <c r="AX304" s="743">
        <f t="shared" ca="1" si="1233"/>
        <v>117.64</v>
      </c>
      <c r="AY304" s="743">
        <f ca="1">OFFSET(InputY!$G271,0,(COLUMN()-7)/4)</f>
        <v>126.07</v>
      </c>
      <c r="AZ304" s="743">
        <f t="shared" ca="1" si="1234"/>
        <v>126.07</v>
      </c>
      <c r="BA304" s="743">
        <f t="shared" ca="1" si="1234"/>
        <v>126.07</v>
      </c>
      <c r="BB304" s="743">
        <f t="shared" ca="1" si="1234"/>
        <v>126.07</v>
      </c>
      <c r="BC304" s="743">
        <f ca="1">OFFSET(InputY!$G271,0,(COLUMN()-7)/4)</f>
        <v>122.91</v>
      </c>
      <c r="BD304" s="743">
        <f t="shared" ca="1" si="1235"/>
        <v>122.91</v>
      </c>
      <c r="BE304" s="743">
        <f t="shared" ca="1" si="1235"/>
        <v>122.91</v>
      </c>
      <c r="BF304" s="743">
        <f t="shared" ca="1" si="1235"/>
        <v>122.91</v>
      </c>
      <c r="BG304" s="743">
        <f ca="1">OFFSET(InputY!$G271,0,(COLUMN()-7)/4)</f>
        <v>114.62</v>
      </c>
      <c r="BH304" s="743">
        <f t="shared" ca="1" si="1236"/>
        <v>114.62</v>
      </c>
      <c r="BI304" s="743">
        <f t="shared" ca="1" si="1236"/>
        <v>114.62</v>
      </c>
      <c r="BJ304" s="743">
        <f t="shared" ca="1" si="1236"/>
        <v>114.62</v>
      </c>
      <c r="BK304" s="743">
        <f ca="1">OFFSET(InputY!$G271,0,(COLUMN()-7)/4)</f>
        <v>110.87</v>
      </c>
      <c r="BL304" s="743">
        <f t="shared" ca="1" si="1237"/>
        <v>110.87</v>
      </c>
      <c r="BM304" s="743">
        <f t="shared" ca="1" si="1237"/>
        <v>110.87</v>
      </c>
      <c r="BN304" s="743">
        <f t="shared" ca="1" si="1237"/>
        <v>110.87</v>
      </c>
      <c r="BO304" s="743">
        <f ca="1">OFFSET(InputY!$G271,0,(COLUMN()-7)/4)</f>
        <v>109.94</v>
      </c>
      <c r="BP304" s="743">
        <f t="shared" ca="1" si="1238"/>
        <v>109.94</v>
      </c>
      <c r="BQ304" s="743">
        <f t="shared" ca="1" si="1238"/>
        <v>109.94</v>
      </c>
      <c r="BR304" s="743">
        <f t="shared" ca="1" si="1238"/>
        <v>109.94</v>
      </c>
      <c r="BS304" s="743">
        <f ca="1">OFFSET(InputY!$G271,0,(COLUMN()-7)/4)</f>
        <v>119.88</v>
      </c>
      <c r="BT304" s="743">
        <f t="shared" ca="1" si="1239"/>
        <v>119.88</v>
      </c>
      <c r="BU304" s="743">
        <f t="shared" ca="1" si="1239"/>
        <v>119.88</v>
      </c>
      <c r="BV304" s="743">
        <f t="shared" ca="1" si="1239"/>
        <v>119.88</v>
      </c>
      <c r="BW304" s="743">
        <f ca="1">OFFSET(InputY!$G271,0,(COLUMN()-7)/4)</f>
        <v>116.8</v>
      </c>
      <c r="BX304" s="743">
        <f t="shared" ca="1" si="1240"/>
        <v>116.8</v>
      </c>
      <c r="BY304" s="743">
        <f t="shared" ca="1" si="1240"/>
        <v>116.8</v>
      </c>
      <c r="BZ304" s="743">
        <f t="shared" ca="1" si="1240"/>
        <v>116.8</v>
      </c>
      <c r="CA304" s="743">
        <f ca="1">OFFSET(InputY!$G271,0,(COLUMN()-7)/4)</f>
        <v>110.13</v>
      </c>
      <c r="CB304" s="743">
        <f t="shared" ca="1" si="1241"/>
        <v>110.13</v>
      </c>
      <c r="CC304" s="743">
        <f t="shared" ca="1" si="1241"/>
        <v>110.13</v>
      </c>
      <c r="CD304" s="743">
        <f t="shared" ca="1" si="1241"/>
        <v>110.13</v>
      </c>
      <c r="CE304" s="743">
        <f ca="1">OFFSET(InputY!$G271,0,(COLUMN()-7)/4)</f>
        <v>106.88</v>
      </c>
      <c r="CF304" s="743">
        <f t="shared" ca="1" si="1241"/>
        <v>106.88</v>
      </c>
      <c r="CG304" s="743">
        <f ca="1">+CF304</f>
        <v>106.88</v>
      </c>
      <c r="CH304" s="743">
        <f t="shared" ca="1" si="1241"/>
        <v>106.88</v>
      </c>
      <c r="CI304" s="743">
        <f ca="1">OFFSET(InputY!$G271,0,(COLUMN()-7)/4)</f>
        <v>96.35</v>
      </c>
      <c r="CJ304" s="743">
        <f t="shared" ca="1" si="1241"/>
        <v>96.35</v>
      </c>
      <c r="CK304" s="743">
        <f t="shared" ca="1" si="1242"/>
        <v>96.35</v>
      </c>
      <c r="CL304" s="743">
        <f t="shared" ca="1" si="1243"/>
        <v>96.35</v>
      </c>
      <c r="CM304" s="743">
        <f ca="1">OFFSET(InputY!$G271,0,(COLUMN()-7)/4)</f>
        <v>86.62</v>
      </c>
      <c r="CN304" s="743">
        <f t="shared" ca="1" si="1244"/>
        <v>86.62</v>
      </c>
      <c r="CO304" s="743">
        <f t="shared" ca="1" si="1244"/>
        <v>86.62</v>
      </c>
      <c r="CP304" s="743">
        <f t="shared" ca="1" si="1244"/>
        <v>86.62</v>
      </c>
      <c r="CQ304" s="743">
        <f ca="1">OFFSET(InputY!$G271,0,(COLUMN()-7)/4)</f>
        <v>88.08</v>
      </c>
      <c r="CR304" s="743">
        <f t="shared" ca="1" si="1245"/>
        <v>88.08</v>
      </c>
      <c r="CS304" s="743">
        <f t="shared" ca="1" si="1246"/>
        <v>88.08</v>
      </c>
      <c r="CT304" s="743">
        <f t="shared" ca="1" si="1247"/>
        <v>88.08</v>
      </c>
      <c r="CU304" s="743">
        <f ca="1">OFFSET(InputY!$G271,0,(COLUMN()-7)/4)</f>
        <v>89.18</v>
      </c>
      <c r="CV304" s="743">
        <f t="shared" ca="1" si="1248"/>
        <v>89.18</v>
      </c>
      <c r="CW304" s="743">
        <f t="shared" ca="1" si="1248"/>
        <v>89.18</v>
      </c>
      <c r="CX304" s="3241">
        <f t="shared" ca="1" si="1249"/>
        <v>89.18</v>
      </c>
      <c r="CY304" s="3243">
        <f t="shared" ref="CY304:CY307" ca="1" si="1257">CU304</f>
        <v>89.18</v>
      </c>
      <c r="CZ304" s="3241">
        <f t="shared" ca="1" si="1250"/>
        <v>89.18</v>
      </c>
      <c r="DA304" s="3241">
        <f t="shared" ca="1" si="1251"/>
        <v>89.18</v>
      </c>
      <c r="DB304" s="3241">
        <f t="shared" ca="1" si="1252"/>
        <v>89.18</v>
      </c>
      <c r="DC304" s="3243">
        <f t="shared" ref="DC304:DC307" ca="1" si="1258">CY304</f>
        <v>89.18</v>
      </c>
      <c r="DD304" s="3241">
        <f t="shared" ca="1" si="1253"/>
        <v>89.18</v>
      </c>
      <c r="DE304" s="3241">
        <f t="shared" ca="1" si="1254"/>
        <v>89.18</v>
      </c>
      <c r="DF304" s="3241">
        <f t="shared" ca="1" si="1255"/>
        <v>89.18</v>
      </c>
    </row>
    <row r="305" spans="1:123" s="736" customFormat="1" ht="12.75" customHeight="1">
      <c r="A305" s="701" t="str">
        <f>"Y" &amp; ROW(InputY!A272)</f>
        <v>Y272</v>
      </c>
      <c r="B305" s="701" t="s">
        <v>1101</v>
      </c>
      <c r="C305" s="1612"/>
      <c r="D305" s="711"/>
      <c r="E305" s="820" t="s">
        <v>1683</v>
      </c>
      <c r="F305" s="741"/>
      <c r="G305" s="743"/>
      <c r="H305" s="743"/>
      <c r="I305" s="743"/>
      <c r="J305" s="743">
        <f ca="1">OFFSET(InputY!$G272,0,(COLUMN()-10)/4)</f>
        <v>0</v>
      </c>
      <c r="K305" s="743">
        <f ca="1">OFFSET(InputY!$G272,0,(COLUMN()-7)/4)</f>
        <v>76.820000000000007</v>
      </c>
      <c r="L305" s="743">
        <f t="shared" ca="1" si="1256"/>
        <v>76.820000000000007</v>
      </c>
      <c r="M305" s="743">
        <f t="shared" ca="1" si="1256"/>
        <v>76.820000000000007</v>
      </c>
      <c r="N305" s="743">
        <f t="shared" ca="1" si="1256"/>
        <v>76.820000000000007</v>
      </c>
      <c r="O305" s="743">
        <f ca="1">OFFSET(InputY!$G272,0,(COLUMN()-7)/4)</f>
        <v>75.12</v>
      </c>
      <c r="P305" s="743">
        <f t="shared" ca="1" si="1225"/>
        <v>75.12</v>
      </c>
      <c r="Q305" s="743">
        <f t="shared" ca="1" si="1225"/>
        <v>75.12</v>
      </c>
      <c r="R305" s="743">
        <f t="shared" ca="1" si="1225"/>
        <v>75.12</v>
      </c>
      <c r="S305" s="743">
        <f ca="1">OFFSET(InputY!$G272,0,(COLUMN()-7)/4)</f>
        <v>74.460000000000008</v>
      </c>
      <c r="T305" s="743">
        <f t="shared" ca="1" si="1226"/>
        <v>74.460000000000008</v>
      </c>
      <c r="U305" s="743">
        <f t="shared" ca="1" si="1226"/>
        <v>74.460000000000008</v>
      </c>
      <c r="V305" s="743">
        <f t="shared" ca="1" si="1226"/>
        <v>74.460000000000008</v>
      </c>
      <c r="W305" s="743">
        <f ca="1">OFFSET(InputY!$G272,0,(COLUMN()-7)/4)</f>
        <v>75.89</v>
      </c>
      <c r="X305" s="743">
        <f t="shared" ca="1" si="1227"/>
        <v>75.89</v>
      </c>
      <c r="Y305" s="743">
        <f t="shared" ca="1" si="1227"/>
        <v>75.89</v>
      </c>
      <c r="Z305" s="743">
        <f t="shared" ca="1" si="1227"/>
        <v>75.89</v>
      </c>
      <c r="AA305" s="743">
        <f ca="1">OFFSET(InputY!$G272,0,(COLUMN()-7)/4)</f>
        <v>65.25</v>
      </c>
      <c r="AB305" s="743">
        <f t="shared" ca="1" si="1228"/>
        <v>65.25</v>
      </c>
      <c r="AC305" s="743">
        <f t="shared" ca="1" si="1228"/>
        <v>65.25</v>
      </c>
      <c r="AD305" s="743">
        <f t="shared" ca="1" si="1228"/>
        <v>65.25</v>
      </c>
      <c r="AE305" s="743">
        <f ca="1">OFFSET(InputY!$G272,0,(COLUMN()-7)/4)</f>
        <v>64.42</v>
      </c>
      <c r="AF305" s="743">
        <f t="shared" ca="1" si="1229"/>
        <v>64.42</v>
      </c>
      <c r="AG305" s="743">
        <f t="shared" ca="1" si="1229"/>
        <v>64.42</v>
      </c>
      <c r="AH305" s="743">
        <f t="shared" ca="1" si="1229"/>
        <v>64.42</v>
      </c>
      <c r="AI305" s="743">
        <f ca="1">OFFSET(InputY!$G272,0,(COLUMN()-7)/4)</f>
        <v>62.93</v>
      </c>
      <c r="AJ305" s="743">
        <f t="shared" ca="1" si="1230"/>
        <v>62.93</v>
      </c>
      <c r="AK305" s="743">
        <f t="shared" ca="1" si="1230"/>
        <v>62.93</v>
      </c>
      <c r="AL305" s="743">
        <f t="shared" ca="1" si="1230"/>
        <v>62.93</v>
      </c>
      <c r="AM305" s="743">
        <f ca="1">OFFSET(InputY!$G272,0,(COLUMN()-7)/4)</f>
        <v>58.58</v>
      </c>
      <c r="AN305" s="743">
        <f t="shared" ca="1" si="1231"/>
        <v>58.58</v>
      </c>
      <c r="AO305" s="743">
        <f t="shared" ca="1" si="1231"/>
        <v>58.58</v>
      </c>
      <c r="AP305" s="743">
        <f t="shared" ca="1" si="1231"/>
        <v>58.58</v>
      </c>
      <c r="AQ305" s="743">
        <f ca="1">OFFSET(InputY!$G272,0,(COLUMN()-7)/4)</f>
        <v>58.94</v>
      </c>
      <c r="AR305" s="743">
        <f t="shared" ca="1" si="1232"/>
        <v>58.94</v>
      </c>
      <c r="AS305" s="743">
        <f t="shared" ca="1" si="1232"/>
        <v>58.94</v>
      </c>
      <c r="AT305" s="743">
        <f t="shared" ca="1" si="1232"/>
        <v>58.94</v>
      </c>
      <c r="AU305" s="743">
        <f ca="1">OFFSET(InputY!$G272,0,(COLUMN()-7)/4)</f>
        <v>59.97</v>
      </c>
      <c r="AV305" s="743">
        <f t="shared" ca="1" si="1233"/>
        <v>59.97</v>
      </c>
      <c r="AW305" s="743">
        <f t="shared" ca="1" si="1233"/>
        <v>59.97</v>
      </c>
      <c r="AX305" s="743">
        <f t="shared" ca="1" si="1233"/>
        <v>59.97</v>
      </c>
      <c r="AY305" s="743">
        <f ca="1">OFFSET(InputY!$G272,0,(COLUMN()-7)/4)</f>
        <v>60.19</v>
      </c>
      <c r="AZ305" s="743">
        <f t="shared" ca="1" si="1234"/>
        <v>60.19</v>
      </c>
      <c r="BA305" s="743">
        <f t="shared" ca="1" si="1234"/>
        <v>60.19</v>
      </c>
      <c r="BB305" s="743">
        <f t="shared" ca="1" si="1234"/>
        <v>60.19</v>
      </c>
      <c r="BC305" s="743">
        <f ca="1">OFFSET(InputY!$G272,0,(COLUMN()-7)/4)</f>
        <v>60.93</v>
      </c>
      <c r="BD305" s="743">
        <f t="shared" ca="1" si="1235"/>
        <v>60.93</v>
      </c>
      <c r="BE305" s="743">
        <f t="shared" ca="1" si="1235"/>
        <v>60.93</v>
      </c>
      <c r="BF305" s="743">
        <f t="shared" ca="1" si="1235"/>
        <v>60.93</v>
      </c>
      <c r="BG305" s="743">
        <f ca="1">OFFSET(InputY!$G272,0,(COLUMN()-7)/4)</f>
        <v>62.59</v>
      </c>
      <c r="BH305" s="743">
        <f t="shared" ca="1" si="1236"/>
        <v>62.59</v>
      </c>
      <c r="BI305" s="743">
        <f t="shared" ca="1" si="1236"/>
        <v>62.59</v>
      </c>
      <c r="BJ305" s="743">
        <f t="shared" ca="1" si="1236"/>
        <v>62.59</v>
      </c>
      <c r="BK305" s="743">
        <f ca="1">OFFSET(InputY!$G272,0,(COLUMN()-7)/4)</f>
        <v>66.05</v>
      </c>
      <c r="BL305" s="743">
        <f t="shared" ca="1" si="1237"/>
        <v>66.05</v>
      </c>
      <c r="BM305" s="743">
        <f t="shared" ca="1" si="1237"/>
        <v>66.05</v>
      </c>
      <c r="BN305" s="743">
        <f t="shared" ca="1" si="1237"/>
        <v>66.05</v>
      </c>
      <c r="BO305" s="743">
        <f ca="1">OFFSET(InputY!$G272,0,(COLUMN()-7)/4)</f>
        <v>63.14</v>
      </c>
      <c r="BP305" s="743">
        <f t="shared" ca="1" si="1238"/>
        <v>63.14</v>
      </c>
      <c r="BQ305" s="743">
        <f t="shared" ca="1" si="1238"/>
        <v>63.14</v>
      </c>
      <c r="BR305" s="743">
        <f t="shared" ca="1" si="1238"/>
        <v>63.14</v>
      </c>
      <c r="BS305" s="743">
        <f ca="1">OFFSET(InputY!$G272,0,(COLUMN()-7)/4)</f>
        <v>61.58</v>
      </c>
      <c r="BT305" s="743">
        <f t="shared" ca="1" si="1239"/>
        <v>61.58</v>
      </c>
      <c r="BU305" s="743">
        <f t="shared" ca="1" si="1239"/>
        <v>61.58</v>
      </c>
      <c r="BV305" s="743">
        <f t="shared" ca="1" si="1239"/>
        <v>61.58</v>
      </c>
      <c r="BW305" s="743">
        <f ca="1">OFFSET(InputY!$G272,0,(COLUMN()-7)/4)</f>
        <v>58.13</v>
      </c>
      <c r="BX305" s="743">
        <f t="shared" ca="1" si="1240"/>
        <v>58.13</v>
      </c>
      <c r="BY305" s="743">
        <f t="shared" ca="1" si="1240"/>
        <v>58.13</v>
      </c>
      <c r="BZ305" s="743">
        <f t="shared" ca="1" si="1240"/>
        <v>58.13</v>
      </c>
      <c r="CA305" s="743">
        <f ca="1">OFFSET(InputY!$G272,0,(COLUMN()-7)/4)</f>
        <v>63.47</v>
      </c>
      <c r="CB305" s="743">
        <f t="shared" ca="1" si="1241"/>
        <v>63.47</v>
      </c>
      <c r="CC305" s="743">
        <f t="shared" ca="1" si="1241"/>
        <v>63.47</v>
      </c>
      <c r="CD305" s="743">
        <f t="shared" ca="1" si="1241"/>
        <v>63.47</v>
      </c>
      <c r="CE305" s="743">
        <f ca="1">OFFSET(InputY!$G272,0,(COLUMN()-7)/4)</f>
        <v>59.63</v>
      </c>
      <c r="CF305" s="743">
        <f t="shared" ca="1" si="1241"/>
        <v>59.63</v>
      </c>
      <c r="CG305" s="743">
        <f ca="1">+CF305</f>
        <v>59.63</v>
      </c>
      <c r="CH305" s="743">
        <f t="shared" ca="1" si="1241"/>
        <v>59.63</v>
      </c>
      <c r="CI305" s="743">
        <f ca="1">OFFSET(InputY!$G272,0,(COLUMN()-7)/4)</f>
        <v>59.62</v>
      </c>
      <c r="CJ305" s="743">
        <f t="shared" ca="1" si="1241"/>
        <v>59.62</v>
      </c>
      <c r="CK305" s="743">
        <f t="shared" ca="1" si="1242"/>
        <v>59.62</v>
      </c>
      <c r="CL305" s="743">
        <f t="shared" ca="1" si="1243"/>
        <v>59.62</v>
      </c>
      <c r="CM305" s="743">
        <f ca="1">OFFSET(InputY!$G272,0,(COLUMN()-7)/4)</f>
        <v>62.79</v>
      </c>
      <c r="CN305" s="743">
        <f ca="1">+CM305</f>
        <v>62.79</v>
      </c>
      <c r="CO305" s="743">
        <f t="shared" ca="1" si="1244"/>
        <v>62.79</v>
      </c>
      <c r="CP305" s="743">
        <f t="shared" ca="1" si="1244"/>
        <v>62.79</v>
      </c>
      <c r="CQ305" s="743">
        <f ca="1">OFFSET(InputY!$G272,0,(COLUMN()-7)/4)</f>
        <v>61.52</v>
      </c>
      <c r="CR305" s="743">
        <f ca="1">+CQ305</f>
        <v>61.52</v>
      </c>
      <c r="CS305" s="743">
        <f t="shared" ca="1" si="1246"/>
        <v>61.52</v>
      </c>
      <c r="CT305" s="743">
        <f t="shared" ca="1" si="1247"/>
        <v>61.52</v>
      </c>
      <c r="CU305" s="743">
        <f ca="1">OFFSET(InputY!$G272,0,(COLUMN()-7)/4)</f>
        <v>60.79</v>
      </c>
      <c r="CV305" s="743">
        <f ca="1">+CU305</f>
        <v>60.79</v>
      </c>
      <c r="CW305" s="743">
        <f ca="1">+CV305</f>
        <v>60.79</v>
      </c>
      <c r="CX305" s="3241">
        <f t="shared" ca="1" si="1249"/>
        <v>60.79</v>
      </c>
      <c r="CY305" s="3243">
        <f t="shared" ca="1" si="1257"/>
        <v>60.79</v>
      </c>
      <c r="CZ305" s="3241">
        <f t="shared" ca="1" si="1250"/>
        <v>60.79</v>
      </c>
      <c r="DA305" s="3241">
        <f t="shared" ca="1" si="1251"/>
        <v>60.79</v>
      </c>
      <c r="DB305" s="3241">
        <f t="shared" ca="1" si="1252"/>
        <v>60.79</v>
      </c>
      <c r="DC305" s="3243">
        <f t="shared" ca="1" si="1258"/>
        <v>60.79</v>
      </c>
      <c r="DD305" s="3241">
        <f t="shared" ca="1" si="1253"/>
        <v>60.79</v>
      </c>
      <c r="DE305" s="3241">
        <f t="shared" ca="1" si="1254"/>
        <v>60.79</v>
      </c>
      <c r="DF305" s="3241">
        <f t="shared" ca="1" si="1255"/>
        <v>60.79</v>
      </c>
    </row>
    <row r="306" spans="1:123" s="736" customFormat="1" ht="12.75" customHeight="1">
      <c r="A306" s="701" t="str">
        <f>"Y" &amp; ROW(InputY!A273)</f>
        <v>Y273</v>
      </c>
      <c r="B306" s="701" t="s">
        <v>1100</v>
      </c>
      <c r="C306" s="1612"/>
      <c r="D306" s="711"/>
      <c r="E306" s="820" t="s">
        <v>1682</v>
      </c>
      <c r="F306" s="741"/>
      <c r="G306" s="743"/>
      <c r="H306" s="743"/>
      <c r="I306" s="743"/>
      <c r="J306" s="743">
        <f ca="1">OFFSET(InputY!$G273,0,(COLUMN()-10)/4)</f>
        <v>0</v>
      </c>
      <c r="K306" s="743">
        <f ca="1">OFFSET(InputY!$G273,0,(COLUMN()-7)/4)</f>
        <v>166.84</v>
      </c>
      <c r="L306" s="743">
        <f t="shared" ca="1" si="1256"/>
        <v>166.84</v>
      </c>
      <c r="M306" s="743">
        <f t="shared" ca="1" si="1256"/>
        <v>166.84</v>
      </c>
      <c r="N306" s="743">
        <f t="shared" ca="1" si="1256"/>
        <v>166.84</v>
      </c>
      <c r="O306" s="743">
        <f ca="1">OFFSET(InputY!$G273,0,(COLUMN()-7)/4)</f>
        <v>159.5</v>
      </c>
      <c r="P306" s="743">
        <f t="shared" ca="1" si="1225"/>
        <v>159.5</v>
      </c>
      <c r="Q306" s="743">
        <f t="shared" ca="1" si="1225"/>
        <v>159.5</v>
      </c>
      <c r="R306" s="743">
        <f t="shared" ca="1" si="1225"/>
        <v>159.5</v>
      </c>
      <c r="S306" s="743">
        <f ca="1">OFFSET(InputY!$G273,0,(COLUMN()-7)/4)</f>
        <v>162.08000000000001</v>
      </c>
      <c r="T306" s="743">
        <f t="shared" ca="1" si="1226"/>
        <v>162.08000000000001</v>
      </c>
      <c r="U306" s="743">
        <f t="shared" ca="1" si="1226"/>
        <v>162.08000000000001</v>
      </c>
      <c r="V306" s="743">
        <f t="shared" ca="1" si="1226"/>
        <v>162.08000000000001</v>
      </c>
      <c r="W306" s="743">
        <f ca="1">OFFSET(InputY!$G273,0,(COLUMN()-7)/4)</f>
        <v>151.28</v>
      </c>
      <c r="X306" s="743">
        <f t="shared" ca="1" si="1227"/>
        <v>151.28</v>
      </c>
      <c r="Y306" s="743">
        <f t="shared" ca="1" si="1227"/>
        <v>151.28</v>
      </c>
      <c r="Z306" s="743">
        <f t="shared" ca="1" si="1227"/>
        <v>151.28</v>
      </c>
      <c r="AA306" s="743">
        <f ca="1">OFFSET(InputY!$G273,0,(COLUMN()-7)/4)</f>
        <v>144.69999999999999</v>
      </c>
      <c r="AB306" s="743">
        <f t="shared" ca="1" si="1228"/>
        <v>144.69999999999999</v>
      </c>
      <c r="AC306" s="743">
        <f t="shared" ca="1" si="1228"/>
        <v>144.69999999999999</v>
      </c>
      <c r="AD306" s="743">
        <f t="shared" ca="1" si="1228"/>
        <v>144.69999999999999</v>
      </c>
      <c r="AE306" s="743">
        <f ca="1">OFFSET(InputY!$G273,0,(COLUMN()-7)/4)</f>
        <v>142.63999999999999</v>
      </c>
      <c r="AF306" s="743">
        <f t="shared" ca="1" si="1229"/>
        <v>142.63999999999999</v>
      </c>
      <c r="AG306" s="743">
        <f t="shared" ca="1" si="1229"/>
        <v>142.63999999999999</v>
      </c>
      <c r="AH306" s="743">
        <f t="shared" ca="1" si="1229"/>
        <v>142.63999999999999</v>
      </c>
      <c r="AI306" s="743">
        <f ca="1">OFFSET(InputY!$G273,0,(COLUMN()-7)/4)</f>
        <v>144.35</v>
      </c>
      <c r="AJ306" s="743">
        <f t="shared" ca="1" si="1230"/>
        <v>144.35</v>
      </c>
      <c r="AK306" s="743">
        <f t="shared" ca="1" si="1230"/>
        <v>144.35</v>
      </c>
      <c r="AL306" s="743">
        <f t="shared" ca="1" si="1230"/>
        <v>144.35</v>
      </c>
      <c r="AM306" s="743">
        <f ca="1">OFFSET(InputY!$G273,0,(COLUMN()-7)/4)</f>
        <v>142.57</v>
      </c>
      <c r="AN306" s="743">
        <f t="shared" ca="1" si="1231"/>
        <v>142.57</v>
      </c>
      <c r="AO306" s="743">
        <f t="shared" ca="1" si="1231"/>
        <v>142.57</v>
      </c>
      <c r="AP306" s="743">
        <f t="shared" ca="1" si="1231"/>
        <v>142.57</v>
      </c>
      <c r="AQ306" s="743">
        <f ca="1">OFFSET(InputY!$G273,0,(COLUMN()-7)/4)</f>
        <v>135.78</v>
      </c>
      <c r="AR306" s="743">
        <f t="shared" ca="1" si="1232"/>
        <v>135.78</v>
      </c>
      <c r="AS306" s="743">
        <f t="shared" ca="1" si="1232"/>
        <v>135.78</v>
      </c>
      <c r="AT306" s="743">
        <f t="shared" ca="1" si="1232"/>
        <v>135.78</v>
      </c>
      <c r="AU306" s="743">
        <f ca="1">OFFSET(InputY!$G273,0,(COLUMN()-7)/4)</f>
        <v>136.49</v>
      </c>
      <c r="AV306" s="743">
        <f t="shared" ca="1" si="1233"/>
        <v>136.49</v>
      </c>
      <c r="AW306" s="743">
        <f t="shared" ca="1" si="1233"/>
        <v>136.49</v>
      </c>
      <c r="AX306" s="743">
        <f t="shared" ca="1" si="1233"/>
        <v>136.49</v>
      </c>
      <c r="AY306" s="743">
        <f ca="1">OFFSET(InputY!$G273,0,(COLUMN()-7)/4)</f>
        <v>132.52000000000001</v>
      </c>
      <c r="AZ306" s="743">
        <f t="shared" ca="1" si="1234"/>
        <v>132.52000000000001</v>
      </c>
      <c r="BA306" s="743">
        <f t="shared" ca="1" si="1234"/>
        <v>132.52000000000001</v>
      </c>
      <c r="BB306" s="743">
        <f t="shared" ca="1" si="1234"/>
        <v>132.52000000000001</v>
      </c>
      <c r="BC306" s="743">
        <f ca="1">OFFSET(InputY!$G273,0,(COLUMN()-7)/4)</f>
        <v>128.94999999999999</v>
      </c>
      <c r="BD306" s="743">
        <f t="shared" ca="1" si="1235"/>
        <v>128.94999999999999</v>
      </c>
      <c r="BE306" s="743">
        <f t="shared" ca="1" si="1235"/>
        <v>128.94999999999999</v>
      </c>
      <c r="BF306" s="743">
        <f t="shared" ca="1" si="1235"/>
        <v>128.94999999999999</v>
      </c>
      <c r="BG306" s="743">
        <f ca="1">OFFSET(InputY!$G273,0,(COLUMN()-7)/4)</f>
        <v>131.15</v>
      </c>
      <c r="BH306" s="743">
        <f t="shared" ca="1" si="1236"/>
        <v>131.15</v>
      </c>
      <c r="BI306" s="743">
        <f t="shared" ca="1" si="1236"/>
        <v>131.15</v>
      </c>
      <c r="BJ306" s="743">
        <f t="shared" ca="1" si="1236"/>
        <v>131.15</v>
      </c>
      <c r="BK306" s="743">
        <f ca="1">OFFSET(InputY!$G273,0,(COLUMN()-7)/4)</f>
        <v>136.58000000000001</v>
      </c>
      <c r="BL306" s="743">
        <f t="shared" ca="1" si="1237"/>
        <v>136.58000000000001</v>
      </c>
      <c r="BM306" s="743">
        <f t="shared" ca="1" si="1237"/>
        <v>136.58000000000001</v>
      </c>
      <c r="BN306" s="743">
        <f t="shared" ca="1" si="1237"/>
        <v>136.58000000000001</v>
      </c>
      <c r="BO306" s="743">
        <f ca="1">OFFSET(InputY!$G273,0,(COLUMN()-7)/4)</f>
        <v>135.16</v>
      </c>
      <c r="BP306" s="743">
        <f t="shared" ca="1" si="1238"/>
        <v>135.16</v>
      </c>
      <c r="BQ306" s="743">
        <f t="shared" ca="1" si="1238"/>
        <v>135.16</v>
      </c>
      <c r="BR306" s="743">
        <f t="shared" ca="1" si="1238"/>
        <v>135.16</v>
      </c>
      <c r="BS306" s="743">
        <f ca="1">OFFSET(InputY!$G273,0,(COLUMN()-7)/4)</f>
        <v>135.9</v>
      </c>
      <c r="BT306" s="743">
        <f t="shared" ca="1" si="1239"/>
        <v>135.9</v>
      </c>
      <c r="BU306" s="743">
        <f t="shared" ca="1" si="1239"/>
        <v>135.9</v>
      </c>
      <c r="BV306" s="743">
        <f t="shared" ca="1" si="1239"/>
        <v>135.9</v>
      </c>
      <c r="BW306" s="743">
        <f ca="1">OFFSET(InputY!$G273,0,(COLUMN()-7)/4)</f>
        <v>135.49</v>
      </c>
      <c r="BX306" s="743">
        <f t="shared" ca="1" si="1240"/>
        <v>135.49</v>
      </c>
      <c r="BY306" s="743">
        <f t="shared" ca="1" si="1240"/>
        <v>135.49</v>
      </c>
      <c r="BZ306" s="743">
        <f t="shared" ca="1" si="1240"/>
        <v>135.49</v>
      </c>
      <c r="CA306" s="743">
        <f ca="1">OFFSET(InputY!$G273,0,(COLUMN()-7)/4)</f>
        <v>135.56</v>
      </c>
      <c r="CB306" s="743">
        <f t="shared" ca="1" si="1241"/>
        <v>135.56</v>
      </c>
      <c r="CC306" s="743">
        <f t="shared" ca="1" si="1241"/>
        <v>135.56</v>
      </c>
      <c r="CD306" s="743">
        <f t="shared" ca="1" si="1241"/>
        <v>135.56</v>
      </c>
      <c r="CE306" s="743">
        <f ca="1">OFFSET(InputY!$G273,0,(COLUMN()-7)/4)</f>
        <v>139.54</v>
      </c>
      <c r="CF306" s="743">
        <f t="shared" ca="1" si="1241"/>
        <v>139.54</v>
      </c>
      <c r="CG306" s="743">
        <f ca="1">+CF306</f>
        <v>139.54</v>
      </c>
      <c r="CH306" s="743">
        <f t="shared" ca="1" si="1241"/>
        <v>139.54</v>
      </c>
      <c r="CI306" s="743">
        <f ca="1">OFFSET(InputY!$G273,0,(COLUMN()-7)/4)</f>
        <v>141.59</v>
      </c>
      <c r="CJ306" s="743">
        <f t="shared" ca="1" si="1241"/>
        <v>141.59</v>
      </c>
      <c r="CK306" s="743">
        <f t="shared" ca="1" si="1242"/>
        <v>141.59</v>
      </c>
      <c r="CL306" s="743">
        <f t="shared" ca="1" si="1243"/>
        <v>141.59</v>
      </c>
      <c r="CM306" s="743">
        <f ca="1">OFFSET(InputY!$G273,0,(COLUMN()-7)/4)</f>
        <v>140.88999999999999</v>
      </c>
      <c r="CN306" s="743">
        <f t="shared" ca="1" si="1244"/>
        <v>140.88999999999999</v>
      </c>
      <c r="CO306" s="743">
        <f t="shared" ca="1" si="1244"/>
        <v>140.88999999999999</v>
      </c>
      <c r="CP306" s="743">
        <f t="shared" ca="1" si="1244"/>
        <v>140.88999999999999</v>
      </c>
      <c r="CQ306" s="743">
        <f ca="1">OFFSET(InputY!$G273,0,(COLUMN()-7)/4)</f>
        <v>138.11000000000001</v>
      </c>
      <c r="CR306" s="743">
        <f t="shared" ref="CR306:CR307" ca="1" si="1259">+CQ306</f>
        <v>138.11000000000001</v>
      </c>
      <c r="CS306" s="743">
        <f t="shared" ca="1" si="1246"/>
        <v>138.11000000000001</v>
      </c>
      <c r="CT306" s="743">
        <f t="shared" ca="1" si="1247"/>
        <v>138.11000000000001</v>
      </c>
      <c r="CU306" s="743">
        <f ca="1">OFFSET(InputY!$G273,0,(COLUMN()-7)/4)</f>
        <v>137.08000000000001</v>
      </c>
      <c r="CV306" s="743">
        <f t="shared" ref="CV306:CW307" ca="1" si="1260">+CU306</f>
        <v>137.08000000000001</v>
      </c>
      <c r="CW306" s="743">
        <f t="shared" ca="1" si="1260"/>
        <v>137.08000000000001</v>
      </c>
      <c r="CX306" s="3241">
        <f t="shared" ca="1" si="1249"/>
        <v>137.08000000000001</v>
      </c>
      <c r="CY306" s="3243">
        <f t="shared" ca="1" si="1257"/>
        <v>137.08000000000001</v>
      </c>
      <c r="CZ306" s="3241">
        <f t="shared" ca="1" si="1250"/>
        <v>137.08000000000001</v>
      </c>
      <c r="DA306" s="3241">
        <f t="shared" ca="1" si="1251"/>
        <v>137.08000000000001</v>
      </c>
      <c r="DB306" s="3241">
        <f t="shared" ca="1" si="1252"/>
        <v>137.08000000000001</v>
      </c>
      <c r="DC306" s="3243">
        <f t="shared" ca="1" si="1258"/>
        <v>137.08000000000001</v>
      </c>
      <c r="DD306" s="3241">
        <f t="shared" ca="1" si="1253"/>
        <v>137.08000000000001</v>
      </c>
      <c r="DE306" s="3241">
        <f t="shared" ca="1" si="1254"/>
        <v>137.08000000000001</v>
      </c>
      <c r="DF306" s="3241">
        <f t="shared" ca="1" si="1255"/>
        <v>137.08000000000001</v>
      </c>
    </row>
    <row r="307" spans="1:123" customFormat="1">
      <c r="A307" s="701" t="str">
        <f>"Y" &amp; ROW(InputY!A274)</f>
        <v>Y274</v>
      </c>
      <c r="B307" s="701" t="s">
        <v>1102</v>
      </c>
      <c r="C307" s="1121"/>
      <c r="D307" s="1117"/>
      <c r="E307" s="1118" t="str">
        <f>+E281</f>
        <v>Services</v>
      </c>
      <c r="F307" s="1117"/>
      <c r="G307" s="1125"/>
      <c r="H307" s="1125"/>
      <c r="I307" s="1125"/>
      <c r="J307" s="1125">
        <f ca="1">OFFSET(InputY!$G274,0,(COLUMN()-10)/4)</f>
        <v>0</v>
      </c>
      <c r="K307" s="1125">
        <f ca="1">OFFSET(InputY!$G274,0,(COLUMN()-7)/4)</f>
        <v>335.82</v>
      </c>
      <c r="L307" s="1125">
        <f t="shared" ca="1" si="1256"/>
        <v>335.82</v>
      </c>
      <c r="M307" s="1125">
        <f t="shared" ca="1" si="1256"/>
        <v>335.82</v>
      </c>
      <c r="N307" s="1125">
        <f t="shared" ca="1" si="1256"/>
        <v>335.82</v>
      </c>
      <c r="O307" s="1125">
        <f ca="1">OFFSET(InputY!$G274,0,(COLUMN()-7)/4)</f>
        <v>347.40000000000003</v>
      </c>
      <c r="P307" s="1125">
        <f t="shared" ca="1" si="1225"/>
        <v>347.40000000000003</v>
      </c>
      <c r="Q307" s="1125">
        <f t="shared" ca="1" si="1225"/>
        <v>347.40000000000003</v>
      </c>
      <c r="R307" s="1125">
        <f t="shared" ca="1" si="1225"/>
        <v>347.40000000000003</v>
      </c>
      <c r="S307" s="1125">
        <f ca="1">OFFSET(InputY!$G274,0,(COLUMN()-7)/4)</f>
        <v>348.02</v>
      </c>
      <c r="T307" s="1125">
        <f t="shared" ca="1" si="1226"/>
        <v>348.02</v>
      </c>
      <c r="U307" s="1125">
        <f t="shared" ca="1" si="1226"/>
        <v>348.02</v>
      </c>
      <c r="V307" s="1125">
        <f t="shared" ca="1" si="1226"/>
        <v>348.02</v>
      </c>
      <c r="W307" s="1125">
        <f ca="1">OFFSET(InputY!$G274,0,(COLUMN()-7)/4)</f>
        <v>356.13</v>
      </c>
      <c r="X307" s="1125">
        <f t="shared" ca="1" si="1227"/>
        <v>356.13</v>
      </c>
      <c r="Y307" s="1125">
        <f t="shared" ca="1" si="1227"/>
        <v>356.13</v>
      </c>
      <c r="Z307" s="1125">
        <f t="shared" ca="1" si="1227"/>
        <v>356.13</v>
      </c>
      <c r="AA307" s="1125">
        <f ca="1">OFFSET(InputY!$G274,0,(COLUMN()-7)/4)</f>
        <v>375.9</v>
      </c>
      <c r="AB307" s="1125">
        <f t="shared" ca="1" si="1228"/>
        <v>375.9</v>
      </c>
      <c r="AC307" s="1125">
        <f t="shared" ca="1" si="1228"/>
        <v>375.9</v>
      </c>
      <c r="AD307" s="1125">
        <f t="shared" ca="1" si="1228"/>
        <v>375.9</v>
      </c>
      <c r="AE307" s="1125">
        <f ca="1">OFFSET(InputY!$G274,0,(COLUMN()-7)/4)</f>
        <v>381.79</v>
      </c>
      <c r="AF307" s="1125">
        <f t="shared" ca="1" si="1229"/>
        <v>381.79</v>
      </c>
      <c r="AG307" s="1125">
        <f t="shared" ca="1" si="1229"/>
        <v>381.79</v>
      </c>
      <c r="AH307" s="1125">
        <f t="shared" ca="1" si="1229"/>
        <v>381.79</v>
      </c>
      <c r="AI307" s="1125">
        <f ca="1">OFFSET(InputY!$G274,0,(COLUMN()-7)/4)</f>
        <v>387.62</v>
      </c>
      <c r="AJ307" s="1125">
        <f t="shared" ca="1" si="1230"/>
        <v>387.62</v>
      </c>
      <c r="AK307" s="1125">
        <f t="shared" ca="1" si="1230"/>
        <v>387.62</v>
      </c>
      <c r="AL307" s="1125">
        <f t="shared" ca="1" si="1230"/>
        <v>387.62</v>
      </c>
      <c r="AM307" s="1125">
        <f ca="1">OFFSET(InputY!$G274,0,(COLUMN()-7)/4)</f>
        <v>386.98</v>
      </c>
      <c r="AN307" s="1125">
        <f t="shared" ca="1" si="1231"/>
        <v>386.98</v>
      </c>
      <c r="AO307" s="1125">
        <f t="shared" ca="1" si="1231"/>
        <v>386.98</v>
      </c>
      <c r="AP307" s="1125">
        <f t="shared" ca="1" si="1231"/>
        <v>386.98</v>
      </c>
      <c r="AQ307" s="1125">
        <f ca="1">OFFSET(InputY!$G274,0,(COLUMN()-7)/4)</f>
        <v>388.52</v>
      </c>
      <c r="AR307" s="1125">
        <f t="shared" ca="1" si="1232"/>
        <v>388.52</v>
      </c>
      <c r="AS307" s="1125">
        <f t="shared" ca="1" si="1232"/>
        <v>388.52</v>
      </c>
      <c r="AT307" s="1125">
        <f t="shared" ca="1" si="1232"/>
        <v>388.52</v>
      </c>
      <c r="AU307" s="1125">
        <f ca="1">OFFSET(InputY!$G274,0,(COLUMN()-7)/4)</f>
        <v>395.14</v>
      </c>
      <c r="AV307" s="1125">
        <f t="shared" ca="1" si="1233"/>
        <v>395.14</v>
      </c>
      <c r="AW307" s="1125">
        <f t="shared" ca="1" si="1233"/>
        <v>395.14</v>
      </c>
      <c r="AX307" s="1125">
        <f t="shared" ca="1" si="1233"/>
        <v>395.14</v>
      </c>
      <c r="AY307" s="1125">
        <f ca="1">OFFSET(InputY!$G274,0,(COLUMN()-7)/4)</f>
        <v>394.55</v>
      </c>
      <c r="AZ307" s="1125">
        <f t="shared" ca="1" si="1234"/>
        <v>394.55</v>
      </c>
      <c r="BA307" s="1125">
        <f t="shared" ca="1" si="1234"/>
        <v>394.55</v>
      </c>
      <c r="BB307" s="1125">
        <f t="shared" ca="1" si="1234"/>
        <v>394.55</v>
      </c>
      <c r="BC307" s="1125">
        <f ca="1">OFFSET(InputY!$G274,0,(COLUMN()-7)/4)</f>
        <v>396.47</v>
      </c>
      <c r="BD307" s="1125">
        <f t="shared" ca="1" si="1235"/>
        <v>396.47</v>
      </c>
      <c r="BE307" s="1125">
        <f t="shared" ca="1" si="1235"/>
        <v>396.47</v>
      </c>
      <c r="BF307" s="1125">
        <f t="shared" ca="1" si="1235"/>
        <v>396.47</v>
      </c>
      <c r="BG307" s="1125">
        <f ca="1">OFFSET(InputY!$G274,0,(COLUMN()-7)/4)</f>
        <v>399.86</v>
      </c>
      <c r="BH307" s="1125">
        <f t="shared" ca="1" si="1236"/>
        <v>399.86</v>
      </c>
      <c r="BI307" s="1125">
        <f t="shared" ca="1" si="1236"/>
        <v>399.86</v>
      </c>
      <c r="BJ307" s="1125">
        <f t="shared" ca="1" si="1236"/>
        <v>399.86</v>
      </c>
      <c r="BK307" s="1125">
        <f ca="1">OFFSET(InputY!$G274,0,(COLUMN()-7)/4)</f>
        <v>394.89</v>
      </c>
      <c r="BL307" s="1125">
        <f t="shared" ca="1" si="1237"/>
        <v>394.89</v>
      </c>
      <c r="BM307" s="1125">
        <f t="shared" ca="1" si="1237"/>
        <v>394.89</v>
      </c>
      <c r="BN307" s="1125">
        <f t="shared" ca="1" si="1237"/>
        <v>394.89</v>
      </c>
      <c r="BO307" s="1125">
        <f ca="1">OFFSET(InputY!$G274,0,(COLUMN()-7)/4)</f>
        <v>406</v>
      </c>
      <c r="BP307" s="1125">
        <f t="shared" ca="1" si="1238"/>
        <v>406</v>
      </c>
      <c r="BQ307" s="1125">
        <f t="shared" ca="1" si="1238"/>
        <v>406</v>
      </c>
      <c r="BR307" s="1125">
        <f t="shared" ca="1" si="1238"/>
        <v>406</v>
      </c>
      <c r="BS307" s="1125">
        <f ca="1">OFFSET(InputY!$G274,0,(COLUMN()-7)/4)</f>
        <v>405.34</v>
      </c>
      <c r="BT307" s="1125">
        <f t="shared" ca="1" si="1239"/>
        <v>405.34</v>
      </c>
      <c r="BU307" s="1125">
        <f t="shared" ca="1" si="1239"/>
        <v>405.34</v>
      </c>
      <c r="BV307" s="1125">
        <f t="shared" ca="1" si="1239"/>
        <v>405.34</v>
      </c>
      <c r="BW307" s="1125">
        <f ca="1">OFFSET(InputY!$G274,0,(COLUMN()-7)/4)</f>
        <v>405.57</v>
      </c>
      <c r="BX307" s="1125">
        <f t="shared" ca="1" si="1240"/>
        <v>405.57</v>
      </c>
      <c r="BY307" s="1125">
        <f t="shared" ca="1" si="1240"/>
        <v>405.57</v>
      </c>
      <c r="BZ307" s="1125">
        <f t="shared" ca="1" si="1240"/>
        <v>405.57</v>
      </c>
      <c r="CA307" s="1125">
        <f ca="1">OFFSET(InputY!$G274,0,(COLUMN()-7)/4)</f>
        <v>410.03</v>
      </c>
      <c r="CB307" s="1125">
        <f t="shared" ca="1" si="1241"/>
        <v>410.03</v>
      </c>
      <c r="CC307" s="1125">
        <f t="shared" ca="1" si="1241"/>
        <v>410.03</v>
      </c>
      <c r="CD307" s="1125">
        <f t="shared" ca="1" si="1241"/>
        <v>410.03</v>
      </c>
      <c r="CE307" s="1125">
        <f ca="1">OFFSET(InputY!$G274,0,(COLUMN()-7)/4)</f>
        <v>416.55</v>
      </c>
      <c r="CF307" s="1125">
        <f t="shared" ca="1" si="1241"/>
        <v>416.55</v>
      </c>
      <c r="CG307" s="1125">
        <f ca="1">+CF307</f>
        <v>416.55</v>
      </c>
      <c r="CH307" s="1125">
        <f t="shared" ca="1" si="1241"/>
        <v>416.55</v>
      </c>
      <c r="CI307" s="1125">
        <f ca="1">OFFSET(InputY!$G274,0,(COLUMN()-7)/4)</f>
        <v>425.72</v>
      </c>
      <c r="CJ307" s="1125">
        <f t="shared" ca="1" si="1241"/>
        <v>425.72</v>
      </c>
      <c r="CK307" s="1125">
        <f t="shared" ca="1" si="1242"/>
        <v>425.72</v>
      </c>
      <c r="CL307" s="1125">
        <f t="shared" ca="1" si="1243"/>
        <v>425.72</v>
      </c>
      <c r="CM307" s="1125">
        <f ca="1">OFFSET(InputY!$G274,0,(COLUMN()-7)/4)</f>
        <v>423.63</v>
      </c>
      <c r="CN307" s="1125">
        <f t="shared" ca="1" si="1244"/>
        <v>423.63</v>
      </c>
      <c r="CO307" s="1125">
        <f t="shared" ca="1" si="1244"/>
        <v>423.63</v>
      </c>
      <c r="CP307" s="1125">
        <f t="shared" ca="1" si="1244"/>
        <v>423.63</v>
      </c>
      <c r="CQ307" s="1125">
        <f ca="1">OFFSET(InputY!$G274,0,(COLUMN()-7)/4)</f>
        <v>420.57</v>
      </c>
      <c r="CR307" s="1125">
        <f t="shared" ca="1" si="1259"/>
        <v>420.57</v>
      </c>
      <c r="CS307" s="1125">
        <f t="shared" ca="1" si="1246"/>
        <v>420.57</v>
      </c>
      <c r="CT307" s="1125">
        <f t="shared" ca="1" si="1247"/>
        <v>420.57</v>
      </c>
      <c r="CU307" s="1125">
        <f ca="1">OFFSET(InputY!$G274,0,(COLUMN()-7)/4)</f>
        <v>422.85</v>
      </c>
      <c r="CV307" s="1125">
        <f t="shared" ca="1" si="1260"/>
        <v>422.85</v>
      </c>
      <c r="CW307" s="1125">
        <f t="shared" ca="1" si="1260"/>
        <v>422.85</v>
      </c>
      <c r="CX307" s="3242">
        <f t="shared" ca="1" si="1249"/>
        <v>422.85</v>
      </c>
      <c r="CY307" s="3243">
        <f t="shared" ca="1" si="1257"/>
        <v>422.85</v>
      </c>
      <c r="CZ307" s="3242">
        <f t="shared" ca="1" si="1250"/>
        <v>422.85</v>
      </c>
      <c r="DA307" s="3242">
        <f t="shared" ca="1" si="1251"/>
        <v>422.85</v>
      </c>
      <c r="DB307" s="3242">
        <f t="shared" ca="1" si="1252"/>
        <v>422.85</v>
      </c>
      <c r="DC307" s="3243">
        <f t="shared" ca="1" si="1258"/>
        <v>422.85</v>
      </c>
      <c r="DD307" s="3242">
        <f t="shared" ca="1" si="1253"/>
        <v>422.85</v>
      </c>
      <c r="DE307" s="3242">
        <f t="shared" ca="1" si="1254"/>
        <v>422.85</v>
      </c>
      <c r="DF307" s="3242">
        <f t="shared" ca="1" si="1255"/>
        <v>422.85</v>
      </c>
    </row>
    <row r="308" spans="1:123" customFormat="1">
      <c r="A308" s="701"/>
      <c r="B308" s="701"/>
      <c r="C308" s="731"/>
      <c r="D308" s="1095"/>
      <c r="E308" s="1096" t="str">
        <f>+E283</f>
        <v>HICP</v>
      </c>
      <c r="F308" s="1095"/>
      <c r="G308" s="1097"/>
      <c r="H308" s="1097"/>
      <c r="I308" s="1097"/>
      <c r="J308" s="1097"/>
      <c r="K308" s="1097">
        <f t="shared" ref="K308:AP308" ca="1" si="1261">+SUM(K303:K307)</f>
        <v>992.92000000000007</v>
      </c>
      <c r="L308" s="1097">
        <f t="shared" ca="1" si="1261"/>
        <v>992.92000000000007</v>
      </c>
      <c r="M308" s="1097">
        <f t="shared" ca="1" si="1261"/>
        <v>992.92000000000007</v>
      </c>
      <c r="N308" s="1097">
        <f t="shared" ca="1" si="1261"/>
        <v>992.92000000000007</v>
      </c>
      <c r="O308" s="1097">
        <f t="shared" ca="1" si="1261"/>
        <v>992.8</v>
      </c>
      <c r="P308" s="1097">
        <f t="shared" ca="1" si="1261"/>
        <v>992.8</v>
      </c>
      <c r="Q308" s="1097">
        <f t="shared" ca="1" si="1261"/>
        <v>992.8</v>
      </c>
      <c r="R308" s="1097">
        <f t="shared" ca="1" si="1261"/>
        <v>992.8</v>
      </c>
      <c r="S308" s="1097">
        <f t="shared" ca="1" si="1261"/>
        <v>993.36</v>
      </c>
      <c r="T308" s="1097">
        <f t="shared" ca="1" si="1261"/>
        <v>993.36</v>
      </c>
      <c r="U308" s="1097">
        <f t="shared" ca="1" si="1261"/>
        <v>993.36</v>
      </c>
      <c r="V308" s="1097">
        <f t="shared" ca="1" si="1261"/>
        <v>993.36</v>
      </c>
      <c r="W308" s="1097">
        <f t="shared" ca="1" si="1261"/>
        <v>996.22</v>
      </c>
      <c r="X308" s="1097">
        <f t="shared" ca="1" si="1261"/>
        <v>996.22</v>
      </c>
      <c r="Y308" s="1097">
        <f t="shared" ca="1" si="1261"/>
        <v>996.22</v>
      </c>
      <c r="Z308" s="1097">
        <f t="shared" ca="1" si="1261"/>
        <v>996.22</v>
      </c>
      <c r="AA308" s="1097">
        <f t="shared" ca="1" si="1261"/>
        <v>999.99999999999989</v>
      </c>
      <c r="AB308" s="1097">
        <f t="shared" ca="1" si="1261"/>
        <v>999.99999999999989</v>
      </c>
      <c r="AC308" s="1097">
        <f t="shared" ca="1" si="1261"/>
        <v>999.99999999999989</v>
      </c>
      <c r="AD308" s="1097">
        <f t="shared" ca="1" si="1261"/>
        <v>999.99999999999989</v>
      </c>
      <c r="AE308" s="1097">
        <f t="shared" ca="1" si="1261"/>
        <v>1000</v>
      </c>
      <c r="AF308" s="1097">
        <f t="shared" ca="1" si="1261"/>
        <v>1000</v>
      </c>
      <c r="AG308" s="1097">
        <f t="shared" ca="1" si="1261"/>
        <v>1000</v>
      </c>
      <c r="AH308" s="1097">
        <f t="shared" ca="1" si="1261"/>
        <v>1000</v>
      </c>
      <c r="AI308" s="1097">
        <f t="shared" ca="1" si="1261"/>
        <v>1000</v>
      </c>
      <c r="AJ308" s="1097">
        <f t="shared" ca="1" si="1261"/>
        <v>1000</v>
      </c>
      <c r="AK308" s="1097">
        <f t="shared" ca="1" si="1261"/>
        <v>1000</v>
      </c>
      <c r="AL308" s="1097">
        <f t="shared" ca="1" si="1261"/>
        <v>1000</v>
      </c>
      <c r="AM308" s="1097">
        <f t="shared" ca="1" si="1261"/>
        <v>999.99</v>
      </c>
      <c r="AN308" s="1097">
        <f t="shared" ca="1" si="1261"/>
        <v>999.99</v>
      </c>
      <c r="AO308" s="1097">
        <f t="shared" ca="1" si="1261"/>
        <v>999.99</v>
      </c>
      <c r="AP308" s="1097">
        <f t="shared" ca="1" si="1261"/>
        <v>999.99</v>
      </c>
      <c r="AQ308" s="1097">
        <f t="shared" ref="AQ308:BJ308" ca="1" si="1262">+SUM(AQ303:AQ307)</f>
        <v>1000</v>
      </c>
      <c r="AR308" s="1097">
        <f t="shared" ca="1" si="1262"/>
        <v>1000</v>
      </c>
      <c r="AS308" s="1097">
        <f t="shared" ca="1" si="1262"/>
        <v>1000</v>
      </c>
      <c r="AT308" s="1097">
        <f t="shared" ca="1" si="1262"/>
        <v>1000</v>
      </c>
      <c r="AU308" s="1097">
        <f t="shared" ca="1" si="1262"/>
        <v>1000</v>
      </c>
      <c r="AV308" s="1097">
        <f t="shared" ca="1" si="1262"/>
        <v>1000</v>
      </c>
      <c r="AW308" s="1097">
        <f t="shared" ca="1" si="1262"/>
        <v>1000</v>
      </c>
      <c r="AX308" s="1097">
        <f t="shared" ca="1" si="1262"/>
        <v>1000</v>
      </c>
      <c r="AY308" s="1097">
        <f t="shared" ca="1" si="1262"/>
        <v>1000.01</v>
      </c>
      <c r="AZ308" s="1097">
        <f t="shared" ca="1" si="1262"/>
        <v>1000.01</v>
      </c>
      <c r="BA308" s="1097">
        <f t="shared" ca="1" si="1262"/>
        <v>1000.01</v>
      </c>
      <c r="BB308" s="1097">
        <f t="shared" ca="1" si="1262"/>
        <v>1000.01</v>
      </c>
      <c r="BC308" s="1097">
        <f t="shared" ca="1" si="1262"/>
        <v>1000</v>
      </c>
      <c r="BD308" s="1097">
        <f t="shared" ca="1" si="1262"/>
        <v>1000</v>
      </c>
      <c r="BE308" s="1097">
        <f t="shared" ca="1" si="1262"/>
        <v>1000</v>
      </c>
      <c r="BF308" s="1097">
        <f t="shared" ca="1" si="1262"/>
        <v>1000</v>
      </c>
      <c r="BG308" s="1097">
        <f ca="1">+SUM(BG303:BG307)</f>
        <v>1000</v>
      </c>
      <c r="BH308" s="1097">
        <f ca="1">+SUM(BH303:BH307)</f>
        <v>1000</v>
      </c>
      <c r="BI308" s="1097">
        <f ca="1">+SUM(BI303:BI307)</f>
        <v>1000</v>
      </c>
      <c r="BJ308" s="1097">
        <f t="shared" ca="1" si="1262"/>
        <v>1000</v>
      </c>
      <c r="BK308" s="1097">
        <f ca="1">+SUM(BK303:BK307)</f>
        <v>1000</v>
      </c>
      <c r="BL308" s="1097">
        <f ca="1">+SUM(BL303:BL307)</f>
        <v>1000</v>
      </c>
      <c r="BM308" s="1097">
        <f ca="1">+SUM(BM303:BM307)</f>
        <v>1000</v>
      </c>
      <c r="BN308" s="1097">
        <f ca="1">+SUM(BN303:BN307)</f>
        <v>1000</v>
      </c>
      <c r="BO308" s="1097">
        <f t="shared" ref="BO308:BV308" ca="1" si="1263">+SUM(BO303:BO307)</f>
        <v>1000.01</v>
      </c>
      <c r="BP308" s="1097">
        <f t="shared" ca="1" si="1263"/>
        <v>1000.01</v>
      </c>
      <c r="BQ308" s="1097">
        <f t="shared" ca="1" si="1263"/>
        <v>1000.01</v>
      </c>
      <c r="BR308" s="1097">
        <f t="shared" ca="1" si="1263"/>
        <v>1000.01</v>
      </c>
      <c r="BS308" s="1097">
        <f t="shared" ca="1" si="1263"/>
        <v>1000</v>
      </c>
      <c r="BT308" s="1097">
        <f t="shared" ca="1" si="1263"/>
        <v>1000</v>
      </c>
      <c r="BU308" s="1097">
        <f t="shared" ca="1" si="1263"/>
        <v>1000</v>
      </c>
      <c r="BV308" s="1097">
        <f t="shared" ca="1" si="1263"/>
        <v>1000</v>
      </c>
      <c r="BW308" s="1097">
        <f t="shared" ref="BW308:CB308" ca="1" si="1264">+SUM(BW303:BW307)</f>
        <v>999.99</v>
      </c>
      <c r="BX308" s="1097">
        <f t="shared" ca="1" si="1264"/>
        <v>999.99</v>
      </c>
      <c r="BY308" s="1097">
        <f t="shared" ca="1" si="1264"/>
        <v>999.99</v>
      </c>
      <c r="BZ308" s="1097">
        <f t="shared" ca="1" si="1264"/>
        <v>999.99</v>
      </c>
      <c r="CA308" s="1097">
        <f t="shared" ca="1" si="1264"/>
        <v>1000</v>
      </c>
      <c r="CB308" s="1097">
        <f t="shared" ca="1" si="1264"/>
        <v>1000</v>
      </c>
      <c r="CC308" s="1097">
        <f ca="1">+SUM(CC303:CC307)</f>
        <v>1000</v>
      </c>
      <c r="CD308" s="1097">
        <f ca="1">+SUM(CD303:CD307)</f>
        <v>1000</v>
      </c>
      <c r="CE308" s="1097">
        <f ca="1">+SUM(CE303:CE307)</f>
        <v>1000</v>
      </c>
      <c r="CF308" s="1097">
        <f ca="1">+SUM(CF303:CF307)</f>
        <v>1000</v>
      </c>
      <c r="CG308" s="909">
        <f t="shared" ref="CG308:CL308" ca="1" si="1265">+SUM(CG303:CG307)</f>
        <v>1000</v>
      </c>
      <c r="CH308" s="1097">
        <f ca="1">+SUM(CH303:CH307)</f>
        <v>1000</v>
      </c>
      <c r="CI308" s="1097">
        <f ca="1">+SUM(CI303:CI307)</f>
        <v>1000.0000000000001</v>
      </c>
      <c r="CJ308" s="1097">
        <f ca="1">+SUM(CJ303:CJ307)</f>
        <v>1000.0000000000001</v>
      </c>
      <c r="CK308" s="909">
        <f t="shared" ca="1" si="1265"/>
        <v>1000.0000000000001</v>
      </c>
      <c r="CL308" s="909">
        <f t="shared" ca="1" si="1265"/>
        <v>1000.0000000000001</v>
      </c>
      <c r="CM308" s="909">
        <f t="shared" ref="CM308:CP308" ca="1" si="1266">+SUM(CM303:CM307)</f>
        <v>1000</v>
      </c>
      <c r="CN308" s="909">
        <f t="shared" ca="1" si="1266"/>
        <v>1000</v>
      </c>
      <c r="CO308" s="909">
        <f t="shared" ca="1" si="1266"/>
        <v>1000</v>
      </c>
      <c r="CP308" s="909">
        <f t="shared" ca="1" si="1266"/>
        <v>1000</v>
      </c>
      <c r="CQ308" s="909">
        <f t="shared" ref="CQ308:CT308" ca="1" si="1267">+SUM(CQ303:CQ307)</f>
        <v>1000</v>
      </c>
      <c r="CR308" s="909">
        <f t="shared" ca="1" si="1267"/>
        <v>1000</v>
      </c>
      <c r="CS308" s="909">
        <f t="shared" ca="1" si="1267"/>
        <v>1000</v>
      </c>
      <c r="CT308" s="909">
        <f t="shared" ca="1" si="1267"/>
        <v>1000</v>
      </c>
      <c r="CU308" s="909">
        <f t="shared" ref="CU308:CV308" ca="1" si="1268">+SUM(CU303:CU307)</f>
        <v>1000.0000000000001</v>
      </c>
      <c r="CV308" s="909">
        <f t="shared" ca="1" si="1268"/>
        <v>1000.0000000000001</v>
      </c>
      <c r="CW308" s="909">
        <f t="shared" ref="CW308" ca="1" si="1269">+SUM(CW303:CW307)</f>
        <v>1000.0000000000001</v>
      </c>
      <c r="CX308" s="909">
        <f t="shared" ref="CX308" ca="1" si="1270">+SUM(CX303:CX307)</f>
        <v>1000.0000000000001</v>
      </c>
      <c r="CY308" s="909">
        <f t="shared" ref="CY308:DB308" ca="1" si="1271">+SUM(CY303:CY307)</f>
        <v>1000.0000000000001</v>
      </c>
      <c r="CZ308" s="909">
        <f t="shared" ca="1" si="1271"/>
        <v>1000.0000000000001</v>
      </c>
      <c r="DA308" s="909">
        <f t="shared" ca="1" si="1271"/>
        <v>1000.0000000000001</v>
      </c>
      <c r="DB308" s="909">
        <f t="shared" ca="1" si="1271"/>
        <v>1000.0000000000001</v>
      </c>
      <c r="DC308" s="909">
        <f t="shared" ref="DC308:DF308" ca="1" si="1272">+SUM(DC303:DC307)</f>
        <v>1000.0000000000001</v>
      </c>
      <c r="DD308" s="909">
        <f t="shared" ca="1" si="1272"/>
        <v>1000.0000000000001</v>
      </c>
      <c r="DE308" s="909">
        <f t="shared" ca="1" si="1272"/>
        <v>1000.0000000000001</v>
      </c>
      <c r="DF308" s="909">
        <f t="shared" ca="1" si="1272"/>
        <v>1000.0000000000001</v>
      </c>
    </row>
    <row r="309" spans="1:123">
      <c r="AY309" s="217"/>
      <c r="BA309" s="217"/>
      <c r="BB309" s="217"/>
      <c r="BC309" s="217"/>
      <c r="BD309" s="217"/>
      <c r="BE309" s="217"/>
      <c r="BF309" s="217"/>
      <c r="BG309" s="217"/>
      <c r="BH309" s="217"/>
      <c r="BI309" s="217"/>
      <c r="BJ309" s="217"/>
      <c r="BK309" s="217"/>
      <c r="BL309" s="217"/>
      <c r="BM309" s="217"/>
      <c r="BN309" s="217"/>
      <c r="BO309" s="217"/>
      <c r="BP309" s="217"/>
      <c r="BQ309" s="217"/>
      <c r="BR309" s="217"/>
      <c r="BS309" s="217"/>
      <c r="BT309" s="217"/>
      <c r="BU309" s="217"/>
      <c r="BV309" s="217"/>
      <c r="BW309" s="217"/>
      <c r="BX309" s="217"/>
      <c r="BY309" s="217"/>
      <c r="BZ309" s="217"/>
      <c r="CA309" s="217"/>
      <c r="CB309" s="217"/>
      <c r="CC309" s="217"/>
      <c r="CD309" s="217"/>
      <c r="CE309" s="217"/>
      <c r="CF309" s="217"/>
      <c r="CH309" s="217"/>
      <c r="CI309" s="217"/>
      <c r="CJ309" s="217"/>
      <c r="CX309" s="564">
        <f ca="1">Tables!F242</f>
        <v>2.0884262323802583</v>
      </c>
    </row>
    <row r="310" spans="1:123" s="736" customFormat="1" ht="12.75" customHeight="1">
      <c r="A310" s="701"/>
      <c r="B310" s="701"/>
      <c r="C310" s="1603"/>
      <c r="D310" s="779"/>
      <c r="E310" s="780" t="s">
        <v>449</v>
      </c>
      <c r="F310" s="781"/>
      <c r="G310" s="1630" t="s">
        <v>131</v>
      </c>
      <c r="H310" s="1631" t="s">
        <v>132</v>
      </c>
      <c r="I310" s="1631" t="s">
        <v>133</v>
      </c>
      <c r="J310" s="1631" t="s">
        <v>134</v>
      </c>
      <c r="K310" s="1631" t="s">
        <v>131</v>
      </c>
      <c r="L310" s="1631" t="s">
        <v>132</v>
      </c>
      <c r="M310" s="1631" t="s">
        <v>133</v>
      </c>
      <c r="N310" s="1631" t="s">
        <v>134</v>
      </c>
      <c r="O310" s="1631" t="s">
        <v>131</v>
      </c>
      <c r="P310" s="1631" t="s">
        <v>132</v>
      </c>
      <c r="Q310" s="1631" t="s">
        <v>133</v>
      </c>
      <c r="R310" s="1631" t="s">
        <v>134</v>
      </c>
      <c r="S310" s="1631" t="s">
        <v>131</v>
      </c>
      <c r="T310" s="1631" t="s">
        <v>132</v>
      </c>
      <c r="U310" s="1631" t="s">
        <v>133</v>
      </c>
      <c r="V310" s="1631" t="s">
        <v>134</v>
      </c>
      <c r="W310" s="1631" t="s">
        <v>131</v>
      </c>
      <c r="X310" s="1631" t="s">
        <v>132</v>
      </c>
      <c r="Y310" s="1631" t="s">
        <v>133</v>
      </c>
      <c r="Z310" s="1631" t="s">
        <v>134</v>
      </c>
      <c r="AA310" s="1631" t="s">
        <v>131</v>
      </c>
      <c r="AB310" s="1631" t="s">
        <v>132</v>
      </c>
      <c r="AC310" s="1631" t="s">
        <v>133</v>
      </c>
      <c r="AD310" s="1631" t="s">
        <v>134</v>
      </c>
      <c r="AE310" s="1631" t="s">
        <v>131</v>
      </c>
      <c r="AF310" s="1631" t="s">
        <v>132</v>
      </c>
      <c r="AG310" s="1631" t="s">
        <v>133</v>
      </c>
      <c r="AH310" s="1631" t="s">
        <v>134</v>
      </c>
      <c r="AI310" s="1631" t="s">
        <v>131</v>
      </c>
      <c r="AJ310" s="1631" t="s">
        <v>132</v>
      </c>
      <c r="AK310" s="1631" t="s">
        <v>133</v>
      </c>
      <c r="AL310" s="1631" t="s">
        <v>134</v>
      </c>
      <c r="AM310" s="1631" t="s">
        <v>131</v>
      </c>
      <c r="AN310" s="1631" t="s">
        <v>132</v>
      </c>
      <c r="AO310" s="1631" t="s">
        <v>133</v>
      </c>
      <c r="AP310" s="1631" t="s">
        <v>134</v>
      </c>
      <c r="AQ310" s="1631" t="s">
        <v>131</v>
      </c>
      <c r="AR310" s="1631" t="s">
        <v>132</v>
      </c>
      <c r="AS310" s="1631" t="s">
        <v>133</v>
      </c>
      <c r="AT310" s="1631" t="s">
        <v>134</v>
      </c>
      <c r="AU310" s="1631" t="s">
        <v>131</v>
      </c>
      <c r="AV310" s="1631" t="s">
        <v>132</v>
      </c>
      <c r="AW310" s="1631" t="s">
        <v>133</v>
      </c>
      <c r="AX310" s="1631" t="s">
        <v>134</v>
      </c>
      <c r="AY310" s="1631" t="s">
        <v>131</v>
      </c>
      <c r="AZ310" s="1631" t="s">
        <v>132</v>
      </c>
      <c r="BA310" s="1631" t="s">
        <v>133</v>
      </c>
      <c r="BB310" s="1631" t="s">
        <v>134</v>
      </c>
      <c r="BC310" s="1631" t="s">
        <v>131</v>
      </c>
      <c r="BD310" s="1631" t="s">
        <v>132</v>
      </c>
      <c r="BE310" s="1631" t="s">
        <v>133</v>
      </c>
      <c r="BF310" s="1631" t="s">
        <v>134</v>
      </c>
      <c r="BG310" s="1631" t="s">
        <v>131</v>
      </c>
      <c r="BH310" s="1631" t="s">
        <v>132</v>
      </c>
      <c r="BI310" s="1631" t="s">
        <v>133</v>
      </c>
      <c r="BJ310" s="1631" t="s">
        <v>134</v>
      </c>
      <c r="BK310" s="1631" t="s">
        <v>131</v>
      </c>
      <c r="BL310" s="1631" t="s">
        <v>132</v>
      </c>
      <c r="BM310" s="1631" t="s">
        <v>133</v>
      </c>
      <c r="BN310" s="1631" t="s">
        <v>134</v>
      </c>
      <c r="BO310" s="1631" t="s">
        <v>131</v>
      </c>
      <c r="BP310" s="1631" t="s">
        <v>132</v>
      </c>
      <c r="BQ310" s="1631" t="s">
        <v>133</v>
      </c>
      <c r="BR310" s="1631" t="s">
        <v>134</v>
      </c>
      <c r="BS310" s="1631" t="s">
        <v>131</v>
      </c>
      <c r="BT310" s="1631" t="s">
        <v>132</v>
      </c>
      <c r="BU310" s="1631" t="s">
        <v>133</v>
      </c>
      <c r="BV310" s="1631" t="s">
        <v>134</v>
      </c>
      <c r="BW310" s="1631" t="s">
        <v>131</v>
      </c>
      <c r="BX310" s="1631" t="s">
        <v>132</v>
      </c>
      <c r="BY310" s="1631" t="s">
        <v>133</v>
      </c>
      <c r="BZ310" s="1631" t="s">
        <v>134</v>
      </c>
      <c r="CA310" s="1631" t="s">
        <v>131</v>
      </c>
      <c r="CB310" s="1631" t="s">
        <v>132</v>
      </c>
      <c r="CC310" s="1631" t="s">
        <v>133</v>
      </c>
      <c r="CD310" s="1631" t="s">
        <v>134</v>
      </c>
      <c r="CE310" s="1631" t="s">
        <v>131</v>
      </c>
      <c r="CF310" s="1631" t="s">
        <v>132</v>
      </c>
      <c r="CG310" s="1631" t="s">
        <v>133</v>
      </c>
      <c r="CH310" s="1631" t="s">
        <v>134</v>
      </c>
      <c r="CI310" s="1631" t="s">
        <v>131</v>
      </c>
      <c r="CJ310" s="1631" t="s">
        <v>132</v>
      </c>
      <c r="CK310" s="1631" t="s">
        <v>133</v>
      </c>
      <c r="CL310" s="1631" t="s">
        <v>134</v>
      </c>
      <c r="CM310" s="1631" t="s">
        <v>131</v>
      </c>
      <c r="CN310" s="1631" t="s">
        <v>132</v>
      </c>
      <c r="CO310" s="1631" t="s">
        <v>133</v>
      </c>
      <c r="CP310" s="1631" t="s">
        <v>134</v>
      </c>
      <c r="CQ310" s="1631" t="s">
        <v>131</v>
      </c>
      <c r="CR310" s="1631" t="s">
        <v>132</v>
      </c>
      <c r="CS310" s="1631" t="s">
        <v>133</v>
      </c>
      <c r="CT310" s="1631" t="s">
        <v>134</v>
      </c>
      <c r="CU310" s="1631" t="s">
        <v>131</v>
      </c>
      <c r="CV310" s="1631" t="s">
        <v>132</v>
      </c>
      <c r="CW310" s="1631" t="s">
        <v>133</v>
      </c>
      <c r="CX310" s="1631" t="s">
        <v>134</v>
      </c>
      <c r="CY310" s="1631" t="s">
        <v>131</v>
      </c>
      <c r="CZ310" s="1631" t="s">
        <v>132</v>
      </c>
      <c r="DA310" s="1631" t="s">
        <v>133</v>
      </c>
      <c r="DB310" s="1631" t="s">
        <v>134</v>
      </c>
      <c r="DC310" s="1631" t="s">
        <v>131</v>
      </c>
      <c r="DD310" s="1631" t="s">
        <v>132</v>
      </c>
      <c r="DE310" s="1631" t="s">
        <v>133</v>
      </c>
      <c r="DF310" s="1631" t="s">
        <v>134</v>
      </c>
      <c r="DG310" s="3455"/>
      <c r="DH310" s="3455"/>
      <c r="DI310" s="3455" t="s">
        <v>2603</v>
      </c>
      <c r="DJ310" s="3455"/>
      <c r="DK310" s="3455"/>
      <c r="DL310" s="3455"/>
      <c r="DM310" s="3455"/>
      <c r="DN310" s="3455"/>
      <c r="DO310" s="3455"/>
      <c r="DP310" s="3455"/>
      <c r="DQ310" s="921"/>
    </row>
    <row r="311" spans="1:123" s="736" customFormat="1" ht="12.75" customHeight="1">
      <c r="B311" s="701"/>
      <c r="C311" s="729"/>
      <c r="D311" s="726"/>
      <c r="E311" s="775" t="str">
        <f>+E303</f>
        <v>Non-energy industrial goods</v>
      </c>
      <c r="F311" s="770"/>
      <c r="G311" s="2972"/>
      <c r="H311" s="2972"/>
      <c r="I311" s="2972"/>
      <c r="J311" s="2972"/>
      <c r="K311" s="2972"/>
      <c r="L311" s="2972"/>
      <c r="M311" s="2972"/>
      <c r="N311" s="2972"/>
      <c r="O311" s="2972">
        <f t="shared" ref="O311:X316" si="1273">+O277/K277*100-100</f>
        <v>-1.6481733826487641</v>
      </c>
      <c r="P311" s="2972">
        <f t="shared" si="1273"/>
        <v>-1.8727552591072225</v>
      </c>
      <c r="Q311" s="2972">
        <f t="shared" si="1273"/>
        <v>-1.046264508746134</v>
      </c>
      <c r="R311" s="2972">
        <f t="shared" si="1273"/>
        <v>-0.38989495392151241</v>
      </c>
      <c r="S311" s="2972">
        <f t="shared" si="1273"/>
        <v>-0.85439071056276816</v>
      </c>
      <c r="T311" s="2972">
        <f t="shared" si="1273"/>
        <v>-0.94771241830063957</v>
      </c>
      <c r="U311" s="2972">
        <f t="shared" si="1273"/>
        <v>-0.70378324797620451</v>
      </c>
      <c r="V311" s="2972">
        <f t="shared" si="1273"/>
        <v>-0.79901659496005095</v>
      </c>
      <c r="W311" s="2972">
        <f t="shared" si="1273"/>
        <v>-0.32274164032605768</v>
      </c>
      <c r="X311" s="2972">
        <f t="shared" si="1273"/>
        <v>-9.8977235235906846E-2</v>
      </c>
      <c r="Y311" s="2972">
        <f t="shared" ref="Y311:AH316" si="1274">+Y277/U277*100-100</f>
        <v>-0.27951550645549617</v>
      </c>
      <c r="Z311" s="2972">
        <f t="shared" si="1274"/>
        <v>-0.2413095936868217</v>
      </c>
      <c r="AA311" s="2972">
        <f t="shared" si="1274"/>
        <v>-0.25702650377195368</v>
      </c>
      <c r="AB311" s="2972">
        <f t="shared" si="1274"/>
        <v>1.6512549537651466E-2</v>
      </c>
      <c r="AC311" s="2972">
        <f t="shared" si="1274"/>
        <v>0.51388147357182845</v>
      </c>
      <c r="AD311" s="2972">
        <f t="shared" si="1274"/>
        <v>8.4989539748931975E-2</v>
      </c>
      <c r="AE311" s="2972">
        <f t="shared" si="1274"/>
        <v>-3.3466082125670482E-3</v>
      </c>
      <c r="AF311" s="2972">
        <f t="shared" si="1274"/>
        <v>0.70662043916129846</v>
      </c>
      <c r="AG311" s="2972">
        <f t="shared" si="1274"/>
        <v>0.62412854392137262</v>
      </c>
      <c r="AH311" s="2972">
        <f t="shared" si="1274"/>
        <v>1.8387876412567721</v>
      </c>
      <c r="AI311" s="2972">
        <f t="shared" ref="AI311:AR316" si="1275">+AI277/AE277*100-100</f>
        <v>1.6331994645247647</v>
      </c>
      <c r="AJ311" s="2972">
        <f t="shared" si="1275"/>
        <v>0.93445686743827139</v>
      </c>
      <c r="AK311" s="2972">
        <f t="shared" si="1275"/>
        <v>0.54767403497193357</v>
      </c>
      <c r="AL311" s="2972">
        <f t="shared" si="1275"/>
        <v>0.12186908694395981</v>
      </c>
      <c r="AM311" s="2972">
        <f t="shared" si="1275"/>
        <v>0.45442571127503584</v>
      </c>
      <c r="AN311" s="2972">
        <f t="shared" si="1275"/>
        <v>0.25662681912680796</v>
      </c>
      <c r="AO311" s="2972">
        <f t="shared" si="1275"/>
        <v>-0.19359495996849319</v>
      </c>
      <c r="AP311" s="2972">
        <f t="shared" si="1275"/>
        <v>-0.86485793907556285</v>
      </c>
      <c r="AQ311" s="2972">
        <f t="shared" si="1275"/>
        <v>-1.3341637710614407</v>
      </c>
      <c r="AR311" s="2972">
        <f t="shared" si="1275"/>
        <v>-1.1761656352266385</v>
      </c>
      <c r="AS311" s="2972">
        <f t="shared" ref="AS311:BB316" si="1276">+AS277/AO277*100-100</f>
        <v>-1.4103955025150441</v>
      </c>
      <c r="AT311" s="2972">
        <f t="shared" si="1276"/>
        <v>-0.78839380916993207</v>
      </c>
      <c r="AU311" s="2972">
        <f t="shared" si="1276"/>
        <v>-1.2193096116150031</v>
      </c>
      <c r="AV311" s="2972">
        <f t="shared" si="1276"/>
        <v>-1.7442622950819811</v>
      </c>
      <c r="AW311" s="2972">
        <f t="shared" si="1276"/>
        <v>-1.1304521808723393</v>
      </c>
      <c r="AX311" s="2972">
        <f t="shared" si="1276"/>
        <v>-1.1496498941540523</v>
      </c>
      <c r="AY311" s="2972">
        <f t="shared" si="1276"/>
        <v>-0.69621956141531882</v>
      </c>
      <c r="AZ311" s="2972">
        <f t="shared" si="1276"/>
        <v>-0.11011745862251132</v>
      </c>
      <c r="BA311" s="2972">
        <f t="shared" si="1276"/>
        <v>-0.27656919289013615</v>
      </c>
      <c r="BB311" s="2972">
        <f t="shared" si="1276"/>
        <v>-0.42830785450711062</v>
      </c>
      <c r="BC311" s="2972">
        <f t="shared" ref="BC311:BF316" si="1277">+BC277/AY277*100-100</f>
        <v>0.29805249788313404</v>
      </c>
      <c r="BD311" s="2972">
        <f t="shared" si="1277"/>
        <v>0.61800567897107328</v>
      </c>
      <c r="BE311" s="2972">
        <f t="shared" si="1277"/>
        <v>0.49041160753542101</v>
      </c>
      <c r="BF311" s="2972">
        <f t="shared" si="1277"/>
        <v>0.90000661769570911</v>
      </c>
      <c r="BG311" s="2972">
        <f t="shared" ref="BG311:BG317" si="1278">+BG277/BC277*100-100</f>
        <v>0.24989025090332007</v>
      </c>
      <c r="BH311" s="2972">
        <f t="shared" ref="BH311:BH317" si="1279">+BH277/BD277*100-100</f>
        <v>-6.3081009296155344E-2</v>
      </c>
      <c r="BI311" s="2972">
        <f t="shared" ref="BI311:BJ317" si="1280">+BI277/BE277*100-100</f>
        <v>0.12116316639740887</v>
      </c>
      <c r="BJ311" s="2972">
        <f t="shared" si="1280"/>
        <v>-0.54109005050175085</v>
      </c>
      <c r="BK311" s="2972">
        <f t="shared" ref="BK311:BK317" si="1281">+BK277/BG277*100-100</f>
        <v>0.53221949001247992</v>
      </c>
      <c r="BL311" s="2972">
        <f t="shared" ref="BL311:BL317" si="1282">+BL277/BH277*100-100</f>
        <v>0.67107405069599224</v>
      </c>
      <c r="BM311" s="2972">
        <f t="shared" ref="BM311:BM317" si="1283">+BM277/BI277*100-100</f>
        <v>2.2724216754067612</v>
      </c>
      <c r="BN311" s="2972">
        <f t="shared" ref="BN311:BN317" si="1284">+BN277/BJ277*100-100</f>
        <v>2.5783903194962079</v>
      </c>
      <c r="BO311" s="2972">
        <f t="shared" ref="BO311:BO317" si="1285">+BO277/BK277*100-100</f>
        <v>2.2650360194337367</v>
      </c>
      <c r="BP311" s="2972">
        <f t="shared" ref="BP311:BP317" si="1286">+BP277/BL277*100-100</f>
        <v>1.5444015444015662</v>
      </c>
      <c r="BQ311" s="2972">
        <f t="shared" ref="BQ311:BQ317" si="1287">+BQ277/BM277*100-100</f>
        <v>-4.9303181698661547E-2</v>
      </c>
      <c r="BR311" s="2972">
        <f t="shared" ref="BR311:BR317" si="1288">+BR277/BN277*100-100</f>
        <v>-0.12535759056282814</v>
      </c>
      <c r="BS311" s="2972">
        <f t="shared" ref="BS311:BS317" si="1289">+BS277/BO277*100-100</f>
        <v>-0.63890436093181791</v>
      </c>
      <c r="BT311" s="2972">
        <f t="shared" ref="BT311:BT317" si="1290">+BT277/BP277*100-100</f>
        <v>-0.5264697279906585</v>
      </c>
      <c r="BU311" s="2972">
        <f t="shared" ref="BU311:BU317" si="1291">+BU277/BQ277*100-100</f>
        <v>-0.17429050610017782</v>
      </c>
      <c r="BV311" s="2972">
        <f t="shared" ref="BV311:BV317" si="1292">+BV277/BR277*100-100</f>
        <v>-0.55998970133882153</v>
      </c>
      <c r="BW311" s="2972">
        <f t="shared" ref="BW311:BW317" si="1293">+BW277/BS277*100-100</f>
        <v>-1.0947701642155039</v>
      </c>
      <c r="BX311" s="2972">
        <f t="shared" ref="BX311:BX317" si="1294">+BX277/BT277*100-100</f>
        <v>-0.59132934757748501</v>
      </c>
      <c r="BY311" s="2972">
        <f t="shared" ref="BY311:BY317" si="1295">+BY277/BU277*100-100</f>
        <v>-1.0343918829885439</v>
      </c>
      <c r="BZ311" s="2972">
        <f t="shared" ref="BZ311:BZ317" si="1296">+BZ277/BV277*100-100</f>
        <v>-1.2201436986212713</v>
      </c>
      <c r="CA311" s="2972">
        <f t="shared" ref="CA311:CA317" si="1297">+CA277/BW277*100-100</f>
        <v>-0.64346202573850064</v>
      </c>
      <c r="CB311" s="2972">
        <f t="shared" ref="CB311:CP317" si="1298">+CB277/BX277*100-100</f>
        <v>-1.1469698961482919</v>
      </c>
      <c r="CC311" s="2972">
        <f t="shared" si="1298"/>
        <v>-0.78556687304440231</v>
      </c>
      <c r="CD311" s="2972">
        <f t="shared" si="1298"/>
        <v>-0.50129419088499105</v>
      </c>
      <c r="CE311" s="2972">
        <f t="shared" si="1298"/>
        <v>-0.29529210429178931</v>
      </c>
      <c r="CF311" s="2972">
        <f t="shared" si="1298"/>
        <v>-0.30586123208883009</v>
      </c>
      <c r="CG311" s="2972">
        <f t="shared" si="1298"/>
        <v>-0.47305911561431913</v>
      </c>
      <c r="CH311" s="2972">
        <f t="shared" si="1298"/>
        <v>-0.47418335089565744</v>
      </c>
      <c r="CI311" s="2972">
        <f t="shared" si="1298"/>
        <v>-0.14135227005016304</v>
      </c>
      <c r="CJ311" s="2972">
        <f t="shared" si="1298"/>
        <v>-0.22343015306633163</v>
      </c>
      <c r="CK311" s="2972">
        <f t="shared" si="1298"/>
        <v>0.849485926175646</v>
      </c>
      <c r="CL311" s="2972">
        <f t="shared" si="1298"/>
        <v>0.89002117522498736</v>
      </c>
      <c r="CM311" s="2972">
        <f t="shared" si="1298"/>
        <v>1.2133059216069597</v>
      </c>
      <c r="CN311" s="2972">
        <f t="shared" si="1298"/>
        <v>1.4872994652406248</v>
      </c>
      <c r="CO311" s="2972">
        <f t="shared" si="1298"/>
        <v>1.0061169234883067</v>
      </c>
      <c r="CP311" s="2972">
        <f t="shared" si="1298"/>
        <v>0.65588823664448626</v>
      </c>
      <c r="CQ311" s="2972">
        <f t="shared" ref="CQ311:CQ317" si="1299">+CQ277/CM277*100-100</f>
        <v>0.37960773867007447</v>
      </c>
      <c r="CR311" s="2972">
        <f t="shared" ref="CR311:CR317" si="1300">+CR277/CN277*100-100</f>
        <v>0.2568746912563995</v>
      </c>
      <c r="CS311" s="2972">
        <f t="shared" ref="CS311:CS316" si="1301">+CS277/CO277*100-100</f>
        <v>-2.9783572705028405E-2</v>
      </c>
      <c r="CT311" s="2972">
        <f t="shared" ref="CT311:CW317" si="1302">+CT277/CP277*100-100</f>
        <v>-0.20200045613006523</v>
      </c>
      <c r="CU311" s="2972">
        <f t="shared" si="1302"/>
        <v>0.14596118759328647</v>
      </c>
      <c r="CV311" s="2972">
        <f t="shared" si="1302"/>
        <v>9.5259994087300015E-2</v>
      </c>
      <c r="CW311" s="2972">
        <f t="shared" si="1302"/>
        <v>6.2895163692928691E-2</v>
      </c>
      <c r="CX311" s="3430">
        <v>0.3</v>
      </c>
      <c r="CY311" s="3430">
        <v>0.26</v>
      </c>
      <c r="CZ311" s="3430">
        <v>0.21</v>
      </c>
      <c r="DA311" s="3430">
        <v>0.15</v>
      </c>
      <c r="DB311" s="3430">
        <v>0.1</v>
      </c>
      <c r="DC311" s="3430">
        <v>-0.08</v>
      </c>
      <c r="DD311" s="3430">
        <v>0.11</v>
      </c>
      <c r="DE311" s="3430">
        <v>0.21</v>
      </c>
      <c r="DF311" s="3430">
        <v>0.15</v>
      </c>
      <c r="DG311" s="3456" t="s">
        <v>2488</v>
      </c>
      <c r="DH311" s="3456"/>
      <c r="DI311" s="3449">
        <v>0.25724359280596687</v>
      </c>
      <c r="DJ311" s="3456" t="s">
        <v>2565</v>
      </c>
      <c r="DK311" s="3456"/>
      <c r="DL311" s="3456"/>
      <c r="DM311" s="3456"/>
      <c r="DN311" s="3456"/>
      <c r="DO311" s="3456"/>
      <c r="DP311" s="3456"/>
      <c r="DQ311" s="921"/>
    </row>
    <row r="312" spans="1:123">
      <c r="C312" s="969"/>
      <c r="D312" s="711"/>
      <c r="E312" s="220" t="str">
        <f>+E304</f>
        <v>Energy</v>
      </c>
      <c r="F312" s="747"/>
      <c r="G312" s="2974"/>
      <c r="H312" s="2974"/>
      <c r="I312" s="2974"/>
      <c r="J312" s="2974"/>
      <c r="K312" s="2974"/>
      <c r="L312" s="2974"/>
      <c r="M312" s="2974"/>
      <c r="N312" s="2974"/>
      <c r="O312" s="2974">
        <f t="shared" si="1273"/>
        <v>5.8917764328942752</v>
      </c>
      <c r="P312" s="2974">
        <f t="shared" si="1273"/>
        <v>3.9364118092354232</v>
      </c>
      <c r="Q312" s="2974">
        <f t="shared" si="1273"/>
        <v>6.3786722183668587</v>
      </c>
      <c r="R312" s="2974">
        <f t="shared" si="1273"/>
        <v>3.1771157216349195</v>
      </c>
      <c r="S312" s="2974">
        <f t="shared" si="1273"/>
        <v>2.246876225696198</v>
      </c>
      <c r="T312" s="2974">
        <f t="shared" si="1273"/>
        <v>1.7031766485517323</v>
      </c>
      <c r="U312" s="2974">
        <f t="shared" si="1273"/>
        <v>-1.5982603968469675</v>
      </c>
      <c r="V312" s="2974">
        <f t="shared" si="1273"/>
        <v>-2.0711193907183088</v>
      </c>
      <c r="W312" s="2974">
        <f t="shared" si="1273"/>
        <v>-3.3154318281455346</v>
      </c>
      <c r="X312" s="2974">
        <f t="shared" si="1273"/>
        <v>-1.4983749242549464</v>
      </c>
      <c r="Y312" s="2974">
        <f t="shared" si="1274"/>
        <v>1.2816971438041946</v>
      </c>
      <c r="Z312" s="2974">
        <f t="shared" si="1274"/>
        <v>2.8310859956358883</v>
      </c>
      <c r="AA312" s="2974">
        <f t="shared" si="1274"/>
        <v>7.0509550529955334</v>
      </c>
      <c r="AB312" s="2974">
        <f t="shared" si="1274"/>
        <v>6.8899949667244726</v>
      </c>
      <c r="AC312" s="2974">
        <f t="shared" si="1274"/>
        <v>5.9237440680739866</v>
      </c>
      <c r="AD312" s="2974">
        <f t="shared" si="1274"/>
        <v>6.0939115294629715</v>
      </c>
      <c r="AE312" s="2974">
        <f t="shared" si="1274"/>
        <v>5.347593582887697</v>
      </c>
      <c r="AF312" s="2974">
        <f t="shared" si="1274"/>
        <v>9.6897399675613229</v>
      </c>
      <c r="AG312" s="2974">
        <f t="shared" si="1274"/>
        <v>7.1218909315618646</v>
      </c>
      <c r="AH312" s="2974">
        <f t="shared" si="1274"/>
        <v>3.1693933022206409</v>
      </c>
      <c r="AI312" s="2974">
        <f t="shared" si="1275"/>
        <v>2.9300899633110333</v>
      </c>
      <c r="AJ312" s="2974">
        <f t="shared" si="1275"/>
        <v>-0.33865967088003401</v>
      </c>
      <c r="AK312" s="2974">
        <f t="shared" si="1275"/>
        <v>0.37015671570044617</v>
      </c>
      <c r="AL312" s="2974">
        <f t="shared" si="1275"/>
        <v>4.2053984192473877</v>
      </c>
      <c r="AM312" s="2974">
        <f t="shared" si="1275"/>
        <v>14.9462890625</v>
      </c>
      <c r="AN312" s="2974">
        <f t="shared" si="1275"/>
        <v>9.4955489614243476</v>
      </c>
      <c r="AO312" s="2974">
        <f t="shared" si="1275"/>
        <v>9.7514248766703275</v>
      </c>
      <c r="AP312" s="2974">
        <f t="shared" si="1275"/>
        <v>9.158994418737791</v>
      </c>
      <c r="AQ312" s="2974">
        <f t="shared" si="1275"/>
        <v>-0.20814748736246713</v>
      </c>
      <c r="AR312" s="2974">
        <f t="shared" si="1275"/>
        <v>4.1480898679954379</v>
      </c>
      <c r="AS312" s="2974">
        <f t="shared" si="1276"/>
        <v>4.8832642373990609</v>
      </c>
      <c r="AT312" s="2974">
        <f t="shared" si="1276"/>
        <v>4.3307258663636503</v>
      </c>
      <c r="AU312" s="2974">
        <f t="shared" si="1276"/>
        <v>2.6519666269368116</v>
      </c>
      <c r="AV312" s="2974">
        <f t="shared" si="1276"/>
        <v>3.9912704075208723</v>
      </c>
      <c r="AW312" s="2974">
        <f t="shared" si="1276"/>
        <v>7.9179495714404595</v>
      </c>
      <c r="AX312" s="2974">
        <f t="shared" si="1276"/>
        <v>7.5982240093825908</v>
      </c>
      <c r="AY312" s="2974">
        <f t="shared" si="1276"/>
        <v>7.9369686916856779</v>
      </c>
      <c r="AZ312" s="2974">
        <f t="shared" si="1276"/>
        <v>9.5487932843651748</v>
      </c>
      <c r="BA312" s="2974">
        <f t="shared" si="1276"/>
        <v>5.3861279253576129</v>
      </c>
      <c r="BB312" s="2974">
        <f t="shared" si="1276"/>
        <v>4.9789785113671741</v>
      </c>
      <c r="BC312" s="2974">
        <f t="shared" si="1277"/>
        <v>3.0081831802989143</v>
      </c>
      <c r="BD312" s="2974">
        <f t="shared" si="1277"/>
        <v>-0.39787798408488584</v>
      </c>
      <c r="BE312" s="2974">
        <f t="shared" si="1277"/>
        <v>-2.337747859808303</v>
      </c>
      <c r="BF312" s="2974">
        <f t="shared" si="1277"/>
        <v>1.809619164163621</v>
      </c>
      <c r="BG312" s="2974">
        <f t="shared" si="1278"/>
        <v>6.8775175294644129</v>
      </c>
      <c r="BH312" s="2974">
        <f t="shared" si="1279"/>
        <v>10.127237757064648</v>
      </c>
      <c r="BI312" s="2974">
        <f t="shared" si="1280"/>
        <v>15.58344259224576</v>
      </c>
      <c r="BJ312" s="2974">
        <f t="shared" si="1280"/>
        <v>5.4307047896558203</v>
      </c>
      <c r="BK312" s="2974">
        <f t="shared" si="1281"/>
        <v>0.73981016192072957</v>
      </c>
      <c r="BL312" s="2974">
        <f t="shared" si="1282"/>
        <v>-0.62134748438235476</v>
      </c>
      <c r="BM312" s="2974">
        <f t="shared" si="1283"/>
        <v>-4.6280991735537356</v>
      </c>
      <c r="BN312" s="2974">
        <f t="shared" si="1284"/>
        <v>1.426794721204999</v>
      </c>
      <c r="BO312" s="2974">
        <f t="shared" si="1285"/>
        <v>7.8044894000276912</v>
      </c>
      <c r="BP312" s="2974">
        <f t="shared" si="1286"/>
        <v>3.7953293453648342</v>
      </c>
      <c r="BQ312" s="2974">
        <f t="shared" si="1287"/>
        <v>3.4254256295239287</v>
      </c>
      <c r="BR312" s="2974">
        <f t="shared" si="1288"/>
        <v>6.9723083211281107</v>
      </c>
      <c r="BS312" s="2974">
        <f t="shared" si="1289"/>
        <v>4.7974036824009403</v>
      </c>
      <c r="BT312" s="2974">
        <f t="shared" si="1290"/>
        <v>6.5804897108621958</v>
      </c>
      <c r="BU312" s="2974">
        <f t="shared" si="1291"/>
        <v>5.7466732380482881</v>
      </c>
      <c r="BV312" s="2974">
        <f t="shared" si="1292"/>
        <v>1.9805132777176198</v>
      </c>
      <c r="BW312" s="2974">
        <f t="shared" si="1293"/>
        <v>1.4901576010302335</v>
      </c>
      <c r="BX312" s="2974">
        <f t="shared" si="1294"/>
        <v>-0.26884184156661206</v>
      </c>
      <c r="BY312" s="2974">
        <f t="shared" si="1295"/>
        <v>0.34178473775790508</v>
      </c>
      <c r="BZ312" s="2974">
        <f t="shared" si="1296"/>
        <v>0.6213313350818197</v>
      </c>
      <c r="CA312" s="2974">
        <f t="shared" si="1297"/>
        <v>-1.7794561933534681</v>
      </c>
      <c r="CB312" s="2974">
        <f t="shared" si="1298"/>
        <v>-2.3250114872108867</v>
      </c>
      <c r="CC312" s="2974">
        <f t="shared" si="1298"/>
        <v>-0.28797919118103721</v>
      </c>
      <c r="CD312" s="2974">
        <f t="shared" si="1298"/>
        <v>-0.99295621683681645</v>
      </c>
      <c r="CE312" s="2974">
        <f t="shared" si="1298"/>
        <v>-2.7929008643228599</v>
      </c>
      <c r="CF312" s="2974">
        <f t="shared" si="1298"/>
        <v>-0.44220033870664111</v>
      </c>
      <c r="CG312" s="2974">
        <f t="shared" si="1298"/>
        <v>-1.462687494177203</v>
      </c>
      <c r="CH312" s="2974">
        <f t="shared" si="1298"/>
        <v>-3.4851286551540568</v>
      </c>
      <c r="CI312" s="2974">
        <f t="shared" si="1298"/>
        <v>-4.1072050121823906</v>
      </c>
      <c r="CJ312" s="2974">
        <f t="shared" si="1298"/>
        <v>-3.8116238777760287</v>
      </c>
      <c r="CK312" s="2974">
        <f t="shared" si="1298"/>
        <v>-6.4260951780649265</v>
      </c>
      <c r="CL312" s="2974">
        <f t="shared" si="1298"/>
        <v>-4.2993992531255003</v>
      </c>
      <c r="CM312" s="2974">
        <f t="shared" si="1298"/>
        <v>-2.1085629434086712</v>
      </c>
      <c r="CN312" s="2974">
        <f t="shared" si="1298"/>
        <v>-1.7193384640576426</v>
      </c>
      <c r="CO312" s="2974">
        <f t="shared" si="1298"/>
        <v>1.7143242059883619</v>
      </c>
      <c r="CP312" s="2974">
        <f t="shared" si="1298"/>
        <v>6.4775542058294775</v>
      </c>
      <c r="CQ312" s="2974">
        <f t="shared" si="1299"/>
        <v>7.9518640868334103</v>
      </c>
      <c r="CR312" s="2974">
        <f t="shared" si="1300"/>
        <v>4.4385204931689515</v>
      </c>
      <c r="CS312" s="2974">
        <f t="shared" si="1301"/>
        <v>5.5033112582781456</v>
      </c>
      <c r="CT312" s="2974">
        <f t="shared" si="1302"/>
        <v>3.4289356277883911</v>
      </c>
      <c r="CU312" s="2974">
        <f t="shared" si="1302"/>
        <v>5.2053083528493289</v>
      </c>
      <c r="CV312" s="2974">
        <f t="shared" si="1302"/>
        <v>9.4027183970390951</v>
      </c>
      <c r="CW312" s="2974">
        <f t="shared" si="1302"/>
        <v>13.037474107086794</v>
      </c>
      <c r="CX312" s="3453">
        <v>11.5</v>
      </c>
      <c r="CY312" s="3453">
        <v>10.665909408507911</v>
      </c>
      <c r="CZ312" s="3453">
        <v>6.752630777107349</v>
      </c>
      <c r="DA312" s="3453">
        <v>4.037219675346071</v>
      </c>
      <c r="DB312" s="3453">
        <v>2.19219795744936</v>
      </c>
      <c r="DC312" s="3453">
        <v>0.84751654096302254</v>
      </c>
      <c r="DD312" s="3453">
        <v>0.74261853964681102</v>
      </c>
      <c r="DE312" s="3453">
        <v>1.0540094653401333</v>
      </c>
      <c r="DF312" s="3453">
        <v>1.4389341197786454</v>
      </c>
      <c r="DG312" s="3449"/>
      <c r="DH312" s="3449"/>
      <c r="DI312" s="3449">
        <v>13.047815107850425</v>
      </c>
      <c r="DJ312" s="3453">
        <v>7.5100678189770731</v>
      </c>
      <c r="DK312" s="3453">
        <v>5.9201169512894447</v>
      </c>
      <c r="DL312" s="3453">
        <v>4.9368080284255544</v>
      </c>
      <c r="DM312" s="3453">
        <v>2.4414906399582437</v>
      </c>
      <c r="DN312" s="3453">
        <v>2.1184336448325736</v>
      </c>
      <c r="DO312" s="3453">
        <v>1.9312792722457894</v>
      </c>
      <c r="DP312" s="3453">
        <v>4.9368080284255544</v>
      </c>
      <c r="DQ312" s="3453">
        <v>2.4414906399582437</v>
      </c>
      <c r="DR312" s="3453">
        <v>2.1184336448325736</v>
      </c>
      <c r="DS312" s="3453">
        <v>1.9312792722457894</v>
      </c>
    </row>
    <row r="313" spans="1:123">
      <c r="C313" s="969"/>
      <c r="D313" s="711"/>
      <c r="E313" s="820" t="s">
        <v>1683</v>
      </c>
      <c r="F313" s="747"/>
      <c r="G313" s="2974"/>
      <c r="H313" s="2974"/>
      <c r="I313" s="2974"/>
      <c r="J313" s="2974"/>
      <c r="K313" s="2974"/>
      <c r="L313" s="2974"/>
      <c r="M313" s="2974"/>
      <c r="N313" s="2974"/>
      <c r="O313" s="2974">
        <f t="shared" si="1273"/>
        <v>-2.4704770902220474</v>
      </c>
      <c r="P313" s="2974">
        <f t="shared" si="1273"/>
        <v>-1.8169209431345337</v>
      </c>
      <c r="Q313" s="2974">
        <f t="shared" si="1273"/>
        <v>-9.8586920801835731E-2</v>
      </c>
      <c r="R313" s="2974">
        <f t="shared" si="1273"/>
        <v>2.6773296244784177</v>
      </c>
      <c r="S313" s="2974">
        <f t="shared" si="1273"/>
        <v>1.0510001452995681</v>
      </c>
      <c r="T313" s="2974">
        <f t="shared" si="1273"/>
        <v>1.0877242548382497</v>
      </c>
      <c r="U313" s="2974">
        <f t="shared" si="1273"/>
        <v>0.91165413533833828</v>
      </c>
      <c r="V313" s="2974">
        <f t="shared" si="1273"/>
        <v>2.1914759808427533</v>
      </c>
      <c r="W313" s="2974">
        <f t="shared" si="1273"/>
        <v>4.4382668711656663</v>
      </c>
      <c r="X313" s="2974">
        <f t="shared" si="1273"/>
        <v>2.7529346003353652</v>
      </c>
      <c r="Y313" s="2974">
        <f t="shared" si="1274"/>
        <v>-0.13039023935922955</v>
      </c>
      <c r="Z313" s="2974">
        <f t="shared" si="1274"/>
        <v>1.1172126491194803</v>
      </c>
      <c r="AA313" s="2974">
        <f t="shared" si="1274"/>
        <v>-0.98669114272603053</v>
      </c>
      <c r="AB313" s="2974">
        <f t="shared" si="1274"/>
        <v>-0.83865995738698018</v>
      </c>
      <c r="AC313" s="2974">
        <f t="shared" si="1274"/>
        <v>0.69476825515249629</v>
      </c>
      <c r="AD313" s="2974">
        <f t="shared" si="1274"/>
        <v>0.44007490636701618</v>
      </c>
      <c r="AE313" s="2974">
        <f t="shared" si="1274"/>
        <v>2.0023174971031352</v>
      </c>
      <c r="AF313" s="2974">
        <f t="shared" si="1274"/>
        <v>7.6392063637194667</v>
      </c>
      <c r="AG313" s="2974">
        <f t="shared" si="1274"/>
        <v>8.0898356100949371</v>
      </c>
      <c r="AH313" s="2974">
        <f t="shared" si="1274"/>
        <v>9.3595599888132881</v>
      </c>
      <c r="AI313" s="2974">
        <f t="shared" si="1275"/>
        <v>12.468759940019098</v>
      </c>
      <c r="AJ313" s="2974">
        <f t="shared" si="1275"/>
        <v>3.3255468252283009</v>
      </c>
      <c r="AK313" s="2974">
        <f t="shared" si="1275"/>
        <v>2.8746465598491966</v>
      </c>
      <c r="AL313" s="2974">
        <f t="shared" si="1275"/>
        <v>-3.8359901116706396E-2</v>
      </c>
      <c r="AM313" s="2974">
        <f t="shared" si="1275"/>
        <v>-2.4685871277928442</v>
      </c>
      <c r="AN313" s="2974">
        <f t="shared" si="1275"/>
        <v>-1.1303847418612634</v>
      </c>
      <c r="AO313" s="2974">
        <f t="shared" si="1275"/>
        <v>1.0077874484654075</v>
      </c>
      <c r="AP313" s="2974">
        <f t="shared" si="1275"/>
        <v>1.8163987549567366</v>
      </c>
      <c r="AQ313" s="2974">
        <f t="shared" si="1275"/>
        <v>-2.8997514498726673E-2</v>
      </c>
      <c r="AR313" s="2974">
        <f t="shared" si="1275"/>
        <v>0.49058329522307531</v>
      </c>
      <c r="AS313" s="2974">
        <f t="shared" si="1276"/>
        <v>-1.4058956916099987</v>
      </c>
      <c r="AT313" s="2974">
        <f t="shared" si="1276"/>
        <v>-1.340089618493252</v>
      </c>
      <c r="AU313" s="2974">
        <f t="shared" si="1276"/>
        <v>0.38122073509300947</v>
      </c>
      <c r="AV313" s="2974">
        <f t="shared" si="1276"/>
        <v>0.47163956807744967</v>
      </c>
      <c r="AW313" s="2974">
        <f t="shared" si="1276"/>
        <v>-0.52270636447268259</v>
      </c>
      <c r="AX313" s="2974">
        <f t="shared" si="1276"/>
        <v>0.48813616876776678</v>
      </c>
      <c r="AY313" s="2974">
        <f t="shared" si="1276"/>
        <v>9.0815273477801384E-2</v>
      </c>
      <c r="AZ313" s="2974">
        <f t="shared" si="1276"/>
        <v>1.9353510397364602</v>
      </c>
      <c r="BA313" s="2974">
        <f t="shared" si="1276"/>
        <v>4.5819496405901958</v>
      </c>
      <c r="BB313" s="2974">
        <f t="shared" si="1276"/>
        <v>3.7551744529863811</v>
      </c>
      <c r="BC313" s="2974">
        <f t="shared" si="1277"/>
        <v>2.8828308656740944</v>
      </c>
      <c r="BD313" s="2974">
        <f t="shared" si="1277"/>
        <v>1.3088264996970338</v>
      </c>
      <c r="BE313" s="2974">
        <f t="shared" si="1277"/>
        <v>0.80791028578319413</v>
      </c>
      <c r="BF313" s="2974">
        <f t="shared" si="1277"/>
        <v>3.7780401416764846</v>
      </c>
      <c r="BG313" s="2974">
        <f t="shared" si="1278"/>
        <v>5.1992303375290874</v>
      </c>
      <c r="BH313" s="2974">
        <f t="shared" si="1279"/>
        <v>7.0058614777303632</v>
      </c>
      <c r="BI313" s="2974">
        <f t="shared" si="1280"/>
        <v>7.0693779904305956</v>
      </c>
      <c r="BJ313" s="2974">
        <f t="shared" si="1280"/>
        <v>6.6023302342003092</v>
      </c>
      <c r="BK313" s="2974">
        <f t="shared" si="1281"/>
        <v>7.4115002095796854</v>
      </c>
      <c r="BL313" s="2974">
        <f t="shared" si="1282"/>
        <v>4.0803398420032835</v>
      </c>
      <c r="BM313" s="2974">
        <f t="shared" si="1283"/>
        <v>1.9215730086024081</v>
      </c>
      <c r="BN313" s="2974">
        <f t="shared" si="1284"/>
        <v>-0.26495915213072863</v>
      </c>
      <c r="BO313" s="2974">
        <f t="shared" si="1285"/>
        <v>0.15964240102171345</v>
      </c>
      <c r="BP313" s="2974">
        <f t="shared" si="1286"/>
        <v>0.49765493537647387</v>
      </c>
      <c r="BQ313" s="2974">
        <f t="shared" si="1287"/>
        <v>1.1290145785377632</v>
      </c>
      <c r="BR313" s="2974">
        <f t="shared" si="1288"/>
        <v>1.8485720611024874</v>
      </c>
      <c r="BS313" s="2974">
        <f t="shared" si="1289"/>
        <v>-1.1794708320051086</v>
      </c>
      <c r="BT313" s="2974">
        <f t="shared" si="1290"/>
        <v>-1.9665122907018144</v>
      </c>
      <c r="BU313" s="2974">
        <f t="shared" si="1291"/>
        <v>-1.7775850856275639</v>
      </c>
      <c r="BV313" s="2974">
        <f t="shared" si="1292"/>
        <v>-2.1265804441545981</v>
      </c>
      <c r="BW313" s="2974">
        <f t="shared" si="1293"/>
        <v>-0.88888888888889994</v>
      </c>
      <c r="BX313" s="2974">
        <f t="shared" si="1294"/>
        <v>1.5335416818082592</v>
      </c>
      <c r="BY313" s="2974">
        <f t="shared" si="1295"/>
        <v>2.1996615905245136</v>
      </c>
      <c r="BZ313" s="2974">
        <f t="shared" si="1296"/>
        <v>3.7644358898430568</v>
      </c>
      <c r="CA313" s="2974">
        <f t="shared" si="1297"/>
        <v>3.3776941993345986</v>
      </c>
      <c r="CB313" s="2974">
        <f t="shared" si="1298"/>
        <v>4.8854688618468174</v>
      </c>
      <c r="CC313" s="2974">
        <f t="shared" si="1298"/>
        <v>4.5313849697667763</v>
      </c>
      <c r="CD313" s="2974">
        <f t="shared" si="1298"/>
        <v>1.1736168087610963</v>
      </c>
      <c r="CE313" s="2974">
        <f t="shared" si="1298"/>
        <v>0.59469670468061508</v>
      </c>
      <c r="CF313" s="2974">
        <f t="shared" si="1298"/>
        <v>-1.42637775123697</v>
      </c>
      <c r="CG313" s="2974">
        <f t="shared" si="1298"/>
        <v>-0.80225871982923991</v>
      </c>
      <c r="CH313" s="2974">
        <f t="shared" si="1298"/>
        <v>1.6395176644806213</v>
      </c>
      <c r="CI313" s="2974">
        <f t="shared" si="1298"/>
        <v>2.0552232577549177</v>
      </c>
      <c r="CJ313" s="2974">
        <f t="shared" si="1298"/>
        <v>3.7871706996226635</v>
      </c>
      <c r="CK313" s="2974">
        <f t="shared" si="1298"/>
        <v>5.4147865324540447</v>
      </c>
      <c r="CL313" s="2974">
        <f t="shared" si="1298"/>
        <v>5.1167308426128386</v>
      </c>
      <c r="CM313" s="2974">
        <f t="shared" si="1298"/>
        <v>4.1912290864483595</v>
      </c>
      <c r="CN313" s="2974">
        <f t="shared" si="1298"/>
        <v>2.6283312764751088</v>
      </c>
      <c r="CO313" s="2974">
        <f t="shared" si="1298"/>
        <v>1.6002634178465627</v>
      </c>
      <c r="CP313" s="2974">
        <f t="shared" si="1298"/>
        <v>2.0064682199194976</v>
      </c>
      <c r="CQ313" s="2974">
        <f t="shared" si="1299"/>
        <v>3.1690486313241877</v>
      </c>
      <c r="CR313" s="2974">
        <f t="shared" si="1300"/>
        <v>1.7550131625987433</v>
      </c>
      <c r="CS313" s="2974">
        <f t="shared" si="1301"/>
        <v>2.2621208192896063</v>
      </c>
      <c r="CT313" s="2974">
        <f t="shared" si="1302"/>
        <v>1.8181818181818272</v>
      </c>
      <c r="CU313" s="2974">
        <f t="shared" si="1302"/>
        <v>1.0904710581373251</v>
      </c>
      <c r="CV313" s="2974">
        <f t="shared" si="1302"/>
        <v>3.9764923823820482</v>
      </c>
      <c r="CW313" s="2974">
        <f t="shared" si="1302"/>
        <v>4.6586803574824103</v>
      </c>
      <c r="CX313" s="3430">
        <v>4</v>
      </c>
      <c r="CY313" s="3430">
        <v>3.5</v>
      </c>
      <c r="CZ313" s="3430">
        <v>3.1</v>
      </c>
      <c r="DA313" s="3430">
        <v>2.4500000000000002</v>
      </c>
      <c r="DB313" s="3430">
        <v>2.4500000000000002</v>
      </c>
      <c r="DC313" s="3430">
        <v>2.1</v>
      </c>
      <c r="DD313" s="3430">
        <v>1.99</v>
      </c>
      <c r="DE313" s="3430">
        <v>1.78</v>
      </c>
      <c r="DF313" s="3430">
        <v>1.55</v>
      </c>
      <c r="DG313" s="3456" t="s">
        <v>2605</v>
      </c>
      <c r="DH313" s="3456"/>
      <c r="DI313" s="3449">
        <v>4.1576554710129221</v>
      </c>
      <c r="DJ313" s="3456"/>
      <c r="DK313" s="3456"/>
      <c r="DL313" s="3456"/>
      <c r="DM313" s="3456"/>
      <c r="DN313" s="3456"/>
      <c r="DO313" s="3456"/>
      <c r="DP313" s="3456"/>
      <c r="DQ313" s="2919"/>
    </row>
    <row r="314" spans="1:123">
      <c r="C314" s="969"/>
      <c r="D314" s="711"/>
      <c r="E314" s="820" t="s">
        <v>1682</v>
      </c>
      <c r="F314" s="747"/>
      <c r="G314" s="2974"/>
      <c r="H314" s="2974"/>
      <c r="I314" s="2974"/>
      <c r="J314" s="2974"/>
      <c r="K314" s="2974"/>
      <c r="L314" s="2974"/>
      <c r="M314" s="2974"/>
      <c r="N314" s="2974"/>
      <c r="O314" s="2974">
        <f t="shared" si="1273"/>
        <v>1.952498907183454</v>
      </c>
      <c r="P314" s="2974">
        <f t="shared" si="1273"/>
        <v>3.6817216753522501</v>
      </c>
      <c r="Q314" s="2974">
        <f t="shared" si="1273"/>
        <v>5.1078102539530335</v>
      </c>
      <c r="R314" s="2974">
        <f t="shared" si="1273"/>
        <v>7.6103135353147451</v>
      </c>
      <c r="S314" s="2974">
        <f t="shared" si="1273"/>
        <v>7.2936020199133083</v>
      </c>
      <c r="T314" s="2974">
        <f t="shared" si="1273"/>
        <v>5.3706892539675124</v>
      </c>
      <c r="U314" s="2974">
        <f t="shared" si="1273"/>
        <v>1.4633479212254059</v>
      </c>
      <c r="V314" s="2974">
        <f t="shared" si="1273"/>
        <v>-1.8204533285739615</v>
      </c>
      <c r="W314" s="2974">
        <f t="shared" si="1273"/>
        <v>-1.7494005860935999</v>
      </c>
      <c r="X314" s="2974">
        <f t="shared" si="1273"/>
        <v>-2.0361291462391193</v>
      </c>
      <c r="Y314" s="2974">
        <f t="shared" si="1274"/>
        <v>2.2464842521443984E-2</v>
      </c>
      <c r="Z314" s="2974">
        <f t="shared" si="1274"/>
        <v>1.199781857844016</v>
      </c>
      <c r="AA314" s="2974">
        <f t="shared" si="1274"/>
        <v>1.0484454085321886</v>
      </c>
      <c r="AB314" s="2974">
        <f t="shared" si="1274"/>
        <v>1.1045987376014494</v>
      </c>
      <c r="AC314" s="2974">
        <f t="shared" si="1274"/>
        <v>1.2532566705597077</v>
      </c>
      <c r="AD314" s="2974">
        <f t="shared" si="1274"/>
        <v>1.2259744925453617</v>
      </c>
      <c r="AE314" s="2974">
        <f t="shared" si="1274"/>
        <v>0.8184257602862175</v>
      </c>
      <c r="AF314" s="2974">
        <f t="shared" si="1274"/>
        <v>0.64659977703456661</v>
      </c>
      <c r="AG314" s="2974">
        <f t="shared" si="1274"/>
        <v>1.0381083359212226</v>
      </c>
      <c r="AH314" s="2974">
        <f t="shared" si="1274"/>
        <v>1.486180737323096</v>
      </c>
      <c r="AI314" s="2974">
        <f t="shared" si="1275"/>
        <v>1.7965665616821269</v>
      </c>
      <c r="AJ314" s="2974">
        <f t="shared" si="1275"/>
        <v>2.5919361984935563</v>
      </c>
      <c r="AK314" s="2974">
        <f t="shared" si="1275"/>
        <v>2.1207464324917567</v>
      </c>
      <c r="AL314" s="2974">
        <f t="shared" si="1275"/>
        <v>1.656758174506038</v>
      </c>
      <c r="AM314" s="2974">
        <f t="shared" si="1275"/>
        <v>1.7082098657835019</v>
      </c>
      <c r="AN314" s="2974">
        <f t="shared" si="1275"/>
        <v>1.2308356726409073</v>
      </c>
      <c r="AO314" s="2974">
        <f t="shared" si="1275"/>
        <v>1.2167856221515052</v>
      </c>
      <c r="AP314" s="2974">
        <f t="shared" si="1275"/>
        <v>1.1653407869275441</v>
      </c>
      <c r="AQ314" s="2974">
        <f t="shared" si="1275"/>
        <v>0.91688089117396032</v>
      </c>
      <c r="AR314" s="2974">
        <f t="shared" si="1275"/>
        <v>0.49488054607509468</v>
      </c>
      <c r="AS314" s="2974">
        <f t="shared" si="1276"/>
        <v>0.1019497897285504</v>
      </c>
      <c r="AT314" s="2974">
        <f t="shared" si="1276"/>
        <v>-0.26353821304090275</v>
      </c>
      <c r="AU314" s="2974">
        <f t="shared" si="1276"/>
        <v>-0.50097647957885272</v>
      </c>
      <c r="AV314" s="2974">
        <f t="shared" si="1276"/>
        <v>-0.9381898454745965</v>
      </c>
      <c r="AW314" s="2974">
        <f t="shared" si="1276"/>
        <v>-0.84022915340547399</v>
      </c>
      <c r="AX314" s="2974">
        <f t="shared" si="1276"/>
        <v>-0.66911012615067023</v>
      </c>
      <c r="AY314" s="2974">
        <f t="shared" si="1276"/>
        <v>-0.46936337258914307</v>
      </c>
      <c r="AZ314" s="2974">
        <f t="shared" si="1276"/>
        <v>2.9997857295896324E-2</v>
      </c>
      <c r="BA314" s="2974">
        <f t="shared" si="1276"/>
        <v>0.22253605512045738</v>
      </c>
      <c r="BB314" s="2974">
        <f t="shared" si="1276"/>
        <v>0.8152057321834576</v>
      </c>
      <c r="BC314" s="2974">
        <f t="shared" si="1277"/>
        <v>2.8551830575323152</v>
      </c>
      <c r="BD314" s="2974">
        <f t="shared" si="1277"/>
        <v>3.3587524633707346</v>
      </c>
      <c r="BE314" s="2974">
        <f t="shared" si="1277"/>
        <v>3.556940945386259</v>
      </c>
      <c r="BF314" s="2974">
        <f t="shared" si="1277"/>
        <v>5.0602204536749298</v>
      </c>
      <c r="BG314" s="2974">
        <f t="shared" si="1278"/>
        <v>7.0898632877625971</v>
      </c>
      <c r="BH314" s="2974">
        <f t="shared" si="1279"/>
        <v>8.0369725607228588</v>
      </c>
      <c r="BI314" s="2974">
        <f t="shared" si="1280"/>
        <v>8.3786904172851422</v>
      </c>
      <c r="BJ314" s="2974">
        <f t="shared" si="1280"/>
        <v>6.9026978854411141</v>
      </c>
      <c r="BK314" s="2974">
        <f t="shared" si="1281"/>
        <v>3.172070213676875</v>
      </c>
      <c r="BL314" s="2974">
        <f t="shared" si="1282"/>
        <v>2.4899290235948683</v>
      </c>
      <c r="BM314" s="2974">
        <f t="shared" si="1283"/>
        <v>2.5528838837315675</v>
      </c>
      <c r="BN314" s="2974">
        <f t="shared" si="1284"/>
        <v>2.6411519514967949</v>
      </c>
      <c r="BO314" s="2974">
        <f t="shared" si="1285"/>
        <v>2.2106533876565635</v>
      </c>
      <c r="BP314" s="2974">
        <f t="shared" si="1286"/>
        <v>1.7780938833570303</v>
      </c>
      <c r="BQ314" s="2974">
        <f t="shared" si="1287"/>
        <v>1.4208866629567609</v>
      </c>
      <c r="BR314" s="2974">
        <f t="shared" si="1288"/>
        <v>1.7646841658360017</v>
      </c>
      <c r="BS314" s="2974">
        <f t="shared" si="1289"/>
        <v>2.5503801579685614</v>
      </c>
      <c r="BT314" s="2974">
        <f t="shared" si="1290"/>
        <v>2.9166206921916995</v>
      </c>
      <c r="BU314" s="2974">
        <f t="shared" si="1291"/>
        <v>3.1238569024800427</v>
      </c>
      <c r="BV314" s="2974">
        <f t="shared" si="1292"/>
        <v>2.3036459278070112</v>
      </c>
      <c r="BW314" s="2974">
        <f t="shared" si="1293"/>
        <v>2.8612560734208898</v>
      </c>
      <c r="BX314" s="2974">
        <f t="shared" si="1294"/>
        <v>2.5873775998856559</v>
      </c>
      <c r="BY314" s="2974">
        <f t="shared" si="1295"/>
        <v>2.1247162315550554</v>
      </c>
      <c r="BZ314" s="2974">
        <f t="shared" si="1296"/>
        <v>1.9468085106382915</v>
      </c>
      <c r="CA314" s="2974">
        <f t="shared" si="1297"/>
        <v>1.4170748775367485</v>
      </c>
      <c r="CB314" s="2974">
        <f t="shared" si="1298"/>
        <v>1.118233121995388</v>
      </c>
      <c r="CC314" s="2974">
        <f t="shared" si="1298"/>
        <v>1.333750130249058</v>
      </c>
      <c r="CD314" s="2974">
        <f t="shared" si="1298"/>
        <v>1.4157014157014203</v>
      </c>
      <c r="CE314" s="2974">
        <f t="shared" si="1298"/>
        <v>0.88321545627046305</v>
      </c>
      <c r="CF314" s="2974">
        <f t="shared" si="1298"/>
        <v>0.88882764322872276</v>
      </c>
      <c r="CG314" s="2974">
        <f t="shared" si="1298"/>
        <v>1.1928020565552799</v>
      </c>
      <c r="CH314" s="2974">
        <f t="shared" si="1298"/>
        <v>1.1935793661682226</v>
      </c>
      <c r="CI314" s="2974">
        <f t="shared" si="1298"/>
        <v>2.014294996751147</v>
      </c>
      <c r="CJ314" s="2974">
        <f t="shared" si="1298"/>
        <v>2.421034659381931</v>
      </c>
      <c r="CK314" s="2974">
        <f t="shared" si="1298"/>
        <v>1.9679571859228417</v>
      </c>
      <c r="CL314" s="2974">
        <f t="shared" si="1298"/>
        <v>1.928552060737502</v>
      </c>
      <c r="CM314" s="2974">
        <f t="shared" si="1298"/>
        <v>0.89507207509220166</v>
      </c>
      <c r="CN314" s="2974">
        <f t="shared" si="1298"/>
        <v>0.42008401680335794</v>
      </c>
      <c r="CO314" s="2974">
        <f t="shared" si="1298"/>
        <v>0.25910178049429078</v>
      </c>
      <c r="CP314" s="2974">
        <f t="shared" si="1298"/>
        <v>0.4588833837661781</v>
      </c>
      <c r="CQ314" s="2974">
        <f t="shared" si="1299"/>
        <v>1.2459713592716923</v>
      </c>
      <c r="CR314" s="2974">
        <f t="shared" si="1300"/>
        <v>1.852589641434264</v>
      </c>
      <c r="CS314" s="2974">
        <f t="shared" si="1301"/>
        <v>2.3921542641309372</v>
      </c>
      <c r="CT314" s="2974">
        <f t="shared" si="1302"/>
        <v>2.8069246301016335</v>
      </c>
      <c r="CU314" s="2974">
        <f t="shared" si="1302"/>
        <v>2.3431346810186255</v>
      </c>
      <c r="CV314" s="2974">
        <f t="shared" si="1302"/>
        <v>1.8188930177977625</v>
      </c>
      <c r="CW314" s="2974">
        <f t="shared" si="1302"/>
        <v>1.4820088014496662</v>
      </c>
      <c r="CX314" s="3430">
        <v>1.95</v>
      </c>
      <c r="CY314" s="3430">
        <v>1.85</v>
      </c>
      <c r="CZ314" s="3430">
        <v>2.11</v>
      </c>
      <c r="DA314" s="3430">
        <v>2.1800000000000002</v>
      </c>
      <c r="DB314" s="3430">
        <v>2.23</v>
      </c>
      <c r="DC314" s="3430">
        <v>2.15</v>
      </c>
      <c r="DD314" s="3430">
        <v>2.15</v>
      </c>
      <c r="DE314" s="3430">
        <v>2.02</v>
      </c>
      <c r="DF314" s="3430">
        <v>1.99</v>
      </c>
      <c r="DG314" s="3449" t="s">
        <v>2563</v>
      </c>
      <c r="DH314" s="3449"/>
      <c r="DI314" s="3449">
        <v>1.4021944045359502</v>
      </c>
      <c r="DJ314" s="3449"/>
      <c r="DK314" s="3449"/>
      <c r="DL314" s="3449"/>
      <c r="DM314" s="3449"/>
      <c r="DN314" s="3449"/>
      <c r="DO314" s="3449"/>
      <c r="DP314" s="3449"/>
      <c r="DQ314" s="2919"/>
    </row>
    <row r="315" spans="1:123">
      <c r="C315" s="727"/>
      <c r="D315" s="728"/>
      <c r="E315" s="772" t="str">
        <f>+E307</f>
        <v>Services</v>
      </c>
      <c r="F315" s="970"/>
      <c r="G315" s="2975"/>
      <c r="H315" s="2975"/>
      <c r="I315" s="2975"/>
      <c r="J315" s="2975"/>
      <c r="K315" s="2975"/>
      <c r="L315" s="2975"/>
      <c r="M315" s="2975"/>
      <c r="N315" s="2975"/>
      <c r="O315" s="2975">
        <f t="shared" si="1273"/>
        <v>2.2226471009989694</v>
      </c>
      <c r="P315" s="2975">
        <f t="shared" si="1273"/>
        <v>2.6300743281875612</v>
      </c>
      <c r="Q315" s="2975">
        <f t="shared" si="1273"/>
        <v>2.2059522677569987</v>
      </c>
      <c r="R315" s="2975">
        <f t="shared" si="1273"/>
        <v>2.8084014445922918</v>
      </c>
      <c r="S315" s="2975">
        <f t="shared" si="1273"/>
        <v>1.8610305807537912</v>
      </c>
      <c r="T315" s="2975">
        <f t="shared" si="1273"/>
        <v>1.5877437325905248</v>
      </c>
      <c r="U315" s="2975">
        <f t="shared" si="1273"/>
        <v>1.9815796818308513</v>
      </c>
      <c r="V315" s="2975">
        <f t="shared" si="1273"/>
        <v>1.9551652415068332</v>
      </c>
      <c r="W315" s="2975">
        <f t="shared" si="1273"/>
        <v>2.015240543518189</v>
      </c>
      <c r="X315" s="2975">
        <f t="shared" si="1273"/>
        <v>2.019925052554612</v>
      </c>
      <c r="Y315" s="2975">
        <f t="shared" si="1274"/>
        <v>1.8655354862251414</v>
      </c>
      <c r="Z315" s="2975">
        <f t="shared" si="1274"/>
        <v>1.2240456977060461</v>
      </c>
      <c r="AA315" s="2975">
        <f t="shared" si="1274"/>
        <v>1.1519596814111566</v>
      </c>
      <c r="AB315" s="2975">
        <f t="shared" si="1274"/>
        <v>0.87349937287224577</v>
      </c>
      <c r="AC315" s="2975">
        <f t="shared" si="1274"/>
        <v>0.54627681010165929</v>
      </c>
      <c r="AD315" s="2975">
        <f t="shared" si="1274"/>
        <v>1.4779648871372331</v>
      </c>
      <c r="AE315" s="2975">
        <f t="shared" si="1274"/>
        <v>2.0018684105164795</v>
      </c>
      <c r="AF315" s="2975">
        <f t="shared" si="1274"/>
        <v>2.9219769972023641</v>
      </c>
      <c r="AG315" s="2975">
        <f t="shared" si="1274"/>
        <v>3.8521487419282892</v>
      </c>
      <c r="AH315" s="2975">
        <f t="shared" si="1274"/>
        <v>3.46455997881543</v>
      </c>
      <c r="AI315" s="2975">
        <f t="shared" si="1275"/>
        <v>2.4510445287627078</v>
      </c>
      <c r="AJ315" s="2975">
        <f t="shared" si="1275"/>
        <v>2.6448634422056472</v>
      </c>
      <c r="AK315" s="2975">
        <f t="shared" si="1275"/>
        <v>1.9253859348199001</v>
      </c>
      <c r="AL315" s="2975">
        <f t="shared" si="1275"/>
        <v>2.098707503305917</v>
      </c>
      <c r="AM315" s="2975">
        <f t="shared" si="1275"/>
        <v>2.7755310544463896</v>
      </c>
      <c r="AN315" s="2975">
        <f t="shared" si="1275"/>
        <v>2.1185372005044343</v>
      </c>
      <c r="AO315" s="2975">
        <f t="shared" si="1275"/>
        <v>2.6673398123606233</v>
      </c>
      <c r="AP315" s="2975">
        <f t="shared" si="1275"/>
        <v>2.1976185502402359</v>
      </c>
      <c r="AQ315" s="2975">
        <f t="shared" si="1275"/>
        <v>2.311228927639462</v>
      </c>
      <c r="AR315" s="2975">
        <f t="shared" si="1275"/>
        <v>2.4573968881204991</v>
      </c>
      <c r="AS315" s="2975">
        <f t="shared" si="1276"/>
        <v>2.6390197926484689</v>
      </c>
      <c r="AT315" s="2975">
        <f t="shared" si="1276"/>
        <v>2.4651486039000758</v>
      </c>
      <c r="AU315" s="2975">
        <f t="shared" si="1276"/>
        <v>2.1537589571272662</v>
      </c>
      <c r="AV315" s="2975">
        <f t="shared" si="1276"/>
        <v>1.615041581294463</v>
      </c>
      <c r="AW315" s="2975">
        <f t="shared" si="1276"/>
        <v>1.2217031979878072</v>
      </c>
      <c r="AX315" s="2975">
        <f t="shared" si="1276"/>
        <v>1.56798595595275</v>
      </c>
      <c r="AY315" s="2975">
        <f t="shared" si="1276"/>
        <v>1.2285499147941152</v>
      </c>
      <c r="AZ315" s="2975">
        <f t="shared" si="1276"/>
        <v>1.3995967263669797</v>
      </c>
      <c r="BA315" s="2975">
        <f t="shared" si="1276"/>
        <v>1.4002287697708198</v>
      </c>
      <c r="BB315" s="2975">
        <f t="shared" si="1276"/>
        <v>1.3198727265585148</v>
      </c>
      <c r="BC315" s="2975">
        <f t="shared" si="1277"/>
        <v>1.6638609403750451</v>
      </c>
      <c r="BD315" s="2975">
        <f t="shared" si="1277"/>
        <v>1.8910593831637215</v>
      </c>
      <c r="BE315" s="2975">
        <f t="shared" si="1277"/>
        <v>2.6684300606815157</v>
      </c>
      <c r="BF315" s="2975">
        <f t="shared" si="1277"/>
        <v>2.2990733920055675</v>
      </c>
      <c r="BG315" s="2975">
        <f t="shared" si="1278"/>
        <v>2.4145101663586104</v>
      </c>
      <c r="BH315" s="2975">
        <f t="shared" si="1279"/>
        <v>2.525639063217497</v>
      </c>
      <c r="BI315" s="2975">
        <f t="shared" si="1280"/>
        <v>1.6897779798438819</v>
      </c>
      <c r="BJ315" s="2975">
        <f t="shared" si="1280"/>
        <v>2.164026377624495</v>
      </c>
      <c r="BK315" s="2975">
        <f t="shared" si="1281"/>
        <v>2.338785485993597</v>
      </c>
      <c r="BL315" s="2975">
        <f t="shared" si="1282"/>
        <v>2.5156763212899449</v>
      </c>
      <c r="BM315" s="2975">
        <f t="shared" si="1283"/>
        <v>2.9582712369597743</v>
      </c>
      <c r="BN315" s="2975">
        <f t="shared" si="1284"/>
        <v>2.7599510331268249</v>
      </c>
      <c r="BO315" s="2975">
        <f t="shared" si="1285"/>
        <v>2.0538633942021676</v>
      </c>
      <c r="BP315" s="2975">
        <f t="shared" si="1286"/>
        <v>1.7548969635185614</v>
      </c>
      <c r="BQ315" s="2975">
        <f t="shared" si="1287"/>
        <v>1.7080408192805976</v>
      </c>
      <c r="BR315" s="2975">
        <f t="shared" si="1288"/>
        <v>1.7688892097758071</v>
      </c>
      <c r="BS315" s="2975">
        <f t="shared" si="1289"/>
        <v>1.6885080645161281</v>
      </c>
      <c r="BT315" s="2975">
        <f t="shared" si="1290"/>
        <v>1.9607843137254832</v>
      </c>
      <c r="BU315" s="2975">
        <f t="shared" si="1291"/>
        <v>1.6580089660570536</v>
      </c>
      <c r="BV315" s="2975">
        <f t="shared" si="1292"/>
        <v>1.5075733390089283</v>
      </c>
      <c r="BW315" s="2975">
        <f t="shared" si="1293"/>
        <v>1.8445742609311395</v>
      </c>
      <c r="BX315" s="2975">
        <f t="shared" si="1294"/>
        <v>1.7370859067939364</v>
      </c>
      <c r="BY315" s="2975">
        <f t="shared" si="1295"/>
        <v>1.7779644407111874</v>
      </c>
      <c r="BZ315" s="2975">
        <f t="shared" si="1296"/>
        <v>1.9674308079396212</v>
      </c>
      <c r="CA315" s="2975">
        <f t="shared" si="1297"/>
        <v>1.4600570117500098</v>
      </c>
      <c r="CB315" s="2975">
        <f t="shared" si="1298"/>
        <v>1.06584802179988</v>
      </c>
      <c r="CC315" s="2975">
        <f t="shared" si="1298"/>
        <v>1.2585969738652096</v>
      </c>
      <c r="CD315" s="2975">
        <f t="shared" si="1298"/>
        <v>0.68199732684463754</v>
      </c>
      <c r="CE315" s="2975">
        <f t="shared" si="1298"/>
        <v>0.51051874186254054</v>
      </c>
      <c r="CF315" s="2975">
        <f t="shared" si="1298"/>
        <v>1.0170648464163889</v>
      </c>
      <c r="CG315" s="2975">
        <f t="shared" si="1298"/>
        <v>0.95089316036131777</v>
      </c>
      <c r="CH315" s="2975">
        <f t="shared" si="1298"/>
        <v>1.3139083668050944</v>
      </c>
      <c r="CI315" s="2975">
        <f t="shared" si="1298"/>
        <v>1.6021816942218834</v>
      </c>
      <c r="CJ315" s="2975">
        <f t="shared" si="1298"/>
        <v>1.2095411852152154</v>
      </c>
      <c r="CK315" s="2975">
        <f t="shared" si="1298"/>
        <v>1.4633654040234347</v>
      </c>
      <c r="CL315" s="2975">
        <f t="shared" si="1298"/>
        <v>1.0516059669399453</v>
      </c>
      <c r="CM315" s="2975">
        <f t="shared" si="1298"/>
        <v>1.3823184029525493</v>
      </c>
      <c r="CN315" s="2975">
        <f t="shared" si="1298"/>
        <v>1.3486446788623283</v>
      </c>
      <c r="CO315" s="2975">
        <f t="shared" si="1298"/>
        <v>1.1836477570372352</v>
      </c>
      <c r="CP315" s="2975">
        <f t="shared" si="1298"/>
        <v>1.0905342953087143</v>
      </c>
      <c r="CQ315" s="2975">
        <f t="shared" si="1299"/>
        <v>1.0788628917496794</v>
      </c>
      <c r="CR315" s="2975">
        <f t="shared" si="1300"/>
        <v>2.3978919631093589</v>
      </c>
      <c r="CS315" s="2975">
        <f t="shared" si="1301"/>
        <v>3.0441051182908581</v>
      </c>
      <c r="CT315" s="2975">
        <f t="shared" si="1302"/>
        <v>2.4140766321328613</v>
      </c>
      <c r="CU315" s="2975">
        <f t="shared" si="1302"/>
        <v>1.9742657892151954</v>
      </c>
      <c r="CV315" s="2975">
        <f t="shared" si="1302"/>
        <v>1.5086206896551886</v>
      </c>
      <c r="CW315" s="2975">
        <f t="shared" si="1302"/>
        <v>1.380099850542166</v>
      </c>
      <c r="CX315" s="3430">
        <v>1.88</v>
      </c>
      <c r="CY315" s="3430">
        <v>1.88</v>
      </c>
      <c r="CZ315" s="3430">
        <v>1.99</v>
      </c>
      <c r="DA315" s="3430">
        <v>2.0099999999999998</v>
      </c>
      <c r="DB315" s="3430">
        <v>2.33</v>
      </c>
      <c r="DC315" s="3430">
        <v>2.4500000000000002</v>
      </c>
      <c r="DD315" s="3430">
        <v>2.5099999999999998</v>
      </c>
      <c r="DE315" s="3430">
        <v>2.65</v>
      </c>
      <c r="DF315" s="3430">
        <v>2.63</v>
      </c>
      <c r="DG315" s="3449" t="s">
        <v>2487</v>
      </c>
      <c r="DH315" s="3449"/>
      <c r="DI315" s="3449">
        <v>1.5094776510120589</v>
      </c>
      <c r="DJ315" s="3449"/>
      <c r="DK315" s="3449"/>
      <c r="DL315" s="3449"/>
      <c r="DM315" s="3449"/>
      <c r="DN315" s="3449"/>
      <c r="DO315" s="3449"/>
      <c r="DP315" s="3449"/>
      <c r="DQ315" s="2919"/>
    </row>
    <row r="316" spans="1:123">
      <c r="C316" s="711"/>
      <c r="D316" s="754"/>
      <c r="E316" s="755" t="s">
        <v>1196</v>
      </c>
      <c r="F316" s="961"/>
      <c r="G316" s="2931"/>
      <c r="H316" s="2931"/>
      <c r="I316" s="2931"/>
      <c r="J316" s="2931"/>
      <c r="K316" s="2931"/>
      <c r="L316" s="2931"/>
      <c r="M316" s="2931"/>
      <c r="N316" s="2931"/>
      <c r="O316" s="2931"/>
      <c r="P316" s="2931"/>
      <c r="Q316" s="2931"/>
      <c r="R316" s="2931">
        <f t="shared" ca="1" si="1273"/>
        <v>1.9625978961865513</v>
      </c>
      <c r="S316" s="2931">
        <f t="shared" ca="1" si="1273"/>
        <v>1.9629373575755551</v>
      </c>
      <c r="T316" s="2931">
        <f t="shared" ca="1" si="1273"/>
        <v>1.4797810449334037</v>
      </c>
      <c r="U316" s="2931">
        <f t="shared" ca="1" si="1273"/>
        <v>0.6130524380661484</v>
      </c>
      <c r="V316" s="2931">
        <f t="shared" ca="1" si="1273"/>
        <v>0.10014912206131044</v>
      </c>
      <c r="W316" s="2931">
        <f t="shared" ca="1" si="1273"/>
        <v>0.54184143750950398</v>
      </c>
      <c r="X316" s="2931">
        <f t="shared" ca="1" si="1273"/>
        <v>0.66496029660700628</v>
      </c>
      <c r="Y316" s="2931">
        <f t="shared" ca="1" si="1274"/>
        <v>0.98677703872731115</v>
      </c>
      <c r="Z316" s="2931">
        <f t="shared" ca="1" si="1274"/>
        <v>1.2624843247367181</v>
      </c>
      <c r="AA316" s="2931">
        <f t="shared" ca="1" si="1274"/>
        <v>1.6172882994270878</v>
      </c>
      <c r="AB316" s="2931">
        <f t="shared" ca="1" si="1274"/>
        <v>1.5882365818376485</v>
      </c>
      <c r="AC316" s="2931">
        <f t="shared" ca="1" si="1274"/>
        <v>1.6782931450090643</v>
      </c>
      <c r="AD316" s="2931">
        <f t="shared" ca="1" si="1274"/>
        <v>1.9013799437687595</v>
      </c>
      <c r="AE316" s="2931">
        <f t="shared" ca="1" si="1274"/>
        <v>1.6007649606465861</v>
      </c>
      <c r="AF316" s="2931">
        <f t="shared" ca="1" si="1274"/>
        <v>2.9846766756106149</v>
      </c>
      <c r="AG316" s="2931">
        <f t="shared" ca="1" si="1274"/>
        <v>3.097088417152122</v>
      </c>
      <c r="AH316" s="2931">
        <f t="shared" ca="1" si="1274"/>
        <v>3.0245252487754328</v>
      </c>
      <c r="AI316" s="2931">
        <f t="shared" ca="1" si="1275"/>
        <v>2.81321424852419</v>
      </c>
      <c r="AJ316" s="2931">
        <f t="shared" ca="1" si="1275"/>
        <v>1.8338012920295199</v>
      </c>
      <c r="AK316" s="2931">
        <f t="shared" ca="1" si="1275"/>
        <v>1.4507521442804148</v>
      </c>
      <c r="AL316" s="2931">
        <f t="shared" ca="1" si="1275"/>
        <v>1.552693571979475</v>
      </c>
      <c r="AM316" s="2931">
        <f t="shared" ca="1" si="1275"/>
        <v>3.0020275525650391</v>
      </c>
      <c r="AN316" s="2931">
        <f t="shared" ca="1" si="1275"/>
        <v>2.1015989734290912</v>
      </c>
      <c r="AO316" s="2931">
        <f t="shared" ca="1" si="1275"/>
        <v>2.3406451498937315</v>
      </c>
      <c r="AP316" s="2931">
        <f t="shared" ca="1" si="1275"/>
        <v>1.9506836418764095</v>
      </c>
      <c r="AQ316" s="2931">
        <f t="shared" ca="1" si="1275"/>
        <v>0.58551114627130119</v>
      </c>
      <c r="AR316" s="2931">
        <f t="shared" ca="1" si="1275"/>
        <v>1.2084482312263702</v>
      </c>
      <c r="AS316" s="2931">
        <f t="shared" ca="1" si="1276"/>
        <v>1.1357921097538366</v>
      </c>
      <c r="AT316" s="2931">
        <f t="shared" ca="1" si="1276"/>
        <v>1.137920752960639</v>
      </c>
      <c r="AU316" s="2931">
        <f ca="1">+AU282/AQ282*100-100</f>
        <v>0.7752985160801984</v>
      </c>
      <c r="AV316" s="2931">
        <f t="shared" ca="1" si="1276"/>
        <v>0.50599251726922034</v>
      </c>
      <c r="AW316" s="2931">
        <f t="shared" ca="1" si="1276"/>
        <v>0.9481500836628669</v>
      </c>
      <c r="AX316" s="2931">
        <f t="shared" ca="1" si="1276"/>
        <v>1.1160935486764174</v>
      </c>
      <c r="AY316" s="2931">
        <f t="shared" ca="1" si="1276"/>
        <v>1.1754322454240196</v>
      </c>
      <c r="AZ316" s="2931">
        <f t="shared" ca="1" si="1276"/>
        <v>1.81334178320094</v>
      </c>
      <c r="BA316" s="2931">
        <f t="shared" ca="1" si="1276"/>
        <v>1.4689326788715391</v>
      </c>
      <c r="BB316" s="2931">
        <f t="shared" ca="1" si="1276"/>
        <v>1.3581838167657736</v>
      </c>
      <c r="BC316" s="2931">
        <f t="shared" ca="1" si="1277"/>
        <v>1.7022971678974272</v>
      </c>
      <c r="BD316" s="2931">
        <f t="shared" ca="1" si="1277"/>
        <v>1.4117182983560923</v>
      </c>
      <c r="BE316" s="2931">
        <f t="shared" ca="1" si="1277"/>
        <v>1.4204668886196998</v>
      </c>
      <c r="BF316" s="2931">
        <f t="shared" ca="1" si="1277"/>
        <v>2.312859766829007</v>
      </c>
      <c r="BG316" s="2931">
        <f t="shared" ca="1" si="1278"/>
        <v>3.0837365919768303</v>
      </c>
      <c r="BH316" s="2931">
        <f t="shared" ca="1" si="1279"/>
        <v>3.639826481557165</v>
      </c>
      <c r="BI316" s="2931">
        <f t="shared" ca="1" si="1280"/>
        <v>4.0288613663770292</v>
      </c>
      <c r="BJ316" s="2931">
        <f t="shared" ca="1" si="1280"/>
        <v>2.6493166321667019</v>
      </c>
      <c r="BK316" s="2931">
        <f t="shared" ca="1" si="1281"/>
        <v>2.0704317704797148</v>
      </c>
      <c r="BL316" s="2931">
        <f t="shared" ca="1" si="1282"/>
        <v>1.6983603410269978</v>
      </c>
      <c r="BM316" s="2931">
        <f t="shared" ca="1" si="1283"/>
        <v>1.682925313288905</v>
      </c>
      <c r="BN316" s="2931">
        <f t="shared" ca="1" si="1284"/>
        <v>2.3483083410627899</v>
      </c>
      <c r="BO316" s="2931">
        <f t="shared" ca="1" si="1285"/>
        <v>2.6405396833958577</v>
      </c>
      <c r="BP316" s="2931">
        <f t="shared" ca="1" si="1286"/>
        <v>1.8418099282381917</v>
      </c>
      <c r="BQ316" s="2931">
        <f t="shared" ca="1" si="1287"/>
        <v>1.3293991549634825</v>
      </c>
      <c r="BR316" s="2931">
        <f t="shared" ca="1" si="1288"/>
        <v>1.7934747729931217</v>
      </c>
      <c r="BS316" s="2931">
        <f t="shared" ca="1" si="1289"/>
        <v>1.349945630178496</v>
      </c>
      <c r="BT316" s="2931">
        <f t="shared" ca="1" si="1290"/>
        <v>1.6874521949213062</v>
      </c>
      <c r="BU316" s="2931">
        <f t="shared" ca="1" si="1291"/>
        <v>1.6113490556452632</v>
      </c>
      <c r="BV316" s="2931">
        <f t="shared" ca="1" si="1292"/>
        <v>0.8740710563242402</v>
      </c>
      <c r="BW316" s="2931">
        <f t="shared" ca="1" si="1293"/>
        <v>0.91077647039799103</v>
      </c>
      <c r="BX316" s="2931">
        <f t="shared" ca="1" si="1294"/>
        <v>0.91408440358256371</v>
      </c>
      <c r="BY316" s="2931">
        <f t="shared" ca="1" si="1295"/>
        <v>0.86120892094471913</v>
      </c>
      <c r="BZ316" s="2931">
        <f t="shared" ca="1" si="1296"/>
        <v>0.99733313093844345</v>
      </c>
      <c r="CA316" s="2931">
        <f t="shared" ca="1" si="1297"/>
        <v>0.58512375413728535</v>
      </c>
      <c r="CB316" s="2931">
        <f t="shared" ca="1" si="1298"/>
        <v>0.29782668295123926</v>
      </c>
      <c r="CC316" s="2931">
        <f t="shared" ca="1" si="1298"/>
        <v>0.71931861055973911</v>
      </c>
      <c r="CD316" s="2931">
        <f t="shared" ca="1" si="1298"/>
        <v>0.28933057490088743</v>
      </c>
      <c r="CE316" s="2931">
        <f t="shared" ca="1" si="1298"/>
        <v>-5.1282449202616931E-2</v>
      </c>
      <c r="CF316" s="2931">
        <f t="shared" ca="1" si="1298"/>
        <v>0.28500927278598454</v>
      </c>
      <c r="CG316" s="3245">
        <f t="shared" ref="CG316" ca="1" si="1303">+CG282/CC282*100-100</f>
        <v>0.19282674219449802</v>
      </c>
      <c r="CH316" s="2931">
        <f t="shared" ca="1" si="1298"/>
        <v>0.28080801155981305</v>
      </c>
      <c r="CI316" s="2931">
        <f t="shared" ca="1" si="1298"/>
        <v>0.6087932278059327</v>
      </c>
      <c r="CJ316" s="2931">
        <f t="shared" ca="1" si="1298"/>
        <v>0.61300630201606054</v>
      </c>
      <c r="CK316" s="2931">
        <f t="shared" ca="1" si="1298"/>
        <v>0.79309946674834464</v>
      </c>
      <c r="CL316" s="2931">
        <f t="shared" ca="1" si="1298"/>
        <v>0.85556179446541591</v>
      </c>
      <c r="CM316" s="2931">
        <f t="shared" ca="1" si="1298"/>
        <v>1.0685311441613692</v>
      </c>
      <c r="CN316" s="2931">
        <f t="shared" ca="1" si="1298"/>
        <v>1.0072900142311454</v>
      </c>
      <c r="CO316" s="2931">
        <f t="shared" ca="1" si="1298"/>
        <v>1.03501160475912</v>
      </c>
      <c r="CP316" s="2931">
        <f t="shared" ca="1" si="1298"/>
        <v>1.3767876703441004</v>
      </c>
      <c r="CQ316" s="2931">
        <f t="shared" ca="1" si="1299"/>
        <v>1.6186697475594372</v>
      </c>
      <c r="CR316" s="2931">
        <f t="shared" ca="1" si="1300"/>
        <v>1.8357213943095587</v>
      </c>
      <c r="CS316" s="2931">
        <f t="shared" ca="1" si="1301"/>
        <v>2.2267859160357801</v>
      </c>
      <c r="CT316" s="2931">
        <f t="shared" ca="1" si="1302"/>
        <v>1.7689084126922836</v>
      </c>
      <c r="CU316" s="2931">
        <f t="shared" ca="1" si="1302"/>
        <v>1.7414561722660267</v>
      </c>
      <c r="CV316" s="2931">
        <f t="shared" ca="1" si="1302"/>
        <v>1.9978187600815431</v>
      </c>
      <c r="CW316" s="2931">
        <f t="shared" ca="1" si="1302"/>
        <v>2.2368626732073267</v>
      </c>
      <c r="CX316" s="3245">
        <f t="shared" ref="CX316" ca="1" si="1304">+CX282/CT282*100-100</f>
        <v>2.4169975008585709</v>
      </c>
      <c r="CY316" s="3245">
        <f t="shared" ref="CY316" ca="1" si="1305">+CY282/CU282*100-100</f>
        <v>2.2737771719108224</v>
      </c>
      <c r="CZ316" s="3245">
        <f t="shared" ref="CZ316" ca="1" si="1306">+CZ282/CV282*100-100</f>
        <v>1.9853869429720845</v>
      </c>
      <c r="DA316" s="3245">
        <f t="shared" ref="DA316" ca="1" si="1307">+DA282/CW282*100-100</f>
        <v>1.7005707106350343</v>
      </c>
      <c r="DB316" s="3245">
        <f t="shared" ref="DB316" ca="1" si="1308">+DB282/CX282*100-100</f>
        <v>1.6633556682615449</v>
      </c>
      <c r="DC316" s="3245">
        <f t="shared" ref="DC316" ca="1" si="1309">+DC282/CY282*100-100</f>
        <v>1.5062973100673673</v>
      </c>
      <c r="DD316" s="3245">
        <f t="shared" ref="DD316" ca="1" si="1310">+DD282/CZ282*100-100</f>
        <v>1.5741852142702868</v>
      </c>
      <c r="DE316" s="3245">
        <f t="shared" ref="DE316" ca="1" si="1311">+DE282/DA282*100-100</f>
        <v>1.6578690505000111</v>
      </c>
      <c r="DF316" s="3245">
        <f t="shared" ref="DF316" ca="1" si="1312">+DF282/DB282*100-100</f>
        <v>1.649929533784757</v>
      </c>
      <c r="DG316" s="3450"/>
      <c r="DH316" s="3450"/>
      <c r="DI316" s="3449">
        <v>1.8649097716799234</v>
      </c>
      <c r="DJ316" s="3450" t="s">
        <v>1628</v>
      </c>
      <c r="DK316" s="2919"/>
      <c r="DL316" s="2919"/>
      <c r="DM316" s="2919"/>
    </row>
    <row r="317" spans="1:123">
      <c r="B317" s="702">
        <v>25</v>
      </c>
      <c r="C317" s="711"/>
      <c r="D317" s="754"/>
      <c r="E317" s="755" t="str">
        <f>+E308</f>
        <v>HICP</v>
      </c>
      <c r="F317" s="961"/>
      <c r="G317" s="2931"/>
      <c r="H317" s="2931"/>
      <c r="I317" s="2931"/>
      <c r="J317" s="2931"/>
      <c r="K317" s="2931" t="e">
        <f t="shared" ref="K317:T317" si="1313">+K283/G283*100-100</f>
        <v>#VALUE!</v>
      </c>
      <c r="L317" s="2931" t="e">
        <f t="shared" si="1313"/>
        <v>#VALUE!</v>
      </c>
      <c r="M317" s="2931" t="e">
        <f t="shared" si="1313"/>
        <v>#VALUE!</v>
      </c>
      <c r="N317" s="2931" t="e">
        <f t="shared" si="1313"/>
        <v>#VALUE!</v>
      </c>
      <c r="O317" s="2931">
        <f t="shared" si="1313"/>
        <v>1.1578252256218491</v>
      </c>
      <c r="P317" s="2931">
        <f t="shared" si="1313"/>
        <v>1.3125190773121602</v>
      </c>
      <c r="Q317" s="2931">
        <f t="shared" si="1313"/>
        <v>2.1014841731973064</v>
      </c>
      <c r="R317" s="2931">
        <f t="shared" si="1313"/>
        <v>2.6767390070302497</v>
      </c>
      <c r="S317" s="2931">
        <f t="shared" si="1313"/>
        <v>1.9235790756375621</v>
      </c>
      <c r="T317" s="2931">
        <f t="shared" si="1313"/>
        <v>1.446156494792092</v>
      </c>
      <c r="U317" s="2931">
        <f t="shared" ref="U317:AD317" si="1314">+U283/Q283*100-100</f>
        <v>0.5831653874190863</v>
      </c>
      <c r="V317" s="2931">
        <f t="shared" si="1314"/>
        <v>8.5055711491023089E-2</v>
      </c>
      <c r="W317" s="2931">
        <f t="shared" si="1314"/>
        <v>0.23911187019641034</v>
      </c>
      <c r="X317" s="2931">
        <f t="shared" si="1314"/>
        <v>0.36487059821807577</v>
      </c>
      <c r="Y317" s="2931">
        <f t="shared" si="1314"/>
        <v>0.6863622799164375</v>
      </c>
      <c r="Z317" s="2931">
        <f t="shared" si="1314"/>
        <v>0.9645619104274914</v>
      </c>
      <c r="AA317" s="2931">
        <f t="shared" si="1314"/>
        <v>1.2182654626001153</v>
      </c>
      <c r="AB317" s="2931">
        <f t="shared" si="1314"/>
        <v>1.1920865742306432</v>
      </c>
      <c r="AC317" s="2931">
        <f t="shared" si="1314"/>
        <v>1.2744516893894513</v>
      </c>
      <c r="AD317" s="2931">
        <f t="shared" si="1314"/>
        <v>1.4898362863516041</v>
      </c>
      <c r="AE317" s="2931">
        <f t="shared" ref="AE317:AN317" si="1315">+AE283/AA283*100-100</f>
        <v>1.6034003871728117</v>
      </c>
      <c r="AF317" s="2931">
        <f t="shared" si="1315"/>
        <v>2.9868827805163249</v>
      </c>
      <c r="AG317" s="2931">
        <f t="shared" si="1315"/>
        <v>3.0979556001505131</v>
      </c>
      <c r="AH317" s="2931">
        <f t="shared" si="1315"/>
        <v>3.0230147211279075</v>
      </c>
      <c r="AI317" s="2931">
        <f t="shared" si="1315"/>
        <v>2.8414033053058887</v>
      </c>
      <c r="AJ317" s="2931">
        <f t="shared" si="1315"/>
        <v>1.8577860706607794</v>
      </c>
      <c r="AK317" s="2931">
        <f t="shared" si="1315"/>
        <v>1.4841849148418618</v>
      </c>
      <c r="AL317" s="2931">
        <f t="shared" si="1315"/>
        <v>1.5939462244404865</v>
      </c>
      <c r="AM317" s="2931">
        <f t="shared" si="1315"/>
        <v>2.9763582907084611</v>
      </c>
      <c r="AN317" s="2931">
        <f t="shared" si="1315"/>
        <v>2.0787702600453883</v>
      </c>
      <c r="AO317" s="2931">
        <f t="shared" ref="AO317:AX317" si="1316">+AO283/AK283*100-100</f>
        <v>2.3095980180612372</v>
      </c>
      <c r="AP317" s="2931">
        <f t="shared" si="1316"/>
        <v>1.9215530903328215</v>
      </c>
      <c r="AQ317" s="2931">
        <f t="shared" si="1316"/>
        <v>0.59058197747184238</v>
      </c>
      <c r="AR317" s="2931">
        <f t="shared" si="1316"/>
        <v>1.2132797565638214</v>
      </c>
      <c r="AS317" s="2931">
        <f t="shared" si="1316"/>
        <v>1.1404468051866843</v>
      </c>
      <c r="AT317" s="2931">
        <f t="shared" si="1316"/>
        <v>1.142857142857153</v>
      </c>
      <c r="AU317" s="2931">
        <f t="shared" si="1316"/>
        <v>0.76597068315251704</v>
      </c>
      <c r="AV317" s="2931">
        <f t="shared" si="1316"/>
        <v>0.50107924761024947</v>
      </c>
      <c r="AW317" s="2931">
        <f t="shared" si="1316"/>
        <v>0.94995366079703558</v>
      </c>
      <c r="AX317" s="2931">
        <f t="shared" si="1316"/>
        <v>1.1145701218340491</v>
      </c>
      <c r="AY317" s="2931">
        <f t="shared" ref="AY317:BF317" si="1317">+AY283/AU283*100-100</f>
        <v>1.2231825899058748</v>
      </c>
      <c r="AZ317" s="2931">
        <f t="shared" si="1317"/>
        <v>1.8600905116207684</v>
      </c>
      <c r="BA317" s="2931">
        <f t="shared" si="1317"/>
        <v>1.5071532399969243</v>
      </c>
      <c r="BB317" s="2931">
        <f t="shared" si="1317"/>
        <v>1.3949598996540971</v>
      </c>
      <c r="BC317" s="2931">
        <f t="shared" si="1317"/>
        <v>1.6658407349521269</v>
      </c>
      <c r="BD317" s="2931">
        <f t="shared" si="1317"/>
        <v>1.3742987311269133</v>
      </c>
      <c r="BE317" s="2931">
        <f t="shared" si="1317"/>
        <v>1.3830268314742256</v>
      </c>
      <c r="BF317" s="2931">
        <f t="shared" si="1317"/>
        <v>2.2792022792022806</v>
      </c>
      <c r="BG317" s="2931">
        <f t="shared" si="1278"/>
        <v>3.0896137982752094</v>
      </c>
      <c r="BH317" s="2931">
        <f t="shared" si="1279"/>
        <v>3.636161045906988</v>
      </c>
      <c r="BI317" s="2931">
        <f t="shared" si="1280"/>
        <v>4.0218562985540984</v>
      </c>
      <c r="BJ317" s="2931">
        <f t="shared" si="1280"/>
        <v>2.653569857792121</v>
      </c>
      <c r="BK317" s="2931">
        <f t="shared" si="1281"/>
        <v>2.0549938168327913</v>
      </c>
      <c r="BL317" s="2931">
        <f t="shared" si="1282"/>
        <v>1.6951582267139713</v>
      </c>
      <c r="BM317" s="2931">
        <f t="shared" si="1283"/>
        <v>1.6830444881186253</v>
      </c>
      <c r="BN317" s="2931">
        <f t="shared" si="1284"/>
        <v>2.3314767209368767</v>
      </c>
      <c r="BO317" s="2931">
        <f t="shared" si="1285"/>
        <v>2.64799173170816</v>
      </c>
      <c r="BP317" s="2931">
        <f t="shared" si="1286"/>
        <v>1.846630955737254</v>
      </c>
      <c r="BQ317" s="2931">
        <f t="shared" si="1287"/>
        <v>1.3389091931402817</v>
      </c>
      <c r="BR317" s="2931">
        <f t="shared" si="1288"/>
        <v>1.8038449460939745</v>
      </c>
      <c r="BS317" s="2931">
        <f t="shared" si="1289"/>
        <v>1.3332407471703647</v>
      </c>
      <c r="BT317" s="2931">
        <f t="shared" si="1290"/>
        <v>1.6678200692041685</v>
      </c>
      <c r="BU317" s="2931">
        <f t="shared" si="1291"/>
        <v>1.5951728681901756</v>
      </c>
      <c r="BV317" s="2931">
        <f t="shared" si="1292"/>
        <v>0.86709164438963171</v>
      </c>
      <c r="BW317" s="2931">
        <f t="shared" si="1293"/>
        <v>0.93537997670114237</v>
      </c>
      <c r="BX317" s="2931">
        <f t="shared" si="1294"/>
        <v>0.93935062283030391</v>
      </c>
      <c r="BY317" s="2931">
        <f t="shared" si="1295"/>
        <v>0.87722292384884781</v>
      </c>
      <c r="BZ317" s="2931">
        <f t="shared" si="1296"/>
        <v>0.99894668886545901</v>
      </c>
      <c r="CA317" s="2931">
        <f t="shared" si="1297"/>
        <v>0.54991683356529109</v>
      </c>
      <c r="CB317" s="2931">
        <f t="shared" si="1298"/>
        <v>0.2596264077146202</v>
      </c>
      <c r="CC317" s="2931">
        <f t="shared" si="1298"/>
        <v>0.68687825675036152</v>
      </c>
      <c r="CD317" s="2931">
        <f t="shared" si="1298"/>
        <v>0.26913372581999795</v>
      </c>
      <c r="CE317" s="2931">
        <f t="shared" si="1298"/>
        <v>-2.0255899530752686E-2</v>
      </c>
      <c r="CF317" s="2931">
        <f t="shared" si="1298"/>
        <v>0.31612577770303574</v>
      </c>
      <c r="CG317" s="2931">
        <f t="shared" si="1298"/>
        <v>0.22179655207179394</v>
      </c>
      <c r="CH317" s="2931">
        <f t="shared" si="1298"/>
        <v>0.30531789968128464</v>
      </c>
      <c r="CI317" s="2931">
        <f t="shared" si="1298"/>
        <v>0.59429343238224419</v>
      </c>
      <c r="CJ317" s="2931">
        <f t="shared" si="1298"/>
        <v>0.60008716349859981</v>
      </c>
      <c r="CK317" s="2931">
        <f t="shared" si="1298"/>
        <v>0.77456996278037593</v>
      </c>
      <c r="CL317" s="2931">
        <f t="shared" si="1298"/>
        <v>0.83957720096333333</v>
      </c>
      <c r="CM317" s="2931">
        <f t="shared" si="1298"/>
        <v>1.0741499110469732</v>
      </c>
      <c r="CN317" s="2931">
        <f t="shared" si="1298"/>
        <v>1.0163956278325941</v>
      </c>
      <c r="CO317" s="2931">
        <f>+CO283/CK283*100-100</f>
        <v>1.0481133958874125</v>
      </c>
      <c r="CP317" s="2931">
        <f>+CP283/CL283*100-100</f>
        <v>1.4031246890237981</v>
      </c>
      <c r="CQ317" s="2931">
        <f t="shared" si="1299"/>
        <v>1.6239912324399768</v>
      </c>
      <c r="CR317" s="2931">
        <f t="shared" si="1300"/>
        <v>1.847392207963594</v>
      </c>
      <c r="CS317" s="2931">
        <f>+CS283/CO283*100-100</f>
        <v>2.2325397609404405</v>
      </c>
      <c r="CT317" s="2931">
        <f>+CT283/CP283*100-100</f>
        <v>1.7598953222113067</v>
      </c>
      <c r="CU317" s="2931">
        <f t="shared" si="1302"/>
        <v>1.725490196078411</v>
      </c>
      <c r="CV317" s="2931">
        <f t="shared" si="1302"/>
        <v>1.9725974152171659</v>
      </c>
      <c r="CW317" s="2931">
        <f t="shared" si="1302"/>
        <v>2.2320997197796686</v>
      </c>
      <c r="CX317" s="1470">
        <f t="shared" ref="CX317" ca="1" si="1318">CX316</f>
        <v>2.4169975008585709</v>
      </c>
      <c r="CY317" s="1470">
        <f t="shared" ref="CY317:DB317" ca="1" si="1319">CY316</f>
        <v>2.2737771719108224</v>
      </c>
      <c r="CZ317" s="1470">
        <f t="shared" ca="1" si="1319"/>
        <v>1.9853869429720845</v>
      </c>
      <c r="DA317" s="1470">
        <f t="shared" ca="1" si="1319"/>
        <v>1.7005707106350343</v>
      </c>
      <c r="DB317" s="1470">
        <f t="shared" ca="1" si="1319"/>
        <v>1.6633556682615449</v>
      </c>
      <c r="DC317" s="1470">
        <f t="shared" ref="DC317:DF317" ca="1" si="1320">DC316</f>
        <v>1.5062973100673673</v>
      </c>
      <c r="DD317" s="1470">
        <f t="shared" ca="1" si="1320"/>
        <v>1.5741852142702868</v>
      </c>
      <c r="DE317" s="1470">
        <f t="shared" ca="1" si="1320"/>
        <v>1.6578690505000111</v>
      </c>
      <c r="DF317" s="1470">
        <f t="shared" ca="1" si="1320"/>
        <v>1.649929533784757</v>
      </c>
      <c r="DG317" s="3449"/>
      <c r="DH317" s="3449"/>
      <c r="DI317" s="3449">
        <v>1.2068406616412286</v>
      </c>
      <c r="DJ317" s="3449" t="s">
        <v>2592</v>
      </c>
      <c r="DK317" s="3449"/>
      <c r="DL317" s="2919"/>
      <c r="DM317" s="2919"/>
    </row>
    <row r="318" spans="1:123" s="1041" customFormat="1">
      <c r="A318" s="710"/>
      <c r="B318" s="710"/>
      <c r="C318" s="1045"/>
      <c r="D318" s="1046"/>
      <c r="E318" s="1047" t="s">
        <v>1097</v>
      </c>
      <c r="F318" s="1046"/>
      <c r="G318" s="1048"/>
      <c r="H318" s="1048"/>
      <c r="I318" s="1048"/>
      <c r="J318" s="1048"/>
      <c r="K318" s="2978"/>
      <c r="L318" s="2978"/>
      <c r="M318" s="2978"/>
      <c r="N318" s="2978"/>
      <c r="O318" s="2978"/>
      <c r="P318" s="2978"/>
      <c r="Q318" s="2978"/>
      <c r="R318" s="2978">
        <f t="shared" ref="R318:BF318" ca="1" si="1321">+R317-R316</f>
        <v>0.71414111084369836</v>
      </c>
      <c r="S318" s="2978">
        <f t="shared" ca="1" si="1321"/>
        <v>-3.9358281937992956E-2</v>
      </c>
      <c r="T318" s="2978">
        <f t="shared" ca="1" si="1321"/>
        <v>-3.3624550141311715E-2</v>
      </c>
      <c r="U318" s="2978">
        <f t="shared" ca="1" si="1321"/>
        <v>-2.9887050647062097E-2</v>
      </c>
      <c r="V318" s="2978">
        <f t="shared" ca="1" si="1321"/>
        <v>-1.5093410570287347E-2</v>
      </c>
      <c r="W318" s="2978">
        <f t="shared" ca="1" si="1321"/>
        <v>-0.30272956731309364</v>
      </c>
      <c r="X318" s="2978">
        <f t="shared" ca="1" si="1321"/>
        <v>-0.30008969838893051</v>
      </c>
      <c r="Y318" s="2978">
        <f t="shared" ca="1" si="1321"/>
        <v>-0.30041475881087365</v>
      </c>
      <c r="Z318" s="2978">
        <f t="shared" ca="1" si="1321"/>
        <v>-0.29792241430922672</v>
      </c>
      <c r="AA318" s="2978">
        <f t="shared" ca="1" si="1321"/>
        <v>-0.39902283682697259</v>
      </c>
      <c r="AB318" s="2978">
        <f t="shared" ca="1" si="1321"/>
        <v>-0.39615000760700525</v>
      </c>
      <c r="AC318" s="2978">
        <f t="shared" ca="1" si="1321"/>
        <v>-0.40384145561961304</v>
      </c>
      <c r="AD318" s="2978">
        <f t="shared" ca="1" si="1321"/>
        <v>-0.41154365741715537</v>
      </c>
      <c r="AE318" s="2978">
        <f t="shared" ca="1" si="1321"/>
        <v>2.6354265262256149E-3</v>
      </c>
      <c r="AF318" s="2978">
        <f t="shared" ca="1" si="1321"/>
        <v>2.206104905710049E-3</v>
      </c>
      <c r="AG318" s="2978">
        <f t="shared" ca="1" si="1321"/>
        <v>8.6718299839105839E-4</v>
      </c>
      <c r="AH318" s="2978">
        <f t="shared" ca="1" si="1321"/>
        <v>-1.5105276475253504E-3</v>
      </c>
      <c r="AI318" s="2978">
        <f t="shared" ca="1" si="1321"/>
        <v>2.8189056781698696E-2</v>
      </c>
      <c r="AJ318" s="2978">
        <f t="shared" ca="1" si="1321"/>
        <v>2.3984778631259474E-2</v>
      </c>
      <c r="AK318" s="2978">
        <f t="shared" ca="1" si="1321"/>
        <v>3.3432770561447001E-2</v>
      </c>
      <c r="AL318" s="2978">
        <f t="shared" ca="1" si="1321"/>
        <v>4.1252652461011508E-2</v>
      </c>
      <c r="AM318" s="2978">
        <f t="shared" ca="1" si="1321"/>
        <v>-2.5669261856577918E-2</v>
      </c>
      <c r="AN318" s="2978">
        <f t="shared" ca="1" si="1321"/>
        <v>-2.2828713383702848E-2</v>
      </c>
      <c r="AO318" s="2978">
        <f t="shared" ca="1" si="1321"/>
        <v>-3.1047131832494301E-2</v>
      </c>
      <c r="AP318" s="2978">
        <f t="shared" ca="1" si="1321"/>
        <v>-2.9130551543588012E-2</v>
      </c>
      <c r="AQ318" s="2978">
        <f t="shared" ca="1" si="1321"/>
        <v>5.0708312005411926E-3</v>
      </c>
      <c r="AR318" s="2978">
        <f t="shared" ca="1" si="1321"/>
        <v>4.8315253374511258E-3</v>
      </c>
      <c r="AS318" s="2978">
        <f t="shared" ca="1" si="1321"/>
        <v>4.6546954328476886E-3</v>
      </c>
      <c r="AT318" s="2978">
        <f t="shared" ca="1" si="1321"/>
        <v>4.9363898965140152E-3</v>
      </c>
      <c r="AU318" s="2978">
        <f t="shared" ca="1" si="1321"/>
        <v>-9.3278329276813565E-3</v>
      </c>
      <c r="AV318" s="2978">
        <f t="shared" ca="1" si="1321"/>
        <v>-4.9132696589708758E-3</v>
      </c>
      <c r="AW318" s="2978">
        <f t="shared" ca="1" si="1321"/>
        <v>1.8035771341686768E-3</v>
      </c>
      <c r="AX318" s="2978">
        <f t="shared" ca="1" si="1321"/>
        <v>-1.5234268423682806E-3</v>
      </c>
      <c r="AY318" s="2978">
        <f t="shared" ca="1" si="1321"/>
        <v>4.7750344481855223E-2</v>
      </c>
      <c r="AZ318" s="2978">
        <f t="shared" ca="1" si="1321"/>
        <v>4.6748728419828467E-2</v>
      </c>
      <c r="BA318" s="2978">
        <f t="shared" ca="1" si="1321"/>
        <v>3.8220561125385188E-2</v>
      </c>
      <c r="BB318" s="2978">
        <f t="shared" ca="1" si="1321"/>
        <v>3.6776082888323458E-2</v>
      </c>
      <c r="BC318" s="2978">
        <f t="shared" ca="1" si="1321"/>
        <v>-3.6456432945300321E-2</v>
      </c>
      <c r="BD318" s="2978">
        <f t="shared" ca="1" si="1321"/>
        <v>-3.7419567229179052E-2</v>
      </c>
      <c r="BE318" s="2978">
        <f t="shared" ca="1" si="1321"/>
        <v>-3.744005714547427E-2</v>
      </c>
      <c r="BF318" s="2978">
        <f t="shared" ca="1" si="1321"/>
        <v>-3.3657487626726379E-2</v>
      </c>
      <c r="BG318" s="2978">
        <f t="shared" ref="BG318:BN318" ca="1" si="1322">+BG317-BG316</f>
        <v>5.8772062983791784E-3</v>
      </c>
      <c r="BH318" s="2978">
        <f t="shared" ca="1" si="1322"/>
        <v>-3.6654356501770735E-3</v>
      </c>
      <c r="BI318" s="2978">
        <f t="shared" ca="1" si="1322"/>
        <v>-7.005067822930755E-3</v>
      </c>
      <c r="BJ318" s="2978">
        <f t="shared" ca="1" si="1322"/>
        <v>4.253225625419077E-3</v>
      </c>
      <c r="BK318" s="2978">
        <f t="shared" ca="1" si="1322"/>
        <v>-1.5437953646923575E-2</v>
      </c>
      <c r="BL318" s="2978">
        <f t="shared" ca="1" si="1322"/>
        <v>-3.2021143130265273E-3</v>
      </c>
      <c r="BM318" s="2978">
        <f t="shared" ca="1" si="1322"/>
        <v>1.1917482972023663E-4</v>
      </c>
      <c r="BN318" s="2978">
        <f t="shared" ca="1" si="1322"/>
        <v>-1.6831620125913105E-2</v>
      </c>
      <c r="BO318" s="2978">
        <f t="shared" ref="BO318:BV318" ca="1" si="1323">+BO317-BO316</f>
        <v>7.4520483123023951E-3</v>
      </c>
      <c r="BP318" s="2978">
        <f t="shared" ca="1" si="1323"/>
        <v>4.8210274990623248E-3</v>
      </c>
      <c r="BQ318" s="2978">
        <f t="shared" ca="1" si="1323"/>
        <v>9.5100381767991848E-3</v>
      </c>
      <c r="BR318" s="2978">
        <f t="shared" ca="1" si="1323"/>
        <v>1.0370173100852753E-2</v>
      </c>
      <c r="BS318" s="2978">
        <f t="shared" ca="1" si="1323"/>
        <v>-1.6704883008131333E-2</v>
      </c>
      <c r="BT318" s="2978">
        <f t="shared" ca="1" si="1323"/>
        <v>-1.9632125717137683E-2</v>
      </c>
      <c r="BU318" s="2978">
        <f t="shared" ca="1" si="1323"/>
        <v>-1.6176187455087643E-2</v>
      </c>
      <c r="BV318" s="2978">
        <f t="shared" ca="1" si="1323"/>
        <v>-6.9794119346084926E-3</v>
      </c>
      <c r="BW318" s="2978">
        <f t="shared" ref="BW318:CB318" ca="1" si="1324">+BW317-BW316</f>
        <v>2.4603506303151335E-2</v>
      </c>
      <c r="BX318" s="2978">
        <f t="shared" ca="1" si="1324"/>
        <v>2.5266219247740196E-2</v>
      </c>
      <c r="BY318" s="2978">
        <f t="shared" ca="1" si="1324"/>
        <v>1.6014002904128688E-2</v>
      </c>
      <c r="BZ318" s="2978">
        <f t="shared" ca="1" si="1324"/>
        <v>1.6135579270155631E-3</v>
      </c>
      <c r="CA318" s="2978">
        <f t="shared" ca="1" si="1324"/>
        <v>-3.520692057199426E-2</v>
      </c>
      <c r="CB318" s="2978">
        <f t="shared" ca="1" si="1324"/>
        <v>-3.8200275236619063E-2</v>
      </c>
      <c r="CC318" s="2978">
        <f ca="1">+CC317-CC316</f>
        <v>-3.2440353809377598E-2</v>
      </c>
      <c r="CD318" s="2978">
        <f ca="1">+CD317-CD316</f>
        <v>-2.0196849080889479E-2</v>
      </c>
      <c r="CE318" s="2978">
        <f ca="1">+CE317-CE316</f>
        <v>3.1026549671864245E-2</v>
      </c>
      <c r="CF318" s="2978">
        <f ca="1">+CF317-CF316</f>
        <v>3.1116504917051202E-2</v>
      </c>
      <c r="CG318" s="2978">
        <f t="shared" ref="CG318" ca="1" si="1325">+CG317-CG316</f>
        <v>2.8969809877295916E-2</v>
      </c>
      <c r="CH318" s="2978">
        <f t="shared" ref="CH318:CL318" ca="1" si="1326">+CH317-CH316</f>
        <v>2.450988812147159E-2</v>
      </c>
      <c r="CI318" s="2978">
        <f t="shared" ca="1" si="1326"/>
        <v>-1.4499795423688511E-2</v>
      </c>
      <c r="CJ318" s="2978">
        <f t="shared" ca="1" si="1326"/>
        <v>-1.2919138517460738E-2</v>
      </c>
      <c r="CK318" s="2978">
        <f t="shared" ca="1" si="1326"/>
        <v>-1.8529503967968708E-2</v>
      </c>
      <c r="CL318" s="2978">
        <f t="shared" ca="1" si="1326"/>
        <v>-1.5984593502082589E-2</v>
      </c>
      <c r="CM318" s="2978">
        <f t="shared" ref="CM318:CN318" ca="1" si="1327">+CM317-CM316</f>
        <v>5.6187668856040318E-3</v>
      </c>
      <c r="CN318" s="2978">
        <f t="shared" ca="1" si="1327"/>
        <v>9.105613601448681E-3</v>
      </c>
      <c r="CO318" s="2978">
        <f t="shared" ref="CO318:CR318" ca="1" si="1328">+CO317-CO316</f>
        <v>1.3101791128292462E-2</v>
      </c>
      <c r="CP318" s="2978">
        <f t="shared" ca="1" si="1328"/>
        <v>2.6337018679697621E-2</v>
      </c>
      <c r="CQ318" s="2978">
        <f t="shared" ca="1" si="1328"/>
        <v>5.3214848805396286E-3</v>
      </c>
      <c r="CR318" s="2978">
        <f t="shared" ca="1" si="1328"/>
        <v>1.1670813654035328E-2</v>
      </c>
      <c r="CS318" s="2978">
        <f t="shared" ref="CS318:CV318" ca="1" si="1329">+CS317-CS316</f>
        <v>5.7538449046603546E-3</v>
      </c>
      <c r="CT318" s="2978">
        <f t="shared" ca="1" si="1329"/>
        <v>-9.0130904809768708E-3</v>
      </c>
      <c r="CU318" s="2978">
        <f t="shared" ca="1" si="1329"/>
        <v>-1.5965976187615638E-2</v>
      </c>
      <c r="CV318" s="2978">
        <f t="shared" ca="1" si="1329"/>
        <v>-2.5221344864377215E-2</v>
      </c>
      <c r="CW318" s="2978">
        <f t="shared" ref="CW318" ca="1" si="1330">+CW317-CW316</f>
        <v>-4.7629534276580898E-3</v>
      </c>
      <c r="CX318" s="2978">
        <f t="shared" ref="CX318" ca="1" si="1331">+CX317-CX316</f>
        <v>0</v>
      </c>
      <c r="CY318" s="2978">
        <f t="shared" ref="CY318:DB318" ca="1" si="1332">+CY317-CY316</f>
        <v>0</v>
      </c>
      <c r="CZ318" s="2978">
        <f t="shared" ca="1" si="1332"/>
        <v>0</v>
      </c>
      <c r="DA318" s="2978">
        <f t="shared" ca="1" si="1332"/>
        <v>0</v>
      </c>
      <c r="DB318" s="2978">
        <f t="shared" ca="1" si="1332"/>
        <v>0</v>
      </c>
      <c r="DC318" s="2978">
        <f t="shared" ref="DC318:DF318" ca="1" si="1333">+DC317-DC316</f>
        <v>0</v>
      </c>
      <c r="DD318" s="2978">
        <f t="shared" ca="1" si="1333"/>
        <v>0</v>
      </c>
      <c r="DE318" s="2978">
        <f t="shared" ca="1" si="1333"/>
        <v>0</v>
      </c>
      <c r="DF318" s="2978">
        <f t="shared" ca="1" si="1333"/>
        <v>0</v>
      </c>
      <c r="DG318" s="3449"/>
      <c r="DH318" s="3449"/>
      <c r="DI318" s="3449">
        <v>0.79764953845051778</v>
      </c>
      <c r="DJ318" s="3449" t="s">
        <v>2593</v>
      </c>
      <c r="DK318" s="3598"/>
      <c r="DL318" s="3598"/>
      <c r="DM318" s="3598"/>
    </row>
    <row r="319" spans="1:123">
      <c r="C319" s="711"/>
      <c r="D319" s="754"/>
      <c r="E319" s="755" t="s">
        <v>1946</v>
      </c>
      <c r="F319" s="961"/>
      <c r="G319" s="2931"/>
      <c r="H319" s="2931"/>
      <c r="I319" s="2931"/>
      <c r="J319" s="2931"/>
      <c r="K319" s="2931"/>
      <c r="L319" s="2931"/>
      <c r="M319" s="2931"/>
      <c r="N319" s="2931"/>
      <c r="O319" s="2931"/>
      <c r="P319" s="2931"/>
      <c r="Q319" s="2931"/>
      <c r="R319" s="2931">
        <f t="shared" ref="R319:AT319" ca="1" si="1334">+R285/N285*100-100</f>
        <v>2.628262916503914</v>
      </c>
      <c r="S319" s="2931">
        <f t="shared" ca="1" si="1334"/>
        <v>1.9692602555740422</v>
      </c>
      <c r="T319" s="2931">
        <f t="shared" ca="1" si="1334"/>
        <v>1.4393177921301117</v>
      </c>
      <c r="U319" s="2931">
        <f t="shared" ca="1" si="1334"/>
        <v>0.90725157525832856</v>
      </c>
      <c r="V319" s="2931">
        <f t="shared" ca="1" si="1334"/>
        <v>0.1928554507049256</v>
      </c>
      <c r="W319" s="2931">
        <f t="shared" ca="1" si="1334"/>
        <v>0.3798449521033973</v>
      </c>
      <c r="X319" s="2931">
        <f t="shared" ca="1" si="1334"/>
        <v>0.41194149886440812</v>
      </c>
      <c r="Y319" s="2931">
        <f t="shared" ca="1" si="1334"/>
        <v>0.68997635170961757</v>
      </c>
      <c r="Z319" s="2931">
        <f t="shared" ca="1" si="1334"/>
        <v>0.6792882827528075</v>
      </c>
      <c r="AA319" s="2931">
        <f t="shared" ca="1" si="1334"/>
        <v>0.63730771662314112</v>
      </c>
      <c r="AB319" s="2931">
        <f t="shared" ca="1" si="1334"/>
        <v>0.61428700595618579</v>
      </c>
      <c r="AC319" s="2931">
        <f t="shared" ca="1" si="1334"/>
        <v>0.67141427211790017</v>
      </c>
      <c r="AD319" s="2931">
        <f t="shared" ca="1" si="1334"/>
        <v>0.92747584959984408</v>
      </c>
      <c r="AE319" s="2931">
        <f t="shared" ca="1" si="1334"/>
        <v>1.0572501340486866</v>
      </c>
      <c r="AF319" s="2931">
        <f t="shared" ca="1" si="1334"/>
        <v>1.7117841928514252</v>
      </c>
      <c r="AG319" s="2931">
        <f t="shared" ca="1" si="1334"/>
        <v>2.1759071571668187</v>
      </c>
      <c r="AH319" s="2931">
        <f t="shared" ca="1" si="1334"/>
        <v>2.5213183237364802</v>
      </c>
      <c r="AI319" s="2931">
        <f t="shared" ca="1" si="1334"/>
        <v>2.0713855341986829</v>
      </c>
      <c r="AJ319" s="2931">
        <f t="shared" ca="1" si="1334"/>
        <v>2.0443069206595368</v>
      </c>
      <c r="AK319" s="2931">
        <f t="shared" ca="1" si="1334"/>
        <v>1.5018243481856928</v>
      </c>
      <c r="AL319" s="2931">
        <f t="shared" ca="1" si="1334"/>
        <v>1.3231391362590301</v>
      </c>
      <c r="AM319" s="2931">
        <f t="shared" ca="1" si="1334"/>
        <v>1.7663209875965435</v>
      </c>
      <c r="AN319" s="2931">
        <f t="shared" ca="1" si="1334"/>
        <v>1.3060984562915507</v>
      </c>
      <c r="AO319" s="2931">
        <f t="shared" ca="1" si="1334"/>
        <v>1.3947588750140341</v>
      </c>
      <c r="AP319" s="2931">
        <f t="shared" ca="1" si="1334"/>
        <v>0.93558238409138994</v>
      </c>
      <c r="AQ319" s="2931">
        <f t="shared" ca="1" si="1334"/>
        <v>0.76448649431529248</v>
      </c>
      <c r="AR319" s="2931">
        <f t="shared" ca="1" si="1334"/>
        <v>0.82157393938592804</v>
      </c>
      <c r="AS319" s="2931">
        <f t="shared" ca="1" si="1334"/>
        <v>0.75972555432386457</v>
      </c>
      <c r="AT319" s="2931">
        <f t="shared" ca="1" si="1334"/>
        <v>0.84118710730413682</v>
      </c>
      <c r="AU319" s="2931">
        <f t="shared" ref="AU319:BF319" ca="1" si="1335">+AU285/AQ285*100-100</f>
        <v>0.52602371295589023</v>
      </c>
      <c r="AV319" s="2931">
        <f t="shared" ca="1" si="1335"/>
        <v>5.7594005756982369E-3</v>
      </c>
      <c r="AW319" s="2931">
        <f t="shared" ca="1" si="1335"/>
        <v>5.9038864065399821E-2</v>
      </c>
      <c r="AX319" s="2931">
        <f t="shared" ca="1" si="1335"/>
        <v>0.23789662923756794</v>
      </c>
      <c r="AY319" s="2931">
        <f t="shared" ca="1" si="1335"/>
        <v>0.26693235286852257</v>
      </c>
      <c r="AZ319" s="2931">
        <f t="shared" ca="1" si="1335"/>
        <v>0.63937399149185126</v>
      </c>
      <c r="BA319" s="2931">
        <f t="shared" ca="1" si="1335"/>
        <v>0.61255229933752275</v>
      </c>
      <c r="BB319" s="2931">
        <f t="shared" ca="1" si="1335"/>
        <v>0.61913992173985832</v>
      </c>
      <c r="BC319" s="2931">
        <f t="shared" ca="1" si="1335"/>
        <v>1.3606652981536342</v>
      </c>
      <c r="BD319" s="2931">
        <f t="shared" ca="1" si="1335"/>
        <v>1.6692870892167804</v>
      </c>
      <c r="BE319" s="2931">
        <f t="shared" ca="1" si="1335"/>
        <v>2.0298703359458585</v>
      </c>
      <c r="BF319" s="2931">
        <f t="shared" ca="1" si="1335"/>
        <v>2.2380771858807975</v>
      </c>
      <c r="BG319" s="2931">
        <f t="shared" ref="BG319:BI320" ca="1" si="1336">+BG285/BC285*100-100</f>
        <v>2.3894679555404679</v>
      </c>
      <c r="BH319" s="2931">
        <f t="shared" ca="1" si="1336"/>
        <v>2.4769668218588237</v>
      </c>
      <c r="BI319" s="2931">
        <f t="shared" ca="1" si="1336"/>
        <v>2.1954950966416504</v>
      </c>
      <c r="BJ319" s="2931">
        <f t="shared" ref="BJ319:BM320" ca="1" si="1337">+BJ285/BF285*100-100</f>
        <v>1.957039986656909</v>
      </c>
      <c r="BK319" s="2931">
        <f t="shared" ca="1" si="1337"/>
        <v>1.8314692778398296</v>
      </c>
      <c r="BL319" s="2931">
        <f t="shared" ca="1" si="1337"/>
        <v>1.8562355635025227</v>
      </c>
      <c r="BM319" s="2931">
        <f t="shared" ca="1" si="1337"/>
        <v>2.6359679337453485</v>
      </c>
      <c r="BN319" s="2931">
        <f t="shared" ref="BN319:BR320" ca="1" si="1338">+BN285/BJ285*100-100</f>
        <v>2.6747697936946366</v>
      </c>
      <c r="BO319" s="2931">
        <f t="shared" ca="1" si="1338"/>
        <v>2.1731956372924088</v>
      </c>
      <c r="BP319" s="2931">
        <f t="shared" ca="1" si="1338"/>
        <v>1.7034838121824976</v>
      </c>
      <c r="BQ319" s="2931">
        <f t="shared" ca="1" si="1338"/>
        <v>1.0789322599515287</v>
      </c>
      <c r="BR319" s="2931">
        <f t="shared" ca="1" si="1338"/>
        <v>1.1138797691870934</v>
      </c>
      <c r="BS319" s="2931">
        <f t="shared" ref="BS319:BV320" ca="1" si="1339">+BS285/BO285*100-100</f>
        <v>1.0426907398293821</v>
      </c>
      <c r="BT319" s="2931">
        <f t="shared" ca="1" si="1339"/>
        <v>1.2736205625680839</v>
      </c>
      <c r="BU319" s="2931">
        <f t="shared" ca="1" si="1339"/>
        <v>1.2901416949268878</v>
      </c>
      <c r="BV319" s="2931">
        <f t="shared" ca="1" si="1339"/>
        <v>0.93729673027350202</v>
      </c>
      <c r="BW319" s="2931">
        <f t="shared" ref="BW319:CP319" ca="1" si="1340">+BW285/BS285*100-100</f>
        <v>0.99611815758349564</v>
      </c>
      <c r="BX319" s="2931">
        <f t="shared" ca="1" si="1340"/>
        <v>1.0713653684305484</v>
      </c>
      <c r="BY319" s="2931">
        <f t="shared" ca="1" si="1340"/>
        <v>0.85818674978838771</v>
      </c>
      <c r="BZ319" s="2931">
        <f t="shared" ca="1" si="1340"/>
        <v>0.86490187729614831</v>
      </c>
      <c r="CA319" s="2931">
        <f t="shared" ca="1" si="1340"/>
        <v>0.74195272928565714</v>
      </c>
      <c r="CB319" s="2931">
        <f t="shared" ca="1" si="1340"/>
        <v>0.32521872913677896</v>
      </c>
      <c r="CC319" s="2931">
        <f t="shared" ca="1" si="1340"/>
        <v>0.58213443256587993</v>
      </c>
      <c r="CD319" s="2931">
        <f t="shared" ca="1" si="1340"/>
        <v>0.40406110152675012</v>
      </c>
      <c r="CE319" s="2931">
        <f t="shared" ca="1" si="1340"/>
        <v>0.31132793291959615</v>
      </c>
      <c r="CF319" s="2931">
        <f t="shared" ca="1" si="1340"/>
        <v>0.55873157312950639</v>
      </c>
      <c r="CG319" s="2962">
        <f t="shared" ref="CG319" ca="1" si="1341">+CG285/CC285*100-100</f>
        <v>0.5312965626366406</v>
      </c>
      <c r="CH319" s="2931">
        <f t="shared" ca="1" si="1340"/>
        <v>0.69778655660329036</v>
      </c>
      <c r="CI319" s="2931">
        <f t="shared" ca="1" si="1340"/>
        <v>1.1007820261596351</v>
      </c>
      <c r="CJ319" s="2931">
        <f t="shared" ca="1" si="1340"/>
        <v>0.94292424468085301</v>
      </c>
      <c r="CK319" s="2931">
        <f t="shared" ca="1" si="1340"/>
        <v>1.3507905775985307</v>
      </c>
      <c r="CL319" s="2931">
        <f t="shared" ca="1" si="1340"/>
        <v>1.1449451633741177</v>
      </c>
      <c r="CM319" s="2931">
        <f t="shared" ca="1" si="1340"/>
        <v>1.2267194855381263</v>
      </c>
      <c r="CN319" s="2931">
        <f t="shared" ca="1" si="1340"/>
        <v>1.2248051163508791</v>
      </c>
      <c r="CO319" s="2931">
        <f t="shared" ca="1" si="1340"/>
        <v>0.95018258785688658</v>
      </c>
      <c r="CP319" s="2931">
        <f t="shared" ca="1" si="1340"/>
        <v>0.83898974351788524</v>
      </c>
      <c r="CQ319" s="2931">
        <f t="shared" ref="CQ319:CQ320" ca="1" si="1342">+CQ285/CM285*100-100</f>
        <v>0.86918547075669039</v>
      </c>
      <c r="CR319" s="2931">
        <f t="shared" ref="CR319:CR320" ca="1" si="1343">+CR285/CN285*100-100</f>
        <v>1.5723877594852951</v>
      </c>
      <c r="CS319" s="2931">
        <f t="shared" ref="CS319:CS320" ca="1" si="1344">+CS285/CO285*100-100</f>
        <v>1.8833588332079785</v>
      </c>
      <c r="CT319" s="2931">
        <f t="shared" ref="CT319:CW320" ca="1" si="1345">+CT285/CP285*100-100</f>
        <v>1.5848284136683333</v>
      </c>
      <c r="CU319" s="2931">
        <f t="shared" ca="1" si="1345"/>
        <v>1.3998322267472219</v>
      </c>
      <c r="CV319" s="2931">
        <f t="shared" ca="1" si="1345"/>
        <v>1.0780862791791748</v>
      </c>
      <c r="CW319" s="2931">
        <f t="shared" ca="1" si="1345"/>
        <v>0.95067575662588411</v>
      </c>
      <c r="CX319" s="2962">
        <f t="shared" ref="CX319" ca="1" si="1346">+CX285/CT285*100-100</f>
        <v>1.3520628683693587</v>
      </c>
      <c r="CY319" s="2962">
        <f t="shared" ref="CY319" ca="1" si="1347">+CY285/CU285*100-100</f>
        <v>1.3239979292491171</v>
      </c>
      <c r="CZ319" s="2962">
        <f t="shared" ref="CZ319" ca="1" si="1348">+CZ285/CV285*100-100</f>
        <v>1.4061929457478186</v>
      </c>
      <c r="DA319" s="2962">
        <f t="shared" ref="DA319" ca="1" si="1349">+DA285/CW285*100-100</f>
        <v>1.4041679884679468</v>
      </c>
      <c r="DB319" s="2962">
        <f t="shared" ref="DB319" ca="1" si="1350">+DB285/CX285*100-100</f>
        <v>1.5528144889003954</v>
      </c>
      <c r="DC319" s="2962">
        <f t="shared" ref="DC319" ca="1" si="1351">+DC285/CY285*100-100</f>
        <v>1.5377477311425451</v>
      </c>
      <c r="DD319" s="2962">
        <f t="shared" ref="DD319" ca="1" si="1352">+DD285/CZ285*100-100</f>
        <v>1.632991684748049</v>
      </c>
      <c r="DE319" s="2962">
        <f t="shared" ref="DE319" ca="1" si="1353">+DE285/DA285*100-100</f>
        <v>1.7166949475207787</v>
      </c>
      <c r="DF319" s="2962">
        <f t="shared" ref="DF319" ca="1" si="1354">+DF285/DB285*100-100</f>
        <v>1.6804109266731757</v>
      </c>
      <c r="DG319" s="3449"/>
      <c r="DH319" s="3449"/>
      <c r="DI319" s="3449">
        <v>1.0002364741890535</v>
      </c>
      <c r="DJ319" s="3449" t="s">
        <v>2594</v>
      </c>
    </row>
    <row r="320" spans="1:123">
      <c r="C320" s="711"/>
      <c r="D320" s="754"/>
      <c r="E320" s="755" t="s">
        <v>1945</v>
      </c>
      <c r="F320" s="961"/>
      <c r="G320" s="2931"/>
      <c r="H320" s="2931"/>
      <c r="I320" s="2931"/>
      <c r="J320" s="2931"/>
      <c r="K320" s="2931"/>
      <c r="L320" s="2931"/>
      <c r="M320" s="2931"/>
      <c r="N320" s="2931"/>
      <c r="O320" s="2931">
        <f t="shared" ref="O320:BF320" si="1355">+O286/K286*100-100</f>
        <v>0.77863362357670951</v>
      </c>
      <c r="P320" s="2931">
        <f t="shared" si="1355"/>
        <v>1.2055204522780656</v>
      </c>
      <c r="Q320" s="2931">
        <f t="shared" si="1355"/>
        <v>1.6370849864272259</v>
      </c>
      <c r="R320" s="2931">
        <f t="shared" si="1355"/>
        <v>2.626220652399752</v>
      </c>
      <c r="S320" s="2931">
        <f t="shared" si="1355"/>
        <v>1.9772368530364588</v>
      </c>
      <c r="T320" s="2931">
        <f t="shared" si="1355"/>
        <v>1.4458227224184412</v>
      </c>
      <c r="U320" s="2931">
        <f t="shared" si="1355"/>
        <v>0.91219131363769179</v>
      </c>
      <c r="V320" s="2931">
        <f t="shared" si="1355"/>
        <v>0.19840466453413796</v>
      </c>
      <c r="W320" s="2931">
        <f t="shared" si="1355"/>
        <v>0.37474541751527113</v>
      </c>
      <c r="X320" s="2931">
        <f t="shared" si="1355"/>
        <v>0.41298890598429239</v>
      </c>
      <c r="Y320" s="2931">
        <f t="shared" si="1355"/>
        <v>0.68813876786512651</v>
      </c>
      <c r="Z320" s="2931">
        <f t="shared" si="1355"/>
        <v>0.67485654247153093</v>
      </c>
      <c r="AA320" s="2931">
        <f t="shared" si="1355"/>
        <v>0.63306549793038869</v>
      </c>
      <c r="AB320" s="2931">
        <f t="shared" si="1355"/>
        <v>0.60483870967742348</v>
      </c>
      <c r="AC320" s="2931">
        <f t="shared" si="1355"/>
        <v>0.66725978647687612</v>
      </c>
      <c r="AD320" s="2931">
        <f t="shared" si="1355"/>
        <v>0.91919881186528585</v>
      </c>
      <c r="AE320" s="2931">
        <f t="shared" si="1355"/>
        <v>1.0686345673037891</v>
      </c>
      <c r="AF320" s="2931">
        <f t="shared" si="1355"/>
        <v>1.7194388777554934</v>
      </c>
      <c r="AG320" s="2931">
        <f t="shared" si="1355"/>
        <v>2.1853533121761046</v>
      </c>
      <c r="AH320" s="2931">
        <f t="shared" si="1355"/>
        <v>2.5296316919894934</v>
      </c>
      <c r="AI320" s="2931">
        <f t="shared" si="1355"/>
        <v>2.0787615209671486</v>
      </c>
      <c r="AJ320" s="2931">
        <f t="shared" si="1355"/>
        <v>2.0528783640017423</v>
      </c>
      <c r="AK320" s="2931">
        <f t="shared" si="1355"/>
        <v>1.5135432637496677</v>
      </c>
      <c r="AL320" s="2931">
        <f t="shared" si="1355"/>
        <v>1.3383505314609181</v>
      </c>
      <c r="AM320" s="2931">
        <f t="shared" si="1355"/>
        <v>1.7510944340212546</v>
      </c>
      <c r="AN320" s="2931">
        <f t="shared" si="1355"/>
        <v>1.2934362934363008</v>
      </c>
      <c r="AO320" s="2931">
        <f t="shared" si="1355"/>
        <v>1.3709240182789841</v>
      </c>
      <c r="AP320" s="2931">
        <f t="shared" si="1355"/>
        <v>0.9187306205259631</v>
      </c>
      <c r="AQ320" s="2931">
        <f t="shared" si="1355"/>
        <v>0.76060233558699508</v>
      </c>
      <c r="AR320" s="2931">
        <f t="shared" si="1355"/>
        <v>0.82713931770537386</v>
      </c>
      <c r="AS320" s="2931">
        <f t="shared" si="1355"/>
        <v>0.76405867970660779</v>
      </c>
      <c r="AT320" s="2931">
        <f t="shared" si="1355"/>
        <v>0.84588248681865252</v>
      </c>
      <c r="AU320" s="2931">
        <f t="shared" si="1355"/>
        <v>0.5299275638581662</v>
      </c>
      <c r="AV320" s="2931">
        <f t="shared" si="1355"/>
        <v>-3.7804324814914025E-3</v>
      </c>
      <c r="AW320" s="2931">
        <f t="shared" si="1355"/>
        <v>5.3078556263258747E-2</v>
      </c>
      <c r="AX320" s="2931">
        <f t="shared" si="1355"/>
        <v>0.23320544647557995</v>
      </c>
      <c r="AY320" s="2931">
        <f t="shared" si="1355"/>
        <v>0.26167090143729865</v>
      </c>
      <c r="AZ320" s="2931">
        <f t="shared" si="1355"/>
        <v>0.64269781860799924</v>
      </c>
      <c r="BA320" s="2931">
        <f t="shared" si="1355"/>
        <v>0.61386888973096632</v>
      </c>
      <c r="BB320" s="2931">
        <f t="shared" si="1355"/>
        <v>0.62293605523866802</v>
      </c>
      <c r="BC320" s="2931">
        <f t="shared" si="1355"/>
        <v>1.361676374914893</v>
      </c>
      <c r="BD320" s="2931">
        <f t="shared" si="1355"/>
        <v>1.6678562037489399</v>
      </c>
      <c r="BE320" s="2931">
        <f t="shared" si="1355"/>
        <v>2.0299789093100316</v>
      </c>
      <c r="BF320" s="2931">
        <f t="shared" si="1355"/>
        <v>2.2339076601775218</v>
      </c>
      <c r="BG320" s="2931">
        <f t="shared" si="1336"/>
        <v>2.3919695499664044</v>
      </c>
      <c r="BH320" s="2931">
        <f t="shared" si="1336"/>
        <v>2.47921670053573</v>
      </c>
      <c r="BI320" s="2931">
        <f t="shared" si="1336"/>
        <v>2.1963013546934604</v>
      </c>
      <c r="BJ320" s="2931">
        <f t="shared" si="1337"/>
        <v>1.9589245978185659</v>
      </c>
      <c r="BK320" s="2931">
        <f t="shared" si="1337"/>
        <v>1.833157185028611</v>
      </c>
      <c r="BL320" s="2931">
        <f t="shared" si="1337"/>
        <v>1.8567926160946229</v>
      </c>
      <c r="BM320" s="2931">
        <f t="shared" si="1337"/>
        <v>2.6367116954417043</v>
      </c>
      <c r="BN320" s="2931">
        <f t="shared" si="1338"/>
        <v>2.6762075134168128</v>
      </c>
      <c r="BO320" s="2931">
        <f t="shared" si="1338"/>
        <v>2.1723570252666633</v>
      </c>
      <c r="BP320" s="2931">
        <f t="shared" si="1338"/>
        <v>1.7061342961311396</v>
      </c>
      <c r="BQ320" s="2931">
        <f t="shared" si="1338"/>
        <v>1.0803772522522763</v>
      </c>
      <c r="BR320" s="2931">
        <f t="shared" si="1338"/>
        <v>1.1115757195623246</v>
      </c>
      <c r="BS320" s="2931">
        <f t="shared" si="1339"/>
        <v>1.0438193982276118</v>
      </c>
      <c r="BT320" s="2931">
        <f t="shared" si="1339"/>
        <v>1.273796679775856</v>
      </c>
      <c r="BU320" s="2931">
        <f t="shared" si="1339"/>
        <v>1.2916478083765668</v>
      </c>
      <c r="BV320" s="2931">
        <f t="shared" si="1339"/>
        <v>0.93738153496225607</v>
      </c>
      <c r="BW320" s="2931">
        <f t="shared" ref="BW320:CP320" si="1356">+BW286/BS286*100-100</f>
        <v>1.0018372794397834</v>
      </c>
      <c r="BX320" s="2931">
        <f t="shared" si="1356"/>
        <v>1.0756383380872165</v>
      </c>
      <c r="BY320" s="2931">
        <f t="shared" si="1356"/>
        <v>0.86615797071560507</v>
      </c>
      <c r="BZ320" s="2931">
        <f t="shared" si="1356"/>
        <v>0.87063402642630194</v>
      </c>
      <c r="CA320" s="2931">
        <f t="shared" si="1356"/>
        <v>0.73448654585391182</v>
      </c>
      <c r="CB320" s="2931">
        <f t="shared" si="1356"/>
        <v>0.32299741602066945</v>
      </c>
      <c r="CC320" s="2931">
        <f>+CC286/BY286*100-100</f>
        <v>0.5724800654262765</v>
      </c>
      <c r="CD320" s="2931">
        <f t="shared" si="1356"/>
        <v>0.39940427836447157</v>
      </c>
      <c r="CE320" s="2931">
        <f t="shared" si="1356"/>
        <v>0.31345826235093455</v>
      </c>
      <c r="CF320" s="2931">
        <f t="shared" si="1356"/>
        <v>0.55580031856850098</v>
      </c>
      <c r="CG320" s="2931">
        <f t="shared" si="1356"/>
        <v>0.53533916107610935</v>
      </c>
      <c r="CH320" s="2931">
        <f t="shared" si="1356"/>
        <v>0.69786258512574761</v>
      </c>
      <c r="CI320" s="2931">
        <f t="shared" si="1356"/>
        <v>1.100468718157714</v>
      </c>
      <c r="CJ320" s="2931">
        <f t="shared" si="1356"/>
        <v>0.94031208924536713</v>
      </c>
      <c r="CK320" s="2931">
        <f t="shared" si="1356"/>
        <v>1.344702076031254</v>
      </c>
      <c r="CL320" s="2931">
        <f t="shared" si="1356"/>
        <v>1.144999832602366</v>
      </c>
      <c r="CM320" s="2931">
        <f t="shared" si="1356"/>
        <v>1.2295908083048062</v>
      </c>
      <c r="CN320" s="2931">
        <f t="shared" si="1356"/>
        <v>1.2253756260434159</v>
      </c>
      <c r="CO320" s="2931">
        <f t="shared" si="1356"/>
        <v>0.95440790130025732</v>
      </c>
      <c r="CP320" s="2931">
        <f t="shared" si="1356"/>
        <v>0.84406342060839279</v>
      </c>
      <c r="CQ320" s="2931">
        <f t="shared" si="1342"/>
        <v>0.85623257666267705</v>
      </c>
      <c r="CR320" s="2931">
        <f t="shared" si="1343"/>
        <v>1.576673153676154</v>
      </c>
      <c r="CS320" s="2931">
        <f t="shared" si="1344"/>
        <v>1.8874761183213877</v>
      </c>
      <c r="CT320" s="2931">
        <f t="shared" si="1345"/>
        <v>1.5788091643143218</v>
      </c>
      <c r="CU320" s="2931">
        <f t="shared" si="1345"/>
        <v>1.4116485686080864</v>
      </c>
      <c r="CV320" s="2931">
        <f t="shared" si="1345"/>
        <v>1.0780970936840504</v>
      </c>
      <c r="CW320" s="2931">
        <f t="shared" si="1345"/>
        <v>0.94403672690827989</v>
      </c>
      <c r="CX320" s="1470">
        <f t="shared" ref="CX320" ca="1" si="1357">+CX319</f>
        <v>1.3520628683693587</v>
      </c>
      <c r="CY320" s="1470">
        <f t="shared" ref="CY320:DB320" ca="1" si="1358">+CY319</f>
        <v>1.3239979292491171</v>
      </c>
      <c r="CZ320" s="1470">
        <f t="shared" ca="1" si="1358"/>
        <v>1.4061929457478186</v>
      </c>
      <c r="DA320" s="1470">
        <f t="shared" ca="1" si="1358"/>
        <v>1.4041679884679468</v>
      </c>
      <c r="DB320" s="1470">
        <f t="shared" ca="1" si="1358"/>
        <v>1.5528144889003954</v>
      </c>
      <c r="DC320" s="1470">
        <f t="shared" ref="DC320:DF320" ca="1" si="1359">+DC319</f>
        <v>1.5377477311425451</v>
      </c>
      <c r="DD320" s="1470">
        <f t="shared" ca="1" si="1359"/>
        <v>1.632991684748049</v>
      </c>
      <c r="DE320" s="1470">
        <f t="shared" ca="1" si="1359"/>
        <v>1.7166949475207787</v>
      </c>
      <c r="DF320" s="1470">
        <f t="shared" ca="1" si="1359"/>
        <v>1.6804109266731757</v>
      </c>
      <c r="DG320" s="3449"/>
      <c r="DH320" s="3449"/>
      <c r="DI320" s="3449" t="s">
        <v>133</v>
      </c>
      <c r="DJ320" s="3449"/>
    </row>
    <row r="321" spans="1:114" s="1041" customFormat="1">
      <c r="A321" s="710"/>
      <c r="B321" s="710"/>
      <c r="C321" s="1045"/>
      <c r="D321" s="1046"/>
      <c r="E321" s="1047" t="s">
        <v>1097</v>
      </c>
      <c r="F321" s="1046"/>
      <c r="G321" s="1048"/>
      <c r="H321" s="1048"/>
      <c r="I321" s="1048"/>
      <c r="J321" s="1048"/>
      <c r="K321" s="2978"/>
      <c r="L321" s="2978"/>
      <c r="M321" s="2978"/>
      <c r="N321" s="2978"/>
      <c r="O321" s="2978"/>
      <c r="P321" s="2978"/>
      <c r="Q321" s="2978"/>
      <c r="R321" s="2978">
        <f t="shared" ref="R321:AT321" ca="1" si="1360">+R320-R319</f>
        <v>-2.0422641041619727E-3</v>
      </c>
      <c r="S321" s="2978">
        <f t="shared" ca="1" si="1360"/>
        <v>7.9765974624166347E-3</v>
      </c>
      <c r="T321" s="2978">
        <f t="shared" ca="1" si="1360"/>
        <v>6.5049302883295468E-3</v>
      </c>
      <c r="U321" s="2978">
        <f t="shared" ca="1" si="1360"/>
        <v>4.9397383793632343E-3</v>
      </c>
      <c r="V321" s="2978">
        <f t="shared" ca="1" si="1360"/>
        <v>5.5492138292123627E-3</v>
      </c>
      <c r="W321" s="2978">
        <f t="shared" ca="1" si="1360"/>
        <v>-5.0995345881261755E-3</v>
      </c>
      <c r="X321" s="2978">
        <f t="shared" ca="1" si="1360"/>
        <v>1.0474071198842694E-3</v>
      </c>
      <c r="Y321" s="2978">
        <f t="shared" ca="1" si="1360"/>
        <v>-1.8375838444910642E-3</v>
      </c>
      <c r="Z321" s="2978">
        <f t="shared" ca="1" si="1360"/>
        <v>-4.4317402812765749E-3</v>
      </c>
      <c r="AA321" s="2978">
        <f t="shared" ca="1" si="1360"/>
        <v>-4.2422186927524308E-3</v>
      </c>
      <c r="AB321" s="2978">
        <f t="shared" ca="1" si="1360"/>
        <v>-9.4482962787623137E-3</v>
      </c>
      <c r="AC321" s="2978">
        <f t="shared" ca="1" si="1360"/>
        <v>-4.1544856410240527E-3</v>
      </c>
      <c r="AD321" s="2978">
        <f t="shared" ca="1" si="1360"/>
        <v>-8.2770377345582347E-3</v>
      </c>
      <c r="AE321" s="2978">
        <f t="shared" ca="1" si="1360"/>
        <v>1.1384433255102522E-2</v>
      </c>
      <c r="AF321" s="2978">
        <f t="shared" ca="1" si="1360"/>
        <v>7.6546849040681764E-3</v>
      </c>
      <c r="AG321" s="2978">
        <f t="shared" ca="1" si="1360"/>
        <v>9.446155009285917E-3</v>
      </c>
      <c r="AH321" s="2978">
        <f t="shared" ca="1" si="1360"/>
        <v>8.3133682530132091E-3</v>
      </c>
      <c r="AI321" s="2978">
        <f t="shared" ca="1" si="1360"/>
        <v>7.3759867684657365E-3</v>
      </c>
      <c r="AJ321" s="2978">
        <f t="shared" ca="1" si="1360"/>
        <v>8.5714433422054981E-3</v>
      </c>
      <c r="AK321" s="2978">
        <f t="shared" ca="1" si="1360"/>
        <v>1.1718915563974974E-2</v>
      </c>
      <c r="AL321" s="2978">
        <f t="shared" ca="1" si="1360"/>
        <v>1.5211395201887967E-2</v>
      </c>
      <c r="AM321" s="2978">
        <f t="shared" ca="1" si="1360"/>
        <v>-1.5226553575288904E-2</v>
      </c>
      <c r="AN321" s="2978">
        <f t="shared" ca="1" si="1360"/>
        <v>-1.2662162855249903E-2</v>
      </c>
      <c r="AO321" s="2978">
        <f t="shared" ca="1" si="1360"/>
        <v>-2.3834856735049925E-2</v>
      </c>
      <c r="AP321" s="2978">
        <f t="shared" ca="1" si="1360"/>
        <v>-1.6851763565426836E-2</v>
      </c>
      <c r="AQ321" s="2978">
        <f t="shared" ca="1" si="1360"/>
        <v>-3.8841587282973933E-3</v>
      </c>
      <c r="AR321" s="2978">
        <f t="shared" ca="1" si="1360"/>
        <v>5.5653783194458128E-3</v>
      </c>
      <c r="AS321" s="2978">
        <f t="shared" ca="1" si="1360"/>
        <v>4.3331253827432192E-3</v>
      </c>
      <c r="AT321" s="2978">
        <f t="shared" ca="1" si="1360"/>
        <v>4.6953795145157073E-3</v>
      </c>
      <c r="AU321" s="2978">
        <f t="shared" ref="AU321:BJ321" ca="1" si="1361">+AU320-AU319</f>
        <v>3.9038509022759627E-3</v>
      </c>
      <c r="AV321" s="2978">
        <f t="shared" ca="1" si="1361"/>
        <v>-9.5398330571896395E-3</v>
      </c>
      <c r="AW321" s="2978">
        <f t="shared" ca="1" si="1361"/>
        <v>-5.9603078021410738E-3</v>
      </c>
      <c r="AX321" s="2978">
        <f t="shared" ca="1" si="1361"/>
        <v>-4.6911827619879887E-3</v>
      </c>
      <c r="AY321" s="2978">
        <f t="shared" ca="1" si="1361"/>
        <v>-5.261451431223918E-3</v>
      </c>
      <c r="AZ321" s="2978">
        <f t="shared" ca="1" si="1361"/>
        <v>3.3238271161479815E-3</v>
      </c>
      <c r="BA321" s="2978">
        <f t="shared" ca="1" si="1361"/>
        <v>1.3165903934435619E-3</v>
      </c>
      <c r="BB321" s="2978">
        <f t="shared" ca="1" si="1361"/>
        <v>3.7961334988096951E-3</v>
      </c>
      <c r="BC321" s="2978">
        <f t="shared" ca="1" si="1361"/>
        <v>1.0110767612587779E-3</v>
      </c>
      <c r="BD321" s="2978">
        <f t="shared" ca="1" si="1361"/>
        <v>-1.4308854678404259E-3</v>
      </c>
      <c r="BE321" s="2978">
        <f t="shared" ca="1" si="1361"/>
        <v>1.0857336417302577E-4</v>
      </c>
      <c r="BF321" s="2978">
        <f t="shared" ca="1" si="1361"/>
        <v>-4.1695257032756672E-3</v>
      </c>
      <c r="BG321" s="2978">
        <f ca="1">+BG320-BG319</f>
        <v>2.5015944259365597E-3</v>
      </c>
      <c r="BH321" s="2978">
        <f ca="1">+BH320-BH319</f>
        <v>2.2498786769062917E-3</v>
      </c>
      <c r="BI321" s="2978">
        <f ca="1">+BI320-BI319</f>
        <v>8.0625805181000487E-4</v>
      </c>
      <c r="BJ321" s="2978">
        <f t="shared" ca="1" si="1361"/>
        <v>1.8846111616568351E-3</v>
      </c>
      <c r="BK321" s="2978">
        <f ca="1">+BK320-BK319</f>
        <v>1.6879071887814234E-3</v>
      </c>
      <c r="BL321" s="2978">
        <f ca="1">+BL320-BL319</f>
        <v>5.5705259210014901E-4</v>
      </c>
      <c r="BM321" s="2978">
        <f ca="1">+BM320-BM319</f>
        <v>7.4376169635570477E-4</v>
      </c>
      <c r="BN321" s="2978">
        <f ca="1">+BN320-BN319</f>
        <v>1.4377197221762117E-3</v>
      </c>
      <c r="BO321" s="2978">
        <f t="shared" ref="BO321:BV321" ca="1" si="1362">+BO320-BO319</f>
        <v>-8.3861202574553317E-4</v>
      </c>
      <c r="BP321" s="2978">
        <f t="shared" ca="1" si="1362"/>
        <v>2.6504839486420906E-3</v>
      </c>
      <c r="BQ321" s="2978">
        <f t="shared" ca="1" si="1362"/>
        <v>1.4449923007475718E-3</v>
      </c>
      <c r="BR321" s="2978">
        <f t="shared" ca="1" si="1362"/>
        <v>-2.3040496247688225E-3</v>
      </c>
      <c r="BS321" s="2978">
        <f t="shared" ca="1" si="1362"/>
        <v>1.1286583982297316E-3</v>
      </c>
      <c r="BT321" s="2978">
        <f t="shared" ca="1" si="1362"/>
        <v>1.7611720777210849E-4</v>
      </c>
      <c r="BU321" s="2978">
        <f t="shared" ca="1" si="1362"/>
        <v>1.5061134496789919E-3</v>
      </c>
      <c r="BV321" s="2978">
        <f t="shared" ca="1" si="1362"/>
        <v>8.4804688754047675E-5</v>
      </c>
      <c r="BW321" s="2978">
        <f t="shared" ref="BW321:CB321" ca="1" si="1363">+BW320-BW319</f>
        <v>5.7191218562877566E-3</v>
      </c>
      <c r="BX321" s="2978">
        <f t="shared" ca="1" si="1363"/>
        <v>4.2729696566681241E-3</v>
      </c>
      <c r="BY321" s="2978">
        <f t="shared" ca="1" si="1363"/>
        <v>7.9712209272173595E-3</v>
      </c>
      <c r="BZ321" s="2978">
        <f t="shared" ca="1" si="1363"/>
        <v>5.7321491301536298E-3</v>
      </c>
      <c r="CA321" s="2978">
        <f t="shared" ca="1" si="1363"/>
        <v>-7.4661834317453213E-3</v>
      </c>
      <c r="CB321" s="2978">
        <f t="shared" ca="1" si="1363"/>
        <v>-2.2213131161095134E-3</v>
      </c>
      <c r="CC321" s="2978">
        <f ca="1">+CC320-CC319</f>
        <v>-9.654367139603437E-3</v>
      </c>
      <c r="CD321" s="2978">
        <f ca="1">+CD320-CD319</f>
        <v>-4.6568231622785561E-3</v>
      </c>
      <c r="CE321" s="2978">
        <f ca="1">+CE320-CE319</f>
        <v>2.1303294313383958E-3</v>
      </c>
      <c r="CF321" s="2978">
        <f ca="1">+CF320-CF319</f>
        <v>-2.931254561005403E-3</v>
      </c>
      <c r="CG321" s="2978">
        <f t="shared" ref="CG321" ca="1" si="1364">+CG320-CG319</f>
        <v>4.0425984394687475E-3</v>
      </c>
      <c r="CH321" s="2978">
        <f t="shared" ref="CH321:CL321" ca="1" si="1365">+CH320-CH319</f>
        <v>7.6028522457249892E-5</v>
      </c>
      <c r="CI321" s="2978">
        <f t="shared" ca="1" si="1365"/>
        <v>-3.1330800192108654E-4</v>
      </c>
      <c r="CJ321" s="2978">
        <f t="shared" ca="1" si="1365"/>
        <v>-2.6121554354858745E-3</v>
      </c>
      <c r="CK321" s="2978">
        <f t="shared" ca="1" si="1365"/>
        <v>-6.088501567276694E-3</v>
      </c>
      <c r="CL321" s="2978">
        <f t="shared" ca="1" si="1365"/>
        <v>5.4669228248371837E-5</v>
      </c>
      <c r="CM321" s="2978">
        <f t="shared" ref="CM321:CN321" ca="1" si="1366">+CM320-CM319</f>
        <v>2.8713227666798957E-3</v>
      </c>
      <c r="CN321" s="2978">
        <f t="shared" ca="1" si="1366"/>
        <v>5.705096925368025E-4</v>
      </c>
      <c r="CO321" s="2978">
        <f t="shared" ref="CO321:CR321" ca="1" si="1367">+CO320-CO319</f>
        <v>4.2253134433707373E-3</v>
      </c>
      <c r="CP321" s="2978">
        <f t="shared" ca="1" si="1367"/>
        <v>5.0736770905075446E-3</v>
      </c>
      <c r="CQ321" s="2978">
        <f t="shared" ca="1" si="1367"/>
        <v>-1.2952894094013345E-2</v>
      </c>
      <c r="CR321" s="2978">
        <f t="shared" ca="1" si="1367"/>
        <v>4.2853941908589377E-3</v>
      </c>
      <c r="CS321" s="2978">
        <f t="shared" ref="CS321:CV321" ca="1" si="1368">+CS320-CS319</f>
        <v>4.1172851134092525E-3</v>
      </c>
      <c r="CT321" s="2978">
        <f t="shared" ca="1" si="1368"/>
        <v>-6.0192493540114356E-3</v>
      </c>
      <c r="CU321" s="2978">
        <f t="shared" ca="1" si="1368"/>
        <v>1.1816341860864554E-2</v>
      </c>
      <c r="CV321" s="2978">
        <f t="shared" ca="1" si="1368"/>
        <v>1.0814504875611419E-5</v>
      </c>
      <c r="CW321" s="2978">
        <f t="shared" ref="CW321" ca="1" si="1369">+CW320-CW319</f>
        <v>-6.6390297176042168E-3</v>
      </c>
      <c r="CX321" s="2978">
        <f t="shared" ref="CX321" ca="1" si="1370">+CX320-CX319</f>
        <v>0</v>
      </c>
      <c r="CY321" s="2978">
        <f t="shared" ref="CY321:DB321" ca="1" si="1371">+CY320-CY319</f>
        <v>0</v>
      </c>
      <c r="CZ321" s="2978">
        <f t="shared" ca="1" si="1371"/>
        <v>0</v>
      </c>
      <c r="DA321" s="2978">
        <f t="shared" ca="1" si="1371"/>
        <v>0</v>
      </c>
      <c r="DB321" s="2978">
        <f t="shared" ca="1" si="1371"/>
        <v>0</v>
      </c>
      <c r="DC321" s="2978">
        <f t="shared" ref="DC321:DF321" ca="1" si="1372">+DC320-DC319</f>
        <v>0</v>
      </c>
      <c r="DD321" s="2978">
        <f t="shared" ca="1" si="1372"/>
        <v>0</v>
      </c>
      <c r="DE321" s="2978">
        <f t="shared" ca="1" si="1372"/>
        <v>0</v>
      </c>
      <c r="DF321" s="2978">
        <f t="shared" ca="1" si="1372"/>
        <v>0</v>
      </c>
      <c r="DG321" s="3449"/>
      <c r="DH321" s="3449"/>
      <c r="DI321" s="3449">
        <v>0.35</v>
      </c>
      <c r="DJ321" s="3449"/>
    </row>
    <row r="322" spans="1:114" ht="12.75">
      <c r="O322" s="2938"/>
      <c r="P322" s="2938"/>
      <c r="Q322" s="2938"/>
      <c r="R322" s="2938"/>
      <c r="S322" s="2938"/>
      <c r="T322" s="2938"/>
      <c r="U322" s="2938"/>
      <c r="V322" s="2938"/>
      <c r="W322" s="2938"/>
      <c r="X322" s="2938"/>
      <c r="Y322" s="2938"/>
      <c r="Z322" s="2938"/>
      <c r="AA322" s="2938"/>
      <c r="AB322" s="2938"/>
      <c r="AC322" s="2938"/>
      <c r="AD322" s="2938"/>
      <c r="AE322" s="2938"/>
      <c r="AF322" s="2938"/>
      <c r="AG322" s="2938"/>
      <c r="AH322" s="2938"/>
      <c r="AI322" s="2938"/>
      <c r="AJ322" s="2938"/>
      <c r="AK322" s="2938"/>
      <c r="AL322" s="2938"/>
      <c r="AM322" s="2938"/>
      <c r="AN322" s="2938"/>
      <c r="AO322" s="2938"/>
      <c r="AP322" s="2938"/>
      <c r="AQ322" s="2938"/>
      <c r="AR322" s="2938"/>
      <c r="AS322" s="2938"/>
      <c r="AT322" s="2938"/>
      <c r="AU322" s="2938"/>
      <c r="AV322" s="2938"/>
      <c r="AW322" s="2938"/>
      <c r="AX322" s="2938"/>
      <c r="AY322" s="2938"/>
      <c r="AZ322" s="2938"/>
      <c r="BA322" s="2938"/>
      <c r="BB322" s="2938"/>
      <c r="BC322" s="2938"/>
      <c r="BD322" s="2938"/>
      <c r="BE322" s="2938"/>
      <c r="BF322" s="2938"/>
      <c r="BG322" s="2938"/>
      <c r="BH322" s="2938"/>
      <c r="BI322" s="2938"/>
      <c r="BJ322" s="2938"/>
      <c r="BK322" s="2938"/>
      <c r="BL322" s="2938"/>
      <c r="BM322" s="2938"/>
      <c r="BN322" s="2938"/>
      <c r="BO322" s="2938"/>
      <c r="BP322" s="2938"/>
      <c r="BQ322" s="2938"/>
      <c r="BR322" s="2938"/>
      <c r="BS322" s="2938"/>
      <c r="BT322" s="2938"/>
      <c r="BU322" s="2938"/>
      <c r="BV322" s="2938"/>
      <c r="BW322" s="2938"/>
      <c r="BX322" s="2938"/>
      <c r="BY322" s="2938"/>
      <c r="BZ322" s="2938"/>
      <c r="CA322" s="2938"/>
      <c r="CB322" s="2938"/>
      <c r="CC322" s="2938"/>
      <c r="CD322" s="2938"/>
      <c r="CE322" s="2938"/>
      <c r="CF322" s="2938"/>
      <c r="CG322" s="2938"/>
      <c r="CH322" s="2938"/>
      <c r="CI322" s="2938"/>
      <c r="CJ322" s="2938"/>
      <c r="CK322" s="2938"/>
      <c r="CL322" s="2938"/>
      <c r="CM322" s="2938"/>
      <c r="CN322" s="2938"/>
      <c r="CO322" s="2938"/>
      <c r="CP322" s="2938"/>
      <c r="CQ322" s="2938"/>
      <c r="CR322" s="2938"/>
      <c r="CS322" s="2938"/>
      <c r="CT322" s="2938"/>
      <c r="CU322" s="2938"/>
      <c r="CV322" s="2938"/>
      <c r="CW322" s="2938"/>
      <c r="CX322" s="2938"/>
      <c r="CY322" s="2938"/>
      <c r="CZ322" s="2938"/>
      <c r="DA322" s="2938"/>
      <c r="DB322" s="2938"/>
      <c r="DC322" s="2938"/>
      <c r="DD322" s="2938"/>
      <c r="DE322" s="2938"/>
      <c r="DF322" s="2938"/>
      <c r="DG322" s="2919"/>
      <c r="DH322" s="2919"/>
      <c r="DI322" s="2919">
        <v>10.616307038800432</v>
      </c>
      <c r="DJ322" s="2919"/>
    </row>
    <row r="323" spans="1:114" s="736" customFormat="1" ht="12.75" customHeight="1">
      <c r="A323" s="701"/>
      <c r="B323" s="701"/>
      <c r="C323" s="1603"/>
      <c r="D323" s="779"/>
      <c r="E323" s="780" t="s">
        <v>572</v>
      </c>
      <c r="F323" s="781"/>
      <c r="G323" s="1630" t="s">
        <v>131</v>
      </c>
      <c r="H323" s="1631" t="s">
        <v>132</v>
      </c>
      <c r="I323" s="1631" t="s">
        <v>133</v>
      </c>
      <c r="J323" s="1631" t="s">
        <v>134</v>
      </c>
      <c r="K323" s="1631" t="s">
        <v>131</v>
      </c>
      <c r="L323" s="1631" t="s">
        <v>132</v>
      </c>
      <c r="M323" s="1631" t="s">
        <v>133</v>
      </c>
      <c r="N323" s="1631" t="s">
        <v>134</v>
      </c>
      <c r="O323" s="1631" t="s">
        <v>131</v>
      </c>
      <c r="P323" s="1631" t="s">
        <v>132</v>
      </c>
      <c r="Q323" s="1631" t="s">
        <v>133</v>
      </c>
      <c r="R323" s="1631" t="s">
        <v>134</v>
      </c>
      <c r="S323" s="1631" t="s">
        <v>131</v>
      </c>
      <c r="T323" s="1631" t="s">
        <v>132</v>
      </c>
      <c r="U323" s="1631" t="s">
        <v>133</v>
      </c>
      <c r="V323" s="1631" t="s">
        <v>134</v>
      </c>
      <c r="W323" s="1631" t="s">
        <v>131</v>
      </c>
      <c r="X323" s="1631" t="s">
        <v>132</v>
      </c>
      <c r="Y323" s="1631" t="s">
        <v>133</v>
      </c>
      <c r="Z323" s="1631" t="s">
        <v>134</v>
      </c>
      <c r="AA323" s="1631" t="s">
        <v>131</v>
      </c>
      <c r="AB323" s="1631" t="s">
        <v>132</v>
      </c>
      <c r="AC323" s="1631" t="s">
        <v>133</v>
      </c>
      <c r="AD323" s="1631" t="s">
        <v>134</v>
      </c>
      <c r="AE323" s="1631" t="s">
        <v>131</v>
      </c>
      <c r="AF323" s="1631" t="s">
        <v>132</v>
      </c>
      <c r="AG323" s="1631" t="s">
        <v>133</v>
      </c>
      <c r="AH323" s="1631" t="s">
        <v>134</v>
      </c>
      <c r="AI323" s="1631" t="s">
        <v>131</v>
      </c>
      <c r="AJ323" s="1631" t="s">
        <v>132</v>
      </c>
      <c r="AK323" s="1631" t="s">
        <v>133</v>
      </c>
      <c r="AL323" s="1631" t="s">
        <v>134</v>
      </c>
      <c r="AM323" s="1631" t="s">
        <v>131</v>
      </c>
      <c r="AN323" s="1631" t="s">
        <v>132</v>
      </c>
      <c r="AO323" s="1631" t="s">
        <v>133</v>
      </c>
      <c r="AP323" s="1631" t="s">
        <v>134</v>
      </c>
      <c r="AQ323" s="1631" t="s">
        <v>131</v>
      </c>
      <c r="AR323" s="1631" t="s">
        <v>132</v>
      </c>
      <c r="AS323" s="1631" t="s">
        <v>133</v>
      </c>
      <c r="AT323" s="1631" t="s">
        <v>134</v>
      </c>
      <c r="AU323" s="1631" t="s">
        <v>131</v>
      </c>
      <c r="AV323" s="1631" t="s">
        <v>132</v>
      </c>
      <c r="AW323" s="1631" t="s">
        <v>133</v>
      </c>
      <c r="AX323" s="1631" t="s">
        <v>134</v>
      </c>
      <c r="AY323" s="1631" t="s">
        <v>131</v>
      </c>
      <c r="AZ323" s="1631" t="s">
        <v>132</v>
      </c>
      <c r="BA323" s="1631" t="s">
        <v>133</v>
      </c>
      <c r="BB323" s="1631" t="s">
        <v>134</v>
      </c>
      <c r="BC323" s="1631" t="s">
        <v>131</v>
      </c>
      <c r="BD323" s="1631" t="s">
        <v>132</v>
      </c>
      <c r="BE323" s="1631" t="s">
        <v>133</v>
      </c>
      <c r="BF323" s="1631" t="s">
        <v>134</v>
      </c>
      <c r="BG323" s="1631" t="s">
        <v>131</v>
      </c>
      <c r="BH323" s="1631" t="s">
        <v>132</v>
      </c>
      <c r="BI323" s="1631" t="s">
        <v>133</v>
      </c>
      <c r="BJ323" s="1631" t="s">
        <v>134</v>
      </c>
      <c r="BK323" s="1631" t="s">
        <v>131</v>
      </c>
      <c r="BL323" s="1631" t="s">
        <v>132</v>
      </c>
      <c r="BM323" s="1631" t="s">
        <v>133</v>
      </c>
      <c r="BN323" s="1631" t="s">
        <v>134</v>
      </c>
      <c r="BO323" s="1631" t="s">
        <v>131</v>
      </c>
      <c r="BP323" s="1631" t="s">
        <v>132</v>
      </c>
      <c r="BQ323" s="1631" t="s">
        <v>133</v>
      </c>
      <c r="BR323" s="1631" t="s">
        <v>134</v>
      </c>
      <c r="BS323" s="1631" t="s">
        <v>131</v>
      </c>
      <c r="BT323" s="1631" t="s">
        <v>132</v>
      </c>
      <c r="BU323" s="1631" t="s">
        <v>133</v>
      </c>
      <c r="BV323" s="1631" t="s">
        <v>134</v>
      </c>
      <c r="BW323" s="1631" t="s">
        <v>131</v>
      </c>
      <c r="BX323" s="1631" t="s">
        <v>132</v>
      </c>
      <c r="BY323" s="1631" t="s">
        <v>133</v>
      </c>
      <c r="BZ323" s="1631" t="s">
        <v>134</v>
      </c>
      <c r="CA323" s="1631" t="s">
        <v>131</v>
      </c>
      <c r="CB323" s="1631" t="s">
        <v>132</v>
      </c>
      <c r="CC323" s="1631" t="s">
        <v>133</v>
      </c>
      <c r="CD323" s="1631" t="s">
        <v>134</v>
      </c>
      <c r="CE323" s="1631" t="s">
        <v>131</v>
      </c>
      <c r="CF323" s="1631" t="s">
        <v>132</v>
      </c>
      <c r="CG323" s="1631" t="s">
        <v>133</v>
      </c>
      <c r="CH323" s="1631" t="s">
        <v>134</v>
      </c>
      <c r="CI323" s="1631" t="s">
        <v>131</v>
      </c>
      <c r="CJ323" s="1631" t="s">
        <v>132</v>
      </c>
      <c r="CK323" s="1631" t="s">
        <v>133</v>
      </c>
      <c r="CL323" s="1631" t="s">
        <v>134</v>
      </c>
      <c r="CM323" s="1631" t="s">
        <v>131</v>
      </c>
      <c r="CN323" s="1631" t="s">
        <v>132</v>
      </c>
      <c r="CO323" s="1631" t="s">
        <v>133</v>
      </c>
      <c r="CP323" s="1631" t="s">
        <v>134</v>
      </c>
      <c r="CQ323" s="1631" t="s">
        <v>131</v>
      </c>
      <c r="CR323" s="1631" t="s">
        <v>132</v>
      </c>
      <c r="CS323" s="1631" t="s">
        <v>133</v>
      </c>
      <c r="CT323" s="1631" t="s">
        <v>134</v>
      </c>
      <c r="CU323" s="1631" t="s">
        <v>131</v>
      </c>
      <c r="CV323" s="1631" t="s">
        <v>132</v>
      </c>
      <c r="CW323" s="1631" t="s">
        <v>132</v>
      </c>
      <c r="CX323" s="1631" t="s">
        <v>134</v>
      </c>
      <c r="CY323" s="1631" t="s">
        <v>131</v>
      </c>
      <c r="CZ323" s="1631" t="s">
        <v>132</v>
      </c>
      <c r="DA323" s="1631" t="s">
        <v>133</v>
      </c>
      <c r="DB323" s="1631" t="s">
        <v>134</v>
      </c>
      <c r="DC323" s="1631" t="s">
        <v>131</v>
      </c>
      <c r="DD323" s="1631" t="s">
        <v>132</v>
      </c>
      <c r="DE323" s="1631" t="s">
        <v>133</v>
      </c>
      <c r="DF323" s="1631" t="s">
        <v>134</v>
      </c>
      <c r="DG323" s="3450"/>
      <c r="DH323" s="3450"/>
      <c r="DI323" s="3450">
        <v>4.3</v>
      </c>
      <c r="DJ323" s="3450"/>
    </row>
    <row r="324" spans="1:114" s="736" customFormat="1" ht="12.75" customHeight="1">
      <c r="B324" s="701"/>
      <c r="C324" s="729"/>
      <c r="D324" s="726"/>
      <c r="E324" s="775" t="str">
        <f>+E311</f>
        <v>Non-energy industrial goods</v>
      </c>
      <c r="F324" s="770"/>
      <c r="G324" s="2972"/>
      <c r="H324" s="2972"/>
      <c r="I324" s="2972"/>
      <c r="J324" s="2972"/>
      <c r="K324" s="2972"/>
      <c r="L324" s="2972"/>
      <c r="M324" s="2972"/>
      <c r="N324" s="2972"/>
      <c r="O324" s="2972"/>
      <c r="P324" s="2972"/>
      <c r="Q324" s="2972"/>
      <c r="R324" s="2972">
        <f>+R290/N290*100-100</f>
        <v>-1.2400404448938218</v>
      </c>
      <c r="S324" s="2972"/>
      <c r="T324" s="2972"/>
      <c r="U324" s="2972"/>
      <c r="V324" s="2972">
        <f>+V290/R290*100-100</f>
        <v>-0.82642597385577687</v>
      </c>
      <c r="W324" s="2972"/>
      <c r="X324" s="2972"/>
      <c r="Y324" s="2972"/>
      <c r="Z324" s="2972">
        <f>+Z290/V290*100-100</f>
        <v>-0.23537573400065526</v>
      </c>
      <c r="AA324" s="2972"/>
      <c r="AB324" s="2972"/>
      <c r="AC324" s="2972"/>
      <c r="AD324" s="2972">
        <f>+AD290/Z290*100-100</f>
        <v>8.940545373268094E-2</v>
      </c>
      <c r="AE324" s="2972"/>
      <c r="AF324" s="2972"/>
      <c r="AG324" s="2972"/>
      <c r="AH324" s="2972">
        <f>+AH290/AD290*100-100</f>
        <v>0.79731361553602653</v>
      </c>
      <c r="AI324" s="2972"/>
      <c r="AJ324" s="2972"/>
      <c r="AK324" s="2972"/>
      <c r="AL324" s="2972">
        <f>+AL290/AH290*100-100</f>
        <v>0.80167391482729045</v>
      </c>
      <c r="AM324" s="2972"/>
      <c r="AN324" s="2972"/>
      <c r="AO324" s="2972"/>
      <c r="AP324" s="2972">
        <f>+AP290/AL290*100-100</f>
        <v>-9.117031754946936E-2</v>
      </c>
      <c r="AQ324" s="2972"/>
      <c r="AR324" s="2972"/>
      <c r="AS324" s="2972"/>
      <c r="AT324" s="2972">
        <f>+AT290/AP290*100-100</f>
        <v>-1.1757037519859921</v>
      </c>
      <c r="AU324" s="2972"/>
      <c r="AV324" s="2972"/>
      <c r="AW324" s="2972"/>
      <c r="AX324" s="2972">
        <f>+AX290/AT290*100-100</f>
        <v>-1.3117105827259934</v>
      </c>
      <c r="AY324" s="2972"/>
      <c r="AZ324" s="2972"/>
      <c r="BA324" s="2972"/>
      <c r="BB324" s="2972">
        <f>+BB290/AX290*100-100</f>
        <v>-0.37760753878413311</v>
      </c>
      <c r="BC324" s="2972"/>
      <c r="BD324" s="2972"/>
      <c r="BE324" s="2972"/>
      <c r="BF324" s="2972">
        <f>+BF290/BB290*100-100</f>
        <v>0.57862120437066267</v>
      </c>
      <c r="BG324" s="2972"/>
      <c r="BH324" s="2972"/>
      <c r="BI324" s="2972"/>
      <c r="BJ324" s="2972">
        <f>+BJ290/BF290*100-100</f>
        <v>-6.1698029831831036E-2</v>
      </c>
      <c r="BK324" s="2972"/>
      <c r="BL324" s="2972"/>
      <c r="BM324" s="2972"/>
      <c r="BN324" s="2972">
        <f>+BN290/BJ290*100-100</f>
        <v>1.5167062945814251</v>
      </c>
      <c r="BO324" s="2972"/>
      <c r="BP324" s="2972"/>
      <c r="BQ324" s="2972"/>
      <c r="BR324" s="2972">
        <f>+BR290/BN290*100-100</f>
        <v>0.89577015688304584</v>
      </c>
      <c r="BS324" s="2972"/>
      <c r="BT324" s="2972"/>
      <c r="BU324" s="2972"/>
      <c r="BV324" s="2972">
        <f>+BV290/BR290*100-100</f>
        <v>-0.47567461901233798</v>
      </c>
      <c r="BW324" s="2972"/>
      <c r="BX324" s="2972"/>
      <c r="BY324" s="2972"/>
      <c r="BZ324" s="2972">
        <f>+BZ290/BV290*100-100</f>
        <v>-0.98535874751406993</v>
      </c>
      <c r="CA324" s="2972"/>
      <c r="CB324" s="2972"/>
      <c r="CC324" s="2972"/>
      <c r="CD324" s="2972">
        <f>+CD290/BZ290*100-100</f>
        <v>-0.76951688225814507</v>
      </c>
      <c r="CE324" s="2972"/>
      <c r="CF324" s="2972"/>
      <c r="CG324" s="2986"/>
      <c r="CH324" s="2972">
        <f>+CH290/CD290*100-100</f>
        <v>-0.38732570343343298</v>
      </c>
      <c r="CI324" s="2972"/>
      <c r="CJ324" s="2972"/>
      <c r="CK324" s="2986"/>
      <c r="CL324" s="2986">
        <f>+CL290/CH290*100-100</f>
        <v>0.3445132913562361</v>
      </c>
      <c r="CM324" s="2986"/>
      <c r="CN324" s="2986"/>
      <c r="CO324" s="2986"/>
      <c r="CP324" s="2986">
        <f>+CP290/CL290*100-100</f>
        <v>1.0883242639644521</v>
      </c>
      <c r="CQ324" s="2986"/>
      <c r="CR324" s="2986"/>
      <c r="CS324" s="2986"/>
      <c r="CT324" s="2986">
        <f>+CT290/CP290*100-100</f>
        <v>9.9746923095949569E-2</v>
      </c>
      <c r="CU324" s="2986"/>
      <c r="CV324" s="2986"/>
      <c r="CW324" s="2986"/>
      <c r="CX324" s="2986">
        <f>+CX290/CT290*100-100</f>
        <v>0.15144200678591346</v>
      </c>
      <c r="CY324" s="2986"/>
      <c r="CZ324" s="2986"/>
      <c r="DA324" s="2986"/>
      <c r="DB324" s="2986">
        <f>+DB290/CX290*100-100</f>
        <v>0.17970898043664363</v>
      </c>
      <c r="DC324" s="2986"/>
      <c r="DD324" s="2986"/>
      <c r="DE324" s="2986"/>
      <c r="DF324" s="2986">
        <f>+DF290/DB290*100-100</f>
        <v>9.7742435107022629E-2</v>
      </c>
      <c r="DG324" s="3450"/>
      <c r="DH324" s="3450"/>
      <c r="DI324" s="3450">
        <v>1.88</v>
      </c>
      <c r="DJ324" s="3450"/>
    </row>
    <row r="325" spans="1:114">
      <c r="C325" s="969"/>
      <c r="D325" s="711"/>
      <c r="E325" s="220" t="str">
        <f>+E312</f>
        <v>Energy</v>
      </c>
      <c r="F325" s="747"/>
      <c r="G325" s="2974"/>
      <c r="H325" s="2974"/>
      <c r="I325" s="2974"/>
      <c r="J325" s="2974"/>
      <c r="K325" s="2974"/>
      <c r="L325" s="2974"/>
      <c r="M325" s="2974"/>
      <c r="N325" s="2974"/>
      <c r="O325" s="2974"/>
      <c r="P325" s="2974"/>
      <c r="Q325" s="2974"/>
      <c r="R325" s="2974">
        <f>+R291/N291*100-100</f>
        <v>4.8313239044748286</v>
      </c>
      <c r="S325" s="2974"/>
      <c r="T325" s="2974"/>
      <c r="U325" s="2974"/>
      <c r="V325" s="2974">
        <f>+V291/R291*100-100</f>
        <v>4.561665422575345E-2</v>
      </c>
      <c r="W325" s="2974"/>
      <c r="X325" s="2974"/>
      <c r="Y325" s="2974"/>
      <c r="Z325" s="2974">
        <f>+Z291/V291*100-100</f>
        <v>-0.19205526770294057</v>
      </c>
      <c r="AA325" s="2974"/>
      <c r="AB325" s="2974"/>
      <c r="AC325" s="2974"/>
      <c r="AD325" s="2974">
        <f>+AD291/Z291*100-100</f>
        <v>6.4815327537515799</v>
      </c>
      <c r="AE325" s="2974"/>
      <c r="AF325" s="2974"/>
      <c r="AG325" s="2974"/>
      <c r="AH325" s="2974">
        <f>+AH291/AD291*100-100</f>
        <v>6.3223172729400119</v>
      </c>
      <c r="AI325" s="2974"/>
      <c r="AJ325" s="2974"/>
      <c r="AK325" s="2974"/>
      <c r="AL325" s="2974">
        <f>+AL291/AH291*100-100</f>
        <v>1.7546862963280034</v>
      </c>
      <c r="AM325" s="2974"/>
      <c r="AN325" s="2974"/>
      <c r="AO325" s="2974"/>
      <c r="AP325" s="2974">
        <f>+AP291/AL291*100-100</f>
        <v>10.816429532782166</v>
      </c>
      <c r="AQ325" s="2974"/>
      <c r="AR325" s="2974"/>
      <c r="AS325" s="2974"/>
      <c r="AT325" s="2974">
        <f>+AT291/AP291*100-100</f>
        <v>3.2640402528817845</v>
      </c>
      <c r="AU325" s="2974"/>
      <c r="AV325" s="2974"/>
      <c r="AW325" s="2974"/>
      <c r="AX325" s="2974">
        <f>+AX291/AT291*100-100</f>
        <v>5.5561972969850899</v>
      </c>
      <c r="AY325" s="2974"/>
      <c r="AZ325" s="2974"/>
      <c r="BA325" s="2974"/>
      <c r="BB325" s="2974">
        <f>+BB291/AX291*100-100</f>
        <v>6.9201536043295846</v>
      </c>
      <c r="BC325" s="2974"/>
      <c r="BD325" s="2974"/>
      <c r="BE325" s="2974"/>
      <c r="BF325" s="2974">
        <f>+BF291/BB291*100-100</f>
        <v>0.48755978190074245</v>
      </c>
      <c r="BG325" s="2974"/>
      <c r="BH325" s="2974"/>
      <c r="BI325" s="2974"/>
      <c r="BJ325" s="2974">
        <f>+BJ291/BF291*100-100</f>
        <v>9.4751754662123489</v>
      </c>
      <c r="BK325" s="2974"/>
      <c r="BL325" s="2974"/>
      <c r="BM325" s="2974"/>
      <c r="BN325" s="2974">
        <f>+BN291/BJ291*100-100</f>
        <v>-0.83565224010622785</v>
      </c>
      <c r="BO325" s="2974"/>
      <c r="BP325" s="2974"/>
      <c r="BQ325" s="2974"/>
      <c r="BR325" s="2974">
        <f>+BR291/BN291*100-100</f>
        <v>5.4851888812125225</v>
      </c>
      <c r="BS325" s="2974"/>
      <c r="BT325" s="2974"/>
      <c r="BU325" s="2974"/>
      <c r="BV325" s="2974">
        <f>+BV291/BR291*100-100</f>
        <v>4.7584779339230323</v>
      </c>
      <c r="BW325" s="2974"/>
      <c r="BX325" s="2974"/>
      <c r="BY325" s="2974"/>
      <c r="BZ325" s="2974">
        <f>+BZ291/BV291*100-100</f>
        <v>0.54569732708651486</v>
      </c>
      <c r="CA325" s="2974"/>
      <c r="CB325" s="2974"/>
      <c r="CC325" s="2974"/>
      <c r="CD325" s="2974">
        <f>+CD291/BZ291*100-100</f>
        <v>-1.3518492929851078</v>
      </c>
      <c r="CE325" s="2974"/>
      <c r="CF325" s="2974"/>
      <c r="CG325" s="1569"/>
      <c r="CH325" s="2974">
        <f>+CH291/CD291*100-100</f>
        <v>-2.0481693319326411</v>
      </c>
      <c r="CI325" s="2974"/>
      <c r="CJ325" s="2974"/>
      <c r="CK325" s="1569"/>
      <c r="CL325" s="1569">
        <f>+CL291/CH291*100-100</f>
        <v>-4.6642250522351674</v>
      </c>
      <c r="CM325" s="1569"/>
      <c r="CN325" s="1569"/>
      <c r="CO325" s="1569"/>
      <c r="CP325" s="1569">
        <f>+CP291/CL291*100-100</f>
        <v>1.0449825836236215</v>
      </c>
      <c r="CQ325" s="1569"/>
      <c r="CR325" s="1569"/>
      <c r="CS325" s="1569"/>
      <c r="CT325" s="1569">
        <f>+CT291/CP291*100-100</f>
        <v>5.3020056739460131</v>
      </c>
      <c r="CU325" s="1569"/>
      <c r="CV325" s="1569"/>
      <c r="CW325" s="1569"/>
      <c r="CX325" s="1569">
        <f>+CX291/CT291*100-100</f>
        <v>9.7900614794220076</v>
      </c>
      <c r="CY325" s="1569"/>
      <c r="CZ325" s="1569"/>
      <c r="DA325" s="1569"/>
      <c r="DB325" s="1569">
        <f>+DB291/CX291*100-100</f>
        <v>5.8182469205519709</v>
      </c>
      <c r="DC325" s="1569"/>
      <c r="DD325" s="1569"/>
      <c r="DE325" s="1569"/>
      <c r="DF325" s="1569">
        <f>+DF291/DB291*100-100</f>
        <v>1.0212318281865578</v>
      </c>
      <c r="DG325" s="3450"/>
      <c r="DH325" s="3450"/>
      <c r="DI325" s="3450">
        <v>1.61</v>
      </c>
      <c r="DJ325" s="3450"/>
    </row>
    <row r="326" spans="1:114">
      <c r="C326" s="969"/>
      <c r="D326" s="711"/>
      <c r="E326" s="220" t="str">
        <f>+E313</f>
        <v>Unprocessed food</v>
      </c>
      <c r="F326" s="747"/>
      <c r="G326" s="2974"/>
      <c r="H326" s="2974"/>
      <c r="I326" s="2974"/>
      <c r="J326" s="2974"/>
      <c r="K326" s="2974"/>
      <c r="L326" s="2974"/>
      <c r="M326" s="2974"/>
      <c r="N326" s="2974"/>
      <c r="O326" s="2974"/>
      <c r="P326" s="2974"/>
      <c r="Q326" s="2974"/>
      <c r="R326" s="2974">
        <f>+R292/N292*100-100</f>
        <v>-0.47249890185557319</v>
      </c>
      <c r="S326" s="2974"/>
      <c r="T326" s="2974"/>
      <c r="U326" s="2974"/>
      <c r="V326" s="2974">
        <f>+V292/R292*100-100</f>
        <v>1.3061370549293514</v>
      </c>
      <c r="W326" s="2974"/>
      <c r="X326" s="2974"/>
      <c r="Y326" s="2974"/>
      <c r="Z326" s="2974">
        <f>+Z292/V292*100-100</f>
        <v>2.0310844224655398</v>
      </c>
      <c r="AA326" s="2974"/>
      <c r="AB326" s="2974"/>
      <c r="AC326" s="2974"/>
      <c r="AD326" s="2974">
        <f>+AD292/Z292*100-100</f>
        <v>-0.18117823553170354</v>
      </c>
      <c r="AE326" s="2974"/>
      <c r="AF326" s="2974"/>
      <c r="AG326" s="2974"/>
      <c r="AH326" s="2974">
        <f>+AH292/AD292*100-100</f>
        <v>6.7724109227959275</v>
      </c>
      <c r="AI326" s="2974"/>
      <c r="AJ326" s="2974"/>
      <c r="AK326" s="2974"/>
      <c r="AL326" s="2974">
        <f>+AL292/AH292*100-100</f>
        <v>4.5357096452856496</v>
      </c>
      <c r="AM326" s="2974"/>
      <c r="AN326" s="2974"/>
      <c r="AO326" s="2974"/>
      <c r="AP326" s="2974">
        <f>+AP292/AL292*100-100</f>
        <v>-0.22580143974313671</v>
      </c>
      <c r="AQ326" s="2974"/>
      <c r="AR326" s="2974"/>
      <c r="AS326" s="2974"/>
      <c r="AT326" s="2974">
        <f>+AT292/AP292*100-100</f>
        <v>-0.57097179399339382</v>
      </c>
      <c r="AU326" s="2974"/>
      <c r="AV326" s="2974"/>
      <c r="AW326" s="2974"/>
      <c r="AX326" s="2974">
        <f>+AX292/AT292*100-100</f>
        <v>0.20464203305596129</v>
      </c>
      <c r="AY326" s="2974"/>
      <c r="AZ326" s="2974"/>
      <c r="BA326" s="2974"/>
      <c r="BB326" s="2974">
        <f>+BB292/AX292*100-100</f>
        <v>2.5746824627759679</v>
      </c>
      <c r="BC326" s="2974"/>
      <c r="BD326" s="2974"/>
      <c r="BE326" s="2974"/>
      <c r="BF326" s="2974">
        <f>+BF292/BB292*100-100</f>
        <v>2.1860143838121218</v>
      </c>
      <c r="BG326" s="2974"/>
      <c r="BH326" s="2974"/>
      <c r="BI326" s="2974"/>
      <c r="BJ326" s="2974">
        <f>+BJ292/BF292*100-100</f>
        <v>6.4714302755576796</v>
      </c>
      <c r="BK326" s="2974"/>
      <c r="BL326" s="2974"/>
      <c r="BM326" s="2974"/>
      <c r="BN326" s="2974">
        <f>+BN292/BJ292*100-100</f>
        <v>3.252852314529548</v>
      </c>
      <c r="BO326" s="2974"/>
      <c r="BP326" s="2974"/>
      <c r="BQ326" s="2974"/>
      <c r="BR326" s="2974">
        <f>+BR292/BN292*100-100</f>
        <v>0.89881544443440475</v>
      </c>
      <c r="BS326" s="2974"/>
      <c r="BT326" s="2974"/>
      <c r="BU326" s="2974"/>
      <c r="BV326" s="2974">
        <f>+BV292/BR292*100-100</f>
        <v>-1.7601089761973014</v>
      </c>
      <c r="BW326" s="2974"/>
      <c r="BX326" s="2974"/>
      <c r="BY326" s="2974"/>
      <c r="BZ326" s="2974">
        <f>+BZ292/BV292*100-100</f>
        <v>1.6320014595876557</v>
      </c>
      <c r="CA326" s="2974"/>
      <c r="CB326" s="2974"/>
      <c r="CC326" s="2974"/>
      <c r="CD326" s="2974">
        <f>+CD292/BZ292*100-100</f>
        <v>3.4889461354109557</v>
      </c>
      <c r="CE326" s="2974"/>
      <c r="CF326" s="2974"/>
      <c r="CG326" s="1569"/>
      <c r="CH326" s="2974">
        <f>+CH292/CD292*100-100</f>
        <v>-1.3877324451854633E-2</v>
      </c>
      <c r="CI326" s="2974"/>
      <c r="CJ326" s="2974"/>
      <c r="CK326" s="1569"/>
      <c r="CL326" s="1569">
        <f>+CL292/CH292*100-100</f>
        <v>4.0943789035392086</v>
      </c>
      <c r="CM326" s="1569"/>
      <c r="CN326" s="1569"/>
      <c r="CO326" s="1569"/>
      <c r="CP326" s="1569">
        <f>+CP292/CL292*100-100</f>
        <v>2.5933333333333621</v>
      </c>
      <c r="CQ326" s="1569"/>
      <c r="CR326" s="1569"/>
      <c r="CS326" s="1569"/>
      <c r="CT326" s="1569">
        <f>+CT292/CP292*100-100</f>
        <v>2.2491714861264427</v>
      </c>
      <c r="CU326" s="1569"/>
      <c r="CV326" s="1569"/>
      <c r="CW326" s="1569"/>
      <c r="CX326" s="1569">
        <f>+CX292/CT292*100-100</f>
        <v>3.4301284546516086</v>
      </c>
      <c r="CY326" s="1569"/>
      <c r="CZ326" s="1569"/>
      <c r="DA326" s="1569"/>
      <c r="DB326" s="1569">
        <f>+DB292/CX292*100-100</f>
        <v>2.8697009989640492</v>
      </c>
      <c r="DC326" s="1569"/>
      <c r="DD326" s="1569"/>
      <c r="DE326" s="1569"/>
      <c r="DF326" s="1569">
        <f>+DF292/DB292*100-100</f>
        <v>1.8538991223936137</v>
      </c>
      <c r="DG326" s="3450"/>
      <c r="DH326" s="3450"/>
      <c r="DI326" s="3450">
        <v>2.2368626732073267</v>
      </c>
      <c r="DJ326" s="3450"/>
    </row>
    <row r="327" spans="1:114">
      <c r="C327" s="969"/>
      <c r="D327" s="711"/>
      <c r="E327" s="220" t="str">
        <f>+E314</f>
        <v>Processed food (incl. Alcohol and tobacco)</v>
      </c>
      <c r="F327" s="747"/>
      <c r="G327" s="2974"/>
      <c r="H327" s="2974"/>
      <c r="I327" s="2974"/>
      <c r="J327" s="2974"/>
      <c r="K327" s="2974"/>
      <c r="L327" s="2974"/>
      <c r="M327" s="2974"/>
      <c r="N327" s="2974"/>
      <c r="O327" s="2974"/>
      <c r="P327" s="2974"/>
      <c r="Q327" s="2974"/>
      <c r="R327" s="2974">
        <f>+R293/N293*100-100</f>
        <v>4.5970365016263344</v>
      </c>
      <c r="S327" s="2974"/>
      <c r="T327" s="2974"/>
      <c r="U327" s="2974"/>
      <c r="V327" s="2974">
        <f>+V293/R293*100-100</f>
        <v>2.9921912791099459</v>
      </c>
      <c r="W327" s="2974"/>
      <c r="X327" s="2974"/>
      <c r="Y327" s="2974"/>
      <c r="Z327" s="2974">
        <f>+Z293/V293*100-100</f>
        <v>-0.65530506351764473</v>
      </c>
      <c r="AA327" s="2974"/>
      <c r="AB327" s="2974"/>
      <c r="AC327" s="2974"/>
      <c r="AD327" s="2974">
        <f>+AD293/Z293*100-100</f>
        <v>1.158288119948665</v>
      </c>
      <c r="AE327" s="2974"/>
      <c r="AF327" s="2974"/>
      <c r="AG327" s="2974"/>
      <c r="AH327" s="2974">
        <f>+AH293/AD293*100-100</f>
        <v>0.99814169828746913</v>
      </c>
      <c r="AI327" s="2974"/>
      <c r="AJ327" s="2974"/>
      <c r="AK327" s="2974"/>
      <c r="AL327" s="2974">
        <f>+AL293/AH293*100-100</f>
        <v>2.0404565686836094</v>
      </c>
      <c r="AM327" s="2974"/>
      <c r="AN327" s="2974"/>
      <c r="AO327" s="2974"/>
      <c r="AP327" s="2974">
        <f>+AP293/AL293*100-100</f>
        <v>1.3291439923987127</v>
      </c>
      <c r="AQ327" s="2974"/>
      <c r="AR327" s="2974"/>
      <c r="AS327" s="2974"/>
      <c r="AT327" s="2974">
        <f>+AT293/AP293*100-100</f>
        <v>0.31114473558024258</v>
      </c>
      <c r="AU327" s="2974"/>
      <c r="AV327" s="2974"/>
      <c r="AW327" s="2974"/>
      <c r="AX327" s="2974">
        <f>+AX293/AT293*100-100</f>
        <v>-0.73720774599260608</v>
      </c>
      <c r="AY327" s="2974"/>
      <c r="AZ327" s="2974"/>
      <c r="BA327" s="2974"/>
      <c r="BB327" s="2974">
        <f>+BB293/AX293*100-100</f>
        <v>0.14875060195835488</v>
      </c>
      <c r="BC327" s="2974"/>
      <c r="BD327" s="2974"/>
      <c r="BE327" s="2974"/>
      <c r="BF327" s="2974">
        <f>+BF293/BB293*100-100</f>
        <v>3.7100359035732851</v>
      </c>
      <c r="BG327" s="2974"/>
      <c r="BH327" s="2974"/>
      <c r="BI327" s="2974"/>
      <c r="BJ327" s="2974">
        <f>+BJ293/BF293*100-100</f>
        <v>7.5997362347510489</v>
      </c>
      <c r="BK327" s="2974"/>
      <c r="BL327" s="2974"/>
      <c r="BM327" s="2974"/>
      <c r="BN327" s="2974">
        <f>+BN293/BJ293*100-100</f>
        <v>2.7118124712731912</v>
      </c>
      <c r="BO327" s="2974"/>
      <c r="BP327" s="2974"/>
      <c r="BQ327" s="2974"/>
      <c r="BR327" s="2974">
        <f>+BR293/BN293*100-100</f>
        <v>1.7918406921240972</v>
      </c>
      <c r="BS327" s="2974"/>
      <c r="BT327" s="2974"/>
      <c r="BU327" s="2974"/>
      <c r="BV327" s="2974">
        <f>+BV293/BR293*100-100</f>
        <v>2.7228765592658419</v>
      </c>
      <c r="BW327" s="2974"/>
      <c r="BX327" s="2974"/>
      <c r="BY327" s="2974"/>
      <c r="BZ327" s="2974">
        <f>+BZ293/BV293*100-100</f>
        <v>2.3778742677805553</v>
      </c>
      <c r="CA327" s="2974"/>
      <c r="CB327" s="2974"/>
      <c r="CC327" s="2974"/>
      <c r="CD327" s="2974">
        <f>+CD293/BZ293*100-100</f>
        <v>1.321129360946145</v>
      </c>
      <c r="CE327" s="2974"/>
      <c r="CF327" s="2974"/>
      <c r="CG327" s="1569"/>
      <c r="CH327" s="2974">
        <f>+CH293/CD293*100-100</f>
        <v>1.0400281924997756</v>
      </c>
      <c r="CI327" s="2974"/>
      <c r="CJ327" s="2974"/>
      <c r="CK327" s="1569"/>
      <c r="CL327" s="1569">
        <f>+CL293/CH293*100-100</f>
        <v>2.0824649307120922</v>
      </c>
      <c r="CM327" s="1569"/>
      <c r="CN327" s="1569"/>
      <c r="CO327" s="1569"/>
      <c r="CP327" s="1569">
        <f>+CP293/CL293*100-100</f>
        <v>0.507495770868573</v>
      </c>
      <c r="CQ327" s="1569"/>
      <c r="CR327" s="1569"/>
      <c r="CS327" s="1569"/>
      <c r="CT327" s="1569">
        <f>+CT293/CP293*100-100</f>
        <v>2.0752839731365924</v>
      </c>
      <c r="CU327" s="1569"/>
      <c r="CV327" s="1569"/>
      <c r="CW327" s="1569"/>
      <c r="CX327" s="1569">
        <f>+CX293/CT293*100-100</f>
        <v>1.8971599262466157</v>
      </c>
      <c r="CY327" s="1569"/>
      <c r="CZ327" s="1569"/>
      <c r="DA327" s="1569"/>
      <c r="DB327" s="1569">
        <f>+DB293/CX293*100-100</f>
        <v>2.093154366893728</v>
      </c>
      <c r="DC327" s="1569"/>
      <c r="DD327" s="1569"/>
      <c r="DE327" s="1569"/>
      <c r="DF327" s="1569">
        <f>+DF293/DB293*100-100</f>
        <v>2.0770325896347259</v>
      </c>
      <c r="DG327" s="3450"/>
      <c r="DH327" s="3450"/>
      <c r="DI327" s="3450">
        <v>2.2368626732073267</v>
      </c>
      <c r="DJ327" s="3450"/>
    </row>
    <row r="328" spans="1:114">
      <c r="C328" s="727"/>
      <c r="D328" s="728"/>
      <c r="E328" s="772" t="str">
        <f>+E315</f>
        <v>Services</v>
      </c>
      <c r="F328" s="970"/>
      <c r="G328" s="2975"/>
      <c r="H328" s="2975"/>
      <c r="I328" s="2975"/>
      <c r="J328" s="2975"/>
      <c r="K328" s="2975"/>
      <c r="L328" s="2975"/>
      <c r="M328" s="2975"/>
      <c r="N328" s="2975"/>
      <c r="O328" s="2975"/>
      <c r="P328" s="2975"/>
      <c r="Q328" s="2975"/>
      <c r="R328" s="2975">
        <f>+R294/N294*100-100</f>
        <v>2.467048471787308</v>
      </c>
      <c r="S328" s="2975"/>
      <c r="T328" s="2975"/>
      <c r="U328" s="2975"/>
      <c r="V328" s="2975">
        <f>+V294/R294*100-100</f>
        <v>1.8464076970450236</v>
      </c>
      <c r="W328" s="2975"/>
      <c r="X328" s="2975"/>
      <c r="Y328" s="2975"/>
      <c r="Z328" s="2975">
        <f>+Z294/V294*100-100</f>
        <v>1.7798466593647504</v>
      </c>
      <c r="AA328" s="2975"/>
      <c r="AB328" s="2975"/>
      <c r="AC328" s="2975"/>
      <c r="AD328" s="2975">
        <f>+AD294/Z294*100-100</f>
        <v>1.0122410546139236</v>
      </c>
      <c r="AE328" s="2975"/>
      <c r="AF328" s="2975"/>
      <c r="AG328" s="2975"/>
      <c r="AH328" s="2975">
        <f>+AH294/AD294*100-100</f>
        <v>3.0606696185815281</v>
      </c>
      <c r="AI328" s="2975"/>
      <c r="AJ328" s="2975"/>
      <c r="AK328" s="2975"/>
      <c r="AL328" s="2975">
        <f>+AL294/AH294*100-100</f>
        <v>2.2784782866188067</v>
      </c>
      <c r="AM328" s="2975"/>
      <c r="AN328" s="2975"/>
      <c r="AO328" s="2975"/>
      <c r="AP328" s="2975">
        <f>+AP294/AL294*100-100</f>
        <v>2.4382797283781628</v>
      </c>
      <c r="AQ328" s="2975"/>
      <c r="AR328" s="2975"/>
      <c r="AS328" s="2975"/>
      <c r="AT328" s="2975">
        <f>+AT294/AP294*100-100</f>
        <v>2.4686282772016455</v>
      </c>
      <c r="AU328" s="2975"/>
      <c r="AV328" s="2975"/>
      <c r="AW328" s="2975"/>
      <c r="AX328" s="2975">
        <f>+AX294/AT294*100-100</f>
        <v>1.6378644574386101</v>
      </c>
      <c r="AY328" s="2975"/>
      <c r="AZ328" s="2975"/>
      <c r="BA328" s="2975"/>
      <c r="BB328" s="2975">
        <f>+BB294/AX294*100-100</f>
        <v>1.3371358648456493</v>
      </c>
      <c r="BC328" s="2975"/>
      <c r="BD328" s="2975"/>
      <c r="BE328" s="2975"/>
      <c r="BF328" s="2975">
        <f>+BF294/BB294*100-100</f>
        <v>2.1316376313406096</v>
      </c>
      <c r="BG328" s="2975"/>
      <c r="BH328" s="2975"/>
      <c r="BI328" s="2975"/>
      <c r="BJ328" s="2975">
        <f>+BJ294/BF294*100-100</f>
        <v>2.1967963386727831</v>
      </c>
      <c r="BK328" s="2975"/>
      <c r="BL328" s="2975"/>
      <c r="BM328" s="2975"/>
      <c r="BN328" s="2975">
        <f>+BN294/BJ294*100-100</f>
        <v>2.6440513509478905</v>
      </c>
      <c r="BO328" s="2975"/>
      <c r="BP328" s="2975"/>
      <c r="BQ328" s="2975"/>
      <c r="BR328" s="2975">
        <f>+BR294/BN294*100-100</f>
        <v>1.820611172717193</v>
      </c>
      <c r="BS328" s="2975"/>
      <c r="BT328" s="2975"/>
      <c r="BU328" s="2975"/>
      <c r="BV328" s="2975">
        <f>+BV294/BR294*100-100</f>
        <v>1.7032520688085242</v>
      </c>
      <c r="BW328" s="2975"/>
      <c r="BX328" s="2975"/>
      <c r="BY328" s="2975"/>
      <c r="BZ328" s="2975">
        <f>+BZ294/BV294*100-100</f>
        <v>1.8318426388364628</v>
      </c>
      <c r="CA328" s="2975"/>
      <c r="CB328" s="2975"/>
      <c r="CC328" s="2975"/>
      <c r="CD328" s="2975">
        <f>+CD294/BZ294*100-100</f>
        <v>1.1153633981519988</v>
      </c>
      <c r="CE328" s="2975"/>
      <c r="CF328" s="2975"/>
      <c r="CG328" s="2987"/>
      <c r="CH328" s="2975">
        <f>+CH294/CD294*100-100</f>
        <v>0.94876822095302771</v>
      </c>
      <c r="CI328" s="2975"/>
      <c r="CJ328" s="2975"/>
      <c r="CK328" s="2987"/>
      <c r="CL328" s="2987">
        <f>+CL294/CH294*100-100</f>
        <v>1.3308225598067907</v>
      </c>
      <c r="CM328" s="2987"/>
      <c r="CN328" s="2987"/>
      <c r="CO328" s="2987"/>
      <c r="CP328" s="2987">
        <f>+CP294/CL294*100-100</f>
        <v>1.2508437570313333</v>
      </c>
      <c r="CQ328" s="2987"/>
      <c r="CR328" s="2987"/>
      <c r="CS328" s="2987"/>
      <c r="CT328" s="2987">
        <f>+CT294/CP294*100-100</f>
        <v>2.2362139917695458</v>
      </c>
      <c r="CU328" s="2987"/>
      <c r="CV328" s="2987"/>
      <c r="CW328" s="2987"/>
      <c r="CX328" s="2987">
        <f>+CX294/CT294*100-100</f>
        <v>1.6836771134385771</v>
      </c>
      <c r="CY328" s="2987"/>
      <c r="CZ328" s="2987"/>
      <c r="DA328" s="2987"/>
      <c r="DB328" s="2987">
        <f>+DB294/CX294*100-100</f>
        <v>2.0533200931384954</v>
      </c>
      <c r="DC328" s="2987"/>
      <c r="DD328" s="2987"/>
      <c r="DE328" s="2987"/>
      <c r="DF328" s="2987">
        <f>+DF294/DB294*100-100</f>
        <v>2.560773417655767</v>
      </c>
      <c r="DI328" s="217">
        <v>0</v>
      </c>
    </row>
    <row r="329" spans="1:114">
      <c r="C329" s="711"/>
      <c r="D329" s="754"/>
      <c r="E329" s="755" t="str">
        <f>+E317</f>
        <v>HICP</v>
      </c>
      <c r="F329" s="961"/>
      <c r="G329" s="2931"/>
      <c r="H329" s="2931"/>
      <c r="I329" s="2931"/>
      <c r="J329" s="2931"/>
      <c r="K329" s="2931"/>
      <c r="L329" s="2931"/>
      <c r="M329" s="2931"/>
      <c r="N329" s="2931" t="e">
        <f>+N296/J296*100-100</f>
        <v>#DIV/0!</v>
      </c>
      <c r="O329" s="2931"/>
      <c r="P329" s="2931"/>
      <c r="Q329" s="2931"/>
      <c r="R329" s="2931">
        <f>+R296/N296*100-100</f>
        <v>1.8131086552139379</v>
      </c>
      <c r="S329" s="2931"/>
      <c r="T329" s="2931"/>
      <c r="U329" s="2931"/>
      <c r="V329" s="2931">
        <f>+V296/R296*100-100</f>
        <v>1.0037937816372136</v>
      </c>
      <c r="W329" s="2931"/>
      <c r="X329" s="2931"/>
      <c r="Y329" s="2931"/>
      <c r="Z329" s="2931">
        <f>+Z296/V296*100-100</f>
        <v>0.56394377586961753</v>
      </c>
      <c r="AA329" s="2931"/>
      <c r="AB329" s="2931"/>
      <c r="AC329" s="2931"/>
      <c r="AD329" s="2931">
        <f>+AD296/Z296*100-100</f>
        <v>1.2940292664345776</v>
      </c>
      <c r="AE329" s="2931"/>
      <c r="AF329" s="2931"/>
      <c r="AG329" s="2931"/>
      <c r="AH329" s="2931">
        <f>+AH296/AD296*100-100</f>
        <v>2.6803434516472748</v>
      </c>
      <c r="AI329" s="2931"/>
      <c r="AJ329" s="2931"/>
      <c r="AK329" s="2931"/>
      <c r="AL329" s="2931">
        <f>+AL296/AH296*100-100</f>
        <v>1.9389623601220478</v>
      </c>
      <c r="AM329" s="2931"/>
      <c r="AN329" s="2931"/>
      <c r="AO329" s="2931"/>
      <c r="AP329" s="2931">
        <f>+AP296/AL296*100-100</f>
        <v>2.3192224018522012</v>
      </c>
      <c r="AQ329" s="2931"/>
      <c r="AR329" s="2931"/>
      <c r="AS329" s="2931"/>
      <c r="AT329" s="2931">
        <f>+AT296/AP296*100-100</f>
        <v>1.0221398615039448</v>
      </c>
      <c r="AU329" s="2931"/>
      <c r="AV329" s="2931"/>
      <c r="AW329" s="2931"/>
      <c r="AX329" s="2931">
        <f>+AX296/AT296*100-100</f>
        <v>0.83318851493561397</v>
      </c>
      <c r="AY329" s="2931"/>
      <c r="AZ329" s="2931"/>
      <c r="BA329" s="2931"/>
      <c r="BB329" s="2931">
        <f>+BB296/AX296*100-100</f>
        <v>1.4965387156385077</v>
      </c>
      <c r="BC329" s="2931"/>
      <c r="BD329" s="2931"/>
      <c r="BE329" s="2931"/>
      <c r="BF329" s="2931">
        <f>+BF296/BB296*100-100</f>
        <v>1.6763518357797693</v>
      </c>
      <c r="BG329" s="2931"/>
      <c r="BH329" s="2931"/>
      <c r="BI329" s="2931"/>
      <c r="BJ329" s="2931">
        <f>+BJ296/BF296*100-100</f>
        <v>3.3484565925348591</v>
      </c>
      <c r="BK329" s="2931"/>
      <c r="BL329" s="2931"/>
      <c r="BM329" s="2931"/>
      <c r="BN329" s="2931">
        <f>+BN296/BJ296*100-100</f>
        <v>1.9409282700421926</v>
      </c>
      <c r="BO329" s="2931"/>
      <c r="BP329" s="2931"/>
      <c r="BQ329" s="2931"/>
      <c r="BR329" s="2931">
        <f>+BR296/BN296*100-100</f>
        <v>1.9066154713258925</v>
      </c>
      <c r="BS329" s="2931"/>
      <c r="BT329" s="2931"/>
      <c r="BU329" s="2931"/>
      <c r="BV329" s="2931">
        <f>+BV296/BR296*100-100</f>
        <v>1.3645358936025218</v>
      </c>
      <c r="BW329" s="2931"/>
      <c r="BX329" s="2931"/>
      <c r="BY329" s="2931"/>
      <c r="BZ329" s="2931">
        <f>+BZ296/BV296*100-100</f>
        <v>0.93779839039692092</v>
      </c>
      <c r="CA329" s="2931"/>
      <c r="CB329" s="2931"/>
      <c r="CC329" s="2931"/>
      <c r="CD329" s="2931">
        <f>+CD296/BZ296*100-100</f>
        <v>0.44089327342140905</v>
      </c>
      <c r="CE329" s="2931"/>
      <c r="CF329" s="2931"/>
      <c r="CG329" s="2962"/>
      <c r="CH329" s="2931">
        <f>+CH296/CD296*100-100</f>
        <v>0.20602431927885334</v>
      </c>
      <c r="CI329" s="2931"/>
      <c r="CJ329" s="2931"/>
      <c r="CK329" s="2962"/>
      <c r="CL329" s="2962">
        <f>+CL296/CH296*100-100</f>
        <v>0.70239923466175469</v>
      </c>
      <c r="CM329" s="2962"/>
      <c r="CN329" s="2931"/>
      <c r="CO329" s="2962"/>
      <c r="CP329" s="2962">
        <f>+CP296/CL296*100-100</f>
        <v>1.1358333333333519</v>
      </c>
      <c r="CQ329" s="2962"/>
      <c r="CR329" s="2931"/>
      <c r="CS329" s="2962"/>
      <c r="CT329" s="3606">
        <f>+CT296/CP296*100-100</f>
        <v>1.8663019206842222</v>
      </c>
      <c r="CU329" s="2962"/>
      <c r="CV329" s="2931"/>
      <c r="CW329" s="2931"/>
      <c r="CX329" s="3606">
        <f ca="1">+CX296/CT296*100-100</f>
        <v>2.0884262323802574</v>
      </c>
      <c r="CY329" s="2962"/>
      <c r="CZ329" s="2931"/>
      <c r="DA329" s="2962"/>
      <c r="DB329" s="2962">
        <f ca="1">+DB296/CX296*100-100</f>
        <v>1.903595138430191</v>
      </c>
      <c r="DC329" s="2962"/>
      <c r="DD329" s="2931"/>
      <c r="DE329" s="2962"/>
      <c r="DF329" s="2962">
        <f ca="1">+DF296/DB296*100-100</f>
        <v>1.5974596010288593</v>
      </c>
      <c r="DI329" s="217">
        <v>0.95067575662588411</v>
      </c>
    </row>
    <row r="330" spans="1:114">
      <c r="C330" s="711"/>
      <c r="D330" s="754"/>
      <c r="E330" s="755" t="s">
        <v>1945</v>
      </c>
      <c r="F330" s="961"/>
      <c r="G330" s="2931"/>
      <c r="H330" s="2931"/>
      <c r="I330" s="2931"/>
      <c r="J330" s="2931"/>
      <c r="K330" s="2931"/>
      <c r="L330" s="2931"/>
      <c r="M330" s="2931"/>
      <c r="N330" s="2931"/>
      <c r="O330" s="2931"/>
      <c r="P330" s="2931"/>
      <c r="Q330" s="2931"/>
      <c r="R330" s="2931">
        <f>+R299/N299*100-100</f>
        <v>1.5632490568397372</v>
      </c>
      <c r="S330" s="2931"/>
      <c r="T330" s="2931"/>
      <c r="U330" s="2931"/>
      <c r="V330" s="2931">
        <f>+V299/R299*100-100</f>
        <v>1.1277115356988787</v>
      </c>
      <c r="W330" s="2931"/>
      <c r="X330" s="2931"/>
      <c r="Y330" s="2931"/>
      <c r="Z330" s="2931">
        <f>+Z299/V299*100-100</f>
        <v>0.53778170121661617</v>
      </c>
      <c r="AA330" s="2931"/>
      <c r="AB330" s="2931"/>
      <c r="AC330" s="2931"/>
      <c r="AD330" s="2931">
        <f>+AD299/Z299*100-100</f>
        <v>0.70647840699211883</v>
      </c>
      <c r="AE330" s="2931"/>
      <c r="AF330" s="2931"/>
      <c r="AG330" s="2931"/>
      <c r="AH330" s="2931">
        <f>+AH299/AD299*100-100</f>
        <v>1.8780754236693582</v>
      </c>
      <c r="AI330" s="2931"/>
      <c r="AJ330" s="2931"/>
      <c r="AK330" s="2931"/>
      <c r="AL330" s="2931">
        <f>+AL299/AH299*100-100</f>
        <v>1.7431165586235977</v>
      </c>
      <c r="AM330" s="2931"/>
      <c r="AN330" s="2931"/>
      <c r="AO330" s="2931"/>
      <c r="AP330" s="2931">
        <f>+AP299/AL299*100-100</f>
        <v>1.3313480745245556</v>
      </c>
      <c r="AQ330" s="2931"/>
      <c r="AR330" s="2931"/>
      <c r="AS330" s="2931"/>
      <c r="AT330" s="2931">
        <f>+AT299/AP299*100-100</f>
        <v>0.79957254355666407</v>
      </c>
      <c r="AU330" s="2931"/>
      <c r="AV330" s="2931"/>
      <c r="AW330" s="2931"/>
      <c r="AX330" s="2931">
        <f>+AX299/AT299*100-100</f>
        <v>0.20256711218809187</v>
      </c>
      <c r="AY330" s="2931"/>
      <c r="AZ330" s="2931"/>
      <c r="BA330" s="2931"/>
      <c r="BB330" s="2931">
        <f>+BB299/AX299*100-100</f>
        <v>0.53562319333448727</v>
      </c>
      <c r="BC330" s="2931"/>
      <c r="BD330" s="2931"/>
      <c r="BE330" s="2931"/>
      <c r="BF330" s="2931">
        <f>+BF299/BB299*100-100</f>
        <v>1.8247592201080778</v>
      </c>
      <c r="BG330" s="2931"/>
      <c r="BH330" s="2931"/>
      <c r="BI330" s="2931"/>
      <c r="BJ330" s="2931">
        <f>+BJ299/BF299*100-100</f>
        <v>2.2552991224265639</v>
      </c>
      <c r="BK330" s="2931"/>
      <c r="BL330" s="2931"/>
      <c r="BM330" s="2931"/>
      <c r="BN330" s="2931">
        <f>+BN299/BJ299*100-100</f>
        <v>2.2524839591737305</v>
      </c>
      <c r="BO330" s="2931"/>
      <c r="BP330" s="2931"/>
      <c r="BQ330" s="2931"/>
      <c r="BR330" s="2931">
        <f>+BR299/BN299*100-100</f>
        <v>1.5135869805043285</v>
      </c>
      <c r="BS330" s="2931"/>
      <c r="BT330" s="2931"/>
      <c r="BU330" s="2931"/>
      <c r="BV330" s="2931">
        <f>+BV299/BR299*100-100</f>
        <v>1.1363043591660471</v>
      </c>
      <c r="BW330" s="2931"/>
      <c r="BX330" s="2931"/>
      <c r="BY330" s="2931"/>
      <c r="BZ330" s="2931">
        <f>+BZ299/BV299*100-100</f>
        <v>0.95333063982326394</v>
      </c>
      <c r="CA330" s="2931"/>
      <c r="CB330" s="2931"/>
      <c r="CC330" s="2931"/>
      <c r="CD330" s="2931">
        <f>+CD299/BZ299*100-100</f>
        <v>0.50665031761438684</v>
      </c>
      <c r="CE330" s="2931"/>
      <c r="CF330" s="2931"/>
      <c r="CG330" s="2962"/>
      <c r="CH330" s="2931">
        <f>+CH299/CD299*100-100</f>
        <v>0.52612405005380936</v>
      </c>
      <c r="CI330" s="2931"/>
      <c r="CJ330" s="2931"/>
      <c r="CK330" s="2962"/>
      <c r="CL330" s="2962">
        <f>+CL299/CH299*100-100</f>
        <v>1.1327051763952056</v>
      </c>
      <c r="CM330" s="2962"/>
      <c r="CN330" s="2962"/>
      <c r="CO330" s="2962"/>
      <c r="CP330" s="2962">
        <f>+CP299/CL299*100-100</f>
        <v>1.0625177086284907</v>
      </c>
      <c r="CQ330" s="2962"/>
      <c r="CR330" s="2962"/>
      <c r="CS330" s="2962"/>
      <c r="CT330" s="2962">
        <f>+CT299/CP299*100-100</f>
        <v>1.4760086746431682</v>
      </c>
      <c r="CU330" s="2962"/>
      <c r="CV330" s="2962"/>
      <c r="CW330" s="2962"/>
      <c r="CX330" s="2962">
        <f ca="1">+CX299/CT299*100-100</f>
        <v>1.1956663626551176</v>
      </c>
      <c r="CY330" s="2962"/>
      <c r="CZ330" s="2962"/>
      <c r="DA330" s="2962"/>
      <c r="DB330" s="2962">
        <f ca="1">+DB299/CX299*100-100</f>
        <v>1.4222724618000058</v>
      </c>
      <c r="DC330" s="2962"/>
      <c r="DD330" s="2962"/>
      <c r="DE330" s="2962"/>
      <c r="DF330" s="2962">
        <f ca="1">+DF299/DB299*100-100</f>
        <v>1.6423847519527754</v>
      </c>
      <c r="DI330" s="217">
        <v>0.95067575662588411</v>
      </c>
    </row>
    <row r="331" spans="1:114">
      <c r="CD331" s="3367">
        <f>+AVERAGE(CD328:CD330)</f>
        <v>0.68763566306259827</v>
      </c>
      <c r="CH331" s="3367">
        <f>+AVERAGE(CH328:CH330)</f>
        <v>0.5603055300952301</v>
      </c>
      <c r="CL331" s="3371">
        <f>+AVERAGE(CL328:CL330)</f>
        <v>1.0553089902879169</v>
      </c>
      <c r="CP331" s="3367">
        <f>+AVERAGE(CP328:CP330)</f>
        <v>1.149731599664392</v>
      </c>
      <c r="CT331" s="3367">
        <f>+AVERAGE(CT328:CT330)</f>
        <v>1.8595081956989787</v>
      </c>
      <c r="CX331" s="3371">
        <f ca="1">+AVERAGE(CX328:CX330)</f>
        <v>1.6559232361579841</v>
      </c>
      <c r="DB331" s="3371">
        <f ca="1">+AVERAGE(DB328:DB330)</f>
        <v>1.7930625644562308</v>
      </c>
      <c r="DF331" s="3371">
        <f ca="1">+AVERAGE(DF328:DF330)</f>
        <v>1.9335392568791339</v>
      </c>
      <c r="DI331" s="217">
        <v>0</v>
      </c>
    </row>
    <row r="332" spans="1:114" s="736" customFormat="1" ht="12.75" customHeight="1">
      <c r="A332" s="701"/>
      <c r="B332" s="701"/>
      <c r="C332" s="703"/>
      <c r="D332" s="895"/>
      <c r="E332" s="896" t="s">
        <v>570</v>
      </c>
      <c r="F332" s="897"/>
      <c r="G332" s="1676" t="s">
        <v>131</v>
      </c>
      <c r="H332" s="1675" t="s">
        <v>132</v>
      </c>
      <c r="I332" s="1675" t="s">
        <v>133</v>
      </c>
      <c r="J332" s="1675" t="s">
        <v>134</v>
      </c>
      <c r="K332" s="1675" t="s">
        <v>131</v>
      </c>
      <c r="L332" s="1675" t="s">
        <v>132</v>
      </c>
      <c r="M332" s="1675" t="s">
        <v>133</v>
      </c>
      <c r="N332" s="1675" t="s">
        <v>134</v>
      </c>
      <c r="O332" s="1675" t="s">
        <v>131</v>
      </c>
      <c r="P332" s="1675" t="s">
        <v>132</v>
      </c>
      <c r="Q332" s="1675" t="s">
        <v>133</v>
      </c>
      <c r="R332" s="1675" t="s">
        <v>134</v>
      </c>
      <c r="S332" s="1675" t="s">
        <v>131</v>
      </c>
      <c r="T332" s="1675" t="s">
        <v>132</v>
      </c>
      <c r="U332" s="1675" t="s">
        <v>133</v>
      </c>
      <c r="V332" s="1675" t="s">
        <v>134</v>
      </c>
      <c r="W332" s="1675" t="s">
        <v>131</v>
      </c>
      <c r="X332" s="1675" t="s">
        <v>132</v>
      </c>
      <c r="Y332" s="1675" t="s">
        <v>133</v>
      </c>
      <c r="Z332" s="1675" t="s">
        <v>134</v>
      </c>
      <c r="AA332" s="1675" t="s">
        <v>131</v>
      </c>
      <c r="AB332" s="1675" t="s">
        <v>132</v>
      </c>
      <c r="AC332" s="1675" t="s">
        <v>133</v>
      </c>
      <c r="AD332" s="1675" t="s">
        <v>134</v>
      </c>
      <c r="AE332" s="1675" t="s">
        <v>131</v>
      </c>
      <c r="AF332" s="1675" t="s">
        <v>132</v>
      </c>
      <c r="AG332" s="1675" t="s">
        <v>133</v>
      </c>
      <c r="AH332" s="1675" t="s">
        <v>134</v>
      </c>
      <c r="AI332" s="1675" t="s">
        <v>131</v>
      </c>
      <c r="AJ332" s="1675" t="s">
        <v>132</v>
      </c>
      <c r="AK332" s="1675" t="s">
        <v>133</v>
      </c>
      <c r="AL332" s="1675" t="s">
        <v>134</v>
      </c>
      <c r="AM332" s="1675" t="s">
        <v>131</v>
      </c>
      <c r="AN332" s="1675" t="s">
        <v>132</v>
      </c>
      <c r="AO332" s="1675" t="s">
        <v>133</v>
      </c>
      <c r="AP332" s="1675" t="s">
        <v>134</v>
      </c>
      <c r="AQ332" s="1675" t="s">
        <v>131</v>
      </c>
      <c r="AR332" s="1675" t="s">
        <v>132</v>
      </c>
      <c r="AS332" s="1675" t="s">
        <v>133</v>
      </c>
      <c r="AT332" s="1675" t="s">
        <v>134</v>
      </c>
      <c r="AU332" s="1675" t="s">
        <v>131</v>
      </c>
      <c r="AV332" s="1675" t="s">
        <v>132</v>
      </c>
      <c r="AW332" s="1675" t="s">
        <v>133</v>
      </c>
      <c r="AX332" s="1675" t="s">
        <v>134</v>
      </c>
      <c r="AY332" s="1675" t="s">
        <v>131</v>
      </c>
      <c r="AZ332" s="1675" t="s">
        <v>132</v>
      </c>
      <c r="BA332" s="1675" t="s">
        <v>133</v>
      </c>
      <c r="BB332" s="1675" t="s">
        <v>134</v>
      </c>
      <c r="BC332" s="1675" t="s">
        <v>131</v>
      </c>
      <c r="BD332" s="1675" t="s">
        <v>132</v>
      </c>
      <c r="BE332" s="1675" t="s">
        <v>133</v>
      </c>
      <c r="BF332" s="1675" t="s">
        <v>134</v>
      </c>
      <c r="BG332" s="1675" t="s">
        <v>131</v>
      </c>
      <c r="BH332" s="1675" t="s">
        <v>132</v>
      </c>
      <c r="BI332" s="1675" t="s">
        <v>133</v>
      </c>
      <c r="BJ332" s="1675" t="s">
        <v>134</v>
      </c>
      <c r="BK332" s="1675" t="s">
        <v>131</v>
      </c>
      <c r="BL332" s="1675" t="s">
        <v>132</v>
      </c>
      <c r="BM332" s="1675" t="s">
        <v>133</v>
      </c>
      <c r="BN332" s="1675" t="s">
        <v>134</v>
      </c>
      <c r="BO332" s="1675" t="s">
        <v>131</v>
      </c>
      <c r="BP332" s="1675" t="s">
        <v>132</v>
      </c>
      <c r="BQ332" s="1675" t="s">
        <v>133</v>
      </c>
      <c r="BR332" s="1675" t="s">
        <v>134</v>
      </c>
      <c r="BS332" s="1675" t="s">
        <v>131</v>
      </c>
      <c r="BT332" s="1675" t="s">
        <v>132</v>
      </c>
      <c r="BU332" s="1675" t="s">
        <v>133</v>
      </c>
      <c r="BV332" s="1675" t="s">
        <v>134</v>
      </c>
      <c r="BW332" s="1675" t="s">
        <v>131</v>
      </c>
      <c r="BX332" s="1675" t="s">
        <v>132</v>
      </c>
      <c r="BY332" s="1675" t="s">
        <v>133</v>
      </c>
      <c r="BZ332" s="1675" t="s">
        <v>134</v>
      </c>
      <c r="CA332" s="1675" t="s">
        <v>131</v>
      </c>
      <c r="CB332" s="1675" t="s">
        <v>132</v>
      </c>
      <c r="CC332" s="1675" t="s">
        <v>133</v>
      </c>
      <c r="CD332" s="1675" t="s">
        <v>134</v>
      </c>
      <c r="CE332" s="1675" t="s">
        <v>131</v>
      </c>
      <c r="CF332" s="1675" t="s">
        <v>132</v>
      </c>
      <c r="CG332" s="1675" t="s">
        <v>133</v>
      </c>
      <c r="CH332" s="1675" t="s">
        <v>134</v>
      </c>
      <c r="CI332" s="1675" t="s">
        <v>131</v>
      </c>
      <c r="CJ332" s="1675" t="s">
        <v>132</v>
      </c>
      <c r="CK332" s="1675" t="s">
        <v>133</v>
      </c>
      <c r="CL332" s="1675" t="s">
        <v>134</v>
      </c>
      <c r="CM332" s="1675" t="s">
        <v>131</v>
      </c>
      <c r="CN332" s="1675" t="s">
        <v>132</v>
      </c>
      <c r="CO332" s="1675" t="s">
        <v>133</v>
      </c>
      <c r="CP332" s="1675" t="s">
        <v>134</v>
      </c>
      <c r="CQ332" s="1675" t="s">
        <v>131</v>
      </c>
      <c r="CR332" s="1675" t="s">
        <v>132</v>
      </c>
      <c r="CS332" s="1675" t="s">
        <v>133</v>
      </c>
      <c r="CT332" s="1675" t="s">
        <v>134</v>
      </c>
      <c r="CU332" s="1675" t="s">
        <v>131</v>
      </c>
      <c r="CV332" s="1675" t="s">
        <v>132</v>
      </c>
      <c r="CW332" s="1675" t="s">
        <v>132</v>
      </c>
      <c r="CX332" s="1675" t="s">
        <v>134</v>
      </c>
      <c r="CY332" s="1675" t="s">
        <v>131</v>
      </c>
      <c r="CZ332" s="1675" t="s">
        <v>132</v>
      </c>
      <c r="DA332" s="1675" t="s">
        <v>133</v>
      </c>
      <c r="DB332" s="1675" t="s">
        <v>134</v>
      </c>
      <c r="DC332" s="1675" t="s">
        <v>131</v>
      </c>
      <c r="DD332" s="1675" t="s">
        <v>132</v>
      </c>
      <c r="DE332" s="1675" t="s">
        <v>133</v>
      </c>
      <c r="DF332" s="1675" t="s">
        <v>134</v>
      </c>
    </row>
    <row r="333" spans="1:114" s="736" customFormat="1" ht="12.75" customHeight="1">
      <c r="A333" s="701"/>
      <c r="B333" s="701"/>
      <c r="C333" s="899"/>
      <c r="D333" s="900"/>
      <c r="E333" s="901" t="str">
        <f>+E311</f>
        <v>Non-energy industrial goods</v>
      </c>
      <c r="F333" s="902"/>
      <c r="G333" s="2980"/>
      <c r="H333" s="2980"/>
      <c r="I333" s="2980"/>
      <c r="J333" s="2980"/>
      <c r="K333" s="2981"/>
      <c r="L333" s="2981"/>
      <c r="M333" s="2981"/>
      <c r="N333" s="2981"/>
      <c r="O333" s="2981">
        <f t="shared" ref="O333:O338" ca="1" si="1373">+R303*O311/R$308</f>
        <v>-0.47150906943986903</v>
      </c>
      <c r="P333" s="2981">
        <f t="shared" ref="P333:P338" ca="1" si="1374">+R303*P311/R$308</f>
        <v>-0.53575740198593202</v>
      </c>
      <c r="Q333" s="2981">
        <f t="shared" ref="Q333:Q338" ca="1" si="1375">+R303*Q311/R$308</f>
        <v>-0.29931511459919113</v>
      </c>
      <c r="R333" s="2981">
        <f t="shared" ref="R333:R338" ca="1" si="1376">+R303*R311/R$308</f>
        <v>-0.11154106044801365</v>
      </c>
      <c r="S333" s="2981">
        <f t="shared" ref="S333:S338" ca="1" si="1377">+V303*S311/V$308</f>
        <v>-0.24749428904368662</v>
      </c>
      <c r="T333" s="2981">
        <f t="shared" ref="T333:T338" ca="1" si="1378">+V303*T311/V$308</f>
        <v>-0.27452710836555633</v>
      </c>
      <c r="U333" s="2981">
        <f t="shared" ref="U333:U338" ca="1" si="1379">+V303*U311/V$308</f>
        <v>-0.2038673085338174</v>
      </c>
      <c r="V333" s="2981">
        <f t="shared" ref="V333:V338" ca="1" si="1380">+V303*V311/V$308</f>
        <v>-0.23145387895602265</v>
      </c>
      <c r="W333" s="2981">
        <f t="shared" ref="W333:W338" ca="1" si="1381">+Z303*W311/Z$308</f>
        <v>-9.6995490066071416E-2</v>
      </c>
      <c r="X333" s="2981">
        <f t="shared" ref="X333:X338" ca="1" si="1382">+Z303*X311/Z$308</f>
        <v>-2.9746224959979233E-2</v>
      </c>
      <c r="Y333" s="2981">
        <f t="shared" ref="Y333:Y338" ca="1" si="1383">+Z303*Y311/Z$308</f>
        <v>-8.4004479565533266E-2</v>
      </c>
      <c r="Z333" s="2981">
        <f t="shared" ref="Z333:Z338" ca="1" si="1384">+Z303*Z311/Z$308</f>
        <v>-7.252222636549599E-2</v>
      </c>
      <c r="AA333" s="2981">
        <f t="shared" ref="AA333:AA338" ca="1" si="1385">+AD303*AA311/AD$308</f>
        <v>-7.6092696441686911E-2</v>
      </c>
      <c r="AB333" s="2981">
        <f t="shared" ref="AB333:AB338" ca="1" si="1386">+AD303*AB311/AD$308</f>
        <v>4.888540290621717E-3</v>
      </c>
      <c r="AC333" s="2981">
        <f t="shared" ref="AC333:AC338" ca="1" si="1387">+AD303*AC311/AD$308</f>
        <v>0.15213461025093986</v>
      </c>
      <c r="AD333" s="2981">
        <f t="shared" ref="AD333:AD338" ca="1" si="1388">+AD303*AD311/AD$308</f>
        <v>2.5161153242671316E-2</v>
      </c>
      <c r="AE333" s="2981">
        <f t="shared" ref="AE333:AE338" ca="1" si="1389">+AH303*AE311/AH$308</f>
        <v>-1.00425019242712E-3</v>
      </c>
      <c r="AF333" s="2981">
        <f t="shared" ref="AF333:AF338" ca="1" si="1390">+AH303*AF311/AH$308</f>
        <v>0.21204266138352243</v>
      </c>
      <c r="AG333" s="2981">
        <f t="shared" ref="AG333:AG338" ca="1" si="1391">+AH303*AG311/AH$308</f>
        <v>0.18728849345992549</v>
      </c>
      <c r="AH333" s="2981">
        <f t="shared" ref="AH333:AH338" ca="1" si="1392">+AH303*AH311/AH$308</f>
        <v>0.5517833953883321</v>
      </c>
      <c r="AI333" s="2981">
        <f t="shared" ref="AI333:AI338" ca="1" si="1393">+AL303*AI311/AL$308</f>
        <v>0.47312155287817909</v>
      </c>
      <c r="AJ333" s="2981">
        <f t="shared" ref="AJ333:AJ338" ca="1" si="1394">+AL303*AJ311/AL$308</f>
        <v>0.27070280992819284</v>
      </c>
      <c r="AK333" s="2981">
        <f t="shared" ref="AK333:AK338" ca="1" si="1395">+AL303*AK311/AL$308</f>
        <v>0.15865569119101944</v>
      </c>
      <c r="AL333" s="2981">
        <f t="shared" ref="AL333:AL338" ca="1" si="1396">+AL303*AL311/AL$308</f>
        <v>3.5304255796795712E-2</v>
      </c>
      <c r="AM333" s="2981">
        <f t="shared" ref="AM333:AM338" ca="1" si="1397">+AP303*AM311/AP$308</f>
        <v>0.13449317844074399</v>
      </c>
      <c r="AN333" s="2981">
        <f t="shared" ref="AN333:AN338" ca="1" si="1398">+AP303*AN311/AP$308</f>
        <v>7.595203290909916E-2</v>
      </c>
      <c r="AO333" s="2981">
        <f t="shared" ref="AO333:AO338" ca="1" si="1399">+AP303*AO311/AP$308</f>
        <v>-5.7296937321648457E-2</v>
      </c>
      <c r="AP333" s="2981">
        <f t="shared" ref="AP333:AP338" ca="1" si="1400">+AP303*AP311/AP$308</f>
        <v>-0.25596591530795665</v>
      </c>
      <c r="AQ333" s="2981">
        <f t="shared" ref="AQ333:AQ338" ca="1" si="1401">+AT303*AQ311/AT$308</f>
        <v>-0.39197731593785129</v>
      </c>
      <c r="AR333" s="2981">
        <f t="shared" ref="AR333:AR338" ca="1" si="1402">+AT303*AR311/AT$308</f>
        <v>-0.34555746362958645</v>
      </c>
      <c r="AS333" s="2981">
        <f t="shared" ref="AS333:AS338" ca="1" si="1403">+AT303*AS311/AT$308</f>
        <v>-0.41437419863891994</v>
      </c>
      <c r="AT333" s="2981">
        <f t="shared" ref="AT333:AT338" ca="1" si="1404">+AT303*AT311/AT$308</f>
        <v>-0.23163010113412605</v>
      </c>
      <c r="AU333" s="2981">
        <f t="shared" ref="AU333:AU338" ca="1" si="1405">+AX303*AU311/AX$308</f>
        <v>-0.35452646267317828</v>
      </c>
      <c r="AV333" s="2981">
        <f t="shared" ref="AV333:AV338" ca="1" si="1406">+AX303*AV311/AX$308</f>
        <v>-0.5071617049180368</v>
      </c>
      <c r="AW333" s="2981">
        <f t="shared" ref="AW333:AW338" ca="1" si="1407">+AX303*AW311/AX$308</f>
        <v>-0.32869027611044138</v>
      </c>
      <c r="AX333" s="2981">
        <f t="shared" ref="AX333:AX338" ca="1" si="1408">+AX303*AX311/AX$308</f>
        <v>-0.33427220322423223</v>
      </c>
      <c r="AY333" s="2981">
        <f t="shared" ref="AY333:AY338" ca="1" si="1409">+BB303*AY311/BB$308</f>
        <v>-0.19959022796426396</v>
      </c>
      <c r="AZ333" s="2981">
        <f t="shared" ref="AZ333:AZ338" ca="1" si="1410">+BB303*AZ311/BB$308</f>
        <v>-3.1568157356327987E-2</v>
      </c>
      <c r="BA333" s="2981">
        <f t="shared" ref="BA333:BA338" ca="1" si="1411">+BB303*BA311/BB$308</f>
        <v>-7.9286063357110664E-2</v>
      </c>
      <c r="BB333" s="2981">
        <f t="shared" ref="BB333:BB338" ca="1" si="1412">+BB303*BB311/BB$308</f>
        <v>-0.12278606786941978</v>
      </c>
      <c r="BC333" s="2981">
        <f t="shared" ref="BC333:BC338" ca="1" si="1413">+BF303*BC311/BF$308</f>
        <v>8.66557832345424E-2</v>
      </c>
      <c r="BD333" s="2981">
        <f t="shared" ref="BD333:BD338" ca="1" si="1414">+BF303*BD311/BF$308</f>
        <v>0.17967897110404984</v>
      </c>
      <c r="BE333" s="2981">
        <f t="shared" ref="BE333:BE338" ca="1" si="1415">+BF303*BE311/BF$308</f>
        <v>0.14258227077484831</v>
      </c>
      <c r="BF333" s="2981">
        <f t="shared" ref="BF333:BF338" ca="1" si="1416">+BF303*BF311/BF$308</f>
        <v>0.26166792402885047</v>
      </c>
      <c r="BG333" s="2981">
        <f t="shared" ref="BG333:BG338" ca="1" si="1417">+BJ303*BG311/BJ$308</f>
        <v>7.2912977408570723E-2</v>
      </c>
      <c r="BH333" s="2981">
        <f t="shared" ref="BH333:BH338" ca="1" si="1418">+BJ303*BH311/BJ$308</f>
        <v>-1.8405776892432203E-2</v>
      </c>
      <c r="BI333" s="2981">
        <f t="shared" ref="BI333:BI338" ca="1" si="1419">+BJ303*BI311/BJ$308</f>
        <v>3.5352988691435959E-2</v>
      </c>
      <c r="BJ333" s="2981">
        <f t="shared" ref="BJ333:BJ338" ca="1" si="1420">+BJ303*BJ311/BJ$308</f>
        <v>-0.15787925493540084</v>
      </c>
      <c r="BK333" s="2981">
        <f t="shared" ref="BK333:BK338" ca="1" si="1421">+BN303*BK311/BN$308</f>
        <v>0.15520052548253929</v>
      </c>
      <c r="BL333" s="2981">
        <f t="shared" ref="BL333:BL338" ca="1" si="1422">+BN303*BL311/BN$308</f>
        <v>0.19569190392345831</v>
      </c>
      <c r="BM333" s="2981">
        <f t="shared" ref="BM333:BM338" ca="1" si="1423">+BN303*BM311/BN$308</f>
        <v>0.66266088476536578</v>
      </c>
      <c r="BN333" s="2981">
        <f t="shared" ref="BN333:BN338" ca="1" si="1424">+BN303*BN311/BN$308</f>
        <v>0.75188440106828924</v>
      </c>
      <c r="BO333" s="2981">
        <f t="shared" ref="BO333:BO338" ca="1" si="1425">+BR303*BO311/BR$308</f>
        <v>0.64727287054487348</v>
      </c>
      <c r="BP333" s="2981">
        <f t="shared" ref="BP333:BP338" ca="1" si="1426">+BR303*BP311/BR$308</f>
        <v>0.44133921595147602</v>
      </c>
      <c r="BQ333" s="2981">
        <f t="shared" ref="BQ333:BQ338" ca="1" si="1427">+BR303*BQ311/BR$308</f>
        <v>-1.4089229341733091E-2</v>
      </c>
      <c r="BR333" s="2981">
        <f t="shared" ref="BR333:BR338" ca="1" si="1428">+BR303*BR311/BR$308</f>
        <v>-3.5823080424335151E-2</v>
      </c>
      <c r="BS333" s="2981">
        <f t="shared" ref="BS333:BS338" ca="1" si="1429">+BV303*BS311/BV$308</f>
        <v>-0.17716817928639311</v>
      </c>
      <c r="BT333" s="2981">
        <f t="shared" ref="BT333:BT338" ca="1" si="1430">+BV303*BT311/BV$308</f>
        <v>-0.14599005557180961</v>
      </c>
      <c r="BU333" s="2981">
        <f t="shared" ref="BU333:BU338" ca="1" si="1431">+BV303*BU311/BV$308</f>
        <v>-4.8330757341579315E-2</v>
      </c>
      <c r="BV333" s="2981">
        <f t="shared" ref="BV333:BV338" ca="1" si="1432">+BV303*BV311/BV$308</f>
        <v>-0.15528514418125522</v>
      </c>
      <c r="BW333" s="2981">
        <f t="shared" ref="BW333:BW338" ca="1" si="1433">+BZ303*BW311/BZ$308</f>
        <v>-0.31091783581556126</v>
      </c>
      <c r="BX333" s="2981">
        <f t="shared" ref="BX333:BX338" ca="1" si="1434">+BZ303*BX311/BZ$308</f>
        <v>-0.16793921410414678</v>
      </c>
      <c r="BY333" s="2981">
        <f t="shared" ref="BY333:BY338" ca="1" si="1435">+BZ303*BY311/BZ$308</f>
        <v>-0.2937702324710712</v>
      </c>
      <c r="BZ333" s="2981">
        <f t="shared" ref="BZ333:BZ338" ca="1" si="1436">+BZ303*BZ311/BZ$308</f>
        <v>-0.34652427565119753</v>
      </c>
      <c r="CA333" s="2981">
        <f t="shared" ref="CA333:CA338" ca="1" si="1437">+CD303*CA311/CD$308</f>
        <v>-0.18069057144762837</v>
      </c>
      <c r="CB333" s="2981">
        <f t="shared" ref="CB333:CB338" ca="1" si="1438">+CD303*CB311/CD$308</f>
        <v>-0.32208061653740183</v>
      </c>
      <c r="CC333" s="2981">
        <f t="shared" ref="CC333:CC338" ca="1" si="1439">+CD303*CC311/CD$308</f>
        <v>-0.22059503361959862</v>
      </c>
      <c r="CD333" s="2981">
        <f t="shared" ref="CD333:CD338" ca="1" si="1440">+CD303*CD311/CD$308</f>
        <v>-0.14076842174241436</v>
      </c>
      <c r="CE333" s="2981">
        <f t="shared" ref="CE333:CE338" ca="1" si="1441">+CH303*CE311/CH$308</f>
        <v>-8.1914029730542348E-2</v>
      </c>
      <c r="CF333" s="2981">
        <f t="shared" ref="CF333:CF338" ca="1" si="1442">+CH303*CF311/CH$308</f>
        <v>-8.4845905781441452E-2</v>
      </c>
      <c r="CG333" s="2988">
        <f t="shared" ref="CG333:CG338" ca="1" si="1443">+CH303*CG311/CH$308</f>
        <v>-0.13122659867141212</v>
      </c>
      <c r="CH333" s="2981">
        <f t="shared" ref="CH333:CH338" ca="1" si="1444">+CH303*CH311/CH$308</f>
        <v>-0.13153846153845536</v>
      </c>
      <c r="CI333" s="2981">
        <f t="shared" ref="CI333:CI338" ca="1" si="1445">+CL303*CI311/CL$308</f>
        <v>-3.9115000168281115E-2</v>
      </c>
      <c r="CJ333" s="2981">
        <f t="shared" ref="CJ333:CJ338" ca="1" si="1446">+CL303*CJ311/CL$308</f>
        <v>-6.1827591956515285E-2</v>
      </c>
      <c r="CK333" s="2981">
        <f t="shared" ref="CK333:CK338" ca="1" si="1447">+CM303*CK311/CM$308</f>
        <v>0.24301243890106705</v>
      </c>
      <c r="CL333" s="2981">
        <f t="shared" ref="CL333:CL338" ca="1" si="1448">+CN303*CL311/CN$308</f>
        <v>0.25460835759661216</v>
      </c>
      <c r="CM333" s="2981">
        <f t="shared" ref="CM333:CM338" ca="1" si="1449">+CP303*CM311/CP$308</f>
        <v>0.34709042499410292</v>
      </c>
      <c r="CN333" s="2981">
        <f t="shared" ref="CN333:CN338" ca="1" si="1450">+CP303*CN311/CP$308</f>
        <v>0.42547175802138554</v>
      </c>
      <c r="CO333" s="2981">
        <f t="shared" ref="CO333:CO338" ca="1" si="1451">+CP303*CO311/CP$308</f>
        <v>0.28781986830229989</v>
      </c>
      <c r="CP333" s="2981">
        <f t="shared" ref="CP333:CP338" ca="1" si="1452">+CP303*CP311/CP$308</f>
        <v>0.18762994785688819</v>
      </c>
      <c r="CQ333" s="2981">
        <f t="shared" ref="CQ333:CQ338" ca="1" si="1453">+CT303*CQ311/CT$308</f>
        <v>0.11073916952483413</v>
      </c>
      <c r="CR333" s="2981">
        <f t="shared" ref="CR333:CR338" ca="1" si="1454">+CT303*CR311/CT$308</f>
        <v>7.4935484933316865E-2</v>
      </c>
      <c r="CS333" s="2981">
        <f t="shared" ref="CS333:CS338" ca="1" si="1455">+CT303*CS311/CT$308</f>
        <v>-8.6884638295108875E-3</v>
      </c>
      <c r="CT333" s="2981">
        <f t="shared" ref="CT333:CT338" ca="1" si="1456">+CT303*CT311/CT$308</f>
        <v>-5.892757306226263E-2</v>
      </c>
      <c r="CU333" s="2981">
        <f t="shared" ref="CU333:CU338" ca="1" si="1457">+CX303*CU311/CX$308</f>
        <v>4.23433405208124E-2</v>
      </c>
      <c r="CV333" s="2981">
        <f t="shared" ref="CV333:CW338" ca="1" si="1458">+CX303*CV311/CX$308</f>
        <v>2.7634924284725734E-2</v>
      </c>
      <c r="CW333" s="2981">
        <f t="shared" ca="1" si="1458"/>
        <v>1.8245886987318612E-2</v>
      </c>
      <c r="CX333" s="2988">
        <f t="shared" ref="CX333:CX338" ca="1" si="1459">+CX303*CX311/CX$308</f>
        <v>8.7029999999999996E-2</v>
      </c>
      <c r="CY333" s="2988">
        <f t="shared" ref="CY333" ca="1" si="1460">+DB303*CY311/DB$308</f>
        <v>7.5425999999999993E-2</v>
      </c>
      <c r="CZ333" s="2988">
        <f t="shared" ref="CZ333" ca="1" si="1461">+DB303*CZ311/DB$308</f>
        <v>6.0920999999999989E-2</v>
      </c>
      <c r="DA333" s="2988">
        <f t="shared" ref="DA333" ca="1" si="1462">+DB303*DA311/DB$308</f>
        <v>4.3514999999999998E-2</v>
      </c>
      <c r="DB333" s="2988">
        <f t="shared" ref="DB333:DB338" ca="1" si="1463">+DB303*DB311/DB$308</f>
        <v>2.9010000000000001E-2</v>
      </c>
      <c r="DC333" s="2988">
        <f t="shared" ref="DC333" ca="1" si="1464">+DF303*DC311/DF$308</f>
        <v>-2.3207999999999999E-2</v>
      </c>
      <c r="DD333" s="2988">
        <f t="shared" ref="DD333" ca="1" si="1465">+DF303*DD311/DF$308</f>
        <v>3.1910999999999995E-2</v>
      </c>
      <c r="DE333" s="2988">
        <f t="shared" ref="DE333" ca="1" si="1466">+DF303*DE311/DF$308</f>
        <v>6.0920999999999989E-2</v>
      </c>
      <c r="DF333" s="2988">
        <f t="shared" ref="DF333:DF338" ca="1" si="1467">+DF303*DF311/DF$308</f>
        <v>4.3514999999999998E-2</v>
      </c>
    </row>
    <row r="334" spans="1:114" s="736" customFormat="1" ht="12.75" customHeight="1">
      <c r="A334" s="701"/>
      <c r="B334" s="701"/>
      <c r="C334" s="981"/>
      <c r="D334" s="711"/>
      <c r="E334" s="820" t="str">
        <f>+E312</f>
        <v>Energy</v>
      </c>
      <c r="F334" s="741"/>
      <c r="G334" s="2976"/>
      <c r="H334" s="2976"/>
      <c r="I334" s="2976"/>
      <c r="J334" s="2976"/>
      <c r="K334" s="2974"/>
      <c r="L334" s="2974"/>
      <c r="M334" s="2974"/>
      <c r="N334" s="2974"/>
      <c r="O334" s="2974">
        <f t="shared" ca="1" si="1373"/>
        <v>0.75225783706051419</v>
      </c>
      <c r="P334" s="2974">
        <f t="shared" ca="1" si="1374"/>
        <v>0.50259826847167832</v>
      </c>
      <c r="Q334" s="2974">
        <f t="shared" ca="1" si="1375"/>
        <v>0.81442434568914501</v>
      </c>
      <c r="R334" s="2974">
        <f t="shared" ca="1" si="1376"/>
        <v>0.40565188242792349</v>
      </c>
      <c r="S334" s="2974">
        <f t="shared" ca="1" si="1377"/>
        <v>0.27380241515716836</v>
      </c>
      <c r="T334" s="2974">
        <f t="shared" ca="1" si="1378"/>
        <v>0.20754764970120321</v>
      </c>
      <c r="U334" s="2974">
        <f t="shared" ca="1" si="1379"/>
        <v>-0.19476264500113294</v>
      </c>
      <c r="V334" s="2974">
        <f t="shared" ca="1" si="1380"/>
        <v>-0.25238483756790214</v>
      </c>
      <c r="W334" s="2974">
        <f t="shared" ca="1" si="1381"/>
        <v>-0.37779588959374544</v>
      </c>
      <c r="X334" s="2974">
        <f t="shared" ca="1" si="1382"/>
        <v>-0.17074092208691002</v>
      </c>
      <c r="Y334" s="2974">
        <f t="shared" ca="1" si="1383"/>
        <v>0.14605033001209791</v>
      </c>
      <c r="Z334" s="2974">
        <f t="shared" ca="1" si="1384"/>
        <v>0.32260432657905486</v>
      </c>
      <c r="AA334" s="2974">
        <f t="shared" ca="1" si="1385"/>
        <v>0.83271779175877259</v>
      </c>
      <c r="AB334" s="2974">
        <f t="shared" ca="1" si="1386"/>
        <v>0.81370840557016022</v>
      </c>
      <c r="AC334" s="2974">
        <f t="shared" ca="1" si="1387"/>
        <v>0.69959417443953786</v>
      </c>
      <c r="AD334" s="2974">
        <f t="shared" ca="1" si="1388"/>
        <v>0.71969095162957708</v>
      </c>
      <c r="AE334" s="2974">
        <f t="shared" ca="1" si="1389"/>
        <v>0.59395721925133649</v>
      </c>
      <c r="AF334" s="2974">
        <f t="shared" ca="1" si="1390"/>
        <v>1.0762394181970361</v>
      </c>
      <c r="AG334" s="2974">
        <f t="shared" ca="1" si="1391"/>
        <v>0.79102842576857624</v>
      </c>
      <c r="AH334" s="2974">
        <f t="shared" ca="1" si="1392"/>
        <v>0.35202451407764657</v>
      </c>
      <c r="AI334" s="2974">
        <f t="shared" ca="1" si="1393"/>
        <v>0.33816168266572633</v>
      </c>
      <c r="AJ334" s="2974">
        <f t="shared" ca="1" si="1394"/>
        <v>-3.9084712616264727E-2</v>
      </c>
      <c r="AK334" s="2974">
        <f t="shared" ca="1" si="1395"/>
        <v>4.271978655898849E-2</v>
      </c>
      <c r="AL334" s="2974">
        <f t="shared" ca="1" si="1396"/>
        <v>0.48534503156534098</v>
      </c>
      <c r="AM334" s="2974">
        <f t="shared" ca="1" si="1397"/>
        <v>1.7322922252660027</v>
      </c>
      <c r="AN334" s="2974">
        <f t="shared" ca="1" si="1398"/>
        <v>1.1005451300803828</v>
      </c>
      <c r="AO334" s="2974">
        <f t="shared" ca="1" si="1399"/>
        <v>1.1302014452205433</v>
      </c>
      <c r="AP334" s="2974">
        <f t="shared" ca="1" si="1400"/>
        <v>1.0615380685123952</v>
      </c>
      <c r="AQ334" s="2974">
        <f t="shared" ca="1" si="1401"/>
        <v>-2.5593815046088954E-2</v>
      </c>
      <c r="AR334" s="2974">
        <f t="shared" ca="1" si="1402"/>
        <v>0.510049130168719</v>
      </c>
      <c r="AS334" s="2974">
        <f t="shared" ca="1" si="1403"/>
        <v>0.60044617063058858</v>
      </c>
      <c r="AT334" s="2974">
        <f t="shared" ca="1" si="1404"/>
        <v>0.53250605252807437</v>
      </c>
      <c r="AU334" s="2974">
        <f t="shared" ca="1" si="1405"/>
        <v>0.31197735399284654</v>
      </c>
      <c r="AV334" s="2974">
        <f t="shared" ca="1" si="1406"/>
        <v>0.46953305074075541</v>
      </c>
      <c r="AW334" s="2974">
        <f t="shared" ca="1" si="1407"/>
        <v>0.93146758758425563</v>
      </c>
      <c r="AX334" s="2974">
        <f t="shared" ca="1" si="1408"/>
        <v>0.89385507246376805</v>
      </c>
      <c r="AY334" s="2974">
        <f t="shared" ca="1" si="1409"/>
        <v>1.000603636924444</v>
      </c>
      <c r="AZ334" s="2974">
        <f t="shared" ca="1" si="1410"/>
        <v>1.2038043313166042</v>
      </c>
      <c r="BA334" s="2974">
        <f t="shared" ca="1" si="1411"/>
        <v>0.67902235732626093</v>
      </c>
      <c r="BB334" s="2974">
        <f t="shared" ca="1" si="1412"/>
        <v>0.62769354399261967</v>
      </c>
      <c r="BC334" s="2974">
        <f t="shared" ca="1" si="1413"/>
        <v>0.36973579469053952</v>
      </c>
      <c r="BD334" s="2974">
        <f t="shared" ca="1" si="1414"/>
        <v>-4.8903183023873316E-2</v>
      </c>
      <c r="BE334" s="2974">
        <f t="shared" ca="1" si="1415"/>
        <v>-0.2873325894490385</v>
      </c>
      <c r="BF334" s="2974">
        <f t="shared" ca="1" si="1416"/>
        <v>0.22242029146735068</v>
      </c>
      <c r="BG334" s="2974">
        <f t="shared" ca="1" si="1417"/>
        <v>0.78830105922721105</v>
      </c>
      <c r="BH334" s="2974">
        <f t="shared" ca="1" si="1418"/>
        <v>1.16078399171475</v>
      </c>
      <c r="BI334" s="2974">
        <f t="shared" ca="1" si="1419"/>
        <v>1.7861741899232091</v>
      </c>
      <c r="BJ334" s="2974">
        <f t="shared" ca="1" si="1420"/>
        <v>0.6224673829903502</v>
      </c>
      <c r="BK334" s="2974">
        <f t="shared" ca="1" si="1421"/>
        <v>8.2022752652151296E-2</v>
      </c>
      <c r="BL334" s="2974">
        <f t="shared" ca="1" si="1422"/>
        <v>-6.8888795593471663E-2</v>
      </c>
      <c r="BM334" s="2974">
        <f t="shared" ca="1" si="1423"/>
        <v>-0.51311735537190273</v>
      </c>
      <c r="BN334" s="2974">
        <f t="shared" ca="1" si="1424"/>
        <v>0.15818873073999826</v>
      </c>
      <c r="BO334" s="2974">
        <f t="shared" ca="1" si="1425"/>
        <v>0.85801698446919961</v>
      </c>
      <c r="BP334" s="2974">
        <f t="shared" ca="1" si="1426"/>
        <v>0.41725433568605302</v>
      </c>
      <c r="BQ334" s="2974">
        <f t="shared" ca="1" si="1427"/>
        <v>0.37658752783458238</v>
      </c>
      <c r="BR334" s="2974">
        <f t="shared" ca="1" si="1428"/>
        <v>0.76652791154570898</v>
      </c>
      <c r="BS334" s="2974">
        <f t="shared" ca="1" si="1429"/>
        <v>0.5751127534462247</v>
      </c>
      <c r="BT334" s="2974">
        <f t="shared" ca="1" si="1430"/>
        <v>0.78886910653816</v>
      </c>
      <c r="BU334" s="2974">
        <f t="shared" ca="1" si="1431"/>
        <v>0.68891118777722871</v>
      </c>
      <c r="BV334" s="2974">
        <f t="shared" ca="1" si="1432"/>
        <v>0.23742393173278825</v>
      </c>
      <c r="BW334" s="2974">
        <f t="shared" ca="1" si="1433"/>
        <v>0.17405214832181448</v>
      </c>
      <c r="BX334" s="2974">
        <f t="shared" ca="1" si="1434"/>
        <v>-3.1401041105391339E-2</v>
      </c>
      <c r="BY334" s="2974">
        <f t="shared" ca="1" si="1435"/>
        <v>3.9920856578689094E-2</v>
      </c>
      <c r="BZ334" s="2974">
        <f t="shared" ca="1" si="1436"/>
        <v>7.2572225659813139E-2</v>
      </c>
      <c r="CA334" s="2974">
        <f t="shared" ca="1" si="1437"/>
        <v>-0.19597151057401743</v>
      </c>
      <c r="CB334" s="2974">
        <f t="shared" ca="1" si="1438"/>
        <v>-0.25605351508653496</v>
      </c>
      <c r="CC334" s="2974">
        <f t="shared" ca="1" si="1439"/>
        <v>-3.1715148324767628E-2</v>
      </c>
      <c r="CD334" s="2974">
        <f t="shared" ca="1" si="1440"/>
        <v>-0.10935426816023859</v>
      </c>
      <c r="CE334" s="2974">
        <f t="shared" ca="1" si="1441"/>
        <v>-0.29850524437882725</v>
      </c>
      <c r="CF334" s="2974">
        <f t="shared" ca="1" si="1442"/>
        <v>-4.7262372200965796E-2</v>
      </c>
      <c r="CG334" s="1569">
        <f t="shared" ca="1" si="1443"/>
        <v>-0.15633203937765944</v>
      </c>
      <c r="CH334" s="2974">
        <f t="shared" ca="1" si="1444"/>
        <v>-0.37249055066286557</v>
      </c>
      <c r="CI334" s="2974">
        <f t="shared" ca="1" si="1445"/>
        <v>-0.39572920292377328</v>
      </c>
      <c r="CJ334" s="2974">
        <f t="shared" ca="1" si="1446"/>
        <v>-0.36724996062372034</v>
      </c>
      <c r="CK334" s="2974">
        <f t="shared" ca="1" si="1447"/>
        <v>-0.55662836432398399</v>
      </c>
      <c r="CL334" s="2974">
        <f t="shared" ca="1" si="1448"/>
        <v>-0.3724139633057309</v>
      </c>
      <c r="CM334" s="2974">
        <f t="shared" ca="1" si="1449"/>
        <v>-0.18264372215805913</v>
      </c>
      <c r="CN334" s="2974">
        <f t="shared" ca="1" si="1450"/>
        <v>-0.14892909775667301</v>
      </c>
      <c r="CO334" s="2974">
        <f t="shared" ca="1" si="1451"/>
        <v>0.14849476272271192</v>
      </c>
      <c r="CP334" s="2974">
        <f t="shared" ca="1" si="1452"/>
        <v>0.56108574530894939</v>
      </c>
      <c r="CQ334" s="2974">
        <f ca="1">+CT304*CQ312/CT$308</f>
        <v>0.70040018876828669</v>
      </c>
      <c r="CR334" s="2974">
        <f ca="1">+CT304*CR312/CT$308</f>
        <v>0.3909448850383212</v>
      </c>
      <c r="CS334" s="2974">
        <f ca="1">+CT304*CS312/CT$308</f>
        <v>0.484731655629139</v>
      </c>
      <c r="CT334" s="2974">
        <f t="shared" ca="1" si="1456"/>
        <v>0.30202065009560147</v>
      </c>
      <c r="CU334" s="2974">
        <f ca="1">+CX304*CU312/CX$308</f>
        <v>0.46420939890710317</v>
      </c>
      <c r="CV334" s="2974">
        <f ca="1">+CX304*CV312/CX$308</f>
        <v>0.83853442664794653</v>
      </c>
      <c r="CW334" s="2974">
        <f ca="1">+CY304*CW312/CY$308</f>
        <v>1.1626819408700002</v>
      </c>
      <c r="CX334" s="1569">
        <f ca="1">+CX304*CX312/CX$308</f>
        <v>1.0255700000000001</v>
      </c>
      <c r="CY334" s="1569">
        <f ca="1">+DB304*CY312/DB$308</f>
        <v>0.95118580105073547</v>
      </c>
      <c r="CZ334" s="1569">
        <f ca="1">+DB304*CZ312/DB$308</f>
        <v>0.60219961270243338</v>
      </c>
      <c r="DA334" s="1569">
        <f ca="1">+DB304*DA312/DB$308</f>
        <v>0.36003925064736259</v>
      </c>
      <c r="DB334" s="1569">
        <f ca="1">+DB304*DB312/DB$308</f>
        <v>0.19550021384533392</v>
      </c>
      <c r="DC334" s="1569">
        <f ca="1">+DF304*DC312/DF$308</f>
        <v>7.5581525123082346E-2</v>
      </c>
      <c r="DD334" s="1569">
        <f ca="1">+DF304*DD312/DF$308</f>
        <v>6.6226721365702609E-2</v>
      </c>
      <c r="DE334" s="1569">
        <f ca="1">+DF304*DE312/DF$308</f>
        <v>9.399656411903308E-2</v>
      </c>
      <c r="DF334" s="1569">
        <f ca="1">+DF304*DF312/DF$308</f>
        <v>0.12832414480185958</v>
      </c>
    </row>
    <row r="335" spans="1:114" s="736" customFormat="1" ht="12.75" customHeight="1">
      <c r="A335" s="701"/>
      <c r="B335" s="701"/>
      <c r="C335" s="981"/>
      <c r="D335" s="711"/>
      <c r="E335" s="820" t="str">
        <f>+E313</f>
        <v>Unprocessed food</v>
      </c>
      <c r="F335" s="741"/>
      <c r="G335" s="2976"/>
      <c r="H335" s="2976"/>
      <c r="I335" s="2976"/>
      <c r="J335" s="2976"/>
      <c r="K335" s="2974"/>
      <c r="L335" s="2974"/>
      <c r="M335" s="2974"/>
      <c r="N335" s="2974"/>
      <c r="O335" s="2974">
        <f t="shared" ca="1" si="1373"/>
        <v>-0.18692812149222424</v>
      </c>
      <c r="P335" s="2974">
        <f t="shared" ca="1" si="1374"/>
        <v>-0.13747693518157353</v>
      </c>
      <c r="Q335" s="2974">
        <f t="shared" ca="1" si="1375"/>
        <v>-7.4595583104692794E-3</v>
      </c>
      <c r="R335" s="2974">
        <f t="shared" ca="1" si="1376"/>
        <v>0.20257957432596571</v>
      </c>
      <c r="S335" s="2974">
        <f t="shared" ca="1" si="1377"/>
        <v>7.878057382923194E-2</v>
      </c>
      <c r="T335" s="2974">
        <f t="shared" ca="1" si="1378"/>
        <v>8.1533329321953854E-2</v>
      </c>
      <c r="U335" s="2974">
        <f t="shared" ca="1" si="1379"/>
        <v>6.8335514735133968E-2</v>
      </c>
      <c r="V335" s="2974">
        <f t="shared" ca="1" si="1380"/>
        <v>0.16426804132796916</v>
      </c>
      <c r="W335" s="2974">
        <f t="shared" ca="1" si="1381"/>
        <v>0.33809808360880367</v>
      </c>
      <c r="X335" s="2974">
        <f t="shared" ca="1" si="1382"/>
        <v>0.20971292166333827</v>
      </c>
      <c r="Y335" s="2974">
        <f t="shared" ca="1" si="1383"/>
        <v>-9.932861481371515E-3</v>
      </c>
      <c r="Z335" s="2974">
        <f t="shared" ca="1" si="1384"/>
        <v>8.5106972296959862E-2</v>
      </c>
      <c r="AA335" s="2974">
        <f t="shared" ca="1" si="1385"/>
        <v>-6.4381597062873497E-2</v>
      </c>
      <c r="AB335" s="2974">
        <f t="shared" ca="1" si="1386"/>
        <v>-5.4722562219500469E-2</v>
      </c>
      <c r="AC335" s="2974">
        <f t="shared" ca="1" si="1387"/>
        <v>4.5333628648700386E-2</v>
      </c>
      <c r="AD335" s="2974">
        <f t="shared" ca="1" si="1388"/>
        <v>2.8714887640447811E-2</v>
      </c>
      <c r="AE335" s="2974">
        <f t="shared" ca="1" si="1389"/>
        <v>0.12898929316338395</v>
      </c>
      <c r="AF335" s="2974">
        <f t="shared" ca="1" si="1390"/>
        <v>0.49211767395080808</v>
      </c>
      <c r="AG335" s="2974">
        <f t="shared" ca="1" si="1391"/>
        <v>0.5211472100023159</v>
      </c>
      <c r="AH335" s="2974">
        <f t="shared" ca="1" si="1392"/>
        <v>0.60294285447935203</v>
      </c>
      <c r="AI335" s="2974">
        <f t="shared" ca="1" si="1393"/>
        <v>0.78465906302540178</v>
      </c>
      <c r="AJ335" s="2974">
        <f t="shared" ca="1" si="1394"/>
        <v>0.20927666171161699</v>
      </c>
      <c r="AK335" s="2974">
        <f t="shared" ca="1" si="1395"/>
        <v>0.18090150801130994</v>
      </c>
      <c r="AL335" s="2974">
        <f t="shared" ca="1" si="1396"/>
        <v>-2.4139885772743335E-3</v>
      </c>
      <c r="AM335" s="2974">
        <f t="shared" ca="1" si="1397"/>
        <v>-0.14461128005890539</v>
      </c>
      <c r="AN335" s="2974">
        <f t="shared" ca="1" si="1398"/>
        <v>-6.6218600364236435E-2</v>
      </c>
      <c r="AO335" s="2974">
        <f t="shared" ca="1" si="1399"/>
        <v>5.903677909889455E-2</v>
      </c>
      <c r="AP335" s="2974">
        <f t="shared" ca="1" si="1400"/>
        <v>0.10640570312239685</v>
      </c>
      <c r="AQ335" s="2974">
        <f t="shared" ca="1" si="1401"/>
        <v>-1.7091135045549501E-3</v>
      </c>
      <c r="AR335" s="2974">
        <f t="shared" ca="1" si="1402"/>
        <v>2.8914979420448059E-2</v>
      </c>
      <c r="AS335" s="2974">
        <f t="shared" ca="1" si="1403"/>
        <v>-8.2863492063493319E-2</v>
      </c>
      <c r="AT335" s="2974">
        <f t="shared" ca="1" si="1404"/>
        <v>-7.8984882113992266E-2</v>
      </c>
      <c r="AU335" s="2974">
        <f t="shared" ca="1" si="1405"/>
        <v>2.2861807483527778E-2</v>
      </c>
      <c r="AV335" s="2974">
        <f t="shared" ca="1" si="1406"/>
        <v>2.8284224897604654E-2</v>
      </c>
      <c r="AW335" s="2974">
        <f t="shared" ca="1" si="1407"/>
        <v>-3.1346700677426773E-2</v>
      </c>
      <c r="AX335" s="2974">
        <f t="shared" ca="1" si="1408"/>
        <v>2.9273526041002973E-2</v>
      </c>
      <c r="AY335" s="2974">
        <f t="shared" ca="1" si="1409"/>
        <v>5.4661166494623702E-3</v>
      </c>
      <c r="AZ335" s="2974">
        <f t="shared" ca="1" si="1410"/>
        <v>0.11648761420559547</v>
      </c>
      <c r="BA335" s="2974">
        <f t="shared" ca="1" si="1411"/>
        <v>0.27578479101921366</v>
      </c>
      <c r="BB335" s="2974">
        <f t="shared" ca="1" si="1412"/>
        <v>0.22602169010834919</v>
      </c>
      <c r="BC335" s="2974">
        <f t="shared" ca="1" si="1413"/>
        <v>0.17565088464552259</v>
      </c>
      <c r="BD335" s="2974">
        <f t="shared" ca="1" si="1414"/>
        <v>7.9746798626540272E-2</v>
      </c>
      <c r="BE335" s="2974">
        <f t="shared" ca="1" si="1415"/>
        <v>4.9225973712770023E-2</v>
      </c>
      <c r="BF335" s="2974">
        <f t="shared" ca="1" si="1416"/>
        <v>0.23019598583234821</v>
      </c>
      <c r="BG335" s="2974">
        <f t="shared" ca="1" si="1417"/>
        <v>0.32541982682594561</v>
      </c>
      <c r="BH335" s="2974">
        <f t="shared" ca="1" si="1418"/>
        <v>0.43849686989114345</v>
      </c>
      <c r="BI335" s="2974">
        <f t="shared" ca="1" si="1419"/>
        <v>0.44247236842105098</v>
      </c>
      <c r="BJ335" s="2974">
        <f t="shared" ca="1" si="1420"/>
        <v>0.41323984935859737</v>
      </c>
      <c r="BK335" s="2974">
        <f t="shared" ca="1" si="1421"/>
        <v>0.48952958884273817</v>
      </c>
      <c r="BL335" s="2974">
        <f t="shared" ca="1" si="1422"/>
        <v>0.26950644656431688</v>
      </c>
      <c r="BM335" s="2974">
        <f t="shared" ca="1" si="1423"/>
        <v>0.12691989721818905</v>
      </c>
      <c r="BN335" s="2974">
        <f t="shared" ca="1" si="1424"/>
        <v>-1.7500551998234623E-2</v>
      </c>
      <c r="BO335" s="2974">
        <f t="shared" ca="1" si="1425"/>
        <v>1.0079720403306956E-2</v>
      </c>
      <c r="BP335" s="2974">
        <f t="shared" ca="1" si="1426"/>
        <v>3.1421618403486527E-2</v>
      </c>
      <c r="BQ335" s="2974">
        <f t="shared" ca="1" si="1427"/>
        <v>7.128526763619801E-2</v>
      </c>
      <c r="BR335" s="2974">
        <f t="shared" ca="1" si="1428"/>
        <v>0.11671767276128345</v>
      </c>
      <c r="BS335" s="2974">
        <f t="shared" ca="1" si="1429"/>
        <v>-7.263181383487459E-2</v>
      </c>
      <c r="BT335" s="2974">
        <f t="shared" ca="1" si="1430"/>
        <v>-0.12109782686141773</v>
      </c>
      <c r="BU335" s="2974">
        <f t="shared" ca="1" si="1431"/>
        <v>-0.10946368957294539</v>
      </c>
      <c r="BV335" s="2974">
        <f t="shared" ca="1" si="1432"/>
        <v>-0.13095482375104014</v>
      </c>
      <c r="BW335" s="2974">
        <f t="shared" ca="1" si="1433"/>
        <v>-5.1671627827390029E-2</v>
      </c>
      <c r="BX335" s="2974">
        <f t="shared" ca="1" si="1434"/>
        <v>8.9145669420208323E-2</v>
      </c>
      <c r="BY335" s="2974">
        <f t="shared" ca="1" si="1435"/>
        <v>0.1278676069332593</v>
      </c>
      <c r="BZ335" s="2974">
        <f t="shared" ca="1" si="1436"/>
        <v>0.21882884656504253</v>
      </c>
      <c r="CA335" s="2974">
        <f t="shared" ca="1" si="1437"/>
        <v>0.21438225083176699</v>
      </c>
      <c r="CB335" s="2974">
        <f t="shared" ca="1" si="1438"/>
        <v>0.31008070866141746</v>
      </c>
      <c r="CC335" s="2974">
        <f t="shared" ca="1" si="1439"/>
        <v>0.28760700403109729</v>
      </c>
      <c r="CD335" s="2974">
        <f t="shared" ca="1" si="1440"/>
        <v>7.4489458852066773E-2</v>
      </c>
      <c r="CE335" s="2974">
        <f t="shared" ca="1" si="1441"/>
        <v>3.5461764500105075E-2</v>
      </c>
      <c r="CF335" s="2974">
        <f t="shared" ca="1" si="1442"/>
        <v>-8.5054905306260517E-2</v>
      </c>
      <c r="CG335" s="1569">
        <f t="shared" ca="1" si="1443"/>
        <v>-4.783868746341758E-2</v>
      </c>
      <c r="CH335" s="2974">
        <f t="shared" ca="1" si="1444"/>
        <v>9.7764438332979459E-2</v>
      </c>
      <c r="CI335" s="2974">
        <f t="shared" ca="1" si="1445"/>
        <v>0.12253241062734817</v>
      </c>
      <c r="CJ335" s="2974">
        <f t="shared" ca="1" si="1446"/>
        <v>0.22579111711150315</v>
      </c>
      <c r="CK335" s="2974">
        <f t="shared" ca="1" si="1447"/>
        <v>0.33999444637278947</v>
      </c>
      <c r="CL335" s="2974">
        <f t="shared" ca="1" si="1448"/>
        <v>0.32127952960766015</v>
      </c>
      <c r="CM335" s="2974">
        <f t="shared" ca="1" si="1449"/>
        <v>0.26316727433809251</v>
      </c>
      <c r="CN335" s="2974">
        <f t="shared" ca="1" si="1450"/>
        <v>0.16503292084987209</v>
      </c>
      <c r="CO335" s="2974">
        <f t="shared" ca="1" si="1451"/>
        <v>0.10048054000658567</v>
      </c>
      <c r="CP335" s="2974">
        <f t="shared" ca="1" si="1452"/>
        <v>0.12598613952874527</v>
      </c>
      <c r="CQ335" s="2974">
        <f t="shared" ca="1" si="1453"/>
        <v>0.19495987179906404</v>
      </c>
      <c r="CR335" s="2974">
        <f t="shared" ca="1" si="1454"/>
        <v>0.10796840976307469</v>
      </c>
      <c r="CS335" s="2974">
        <f t="shared" ca="1" si="1455"/>
        <v>0.13916567280269657</v>
      </c>
      <c r="CT335" s="2974">
        <f t="shared" ca="1" si="1456"/>
        <v>0.11185454545454601</v>
      </c>
      <c r="CU335" s="2974">
        <f t="shared" ca="1" si="1457"/>
        <v>6.6289735624167984E-2</v>
      </c>
      <c r="CV335" s="2974">
        <f t="shared" ca="1" si="1458"/>
        <v>0.24173097192500467</v>
      </c>
      <c r="CW335" s="2974">
        <f t="shared" ca="1" si="1458"/>
        <v>0.28320117893135571</v>
      </c>
      <c r="CX335" s="1569">
        <f t="shared" ca="1" si="1459"/>
        <v>0.24315999999999996</v>
      </c>
      <c r="CY335" s="1569">
        <f t="shared" ref="CY335:CY338" ca="1" si="1468">+DB305*CY313/DB$308</f>
        <v>0.21276499999999995</v>
      </c>
      <c r="CZ335" s="1569">
        <f t="shared" ref="CZ335:CZ338" ca="1" si="1469">+DB305*CZ313/DB$308</f>
        <v>0.18844899999999998</v>
      </c>
      <c r="DA335" s="1569">
        <f t="shared" ref="DA335:DA338" ca="1" si="1470">+DB305*DA313/DB$308</f>
        <v>0.1489355</v>
      </c>
      <c r="DB335" s="1569">
        <f t="shared" ca="1" si="1463"/>
        <v>0.1489355</v>
      </c>
      <c r="DC335" s="1569">
        <f t="shared" ref="DC335:DC338" ca="1" si="1471">+DF305*DC313/DF$308</f>
        <v>0.12765899999999999</v>
      </c>
      <c r="DD335" s="1569">
        <f t="shared" ref="DD335:DD338" ca="1" si="1472">+DF305*DD313/DF$308</f>
        <v>0.12097209999999999</v>
      </c>
      <c r="DE335" s="1569">
        <f t="shared" ref="DE335:DE338" ca="1" si="1473">+DF305*DE313/DF$308</f>
        <v>0.10820619999999999</v>
      </c>
      <c r="DF335" s="1569">
        <f t="shared" ca="1" si="1467"/>
        <v>9.4224499999999989E-2</v>
      </c>
    </row>
    <row r="336" spans="1:114" s="736" customFormat="1" ht="12.75" customHeight="1">
      <c r="A336" s="701"/>
      <c r="B336" s="701"/>
      <c r="C336" s="981"/>
      <c r="D336" s="711"/>
      <c r="E336" s="820" t="str">
        <f>+E314</f>
        <v>Processed food (incl. Alcohol and tobacco)</v>
      </c>
      <c r="F336" s="741"/>
      <c r="G336" s="2976"/>
      <c r="H336" s="2976"/>
      <c r="I336" s="2976"/>
      <c r="J336" s="2976"/>
      <c r="K336" s="2974"/>
      <c r="L336" s="2974"/>
      <c r="M336" s="2974"/>
      <c r="N336" s="2974"/>
      <c r="O336" s="2974">
        <f t="shared" ca="1" si="1373"/>
        <v>0.31368208672014597</v>
      </c>
      <c r="P336" s="2974">
        <f t="shared" ca="1" si="1374"/>
        <v>0.59149335940641012</v>
      </c>
      <c r="Q336" s="2974">
        <f t="shared" ca="1" si="1375"/>
        <v>0.82060408491691073</v>
      </c>
      <c r="R336" s="2974">
        <f t="shared" ca="1" si="1376"/>
        <v>1.2226480750228665</v>
      </c>
      <c r="S336" s="2974">
        <f t="shared" ca="1" si="1377"/>
        <v>1.1900489403514829</v>
      </c>
      <c r="T336" s="2974">
        <f t="shared" ca="1" si="1378"/>
        <v>0.87629994592398985</v>
      </c>
      <c r="U336" s="2974">
        <f t="shared" ca="1" si="1379"/>
        <v>0.23876482954036182</v>
      </c>
      <c r="V336" s="2974">
        <f t="shared" ca="1" si="1380"/>
        <v>-0.29703136375057149</v>
      </c>
      <c r="W336" s="2974">
        <f t="shared" ca="1" si="1381"/>
        <v>-0.26565349085968942</v>
      </c>
      <c r="X336" s="2974">
        <f t="shared" ca="1" si="1382"/>
        <v>-0.30919437196909716</v>
      </c>
      <c r="Y336" s="2974">
        <f t="shared" ca="1" si="1383"/>
        <v>3.4113763793580192E-3</v>
      </c>
      <c r="Z336" s="2974">
        <f t="shared" ca="1" si="1384"/>
        <v>0.18219168402023925</v>
      </c>
      <c r="AA336" s="2974">
        <f t="shared" ca="1" si="1385"/>
        <v>0.15171005061460768</v>
      </c>
      <c r="AB336" s="2974">
        <f t="shared" ca="1" si="1386"/>
        <v>0.15983543733092975</v>
      </c>
      <c r="AC336" s="2974">
        <f t="shared" ca="1" si="1387"/>
        <v>0.18134624022998971</v>
      </c>
      <c r="AD336" s="2974">
        <f t="shared" ca="1" si="1388"/>
        <v>0.17739850907131385</v>
      </c>
      <c r="AE336" s="2974">
        <f t="shared" ca="1" si="1389"/>
        <v>0.11674025044722605</v>
      </c>
      <c r="AF336" s="2974">
        <f t="shared" ca="1" si="1390"/>
        <v>9.2230992196210573E-2</v>
      </c>
      <c r="AG336" s="2974">
        <f t="shared" ca="1" si="1391"/>
        <v>0.14807577303580319</v>
      </c>
      <c r="AH336" s="2974">
        <f t="shared" ca="1" si="1392"/>
        <v>0.21198882037176639</v>
      </c>
      <c r="AI336" s="2974">
        <f t="shared" ca="1" si="1393"/>
        <v>0.25933438317881502</v>
      </c>
      <c r="AJ336" s="2974">
        <f t="shared" ca="1" si="1394"/>
        <v>0.37414599025254486</v>
      </c>
      <c r="AK336" s="2974">
        <f t="shared" ca="1" si="1395"/>
        <v>0.30612974753018507</v>
      </c>
      <c r="AL336" s="2974">
        <f t="shared" ca="1" si="1396"/>
        <v>0.23915304248994659</v>
      </c>
      <c r="AM336" s="2974">
        <f t="shared" ca="1" si="1397"/>
        <v>0.2435419159839137</v>
      </c>
      <c r="AN336" s="2974">
        <f t="shared" ca="1" si="1398"/>
        <v>0.17548199666838082</v>
      </c>
      <c r="AO336" s="2974">
        <f t="shared" ca="1" si="1399"/>
        <v>0.17347886093874948</v>
      </c>
      <c r="AP336" s="2974">
        <f t="shared" ca="1" si="1400"/>
        <v>0.16614429743523432</v>
      </c>
      <c r="AQ336" s="2974">
        <f t="shared" ca="1" si="1401"/>
        <v>0.12449408740360034</v>
      </c>
      <c r="AR336" s="2974">
        <f t="shared" ca="1" si="1402"/>
        <v>6.7194880546076363E-2</v>
      </c>
      <c r="AS336" s="2974">
        <f t="shared" ca="1" si="1403"/>
        <v>1.3842742449342573E-2</v>
      </c>
      <c r="AT336" s="2974">
        <f t="shared" ca="1" si="1404"/>
        <v>-3.5783218566693774E-2</v>
      </c>
      <c r="AU336" s="2974">
        <f t="shared" ca="1" si="1405"/>
        <v>-6.837827969771762E-2</v>
      </c>
      <c r="AV336" s="2974">
        <f t="shared" ca="1" si="1406"/>
        <v>-0.12805353200882769</v>
      </c>
      <c r="AW336" s="2974">
        <f t="shared" ca="1" si="1407"/>
        <v>-0.11468287714831316</v>
      </c>
      <c r="AX336" s="2974">
        <f t="shared" ca="1" si="1408"/>
        <v>-9.1326841118304983E-2</v>
      </c>
      <c r="AY336" s="2974">
        <f t="shared" ca="1" si="1409"/>
        <v>-6.2199412141391831E-2</v>
      </c>
      <c r="AZ336" s="2974">
        <f t="shared" ca="1" si="1410"/>
        <v>3.9752762960892207E-3</v>
      </c>
      <c r="BA336" s="2974">
        <f t="shared" ca="1" si="1411"/>
        <v>2.9490183122731786E-2</v>
      </c>
      <c r="BB336" s="2974">
        <f t="shared" ca="1" si="1412"/>
        <v>0.10802998332911852</v>
      </c>
      <c r="BC336" s="2974">
        <f t="shared" ca="1" si="1413"/>
        <v>0.36817585526879204</v>
      </c>
      <c r="BD336" s="2974">
        <f t="shared" ca="1" si="1414"/>
        <v>0.4331111301516562</v>
      </c>
      <c r="BE336" s="2974">
        <f t="shared" ca="1" si="1415"/>
        <v>0.45866753490755802</v>
      </c>
      <c r="BF336" s="2974">
        <f t="shared" ca="1" si="1416"/>
        <v>0.65251542750138214</v>
      </c>
      <c r="BG336" s="2974">
        <f t="shared" ca="1" si="1417"/>
        <v>0.92983557019006469</v>
      </c>
      <c r="BH336" s="2974">
        <f t="shared" ca="1" si="1418"/>
        <v>1.0540489513388029</v>
      </c>
      <c r="BI336" s="2974">
        <f t="shared" ca="1" si="1419"/>
        <v>1.0988652482269465</v>
      </c>
      <c r="BJ336" s="2974">
        <f t="shared" ca="1" si="1420"/>
        <v>0.90528882767560215</v>
      </c>
      <c r="BK336" s="2974">
        <f t="shared" ca="1" si="1421"/>
        <v>0.43324134978398765</v>
      </c>
      <c r="BL336" s="2974">
        <f t="shared" ca="1" si="1422"/>
        <v>0.34007450604258715</v>
      </c>
      <c r="BM336" s="2974">
        <f t="shared" ca="1" si="1423"/>
        <v>0.34867288084005754</v>
      </c>
      <c r="BN336" s="2974">
        <f t="shared" ca="1" si="1424"/>
        <v>0.36072853353543227</v>
      </c>
      <c r="BO336" s="2974">
        <f t="shared" ca="1" si="1425"/>
        <v>0.29878892398642126</v>
      </c>
      <c r="BP336" s="2974">
        <f t="shared" ca="1" si="1426"/>
        <v>0.24032476602687594</v>
      </c>
      <c r="BQ336" s="2974">
        <f t="shared" ca="1" si="1427"/>
        <v>0.19204512091402667</v>
      </c>
      <c r="BR336" s="2974">
        <f t="shared" ca="1" si="1428"/>
        <v>0.23851232673112668</v>
      </c>
      <c r="BS336" s="2974">
        <f t="shared" ca="1" si="1429"/>
        <v>0.3465966634679275</v>
      </c>
      <c r="BT336" s="2974">
        <f t="shared" ca="1" si="1430"/>
        <v>0.39636875206885197</v>
      </c>
      <c r="BU336" s="2974">
        <f t="shared" ca="1" si="1431"/>
        <v>0.42453215304703779</v>
      </c>
      <c r="BV336" s="2974">
        <f t="shared" ca="1" si="1432"/>
        <v>0.31306548158897285</v>
      </c>
      <c r="BW336" s="2974">
        <f t="shared" ca="1" si="1433"/>
        <v>0.38767546214241777</v>
      </c>
      <c r="BX336" s="2974">
        <f t="shared" ca="1" si="1434"/>
        <v>0.35056729668147429</v>
      </c>
      <c r="BY336" s="2974">
        <f t="shared" ca="1" si="1435"/>
        <v>0.2878806810202047</v>
      </c>
      <c r="BZ336" s="2974">
        <f t="shared" ca="1" si="1436"/>
        <v>0.26377572286361078</v>
      </c>
      <c r="CA336" s="2974">
        <f t="shared" ca="1" si="1437"/>
        <v>0.19209867039888165</v>
      </c>
      <c r="CB336" s="2974">
        <f t="shared" ca="1" si="1438"/>
        <v>0.15158768201769482</v>
      </c>
      <c r="CC336" s="2974">
        <f t="shared" ca="1" si="1439"/>
        <v>0.18080316765656229</v>
      </c>
      <c r="CD336" s="2974">
        <f t="shared" ca="1" si="1440"/>
        <v>0.19191248391248453</v>
      </c>
      <c r="CE336" s="2974">
        <f t="shared" ca="1" si="1441"/>
        <v>0.1232438847679804</v>
      </c>
      <c r="CF336" s="2974">
        <f t="shared" ca="1" si="1442"/>
        <v>0.12402700933613596</v>
      </c>
      <c r="CG336" s="1569">
        <f t="shared" ca="1" si="1443"/>
        <v>0.16644359897172376</v>
      </c>
      <c r="CH336" s="2974">
        <f t="shared" ca="1" si="1444"/>
        <v>0.16655206475511378</v>
      </c>
      <c r="CI336" s="2974">
        <f t="shared" ca="1" si="1445"/>
        <v>0.28520402858999488</v>
      </c>
      <c r="CJ336" s="2974">
        <f t="shared" ca="1" si="1446"/>
        <v>0.34279429742188761</v>
      </c>
      <c r="CK336" s="2974">
        <f t="shared" ca="1" si="1447"/>
        <v>0.27726548792466915</v>
      </c>
      <c r="CL336" s="2974">
        <f t="shared" ca="1" si="1448"/>
        <v>0.27171369983730664</v>
      </c>
      <c r="CM336" s="2974">
        <f t="shared" ca="1" si="1449"/>
        <v>0.12610670465974028</v>
      </c>
      <c r="CN336" s="2974">
        <f t="shared" ca="1" si="1450"/>
        <v>5.9185637127425098E-2</v>
      </c>
      <c r="CO336" s="2974">
        <f t="shared" ca="1" si="1451"/>
        <v>3.6504849853840622E-2</v>
      </c>
      <c r="CP336" s="2974">
        <f t="shared" ca="1" si="1452"/>
        <v>6.4652079938816831E-2</v>
      </c>
      <c r="CQ336" s="2974">
        <f t="shared" ca="1" si="1453"/>
        <v>0.17208110442901345</v>
      </c>
      <c r="CR336" s="2974">
        <f t="shared" ca="1" si="1454"/>
        <v>0.25586115537848619</v>
      </c>
      <c r="CS336" s="2974">
        <f t="shared" ca="1" si="1455"/>
        <v>0.33038042541912377</v>
      </c>
      <c r="CT336" s="2974">
        <f t="shared" ca="1" si="1456"/>
        <v>0.38766436066333665</v>
      </c>
      <c r="CU336" s="2974">
        <f t="shared" ca="1" si="1457"/>
        <v>0.32119690207403317</v>
      </c>
      <c r="CV336" s="2974">
        <f t="shared" ca="1" si="1458"/>
        <v>0.24933385487971729</v>
      </c>
      <c r="CW336" s="2974">
        <f t="shared" ca="1" si="1458"/>
        <v>0.20315376650272024</v>
      </c>
      <c r="CX336" s="1569">
        <f t="shared" ca="1" si="1459"/>
        <v>0.26730599999999999</v>
      </c>
      <c r="CY336" s="1569">
        <f t="shared" ca="1" si="1468"/>
        <v>0.25359799999999999</v>
      </c>
      <c r="CZ336" s="1569">
        <f t="shared" ca="1" si="1469"/>
        <v>0.28923880000000002</v>
      </c>
      <c r="DA336" s="1569">
        <f t="shared" ca="1" si="1470"/>
        <v>0.29883440000000006</v>
      </c>
      <c r="DB336" s="1569">
        <f t="shared" ca="1" si="1463"/>
        <v>0.30568839999999997</v>
      </c>
      <c r="DC336" s="1569">
        <f t="shared" ca="1" si="1471"/>
        <v>0.29472199999999998</v>
      </c>
      <c r="DD336" s="1569">
        <f t="shared" ca="1" si="1472"/>
        <v>0.29472199999999998</v>
      </c>
      <c r="DE336" s="1569">
        <f t="shared" ca="1" si="1473"/>
        <v>0.27690160000000003</v>
      </c>
      <c r="DF336" s="1569">
        <f t="shared" ca="1" si="1467"/>
        <v>0.27278920000000001</v>
      </c>
    </row>
    <row r="337" spans="1:110">
      <c r="C337" s="904"/>
      <c r="D337" s="905"/>
      <c r="E337" s="2982" t="str">
        <f>+E315</f>
        <v>Services</v>
      </c>
      <c r="F337" s="905"/>
      <c r="G337" s="2983"/>
      <c r="H337" s="2983"/>
      <c r="I337" s="2983"/>
      <c r="J337" s="2983"/>
      <c r="K337" s="2984"/>
      <c r="L337" s="2984"/>
      <c r="M337" s="2984"/>
      <c r="N337" s="2984"/>
      <c r="O337" s="2984">
        <f t="shared" ca="1" si="1373"/>
        <v>0.77774738405221799</v>
      </c>
      <c r="P337" s="2984">
        <f t="shared" ca="1" si="1374"/>
        <v>0.92031408301003104</v>
      </c>
      <c r="Q337" s="2984">
        <f t="shared" ca="1" si="1375"/>
        <v>0.77190553769015058</v>
      </c>
      <c r="R337" s="2984">
        <f t="shared" ca="1" si="1376"/>
        <v>0.98271420412103372</v>
      </c>
      <c r="S337" s="2984">
        <f t="shared" ca="1" si="1377"/>
        <v>0.65200517708981076</v>
      </c>
      <c r="T337" s="2984">
        <f t="shared" ca="1" si="1378"/>
        <v>0.55626014115341316</v>
      </c>
      <c r="U337" s="2984">
        <f t="shared" ca="1" si="1379"/>
        <v>0.69423910855155524</v>
      </c>
      <c r="V337" s="2984">
        <f t="shared" ca="1" si="1380"/>
        <v>0.68498490713256832</v>
      </c>
      <c r="W337" s="2984">
        <f t="shared" ca="1" si="1381"/>
        <v>0.72041076746414712</v>
      </c>
      <c r="X337" s="2984">
        <f t="shared" ca="1" si="1382"/>
        <v>0.72208539174707798</v>
      </c>
      <c r="Y337" s="2984">
        <f t="shared" ca="1" si="1383"/>
        <v>0.6668940120750031</v>
      </c>
      <c r="Z337" s="2984">
        <f t="shared" ca="1" si="1384"/>
        <v>0.43757342185867998</v>
      </c>
      <c r="AA337" s="2984">
        <f t="shared" ca="1" si="1385"/>
        <v>0.43302164424245376</v>
      </c>
      <c r="AB337" s="2984">
        <f t="shared" ca="1" si="1386"/>
        <v>0.32834841426267725</v>
      </c>
      <c r="AC337" s="2984">
        <f t="shared" ca="1" si="1387"/>
        <v>0.20534545291721373</v>
      </c>
      <c r="AD337" s="2984">
        <f t="shared" ca="1" si="1388"/>
        <v>0.55556700107488588</v>
      </c>
      <c r="AE337" s="2984">
        <f t="shared" ca="1" si="1389"/>
        <v>0.76429334045108666</v>
      </c>
      <c r="AF337" s="2984">
        <f t="shared" ca="1" si="1390"/>
        <v>1.1155815977618906</v>
      </c>
      <c r="AG337" s="2984">
        <f t="shared" ca="1" si="1391"/>
        <v>1.4707118681808016</v>
      </c>
      <c r="AH337" s="2984">
        <f t="shared" ca="1" si="1392"/>
        <v>1.322734354311943</v>
      </c>
      <c r="AI337" s="2984">
        <f t="shared" ca="1" si="1393"/>
        <v>0.95007388023900075</v>
      </c>
      <c r="AJ337" s="2984">
        <f t="shared" ca="1" si="1394"/>
        <v>1.0252019674677528</v>
      </c>
      <c r="AK337" s="2984">
        <f t="shared" ca="1" si="1395"/>
        <v>0.74631809605488963</v>
      </c>
      <c r="AL337" s="2984">
        <f t="shared" ca="1" si="1396"/>
        <v>0.81350100243143963</v>
      </c>
      <c r="AM337" s="2984">
        <f t="shared" ca="1" si="1397"/>
        <v>1.0740857483071469</v>
      </c>
      <c r="AN337" s="2984">
        <f t="shared" ca="1" si="1398"/>
        <v>0.81983972424844853</v>
      </c>
      <c r="AO337" s="2984">
        <f t="shared" ca="1" si="1399"/>
        <v>1.0322174827621418</v>
      </c>
      <c r="AP337" s="2984">
        <f t="shared" ca="1" si="1400"/>
        <v>0.85044293100127644</v>
      </c>
      <c r="AQ337" s="2984">
        <f t="shared" ca="1" si="1401"/>
        <v>0.89795866296648374</v>
      </c>
      <c r="AR337" s="2984">
        <f t="shared" ca="1" si="1402"/>
        <v>0.9547478389725762</v>
      </c>
      <c r="AS337" s="2984">
        <f t="shared" ca="1" si="1403"/>
        <v>1.0253119698397832</v>
      </c>
      <c r="AT337" s="2984">
        <f t="shared" ca="1" si="1404"/>
        <v>0.95775953558725746</v>
      </c>
      <c r="AU337" s="2984">
        <f t="shared" ca="1" si="1405"/>
        <v>0.85103631431926796</v>
      </c>
      <c r="AV337" s="2984">
        <f t="shared" ca="1" si="1406"/>
        <v>0.63816753043269414</v>
      </c>
      <c r="AW337" s="2984">
        <f t="shared" ca="1" si="1407"/>
        <v>0.48274380165290215</v>
      </c>
      <c r="AX337" s="2984">
        <f t="shared" ca="1" si="1408"/>
        <v>0.61957397063516961</v>
      </c>
      <c r="AY337" s="2984">
        <f t="shared" ca="1" si="1409"/>
        <v>0.48471952168680127</v>
      </c>
      <c r="AZ337" s="2984">
        <f t="shared" ca="1" si="1410"/>
        <v>0.55220536633442863</v>
      </c>
      <c r="BA337" s="2984">
        <f t="shared" ca="1" si="1411"/>
        <v>0.55245473656571131</v>
      </c>
      <c r="BB337" s="2984">
        <f t="shared" ca="1" si="1412"/>
        <v>0.52075057675789438</v>
      </c>
      <c r="BC337" s="2984">
        <f t="shared" ca="1" si="1413"/>
        <v>0.65967094703049423</v>
      </c>
      <c r="BD337" s="2984">
        <f t="shared" ca="1" si="1414"/>
        <v>0.74974831364292072</v>
      </c>
      <c r="BE337" s="2984">
        <f t="shared" ca="1" si="1415"/>
        <v>1.0579524661584006</v>
      </c>
      <c r="BF337" s="2984">
        <f t="shared" ca="1" si="1416"/>
        <v>0.91151362772844746</v>
      </c>
      <c r="BG337" s="2984">
        <f t="shared" ca="1" si="1417"/>
        <v>0.96546603512015394</v>
      </c>
      <c r="BH337" s="2984">
        <f t="shared" ca="1" si="1418"/>
        <v>1.0099020358181485</v>
      </c>
      <c r="BI337" s="2984">
        <f t="shared" ca="1" si="1419"/>
        <v>0.67567462302037462</v>
      </c>
      <c r="BJ337" s="2984">
        <f t="shared" ca="1" si="1420"/>
        <v>0.86530758735693059</v>
      </c>
      <c r="BK337" s="2984">
        <f t="shared" ca="1" si="1421"/>
        <v>0.92356300056401153</v>
      </c>
      <c r="BL337" s="2984">
        <f t="shared" ca="1" si="1422"/>
        <v>0.99341542251418624</v>
      </c>
      <c r="BM337" s="2984">
        <f t="shared" ca="1" si="1423"/>
        <v>1.1681917287630452</v>
      </c>
      <c r="BN337" s="2984">
        <f t="shared" ca="1" si="1424"/>
        <v>1.0898770634714519</v>
      </c>
      <c r="BO337" s="2984">
        <f t="shared" ca="1" si="1425"/>
        <v>0.83386019944408563</v>
      </c>
      <c r="BP337" s="2984">
        <f t="shared" ca="1" si="1426"/>
        <v>0.71248104237811216</v>
      </c>
      <c r="BQ337" s="2984">
        <f t="shared" ca="1" si="1427"/>
        <v>0.69345763805154215</v>
      </c>
      <c r="BR337" s="2984">
        <f t="shared" ca="1" si="1428"/>
        <v>0.71816183755060214</v>
      </c>
      <c r="BS337" s="2984">
        <f t="shared" ca="1" si="1429"/>
        <v>0.68441985887096735</v>
      </c>
      <c r="BT337" s="2984">
        <f t="shared" ca="1" si="1430"/>
        <v>0.7947843137254873</v>
      </c>
      <c r="BU337" s="2984">
        <f t="shared" ca="1" si="1431"/>
        <v>0.6720573543015661</v>
      </c>
      <c r="BV337" s="2984">
        <f t="shared" ca="1" si="1432"/>
        <v>0.61107977723387896</v>
      </c>
      <c r="BW337" s="2984">
        <f t="shared" ca="1" si="1433"/>
        <v>0.74811146412048346</v>
      </c>
      <c r="BX337" s="2984">
        <f t="shared" ca="1" si="1434"/>
        <v>0.70451697638818067</v>
      </c>
      <c r="BY337" s="2984">
        <f t="shared" ca="1" si="1435"/>
        <v>0.7210962491817281</v>
      </c>
      <c r="BZ337" s="2984">
        <f t="shared" ca="1" si="1436"/>
        <v>0.79793889216499381</v>
      </c>
      <c r="CA337" s="2984">
        <f t="shared" ca="1" si="1437"/>
        <v>0.59866717652785639</v>
      </c>
      <c r="CB337" s="2984">
        <f t="shared" ca="1" si="1438"/>
        <v>0.43702966437860474</v>
      </c>
      <c r="CC337" s="2984">
        <f t="shared" ca="1" si="1439"/>
        <v>0.51606251719395191</v>
      </c>
      <c r="CD337" s="2984">
        <f t="shared" ca="1" si="1440"/>
        <v>0.27963936392610672</v>
      </c>
      <c r="CE337" s="2984">
        <f t="shared" ca="1" si="1441"/>
        <v>0.21265658192284126</v>
      </c>
      <c r="CF337" s="2984">
        <f t="shared" ca="1" si="1442"/>
        <v>0.42365836177474681</v>
      </c>
      <c r="CG337" s="2989">
        <f t="shared" ca="1" si="1443"/>
        <v>0.39609454594850696</v>
      </c>
      <c r="CH337" s="2984">
        <f t="shared" ca="1" si="1444"/>
        <v>0.54730853019266201</v>
      </c>
      <c r="CI337" s="2984">
        <f t="shared" ca="1" si="1445"/>
        <v>0.6820807908641402</v>
      </c>
      <c r="CJ337" s="2984">
        <f t="shared" ca="1" si="1446"/>
        <v>0.51492587336982143</v>
      </c>
      <c r="CK337" s="2984">
        <f t="shared" ca="1" si="1447"/>
        <v>0.61992548610644771</v>
      </c>
      <c r="CL337" s="2984">
        <f t="shared" ca="1" si="1448"/>
        <v>0.44549183577476903</v>
      </c>
      <c r="CM337" s="2984">
        <f t="shared" ca="1" si="1449"/>
        <v>0.58559154504278843</v>
      </c>
      <c r="CN337" s="2984">
        <f t="shared" ca="1" si="1450"/>
        <v>0.57132634530644821</v>
      </c>
      <c r="CO337" s="2984">
        <f t="shared" ca="1" si="1451"/>
        <v>0.50142869931368395</v>
      </c>
      <c r="CP337" s="2984">
        <f t="shared" ca="1" si="1452"/>
        <v>0.46198304352163061</v>
      </c>
      <c r="CQ337" s="2984">
        <f t="shared" ca="1" si="1453"/>
        <v>0.4537373663831627</v>
      </c>
      <c r="CR337" s="2984">
        <f t="shared" ca="1" si="1454"/>
        <v>1.0084814229249031</v>
      </c>
      <c r="CS337" s="2984">
        <f t="shared" ca="1" si="1455"/>
        <v>1.2802592895995861</v>
      </c>
      <c r="CT337" s="2984">
        <f t="shared" ca="1" si="1456"/>
        <v>1.0152882091761175</v>
      </c>
      <c r="CU337" s="2984">
        <f t="shared" ca="1" si="1457"/>
        <v>0.83481828896964538</v>
      </c>
      <c r="CV337" s="2984">
        <f t="shared" ca="1" si="1458"/>
        <v>0.63792025862069635</v>
      </c>
      <c r="CW337" s="2984">
        <f t="shared" ca="1" si="1458"/>
        <v>0.58357522180175481</v>
      </c>
      <c r="CX337" s="2989">
        <f t="shared" ca="1" si="1459"/>
        <v>0.79495799999999983</v>
      </c>
      <c r="CY337" s="2989">
        <f t="shared" ca="1" si="1468"/>
        <v>0.79495799999999983</v>
      </c>
      <c r="CZ337" s="2989">
        <f t="shared" ca="1" si="1469"/>
        <v>0.84147149999999993</v>
      </c>
      <c r="DA337" s="2989">
        <f t="shared" ca="1" si="1470"/>
        <v>0.84992849999999986</v>
      </c>
      <c r="DB337" s="2989">
        <f t="shared" ca="1" si="1463"/>
        <v>0.98524049999999996</v>
      </c>
      <c r="DC337" s="2989">
        <f t="shared" ca="1" si="1471"/>
        <v>1.0359825</v>
      </c>
      <c r="DD337" s="2989">
        <f t="shared" ca="1" si="1472"/>
        <v>1.0613534999999998</v>
      </c>
      <c r="DE337" s="2989">
        <f t="shared" ca="1" si="1473"/>
        <v>1.1205524999999998</v>
      </c>
      <c r="DF337" s="2989">
        <f t="shared" ca="1" si="1467"/>
        <v>1.1120954999999997</v>
      </c>
    </row>
    <row r="338" spans="1:110" customFormat="1">
      <c r="A338" s="701"/>
      <c r="B338" s="702"/>
      <c r="C338" s="545"/>
      <c r="D338" s="2026"/>
      <c r="E338" s="45" t="str">
        <f>+E317</f>
        <v>HICP</v>
      </c>
      <c r="F338" s="1525"/>
      <c r="G338" s="2977"/>
      <c r="H338" s="1574"/>
      <c r="I338" s="1574"/>
      <c r="J338" s="1574"/>
      <c r="K338" s="2979"/>
      <c r="L338" s="2979"/>
      <c r="M338" s="2979"/>
      <c r="N338" s="2979"/>
      <c r="O338" s="2979">
        <f t="shared" ca="1" si="1373"/>
        <v>0</v>
      </c>
      <c r="P338" s="2979">
        <f t="shared" ca="1" si="1374"/>
        <v>0</v>
      </c>
      <c r="Q338" s="2979">
        <f t="shared" ca="1" si="1375"/>
        <v>0</v>
      </c>
      <c r="R338" s="2979">
        <f t="shared" ca="1" si="1376"/>
        <v>1.9625978961865513</v>
      </c>
      <c r="S338" s="2979">
        <f t="shared" ca="1" si="1377"/>
        <v>1.9629373575755551</v>
      </c>
      <c r="T338" s="2979">
        <f t="shared" ca="1" si="1378"/>
        <v>1.4797810449334037</v>
      </c>
      <c r="U338" s="2979">
        <f t="shared" ca="1" si="1379"/>
        <v>0.6130524380661484</v>
      </c>
      <c r="V338" s="2979">
        <f t="shared" ca="1" si="1380"/>
        <v>0.10014912206131044</v>
      </c>
      <c r="W338" s="2979">
        <f t="shared" ca="1" si="1381"/>
        <v>0.54184143750950398</v>
      </c>
      <c r="X338" s="2979">
        <f t="shared" ca="1" si="1382"/>
        <v>0.66496029660700628</v>
      </c>
      <c r="Y338" s="2979">
        <f t="shared" ca="1" si="1383"/>
        <v>0.98677703872731115</v>
      </c>
      <c r="Z338" s="2979">
        <f t="shared" ca="1" si="1384"/>
        <v>1.2624843247367181</v>
      </c>
      <c r="AA338" s="2979">
        <f t="shared" ca="1" si="1385"/>
        <v>1.6172882994270878</v>
      </c>
      <c r="AB338" s="2979">
        <f t="shared" ca="1" si="1386"/>
        <v>1.5882365818376485</v>
      </c>
      <c r="AC338" s="2979">
        <f t="shared" ca="1" si="1387"/>
        <v>1.6782931450090643</v>
      </c>
      <c r="AD338" s="2979">
        <f t="shared" ca="1" si="1388"/>
        <v>1.9013799437687595</v>
      </c>
      <c r="AE338" s="2979">
        <f t="shared" ca="1" si="1389"/>
        <v>1.6007649606465861</v>
      </c>
      <c r="AF338" s="2979">
        <f t="shared" ca="1" si="1390"/>
        <v>2.9846766756106149</v>
      </c>
      <c r="AG338" s="2979">
        <f t="shared" ca="1" si="1391"/>
        <v>3.097088417152122</v>
      </c>
      <c r="AH338" s="2979">
        <f t="shared" ca="1" si="1392"/>
        <v>3.0245252487754328</v>
      </c>
      <c r="AI338" s="2979">
        <f t="shared" ca="1" si="1393"/>
        <v>2.8132142485241904</v>
      </c>
      <c r="AJ338" s="2979">
        <f t="shared" ca="1" si="1394"/>
        <v>1.8338012920295201</v>
      </c>
      <c r="AK338" s="2979">
        <f t="shared" ca="1" si="1395"/>
        <v>1.4507521442804148</v>
      </c>
      <c r="AL338" s="2979">
        <f t="shared" ca="1" si="1396"/>
        <v>1.5526935719794752</v>
      </c>
      <c r="AM338" s="2979">
        <f t="shared" ca="1" si="1397"/>
        <v>3.0020275525650391</v>
      </c>
      <c r="AN338" s="2979">
        <f t="shared" ca="1" si="1398"/>
        <v>2.1015989734290912</v>
      </c>
      <c r="AO338" s="2979">
        <f t="shared" ca="1" si="1399"/>
        <v>2.3406451498937315</v>
      </c>
      <c r="AP338" s="2979">
        <f t="shared" ca="1" si="1400"/>
        <v>1.9506836418764095</v>
      </c>
      <c r="AQ338" s="2979">
        <f t="shared" ca="1" si="1401"/>
        <v>0.58551114627130119</v>
      </c>
      <c r="AR338" s="2979">
        <f t="shared" ca="1" si="1402"/>
        <v>1.2084482312263705</v>
      </c>
      <c r="AS338" s="2979">
        <f t="shared" ca="1" si="1403"/>
        <v>1.1357921097538364</v>
      </c>
      <c r="AT338" s="2979">
        <f t="shared" ca="1" si="1404"/>
        <v>1.137920752960639</v>
      </c>
      <c r="AU338" s="2979">
        <f t="shared" ca="1" si="1405"/>
        <v>0.7752985160801984</v>
      </c>
      <c r="AV338" s="2979">
        <f t="shared" ca="1" si="1406"/>
        <v>0.50599251726922034</v>
      </c>
      <c r="AW338" s="2979">
        <f t="shared" ca="1" si="1407"/>
        <v>0.9481500836628669</v>
      </c>
      <c r="AX338" s="2979">
        <f t="shared" ca="1" si="1408"/>
        <v>1.1160935486764174</v>
      </c>
      <c r="AY338" s="2979">
        <f t="shared" ca="1" si="1409"/>
        <v>1.1754322454240196</v>
      </c>
      <c r="AZ338" s="2979">
        <f t="shared" ca="1" si="1410"/>
        <v>1.81334178320094</v>
      </c>
      <c r="BA338" s="2979">
        <f t="shared" ca="1" si="1411"/>
        <v>1.4689326788715391</v>
      </c>
      <c r="BB338" s="2979">
        <f t="shared" ca="1" si="1412"/>
        <v>1.3581838167657736</v>
      </c>
      <c r="BC338" s="2979">
        <f t="shared" ca="1" si="1413"/>
        <v>1.7022971678974272</v>
      </c>
      <c r="BD338" s="2979">
        <f t="shared" ca="1" si="1414"/>
        <v>1.4117182983560925</v>
      </c>
      <c r="BE338" s="2979">
        <f t="shared" ca="1" si="1415"/>
        <v>1.4204668886196998</v>
      </c>
      <c r="BF338" s="2979">
        <f t="shared" ca="1" si="1416"/>
        <v>2.3128597668290065</v>
      </c>
      <c r="BG338" s="2979">
        <f t="shared" ca="1" si="1417"/>
        <v>3.0837365919768303</v>
      </c>
      <c r="BH338" s="2979">
        <f t="shared" ca="1" si="1418"/>
        <v>3.639826481557165</v>
      </c>
      <c r="BI338" s="2979">
        <f t="shared" ca="1" si="1419"/>
        <v>4.0288613663770292</v>
      </c>
      <c r="BJ338" s="2979">
        <f t="shared" ca="1" si="1420"/>
        <v>2.6493166321667019</v>
      </c>
      <c r="BK338" s="2979">
        <f t="shared" ca="1" si="1421"/>
        <v>2.0704317704797148</v>
      </c>
      <c r="BL338" s="2979">
        <f t="shared" ca="1" si="1422"/>
        <v>1.6983603410269981</v>
      </c>
      <c r="BM338" s="2979">
        <f t="shared" ca="1" si="1423"/>
        <v>1.682925313288905</v>
      </c>
      <c r="BN338" s="2979">
        <f t="shared" ca="1" si="1424"/>
        <v>2.3483083410627894</v>
      </c>
      <c r="BO338" s="2979">
        <f t="shared" ca="1" si="1425"/>
        <v>2.6405396833958577</v>
      </c>
      <c r="BP338" s="2979">
        <f t="shared" ca="1" si="1426"/>
        <v>1.8418099282381917</v>
      </c>
      <c r="BQ338" s="2979">
        <f t="shared" ca="1" si="1427"/>
        <v>1.3293991549634825</v>
      </c>
      <c r="BR338" s="2979">
        <f t="shared" ca="1" si="1428"/>
        <v>1.7934747729931217</v>
      </c>
      <c r="BS338" s="2979">
        <f t="shared" ca="1" si="1429"/>
        <v>1.349945630178496</v>
      </c>
      <c r="BT338" s="2979">
        <f t="shared" ca="1" si="1430"/>
        <v>1.6874521949213064</v>
      </c>
      <c r="BU338" s="2979">
        <f t="shared" ca="1" si="1431"/>
        <v>1.6113490556452632</v>
      </c>
      <c r="BV338" s="2979">
        <f t="shared" ca="1" si="1432"/>
        <v>0.8740710563242402</v>
      </c>
      <c r="BW338" s="2979">
        <f t="shared" ca="1" si="1433"/>
        <v>0.91077647039799103</v>
      </c>
      <c r="BX338" s="2979">
        <f t="shared" ca="1" si="1434"/>
        <v>0.91408440358256371</v>
      </c>
      <c r="BY338" s="2979">
        <f t="shared" ca="1" si="1435"/>
        <v>0.86120892094471913</v>
      </c>
      <c r="BZ338" s="2979">
        <f t="shared" ca="1" si="1436"/>
        <v>0.99733313093844345</v>
      </c>
      <c r="CA338" s="2979">
        <f t="shared" ca="1" si="1437"/>
        <v>0.58512375413728535</v>
      </c>
      <c r="CB338" s="2979">
        <f t="shared" ca="1" si="1438"/>
        <v>0.29782668295123926</v>
      </c>
      <c r="CC338" s="2979">
        <f t="shared" ca="1" si="1439"/>
        <v>0.71931861055973911</v>
      </c>
      <c r="CD338" s="2979">
        <f t="shared" ca="1" si="1440"/>
        <v>0.28933057490088743</v>
      </c>
      <c r="CE338" s="2979">
        <f t="shared" ca="1" si="1441"/>
        <v>-5.1282449202616931E-2</v>
      </c>
      <c r="CF338" s="2979">
        <f t="shared" ca="1" si="1442"/>
        <v>0.28500927278598454</v>
      </c>
      <c r="CG338" s="839">
        <f t="shared" ca="1" si="1443"/>
        <v>0.19282674219449802</v>
      </c>
      <c r="CH338" s="2979">
        <f t="shared" ca="1" si="1444"/>
        <v>0.28080801155981305</v>
      </c>
      <c r="CI338" s="2979">
        <f t="shared" ca="1" si="1445"/>
        <v>0.6087932278059327</v>
      </c>
      <c r="CJ338" s="2979">
        <f t="shared" ca="1" si="1446"/>
        <v>0.61300630201606054</v>
      </c>
      <c r="CK338" s="2979">
        <f t="shared" ca="1" si="1447"/>
        <v>0.79309946674834464</v>
      </c>
      <c r="CL338" s="2979">
        <f t="shared" ca="1" si="1448"/>
        <v>0.85556179446541591</v>
      </c>
      <c r="CM338" s="2979">
        <f t="shared" ca="1" si="1449"/>
        <v>1.0685311441613692</v>
      </c>
      <c r="CN338" s="2979">
        <f t="shared" ca="1" si="1450"/>
        <v>1.0072900142311454</v>
      </c>
      <c r="CO338" s="2979">
        <f t="shared" ca="1" si="1451"/>
        <v>1.03501160475912</v>
      </c>
      <c r="CP338" s="2979">
        <f t="shared" ca="1" si="1452"/>
        <v>1.3767876703441004</v>
      </c>
      <c r="CQ338" s="2979">
        <f t="shared" ca="1" si="1453"/>
        <v>1.6186697475594372</v>
      </c>
      <c r="CR338" s="2979">
        <f t="shared" ca="1" si="1454"/>
        <v>1.8357213943095587</v>
      </c>
      <c r="CS338" s="2979">
        <f t="shared" ca="1" si="1455"/>
        <v>2.2267859160357801</v>
      </c>
      <c r="CT338" s="2979">
        <f t="shared" ca="1" si="1456"/>
        <v>1.7689084126922834</v>
      </c>
      <c r="CU338" s="2979">
        <f t="shared" ca="1" si="1457"/>
        <v>1.7414561722660267</v>
      </c>
      <c r="CV338" s="2979">
        <f t="shared" ca="1" si="1458"/>
        <v>1.9978187600815431</v>
      </c>
      <c r="CW338" s="2979">
        <f t="shared" ca="1" si="1458"/>
        <v>2.2368626732073267</v>
      </c>
      <c r="CX338" s="839">
        <f t="shared" ca="1" si="1459"/>
        <v>2.4169975008585709</v>
      </c>
      <c r="CY338" s="839">
        <f t="shared" ca="1" si="1468"/>
        <v>2.2737771719108224</v>
      </c>
      <c r="CZ338" s="839">
        <f t="shared" ca="1" si="1469"/>
        <v>1.9853869429720843</v>
      </c>
      <c r="DA338" s="839">
        <f t="shared" ca="1" si="1470"/>
        <v>1.7005707106350343</v>
      </c>
      <c r="DB338" s="839">
        <f t="shared" ca="1" si="1463"/>
        <v>1.6633556682615449</v>
      </c>
      <c r="DC338" s="839">
        <f t="shared" ca="1" si="1471"/>
        <v>1.5062973100673673</v>
      </c>
      <c r="DD338" s="839">
        <f t="shared" ca="1" si="1472"/>
        <v>1.5741852142702868</v>
      </c>
      <c r="DE338" s="839">
        <f t="shared" ca="1" si="1473"/>
        <v>1.6578690505000111</v>
      </c>
      <c r="DF338" s="839">
        <f t="shared" ca="1" si="1467"/>
        <v>1.649929533784757</v>
      </c>
    </row>
    <row r="341" spans="1:110">
      <c r="AY341" s="217"/>
      <c r="BB341" s="217"/>
    </row>
    <row r="347" spans="1:110">
      <c r="CM347" s="564" t="s">
        <v>2564</v>
      </c>
    </row>
    <row r="348" spans="1:110">
      <c r="CM348" s="3605">
        <f>(54.8-45.2)/45.2</f>
        <v>0.21238938053097331</v>
      </c>
      <c r="CN348" s="3605">
        <f>(67.7-54.8)/54.8</f>
        <v>0.23540145985401473</v>
      </c>
      <c r="DB348" s="564">
        <f>69/54.6</f>
        <v>1.2637362637362637</v>
      </c>
      <c r="DF348" s="564">
        <f>69/54.6</f>
        <v>1.2637362637362637</v>
      </c>
    </row>
    <row r="349" spans="1:110">
      <c r="CN349" s="3409">
        <v>18.399999999999999</v>
      </c>
    </row>
    <row r="350" spans="1:110">
      <c r="CM350" s="564">
        <f>69/54.6</f>
        <v>1.2637362637362637</v>
      </c>
    </row>
  </sheetData>
  <mergeCells count="324">
    <mergeCell ref="CQ139:CT139"/>
    <mergeCell ref="CQ161:CT161"/>
    <mergeCell ref="CQ196:CT196"/>
    <mergeCell ref="CQ218:CT218"/>
    <mergeCell ref="CQ253:CT253"/>
    <mergeCell ref="CQ275:CT275"/>
    <mergeCell ref="CQ4:CT4"/>
    <mergeCell ref="CQ20:CT20"/>
    <mergeCell ref="CQ39:CT39"/>
    <mergeCell ref="CQ58:CT58"/>
    <mergeCell ref="CQ99:CT99"/>
    <mergeCell ref="CQ122:CT122"/>
    <mergeCell ref="CM139:CP139"/>
    <mergeCell ref="CM161:CP161"/>
    <mergeCell ref="CM196:CP196"/>
    <mergeCell ref="CM218:CP218"/>
    <mergeCell ref="CM253:CP253"/>
    <mergeCell ref="CM275:CP275"/>
    <mergeCell ref="CM4:CP4"/>
    <mergeCell ref="CM20:CP20"/>
    <mergeCell ref="CM39:CP39"/>
    <mergeCell ref="CM58:CP58"/>
    <mergeCell ref="CM99:CP99"/>
    <mergeCell ref="CM122:CP122"/>
    <mergeCell ref="CI139:CL139"/>
    <mergeCell ref="CI161:CL161"/>
    <mergeCell ref="CI196:CL196"/>
    <mergeCell ref="CI218:CL218"/>
    <mergeCell ref="CI253:CL253"/>
    <mergeCell ref="CI275:CL275"/>
    <mergeCell ref="CI4:CL4"/>
    <mergeCell ref="CI20:CL20"/>
    <mergeCell ref="CI39:CL39"/>
    <mergeCell ref="CI58:CL58"/>
    <mergeCell ref="CI99:CL99"/>
    <mergeCell ref="CI122:CL122"/>
    <mergeCell ref="CA122:CD122"/>
    <mergeCell ref="BW99:BZ99"/>
    <mergeCell ref="BW122:BZ122"/>
    <mergeCell ref="BS99:BV99"/>
    <mergeCell ref="BW275:BZ275"/>
    <mergeCell ref="CA139:CD139"/>
    <mergeCell ref="CA161:CD161"/>
    <mergeCell ref="CA196:CD196"/>
    <mergeCell ref="CA218:CD218"/>
    <mergeCell ref="CA253:CD253"/>
    <mergeCell ref="CA275:CD275"/>
    <mergeCell ref="BS196:BV196"/>
    <mergeCell ref="BS253:BV253"/>
    <mergeCell ref="BS218:BV218"/>
    <mergeCell ref="BW196:BZ196"/>
    <mergeCell ref="BW218:BZ218"/>
    <mergeCell ref="BW253:BZ253"/>
    <mergeCell ref="BS275:BV275"/>
    <mergeCell ref="BS58:BV58"/>
    <mergeCell ref="BO99:BR99"/>
    <mergeCell ref="BO58:BR58"/>
    <mergeCell ref="BO253:BR253"/>
    <mergeCell ref="CA4:CD4"/>
    <mergeCell ref="CA20:CD20"/>
    <mergeCell ref="CA39:CD39"/>
    <mergeCell ref="CA58:CD58"/>
    <mergeCell ref="BO275:BR275"/>
    <mergeCell ref="BO196:BR196"/>
    <mergeCell ref="BO122:BR122"/>
    <mergeCell ref="BO139:BR139"/>
    <mergeCell ref="BO218:BR218"/>
    <mergeCell ref="BW4:BZ4"/>
    <mergeCell ref="BW20:BZ20"/>
    <mergeCell ref="BW39:BZ39"/>
    <mergeCell ref="BW58:BZ58"/>
    <mergeCell ref="BW139:BZ139"/>
    <mergeCell ref="BW161:BZ161"/>
    <mergeCell ref="BS122:BV122"/>
    <mergeCell ref="BS139:BV139"/>
    <mergeCell ref="BS161:BV161"/>
    <mergeCell ref="BO161:BR161"/>
    <mergeCell ref="CA99:CD99"/>
    <mergeCell ref="BK20:BN20"/>
    <mergeCell ref="BS4:BV4"/>
    <mergeCell ref="BS20:BV20"/>
    <mergeCell ref="BS39:BV39"/>
    <mergeCell ref="BK4:BN4"/>
    <mergeCell ref="BO39:BR39"/>
    <mergeCell ref="BO4:BR4"/>
    <mergeCell ref="BO20:BR20"/>
    <mergeCell ref="BK39:BN39"/>
    <mergeCell ref="AY4:BB4"/>
    <mergeCell ref="AM20:AP20"/>
    <mergeCell ref="BC4:BF4"/>
    <mergeCell ref="BG4:BJ4"/>
    <mergeCell ref="BG20:BJ20"/>
    <mergeCell ref="S4:V4"/>
    <mergeCell ref="W4:Z4"/>
    <mergeCell ref="AY20:BB20"/>
    <mergeCell ref="AE20:AH20"/>
    <mergeCell ref="AA4:AD4"/>
    <mergeCell ref="AE4:AH4"/>
    <mergeCell ref="AI4:AL4"/>
    <mergeCell ref="AM4:AP4"/>
    <mergeCell ref="AQ4:AT4"/>
    <mergeCell ref="AU4:AX4"/>
    <mergeCell ref="BC20:BF20"/>
    <mergeCell ref="C4:F4"/>
    <mergeCell ref="G4:J4"/>
    <mergeCell ref="K4:N4"/>
    <mergeCell ref="O4:R4"/>
    <mergeCell ref="AQ20:AT20"/>
    <mergeCell ref="BG253:BJ253"/>
    <mergeCell ref="BG122:BJ122"/>
    <mergeCell ref="BG139:BJ139"/>
    <mergeCell ref="BG196:BJ196"/>
    <mergeCell ref="BG161:BJ161"/>
    <mergeCell ref="BC39:BF39"/>
    <mergeCell ref="BC139:BF139"/>
    <mergeCell ref="AU20:AX20"/>
    <mergeCell ref="AY39:BB39"/>
    <mergeCell ref="C18:F18"/>
    <mergeCell ref="G20:J20"/>
    <mergeCell ref="K20:N20"/>
    <mergeCell ref="C97:F97"/>
    <mergeCell ref="G39:J39"/>
    <mergeCell ref="K39:N39"/>
    <mergeCell ref="C56:F56"/>
    <mergeCell ref="C37:F37"/>
    <mergeCell ref="G58:J58"/>
    <mergeCell ref="K58:N58"/>
    <mergeCell ref="O20:R20"/>
    <mergeCell ref="S20:V20"/>
    <mergeCell ref="W20:Z20"/>
    <mergeCell ref="AQ39:AT39"/>
    <mergeCell ref="O39:R39"/>
    <mergeCell ref="S39:V39"/>
    <mergeCell ref="W39:Z39"/>
    <mergeCell ref="AA39:AD39"/>
    <mergeCell ref="AA20:AD20"/>
    <mergeCell ref="AI20:AL20"/>
    <mergeCell ref="AU39:AX39"/>
    <mergeCell ref="AE39:AH39"/>
    <mergeCell ref="AI39:AL39"/>
    <mergeCell ref="AM39:AP39"/>
    <mergeCell ref="AA99:AD99"/>
    <mergeCell ref="AE99:AH99"/>
    <mergeCell ref="AM99:AP99"/>
    <mergeCell ref="AQ99:AT99"/>
    <mergeCell ref="AY58:BB58"/>
    <mergeCell ref="AU99:AX99"/>
    <mergeCell ref="AY99:BB99"/>
    <mergeCell ref="AA122:AD122"/>
    <mergeCell ref="BG58:BJ58"/>
    <mergeCell ref="BG99:BJ99"/>
    <mergeCell ref="AY139:BB139"/>
    <mergeCell ref="BC122:BF122"/>
    <mergeCell ref="BC58:BF58"/>
    <mergeCell ref="AM122:AP122"/>
    <mergeCell ref="C137:F137"/>
    <mergeCell ref="BC99:BF99"/>
    <mergeCell ref="AI99:AL99"/>
    <mergeCell ref="G99:J99"/>
    <mergeCell ref="K99:N99"/>
    <mergeCell ref="O99:R99"/>
    <mergeCell ref="S99:V99"/>
    <mergeCell ref="AE122:AH122"/>
    <mergeCell ref="AY122:BB122"/>
    <mergeCell ref="AI122:AL122"/>
    <mergeCell ref="C120:F120"/>
    <mergeCell ref="G122:J122"/>
    <mergeCell ref="K122:N122"/>
    <mergeCell ref="O122:R122"/>
    <mergeCell ref="AQ122:AT122"/>
    <mergeCell ref="C194:F194"/>
    <mergeCell ref="AQ58:AT58"/>
    <mergeCell ref="AU58:AX58"/>
    <mergeCell ref="S58:V58"/>
    <mergeCell ref="AE161:AH161"/>
    <mergeCell ref="AM58:AP58"/>
    <mergeCell ref="C159:F159"/>
    <mergeCell ref="AI139:AL139"/>
    <mergeCell ref="AU122:AX122"/>
    <mergeCell ref="AU139:AX139"/>
    <mergeCell ref="AQ161:AT161"/>
    <mergeCell ref="AM139:AP139"/>
    <mergeCell ref="AQ139:AT139"/>
    <mergeCell ref="W58:Z58"/>
    <mergeCell ref="AA58:AD58"/>
    <mergeCell ref="AE58:AH58"/>
    <mergeCell ref="AI58:AL58"/>
    <mergeCell ref="W139:Z139"/>
    <mergeCell ref="AA139:AD139"/>
    <mergeCell ref="W99:Z99"/>
    <mergeCell ref="K139:N139"/>
    <mergeCell ref="AE139:AH139"/>
    <mergeCell ref="S139:V139"/>
    <mergeCell ref="S122:V122"/>
    <mergeCell ref="AU161:AX161"/>
    <mergeCell ref="S161:V161"/>
    <mergeCell ref="AI161:AL161"/>
    <mergeCell ref="AY196:BB196"/>
    <mergeCell ref="BC196:BF196"/>
    <mergeCell ref="AE196:AH196"/>
    <mergeCell ref="W161:Z161"/>
    <mergeCell ref="AA161:AD161"/>
    <mergeCell ref="AM161:AP161"/>
    <mergeCell ref="AY161:BB161"/>
    <mergeCell ref="AM253:AP253"/>
    <mergeCell ref="AQ253:AT253"/>
    <mergeCell ref="AU253:AX253"/>
    <mergeCell ref="AY253:BB253"/>
    <mergeCell ref="AI196:AL196"/>
    <mergeCell ref="AM196:AP196"/>
    <mergeCell ref="AQ196:AT196"/>
    <mergeCell ref="AU218:AX218"/>
    <mergeCell ref="AY218:BB218"/>
    <mergeCell ref="AM218:AP218"/>
    <mergeCell ref="AQ218:AT218"/>
    <mergeCell ref="AU196:AX196"/>
    <mergeCell ref="C251:F251"/>
    <mergeCell ref="G253:J253"/>
    <mergeCell ref="O253:R253"/>
    <mergeCell ref="AA218:AD218"/>
    <mergeCell ref="C216:F216"/>
    <mergeCell ref="S196:V196"/>
    <mergeCell ref="W196:Z196"/>
    <mergeCell ref="AA196:AD196"/>
    <mergeCell ref="K196:N196"/>
    <mergeCell ref="O196:R196"/>
    <mergeCell ref="W275:Z275"/>
    <mergeCell ref="G218:J218"/>
    <mergeCell ref="K218:N218"/>
    <mergeCell ref="G196:J196"/>
    <mergeCell ref="O218:R218"/>
    <mergeCell ref="O58:R58"/>
    <mergeCell ref="G161:J161"/>
    <mergeCell ref="K161:N161"/>
    <mergeCell ref="O161:R161"/>
    <mergeCell ref="G139:J139"/>
    <mergeCell ref="W122:Z122"/>
    <mergeCell ref="AM275:AP275"/>
    <mergeCell ref="O139:R139"/>
    <mergeCell ref="BK275:BN275"/>
    <mergeCell ref="C273:F273"/>
    <mergeCell ref="AI253:AL253"/>
    <mergeCell ref="S253:V253"/>
    <mergeCell ref="W253:Z253"/>
    <mergeCell ref="AA253:AD253"/>
    <mergeCell ref="K253:N253"/>
    <mergeCell ref="AE253:AH253"/>
    <mergeCell ref="AQ275:AT275"/>
    <mergeCell ref="AU275:AX275"/>
    <mergeCell ref="AY275:BB275"/>
    <mergeCell ref="G275:J275"/>
    <mergeCell ref="K275:N275"/>
    <mergeCell ref="O275:R275"/>
    <mergeCell ref="S275:V275"/>
    <mergeCell ref="AA275:AD275"/>
    <mergeCell ref="AE275:AH275"/>
    <mergeCell ref="AI275:AL275"/>
    <mergeCell ref="S218:V218"/>
    <mergeCell ref="W218:Z218"/>
    <mergeCell ref="AE218:AH218"/>
    <mergeCell ref="AI218:AL218"/>
    <mergeCell ref="BK99:BN99"/>
    <mergeCell ref="BK58:BN58"/>
    <mergeCell ref="BK122:BN122"/>
    <mergeCell ref="BC275:BF275"/>
    <mergeCell ref="BG275:BJ275"/>
    <mergeCell ref="BG39:BJ39"/>
    <mergeCell ref="BK253:BN253"/>
    <mergeCell ref="BC253:BF253"/>
    <mergeCell ref="BK139:BN139"/>
    <mergeCell ref="BK196:BN196"/>
    <mergeCell ref="BK161:BN161"/>
    <mergeCell ref="BK218:BN218"/>
    <mergeCell ref="BC161:BF161"/>
    <mergeCell ref="BC218:BF218"/>
    <mergeCell ref="BG218:BJ218"/>
    <mergeCell ref="CE218:CH218"/>
    <mergeCell ref="CE253:CH253"/>
    <mergeCell ref="CE275:CH275"/>
    <mergeCell ref="CE4:CH4"/>
    <mergeCell ref="CE20:CH20"/>
    <mergeCell ref="CE39:CH39"/>
    <mergeCell ref="CE58:CH58"/>
    <mergeCell ref="CE99:CH99"/>
    <mergeCell ref="CE122:CH122"/>
    <mergeCell ref="CE139:CH139"/>
    <mergeCell ref="CE161:CH161"/>
    <mergeCell ref="CE196:CH196"/>
    <mergeCell ref="CU218:CX218"/>
    <mergeCell ref="CU253:CX253"/>
    <mergeCell ref="CU275:CX275"/>
    <mergeCell ref="CU4:CX4"/>
    <mergeCell ref="CU20:CX20"/>
    <mergeCell ref="CU39:CX39"/>
    <mergeCell ref="CU58:CX58"/>
    <mergeCell ref="CU99:CX99"/>
    <mergeCell ref="CU122:CX122"/>
    <mergeCell ref="CU139:CX139"/>
    <mergeCell ref="CU161:CX161"/>
    <mergeCell ref="CU196:CX196"/>
    <mergeCell ref="CY218:DB218"/>
    <mergeCell ref="CY253:DB253"/>
    <mergeCell ref="CY275:DB275"/>
    <mergeCell ref="CY4:DB4"/>
    <mergeCell ref="CY20:DB20"/>
    <mergeCell ref="CY39:DB39"/>
    <mergeCell ref="CY58:DB58"/>
    <mergeCell ref="CY99:DB99"/>
    <mergeCell ref="CY122:DB122"/>
    <mergeCell ref="CY139:DB139"/>
    <mergeCell ref="CY161:DB161"/>
    <mergeCell ref="CY196:DB196"/>
    <mergeCell ref="DC218:DF218"/>
    <mergeCell ref="DC253:DF253"/>
    <mergeCell ref="DC275:DF275"/>
    <mergeCell ref="DC4:DF4"/>
    <mergeCell ref="DC20:DF20"/>
    <mergeCell ref="DC39:DF39"/>
    <mergeCell ref="DC58:DF58"/>
    <mergeCell ref="DC99:DF99"/>
    <mergeCell ref="DC122:DF122"/>
    <mergeCell ref="DC139:DF139"/>
    <mergeCell ref="DC161:DF161"/>
    <mergeCell ref="DC196:DF196"/>
  </mergeCells>
  <phoneticPr fontId="67" type="noConversion"/>
  <dataValidations disablePrompts="1" count="1">
    <dataValidation type="list" allowBlank="1" showInputMessage="1" showErrorMessage="1" sqref="F170 F241 F227 F184 F87 F70" xr:uid="{00000000-0002-0000-0900-000000000000}">
      <formula1>$A$1:$A$2</formula1>
    </dataValidation>
  </dataValidations>
  <pageMargins left="0.75" right="0.75" top="1" bottom="1" header="0.5" footer="0.5"/>
  <pageSetup paperSize="9" orientation="landscape" r:id="rId1"/>
  <headerFooter alignWithMargins="0"/>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06">
    <tabColor indexed="42"/>
    <pageSetUpPr fitToPage="1"/>
  </sheetPr>
  <dimension ref="A1:N354"/>
  <sheetViews>
    <sheetView workbookViewId="0"/>
  </sheetViews>
  <sheetFormatPr defaultRowHeight="12.75"/>
  <sheetData>
    <row r="1" spans="1:14">
      <c r="A1" s="1553"/>
      <c r="B1" s="1553"/>
      <c r="C1" s="1553"/>
      <c r="D1" s="1553"/>
      <c r="E1" s="1553"/>
      <c r="F1" s="1553"/>
      <c r="G1" s="1553"/>
      <c r="H1" s="1553"/>
      <c r="I1" s="1553"/>
      <c r="J1" s="1553"/>
      <c r="K1" s="1553"/>
      <c r="L1" s="1553"/>
      <c r="M1" s="1553"/>
      <c r="N1" s="1553"/>
    </row>
    <row r="2" spans="1:14" ht="17.649999999999999">
      <c r="A2" s="1554" t="s">
        <v>1140</v>
      </c>
      <c r="B2" s="1553"/>
      <c r="C2" s="1553"/>
      <c r="D2" s="1553"/>
      <c r="E2" s="1553"/>
      <c r="F2" s="1553"/>
      <c r="G2" s="1553"/>
      <c r="H2" s="1553"/>
      <c r="I2" s="1553"/>
      <c r="J2" s="1553"/>
      <c r="K2" s="1553"/>
      <c r="L2" s="1553"/>
      <c r="M2" s="1553"/>
      <c r="N2" s="1553"/>
    </row>
    <row r="3" spans="1:14">
      <c r="A3" s="1553"/>
      <c r="B3" s="1553"/>
      <c r="C3" s="1553"/>
      <c r="D3" s="1553"/>
      <c r="E3" s="1553"/>
      <c r="F3" s="1553"/>
      <c r="G3" s="1553"/>
      <c r="H3" s="1553"/>
      <c r="I3" s="1553"/>
      <c r="J3" s="1553"/>
      <c r="K3" s="1553"/>
      <c r="L3" s="1553"/>
      <c r="M3" s="1553"/>
      <c r="N3" s="1553"/>
    </row>
    <row r="40" spans="1:14">
      <c r="A40" s="1553"/>
      <c r="B40" s="1553"/>
      <c r="C40" s="1553"/>
      <c r="D40" s="1553"/>
      <c r="E40" s="1553"/>
      <c r="F40" s="1553"/>
      <c r="G40" s="1553"/>
      <c r="H40" s="1553"/>
      <c r="I40" s="1553"/>
      <c r="J40" s="1553"/>
      <c r="K40" s="1553"/>
      <c r="L40" s="1553"/>
      <c r="M40" s="1553"/>
      <c r="N40" s="1553"/>
    </row>
    <row r="41" spans="1:14" ht="17.649999999999999">
      <c r="A41" s="1554" t="s">
        <v>1139</v>
      </c>
      <c r="B41" s="1553"/>
      <c r="C41" s="1553"/>
      <c r="D41" s="1553"/>
      <c r="E41" s="1553"/>
      <c r="F41" s="1553"/>
      <c r="G41" s="1553"/>
      <c r="H41" s="1553"/>
      <c r="I41" s="1553"/>
      <c r="J41" s="1553"/>
      <c r="K41" s="1553"/>
      <c r="L41" s="1553"/>
      <c r="M41" s="1553"/>
      <c r="N41" s="1553"/>
    </row>
    <row r="42" spans="1:14">
      <c r="A42" s="1553"/>
      <c r="B42" s="1553"/>
      <c r="C42" s="1553"/>
      <c r="D42" s="1553"/>
      <c r="E42" s="1553"/>
      <c r="F42" s="1553"/>
      <c r="G42" s="1553"/>
      <c r="H42" s="1553"/>
      <c r="I42" s="1553"/>
      <c r="J42" s="1553"/>
      <c r="K42" s="1553"/>
      <c r="L42" s="1553"/>
      <c r="M42" s="1553"/>
      <c r="N42" s="1553"/>
    </row>
    <row r="79" spans="1:14">
      <c r="A79" s="1553"/>
      <c r="B79" s="1553"/>
      <c r="C79" s="1553"/>
      <c r="D79" s="1553"/>
      <c r="E79" s="1553"/>
      <c r="F79" s="1553"/>
      <c r="G79" s="1553"/>
      <c r="H79" s="1553"/>
      <c r="I79" s="1553"/>
      <c r="J79" s="1553"/>
      <c r="K79" s="1553"/>
      <c r="L79" s="1553"/>
      <c r="M79" s="1553"/>
      <c r="N79" s="1553"/>
    </row>
    <row r="80" spans="1:14" ht="17.649999999999999">
      <c r="A80" s="1554" t="s">
        <v>1141</v>
      </c>
      <c r="B80" s="1553"/>
      <c r="C80" s="1553"/>
      <c r="D80" s="1553"/>
      <c r="E80" s="1553"/>
      <c r="F80" s="1553"/>
      <c r="G80" s="1553"/>
      <c r="H80" s="1553"/>
      <c r="I80" s="1553"/>
      <c r="J80" s="1553"/>
      <c r="K80" s="1553"/>
      <c r="L80" s="1553"/>
      <c r="M80" s="1553"/>
      <c r="N80" s="1553"/>
    </row>
    <row r="81" spans="1:14">
      <c r="A81" s="1553"/>
      <c r="B81" s="1553"/>
      <c r="C81" s="1553"/>
      <c r="D81" s="1553"/>
      <c r="E81" s="1553"/>
      <c r="F81" s="1553"/>
      <c r="G81" s="1553"/>
      <c r="H81" s="1553"/>
      <c r="I81" s="1553"/>
      <c r="J81" s="1553"/>
      <c r="K81" s="1553"/>
      <c r="L81" s="1553"/>
      <c r="M81" s="1553"/>
      <c r="N81" s="1553"/>
    </row>
    <row r="118" spans="1:14">
      <c r="A118" s="1553"/>
      <c r="B118" s="1553"/>
      <c r="C118" s="1553"/>
      <c r="D118" s="1553"/>
      <c r="E118" s="1553"/>
      <c r="F118" s="1553"/>
      <c r="G118" s="1553"/>
      <c r="H118" s="1553"/>
      <c r="I118" s="1553"/>
      <c r="J118" s="1553"/>
      <c r="K118" s="1553"/>
      <c r="L118" s="1553"/>
      <c r="M118" s="1553"/>
      <c r="N118" s="1553"/>
    </row>
    <row r="119" spans="1:14" ht="17.649999999999999">
      <c r="A119" s="1554" t="s">
        <v>1922</v>
      </c>
      <c r="B119" s="1553"/>
      <c r="C119" s="1553"/>
      <c r="D119" s="1553"/>
      <c r="E119" s="1553"/>
      <c r="F119" s="1553"/>
      <c r="G119" s="1553"/>
      <c r="H119" s="1553"/>
      <c r="I119" s="1553"/>
      <c r="J119" s="1553"/>
      <c r="K119" s="1553"/>
      <c r="L119" s="1553"/>
      <c r="M119" s="1553"/>
      <c r="N119" s="1553"/>
    </row>
    <row r="120" spans="1:14">
      <c r="A120" s="1553"/>
      <c r="B120" s="1553"/>
      <c r="C120" s="1553"/>
      <c r="D120" s="1553"/>
      <c r="E120" s="1553"/>
      <c r="F120" s="1553"/>
      <c r="G120" s="1553"/>
      <c r="H120" s="1553"/>
      <c r="I120" s="1553"/>
      <c r="J120" s="1553"/>
      <c r="K120" s="1553"/>
      <c r="L120" s="1553"/>
      <c r="M120" s="1553"/>
      <c r="N120" s="1553"/>
    </row>
    <row r="157" spans="1:14">
      <c r="A157" s="1553"/>
      <c r="B157" s="1553"/>
      <c r="C157" s="1553"/>
      <c r="D157" s="1553"/>
      <c r="E157" s="1553"/>
      <c r="F157" s="1553"/>
      <c r="G157" s="1553"/>
      <c r="H157" s="1553"/>
      <c r="I157" s="1553"/>
      <c r="J157" s="1553"/>
      <c r="K157" s="1553"/>
      <c r="L157" s="1553"/>
      <c r="M157" s="1553"/>
      <c r="N157" s="1553"/>
    </row>
    <row r="158" spans="1:14" ht="17.649999999999999">
      <c r="A158" s="1554" t="s">
        <v>1923</v>
      </c>
      <c r="B158" s="1553"/>
      <c r="C158" s="1553"/>
      <c r="D158" s="1553"/>
      <c r="E158" s="1553"/>
      <c r="F158" s="1553"/>
      <c r="G158" s="1553"/>
      <c r="H158" s="1553"/>
      <c r="I158" s="1553"/>
      <c r="J158" s="1553"/>
      <c r="K158" s="1553"/>
      <c r="L158" s="1553"/>
      <c r="M158" s="1553"/>
      <c r="N158" s="1553"/>
    </row>
    <row r="159" spans="1:14">
      <c r="A159" s="1553"/>
      <c r="B159" s="1553"/>
      <c r="C159" s="1553"/>
      <c r="D159" s="1553"/>
      <c r="E159" s="1553"/>
      <c r="F159" s="1553"/>
      <c r="G159" s="1553"/>
      <c r="H159" s="1553"/>
      <c r="I159" s="1553"/>
      <c r="J159" s="1553"/>
      <c r="K159" s="1553"/>
      <c r="L159" s="1553"/>
      <c r="M159" s="1553"/>
      <c r="N159" s="1553"/>
    </row>
    <row r="196" spans="1:14">
      <c r="A196" s="1553"/>
      <c r="B196" s="1553"/>
      <c r="C196" s="1553"/>
      <c r="D196" s="1553"/>
      <c r="E196" s="1553"/>
      <c r="F196" s="1553"/>
      <c r="G196" s="1553"/>
      <c r="H196" s="1553"/>
      <c r="I196" s="1553"/>
      <c r="J196" s="1553"/>
      <c r="K196" s="1553"/>
      <c r="L196" s="1553"/>
      <c r="M196" s="1553"/>
      <c r="N196" s="1553"/>
    </row>
    <row r="197" spans="1:14" ht="17.649999999999999">
      <c r="A197" s="1554" t="s">
        <v>832</v>
      </c>
      <c r="B197" s="1553"/>
      <c r="C197" s="1553"/>
      <c r="D197" s="1553"/>
      <c r="E197" s="1553"/>
      <c r="F197" s="1553"/>
      <c r="G197" s="1553"/>
      <c r="H197" s="1553"/>
      <c r="I197" s="1553"/>
      <c r="J197" s="1553"/>
      <c r="K197" s="1553"/>
      <c r="L197" s="1553"/>
      <c r="M197" s="1553"/>
      <c r="N197" s="1553"/>
    </row>
    <row r="198" spans="1:14">
      <c r="A198" s="1553"/>
      <c r="B198" s="1553"/>
      <c r="C198" s="1553"/>
      <c r="D198" s="1553"/>
      <c r="E198" s="1553"/>
      <c r="F198" s="1553"/>
      <c r="G198" s="1553"/>
      <c r="H198" s="1553"/>
      <c r="I198" s="1553"/>
      <c r="J198" s="1553"/>
      <c r="K198" s="1553"/>
      <c r="L198" s="1553"/>
      <c r="M198" s="1553"/>
      <c r="N198" s="1553"/>
    </row>
    <row r="235" spans="1:14">
      <c r="A235" s="1553"/>
      <c r="B235" s="1553"/>
      <c r="C235" s="1553"/>
      <c r="D235" s="1553"/>
      <c r="E235" s="1553"/>
      <c r="F235" s="1553"/>
      <c r="G235" s="1553"/>
      <c r="H235" s="1553"/>
      <c r="I235" s="1553"/>
      <c r="J235" s="1553"/>
      <c r="K235" s="1553"/>
      <c r="L235" s="1553"/>
      <c r="M235" s="1553"/>
      <c r="N235" s="1553"/>
    </row>
    <row r="236" spans="1:14" ht="17.649999999999999">
      <c r="A236" s="1554" t="s">
        <v>833</v>
      </c>
      <c r="B236" s="1553"/>
      <c r="C236" s="1553"/>
      <c r="D236" s="1553"/>
      <c r="E236" s="1553"/>
      <c r="F236" s="1553"/>
      <c r="G236" s="1553"/>
      <c r="H236" s="1553"/>
      <c r="I236" s="1553"/>
      <c r="J236" s="1553"/>
      <c r="K236" s="1553"/>
      <c r="L236" s="1553"/>
      <c r="M236" s="1553"/>
      <c r="N236" s="1553"/>
    </row>
    <row r="237" spans="1:14">
      <c r="A237" s="1553"/>
      <c r="B237" s="1553"/>
      <c r="C237" s="1553"/>
      <c r="D237" s="1553"/>
      <c r="E237" s="1553"/>
      <c r="F237" s="1553"/>
      <c r="G237" s="1553"/>
      <c r="H237" s="1553"/>
      <c r="I237" s="1553"/>
      <c r="J237" s="1553"/>
      <c r="K237" s="1553"/>
      <c r="L237" s="1553"/>
      <c r="M237" s="1553"/>
      <c r="N237" s="1553"/>
    </row>
    <row r="274" spans="1:14">
      <c r="A274" s="1553"/>
      <c r="B274" s="1553"/>
      <c r="C274" s="1553"/>
      <c r="D274" s="1553"/>
      <c r="E274" s="1553"/>
      <c r="F274" s="1553"/>
      <c r="G274" s="1553"/>
      <c r="H274" s="1553"/>
      <c r="I274" s="1553"/>
      <c r="J274" s="1553"/>
      <c r="K274" s="1553"/>
      <c r="L274" s="1553"/>
      <c r="M274" s="1553"/>
      <c r="N274" s="1553"/>
    </row>
    <row r="275" spans="1:14" ht="17.649999999999999">
      <c r="A275" s="1554" t="s">
        <v>834</v>
      </c>
      <c r="B275" s="1553"/>
      <c r="C275" s="1553"/>
      <c r="D275" s="1553"/>
      <c r="E275" s="1553"/>
      <c r="F275" s="1553"/>
      <c r="G275" s="1553"/>
      <c r="H275" s="1553"/>
      <c r="I275" s="1553"/>
      <c r="J275" s="1553"/>
      <c r="K275" s="1553"/>
      <c r="L275" s="1553"/>
      <c r="M275" s="1553"/>
      <c r="N275" s="1553"/>
    </row>
    <row r="276" spans="1:14">
      <c r="A276" s="1553"/>
      <c r="B276" s="1553"/>
      <c r="C276" s="1553"/>
      <c r="D276" s="1553"/>
      <c r="E276" s="1553"/>
      <c r="F276" s="1553"/>
      <c r="G276" s="1553"/>
      <c r="H276" s="1553"/>
      <c r="I276" s="1553"/>
      <c r="J276" s="1553"/>
      <c r="K276" s="1553"/>
      <c r="L276" s="1553"/>
      <c r="M276" s="1553"/>
      <c r="N276" s="1553"/>
    </row>
    <row r="277" spans="1:14" ht="19.5" customHeight="1"/>
    <row r="278" spans="1:14" ht="19.5" customHeight="1"/>
    <row r="279" spans="1:14" ht="19.5" customHeight="1"/>
    <row r="280" spans="1:14" ht="19.5" customHeight="1"/>
    <row r="281" spans="1:14" ht="19.5" customHeight="1"/>
    <row r="282" spans="1:14" ht="19.5" customHeight="1"/>
    <row r="283" spans="1:14" ht="19.5" customHeight="1"/>
    <row r="284" spans="1:14" ht="19.5" customHeight="1"/>
    <row r="285" spans="1:14" ht="19.5" customHeight="1"/>
    <row r="286" spans="1:14" ht="19.5" customHeight="1"/>
    <row r="287" spans="1:14" ht="19.5" customHeight="1"/>
    <row r="288" spans="1:14" ht="19.5" customHeight="1"/>
    <row r="289" ht="19.5" customHeight="1"/>
    <row r="290" ht="19.5" customHeight="1"/>
    <row r="291" ht="19.5" customHeight="1"/>
    <row r="292" ht="19.5" customHeight="1"/>
    <row r="293" ht="19.5" customHeight="1"/>
    <row r="294" ht="19.5" customHeight="1"/>
    <row r="313" spans="1:14">
      <c r="A313" s="1553"/>
      <c r="B313" s="1553"/>
      <c r="C313" s="1553"/>
      <c r="D313" s="1553"/>
      <c r="E313" s="1553"/>
      <c r="F313" s="1553"/>
      <c r="G313" s="1553"/>
      <c r="H313" s="1553"/>
      <c r="I313" s="1553"/>
      <c r="J313" s="1553"/>
      <c r="K313" s="1553"/>
      <c r="L313" s="1553"/>
      <c r="M313" s="1553"/>
      <c r="N313" s="1553"/>
    </row>
    <row r="314" spans="1:14" ht="17.649999999999999">
      <c r="A314" s="1554" t="s">
        <v>835</v>
      </c>
      <c r="B314" s="1553"/>
      <c r="C314" s="1553"/>
      <c r="D314" s="1553"/>
      <c r="E314" s="1553"/>
      <c r="F314" s="1553"/>
      <c r="G314" s="1553"/>
      <c r="H314" s="1553"/>
      <c r="I314" s="1553"/>
      <c r="J314" s="1553"/>
      <c r="K314" s="1553"/>
      <c r="L314" s="1553"/>
      <c r="M314" s="1553"/>
      <c r="N314" s="1553"/>
    </row>
    <row r="315" spans="1:14">
      <c r="A315" s="1553"/>
      <c r="B315" s="1553"/>
      <c r="C315" s="1553"/>
      <c r="D315" s="1553"/>
      <c r="E315" s="1553"/>
      <c r="F315" s="1553"/>
      <c r="G315" s="1553"/>
      <c r="H315" s="1553"/>
      <c r="I315" s="1553"/>
      <c r="J315" s="1553"/>
      <c r="K315" s="1553"/>
      <c r="L315" s="1553"/>
      <c r="M315" s="1553"/>
      <c r="N315" s="1553"/>
    </row>
    <row r="352" spans="1:14">
      <c r="A352" s="1553"/>
      <c r="B352" s="1553"/>
      <c r="C352" s="1553"/>
      <c r="D352" s="1553"/>
      <c r="E352" s="1553"/>
      <c r="F352" s="1553"/>
      <c r="G352" s="1553"/>
      <c r="H352" s="1553"/>
      <c r="I352" s="1553"/>
      <c r="J352" s="1553"/>
      <c r="K352" s="1553"/>
      <c r="L352" s="1553"/>
      <c r="M352" s="1553"/>
      <c r="N352" s="1553"/>
    </row>
    <row r="353" spans="1:14" ht="17.649999999999999">
      <c r="A353" s="1554" t="s">
        <v>1967</v>
      </c>
      <c r="B353" s="1553"/>
      <c r="C353" s="1553"/>
      <c r="D353" s="1553"/>
      <c r="E353" s="1553"/>
      <c r="F353" s="1553"/>
      <c r="G353" s="1553"/>
      <c r="H353" s="1553"/>
      <c r="I353" s="1553"/>
      <c r="J353" s="1553"/>
      <c r="K353" s="1553"/>
      <c r="L353" s="1553"/>
      <c r="M353" s="1553"/>
      <c r="N353" s="1553"/>
    </row>
    <row r="354" spans="1:14">
      <c r="A354" s="1553"/>
      <c r="B354" s="1553"/>
      <c r="C354" s="1553"/>
      <c r="D354" s="1553"/>
      <c r="E354" s="1553"/>
      <c r="F354" s="1553"/>
      <c r="G354" s="1553"/>
      <c r="H354" s="1553"/>
      <c r="I354" s="1553"/>
      <c r="J354" s="1553"/>
      <c r="K354" s="1553"/>
      <c r="L354" s="1553"/>
      <c r="M354" s="1553"/>
      <c r="N354" s="1553"/>
    </row>
  </sheetData>
  <phoneticPr fontId="67" type="noConversion"/>
  <pageMargins left="0.75" right="0.75" top="1" bottom="1" header="0.5" footer="0.5"/>
  <pageSetup paperSize="9" scale="64" fitToHeight="0"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indexed="43"/>
    <pageSetUpPr fitToPage="1"/>
  </sheetPr>
  <dimension ref="A1:AQ257"/>
  <sheetViews>
    <sheetView workbookViewId="0">
      <pane xSplit="6" ySplit="1" topLeftCell="AA11" activePane="bottomRight" state="frozen"/>
      <selection pane="topRight" activeCell="G1" sqref="G1"/>
      <selection pane="bottomLeft" activeCell="A2" sqref="A2"/>
      <selection pane="bottomRight" activeCell="AF17" sqref="AF17"/>
    </sheetView>
  </sheetViews>
  <sheetFormatPr defaultColWidth="9.1328125" defaultRowHeight="13.15"/>
  <cols>
    <col min="1" max="1" width="3.265625" style="702" customWidth="1"/>
    <col min="2" max="2" width="3.73046875" style="702" customWidth="1"/>
    <col min="3" max="4" width="3.73046875" style="707" customWidth="1"/>
    <col min="5" max="5" width="36.86328125" style="217" customWidth="1"/>
    <col min="6" max="6" width="11.86328125" style="731" customWidth="1"/>
    <col min="7" max="16" width="9.265625" style="217" bestFit="1" customWidth="1"/>
    <col min="17" max="17" width="9.265625" style="564" bestFit="1" customWidth="1"/>
    <col min="18" max="18" width="9.265625" style="2270" bestFit="1" customWidth="1"/>
    <col min="19" max="32" width="9.1328125" style="2270"/>
    <col min="33" max="43" width="9.1328125" style="2951"/>
    <col min="44" max="16384" width="9.1328125" style="217"/>
  </cols>
  <sheetData>
    <row r="1" spans="1:43">
      <c r="V1" s="3386"/>
      <c r="W1" s="3386"/>
      <c r="X1" s="3386"/>
      <c r="Y1" s="3386"/>
      <c r="Z1" s="3386"/>
      <c r="AA1" s="3386"/>
      <c r="AB1" s="3386"/>
      <c r="AC1" s="3386"/>
      <c r="AD1" s="3386"/>
      <c r="AE1" s="3386"/>
      <c r="AF1" s="3386"/>
    </row>
    <row r="2" spans="1:43" ht="22.5" customHeight="1">
      <c r="C2" s="3816" t="s">
        <v>1647</v>
      </c>
      <c r="D2" s="3816"/>
      <c r="E2" s="3816"/>
      <c r="F2" s="3816"/>
      <c r="S2" s="3023"/>
      <c r="T2" s="3023"/>
      <c r="U2" s="3023"/>
      <c r="V2" s="3255"/>
      <c r="X2" s="3256"/>
      <c r="Y2" s="3256"/>
      <c r="Z2" s="3256"/>
      <c r="AA2" s="3256"/>
      <c r="AB2" s="3256"/>
      <c r="AC2" s="3256"/>
      <c r="AD2" s="3256"/>
      <c r="AE2" s="3256"/>
      <c r="AF2" s="3256"/>
      <c r="AG2" s="3441"/>
      <c r="AH2" s="3441"/>
      <c r="AI2" s="3441"/>
      <c r="AJ2" s="3441"/>
      <c r="AK2" s="3441"/>
      <c r="AL2" s="3441"/>
      <c r="AM2" s="3441"/>
      <c r="AN2" s="3441"/>
    </row>
    <row r="3" spans="1:43">
      <c r="W3" s="3236"/>
      <c r="X3" s="3236"/>
      <c r="Y3" s="3236"/>
      <c r="Z3" s="3236"/>
      <c r="AA3" s="3236"/>
      <c r="AB3" s="3236"/>
      <c r="AC3" s="3236"/>
      <c r="AD3" s="3236"/>
      <c r="AE3" s="3236"/>
      <c r="AF3" s="3236"/>
      <c r="AG3" s="3442"/>
      <c r="AH3" s="3443"/>
      <c r="AI3" s="3443"/>
      <c r="AJ3" s="3443"/>
      <c r="AK3" s="3444"/>
      <c r="AL3" s="3445"/>
      <c r="AM3" s="3445"/>
      <c r="AN3" s="3445"/>
    </row>
    <row r="4" spans="1:43" s="736" customFormat="1" ht="12.75" customHeight="1">
      <c r="A4" s="701"/>
      <c r="B4" s="701"/>
      <c r="C4" s="703"/>
      <c r="D4" s="732"/>
      <c r="E4" s="733" t="s">
        <v>1160</v>
      </c>
      <c r="F4" s="734"/>
      <c r="G4" s="735">
        <f>+InputY!$G$3</f>
        <v>1995</v>
      </c>
      <c r="H4" s="735">
        <f>+G4+1</f>
        <v>1996</v>
      </c>
      <c r="I4" s="735">
        <f t="shared" ref="I4:O4" si="0">+H4+1</f>
        <v>1997</v>
      </c>
      <c r="J4" s="735">
        <f t="shared" si="0"/>
        <v>1998</v>
      </c>
      <c r="K4" s="735">
        <f t="shared" si="0"/>
        <v>1999</v>
      </c>
      <c r="L4" s="735">
        <f t="shared" si="0"/>
        <v>2000</v>
      </c>
      <c r="M4" s="735">
        <f t="shared" si="0"/>
        <v>2001</v>
      </c>
      <c r="N4" s="735">
        <f t="shared" si="0"/>
        <v>2002</v>
      </c>
      <c r="O4" s="735">
        <f t="shared" si="0"/>
        <v>2003</v>
      </c>
      <c r="P4" s="735">
        <f>+O4+1</f>
        <v>2004</v>
      </c>
      <c r="Q4" s="735">
        <f>+P4+1</f>
        <v>2005</v>
      </c>
      <c r="R4" s="735">
        <f>+Q4+1</f>
        <v>2006</v>
      </c>
      <c r="S4" s="735">
        <f>+R4+1</f>
        <v>2007</v>
      </c>
      <c r="T4" s="735">
        <f t="shared" ref="T4:AF4" si="1">+S4+1</f>
        <v>2008</v>
      </c>
      <c r="U4" s="735">
        <f t="shared" si="1"/>
        <v>2009</v>
      </c>
      <c r="V4" s="735">
        <f t="shared" si="1"/>
        <v>2010</v>
      </c>
      <c r="W4" s="735">
        <f t="shared" si="1"/>
        <v>2011</v>
      </c>
      <c r="X4" s="2271">
        <f t="shared" si="1"/>
        <v>2012</v>
      </c>
      <c r="Y4" s="2271">
        <f t="shared" si="1"/>
        <v>2013</v>
      </c>
      <c r="Z4" s="2271">
        <f t="shared" si="1"/>
        <v>2014</v>
      </c>
      <c r="AA4" s="2271">
        <f t="shared" si="1"/>
        <v>2015</v>
      </c>
      <c r="AB4" s="2271">
        <f t="shared" si="1"/>
        <v>2016</v>
      </c>
      <c r="AC4" s="2271">
        <f t="shared" si="1"/>
        <v>2017</v>
      </c>
      <c r="AD4" s="2271">
        <f t="shared" si="1"/>
        <v>2018</v>
      </c>
      <c r="AE4" s="2271">
        <f t="shared" si="1"/>
        <v>2019</v>
      </c>
      <c r="AF4" s="2271">
        <f t="shared" si="1"/>
        <v>2020</v>
      </c>
      <c r="AG4" s="3446"/>
      <c r="AH4" s="3446"/>
      <c r="AI4" s="3446"/>
      <c r="AJ4" s="3446"/>
      <c r="AK4" s="3446"/>
      <c r="AL4" s="3446"/>
      <c r="AM4" s="3446"/>
      <c r="AN4" s="3446"/>
      <c r="AP4" s="2939"/>
      <c r="AQ4" s="2939"/>
    </row>
    <row r="5" spans="1:43" s="736" customFormat="1" ht="12.75" customHeight="1">
      <c r="A5" s="701">
        <f>+ROW(InputY!A4)</f>
        <v>4</v>
      </c>
      <c r="B5" s="701">
        <v>75</v>
      </c>
      <c r="C5" s="704" t="s">
        <v>1791</v>
      </c>
      <c r="D5" s="705"/>
      <c r="E5" s="737" t="s">
        <v>1369</v>
      </c>
      <c r="F5" s="738" t="str">
        <f>+InputY!B4</f>
        <v>Lpop</v>
      </c>
      <c r="G5" s="739">
        <f>+InputY!G4</f>
        <v>8826.9385000000002</v>
      </c>
      <c r="H5" s="739">
        <f>+InputY!H4</f>
        <v>8840.9974999999995</v>
      </c>
      <c r="I5" s="739">
        <f>+InputY!I4</f>
        <v>8846.0619999999999</v>
      </c>
      <c r="J5" s="739">
        <f>+InputY!J4</f>
        <v>8850.9735000000001</v>
      </c>
      <c r="K5" s="739">
        <f>+InputY!K4</f>
        <v>8857.8739999999998</v>
      </c>
      <c r="L5" s="739">
        <f>+InputY!L4</f>
        <v>8872.1090000000004</v>
      </c>
      <c r="M5" s="739">
        <f>+InputY!M4</f>
        <v>8895.9599999999991</v>
      </c>
      <c r="N5" s="739">
        <f>+InputY!N4</f>
        <v>8924.9580000000005</v>
      </c>
      <c r="O5" s="739">
        <f>+InputY!O4</f>
        <v>8958.2289999999994</v>
      </c>
      <c r="P5" s="739">
        <f>+InputY!P4</f>
        <v>8993.5310000000009</v>
      </c>
      <c r="Q5" s="739">
        <f>+InputY!Q4</f>
        <v>9029.5720000000001</v>
      </c>
      <c r="R5" s="739">
        <f>+InputY!R4</f>
        <v>9080.5044999999991</v>
      </c>
      <c r="S5" s="739">
        <f>+InputY!S4</f>
        <v>9148.0920000000006</v>
      </c>
      <c r="T5" s="739">
        <f>+InputY!T4</f>
        <v>9219.6370000000006</v>
      </c>
      <c r="U5" s="739">
        <f>+InputY!U4</f>
        <v>9219.6370000000006</v>
      </c>
      <c r="V5" s="739">
        <f>+InputY!V4</f>
        <v>9378.1260000000002</v>
      </c>
      <c r="W5" s="739">
        <f>+InputY!W4</f>
        <v>9449.2124999999996</v>
      </c>
      <c r="X5" s="739">
        <f>+InputY!X4</f>
        <v>9519.3739999999998</v>
      </c>
      <c r="Y5" s="739">
        <f>+InputY!Y4</f>
        <v>9600.3785000000007</v>
      </c>
      <c r="Z5" s="739">
        <f>+InputY!Z4</f>
        <v>9696.1095000000005</v>
      </c>
      <c r="AA5" s="739">
        <f>+InputY!AA4</f>
        <v>9799.1859999999997</v>
      </c>
      <c r="AB5" s="739">
        <f>+InputY!AB4</f>
        <v>9923.0849999999991</v>
      </c>
      <c r="AC5" s="739">
        <f>+InputY!AC4</f>
        <v>10057.6975</v>
      </c>
      <c r="AD5" s="3025">
        <f>+AC5*(1+AD14/100)</f>
        <v>10225.145</v>
      </c>
      <c r="AE5" s="3025">
        <f>+AD5*(1+AE14/100)</f>
        <v>10322.200999999999</v>
      </c>
      <c r="AF5" s="3025">
        <f>+AE5*(1+AF14/100)</f>
        <v>10421.343999999999</v>
      </c>
      <c r="AG5" s="3435"/>
      <c r="AH5" s="3435"/>
      <c r="AI5" s="3435"/>
      <c r="AJ5" s="3435"/>
      <c r="AK5" s="3436"/>
      <c r="AL5" s="3436"/>
      <c r="AM5" s="3436"/>
      <c r="AN5" s="3436"/>
      <c r="AP5" s="2939"/>
      <c r="AQ5" s="2939"/>
    </row>
    <row r="6" spans="1:43" s="26" customFormat="1" ht="12.75">
      <c r="A6" s="701"/>
      <c r="B6" s="710"/>
      <c r="C6" s="708" t="s">
        <v>1161</v>
      </c>
      <c r="D6" s="716"/>
      <c r="E6" s="717" t="s">
        <v>2061</v>
      </c>
      <c r="F6" s="718" t="s">
        <v>1163</v>
      </c>
      <c r="G6" s="719">
        <f>+G7/G5</f>
        <v>0.63682345809931717</v>
      </c>
      <c r="H6" s="719">
        <f t="shared" ref="H6:V6" si="2">+H7/H5</f>
        <v>0.63729121063545147</v>
      </c>
      <c r="I6" s="719">
        <f t="shared" si="2"/>
        <v>0.63816967369209032</v>
      </c>
      <c r="J6" s="719">
        <f t="shared" si="2"/>
        <v>0.63942135856581206</v>
      </c>
      <c r="K6" s="719">
        <f t="shared" si="2"/>
        <v>0.64108915976903713</v>
      </c>
      <c r="L6" s="719">
        <f t="shared" si="2"/>
        <v>0.64304197570160604</v>
      </c>
      <c r="M6" s="719">
        <f t="shared" si="2"/>
        <v>0.64511845826644909</v>
      </c>
      <c r="N6" s="719">
        <f t="shared" si="2"/>
        <v>0.64716590262945772</v>
      </c>
      <c r="O6" s="719">
        <f t="shared" si="2"/>
        <v>0.6491514115122532</v>
      </c>
      <c r="P6" s="719">
        <f t="shared" si="2"/>
        <v>0.6509624529008684</v>
      </c>
      <c r="Q6" s="719">
        <f t="shared" si="2"/>
        <v>0.65313588506742071</v>
      </c>
      <c r="R6" s="719">
        <f t="shared" si="2"/>
        <v>0.65546093832121344</v>
      </c>
      <c r="S6" s="719">
        <f t="shared" si="2"/>
        <v>0.65669507914874481</v>
      </c>
      <c r="T6" s="719">
        <f t="shared" si="2"/>
        <v>0.6562972598595801</v>
      </c>
      <c r="U6" s="719">
        <f t="shared" si="2"/>
        <v>0.6599677948274969</v>
      </c>
      <c r="V6" s="719">
        <f t="shared" si="2"/>
        <v>0.65118702819731789</v>
      </c>
      <c r="W6" s="719">
        <f t="shared" ref="W6:AB6" si="3">+W7/W5</f>
        <v>0.64700005423732398</v>
      </c>
      <c r="X6" s="3026">
        <f t="shared" si="3"/>
        <v>0.64235673480209943</v>
      </c>
      <c r="Y6" s="3026">
        <f t="shared" si="3"/>
        <v>0.63759501773810268</v>
      </c>
      <c r="Z6" s="3026">
        <f t="shared" si="3"/>
        <v>0.63319179718422114</v>
      </c>
      <c r="AA6" s="3026">
        <f t="shared" si="3"/>
        <v>0.62959744819620733</v>
      </c>
      <c r="AB6" s="3026">
        <f t="shared" si="3"/>
        <v>0.62702017568125246</v>
      </c>
      <c r="AC6" s="3026">
        <f t="shared" ref="AC6" si="4">+AC7/AC5</f>
        <v>0.62522863707125809</v>
      </c>
      <c r="AD6" s="3026">
        <f>+AD7/AD5</f>
        <v>0.62321678103847944</v>
      </c>
      <c r="AE6" s="3026">
        <f>+AE7/AE5</f>
        <v>0.62234532083236804</v>
      </c>
      <c r="AF6" s="3026">
        <f>+AF7/AF5</f>
        <v>0.62131294605161624</v>
      </c>
      <c r="AG6" s="3434"/>
      <c r="AH6" s="3434"/>
      <c r="AI6" s="3434"/>
      <c r="AJ6" s="3434"/>
      <c r="AK6" s="3434"/>
      <c r="AL6" s="3434"/>
      <c r="AM6" s="3434"/>
      <c r="AN6" s="3434"/>
      <c r="AP6" s="2952"/>
      <c r="AQ6" s="2952"/>
    </row>
    <row r="7" spans="1:43">
      <c r="A7" s="701">
        <f>+ROW(InputY!A5)</f>
        <v>5</v>
      </c>
      <c r="B7" s="702">
        <v>76</v>
      </c>
      <c r="C7" s="708" t="s">
        <v>1793</v>
      </c>
      <c r="D7" s="711"/>
      <c r="E7" s="220" t="s">
        <v>2062</v>
      </c>
      <c r="F7" s="741" t="str">
        <f>+InputY!B5</f>
        <v>Lage</v>
      </c>
      <c r="G7" s="742">
        <f>+InputY!G5</f>
        <v>5621.2015000000001</v>
      </c>
      <c r="H7" s="742">
        <f>+InputY!H5</f>
        <v>5634.29</v>
      </c>
      <c r="I7" s="742">
        <f>+InputY!I5</f>
        <v>5645.2884999999997</v>
      </c>
      <c r="J7" s="742">
        <f>+InputY!J5</f>
        <v>5659.5015000000003</v>
      </c>
      <c r="K7" s="742">
        <f>+InputY!K5</f>
        <v>5678.6869999999999</v>
      </c>
      <c r="L7" s="742">
        <f>+InputY!L5</f>
        <v>5705.1385</v>
      </c>
      <c r="M7" s="742">
        <f>+InputY!M5</f>
        <v>5738.9480000000003</v>
      </c>
      <c r="N7" s="742">
        <f>+InputY!N5</f>
        <v>5775.9285</v>
      </c>
      <c r="O7" s="742">
        <f>+InputY!O5</f>
        <v>5815.2470000000003</v>
      </c>
      <c r="P7" s="742">
        <f>+InputY!P5</f>
        <v>5854.451</v>
      </c>
      <c r="Q7" s="742">
        <f>+InputY!Q5</f>
        <v>5897.5375000000004</v>
      </c>
      <c r="R7" s="742">
        <f>+InputY!R5</f>
        <v>5951.9160000000002</v>
      </c>
      <c r="S7" s="742">
        <f>+InputY!S5</f>
        <v>6007.5069999999996</v>
      </c>
      <c r="T7" s="742">
        <f>+InputY!T5</f>
        <v>6050.8225000000002</v>
      </c>
      <c r="U7" s="742">
        <f>+InputY!U5</f>
        <v>6084.6634999999997</v>
      </c>
      <c r="V7" s="742">
        <f>+InputY!V5</f>
        <v>6106.9139999999998</v>
      </c>
      <c r="W7" s="742">
        <f>+InputY!W5</f>
        <v>6113.6409999999996</v>
      </c>
      <c r="X7" s="742">
        <f>+InputY!X5</f>
        <v>6114.8339999999998</v>
      </c>
      <c r="Y7" s="742">
        <f>+InputY!Y5</f>
        <v>6121.1535000000003</v>
      </c>
      <c r="Z7" s="742">
        <f>+InputY!Z5</f>
        <v>6139.4970000000003</v>
      </c>
      <c r="AA7" s="742">
        <f>+InputY!AA5</f>
        <v>6169.5424999999996</v>
      </c>
      <c r="AB7" s="742">
        <f>+InputY!AB5</f>
        <v>6221.9745000000003</v>
      </c>
      <c r="AC7" s="742">
        <f>+InputY!AC5</f>
        <v>6288.3604999999998</v>
      </c>
      <c r="AD7" s="3027">
        <f>+AC7*(1+AD15/100)</f>
        <v>6372.4819525517032</v>
      </c>
      <c r="AE7" s="3027">
        <f>+AD7*(1+AE15/100)</f>
        <v>6423.9734930411896</v>
      </c>
      <c r="AF7" s="3027">
        <f>+AE7*(1+AF15/100)</f>
        <v>6474.9159424573345</v>
      </c>
      <c r="AG7" s="3435"/>
      <c r="AH7" s="3435"/>
      <c r="AI7" s="3435"/>
      <c r="AJ7" s="3435"/>
      <c r="AK7" s="3436"/>
      <c r="AL7" s="3436"/>
      <c r="AM7" s="3436"/>
      <c r="AN7" s="3436"/>
    </row>
    <row r="8" spans="1:43" ht="12.75">
      <c r="A8" s="1964"/>
      <c r="B8" s="710"/>
      <c r="C8" s="708" t="s">
        <v>1161</v>
      </c>
      <c r="D8" s="716"/>
      <c r="E8" s="717" t="s">
        <v>2059</v>
      </c>
      <c r="F8" s="718" t="s">
        <v>1646</v>
      </c>
      <c r="G8" s="719">
        <f>+G9/G5</f>
        <v>0.72835479707941775</v>
      </c>
      <c r="H8" s="719">
        <f t="shared" ref="H8:Z8" si="5">+H9/H5</f>
        <v>0.72670131396372417</v>
      </c>
      <c r="I8" s="719">
        <f t="shared" si="5"/>
        <v>0.72598145932054292</v>
      </c>
      <c r="J8" s="719">
        <f t="shared" si="5"/>
        <v>0.72578835537130459</v>
      </c>
      <c r="K8" s="719">
        <f t="shared" si="5"/>
        <v>0.7260328494173659</v>
      </c>
      <c r="L8" s="719">
        <f t="shared" si="5"/>
        <v>0.72687322709853996</v>
      </c>
      <c r="M8" s="719">
        <f t="shared" si="5"/>
        <v>0.72824844086529172</v>
      </c>
      <c r="N8" s="719">
        <f t="shared" si="5"/>
        <v>0.73006326752462025</v>
      </c>
      <c r="O8" s="719">
        <f t="shared" si="5"/>
        <v>0.73215202469148766</v>
      </c>
      <c r="P8" s="719">
        <f t="shared" si="5"/>
        <v>0.73455114570684188</v>
      </c>
      <c r="Q8" s="719">
        <f t="shared" si="5"/>
        <v>0.73750959624664381</v>
      </c>
      <c r="R8" s="719">
        <f t="shared" si="5"/>
        <v>0.74067778943339557</v>
      </c>
      <c r="S8" s="719">
        <f t="shared" si="5"/>
        <v>0.74358030067909242</v>
      </c>
      <c r="T8" s="719">
        <f t="shared" si="5"/>
        <v>0.74606505657435307</v>
      </c>
      <c r="U8" s="719">
        <f t="shared" si="5"/>
        <v>0.75429168198270713</v>
      </c>
      <c r="V8" s="719">
        <f t="shared" si="5"/>
        <v>0.74873482186099871</v>
      </c>
      <c r="W8" s="719">
        <f t="shared" si="5"/>
        <v>0.74844739707144914</v>
      </c>
      <c r="X8" s="719">
        <f t="shared" si="5"/>
        <v>0.74732261806291045</v>
      </c>
      <c r="Y8" s="719">
        <f>+Y9/Y5</f>
        <v>0.74544024488201166</v>
      </c>
      <c r="Z8" s="719">
        <f t="shared" si="5"/>
        <v>0.74305962613149124</v>
      </c>
      <c r="AA8" s="719">
        <f t="shared" ref="AA8:AF8" si="6">+AA9/AA5</f>
        <v>0.7407543851091305</v>
      </c>
      <c r="AB8" s="719">
        <f t="shared" si="6"/>
        <v>0.73854179421016763</v>
      </c>
      <c r="AC8" s="719">
        <f t="shared" si="6"/>
        <v>0.73609163528730104</v>
      </c>
      <c r="AD8" s="719">
        <f t="shared" si="6"/>
        <v>0.73122481110218163</v>
      </c>
      <c r="AE8" s="719">
        <f t="shared" si="6"/>
        <v>0.72814440745118125</v>
      </c>
      <c r="AF8" s="719">
        <f t="shared" si="6"/>
        <v>0.7249669759588182</v>
      </c>
      <c r="AG8" s="3437"/>
      <c r="AH8" s="3437"/>
      <c r="AI8" s="3437"/>
      <c r="AJ8" s="3437"/>
      <c r="AK8" s="3437"/>
      <c r="AL8" s="3437"/>
      <c r="AM8" s="3437"/>
      <c r="AN8" s="3437"/>
    </row>
    <row r="9" spans="1:43">
      <c r="A9" s="701">
        <f>+ROW(InputY!A6)</f>
        <v>6</v>
      </c>
      <c r="B9" s="702">
        <v>77</v>
      </c>
      <c r="C9" s="708" t="s">
        <v>1793</v>
      </c>
      <c r="D9" s="711"/>
      <c r="E9" s="220" t="s">
        <v>2060</v>
      </c>
      <c r="F9" s="762"/>
      <c r="G9" s="742">
        <f>+InputY!G6</f>
        <v>6429.143</v>
      </c>
      <c r="H9" s="742">
        <f>+InputY!H6</f>
        <v>6424.7645000000002</v>
      </c>
      <c r="I9" s="742">
        <f>+InputY!I6</f>
        <v>6422.0770000000002</v>
      </c>
      <c r="J9" s="742">
        <f>+InputY!J6</f>
        <v>6423.9335000000001</v>
      </c>
      <c r="K9" s="742">
        <f>+InputY!K6</f>
        <v>6431.1075000000001</v>
      </c>
      <c r="L9" s="742">
        <f>+InputY!L6</f>
        <v>6448.8985000000002</v>
      </c>
      <c r="M9" s="742">
        <f>+InputY!M6</f>
        <v>6478.4690000000001</v>
      </c>
      <c r="N9" s="742">
        <f>+InputY!N6</f>
        <v>6515.7839999999997</v>
      </c>
      <c r="O9" s="742">
        <f>+InputY!O6</f>
        <v>6558.7855</v>
      </c>
      <c r="P9" s="742">
        <f>+InputY!P6</f>
        <v>6606.2084999999997</v>
      </c>
      <c r="Q9" s="742">
        <f>+InputY!Q6</f>
        <v>6659.3959999999997</v>
      </c>
      <c r="R9" s="742">
        <f>+InputY!R6</f>
        <v>6725.7280000000001</v>
      </c>
      <c r="S9" s="742">
        <f>+InputY!S6</f>
        <v>6802.3410000000003</v>
      </c>
      <c r="T9" s="742">
        <f>+InputY!T6</f>
        <v>6878.4489999999996</v>
      </c>
      <c r="U9" s="742">
        <f>+InputY!U6</f>
        <v>6954.2955000000002</v>
      </c>
      <c r="V9" s="742">
        <f>+InputY!V6</f>
        <v>7021.7295000000004</v>
      </c>
      <c r="W9" s="742">
        <f>+InputY!W6</f>
        <v>7072.2385000000004</v>
      </c>
      <c r="X9" s="742">
        <f>+InputY!X6</f>
        <v>7114.0434999999998</v>
      </c>
      <c r="Y9" s="742">
        <f>+InputY!Y6</f>
        <v>7156.5084999999999</v>
      </c>
      <c r="Z9" s="742">
        <f>+InputY!Z6</f>
        <v>7204.7875000000004</v>
      </c>
      <c r="AA9" s="742">
        <f>+InputY!AA6</f>
        <v>7258.79</v>
      </c>
      <c r="AB9" s="742">
        <f>+InputY!AB6</f>
        <v>7328.6130000000003</v>
      </c>
      <c r="AC9" s="742">
        <f>+InputY!AC6</f>
        <v>7403.3869999999997</v>
      </c>
      <c r="AD9" s="3027">
        <f>+AC9*(1+AD16/100)</f>
        <v>7476.8797211174178</v>
      </c>
      <c r="AE9" s="3027">
        <f>+AD9*(1+AE16/100)</f>
        <v>7516.0529307369898</v>
      </c>
      <c r="AF9" s="3027">
        <f>+AE9*(1+AF16/100)</f>
        <v>7555.130245106574</v>
      </c>
      <c r="AG9" s="3435"/>
      <c r="AH9" s="3435"/>
      <c r="AI9" s="3435"/>
      <c r="AJ9" s="3435"/>
      <c r="AK9" s="3436"/>
      <c r="AL9" s="3436"/>
      <c r="AM9" s="3436"/>
      <c r="AN9" s="3436"/>
    </row>
    <row r="10" spans="1:43" s="26" customFormat="1" ht="12.75">
      <c r="A10" s="1964"/>
      <c r="B10" s="710"/>
      <c r="C10" s="709" t="s">
        <v>1161</v>
      </c>
      <c r="D10" s="720"/>
      <c r="E10" s="721" t="s">
        <v>1645</v>
      </c>
      <c r="F10" s="722" t="s">
        <v>1646</v>
      </c>
      <c r="G10" s="723">
        <f>+G11/G9</f>
        <v>0.69245621072668617</v>
      </c>
      <c r="H10" s="723">
        <f>+H11/H9</f>
        <v>0.69485815394478667</v>
      </c>
      <c r="I10" s="723">
        <f t="shared" ref="I10:Z10" si="7">+I11/I9</f>
        <v>0.69035298081913377</v>
      </c>
      <c r="J10" s="723">
        <f t="shared" si="7"/>
        <v>0.68809865481951205</v>
      </c>
      <c r="K10" s="723">
        <f t="shared" si="7"/>
        <v>0.69240018146174664</v>
      </c>
      <c r="L10" s="723">
        <f t="shared" si="7"/>
        <v>0.69583976240283507</v>
      </c>
      <c r="M10" s="723">
        <f t="shared" si="7"/>
        <v>0.71273012188527873</v>
      </c>
      <c r="N10" s="723">
        <f t="shared" si="7"/>
        <v>0.71185600995981457</v>
      </c>
      <c r="O10" s="723">
        <f t="shared" si="7"/>
        <v>0.71000949794744772</v>
      </c>
      <c r="P10" s="723">
        <f t="shared" si="7"/>
        <v>0.70815203607333932</v>
      </c>
      <c r="Q10" s="723">
        <f t="shared" si="7"/>
        <v>0.70706112085840822</v>
      </c>
      <c r="R10" s="723">
        <f t="shared" si="7"/>
        <v>0.70857756959544005</v>
      </c>
      <c r="S10" s="723">
        <f t="shared" si="7"/>
        <v>0.71125513995843481</v>
      </c>
      <c r="T10" s="723">
        <f t="shared" si="7"/>
        <v>0.71203551847226021</v>
      </c>
      <c r="U10" s="723">
        <f t="shared" si="7"/>
        <v>0.70560705969425652</v>
      </c>
      <c r="V10" s="723">
        <f t="shared" si="7"/>
        <v>0.7047693876558474</v>
      </c>
      <c r="W10" s="723">
        <f t="shared" si="7"/>
        <v>0.70923795909880571</v>
      </c>
      <c r="X10" s="723">
        <f t="shared" si="7"/>
        <v>0.71128325262559899</v>
      </c>
      <c r="Y10" s="723">
        <f>+Y11/Y9</f>
        <v>0.71483182057283934</v>
      </c>
      <c r="Z10" s="723">
        <f t="shared" si="7"/>
        <v>0.71942441050482053</v>
      </c>
      <c r="AA10" s="723">
        <f t="shared" ref="AA10:AF10" si="8">+AA11/AA9</f>
        <v>0.71970672798083424</v>
      </c>
      <c r="AB10" s="723">
        <f t="shared" si="8"/>
        <v>0.71993158869215779</v>
      </c>
      <c r="AC10" s="723">
        <f t="shared" si="8"/>
        <v>0.72666740236597116</v>
      </c>
      <c r="AD10" s="723">
        <f t="shared" si="8"/>
        <v>0.72837490278446015</v>
      </c>
      <c r="AE10" s="723">
        <f t="shared" si="8"/>
        <v>0.73037528645793093</v>
      </c>
      <c r="AF10" s="723">
        <f t="shared" si="8"/>
        <v>0.73132045889331188</v>
      </c>
      <c r="AG10" s="3447"/>
      <c r="AH10" s="3447"/>
      <c r="AI10" s="3447"/>
      <c r="AJ10" s="3447"/>
      <c r="AK10" s="3447"/>
      <c r="AL10" s="3447"/>
      <c r="AM10" s="3447"/>
      <c r="AN10" s="3447"/>
      <c r="AP10" s="2952"/>
      <c r="AQ10" s="2952"/>
    </row>
    <row r="11" spans="1:43" s="736" customFormat="1" ht="12.75" customHeight="1">
      <c r="A11" s="701"/>
      <c r="B11" s="701"/>
      <c r="C11" s="706" t="s">
        <v>1793</v>
      </c>
      <c r="D11" s="789"/>
      <c r="E11" s="790" t="s">
        <v>1647</v>
      </c>
      <c r="F11" s="791" t="s">
        <v>1648</v>
      </c>
      <c r="G11" s="792">
        <f t="shared" ref="G11:Q11" si="9">+G37+G35</f>
        <v>4451.8999999999996</v>
      </c>
      <c r="H11" s="792">
        <f t="shared" si="9"/>
        <v>4464.3</v>
      </c>
      <c r="I11" s="792">
        <f t="shared" si="9"/>
        <v>4433.5</v>
      </c>
      <c r="J11" s="792">
        <f t="shared" si="9"/>
        <v>4420.3</v>
      </c>
      <c r="K11" s="792">
        <f t="shared" si="9"/>
        <v>4452.8999999999996</v>
      </c>
      <c r="L11" s="792">
        <f t="shared" si="9"/>
        <v>4487.3999999999996</v>
      </c>
      <c r="M11" s="792">
        <f t="shared" si="9"/>
        <v>4617.3999999999996</v>
      </c>
      <c r="N11" s="792">
        <f t="shared" si="9"/>
        <v>4638.3</v>
      </c>
      <c r="O11" s="792">
        <f t="shared" si="9"/>
        <v>4656.8</v>
      </c>
      <c r="P11" s="792">
        <f t="shared" si="9"/>
        <v>4678.2000000000007</v>
      </c>
      <c r="Q11" s="792">
        <f t="shared" si="9"/>
        <v>4708.6000000000004</v>
      </c>
      <c r="R11" s="792">
        <f t="shared" ref="R11:X11" si="10">+R37+R35</f>
        <v>4765.7</v>
      </c>
      <c r="S11" s="792">
        <f t="shared" si="10"/>
        <v>4838.2</v>
      </c>
      <c r="T11" s="792">
        <f t="shared" si="10"/>
        <v>4897.7</v>
      </c>
      <c r="U11" s="792">
        <f t="shared" si="10"/>
        <v>4907</v>
      </c>
      <c r="V11" s="792">
        <f t="shared" si="10"/>
        <v>4948.7</v>
      </c>
      <c r="W11" s="792">
        <f t="shared" si="10"/>
        <v>5015.8999999999996</v>
      </c>
      <c r="X11" s="792">
        <f t="shared" si="10"/>
        <v>5060.1000000000004</v>
      </c>
      <c r="Y11" s="792">
        <f>+Y37+Y35</f>
        <v>5115.7</v>
      </c>
      <c r="Z11" s="792">
        <f>+Z37+Z35</f>
        <v>5183.3</v>
      </c>
      <c r="AA11" s="792">
        <f>+AA37+AA35</f>
        <v>5224.2</v>
      </c>
      <c r="AB11" s="792">
        <f>+AB37+AB35</f>
        <v>5276.1</v>
      </c>
      <c r="AC11" s="792">
        <f>+AC37+AC35</f>
        <v>5379.8</v>
      </c>
      <c r="AD11" s="3025">
        <f>+AC11*(1+AD17/100)</f>
        <v>5445.9715400000005</v>
      </c>
      <c r="AE11" s="3025">
        <f>+AD11*(1+AE17/100)</f>
        <v>5489.5393123200001</v>
      </c>
      <c r="AF11" s="3025">
        <f>+AE11*(1+AF17/100)</f>
        <v>5525.2213178500797</v>
      </c>
      <c r="AG11" s="3435"/>
      <c r="AH11" s="3440"/>
      <c r="AI11" s="3440"/>
      <c r="AJ11" s="3440"/>
      <c r="AK11" s="3436"/>
      <c r="AL11" s="3436"/>
      <c r="AM11" s="3436"/>
      <c r="AN11" s="3436"/>
      <c r="AP11" s="2939"/>
      <c r="AQ11" s="2939"/>
    </row>
    <row r="12" spans="1:43" ht="12.75">
      <c r="A12" s="1170"/>
      <c r="Q12" s="217"/>
      <c r="R12" s="217"/>
      <c r="S12" s="3023"/>
      <c r="T12" s="3023"/>
      <c r="U12" s="3023"/>
      <c r="V12" s="3023"/>
      <c r="W12" s="3023"/>
      <c r="X12" s="3023"/>
      <c r="Y12" s="3023">
        <v>9601297</v>
      </c>
      <c r="Z12" s="3023"/>
      <c r="AA12" s="3023"/>
      <c r="AB12" s="3023"/>
      <c r="AC12" s="3023"/>
      <c r="AD12" s="3023"/>
      <c r="AE12" s="3023"/>
      <c r="AF12" s="3023"/>
      <c r="AG12" s="3448"/>
      <c r="AH12" s="3448"/>
      <c r="AI12" s="3448"/>
      <c r="AJ12" s="3448"/>
      <c r="AK12" s="3448"/>
      <c r="AL12" s="3448"/>
      <c r="AM12" s="3448"/>
      <c r="AN12" s="3448"/>
    </row>
    <row r="13" spans="1:43" s="736" customFormat="1" ht="12.75" customHeight="1">
      <c r="A13" s="701"/>
      <c r="B13" s="701"/>
      <c r="C13" s="703"/>
      <c r="D13" s="779"/>
      <c r="E13" s="780" t="s">
        <v>1883</v>
      </c>
      <c r="F13" s="781"/>
      <c r="G13" s="782">
        <f>+InputY!$G$3</f>
        <v>1995</v>
      </c>
      <c r="H13" s="782">
        <f>+G13+1</f>
        <v>1996</v>
      </c>
      <c r="I13" s="782">
        <f t="shared" ref="I13:O13" si="11">+H13+1</f>
        <v>1997</v>
      </c>
      <c r="J13" s="782">
        <f t="shared" si="11"/>
        <v>1998</v>
      </c>
      <c r="K13" s="782">
        <f t="shared" si="11"/>
        <v>1999</v>
      </c>
      <c r="L13" s="782">
        <f t="shared" si="11"/>
        <v>2000</v>
      </c>
      <c r="M13" s="782">
        <f t="shared" si="11"/>
        <v>2001</v>
      </c>
      <c r="N13" s="782">
        <f t="shared" si="11"/>
        <v>2002</v>
      </c>
      <c r="O13" s="782">
        <f t="shared" si="11"/>
        <v>2003</v>
      </c>
      <c r="P13" s="782">
        <f>+O13+1</f>
        <v>2004</v>
      </c>
      <c r="Q13" s="782">
        <f>+P13+1</f>
        <v>2005</v>
      </c>
      <c r="R13" s="782">
        <f>+Q13+1</f>
        <v>2006</v>
      </c>
      <c r="S13" s="782">
        <f>+R13+1</f>
        <v>2007</v>
      </c>
      <c r="T13" s="782">
        <f t="shared" ref="T13:AF13" si="12">+S13+1</f>
        <v>2008</v>
      </c>
      <c r="U13" s="782">
        <f t="shared" si="12"/>
        <v>2009</v>
      </c>
      <c r="V13" s="782">
        <f t="shared" si="12"/>
        <v>2010</v>
      </c>
      <c r="W13" s="782">
        <f t="shared" si="12"/>
        <v>2011</v>
      </c>
      <c r="X13" s="2272">
        <f t="shared" si="12"/>
        <v>2012</v>
      </c>
      <c r="Y13" s="2272">
        <f t="shared" si="12"/>
        <v>2013</v>
      </c>
      <c r="Z13" s="2272">
        <f t="shared" si="12"/>
        <v>2014</v>
      </c>
      <c r="AA13" s="2272">
        <f t="shared" si="12"/>
        <v>2015</v>
      </c>
      <c r="AB13" s="2272">
        <f t="shared" si="12"/>
        <v>2016</v>
      </c>
      <c r="AC13" s="2272">
        <f t="shared" si="12"/>
        <v>2017</v>
      </c>
      <c r="AD13" s="2272">
        <f t="shared" si="12"/>
        <v>2018</v>
      </c>
      <c r="AE13" s="2272">
        <f t="shared" si="12"/>
        <v>2019</v>
      </c>
      <c r="AF13" s="2272">
        <f t="shared" si="12"/>
        <v>2020</v>
      </c>
      <c r="AG13" s="3446"/>
      <c r="AH13" s="3446"/>
      <c r="AI13" s="3446"/>
      <c r="AJ13" s="3446"/>
      <c r="AK13" s="3446"/>
      <c r="AL13" s="3446"/>
      <c r="AM13" s="3446"/>
      <c r="AN13" s="3446"/>
      <c r="AP13" s="2939"/>
      <c r="AQ13" s="2939"/>
    </row>
    <row r="14" spans="1:43" s="736" customFormat="1" ht="12.75" customHeight="1">
      <c r="A14" s="701"/>
      <c r="B14" s="701"/>
      <c r="C14" s="725"/>
      <c r="D14" s="726"/>
      <c r="E14" s="775" t="s">
        <v>1369</v>
      </c>
      <c r="F14" s="770" t="str">
        <f>+F5</f>
        <v>Lpop</v>
      </c>
      <c r="G14" s="771"/>
      <c r="H14" s="776">
        <f>(H5/G5-1)*100</f>
        <v>0.1592737957786694</v>
      </c>
      <c r="I14" s="776">
        <f t="shared" ref="I14:AC14" si="13">(I5/H5-1)*100</f>
        <v>5.7284260062284709E-2</v>
      </c>
      <c r="J14" s="776">
        <f t="shared" si="13"/>
        <v>5.5521880809794588E-2</v>
      </c>
      <c r="K14" s="776">
        <f t="shared" si="13"/>
        <v>7.7963175463136025E-2</v>
      </c>
      <c r="L14" s="776">
        <f t="shared" si="13"/>
        <v>0.16070447604019655</v>
      </c>
      <c r="M14" s="776">
        <f t="shared" si="13"/>
        <v>0.26883123279930476</v>
      </c>
      <c r="N14" s="776">
        <f t="shared" si="13"/>
        <v>0.32596819230303886</v>
      </c>
      <c r="O14" s="776">
        <f t="shared" si="13"/>
        <v>0.37278606801285363</v>
      </c>
      <c r="P14" s="776">
        <f t="shared" si="13"/>
        <v>0.39407342679007584</v>
      </c>
      <c r="Q14" s="776">
        <f t="shared" si="13"/>
        <v>0.40074360115063268</v>
      </c>
      <c r="R14" s="776">
        <f t="shared" si="13"/>
        <v>0.56406328007572171</v>
      </c>
      <c r="S14" s="776">
        <f t="shared" si="13"/>
        <v>0.74431437151978308</v>
      </c>
      <c r="T14" s="776">
        <f t="shared" si="13"/>
        <v>0.78207565031047643</v>
      </c>
      <c r="U14" s="776">
        <f t="shared" si="13"/>
        <v>0</v>
      </c>
      <c r="V14" s="776">
        <f t="shared" si="13"/>
        <v>1.7190373113388224</v>
      </c>
      <c r="W14" s="776">
        <f t="shared" si="13"/>
        <v>0.75800325139585567</v>
      </c>
      <c r="X14" s="776">
        <f t="shared" si="13"/>
        <v>0.74251161141736244</v>
      </c>
      <c r="Y14" s="776">
        <f t="shared" si="13"/>
        <v>0.85094355994417281</v>
      </c>
      <c r="Z14" s="776">
        <f t="shared" si="13"/>
        <v>0.99715860161138092</v>
      </c>
      <c r="AA14" s="776">
        <f t="shared" si="13"/>
        <v>1.0630707089271052</v>
      </c>
      <c r="AB14" s="776">
        <f t="shared" si="13"/>
        <v>1.2643805311992162</v>
      </c>
      <c r="AC14" s="776">
        <f t="shared" si="13"/>
        <v>1.3565589733434802</v>
      </c>
      <c r="AD14" s="2362">
        <v>1.6648691213868805</v>
      </c>
      <c r="AE14" s="2362">
        <v>0.94918947359670103</v>
      </c>
      <c r="AF14" s="2362">
        <v>0.96048313726888601</v>
      </c>
      <c r="AG14" s="3438"/>
      <c r="AH14" s="3438"/>
      <c r="AI14" s="3438"/>
      <c r="AJ14" s="3438"/>
      <c r="AK14" s="3438"/>
      <c r="AL14" s="3438"/>
      <c r="AM14" s="3438"/>
      <c r="AN14" s="3438"/>
      <c r="AP14" s="2939"/>
      <c r="AQ14" s="2939"/>
    </row>
    <row r="15" spans="1:43">
      <c r="A15" s="1170"/>
      <c r="C15" s="969"/>
      <c r="D15" s="711"/>
      <c r="E15" s="220" t="s">
        <v>2063</v>
      </c>
      <c r="F15" s="741" t="str">
        <f>+F7</f>
        <v>Lage</v>
      </c>
      <c r="G15" s="742"/>
      <c r="H15" s="743">
        <f>(H7/G7-1)*100</f>
        <v>0.23284167984372051</v>
      </c>
      <c r="I15" s="743">
        <f t="shared" ref="I15:AC15" si="14">(I7/H7-1)*100</f>
        <v>0.19520649451838512</v>
      </c>
      <c r="J15" s="743">
        <f t="shared" si="14"/>
        <v>0.25176746945705375</v>
      </c>
      <c r="K15" s="743">
        <f t="shared" si="14"/>
        <v>0.33899628792393166</v>
      </c>
      <c r="L15" s="743">
        <f t="shared" si="14"/>
        <v>0.46580309849795221</v>
      </c>
      <c r="M15" s="743">
        <f t="shared" si="14"/>
        <v>0.59261488568596032</v>
      </c>
      <c r="N15" s="743">
        <f t="shared" si="14"/>
        <v>0.64437768036929022</v>
      </c>
      <c r="O15" s="743">
        <f t="shared" si="14"/>
        <v>0.68073037953984006</v>
      </c>
      <c r="P15" s="743">
        <f t="shared" si="14"/>
        <v>0.67415881045120862</v>
      </c>
      <c r="Q15" s="743">
        <f t="shared" si="14"/>
        <v>0.73596140782459241</v>
      </c>
      <c r="R15" s="743">
        <f t="shared" si="14"/>
        <v>0.92205433199872289</v>
      </c>
      <c r="S15" s="743">
        <f t="shared" si="14"/>
        <v>0.93400175674520636</v>
      </c>
      <c r="T15" s="743">
        <f t="shared" si="14"/>
        <v>0.72102288020639005</v>
      </c>
      <c r="U15" s="743">
        <f t="shared" si="14"/>
        <v>0.55927933764374771</v>
      </c>
      <c r="V15" s="743">
        <f t="shared" si="14"/>
        <v>0.36568168478010588</v>
      </c>
      <c r="W15" s="743">
        <f t="shared" si="14"/>
        <v>0.11015383547239299</v>
      </c>
      <c r="X15" s="1616">
        <f t="shared" si="14"/>
        <v>1.9513739848320277E-2</v>
      </c>
      <c r="Y15" s="743">
        <f t="shared" si="14"/>
        <v>0.10334704098264869</v>
      </c>
      <c r="Z15" s="743">
        <f t="shared" si="14"/>
        <v>0.29967390950087491</v>
      </c>
      <c r="AA15" s="743">
        <f t="shared" si="14"/>
        <v>0.48938048182121108</v>
      </c>
      <c r="AB15" s="743">
        <f t="shared" si="14"/>
        <v>0.84985231887131363</v>
      </c>
      <c r="AC15" s="743">
        <f t="shared" si="14"/>
        <v>1.0669603355011992</v>
      </c>
      <c r="AD15" s="2363">
        <v>1.3377326657990407</v>
      </c>
      <c r="AE15" s="2363">
        <v>0.80802960091346243</v>
      </c>
      <c r="AF15" s="2363">
        <v>0.79300528670189774</v>
      </c>
      <c r="AG15" s="3438"/>
      <c r="AH15" s="3438"/>
      <c r="AI15" s="3438"/>
      <c r="AJ15" s="3438"/>
      <c r="AK15" s="3438"/>
      <c r="AL15" s="3438"/>
      <c r="AM15" s="3438"/>
      <c r="AN15" s="3438"/>
    </row>
    <row r="16" spans="1:43">
      <c r="A16" s="1170"/>
      <c r="C16" s="727"/>
      <c r="D16" s="728"/>
      <c r="E16" s="772" t="s">
        <v>2060</v>
      </c>
      <c r="F16" s="773"/>
      <c r="G16" s="774"/>
      <c r="H16" s="778">
        <f>(H9/G9-1)*100</f>
        <v>-6.8103944802588856E-2</v>
      </c>
      <c r="I16" s="778">
        <f t="shared" ref="I16:AC16" si="15">(I9/H9-1)*100</f>
        <v>-4.1830327010428103E-2</v>
      </c>
      <c r="J16" s="778">
        <f t="shared" si="15"/>
        <v>2.8908093129365042E-2</v>
      </c>
      <c r="K16" s="778">
        <f t="shared" si="15"/>
        <v>0.11167612491629342</v>
      </c>
      <c r="L16" s="778">
        <f t="shared" si="15"/>
        <v>0.27663975450573641</v>
      </c>
      <c r="M16" s="778">
        <f t="shared" si="15"/>
        <v>0.45853567085913927</v>
      </c>
      <c r="N16" s="778">
        <f t="shared" si="15"/>
        <v>0.57598485074172867</v>
      </c>
      <c r="O16" s="778">
        <f t="shared" si="15"/>
        <v>0.65995895505437385</v>
      </c>
      <c r="P16" s="778">
        <f t="shared" si="15"/>
        <v>0.72304544797203718</v>
      </c>
      <c r="Q16" s="778">
        <f t="shared" si="15"/>
        <v>0.80511385615515962</v>
      </c>
      <c r="R16" s="778">
        <f t="shared" si="15"/>
        <v>0.99606630991759815</v>
      </c>
      <c r="S16" s="778">
        <f t="shared" si="15"/>
        <v>1.1391034546743617</v>
      </c>
      <c r="T16" s="778">
        <f t="shared" si="15"/>
        <v>1.1188501135123818</v>
      </c>
      <c r="U16" s="778">
        <f t="shared" si="15"/>
        <v>1.1026686393982299</v>
      </c>
      <c r="V16" s="778">
        <f t="shared" si="15"/>
        <v>0.96967406691303992</v>
      </c>
      <c r="W16" s="3194">
        <f t="shared" si="15"/>
        <v>0.71932420637963457</v>
      </c>
      <c r="X16" s="3194">
        <f t="shared" si="15"/>
        <v>0.5911141147177057</v>
      </c>
      <c r="Y16" s="3194">
        <f t="shared" si="15"/>
        <v>0.59691791313898346</v>
      </c>
      <c r="Z16" s="3194">
        <f t="shared" si="15"/>
        <v>0.67461667934860525</v>
      </c>
      <c r="AA16" s="3194">
        <f t="shared" si="15"/>
        <v>0.74953633261216623</v>
      </c>
      <c r="AB16" s="3194">
        <f t="shared" si="15"/>
        <v>0.96190962956637094</v>
      </c>
      <c r="AC16" s="3194">
        <f t="shared" si="15"/>
        <v>1.0203022045235599</v>
      </c>
      <c r="AD16" s="3374">
        <v>0.99269052282986436</v>
      </c>
      <c r="AE16" s="3374">
        <v>0.52392456587113667</v>
      </c>
      <c r="AF16" s="3374">
        <v>0.51991803051010255</v>
      </c>
      <c r="AG16" s="3438"/>
      <c r="AH16" s="3438"/>
      <c r="AI16" s="3438"/>
      <c r="AJ16" s="3438"/>
      <c r="AK16" s="3438"/>
      <c r="AL16" s="3438"/>
      <c r="AM16" s="3438"/>
      <c r="AN16" s="3438"/>
    </row>
    <row r="17" spans="1:43" s="736" customFormat="1" ht="12.75" customHeight="1">
      <c r="A17" s="701"/>
      <c r="B17" s="701"/>
      <c r="C17" s="703"/>
      <c r="D17" s="754"/>
      <c r="E17" s="759" t="s">
        <v>1647</v>
      </c>
      <c r="F17" s="760" t="str">
        <f>+F11</f>
        <v>L</v>
      </c>
      <c r="G17" s="758"/>
      <c r="H17" s="758">
        <f t="shared" ref="H17:P17" si="16">(H11/G11-1)*100</f>
        <v>0.2785327612929489</v>
      </c>
      <c r="I17" s="758">
        <f t="shared" si="16"/>
        <v>-0.68991779226307282</v>
      </c>
      <c r="J17" s="758">
        <f t="shared" si="16"/>
        <v>-0.29773316792601756</v>
      </c>
      <c r="K17" s="758">
        <f t="shared" si="16"/>
        <v>0.73750650408341833</v>
      </c>
      <c r="L17" s="758">
        <f t="shared" si="16"/>
        <v>0.77477598868154196</v>
      </c>
      <c r="M17" s="758">
        <f t="shared" si="16"/>
        <v>2.8970004902616253</v>
      </c>
      <c r="N17" s="758">
        <f t="shared" si="16"/>
        <v>0.45263568241868946</v>
      </c>
      <c r="O17" s="758">
        <f t="shared" si="16"/>
        <v>0.39885302804907319</v>
      </c>
      <c r="P17" s="758">
        <f t="shared" si="16"/>
        <v>0.45954303384299067</v>
      </c>
      <c r="Q17" s="758">
        <f t="shared" ref="Q17:AC17" si="17">(Q11/P11-1)*100</f>
        <v>0.6498225813347025</v>
      </c>
      <c r="R17" s="758">
        <f t="shared" si="17"/>
        <v>1.2126746803720723</v>
      </c>
      <c r="S17" s="758">
        <f t="shared" si="17"/>
        <v>1.5212875338355358</v>
      </c>
      <c r="T17" s="758">
        <f t="shared" si="17"/>
        <v>1.2297962052002731</v>
      </c>
      <c r="U17" s="758">
        <f t="shared" si="17"/>
        <v>0.18988504808379325</v>
      </c>
      <c r="V17" s="758">
        <f t="shared" si="17"/>
        <v>0.84980639902179078</v>
      </c>
      <c r="W17" s="758">
        <f t="shared" si="17"/>
        <v>1.357932386283256</v>
      </c>
      <c r="X17" s="758">
        <f t="shared" si="17"/>
        <v>0.8811977910245572</v>
      </c>
      <c r="Y17" s="758">
        <f t="shared" si="17"/>
        <v>1.0987925139819277</v>
      </c>
      <c r="Z17" s="758">
        <f t="shared" si="17"/>
        <v>1.321422288249896</v>
      </c>
      <c r="AA17" s="758">
        <f t="shared" si="17"/>
        <v>0.78907259853759903</v>
      </c>
      <c r="AB17" s="758">
        <f t="shared" si="17"/>
        <v>0.99345354312623257</v>
      </c>
      <c r="AC17" s="758">
        <f t="shared" si="17"/>
        <v>1.965466916851466</v>
      </c>
      <c r="AD17" s="2363">
        <v>1.23</v>
      </c>
      <c r="AE17" s="2363">
        <v>0.8</v>
      </c>
      <c r="AF17" s="2363">
        <v>0.65</v>
      </c>
      <c r="AG17" s="3438"/>
      <c r="AH17" s="3438"/>
      <c r="AI17" s="3438"/>
      <c r="AJ17" s="3438"/>
      <c r="AK17" s="3438"/>
      <c r="AL17" s="3438"/>
      <c r="AM17" s="3438"/>
      <c r="AN17" s="3438"/>
      <c r="AP17" s="2939"/>
      <c r="AQ17" s="2939"/>
    </row>
    <row r="18" spans="1:43" ht="12.75">
      <c r="A18" s="1170"/>
      <c r="Q18" s="217"/>
      <c r="R18" s="217"/>
      <c r="S18" s="3023"/>
      <c r="T18" s="3023"/>
      <c r="U18" s="3023"/>
      <c r="V18" s="3023"/>
      <c r="W18" s="3023"/>
      <c r="X18" s="3023"/>
      <c r="Y18" s="3023"/>
      <c r="Z18" s="3023"/>
      <c r="AA18" s="3023"/>
      <c r="AB18" s="3023"/>
      <c r="AC18" s="3023"/>
      <c r="AD18" s="3023"/>
      <c r="AE18" s="3023"/>
      <c r="AF18" s="3023"/>
      <c r="AG18" s="3448"/>
      <c r="AH18" s="3448"/>
      <c r="AI18" s="3448"/>
      <c r="AJ18" s="3448"/>
      <c r="AK18" s="3448"/>
      <c r="AL18" s="3448"/>
      <c r="AM18" s="3448"/>
      <c r="AN18" s="3448"/>
    </row>
    <row r="19" spans="1:43" s="736" customFormat="1" ht="12.75" customHeight="1">
      <c r="A19" s="701"/>
      <c r="B19" s="701"/>
      <c r="C19" s="703"/>
      <c r="D19" s="895"/>
      <c r="E19" s="896" t="s">
        <v>1162</v>
      </c>
      <c r="F19" s="897"/>
      <c r="G19" s="898">
        <f>+InputY!$G$3</f>
        <v>1995</v>
      </c>
      <c r="H19" s="898">
        <f>+G19+1</f>
        <v>1996</v>
      </c>
      <c r="I19" s="898">
        <f t="shared" ref="I19:O19" si="18">+H19+1</f>
        <v>1997</v>
      </c>
      <c r="J19" s="898">
        <f t="shared" si="18"/>
        <v>1998</v>
      </c>
      <c r="K19" s="898">
        <f t="shared" si="18"/>
        <v>1999</v>
      </c>
      <c r="L19" s="898">
        <f t="shared" si="18"/>
        <v>2000</v>
      </c>
      <c r="M19" s="898">
        <f t="shared" si="18"/>
        <v>2001</v>
      </c>
      <c r="N19" s="898">
        <f t="shared" si="18"/>
        <v>2002</v>
      </c>
      <c r="O19" s="898">
        <f t="shared" si="18"/>
        <v>2003</v>
      </c>
      <c r="P19" s="898">
        <f>+O19+1</f>
        <v>2004</v>
      </c>
      <c r="Q19" s="898">
        <f>+P19+1</f>
        <v>2005</v>
      </c>
      <c r="R19" s="898">
        <f>+Q19+1</f>
        <v>2006</v>
      </c>
      <c r="S19" s="898">
        <f>+R19+1</f>
        <v>2007</v>
      </c>
      <c r="T19" s="898">
        <f t="shared" ref="T19:AF19" si="19">+S19+1</f>
        <v>2008</v>
      </c>
      <c r="U19" s="898">
        <f t="shared" si="19"/>
        <v>2009</v>
      </c>
      <c r="V19" s="898">
        <f t="shared" si="19"/>
        <v>2010</v>
      </c>
      <c r="W19" s="898">
        <f t="shared" si="19"/>
        <v>2011</v>
      </c>
      <c r="X19" s="2277">
        <f t="shared" si="19"/>
        <v>2012</v>
      </c>
      <c r="Y19" s="2277">
        <f t="shared" si="19"/>
        <v>2013</v>
      </c>
      <c r="Z19" s="2277">
        <f t="shared" si="19"/>
        <v>2014</v>
      </c>
      <c r="AA19" s="2277">
        <f t="shared" si="19"/>
        <v>2015</v>
      </c>
      <c r="AB19" s="2277">
        <f t="shared" si="19"/>
        <v>2016</v>
      </c>
      <c r="AC19" s="2277">
        <f t="shared" si="19"/>
        <v>2017</v>
      </c>
      <c r="AD19" s="2277">
        <f t="shared" si="19"/>
        <v>2018</v>
      </c>
      <c r="AE19" s="2277">
        <f t="shared" si="19"/>
        <v>2019</v>
      </c>
      <c r="AF19" s="2277">
        <f t="shared" si="19"/>
        <v>2020</v>
      </c>
      <c r="AG19" s="3446"/>
      <c r="AH19" s="3446"/>
      <c r="AI19" s="3446"/>
      <c r="AJ19" s="3446"/>
      <c r="AK19" s="3446"/>
      <c r="AL19" s="3446"/>
      <c r="AM19" s="3446"/>
      <c r="AN19" s="3446"/>
      <c r="AP19" s="2939"/>
      <c r="AQ19" s="2939"/>
    </row>
    <row r="20" spans="1:43" s="736" customFormat="1" ht="12.75" customHeight="1">
      <c r="A20" s="701"/>
      <c r="B20" s="701"/>
      <c r="C20" s="899"/>
      <c r="D20" s="900"/>
      <c r="E20" s="901" t="s">
        <v>1369</v>
      </c>
      <c r="F20" s="902" t="str">
        <f>+F5</f>
        <v>Lpop</v>
      </c>
      <c r="G20" s="903"/>
      <c r="H20" s="903">
        <f>+H5-G5</f>
        <v>14.058999999999287</v>
      </c>
      <c r="I20" s="903">
        <f t="shared" ref="I20:W20" si="20">+I5-H5</f>
        <v>5.0645000000004075</v>
      </c>
      <c r="J20" s="903">
        <f t="shared" si="20"/>
        <v>4.9115000000001601</v>
      </c>
      <c r="K20" s="903">
        <f t="shared" si="20"/>
        <v>6.9004999999997381</v>
      </c>
      <c r="L20" s="903">
        <f t="shared" si="20"/>
        <v>14.235000000000582</v>
      </c>
      <c r="M20" s="903">
        <f t="shared" si="20"/>
        <v>23.850999999998749</v>
      </c>
      <c r="N20" s="903">
        <f t="shared" si="20"/>
        <v>28.998000000001412</v>
      </c>
      <c r="O20" s="903">
        <f t="shared" si="20"/>
        <v>33.270999999998821</v>
      </c>
      <c r="P20" s="903">
        <f t="shared" si="20"/>
        <v>35.302000000001499</v>
      </c>
      <c r="Q20" s="903">
        <f t="shared" si="20"/>
        <v>36.040999999999258</v>
      </c>
      <c r="R20" s="903">
        <f t="shared" si="20"/>
        <v>50.932499999998981</v>
      </c>
      <c r="S20" s="903">
        <f t="shared" si="20"/>
        <v>67.587500000001455</v>
      </c>
      <c r="T20" s="903">
        <f t="shared" si="20"/>
        <v>71.545000000000073</v>
      </c>
      <c r="U20" s="903">
        <f t="shared" si="20"/>
        <v>0</v>
      </c>
      <c r="V20" s="903">
        <f t="shared" si="20"/>
        <v>158.48899999999958</v>
      </c>
      <c r="W20" s="903">
        <f t="shared" si="20"/>
        <v>71.086499999999432</v>
      </c>
      <c r="X20" s="903">
        <f t="shared" ref="X20:AF20" si="21">+X5-W5</f>
        <v>70.16150000000016</v>
      </c>
      <c r="Y20" s="903">
        <f t="shared" si="21"/>
        <v>81.004500000000917</v>
      </c>
      <c r="Z20" s="903">
        <f t="shared" si="21"/>
        <v>95.730999999999767</v>
      </c>
      <c r="AA20" s="903">
        <f t="shared" si="21"/>
        <v>103.07649999999921</v>
      </c>
      <c r="AB20" s="903">
        <f t="shared" si="21"/>
        <v>123.89899999999943</v>
      </c>
      <c r="AC20" s="903">
        <f t="shared" si="21"/>
        <v>134.61250000000109</v>
      </c>
      <c r="AD20" s="903">
        <f t="shared" si="21"/>
        <v>167.44750000000022</v>
      </c>
      <c r="AE20" s="903">
        <f t="shared" si="21"/>
        <v>97.055999999998676</v>
      </c>
      <c r="AF20" s="903">
        <f t="shared" si="21"/>
        <v>99.143000000000029</v>
      </c>
      <c r="AG20" s="3435"/>
      <c r="AH20" s="3435"/>
      <c r="AI20" s="3435"/>
      <c r="AJ20" s="3435"/>
      <c r="AK20" s="3435"/>
      <c r="AL20" s="3435"/>
      <c r="AM20" s="3435"/>
      <c r="AN20" s="3435"/>
      <c r="AP20" s="2939"/>
      <c r="AQ20" s="2939"/>
    </row>
    <row r="21" spans="1:43" ht="12.75">
      <c r="A21" s="1170"/>
      <c r="C21" s="980"/>
      <c r="D21" s="711"/>
      <c r="E21" s="220" t="s">
        <v>2063</v>
      </c>
      <c r="F21" s="741" t="str">
        <f>+F7</f>
        <v>Lage</v>
      </c>
      <c r="G21" s="742"/>
      <c r="H21" s="742">
        <f>+H7-G7</f>
        <v>13.08849999999984</v>
      </c>
      <c r="I21" s="742">
        <f t="shared" ref="I21:W21" si="22">+I7-H7</f>
        <v>10.998499999999694</v>
      </c>
      <c r="J21" s="742">
        <f t="shared" si="22"/>
        <v>14.213000000000648</v>
      </c>
      <c r="K21" s="742">
        <f t="shared" si="22"/>
        <v>19.185499999999593</v>
      </c>
      <c r="L21" s="742">
        <f t="shared" si="22"/>
        <v>26.451500000000124</v>
      </c>
      <c r="M21" s="742">
        <f t="shared" si="22"/>
        <v>33.809500000000298</v>
      </c>
      <c r="N21" s="742">
        <f t="shared" si="22"/>
        <v>36.980499999999665</v>
      </c>
      <c r="O21" s="742">
        <f t="shared" si="22"/>
        <v>39.318500000000313</v>
      </c>
      <c r="P21" s="742">
        <f t="shared" si="22"/>
        <v>39.203999999999724</v>
      </c>
      <c r="Q21" s="742">
        <f t="shared" si="22"/>
        <v>43.086500000000342</v>
      </c>
      <c r="R21" s="742">
        <f t="shared" si="22"/>
        <v>54.378499999999804</v>
      </c>
      <c r="S21" s="742">
        <f t="shared" si="22"/>
        <v>55.59099999999944</v>
      </c>
      <c r="T21" s="742">
        <f t="shared" si="22"/>
        <v>43.315500000000611</v>
      </c>
      <c r="U21" s="742">
        <f t="shared" si="22"/>
        <v>33.84099999999944</v>
      </c>
      <c r="V21" s="742">
        <f t="shared" si="22"/>
        <v>22.250500000000102</v>
      </c>
      <c r="W21" s="742">
        <f t="shared" si="22"/>
        <v>6.7269999999998618</v>
      </c>
      <c r="X21" s="742">
        <f t="shared" ref="X21:AF21" si="23">+X7-W7</f>
        <v>1.193000000000211</v>
      </c>
      <c r="Y21" s="742">
        <f t="shared" si="23"/>
        <v>6.3195000000005166</v>
      </c>
      <c r="Z21" s="742">
        <f t="shared" si="23"/>
        <v>18.343499999999949</v>
      </c>
      <c r="AA21" s="742">
        <f t="shared" si="23"/>
        <v>30.045499999999265</v>
      </c>
      <c r="AB21" s="742">
        <f t="shared" si="23"/>
        <v>52.432000000000698</v>
      </c>
      <c r="AC21" s="742">
        <f t="shared" si="23"/>
        <v>66.385999999999513</v>
      </c>
      <c r="AD21" s="742">
        <f t="shared" si="23"/>
        <v>84.121452551703442</v>
      </c>
      <c r="AE21" s="742">
        <f t="shared" si="23"/>
        <v>51.491540489486397</v>
      </c>
      <c r="AF21" s="742">
        <f t="shared" si="23"/>
        <v>50.942449416144882</v>
      </c>
      <c r="AG21" s="3435"/>
      <c r="AH21" s="3435"/>
      <c r="AI21" s="3435"/>
      <c r="AJ21" s="3435"/>
      <c r="AK21" s="3435"/>
      <c r="AL21" s="3435"/>
      <c r="AM21" s="3435"/>
      <c r="AN21" s="3435"/>
    </row>
    <row r="22" spans="1:43" ht="12.75">
      <c r="A22" s="1170"/>
      <c r="C22" s="904"/>
      <c r="D22" s="905"/>
      <c r="E22" s="116" t="s">
        <v>2060</v>
      </c>
      <c r="F22" s="867"/>
      <c r="G22" s="913"/>
      <c r="H22" s="913">
        <f>+H9-G9</f>
        <v>-4.3784999999998035</v>
      </c>
      <c r="I22" s="913">
        <f t="shared" ref="I22:W22" si="24">+I9-H9</f>
        <v>-2.6875</v>
      </c>
      <c r="J22" s="913">
        <f t="shared" si="24"/>
        <v>1.856499999999869</v>
      </c>
      <c r="K22" s="913">
        <f t="shared" si="24"/>
        <v>7.1739999999999782</v>
      </c>
      <c r="L22" s="913">
        <f t="shared" si="24"/>
        <v>17.791000000000167</v>
      </c>
      <c r="M22" s="913">
        <f t="shared" si="24"/>
        <v>29.570499999999811</v>
      </c>
      <c r="N22" s="913">
        <f t="shared" si="24"/>
        <v>37.3149999999996</v>
      </c>
      <c r="O22" s="913">
        <f t="shared" si="24"/>
        <v>43.001500000000306</v>
      </c>
      <c r="P22" s="913">
        <f t="shared" si="24"/>
        <v>47.422999999999774</v>
      </c>
      <c r="Q22" s="913">
        <f t="shared" si="24"/>
        <v>53.1875</v>
      </c>
      <c r="R22" s="913">
        <f t="shared" si="24"/>
        <v>66.332000000000335</v>
      </c>
      <c r="S22" s="913">
        <f t="shared" si="24"/>
        <v>76.613000000000284</v>
      </c>
      <c r="T22" s="913">
        <f t="shared" si="24"/>
        <v>76.107999999999265</v>
      </c>
      <c r="U22" s="913">
        <f t="shared" si="24"/>
        <v>75.84650000000056</v>
      </c>
      <c r="V22" s="913">
        <f t="shared" si="24"/>
        <v>67.434000000000196</v>
      </c>
      <c r="W22" s="913">
        <f t="shared" si="24"/>
        <v>50.509000000000015</v>
      </c>
      <c r="X22" s="913">
        <f t="shared" ref="X22:AF22" si="25">+X9-W9</f>
        <v>41.804999999999382</v>
      </c>
      <c r="Y22" s="913">
        <f t="shared" si="25"/>
        <v>42.465000000000146</v>
      </c>
      <c r="Z22" s="913">
        <f t="shared" si="25"/>
        <v>48.279000000000451</v>
      </c>
      <c r="AA22" s="913">
        <f t="shared" si="25"/>
        <v>54.0024999999996</v>
      </c>
      <c r="AB22" s="913">
        <f t="shared" si="25"/>
        <v>69.82300000000032</v>
      </c>
      <c r="AC22" s="913">
        <f t="shared" si="25"/>
        <v>74.773999999999432</v>
      </c>
      <c r="AD22" s="913">
        <f t="shared" si="25"/>
        <v>73.492721117418114</v>
      </c>
      <c r="AE22" s="913">
        <f t="shared" si="25"/>
        <v>39.173209619571935</v>
      </c>
      <c r="AF22" s="913">
        <f t="shared" si="25"/>
        <v>39.077314369584201</v>
      </c>
      <c r="AG22" s="3435"/>
      <c r="AH22" s="3435"/>
      <c r="AI22" s="3435"/>
      <c r="AJ22" s="3435"/>
      <c r="AK22" s="3435"/>
      <c r="AL22" s="3435"/>
      <c r="AM22" s="3435"/>
      <c r="AN22" s="3435"/>
    </row>
    <row r="23" spans="1:43" s="736" customFormat="1" ht="12.75" customHeight="1">
      <c r="A23" s="701"/>
      <c r="B23" s="701"/>
      <c r="C23" s="703"/>
      <c r="D23" s="843"/>
      <c r="E23" s="844" t="s">
        <v>1647</v>
      </c>
      <c r="F23" s="845" t="str">
        <f>+F11</f>
        <v>L</v>
      </c>
      <c r="G23" s="846"/>
      <c r="H23" s="894">
        <f>+H11-G11</f>
        <v>12.400000000000546</v>
      </c>
      <c r="I23" s="894">
        <f t="shared" ref="I23:AC23" si="26">+I11-H11</f>
        <v>-30.800000000000182</v>
      </c>
      <c r="J23" s="894">
        <f t="shared" si="26"/>
        <v>-13.199999999999818</v>
      </c>
      <c r="K23" s="894">
        <f t="shared" si="26"/>
        <v>32.599999999999454</v>
      </c>
      <c r="L23" s="894">
        <f t="shared" si="26"/>
        <v>34.5</v>
      </c>
      <c r="M23" s="894">
        <f t="shared" si="26"/>
        <v>130</v>
      </c>
      <c r="N23" s="894">
        <f t="shared" si="26"/>
        <v>20.900000000000546</v>
      </c>
      <c r="O23" s="894">
        <f t="shared" si="26"/>
        <v>18.5</v>
      </c>
      <c r="P23" s="894">
        <f t="shared" si="26"/>
        <v>21.400000000000546</v>
      </c>
      <c r="Q23" s="894">
        <f t="shared" si="26"/>
        <v>30.399999999999636</v>
      </c>
      <c r="R23" s="894">
        <f t="shared" si="26"/>
        <v>57.099999999999454</v>
      </c>
      <c r="S23" s="894">
        <f t="shared" si="26"/>
        <v>72.5</v>
      </c>
      <c r="T23" s="894">
        <f t="shared" si="26"/>
        <v>59.5</v>
      </c>
      <c r="U23" s="894">
        <f t="shared" si="26"/>
        <v>9.3000000000001819</v>
      </c>
      <c r="V23" s="894">
        <f t="shared" si="26"/>
        <v>41.699999999999818</v>
      </c>
      <c r="W23" s="894">
        <f t="shared" si="26"/>
        <v>67.199999999999818</v>
      </c>
      <c r="X23" s="2351">
        <f t="shared" si="26"/>
        <v>44.200000000000728</v>
      </c>
      <c r="Y23" s="2351">
        <f t="shared" si="26"/>
        <v>55.599999999999454</v>
      </c>
      <c r="Z23" s="2351">
        <f t="shared" si="26"/>
        <v>67.600000000000364</v>
      </c>
      <c r="AA23" s="2351">
        <f t="shared" si="26"/>
        <v>40.899999999999636</v>
      </c>
      <c r="AB23" s="2351">
        <f t="shared" si="26"/>
        <v>51.900000000000546</v>
      </c>
      <c r="AC23" s="2351">
        <f t="shared" si="26"/>
        <v>103.69999999999982</v>
      </c>
      <c r="AD23" s="2351">
        <f>+AD11-AC11</f>
        <v>66.171540000000277</v>
      </c>
      <c r="AE23" s="2351">
        <f>+AE11-AD11</f>
        <v>43.567772319999676</v>
      </c>
      <c r="AF23" s="2351">
        <f>+AF11-AE11</f>
        <v>35.68200553007955</v>
      </c>
      <c r="AG23" s="3439"/>
      <c r="AH23" s="3439"/>
      <c r="AI23" s="3439"/>
      <c r="AJ23" s="3439"/>
      <c r="AK23" s="3440"/>
      <c r="AL23" s="3440"/>
      <c r="AM23" s="3440"/>
      <c r="AN23" s="3440"/>
      <c r="AP23" s="2939"/>
      <c r="AQ23" s="2939"/>
    </row>
    <row r="24" spans="1:43" ht="30" customHeight="1">
      <c r="A24" s="1170"/>
      <c r="S24" s="3023"/>
      <c r="T24" s="3023"/>
      <c r="U24" s="3023"/>
      <c r="V24" s="3023"/>
      <c r="W24" s="3023"/>
      <c r="X24" s="3023"/>
      <c r="Y24" s="3023"/>
      <c r="Z24" s="3370">
        <f t="shared" ref="Z24:AE24" si="27">+Z21/Z20</f>
        <v>0.19161504632773077</v>
      </c>
      <c r="AA24" s="3370">
        <f t="shared" si="27"/>
        <v>0.29148739043331401</v>
      </c>
      <c r="AB24" s="3370">
        <f t="shared" si="27"/>
        <v>0.42318339938176208</v>
      </c>
      <c r="AC24" s="3370">
        <f t="shared" si="27"/>
        <v>0.49316371065093489</v>
      </c>
      <c r="AD24" s="3370">
        <f t="shared" si="27"/>
        <v>0.50237508802283304</v>
      </c>
      <c r="AE24" s="3370">
        <f t="shared" si="27"/>
        <v>0.53053433573902797</v>
      </c>
      <c r="AF24" s="3370">
        <f t="shared" ref="AF24" si="28">+AF21/AF20</f>
        <v>0.51382800012249852</v>
      </c>
      <c r="AG24" s="743"/>
      <c r="AH24" s="3100"/>
      <c r="AI24" s="3100"/>
    </row>
    <row r="25" spans="1:43" ht="30" customHeight="1">
      <c r="A25" s="1170"/>
      <c r="S25" s="3023"/>
      <c r="T25" s="3023"/>
      <c r="U25" s="3023"/>
      <c r="V25" s="3023"/>
      <c r="W25" s="3023"/>
      <c r="X25" s="3023"/>
      <c r="Y25" s="3023"/>
      <c r="Z25" s="3370">
        <f t="shared" ref="Z25:AE25" si="29">+Z22/Z20</f>
        <v>0.50431939497133182</v>
      </c>
      <c r="AA25" s="3370">
        <f t="shared" si="29"/>
        <v>0.52390700111082555</v>
      </c>
      <c r="AB25" s="3370">
        <f t="shared" si="29"/>
        <v>0.56354772839167899</v>
      </c>
      <c r="AC25" s="3370">
        <f t="shared" si="29"/>
        <v>0.55547590305505679</v>
      </c>
      <c r="AD25" s="3370">
        <f t="shared" si="29"/>
        <v>0.43890007983050222</v>
      </c>
      <c r="AE25" s="3370">
        <f t="shared" si="29"/>
        <v>0.4036145072903527</v>
      </c>
      <c r="AF25" s="3370">
        <f t="shared" ref="AF25" si="30">+AF22/AF20</f>
        <v>0.39415101791941126</v>
      </c>
      <c r="AG25" s="743"/>
      <c r="AH25" s="3100"/>
      <c r="AI25" s="3100"/>
    </row>
    <row r="26" spans="1:43" ht="22.5" customHeight="1">
      <c r="A26" s="1170"/>
      <c r="C26" s="3816" t="s">
        <v>1157</v>
      </c>
      <c r="D26" s="3816"/>
      <c r="E26" s="3816"/>
      <c r="F26" s="3816"/>
      <c r="S26" s="3023"/>
      <c r="T26" s="3023"/>
      <c r="U26" s="3023"/>
      <c r="V26" s="3023"/>
      <c r="W26" s="3023"/>
      <c r="X26" s="3023"/>
      <c r="Y26" s="3023"/>
      <c r="Z26" s="3032"/>
      <c r="AA26" s="3032"/>
      <c r="AB26" s="3032"/>
      <c r="AC26" s="3032"/>
      <c r="AD26" s="3032"/>
      <c r="AE26" s="3032"/>
      <c r="AF26" s="3032"/>
      <c r="AG26" s="743"/>
      <c r="AH26" s="3100"/>
      <c r="AI26" s="3100"/>
    </row>
    <row r="27" spans="1:43">
      <c r="A27" s="1170"/>
      <c r="Q27" s="2159"/>
      <c r="R27" s="2278"/>
      <c r="S27" s="3032"/>
      <c r="T27" s="3032"/>
      <c r="U27" s="3032"/>
      <c r="V27" s="3032"/>
      <c r="W27" s="3032"/>
      <c r="X27" s="3023"/>
      <c r="Y27" s="3023"/>
      <c r="Z27" s="3023"/>
      <c r="AA27" s="3023"/>
      <c r="AB27" s="3023"/>
      <c r="AC27" s="3023"/>
      <c r="AD27" s="3023"/>
      <c r="AE27" s="3023"/>
      <c r="AF27" s="3023"/>
      <c r="AG27" s="2954"/>
      <c r="AH27" s="2954"/>
      <c r="AI27" s="2954"/>
    </row>
    <row r="28" spans="1:43" s="736" customFormat="1" ht="12.75" customHeight="1">
      <c r="A28" s="701"/>
      <c r="B28" s="701"/>
      <c r="C28" s="703"/>
      <c r="D28" s="732"/>
      <c r="E28" s="733" t="s">
        <v>1160</v>
      </c>
      <c r="F28" s="734"/>
      <c r="G28" s="735">
        <f>+InputY!$G$3</f>
        <v>1995</v>
      </c>
      <c r="H28" s="735">
        <f>+G28+1</f>
        <v>1996</v>
      </c>
      <c r="I28" s="735">
        <f t="shared" ref="I28:O28" si="31">+H28+1</f>
        <v>1997</v>
      </c>
      <c r="J28" s="735">
        <f t="shared" si="31"/>
        <v>1998</v>
      </c>
      <c r="K28" s="735">
        <f t="shared" si="31"/>
        <v>1999</v>
      </c>
      <c r="L28" s="735">
        <f t="shared" si="31"/>
        <v>2000</v>
      </c>
      <c r="M28" s="735">
        <f t="shared" si="31"/>
        <v>2001</v>
      </c>
      <c r="N28" s="735">
        <f t="shared" si="31"/>
        <v>2002</v>
      </c>
      <c r="O28" s="735">
        <f t="shared" si="31"/>
        <v>2003</v>
      </c>
      <c r="P28" s="735">
        <f>+O28+1</f>
        <v>2004</v>
      </c>
      <c r="Q28" s="735">
        <f>+P28+1</f>
        <v>2005</v>
      </c>
      <c r="R28" s="735">
        <f>+Q28+1</f>
        <v>2006</v>
      </c>
      <c r="S28" s="735">
        <f>+R28+1</f>
        <v>2007</v>
      </c>
      <c r="T28" s="735">
        <f t="shared" ref="T28:AF28" si="32">+S28+1</f>
        <v>2008</v>
      </c>
      <c r="U28" s="735">
        <f t="shared" si="32"/>
        <v>2009</v>
      </c>
      <c r="V28" s="735">
        <f t="shared" si="32"/>
        <v>2010</v>
      </c>
      <c r="W28" s="735">
        <f t="shared" si="32"/>
        <v>2011</v>
      </c>
      <c r="X28" s="2271">
        <f t="shared" si="32"/>
        <v>2012</v>
      </c>
      <c r="Y28" s="2271">
        <f t="shared" si="32"/>
        <v>2013</v>
      </c>
      <c r="Z28" s="2271">
        <f t="shared" si="32"/>
        <v>2014</v>
      </c>
      <c r="AA28" s="2271">
        <f t="shared" si="32"/>
        <v>2015</v>
      </c>
      <c r="AB28" s="2271">
        <f t="shared" si="32"/>
        <v>2016</v>
      </c>
      <c r="AC28" s="2271">
        <f t="shared" si="32"/>
        <v>2017</v>
      </c>
      <c r="AD28" s="2271">
        <f t="shared" si="32"/>
        <v>2018</v>
      </c>
      <c r="AE28" s="2271">
        <f t="shared" si="32"/>
        <v>2019</v>
      </c>
      <c r="AF28" s="2271">
        <f t="shared" si="32"/>
        <v>2020</v>
      </c>
      <c r="AG28" s="3200"/>
      <c r="AH28" s="2949"/>
      <c r="AI28" s="2949"/>
      <c r="AJ28" s="2939"/>
      <c r="AK28" s="2939"/>
      <c r="AL28" s="2939"/>
      <c r="AM28" s="2939"/>
      <c r="AN28" s="2939"/>
      <c r="AO28" s="2939"/>
      <c r="AP28" s="2939"/>
      <c r="AQ28" s="2939"/>
    </row>
    <row r="29" spans="1:43" ht="12.75">
      <c r="A29" s="1170"/>
      <c r="C29" s="1022" t="s">
        <v>1791</v>
      </c>
      <c r="D29" s="810"/>
      <c r="E29" s="1023" t="s">
        <v>86</v>
      </c>
      <c r="F29" s="1024" t="s">
        <v>1934</v>
      </c>
      <c r="G29" s="926">
        <f>+G31-G30</f>
        <v>2498.8000000000002</v>
      </c>
      <c r="H29" s="926">
        <f t="shared" ref="H29:P29" si="33">+H31-H30</f>
        <v>2493.1999999999998</v>
      </c>
      <c r="I29" s="926">
        <f t="shared" si="33"/>
        <v>2464.1</v>
      </c>
      <c r="J29" s="926">
        <f t="shared" si="33"/>
        <v>2535.4</v>
      </c>
      <c r="K29" s="926">
        <f t="shared" si="33"/>
        <v>2598.6999999999998</v>
      </c>
      <c r="L29" s="926">
        <f t="shared" si="33"/>
        <v>2728.9</v>
      </c>
      <c r="M29" s="926">
        <f t="shared" si="33"/>
        <v>2816.6000000000004</v>
      </c>
      <c r="N29" s="926">
        <f t="shared" si="33"/>
        <v>2808.2</v>
      </c>
      <c r="O29" s="926">
        <f t="shared" si="33"/>
        <v>2787.7</v>
      </c>
      <c r="P29" s="926">
        <f t="shared" si="33"/>
        <v>2745.2</v>
      </c>
      <c r="Q29" s="926">
        <f t="shared" ref="Q29:V29" si="34">+Q31-Q30</f>
        <v>2761.2</v>
      </c>
      <c r="R29" s="926">
        <f t="shared" si="34"/>
        <v>2813.5</v>
      </c>
      <c r="S29" s="926">
        <f t="shared" si="34"/>
        <v>2912.1000000000004</v>
      </c>
      <c r="T29" s="926">
        <f t="shared" si="34"/>
        <v>2991.7</v>
      </c>
      <c r="U29" s="926">
        <f t="shared" si="34"/>
        <v>2905.3</v>
      </c>
      <c r="V29" s="926">
        <f t="shared" si="34"/>
        <v>2948.3</v>
      </c>
      <c r="W29" s="926">
        <f t="shared" ref="W29:AB29" si="35">+W31-W30</f>
        <v>3049.6000000000004</v>
      </c>
      <c r="X29" s="926">
        <f t="shared" si="35"/>
        <v>3079.2</v>
      </c>
      <c r="Y29" s="926">
        <f t="shared" si="35"/>
        <v>3112</v>
      </c>
      <c r="Z29" s="926">
        <f t="shared" si="35"/>
        <v>3165.3</v>
      </c>
      <c r="AA29" s="926">
        <f t="shared" si="35"/>
        <v>3211.3</v>
      </c>
      <c r="AB29" s="926">
        <f t="shared" si="35"/>
        <v>3278.5</v>
      </c>
      <c r="AC29" s="926">
        <f t="shared" ref="AC29" si="36">+AC31-AC30</f>
        <v>3369.3</v>
      </c>
      <c r="AD29" s="3025">
        <f t="shared" ref="AD29:AF30" si="37">+AC29*(1+AD46/100)</f>
        <v>3425.23038</v>
      </c>
      <c r="AE29" s="3025">
        <f t="shared" si="37"/>
        <v>3454.3448382299998</v>
      </c>
      <c r="AF29" s="3025">
        <f t="shared" si="37"/>
        <v>3473.3437348402649</v>
      </c>
      <c r="AG29" s="3200"/>
      <c r="AH29" s="2954"/>
      <c r="AI29" s="2954"/>
    </row>
    <row r="30" spans="1:43" ht="12.75">
      <c r="A30" s="701">
        <f>+ROW(InputY!A278)</f>
        <v>278</v>
      </c>
      <c r="C30" s="708" t="s">
        <v>1791</v>
      </c>
      <c r="D30" s="711"/>
      <c r="E30" s="220" t="s">
        <v>913</v>
      </c>
      <c r="F30" s="762" t="s">
        <v>1935</v>
      </c>
      <c r="G30" s="1609">
        <f>+InputY!G278</f>
        <v>1349</v>
      </c>
      <c r="H30" s="1609">
        <f>+InputY!H278</f>
        <v>1326</v>
      </c>
      <c r="I30" s="1609">
        <f>+InputY!I278</f>
        <v>1304</v>
      </c>
      <c r="J30" s="1609">
        <f>+InputY!J278</f>
        <v>1301</v>
      </c>
      <c r="K30" s="1609">
        <f>+InputY!K278</f>
        <v>1319</v>
      </c>
      <c r="L30" s="1609">
        <f>+InputY!L278</f>
        <v>1294</v>
      </c>
      <c r="M30" s="1609">
        <f>+InputY!M278</f>
        <v>1307</v>
      </c>
      <c r="N30" s="1609">
        <f>+InputY!N278</f>
        <v>1326</v>
      </c>
      <c r="O30" s="1609">
        <f>+InputY!O278</f>
        <v>1340</v>
      </c>
      <c r="P30" s="1609">
        <f>+InputY!P278</f>
        <v>1346</v>
      </c>
      <c r="Q30" s="1084">
        <f>+InputY!Q278</f>
        <v>1342</v>
      </c>
      <c r="R30" s="1084">
        <f>+InputY!R278</f>
        <v>1357</v>
      </c>
      <c r="S30" s="1084">
        <f>+InputY!S278</f>
        <v>1356</v>
      </c>
      <c r="T30" s="1084">
        <f>+InputY!T278</f>
        <v>1329</v>
      </c>
      <c r="U30" s="1084">
        <f>+InputY!U278</f>
        <v>1302</v>
      </c>
      <c r="V30" s="1084">
        <f>+InputY!V278</f>
        <v>1296</v>
      </c>
      <c r="W30" s="1084">
        <f>+InputY!W278</f>
        <v>1301</v>
      </c>
      <c r="X30" s="1084">
        <f>+InputY!X278</f>
        <v>1311</v>
      </c>
      <c r="Y30" s="1084">
        <f>+InputY!Y278</f>
        <v>1324</v>
      </c>
      <c r="Z30" s="1084">
        <f>+InputY!Z278</f>
        <v>1341</v>
      </c>
      <c r="AA30" s="1084">
        <f>+InputY!AA278</f>
        <v>1371</v>
      </c>
      <c r="AB30" s="1084">
        <f>+InputY!AB278</f>
        <v>1409</v>
      </c>
      <c r="AC30" s="1084">
        <f>+InputY!AC278</f>
        <v>1437</v>
      </c>
      <c r="AD30" s="3033">
        <f t="shared" si="37"/>
        <v>1464.3029999999999</v>
      </c>
      <c r="AE30" s="3033">
        <f t="shared" si="37"/>
        <v>1478.9460299999998</v>
      </c>
      <c r="AF30" s="3033">
        <f t="shared" si="37"/>
        <v>1493.8833849029998</v>
      </c>
      <c r="AG30" s="3200"/>
      <c r="AH30" s="2954"/>
      <c r="AI30" s="2954"/>
    </row>
    <row r="31" spans="1:43" ht="12.75">
      <c r="A31" s="701">
        <f>+ROW(InputY!A8)</f>
        <v>8</v>
      </c>
      <c r="B31" s="702">
        <v>63</v>
      </c>
      <c r="C31" s="708" t="s">
        <v>1793</v>
      </c>
      <c r="D31" s="783"/>
      <c r="E31" s="787" t="s">
        <v>1936</v>
      </c>
      <c r="F31" s="788" t="str">
        <f>+InputY!B8</f>
        <v>LEmpD</v>
      </c>
      <c r="G31" s="786">
        <f>+InputY!G8</f>
        <v>3847.8</v>
      </c>
      <c r="H31" s="786">
        <f>+InputY!H8</f>
        <v>3819.2</v>
      </c>
      <c r="I31" s="786">
        <f>+InputY!I8</f>
        <v>3768.1</v>
      </c>
      <c r="J31" s="786">
        <f>+InputY!J8</f>
        <v>3836.4</v>
      </c>
      <c r="K31" s="786">
        <f>+InputY!K8</f>
        <v>3917.7</v>
      </c>
      <c r="L31" s="786">
        <f>+InputY!L8</f>
        <v>4022.9</v>
      </c>
      <c r="M31" s="786">
        <f>+InputY!M8</f>
        <v>4123.6000000000004</v>
      </c>
      <c r="N31" s="786">
        <f>+InputY!N8</f>
        <v>4134.2</v>
      </c>
      <c r="O31" s="786">
        <f>+InputY!O8</f>
        <v>4127.7</v>
      </c>
      <c r="P31" s="786">
        <f>+InputY!P8</f>
        <v>4091.2</v>
      </c>
      <c r="Q31" s="786">
        <f>+InputY!Q8</f>
        <v>4103.2</v>
      </c>
      <c r="R31" s="786">
        <f>+InputY!R8</f>
        <v>4170.5</v>
      </c>
      <c r="S31" s="786">
        <f>+InputY!S8</f>
        <v>4268.1000000000004</v>
      </c>
      <c r="T31" s="786">
        <f>+InputY!T8</f>
        <v>4320.7</v>
      </c>
      <c r="U31" s="786">
        <f>+InputY!U8</f>
        <v>4207.3</v>
      </c>
      <c r="V31" s="786">
        <f>+InputY!V8</f>
        <v>4244.3</v>
      </c>
      <c r="W31" s="786">
        <f>+InputY!W8</f>
        <v>4350.6000000000004</v>
      </c>
      <c r="X31" s="786">
        <f>+InputY!X8</f>
        <v>4390.2</v>
      </c>
      <c r="Y31" s="786">
        <f>+InputY!Y8</f>
        <v>4436</v>
      </c>
      <c r="Z31" s="786">
        <f>+InputY!Z8</f>
        <v>4506.3</v>
      </c>
      <c r="AA31" s="786">
        <f>+InputY!AA8</f>
        <v>4582.3</v>
      </c>
      <c r="AB31" s="786">
        <f>+InputY!AB8</f>
        <v>4687.5</v>
      </c>
      <c r="AC31" s="786">
        <f>+InputY!AC8</f>
        <v>4806.3</v>
      </c>
      <c r="AD31" s="3027">
        <f>+AD29+AD30</f>
        <v>4889.5333799999999</v>
      </c>
      <c r="AE31" s="3027">
        <f>+AE29+AE30</f>
        <v>4933.2908682299994</v>
      </c>
      <c r="AF31" s="3027">
        <f>+AF29+AF30</f>
        <v>4967.2271197432647</v>
      </c>
      <c r="AG31" s="2954"/>
      <c r="AH31" s="2954"/>
      <c r="AI31" s="2954"/>
    </row>
    <row r="32" spans="1:43" ht="12.75">
      <c r="A32" s="1170"/>
      <c r="C32" s="708" t="s">
        <v>1791</v>
      </c>
      <c r="D32" s="711"/>
      <c r="E32" s="220" t="s">
        <v>1621</v>
      </c>
      <c r="F32" s="747" t="s">
        <v>639</v>
      </c>
      <c r="G32" s="742">
        <f>+G33-G31</f>
        <v>281.09999999999945</v>
      </c>
      <c r="H32" s="742">
        <f t="shared" ref="H32:V32" si="38">+H33-H31</f>
        <v>276.70000000000027</v>
      </c>
      <c r="I32" s="742">
        <f t="shared" si="38"/>
        <v>275.09999999999991</v>
      </c>
      <c r="J32" s="742">
        <f t="shared" si="38"/>
        <v>274.99999999999955</v>
      </c>
      <c r="K32" s="742">
        <f t="shared" si="38"/>
        <v>280</v>
      </c>
      <c r="L32" s="742">
        <f t="shared" si="38"/>
        <v>277.70000000000027</v>
      </c>
      <c r="M32" s="742">
        <f t="shared" si="38"/>
        <v>267.5</v>
      </c>
      <c r="N32" s="742">
        <f t="shared" si="38"/>
        <v>259</v>
      </c>
      <c r="O32" s="742">
        <f t="shared" si="38"/>
        <v>240.19999999999982</v>
      </c>
      <c r="P32" s="742">
        <f t="shared" si="38"/>
        <v>246</v>
      </c>
      <c r="Q32" s="742">
        <f t="shared" si="38"/>
        <v>245.5</v>
      </c>
      <c r="R32" s="742">
        <f t="shared" si="38"/>
        <v>251.89999999999964</v>
      </c>
      <c r="S32" s="742">
        <f t="shared" si="38"/>
        <v>256.29999999999927</v>
      </c>
      <c r="T32" s="742">
        <f t="shared" si="38"/>
        <v>244.5</v>
      </c>
      <c r="U32" s="742">
        <f t="shared" si="38"/>
        <v>247.5</v>
      </c>
      <c r="V32" s="742">
        <f t="shared" si="38"/>
        <v>253.39999999999964</v>
      </c>
      <c r="W32" s="742">
        <f t="shared" ref="W32:AB32" si="39">+W33-W31</f>
        <v>243</v>
      </c>
      <c r="X32" s="742">
        <f t="shared" si="39"/>
        <v>237.19999999999982</v>
      </c>
      <c r="Y32" s="742">
        <f t="shared" si="39"/>
        <v>235.80000000000018</v>
      </c>
      <c r="Z32" s="742">
        <f t="shared" si="39"/>
        <v>231.09999999999945</v>
      </c>
      <c r="AA32" s="742">
        <f t="shared" si="39"/>
        <v>225.09999999999945</v>
      </c>
      <c r="AB32" s="742">
        <f t="shared" si="39"/>
        <v>209</v>
      </c>
      <c r="AC32" s="742">
        <f t="shared" ref="AC32" si="40">+AC33-AC31</f>
        <v>205</v>
      </c>
      <c r="AD32" s="3034">
        <f>+AC32*(1+AD49/100)</f>
        <v>205</v>
      </c>
      <c r="AE32" s="3034">
        <f>+AD32*(1+AE49/100)</f>
        <v>205</v>
      </c>
      <c r="AF32" s="3034">
        <f>+AE32*(1+AF49/100)</f>
        <v>205</v>
      </c>
    </row>
    <row r="33" spans="1:43" ht="12.75">
      <c r="A33" s="701">
        <f>+ROW(InputY!A7)</f>
        <v>7</v>
      </c>
      <c r="B33" s="702">
        <v>59</v>
      </c>
      <c r="C33" s="708" t="s">
        <v>1793</v>
      </c>
      <c r="D33" s="783"/>
      <c r="E33" s="787" t="s">
        <v>634</v>
      </c>
      <c r="F33" s="788" t="str">
        <f>+InputY!B7</f>
        <v>LEmpTotD</v>
      </c>
      <c r="G33" s="786">
        <f>+InputY!G7</f>
        <v>4128.8999999999996</v>
      </c>
      <c r="H33" s="786">
        <f>+InputY!H7</f>
        <v>4095.9</v>
      </c>
      <c r="I33" s="786">
        <f>+InputY!I7</f>
        <v>4043.2</v>
      </c>
      <c r="J33" s="786">
        <f>+InputY!J7</f>
        <v>4111.3999999999996</v>
      </c>
      <c r="K33" s="786">
        <f>+InputY!K7</f>
        <v>4197.7</v>
      </c>
      <c r="L33" s="786">
        <f>+InputY!L7</f>
        <v>4300.6000000000004</v>
      </c>
      <c r="M33" s="786">
        <f>+InputY!M7</f>
        <v>4391.1000000000004</v>
      </c>
      <c r="N33" s="786">
        <f>+InputY!N7</f>
        <v>4393.2</v>
      </c>
      <c r="O33" s="786">
        <f>+InputY!O7</f>
        <v>4367.8999999999996</v>
      </c>
      <c r="P33" s="786">
        <f>+InputY!P7</f>
        <v>4337.2</v>
      </c>
      <c r="Q33" s="786">
        <f>+InputY!Q7</f>
        <v>4348.7</v>
      </c>
      <c r="R33" s="786">
        <f>+InputY!R7</f>
        <v>4422.3999999999996</v>
      </c>
      <c r="S33" s="786">
        <f>+InputY!S7</f>
        <v>4524.3999999999996</v>
      </c>
      <c r="T33" s="786">
        <f>+InputY!T7</f>
        <v>4565.2</v>
      </c>
      <c r="U33" s="786">
        <f>+InputY!U7</f>
        <v>4454.8</v>
      </c>
      <c r="V33" s="786">
        <f>+InputY!V7</f>
        <v>4497.7</v>
      </c>
      <c r="W33" s="786">
        <f>+InputY!W7</f>
        <v>4593.6000000000004</v>
      </c>
      <c r="X33" s="786">
        <f>+InputY!X7</f>
        <v>4627.3999999999996</v>
      </c>
      <c r="Y33" s="786">
        <f>+InputY!Y7</f>
        <v>4671.8</v>
      </c>
      <c r="Z33" s="786">
        <f>+InputY!Z7</f>
        <v>4737.3999999999996</v>
      </c>
      <c r="AA33" s="786">
        <f>+InputY!AA7</f>
        <v>4807.3999999999996</v>
      </c>
      <c r="AB33" s="786">
        <f>+InputY!AB7</f>
        <v>4896.5</v>
      </c>
      <c r="AC33" s="786">
        <f>+InputY!AC7</f>
        <v>5011.3</v>
      </c>
      <c r="AD33" s="3027">
        <f>+AD31+AD32</f>
        <v>5094.5333799999999</v>
      </c>
      <c r="AE33" s="3027">
        <f>+AE31+AE32</f>
        <v>5138.2908682299994</v>
      </c>
      <c r="AF33" s="3027">
        <f>+AF31+AF32</f>
        <v>5172.2271197432647</v>
      </c>
    </row>
    <row r="34" spans="1:43" ht="12.75">
      <c r="A34" s="701"/>
      <c r="C34" s="708" t="s">
        <v>1791</v>
      </c>
      <c r="D34" s="711"/>
      <c r="E34" s="220" t="s">
        <v>641</v>
      </c>
      <c r="F34" s="747" t="s">
        <v>1324</v>
      </c>
      <c r="G34" s="914">
        <f>+G35-G33</f>
        <v>-121.19999999999982</v>
      </c>
      <c r="H34" s="914">
        <f t="shared" ref="H34:X34" si="41">+H35-H33</f>
        <v>-111.40000000000009</v>
      </c>
      <c r="I34" s="914">
        <f t="shared" si="41"/>
        <v>-96.899999999999636</v>
      </c>
      <c r="J34" s="914">
        <f t="shared" si="41"/>
        <v>-100.99999999999955</v>
      </c>
      <c r="K34" s="914">
        <f t="shared" si="41"/>
        <v>-98.699999999999818</v>
      </c>
      <c r="L34" s="914">
        <f t="shared" si="41"/>
        <v>-112.20000000000073</v>
      </c>
      <c r="M34" s="914">
        <f t="shared" si="41"/>
        <v>-43.700000000000728</v>
      </c>
      <c r="N34" s="914">
        <f t="shared" si="41"/>
        <v>-31.699999999999818</v>
      </c>
      <c r="O34" s="914">
        <f t="shared" si="41"/>
        <v>-17.399999999999636</v>
      </c>
      <c r="P34" s="914">
        <f t="shared" si="41"/>
        <v>-4.5999999999994543</v>
      </c>
      <c r="Q34" s="914">
        <f t="shared" si="41"/>
        <v>-1.0999999999994543</v>
      </c>
      <c r="R34" s="1988">
        <f t="shared" si="41"/>
        <v>7</v>
      </c>
      <c r="S34" s="1988">
        <f t="shared" si="41"/>
        <v>16.300000000000182</v>
      </c>
      <c r="T34" s="1988">
        <f t="shared" si="41"/>
        <v>27.800000000000182</v>
      </c>
      <c r="U34" s="1988">
        <f t="shared" si="41"/>
        <v>43.899999999999636</v>
      </c>
      <c r="V34" s="1988">
        <f t="shared" si="41"/>
        <v>26</v>
      </c>
      <c r="W34" s="1988">
        <f t="shared" si="41"/>
        <v>32.299999999999272</v>
      </c>
      <c r="X34" s="1988">
        <f t="shared" si="41"/>
        <v>29.700000000000728</v>
      </c>
      <c r="Y34" s="1988">
        <f>+Y35-Y33</f>
        <v>32.899999999999636</v>
      </c>
      <c r="Z34" s="1988">
        <f>+Z35-Z33</f>
        <v>34.900000000000546</v>
      </c>
      <c r="AA34" s="1988">
        <f>+AA35-AA33</f>
        <v>29.800000000000182</v>
      </c>
      <c r="AB34" s="1988">
        <f>+AB35-AB33</f>
        <v>13.600000000000364</v>
      </c>
      <c r="AC34" s="1988">
        <f>+AC35-AC33</f>
        <v>10.5</v>
      </c>
      <c r="AD34" s="3027">
        <f>+AC34*(1+AD51/100)</f>
        <v>10.5</v>
      </c>
      <c r="AE34" s="3027">
        <f>+AD34*(1+AE51/100)</f>
        <v>10.5</v>
      </c>
      <c r="AF34" s="3027">
        <f>+AE34*(1+AF51/100)</f>
        <v>10.5</v>
      </c>
    </row>
    <row r="35" spans="1:43" s="736" customFormat="1" ht="12.75" customHeight="1">
      <c r="A35" s="701">
        <f>+ROW(InputY!A9)</f>
        <v>9</v>
      </c>
      <c r="B35" s="701">
        <v>79</v>
      </c>
      <c r="C35" s="915" t="s">
        <v>1793</v>
      </c>
      <c r="D35" s="783"/>
      <c r="E35" s="784" t="s">
        <v>635</v>
      </c>
      <c r="F35" s="785" t="str">
        <f>+InputY!B9</f>
        <v>LEmpTot</v>
      </c>
      <c r="G35" s="786">
        <f>+InputY!G9</f>
        <v>4007.7</v>
      </c>
      <c r="H35" s="786">
        <f>+InputY!H9</f>
        <v>3984.5</v>
      </c>
      <c r="I35" s="786">
        <f>+InputY!I9</f>
        <v>3946.3</v>
      </c>
      <c r="J35" s="786">
        <f>+InputY!J9</f>
        <v>4010.4</v>
      </c>
      <c r="K35" s="786">
        <f>+InputY!K9</f>
        <v>4099</v>
      </c>
      <c r="L35" s="786">
        <f>+InputY!L9</f>
        <v>4188.3999999999996</v>
      </c>
      <c r="M35" s="786">
        <f>+InputY!M9</f>
        <v>4347.3999999999996</v>
      </c>
      <c r="N35" s="786">
        <f>+InputY!N9</f>
        <v>4361.5</v>
      </c>
      <c r="O35" s="786">
        <f>+InputY!O9</f>
        <v>4350.5</v>
      </c>
      <c r="P35" s="786">
        <f>+InputY!P9</f>
        <v>4332.6000000000004</v>
      </c>
      <c r="Q35" s="786">
        <f>+InputY!Q9</f>
        <v>4347.6000000000004</v>
      </c>
      <c r="R35" s="786">
        <f>+InputY!R9</f>
        <v>4429.3999999999996</v>
      </c>
      <c r="S35" s="786">
        <f>+InputY!S9</f>
        <v>4540.7</v>
      </c>
      <c r="T35" s="786">
        <f>+InputY!T9</f>
        <v>4593</v>
      </c>
      <c r="U35" s="786">
        <f>+InputY!U9</f>
        <v>4498.7</v>
      </c>
      <c r="V35" s="786">
        <f>+InputY!V9</f>
        <v>4523.7</v>
      </c>
      <c r="W35" s="786">
        <f>+InputY!W9</f>
        <v>4625.8999999999996</v>
      </c>
      <c r="X35" s="786">
        <f>+InputY!X9</f>
        <v>4657.1000000000004</v>
      </c>
      <c r="Y35" s="786">
        <f>+InputY!Y9</f>
        <v>4704.7</v>
      </c>
      <c r="Z35" s="786">
        <f>+InputY!Z9</f>
        <v>4772.3</v>
      </c>
      <c r="AA35" s="786">
        <f>+InputY!AA9</f>
        <v>4837.2</v>
      </c>
      <c r="AB35" s="786">
        <f>+InputY!AB9</f>
        <v>4910.1000000000004</v>
      </c>
      <c r="AC35" s="786">
        <f>+InputY!AC9</f>
        <v>5021.8</v>
      </c>
      <c r="AD35" s="3027">
        <f>+AD33+AD34</f>
        <v>5105.0333799999999</v>
      </c>
      <c r="AE35" s="3027">
        <f>+AE33+AE34</f>
        <v>5148.7908682299994</v>
      </c>
      <c r="AF35" s="3027">
        <f>+AF33+AF34</f>
        <v>5182.7271197432647</v>
      </c>
      <c r="AG35" s="3385"/>
      <c r="AH35" s="3385"/>
      <c r="AI35" s="2939"/>
      <c r="AJ35" s="2939"/>
      <c r="AK35" s="2939"/>
      <c r="AL35" s="2939"/>
      <c r="AM35" s="2939"/>
      <c r="AN35" s="2939"/>
      <c r="AO35" s="2939"/>
      <c r="AP35" s="2939"/>
      <c r="AQ35" s="2939"/>
    </row>
    <row r="36" spans="1:43" s="26" customFormat="1" ht="12.75">
      <c r="A36" s="701"/>
      <c r="B36" s="710"/>
      <c r="C36" s="916"/>
      <c r="D36" s="716"/>
      <c r="E36" s="717" t="s">
        <v>992</v>
      </c>
      <c r="F36" s="3195" t="s">
        <v>2064</v>
      </c>
      <c r="G36" s="719">
        <f>+G35/G9</f>
        <v>0.62336457596292383</v>
      </c>
      <c r="H36" s="719">
        <f t="shared" ref="H36:W36" si="42">+H35/H9</f>
        <v>0.62017837385323615</v>
      </c>
      <c r="I36" s="719">
        <f t="shared" si="42"/>
        <v>0.61448967366788032</v>
      </c>
      <c r="J36" s="719">
        <f t="shared" si="42"/>
        <v>0.62429039777575535</v>
      </c>
      <c r="K36" s="719">
        <f t="shared" si="42"/>
        <v>0.63737077944972931</v>
      </c>
      <c r="L36" s="719">
        <f t="shared" si="42"/>
        <v>0.64947525534787054</v>
      </c>
      <c r="M36" s="719">
        <f t="shared" si="42"/>
        <v>0.67105360849916851</v>
      </c>
      <c r="N36" s="719">
        <f t="shared" si="42"/>
        <v>0.66937455262482615</v>
      </c>
      <c r="O36" s="719">
        <f t="shared" si="42"/>
        <v>0.66330877873655114</v>
      </c>
      <c r="P36" s="719">
        <f t="shared" si="42"/>
        <v>0.6558376109382561</v>
      </c>
      <c r="Q36" s="719">
        <f t="shared" si="42"/>
        <v>0.65285200039162716</v>
      </c>
      <c r="R36" s="719">
        <f t="shared" si="42"/>
        <v>0.65857554750950376</v>
      </c>
      <c r="S36" s="719">
        <f t="shared" si="42"/>
        <v>0.66752019635593096</v>
      </c>
      <c r="T36" s="719">
        <f t="shared" si="42"/>
        <v>0.66773774145886666</v>
      </c>
      <c r="U36" s="719">
        <f t="shared" si="42"/>
        <v>0.64689514559742245</v>
      </c>
      <c r="V36" s="719">
        <f t="shared" si="42"/>
        <v>0.64424298885338716</v>
      </c>
      <c r="W36" s="719">
        <f t="shared" si="42"/>
        <v>0.65409276002216266</v>
      </c>
      <c r="X36" s="719">
        <f t="shared" ref="X36:AD36" si="43">+X35/X9</f>
        <v>0.65463473761441027</v>
      </c>
      <c r="Y36" s="719">
        <f t="shared" si="43"/>
        <v>0.65740158067303345</v>
      </c>
      <c r="Z36" s="719">
        <f t="shared" si="43"/>
        <v>0.66237900840239905</v>
      </c>
      <c r="AA36" s="719">
        <f t="shared" si="43"/>
        <v>0.66639205707838356</v>
      </c>
      <c r="AB36" s="719">
        <f t="shared" ref="AB36" si="44">+AB35/AB9</f>
        <v>0.66999035151671948</v>
      </c>
      <c r="AC36" s="719">
        <f t="shared" si="43"/>
        <v>0.6783111567718938</v>
      </c>
      <c r="AD36" s="719">
        <f t="shared" si="43"/>
        <v>0.68277591327054998</v>
      </c>
      <c r="AE36" s="719">
        <f t="shared" ref="AE36:AF36" si="45">+AE35/AE9</f>
        <v>0.6850391975253336</v>
      </c>
      <c r="AF36" s="719">
        <f t="shared" si="45"/>
        <v>0.68598779261285336</v>
      </c>
      <c r="AG36" s="2952"/>
      <c r="AH36" s="2952"/>
      <c r="AI36" s="2952"/>
      <c r="AJ36" s="2952"/>
      <c r="AK36" s="2952"/>
      <c r="AL36" s="2952"/>
      <c r="AM36" s="2952"/>
      <c r="AN36" s="2952"/>
      <c r="AO36" s="2952"/>
      <c r="AP36" s="2952"/>
      <c r="AQ36" s="2952"/>
    </row>
    <row r="37" spans="1:43" ht="12.75">
      <c r="A37" s="701">
        <f>+ROW(InputY!A17)</f>
        <v>17</v>
      </c>
      <c r="B37" s="1170">
        <v>78</v>
      </c>
      <c r="C37" s="708" t="s">
        <v>1791</v>
      </c>
      <c r="D37" s="711"/>
      <c r="E37" s="220" t="s">
        <v>582</v>
      </c>
      <c r="F37" s="762" t="s">
        <v>583</v>
      </c>
      <c r="G37" s="742">
        <f>+InputY!G17</f>
        <v>444.2</v>
      </c>
      <c r="H37" s="742">
        <f>+InputY!H17</f>
        <v>479.8</v>
      </c>
      <c r="I37" s="742">
        <f>+InputY!I17</f>
        <v>487.2</v>
      </c>
      <c r="J37" s="742">
        <f>+InputY!J17</f>
        <v>409.9</v>
      </c>
      <c r="K37" s="742">
        <f>+InputY!K17</f>
        <v>353.9</v>
      </c>
      <c r="L37" s="742">
        <f>+InputY!L17</f>
        <v>299</v>
      </c>
      <c r="M37" s="742">
        <f>+InputY!M17</f>
        <v>270</v>
      </c>
      <c r="N37" s="742">
        <f>+InputY!N17</f>
        <v>276.8</v>
      </c>
      <c r="O37" s="742">
        <f>+InputY!O17</f>
        <v>306.3</v>
      </c>
      <c r="P37" s="742">
        <f>+InputY!P17</f>
        <v>345.6</v>
      </c>
      <c r="Q37" s="742">
        <f>+InputY!Q17</f>
        <v>361</v>
      </c>
      <c r="R37" s="742">
        <f>+InputY!R17</f>
        <v>336.3</v>
      </c>
      <c r="S37" s="742">
        <f>+InputY!S17</f>
        <v>297.5</v>
      </c>
      <c r="T37" s="742">
        <f>+InputY!T17</f>
        <v>304.7</v>
      </c>
      <c r="U37" s="742">
        <f>+InputY!U17</f>
        <v>408.3</v>
      </c>
      <c r="V37" s="742">
        <f>+InputY!V17</f>
        <v>425</v>
      </c>
      <c r="W37" s="742">
        <f>+InputY!W17</f>
        <v>390</v>
      </c>
      <c r="X37" s="742">
        <f>+InputY!X17</f>
        <v>403</v>
      </c>
      <c r="Y37" s="742">
        <f>+InputY!Y17</f>
        <v>411</v>
      </c>
      <c r="Z37" s="742">
        <f>+InputY!Z17</f>
        <v>411</v>
      </c>
      <c r="AA37" s="742">
        <f>+InputY!AA17</f>
        <v>387</v>
      </c>
      <c r="AB37" s="742">
        <f>+InputY!AB17</f>
        <v>366</v>
      </c>
      <c r="AC37" s="742">
        <f>+InputY!AC17</f>
        <v>358</v>
      </c>
      <c r="AD37" s="3027">
        <f>+AD11-AD35</f>
        <v>340.93816000000061</v>
      </c>
      <c r="AE37" s="3027">
        <f>+AE11-AE35</f>
        <v>340.7484440900007</v>
      </c>
      <c r="AF37" s="3027">
        <f>+AF11-AF35</f>
        <v>342.49419810681502</v>
      </c>
    </row>
    <row r="38" spans="1:43" s="26" customFormat="1" ht="12.75">
      <c r="A38" s="1964"/>
      <c r="B38" s="710"/>
      <c r="C38" s="916"/>
      <c r="D38" s="716"/>
      <c r="E38" s="717" t="s">
        <v>584</v>
      </c>
      <c r="F38" s="1969" t="s">
        <v>1159</v>
      </c>
      <c r="G38" s="1970">
        <f t="shared" ref="G38:X38" si="46">+G37/G11</f>
        <v>9.9777623037354837E-2</v>
      </c>
      <c r="H38" s="1970">
        <f t="shared" si="46"/>
        <v>0.10747485608046053</v>
      </c>
      <c r="I38" s="1970">
        <f t="shared" si="46"/>
        <v>0.10989060561633021</v>
      </c>
      <c r="J38" s="1970">
        <f t="shared" si="46"/>
        <v>9.2731262583987506E-2</v>
      </c>
      <c r="K38" s="1970">
        <f t="shared" si="46"/>
        <v>7.9476296346201347E-2</v>
      </c>
      <c r="L38" s="1970">
        <f t="shared" si="46"/>
        <v>6.6631011276017296E-2</v>
      </c>
      <c r="M38" s="1970">
        <f t="shared" si="46"/>
        <v>5.8474466149781266E-2</v>
      </c>
      <c r="N38" s="1970">
        <f t="shared" si="46"/>
        <v>5.9677036845395943E-2</v>
      </c>
      <c r="O38" s="1970">
        <f t="shared" si="46"/>
        <v>6.5774780965469848E-2</v>
      </c>
      <c r="P38" s="1970">
        <f t="shared" si="46"/>
        <v>7.3874567141208144E-2</v>
      </c>
      <c r="Q38" s="1970">
        <f t="shared" si="46"/>
        <v>7.6668224100581911E-2</v>
      </c>
      <c r="R38" s="1970">
        <f t="shared" si="46"/>
        <v>7.0566758293639981E-2</v>
      </c>
      <c r="S38" s="1970">
        <f t="shared" si="46"/>
        <v>6.1489810260014058E-2</v>
      </c>
      <c r="T38" s="1970">
        <f t="shared" si="46"/>
        <v>6.2212875431324907E-2</v>
      </c>
      <c r="U38" s="1970">
        <f t="shared" si="46"/>
        <v>8.320766252292644E-2</v>
      </c>
      <c r="V38" s="1970">
        <f t="shared" si="46"/>
        <v>8.5881140501545869E-2</v>
      </c>
      <c r="W38" s="1970">
        <f>+W37/W11</f>
        <v>7.7752746266871356E-2</v>
      </c>
      <c r="X38" s="3249">
        <f t="shared" si="46"/>
        <v>7.9642694808402983E-2</v>
      </c>
      <c r="Y38" s="3249">
        <f t="shared" ref="Y38:AD38" si="47">+Y37/Y11</f>
        <v>8.0340911312234892E-2</v>
      </c>
      <c r="Z38" s="3249">
        <f t="shared" si="47"/>
        <v>7.9293114425173145E-2</v>
      </c>
      <c r="AA38" s="3249">
        <f t="shared" si="47"/>
        <v>7.4078327782244172E-2</v>
      </c>
      <c r="AB38" s="3249">
        <f t="shared" ref="AB38" si="48">+AB37/AB11</f>
        <v>6.936942059475748E-2</v>
      </c>
      <c r="AC38" s="3433">
        <f t="shared" si="47"/>
        <v>6.6545224729543842E-2</v>
      </c>
      <c r="AD38" s="3677">
        <f t="shared" si="47"/>
        <v>6.2603735163845639E-2</v>
      </c>
      <c r="AE38" s="3677">
        <f t="shared" ref="AE38:AF38" si="49">+AE37/AE11</f>
        <v>6.2072320590777025E-2</v>
      </c>
      <c r="AF38" s="3677">
        <f t="shared" si="49"/>
        <v>6.1987417047048354E-2</v>
      </c>
      <c r="AG38" s="2952"/>
      <c r="AH38" s="2952"/>
      <c r="AI38" s="2952"/>
      <c r="AJ38" s="2952"/>
      <c r="AK38" s="2952"/>
      <c r="AL38" s="2952"/>
      <c r="AM38" s="2952"/>
      <c r="AN38" s="2952"/>
      <c r="AO38" s="2952"/>
      <c r="AP38" s="2952"/>
      <c r="AQ38" s="2952"/>
    </row>
    <row r="39" spans="1:43" s="1041" customFormat="1" ht="10.15">
      <c r="A39" s="1036">
        <f>+ROW(InputY!A223)</f>
        <v>223</v>
      </c>
      <c r="B39" s="710"/>
      <c r="C39" s="916"/>
      <c r="D39" s="1972"/>
      <c r="E39" s="1973" t="s">
        <v>1586</v>
      </c>
      <c r="F39" s="1974" t="str">
        <f>+InputY!B223</f>
        <v>LUemp</v>
      </c>
      <c r="G39" s="1975">
        <f>+InputY!G223</f>
        <v>444.2</v>
      </c>
      <c r="H39" s="1975">
        <f>+InputY!H223</f>
        <v>479.8</v>
      </c>
      <c r="I39" s="1975">
        <f>+InputY!I223</f>
        <v>487.2</v>
      </c>
      <c r="J39" s="1975">
        <f>+InputY!J223</f>
        <v>409.9</v>
      </c>
      <c r="K39" s="1975">
        <f>+InputY!K223</f>
        <v>353.9</v>
      </c>
      <c r="L39" s="1975">
        <f>+InputY!L223</f>
        <v>299</v>
      </c>
      <c r="M39" s="1975">
        <f>+InputY!M223</f>
        <v>270</v>
      </c>
      <c r="N39" s="1975">
        <f>+InputY!N223</f>
        <v>276.8</v>
      </c>
      <c r="O39" s="1975">
        <f>+InputY!O223</f>
        <v>306.3</v>
      </c>
      <c r="P39" s="1975">
        <f>+InputY!P223</f>
        <v>345.6</v>
      </c>
      <c r="Q39" s="1975">
        <f>+InputY!Q223</f>
        <v>361</v>
      </c>
      <c r="R39" s="1975">
        <f>+InputY!R223</f>
        <v>336.3</v>
      </c>
      <c r="S39" s="1975">
        <f>+InputY!S223</f>
        <v>297.5</v>
      </c>
      <c r="T39" s="1975">
        <f>+InputY!T223</f>
        <v>304.7</v>
      </c>
      <c r="U39" s="1975">
        <f>+InputY!U223</f>
        <v>408.3</v>
      </c>
      <c r="V39" s="1975">
        <f>+InputY!V223</f>
        <v>425</v>
      </c>
      <c r="W39" s="1975">
        <f>+InputY!W223</f>
        <v>390</v>
      </c>
      <c r="X39" s="1975">
        <f>+InputY!X223</f>
        <v>403</v>
      </c>
      <c r="Y39" s="1975">
        <f>+InputY!Y223</f>
        <v>411</v>
      </c>
      <c r="Z39" s="3035">
        <f t="shared" ref="Z39:AF39" si="50">+Z64+Y39</f>
        <v>411</v>
      </c>
      <c r="AA39" s="3035">
        <f t="shared" si="50"/>
        <v>387</v>
      </c>
      <c r="AB39" s="3035">
        <f t="shared" si="50"/>
        <v>366</v>
      </c>
      <c r="AC39" s="3035">
        <f t="shared" si="50"/>
        <v>358</v>
      </c>
      <c r="AD39" s="3035">
        <f t="shared" si="50"/>
        <v>340.93816000000061</v>
      </c>
      <c r="AE39" s="3035">
        <f t="shared" si="50"/>
        <v>340.7484440900007</v>
      </c>
      <c r="AF39" s="3035">
        <f t="shared" si="50"/>
        <v>342.49419810681502</v>
      </c>
      <c r="AG39" s="2953"/>
      <c r="AH39" s="2953"/>
      <c r="AI39" s="2953"/>
      <c r="AJ39" s="2953"/>
      <c r="AK39" s="2953"/>
      <c r="AL39" s="2953"/>
      <c r="AM39" s="2953"/>
      <c r="AN39" s="2953"/>
      <c r="AO39" s="2953"/>
      <c r="AP39" s="2953"/>
      <c r="AQ39" s="2953"/>
    </row>
    <row r="40" spans="1:43" s="1041" customFormat="1" ht="10.15">
      <c r="A40" s="1036"/>
      <c r="B40" s="710"/>
      <c r="C40" s="916"/>
      <c r="D40" s="1972"/>
      <c r="E40" s="1973" t="s">
        <v>1388</v>
      </c>
      <c r="F40" s="1974"/>
      <c r="G40" s="1975">
        <f>+G39-G37</f>
        <v>0</v>
      </c>
      <c r="H40" s="1975">
        <f t="shared" ref="H40:V40" si="51">+H39-H37</f>
        <v>0</v>
      </c>
      <c r="I40" s="1975">
        <f t="shared" si="51"/>
        <v>0</v>
      </c>
      <c r="J40" s="1975">
        <f t="shared" si="51"/>
        <v>0</v>
      </c>
      <c r="K40" s="1975">
        <f t="shared" si="51"/>
        <v>0</v>
      </c>
      <c r="L40" s="1975">
        <f t="shared" si="51"/>
        <v>0</v>
      </c>
      <c r="M40" s="1975">
        <f t="shared" si="51"/>
        <v>0</v>
      </c>
      <c r="N40" s="1975">
        <f t="shared" si="51"/>
        <v>0</v>
      </c>
      <c r="O40" s="1975">
        <f t="shared" si="51"/>
        <v>0</v>
      </c>
      <c r="P40" s="1975">
        <f t="shared" si="51"/>
        <v>0</v>
      </c>
      <c r="Q40" s="1975">
        <f t="shared" si="51"/>
        <v>0</v>
      </c>
      <c r="R40" s="1975">
        <f t="shared" si="51"/>
        <v>0</v>
      </c>
      <c r="S40" s="1975">
        <f t="shared" si="51"/>
        <v>0</v>
      </c>
      <c r="T40" s="1975">
        <f t="shared" si="51"/>
        <v>0</v>
      </c>
      <c r="U40" s="1975">
        <f t="shared" si="51"/>
        <v>0</v>
      </c>
      <c r="V40" s="1975">
        <f t="shared" si="51"/>
        <v>0</v>
      </c>
      <c r="W40" s="1975">
        <f t="shared" ref="W40:AA40" si="52">+W39-W37</f>
        <v>0</v>
      </c>
      <c r="X40" s="1975">
        <f t="shared" si="52"/>
        <v>0</v>
      </c>
      <c r="Y40" s="1975">
        <f t="shared" si="52"/>
        <v>0</v>
      </c>
      <c r="Z40" s="3035">
        <f t="shared" si="52"/>
        <v>0</v>
      </c>
      <c r="AA40" s="3035">
        <f t="shared" si="52"/>
        <v>0</v>
      </c>
      <c r="AB40" s="3035">
        <f t="shared" ref="AB40" si="53">+AB39-AB37</f>
        <v>0</v>
      </c>
      <c r="AC40" s="3035">
        <f>+AC39-AC37</f>
        <v>0</v>
      </c>
      <c r="AD40" s="3035">
        <f>+AD39-AD37</f>
        <v>0</v>
      </c>
      <c r="AE40" s="3035">
        <f>+AE39-AE37</f>
        <v>0</v>
      </c>
      <c r="AF40" s="3035">
        <f>+AF39-AF37</f>
        <v>0</v>
      </c>
      <c r="AG40" s="2953"/>
      <c r="AH40" s="2953"/>
      <c r="AI40" s="2953"/>
      <c r="AJ40" s="2953"/>
      <c r="AK40" s="2953"/>
      <c r="AL40" s="2953"/>
      <c r="AM40" s="2953"/>
      <c r="AN40" s="2953"/>
      <c r="AO40" s="2953"/>
      <c r="AP40" s="2953"/>
      <c r="AQ40" s="2953"/>
    </row>
    <row r="41" spans="1:43" s="1041" customFormat="1" ht="10.15">
      <c r="A41" s="1036"/>
      <c r="B41" s="710"/>
      <c r="C41" s="724"/>
      <c r="D41" s="1971"/>
      <c r="E41" s="1976" t="s">
        <v>1387</v>
      </c>
      <c r="F41" s="1971" t="s">
        <v>1159</v>
      </c>
      <c r="G41" s="1977">
        <f t="shared" ref="G41:Q41" si="54">+G39/G11</f>
        <v>9.9777623037354837E-2</v>
      </c>
      <c r="H41" s="1977">
        <f t="shared" si="54"/>
        <v>0.10747485608046053</v>
      </c>
      <c r="I41" s="1977">
        <f t="shared" si="54"/>
        <v>0.10989060561633021</v>
      </c>
      <c r="J41" s="1977">
        <f t="shared" si="54"/>
        <v>9.2731262583987506E-2</v>
      </c>
      <c r="K41" s="1977">
        <f t="shared" si="54"/>
        <v>7.9476296346201347E-2</v>
      </c>
      <c r="L41" s="1977">
        <f t="shared" si="54"/>
        <v>6.6631011276017296E-2</v>
      </c>
      <c r="M41" s="1977">
        <f t="shared" si="54"/>
        <v>5.8474466149781266E-2</v>
      </c>
      <c r="N41" s="1977">
        <f t="shared" si="54"/>
        <v>5.9677036845395943E-2</v>
      </c>
      <c r="O41" s="1977">
        <f t="shared" si="54"/>
        <v>6.5774780965469848E-2</v>
      </c>
      <c r="P41" s="1977">
        <f t="shared" si="54"/>
        <v>7.3874567141208144E-2</v>
      </c>
      <c r="Q41" s="1977">
        <f t="shared" si="54"/>
        <v>7.6668224100581911E-2</v>
      </c>
      <c r="R41" s="1977">
        <f t="shared" ref="R41:W41" si="55">+R39/R11</f>
        <v>7.0566758293639981E-2</v>
      </c>
      <c r="S41" s="1977">
        <f t="shared" si="55"/>
        <v>6.1489810260014058E-2</v>
      </c>
      <c r="T41" s="1977">
        <f t="shared" si="55"/>
        <v>6.2212875431324907E-2</v>
      </c>
      <c r="U41" s="1977">
        <f t="shared" si="55"/>
        <v>8.320766252292644E-2</v>
      </c>
      <c r="V41" s="1977">
        <f t="shared" si="55"/>
        <v>8.5881140501545869E-2</v>
      </c>
      <c r="W41" s="1977">
        <f t="shared" si="55"/>
        <v>7.7752746266871356E-2</v>
      </c>
      <c r="X41" s="1977">
        <f t="shared" ref="X41:AC41" si="56">+X39/X11</f>
        <v>7.9642694808402983E-2</v>
      </c>
      <c r="Y41" s="1977">
        <f t="shared" si="56"/>
        <v>8.0340911312234892E-2</v>
      </c>
      <c r="Z41" s="3036">
        <f t="shared" si="56"/>
        <v>7.9293114425173145E-2</v>
      </c>
      <c r="AA41" s="3036">
        <f t="shared" si="56"/>
        <v>7.4078327782244172E-2</v>
      </c>
      <c r="AB41" s="3036">
        <f t="shared" ref="AB41" si="57">+AB39/AB11</f>
        <v>6.936942059475748E-2</v>
      </c>
      <c r="AC41" s="3036">
        <f t="shared" si="56"/>
        <v>6.6545224729543842E-2</v>
      </c>
      <c r="AD41" s="3036">
        <f t="shared" ref="AD41:AE41" si="58">+AD39/AD11</f>
        <v>6.2603735163845639E-2</v>
      </c>
      <c r="AE41" s="3036">
        <f t="shared" si="58"/>
        <v>6.2072320590777025E-2</v>
      </c>
      <c r="AF41" s="3036">
        <f t="shared" ref="AF41" si="59">+AF39/AF11</f>
        <v>6.1987417047048354E-2</v>
      </c>
      <c r="AG41" s="2953"/>
      <c r="AH41" s="2953"/>
      <c r="AI41" s="2953"/>
      <c r="AJ41" s="2953"/>
      <c r="AK41" s="2953"/>
      <c r="AL41" s="2953"/>
      <c r="AM41" s="2953"/>
      <c r="AN41" s="2953"/>
      <c r="AO41" s="2953"/>
      <c r="AP41" s="2953"/>
      <c r="AQ41" s="2953"/>
    </row>
    <row r="42" spans="1:43" s="736" customFormat="1" ht="12.75" customHeight="1">
      <c r="A42" s="701"/>
      <c r="B42" s="701"/>
      <c r="C42" s="706" t="s">
        <v>1793</v>
      </c>
      <c r="D42" s="789"/>
      <c r="E42" s="790" t="s">
        <v>1148</v>
      </c>
      <c r="F42" s="791" t="s">
        <v>1648</v>
      </c>
      <c r="G42" s="792">
        <f>+G11</f>
        <v>4451.8999999999996</v>
      </c>
      <c r="H42" s="792">
        <f t="shared" ref="H42:O42" si="60">+H11</f>
        <v>4464.3</v>
      </c>
      <c r="I42" s="792">
        <f t="shared" si="60"/>
        <v>4433.5</v>
      </c>
      <c r="J42" s="792">
        <f t="shared" si="60"/>
        <v>4420.3</v>
      </c>
      <c r="K42" s="792">
        <f t="shared" si="60"/>
        <v>4452.8999999999996</v>
      </c>
      <c r="L42" s="792">
        <f t="shared" si="60"/>
        <v>4487.3999999999996</v>
      </c>
      <c r="M42" s="792">
        <f t="shared" si="60"/>
        <v>4617.3999999999996</v>
      </c>
      <c r="N42" s="792">
        <f t="shared" si="60"/>
        <v>4638.3</v>
      </c>
      <c r="O42" s="792">
        <f t="shared" si="60"/>
        <v>4656.8</v>
      </c>
      <c r="P42" s="792">
        <f t="shared" ref="P42:X42" si="61">+P11</f>
        <v>4678.2000000000007</v>
      </c>
      <c r="Q42" s="792">
        <f t="shared" si="61"/>
        <v>4708.6000000000004</v>
      </c>
      <c r="R42" s="792">
        <f t="shared" si="61"/>
        <v>4765.7</v>
      </c>
      <c r="S42" s="792">
        <f t="shared" si="61"/>
        <v>4838.2</v>
      </c>
      <c r="T42" s="792">
        <f t="shared" si="61"/>
        <v>4897.7</v>
      </c>
      <c r="U42" s="792">
        <f t="shared" si="61"/>
        <v>4907</v>
      </c>
      <c r="V42" s="792">
        <f t="shared" si="61"/>
        <v>4948.7</v>
      </c>
      <c r="W42" s="792">
        <f t="shared" si="61"/>
        <v>5015.8999999999996</v>
      </c>
      <c r="X42" s="3024">
        <f t="shared" si="61"/>
        <v>5060.1000000000004</v>
      </c>
      <c r="Y42" s="3024">
        <f t="shared" ref="Y42:AD42" si="62">+Y11</f>
        <v>5115.7</v>
      </c>
      <c r="Z42" s="3024">
        <f t="shared" si="62"/>
        <v>5183.3</v>
      </c>
      <c r="AA42" s="3024">
        <f t="shared" si="62"/>
        <v>5224.2</v>
      </c>
      <c r="AB42" s="3024">
        <f t="shared" ref="AB42" si="63">+AB11</f>
        <v>5276.1</v>
      </c>
      <c r="AC42" s="3024">
        <f t="shared" si="62"/>
        <v>5379.8</v>
      </c>
      <c r="AD42" s="3024">
        <f t="shared" si="62"/>
        <v>5445.9715400000005</v>
      </c>
      <c r="AE42" s="3024">
        <f t="shared" ref="AE42:AF42" si="64">+AE11</f>
        <v>5489.5393123200001</v>
      </c>
      <c r="AF42" s="3024">
        <f t="shared" si="64"/>
        <v>5525.2213178500797</v>
      </c>
      <c r="AG42" s="2939"/>
      <c r="AH42" s="2939"/>
      <c r="AI42" s="2939"/>
      <c r="AJ42" s="2939"/>
      <c r="AK42" s="2939"/>
      <c r="AL42" s="2939"/>
      <c r="AM42" s="2939"/>
      <c r="AN42" s="2939"/>
      <c r="AO42" s="2939"/>
      <c r="AP42" s="2939"/>
      <c r="AQ42" s="2939"/>
    </row>
    <row r="43" spans="1:43">
      <c r="A43" s="1170"/>
      <c r="G43" s="742"/>
      <c r="H43" s="742"/>
      <c r="I43" s="742"/>
      <c r="J43" s="742"/>
      <c r="K43" s="742"/>
      <c r="L43" s="742"/>
      <c r="M43" s="742"/>
      <c r="N43" s="742"/>
      <c r="O43" s="742"/>
      <c r="P43" s="742"/>
      <c r="Q43" s="876"/>
      <c r="R43" s="2280"/>
      <c r="S43" s="2348"/>
      <c r="T43" s="2348"/>
      <c r="U43" s="2348"/>
      <c r="V43" s="2348"/>
      <c r="W43" s="2348"/>
      <c r="X43" s="2348"/>
      <c r="Y43" s="2348"/>
      <c r="Z43" s="2348"/>
      <c r="AA43" s="2348"/>
      <c r="AB43" s="3403">
        <f>AB37/AB44</f>
        <v>6.936942059475748E-2</v>
      </c>
      <c r="AC43" s="3403"/>
      <c r="AD43" s="3403"/>
      <c r="AE43" s="3403"/>
      <c r="AF43" s="3403"/>
    </row>
    <row r="44" spans="1:43" ht="12.75">
      <c r="A44" s="1170"/>
      <c r="G44" s="742"/>
      <c r="H44" s="742"/>
      <c r="I44" s="742"/>
      <c r="J44" s="742"/>
      <c r="K44" s="742"/>
      <c r="L44" s="742"/>
      <c r="M44" s="742"/>
      <c r="N44" s="742"/>
      <c r="O44" s="742"/>
      <c r="P44" s="742"/>
      <c r="Q44" s="743"/>
      <c r="R44" s="2281"/>
      <c r="S44" s="2281"/>
      <c r="T44" s="2281"/>
      <c r="U44" s="2281"/>
      <c r="V44" s="2281"/>
      <c r="W44" s="2281"/>
      <c r="X44" s="2281"/>
      <c r="Y44" s="2281"/>
      <c r="Z44" s="2281"/>
      <c r="AA44" s="2281"/>
      <c r="AB44" s="2281">
        <f>AB35+AB37</f>
        <v>5276.1</v>
      </c>
      <c r="AC44" s="2281"/>
      <c r="AD44" s="2281">
        <f>AD210</f>
        <v>609.1532079189999</v>
      </c>
      <c r="AE44" s="2281">
        <f t="shared" ref="AE44:AF44" si="65">AE210</f>
        <v>634.15236677277699</v>
      </c>
      <c r="AF44" s="2281">
        <f t="shared" si="65"/>
        <v>658.52821828109757</v>
      </c>
    </row>
    <row r="45" spans="1:43" s="736" customFormat="1" ht="12.75" customHeight="1">
      <c r="A45" s="701"/>
      <c r="B45" s="701"/>
      <c r="C45" s="703"/>
      <c r="D45" s="765"/>
      <c r="E45" s="766" t="s">
        <v>1883</v>
      </c>
      <c r="F45" s="767"/>
      <c r="G45" s="768">
        <f>+InputY!$G$3</f>
        <v>1995</v>
      </c>
      <c r="H45" s="768">
        <f>+G45+1</f>
        <v>1996</v>
      </c>
      <c r="I45" s="768">
        <f t="shared" ref="I45:O45" si="66">+H45+1</f>
        <v>1997</v>
      </c>
      <c r="J45" s="768">
        <f t="shared" si="66"/>
        <v>1998</v>
      </c>
      <c r="K45" s="768">
        <f t="shared" si="66"/>
        <v>1999</v>
      </c>
      <c r="L45" s="768">
        <f t="shared" si="66"/>
        <v>2000</v>
      </c>
      <c r="M45" s="768">
        <f t="shared" si="66"/>
        <v>2001</v>
      </c>
      <c r="N45" s="768">
        <f t="shared" si="66"/>
        <v>2002</v>
      </c>
      <c r="O45" s="768">
        <f t="shared" si="66"/>
        <v>2003</v>
      </c>
      <c r="P45" s="768">
        <f>+O45+1</f>
        <v>2004</v>
      </c>
      <c r="Q45" s="768">
        <f>+P45+1</f>
        <v>2005</v>
      </c>
      <c r="R45" s="768">
        <f>+Q45+1</f>
        <v>2006</v>
      </c>
      <c r="S45" s="768">
        <f>+R45+1</f>
        <v>2007</v>
      </c>
      <c r="T45" s="768">
        <f t="shared" ref="T45:AF45" si="67">+S45+1</f>
        <v>2008</v>
      </c>
      <c r="U45" s="768">
        <f t="shared" si="67"/>
        <v>2009</v>
      </c>
      <c r="V45" s="768">
        <f t="shared" si="67"/>
        <v>2010</v>
      </c>
      <c r="W45" s="768">
        <f t="shared" si="67"/>
        <v>2011</v>
      </c>
      <c r="X45" s="3146">
        <f t="shared" si="67"/>
        <v>2012</v>
      </c>
      <c r="Y45" s="3146">
        <f t="shared" si="67"/>
        <v>2013</v>
      </c>
      <c r="Z45" s="3146">
        <f t="shared" si="67"/>
        <v>2014</v>
      </c>
      <c r="AA45" s="3146">
        <f t="shared" si="67"/>
        <v>2015</v>
      </c>
      <c r="AB45" s="3146">
        <f t="shared" si="67"/>
        <v>2016</v>
      </c>
      <c r="AC45" s="3146">
        <f t="shared" si="67"/>
        <v>2017</v>
      </c>
      <c r="AD45" s="3146">
        <f t="shared" si="67"/>
        <v>2018</v>
      </c>
      <c r="AE45" s="3146">
        <f t="shared" si="67"/>
        <v>2019</v>
      </c>
      <c r="AF45" s="3146">
        <f t="shared" si="67"/>
        <v>2020</v>
      </c>
      <c r="AG45" s="2939"/>
      <c r="AH45" s="2939"/>
      <c r="AI45" s="2939"/>
      <c r="AJ45" s="2939"/>
      <c r="AK45" s="2939"/>
      <c r="AL45" s="2939"/>
      <c r="AM45" s="2939"/>
      <c r="AN45" s="2939"/>
      <c r="AO45" s="2939"/>
      <c r="AP45" s="2939"/>
      <c r="AQ45" s="2939"/>
    </row>
    <row r="46" spans="1:43" ht="12.75">
      <c r="A46" s="1170"/>
      <c r="C46" s="799" t="s">
        <v>1793</v>
      </c>
      <c r="D46" s="1027"/>
      <c r="E46" s="1028" t="s">
        <v>86</v>
      </c>
      <c r="F46" s="1029" t="s">
        <v>87</v>
      </c>
      <c r="G46" s="1741"/>
      <c r="H46" s="1135">
        <f t="shared" ref="H46:P47" si="68">(H29/G29-1)*100</f>
        <v>-0.22410757163440209</v>
      </c>
      <c r="I46" s="1135">
        <f t="shared" si="68"/>
        <v>-1.1671747152254053</v>
      </c>
      <c r="J46" s="1135">
        <f t="shared" si="68"/>
        <v>2.8935513980763883</v>
      </c>
      <c r="K46" s="1135">
        <f t="shared" si="68"/>
        <v>2.4966474717993181</v>
      </c>
      <c r="L46" s="1135">
        <f t="shared" si="68"/>
        <v>5.0101974063955224</v>
      </c>
      <c r="M46" s="1135">
        <f t="shared" si="68"/>
        <v>3.2137491296859722</v>
      </c>
      <c r="N46" s="1135">
        <f t="shared" si="68"/>
        <v>-0.29823191081447264</v>
      </c>
      <c r="O46" s="1135">
        <f t="shared" si="68"/>
        <v>-0.73000498539990133</v>
      </c>
      <c r="P46" s="1135">
        <f t="shared" si="68"/>
        <v>-1.524554292068736</v>
      </c>
      <c r="Q46" s="1135">
        <f t="shared" ref="Q46:Q52" si="69">(Q29/P29-1)*100</f>
        <v>0.58283549468163276</v>
      </c>
      <c r="R46" s="1135">
        <f t="shared" ref="R46:AC52" si="70">(R29/Q29-1)*100</f>
        <v>1.8941040127480768</v>
      </c>
      <c r="S46" s="1135">
        <f t="shared" si="70"/>
        <v>3.5045317220543826</v>
      </c>
      <c r="T46" s="1135">
        <f t="shared" si="70"/>
        <v>2.7334226159815733</v>
      </c>
      <c r="U46" s="1135">
        <f t="shared" si="70"/>
        <v>-2.8879901059598145</v>
      </c>
      <c r="V46" s="1135">
        <f t="shared" si="70"/>
        <v>1.4800536949712617</v>
      </c>
      <c r="W46" s="1135">
        <f t="shared" si="70"/>
        <v>3.4358783027507389</v>
      </c>
      <c r="X46" s="1135">
        <f t="shared" si="70"/>
        <v>0.97061909758655585</v>
      </c>
      <c r="Y46" s="1135">
        <f t="shared" si="70"/>
        <v>1.0652117433099573</v>
      </c>
      <c r="Z46" s="1135">
        <f t="shared" si="70"/>
        <v>1.7127249357326457</v>
      </c>
      <c r="AA46" s="1135">
        <f t="shared" si="70"/>
        <v>1.4532587748396608</v>
      </c>
      <c r="AB46" s="1135">
        <f t="shared" si="70"/>
        <v>2.0926104692803538</v>
      </c>
      <c r="AC46" s="1135">
        <f t="shared" si="70"/>
        <v>2.76955924965685</v>
      </c>
      <c r="AD46" s="3029">
        <v>1.66</v>
      </c>
      <c r="AE46" s="3029">
        <v>0.85</v>
      </c>
      <c r="AF46" s="3029">
        <v>0.55000000000000004</v>
      </c>
    </row>
    <row r="47" spans="1:43" ht="12.75">
      <c r="A47" s="1170"/>
      <c r="C47" s="969" t="s">
        <v>1791</v>
      </c>
      <c r="D47" s="711"/>
      <c r="E47" s="220" t="s">
        <v>913</v>
      </c>
      <c r="F47" s="741" t="s">
        <v>914</v>
      </c>
      <c r="G47" s="1609"/>
      <c r="H47" s="1084">
        <f t="shared" si="68"/>
        <v>-1.7049666419570064</v>
      </c>
      <c r="I47" s="1084">
        <f t="shared" si="68"/>
        <v>-1.6591251885369585</v>
      </c>
      <c r="J47" s="1084">
        <f t="shared" si="68"/>
        <v>-0.23006134969325576</v>
      </c>
      <c r="K47" s="1084">
        <f t="shared" si="68"/>
        <v>1.3835511145272816</v>
      </c>
      <c r="L47" s="1084">
        <f t="shared" si="68"/>
        <v>-1.8953752843062888</v>
      </c>
      <c r="M47" s="1084">
        <f t="shared" si="68"/>
        <v>1.0046367851622939</v>
      </c>
      <c r="N47" s="1084">
        <f t="shared" si="68"/>
        <v>1.4537107880642663</v>
      </c>
      <c r="O47" s="1084">
        <f t="shared" si="68"/>
        <v>1.0558069381598756</v>
      </c>
      <c r="P47" s="1084">
        <f t="shared" si="68"/>
        <v>0.44776119402984982</v>
      </c>
      <c r="Q47" s="1084">
        <f t="shared" si="69"/>
        <v>-0.29717682020802272</v>
      </c>
      <c r="R47" s="1084">
        <f t="shared" si="70"/>
        <v>1.1177347242921076</v>
      </c>
      <c r="S47" s="1084">
        <f t="shared" si="70"/>
        <v>-7.3691967575528761E-2</v>
      </c>
      <c r="T47" s="1084">
        <f t="shared" si="70"/>
        <v>-1.9911504424778736</v>
      </c>
      <c r="U47" s="1084">
        <f t="shared" si="70"/>
        <v>-2.0316027088036148</v>
      </c>
      <c r="V47" s="1084">
        <f t="shared" si="70"/>
        <v>-0.46082949308755561</v>
      </c>
      <c r="W47" s="1084">
        <f t="shared" si="70"/>
        <v>0.38580246913579863</v>
      </c>
      <c r="X47" s="1084">
        <f t="shared" si="70"/>
        <v>0.76863950807071202</v>
      </c>
      <c r="Y47" s="1084">
        <f t="shared" si="70"/>
        <v>0.99160945842868831</v>
      </c>
      <c r="Z47" s="1084">
        <f t="shared" si="70"/>
        <v>1.2839879154078471</v>
      </c>
      <c r="AA47" s="1084">
        <f t="shared" si="70"/>
        <v>2.2371364653243742</v>
      </c>
      <c r="AB47" s="1084">
        <f t="shared" si="70"/>
        <v>2.7716994894237734</v>
      </c>
      <c r="AC47" s="1084">
        <f t="shared" si="70"/>
        <v>1.9872249822569188</v>
      </c>
      <c r="AD47" s="3739">
        <v>1.9</v>
      </c>
      <c r="AE47" s="3739">
        <v>1</v>
      </c>
      <c r="AF47" s="3739">
        <v>1.01</v>
      </c>
    </row>
    <row r="48" spans="1:43" s="736" customFormat="1" ht="12.75" customHeight="1">
      <c r="A48" s="701"/>
      <c r="B48" s="701"/>
      <c r="C48" s="979" t="s">
        <v>1793</v>
      </c>
      <c r="D48" s="754"/>
      <c r="E48" s="755" t="s">
        <v>638</v>
      </c>
      <c r="F48" s="760" t="s">
        <v>1850</v>
      </c>
      <c r="G48" s="757"/>
      <c r="H48" s="758">
        <f>(H31/G31-1)*100</f>
        <v>-0.74328187535736001</v>
      </c>
      <c r="I48" s="758">
        <f t="shared" ref="I48:P48" si="71">(I31/H31-1)*100</f>
        <v>-1.3379765395894361</v>
      </c>
      <c r="J48" s="758">
        <f t="shared" si="71"/>
        <v>1.8125845917040362</v>
      </c>
      <c r="K48" s="758">
        <f t="shared" si="71"/>
        <v>2.1191742258367174</v>
      </c>
      <c r="L48" s="758">
        <f t="shared" si="71"/>
        <v>2.685248998136669</v>
      </c>
      <c r="M48" s="758">
        <f t="shared" si="71"/>
        <v>2.5031693554401047</v>
      </c>
      <c r="N48" s="758">
        <f t="shared" si="71"/>
        <v>0.25705694053737016</v>
      </c>
      <c r="O48" s="758">
        <f t="shared" si="71"/>
        <v>-0.15722509796333162</v>
      </c>
      <c r="P48" s="758">
        <f t="shared" si="71"/>
        <v>-0.88426969014221424</v>
      </c>
      <c r="Q48" s="758">
        <f t="shared" si="69"/>
        <v>0.29331247555728357</v>
      </c>
      <c r="R48" s="758">
        <f t="shared" si="70"/>
        <v>1.6401832715928988</v>
      </c>
      <c r="S48" s="758">
        <f t="shared" si="70"/>
        <v>2.3402469727850539</v>
      </c>
      <c r="T48" s="758">
        <f t="shared" si="70"/>
        <v>1.2323984911318808</v>
      </c>
      <c r="U48" s="758">
        <f t="shared" si="70"/>
        <v>-2.6245747216886106</v>
      </c>
      <c r="V48" s="758">
        <f t="shared" si="70"/>
        <v>0.87942385853159166</v>
      </c>
      <c r="W48" s="758">
        <f t="shared" si="70"/>
        <v>2.5045354946634291</v>
      </c>
      <c r="X48" s="758">
        <f t="shared" si="70"/>
        <v>0.91021928009928921</v>
      </c>
      <c r="Y48" s="758">
        <f t="shared" si="70"/>
        <v>1.0432326545487758</v>
      </c>
      <c r="Z48" s="758">
        <f t="shared" si="70"/>
        <v>1.5847610459873707</v>
      </c>
      <c r="AA48" s="758">
        <f t="shared" si="70"/>
        <v>1.6865277500388354</v>
      </c>
      <c r="AB48" s="758">
        <f t="shared" si="70"/>
        <v>2.295790323636604</v>
      </c>
      <c r="AC48" s="758">
        <f t="shared" si="70"/>
        <v>2.5344000000000033</v>
      </c>
      <c r="AD48" s="3037">
        <f>(AD31/AC31-1)*100</f>
        <v>1.7317558204856143</v>
      </c>
      <c r="AE48" s="3037">
        <f>(AE31/AD31-1)*100</f>
        <v>0.89492155650239269</v>
      </c>
      <c r="AF48" s="3037">
        <f>(AF31/AE31-1)*100</f>
        <v>0.68790291145839344</v>
      </c>
      <c r="AG48" s="2939"/>
      <c r="AH48" s="2939"/>
      <c r="AI48" s="2939"/>
      <c r="AJ48" s="2939"/>
      <c r="AK48" s="2939"/>
      <c r="AL48" s="2939"/>
      <c r="AM48" s="2939"/>
      <c r="AN48" s="2939"/>
      <c r="AO48" s="2939"/>
      <c r="AP48" s="2939"/>
      <c r="AQ48" s="2939"/>
    </row>
    <row r="49" spans="1:43" s="736" customFormat="1" ht="12.75" customHeight="1">
      <c r="A49" s="701"/>
      <c r="B49" s="701"/>
      <c r="C49" s="729" t="s">
        <v>1791</v>
      </c>
      <c r="D49" s="711"/>
      <c r="E49" s="220" t="s">
        <v>1621</v>
      </c>
      <c r="F49" s="747" t="s">
        <v>639</v>
      </c>
      <c r="G49" s="742"/>
      <c r="H49" s="743">
        <f>(H32/G32-1)*100</f>
        <v>-1.5652792600495125</v>
      </c>
      <c r="I49" s="743">
        <f t="shared" ref="I49:P49" si="72">(I32/H32-1)*100</f>
        <v>-0.57824358511036067</v>
      </c>
      <c r="J49" s="743">
        <f t="shared" si="72"/>
        <v>-3.6350418029940101E-2</v>
      </c>
      <c r="K49" s="743">
        <f t="shared" si="72"/>
        <v>1.8181818181819853</v>
      </c>
      <c r="L49" s="743">
        <f t="shared" si="72"/>
        <v>-0.82142857142847303</v>
      </c>
      <c r="M49" s="743">
        <f t="shared" si="72"/>
        <v>-3.6730284479655206</v>
      </c>
      <c r="N49" s="743">
        <f t="shared" si="72"/>
        <v>-3.1775700934579487</v>
      </c>
      <c r="O49" s="743">
        <f t="shared" si="72"/>
        <v>-7.2586872586873241</v>
      </c>
      <c r="P49" s="743">
        <f t="shared" si="72"/>
        <v>2.4146544546212345</v>
      </c>
      <c r="Q49" s="743">
        <f t="shared" si="69"/>
        <v>-0.20325203252032908</v>
      </c>
      <c r="R49" s="743">
        <f t="shared" si="70"/>
        <v>2.6069246435843629</v>
      </c>
      <c r="S49" s="743">
        <f t="shared" si="70"/>
        <v>1.746724890829543</v>
      </c>
      <c r="T49" s="743">
        <f t="shared" si="70"/>
        <v>-4.6039797112755743</v>
      </c>
      <c r="U49" s="743">
        <f t="shared" si="70"/>
        <v>1.2269938650306678</v>
      </c>
      <c r="V49" s="743">
        <f t="shared" si="70"/>
        <v>2.3838383838382438</v>
      </c>
      <c r="W49" s="743">
        <f t="shared" si="70"/>
        <v>-4.1041831097078374</v>
      </c>
      <c r="X49" s="743">
        <f t="shared" si="70"/>
        <v>-2.3868312757202359</v>
      </c>
      <c r="Y49" s="743">
        <f t="shared" si="70"/>
        <v>-0.59021922428315055</v>
      </c>
      <c r="Z49" s="743">
        <f t="shared" si="70"/>
        <v>-1.9932145886347397</v>
      </c>
      <c r="AA49" s="743">
        <f t="shared" si="70"/>
        <v>-2.5962786672436233</v>
      </c>
      <c r="AB49" s="743">
        <f t="shared" si="70"/>
        <v>-7.1523767214569105</v>
      </c>
      <c r="AC49" s="743">
        <f t="shared" si="70"/>
        <v>-1.9138755980861233</v>
      </c>
      <c r="AD49" s="3030">
        <v>0</v>
      </c>
      <c r="AE49" s="3030">
        <v>0</v>
      </c>
      <c r="AF49" s="3030">
        <v>0</v>
      </c>
      <c r="AG49" s="2939"/>
      <c r="AH49" s="2939"/>
      <c r="AI49" s="2939"/>
      <c r="AJ49" s="2939"/>
      <c r="AK49" s="2939"/>
      <c r="AL49" s="2939"/>
      <c r="AM49" s="2939"/>
      <c r="AN49" s="2939"/>
      <c r="AO49" s="2939"/>
      <c r="AP49" s="2939"/>
      <c r="AQ49" s="2939"/>
    </row>
    <row r="50" spans="1:43" ht="12.75">
      <c r="A50" s="1170"/>
      <c r="C50" s="730" t="s">
        <v>1793</v>
      </c>
      <c r="D50" s="754"/>
      <c r="E50" s="755" t="s">
        <v>634</v>
      </c>
      <c r="F50" s="756" t="s">
        <v>784</v>
      </c>
      <c r="G50" s="757"/>
      <c r="H50" s="758">
        <f t="shared" ref="H50:AF52" si="73">(H33/G33-1)*100</f>
        <v>-0.79924435079560263</v>
      </c>
      <c r="I50" s="758">
        <f t="shared" si="73"/>
        <v>-1.2866525061647094</v>
      </c>
      <c r="J50" s="758">
        <f t="shared" si="73"/>
        <v>1.6867827463395324</v>
      </c>
      <c r="K50" s="758">
        <f t="shared" si="73"/>
        <v>2.0990416889623997</v>
      </c>
      <c r="L50" s="758">
        <f t="shared" si="73"/>
        <v>2.4513424017914787</v>
      </c>
      <c r="M50" s="758">
        <f t="shared" si="73"/>
        <v>2.1043575315072394</v>
      </c>
      <c r="N50" s="758">
        <f t="shared" si="73"/>
        <v>4.7824007651819933E-2</v>
      </c>
      <c r="O50" s="758">
        <f t="shared" si="73"/>
        <v>-0.57589001183647737</v>
      </c>
      <c r="P50" s="758">
        <f t="shared" si="73"/>
        <v>-0.70285491883971263</v>
      </c>
      <c r="Q50" s="758">
        <f t="shared" si="69"/>
        <v>0.26514802176520469</v>
      </c>
      <c r="R50" s="758">
        <f t="shared" si="70"/>
        <v>1.694759353369979</v>
      </c>
      <c r="S50" s="758">
        <f t="shared" si="70"/>
        <v>2.3064399421128812</v>
      </c>
      <c r="T50" s="758">
        <f t="shared" si="70"/>
        <v>0.90177703120857267</v>
      </c>
      <c r="U50" s="758">
        <f t="shared" si="70"/>
        <v>-2.4182949268378051</v>
      </c>
      <c r="V50" s="758">
        <f t="shared" si="70"/>
        <v>0.96300619556433098</v>
      </c>
      <c r="W50" s="758">
        <f t="shared" si="70"/>
        <v>2.1322009026836009</v>
      </c>
      <c r="X50" s="758">
        <f t="shared" si="70"/>
        <v>0.7358063392546077</v>
      </c>
      <c r="Y50" s="758">
        <f t="shared" si="70"/>
        <v>0.9595020962095413</v>
      </c>
      <c r="Z50" s="758">
        <f t="shared" si="70"/>
        <v>1.4041696990453323</v>
      </c>
      <c r="AA50" s="758">
        <f t="shared" si="70"/>
        <v>1.477603748891787</v>
      </c>
      <c r="AB50" s="758">
        <f t="shared" si="70"/>
        <v>1.8533926862753347</v>
      </c>
      <c r="AC50" s="758">
        <f t="shared" si="70"/>
        <v>2.3445318084345912</v>
      </c>
      <c r="AD50" s="3037">
        <f t="shared" si="73"/>
        <v>1.6609139345080015</v>
      </c>
      <c r="AE50" s="3037">
        <f t="shared" si="73"/>
        <v>0.85891061979850303</v>
      </c>
      <c r="AF50" s="3037">
        <f t="shared" si="73"/>
        <v>0.66045796907086007</v>
      </c>
    </row>
    <row r="51" spans="1:43" ht="12.75">
      <c r="A51" s="1170"/>
      <c r="C51" s="730" t="s">
        <v>1791</v>
      </c>
      <c r="D51" s="711"/>
      <c r="E51" s="220" t="s">
        <v>641</v>
      </c>
      <c r="F51" s="741" t="s">
        <v>1324</v>
      </c>
      <c r="G51" s="742"/>
      <c r="H51" s="743">
        <f t="shared" si="73"/>
        <v>-8.0858085808578792</v>
      </c>
      <c r="I51" s="743">
        <f t="shared" si="73"/>
        <v>-13.016157989228406</v>
      </c>
      <c r="J51" s="743">
        <f t="shared" si="73"/>
        <v>4.2311661506707177</v>
      </c>
      <c r="K51" s="743">
        <f t="shared" si="73"/>
        <v>-2.2772277227720128</v>
      </c>
      <c r="L51" s="743">
        <f t="shared" si="73"/>
        <v>13.67781155015293</v>
      </c>
      <c r="M51" s="743">
        <f t="shared" si="73"/>
        <v>-61.051693404634186</v>
      </c>
      <c r="N51" s="743">
        <f t="shared" si="73"/>
        <v>-27.459954233411231</v>
      </c>
      <c r="O51" s="743">
        <f t="shared" si="73"/>
        <v>-45.110410094638056</v>
      </c>
      <c r="P51" s="743">
        <f t="shared" si="73"/>
        <v>-73.56321839080718</v>
      </c>
      <c r="Q51" s="743">
        <f t="shared" si="69"/>
        <v>-76.086956521748149</v>
      </c>
      <c r="R51" s="743">
        <f t="shared" si="70"/>
        <v>-736.36363636395208</v>
      </c>
      <c r="S51" s="743">
        <f t="shared" si="70"/>
        <v>132.85714285714545</v>
      </c>
      <c r="T51" s="743">
        <f t="shared" si="70"/>
        <v>70.552147239263022</v>
      </c>
      <c r="U51" s="743">
        <f t="shared" ref="U51:AC51" si="74">(U34/T34-1)*100</f>
        <v>57.913669064745868</v>
      </c>
      <c r="V51" s="743">
        <f t="shared" si="74"/>
        <v>-40.774487471525703</v>
      </c>
      <c r="W51" s="743">
        <f t="shared" si="74"/>
        <v>24.230769230766434</v>
      </c>
      <c r="X51" s="743">
        <f t="shared" si="74"/>
        <v>-8.0495356037108436</v>
      </c>
      <c r="Y51" s="743">
        <f t="shared" si="74"/>
        <v>10.774410774406839</v>
      </c>
      <c r="Z51" s="743">
        <f t="shared" si="74"/>
        <v>6.0790273556259322</v>
      </c>
      <c r="AA51" s="743">
        <f t="shared" si="74"/>
        <v>-14.613180515760128</v>
      </c>
      <c r="AB51" s="743">
        <f t="shared" si="74"/>
        <v>-54.362416107381605</v>
      </c>
      <c r="AC51" s="743">
        <f t="shared" si="74"/>
        <v>-22.794117647060887</v>
      </c>
      <c r="AD51" s="3030">
        <v>0</v>
      </c>
      <c r="AE51" s="3030">
        <v>0</v>
      </c>
      <c r="AF51" s="3030">
        <v>0</v>
      </c>
    </row>
    <row r="52" spans="1:43" s="736" customFormat="1" ht="12.75" customHeight="1">
      <c r="A52" s="701"/>
      <c r="B52" s="701"/>
      <c r="C52" s="729" t="s">
        <v>1793</v>
      </c>
      <c r="D52" s="754"/>
      <c r="E52" s="759" t="s">
        <v>635</v>
      </c>
      <c r="F52" s="760" t="s">
        <v>1718</v>
      </c>
      <c r="G52" s="758"/>
      <c r="H52" s="758">
        <f t="shared" si="73"/>
        <v>-0.57888564513310925</v>
      </c>
      <c r="I52" s="758">
        <f t="shared" si="73"/>
        <v>-0.9587150207052253</v>
      </c>
      <c r="J52" s="758">
        <f t="shared" si="73"/>
        <v>1.6243063122418411</v>
      </c>
      <c r="K52" s="758">
        <f t="shared" si="73"/>
        <v>2.209255934570109</v>
      </c>
      <c r="L52" s="758">
        <f t="shared" si="73"/>
        <v>2.181019760917291</v>
      </c>
      <c r="M52" s="758">
        <f t="shared" si="73"/>
        <v>3.7961990258809974</v>
      </c>
      <c r="N52" s="758">
        <f t="shared" si="73"/>
        <v>0.32433178451489741</v>
      </c>
      <c r="O52" s="758">
        <f t="shared" si="73"/>
        <v>-0.25220680958385477</v>
      </c>
      <c r="P52" s="758">
        <f t="shared" si="73"/>
        <v>-0.41144696011952142</v>
      </c>
      <c r="Q52" s="758">
        <f t="shared" si="69"/>
        <v>0.34621243595069906</v>
      </c>
      <c r="R52" s="758">
        <f t="shared" si="70"/>
        <v>1.881497837887558</v>
      </c>
      <c r="S52" s="758">
        <f t="shared" si="70"/>
        <v>2.5127556779699356</v>
      </c>
      <c r="T52" s="758">
        <f t="shared" si="70"/>
        <v>1.1518047878080528</v>
      </c>
      <c r="U52" s="758">
        <f t="shared" si="70"/>
        <v>-2.053124319616817</v>
      </c>
      <c r="V52" s="758">
        <f t="shared" si="70"/>
        <v>0.55571609576099412</v>
      </c>
      <c r="W52" s="758">
        <f t="shared" si="70"/>
        <v>2.2592125914627337</v>
      </c>
      <c r="X52" s="758">
        <f t="shared" si="70"/>
        <v>0.6744633476728934</v>
      </c>
      <c r="Y52" s="758">
        <f t="shared" si="70"/>
        <v>1.022095295355463</v>
      </c>
      <c r="Z52" s="758">
        <f t="shared" si="70"/>
        <v>1.4368610113290936</v>
      </c>
      <c r="AA52" s="758">
        <f t="shared" si="70"/>
        <v>1.3599312700375066</v>
      </c>
      <c r="AB52" s="758">
        <f t="shared" si="70"/>
        <v>1.5070702059042596</v>
      </c>
      <c r="AC52" s="758">
        <f t="shared" si="70"/>
        <v>2.2749027514714637</v>
      </c>
      <c r="AD52" s="3037">
        <f t="shared" si="73"/>
        <v>1.6574411565573932</v>
      </c>
      <c r="AE52" s="3037">
        <f t="shared" si="73"/>
        <v>0.8571440179300005</v>
      </c>
      <c r="AF52" s="3037">
        <f t="shared" si="73"/>
        <v>0.65911108805496443</v>
      </c>
      <c r="AG52" s="2939"/>
      <c r="AH52" s="2939"/>
      <c r="AI52" s="2939"/>
      <c r="AJ52" s="2939"/>
      <c r="AK52" s="2939"/>
      <c r="AL52" s="2939"/>
      <c r="AM52" s="2939"/>
      <c r="AN52" s="2939"/>
      <c r="AO52" s="2939"/>
      <c r="AP52" s="2939"/>
      <c r="AQ52" s="2939"/>
    </row>
    <row r="53" spans="1:43" ht="12.75">
      <c r="A53" s="1170"/>
      <c r="C53" s="917" t="s">
        <v>1791</v>
      </c>
      <c r="D53" s="728"/>
      <c r="E53" s="772" t="s">
        <v>1158</v>
      </c>
      <c r="F53" s="801" t="s">
        <v>1875</v>
      </c>
      <c r="G53" s="802"/>
      <c r="H53" s="778">
        <f>(H37/G37-1)*100</f>
        <v>8.0144079243584123</v>
      </c>
      <c r="I53" s="778">
        <f>(I37/H37-1)*100</f>
        <v>1.542309295539801</v>
      </c>
      <c r="J53" s="778">
        <f t="shared" ref="J53:AF53" si="75">(J37/I37-1)*100</f>
        <v>-15.86617405582923</v>
      </c>
      <c r="K53" s="778">
        <f t="shared" si="75"/>
        <v>-13.661868748475236</v>
      </c>
      <c r="L53" s="778">
        <f t="shared" si="75"/>
        <v>-15.512856739191861</v>
      </c>
      <c r="M53" s="778">
        <f t="shared" si="75"/>
        <v>-9.6989966555183997</v>
      </c>
      <c r="N53" s="778">
        <f t="shared" si="75"/>
        <v>2.5185185185185199</v>
      </c>
      <c r="O53" s="778">
        <f t="shared" si="75"/>
        <v>10.657514450867044</v>
      </c>
      <c r="P53" s="778">
        <f t="shared" si="75"/>
        <v>12.83055827619981</v>
      </c>
      <c r="Q53" s="778">
        <f t="shared" ref="Q53:AC53" si="76">(Q37/P37-1)*100</f>
        <v>4.4560185185185119</v>
      </c>
      <c r="R53" s="778">
        <f t="shared" si="76"/>
        <v>-6.8421052631578938</v>
      </c>
      <c r="S53" s="778">
        <f t="shared" si="76"/>
        <v>-11.537317870948559</v>
      </c>
      <c r="T53" s="778">
        <f t="shared" si="76"/>
        <v>2.420168067226891</v>
      </c>
      <c r="U53" s="778">
        <f t="shared" si="76"/>
        <v>34.000656383327879</v>
      </c>
      <c r="V53" s="778">
        <f t="shared" si="76"/>
        <v>4.0901298065148195</v>
      </c>
      <c r="W53" s="778">
        <f t="shared" si="76"/>
        <v>-8.2352941176470633</v>
      </c>
      <c r="X53" s="778">
        <f t="shared" si="76"/>
        <v>3.3333333333333437</v>
      </c>
      <c r="Y53" s="778">
        <f t="shared" si="76"/>
        <v>1.9851116625310139</v>
      </c>
      <c r="Z53" s="778">
        <f t="shared" si="76"/>
        <v>0</v>
      </c>
      <c r="AA53" s="778">
        <f t="shared" si="76"/>
        <v>-5.8394160583941641</v>
      </c>
      <c r="AB53" s="778">
        <f t="shared" si="76"/>
        <v>-5.4263565891472858</v>
      </c>
      <c r="AC53" s="778">
        <f t="shared" si="76"/>
        <v>-2.1857923497267784</v>
      </c>
      <c r="AD53" s="3038">
        <f t="shared" si="75"/>
        <v>-4.7658770949718932</v>
      </c>
      <c r="AE53" s="3038">
        <f t="shared" si="75"/>
        <v>-5.5645255432801299E-2</v>
      </c>
      <c r="AF53" s="3038">
        <f t="shared" si="75"/>
        <v>0.51232927019710939</v>
      </c>
    </row>
    <row r="54" spans="1:43" s="736" customFormat="1" ht="12.75" customHeight="1">
      <c r="A54" s="701"/>
      <c r="B54" s="701"/>
      <c r="C54" s="703" t="s">
        <v>1793</v>
      </c>
      <c r="D54" s="754"/>
      <c r="E54" s="759" t="s">
        <v>1148</v>
      </c>
      <c r="F54" s="760" t="s">
        <v>1648</v>
      </c>
      <c r="G54" s="758"/>
      <c r="H54" s="758">
        <f>(H42/G42-1)*100</f>
        <v>0.2785327612929489</v>
      </c>
      <c r="I54" s="758">
        <f t="shared" ref="I54:AF54" si="77">(I42/H42-1)*100</f>
        <v>-0.68991779226307282</v>
      </c>
      <c r="J54" s="758">
        <f t="shared" si="77"/>
        <v>-0.29773316792601756</v>
      </c>
      <c r="K54" s="758">
        <f t="shared" si="77"/>
        <v>0.73750650408341833</v>
      </c>
      <c r="L54" s="758">
        <f t="shared" si="77"/>
        <v>0.77477598868154196</v>
      </c>
      <c r="M54" s="758">
        <f t="shared" si="77"/>
        <v>2.8970004902616253</v>
      </c>
      <c r="N54" s="758">
        <f t="shared" si="77"/>
        <v>0.45263568241868946</v>
      </c>
      <c r="O54" s="758">
        <f t="shared" si="77"/>
        <v>0.39885302804907319</v>
      </c>
      <c r="P54" s="758">
        <f t="shared" si="77"/>
        <v>0.45954303384299067</v>
      </c>
      <c r="Q54" s="758">
        <f t="shared" ref="Q54:Y54" si="78">(Q42/P42-1)*100</f>
        <v>0.6498225813347025</v>
      </c>
      <c r="R54" s="758">
        <f t="shared" si="78"/>
        <v>1.2126746803720723</v>
      </c>
      <c r="S54" s="758">
        <f t="shared" si="78"/>
        <v>1.5212875338355358</v>
      </c>
      <c r="T54" s="758">
        <f t="shared" si="78"/>
        <v>1.2297962052002731</v>
      </c>
      <c r="U54" s="758">
        <f t="shared" si="78"/>
        <v>0.18988504808379325</v>
      </c>
      <c r="V54" s="758">
        <f t="shared" si="78"/>
        <v>0.84980639902179078</v>
      </c>
      <c r="W54" s="758">
        <f t="shared" si="78"/>
        <v>1.357932386283256</v>
      </c>
      <c r="X54" s="758">
        <f t="shared" si="78"/>
        <v>0.8811977910245572</v>
      </c>
      <c r="Y54" s="758">
        <f t="shared" si="78"/>
        <v>1.0987925139819277</v>
      </c>
      <c r="Z54" s="2340">
        <f t="shared" si="77"/>
        <v>1.321422288249896</v>
      </c>
      <c r="AA54" s="2340">
        <f t="shared" si="77"/>
        <v>0.78907259853759903</v>
      </c>
      <c r="AB54" s="2340">
        <f t="shared" si="77"/>
        <v>0.99345354312623257</v>
      </c>
      <c r="AC54" s="2340">
        <f t="shared" si="77"/>
        <v>1.965466916851466</v>
      </c>
      <c r="AD54" s="3037">
        <f t="shared" si="77"/>
        <v>1.2299999999999978</v>
      </c>
      <c r="AE54" s="3037">
        <f t="shared" si="77"/>
        <v>0.80000000000000071</v>
      </c>
      <c r="AF54" s="3037">
        <f t="shared" si="77"/>
        <v>0.64999999999999503</v>
      </c>
      <c r="AG54" s="2939"/>
      <c r="AH54" s="2939"/>
      <c r="AI54" s="2939"/>
      <c r="AJ54" s="2939"/>
      <c r="AK54" s="2939"/>
      <c r="AL54" s="2939"/>
      <c r="AM54" s="2939"/>
      <c r="AN54" s="2939"/>
      <c r="AO54" s="2939"/>
      <c r="AP54" s="2939"/>
      <c r="AQ54" s="2939"/>
    </row>
    <row r="55" spans="1:43" ht="12.75">
      <c r="A55" s="1170"/>
      <c r="G55" s="742"/>
      <c r="H55" s="742"/>
      <c r="I55" s="742"/>
      <c r="J55" s="742"/>
      <c r="K55" s="742"/>
      <c r="L55" s="742"/>
      <c r="M55" s="742"/>
      <c r="N55" s="742"/>
      <c r="O55" s="742"/>
      <c r="P55" s="742"/>
      <c r="Q55" s="742"/>
      <c r="R55" s="742"/>
      <c r="S55" s="742"/>
      <c r="T55" s="742"/>
      <c r="U55" s="742"/>
      <c r="V55" s="742"/>
      <c r="W55" s="742"/>
      <c r="X55" s="3039"/>
      <c r="Y55" s="3039"/>
      <c r="Z55" s="3039"/>
      <c r="AA55" s="3039"/>
      <c r="AB55" s="3039"/>
      <c r="AC55" s="3039"/>
      <c r="AD55" s="3039"/>
      <c r="AE55" s="3039"/>
      <c r="AF55" s="3039"/>
    </row>
    <row r="56" spans="1:43" s="736" customFormat="1" ht="12.75" customHeight="1">
      <c r="A56" s="701"/>
      <c r="B56" s="701"/>
      <c r="C56" s="703"/>
      <c r="D56" s="895"/>
      <c r="E56" s="896" t="str">
        <f>+E19</f>
        <v>Growth (1000 persons)</v>
      </c>
      <c r="F56" s="897"/>
      <c r="G56" s="898">
        <f>+InputY!$G$3</f>
        <v>1995</v>
      </c>
      <c r="H56" s="898">
        <f>+G56+1</f>
        <v>1996</v>
      </c>
      <c r="I56" s="898">
        <f t="shared" ref="I56:O56" si="79">+H56+1</f>
        <v>1997</v>
      </c>
      <c r="J56" s="898">
        <f t="shared" si="79"/>
        <v>1998</v>
      </c>
      <c r="K56" s="898">
        <f t="shared" si="79"/>
        <v>1999</v>
      </c>
      <c r="L56" s="898">
        <f t="shared" si="79"/>
        <v>2000</v>
      </c>
      <c r="M56" s="898">
        <f t="shared" si="79"/>
        <v>2001</v>
      </c>
      <c r="N56" s="898">
        <f t="shared" si="79"/>
        <v>2002</v>
      </c>
      <c r="O56" s="898">
        <f t="shared" si="79"/>
        <v>2003</v>
      </c>
      <c r="P56" s="898">
        <f>+O56+1</f>
        <v>2004</v>
      </c>
      <c r="Q56" s="898">
        <f>+P56+1</f>
        <v>2005</v>
      </c>
      <c r="R56" s="898">
        <f>+Q56+1</f>
        <v>2006</v>
      </c>
      <c r="S56" s="898">
        <f>+R56+1</f>
        <v>2007</v>
      </c>
      <c r="T56" s="898">
        <f t="shared" ref="T56:AF56" si="80">+S56+1</f>
        <v>2008</v>
      </c>
      <c r="U56" s="898">
        <f t="shared" si="80"/>
        <v>2009</v>
      </c>
      <c r="V56" s="898">
        <f t="shared" si="80"/>
        <v>2010</v>
      </c>
      <c r="W56" s="898">
        <f t="shared" si="80"/>
        <v>2011</v>
      </c>
      <c r="X56" s="2277">
        <f t="shared" si="80"/>
        <v>2012</v>
      </c>
      <c r="Y56" s="2277">
        <f t="shared" si="80"/>
        <v>2013</v>
      </c>
      <c r="Z56" s="2277">
        <f t="shared" si="80"/>
        <v>2014</v>
      </c>
      <c r="AA56" s="2277">
        <f t="shared" si="80"/>
        <v>2015</v>
      </c>
      <c r="AB56" s="2277">
        <f t="shared" si="80"/>
        <v>2016</v>
      </c>
      <c r="AC56" s="2277">
        <f t="shared" si="80"/>
        <v>2017</v>
      </c>
      <c r="AD56" s="2277">
        <f t="shared" si="80"/>
        <v>2018</v>
      </c>
      <c r="AE56" s="2277">
        <f t="shared" si="80"/>
        <v>2019</v>
      </c>
      <c r="AF56" s="2277">
        <f t="shared" si="80"/>
        <v>2020</v>
      </c>
      <c r="AG56" s="2939"/>
      <c r="AH56" s="2939"/>
      <c r="AI56" s="2939"/>
      <c r="AJ56" s="2939"/>
      <c r="AK56" s="2939"/>
      <c r="AL56" s="2939"/>
      <c r="AM56" s="2939"/>
      <c r="AN56" s="2939"/>
      <c r="AO56" s="2939"/>
      <c r="AP56" s="2939"/>
      <c r="AQ56" s="2939"/>
    </row>
    <row r="57" spans="1:43" ht="12.75">
      <c r="A57" s="1170"/>
      <c r="C57" s="1030" t="s">
        <v>1793</v>
      </c>
      <c r="D57" s="1031"/>
      <c r="E57" s="1032" t="s">
        <v>86</v>
      </c>
      <c r="F57" s="1033" t="s">
        <v>87</v>
      </c>
      <c r="G57" s="1742"/>
      <c r="H57" s="1742">
        <f t="shared" ref="H57:AF58" si="81">+H29-G29</f>
        <v>-5.6000000000003638</v>
      </c>
      <c r="I57" s="1742">
        <f t="shared" si="81"/>
        <v>-29.099999999999909</v>
      </c>
      <c r="J57" s="1742">
        <f t="shared" si="81"/>
        <v>71.300000000000182</v>
      </c>
      <c r="K57" s="1742">
        <f t="shared" si="81"/>
        <v>63.299999999999727</v>
      </c>
      <c r="L57" s="1742">
        <f t="shared" si="81"/>
        <v>130.20000000000027</v>
      </c>
      <c r="M57" s="1742">
        <f t="shared" si="81"/>
        <v>87.700000000000273</v>
      </c>
      <c r="N57" s="1742">
        <f t="shared" si="81"/>
        <v>-8.4000000000005457</v>
      </c>
      <c r="O57" s="1742">
        <f t="shared" si="81"/>
        <v>-20.5</v>
      </c>
      <c r="P57" s="1742">
        <f t="shared" si="81"/>
        <v>-42.5</v>
      </c>
      <c r="Q57" s="1742">
        <f t="shared" ref="Q57:Q63" si="82">+Q29-P29</f>
        <v>16</v>
      </c>
      <c r="R57" s="1742">
        <f t="shared" ref="R57:AC63" si="83">+R29-Q29</f>
        <v>52.300000000000182</v>
      </c>
      <c r="S57" s="1742">
        <f t="shared" si="83"/>
        <v>98.600000000000364</v>
      </c>
      <c r="T57" s="1742">
        <f t="shared" si="83"/>
        <v>79.599999999999454</v>
      </c>
      <c r="U57" s="1742">
        <f t="shared" si="83"/>
        <v>-86.399999999999636</v>
      </c>
      <c r="V57" s="1742">
        <f t="shared" si="83"/>
        <v>43</v>
      </c>
      <c r="W57" s="1742">
        <f t="shared" si="83"/>
        <v>101.30000000000018</v>
      </c>
      <c r="X57" s="1742">
        <f t="shared" si="83"/>
        <v>29.599999999999454</v>
      </c>
      <c r="Y57" s="1742">
        <f t="shared" si="83"/>
        <v>32.800000000000182</v>
      </c>
      <c r="Z57" s="1742">
        <f t="shared" si="83"/>
        <v>53.300000000000182</v>
      </c>
      <c r="AA57" s="1742">
        <f t="shared" si="83"/>
        <v>46</v>
      </c>
      <c r="AB57" s="1742">
        <f t="shared" si="83"/>
        <v>67.199999999999818</v>
      </c>
      <c r="AC57" s="1742">
        <f t="shared" si="83"/>
        <v>90.800000000000182</v>
      </c>
      <c r="AD57" s="3031">
        <f t="shared" si="81"/>
        <v>55.930379999999786</v>
      </c>
      <c r="AE57" s="3031">
        <f t="shared" si="81"/>
        <v>29.114458229999855</v>
      </c>
      <c r="AF57" s="3031">
        <f t="shared" si="81"/>
        <v>18.998896610265092</v>
      </c>
    </row>
    <row r="58" spans="1:43" ht="12.75">
      <c r="A58" s="1170"/>
      <c r="C58" s="980" t="s">
        <v>1791</v>
      </c>
      <c r="D58" s="711"/>
      <c r="E58" s="220" t="s">
        <v>913</v>
      </c>
      <c r="F58" s="741" t="s">
        <v>914</v>
      </c>
      <c r="G58" s="1609"/>
      <c r="H58" s="1609">
        <f t="shared" si="81"/>
        <v>-23</v>
      </c>
      <c r="I58" s="1609">
        <f t="shared" si="81"/>
        <v>-22</v>
      </c>
      <c r="J58" s="1609">
        <f t="shared" si="81"/>
        <v>-3</v>
      </c>
      <c r="K58" s="1609">
        <f t="shared" si="81"/>
        <v>18</v>
      </c>
      <c r="L58" s="1609">
        <f t="shared" si="81"/>
        <v>-25</v>
      </c>
      <c r="M58" s="1609">
        <f t="shared" si="81"/>
        <v>13</v>
      </c>
      <c r="N58" s="1609">
        <f t="shared" si="81"/>
        <v>19</v>
      </c>
      <c r="O58" s="1609">
        <f t="shared" si="81"/>
        <v>14</v>
      </c>
      <c r="P58" s="1609">
        <f t="shared" si="81"/>
        <v>6</v>
      </c>
      <c r="Q58" s="1609">
        <f t="shared" si="82"/>
        <v>-4</v>
      </c>
      <c r="R58" s="1609">
        <f t="shared" si="83"/>
        <v>15</v>
      </c>
      <c r="S58" s="1609">
        <f t="shared" si="83"/>
        <v>-1</v>
      </c>
      <c r="T58" s="1609">
        <f t="shared" si="83"/>
        <v>-27</v>
      </c>
      <c r="U58" s="1609">
        <f t="shared" si="83"/>
        <v>-27</v>
      </c>
      <c r="V58" s="1609">
        <f t="shared" si="83"/>
        <v>-6</v>
      </c>
      <c r="W58" s="1609">
        <f t="shared" si="83"/>
        <v>5</v>
      </c>
      <c r="X58" s="1609">
        <f t="shared" si="83"/>
        <v>10</v>
      </c>
      <c r="Y58" s="1609">
        <f t="shared" si="83"/>
        <v>13</v>
      </c>
      <c r="Z58" s="1609">
        <f t="shared" si="83"/>
        <v>17</v>
      </c>
      <c r="AA58" s="1609">
        <f t="shared" si="83"/>
        <v>30</v>
      </c>
      <c r="AB58" s="1609">
        <f t="shared" si="83"/>
        <v>38</v>
      </c>
      <c r="AC58" s="1609">
        <f t="shared" si="83"/>
        <v>28</v>
      </c>
      <c r="AD58" s="3040">
        <f t="shared" si="81"/>
        <v>27.302999999999884</v>
      </c>
      <c r="AE58" s="3040">
        <f t="shared" si="81"/>
        <v>14.643029999999953</v>
      </c>
      <c r="AF58" s="3040">
        <f t="shared" si="81"/>
        <v>14.937354902999914</v>
      </c>
    </row>
    <row r="59" spans="1:43" s="736" customFormat="1" ht="12.75" customHeight="1">
      <c r="A59" s="701"/>
      <c r="B59" s="701"/>
      <c r="C59" s="981" t="s">
        <v>1793</v>
      </c>
      <c r="D59" s="843"/>
      <c r="E59" s="334" t="s">
        <v>638</v>
      </c>
      <c r="F59" s="845" t="s">
        <v>1850</v>
      </c>
      <c r="G59" s="894"/>
      <c r="H59" s="894">
        <f>+H31-G31</f>
        <v>-28.600000000000364</v>
      </c>
      <c r="I59" s="894">
        <f t="shared" ref="I59:P59" si="84">+I31-H31</f>
        <v>-51.099999999999909</v>
      </c>
      <c r="J59" s="894">
        <f t="shared" si="84"/>
        <v>68.300000000000182</v>
      </c>
      <c r="K59" s="894">
        <f t="shared" si="84"/>
        <v>81.299999999999727</v>
      </c>
      <c r="L59" s="894">
        <f t="shared" si="84"/>
        <v>105.20000000000027</v>
      </c>
      <c r="M59" s="894">
        <f t="shared" si="84"/>
        <v>100.70000000000027</v>
      </c>
      <c r="N59" s="894">
        <f t="shared" si="84"/>
        <v>10.599999999999454</v>
      </c>
      <c r="O59" s="894">
        <f t="shared" si="84"/>
        <v>-6.5</v>
      </c>
      <c r="P59" s="894">
        <f t="shared" si="84"/>
        <v>-36.5</v>
      </c>
      <c r="Q59" s="894">
        <f t="shared" si="82"/>
        <v>12</v>
      </c>
      <c r="R59" s="894">
        <f t="shared" si="83"/>
        <v>67.300000000000182</v>
      </c>
      <c r="S59" s="894">
        <f t="shared" si="83"/>
        <v>97.600000000000364</v>
      </c>
      <c r="T59" s="894">
        <f t="shared" si="83"/>
        <v>52.599999999999454</v>
      </c>
      <c r="U59" s="894">
        <f t="shared" si="83"/>
        <v>-113.39999999999964</v>
      </c>
      <c r="V59" s="894">
        <f t="shared" si="83"/>
        <v>37</v>
      </c>
      <c r="W59" s="894">
        <f t="shared" si="83"/>
        <v>106.30000000000018</v>
      </c>
      <c r="X59" s="894">
        <f t="shared" si="83"/>
        <v>39.599999999999454</v>
      </c>
      <c r="Y59" s="894">
        <f t="shared" si="83"/>
        <v>45.800000000000182</v>
      </c>
      <c r="Z59" s="894">
        <f t="shared" si="83"/>
        <v>70.300000000000182</v>
      </c>
      <c r="AA59" s="894">
        <f t="shared" si="83"/>
        <v>76</v>
      </c>
      <c r="AB59" s="894">
        <f t="shared" si="83"/>
        <v>105.19999999999982</v>
      </c>
      <c r="AC59" s="894">
        <f t="shared" si="83"/>
        <v>118.80000000000018</v>
      </c>
      <c r="AD59" s="3041">
        <f t="shared" ref="AD59:AF60" si="85">+AD31-AC31</f>
        <v>83.23337999999967</v>
      </c>
      <c r="AE59" s="3041">
        <f t="shared" si="85"/>
        <v>43.757488229999581</v>
      </c>
      <c r="AF59" s="3041">
        <f t="shared" si="85"/>
        <v>33.936251513265233</v>
      </c>
      <c r="AG59" s="2939"/>
      <c r="AH59" s="2939"/>
      <c r="AI59" s="2939"/>
      <c r="AJ59" s="2939"/>
      <c r="AK59" s="2939"/>
      <c r="AL59" s="2939"/>
      <c r="AM59" s="2939"/>
      <c r="AN59" s="2939"/>
      <c r="AO59" s="2939"/>
      <c r="AP59" s="2939"/>
      <c r="AQ59" s="2939"/>
    </row>
    <row r="60" spans="1:43" s="736" customFormat="1" ht="12.75" customHeight="1">
      <c r="A60" s="701"/>
      <c r="B60" s="701"/>
      <c r="C60" s="981" t="s">
        <v>1791</v>
      </c>
      <c r="D60" s="711"/>
      <c r="E60" s="220" t="s">
        <v>1621</v>
      </c>
      <c r="F60" s="747" t="s">
        <v>639</v>
      </c>
      <c r="G60" s="742"/>
      <c r="H60" s="742">
        <f>+H32-G32</f>
        <v>-4.3999999999991815</v>
      </c>
      <c r="I60" s="742">
        <f t="shared" ref="I60:P60" si="86">+I32-H32</f>
        <v>-1.6000000000003638</v>
      </c>
      <c r="J60" s="742">
        <f t="shared" si="86"/>
        <v>-0.1000000000003638</v>
      </c>
      <c r="K60" s="742">
        <f t="shared" si="86"/>
        <v>5.0000000000004547</v>
      </c>
      <c r="L60" s="742">
        <f t="shared" si="86"/>
        <v>-2.2999999999997272</v>
      </c>
      <c r="M60" s="742">
        <f t="shared" si="86"/>
        <v>-10.200000000000273</v>
      </c>
      <c r="N60" s="742">
        <f t="shared" si="86"/>
        <v>-8.5</v>
      </c>
      <c r="O60" s="742">
        <f t="shared" si="86"/>
        <v>-18.800000000000182</v>
      </c>
      <c r="P60" s="742">
        <f t="shared" si="86"/>
        <v>5.8000000000001819</v>
      </c>
      <c r="Q60" s="742">
        <f t="shared" si="82"/>
        <v>-0.5</v>
      </c>
      <c r="R60" s="742">
        <f t="shared" si="83"/>
        <v>6.3999999999996362</v>
      </c>
      <c r="S60" s="742">
        <f t="shared" si="83"/>
        <v>4.3999999999996362</v>
      </c>
      <c r="T60" s="742">
        <f t="shared" si="83"/>
        <v>-11.799999999999272</v>
      </c>
      <c r="U60" s="742">
        <f t="shared" si="83"/>
        <v>3</v>
      </c>
      <c r="V60" s="742">
        <f t="shared" si="83"/>
        <v>5.8999999999996362</v>
      </c>
      <c r="W60" s="742">
        <f t="shared" si="83"/>
        <v>-10.399999999999636</v>
      </c>
      <c r="X60" s="742">
        <f t="shared" si="83"/>
        <v>-5.8000000000001819</v>
      </c>
      <c r="Y60" s="742">
        <f t="shared" si="83"/>
        <v>-1.3999999999996362</v>
      </c>
      <c r="Z60" s="742">
        <f t="shared" si="83"/>
        <v>-4.7000000000007276</v>
      </c>
      <c r="AA60" s="742">
        <f t="shared" si="83"/>
        <v>-6</v>
      </c>
      <c r="AB60" s="742">
        <f t="shared" si="83"/>
        <v>-16.099999999999454</v>
      </c>
      <c r="AC60" s="742">
        <f t="shared" si="83"/>
        <v>-4</v>
      </c>
      <c r="AD60" s="3041">
        <f t="shared" si="85"/>
        <v>0</v>
      </c>
      <c r="AE60" s="3041">
        <f t="shared" si="85"/>
        <v>0</v>
      </c>
      <c r="AF60" s="3041">
        <f t="shared" si="85"/>
        <v>0</v>
      </c>
      <c r="AG60" s="2939"/>
      <c r="AH60" s="2939"/>
      <c r="AI60" s="2939"/>
      <c r="AJ60" s="2939"/>
      <c r="AK60" s="2939"/>
      <c r="AL60" s="2939"/>
      <c r="AM60" s="2939"/>
      <c r="AN60" s="2939"/>
      <c r="AO60" s="2939"/>
      <c r="AP60" s="2939"/>
      <c r="AQ60" s="2939"/>
    </row>
    <row r="61" spans="1:43" ht="12.75">
      <c r="A61" s="1170"/>
      <c r="C61" s="980" t="s">
        <v>1793</v>
      </c>
      <c r="D61" s="843"/>
      <c r="E61" s="334" t="s">
        <v>634</v>
      </c>
      <c r="F61" s="910" t="s">
        <v>784</v>
      </c>
      <c r="G61" s="894"/>
      <c r="H61" s="894">
        <f t="shared" ref="H61:AF63" si="87">+H33-G33</f>
        <v>-32.999999999999545</v>
      </c>
      <c r="I61" s="894">
        <f t="shared" si="87"/>
        <v>-52.700000000000273</v>
      </c>
      <c r="J61" s="894">
        <f t="shared" si="87"/>
        <v>68.199999999999818</v>
      </c>
      <c r="K61" s="894">
        <f t="shared" si="87"/>
        <v>86.300000000000182</v>
      </c>
      <c r="L61" s="894">
        <f t="shared" si="87"/>
        <v>102.90000000000055</v>
      </c>
      <c r="M61" s="894">
        <f t="shared" si="87"/>
        <v>90.5</v>
      </c>
      <c r="N61" s="894">
        <f t="shared" si="87"/>
        <v>2.0999999999994543</v>
      </c>
      <c r="O61" s="894">
        <f t="shared" si="87"/>
        <v>-25.300000000000182</v>
      </c>
      <c r="P61" s="894">
        <f t="shared" si="87"/>
        <v>-30.699999999999818</v>
      </c>
      <c r="Q61" s="894">
        <f t="shared" si="82"/>
        <v>11.5</v>
      </c>
      <c r="R61" s="894">
        <f t="shared" si="83"/>
        <v>73.699999999999818</v>
      </c>
      <c r="S61" s="894">
        <f t="shared" si="83"/>
        <v>102</v>
      </c>
      <c r="T61" s="894">
        <f t="shared" si="83"/>
        <v>40.800000000000182</v>
      </c>
      <c r="U61" s="894">
        <f t="shared" si="83"/>
        <v>-110.39999999999964</v>
      </c>
      <c r="V61" s="894">
        <f t="shared" si="83"/>
        <v>42.899999999999636</v>
      </c>
      <c r="W61" s="894">
        <f t="shared" si="83"/>
        <v>95.900000000000546</v>
      </c>
      <c r="X61" s="894">
        <f t="shared" si="83"/>
        <v>33.799999999999272</v>
      </c>
      <c r="Y61" s="894">
        <f t="shared" si="83"/>
        <v>44.400000000000546</v>
      </c>
      <c r="Z61" s="894">
        <f t="shared" si="83"/>
        <v>65.599999999999454</v>
      </c>
      <c r="AA61" s="894">
        <f t="shared" si="83"/>
        <v>70</v>
      </c>
      <c r="AB61" s="894">
        <f t="shared" si="83"/>
        <v>89.100000000000364</v>
      </c>
      <c r="AC61" s="894">
        <f t="shared" si="83"/>
        <v>114.80000000000018</v>
      </c>
      <c r="AD61" s="3040">
        <f t="shared" si="87"/>
        <v>83.23337999999967</v>
      </c>
      <c r="AE61" s="3040">
        <f t="shared" si="87"/>
        <v>43.757488229999581</v>
      </c>
      <c r="AF61" s="3040">
        <f t="shared" si="87"/>
        <v>33.936251513265233</v>
      </c>
    </row>
    <row r="62" spans="1:43" ht="12.75">
      <c r="A62" s="1170"/>
      <c r="C62" s="912" t="s">
        <v>1791</v>
      </c>
      <c r="D62" s="711"/>
      <c r="E62" s="220" t="s">
        <v>641</v>
      </c>
      <c r="F62" s="741" t="s">
        <v>1324</v>
      </c>
      <c r="G62" s="742"/>
      <c r="H62" s="742">
        <f t="shared" si="87"/>
        <v>9.7999999999997272</v>
      </c>
      <c r="I62" s="742">
        <f t="shared" si="87"/>
        <v>14.500000000000455</v>
      </c>
      <c r="J62" s="742">
        <f t="shared" si="87"/>
        <v>-4.0999999999999091</v>
      </c>
      <c r="K62" s="742">
        <f t="shared" si="87"/>
        <v>2.2999999999997272</v>
      </c>
      <c r="L62" s="742">
        <f t="shared" si="87"/>
        <v>-13.500000000000909</v>
      </c>
      <c r="M62" s="742">
        <f t="shared" si="87"/>
        <v>68.5</v>
      </c>
      <c r="N62" s="742">
        <f t="shared" si="87"/>
        <v>12.000000000000909</v>
      </c>
      <c r="O62" s="742">
        <f t="shared" si="87"/>
        <v>14.300000000000182</v>
      </c>
      <c r="P62" s="742">
        <f t="shared" si="87"/>
        <v>12.800000000000182</v>
      </c>
      <c r="Q62" s="742">
        <f t="shared" si="82"/>
        <v>3.5</v>
      </c>
      <c r="R62" s="742">
        <f t="shared" si="83"/>
        <v>8.0999999999994543</v>
      </c>
      <c r="S62" s="742">
        <f t="shared" si="83"/>
        <v>9.3000000000001819</v>
      </c>
      <c r="T62" s="742">
        <f t="shared" si="83"/>
        <v>11.5</v>
      </c>
      <c r="U62" s="742">
        <f t="shared" si="83"/>
        <v>16.099999999999454</v>
      </c>
      <c r="V62" s="742">
        <f t="shared" si="83"/>
        <v>-17.899999999999636</v>
      </c>
      <c r="W62" s="742">
        <f t="shared" si="83"/>
        <v>6.2999999999992724</v>
      </c>
      <c r="X62" s="742">
        <f t="shared" si="83"/>
        <v>-2.5999999999985448</v>
      </c>
      <c r="Y62" s="742">
        <f t="shared" si="83"/>
        <v>3.1999999999989086</v>
      </c>
      <c r="Z62" s="742">
        <f t="shared" si="83"/>
        <v>2.0000000000009095</v>
      </c>
      <c r="AA62" s="742">
        <f t="shared" si="83"/>
        <v>-5.1000000000003638</v>
      </c>
      <c r="AB62" s="742">
        <f t="shared" si="83"/>
        <v>-16.199999999999818</v>
      </c>
      <c r="AC62" s="742">
        <f t="shared" si="83"/>
        <v>-3.1000000000003638</v>
      </c>
      <c r="AD62" s="3040">
        <f t="shared" si="87"/>
        <v>0</v>
      </c>
      <c r="AE62" s="3040">
        <f t="shared" si="87"/>
        <v>0</v>
      </c>
      <c r="AF62" s="3040">
        <f t="shared" si="87"/>
        <v>0</v>
      </c>
    </row>
    <row r="63" spans="1:43" s="736" customFormat="1" ht="12.75" customHeight="1">
      <c r="A63" s="701"/>
      <c r="B63" s="701"/>
      <c r="C63" s="911" t="s">
        <v>1793</v>
      </c>
      <c r="D63" s="843"/>
      <c r="E63" s="844" t="s">
        <v>635</v>
      </c>
      <c r="F63" s="845" t="s">
        <v>1718</v>
      </c>
      <c r="G63" s="846"/>
      <c r="H63" s="894">
        <f t="shared" si="87"/>
        <v>-23.199999999999818</v>
      </c>
      <c r="I63" s="894">
        <f t="shared" si="87"/>
        <v>-38.199999999999818</v>
      </c>
      <c r="J63" s="894">
        <f t="shared" si="87"/>
        <v>64.099999999999909</v>
      </c>
      <c r="K63" s="894">
        <f t="shared" si="87"/>
        <v>88.599999999999909</v>
      </c>
      <c r="L63" s="894">
        <f t="shared" si="87"/>
        <v>89.399999999999636</v>
      </c>
      <c r="M63" s="894">
        <f t="shared" si="87"/>
        <v>159</v>
      </c>
      <c r="N63" s="894">
        <f t="shared" si="87"/>
        <v>14.100000000000364</v>
      </c>
      <c r="O63" s="894">
        <f t="shared" si="87"/>
        <v>-11</v>
      </c>
      <c r="P63" s="894">
        <f t="shared" si="87"/>
        <v>-17.899999999999636</v>
      </c>
      <c r="Q63" s="894">
        <f t="shared" si="82"/>
        <v>15</v>
      </c>
      <c r="R63" s="894">
        <f t="shared" si="83"/>
        <v>81.799999999999272</v>
      </c>
      <c r="S63" s="894">
        <f t="shared" si="83"/>
        <v>111.30000000000018</v>
      </c>
      <c r="T63" s="894">
        <f t="shared" si="83"/>
        <v>52.300000000000182</v>
      </c>
      <c r="U63" s="894">
        <f t="shared" si="83"/>
        <v>-94.300000000000182</v>
      </c>
      <c r="V63" s="894">
        <f t="shared" si="83"/>
        <v>25</v>
      </c>
      <c r="W63" s="894">
        <f t="shared" si="83"/>
        <v>102.19999999999982</v>
      </c>
      <c r="X63" s="894">
        <f t="shared" si="83"/>
        <v>31.200000000000728</v>
      </c>
      <c r="Y63" s="894">
        <f t="shared" si="83"/>
        <v>47.599999999999454</v>
      </c>
      <c r="Z63" s="894">
        <f t="shared" si="83"/>
        <v>67.600000000000364</v>
      </c>
      <c r="AA63" s="894">
        <f t="shared" si="83"/>
        <v>64.899999999999636</v>
      </c>
      <c r="AB63" s="894">
        <f t="shared" si="83"/>
        <v>72.900000000000546</v>
      </c>
      <c r="AC63" s="894">
        <f t="shared" si="83"/>
        <v>111.69999999999982</v>
      </c>
      <c r="AD63" s="3040">
        <f t="shared" si="87"/>
        <v>83.23337999999967</v>
      </c>
      <c r="AE63" s="3040">
        <f t="shared" si="87"/>
        <v>43.757488229999581</v>
      </c>
      <c r="AF63" s="3040">
        <f t="shared" si="87"/>
        <v>33.936251513265233</v>
      </c>
      <c r="AG63" s="2939"/>
      <c r="AH63" s="2939"/>
      <c r="AI63" s="2939"/>
      <c r="AJ63" s="2939"/>
      <c r="AK63" s="2939"/>
      <c r="AL63" s="2939"/>
      <c r="AM63" s="2939"/>
      <c r="AN63" s="2939"/>
      <c r="AO63" s="2939"/>
      <c r="AP63" s="2939"/>
      <c r="AQ63" s="2939"/>
    </row>
    <row r="64" spans="1:43" ht="12.75">
      <c r="A64" s="1170"/>
      <c r="C64" s="303" t="s">
        <v>1791</v>
      </c>
      <c r="D64" s="865"/>
      <c r="E64" s="116" t="s">
        <v>1158</v>
      </c>
      <c r="F64" s="919" t="s">
        <v>1875</v>
      </c>
      <c r="G64" s="920"/>
      <c r="H64" s="913">
        <f>+H37-G37</f>
        <v>35.600000000000023</v>
      </c>
      <c r="I64" s="913">
        <f t="shared" ref="I64:AF64" si="88">+I37-H37</f>
        <v>7.3999999999999773</v>
      </c>
      <c r="J64" s="913">
        <f t="shared" si="88"/>
        <v>-77.300000000000011</v>
      </c>
      <c r="K64" s="913">
        <f t="shared" si="88"/>
        <v>-56</v>
      </c>
      <c r="L64" s="913">
        <f t="shared" si="88"/>
        <v>-54.899999999999977</v>
      </c>
      <c r="M64" s="913">
        <f t="shared" si="88"/>
        <v>-29</v>
      </c>
      <c r="N64" s="913">
        <f t="shared" si="88"/>
        <v>6.8000000000000114</v>
      </c>
      <c r="O64" s="913">
        <f t="shared" si="88"/>
        <v>29.5</v>
      </c>
      <c r="P64" s="913">
        <f t="shared" si="88"/>
        <v>39.300000000000011</v>
      </c>
      <c r="Q64" s="913">
        <f t="shared" ref="Q64:AC64" si="89">+Q37-P37</f>
        <v>15.399999999999977</v>
      </c>
      <c r="R64" s="913">
        <f t="shared" si="89"/>
        <v>-24.699999999999989</v>
      </c>
      <c r="S64" s="913">
        <f t="shared" si="89"/>
        <v>-38.800000000000011</v>
      </c>
      <c r="T64" s="913">
        <f t="shared" si="89"/>
        <v>7.1999999999999886</v>
      </c>
      <c r="U64" s="913">
        <f t="shared" si="89"/>
        <v>103.60000000000002</v>
      </c>
      <c r="V64" s="913">
        <f t="shared" si="89"/>
        <v>16.699999999999989</v>
      </c>
      <c r="W64" s="913">
        <f t="shared" si="89"/>
        <v>-35</v>
      </c>
      <c r="X64" s="913">
        <f t="shared" si="89"/>
        <v>13</v>
      </c>
      <c r="Y64" s="913">
        <f t="shared" si="89"/>
        <v>8</v>
      </c>
      <c r="Z64" s="913">
        <f t="shared" si="89"/>
        <v>0</v>
      </c>
      <c r="AA64" s="913">
        <f t="shared" si="89"/>
        <v>-24</v>
      </c>
      <c r="AB64" s="913">
        <f t="shared" si="89"/>
        <v>-21</v>
      </c>
      <c r="AC64" s="913">
        <f t="shared" si="89"/>
        <v>-8</v>
      </c>
      <c r="AD64" s="3042">
        <f t="shared" si="88"/>
        <v>-17.061839999999393</v>
      </c>
      <c r="AE64" s="3042">
        <f t="shared" si="88"/>
        <v>-0.1897159099999044</v>
      </c>
      <c r="AF64" s="3042">
        <f t="shared" si="88"/>
        <v>1.7457540168143169</v>
      </c>
    </row>
    <row r="65" spans="1:43" s="736" customFormat="1" ht="12.75" customHeight="1">
      <c r="A65" s="701"/>
      <c r="B65" s="701"/>
      <c r="C65" s="703" t="s">
        <v>1793</v>
      </c>
      <c r="D65" s="843"/>
      <c r="E65" s="844" t="s">
        <v>1148</v>
      </c>
      <c r="F65" s="845" t="s">
        <v>1648</v>
      </c>
      <c r="G65" s="846"/>
      <c r="H65" s="894">
        <f t="shared" ref="H65:P65" si="90">+H42-G42</f>
        <v>12.400000000000546</v>
      </c>
      <c r="I65" s="894">
        <f t="shared" si="90"/>
        <v>-30.800000000000182</v>
      </c>
      <c r="J65" s="894">
        <f t="shared" si="90"/>
        <v>-13.199999999999818</v>
      </c>
      <c r="K65" s="894">
        <f t="shared" si="90"/>
        <v>32.599999999999454</v>
      </c>
      <c r="L65" s="894">
        <f t="shared" si="90"/>
        <v>34.5</v>
      </c>
      <c r="M65" s="894">
        <f t="shared" si="90"/>
        <v>130</v>
      </c>
      <c r="N65" s="894">
        <f t="shared" si="90"/>
        <v>20.900000000000546</v>
      </c>
      <c r="O65" s="894">
        <f t="shared" si="90"/>
        <v>18.5</v>
      </c>
      <c r="P65" s="894">
        <f t="shared" si="90"/>
        <v>21.400000000000546</v>
      </c>
      <c r="Q65" s="894">
        <f t="shared" ref="Q65:AF65" si="91">+Q42-P42</f>
        <v>30.399999999999636</v>
      </c>
      <c r="R65" s="894">
        <f t="shared" si="91"/>
        <v>57.099999999999454</v>
      </c>
      <c r="S65" s="894">
        <f t="shared" si="91"/>
        <v>72.5</v>
      </c>
      <c r="T65" s="894">
        <f t="shared" si="91"/>
        <v>59.5</v>
      </c>
      <c r="U65" s="894">
        <f t="shared" si="91"/>
        <v>9.3000000000001819</v>
      </c>
      <c r="V65" s="894">
        <f t="shared" si="91"/>
        <v>41.699999999999818</v>
      </c>
      <c r="W65" s="894">
        <f t="shared" si="91"/>
        <v>67.199999999999818</v>
      </c>
      <c r="X65" s="894">
        <f t="shared" si="91"/>
        <v>44.200000000000728</v>
      </c>
      <c r="Y65" s="894">
        <f t="shared" si="91"/>
        <v>55.599999999999454</v>
      </c>
      <c r="Z65" s="894">
        <f t="shared" si="91"/>
        <v>67.600000000000364</v>
      </c>
      <c r="AA65" s="894">
        <f t="shared" si="91"/>
        <v>40.899999999999636</v>
      </c>
      <c r="AB65" s="894">
        <f t="shared" si="91"/>
        <v>51.900000000000546</v>
      </c>
      <c r="AC65" s="894">
        <f t="shared" si="91"/>
        <v>103.69999999999982</v>
      </c>
      <c r="AD65" s="3040">
        <f t="shared" si="91"/>
        <v>66.171540000000277</v>
      </c>
      <c r="AE65" s="3040">
        <f t="shared" si="91"/>
        <v>43.567772319999676</v>
      </c>
      <c r="AF65" s="3040">
        <f t="shared" si="91"/>
        <v>35.68200553007955</v>
      </c>
      <c r="AG65" s="2939"/>
      <c r="AH65" s="2939"/>
      <c r="AI65" s="2939"/>
      <c r="AJ65" s="2939"/>
      <c r="AK65" s="2939"/>
      <c r="AL65" s="2939"/>
      <c r="AM65" s="2939"/>
      <c r="AN65" s="2939"/>
      <c r="AO65" s="2939"/>
      <c r="AP65" s="2939"/>
      <c r="AQ65" s="2939"/>
    </row>
    <row r="66" spans="1:43" ht="12.75">
      <c r="A66" s="1170"/>
      <c r="G66" s="742"/>
      <c r="H66" s="742"/>
      <c r="I66" s="742"/>
      <c r="J66" s="742"/>
      <c r="K66" s="742"/>
      <c r="L66" s="742"/>
      <c r="M66" s="742"/>
      <c r="N66" s="742"/>
      <c r="O66" s="742"/>
      <c r="P66" s="742"/>
      <c r="Q66" s="742"/>
      <c r="R66" s="742"/>
      <c r="S66" s="742"/>
      <c r="T66" s="742"/>
      <c r="U66" s="742"/>
      <c r="V66" s="742"/>
      <c r="W66" s="742"/>
      <c r="X66" s="742"/>
      <c r="Y66" s="742"/>
      <c r="Z66" s="3039"/>
      <c r="AA66" s="3039"/>
      <c r="AB66" s="3039"/>
      <c r="AC66" s="3039"/>
      <c r="AD66" s="3039"/>
      <c r="AE66" s="3039"/>
      <c r="AF66" s="3039"/>
    </row>
    <row r="67" spans="1:43" s="736" customFormat="1" ht="12.75" customHeight="1">
      <c r="A67" s="701"/>
      <c r="B67" s="701"/>
      <c r="C67" s="703"/>
      <c r="D67" s="895"/>
      <c r="E67" s="896" t="s">
        <v>1832</v>
      </c>
      <c r="F67" s="897"/>
      <c r="G67" s="898">
        <f>+InputY!$G$3</f>
        <v>1995</v>
      </c>
      <c r="H67" s="898">
        <f>+G67+1</f>
        <v>1996</v>
      </c>
      <c r="I67" s="898">
        <f t="shared" ref="I67:O67" si="92">+H67+1</f>
        <v>1997</v>
      </c>
      <c r="J67" s="898">
        <f t="shared" si="92"/>
        <v>1998</v>
      </c>
      <c r="K67" s="898">
        <f t="shared" si="92"/>
        <v>1999</v>
      </c>
      <c r="L67" s="898">
        <f t="shared" si="92"/>
        <v>2000</v>
      </c>
      <c r="M67" s="898">
        <f t="shared" si="92"/>
        <v>2001</v>
      </c>
      <c r="N67" s="898">
        <f t="shared" si="92"/>
        <v>2002</v>
      </c>
      <c r="O67" s="898">
        <f t="shared" si="92"/>
        <v>2003</v>
      </c>
      <c r="P67" s="898">
        <f t="shared" ref="P67:AF67" si="93">+O67+1</f>
        <v>2004</v>
      </c>
      <c r="Q67" s="898">
        <f t="shared" si="93"/>
        <v>2005</v>
      </c>
      <c r="R67" s="898">
        <f t="shared" si="93"/>
        <v>2006</v>
      </c>
      <c r="S67" s="898">
        <f t="shared" si="93"/>
        <v>2007</v>
      </c>
      <c r="T67" s="898">
        <f t="shared" si="93"/>
        <v>2008</v>
      </c>
      <c r="U67" s="898">
        <f t="shared" si="93"/>
        <v>2009</v>
      </c>
      <c r="V67" s="898">
        <f t="shared" si="93"/>
        <v>2010</v>
      </c>
      <c r="W67" s="898">
        <f t="shared" si="93"/>
        <v>2011</v>
      </c>
      <c r="X67" s="898">
        <f t="shared" si="93"/>
        <v>2012</v>
      </c>
      <c r="Y67" s="898">
        <f t="shared" si="93"/>
        <v>2013</v>
      </c>
      <c r="Z67" s="2277">
        <f t="shared" si="93"/>
        <v>2014</v>
      </c>
      <c r="AA67" s="2277">
        <f t="shared" si="93"/>
        <v>2015</v>
      </c>
      <c r="AB67" s="2277">
        <f t="shared" si="93"/>
        <v>2016</v>
      </c>
      <c r="AC67" s="2277">
        <f t="shared" si="93"/>
        <v>2017</v>
      </c>
      <c r="AD67" s="2277">
        <f t="shared" si="93"/>
        <v>2018</v>
      </c>
      <c r="AE67" s="2277">
        <f t="shared" si="93"/>
        <v>2019</v>
      </c>
      <c r="AF67" s="2277">
        <f t="shared" si="93"/>
        <v>2020</v>
      </c>
      <c r="AG67" s="2939"/>
      <c r="AH67" s="2939"/>
      <c r="AI67" s="2939"/>
      <c r="AJ67" s="2939"/>
      <c r="AK67" s="2939"/>
      <c r="AL67" s="2939"/>
      <c r="AM67" s="2939"/>
      <c r="AN67" s="2939"/>
      <c r="AO67" s="2939"/>
      <c r="AP67" s="2939"/>
      <c r="AQ67" s="2939"/>
    </row>
    <row r="68" spans="1:43" ht="12.75">
      <c r="A68" s="1170"/>
      <c r="C68" s="1030"/>
      <c r="D68" s="1031"/>
      <c r="E68" s="1032" t="s">
        <v>86</v>
      </c>
      <c r="F68" s="1033" t="s">
        <v>87</v>
      </c>
      <c r="G68" s="1742"/>
      <c r="H68" s="1980">
        <f>+H46/'VVP2'!H$131</f>
        <v>-0.14753289670796479</v>
      </c>
      <c r="I68" s="1980">
        <f>+I46/'VVP2'!I$131</f>
        <v>-0.40077328516015542</v>
      </c>
      <c r="J68" s="1980">
        <f>+J46/'VVP2'!J$131</f>
        <v>0.68228752276446236</v>
      </c>
      <c r="K68" s="1980">
        <f>+K46/'VVP2'!K$131</f>
        <v>0.55645489916177804</v>
      </c>
      <c r="L68" s="1980">
        <f>+L46/'VVP2'!L$131</f>
        <v>1.0557526639306554</v>
      </c>
      <c r="M68" s="1980">
        <f>+M46/'VVP2'!M$131</f>
        <v>2.042490942962901</v>
      </c>
      <c r="N68" s="1980">
        <f>+N46/'VVP2'!N$131</f>
        <v>-0.14370538990588841</v>
      </c>
      <c r="O68" s="1980">
        <f>+O46/'VVP2'!O$131</f>
        <v>-0.30935347895591636</v>
      </c>
      <c r="P68" s="1980">
        <f>+P46/'VVP2'!P$131</f>
        <v>-0.35366062441872748</v>
      </c>
      <c r="Q68" s="1980">
        <f>+Q46/'VVP2'!Q$131</f>
        <v>0.20692305678396122</v>
      </c>
      <c r="R68" s="1980">
        <f>+R46/'VVP2'!R$131</f>
        <v>0.40303873110255406</v>
      </c>
      <c r="S68" s="1980">
        <f>+S46/'VVP2'!S$131</f>
        <v>1.028295367167307</v>
      </c>
      <c r="T68" s="1980">
        <f>+T46/'VVP2'!T$131</f>
        <v>-4.9068909369055298</v>
      </c>
      <c r="U68" s="1980">
        <f>+U46/'VVP2'!U$131</f>
        <v>0.55582117772928497</v>
      </c>
      <c r="V68" s="1980">
        <f>+V46/'VVP2'!V$131</f>
        <v>0.24700627215379484</v>
      </c>
      <c r="W68" s="1980">
        <f>+W46/'VVP2'!W$131</f>
        <v>1.2824135446857967</v>
      </c>
      <c r="X68" s="1980">
        <f>+X46/'VVP2'!X$131</f>
        <v>-3.2515204893762912</v>
      </c>
      <c r="Y68" s="1980">
        <f>+Y46/'VVP2'!Y$131</f>
        <v>0.86018679131126596</v>
      </c>
      <c r="Z68" s="1980">
        <f>+Z46/'VVP2'!Z$131</f>
        <v>0.65825858352967692</v>
      </c>
      <c r="AA68" s="1980">
        <f>+AA46/'VVP2'!AA$131</f>
        <v>0.32609363821706544</v>
      </c>
      <c r="AB68" s="1980">
        <f>+AB46/'VVP2'!AB$131</f>
        <v>0.77967092434037588</v>
      </c>
      <c r="AC68" s="1980">
        <f>+AC46/'VVP2'!AC$131</f>
        <v>1.3099819987816046</v>
      </c>
      <c r="AD68" s="3043">
        <f ca="1">+AD46/'VVP2'!AD$131</f>
        <v>0.69881261632632641</v>
      </c>
      <c r="AE68" s="3043">
        <f ca="1">+AE46/'VVP2'!AE$131</f>
        <v>0.48274864893694247</v>
      </c>
      <c r="AF68" s="3043">
        <f ca="1">+AF46/'VVP2'!AF$131</f>
        <v>0.31233663888221025</v>
      </c>
    </row>
    <row r="69" spans="1:43" ht="12.75">
      <c r="A69" s="1170"/>
      <c r="C69" s="980"/>
      <c r="D69" s="843"/>
      <c r="E69" s="334" t="s">
        <v>1759</v>
      </c>
      <c r="F69" s="910"/>
      <c r="G69" s="894"/>
      <c r="H69" s="1981"/>
      <c r="I69" s="1981"/>
      <c r="J69" s="1981"/>
      <c r="K69" s="1981">
        <f t="shared" ref="K69:P69" si="94">AVERAGE(H68:K68)</f>
        <v>0.17260906001453005</v>
      </c>
      <c r="L69" s="1981">
        <f t="shared" si="94"/>
        <v>0.47343045017418506</v>
      </c>
      <c r="M69" s="1981">
        <f t="shared" si="94"/>
        <v>1.0842465072049492</v>
      </c>
      <c r="N69" s="1981">
        <f t="shared" si="94"/>
        <v>0.87774827903736152</v>
      </c>
      <c r="O69" s="1981">
        <f t="shared" si="94"/>
        <v>0.66129618450793792</v>
      </c>
      <c r="P69" s="1981">
        <f t="shared" si="94"/>
        <v>0.30894286242059221</v>
      </c>
      <c r="Q69" s="1981">
        <f t="shared" ref="Q69:AC69" si="95">AVERAGE(N68:Q68)</f>
        <v>-0.14994910912414278</v>
      </c>
      <c r="R69" s="1981">
        <f t="shared" si="95"/>
        <v>-1.3263078872032139E-2</v>
      </c>
      <c r="S69" s="1981">
        <f t="shared" si="95"/>
        <v>0.32114913265877371</v>
      </c>
      <c r="T69" s="1981">
        <f t="shared" si="95"/>
        <v>-0.81715844546292682</v>
      </c>
      <c r="U69" s="1981">
        <f t="shared" si="95"/>
        <v>-0.7299339152265959</v>
      </c>
      <c r="V69" s="1981">
        <f t="shared" si="95"/>
        <v>-0.76894202996378569</v>
      </c>
      <c r="W69" s="1981">
        <f t="shared" si="95"/>
        <v>-0.70541248558416325</v>
      </c>
      <c r="X69" s="1981">
        <f t="shared" si="95"/>
        <v>-0.29156987370185361</v>
      </c>
      <c r="Y69" s="1981">
        <f t="shared" si="95"/>
        <v>-0.21547847030635842</v>
      </c>
      <c r="Z69" s="1981">
        <f t="shared" si="95"/>
        <v>-0.11266539246238791</v>
      </c>
      <c r="AA69" s="1981">
        <f t="shared" si="95"/>
        <v>-0.35174536907957071</v>
      </c>
      <c r="AB69" s="1981">
        <f t="shared" si="95"/>
        <v>0.65605248434959607</v>
      </c>
      <c r="AC69" s="1981">
        <f t="shared" si="95"/>
        <v>0.76850128621718072</v>
      </c>
      <c r="AD69" s="3044">
        <f ca="1">AVERAGE(AA68:AD68)</f>
        <v>0.77863979441634301</v>
      </c>
      <c r="AE69" s="3044">
        <f ca="1">AVERAGE(AB68:AE68)</f>
        <v>0.81780354709631231</v>
      </c>
      <c r="AF69" s="3044">
        <f ca="1">AVERAGE(AC68:AF68)</f>
        <v>0.70096997573177089</v>
      </c>
    </row>
    <row r="70" spans="1:43" ht="12.75">
      <c r="A70" s="1170"/>
      <c r="C70" s="980"/>
      <c r="D70" s="711"/>
      <c r="E70" s="220" t="s">
        <v>913</v>
      </c>
      <c r="F70" s="741" t="s">
        <v>914</v>
      </c>
      <c r="G70" s="1609"/>
      <c r="H70" s="1983">
        <f>+H47/'VVP2'!H$131</f>
        <v>-1.1224014683837469</v>
      </c>
      <c r="I70" s="1983">
        <f>+I47/'VVP2'!I$131</f>
        <v>-0.56969453127118752</v>
      </c>
      <c r="J70" s="1983">
        <f>+J47/'VVP2'!J$131</f>
        <v>-5.4247520355232448E-2</v>
      </c>
      <c r="K70" s="1983">
        <f>+K47/'VVP2'!K$131</f>
        <v>0.30836704204963056</v>
      </c>
      <c r="L70" s="1983">
        <f>+L47/'VVP2'!L$131</f>
        <v>-0.39939494260253067</v>
      </c>
      <c r="M70" s="1983">
        <f>+M47/'VVP2'!M$131</f>
        <v>0.63849462165762028</v>
      </c>
      <c r="N70" s="1983">
        <f>+N47/'VVP2'!N$131</f>
        <v>0.70048196733424095</v>
      </c>
      <c r="O70" s="1983">
        <f>+O47/'VVP2'!O$131</f>
        <v>0.44741824502284516</v>
      </c>
      <c r="P70" s="1983">
        <f>+P47/'VVP2'!P$131</f>
        <v>0.10387003224148351</v>
      </c>
      <c r="Q70" s="1983">
        <f>+Q47/'VVP2'!Q$131</f>
        <v>-0.10550616186540154</v>
      </c>
      <c r="R70" s="1983">
        <f>+R47/'VVP2'!R$131</f>
        <v>0.23783825067471157</v>
      </c>
      <c r="S70" s="1983">
        <f>+S47/'VVP2'!S$131</f>
        <v>-2.1622606061313811E-2</v>
      </c>
      <c r="T70" s="1983">
        <f>+T47/'VVP2'!T$131</f>
        <v>3.5744044858213679</v>
      </c>
      <c r="U70" s="1983">
        <f>+U47/'VVP2'!U$131</f>
        <v>0.39100127384610345</v>
      </c>
      <c r="V70" s="1983">
        <f>+V47/'VVP2'!V$131</f>
        <v>-7.690786866235301E-2</v>
      </c>
      <c r="W70" s="1983">
        <f>+W47/'VVP2'!W$131</f>
        <v>0.14399762401272254</v>
      </c>
      <c r="X70" s="1983">
        <f>+X47/'VVP2'!X$131</f>
        <v>-2.5748999949108882</v>
      </c>
      <c r="Y70" s="1983">
        <f>+Y47/'VVP2'!Y$131</f>
        <v>0.80075099024840268</v>
      </c>
      <c r="Z70" s="1983">
        <f>+Z47/'VVP2'!Z$131</f>
        <v>0.49348032998891661</v>
      </c>
      <c r="AA70" s="1983">
        <f>+AA47/'VVP2'!AA$131</f>
        <v>0.50198628200003759</v>
      </c>
      <c r="AB70" s="1983">
        <f>+AB47/'VVP2'!AB$131</f>
        <v>1.032687896116639</v>
      </c>
      <c r="AC70" s="1983">
        <f>+AC47/'VVP2'!AC$131</f>
        <v>0.93994340601602899</v>
      </c>
      <c r="AD70" s="3044">
        <f ca="1">+AD47/'VVP2'!AD$131</f>
        <v>0.79984576567471088</v>
      </c>
      <c r="AE70" s="3044">
        <f ca="1">+AE47/'VVP2'!AE$131</f>
        <v>0.5679395869846382</v>
      </c>
      <c r="AF70" s="3044">
        <f ca="1">+AF47/'VVP2'!AF$131</f>
        <v>0.57356364594733156</v>
      </c>
    </row>
    <row r="71" spans="1:43" ht="12.75">
      <c r="A71" s="1170"/>
      <c r="C71" s="980"/>
      <c r="D71" s="843"/>
      <c r="E71" s="334" t="s">
        <v>1759</v>
      </c>
      <c r="F71" s="845"/>
      <c r="G71" s="894"/>
      <c r="H71" s="1981"/>
      <c r="I71" s="1981"/>
      <c r="J71" s="1981"/>
      <c r="K71" s="1981">
        <f t="shared" ref="K71:P71" si="96">AVERAGE(H70:K70)</f>
        <v>-0.3594941194901341</v>
      </c>
      <c r="L71" s="1981">
        <f t="shared" si="96"/>
        <v>-0.17874248804483003</v>
      </c>
      <c r="M71" s="1981">
        <f t="shared" si="96"/>
        <v>0.12330480018737193</v>
      </c>
      <c r="N71" s="1981">
        <f t="shared" si="96"/>
        <v>0.31198717210974025</v>
      </c>
      <c r="O71" s="1981">
        <f t="shared" si="96"/>
        <v>0.34674997285304393</v>
      </c>
      <c r="P71" s="1981">
        <f t="shared" si="96"/>
        <v>0.47256621656404751</v>
      </c>
      <c r="Q71" s="1981">
        <f t="shared" ref="Q71:AC71" si="97">AVERAGE(N70:Q70)</f>
        <v>0.28656602068329201</v>
      </c>
      <c r="R71" s="1981">
        <f t="shared" si="97"/>
        <v>0.17090509151840969</v>
      </c>
      <c r="S71" s="1981">
        <f t="shared" si="97"/>
        <v>5.364487874736993E-2</v>
      </c>
      <c r="T71" s="1981">
        <f t="shared" si="97"/>
        <v>0.92127849214234103</v>
      </c>
      <c r="U71" s="1981">
        <f t="shared" si="97"/>
        <v>1.0454053510702173</v>
      </c>
      <c r="V71" s="1981">
        <f t="shared" si="97"/>
        <v>0.9667188212359511</v>
      </c>
      <c r="W71" s="1981">
        <f t="shared" si="97"/>
        <v>1.0081238787544602</v>
      </c>
      <c r="X71" s="1981">
        <f t="shared" si="97"/>
        <v>-0.52920224142860384</v>
      </c>
      <c r="Y71" s="1981">
        <f t="shared" si="97"/>
        <v>-0.42676481232802899</v>
      </c>
      <c r="Z71" s="1981">
        <f t="shared" si="97"/>
        <v>-0.2841677626652116</v>
      </c>
      <c r="AA71" s="1981">
        <f t="shared" si="97"/>
        <v>-0.19467059816838284</v>
      </c>
      <c r="AB71" s="1981">
        <f t="shared" si="97"/>
        <v>0.70722637458849902</v>
      </c>
      <c r="AC71" s="1981">
        <f t="shared" si="97"/>
        <v>0.74202447853040554</v>
      </c>
      <c r="AD71" s="3044">
        <f ca="1">AVERAGE(AA70:AD70)</f>
        <v>0.81861583745185418</v>
      </c>
      <c r="AE71" s="3044">
        <f ca="1">AVERAGE(AB70:AE70)</f>
        <v>0.83510416369800422</v>
      </c>
      <c r="AF71" s="3044">
        <f ca="1">AVERAGE(AC70:AF70)</f>
        <v>0.72032310115567744</v>
      </c>
    </row>
    <row r="72" spans="1:43" s="736" customFormat="1" ht="12.75" customHeight="1">
      <c r="A72" s="701"/>
      <c r="B72" s="701"/>
      <c r="C72" s="981"/>
      <c r="D72" s="1081"/>
      <c r="E72" s="1082" t="s">
        <v>638</v>
      </c>
      <c r="F72" s="1083" t="s">
        <v>1850</v>
      </c>
      <c r="G72" s="1084"/>
      <c r="H72" s="1983">
        <f>+H48/'VVP2'!H$131</f>
        <v>-0.48931201807358482</v>
      </c>
      <c r="I72" s="1983">
        <f>+I48/'VVP2'!I$131</f>
        <v>-0.45942158122823878</v>
      </c>
      <c r="J72" s="1983">
        <f>+J48/'VVP2'!J$131</f>
        <v>0.42739999424130948</v>
      </c>
      <c r="K72" s="1983">
        <f>+K48/'VVP2'!K$131</f>
        <v>0.47232334298856765</v>
      </c>
      <c r="L72" s="1983">
        <f>+L48/'VVP2'!L$131</f>
        <v>0.56583774113991669</v>
      </c>
      <c r="M72" s="1983">
        <f>+M48/'VVP2'!M$131</f>
        <v>1.5908835851441456</v>
      </c>
      <c r="N72" s="1983">
        <f>+N48/'VVP2'!N$131</f>
        <v>0.12386490690098512</v>
      </c>
      <c r="O72" s="1983">
        <f>+O48/'VVP2'!O$131</f>
        <v>-6.6627121741500331E-2</v>
      </c>
      <c r="P72" s="1983">
        <f>+P48/'VVP2'!P$131</f>
        <v>-0.20512970406969958</v>
      </c>
      <c r="Q72" s="1983">
        <f>+Q48/'VVP2'!Q$131</f>
        <v>0.1041342104058658</v>
      </c>
      <c r="R72" s="1983">
        <f>+R48/'VVP2'!R$131</f>
        <v>0.34900796371754528</v>
      </c>
      <c r="S72" s="1983">
        <f>+S48/'VVP2'!S$131</f>
        <v>0.68667237479919219</v>
      </c>
      <c r="T72" s="1983">
        <f>+T48/'VVP2'!T$131</f>
        <v>-2.2123344379440235</v>
      </c>
      <c r="U72" s="1983">
        <f>+U48/'VVP2'!U$131</f>
        <v>0.5051243803907175</v>
      </c>
      <c r="V72" s="1983">
        <f>+V48/'VVP2'!V$131</f>
        <v>0.1467671137047582</v>
      </c>
      <c r="W72" s="1983">
        <f>+W48/'VVP2'!W$131</f>
        <v>0.93479743998247533</v>
      </c>
      <c r="X72" s="1983">
        <f>+X48/'VVP2'!X$131</f>
        <v>-3.0491844292237942</v>
      </c>
      <c r="Y72" s="1983">
        <f>+Y48/'VVP2'!Y$131</f>
        <v>0.84243809303022865</v>
      </c>
      <c r="Z72" s="1983">
        <f>+Z48/'VVP2'!Z$131</f>
        <v>0.60907769811760093</v>
      </c>
      <c r="AA72" s="1983">
        <f>+AA48/'VVP2'!AA$131</f>
        <v>0.37843636624515381</v>
      </c>
      <c r="AB72" s="1983">
        <f>+AB48/'VVP2'!AB$131</f>
        <v>0.8553722682736109</v>
      </c>
      <c r="AC72" s="1983">
        <f>+AC48/'VVP2'!AC$131</f>
        <v>1.1987533316441796</v>
      </c>
      <c r="AD72" s="3044">
        <f ca="1">+AD48/'VVP2'!AD$131</f>
        <v>0.72901976852523864</v>
      </c>
      <c r="AE72" s="3044">
        <f ca="1">+AE48/'VVP2'!AE$131</f>
        <v>0.50826137918361847</v>
      </c>
      <c r="AF72" s="3044">
        <f ca="1">+AF48/'VVP2'!AF$131</f>
        <v>0.39064960589491143</v>
      </c>
      <c r="AG72" s="2939"/>
      <c r="AH72" s="2939"/>
      <c r="AI72" s="2939"/>
      <c r="AJ72" s="2939"/>
      <c r="AK72" s="2939"/>
      <c r="AL72" s="2939"/>
      <c r="AM72" s="2939"/>
      <c r="AN72" s="2939"/>
      <c r="AO72" s="2939"/>
      <c r="AP72" s="2939"/>
      <c r="AQ72" s="2939"/>
    </row>
    <row r="73" spans="1:43" ht="12.75">
      <c r="A73" s="1170"/>
      <c r="C73" s="904"/>
      <c r="D73" s="1984"/>
      <c r="E73" s="1985" t="s">
        <v>1759</v>
      </c>
      <c r="F73" s="1986"/>
      <c r="G73" s="1987"/>
      <c r="H73" s="1982"/>
      <c r="I73" s="1982"/>
      <c r="J73" s="1982"/>
      <c r="K73" s="1982">
        <f t="shared" ref="K73:P73" si="98">AVERAGE(H72:K72)</f>
        <v>-1.2252565517986605E-2</v>
      </c>
      <c r="L73" s="1982">
        <f t="shared" si="98"/>
        <v>0.25153487428538879</v>
      </c>
      <c r="M73" s="1982">
        <f t="shared" si="98"/>
        <v>0.76411116587848493</v>
      </c>
      <c r="N73" s="1982">
        <f t="shared" si="98"/>
        <v>0.68822739404340372</v>
      </c>
      <c r="O73" s="1982">
        <f t="shared" si="98"/>
        <v>0.55348977786088671</v>
      </c>
      <c r="P73" s="1982">
        <f t="shared" si="98"/>
        <v>0.36074791655848271</v>
      </c>
      <c r="Q73" s="1982">
        <f t="shared" ref="Q73:AC73" si="99">AVERAGE(N72:Q72)</f>
        <v>-1.093942712608725E-2</v>
      </c>
      <c r="R73" s="1982">
        <f t="shared" si="99"/>
        <v>4.5346337078052787E-2</v>
      </c>
      <c r="S73" s="1982">
        <f t="shared" si="99"/>
        <v>0.23367121121322593</v>
      </c>
      <c r="T73" s="1982">
        <f t="shared" si="99"/>
        <v>-0.26812997225535506</v>
      </c>
      <c r="U73" s="1982">
        <f t="shared" si="99"/>
        <v>-0.16788242975914214</v>
      </c>
      <c r="V73" s="1982">
        <f t="shared" si="99"/>
        <v>-0.21844264226233889</v>
      </c>
      <c r="W73" s="1982">
        <f t="shared" si="99"/>
        <v>-0.15641137596651813</v>
      </c>
      <c r="X73" s="1982">
        <f t="shared" si="99"/>
        <v>-0.36562387378646077</v>
      </c>
      <c r="Y73" s="1982">
        <f t="shared" si="99"/>
        <v>-0.28129544562658299</v>
      </c>
      <c r="Z73" s="1982">
        <f t="shared" si="99"/>
        <v>-0.16571779952337229</v>
      </c>
      <c r="AA73" s="1982">
        <f t="shared" si="99"/>
        <v>-0.30480806795770266</v>
      </c>
      <c r="AB73" s="1982">
        <f t="shared" si="99"/>
        <v>0.6713311064166485</v>
      </c>
      <c r="AC73" s="1982">
        <f t="shared" si="99"/>
        <v>0.7604099160701363</v>
      </c>
      <c r="AD73" s="3045">
        <f ca="1">AVERAGE(AA72:AD72)</f>
        <v>0.79039543367204568</v>
      </c>
      <c r="AE73" s="3045">
        <f ca="1">AVERAGE(AB72:AE72)</f>
        <v>0.82285168690666188</v>
      </c>
      <c r="AF73" s="3045">
        <f ca="1">AVERAGE(AC72:AF72)</f>
        <v>0.706671021311987</v>
      </c>
    </row>
    <row r="74" spans="1:43" ht="30" customHeight="1">
      <c r="A74" s="1170"/>
      <c r="G74" s="742"/>
      <c r="H74" s="742"/>
      <c r="I74" s="742"/>
      <c r="J74" s="742"/>
      <c r="K74" s="742"/>
      <c r="L74" s="742"/>
      <c r="M74" s="742"/>
      <c r="N74" s="742"/>
      <c r="O74" s="742"/>
      <c r="P74" s="742"/>
      <c r="Q74" s="908"/>
      <c r="R74" s="2283"/>
      <c r="S74" s="3039"/>
      <c r="T74" s="3039"/>
      <c r="U74" s="3039"/>
      <c r="V74" s="3039"/>
      <c r="W74" s="3039"/>
      <c r="X74" s="3039"/>
      <c r="Y74" s="3039"/>
      <c r="Z74" s="3039"/>
      <c r="AA74" s="3039"/>
      <c r="AB74" s="3039"/>
      <c r="AC74" s="3039"/>
      <c r="AD74" s="3039"/>
      <c r="AE74" s="3039"/>
      <c r="AF74" s="3039"/>
    </row>
    <row r="75" spans="1:43" s="736" customFormat="1" ht="12.75" customHeight="1">
      <c r="A75" s="701"/>
      <c r="B75" s="701"/>
      <c r="C75" s="703"/>
      <c r="D75" s="732"/>
      <c r="E75" s="733" t="s">
        <v>1160</v>
      </c>
      <c r="F75" s="734"/>
      <c r="G75" s="735">
        <f>+InputY!$G$3</f>
        <v>1995</v>
      </c>
      <c r="H75" s="735">
        <f>+G75+1</f>
        <v>1996</v>
      </c>
      <c r="I75" s="735">
        <f t="shared" ref="I75:O75" si="100">+H75+1</f>
        <v>1997</v>
      </c>
      <c r="J75" s="735">
        <f t="shared" si="100"/>
        <v>1998</v>
      </c>
      <c r="K75" s="735">
        <f t="shared" si="100"/>
        <v>1999</v>
      </c>
      <c r="L75" s="735">
        <f t="shared" si="100"/>
        <v>2000</v>
      </c>
      <c r="M75" s="735">
        <f t="shared" si="100"/>
        <v>2001</v>
      </c>
      <c r="N75" s="735">
        <f t="shared" si="100"/>
        <v>2002</v>
      </c>
      <c r="O75" s="735">
        <f t="shared" si="100"/>
        <v>2003</v>
      </c>
      <c r="P75" s="735">
        <f>+O75+1</f>
        <v>2004</v>
      </c>
      <c r="Q75" s="735">
        <f>+P75+1</f>
        <v>2005</v>
      </c>
      <c r="R75" s="735">
        <f>+Q75+1</f>
        <v>2006</v>
      </c>
      <c r="S75" s="735">
        <f>+R75+1</f>
        <v>2007</v>
      </c>
      <c r="T75" s="735">
        <f t="shared" ref="T75:AF75" si="101">+S75+1</f>
        <v>2008</v>
      </c>
      <c r="U75" s="735">
        <f t="shared" si="101"/>
        <v>2009</v>
      </c>
      <c r="V75" s="735">
        <f t="shared" si="101"/>
        <v>2010</v>
      </c>
      <c r="W75" s="735">
        <f t="shared" si="101"/>
        <v>2011</v>
      </c>
      <c r="X75" s="2271">
        <f t="shared" si="101"/>
        <v>2012</v>
      </c>
      <c r="Y75" s="2271">
        <f t="shared" si="101"/>
        <v>2013</v>
      </c>
      <c r="Z75" s="2271">
        <f t="shared" si="101"/>
        <v>2014</v>
      </c>
      <c r="AA75" s="2271">
        <f t="shared" si="101"/>
        <v>2015</v>
      </c>
      <c r="AB75" s="2271">
        <f t="shared" si="101"/>
        <v>2016</v>
      </c>
      <c r="AC75" s="2271">
        <f t="shared" si="101"/>
        <v>2017</v>
      </c>
      <c r="AD75" s="2271">
        <f t="shared" si="101"/>
        <v>2018</v>
      </c>
      <c r="AE75" s="2271">
        <f t="shared" si="101"/>
        <v>2019</v>
      </c>
      <c r="AF75" s="2271">
        <f t="shared" si="101"/>
        <v>2020</v>
      </c>
      <c r="AG75" s="2939"/>
      <c r="AH75" s="2939"/>
      <c r="AI75" s="2939"/>
      <c r="AJ75" s="2939"/>
      <c r="AK75" s="2939"/>
      <c r="AL75" s="2939"/>
      <c r="AM75" s="2939"/>
      <c r="AN75" s="2939"/>
      <c r="AO75" s="2939"/>
      <c r="AP75" s="2939"/>
      <c r="AQ75" s="2939"/>
    </row>
    <row r="76" spans="1:43" s="922" customFormat="1" ht="12.75" customHeight="1">
      <c r="A76" s="701"/>
      <c r="B76" s="701"/>
      <c r="C76" s="704" t="s">
        <v>1791</v>
      </c>
      <c r="D76" s="810"/>
      <c r="E76" s="924" t="s">
        <v>638</v>
      </c>
      <c r="F76" s="925" t="s">
        <v>1325</v>
      </c>
      <c r="G76" s="926">
        <f>+G31</f>
        <v>3847.8</v>
      </c>
      <c r="H76" s="926">
        <f>+H31</f>
        <v>3819.2</v>
      </c>
      <c r="I76" s="926">
        <f t="shared" ref="I76:O76" si="102">+I31</f>
        <v>3768.1</v>
      </c>
      <c r="J76" s="926">
        <f t="shared" si="102"/>
        <v>3836.4</v>
      </c>
      <c r="K76" s="926">
        <f t="shared" si="102"/>
        <v>3917.7</v>
      </c>
      <c r="L76" s="926">
        <f t="shared" si="102"/>
        <v>4022.9</v>
      </c>
      <c r="M76" s="926">
        <f t="shared" si="102"/>
        <v>4123.6000000000004</v>
      </c>
      <c r="N76" s="926">
        <f t="shared" si="102"/>
        <v>4134.2</v>
      </c>
      <c r="O76" s="926">
        <f t="shared" si="102"/>
        <v>4127.7</v>
      </c>
      <c r="P76" s="926">
        <f t="shared" ref="P76:X76" si="103">+P31</f>
        <v>4091.2</v>
      </c>
      <c r="Q76" s="926">
        <f t="shared" si="103"/>
        <v>4103.2</v>
      </c>
      <c r="R76" s="926">
        <f t="shared" si="103"/>
        <v>4170.5</v>
      </c>
      <c r="S76" s="926">
        <f t="shared" si="103"/>
        <v>4268.1000000000004</v>
      </c>
      <c r="T76" s="926">
        <f t="shared" si="103"/>
        <v>4320.7</v>
      </c>
      <c r="U76" s="926">
        <f t="shared" si="103"/>
        <v>4207.3</v>
      </c>
      <c r="V76" s="926">
        <f t="shared" si="103"/>
        <v>4244.3</v>
      </c>
      <c r="W76" s="926">
        <f t="shared" si="103"/>
        <v>4350.6000000000004</v>
      </c>
      <c r="X76" s="3046">
        <f t="shared" si="103"/>
        <v>4390.2</v>
      </c>
      <c r="Y76" s="3046">
        <f t="shared" ref="Y76:AD76" si="104">+Y31</f>
        <v>4436</v>
      </c>
      <c r="Z76" s="3046">
        <f t="shared" si="104"/>
        <v>4506.3</v>
      </c>
      <c r="AA76" s="3046">
        <f t="shared" si="104"/>
        <v>4582.3</v>
      </c>
      <c r="AB76" s="3046">
        <f t="shared" si="104"/>
        <v>4687.5</v>
      </c>
      <c r="AC76" s="3046">
        <f t="shared" ref="AC76" si="105">+AC31</f>
        <v>4806.3</v>
      </c>
      <c r="AD76" s="3046">
        <f t="shared" si="104"/>
        <v>4889.5333799999999</v>
      </c>
      <c r="AE76" s="3046">
        <f t="shared" ref="AE76:AF76" si="106">+AE31</f>
        <v>4933.2908682299994</v>
      </c>
      <c r="AF76" s="3046">
        <f t="shared" si="106"/>
        <v>4967.2271197432647</v>
      </c>
      <c r="AG76" s="2944"/>
      <c r="AH76" s="2944"/>
      <c r="AI76" s="2944"/>
      <c r="AJ76" s="2944"/>
      <c r="AK76" s="2944"/>
      <c r="AL76" s="2944"/>
      <c r="AM76" s="2944"/>
      <c r="AN76" s="2944"/>
      <c r="AO76" s="2944"/>
      <c r="AP76" s="2944"/>
      <c r="AQ76" s="2944"/>
    </row>
    <row r="77" spans="1:43" s="921" customFormat="1" ht="12.75" customHeight="1">
      <c r="A77" s="701"/>
      <c r="B77" s="701"/>
      <c r="C77" s="923" t="s">
        <v>1791</v>
      </c>
      <c r="D77" s="927"/>
      <c r="E77" s="928" t="str">
        <f>+E34</f>
        <v>Frontier workers</v>
      </c>
      <c r="F77" s="929" t="s">
        <v>1324</v>
      </c>
      <c r="G77" s="930">
        <f>+G34</f>
        <v>-121.19999999999982</v>
      </c>
      <c r="H77" s="930">
        <f>+H34</f>
        <v>-111.40000000000009</v>
      </c>
      <c r="I77" s="930">
        <f t="shared" ref="I77:O77" si="107">+I34</f>
        <v>-96.899999999999636</v>
      </c>
      <c r="J77" s="930">
        <f t="shared" si="107"/>
        <v>-100.99999999999955</v>
      </c>
      <c r="K77" s="930">
        <f t="shared" si="107"/>
        <v>-98.699999999999818</v>
      </c>
      <c r="L77" s="930">
        <f t="shared" si="107"/>
        <v>-112.20000000000073</v>
      </c>
      <c r="M77" s="930">
        <f t="shared" si="107"/>
        <v>-43.700000000000728</v>
      </c>
      <c r="N77" s="930">
        <f t="shared" si="107"/>
        <v>-31.699999999999818</v>
      </c>
      <c r="O77" s="930">
        <f t="shared" si="107"/>
        <v>-17.399999999999636</v>
      </c>
      <c r="P77" s="930">
        <f t="shared" ref="P77:AA77" si="108">+P34</f>
        <v>-4.5999999999994543</v>
      </c>
      <c r="Q77" s="930">
        <f t="shared" si="108"/>
        <v>-1.0999999999994543</v>
      </c>
      <c r="R77" s="930">
        <f t="shared" si="108"/>
        <v>7</v>
      </c>
      <c r="S77" s="930">
        <f t="shared" si="108"/>
        <v>16.300000000000182</v>
      </c>
      <c r="T77" s="930">
        <f t="shared" si="108"/>
        <v>27.800000000000182</v>
      </c>
      <c r="U77" s="930">
        <f t="shared" si="108"/>
        <v>43.899999999999636</v>
      </c>
      <c r="V77" s="930">
        <f t="shared" si="108"/>
        <v>26</v>
      </c>
      <c r="W77" s="930">
        <f t="shared" si="108"/>
        <v>32.299999999999272</v>
      </c>
      <c r="X77" s="3047">
        <f t="shared" si="108"/>
        <v>29.700000000000728</v>
      </c>
      <c r="Y77" s="3047">
        <f t="shared" si="108"/>
        <v>32.899999999999636</v>
      </c>
      <c r="Z77" s="3047">
        <f t="shared" si="108"/>
        <v>34.900000000000546</v>
      </c>
      <c r="AA77" s="3047">
        <f t="shared" si="108"/>
        <v>29.800000000000182</v>
      </c>
      <c r="AB77" s="3047">
        <f>+AB34</f>
        <v>13.600000000000364</v>
      </c>
      <c r="AC77" s="3047">
        <f>+AC34</f>
        <v>10.5</v>
      </c>
      <c r="AD77" s="3047">
        <f>+AD34</f>
        <v>10.5</v>
      </c>
      <c r="AE77" s="3047">
        <f>+AE34</f>
        <v>10.5</v>
      </c>
      <c r="AF77" s="3047">
        <f>+AF34</f>
        <v>10.5</v>
      </c>
      <c r="AG77" s="2942"/>
      <c r="AH77" s="2942"/>
      <c r="AI77" s="2942"/>
      <c r="AJ77" s="2942"/>
      <c r="AK77" s="2942"/>
      <c r="AL77" s="2942"/>
      <c r="AM77" s="2942"/>
      <c r="AN77" s="2942"/>
      <c r="AO77" s="2942"/>
      <c r="AP77" s="2942"/>
      <c r="AQ77" s="2942"/>
    </row>
    <row r="78" spans="1:43" s="736" customFormat="1" ht="12.75" customHeight="1">
      <c r="A78" s="701"/>
      <c r="B78" s="701">
        <v>83</v>
      </c>
      <c r="C78" s="703" t="s">
        <v>1793</v>
      </c>
      <c r="D78" s="783"/>
      <c r="E78" s="931" t="s">
        <v>1175</v>
      </c>
      <c r="F78" s="932" t="s">
        <v>642</v>
      </c>
      <c r="G78" s="786">
        <f>+G76+G77</f>
        <v>3726.6000000000004</v>
      </c>
      <c r="H78" s="786">
        <f>+H76+H77</f>
        <v>3707.7999999999997</v>
      </c>
      <c r="I78" s="786">
        <f t="shared" ref="I78:X78" si="109">+I76+I77</f>
        <v>3671.2000000000003</v>
      </c>
      <c r="J78" s="786">
        <f t="shared" si="109"/>
        <v>3735.4000000000005</v>
      </c>
      <c r="K78" s="786">
        <f t="shared" si="109"/>
        <v>3819</v>
      </c>
      <c r="L78" s="786">
        <f t="shared" si="109"/>
        <v>3910.6999999999994</v>
      </c>
      <c r="M78" s="786">
        <f t="shared" si="109"/>
        <v>4079.8999999999996</v>
      </c>
      <c r="N78" s="786">
        <f t="shared" si="109"/>
        <v>4102.5</v>
      </c>
      <c r="O78" s="786">
        <f t="shared" si="109"/>
        <v>4110.3</v>
      </c>
      <c r="P78" s="786">
        <f t="shared" si="109"/>
        <v>4086.6000000000004</v>
      </c>
      <c r="Q78" s="786">
        <f t="shared" ref="Q78:V78" si="110">+Q76+Q77</f>
        <v>4102.1000000000004</v>
      </c>
      <c r="R78" s="786">
        <f t="shared" si="110"/>
        <v>4177.5</v>
      </c>
      <c r="S78" s="786">
        <f t="shared" si="110"/>
        <v>4284.4000000000005</v>
      </c>
      <c r="T78" s="786">
        <f t="shared" si="110"/>
        <v>4348.5</v>
      </c>
      <c r="U78" s="786">
        <f t="shared" si="110"/>
        <v>4251.2</v>
      </c>
      <c r="V78" s="786">
        <f t="shared" si="110"/>
        <v>4270.3</v>
      </c>
      <c r="W78" s="786">
        <f>+W76+W77</f>
        <v>4382.8999999999996</v>
      </c>
      <c r="X78" s="3048">
        <f t="shared" si="109"/>
        <v>4419.9000000000005</v>
      </c>
      <c r="Y78" s="3048">
        <f t="shared" ref="Y78:AD78" si="111">+Y76+Y77</f>
        <v>4468.8999999999996</v>
      </c>
      <c r="Z78" s="3048">
        <f t="shared" si="111"/>
        <v>4541.2000000000007</v>
      </c>
      <c r="AA78" s="3048">
        <f t="shared" si="111"/>
        <v>4612.1000000000004</v>
      </c>
      <c r="AB78" s="3048">
        <f t="shared" si="111"/>
        <v>4701.1000000000004</v>
      </c>
      <c r="AC78" s="3048">
        <f t="shared" ref="AC78" si="112">+AC76+AC77</f>
        <v>4816.8</v>
      </c>
      <c r="AD78" s="3048">
        <f t="shared" si="111"/>
        <v>4900.0333799999999</v>
      </c>
      <c r="AE78" s="3048">
        <f t="shared" ref="AE78:AF78" si="113">+AE76+AE77</f>
        <v>4943.7908682299994</v>
      </c>
      <c r="AF78" s="3048">
        <f t="shared" si="113"/>
        <v>4977.7271197432647</v>
      </c>
      <c r="AG78" s="2939"/>
      <c r="AH78" s="2939"/>
      <c r="AI78" s="2939"/>
      <c r="AJ78" s="2939"/>
      <c r="AK78" s="2939"/>
      <c r="AL78" s="2939"/>
      <c r="AM78" s="2939"/>
      <c r="AN78" s="2939"/>
      <c r="AO78" s="2939"/>
      <c r="AP78" s="2939"/>
      <c r="AQ78" s="2939"/>
    </row>
    <row r="79" spans="1:43" ht="12.75">
      <c r="A79" s="1170"/>
      <c r="Q79" s="217"/>
      <c r="R79" s="217"/>
      <c r="S79" s="217"/>
      <c r="T79" s="217"/>
      <c r="U79" s="217"/>
      <c r="V79" s="217"/>
      <c r="W79" s="217"/>
      <c r="X79" s="3023"/>
      <c r="Y79" s="3023"/>
      <c r="Z79" s="3023"/>
      <c r="AA79" s="3023"/>
      <c r="AB79" s="3023"/>
      <c r="AC79" s="3023"/>
      <c r="AD79" s="3023"/>
      <c r="AE79" s="3023"/>
      <c r="AF79" s="3023"/>
    </row>
    <row r="80" spans="1:43" s="736" customFormat="1" ht="12.75" customHeight="1">
      <c r="A80" s="701"/>
      <c r="B80" s="701"/>
      <c r="C80" s="703"/>
      <c r="D80" s="779"/>
      <c r="E80" s="780" t="s">
        <v>1160</v>
      </c>
      <c r="F80" s="781"/>
      <c r="G80" s="782">
        <f>+InputY!$G$3</f>
        <v>1995</v>
      </c>
      <c r="H80" s="782">
        <f>+G80+1</f>
        <v>1996</v>
      </c>
      <c r="I80" s="782">
        <f t="shared" ref="I80:O80" si="114">+H80+1</f>
        <v>1997</v>
      </c>
      <c r="J80" s="782">
        <f t="shared" si="114"/>
        <v>1998</v>
      </c>
      <c r="K80" s="782">
        <f t="shared" si="114"/>
        <v>1999</v>
      </c>
      <c r="L80" s="782">
        <f t="shared" si="114"/>
        <v>2000</v>
      </c>
      <c r="M80" s="782">
        <f t="shared" si="114"/>
        <v>2001</v>
      </c>
      <c r="N80" s="782">
        <f t="shared" si="114"/>
        <v>2002</v>
      </c>
      <c r="O80" s="782">
        <f t="shared" si="114"/>
        <v>2003</v>
      </c>
      <c r="P80" s="782">
        <f>+O80+1</f>
        <v>2004</v>
      </c>
      <c r="Q80" s="782">
        <f>+P80+1</f>
        <v>2005</v>
      </c>
      <c r="R80" s="782">
        <f>+Q80+1</f>
        <v>2006</v>
      </c>
      <c r="S80" s="782">
        <f>+R80+1</f>
        <v>2007</v>
      </c>
      <c r="T80" s="782">
        <f t="shared" ref="T80:AF80" si="115">+S80+1</f>
        <v>2008</v>
      </c>
      <c r="U80" s="782">
        <f t="shared" si="115"/>
        <v>2009</v>
      </c>
      <c r="V80" s="782">
        <f t="shared" si="115"/>
        <v>2010</v>
      </c>
      <c r="W80" s="782">
        <f t="shared" si="115"/>
        <v>2011</v>
      </c>
      <c r="X80" s="2272">
        <f t="shared" si="115"/>
        <v>2012</v>
      </c>
      <c r="Y80" s="2272">
        <f t="shared" si="115"/>
        <v>2013</v>
      </c>
      <c r="Z80" s="2272">
        <f t="shared" si="115"/>
        <v>2014</v>
      </c>
      <c r="AA80" s="2272">
        <f t="shared" si="115"/>
        <v>2015</v>
      </c>
      <c r="AB80" s="2272">
        <f t="shared" si="115"/>
        <v>2016</v>
      </c>
      <c r="AC80" s="2272">
        <f t="shared" si="115"/>
        <v>2017</v>
      </c>
      <c r="AD80" s="2272">
        <f t="shared" si="115"/>
        <v>2018</v>
      </c>
      <c r="AE80" s="2272">
        <f t="shared" si="115"/>
        <v>2019</v>
      </c>
      <c r="AF80" s="2272">
        <f t="shared" si="115"/>
        <v>2020</v>
      </c>
      <c r="AG80" s="2939"/>
      <c r="AH80" s="2939"/>
      <c r="AI80" s="2939"/>
      <c r="AJ80" s="2939"/>
      <c r="AK80" s="2939"/>
      <c r="AL80" s="2939"/>
      <c r="AM80" s="2939"/>
      <c r="AN80" s="2939"/>
      <c r="AO80" s="2939"/>
      <c r="AP80" s="2939"/>
      <c r="AQ80" s="2939"/>
    </row>
    <row r="81" spans="1:43" s="736" customFormat="1" ht="12.75" customHeight="1">
      <c r="A81" s="701"/>
      <c r="B81" s="701"/>
      <c r="C81" s="725" t="s">
        <v>1791</v>
      </c>
      <c r="D81" s="726"/>
      <c r="E81" s="775" t="s">
        <v>638</v>
      </c>
      <c r="F81" s="770" t="s">
        <v>1325</v>
      </c>
      <c r="G81" s="771"/>
      <c r="H81" s="776">
        <f>(H76/G76-1)*100</f>
        <v>-0.74328187535736001</v>
      </c>
      <c r="I81" s="776">
        <f t="shared" ref="I81:AF81" si="116">(I76/H76-1)*100</f>
        <v>-1.3379765395894361</v>
      </c>
      <c r="J81" s="776">
        <f t="shared" si="116"/>
        <v>1.8125845917040362</v>
      </c>
      <c r="K81" s="776">
        <f t="shared" si="116"/>
        <v>2.1191742258367174</v>
      </c>
      <c r="L81" s="776">
        <f t="shared" si="116"/>
        <v>2.685248998136669</v>
      </c>
      <c r="M81" s="776">
        <f t="shared" si="116"/>
        <v>2.5031693554401047</v>
      </c>
      <c r="N81" s="776">
        <f t="shared" si="116"/>
        <v>0.25705694053737016</v>
      </c>
      <c r="O81" s="776">
        <f t="shared" si="116"/>
        <v>-0.15722509796333162</v>
      </c>
      <c r="P81" s="776">
        <f t="shared" si="116"/>
        <v>-0.88426969014221424</v>
      </c>
      <c r="Q81" s="776">
        <f t="shared" ref="Q81:W83" si="117">(Q76/P76-1)*100</f>
        <v>0.29331247555728357</v>
      </c>
      <c r="R81" s="776">
        <f t="shared" si="117"/>
        <v>1.6401832715928988</v>
      </c>
      <c r="S81" s="776">
        <f t="shared" si="117"/>
        <v>2.3402469727850539</v>
      </c>
      <c r="T81" s="776">
        <f t="shared" si="117"/>
        <v>1.2323984911318808</v>
      </c>
      <c r="U81" s="776">
        <f t="shared" si="117"/>
        <v>-2.6245747216886106</v>
      </c>
      <c r="V81" s="776">
        <f t="shared" si="117"/>
        <v>0.87942385853159166</v>
      </c>
      <c r="W81" s="776">
        <f t="shared" si="117"/>
        <v>2.5045354946634291</v>
      </c>
      <c r="X81" s="3049">
        <f t="shared" si="116"/>
        <v>0.91021928009928921</v>
      </c>
      <c r="Y81" s="3049">
        <f t="shared" si="116"/>
        <v>1.0432326545487758</v>
      </c>
      <c r="Z81" s="3049">
        <f t="shared" si="116"/>
        <v>1.5847610459873707</v>
      </c>
      <c r="AA81" s="3049">
        <f t="shared" si="116"/>
        <v>1.6865277500388354</v>
      </c>
      <c r="AB81" s="3049">
        <f t="shared" si="116"/>
        <v>2.295790323636604</v>
      </c>
      <c r="AC81" s="3049">
        <f t="shared" si="116"/>
        <v>2.5344000000000033</v>
      </c>
      <c r="AD81" s="3049">
        <f t="shared" si="116"/>
        <v>1.7317558204856143</v>
      </c>
      <c r="AE81" s="3049">
        <f t="shared" si="116"/>
        <v>0.89492155650239269</v>
      </c>
      <c r="AF81" s="3049">
        <f t="shared" si="116"/>
        <v>0.68790291145839344</v>
      </c>
      <c r="AG81" s="2939"/>
      <c r="AH81" s="2939"/>
      <c r="AI81" s="2939"/>
      <c r="AJ81" s="2939"/>
      <c r="AK81" s="2939"/>
      <c r="AL81" s="2939"/>
      <c r="AM81" s="2939"/>
      <c r="AN81" s="2939"/>
      <c r="AO81" s="2939"/>
      <c r="AP81" s="2939"/>
      <c r="AQ81" s="2939"/>
    </row>
    <row r="82" spans="1:43" ht="12.75">
      <c r="A82" s="1170"/>
      <c r="C82" s="727" t="s">
        <v>1791</v>
      </c>
      <c r="D82" s="728"/>
      <c r="E82" s="772" t="s">
        <v>641</v>
      </c>
      <c r="F82" s="773" t="s">
        <v>1324</v>
      </c>
      <c r="G82" s="774"/>
      <c r="H82" s="778">
        <f>(H77/G77-1)*100</f>
        <v>-8.0858085808578792</v>
      </c>
      <c r="I82" s="778">
        <f t="shared" ref="I82:AF82" si="118">(I77/H77-1)*100</f>
        <v>-13.016157989228406</v>
      </c>
      <c r="J82" s="778">
        <f t="shared" si="118"/>
        <v>4.2311661506707177</v>
      </c>
      <c r="K82" s="778">
        <f t="shared" si="118"/>
        <v>-2.2772277227720128</v>
      </c>
      <c r="L82" s="778">
        <f t="shared" si="118"/>
        <v>13.67781155015293</v>
      </c>
      <c r="M82" s="778">
        <f t="shared" si="118"/>
        <v>-61.051693404634186</v>
      </c>
      <c r="N82" s="778">
        <f t="shared" si="118"/>
        <v>-27.459954233411231</v>
      </c>
      <c r="O82" s="778">
        <f t="shared" si="118"/>
        <v>-45.110410094638056</v>
      </c>
      <c r="P82" s="778">
        <f t="shared" si="118"/>
        <v>-73.56321839080718</v>
      </c>
      <c r="Q82" s="778">
        <f t="shared" si="117"/>
        <v>-76.086956521748149</v>
      </c>
      <c r="R82" s="778">
        <f t="shared" si="117"/>
        <v>-736.36363636395208</v>
      </c>
      <c r="S82" s="778">
        <f t="shared" si="117"/>
        <v>132.85714285714545</v>
      </c>
      <c r="T82" s="778">
        <f t="shared" si="117"/>
        <v>70.552147239263022</v>
      </c>
      <c r="U82" s="778">
        <f t="shared" si="117"/>
        <v>57.913669064745868</v>
      </c>
      <c r="V82" s="778">
        <f t="shared" si="117"/>
        <v>-40.774487471525703</v>
      </c>
      <c r="W82" s="778">
        <f t="shared" si="117"/>
        <v>24.230769230766434</v>
      </c>
      <c r="X82" s="3050">
        <f t="shared" si="118"/>
        <v>-8.0495356037108436</v>
      </c>
      <c r="Y82" s="3050">
        <f t="shared" si="118"/>
        <v>10.774410774406839</v>
      </c>
      <c r="Z82" s="3050">
        <f t="shared" si="118"/>
        <v>6.0790273556259322</v>
      </c>
      <c r="AA82" s="3050">
        <f t="shared" si="118"/>
        <v>-14.613180515760128</v>
      </c>
      <c r="AB82" s="3050">
        <f t="shared" si="118"/>
        <v>-54.362416107381605</v>
      </c>
      <c r="AC82" s="3050">
        <f t="shared" si="118"/>
        <v>-22.794117647060887</v>
      </c>
      <c r="AD82" s="3050">
        <f t="shared" si="118"/>
        <v>0</v>
      </c>
      <c r="AE82" s="3050">
        <f t="shared" si="118"/>
        <v>0</v>
      </c>
      <c r="AF82" s="3050">
        <f t="shared" si="118"/>
        <v>0</v>
      </c>
    </row>
    <row r="83" spans="1:43" s="736" customFormat="1" ht="12.75" customHeight="1">
      <c r="A83" s="701"/>
      <c r="B83" s="701"/>
      <c r="C83" s="703" t="s">
        <v>1793</v>
      </c>
      <c r="D83" s="754"/>
      <c r="E83" s="759" t="s">
        <v>1175</v>
      </c>
      <c r="F83" s="760" t="s">
        <v>642</v>
      </c>
      <c r="G83" s="758"/>
      <c r="H83" s="758">
        <f>(H78/G78-1)*100</f>
        <v>-0.50448129662428176</v>
      </c>
      <c r="I83" s="758">
        <f t="shared" ref="I83:AF83" si="119">(I78/H78-1)*100</f>
        <v>-0.98710825826634485</v>
      </c>
      <c r="J83" s="758">
        <f t="shared" si="119"/>
        <v>1.7487470037045094</v>
      </c>
      <c r="K83" s="758">
        <f t="shared" si="119"/>
        <v>2.2380467955238847</v>
      </c>
      <c r="L83" s="758">
        <f t="shared" si="119"/>
        <v>2.4011521340664865</v>
      </c>
      <c r="M83" s="758">
        <f t="shared" si="119"/>
        <v>4.3265911473649332</v>
      </c>
      <c r="N83" s="758">
        <f t="shared" si="119"/>
        <v>0.55393514546926426</v>
      </c>
      <c r="O83" s="758">
        <f t="shared" si="119"/>
        <v>0.19012797074955401</v>
      </c>
      <c r="P83" s="758">
        <f t="shared" si="119"/>
        <v>-0.57660024815706645</v>
      </c>
      <c r="Q83" s="758">
        <f t="shared" si="117"/>
        <v>0.37928840600989222</v>
      </c>
      <c r="R83" s="758">
        <f t="shared" si="117"/>
        <v>1.8380829331317905</v>
      </c>
      <c r="S83" s="758">
        <f t="shared" si="117"/>
        <v>2.5589467384799613</v>
      </c>
      <c r="T83" s="758">
        <f t="shared" si="117"/>
        <v>1.4961254784800593</v>
      </c>
      <c r="U83" s="758">
        <f t="shared" si="117"/>
        <v>-2.2375531792572234</v>
      </c>
      <c r="V83" s="758">
        <f t="shared" si="117"/>
        <v>0.44928490779074792</v>
      </c>
      <c r="W83" s="758">
        <f t="shared" si="117"/>
        <v>2.636817085450649</v>
      </c>
      <c r="X83" s="3037">
        <f t="shared" si="119"/>
        <v>0.84418991991606074</v>
      </c>
      <c r="Y83" s="3037">
        <f t="shared" si="119"/>
        <v>1.1086223670218498</v>
      </c>
      <c r="Z83" s="3037">
        <f t="shared" si="119"/>
        <v>1.6178477925216761</v>
      </c>
      <c r="AA83" s="3037">
        <f t="shared" si="119"/>
        <v>1.5612613406148057</v>
      </c>
      <c r="AB83" s="3037">
        <f t="shared" si="119"/>
        <v>1.9297066412263364</v>
      </c>
      <c r="AC83" s="3037">
        <f t="shared" si="119"/>
        <v>2.4611261194188661</v>
      </c>
      <c r="AD83" s="3037">
        <f t="shared" si="119"/>
        <v>1.7279808171400068</v>
      </c>
      <c r="AE83" s="3037">
        <f t="shared" si="119"/>
        <v>0.89300388051640756</v>
      </c>
      <c r="AF83" s="3037">
        <f t="shared" si="119"/>
        <v>0.6864418908038239</v>
      </c>
      <c r="AG83" s="2939"/>
      <c r="AH83" s="2939"/>
      <c r="AI83" s="2939"/>
      <c r="AJ83" s="2939"/>
      <c r="AK83" s="2939"/>
      <c r="AL83" s="2939"/>
      <c r="AM83" s="2939"/>
      <c r="AN83" s="2939"/>
      <c r="AO83" s="2939"/>
      <c r="AP83" s="2939"/>
      <c r="AQ83" s="2939"/>
    </row>
    <row r="84" spans="1:43" ht="30" customHeight="1">
      <c r="A84" s="1170"/>
      <c r="S84" s="3023"/>
      <c r="T84" s="3023"/>
      <c r="U84" s="3023"/>
      <c r="V84" s="3023"/>
      <c r="W84" s="3023"/>
      <c r="X84" s="3023"/>
      <c r="Y84" s="3023"/>
      <c r="Z84" s="3023"/>
      <c r="AA84" s="3023"/>
      <c r="AB84" s="3023"/>
      <c r="AC84" s="3023"/>
      <c r="AD84" s="3023"/>
      <c r="AE84" s="3023"/>
      <c r="AF84" s="3023"/>
    </row>
    <row r="85" spans="1:43" ht="30" customHeight="1">
      <c r="A85" s="1170"/>
      <c r="S85" s="3023"/>
      <c r="T85" s="3023"/>
      <c r="U85" s="3023"/>
      <c r="V85" s="3023"/>
      <c r="W85" s="3023"/>
      <c r="X85" s="3023"/>
      <c r="Y85" s="3023"/>
      <c r="Z85" s="3023"/>
      <c r="AA85" s="3023"/>
      <c r="AB85" s="3023"/>
      <c r="AC85" s="3023"/>
      <c r="AD85" s="3023"/>
      <c r="AE85" s="3023"/>
      <c r="AF85" s="3023"/>
    </row>
    <row r="86" spans="1:43" ht="22.5" customHeight="1">
      <c r="C86" s="3816" t="s">
        <v>1355</v>
      </c>
      <c r="D86" s="3816"/>
      <c r="E86" s="3816"/>
      <c r="F86" s="3816"/>
      <c r="S86" s="3032"/>
      <c r="T86" s="3023"/>
      <c r="U86" s="3023"/>
      <c r="V86" s="3023"/>
      <c r="W86" s="3023"/>
      <c r="X86" s="3023"/>
      <c r="Y86" s="3023"/>
      <c r="Z86" s="3023"/>
      <c r="AA86" s="3023"/>
      <c r="AB86" s="3023"/>
      <c r="AC86" s="3023"/>
      <c r="AD86" s="3023"/>
      <c r="AE86" s="3023"/>
      <c r="AF86" s="3023"/>
    </row>
    <row r="88" spans="1:43" s="736" customFormat="1" ht="12.75" customHeight="1">
      <c r="A88" s="701"/>
      <c r="B88" s="701"/>
      <c r="C88" s="703"/>
      <c r="D88" s="732"/>
      <c r="E88" s="733" t="s">
        <v>1337</v>
      </c>
      <c r="F88" s="734"/>
      <c r="G88" s="735">
        <f>+InputY!$G$3</f>
        <v>1995</v>
      </c>
      <c r="H88" s="735">
        <f>+G88+1</f>
        <v>1996</v>
      </c>
      <c r="I88" s="735">
        <f t="shared" ref="I88:O88" si="120">+H88+1</f>
        <v>1997</v>
      </c>
      <c r="J88" s="735">
        <f t="shared" si="120"/>
        <v>1998</v>
      </c>
      <c r="K88" s="735">
        <f t="shared" si="120"/>
        <v>1999</v>
      </c>
      <c r="L88" s="735">
        <f t="shared" si="120"/>
        <v>2000</v>
      </c>
      <c r="M88" s="735">
        <f t="shared" si="120"/>
        <v>2001</v>
      </c>
      <c r="N88" s="735">
        <f t="shared" si="120"/>
        <v>2002</v>
      </c>
      <c r="O88" s="735">
        <f t="shared" si="120"/>
        <v>2003</v>
      </c>
      <c r="P88" s="735">
        <f>+O88+1</f>
        <v>2004</v>
      </c>
      <c r="Q88" s="735">
        <f>+P88+1</f>
        <v>2005</v>
      </c>
      <c r="R88" s="735">
        <f>+Q88+1</f>
        <v>2006</v>
      </c>
      <c r="S88" s="735">
        <f>+R88+1</f>
        <v>2007</v>
      </c>
      <c r="T88" s="735">
        <f t="shared" ref="T88:AF88" si="121">+S88+1</f>
        <v>2008</v>
      </c>
      <c r="U88" s="735">
        <f t="shared" si="121"/>
        <v>2009</v>
      </c>
      <c r="V88" s="735">
        <f t="shared" si="121"/>
        <v>2010</v>
      </c>
      <c r="W88" s="735">
        <f t="shared" si="121"/>
        <v>2011</v>
      </c>
      <c r="X88" s="2271">
        <f t="shared" si="121"/>
        <v>2012</v>
      </c>
      <c r="Y88" s="2271">
        <f t="shared" si="121"/>
        <v>2013</v>
      </c>
      <c r="Z88" s="2271">
        <f t="shared" si="121"/>
        <v>2014</v>
      </c>
      <c r="AA88" s="2271">
        <f t="shared" si="121"/>
        <v>2015</v>
      </c>
      <c r="AB88" s="2271">
        <f t="shared" si="121"/>
        <v>2016</v>
      </c>
      <c r="AC88" s="2271">
        <f t="shared" si="121"/>
        <v>2017</v>
      </c>
      <c r="AD88" s="2271">
        <f t="shared" si="121"/>
        <v>2018</v>
      </c>
      <c r="AE88" s="2271">
        <f t="shared" si="121"/>
        <v>2019</v>
      </c>
      <c r="AF88" s="2271">
        <f t="shared" si="121"/>
        <v>2020</v>
      </c>
      <c r="AG88" s="2939"/>
      <c r="AH88" s="2939"/>
      <c r="AI88" s="2939"/>
      <c r="AJ88" s="2939"/>
      <c r="AK88" s="2939"/>
      <c r="AL88" s="2939"/>
      <c r="AM88" s="2939"/>
      <c r="AN88" s="2939"/>
      <c r="AO88" s="2939"/>
      <c r="AP88" s="2939"/>
      <c r="AQ88" s="2939"/>
    </row>
    <row r="89" spans="1:43" ht="12.75">
      <c r="A89" s="701">
        <f>+ROW(InputY!A224)</f>
        <v>224</v>
      </c>
      <c r="B89" s="702">
        <v>85</v>
      </c>
      <c r="C89" s="714"/>
      <c r="D89" s="715"/>
      <c r="E89" s="763" t="s">
        <v>1335</v>
      </c>
      <c r="F89" s="764" t="str">
        <f>+InputY!B224</f>
        <v>AvHoursWorked</v>
      </c>
      <c r="G89" s="764">
        <f>+InputY!G224</f>
        <v>1640.3448860471312</v>
      </c>
      <c r="H89" s="764">
        <f>+InputY!H224</f>
        <v>1653.0408457237727</v>
      </c>
      <c r="I89" s="764">
        <f>+InputY!I224</f>
        <v>1657.9689354966365</v>
      </c>
      <c r="J89" s="764">
        <f>+InputY!J224</f>
        <v>1656.3190154205381</v>
      </c>
      <c r="K89" s="764">
        <f>+InputY!K224</f>
        <v>1664.8116825880841</v>
      </c>
      <c r="L89" s="764">
        <f>+InputY!L224</f>
        <v>1642.082500116263</v>
      </c>
      <c r="M89" s="764">
        <f>+InputY!M224</f>
        <v>1618.207282913165</v>
      </c>
      <c r="N89" s="764">
        <f>+InputY!N224</f>
        <v>1594.8738960211238</v>
      </c>
      <c r="O89" s="764">
        <f>+InputY!O224</f>
        <v>1581.5632226012503</v>
      </c>
      <c r="P89" s="764">
        <f>+InputY!P224</f>
        <v>1605.5104675827722</v>
      </c>
      <c r="Q89" s="764">
        <f>+InputY!Q224</f>
        <v>1605.063582219974</v>
      </c>
      <c r="R89" s="764">
        <f>+InputY!R224</f>
        <v>1599.1271707670046</v>
      </c>
      <c r="S89" s="764">
        <f>+InputY!S224</f>
        <v>1611.4954469100878</v>
      </c>
      <c r="T89" s="764">
        <f>+InputY!T224</f>
        <v>1616.8645404363447</v>
      </c>
      <c r="U89" s="764">
        <f>+InputY!U224</f>
        <v>1609.1474364730179</v>
      </c>
      <c r="V89" s="764">
        <f>+InputY!V224</f>
        <v>1635.0067812437469</v>
      </c>
      <c r="W89" s="764">
        <f>+InputY!W224</f>
        <v>1632.5169801462905</v>
      </c>
      <c r="X89" s="764">
        <f>+InputY!X224</f>
        <v>1618.3753295587155</v>
      </c>
      <c r="Y89" s="764">
        <f>+InputY!Y224</f>
        <v>1608.7182670491031</v>
      </c>
      <c r="Z89" s="764">
        <f>+InputY!Z224</f>
        <v>1609.422890192933</v>
      </c>
      <c r="AA89" s="764">
        <f>+InputY!AA224</f>
        <v>1610.0719723759207</v>
      </c>
      <c r="AB89" s="764">
        <f>+InputY!AB224</f>
        <v>1622.2873481057898</v>
      </c>
      <c r="AC89" s="764">
        <f>+InputY!AC224</f>
        <v>1608.6883642966893</v>
      </c>
      <c r="AD89" s="3051">
        <f>+AC89*(1+AD92/100)</f>
        <v>1611.9057410252826</v>
      </c>
      <c r="AE89" s="3051">
        <f>+AD89*(1+AE92/100)</f>
        <v>1612.066931599385</v>
      </c>
      <c r="AF89" s="3051">
        <f>+AE89*(1+AF92/100)</f>
        <v>1610.6160713609456</v>
      </c>
    </row>
    <row r="90" spans="1:43" ht="12.75">
      <c r="Q90" s="217"/>
      <c r="R90" s="217"/>
      <c r="S90" s="217"/>
      <c r="T90" s="217"/>
      <c r="U90" s="217"/>
      <c r="V90" s="217"/>
      <c r="W90" s="217"/>
      <c r="X90" s="3023"/>
      <c r="Y90" s="3023"/>
      <c r="Z90" s="3023"/>
      <c r="AA90" s="3023"/>
      <c r="AB90" s="3023"/>
      <c r="AC90" s="3023"/>
      <c r="AD90" s="3023"/>
      <c r="AE90" s="3023"/>
      <c r="AF90" s="3023"/>
    </row>
    <row r="91" spans="1:43" s="736" customFormat="1" ht="12.75" customHeight="1">
      <c r="A91" s="701"/>
      <c r="B91" s="701"/>
      <c r="C91" s="703"/>
      <c r="D91" s="750"/>
      <c r="E91" s="751" t="s">
        <v>1336</v>
      </c>
      <c r="F91" s="752"/>
      <c r="G91" s="753">
        <f>+InputY!$G$3</f>
        <v>1995</v>
      </c>
      <c r="H91" s="753">
        <f>+G91+1</f>
        <v>1996</v>
      </c>
      <c r="I91" s="753">
        <f t="shared" ref="I91:O91" si="122">+H91+1</f>
        <v>1997</v>
      </c>
      <c r="J91" s="753">
        <f t="shared" si="122"/>
        <v>1998</v>
      </c>
      <c r="K91" s="753">
        <f t="shared" si="122"/>
        <v>1999</v>
      </c>
      <c r="L91" s="753">
        <f t="shared" si="122"/>
        <v>2000</v>
      </c>
      <c r="M91" s="753">
        <f t="shared" si="122"/>
        <v>2001</v>
      </c>
      <c r="N91" s="753">
        <f t="shared" si="122"/>
        <v>2002</v>
      </c>
      <c r="O91" s="753">
        <f t="shared" si="122"/>
        <v>2003</v>
      </c>
      <c r="P91" s="753">
        <f>+O91+1</f>
        <v>2004</v>
      </c>
      <c r="Q91" s="753">
        <f>+P91+1</f>
        <v>2005</v>
      </c>
      <c r="R91" s="753">
        <f>+Q91+1</f>
        <v>2006</v>
      </c>
      <c r="S91" s="753">
        <f>+R91+1</f>
        <v>2007</v>
      </c>
      <c r="T91" s="753">
        <f t="shared" ref="T91:AF91" si="123">+S91+1</f>
        <v>2008</v>
      </c>
      <c r="U91" s="753">
        <f t="shared" si="123"/>
        <v>2009</v>
      </c>
      <c r="V91" s="753">
        <f t="shared" si="123"/>
        <v>2010</v>
      </c>
      <c r="W91" s="753">
        <f t="shared" si="123"/>
        <v>2011</v>
      </c>
      <c r="X91" s="3149">
        <f t="shared" si="123"/>
        <v>2012</v>
      </c>
      <c r="Y91" s="3149">
        <f t="shared" si="123"/>
        <v>2013</v>
      </c>
      <c r="Z91" s="3149">
        <f t="shared" si="123"/>
        <v>2014</v>
      </c>
      <c r="AA91" s="3149">
        <f t="shared" si="123"/>
        <v>2015</v>
      </c>
      <c r="AB91" s="3149">
        <f t="shared" si="123"/>
        <v>2016</v>
      </c>
      <c r="AC91" s="3149">
        <f t="shared" si="123"/>
        <v>2017</v>
      </c>
      <c r="AD91" s="3149">
        <f t="shared" si="123"/>
        <v>2018</v>
      </c>
      <c r="AE91" s="3149">
        <f t="shared" si="123"/>
        <v>2019</v>
      </c>
      <c r="AF91" s="3149">
        <f t="shared" si="123"/>
        <v>2020</v>
      </c>
      <c r="AG91" s="2939"/>
      <c r="AH91" s="2939"/>
      <c r="AI91" s="2939"/>
      <c r="AJ91" s="2939"/>
      <c r="AK91" s="2939"/>
      <c r="AL91" s="2939"/>
      <c r="AM91" s="2939"/>
      <c r="AN91" s="2939"/>
      <c r="AO91" s="2939"/>
      <c r="AP91" s="2939"/>
      <c r="AQ91" s="2939"/>
    </row>
    <row r="92" spans="1:43" s="736" customFormat="1" ht="12.75" customHeight="1">
      <c r="A92" s="701"/>
      <c r="B92" s="701"/>
      <c r="C92" s="793" t="s">
        <v>1791</v>
      </c>
      <c r="D92" s="794"/>
      <c r="E92" s="795" t="str">
        <f>+E89</f>
        <v>Avg. ann. hours worked / person</v>
      </c>
      <c r="F92" s="796" t="str">
        <f>+F89</f>
        <v>AvHoursWorked</v>
      </c>
      <c r="G92" s="797"/>
      <c r="H92" s="798">
        <f t="shared" ref="H92:P92" si="124">(H89/G89-1)*100</f>
        <v>0.7739811173024691</v>
      </c>
      <c r="I92" s="798">
        <f t="shared" si="124"/>
        <v>0.29812268617634974</v>
      </c>
      <c r="J92" s="798">
        <f t="shared" si="124"/>
        <v>-9.9514534969513679E-2</v>
      </c>
      <c r="K92" s="798">
        <f t="shared" si="124"/>
        <v>0.51274344425669138</v>
      </c>
      <c r="L92" s="798">
        <f t="shared" si="124"/>
        <v>-1.3652704813127414</v>
      </c>
      <c r="M92" s="798">
        <f t="shared" si="124"/>
        <v>-1.4539596641099051</v>
      </c>
      <c r="N92" s="798">
        <f t="shared" si="124"/>
        <v>-1.4419281842580456</v>
      </c>
      <c r="O92" s="798">
        <f t="shared" si="124"/>
        <v>-0.83459096377969111</v>
      </c>
      <c r="P92" s="798">
        <f t="shared" si="124"/>
        <v>1.5141503443747872</v>
      </c>
      <c r="Q92" s="798">
        <f t="shared" ref="Q92:AC92" si="125">(Q89/P89-1)*100</f>
        <v>-2.7834472077348238E-2</v>
      </c>
      <c r="R92" s="798">
        <f t="shared" si="125"/>
        <v>-0.36985522061118159</v>
      </c>
      <c r="S92" s="798">
        <f t="shared" si="125"/>
        <v>0.77343918414887192</v>
      </c>
      <c r="T92" s="798">
        <f t="shared" si="125"/>
        <v>0.33317460105466434</v>
      </c>
      <c r="U92" s="798">
        <f t="shared" si="125"/>
        <v>-0.4772882186682148</v>
      </c>
      <c r="V92" s="798">
        <f t="shared" si="125"/>
        <v>1.6070214689219764</v>
      </c>
      <c r="W92" s="798">
        <f t="shared" si="125"/>
        <v>-0.1522807810963589</v>
      </c>
      <c r="X92" s="798">
        <f t="shared" si="125"/>
        <v>-0.86624829999059072</v>
      </c>
      <c r="Y92" s="798">
        <f t="shared" si="125"/>
        <v>-0.59671340345045509</v>
      </c>
      <c r="Z92" s="798">
        <f t="shared" si="125"/>
        <v>4.3800282390171752E-2</v>
      </c>
      <c r="AA92" s="798">
        <f t="shared" si="125"/>
        <v>4.0330120004061776E-2</v>
      </c>
      <c r="AB92" s="798">
        <f t="shared" si="125"/>
        <v>0.75868507367675697</v>
      </c>
      <c r="AC92" s="3607">
        <f t="shared" si="125"/>
        <v>-0.83825986962043908</v>
      </c>
      <c r="AD92" s="3052">
        <v>0.2</v>
      </c>
      <c r="AE92" s="3052">
        <v>0.01</v>
      </c>
      <c r="AF92" s="3052">
        <v>-0.09</v>
      </c>
      <c r="AG92" s="2939"/>
      <c r="AH92" s="2939"/>
      <c r="AI92" s="2939"/>
      <c r="AJ92" s="2939"/>
      <c r="AK92" s="2939"/>
      <c r="AL92" s="2939"/>
      <c r="AM92" s="2939"/>
      <c r="AN92" s="2939"/>
      <c r="AO92" s="2939"/>
      <c r="AP92" s="2939"/>
      <c r="AQ92" s="2939"/>
    </row>
    <row r="93" spans="1:43" ht="30" customHeight="1">
      <c r="E93" s="167"/>
      <c r="F93" s="742"/>
      <c r="G93" s="742"/>
      <c r="Q93" s="3083"/>
      <c r="R93" s="3083"/>
      <c r="S93" s="3083"/>
      <c r="T93" s="3083"/>
      <c r="U93" s="3083"/>
      <c r="V93" s="3083"/>
      <c r="W93" s="3083"/>
      <c r="X93" s="3083"/>
      <c r="Y93" s="3083"/>
      <c r="Z93" s="3083"/>
      <c r="AA93" s="3083"/>
      <c r="AB93" s="3083"/>
      <c r="AC93" s="3083"/>
      <c r="AD93" s="3083"/>
      <c r="AE93" s="3083"/>
      <c r="AF93" s="3083"/>
    </row>
    <row r="94" spans="1:43" ht="30" customHeight="1">
      <c r="S94" s="3023"/>
      <c r="T94" s="3023"/>
      <c r="U94" s="3023"/>
      <c r="V94" s="3023"/>
      <c r="W94" s="3023"/>
      <c r="X94" s="3023"/>
      <c r="Y94" s="3023"/>
      <c r="Z94" s="3023"/>
      <c r="AA94" s="3023"/>
      <c r="AB94" s="3023"/>
      <c r="AC94" s="3023"/>
      <c r="AD94" s="3023"/>
      <c r="AE94" s="3023"/>
      <c r="AF94" s="3023"/>
    </row>
    <row r="95" spans="1:43" ht="22.5" customHeight="1">
      <c r="C95" s="3816" t="s">
        <v>310</v>
      </c>
      <c r="D95" s="3816"/>
      <c r="E95" s="3816"/>
      <c r="F95" s="3816"/>
      <c r="S95" s="3023"/>
      <c r="T95" s="3023"/>
      <c r="U95" s="3023"/>
      <c r="V95" s="3023"/>
      <c r="W95" s="3023"/>
      <c r="X95" s="3023"/>
      <c r="Y95" s="3023"/>
      <c r="Z95" s="3023"/>
      <c r="AA95" s="3023"/>
      <c r="AB95" s="3023"/>
      <c r="AC95" s="3023"/>
      <c r="AD95" s="3023"/>
      <c r="AE95" s="3023"/>
      <c r="AF95" s="3023"/>
    </row>
    <row r="97" spans="1:43" s="736" customFormat="1" ht="12.75" customHeight="1">
      <c r="A97" s="701"/>
      <c r="B97" s="701"/>
      <c r="C97" s="703"/>
      <c r="D97" s="732"/>
      <c r="E97" s="733" t="s">
        <v>1160</v>
      </c>
      <c r="F97" s="734"/>
      <c r="G97" s="735">
        <f>+InputY!$G$3</f>
        <v>1995</v>
      </c>
      <c r="H97" s="735">
        <f>+G97+1</f>
        <v>1996</v>
      </c>
      <c r="I97" s="735">
        <f t="shared" ref="I97:O97" si="126">+H97+1</f>
        <v>1997</v>
      </c>
      <c r="J97" s="735">
        <f t="shared" si="126"/>
        <v>1998</v>
      </c>
      <c r="K97" s="735">
        <f t="shared" si="126"/>
        <v>1999</v>
      </c>
      <c r="L97" s="735">
        <f t="shared" si="126"/>
        <v>2000</v>
      </c>
      <c r="M97" s="735">
        <f t="shared" si="126"/>
        <v>2001</v>
      </c>
      <c r="N97" s="735">
        <f t="shared" si="126"/>
        <v>2002</v>
      </c>
      <c r="O97" s="735">
        <f t="shared" si="126"/>
        <v>2003</v>
      </c>
      <c r="P97" s="735">
        <f>+O97+1</f>
        <v>2004</v>
      </c>
      <c r="Q97" s="735">
        <f>+P97+1</f>
        <v>2005</v>
      </c>
      <c r="R97" s="735">
        <f>+Q97+1</f>
        <v>2006</v>
      </c>
      <c r="S97" s="735">
        <f>+R97+1</f>
        <v>2007</v>
      </c>
      <c r="T97" s="735">
        <f t="shared" ref="T97:AF97" si="127">+S97+1</f>
        <v>2008</v>
      </c>
      <c r="U97" s="735">
        <f t="shared" si="127"/>
        <v>2009</v>
      </c>
      <c r="V97" s="735">
        <f t="shared" si="127"/>
        <v>2010</v>
      </c>
      <c r="W97" s="735">
        <f t="shared" si="127"/>
        <v>2011</v>
      </c>
      <c r="X97" s="2271">
        <f t="shared" si="127"/>
        <v>2012</v>
      </c>
      <c r="Y97" s="2271">
        <f t="shared" si="127"/>
        <v>2013</v>
      </c>
      <c r="Z97" s="2271">
        <f t="shared" si="127"/>
        <v>2014</v>
      </c>
      <c r="AA97" s="2271">
        <f t="shared" si="127"/>
        <v>2015</v>
      </c>
      <c r="AB97" s="2271">
        <f t="shared" si="127"/>
        <v>2016</v>
      </c>
      <c r="AC97" s="2271">
        <f t="shared" si="127"/>
        <v>2017</v>
      </c>
      <c r="AD97" s="2271">
        <f t="shared" si="127"/>
        <v>2018</v>
      </c>
      <c r="AE97" s="2271">
        <f t="shared" si="127"/>
        <v>2019</v>
      </c>
      <c r="AF97" s="2271">
        <f t="shared" si="127"/>
        <v>2020</v>
      </c>
      <c r="AG97" s="2939"/>
      <c r="AH97" s="2939"/>
      <c r="AI97" s="2939"/>
      <c r="AJ97" s="2939"/>
      <c r="AK97" s="2939"/>
      <c r="AL97" s="2939"/>
      <c r="AM97" s="2939"/>
      <c r="AN97" s="2939"/>
      <c r="AO97" s="2939"/>
      <c r="AP97" s="2939"/>
      <c r="AQ97" s="2939"/>
    </row>
    <row r="98" spans="1:43" ht="12.75">
      <c r="A98" s="701">
        <f>+ROW(InputY!A9)</f>
        <v>9</v>
      </c>
      <c r="B98" s="702">
        <v>60</v>
      </c>
      <c r="C98" s="712"/>
      <c r="D98" s="705"/>
      <c r="E98" s="745" t="s">
        <v>1937</v>
      </c>
      <c r="F98" s="746" t="str">
        <f>+InputY!B9</f>
        <v>LEmpTot</v>
      </c>
      <c r="G98" s="1920">
        <f>+InputY!G9</f>
        <v>4007.7</v>
      </c>
      <c r="H98" s="1920">
        <f>+InputY!H9</f>
        <v>3984.5</v>
      </c>
      <c r="I98" s="1920">
        <f>+InputY!I9</f>
        <v>3946.3</v>
      </c>
      <c r="J98" s="1920">
        <f>+InputY!J9</f>
        <v>4010.4</v>
      </c>
      <c r="K98" s="1920">
        <f>+InputY!K9</f>
        <v>4099</v>
      </c>
      <c r="L98" s="1920">
        <f>+InputY!L9</f>
        <v>4188.3999999999996</v>
      </c>
      <c r="M98" s="1920">
        <f>+InputY!M9</f>
        <v>4347.3999999999996</v>
      </c>
      <c r="N98" s="1920">
        <f>+InputY!N9</f>
        <v>4361.5</v>
      </c>
      <c r="O98" s="1920">
        <f>+InputY!O9</f>
        <v>4350.5</v>
      </c>
      <c r="P98" s="1920">
        <f>+InputY!P9</f>
        <v>4332.6000000000004</v>
      </c>
      <c r="Q98" s="1920">
        <f>+InputY!Q9</f>
        <v>4347.6000000000004</v>
      </c>
      <c r="R98" s="1920">
        <f>+InputY!R9</f>
        <v>4429.3999999999996</v>
      </c>
      <c r="S98" s="1920">
        <f>+InputY!S9</f>
        <v>4540.7</v>
      </c>
      <c r="T98" s="1920">
        <f>+InputY!T9</f>
        <v>4593</v>
      </c>
      <c r="U98" s="1920">
        <f>+InputY!U9</f>
        <v>4498.7</v>
      </c>
      <c r="V98" s="1920">
        <f>+InputY!V9</f>
        <v>4523.7</v>
      </c>
      <c r="W98" s="1920">
        <f>+InputY!W9</f>
        <v>4625.8999999999996</v>
      </c>
      <c r="X98" s="1920">
        <f>+InputY!X9</f>
        <v>4657.1000000000004</v>
      </c>
      <c r="Y98" s="1920">
        <f>+InputY!Y9</f>
        <v>4704.7</v>
      </c>
      <c r="Z98" s="1920">
        <f>+InputY!Z9</f>
        <v>4772.3</v>
      </c>
      <c r="AA98" s="1920">
        <f>+InputY!AA9</f>
        <v>4837.2</v>
      </c>
      <c r="AB98" s="1920">
        <f>+InputY!AB9</f>
        <v>4910.1000000000004</v>
      </c>
      <c r="AC98" s="1920">
        <f>+InputY!AC9</f>
        <v>5021.8</v>
      </c>
      <c r="AD98" s="3053">
        <f>+AC98*(1+AD104/100)</f>
        <v>5021.8</v>
      </c>
      <c r="AE98" s="3053">
        <f>+AD98*(1+AE104/100)</f>
        <v>5021.8</v>
      </c>
      <c r="AF98" s="3053">
        <f>+AE98*(1+AF104/100)</f>
        <v>5021.8</v>
      </c>
    </row>
    <row r="99" spans="1:43" s="26" customFormat="1" ht="12.75">
      <c r="A99" s="710"/>
      <c r="B99" s="1911"/>
      <c r="C99" s="1909"/>
      <c r="D99" s="716"/>
      <c r="E99" s="717" t="s">
        <v>312</v>
      </c>
      <c r="F99" s="1910"/>
      <c r="G99" s="1921">
        <f t="shared" ref="G99:P99" si="128">+G98/G33</f>
        <v>0.97064593475259764</v>
      </c>
      <c r="H99" s="1921">
        <f t="shared" si="128"/>
        <v>0.972802070363046</v>
      </c>
      <c r="I99" s="1921">
        <f t="shared" si="128"/>
        <v>0.97603383458646631</v>
      </c>
      <c r="J99" s="1921">
        <f t="shared" si="128"/>
        <v>0.97543415868074146</v>
      </c>
      <c r="K99" s="1921">
        <f t="shared" si="128"/>
        <v>0.97648712390118397</v>
      </c>
      <c r="L99" s="1921">
        <f t="shared" si="128"/>
        <v>0.97391061712319194</v>
      </c>
      <c r="M99" s="1921">
        <f t="shared" si="128"/>
        <v>0.9900480517410214</v>
      </c>
      <c r="N99" s="1921">
        <f t="shared" si="128"/>
        <v>0.99278430301374854</v>
      </c>
      <c r="O99" s="1921">
        <f t="shared" si="128"/>
        <v>0.99601639231667405</v>
      </c>
      <c r="P99" s="1921">
        <f t="shared" si="128"/>
        <v>0.99893940791293934</v>
      </c>
      <c r="Q99" s="1921">
        <f t="shared" ref="Q99:V99" si="129">+Q98/Q33</f>
        <v>0.9997470508427807</v>
      </c>
      <c r="R99" s="1921">
        <f t="shared" si="129"/>
        <v>1.0015828509406657</v>
      </c>
      <c r="S99" s="1921">
        <f t="shared" si="129"/>
        <v>1.003602687649191</v>
      </c>
      <c r="T99" s="1921">
        <f t="shared" si="129"/>
        <v>1.0060895470077982</v>
      </c>
      <c r="U99" s="1921">
        <f t="shared" si="129"/>
        <v>1.0098545389243063</v>
      </c>
      <c r="V99" s="1921">
        <f t="shared" si="129"/>
        <v>1.0057807323743246</v>
      </c>
      <c r="W99" s="1921">
        <f t="shared" ref="W99:AA99" si="130">+W98/W33</f>
        <v>1.0070315221177288</v>
      </c>
      <c r="X99" s="1921">
        <f t="shared" si="130"/>
        <v>1.0064182910489694</v>
      </c>
      <c r="Y99" s="1921">
        <f t="shared" si="130"/>
        <v>1.0070422535211268</v>
      </c>
      <c r="Z99" s="1921">
        <f>+Z98/Z33</f>
        <v>1.0073669101194749</v>
      </c>
      <c r="AA99" s="3054">
        <f t="shared" si="130"/>
        <v>1.0061987768856346</v>
      </c>
      <c r="AB99" s="3054">
        <f t="shared" ref="AB99:AC99" si="131">+AB98/AB33</f>
        <v>1.0027774941284591</v>
      </c>
      <c r="AC99" s="3054">
        <f t="shared" si="131"/>
        <v>1.002095264701774</v>
      </c>
      <c r="AD99" s="3054">
        <f>+AD98/AD33</f>
        <v>0.98572324988868765</v>
      </c>
      <c r="AE99" s="3054">
        <f>+AE98/AE33</f>
        <v>0.97732886844723776</v>
      </c>
      <c r="AF99" s="3054">
        <f>+AF98/AF33</f>
        <v>0.97091637388291419</v>
      </c>
      <c r="AG99" s="2952"/>
      <c r="AH99" s="2952"/>
      <c r="AI99" s="2952"/>
      <c r="AJ99" s="2952"/>
      <c r="AK99" s="2952"/>
      <c r="AL99" s="2952"/>
      <c r="AM99" s="2952"/>
      <c r="AN99" s="2952"/>
      <c r="AO99" s="2952"/>
      <c r="AP99" s="2952"/>
      <c r="AQ99" s="2952"/>
    </row>
    <row r="100" spans="1:43" ht="12.75">
      <c r="A100" s="701">
        <f>+ROW(InputY!A10)</f>
        <v>10</v>
      </c>
      <c r="B100" s="702">
        <v>64</v>
      </c>
      <c r="C100" s="708"/>
      <c r="D100" s="711"/>
      <c r="E100" s="220" t="s">
        <v>1174</v>
      </c>
      <c r="F100" s="762" t="str">
        <f>+InputY!B10</f>
        <v>LEmpDFTE</v>
      </c>
      <c r="G100" s="1922">
        <f>+InputY!G10</f>
        <v>0</v>
      </c>
      <c r="H100" s="1922">
        <f>+InputY!H10</f>
        <v>0</v>
      </c>
      <c r="I100" s="1922">
        <f>+InputY!I10</f>
        <v>0</v>
      </c>
      <c r="J100" s="1922">
        <f>+InputY!J10</f>
        <v>0</v>
      </c>
      <c r="K100" s="1922">
        <f>+InputY!K10</f>
        <v>0</v>
      </c>
      <c r="L100" s="1922">
        <f>+InputY!L10</f>
        <v>0</v>
      </c>
      <c r="M100" s="1922">
        <f>+InputY!M10</f>
        <v>0</v>
      </c>
      <c r="N100" s="1922">
        <f>+InputY!N10</f>
        <v>0</v>
      </c>
      <c r="O100" s="1922">
        <f>+InputY!O10</f>
        <v>0</v>
      </c>
      <c r="P100" s="1922">
        <f>+InputY!P10</f>
        <v>0</v>
      </c>
      <c r="Q100" s="1922">
        <f>+InputY!Q10</f>
        <v>0</v>
      </c>
      <c r="R100" s="1922">
        <f>+InputY!R10</f>
        <v>0</v>
      </c>
      <c r="S100" s="1922">
        <f>+InputY!S10</f>
        <v>0</v>
      </c>
      <c r="T100" s="1922">
        <f>+InputY!T10</f>
        <v>0</v>
      </c>
      <c r="U100" s="1922">
        <f>+InputY!U10</f>
        <v>0</v>
      </c>
      <c r="V100" s="1922">
        <f>+InputY!V10</f>
        <v>0</v>
      </c>
      <c r="W100" s="1922">
        <f>+InputY!W10</f>
        <v>0</v>
      </c>
      <c r="X100" s="1922">
        <f>+InputY!X10</f>
        <v>0</v>
      </c>
      <c r="Y100" s="1922">
        <f>+InputY!Y10</f>
        <v>0</v>
      </c>
      <c r="Z100" s="1922">
        <f>+InputY!Z10</f>
        <v>0</v>
      </c>
      <c r="AA100" s="1922">
        <f>+InputY!AA10</f>
        <v>0</v>
      </c>
      <c r="AB100" s="1922">
        <f>+InputY!AB10</f>
        <v>0</v>
      </c>
      <c r="AC100" s="1922">
        <f>+InputY!AC10</f>
        <v>0</v>
      </c>
      <c r="AD100" s="3055">
        <f>+AC100*(1+AD105/100)</f>
        <v>0</v>
      </c>
      <c r="AE100" s="3055">
        <f>+AD100*(1+AE105/100)</f>
        <v>0</v>
      </c>
      <c r="AF100" s="3055">
        <f>+AE100*(1+AF105/100)</f>
        <v>0</v>
      </c>
    </row>
    <row r="101" spans="1:43" s="26" customFormat="1" ht="12.75">
      <c r="A101" s="710"/>
      <c r="B101" s="710"/>
      <c r="C101" s="724"/>
      <c r="D101" s="720"/>
      <c r="E101" s="721" t="s">
        <v>311</v>
      </c>
      <c r="F101" s="804"/>
      <c r="G101" s="1923">
        <f t="shared" ref="G101:P101" si="132">+G100/G76</f>
        <v>0</v>
      </c>
      <c r="H101" s="1923">
        <f t="shared" si="132"/>
        <v>0</v>
      </c>
      <c r="I101" s="1923">
        <f t="shared" si="132"/>
        <v>0</v>
      </c>
      <c r="J101" s="1923">
        <f t="shared" si="132"/>
        <v>0</v>
      </c>
      <c r="K101" s="1923">
        <f t="shared" si="132"/>
        <v>0</v>
      </c>
      <c r="L101" s="1923">
        <f t="shared" si="132"/>
        <v>0</v>
      </c>
      <c r="M101" s="1923">
        <f t="shared" si="132"/>
        <v>0</v>
      </c>
      <c r="N101" s="1923">
        <f t="shared" si="132"/>
        <v>0</v>
      </c>
      <c r="O101" s="1923">
        <f t="shared" si="132"/>
        <v>0</v>
      </c>
      <c r="P101" s="1923">
        <f t="shared" si="132"/>
        <v>0</v>
      </c>
      <c r="Q101" s="1923">
        <f t="shared" ref="Q101:V101" si="133">+Q100/Q76</f>
        <v>0</v>
      </c>
      <c r="R101" s="1923">
        <f t="shared" si="133"/>
        <v>0</v>
      </c>
      <c r="S101" s="1923">
        <f t="shared" si="133"/>
        <v>0</v>
      </c>
      <c r="T101" s="1923">
        <f t="shared" si="133"/>
        <v>0</v>
      </c>
      <c r="U101" s="1923">
        <f t="shared" si="133"/>
        <v>0</v>
      </c>
      <c r="V101" s="1923">
        <f t="shared" si="133"/>
        <v>0</v>
      </c>
      <c r="W101" s="1923">
        <f t="shared" ref="W101:AA101" si="134">+W100/W76</f>
        <v>0</v>
      </c>
      <c r="X101" s="1923">
        <f t="shared" si="134"/>
        <v>0</v>
      </c>
      <c r="Y101" s="1923">
        <f t="shared" si="134"/>
        <v>0</v>
      </c>
      <c r="Z101" s="1923">
        <f>+Z100/Z76</f>
        <v>0</v>
      </c>
      <c r="AA101" s="3056">
        <f t="shared" si="134"/>
        <v>0</v>
      </c>
      <c r="AB101" s="3056">
        <f t="shared" ref="AB101:AC101" si="135">+AB100/AB76</f>
        <v>0</v>
      </c>
      <c r="AC101" s="3056">
        <f t="shared" si="135"/>
        <v>0</v>
      </c>
      <c r="AD101" s="3056">
        <f>+AD100/AD76</f>
        <v>0</v>
      </c>
      <c r="AE101" s="3056">
        <f>+AE100/AE76</f>
        <v>0</v>
      </c>
      <c r="AF101" s="3056">
        <f>+AF100/AF76</f>
        <v>0</v>
      </c>
      <c r="AG101" s="2952"/>
      <c r="AH101" s="2952"/>
      <c r="AI101" s="2952"/>
      <c r="AJ101" s="2952"/>
      <c r="AK101" s="2952"/>
      <c r="AL101" s="2952"/>
      <c r="AM101" s="2952"/>
      <c r="AN101" s="2952"/>
      <c r="AO101" s="2952"/>
      <c r="AP101" s="2952"/>
      <c r="AQ101" s="2952"/>
    </row>
    <row r="102" spans="1:43" ht="12.75">
      <c r="Q102" s="217"/>
      <c r="R102" s="217"/>
      <c r="S102" s="217"/>
      <c r="T102" s="217"/>
      <c r="U102" s="217"/>
      <c r="V102" s="217"/>
      <c r="W102" s="217"/>
      <c r="X102" s="217"/>
      <c r="Y102" s="217"/>
      <c r="Z102" s="217"/>
      <c r="AA102" s="3023"/>
      <c r="AB102" s="3023"/>
      <c r="AC102" s="3023"/>
      <c r="AD102" s="3023"/>
      <c r="AE102" s="3023"/>
      <c r="AF102" s="3023"/>
    </row>
    <row r="103" spans="1:43" s="736" customFormat="1" ht="12.75" customHeight="1">
      <c r="A103" s="701"/>
      <c r="B103" s="701"/>
      <c r="C103" s="703"/>
      <c r="D103" s="750"/>
      <c r="E103" s="751" t="s">
        <v>1336</v>
      </c>
      <c r="F103" s="752"/>
      <c r="G103" s="753">
        <f>+InputY!$G$3</f>
        <v>1995</v>
      </c>
      <c r="H103" s="753">
        <f>+G103+1</f>
        <v>1996</v>
      </c>
      <c r="I103" s="753">
        <f t="shared" ref="I103:O103" si="136">+H103+1</f>
        <v>1997</v>
      </c>
      <c r="J103" s="753">
        <f t="shared" si="136"/>
        <v>1998</v>
      </c>
      <c r="K103" s="753">
        <f t="shared" si="136"/>
        <v>1999</v>
      </c>
      <c r="L103" s="753">
        <f t="shared" si="136"/>
        <v>2000</v>
      </c>
      <c r="M103" s="753">
        <f t="shared" si="136"/>
        <v>2001</v>
      </c>
      <c r="N103" s="753">
        <f t="shared" si="136"/>
        <v>2002</v>
      </c>
      <c r="O103" s="753">
        <f t="shared" si="136"/>
        <v>2003</v>
      </c>
      <c r="P103" s="753">
        <f>+O103+1</f>
        <v>2004</v>
      </c>
      <c r="Q103" s="753">
        <f>+P103+1</f>
        <v>2005</v>
      </c>
      <c r="R103" s="753">
        <f>+Q103+1</f>
        <v>2006</v>
      </c>
      <c r="S103" s="753">
        <f>+R103+1</f>
        <v>2007</v>
      </c>
      <c r="T103" s="753">
        <f t="shared" ref="T103:AF103" si="137">+S103+1</f>
        <v>2008</v>
      </c>
      <c r="U103" s="753">
        <f t="shared" si="137"/>
        <v>2009</v>
      </c>
      <c r="V103" s="753">
        <f t="shared" si="137"/>
        <v>2010</v>
      </c>
      <c r="W103" s="753">
        <f t="shared" si="137"/>
        <v>2011</v>
      </c>
      <c r="X103" s="753">
        <f t="shared" si="137"/>
        <v>2012</v>
      </c>
      <c r="Y103" s="753">
        <f t="shared" si="137"/>
        <v>2013</v>
      </c>
      <c r="Z103" s="753">
        <f t="shared" si="137"/>
        <v>2014</v>
      </c>
      <c r="AA103" s="3149">
        <f t="shared" si="137"/>
        <v>2015</v>
      </c>
      <c r="AB103" s="3149">
        <f t="shared" si="137"/>
        <v>2016</v>
      </c>
      <c r="AC103" s="3149">
        <f t="shared" si="137"/>
        <v>2017</v>
      </c>
      <c r="AD103" s="3149">
        <f t="shared" si="137"/>
        <v>2018</v>
      </c>
      <c r="AE103" s="3149">
        <f t="shared" si="137"/>
        <v>2019</v>
      </c>
      <c r="AF103" s="3149">
        <f t="shared" si="137"/>
        <v>2020</v>
      </c>
      <c r="AG103" s="2939"/>
      <c r="AH103" s="2939"/>
      <c r="AI103" s="2939"/>
      <c r="AJ103" s="2939"/>
      <c r="AK103" s="2939"/>
      <c r="AL103" s="2939"/>
      <c r="AM103" s="2939"/>
      <c r="AN103" s="2939"/>
      <c r="AO103" s="2939"/>
      <c r="AP103" s="2939"/>
      <c r="AQ103" s="2939"/>
    </row>
    <row r="104" spans="1:43" s="736" customFormat="1" ht="12.75" customHeight="1">
      <c r="A104" s="701"/>
      <c r="B104" s="701"/>
      <c r="C104" s="1628" t="s">
        <v>1791</v>
      </c>
      <c r="D104" s="1916"/>
      <c r="E104" s="1917" t="str">
        <f>+E98</f>
        <v>Total employment (domestic - full time equivalent)</v>
      </c>
      <c r="F104" s="1918" t="str">
        <f>+F98</f>
        <v>LEmpTot</v>
      </c>
      <c r="G104" s="1924"/>
      <c r="H104" s="1925">
        <f>(H98/G98-1)*100</f>
        <v>-0.57888564513310925</v>
      </c>
      <c r="I104" s="1925">
        <f t="shared" ref="I104:P104" si="138">(I98/H98-1)*100</f>
        <v>-0.9587150207052253</v>
      </c>
      <c r="J104" s="1925">
        <f t="shared" si="138"/>
        <v>1.6243063122418411</v>
      </c>
      <c r="K104" s="1925">
        <f t="shared" si="138"/>
        <v>2.209255934570109</v>
      </c>
      <c r="L104" s="1925">
        <f t="shared" si="138"/>
        <v>2.181019760917291</v>
      </c>
      <c r="M104" s="1925">
        <f t="shared" si="138"/>
        <v>3.7961990258809974</v>
      </c>
      <c r="N104" s="1925">
        <f t="shared" si="138"/>
        <v>0.32433178451489741</v>
      </c>
      <c r="O104" s="1925">
        <f t="shared" si="138"/>
        <v>-0.25220680958385477</v>
      </c>
      <c r="P104" s="1925">
        <f t="shared" si="138"/>
        <v>-0.41144696011952142</v>
      </c>
      <c r="Q104" s="1925">
        <f t="shared" ref="Q104:AC104" si="139">(Q98/P98-1)*100</f>
        <v>0.34621243595069906</v>
      </c>
      <c r="R104" s="1925">
        <f t="shared" si="139"/>
        <v>1.881497837887558</v>
      </c>
      <c r="S104" s="1925">
        <f t="shared" si="139"/>
        <v>2.5127556779699356</v>
      </c>
      <c r="T104" s="1925">
        <f t="shared" si="139"/>
        <v>1.1518047878080528</v>
      </c>
      <c r="U104" s="1925">
        <f t="shared" si="139"/>
        <v>-2.053124319616817</v>
      </c>
      <c r="V104" s="1925">
        <f t="shared" si="139"/>
        <v>0.55571609576099412</v>
      </c>
      <c r="W104" s="1925">
        <f t="shared" si="139"/>
        <v>2.2592125914627337</v>
      </c>
      <c r="X104" s="1925">
        <f t="shared" si="139"/>
        <v>0.6744633476728934</v>
      </c>
      <c r="Y104" s="1925">
        <f t="shared" si="139"/>
        <v>1.022095295355463</v>
      </c>
      <c r="Z104" s="1925">
        <f t="shared" si="139"/>
        <v>1.4368610113290936</v>
      </c>
      <c r="AA104" s="1925">
        <f t="shared" si="139"/>
        <v>1.3599312700375066</v>
      </c>
      <c r="AB104" s="1925">
        <f t="shared" si="139"/>
        <v>1.5070702059042596</v>
      </c>
      <c r="AC104" s="1925">
        <f t="shared" si="139"/>
        <v>2.2749027514714637</v>
      </c>
      <c r="AD104" s="3057"/>
      <c r="AE104" s="3057"/>
      <c r="AF104" s="3057"/>
      <c r="AG104" s="2939"/>
      <c r="AH104" s="2939"/>
      <c r="AI104" s="2939"/>
      <c r="AJ104" s="2939"/>
      <c r="AK104" s="2939"/>
      <c r="AL104" s="2939"/>
      <c r="AM104" s="2939"/>
      <c r="AN104" s="2939"/>
      <c r="AO104" s="2939"/>
      <c r="AP104" s="2939"/>
      <c r="AQ104" s="2939"/>
    </row>
    <row r="105" spans="1:43" s="736" customFormat="1" ht="12.75" customHeight="1">
      <c r="A105" s="701"/>
      <c r="B105" s="701"/>
      <c r="C105" s="1912" t="s">
        <v>1791</v>
      </c>
      <c r="D105" s="1913"/>
      <c r="E105" s="1914" t="str">
        <f>+E100</f>
        <v>Wage and salary earners (domestic - full time equivalent)</v>
      </c>
      <c r="F105" s="1915" t="str">
        <f>+F100</f>
        <v>LEmpDFTE</v>
      </c>
      <c r="G105" s="1926"/>
      <c r="H105" s="1927" t="e">
        <f>(H100/G100-1)*100</f>
        <v>#DIV/0!</v>
      </c>
      <c r="I105" s="1927" t="e">
        <f t="shared" ref="I105:P105" si="140">(I100/H100-1)*100</f>
        <v>#DIV/0!</v>
      </c>
      <c r="J105" s="1927" t="e">
        <f t="shared" si="140"/>
        <v>#DIV/0!</v>
      </c>
      <c r="K105" s="1927" t="e">
        <f t="shared" si="140"/>
        <v>#DIV/0!</v>
      </c>
      <c r="L105" s="1927" t="e">
        <f t="shared" si="140"/>
        <v>#DIV/0!</v>
      </c>
      <c r="M105" s="1927" t="e">
        <f t="shared" si="140"/>
        <v>#DIV/0!</v>
      </c>
      <c r="N105" s="1927" t="e">
        <f t="shared" si="140"/>
        <v>#DIV/0!</v>
      </c>
      <c r="O105" s="1927" t="e">
        <f t="shared" si="140"/>
        <v>#DIV/0!</v>
      </c>
      <c r="P105" s="1927" t="e">
        <f t="shared" si="140"/>
        <v>#DIV/0!</v>
      </c>
      <c r="Q105" s="1927" t="e">
        <f t="shared" ref="Q105:AC105" si="141">(Q100/P100-1)*100</f>
        <v>#DIV/0!</v>
      </c>
      <c r="R105" s="1927" t="e">
        <f t="shared" si="141"/>
        <v>#DIV/0!</v>
      </c>
      <c r="S105" s="1927" t="e">
        <f t="shared" si="141"/>
        <v>#DIV/0!</v>
      </c>
      <c r="T105" s="1927" t="e">
        <f t="shared" si="141"/>
        <v>#DIV/0!</v>
      </c>
      <c r="U105" s="1927" t="e">
        <f t="shared" si="141"/>
        <v>#DIV/0!</v>
      </c>
      <c r="V105" s="1927" t="e">
        <f t="shared" si="141"/>
        <v>#DIV/0!</v>
      </c>
      <c r="W105" s="1927" t="e">
        <f t="shared" si="141"/>
        <v>#DIV/0!</v>
      </c>
      <c r="X105" s="1927" t="e">
        <f t="shared" si="141"/>
        <v>#DIV/0!</v>
      </c>
      <c r="Y105" s="1927" t="e">
        <f t="shared" si="141"/>
        <v>#DIV/0!</v>
      </c>
      <c r="Z105" s="1927" t="e">
        <f t="shared" si="141"/>
        <v>#DIV/0!</v>
      </c>
      <c r="AA105" s="1927" t="e">
        <f t="shared" si="141"/>
        <v>#DIV/0!</v>
      </c>
      <c r="AB105" s="1927" t="e">
        <f t="shared" si="141"/>
        <v>#DIV/0!</v>
      </c>
      <c r="AC105" s="1927" t="e">
        <f t="shared" si="141"/>
        <v>#DIV/0!</v>
      </c>
      <c r="AD105" s="3058"/>
      <c r="AE105" s="3058"/>
      <c r="AF105" s="3058"/>
      <c r="AG105" s="2939"/>
      <c r="AH105" s="2939"/>
      <c r="AI105" s="2939"/>
      <c r="AJ105" s="2939"/>
      <c r="AK105" s="2939"/>
      <c r="AL105" s="2939"/>
      <c r="AM105" s="2939"/>
      <c r="AN105" s="2939"/>
      <c r="AO105" s="2939"/>
      <c r="AP105" s="2939"/>
      <c r="AQ105" s="2939"/>
    </row>
    <row r="106" spans="1:43" s="736" customFormat="1" ht="30" customHeight="1">
      <c r="A106" s="700"/>
      <c r="B106" s="700"/>
      <c r="C106" s="731"/>
      <c r="D106" s="707"/>
      <c r="F106" s="731"/>
      <c r="P106" s="880"/>
      <c r="Q106" s="880"/>
      <c r="R106" s="880"/>
      <c r="X106" s="2354"/>
      <c r="Y106" s="2354"/>
      <c r="Z106" s="2354"/>
      <c r="AA106" s="2354"/>
      <c r="AB106" s="2354"/>
      <c r="AC106" s="2354"/>
      <c r="AD106" s="2354"/>
      <c r="AE106" s="2354"/>
      <c r="AF106" s="2354"/>
      <c r="AG106" s="2939"/>
      <c r="AH106" s="2939"/>
      <c r="AI106" s="2939"/>
      <c r="AJ106" s="2939"/>
      <c r="AK106" s="2939"/>
      <c r="AL106" s="2939"/>
      <c r="AM106" s="2939"/>
      <c r="AN106" s="2939"/>
      <c r="AO106" s="2939"/>
      <c r="AP106" s="2939"/>
      <c r="AQ106" s="2939"/>
    </row>
    <row r="107" spans="1:43" s="736" customFormat="1" ht="30" customHeight="1">
      <c r="A107" s="700"/>
      <c r="B107" s="700"/>
      <c r="C107" s="731"/>
      <c r="D107" s="707"/>
      <c r="F107" s="731"/>
      <c r="Q107" s="880"/>
      <c r="R107" s="2284"/>
      <c r="S107" s="2354"/>
      <c r="T107" s="2354"/>
      <c r="U107" s="2354"/>
      <c r="V107" s="2354"/>
      <c r="W107" s="2354"/>
      <c r="X107" s="2354"/>
      <c r="Y107" s="2354"/>
      <c r="Z107" s="2354"/>
      <c r="AA107" s="2354"/>
      <c r="AB107" s="2354"/>
      <c r="AC107" s="2354"/>
      <c r="AD107" s="2354"/>
      <c r="AE107" s="2354"/>
      <c r="AF107" s="2354"/>
      <c r="AG107" s="2939"/>
      <c r="AH107" s="2939"/>
      <c r="AI107" s="2939"/>
      <c r="AJ107" s="2939"/>
      <c r="AK107" s="2939"/>
      <c r="AL107" s="2939"/>
      <c r="AM107" s="2939"/>
      <c r="AN107" s="2939"/>
      <c r="AO107" s="2939"/>
      <c r="AP107" s="2939"/>
      <c r="AQ107" s="2939"/>
    </row>
    <row r="108" spans="1:43" s="736" customFormat="1" ht="22.5" customHeight="1">
      <c r="A108" s="700"/>
      <c r="B108" s="700"/>
      <c r="C108" s="3816" t="s">
        <v>858</v>
      </c>
      <c r="D108" s="3816"/>
      <c r="E108" s="3816"/>
      <c r="F108" s="3816"/>
      <c r="P108" s="2284"/>
      <c r="Q108" s="2284"/>
      <c r="R108" s="2284"/>
      <c r="S108" s="2354"/>
      <c r="T108" s="2354"/>
      <c r="U108" s="2354"/>
      <c r="V108" s="2354"/>
      <c r="W108" s="2354"/>
      <c r="X108" s="2354"/>
      <c r="Y108" s="2354"/>
      <c r="Z108" s="2354"/>
      <c r="AA108" s="2354"/>
      <c r="AB108" s="2354"/>
      <c r="AC108" s="2354"/>
      <c r="AD108" s="2354"/>
      <c r="AE108" s="2354"/>
      <c r="AF108" s="2354"/>
      <c r="AG108" s="2939"/>
      <c r="AH108" s="2939"/>
      <c r="AI108" s="2939"/>
      <c r="AJ108" s="2939"/>
      <c r="AK108" s="2939"/>
      <c r="AL108" s="2939"/>
      <c r="AM108" s="2939"/>
      <c r="AN108" s="2939"/>
      <c r="AO108" s="2939"/>
      <c r="AP108" s="2939"/>
      <c r="AQ108" s="2939"/>
    </row>
    <row r="109" spans="1:43" s="736" customFormat="1">
      <c r="A109" s="700"/>
      <c r="B109" s="700"/>
      <c r="C109" s="731"/>
      <c r="D109" s="707"/>
      <c r="F109" s="731"/>
      <c r="Q109" s="880"/>
      <c r="R109" s="2284"/>
      <c r="S109" s="2354"/>
      <c r="T109" s="2354"/>
      <c r="U109" s="2354"/>
      <c r="V109" s="2354"/>
      <c r="W109" s="2354"/>
      <c r="X109" s="2354"/>
      <c r="Y109" s="2354"/>
      <c r="Z109" s="2354"/>
      <c r="AA109" s="2354"/>
      <c r="AB109" s="2354"/>
      <c r="AC109" s="2354"/>
      <c r="AD109" s="2358" t="e">
        <v>#REF!</v>
      </c>
      <c r="AE109" s="2354"/>
      <c r="AF109" s="2354"/>
      <c r="AG109" s="2939"/>
      <c r="AH109" s="2939"/>
      <c r="AI109" s="2939"/>
      <c r="AJ109" s="2939"/>
      <c r="AK109" s="2939"/>
      <c r="AL109" s="2939"/>
      <c r="AM109" s="2939"/>
      <c r="AN109" s="2939"/>
      <c r="AO109" s="2939"/>
      <c r="AP109" s="2939"/>
      <c r="AQ109" s="2939"/>
    </row>
    <row r="110" spans="1:43">
      <c r="D110" s="937"/>
      <c r="E110" s="938" t="s">
        <v>1833</v>
      </c>
      <c r="F110" s="939"/>
      <c r="G110" s="815">
        <f>+InputY!$G$3</f>
        <v>1995</v>
      </c>
      <c r="H110" s="815">
        <f>+G110+1</f>
        <v>1996</v>
      </c>
      <c r="I110" s="815">
        <f>+H110+1</f>
        <v>1997</v>
      </c>
      <c r="J110" s="815">
        <f t="shared" ref="J110:P110" si="142">+I110+1</f>
        <v>1998</v>
      </c>
      <c r="K110" s="815">
        <f t="shared" si="142"/>
        <v>1999</v>
      </c>
      <c r="L110" s="815">
        <f t="shared" si="142"/>
        <v>2000</v>
      </c>
      <c r="M110" s="815">
        <f t="shared" si="142"/>
        <v>2001</v>
      </c>
      <c r="N110" s="815">
        <f t="shared" si="142"/>
        <v>2002</v>
      </c>
      <c r="O110" s="815">
        <f t="shared" si="142"/>
        <v>2003</v>
      </c>
      <c r="P110" s="815">
        <f t="shared" si="142"/>
        <v>2004</v>
      </c>
      <c r="Q110" s="815">
        <f t="shared" ref="Q110:Y110" si="143">+P110+1</f>
        <v>2005</v>
      </c>
      <c r="R110" s="815">
        <f t="shared" si="143"/>
        <v>2006</v>
      </c>
      <c r="S110" s="815">
        <f t="shared" si="143"/>
        <v>2007</v>
      </c>
      <c r="T110" s="815">
        <f t="shared" si="143"/>
        <v>2008</v>
      </c>
      <c r="U110" s="815">
        <f t="shared" si="143"/>
        <v>2009</v>
      </c>
      <c r="V110" s="815">
        <f t="shared" si="143"/>
        <v>2010</v>
      </c>
      <c r="W110" s="815">
        <f t="shared" si="143"/>
        <v>2011</v>
      </c>
      <c r="X110" s="2285">
        <f t="shared" si="143"/>
        <v>2012</v>
      </c>
      <c r="Y110" s="2285">
        <f t="shared" si="143"/>
        <v>2013</v>
      </c>
      <c r="Z110" s="2285">
        <f t="shared" ref="Z110:AF110" si="144">+Y110+1</f>
        <v>2014</v>
      </c>
      <c r="AA110" s="2285">
        <f t="shared" si="144"/>
        <v>2015</v>
      </c>
      <c r="AB110" s="2285">
        <f t="shared" si="144"/>
        <v>2016</v>
      </c>
      <c r="AC110" s="2285">
        <f t="shared" si="144"/>
        <v>2017</v>
      </c>
      <c r="AD110" s="2285">
        <f t="shared" si="144"/>
        <v>2018</v>
      </c>
      <c r="AE110" s="2285">
        <f t="shared" si="144"/>
        <v>2019</v>
      </c>
      <c r="AF110" s="2285">
        <f t="shared" si="144"/>
        <v>2020</v>
      </c>
    </row>
    <row r="111" spans="1:43" ht="12.75">
      <c r="C111" s="712"/>
      <c r="D111" s="705"/>
      <c r="E111" s="745" t="s">
        <v>1326</v>
      </c>
      <c r="F111" s="761" t="s">
        <v>733</v>
      </c>
      <c r="G111" s="1084">
        <f t="shared" ref="G111:P111" si="145">+G132/G29*1000</f>
        <v>193.31679206018887</v>
      </c>
      <c r="H111" s="1084">
        <f t="shared" si="145"/>
        <v>206.16918017006256</v>
      </c>
      <c r="I111" s="1084">
        <f t="shared" si="145"/>
        <v>218.94281887910398</v>
      </c>
      <c r="J111" s="1084">
        <f t="shared" si="145"/>
        <v>227.31994951486945</v>
      </c>
      <c r="K111" s="1084">
        <f t="shared" si="145"/>
        <v>235.81636972332322</v>
      </c>
      <c r="L111" s="1084">
        <f t="shared" si="145"/>
        <v>245.49232291399466</v>
      </c>
      <c r="M111" s="1084">
        <f t="shared" si="145"/>
        <v>252.35638713342323</v>
      </c>
      <c r="N111" s="1084">
        <f t="shared" si="145"/>
        <v>259.16387721672254</v>
      </c>
      <c r="O111" s="1084">
        <f t="shared" si="145"/>
        <v>265.16483122287195</v>
      </c>
      <c r="P111" s="1084">
        <f t="shared" si="145"/>
        <v>275.62217689057263</v>
      </c>
      <c r="Q111" s="1084">
        <f t="shared" ref="Q111:R113" si="146">+Q132/Q29*1000</f>
        <v>285.17130233231933</v>
      </c>
      <c r="R111" s="1084">
        <f t="shared" si="146"/>
        <v>296.18553403234409</v>
      </c>
      <c r="S111" s="1084">
        <f t="shared" ref="S111:T113" si="147">+S132/S29*1000</f>
        <v>308.81494454173958</v>
      </c>
      <c r="T111" s="1084">
        <f t="shared" si="147"/>
        <v>319.09650031754524</v>
      </c>
      <c r="U111" s="1084">
        <f t="shared" ref="U111:V113" si="148">+U132/U29*1000</f>
        <v>326.87020273293632</v>
      </c>
      <c r="V111" s="1084">
        <f t="shared" si="148"/>
        <v>333.28358715191808</v>
      </c>
      <c r="W111" s="1084">
        <f t="shared" ref="W111:X113" si="149">+W132/W29*1000</f>
        <v>343.08532266526754</v>
      </c>
      <c r="X111" s="1084">
        <f t="shared" si="149"/>
        <v>352.23304754481688</v>
      </c>
      <c r="Y111" s="1084">
        <f t="shared" ref="Y111:AA113" si="150">+Y132/Y29*1000</f>
        <v>356.98489717223646</v>
      </c>
      <c r="Z111" s="1084">
        <f t="shared" si="150"/>
        <v>364.24414747417308</v>
      </c>
      <c r="AA111" s="1084">
        <f t="shared" si="150"/>
        <v>374.42717902407122</v>
      </c>
      <c r="AB111" s="1084">
        <f t="shared" ref="AB111" si="151">+AB132/AB29*1000</f>
        <v>383.28717401250572</v>
      </c>
      <c r="AC111" s="1084">
        <f t="shared" ref="AC111" si="152">+AC132/AC29*1000</f>
        <v>390.5084142106669</v>
      </c>
      <c r="AD111" s="3059">
        <f t="shared" ref="AD111:AF112" si="153">+AC111*(1+AD118/100)</f>
        <v>400.85688718724958</v>
      </c>
      <c r="AE111" s="3059">
        <f t="shared" si="153"/>
        <v>411.47959469771166</v>
      </c>
      <c r="AF111" s="3059">
        <f t="shared" si="153"/>
        <v>421.56084476780558</v>
      </c>
    </row>
    <row r="112" spans="1:43" ht="12.75">
      <c r="C112" s="708"/>
      <c r="D112" s="711"/>
      <c r="E112" s="220" t="s">
        <v>1327</v>
      </c>
      <c r="F112" s="747" t="s">
        <v>734</v>
      </c>
      <c r="G112" s="1084">
        <f t="shared" ref="G112:P112" si="154">+G133/G30*1000</f>
        <v>162.14455151964418</v>
      </c>
      <c r="H112" s="1084">
        <f t="shared" si="154"/>
        <v>173.61387631975867</v>
      </c>
      <c r="I112" s="1084">
        <f t="shared" si="154"/>
        <v>180.63343558282207</v>
      </c>
      <c r="J112" s="1084">
        <f t="shared" si="154"/>
        <v>185.60261337432743</v>
      </c>
      <c r="K112" s="1084">
        <f t="shared" si="154"/>
        <v>191.05610310841544</v>
      </c>
      <c r="L112" s="1084">
        <f t="shared" si="154"/>
        <v>195.84080370942814</v>
      </c>
      <c r="M112" s="1084">
        <f t="shared" si="154"/>
        <v>202.78729915837798</v>
      </c>
      <c r="N112" s="1084">
        <f t="shared" si="154"/>
        <v>211.02187028657619</v>
      </c>
      <c r="O112" s="1084">
        <f t="shared" si="154"/>
        <v>219.29029850746267</v>
      </c>
      <c r="P112" s="1084">
        <f t="shared" si="154"/>
        <v>225.23997028231798</v>
      </c>
      <c r="Q112" s="1084">
        <f t="shared" si="146"/>
        <v>231.72578241430699</v>
      </c>
      <c r="R112" s="1084">
        <f t="shared" si="146"/>
        <v>239.79366249078848</v>
      </c>
      <c r="S112" s="1084">
        <f t="shared" si="147"/>
        <v>249.55088495575222</v>
      </c>
      <c r="T112" s="1084">
        <f t="shared" si="147"/>
        <v>264.72686230248303</v>
      </c>
      <c r="U112" s="1084">
        <f t="shared" si="148"/>
        <v>274.86482334869436</v>
      </c>
      <c r="V112" s="1084">
        <f t="shared" si="148"/>
        <v>282.26003086419752</v>
      </c>
      <c r="W112" s="1084">
        <f t="shared" si="149"/>
        <v>289.7978478093774</v>
      </c>
      <c r="X112" s="1084">
        <f t="shared" si="149"/>
        <v>298.93211289092289</v>
      </c>
      <c r="Y112" s="1084">
        <f t="shared" si="150"/>
        <v>306.72280966767374</v>
      </c>
      <c r="Z112" s="1084">
        <f t="shared" si="150"/>
        <v>314.38329604772559</v>
      </c>
      <c r="AA112" s="1084">
        <f>+AA133/AA30*1000</f>
        <v>321.28154631655724</v>
      </c>
      <c r="AB112" s="1084">
        <f>+AB133/AB30*1000</f>
        <v>330.02696948190203</v>
      </c>
      <c r="AC112" s="1084">
        <f>+AC133/AC30*1000</f>
        <v>339.86360473208072</v>
      </c>
      <c r="AD112" s="3060">
        <f t="shared" si="153"/>
        <v>350.05951287404315</v>
      </c>
      <c r="AE112" s="3060">
        <f t="shared" si="153"/>
        <v>361.26141728601254</v>
      </c>
      <c r="AF112" s="3060">
        <f t="shared" si="153"/>
        <v>371.7379983873069</v>
      </c>
    </row>
    <row r="113" spans="1:43" ht="12.75">
      <c r="C113" s="708"/>
      <c r="D113" s="783"/>
      <c r="E113" s="787" t="s">
        <v>731</v>
      </c>
      <c r="F113" s="932" t="s">
        <v>735</v>
      </c>
      <c r="G113" s="959">
        <f t="shared" ref="G113:P113" si="155">+G134/G31*1000</f>
        <v>182.388117885545</v>
      </c>
      <c r="H113" s="959">
        <f t="shared" si="155"/>
        <v>194.86620234604104</v>
      </c>
      <c r="I113" s="959">
        <f t="shared" si="155"/>
        <v>205.68535866882516</v>
      </c>
      <c r="J113" s="959">
        <f t="shared" si="155"/>
        <v>213.17276613491813</v>
      </c>
      <c r="K113" s="959">
        <f t="shared" si="155"/>
        <v>220.7466115322766</v>
      </c>
      <c r="L113" s="959">
        <f t="shared" si="155"/>
        <v>229.52148947276839</v>
      </c>
      <c r="M113" s="959">
        <f t="shared" si="155"/>
        <v>236.64516441943931</v>
      </c>
      <c r="N113" s="959">
        <f t="shared" si="155"/>
        <v>243.72284843500557</v>
      </c>
      <c r="O113" s="959">
        <f t="shared" si="155"/>
        <v>250.27230661143008</v>
      </c>
      <c r="P113" s="959">
        <f t="shared" si="155"/>
        <v>259.04649002737585</v>
      </c>
      <c r="Q113" s="959">
        <f t="shared" si="146"/>
        <v>267.69131409631507</v>
      </c>
      <c r="R113" s="959">
        <f t="shared" si="146"/>
        <v>277.83671022659155</v>
      </c>
      <c r="S113" s="959">
        <f t="shared" si="147"/>
        <v>289.98641081511676</v>
      </c>
      <c r="T113" s="959">
        <f t="shared" si="147"/>
        <v>302.37299511653202</v>
      </c>
      <c r="U113" s="959">
        <f t="shared" si="148"/>
        <v>310.77650749887096</v>
      </c>
      <c r="V113" s="959">
        <f t="shared" si="148"/>
        <v>317.70350823457346</v>
      </c>
      <c r="W113" s="959">
        <f t="shared" si="149"/>
        <v>327.15027812255778</v>
      </c>
      <c r="X113" s="959">
        <f t="shared" si="149"/>
        <v>336.31634094118721</v>
      </c>
      <c r="Y113" s="959">
        <f t="shared" si="150"/>
        <v>341.98331830477906</v>
      </c>
      <c r="Z113" s="959">
        <f t="shared" si="150"/>
        <v>349.40638661429551</v>
      </c>
      <c r="AA113" s="959">
        <f t="shared" si="150"/>
        <v>358.52628592628156</v>
      </c>
      <c r="AB113" s="959">
        <f t="shared" ref="AB113" si="156">+AB134/AB31*1000</f>
        <v>367.27786666666668</v>
      </c>
      <c r="AC113" s="959">
        <f t="shared" ref="AC113" si="157">+AC134/AC31*1000</f>
        <v>375.36649813786073</v>
      </c>
      <c r="AD113" s="3061">
        <f>+AD134/AD31*1000</f>
        <v>385.64423971802398</v>
      </c>
      <c r="AE113" s="3061">
        <f>+AE134/AE31*1000</f>
        <v>396.42474062552213</v>
      </c>
      <c r="AF113" s="3061">
        <f>+AF134/AF31*1000</f>
        <v>406.57672574080033</v>
      </c>
    </row>
    <row r="114" spans="1:43" ht="12.75">
      <c r="C114" s="709"/>
      <c r="D114" s="713"/>
      <c r="E114" s="748" t="s">
        <v>730</v>
      </c>
      <c r="F114" s="936" t="s">
        <v>736</v>
      </c>
      <c r="G114" s="960">
        <f t="shared" ref="G114:P114" si="158">+G135/G34*1000</f>
        <v>-6.1551155115510063</v>
      </c>
      <c r="H114" s="960">
        <f t="shared" si="158"/>
        <v>-4.1561938958714428</v>
      </c>
      <c r="I114" s="960">
        <f t="shared" si="158"/>
        <v>-13.56037151702755</v>
      </c>
      <c r="J114" s="960">
        <f t="shared" si="158"/>
        <v>-14.108910891088723</v>
      </c>
      <c r="K114" s="960">
        <f t="shared" si="158"/>
        <v>-21.236068895643438</v>
      </c>
      <c r="L114" s="960">
        <f t="shared" si="158"/>
        <v>-23.360071301247451</v>
      </c>
      <c r="M114" s="960">
        <f t="shared" si="158"/>
        <v>-89.908466819219868</v>
      </c>
      <c r="N114" s="960">
        <f t="shared" si="158"/>
        <v>-152.96529968454135</v>
      </c>
      <c r="O114" s="960">
        <f t="shared" si="158"/>
        <v>-254.31034482758892</v>
      </c>
      <c r="P114" s="960">
        <f t="shared" si="158"/>
        <v>-1097.6086956522995</v>
      </c>
      <c r="Q114" s="960">
        <f t="shared" ref="Q114:V114" si="159">+Q135/Q34*1000</f>
        <v>-5733.6363636392225</v>
      </c>
      <c r="R114" s="960">
        <f t="shared" si="159"/>
        <v>1130.7142857142805</v>
      </c>
      <c r="S114" s="960">
        <f t="shared" si="159"/>
        <v>765.46012269936944</v>
      </c>
      <c r="T114" s="960">
        <f t="shared" si="159"/>
        <v>598.12949640287127</v>
      </c>
      <c r="U114" s="960">
        <f t="shared" si="159"/>
        <v>450.47835990888905</v>
      </c>
      <c r="V114" s="960">
        <f t="shared" si="159"/>
        <v>716.8076923076901</v>
      </c>
      <c r="W114" s="960">
        <f t="shared" ref="W114:AB114" si="160">+W135/W34*1000</f>
        <v>535.85139318886627</v>
      </c>
      <c r="X114" s="960">
        <f t="shared" si="160"/>
        <v>592.92929292927499</v>
      </c>
      <c r="Y114" s="960">
        <f t="shared" si="160"/>
        <v>524.65045592705656</v>
      </c>
      <c r="Z114" s="960">
        <f t="shared" si="160"/>
        <v>521.69054441260232</v>
      </c>
      <c r="AA114" s="960">
        <f t="shared" si="160"/>
        <v>485.67114093959293</v>
      </c>
      <c r="AB114" s="960">
        <f t="shared" si="160"/>
        <v>646.76470588233929</v>
      </c>
      <c r="AC114" s="960">
        <f t="shared" ref="AC114" si="161">+AC135/AC34*1000</f>
        <v>658.85714285713254</v>
      </c>
      <c r="AD114" s="3062">
        <f>+AC114*(1+AD121/100)</f>
        <v>679.94057142856082</v>
      </c>
      <c r="AE114" s="3062">
        <f>+AD114*(1+AE121/100)</f>
        <v>701.69866971427473</v>
      </c>
      <c r="AF114" s="3062">
        <f>+AE114*(1+AF121/100)</f>
        <v>724.15302714513155</v>
      </c>
    </row>
    <row r="115" spans="1:43" s="220" customFormat="1" ht="12.75">
      <c r="A115" s="940"/>
      <c r="B115" s="940"/>
      <c r="C115" s="711"/>
      <c r="D115" s="783"/>
      <c r="E115" s="787" t="s">
        <v>732</v>
      </c>
      <c r="F115" s="932" t="s">
        <v>737</v>
      </c>
      <c r="G115" s="959">
        <f>+G136/G78*1000</f>
        <v>188.52009874953038</v>
      </c>
      <c r="H115" s="959">
        <f>+H136/H78*1000</f>
        <v>200.84578456227413</v>
      </c>
      <c r="I115" s="959">
        <f>+I136/I78*1000</f>
        <v>211.47227064719982</v>
      </c>
      <c r="J115" s="959">
        <f t="shared" ref="J115:P115" si="162">+J136/J78*1000</f>
        <v>219.31814531241631</v>
      </c>
      <c r="K115" s="959">
        <f t="shared" si="162"/>
        <v>227.00052369730295</v>
      </c>
      <c r="L115" s="959">
        <f t="shared" si="162"/>
        <v>236.77679187869182</v>
      </c>
      <c r="M115" s="959">
        <f t="shared" si="162"/>
        <v>240.14289565920734</v>
      </c>
      <c r="N115" s="959">
        <f t="shared" si="162"/>
        <v>246.78805606337599</v>
      </c>
      <c r="O115" s="959">
        <f t="shared" si="162"/>
        <v>252.4083400238425</v>
      </c>
      <c r="P115" s="959">
        <f t="shared" si="162"/>
        <v>260.57358195076586</v>
      </c>
      <c r="Q115" s="959">
        <f t="shared" ref="Q115:X115" si="163">+Q136/Q78*1000</f>
        <v>269.30060213061603</v>
      </c>
      <c r="R115" s="959">
        <f t="shared" si="163"/>
        <v>279.265828845003</v>
      </c>
      <c r="S115" s="959">
        <f t="shared" si="163"/>
        <v>291.79535057417598</v>
      </c>
      <c r="T115" s="959">
        <f t="shared" si="163"/>
        <v>304.263769115787</v>
      </c>
      <c r="U115" s="959">
        <f t="shared" si="163"/>
        <v>312.21913812570574</v>
      </c>
      <c r="V115" s="959">
        <f t="shared" si="163"/>
        <v>320.13348008336652</v>
      </c>
      <c r="W115" s="959">
        <f>+W136/W78*1000</f>
        <v>328.68831139200074</v>
      </c>
      <c r="X115" s="2313">
        <f t="shared" si="163"/>
        <v>338.04067965338578</v>
      </c>
      <c r="Y115" s="2313">
        <f t="shared" ref="Y115:AD115" si="164">+Y136/Y78*1000</f>
        <v>343.32811206337135</v>
      </c>
      <c r="Z115" s="2313">
        <f t="shared" si="164"/>
        <v>350.7304236765612</v>
      </c>
      <c r="AA115" s="2313">
        <f t="shared" si="164"/>
        <v>359.34780251945966</v>
      </c>
      <c r="AB115" s="2313">
        <f t="shared" ref="AB115" si="165">+AB136/AB78*1000</f>
        <v>368.08640530939567</v>
      </c>
      <c r="AC115" s="2313">
        <f t="shared" ref="AC115" si="166">+AC136/AC78*1000</f>
        <v>375.98447101810331</v>
      </c>
      <c r="AD115" s="2313">
        <f t="shared" si="164"/>
        <v>386.22969195079236</v>
      </c>
      <c r="AE115" s="2313">
        <f t="shared" ref="AE115:AF115" si="167">+AE136/AE78*1000</f>
        <v>396.9821145713214</v>
      </c>
      <c r="AF115" s="2313">
        <f t="shared" si="167"/>
        <v>407.10888516135498</v>
      </c>
      <c r="AG115" s="2954"/>
      <c r="AH115" s="2954"/>
      <c r="AI115" s="2954"/>
      <c r="AJ115" s="2954"/>
      <c r="AK115" s="2954"/>
      <c r="AL115" s="2954"/>
      <c r="AM115" s="2954"/>
      <c r="AN115" s="2954"/>
      <c r="AO115" s="2954"/>
      <c r="AP115" s="2954"/>
      <c r="AQ115" s="2954"/>
    </row>
    <row r="116" spans="1:43" s="220" customFormat="1" ht="12.75">
      <c r="A116" s="940"/>
      <c r="B116" s="940"/>
      <c r="C116" s="711"/>
      <c r="D116" s="711"/>
      <c r="F116" s="747"/>
      <c r="X116" s="3063"/>
      <c r="Y116" s="3063"/>
      <c r="Z116" s="3063"/>
      <c r="AA116" s="3063"/>
      <c r="AB116" s="3063"/>
      <c r="AC116" s="3063"/>
      <c r="AD116" s="3063"/>
      <c r="AE116" s="3063"/>
      <c r="AF116" s="3063"/>
      <c r="AG116" s="2954"/>
      <c r="AH116" s="2954"/>
      <c r="AI116" s="2954"/>
      <c r="AJ116" s="2954"/>
      <c r="AK116" s="2954"/>
      <c r="AL116" s="2954"/>
      <c r="AM116" s="2954"/>
      <c r="AN116" s="2954"/>
      <c r="AO116" s="2954"/>
      <c r="AP116" s="2954"/>
      <c r="AQ116" s="2954"/>
    </row>
    <row r="117" spans="1:43">
      <c r="D117" s="966"/>
      <c r="E117" s="967" t="s">
        <v>1833</v>
      </c>
      <c r="F117" s="968"/>
      <c r="G117" s="933">
        <f>+InputY!$G$3</f>
        <v>1995</v>
      </c>
      <c r="H117" s="933">
        <f>+G117+1</f>
        <v>1996</v>
      </c>
      <c r="I117" s="933">
        <f>+H117+1</f>
        <v>1997</v>
      </c>
      <c r="J117" s="933">
        <f t="shared" ref="J117:P117" si="168">+I117+1</f>
        <v>1998</v>
      </c>
      <c r="K117" s="933">
        <f t="shared" si="168"/>
        <v>1999</v>
      </c>
      <c r="L117" s="933">
        <f t="shared" si="168"/>
        <v>2000</v>
      </c>
      <c r="M117" s="933">
        <f t="shared" si="168"/>
        <v>2001</v>
      </c>
      <c r="N117" s="933">
        <f t="shared" si="168"/>
        <v>2002</v>
      </c>
      <c r="O117" s="933">
        <f t="shared" si="168"/>
        <v>2003</v>
      </c>
      <c r="P117" s="782">
        <f t="shared" si="168"/>
        <v>2004</v>
      </c>
      <c r="Q117" s="933">
        <f>+P117+1</f>
        <v>2005</v>
      </c>
      <c r="R117" s="782">
        <f>+Q117+1</f>
        <v>2006</v>
      </c>
      <c r="S117" s="782">
        <f>+R117+1</f>
        <v>2007</v>
      </c>
      <c r="T117" s="782">
        <f t="shared" ref="T117:AF117" si="169">+S117+1</f>
        <v>2008</v>
      </c>
      <c r="U117" s="782">
        <f t="shared" si="169"/>
        <v>2009</v>
      </c>
      <c r="V117" s="782">
        <f t="shared" si="169"/>
        <v>2010</v>
      </c>
      <c r="W117" s="782">
        <f t="shared" si="169"/>
        <v>2011</v>
      </c>
      <c r="X117" s="3028">
        <f t="shared" si="169"/>
        <v>2012</v>
      </c>
      <c r="Y117" s="3028">
        <f t="shared" si="169"/>
        <v>2013</v>
      </c>
      <c r="Z117" s="3028">
        <f t="shared" si="169"/>
        <v>2014</v>
      </c>
      <c r="AA117" s="3028">
        <f t="shared" si="169"/>
        <v>2015</v>
      </c>
      <c r="AB117" s="3028">
        <f t="shared" si="169"/>
        <v>2016</v>
      </c>
      <c r="AC117" s="3028">
        <f t="shared" si="169"/>
        <v>2017</v>
      </c>
      <c r="AD117" s="3028">
        <f t="shared" si="169"/>
        <v>2018</v>
      </c>
      <c r="AE117" s="3028">
        <f t="shared" si="169"/>
        <v>2019</v>
      </c>
      <c r="AF117" s="3028">
        <f t="shared" si="169"/>
        <v>2020</v>
      </c>
    </row>
    <row r="118" spans="1:43" ht="12.75">
      <c r="C118" s="799"/>
      <c r="D118" s="726"/>
      <c r="E118" s="769" t="s">
        <v>1326</v>
      </c>
      <c r="F118" s="800" t="s">
        <v>733</v>
      </c>
      <c r="G118" s="1743"/>
      <c r="H118" s="1744">
        <f t="shared" ref="H118:I122" si="170">(H111/G111-1)*100</f>
        <v>6.6483557754631661</v>
      </c>
      <c r="I118" s="1744">
        <f t="shared" si="170"/>
        <v>6.1957071849947809</v>
      </c>
      <c r="J118" s="1744">
        <f t="shared" ref="J118:P118" si="171">(J111/I111-1)*100</f>
        <v>3.8261728238692116</v>
      </c>
      <c r="K118" s="1744">
        <f t="shared" si="171"/>
        <v>3.7376482911360087</v>
      </c>
      <c r="L118" s="1744">
        <f t="shared" si="171"/>
        <v>4.1031728213032803</v>
      </c>
      <c r="M118" s="1744">
        <f t="shared" si="171"/>
        <v>2.7960402744786839</v>
      </c>
      <c r="N118" s="1744">
        <f t="shared" si="171"/>
        <v>2.6975699567691747</v>
      </c>
      <c r="O118" s="1744">
        <f t="shared" si="171"/>
        <v>2.3155055675954328</v>
      </c>
      <c r="P118" s="1745">
        <f t="shared" si="171"/>
        <v>3.9437151674579507</v>
      </c>
      <c r="Q118" s="1744">
        <f t="shared" ref="Q118:AC122" si="172">(Q111/P111-1)*100</f>
        <v>3.4645707937855486</v>
      </c>
      <c r="R118" s="1745">
        <f t="shared" si="172"/>
        <v>3.8623212118271022</v>
      </c>
      <c r="S118" s="1745">
        <f t="shared" si="172"/>
        <v>4.2640200341507395</v>
      </c>
      <c r="T118" s="1745">
        <f t="shared" si="172"/>
        <v>3.329358231371482</v>
      </c>
      <c r="U118" s="1745">
        <f t="shared" si="172"/>
        <v>2.4361603488772809</v>
      </c>
      <c r="V118" s="1745">
        <f t="shared" si="172"/>
        <v>1.962058445633752</v>
      </c>
      <c r="W118" s="1745">
        <f t="shared" si="172"/>
        <v>2.9409595585280446</v>
      </c>
      <c r="X118" s="1745">
        <f t="shared" si="172"/>
        <v>2.6663119274485503</v>
      </c>
      <c r="Y118" s="1745">
        <f t="shared" si="172"/>
        <v>1.3490641098390821</v>
      </c>
      <c r="Z118" s="1745">
        <f t="shared" si="172"/>
        <v>2.0334894723667229</v>
      </c>
      <c r="AA118" s="1745">
        <f t="shared" si="172"/>
        <v>2.7956609929113974</v>
      </c>
      <c r="AB118" s="1745">
        <f t="shared" si="172"/>
        <v>2.3662798762439374</v>
      </c>
      <c r="AC118" s="1745">
        <f t="shared" si="172"/>
        <v>1.8840286573026832</v>
      </c>
      <c r="AD118" s="3064">
        <v>2.65</v>
      </c>
      <c r="AE118" s="3064">
        <v>2.65</v>
      </c>
      <c r="AF118" s="3064">
        <v>2.4500000000000002</v>
      </c>
      <c r="AG118" s="2951">
        <f>2.9-0.5</f>
        <v>2.4</v>
      </c>
    </row>
    <row r="119" spans="1:43" ht="13.5" customHeight="1">
      <c r="C119" s="969"/>
      <c r="D119" s="711"/>
      <c r="E119" s="220" t="s">
        <v>1327</v>
      </c>
      <c r="F119" s="747" t="s">
        <v>734</v>
      </c>
      <c r="G119" s="1609"/>
      <c r="H119" s="1084">
        <f t="shared" si="170"/>
        <v>7.0735184701688603</v>
      </c>
      <c r="I119" s="1084">
        <f t="shared" si="170"/>
        <v>4.0432017370172213</v>
      </c>
      <c r="J119" s="1084">
        <f t="shared" ref="J119:P122" si="173">(J112/I112-1)*100</f>
        <v>2.7509734150114928</v>
      </c>
      <c r="K119" s="1084">
        <f t="shared" si="173"/>
        <v>2.9382612857337786</v>
      </c>
      <c r="L119" s="1084">
        <f t="shared" si="173"/>
        <v>2.5043432390629228</v>
      </c>
      <c r="M119" s="1084">
        <f t="shared" si="173"/>
        <v>3.5470113058034825</v>
      </c>
      <c r="N119" s="1084">
        <f t="shared" si="173"/>
        <v>4.0606937231147722</v>
      </c>
      <c r="O119" s="1084">
        <f t="shared" si="173"/>
        <v>3.9182802283278084</v>
      </c>
      <c r="P119" s="1084">
        <f t="shared" si="173"/>
        <v>2.713148650601549</v>
      </c>
      <c r="Q119" s="1084">
        <f t="shared" si="172"/>
        <v>2.8795120705528587</v>
      </c>
      <c r="R119" s="1084">
        <f t="shared" si="172"/>
        <v>3.4816497294447579</v>
      </c>
      <c r="S119" s="1084">
        <f t="shared" si="172"/>
        <v>4.0690076474971804</v>
      </c>
      <c r="T119" s="1084">
        <f t="shared" si="172"/>
        <v>6.0813157803153661</v>
      </c>
      <c r="U119" s="1084">
        <f t="shared" si="172"/>
        <v>3.8295928709446425</v>
      </c>
      <c r="V119" s="1084">
        <f t="shared" si="172"/>
        <v>2.6904888830105333</v>
      </c>
      <c r="W119" s="1084">
        <f t="shared" si="172"/>
        <v>2.6705222564106235</v>
      </c>
      <c r="X119" s="1084">
        <f t="shared" si="172"/>
        <v>3.1519437258049621</v>
      </c>
      <c r="Y119" s="1084">
        <f t="shared" si="172"/>
        <v>2.6061759311866162</v>
      </c>
      <c r="Z119" s="1084">
        <f t="shared" si="172"/>
        <v>2.4975274543004522</v>
      </c>
      <c r="AA119" s="1084">
        <f t="shared" si="172"/>
        <v>2.1942165361687804</v>
      </c>
      <c r="AB119" s="1084">
        <f t="shared" si="172"/>
        <v>2.722043411957431</v>
      </c>
      <c r="AC119" s="1084">
        <f t="shared" si="172"/>
        <v>2.9805549727105252</v>
      </c>
      <c r="AD119" s="3755">
        <v>3</v>
      </c>
      <c r="AE119" s="3755">
        <v>3.2</v>
      </c>
      <c r="AF119" s="3755">
        <v>2.9</v>
      </c>
    </row>
    <row r="120" spans="1:43" ht="12.75">
      <c r="C120" s="969"/>
      <c r="D120" s="754"/>
      <c r="E120" s="755" t="s">
        <v>731</v>
      </c>
      <c r="F120" s="961" t="s">
        <v>735</v>
      </c>
      <c r="G120" s="962"/>
      <c r="H120" s="962">
        <f t="shared" si="170"/>
        <v>6.8415007540822748</v>
      </c>
      <c r="I120" s="962">
        <f t="shared" si="170"/>
        <v>5.552094818151998</v>
      </c>
      <c r="J120" s="962">
        <f t="shared" si="173"/>
        <v>3.6402238421590738</v>
      </c>
      <c r="K120" s="962">
        <f t="shared" si="173"/>
        <v>3.5529141619173643</v>
      </c>
      <c r="L120" s="962">
        <f t="shared" si="173"/>
        <v>3.9750906614522519</v>
      </c>
      <c r="M120" s="962">
        <f t="shared" si="173"/>
        <v>3.1037071792426207</v>
      </c>
      <c r="N120" s="962">
        <f t="shared" si="173"/>
        <v>2.9908424424939906</v>
      </c>
      <c r="O120" s="962">
        <f t="shared" si="173"/>
        <v>2.6872565368737167</v>
      </c>
      <c r="P120" s="962">
        <f t="shared" si="173"/>
        <v>3.5058546967277726</v>
      </c>
      <c r="Q120" s="962">
        <f t="shared" si="172"/>
        <v>3.3371708947014245</v>
      </c>
      <c r="R120" s="962">
        <f t="shared" si="172"/>
        <v>3.7899608975083154</v>
      </c>
      <c r="S120" s="962">
        <f t="shared" si="172"/>
        <v>4.3729644576544491</v>
      </c>
      <c r="T120" s="962">
        <f t="shared" si="172"/>
        <v>4.271436122333494</v>
      </c>
      <c r="U120" s="962">
        <f t="shared" si="172"/>
        <v>2.7791874664932603</v>
      </c>
      <c r="V120" s="962">
        <f t="shared" si="172"/>
        <v>2.2289331942916046</v>
      </c>
      <c r="W120" s="962">
        <f t="shared" si="172"/>
        <v>2.973454696952671</v>
      </c>
      <c r="X120" s="3365">
        <f t="shared" ref="X120:AF120" si="174">(X113/W113-1)*100</f>
        <v>2.8017897069296138</v>
      </c>
      <c r="Y120" s="3365">
        <f t="shared" si="174"/>
        <v>1.6850139805079767</v>
      </c>
      <c r="Z120" s="3065">
        <f t="shared" si="174"/>
        <v>2.1705936846021734</v>
      </c>
      <c r="AA120" s="3065">
        <f t="shared" si="174"/>
        <v>2.610112368110018</v>
      </c>
      <c r="AB120" s="3365">
        <f t="shared" si="174"/>
        <v>2.4409871978493092</v>
      </c>
      <c r="AC120" s="3365">
        <f t="shared" si="174"/>
        <v>2.2023193351139447</v>
      </c>
      <c r="AD120" s="3365">
        <f t="shared" si="174"/>
        <v>2.7380551091132688</v>
      </c>
      <c r="AE120" s="3365">
        <f t="shared" si="174"/>
        <v>2.7954523359095651</v>
      </c>
      <c r="AF120" s="3365">
        <f t="shared" si="174"/>
        <v>2.5608858567351955</v>
      </c>
    </row>
    <row r="121" spans="1:43" ht="12.75">
      <c r="C121" s="727"/>
      <c r="D121" s="728"/>
      <c r="E121" s="772" t="s">
        <v>730</v>
      </c>
      <c r="F121" s="970" t="s">
        <v>736</v>
      </c>
      <c r="G121" s="971"/>
      <c r="H121" s="971">
        <f t="shared" si="170"/>
        <v>-32.475777455813535</v>
      </c>
      <c r="I121" s="971">
        <f t="shared" si="170"/>
        <v>226.26898207270241</v>
      </c>
      <c r="J121" s="971">
        <f t="shared" si="173"/>
        <v>4.0451647904512056</v>
      </c>
      <c r="K121" s="971">
        <f t="shared" si="173"/>
        <v>50.51529533052954</v>
      </c>
      <c r="L121" s="971">
        <f t="shared" si="173"/>
        <v>10.001862472953981</v>
      </c>
      <c r="M121" s="971">
        <f t="shared" si="173"/>
        <v>284.88096059201098</v>
      </c>
      <c r="N121" s="971">
        <f t="shared" si="173"/>
        <v>70.134476869804359</v>
      </c>
      <c r="O121" s="971">
        <f t="shared" si="173"/>
        <v>66.253617880689504</v>
      </c>
      <c r="P121" s="971">
        <f t="shared" si="173"/>
        <v>331.60206337513688</v>
      </c>
      <c r="Q121" s="971">
        <f t="shared" si="172"/>
        <v>422.37526783001397</v>
      </c>
      <c r="R121" s="971">
        <f t="shared" si="172"/>
        <v>-119.72071847605976</v>
      </c>
      <c r="S121" s="971">
        <f t="shared" si="172"/>
        <v>-32.302958194622732</v>
      </c>
      <c r="T121" s="971">
        <f t="shared" si="172"/>
        <v>-21.860136319892455</v>
      </c>
      <c r="U121" s="971">
        <f t="shared" si="172"/>
        <v>-24.685479880519303</v>
      </c>
      <c r="V121" s="971">
        <f t="shared" si="172"/>
        <v>59.121448686828629</v>
      </c>
      <c r="W121" s="971">
        <f t="shared" si="172"/>
        <v>-25.244748495409318</v>
      </c>
      <c r="X121" s="971">
        <f t="shared" si="172"/>
        <v>10.651815123729836</v>
      </c>
      <c r="Y121" s="971">
        <f t="shared" si="172"/>
        <v>-11.515510840238207</v>
      </c>
      <c r="Z121" s="971">
        <f t="shared" si="172"/>
        <v>-0.56416829167222904</v>
      </c>
      <c r="AA121" s="971">
        <f t="shared" si="172"/>
        <v>-6.9043619553360802</v>
      </c>
      <c r="AB121" s="971">
        <f t="shared" si="172"/>
        <v>33.169268536543115</v>
      </c>
      <c r="AC121" s="971">
        <f t="shared" si="172"/>
        <v>1.8696810238425732</v>
      </c>
      <c r="AD121" s="3066">
        <v>3.2</v>
      </c>
      <c r="AE121" s="3066">
        <v>3.2</v>
      </c>
      <c r="AF121" s="3066">
        <v>3.2</v>
      </c>
    </row>
    <row r="122" spans="1:43" s="220" customFormat="1" ht="12.75">
      <c r="A122" s="940"/>
      <c r="B122" s="940"/>
      <c r="C122" s="711"/>
      <c r="D122" s="754"/>
      <c r="E122" s="755" t="s">
        <v>732</v>
      </c>
      <c r="F122" s="961" t="s">
        <v>737</v>
      </c>
      <c r="G122" s="962"/>
      <c r="H122" s="962">
        <f t="shared" si="170"/>
        <v>6.5381282391114182</v>
      </c>
      <c r="I122" s="962">
        <f t="shared" si="170"/>
        <v>5.2908683685272129</v>
      </c>
      <c r="J122" s="962">
        <f t="shared" si="173"/>
        <v>3.7101198380310452</v>
      </c>
      <c r="K122" s="962">
        <f t="shared" si="173"/>
        <v>3.5028466860063778</v>
      </c>
      <c r="L122" s="962">
        <f t="shared" si="173"/>
        <v>4.306716135344768</v>
      </c>
      <c r="M122" s="962">
        <f t="shared" si="173"/>
        <v>1.4216358595820822</v>
      </c>
      <c r="N122" s="962">
        <f t="shared" si="173"/>
        <v>2.7671692664183345</v>
      </c>
      <c r="O122" s="962">
        <f t="shared" si="173"/>
        <v>2.2773727586813175</v>
      </c>
      <c r="P122" s="962">
        <f t="shared" si="173"/>
        <v>3.2349334915605654</v>
      </c>
      <c r="Q122" s="962">
        <f t="shared" si="172"/>
        <v>3.3491576983806004</v>
      </c>
      <c r="R122" s="962">
        <f t="shared" si="172"/>
        <v>3.7004101125454048</v>
      </c>
      <c r="S122" s="962">
        <f t="shared" si="172"/>
        <v>4.4865932151430865</v>
      </c>
      <c r="T122" s="962">
        <f t="shared" si="172"/>
        <v>4.2730011006263391</v>
      </c>
      <c r="U122" s="962">
        <f t="shared" si="172"/>
        <v>2.6146290874650147</v>
      </c>
      <c r="V122" s="962">
        <f t="shared" si="172"/>
        <v>2.5348676590332131</v>
      </c>
      <c r="W122" s="962">
        <f t="shared" si="172"/>
        <v>2.6722701125813098</v>
      </c>
      <c r="X122" s="3365">
        <f t="shared" ref="X122:AF122" si="175">(X115/W115-1)*100</f>
        <v>2.8453607680107629</v>
      </c>
      <c r="Y122" s="3365">
        <f t="shared" si="175"/>
        <v>1.5641408647642852</v>
      </c>
      <c r="Z122" s="3365">
        <f t="shared" si="175"/>
        <v>2.15604587946574</v>
      </c>
      <c r="AA122" s="3365">
        <f t="shared" si="175"/>
        <v>2.4569807068819616</v>
      </c>
      <c r="AB122" s="3365">
        <f t="shared" si="175"/>
        <v>2.4317952492454165</v>
      </c>
      <c r="AC122" s="3365">
        <f t="shared" si="175"/>
        <v>2.1457097015221027</v>
      </c>
      <c r="AD122" s="3365">
        <f t="shared" si="175"/>
        <v>2.7249053411559032</v>
      </c>
      <c r="AE122" s="3365">
        <f t="shared" si="175"/>
        <v>2.7839451095072576</v>
      </c>
      <c r="AF122" s="3365">
        <f t="shared" si="175"/>
        <v>2.5509387497139269</v>
      </c>
      <c r="AG122" s="2954"/>
      <c r="AH122" s="2954"/>
      <c r="AI122" s="2954"/>
      <c r="AJ122" s="2954"/>
      <c r="AK122" s="2954"/>
      <c r="AL122" s="2954"/>
      <c r="AM122" s="2954"/>
      <c r="AN122" s="2954"/>
      <c r="AO122" s="2954"/>
      <c r="AP122" s="2954"/>
      <c r="AQ122" s="2954"/>
    </row>
    <row r="123" spans="1:43" s="220" customFormat="1" ht="12.75">
      <c r="A123" s="940"/>
      <c r="B123" s="940"/>
      <c r="C123" s="711"/>
      <c r="D123" s="711"/>
      <c r="F123" s="747"/>
      <c r="X123" s="3063"/>
      <c r="Y123" s="3063"/>
      <c r="Z123" s="3063"/>
      <c r="AA123" s="3063"/>
      <c r="AB123" s="3063" t="s">
        <v>2482</v>
      </c>
      <c r="AC123" s="3063" t="s">
        <v>2482</v>
      </c>
      <c r="AD123" s="3063">
        <v>2.2000000000000002</v>
      </c>
      <c r="AE123" s="3063">
        <v>2.2000000000000002</v>
      </c>
      <c r="AF123" s="3063"/>
      <c r="AG123" s="2954"/>
      <c r="AH123" s="2954"/>
      <c r="AI123" s="2954"/>
      <c r="AJ123" s="2954"/>
      <c r="AK123" s="2954"/>
      <c r="AL123" s="2954"/>
      <c r="AM123" s="2954"/>
      <c r="AN123" s="2954"/>
      <c r="AO123" s="2954"/>
      <c r="AP123" s="2954"/>
      <c r="AQ123" s="2954"/>
    </row>
    <row r="124" spans="1:43" s="352" customFormat="1">
      <c r="A124" s="940"/>
      <c r="B124" s="940"/>
      <c r="C124" s="940"/>
      <c r="D124" s="1997"/>
      <c r="E124" s="1998" t="s">
        <v>1996</v>
      </c>
      <c r="F124" s="1999"/>
      <c r="G124" s="2000"/>
      <c r="H124" s="2001" t="str">
        <f>CONCATENATE(G117,"-",H117)</f>
        <v>1995-1996</v>
      </c>
      <c r="I124" s="2001" t="str">
        <f>CONCATENATE(H117,"-",I117)</f>
        <v>1996-1997</v>
      </c>
      <c r="J124" s="2001" t="str">
        <f>CONCATENATE(I117,"-",J117)</f>
        <v>1997-1998</v>
      </c>
      <c r="K124" s="2001" t="str">
        <f t="shared" ref="K124:AF124" si="176">CONCATENATE(J117,"-",K117)</f>
        <v>1998-1999</v>
      </c>
      <c r="L124" s="2001" t="str">
        <f t="shared" si="176"/>
        <v>1999-2000</v>
      </c>
      <c r="M124" s="2001" t="str">
        <f t="shared" si="176"/>
        <v>2000-2001</v>
      </c>
      <c r="N124" s="2001" t="str">
        <f t="shared" si="176"/>
        <v>2001-2002</v>
      </c>
      <c r="O124" s="2001" t="str">
        <f t="shared" si="176"/>
        <v>2002-2003</v>
      </c>
      <c r="P124" s="2001" t="str">
        <f t="shared" si="176"/>
        <v>2003-2004</v>
      </c>
      <c r="Q124" s="2001" t="str">
        <f t="shared" ref="Q124:W124" si="177">CONCATENATE(P117,"-",Q117)</f>
        <v>2004-2005</v>
      </c>
      <c r="R124" s="2001" t="str">
        <f t="shared" si="177"/>
        <v>2005-2006</v>
      </c>
      <c r="S124" s="2001" t="str">
        <f t="shared" si="177"/>
        <v>2006-2007</v>
      </c>
      <c r="T124" s="2001" t="str">
        <f t="shared" si="177"/>
        <v>2007-2008</v>
      </c>
      <c r="U124" s="2001" t="str">
        <f t="shared" si="177"/>
        <v>2008-2009</v>
      </c>
      <c r="V124" s="2001" t="str">
        <f t="shared" si="177"/>
        <v>2009-2010</v>
      </c>
      <c r="W124" s="2001" t="str">
        <f t="shared" si="177"/>
        <v>2010-2011</v>
      </c>
      <c r="X124" s="3148" t="str">
        <f t="shared" si="176"/>
        <v>2011-2012</v>
      </c>
      <c r="Y124" s="3148" t="str">
        <f t="shared" si="176"/>
        <v>2012-2013</v>
      </c>
      <c r="Z124" s="3148" t="str">
        <f t="shared" si="176"/>
        <v>2013-2014</v>
      </c>
      <c r="AA124" s="3148" t="str">
        <f t="shared" si="176"/>
        <v>2014-2015</v>
      </c>
      <c r="AB124" s="3148" t="str">
        <f t="shared" si="176"/>
        <v>2015-2016</v>
      </c>
      <c r="AC124" s="3148" t="str">
        <f t="shared" si="176"/>
        <v>2016-2017</v>
      </c>
      <c r="AD124" s="3148" t="str">
        <f t="shared" si="176"/>
        <v>2017-2018</v>
      </c>
      <c r="AE124" s="3148" t="str">
        <f t="shared" si="176"/>
        <v>2018-2019</v>
      </c>
      <c r="AF124" s="3148" t="str">
        <f t="shared" si="176"/>
        <v>2019-2020</v>
      </c>
      <c r="AG124" s="2955"/>
      <c r="AH124" s="2955"/>
      <c r="AI124" s="2955"/>
      <c r="AJ124" s="2955"/>
      <c r="AK124" s="2955"/>
      <c r="AL124" s="2955"/>
      <c r="AM124" s="2955"/>
      <c r="AN124" s="2955"/>
      <c r="AO124" s="2955"/>
      <c r="AP124" s="2955"/>
      <c r="AQ124" s="2955"/>
    </row>
    <row r="125" spans="1:43" s="220" customFormat="1" ht="12.75">
      <c r="A125" s="940"/>
      <c r="B125" s="940"/>
      <c r="C125" s="1989"/>
      <c r="D125" s="860"/>
      <c r="E125" s="218" t="s">
        <v>1327</v>
      </c>
      <c r="F125" s="1990"/>
      <c r="G125" s="218"/>
      <c r="H125" s="1991">
        <f>AVERAGE(G112:H112)</f>
        <v>167.87921391970144</v>
      </c>
      <c r="I125" s="1991">
        <f>AVERAGE(H112:I112)</f>
        <v>177.12365595129037</v>
      </c>
      <c r="J125" s="1991">
        <f t="shared" ref="J125:AF125" si="178">AVERAGE(I112:J112)</f>
        <v>183.11802447857474</v>
      </c>
      <c r="K125" s="1991">
        <f t="shared" si="178"/>
        <v>188.32935824137144</v>
      </c>
      <c r="L125" s="1991">
        <f t="shared" si="178"/>
        <v>193.44845340892181</v>
      </c>
      <c r="M125" s="1991">
        <f t="shared" si="178"/>
        <v>199.31405143390305</v>
      </c>
      <c r="N125" s="1991">
        <f t="shared" si="178"/>
        <v>206.90458472247707</v>
      </c>
      <c r="O125" s="1991">
        <f t="shared" si="178"/>
        <v>215.15608439701941</v>
      </c>
      <c r="P125" s="1991">
        <f t="shared" si="178"/>
        <v>222.26513439489031</v>
      </c>
      <c r="Q125" s="1991">
        <f t="shared" ref="Q125:W125" si="179">AVERAGE(P112:Q112)</f>
        <v>228.48287634831249</v>
      </c>
      <c r="R125" s="1991">
        <f t="shared" si="179"/>
        <v>235.75972245254775</v>
      </c>
      <c r="S125" s="1991">
        <f t="shared" si="179"/>
        <v>244.67227372327034</v>
      </c>
      <c r="T125" s="1991">
        <f t="shared" si="179"/>
        <v>257.1388736291176</v>
      </c>
      <c r="U125" s="1991">
        <f t="shared" si="179"/>
        <v>269.79584282558869</v>
      </c>
      <c r="V125" s="1991">
        <f t="shared" si="179"/>
        <v>278.56242710644597</v>
      </c>
      <c r="W125" s="1991">
        <f t="shared" si="179"/>
        <v>286.02893933678746</v>
      </c>
      <c r="X125" s="2288">
        <f t="shared" si="178"/>
        <v>294.36498035015018</v>
      </c>
      <c r="Y125" s="2288">
        <f t="shared" si="178"/>
        <v>302.82746127929829</v>
      </c>
      <c r="Z125" s="2288">
        <f t="shared" si="178"/>
        <v>310.55305285769964</v>
      </c>
      <c r="AA125" s="2288">
        <f t="shared" si="178"/>
        <v>317.83242118214139</v>
      </c>
      <c r="AB125" s="2288">
        <f t="shared" si="178"/>
        <v>325.65425789922961</v>
      </c>
      <c r="AC125" s="2288">
        <f t="shared" si="178"/>
        <v>334.94528710699137</v>
      </c>
      <c r="AD125" s="2288">
        <f t="shared" si="178"/>
        <v>344.96155880306196</v>
      </c>
      <c r="AE125" s="2288">
        <f t="shared" si="178"/>
        <v>355.66046508002785</v>
      </c>
      <c r="AF125" s="2288">
        <f t="shared" si="178"/>
        <v>366.4997078366597</v>
      </c>
      <c r="AG125" s="2954"/>
      <c r="AH125" s="2954"/>
      <c r="AI125" s="2954"/>
      <c r="AJ125" s="2954"/>
      <c r="AK125" s="2954"/>
      <c r="AL125" s="2954"/>
      <c r="AM125" s="2954"/>
      <c r="AN125" s="2954"/>
      <c r="AO125" s="2954"/>
      <c r="AP125" s="2954"/>
      <c r="AQ125" s="2954"/>
    </row>
    <row r="126" spans="1:43" s="1994" customFormat="1" ht="12.75">
      <c r="A126" s="1992"/>
      <c r="B126" s="1992"/>
      <c r="C126" s="1993"/>
      <c r="D126" s="2002"/>
      <c r="E126" s="2003" t="s">
        <v>1997</v>
      </c>
      <c r="F126" s="2004"/>
      <c r="G126" s="2003"/>
      <c r="H126" s="2003"/>
      <c r="I126" s="2005">
        <f>+I125/H125-1</f>
        <v>5.5066031200328602E-2</v>
      </c>
      <c r="J126" s="2005">
        <f t="shared" ref="J126:AF126" si="180">+J125/I125-1</f>
        <v>3.3842845525573706E-2</v>
      </c>
      <c r="K126" s="2005">
        <f t="shared" si="180"/>
        <v>2.8458879335531595E-2</v>
      </c>
      <c r="L126" s="2005">
        <f t="shared" si="180"/>
        <v>2.7181610001503431E-2</v>
      </c>
      <c r="M126" s="2005">
        <f t="shared" si="180"/>
        <v>3.0321245384072437E-2</v>
      </c>
      <c r="N126" s="2005">
        <f t="shared" si="180"/>
        <v>3.8083282307324939E-2</v>
      </c>
      <c r="O126" s="2005">
        <f t="shared" si="180"/>
        <v>3.9880700012569381E-2</v>
      </c>
      <c r="P126" s="2005">
        <f t="shared" si="180"/>
        <v>3.3041361659811752E-2</v>
      </c>
      <c r="Q126" s="2005">
        <f t="shared" ref="Q126:W126" si="181">+Q125/P125-1</f>
        <v>2.7974436793021029E-2</v>
      </c>
      <c r="R126" s="2005">
        <f t="shared" si="181"/>
        <v>3.1848540339373343E-2</v>
      </c>
      <c r="S126" s="2005">
        <f t="shared" si="181"/>
        <v>3.780353649048962E-2</v>
      </c>
      <c r="T126" s="2005">
        <f t="shared" si="181"/>
        <v>5.0952237930919964E-2</v>
      </c>
      <c r="U126" s="2005">
        <f t="shared" si="181"/>
        <v>4.9222309399732378E-2</v>
      </c>
      <c r="V126" s="2005">
        <f t="shared" si="181"/>
        <v>3.2493400154147256E-2</v>
      </c>
      <c r="W126" s="2005">
        <f t="shared" si="181"/>
        <v>2.6803730524247449E-2</v>
      </c>
      <c r="X126" s="2289">
        <f t="shared" si="180"/>
        <v>2.9144047566275644E-2</v>
      </c>
      <c r="Y126" s="2289">
        <f t="shared" si="180"/>
        <v>2.8748259793274E-2</v>
      </c>
      <c r="Z126" s="2289">
        <f t="shared" si="180"/>
        <v>2.551152905936771E-2</v>
      </c>
      <c r="AA126" s="2289">
        <f t="shared" si="180"/>
        <v>2.3440015345066456E-2</v>
      </c>
      <c r="AB126" s="2289">
        <f t="shared" si="180"/>
        <v>2.4609939690846572E-2</v>
      </c>
      <c r="AC126" s="2289">
        <f t="shared" si="180"/>
        <v>2.8530347699727621E-2</v>
      </c>
      <c r="AD126" s="2289">
        <f t="shared" si="180"/>
        <v>2.9904202511949585E-2</v>
      </c>
      <c r="AE126" s="2289">
        <f t="shared" si="180"/>
        <v>3.1014778325123116E-2</v>
      </c>
      <c r="AF126" s="2289">
        <f t="shared" si="180"/>
        <v>3.0476377952755929E-2</v>
      </c>
      <c r="AG126" s="2956"/>
      <c r="AH126" s="2956"/>
      <c r="AI126" s="2956"/>
      <c r="AJ126" s="2956"/>
      <c r="AK126" s="2956"/>
      <c r="AL126" s="2956"/>
      <c r="AM126" s="2956"/>
      <c r="AN126" s="2956"/>
      <c r="AO126" s="2956"/>
      <c r="AP126" s="2956"/>
      <c r="AQ126" s="2956"/>
    </row>
    <row r="127" spans="1:43" s="220" customFormat="1" ht="12.75">
      <c r="A127" s="940"/>
      <c r="B127" s="940"/>
      <c r="C127" s="912"/>
      <c r="D127" s="711"/>
      <c r="E127" s="167" t="s">
        <v>1545</v>
      </c>
      <c r="F127" s="747"/>
      <c r="H127" s="1988"/>
      <c r="I127" s="1988">
        <f ca="1">OFFSET('Q1'!$G296,0,4*COLUMN()-27)</f>
        <v>76.628333333333345</v>
      </c>
      <c r="J127" s="1988">
        <f ca="1">OFFSET('Q1'!$G296,0,4*COLUMN()-27)</f>
        <v>78.1875</v>
      </c>
      <c r="K127" s="1988">
        <f ca="1">OFFSET('Q1'!$G296,0,4*COLUMN()-27)</f>
        <v>78.435833333333335</v>
      </c>
      <c r="L127" s="1988">
        <f ca="1">OFFSET('Q1'!$G296,0,4*COLUMN()-27)</f>
        <v>79.232500000000002</v>
      </c>
      <c r="M127" s="1988">
        <f ca="1">OFFSET('Q1'!$G296,0,4*COLUMN()-27)</f>
        <v>80.691666666666677</v>
      </c>
      <c r="N127" s="1988">
        <f ca="1">OFFSET('Q1'!$G296,0,4*COLUMN()-27)</f>
        <v>82.86999999999999</v>
      </c>
      <c r="O127" s="1988">
        <f ca="1">OFFSET('Q1'!$G296,0,4*COLUMN()-27)</f>
        <v>84.555833333333339</v>
      </c>
      <c r="P127" s="1988">
        <f ca="1">OFFSET('Q1'!$G296,0,4*COLUMN()-27)</f>
        <v>85.826666666666682</v>
      </c>
      <c r="Q127" s="1988">
        <f ca="1">OFFSET('Q1'!$G296,0,4*COLUMN()-27)</f>
        <v>86.587500000000006</v>
      </c>
      <c r="R127" s="1988">
        <f ca="1">OFFSET('Q1'!$G296,0,4*COLUMN()-27)</f>
        <v>87.702500000000015</v>
      </c>
      <c r="S127" s="1988">
        <f ca="1">OFFSET('Q1'!$G296,0,4*COLUMN()-27)</f>
        <v>89.004999999999995</v>
      </c>
      <c r="T127" s="1988">
        <f ca="1">OFFSET('Q1'!$G296,0,4*COLUMN()-27)</f>
        <v>91.32</v>
      </c>
      <c r="U127" s="1988">
        <f ca="1">OFFSET('Q1'!$G296,0,4*COLUMN()-27)</f>
        <v>93.690000000000012</v>
      </c>
      <c r="V127" s="1988">
        <f ca="1">OFFSET('Q1'!$G296,0,4*COLUMN()-27)</f>
        <v>95.68249999999999</v>
      </c>
      <c r="W127" s="1988">
        <f ca="1">OFFSET('Q1'!$G296,0,4*COLUMN()-27)</f>
        <v>97.152500000000003</v>
      </c>
      <c r="X127" s="1988">
        <f ca="1">OFFSET('Q1'!$G296,0,4*COLUMN()-27)</f>
        <v>98.20416666666668</v>
      </c>
      <c r="Y127" s="1988">
        <f ca="1">OFFSET('Q1'!$G296,0,4*COLUMN()-27)</f>
        <v>98.862499999999997</v>
      </c>
      <c r="Z127" s="1988">
        <f ca="1">OFFSET('Q1'!$G296,0,4*COLUMN()-27)</f>
        <v>99.171666666666653</v>
      </c>
      <c r="AA127" s="1988">
        <f ca="1">OFFSET('Q1'!$G296,0,4*COLUMN()-27)</f>
        <v>99.598333333333329</v>
      </c>
      <c r="AB127" s="1988">
        <f ca="1">OFFSET('Q1'!$G296,0,4*COLUMN()-27)</f>
        <v>100.52083333333334</v>
      </c>
      <c r="AC127" s="1988">
        <f ca="1">OFFSET('Q1'!$G296,0,4*COLUMN()-27)</f>
        <v>102.01</v>
      </c>
      <c r="AD127" s="1988">
        <f ca="1">OFFSET('Q1'!$G296,0,4*COLUMN()-27)</f>
        <v>103.97083333333333</v>
      </c>
      <c r="AE127" s="1988">
        <f ca="1">OFFSET('Q1'!$G296,0,4*COLUMN()-27)</f>
        <v>106.28558371502163</v>
      </c>
      <c r="AF127" s="1988">
        <f ca="1">OFFSET('Q1'!$G296,0,4*COLUMN()-27)</f>
        <v>107.99780875131469</v>
      </c>
      <c r="AG127" s="2954"/>
      <c r="AH127" s="2954"/>
      <c r="AI127" s="2954"/>
      <c r="AJ127" s="2954"/>
      <c r="AK127" s="2954"/>
      <c r="AL127" s="2954"/>
      <c r="AM127" s="2954"/>
      <c r="AN127" s="2954"/>
      <c r="AO127" s="2954"/>
      <c r="AP127" s="2954"/>
      <c r="AQ127" s="2954"/>
    </row>
    <row r="128" spans="1:43" s="1994" customFormat="1" ht="12.75">
      <c r="A128" s="1992"/>
      <c r="B128" s="1992"/>
      <c r="C128" s="1995"/>
      <c r="D128" s="2006"/>
      <c r="E128" s="2007" t="s">
        <v>1997</v>
      </c>
      <c r="F128" s="2008"/>
      <c r="G128" s="2007"/>
      <c r="H128" s="2007"/>
      <c r="I128" s="2009" t="e">
        <f ca="1">+I127/H127-1</f>
        <v>#DIV/0!</v>
      </c>
      <c r="J128" s="2009">
        <f t="shared" ref="J128:AF128" ca="1" si="182">+J127/I127-1</f>
        <v>2.034713008678235E-2</v>
      </c>
      <c r="K128" s="2009">
        <f t="shared" ca="1" si="182"/>
        <v>3.1761257660538611E-3</v>
      </c>
      <c r="L128" s="2009">
        <f t="shared" ca="1" si="182"/>
        <v>1.0156922325042839E-2</v>
      </c>
      <c r="M128" s="2009">
        <f t="shared" ca="1" si="182"/>
        <v>1.8416264369629509E-2</v>
      </c>
      <c r="N128" s="2009">
        <f t="shared" ca="1" si="182"/>
        <v>2.6995765775069458E-2</v>
      </c>
      <c r="O128" s="2009">
        <f t="shared" ca="1" si="182"/>
        <v>2.0343107678693739E-2</v>
      </c>
      <c r="P128" s="2009">
        <f t="shared" ca="1" si="182"/>
        <v>1.5029516985818114E-2</v>
      </c>
      <c r="Q128" s="2009">
        <f t="shared" ref="Q128:W128" ca="1" si="183">+Q127/P127-1</f>
        <v>8.8647661954326384E-3</v>
      </c>
      <c r="R128" s="2009">
        <f t="shared" ca="1" si="183"/>
        <v>1.2877147394254385E-2</v>
      </c>
      <c r="S128" s="2009">
        <f t="shared" ca="1" si="183"/>
        <v>1.4851344032382086E-2</v>
      </c>
      <c r="T128" s="2009">
        <f t="shared" ca="1" si="183"/>
        <v>2.6009774731756696E-2</v>
      </c>
      <c r="U128" s="2009">
        <f t="shared" ca="1" si="183"/>
        <v>2.5952693823916073E-2</v>
      </c>
      <c r="V128" s="2009">
        <f t="shared" ca="1" si="183"/>
        <v>2.1266944177606772E-2</v>
      </c>
      <c r="W128" s="2009">
        <f t="shared" ca="1" si="183"/>
        <v>1.536331095027843E-2</v>
      </c>
      <c r="X128" s="2290">
        <f t="shared" ca="1" si="182"/>
        <v>1.0824905861060552E-2</v>
      </c>
      <c r="Y128" s="2290">
        <f t="shared" ca="1" si="182"/>
        <v>6.703720989435169E-3</v>
      </c>
      <c r="Z128" s="2290">
        <f t="shared" ca="1" si="182"/>
        <v>3.1272390104100101E-3</v>
      </c>
      <c r="AA128" s="2290">
        <f t="shared" ca="1" si="182"/>
        <v>4.3023040855083572E-3</v>
      </c>
      <c r="AB128" s="2290">
        <f t="shared" ca="1" si="182"/>
        <v>9.2622031827842566E-3</v>
      </c>
      <c r="AC128" s="2290">
        <f t="shared" ca="1" si="182"/>
        <v>1.4814507772020757E-2</v>
      </c>
      <c r="AD128" s="3603">
        <f t="shared" ca="1" si="182"/>
        <v>1.9221971702120699E-2</v>
      </c>
      <c r="AE128" s="3603">
        <f t="shared" ca="1" si="182"/>
        <v>2.226345896706583E-2</v>
      </c>
      <c r="AF128" s="3603">
        <f t="shared" ca="1" si="182"/>
        <v>1.610966394919533E-2</v>
      </c>
      <c r="AG128" s="2956"/>
      <c r="AH128" s="2956"/>
      <c r="AI128" s="2956"/>
      <c r="AJ128" s="2956"/>
      <c r="AK128" s="2956"/>
      <c r="AL128" s="2956"/>
      <c r="AM128" s="2956"/>
      <c r="AN128" s="2956"/>
      <c r="AO128" s="2956"/>
      <c r="AP128" s="2956"/>
      <c r="AQ128" s="2956"/>
    </row>
    <row r="129" spans="1:43" s="220" customFormat="1" ht="12.75">
      <c r="A129" s="940"/>
      <c r="B129" s="940"/>
      <c r="C129" s="711"/>
      <c r="D129" s="2010"/>
      <c r="E129" s="2011" t="s">
        <v>1544</v>
      </c>
      <c r="F129" s="2012"/>
      <c r="G129" s="2011"/>
      <c r="H129" s="2011"/>
      <c r="I129" s="2013" t="e">
        <f t="shared" ref="I129:N129" ca="1" si="184">+(1+I126)/(1+I128)-1</f>
        <v>#DIV/0!</v>
      </c>
      <c r="J129" s="2013">
        <f t="shared" ca="1" si="184"/>
        <v>1.3226592245761948E-2</v>
      </c>
      <c r="K129" s="2013">
        <f t="shared" ca="1" si="184"/>
        <v>2.520270660365953E-2</v>
      </c>
      <c r="L129" s="2013">
        <f t="shared" ca="1" si="184"/>
        <v>1.6853507905757237E-2</v>
      </c>
      <c r="M129" s="2013">
        <f t="shared" ca="1" si="184"/>
        <v>1.1689700401448011E-2</v>
      </c>
      <c r="N129" s="2013">
        <f t="shared" ca="1" si="184"/>
        <v>1.0796068398478464E-2</v>
      </c>
      <c r="O129" s="2013">
        <f t="shared" ref="O129:X129" ca="1" si="185">+(1+O126)/(1+O128)-1</f>
        <v>1.9148061261788918E-2</v>
      </c>
      <c r="P129" s="2013">
        <f t="shared" ca="1" si="185"/>
        <v>1.7745143734815505E-2</v>
      </c>
      <c r="Q129" s="2013">
        <f t="shared" ca="1" si="185"/>
        <v>1.8941756356160244E-2</v>
      </c>
      <c r="R129" s="2013">
        <f t="shared" ca="1" si="185"/>
        <v>1.8730201381208955E-2</v>
      </c>
      <c r="S129" s="2013">
        <f t="shared" ca="1" si="185"/>
        <v>2.2616309859639028E-2</v>
      </c>
      <c r="T129" s="2013">
        <f t="shared" ca="1" si="185"/>
        <v>2.4310161378028106E-2</v>
      </c>
      <c r="U129" s="2013">
        <f t="shared" ca="1" si="185"/>
        <v>2.268098296919141E-2</v>
      </c>
      <c r="V129" s="2013">
        <f t="shared" ca="1" si="185"/>
        <v>1.0992675363228122E-2</v>
      </c>
      <c r="W129" s="2013">
        <f ca="1">+(1+W126)/(1+W128)-1</f>
        <v>1.1267316290227036E-2</v>
      </c>
      <c r="X129" s="2291">
        <f t="shared" ca="1" si="185"/>
        <v>1.8122962343918525E-2</v>
      </c>
      <c r="Y129" s="2291">
        <f t="shared" ref="Y129:AD129" ca="1" si="186">+(1+Y126)/(1+Y128)-1</f>
        <v>2.189774244816789E-2</v>
      </c>
      <c r="Z129" s="2291">
        <f t="shared" ca="1" si="186"/>
        <v>2.2314507251383064E-2</v>
      </c>
      <c r="AA129" s="2291">
        <f t="shared" ca="1" si="186"/>
        <v>1.9055727724317517E-2</v>
      </c>
      <c r="AB129" s="2291">
        <f t="shared" ref="AB129" ca="1" si="187">+(1+AB126)/(1+AB128)-1</f>
        <v>1.5206887228771837E-2</v>
      </c>
      <c r="AC129" s="2291">
        <f t="shared" ref="AC129" ca="1" si="188">+(1+AC126)/(1+AC128)-1</f>
        <v>1.3515612777175834E-2</v>
      </c>
      <c r="AD129" s="3602">
        <f t="shared" ca="1" si="186"/>
        <v>1.0480769750272678E-2</v>
      </c>
      <c r="AE129" s="3602">
        <f t="shared" ref="AE129:AF129" ca="1" si="189">+(1+AE126)/(1+AE128)-1</f>
        <v>8.5607279427750704E-3</v>
      </c>
      <c r="AF129" s="3602">
        <f t="shared" ca="1" si="189"/>
        <v>1.4138940424720747E-2</v>
      </c>
      <c r="AG129" s="2954"/>
      <c r="AH129" s="2954"/>
      <c r="AI129" s="2954"/>
      <c r="AJ129" s="2954"/>
      <c r="AK129" s="2954"/>
      <c r="AL129" s="2954"/>
      <c r="AM129" s="2954"/>
      <c r="AN129" s="2954"/>
      <c r="AO129" s="2954"/>
      <c r="AP129" s="2954"/>
      <c r="AQ129" s="2954"/>
    </row>
    <row r="130" spans="1:43" s="220" customFormat="1" ht="30" customHeight="1">
      <c r="A130" s="940"/>
      <c r="B130" s="940"/>
      <c r="C130" s="711"/>
      <c r="D130" s="711"/>
      <c r="F130" s="747"/>
      <c r="Q130" s="352"/>
      <c r="R130" s="2287"/>
      <c r="S130" s="2287"/>
      <c r="T130" s="2287"/>
      <c r="U130" s="2287"/>
      <c r="V130" s="2287"/>
      <c r="W130" s="2287"/>
      <c r="X130" s="3067"/>
      <c r="Y130" s="3067"/>
      <c r="Z130" s="3067"/>
      <c r="AA130" s="3067"/>
      <c r="AB130" s="3067"/>
      <c r="AC130" s="3067"/>
      <c r="AD130" s="3067"/>
      <c r="AE130" s="3067"/>
      <c r="AF130" s="3067"/>
      <c r="AG130" s="2954"/>
      <c r="AH130" s="2954"/>
      <c r="AI130" s="2954"/>
      <c r="AJ130" s="2954"/>
      <c r="AK130" s="2954"/>
      <c r="AL130" s="2954"/>
      <c r="AM130" s="2954"/>
      <c r="AN130" s="2954"/>
      <c r="AO130" s="2954"/>
      <c r="AP130" s="2954"/>
      <c r="AQ130" s="2954"/>
    </row>
    <row r="131" spans="1:43">
      <c r="D131" s="937"/>
      <c r="E131" s="938" t="s">
        <v>1673</v>
      </c>
      <c r="F131" s="939"/>
      <c r="G131" s="735">
        <f>+InputY!$G$3</f>
        <v>1995</v>
      </c>
      <c r="H131" s="735">
        <f>+G131+1</f>
        <v>1996</v>
      </c>
      <c r="I131" s="735">
        <f>+H131+1</f>
        <v>1997</v>
      </c>
      <c r="J131" s="735">
        <f t="shared" ref="J131:P131" si="190">+I131+1</f>
        <v>1998</v>
      </c>
      <c r="K131" s="735">
        <f t="shared" si="190"/>
        <v>1999</v>
      </c>
      <c r="L131" s="735">
        <f t="shared" si="190"/>
        <v>2000</v>
      </c>
      <c r="M131" s="735">
        <f t="shared" si="190"/>
        <v>2001</v>
      </c>
      <c r="N131" s="735">
        <f t="shared" si="190"/>
        <v>2002</v>
      </c>
      <c r="O131" s="735">
        <f t="shared" si="190"/>
        <v>2003</v>
      </c>
      <c r="P131" s="735">
        <f t="shared" si="190"/>
        <v>2004</v>
      </c>
      <c r="Q131" s="735">
        <f t="shared" ref="Q131:Y131" si="191">+P131+1</f>
        <v>2005</v>
      </c>
      <c r="R131" s="735">
        <f t="shared" si="191"/>
        <v>2006</v>
      </c>
      <c r="S131" s="735">
        <f t="shared" si="191"/>
        <v>2007</v>
      </c>
      <c r="T131" s="735">
        <f t="shared" si="191"/>
        <v>2008</v>
      </c>
      <c r="U131" s="735">
        <f t="shared" si="191"/>
        <v>2009</v>
      </c>
      <c r="V131" s="735">
        <f t="shared" si="191"/>
        <v>2010</v>
      </c>
      <c r="W131" s="735">
        <f t="shared" si="191"/>
        <v>2011</v>
      </c>
      <c r="X131" s="2271">
        <f t="shared" si="191"/>
        <v>2012</v>
      </c>
      <c r="Y131" s="2271">
        <f t="shared" si="191"/>
        <v>2013</v>
      </c>
      <c r="Z131" s="2271">
        <f t="shared" ref="Z131:AF131" si="192">+Y131+1</f>
        <v>2014</v>
      </c>
      <c r="AA131" s="2271">
        <f t="shared" si="192"/>
        <v>2015</v>
      </c>
      <c r="AB131" s="2271">
        <f t="shared" si="192"/>
        <v>2016</v>
      </c>
      <c r="AC131" s="2271">
        <f t="shared" si="192"/>
        <v>2017</v>
      </c>
      <c r="AD131" s="2271">
        <f t="shared" si="192"/>
        <v>2018</v>
      </c>
      <c r="AE131" s="2271">
        <f t="shared" si="192"/>
        <v>2019</v>
      </c>
      <c r="AF131" s="2271">
        <f t="shared" si="192"/>
        <v>2020</v>
      </c>
    </row>
    <row r="132" spans="1:43" s="935" customFormat="1" ht="20.25">
      <c r="A132" s="934"/>
      <c r="B132" s="934"/>
      <c r="C132" s="941" t="s">
        <v>1791</v>
      </c>
      <c r="D132" s="942"/>
      <c r="E132" s="943" t="s">
        <v>1674</v>
      </c>
      <c r="F132" s="954" t="s">
        <v>1354</v>
      </c>
      <c r="G132" s="1502">
        <f t="shared" ref="G132:Q132" si="193">+G134-G133</f>
        <v>483.06</v>
      </c>
      <c r="H132" s="1502">
        <f t="shared" si="193"/>
        <v>514.02099999999996</v>
      </c>
      <c r="I132" s="1502">
        <f t="shared" si="193"/>
        <v>539.49700000000007</v>
      </c>
      <c r="J132" s="1502">
        <f t="shared" si="193"/>
        <v>576.34699999999998</v>
      </c>
      <c r="K132" s="1502">
        <f t="shared" si="193"/>
        <v>612.81600000000003</v>
      </c>
      <c r="L132" s="1502">
        <f t="shared" si="193"/>
        <v>669.92399999999998</v>
      </c>
      <c r="M132" s="1502">
        <f t="shared" si="193"/>
        <v>710.78700000000003</v>
      </c>
      <c r="N132" s="1502">
        <f t="shared" si="193"/>
        <v>727.78400000000011</v>
      </c>
      <c r="O132" s="1502">
        <f t="shared" si="193"/>
        <v>739.2</v>
      </c>
      <c r="P132" s="1502">
        <f t="shared" si="193"/>
        <v>756.63799999999992</v>
      </c>
      <c r="Q132" s="1502">
        <f t="shared" si="193"/>
        <v>787.41500000000008</v>
      </c>
      <c r="R132" s="1502">
        <f t="shared" ref="R132:W132" si="194">+R134-R133</f>
        <v>833.3180000000001</v>
      </c>
      <c r="S132" s="1502">
        <f t="shared" si="194"/>
        <v>899.3</v>
      </c>
      <c r="T132" s="1502">
        <f t="shared" si="194"/>
        <v>954.64099999999996</v>
      </c>
      <c r="U132" s="1502">
        <f t="shared" si="194"/>
        <v>949.65599999999995</v>
      </c>
      <c r="V132" s="1502">
        <f t="shared" si="194"/>
        <v>982.62000000000012</v>
      </c>
      <c r="W132" s="1502">
        <f t="shared" si="194"/>
        <v>1046.2729999999999</v>
      </c>
      <c r="X132" s="1502">
        <f t="shared" ref="X132:AC132" si="195">+X134-X133</f>
        <v>1084.596</v>
      </c>
      <c r="Y132" s="1502">
        <f t="shared" si="195"/>
        <v>1110.9369999999999</v>
      </c>
      <c r="Z132" s="1502">
        <f t="shared" si="195"/>
        <v>1152.942</v>
      </c>
      <c r="AA132" s="1502">
        <f t="shared" si="195"/>
        <v>1202.3980000000001</v>
      </c>
      <c r="AB132" s="1502">
        <f t="shared" si="195"/>
        <v>1256.607</v>
      </c>
      <c r="AC132" s="1502">
        <f t="shared" si="195"/>
        <v>1315.74</v>
      </c>
      <c r="AD132" s="3068">
        <f t="shared" ref="AD132:AE132" si="196">+AD111*AD29/1000</f>
        <v>1373.027188026</v>
      </c>
      <c r="AE132" s="3068">
        <f t="shared" si="196"/>
        <v>1421.3924139810129</v>
      </c>
      <c r="AF132" s="3068">
        <f t="shared" ref="AF132" si="197">+AF111*AF29/1000</f>
        <v>1464.2257190282271</v>
      </c>
      <c r="AG132" s="2941"/>
      <c r="AH132" s="2941"/>
      <c r="AI132" s="2941"/>
      <c r="AJ132" s="2941"/>
      <c r="AK132" s="2941"/>
      <c r="AL132" s="2941"/>
      <c r="AM132" s="2941"/>
      <c r="AN132" s="2941"/>
      <c r="AO132" s="2941"/>
      <c r="AP132" s="2941"/>
      <c r="AQ132" s="2941"/>
    </row>
    <row r="133" spans="1:43" s="935" customFormat="1" ht="20.25">
      <c r="A133" s="1963">
        <v>241</v>
      </c>
      <c r="B133" s="934"/>
      <c r="C133" s="944" t="s">
        <v>1791</v>
      </c>
      <c r="D133" s="945"/>
      <c r="E133" s="946" t="s">
        <v>1675</v>
      </c>
      <c r="F133" s="955" t="s">
        <v>1353</v>
      </c>
      <c r="G133" s="1084">
        <f>+InputY!G279/1000</f>
        <v>218.733</v>
      </c>
      <c r="H133" s="1084">
        <f>+InputY!H279/1000</f>
        <v>230.21199999999999</v>
      </c>
      <c r="I133" s="1084">
        <f>+InputY!I279/1000</f>
        <v>235.54599999999999</v>
      </c>
      <c r="J133" s="1084">
        <f>+InputY!J279/1000</f>
        <v>241.46899999999999</v>
      </c>
      <c r="K133" s="1084">
        <f>+InputY!K279/1000</f>
        <v>252.00299999999999</v>
      </c>
      <c r="L133" s="1084">
        <f>+InputY!L279/1000</f>
        <v>253.41800000000001</v>
      </c>
      <c r="M133" s="1084">
        <f>+InputY!M279/1000</f>
        <v>265.04300000000001</v>
      </c>
      <c r="N133" s="1084">
        <f>+InputY!N279/1000</f>
        <v>279.815</v>
      </c>
      <c r="O133" s="1084">
        <f>+InputY!O279/1000</f>
        <v>293.84899999999999</v>
      </c>
      <c r="P133" s="1084">
        <f>+InputY!P279/1000</f>
        <v>303.173</v>
      </c>
      <c r="Q133" s="1084">
        <f>+InputY!Q279/1000</f>
        <v>310.976</v>
      </c>
      <c r="R133" s="1084">
        <f>+InputY!R279/1000</f>
        <v>325.39999999999998</v>
      </c>
      <c r="S133" s="1084">
        <f>+InputY!S279/1000</f>
        <v>338.39100000000002</v>
      </c>
      <c r="T133" s="1084">
        <f>+InputY!T279/1000</f>
        <v>351.822</v>
      </c>
      <c r="U133" s="1084">
        <f>+InputY!U279/1000</f>
        <v>357.87400000000002</v>
      </c>
      <c r="V133" s="1084">
        <f>+InputY!V279/1000</f>
        <v>365.80900000000003</v>
      </c>
      <c r="W133" s="1084">
        <f>+InputY!W279/1000</f>
        <v>377.02699999999999</v>
      </c>
      <c r="X133" s="1084">
        <f>+InputY!X279/1000</f>
        <v>391.9</v>
      </c>
      <c r="Y133" s="1084">
        <f>+InputY!Y279/1000</f>
        <v>406.101</v>
      </c>
      <c r="Z133" s="1084">
        <f>+InputY!Z279/1000</f>
        <v>421.58800000000002</v>
      </c>
      <c r="AA133" s="1084">
        <f>+InputY!AA279/1000</f>
        <v>440.47699999999998</v>
      </c>
      <c r="AB133" s="1084">
        <f>+InputY!AB279/1000</f>
        <v>465.00799999999998</v>
      </c>
      <c r="AC133" s="1084">
        <f>+InputY!AC279/1000</f>
        <v>488.38400000000001</v>
      </c>
      <c r="AD133" s="3033">
        <f t="shared" ref="AD133:AE133" si="198">+AD112*AD30/1000</f>
        <v>512.59319487999994</v>
      </c>
      <c r="AE133" s="3033">
        <f t="shared" si="198"/>
        <v>534.28613888732161</v>
      </c>
      <c r="AF133" s="3033">
        <f t="shared" ref="AF133" si="199">+AF112*AF30/1000</f>
        <v>555.3332193278959</v>
      </c>
      <c r="AG133" s="2941"/>
      <c r="AH133" s="2941"/>
      <c r="AI133" s="2941"/>
      <c r="AJ133" s="2941"/>
      <c r="AK133" s="2941"/>
      <c r="AL133" s="2941"/>
      <c r="AM133" s="2941"/>
      <c r="AN133" s="2941"/>
      <c r="AO133" s="2941"/>
      <c r="AP133" s="2941"/>
      <c r="AQ133" s="2941"/>
    </row>
    <row r="134" spans="1:43" s="935" customFormat="1" ht="12.75">
      <c r="A134" s="701">
        <f>+ROW(InputY!A101)</f>
        <v>101</v>
      </c>
      <c r="B134" s="934">
        <v>62</v>
      </c>
      <c r="C134" s="944" t="s">
        <v>1793</v>
      </c>
      <c r="D134" s="947"/>
      <c r="E134" s="948" t="s">
        <v>1676</v>
      </c>
      <c r="F134" s="953" t="s">
        <v>1652</v>
      </c>
      <c r="G134" s="957">
        <f>+InputY!G101/1000</f>
        <v>701.79300000000001</v>
      </c>
      <c r="H134" s="957">
        <f>+InputY!H101/1000</f>
        <v>744.23299999999995</v>
      </c>
      <c r="I134" s="957">
        <f>+InputY!I101/1000</f>
        <v>775.04300000000001</v>
      </c>
      <c r="J134" s="957">
        <f>+InputY!J101/1000</f>
        <v>817.81600000000003</v>
      </c>
      <c r="K134" s="957">
        <f>+InputY!K101/1000</f>
        <v>864.81899999999996</v>
      </c>
      <c r="L134" s="957">
        <f>+InputY!L101/1000</f>
        <v>923.34199999999998</v>
      </c>
      <c r="M134" s="957">
        <f>+InputY!M101/1000</f>
        <v>975.83</v>
      </c>
      <c r="N134" s="957">
        <f>+InputY!N101/1000</f>
        <v>1007.599</v>
      </c>
      <c r="O134" s="957">
        <f>+InputY!O101/1000</f>
        <v>1033.049</v>
      </c>
      <c r="P134" s="957">
        <f>+InputY!P101/1000</f>
        <v>1059.8109999999999</v>
      </c>
      <c r="Q134" s="957">
        <f>+InputY!Q101/1000</f>
        <v>1098.3910000000001</v>
      </c>
      <c r="R134" s="957">
        <f>+InputY!R101/1000</f>
        <v>1158.7180000000001</v>
      </c>
      <c r="S134" s="957">
        <f>+InputY!S101/1000</f>
        <v>1237.691</v>
      </c>
      <c r="T134" s="957">
        <f>+InputY!T101/1000</f>
        <v>1306.463</v>
      </c>
      <c r="U134" s="957">
        <f>+InputY!U101/1000</f>
        <v>1307.53</v>
      </c>
      <c r="V134" s="957">
        <f>+InputY!V101/1000</f>
        <v>1348.4290000000001</v>
      </c>
      <c r="W134" s="957">
        <f>+InputY!W101/1000</f>
        <v>1423.3</v>
      </c>
      <c r="X134" s="957">
        <f>+InputY!X101/1000</f>
        <v>1476.4960000000001</v>
      </c>
      <c r="Y134" s="957">
        <f>+InputY!Y101/1000</f>
        <v>1517.038</v>
      </c>
      <c r="Z134" s="957">
        <f>+InputY!Z101/1000</f>
        <v>1574.53</v>
      </c>
      <c r="AA134" s="957">
        <f>+InputY!AA101/1000</f>
        <v>1642.875</v>
      </c>
      <c r="AB134" s="957">
        <f>+InputY!AB101/1000</f>
        <v>1721.615</v>
      </c>
      <c r="AC134" s="957">
        <f>+InputY!AC101/1000</f>
        <v>1804.124</v>
      </c>
      <c r="AD134" s="3069">
        <f>+AD132+AD133</f>
        <v>1885.620382906</v>
      </c>
      <c r="AE134" s="3069">
        <f>+AE132+AE133</f>
        <v>1955.6785528683345</v>
      </c>
      <c r="AF134" s="3069">
        <f>+AF132+AF133</f>
        <v>2019.558938356123</v>
      </c>
      <c r="AG134" s="2941"/>
      <c r="AH134" s="2941"/>
      <c r="AI134" s="2941"/>
      <c r="AJ134" s="2941"/>
      <c r="AK134" s="2941"/>
      <c r="AL134" s="2941"/>
      <c r="AM134" s="2941"/>
      <c r="AN134" s="2941"/>
      <c r="AO134" s="2941"/>
      <c r="AP134" s="2941"/>
      <c r="AQ134" s="2941"/>
    </row>
    <row r="135" spans="1:43" s="935" customFormat="1" ht="20.25">
      <c r="A135" s="1963"/>
      <c r="B135" s="934"/>
      <c r="C135" s="949" t="s">
        <v>1791</v>
      </c>
      <c r="D135" s="950"/>
      <c r="E135" s="951" t="s">
        <v>670</v>
      </c>
      <c r="F135" s="956" t="s">
        <v>1585</v>
      </c>
      <c r="G135" s="958">
        <f t="shared" ref="G135:V135" si="200">+G136-G134</f>
        <v>0.7459999999999809</v>
      </c>
      <c r="H135" s="958">
        <f t="shared" si="200"/>
        <v>0.46300000000007913</v>
      </c>
      <c r="I135" s="958">
        <f t="shared" si="200"/>
        <v>1.3139999999999645</v>
      </c>
      <c r="J135" s="958">
        <f t="shared" si="200"/>
        <v>1.4249999999999545</v>
      </c>
      <c r="K135" s="958">
        <f t="shared" si="200"/>
        <v>2.0960000000000036</v>
      </c>
      <c r="L135" s="958">
        <f t="shared" si="200"/>
        <v>2.6209999999999809</v>
      </c>
      <c r="M135" s="958">
        <f t="shared" si="200"/>
        <v>3.9289999999999736</v>
      </c>
      <c r="N135" s="958">
        <f t="shared" si="200"/>
        <v>4.8489999999999327</v>
      </c>
      <c r="O135" s="958">
        <f t="shared" si="200"/>
        <v>4.4249999999999545</v>
      </c>
      <c r="P135" s="958">
        <f t="shared" si="200"/>
        <v>5.0489999999999782</v>
      </c>
      <c r="Q135" s="958">
        <f t="shared" si="200"/>
        <v>6.3070000000000164</v>
      </c>
      <c r="R135" s="958">
        <f t="shared" si="200"/>
        <v>7.9149999999999636</v>
      </c>
      <c r="S135" s="958">
        <f t="shared" si="200"/>
        <v>12.476999999999862</v>
      </c>
      <c r="T135" s="958">
        <f t="shared" si="200"/>
        <v>16.627999999999929</v>
      </c>
      <c r="U135" s="958">
        <f t="shared" si="200"/>
        <v>19.776000000000067</v>
      </c>
      <c r="V135" s="958">
        <f t="shared" si="200"/>
        <v>18.636999999999944</v>
      </c>
      <c r="W135" s="958">
        <f t="shared" ref="W135:AB135" si="201">+W136-W134</f>
        <v>17.307999999999993</v>
      </c>
      <c r="X135" s="958">
        <f t="shared" si="201"/>
        <v>17.6099999999999</v>
      </c>
      <c r="Y135" s="958">
        <f t="shared" si="201"/>
        <v>17.260999999999967</v>
      </c>
      <c r="Z135" s="958">
        <f t="shared" si="201"/>
        <v>18.207000000000107</v>
      </c>
      <c r="AA135" s="958">
        <f t="shared" si="201"/>
        <v>14.472999999999956</v>
      </c>
      <c r="AB135" s="958">
        <f t="shared" si="201"/>
        <v>8.7960000000000491</v>
      </c>
      <c r="AC135" s="958">
        <f t="shared" ref="AC135" si="202">+AC136-AC134</f>
        <v>6.9179999999998927</v>
      </c>
      <c r="AD135" s="3276">
        <f>+AC135</f>
        <v>6.9179999999998927</v>
      </c>
      <c r="AE135" s="3276">
        <f>+AD135</f>
        <v>6.9179999999998927</v>
      </c>
      <c r="AF135" s="3276">
        <f>+AE135</f>
        <v>6.9179999999998927</v>
      </c>
      <c r="AG135" s="2941"/>
      <c r="AH135" s="2941"/>
      <c r="AI135" s="2941"/>
      <c r="AJ135" s="2941"/>
      <c r="AK135" s="2941"/>
      <c r="AL135" s="2941"/>
      <c r="AM135" s="2941"/>
      <c r="AN135" s="2941"/>
      <c r="AO135" s="2941"/>
      <c r="AP135" s="2941"/>
      <c r="AQ135" s="2941"/>
    </row>
    <row r="136" spans="1:43" s="946" customFormat="1" ht="12.75">
      <c r="A136" s="701">
        <f>+ROW(InputY!A185)</f>
        <v>185</v>
      </c>
      <c r="B136" s="952">
        <v>88</v>
      </c>
      <c r="C136" s="945" t="s">
        <v>1793</v>
      </c>
      <c r="D136" s="947"/>
      <c r="E136" s="948" t="s">
        <v>671</v>
      </c>
      <c r="F136" s="953" t="s">
        <v>1560</v>
      </c>
      <c r="G136" s="957">
        <f>+InputY!G185/1000</f>
        <v>702.53899999999999</v>
      </c>
      <c r="H136" s="957">
        <f>+InputY!H185/1000</f>
        <v>744.69600000000003</v>
      </c>
      <c r="I136" s="957">
        <f>+InputY!I185/1000</f>
        <v>776.35699999999997</v>
      </c>
      <c r="J136" s="957">
        <f>+InputY!J185/1000</f>
        <v>819.24099999999999</v>
      </c>
      <c r="K136" s="957">
        <f>+InputY!K185/1000</f>
        <v>866.91499999999996</v>
      </c>
      <c r="L136" s="957">
        <f>+InputY!L185/1000</f>
        <v>925.96299999999997</v>
      </c>
      <c r="M136" s="957">
        <f>+InputY!M185/1000</f>
        <v>979.75900000000001</v>
      </c>
      <c r="N136" s="957">
        <f>+InputY!N185/1000</f>
        <v>1012.448</v>
      </c>
      <c r="O136" s="957">
        <f>+InputY!O185/1000</f>
        <v>1037.4739999999999</v>
      </c>
      <c r="P136" s="957">
        <f>+InputY!P185/1000</f>
        <v>1064.8599999999999</v>
      </c>
      <c r="Q136" s="957">
        <f>+InputY!Q185/1000</f>
        <v>1104.6980000000001</v>
      </c>
      <c r="R136" s="957">
        <f>+InputY!R185/1000</f>
        <v>1166.633</v>
      </c>
      <c r="S136" s="957">
        <f>+InputY!S185/1000</f>
        <v>1250.1679999999999</v>
      </c>
      <c r="T136" s="957">
        <f>+InputY!T185/1000</f>
        <v>1323.0909999999999</v>
      </c>
      <c r="U136" s="957">
        <f>+InputY!U185/1000</f>
        <v>1327.306</v>
      </c>
      <c r="V136" s="957">
        <f>+InputY!V185/1000</f>
        <v>1367.066</v>
      </c>
      <c r="W136" s="957">
        <f>+InputY!W185/1000</f>
        <v>1440.6079999999999</v>
      </c>
      <c r="X136" s="957">
        <f>+InputY!X185/1000</f>
        <v>1494.106</v>
      </c>
      <c r="Y136" s="957">
        <f>+InputY!Y185/1000</f>
        <v>1534.299</v>
      </c>
      <c r="Z136" s="957">
        <f>+InputY!Z185/1000</f>
        <v>1592.7370000000001</v>
      </c>
      <c r="AA136" s="957">
        <f>+InputY!AA185/1000</f>
        <v>1657.348</v>
      </c>
      <c r="AB136" s="957">
        <f>+InputY!AB185/1000</f>
        <v>1730.4110000000001</v>
      </c>
      <c r="AC136" s="957">
        <f>+InputY!AC185/1000</f>
        <v>1811.0419999999999</v>
      </c>
      <c r="AD136" s="3069">
        <f>+AD134+AD135</f>
        <v>1892.5383829059999</v>
      </c>
      <c r="AE136" s="3069">
        <f>+AE134+AE135</f>
        <v>1962.5965528683344</v>
      </c>
      <c r="AF136" s="3069">
        <f>+AF134+AF135</f>
        <v>2026.4769383561229</v>
      </c>
      <c r="AG136" s="2957"/>
      <c r="AH136" s="2957"/>
      <c r="AI136" s="2957"/>
      <c r="AJ136" s="2957"/>
      <c r="AK136" s="2957"/>
      <c r="AL136" s="2957"/>
      <c r="AM136" s="2957"/>
      <c r="AN136" s="2957"/>
      <c r="AO136" s="2957"/>
      <c r="AP136" s="2957"/>
      <c r="AQ136" s="2957"/>
    </row>
    <row r="137" spans="1:43" s="736" customFormat="1" ht="30" customHeight="1">
      <c r="A137" s="700"/>
      <c r="B137" s="700"/>
      <c r="C137" s="731"/>
      <c r="D137" s="707"/>
      <c r="F137" s="731"/>
      <c r="Q137" s="880"/>
      <c r="R137" s="2284"/>
      <c r="S137" s="2354"/>
      <c r="T137" s="2354"/>
      <c r="U137" s="2354"/>
      <c r="V137" s="2354"/>
      <c r="W137" s="2354"/>
      <c r="X137" s="2354"/>
      <c r="Y137" s="2354"/>
      <c r="Z137" s="2354"/>
      <c r="AB137" s="3451">
        <f>AB133/AA133-1</f>
        <v>5.5691897647323296E-2</v>
      </c>
      <c r="AC137" s="3451">
        <f t="shared" ref="AC137:AF137" si="203">AC133/AB133-1</f>
        <v>5.0270102879950596E-2</v>
      </c>
      <c r="AD137" s="3451">
        <f t="shared" si="203"/>
        <v>4.9569999999999892E-2</v>
      </c>
      <c r="AE137" s="3451">
        <f t="shared" si="203"/>
        <v>4.2320000000000135E-2</v>
      </c>
      <c r="AF137" s="3451">
        <f t="shared" si="203"/>
        <v>3.9392899999999953E-2</v>
      </c>
      <c r="AG137" s="2939"/>
      <c r="AH137" s="2939"/>
      <c r="AI137" s="2939"/>
      <c r="AJ137" s="2939"/>
      <c r="AK137" s="2939"/>
      <c r="AL137" s="2939"/>
      <c r="AM137" s="2939"/>
      <c r="AN137" s="2939"/>
      <c r="AO137" s="2939"/>
      <c r="AP137" s="2939"/>
      <c r="AQ137" s="2939"/>
    </row>
    <row r="138" spans="1:43" s="736" customFormat="1" ht="30" customHeight="1">
      <c r="A138" s="700"/>
      <c r="B138" s="700"/>
      <c r="C138" s="731"/>
      <c r="D138" s="707"/>
      <c r="F138" s="731"/>
      <c r="Q138" s="880"/>
      <c r="R138" s="2284"/>
      <c r="S138" s="2354"/>
      <c r="T138" s="2354"/>
      <c r="U138" s="2354"/>
      <c r="V138" s="2354"/>
      <c r="W138" s="2354"/>
      <c r="X138" s="2354"/>
      <c r="Y138" s="2354"/>
      <c r="Z138" s="2354"/>
      <c r="AA138" s="2354"/>
      <c r="AB138" s="3451">
        <f>AB132/AA132-1</f>
        <v>4.5084073659470425E-2</v>
      </c>
      <c r="AC138" s="3451">
        <f t="shared" ref="AC138:AF138" si="204">AC132/AB132-1</f>
        <v>4.7057671969040538E-2</v>
      </c>
      <c r="AD138" s="3451">
        <f t="shared" si="204"/>
        <v>4.3539900000000076E-2</v>
      </c>
      <c r="AE138" s="3451">
        <f t="shared" si="204"/>
        <v>3.5225250000000097E-2</v>
      </c>
      <c r="AF138" s="3451">
        <f t="shared" si="204"/>
        <v>3.0134749999999988E-2</v>
      </c>
      <c r="AG138" s="2939"/>
      <c r="AH138" s="2939"/>
      <c r="AI138" s="2939"/>
      <c r="AJ138" s="2939"/>
      <c r="AK138" s="2939"/>
      <c r="AL138" s="2939"/>
      <c r="AM138" s="2939"/>
      <c r="AN138" s="2939"/>
      <c r="AO138" s="2939"/>
      <c r="AP138" s="2939"/>
      <c r="AQ138" s="2939"/>
    </row>
    <row r="139" spans="1:43" s="736" customFormat="1" ht="22.5" customHeight="1">
      <c r="A139" s="700"/>
      <c r="B139" s="700"/>
      <c r="C139" s="3816" t="s">
        <v>402</v>
      </c>
      <c r="D139" s="3816"/>
      <c r="E139" s="3816"/>
      <c r="F139" s="3816"/>
      <c r="Q139" s="880"/>
      <c r="R139" s="2284"/>
      <c r="S139" s="2354"/>
      <c r="T139" s="2354"/>
      <c r="U139" s="2354"/>
      <c r="V139" s="2354"/>
      <c r="W139" s="2354"/>
      <c r="X139" s="2354"/>
      <c r="Y139" s="2354"/>
      <c r="Z139" s="2354"/>
      <c r="AA139" s="3452" t="s">
        <v>2557</v>
      </c>
      <c r="AB139" s="3451">
        <f>AB136/AA136-1</f>
        <v>4.4084284048974798E-2</v>
      </c>
      <c r="AC139" s="3451">
        <f t="shared" ref="AC139:AF139" si="205">AC136/AB136-1</f>
        <v>4.6596444428520067E-2</v>
      </c>
      <c r="AD139" s="3451">
        <f t="shared" si="205"/>
        <v>4.4999719998763066E-2</v>
      </c>
      <c r="AE139" s="3451">
        <f t="shared" si="205"/>
        <v>3.701809727883032E-2</v>
      </c>
      <c r="AF139" s="3451">
        <f t="shared" si="205"/>
        <v>3.2548913527045364E-2</v>
      </c>
      <c r="AG139" s="2939"/>
      <c r="AH139" s="2939"/>
      <c r="AI139" s="2939"/>
      <c r="AJ139" s="2939"/>
      <c r="AK139" s="2939"/>
      <c r="AL139" s="2939"/>
      <c r="AM139" s="2939"/>
      <c r="AN139" s="2939"/>
      <c r="AO139" s="2939"/>
      <c r="AP139" s="2939"/>
      <c r="AQ139" s="2939"/>
    </row>
    <row r="140" spans="1:43" s="736" customFormat="1">
      <c r="A140" s="700"/>
      <c r="B140" s="700"/>
      <c r="C140" s="731"/>
      <c r="D140" s="707"/>
      <c r="F140" s="731"/>
      <c r="Q140" s="880"/>
      <c r="R140" s="2284"/>
      <c r="S140" s="2354"/>
      <c r="T140" s="2354"/>
      <c r="U140" s="2354"/>
      <c r="V140" s="2354"/>
      <c r="W140" s="2354"/>
      <c r="X140" s="2354"/>
      <c r="Y140" s="2354"/>
      <c r="Z140" s="2354"/>
      <c r="AA140" s="2354"/>
      <c r="AB140" s="2354"/>
      <c r="AC140" s="2354"/>
      <c r="AD140" s="2354"/>
      <c r="AE140" s="2354"/>
      <c r="AF140" s="2354"/>
      <c r="AG140" s="2939"/>
      <c r="AH140" s="2939"/>
      <c r="AI140" s="2939"/>
      <c r="AJ140" s="2939"/>
      <c r="AK140" s="2939"/>
      <c r="AL140" s="2939"/>
      <c r="AM140" s="2939"/>
      <c r="AN140" s="2939"/>
      <c r="AO140" s="2939"/>
      <c r="AP140" s="2939"/>
      <c r="AQ140" s="2939"/>
    </row>
    <row r="141" spans="1:43">
      <c r="D141" s="937"/>
      <c r="E141" s="938" t="s">
        <v>857</v>
      </c>
      <c r="F141" s="939"/>
      <c r="G141" s="735">
        <f>+InputY!$G$3</f>
        <v>1995</v>
      </c>
      <c r="H141" s="735">
        <f>+G141+1</f>
        <v>1996</v>
      </c>
      <c r="I141" s="735">
        <f t="shared" ref="I141:P141" si="206">+H141+1</f>
        <v>1997</v>
      </c>
      <c r="J141" s="735">
        <f t="shared" si="206"/>
        <v>1998</v>
      </c>
      <c r="K141" s="735">
        <f t="shared" si="206"/>
        <v>1999</v>
      </c>
      <c r="L141" s="735">
        <f t="shared" si="206"/>
        <v>2000</v>
      </c>
      <c r="M141" s="735">
        <f t="shared" si="206"/>
        <v>2001</v>
      </c>
      <c r="N141" s="735">
        <f t="shared" si="206"/>
        <v>2002</v>
      </c>
      <c r="O141" s="815">
        <f t="shared" si="206"/>
        <v>2003</v>
      </c>
      <c r="P141" s="815">
        <f t="shared" si="206"/>
        <v>2004</v>
      </c>
      <c r="Q141" s="815">
        <f>+P141+1</f>
        <v>2005</v>
      </c>
      <c r="R141" s="815">
        <f>+Q141+1</f>
        <v>2006</v>
      </c>
      <c r="S141" s="815">
        <f>+R141+1</f>
        <v>2007</v>
      </c>
      <c r="T141" s="815">
        <f t="shared" ref="T141:AF141" si="207">+S141+1</f>
        <v>2008</v>
      </c>
      <c r="U141" s="815">
        <f t="shared" si="207"/>
        <v>2009</v>
      </c>
      <c r="V141" s="815">
        <f t="shared" si="207"/>
        <v>2010</v>
      </c>
      <c r="W141" s="815">
        <f t="shared" si="207"/>
        <v>2011</v>
      </c>
      <c r="X141" s="2285">
        <f t="shared" si="207"/>
        <v>2012</v>
      </c>
      <c r="Y141" s="2285">
        <f t="shared" si="207"/>
        <v>2013</v>
      </c>
      <c r="Z141" s="2285">
        <f t="shared" si="207"/>
        <v>2014</v>
      </c>
      <c r="AA141" s="2285">
        <f t="shared" si="207"/>
        <v>2015</v>
      </c>
      <c r="AB141" s="2285">
        <f t="shared" si="207"/>
        <v>2016</v>
      </c>
      <c r="AC141" s="2285">
        <f t="shared" si="207"/>
        <v>2017</v>
      </c>
      <c r="AD141" s="2285">
        <f t="shared" si="207"/>
        <v>2018</v>
      </c>
      <c r="AE141" s="2285">
        <f t="shared" si="207"/>
        <v>2019</v>
      </c>
      <c r="AF141" s="2285">
        <f t="shared" si="207"/>
        <v>2020</v>
      </c>
    </row>
    <row r="142" spans="1:43" ht="12.75">
      <c r="C142" s="712"/>
      <c r="D142" s="705"/>
      <c r="E142" s="745" t="s">
        <v>331</v>
      </c>
      <c r="F142" s="761" t="s">
        <v>1653</v>
      </c>
      <c r="G142" s="1502">
        <f t="shared" ref="G142:Q142" si="208">+G163/G29*1000</f>
        <v>37.016968144709466</v>
      </c>
      <c r="H142" s="1502">
        <f t="shared" si="208"/>
        <v>39.239130434782645</v>
      </c>
      <c r="I142" s="1502">
        <f t="shared" si="208"/>
        <v>42.967006209163614</v>
      </c>
      <c r="J142" s="1502">
        <f t="shared" si="208"/>
        <v>30.738739449396522</v>
      </c>
      <c r="K142" s="1502">
        <f t="shared" si="208"/>
        <v>31.902104898603152</v>
      </c>
      <c r="L142" s="1502">
        <f t="shared" si="208"/>
        <v>39.139946498589204</v>
      </c>
      <c r="M142" s="1502">
        <f t="shared" si="208"/>
        <v>43.552865156571706</v>
      </c>
      <c r="N142" s="1502">
        <f t="shared" si="208"/>
        <v>45.720034185599324</v>
      </c>
      <c r="O142" s="1745">
        <f t="shared" si="208"/>
        <v>48.844567205940358</v>
      </c>
      <c r="P142" s="1745">
        <f t="shared" si="208"/>
        <v>53.937782310942801</v>
      </c>
      <c r="Q142" s="1745">
        <f t="shared" si="208"/>
        <v>54.498406489931853</v>
      </c>
      <c r="R142" s="1745">
        <f t="shared" ref="R142:S144" si="209">+R163/R29*1000</f>
        <v>53.658077128132192</v>
      </c>
      <c r="S142" s="1745">
        <f t="shared" si="209"/>
        <v>59.443700422375592</v>
      </c>
      <c r="T142" s="1745">
        <f t="shared" ref="T142:U144" si="210">+T163/T29*1000</f>
        <v>58.49216164722398</v>
      </c>
      <c r="U142" s="1745">
        <f t="shared" si="210"/>
        <v>61.555088975321006</v>
      </c>
      <c r="V142" s="1745">
        <f t="shared" ref="V142:W144" si="211">+V163/V29*1000</f>
        <v>62.823661092833163</v>
      </c>
      <c r="W142" s="1745">
        <f t="shared" si="211"/>
        <v>65.906676285414463</v>
      </c>
      <c r="X142" s="1745">
        <f t="shared" ref="X142:AA144" si="212">+X163/X29*1000</f>
        <v>68.576253572356435</v>
      </c>
      <c r="Y142" s="1745">
        <f t="shared" si="212"/>
        <v>71.051735218509023</v>
      </c>
      <c r="Z142" s="1745">
        <f t="shared" si="212"/>
        <v>72.795943512463325</v>
      </c>
      <c r="AA142" s="1745">
        <f t="shared" si="212"/>
        <v>75.444212624170888</v>
      </c>
      <c r="AB142" s="1745">
        <f t="shared" ref="AB142:AC142" si="213">+AB163/AB29*1000</f>
        <v>77.425651974988583</v>
      </c>
      <c r="AC142" s="1745">
        <f t="shared" si="213"/>
        <v>77.466832873297193</v>
      </c>
      <c r="AD142" s="3061">
        <f t="shared" ref="AD142:AF143" si="214">+AC142*(1+AD149/100)</f>
        <v>79.326036862256331</v>
      </c>
      <c r="AE142" s="3061">
        <f t="shared" si="214"/>
        <v>80.833231562639199</v>
      </c>
      <c r="AF142" s="3061">
        <f t="shared" si="214"/>
        <v>82.288229730766702</v>
      </c>
    </row>
    <row r="143" spans="1:43" ht="12.75">
      <c r="C143" s="708"/>
      <c r="D143" s="711"/>
      <c r="E143" s="220" t="s">
        <v>332</v>
      </c>
      <c r="F143" s="747" t="s">
        <v>1654</v>
      </c>
      <c r="G143" s="1084">
        <f t="shared" ref="G143:Q143" si="215">+G164/G30*1000</f>
        <v>26.288361749444029</v>
      </c>
      <c r="H143" s="1084">
        <f t="shared" si="215"/>
        <v>28.531674208144818</v>
      </c>
      <c r="I143" s="1084">
        <f t="shared" si="215"/>
        <v>29.869631901840481</v>
      </c>
      <c r="J143" s="1084">
        <f t="shared" si="215"/>
        <v>19.345887778631809</v>
      </c>
      <c r="K143" s="1084">
        <f t="shared" si="215"/>
        <v>21.952236542835514</v>
      </c>
      <c r="L143" s="1084">
        <f t="shared" si="215"/>
        <v>31.744204018547141</v>
      </c>
      <c r="M143" s="1084">
        <f t="shared" si="215"/>
        <v>35.211935730680942</v>
      </c>
      <c r="N143" s="1084">
        <f t="shared" si="215"/>
        <v>36.320512820512825</v>
      </c>
      <c r="O143" s="1084">
        <f t="shared" si="215"/>
        <v>42.173134328358209</v>
      </c>
      <c r="P143" s="1084">
        <f t="shared" si="215"/>
        <v>43.36924219910847</v>
      </c>
      <c r="Q143" s="1084">
        <f t="shared" si="215"/>
        <v>44.801043219076</v>
      </c>
      <c r="R143" s="1084">
        <f t="shared" si="209"/>
        <v>46.040530582166568</v>
      </c>
      <c r="S143" s="1084">
        <f t="shared" si="209"/>
        <v>50.347345132743335</v>
      </c>
      <c r="T143" s="1084">
        <f t="shared" si="210"/>
        <v>53.084273890142946</v>
      </c>
      <c r="U143" s="1084">
        <f t="shared" si="210"/>
        <v>50.600614439324076</v>
      </c>
      <c r="V143" s="1084">
        <f t="shared" si="211"/>
        <v>51.6597222222222</v>
      </c>
      <c r="W143" s="1084">
        <f t="shared" si="211"/>
        <v>52.667179093005409</v>
      </c>
      <c r="X143" s="1084">
        <f t="shared" si="212"/>
        <v>55.459191456903163</v>
      </c>
      <c r="Y143" s="1084">
        <f t="shared" si="212"/>
        <v>56.76208459214503</v>
      </c>
      <c r="Z143" s="1084">
        <f t="shared" si="212"/>
        <v>58.184190902311684</v>
      </c>
      <c r="AA143" s="1084">
        <f t="shared" si="212"/>
        <v>59.758570386579123</v>
      </c>
      <c r="AB143" s="1084">
        <f t="shared" ref="AB143:AC143" si="216">+AB164/AB30*1000</f>
        <v>61.960255500354833</v>
      </c>
      <c r="AC143" s="1084">
        <f t="shared" si="216"/>
        <v>64.084203201113397</v>
      </c>
      <c r="AD143" s="3061">
        <f t="shared" si="214"/>
        <v>65.942645093945686</v>
      </c>
      <c r="AE143" s="3061">
        <f t="shared" si="214"/>
        <v>67.525268576200389</v>
      </c>
      <c r="AF143" s="3061">
        <f t="shared" si="214"/>
        <v>69.078349753452997</v>
      </c>
    </row>
    <row r="144" spans="1:43" ht="12.75">
      <c r="C144" s="708"/>
      <c r="D144" s="783"/>
      <c r="E144" s="787" t="s">
        <v>1643</v>
      </c>
      <c r="F144" s="932" t="s">
        <v>1655</v>
      </c>
      <c r="G144" s="959">
        <f t="shared" ref="G144:Q144" si="217">+G165/G31*1000</f>
        <v>33.255626591818704</v>
      </c>
      <c r="H144" s="959">
        <f t="shared" si="217"/>
        <v>35.521575198994583</v>
      </c>
      <c r="I144" s="959">
        <f t="shared" si="217"/>
        <v>38.434489530532638</v>
      </c>
      <c r="J144" s="959">
        <f t="shared" si="217"/>
        <v>26.87519549577727</v>
      </c>
      <c r="K144" s="959">
        <f t="shared" si="217"/>
        <v>28.552211756898192</v>
      </c>
      <c r="L144" s="959">
        <f t="shared" si="217"/>
        <v>36.761043028660936</v>
      </c>
      <c r="M144" s="959">
        <f t="shared" si="217"/>
        <v>40.909157047240242</v>
      </c>
      <c r="N144" s="959">
        <f t="shared" si="217"/>
        <v>42.705239224033683</v>
      </c>
      <c r="O144" s="959">
        <f t="shared" si="217"/>
        <v>46.678779950093258</v>
      </c>
      <c r="P144" s="959">
        <f t="shared" si="217"/>
        <v>50.460745013687955</v>
      </c>
      <c r="Q144" s="959">
        <f t="shared" si="217"/>
        <v>51.326769350750588</v>
      </c>
      <c r="R144" s="959">
        <f t="shared" si="209"/>
        <v>51.179474883107531</v>
      </c>
      <c r="S144" s="959">
        <f t="shared" si="209"/>
        <v>56.553735854361406</v>
      </c>
      <c r="T144" s="959">
        <f t="shared" si="210"/>
        <v>56.828754599949079</v>
      </c>
      <c r="U144" s="959">
        <f t="shared" si="210"/>
        <v>58.165094003280032</v>
      </c>
      <c r="V144" s="959">
        <f t="shared" si="211"/>
        <v>59.414744480833107</v>
      </c>
      <c r="W144" s="959">
        <f t="shared" si="211"/>
        <v>61.947547464717509</v>
      </c>
      <c r="X144" s="959">
        <f t="shared" si="212"/>
        <v>64.659241036854809</v>
      </c>
      <c r="Y144" s="959">
        <f t="shared" si="212"/>
        <v>66.786744815148808</v>
      </c>
      <c r="Z144" s="959">
        <f t="shared" si="212"/>
        <v>68.447728735326137</v>
      </c>
      <c r="AA144" s="959">
        <f t="shared" si="212"/>
        <v>70.751151168627104</v>
      </c>
      <c r="AB144" s="959">
        <f t="shared" ref="AB144:AC144" si="218">+AB165/AB31*1000</f>
        <v>72.776960000000017</v>
      </c>
      <c r="AC144" s="959">
        <f t="shared" si="218"/>
        <v>73.465659655036134</v>
      </c>
      <c r="AD144" s="3061">
        <f>+AD165/AD31*1000</f>
        <v>75.318018265497614</v>
      </c>
      <c r="AE144" s="3061">
        <f>+AE165/AE31*1000</f>
        <v>76.843651472616628</v>
      </c>
      <c r="AF144" s="3061">
        <f>+AF165/AF31*1000</f>
        <v>78.315385377377908</v>
      </c>
    </row>
    <row r="145" spans="1:43" ht="12.75">
      <c r="C145" s="709"/>
      <c r="D145" s="713"/>
      <c r="E145" s="748" t="s">
        <v>1644</v>
      </c>
      <c r="F145" s="936" t="s">
        <v>1656</v>
      </c>
      <c r="G145" s="960">
        <f t="shared" ref="G145:Q145" si="219">+G166/G34*1000</f>
        <v>-0.53630363036348738</v>
      </c>
      <c r="H145" s="960">
        <f t="shared" si="219"/>
        <v>-0.40394973069879125</v>
      </c>
      <c r="I145" s="960">
        <f t="shared" si="219"/>
        <v>-1.1661506707940468</v>
      </c>
      <c r="J145" s="960">
        <f t="shared" si="219"/>
        <v>-1.88118811881243</v>
      </c>
      <c r="K145" s="960">
        <f t="shared" si="219"/>
        <v>-2.735562310030216</v>
      </c>
      <c r="L145" s="960">
        <f t="shared" si="219"/>
        <v>-2.7361853832433214</v>
      </c>
      <c r="M145" s="960">
        <f t="shared" si="219"/>
        <v>-9.7711670480552364</v>
      </c>
      <c r="N145" s="960">
        <f t="shared" si="219"/>
        <v>-16.11987381703376</v>
      </c>
      <c r="O145" s="960">
        <f t="shared" si="219"/>
        <v>-24.080459770120985</v>
      </c>
      <c r="P145" s="960">
        <f t="shared" si="219"/>
        <v>-85.869565217397536</v>
      </c>
      <c r="Q145" s="960">
        <f t="shared" si="219"/>
        <v>-431.81818181852003</v>
      </c>
      <c r="R145" s="960">
        <f>+R166/R34*1000</f>
        <v>81.285714285708565</v>
      </c>
      <c r="S145" s="960">
        <f>+S166/S34*1000</f>
        <v>52.638036809826076</v>
      </c>
      <c r="T145" s="960">
        <f>+T166/T34*1000</f>
        <v>42.805755395685139</v>
      </c>
      <c r="U145" s="960">
        <f>+U166/U34*1000</f>
        <v>31.230068337127076</v>
      </c>
      <c r="V145" s="960">
        <f>+V166/V34*1000</f>
        <v>54.230769230772381</v>
      </c>
      <c r="W145" s="3278">
        <v>0</v>
      </c>
      <c r="X145" s="3278">
        <v>0</v>
      </c>
      <c r="Y145" s="3278">
        <v>0</v>
      </c>
      <c r="Z145" s="3278">
        <v>0</v>
      </c>
      <c r="AA145" s="3278">
        <v>0</v>
      </c>
      <c r="AB145" s="3278">
        <v>0</v>
      </c>
      <c r="AC145" s="3278">
        <v>0</v>
      </c>
      <c r="AD145" s="3062">
        <f>+AC145*(1+AD152/100)</f>
        <v>0</v>
      </c>
      <c r="AE145" s="3062">
        <f>+AD145*(1+AE152/100)</f>
        <v>0</v>
      </c>
      <c r="AF145" s="3062">
        <f>+AE145*(1+AF152/100)</f>
        <v>0</v>
      </c>
    </row>
    <row r="146" spans="1:43" s="220" customFormat="1" ht="12.75">
      <c r="A146" s="940"/>
      <c r="B146" s="940"/>
      <c r="C146" s="711"/>
      <c r="D146" s="783"/>
      <c r="E146" s="787" t="s">
        <v>1672</v>
      </c>
      <c r="F146" s="932" t="s">
        <v>1657</v>
      </c>
      <c r="G146" s="959">
        <f t="shared" ref="G146:O146" si="220">+G167/G78*1000</f>
        <v>34.354639617882263</v>
      </c>
      <c r="H146" s="959">
        <f t="shared" si="220"/>
        <v>36.600949350018865</v>
      </c>
      <c r="I146" s="959">
        <f t="shared" si="220"/>
        <v>39.479734146872957</v>
      </c>
      <c r="J146" s="959">
        <f t="shared" si="220"/>
        <v>27.652727954168217</v>
      </c>
      <c r="K146" s="959">
        <f t="shared" si="220"/>
        <v>29.360827441738678</v>
      </c>
      <c r="L146" s="959">
        <f t="shared" si="220"/>
        <v>37.894238883064418</v>
      </c>
      <c r="M146" s="959">
        <f t="shared" si="220"/>
        <v>41.451996372460087</v>
      </c>
      <c r="N146" s="959">
        <f t="shared" si="220"/>
        <v>43.15978062157221</v>
      </c>
      <c r="O146" s="959">
        <f t="shared" si="220"/>
        <v>46.978322750164224</v>
      </c>
      <c r="P146" s="959">
        <f t="shared" ref="P146:AA146" si="221">+P167/P78*1000</f>
        <v>50.614202515538622</v>
      </c>
      <c r="Q146" s="959">
        <f t="shared" si="221"/>
        <v>51.4563272470198</v>
      </c>
      <c r="R146" s="959">
        <f t="shared" si="221"/>
        <v>51.229922202274068</v>
      </c>
      <c r="S146" s="959">
        <f t="shared" si="221"/>
        <v>56.538838577163688</v>
      </c>
      <c r="T146" s="959">
        <f t="shared" si="221"/>
        <v>56.739105438657013</v>
      </c>
      <c r="U146" s="959">
        <f t="shared" si="221"/>
        <v>57.88694956718102</v>
      </c>
      <c r="V146" s="959">
        <f t="shared" si="221"/>
        <v>59.383181509495834</v>
      </c>
      <c r="W146" s="959">
        <f t="shared" si="221"/>
        <v>61.801090602112801</v>
      </c>
      <c r="X146" s="959">
        <f t="shared" si="221"/>
        <v>64.547614199416287</v>
      </c>
      <c r="Y146" s="959">
        <f t="shared" si="221"/>
        <v>66.606099935107068</v>
      </c>
      <c r="Z146" s="2313">
        <f t="shared" si="221"/>
        <v>68.246498722804503</v>
      </c>
      <c r="AA146" s="2313">
        <f t="shared" si="221"/>
        <v>70.545304741874645</v>
      </c>
      <c r="AB146" s="2313">
        <f t="shared" ref="AB146:AC146" si="222">+AB167/AB78*1000</f>
        <v>72.714045648890647</v>
      </c>
      <c r="AC146" s="2313">
        <f t="shared" si="222"/>
        <v>73.417414050822146</v>
      </c>
      <c r="AD146" s="2313">
        <f>+AD167/AD78*1000</f>
        <v>75.156623611531444</v>
      </c>
      <c r="AE146" s="2313">
        <f>+AE167/AE78*1000</f>
        <v>76.680445066446097</v>
      </c>
      <c r="AF146" s="2313">
        <f>+AF167/AF78*1000</f>
        <v>78.150187180152315</v>
      </c>
      <c r="AG146" s="2954"/>
      <c r="AH146" s="2954"/>
      <c r="AI146" s="2954"/>
      <c r="AJ146" s="2954"/>
      <c r="AK146" s="2954"/>
      <c r="AL146" s="2954"/>
      <c r="AM146" s="2954"/>
      <c r="AN146" s="2954"/>
      <c r="AO146" s="2954"/>
      <c r="AP146" s="2954"/>
      <c r="AQ146" s="2954"/>
    </row>
    <row r="147" spans="1:43" s="220" customFormat="1" ht="12.75">
      <c r="A147" s="940"/>
      <c r="B147" s="940"/>
      <c r="C147" s="711"/>
      <c r="D147" s="711"/>
      <c r="F147" s="747"/>
      <c r="X147" s="3063"/>
      <c r="Y147" s="3063"/>
      <c r="Z147" s="3063"/>
      <c r="AA147" s="3063"/>
      <c r="AB147" s="3063"/>
      <c r="AC147" s="3063"/>
      <c r="AD147" s="3063"/>
      <c r="AE147" s="3063"/>
      <c r="AF147" s="3063"/>
      <c r="AG147" s="2954"/>
      <c r="AH147" s="2954"/>
      <c r="AI147" s="2954"/>
      <c r="AJ147" s="2954"/>
      <c r="AK147" s="2954"/>
      <c r="AL147" s="2954"/>
      <c r="AM147" s="2954"/>
      <c r="AN147" s="2954"/>
      <c r="AO147" s="2954"/>
      <c r="AP147" s="2954"/>
      <c r="AQ147" s="2954"/>
    </row>
    <row r="148" spans="1:43">
      <c r="D148" s="966"/>
      <c r="E148" s="967" t="s">
        <v>857</v>
      </c>
      <c r="F148" s="968"/>
      <c r="G148" s="933">
        <f>+InputY!$G$3</f>
        <v>1995</v>
      </c>
      <c r="H148" s="933">
        <f>+G148+1</f>
        <v>1996</v>
      </c>
      <c r="I148" s="933">
        <f t="shared" ref="I148:O148" si="223">+H148+1</f>
        <v>1997</v>
      </c>
      <c r="J148" s="933">
        <f t="shared" si="223"/>
        <v>1998</v>
      </c>
      <c r="K148" s="933">
        <f t="shared" si="223"/>
        <v>1999</v>
      </c>
      <c r="L148" s="933">
        <f t="shared" si="223"/>
        <v>2000</v>
      </c>
      <c r="M148" s="933">
        <f t="shared" si="223"/>
        <v>2001</v>
      </c>
      <c r="N148" s="933">
        <f t="shared" si="223"/>
        <v>2002</v>
      </c>
      <c r="O148" s="933">
        <f t="shared" si="223"/>
        <v>2003</v>
      </c>
      <c r="P148" s="782">
        <f>+O148+1</f>
        <v>2004</v>
      </c>
      <c r="Q148" s="782">
        <f>+P148+1</f>
        <v>2005</v>
      </c>
      <c r="R148" s="782">
        <f>+Q148+1</f>
        <v>2006</v>
      </c>
      <c r="S148" s="782">
        <f>+R148+1</f>
        <v>2007</v>
      </c>
      <c r="T148" s="782">
        <f t="shared" ref="T148:AF148" si="224">+S148+1</f>
        <v>2008</v>
      </c>
      <c r="U148" s="782">
        <f t="shared" si="224"/>
        <v>2009</v>
      </c>
      <c r="V148" s="782">
        <f t="shared" si="224"/>
        <v>2010</v>
      </c>
      <c r="W148" s="782">
        <f t="shared" si="224"/>
        <v>2011</v>
      </c>
      <c r="X148" s="2272">
        <f t="shared" si="224"/>
        <v>2012</v>
      </c>
      <c r="Y148" s="2272">
        <f t="shared" si="224"/>
        <v>2013</v>
      </c>
      <c r="Z148" s="2272">
        <f t="shared" si="224"/>
        <v>2014</v>
      </c>
      <c r="AA148" s="2272">
        <f t="shared" si="224"/>
        <v>2015</v>
      </c>
      <c r="AB148" s="2272">
        <f t="shared" si="224"/>
        <v>2016</v>
      </c>
      <c r="AC148" s="2272">
        <f t="shared" si="224"/>
        <v>2017</v>
      </c>
      <c r="AD148" s="2272">
        <f t="shared" si="224"/>
        <v>2018</v>
      </c>
      <c r="AE148" s="2272">
        <f t="shared" si="224"/>
        <v>2019</v>
      </c>
      <c r="AF148" s="2272">
        <f t="shared" si="224"/>
        <v>2020</v>
      </c>
    </row>
    <row r="149" spans="1:43">
      <c r="C149" s="799"/>
      <c r="D149" s="726"/>
      <c r="E149" s="769" t="s">
        <v>331</v>
      </c>
      <c r="F149" s="800" t="s">
        <v>1653</v>
      </c>
      <c r="G149" s="1743"/>
      <c r="H149" s="1744">
        <f t="shared" ref="H149:AC150" si="225">(H142/G142-1)*100</f>
        <v>6.0030910186543052</v>
      </c>
      <c r="I149" s="1744">
        <f t="shared" si="225"/>
        <v>9.5004036355415202</v>
      </c>
      <c r="J149" s="1744">
        <f t="shared" si="225"/>
        <v>-28.459666703888619</v>
      </c>
      <c r="K149" s="1744">
        <f t="shared" si="225"/>
        <v>3.7846882144331628</v>
      </c>
      <c r="L149" s="1744">
        <f t="shared" si="225"/>
        <v>22.687661591580309</v>
      </c>
      <c r="M149" s="1744">
        <f t="shared" si="225"/>
        <v>11.274718165855347</v>
      </c>
      <c r="N149" s="1744">
        <f t="shared" si="225"/>
        <v>4.9759505401922199</v>
      </c>
      <c r="O149" s="1744">
        <f t="shared" si="225"/>
        <v>6.8340566143434422</v>
      </c>
      <c r="P149" s="1745">
        <f t="shared" si="225"/>
        <v>10.427393252412775</v>
      </c>
      <c r="Q149" s="1745">
        <f t="shared" si="225"/>
        <v>1.0393904883911231</v>
      </c>
      <c r="R149" s="1745">
        <f t="shared" si="225"/>
        <v>-1.5419338214134881</v>
      </c>
      <c r="S149" s="1745">
        <f t="shared" si="225"/>
        <v>10.782390282878929</v>
      </c>
      <c r="T149" s="1745">
        <f t="shared" si="225"/>
        <v>-1.6007394701044508</v>
      </c>
      <c r="U149" s="1745">
        <f t="shared" si="225"/>
        <v>5.2364748401162675</v>
      </c>
      <c r="V149" s="1745">
        <f t="shared" si="225"/>
        <v>2.0608728516674946</v>
      </c>
      <c r="W149" s="1745">
        <f t="shared" si="225"/>
        <v>4.9074109005293298</v>
      </c>
      <c r="X149" s="1745">
        <f t="shared" si="225"/>
        <v>4.0505415193160976</v>
      </c>
      <c r="Y149" s="1745">
        <f t="shared" si="225"/>
        <v>3.6098233968711257</v>
      </c>
      <c r="Z149" s="1745">
        <f t="shared" si="225"/>
        <v>2.4548426419006564</v>
      </c>
      <c r="AA149" s="1745">
        <f t="shared" si="225"/>
        <v>3.6379350056149118</v>
      </c>
      <c r="AB149" s="1745">
        <f t="shared" si="225"/>
        <v>2.6263636161044435</v>
      </c>
      <c r="AC149" s="3610">
        <f t="shared" si="225"/>
        <v>5.3187667469578592E-2</v>
      </c>
      <c r="AD149" s="3064">
        <v>2.4</v>
      </c>
      <c r="AE149" s="3064">
        <v>1.9</v>
      </c>
      <c r="AF149" s="3064">
        <v>1.8</v>
      </c>
    </row>
    <row r="150" spans="1:43" ht="12.75">
      <c r="C150" s="969"/>
      <c r="D150" s="711"/>
      <c r="E150" s="220" t="s">
        <v>332</v>
      </c>
      <c r="F150" s="747" t="s">
        <v>1654</v>
      </c>
      <c r="G150" s="1609"/>
      <c r="H150" s="1084">
        <f t="shared" si="225"/>
        <v>8.5334813940934673</v>
      </c>
      <c r="I150" s="1084">
        <f t="shared" si="225"/>
        <v>4.6893767394614372</v>
      </c>
      <c r="J150" s="1084">
        <f t="shared" si="225"/>
        <v>-35.232252468970771</v>
      </c>
      <c r="K150" s="1084">
        <f t="shared" si="225"/>
        <v>13.472365776268514</v>
      </c>
      <c r="L150" s="1084">
        <f t="shared" si="225"/>
        <v>44.605785185507216</v>
      </c>
      <c r="M150" s="1084">
        <f t="shared" si="225"/>
        <v>10.923983824284011</v>
      </c>
      <c r="N150" s="1084">
        <f t="shared" si="225"/>
        <v>3.1482991969281393</v>
      </c>
      <c r="O150" s="1084">
        <f t="shared" si="225"/>
        <v>16.113818482595832</v>
      </c>
      <c r="P150" s="1084">
        <f t="shared" si="225"/>
        <v>2.8361844330502262</v>
      </c>
      <c r="Q150" s="1084">
        <f t="shared" si="225"/>
        <v>3.3014204246274881</v>
      </c>
      <c r="R150" s="1084">
        <f t="shared" si="225"/>
        <v>2.7666484394783142</v>
      </c>
      <c r="S150" s="1084">
        <f t="shared" si="225"/>
        <v>9.3543981707391097</v>
      </c>
      <c r="T150" s="1084">
        <f t="shared" si="225"/>
        <v>5.4360935024151846</v>
      </c>
      <c r="U150" s="1084">
        <f t="shared" si="225"/>
        <v>-4.6787104142344766</v>
      </c>
      <c r="V150" s="1084">
        <f t="shared" si="225"/>
        <v>2.0930729688433347</v>
      </c>
      <c r="W150" s="1084">
        <f t="shared" si="225"/>
        <v>1.950178644882139</v>
      </c>
      <c r="X150" s="1084">
        <f t="shared" si="225"/>
        <v>5.3012377195431615</v>
      </c>
      <c r="Y150" s="1084">
        <f t="shared" si="225"/>
        <v>2.3492826004402501</v>
      </c>
      <c r="Z150" s="1084">
        <f t="shared" si="225"/>
        <v>2.5053806962604952</v>
      </c>
      <c r="AA150" s="1084">
        <f t="shared" si="225"/>
        <v>2.705854390775575</v>
      </c>
      <c r="AB150" s="1084">
        <f t="shared" si="225"/>
        <v>3.6843001757454585</v>
      </c>
      <c r="AC150" s="1084">
        <f t="shared" si="225"/>
        <v>3.4279195326210266</v>
      </c>
      <c r="AD150" s="3064">
        <v>2.9</v>
      </c>
      <c r="AE150" s="3064">
        <v>2.4</v>
      </c>
      <c r="AF150" s="3064">
        <v>2.2999999999999998</v>
      </c>
    </row>
    <row r="151" spans="1:43" ht="12.75">
      <c r="C151" s="969"/>
      <c r="D151" s="754"/>
      <c r="E151" s="755" t="s">
        <v>1643</v>
      </c>
      <c r="F151" s="961" t="s">
        <v>1655</v>
      </c>
      <c r="G151" s="962"/>
      <c r="H151" s="962">
        <f>(H144/G144-1)*100</f>
        <v>6.8137300042132809</v>
      </c>
      <c r="I151" s="962">
        <f t="shared" ref="I151:W151" si="226">(I144/H144-1)*100</f>
        <v>8.2004086677454069</v>
      </c>
      <c r="J151" s="962">
        <f t="shared" si="226"/>
        <v>-30.075315623933495</v>
      </c>
      <c r="K151" s="962">
        <f t="shared" si="226"/>
        <v>6.240015114994879</v>
      </c>
      <c r="L151" s="962">
        <f t="shared" si="226"/>
        <v>28.750246536608493</v>
      </c>
      <c r="M151" s="962">
        <f t="shared" si="226"/>
        <v>11.283994350609717</v>
      </c>
      <c r="N151" s="962">
        <f t="shared" si="226"/>
        <v>4.3904160007975701</v>
      </c>
      <c r="O151" s="962">
        <f t="shared" si="226"/>
        <v>9.3045743291922491</v>
      </c>
      <c r="P151" s="962">
        <f t="shared" si="226"/>
        <v>8.1021077835328867</v>
      </c>
      <c r="Q151" s="962">
        <f t="shared" si="226"/>
        <v>1.7162337512609316</v>
      </c>
      <c r="R151" s="962">
        <f t="shared" si="226"/>
        <v>-0.28697396993077051</v>
      </c>
      <c r="S151" s="962">
        <f t="shared" si="226"/>
        <v>10.500813037899537</v>
      </c>
      <c r="T151" s="962">
        <f t="shared" si="226"/>
        <v>0.48629633645407289</v>
      </c>
      <c r="U151" s="962">
        <f t="shared" si="226"/>
        <v>2.3515197768070539</v>
      </c>
      <c r="V151" s="962">
        <f t="shared" si="226"/>
        <v>2.1484543246549359</v>
      </c>
      <c r="W151" s="962">
        <f t="shared" si="226"/>
        <v>4.2629199300881826</v>
      </c>
      <c r="X151" s="3065">
        <f t="shared" ref="X151:AF151" si="227">(X144/W144-1)*100</f>
        <v>4.3774026303168068</v>
      </c>
      <c r="Y151" s="3065">
        <f t="shared" si="227"/>
        <v>3.290332122954176</v>
      </c>
      <c r="Z151" s="3065">
        <f t="shared" si="227"/>
        <v>2.4869963714724719</v>
      </c>
      <c r="AA151" s="3065">
        <f t="shared" si="227"/>
        <v>3.3652284390733422</v>
      </c>
      <c r="AB151" s="3065">
        <f t="shared" si="227"/>
        <v>2.863287448913221</v>
      </c>
      <c r="AC151" s="3065">
        <f t="shared" si="227"/>
        <v>0.94631550292305633</v>
      </c>
      <c r="AD151" s="3065">
        <f t="shared" si="227"/>
        <v>2.521393831021701</v>
      </c>
      <c r="AE151" s="3065">
        <f t="shared" si="227"/>
        <v>2.0255886204296081</v>
      </c>
      <c r="AF151" s="3065">
        <f t="shared" si="227"/>
        <v>1.9152316119253276</v>
      </c>
    </row>
    <row r="152" spans="1:43" ht="12.75">
      <c r="C152" s="727"/>
      <c r="D152" s="728"/>
      <c r="E152" s="772" t="s">
        <v>1644</v>
      </c>
      <c r="F152" s="970" t="s">
        <v>1656</v>
      </c>
      <c r="G152" s="971"/>
      <c r="H152" s="971">
        <f t="shared" ref="H152:V152" si="228">(H145/G145-1)*100</f>
        <v>-24.678911752842581</v>
      </c>
      <c r="I152" s="971">
        <f t="shared" si="228"/>
        <v>188.68707717089617</v>
      </c>
      <c r="J152" s="971">
        <f t="shared" si="228"/>
        <v>61.316043108863894</v>
      </c>
      <c r="K152" s="971">
        <f t="shared" si="228"/>
        <v>45.416733322616423</v>
      </c>
      <c r="L152" s="971">
        <f t="shared" si="228"/>
        <v>2.2776787456857406E-2</v>
      </c>
      <c r="M152" s="971">
        <f t="shared" si="228"/>
        <v>257.10910188669453</v>
      </c>
      <c r="N152" s="971">
        <f t="shared" si="228"/>
        <v>64.973884263314403</v>
      </c>
      <c r="O152" s="971">
        <f t="shared" si="228"/>
        <v>49.383674112109532</v>
      </c>
      <c r="P152" s="971">
        <f t="shared" si="228"/>
        <v>256.59437584304106</v>
      </c>
      <c r="Q152" s="971">
        <f t="shared" si="228"/>
        <v>402.87686996583494</v>
      </c>
      <c r="R152" s="971">
        <f t="shared" si="228"/>
        <v>-118.82406015035987</v>
      </c>
      <c r="S152" s="971">
        <f t="shared" si="228"/>
        <v>-35.243188458908882</v>
      </c>
      <c r="T152" s="971">
        <f t="shared" si="228"/>
        <v>-18.679042779774647</v>
      </c>
      <c r="U152" s="971">
        <f t="shared" si="228"/>
        <v>-27.042361363689203</v>
      </c>
      <c r="V152" s="971">
        <f t="shared" si="228"/>
        <v>73.64921730350973</v>
      </c>
      <c r="W152" s="3277">
        <v>0</v>
      </c>
      <c r="X152" s="3277">
        <v>0</v>
      </c>
      <c r="Y152" s="3277">
        <v>0</v>
      </c>
      <c r="Z152" s="3277">
        <v>0</v>
      </c>
      <c r="AA152" s="3278">
        <v>0</v>
      </c>
      <c r="AB152" s="3278">
        <v>0</v>
      </c>
      <c r="AC152" s="3278">
        <v>0</v>
      </c>
      <c r="AD152" s="3066">
        <v>3.3</v>
      </c>
      <c r="AE152" s="3066">
        <v>3.3</v>
      </c>
      <c r="AF152" s="3066">
        <v>3.3</v>
      </c>
    </row>
    <row r="153" spans="1:43" s="220" customFormat="1" ht="12.75">
      <c r="A153" s="940"/>
      <c r="B153" s="940"/>
      <c r="C153" s="711"/>
      <c r="D153" s="754"/>
      <c r="E153" s="755" t="s">
        <v>1672</v>
      </c>
      <c r="F153" s="961" t="s">
        <v>1657</v>
      </c>
      <c r="G153" s="962"/>
      <c r="H153" s="962">
        <f t="shared" ref="H153:AF153" si="229">(H146/G146-1)*100</f>
        <v>6.5385920420697907</v>
      </c>
      <c r="I153" s="962">
        <f t="shared" si="229"/>
        <v>7.8653282168283711</v>
      </c>
      <c r="J153" s="962">
        <f t="shared" si="229"/>
        <v>-29.957157636132447</v>
      </c>
      <c r="K153" s="962">
        <f t="shared" si="229"/>
        <v>6.1769655796761747</v>
      </c>
      <c r="L153" s="962">
        <f t="shared" si="229"/>
        <v>29.063933767734483</v>
      </c>
      <c r="M153" s="962">
        <f t="shared" si="229"/>
        <v>9.3886500804893913</v>
      </c>
      <c r="N153" s="962">
        <f t="shared" si="229"/>
        <v>4.1199083242387413</v>
      </c>
      <c r="O153" s="962">
        <f t="shared" si="229"/>
        <v>8.8474549073204187</v>
      </c>
      <c r="P153" s="962">
        <f t="shared" si="229"/>
        <v>7.739483984369544</v>
      </c>
      <c r="Q153" s="962">
        <f t="shared" si="229"/>
        <v>1.6638111234147157</v>
      </c>
      <c r="R153" s="962">
        <f t="shared" si="229"/>
        <v>-0.43999456793497593</v>
      </c>
      <c r="S153" s="962">
        <f t="shared" si="229"/>
        <v>10.362921016994942</v>
      </c>
      <c r="T153" s="962">
        <f t="shared" si="229"/>
        <v>0.35421113438685037</v>
      </c>
      <c r="U153" s="962">
        <f t="shared" si="229"/>
        <v>2.023021194377117</v>
      </c>
      <c r="V153" s="962">
        <f t="shared" si="229"/>
        <v>2.5847482956039336</v>
      </c>
      <c r="W153" s="962">
        <f t="shared" si="229"/>
        <v>4.0717068893156627</v>
      </c>
      <c r="X153" s="3065">
        <f t="shared" si="229"/>
        <v>4.4441345137193888</v>
      </c>
      <c r="Y153" s="3065">
        <f t="shared" si="229"/>
        <v>3.1890965471337296</v>
      </c>
      <c r="Z153" s="3065">
        <f t="shared" si="229"/>
        <v>2.4628356701497989</v>
      </c>
      <c r="AA153" s="3065">
        <f t="shared" si="229"/>
        <v>3.3683867481717478</v>
      </c>
      <c r="AB153" s="3065">
        <f t="shared" si="229"/>
        <v>3.0742526592682839</v>
      </c>
      <c r="AC153" s="3065">
        <f t="shared" si="229"/>
        <v>0.9673074791186842</v>
      </c>
      <c r="AD153" s="3065">
        <f t="shared" si="229"/>
        <v>2.3689332880961311</v>
      </c>
      <c r="AE153" s="3065">
        <f t="shared" si="229"/>
        <v>2.0275278234836103</v>
      </c>
      <c r="AF153" s="3065">
        <f t="shared" si="229"/>
        <v>1.9167104630556597</v>
      </c>
      <c r="AG153" s="2954"/>
      <c r="AH153" s="2954"/>
      <c r="AI153" s="2954"/>
      <c r="AJ153" s="2954"/>
      <c r="AK153" s="2954"/>
      <c r="AL153" s="2954"/>
      <c r="AM153" s="2954"/>
      <c r="AN153" s="2954"/>
      <c r="AO153" s="2954"/>
      <c r="AP153" s="2954"/>
      <c r="AQ153" s="2954"/>
    </row>
    <row r="154" spans="1:43" s="220" customFormat="1">
      <c r="A154" s="940"/>
      <c r="B154" s="940"/>
      <c r="C154" s="711"/>
      <c r="D154" s="711"/>
      <c r="F154" s="747"/>
      <c r="H154" s="1568"/>
      <c r="I154" s="1568"/>
      <c r="J154" s="1568"/>
      <c r="K154" s="1568"/>
      <c r="L154" s="1568"/>
      <c r="M154" s="1568"/>
      <c r="N154" s="1568"/>
      <c r="O154" s="1568"/>
      <c r="P154" s="1568"/>
      <c r="Q154" s="1568"/>
      <c r="R154" s="1568"/>
      <c r="S154" s="1568"/>
      <c r="T154" s="1568"/>
      <c r="U154" s="1568"/>
      <c r="V154" s="1568"/>
      <c r="W154" s="1568"/>
      <c r="X154" s="3071"/>
      <c r="Y154" s="3071"/>
      <c r="Z154" s="3071"/>
      <c r="AA154" s="3071"/>
      <c r="AB154" s="3071"/>
      <c r="AC154" s="3071"/>
      <c r="AD154" s="3071"/>
      <c r="AE154" s="3071"/>
      <c r="AF154" s="3071"/>
      <c r="AG154" s="2954"/>
      <c r="AH154" s="2954"/>
      <c r="AI154" s="2954"/>
      <c r="AJ154" s="2954"/>
      <c r="AK154" s="2954"/>
      <c r="AL154" s="2954"/>
      <c r="AM154" s="2954"/>
      <c r="AN154" s="2954"/>
      <c r="AO154" s="2954"/>
      <c r="AP154" s="2954"/>
      <c r="AQ154" s="2954"/>
    </row>
    <row r="155" spans="1:43">
      <c r="D155" s="1946"/>
      <c r="E155" s="1947" t="s">
        <v>422</v>
      </c>
      <c r="F155" s="1948"/>
      <c r="G155" s="1021">
        <f>+InputY!$G$3</f>
        <v>1995</v>
      </c>
      <c r="H155" s="1021">
        <f>+G155+1</f>
        <v>1996</v>
      </c>
      <c r="I155" s="1021">
        <f t="shared" ref="I155:O155" si="230">+H155+1</f>
        <v>1997</v>
      </c>
      <c r="J155" s="1021">
        <f t="shared" si="230"/>
        <v>1998</v>
      </c>
      <c r="K155" s="1021">
        <f t="shared" si="230"/>
        <v>1999</v>
      </c>
      <c r="L155" s="1021">
        <f t="shared" si="230"/>
        <v>2000</v>
      </c>
      <c r="M155" s="1021">
        <f t="shared" si="230"/>
        <v>2001</v>
      </c>
      <c r="N155" s="1021">
        <f t="shared" si="230"/>
        <v>2002</v>
      </c>
      <c r="O155" s="1021">
        <f t="shared" si="230"/>
        <v>2003</v>
      </c>
      <c r="P155" s="1021">
        <f t="shared" ref="P155:AF155" si="231">+O155+1</f>
        <v>2004</v>
      </c>
      <c r="Q155" s="1021">
        <f t="shared" si="231"/>
        <v>2005</v>
      </c>
      <c r="R155" s="1021">
        <f t="shared" si="231"/>
        <v>2006</v>
      </c>
      <c r="S155" s="1021">
        <f t="shared" si="231"/>
        <v>2007</v>
      </c>
      <c r="T155" s="1021">
        <f t="shared" si="231"/>
        <v>2008</v>
      </c>
      <c r="U155" s="1021">
        <f t="shared" si="231"/>
        <v>2009</v>
      </c>
      <c r="V155" s="1021">
        <f t="shared" si="231"/>
        <v>2010</v>
      </c>
      <c r="W155" s="1021">
        <f t="shared" si="231"/>
        <v>2011</v>
      </c>
      <c r="X155" s="2292">
        <f t="shared" si="231"/>
        <v>2012</v>
      </c>
      <c r="Y155" s="2292">
        <f t="shared" si="231"/>
        <v>2013</v>
      </c>
      <c r="Z155" s="2292">
        <f t="shared" si="231"/>
        <v>2014</v>
      </c>
      <c r="AA155" s="2292">
        <f t="shared" si="231"/>
        <v>2015</v>
      </c>
      <c r="AB155" s="2292">
        <f t="shared" si="231"/>
        <v>2016</v>
      </c>
      <c r="AC155" s="2292">
        <f t="shared" si="231"/>
        <v>2017</v>
      </c>
      <c r="AD155" s="2292">
        <f t="shared" si="231"/>
        <v>2018</v>
      </c>
      <c r="AE155" s="2292">
        <f t="shared" si="231"/>
        <v>2019</v>
      </c>
      <c r="AF155" s="2292">
        <f t="shared" si="231"/>
        <v>2020</v>
      </c>
    </row>
    <row r="156" spans="1:43" ht="12.75">
      <c r="C156" s="1030"/>
      <c r="D156" s="900"/>
      <c r="E156" s="1941" t="s">
        <v>331</v>
      </c>
      <c r="F156" s="1942" t="s">
        <v>1653</v>
      </c>
      <c r="G156" s="1943">
        <f>+G142/G111</f>
        <v>0.19148345961164248</v>
      </c>
      <c r="H156" s="1943">
        <f t="shared" ref="H156:P156" si="232">+H142/H111</f>
        <v>0.19032490890450018</v>
      </c>
      <c r="I156" s="1943">
        <f t="shared" si="232"/>
        <v>0.19624761583474984</v>
      </c>
      <c r="J156" s="1943">
        <f t="shared" si="232"/>
        <v>0.13522235736457366</v>
      </c>
      <c r="K156" s="1943">
        <f t="shared" si="232"/>
        <v>0.1352836740555077</v>
      </c>
      <c r="L156" s="1943">
        <f t="shared" si="232"/>
        <v>0.15943450301825293</v>
      </c>
      <c r="M156" s="1943">
        <f t="shared" si="232"/>
        <v>0.17258475464520298</v>
      </c>
      <c r="N156" s="1943">
        <f t="shared" si="232"/>
        <v>0.17641360623481689</v>
      </c>
      <c r="O156" s="1943">
        <f t="shared" si="232"/>
        <v>0.18420454545454534</v>
      </c>
      <c r="P156" s="1943">
        <f t="shared" si="232"/>
        <v>0.19569463865150863</v>
      </c>
      <c r="Q156" s="1943">
        <f t="shared" ref="Q156:R160" si="233">+Q142/Q111</f>
        <v>0.19110761161522172</v>
      </c>
      <c r="R156" s="1943">
        <f t="shared" si="233"/>
        <v>0.18116373341269468</v>
      </c>
      <c r="S156" s="1943">
        <f t="shared" ref="S156:T160" si="234">+S142/S111</f>
        <v>0.19248971422217279</v>
      </c>
      <c r="T156" s="1943">
        <f t="shared" si="234"/>
        <v>0.18330555674855781</v>
      </c>
      <c r="U156" s="1943">
        <f t="shared" ref="U156:V160" si="235">+U142/U111</f>
        <v>0.18831661148879186</v>
      </c>
      <c r="V156" s="1943">
        <f t="shared" si="235"/>
        <v>0.18849911461195579</v>
      </c>
      <c r="W156" s="1943">
        <f t="shared" ref="W156:X160" si="236">+W142/W111</f>
        <v>0.19209995861500773</v>
      </c>
      <c r="X156" s="3072">
        <f t="shared" si="236"/>
        <v>0.19469000438873083</v>
      </c>
      <c r="Y156" s="3072">
        <f>+Y142/Y111</f>
        <v>0.19903288845362077</v>
      </c>
      <c r="Z156" s="3072">
        <f t="shared" ref="Z156:AA160" si="237">+Z142/Z111</f>
        <v>0.19985480622615895</v>
      </c>
      <c r="AA156" s="3072">
        <f t="shared" si="237"/>
        <v>0.20149235111834848</v>
      </c>
      <c r="AB156" s="3072">
        <f t="shared" ref="AB156:AC156" si="238">+AB142/AB111</f>
        <v>0.20200428614515126</v>
      </c>
      <c r="AC156" s="3072">
        <f t="shared" si="238"/>
        <v>0.19837429887363783</v>
      </c>
      <c r="AD156" s="3072">
        <f t="shared" ref="AD156:AE156" si="239">+AD142/AD111</f>
        <v>0.19789116614379459</v>
      </c>
      <c r="AE156" s="3072">
        <f t="shared" si="239"/>
        <v>0.19644529790601725</v>
      </c>
      <c r="AF156" s="3072">
        <f t="shared" ref="AF156" si="240">+AF142/AF111</f>
        <v>0.1951989392565403</v>
      </c>
    </row>
    <row r="157" spans="1:43" ht="12.75">
      <c r="C157" s="980"/>
      <c r="D157" s="711"/>
      <c r="E157" s="220" t="s">
        <v>332</v>
      </c>
      <c r="F157" s="747" t="s">
        <v>1654</v>
      </c>
      <c r="G157" s="1552">
        <f>+G143/G112</f>
        <v>0.16212917118130321</v>
      </c>
      <c r="H157" s="1552">
        <f t="shared" ref="H157:P157" si="241">+H143/H112</f>
        <v>0.16433982589960569</v>
      </c>
      <c r="I157" s="1552">
        <f t="shared" si="241"/>
        <v>0.16536048160444242</v>
      </c>
      <c r="J157" s="1552">
        <f t="shared" si="241"/>
        <v>0.10423284148275756</v>
      </c>
      <c r="K157" s="1552">
        <f t="shared" si="241"/>
        <v>0.11489942580048669</v>
      </c>
      <c r="L157" s="1552">
        <f t="shared" si="241"/>
        <v>0.16209187981911308</v>
      </c>
      <c r="M157" s="1552">
        <f t="shared" si="241"/>
        <v>0.17363974902185678</v>
      </c>
      <c r="N157" s="1552">
        <f t="shared" si="241"/>
        <v>0.1721172917820703</v>
      </c>
      <c r="O157" s="1552">
        <f t="shared" si="241"/>
        <v>0.19231646185625953</v>
      </c>
      <c r="P157" s="1552">
        <f t="shared" si="241"/>
        <v>0.19254682969789527</v>
      </c>
      <c r="Q157" s="1552">
        <f t="shared" si="233"/>
        <v>0.19333646326404608</v>
      </c>
      <c r="R157" s="1552">
        <f t="shared" si="233"/>
        <v>0.1920006146281501</v>
      </c>
      <c r="S157" s="1552">
        <f t="shared" si="234"/>
        <v>0.20175181964059316</v>
      </c>
      <c r="T157" s="1552">
        <f t="shared" si="234"/>
        <v>0.20052469714798957</v>
      </c>
      <c r="U157" s="1552">
        <f t="shared" si="235"/>
        <v>0.18409272537261701</v>
      </c>
      <c r="V157" s="1552">
        <f t="shared" si="235"/>
        <v>0.18302174085383349</v>
      </c>
      <c r="W157" s="1552">
        <f t="shared" si="236"/>
        <v>0.18173764743639059</v>
      </c>
      <c r="X157" s="2352">
        <f t="shared" si="236"/>
        <v>0.18552436846134235</v>
      </c>
      <c r="Y157" s="2352">
        <f>+Y143/Y112</f>
        <v>0.18505987426773146</v>
      </c>
      <c r="Z157" s="2352">
        <f t="shared" si="237"/>
        <v>0.1850740533411766</v>
      </c>
      <c r="AA157" s="2352">
        <f t="shared" si="237"/>
        <v>0.18600063113397516</v>
      </c>
      <c r="AB157" s="2352">
        <f t="shared" ref="AB157:AC157" si="242">+AB143/AB112</f>
        <v>0.18774300657192988</v>
      </c>
      <c r="AC157" s="2352">
        <f t="shared" si="242"/>
        <v>0.18855859323810761</v>
      </c>
      <c r="AD157" s="2352">
        <f t="shared" ref="AD157:AE157" si="243">+AD143/AD112</f>
        <v>0.1883755266427308</v>
      </c>
      <c r="AE157" s="2352">
        <f t="shared" si="243"/>
        <v>0.18691525124239958</v>
      </c>
      <c r="AF157" s="2352">
        <f t="shared" ref="AF157" si="244">+AF143/AF112</f>
        <v>0.18582536639550512</v>
      </c>
    </row>
    <row r="158" spans="1:43" ht="12.75">
      <c r="C158" s="980"/>
      <c r="D158" s="843"/>
      <c r="E158" s="334" t="s">
        <v>1643</v>
      </c>
      <c r="F158" s="187" t="s">
        <v>1655</v>
      </c>
      <c r="G158" s="1940">
        <f>+G144/G113</f>
        <v>0.18233439205007745</v>
      </c>
      <c r="H158" s="1940">
        <f t="shared" ref="H158:P158" si="245">+H144/H113</f>
        <v>0.18228699882966776</v>
      </c>
      <c r="I158" s="1940">
        <f t="shared" si="245"/>
        <v>0.18686059999251656</v>
      </c>
      <c r="J158" s="1940">
        <f t="shared" si="245"/>
        <v>0.12607236835669627</v>
      </c>
      <c r="K158" s="1940">
        <f t="shared" si="245"/>
        <v>0.12934382801487945</v>
      </c>
      <c r="L158" s="1940">
        <f t="shared" si="245"/>
        <v>0.16016383961738997</v>
      </c>
      <c r="M158" s="1940">
        <f t="shared" si="245"/>
        <v>0.17287129930418196</v>
      </c>
      <c r="N158" s="1940">
        <f t="shared" si="245"/>
        <v>0.17522049942487045</v>
      </c>
      <c r="O158" s="1940">
        <f t="shared" si="245"/>
        <v>0.18651196603452494</v>
      </c>
      <c r="P158" s="1940">
        <f t="shared" si="245"/>
        <v>0.19479416612962136</v>
      </c>
      <c r="Q158" s="1940">
        <f t="shared" si="233"/>
        <v>0.19173864316076863</v>
      </c>
      <c r="R158" s="1940">
        <f t="shared" si="233"/>
        <v>0.18420702880252135</v>
      </c>
      <c r="S158" s="1940">
        <f t="shared" si="234"/>
        <v>0.19502202084365156</v>
      </c>
      <c r="T158" s="1940">
        <f t="shared" si="234"/>
        <v>0.18794255941423524</v>
      </c>
      <c r="U158" s="1940">
        <f t="shared" si="235"/>
        <v>0.18716052404151348</v>
      </c>
      <c r="V158" s="1940">
        <f t="shared" si="235"/>
        <v>0.18701318348982404</v>
      </c>
      <c r="W158" s="1940">
        <f t="shared" si="236"/>
        <v>0.18935502002388815</v>
      </c>
      <c r="X158" s="3073">
        <f t="shared" si="236"/>
        <v>0.19225720895959078</v>
      </c>
      <c r="Y158" s="3073">
        <f>+Y144/Y113</f>
        <v>0.19529240533196934</v>
      </c>
      <c r="Z158" s="3073">
        <f t="shared" si="237"/>
        <v>0.19589718836732245</v>
      </c>
      <c r="AA158" s="3073">
        <f t="shared" si="237"/>
        <v>0.19733881153465721</v>
      </c>
      <c r="AB158" s="3073">
        <f t="shared" ref="AB158:AC158" si="246">+AB144/AB113</f>
        <v>0.19815231628441904</v>
      </c>
      <c r="AC158" s="3073">
        <f t="shared" si="246"/>
        <v>0.19571714582811389</v>
      </c>
      <c r="AD158" s="3073">
        <f t="shared" ref="AD158:AE158" si="247">+AD144/AD113</f>
        <v>0.19530440366636559</v>
      </c>
      <c r="AE158" s="3073">
        <f t="shared" si="247"/>
        <v>0.19384171470066258</v>
      </c>
      <c r="AF158" s="3073">
        <f t="shared" ref="AF158" si="248">+AF144/AF113</f>
        <v>0.19262141785092074</v>
      </c>
    </row>
    <row r="159" spans="1:43" ht="12.75">
      <c r="C159" s="904"/>
      <c r="D159" s="905"/>
      <c r="E159" s="906" t="s">
        <v>1644</v>
      </c>
      <c r="F159" s="1944" t="s">
        <v>1656</v>
      </c>
      <c r="G159" s="1945">
        <f>+G145/G114</f>
        <v>8.7131367292300588E-2</v>
      </c>
      <c r="H159" s="1945">
        <f t="shared" ref="H159:P159" si="249">+H145/H114</f>
        <v>9.7192224621679688E-2</v>
      </c>
      <c r="I159" s="1945">
        <f t="shared" si="249"/>
        <v>8.5996955859928267E-2</v>
      </c>
      <c r="J159" s="1945">
        <f t="shared" si="249"/>
        <v>0.13333333333337588</v>
      </c>
      <c r="K159" s="1945">
        <f t="shared" si="249"/>
        <v>0.1288167938931209</v>
      </c>
      <c r="L159" s="1945">
        <f t="shared" si="249"/>
        <v>0.11713086608161193</v>
      </c>
      <c r="M159" s="1945">
        <f t="shared" si="249"/>
        <v>0.10867905319420305</v>
      </c>
      <c r="N159" s="1945">
        <f t="shared" si="249"/>
        <v>0.10538255310372743</v>
      </c>
      <c r="O159" s="1945">
        <f t="shared" si="249"/>
        <v>9.468926553674592E-2</v>
      </c>
      <c r="P159" s="1945">
        <f t="shared" si="249"/>
        <v>7.8233313527427906E-2</v>
      </c>
      <c r="Q159" s="1945">
        <f t="shared" si="233"/>
        <v>7.5313144125596199E-2</v>
      </c>
      <c r="R159" s="1945">
        <f t="shared" si="233"/>
        <v>7.1888818698668672E-2</v>
      </c>
      <c r="S159" s="1945">
        <f t="shared" si="234"/>
        <v>6.8766530415980132E-2</v>
      </c>
      <c r="T159" s="1945">
        <f t="shared" si="234"/>
        <v>7.1566033197020665E-2</v>
      </c>
      <c r="U159" s="1945">
        <f t="shared" si="235"/>
        <v>6.9326456310672677E-2</v>
      </c>
      <c r="V159" s="1945">
        <f t="shared" si="235"/>
        <v>7.5655953211358387E-2</v>
      </c>
      <c r="W159" s="1945">
        <f t="shared" si="236"/>
        <v>0</v>
      </c>
      <c r="X159" s="3074">
        <f t="shared" si="236"/>
        <v>0</v>
      </c>
      <c r="Y159" s="3074">
        <f>+Y145/Y114</f>
        <v>0</v>
      </c>
      <c r="Z159" s="3074">
        <f t="shared" si="237"/>
        <v>0</v>
      </c>
      <c r="AA159" s="3074">
        <f t="shared" si="237"/>
        <v>0</v>
      </c>
      <c r="AB159" s="3074">
        <f t="shared" ref="AB159:AC159" si="250">+AB145/AB114</f>
        <v>0</v>
      </c>
      <c r="AC159" s="3074">
        <f t="shared" si="250"/>
        <v>0</v>
      </c>
      <c r="AD159" s="3074">
        <f t="shared" ref="AD159:AE159" si="251">+AD145/AD114</f>
        <v>0</v>
      </c>
      <c r="AE159" s="3074">
        <f t="shared" si="251"/>
        <v>0</v>
      </c>
      <c r="AF159" s="3074">
        <f t="shared" ref="AF159" si="252">+AF145/AF114</f>
        <v>0</v>
      </c>
    </row>
    <row r="160" spans="1:43" s="220" customFormat="1" ht="12.75">
      <c r="A160" s="940"/>
      <c r="B160" s="940"/>
      <c r="C160" s="711"/>
      <c r="D160" s="843"/>
      <c r="E160" s="334" t="s">
        <v>1672</v>
      </c>
      <c r="F160" s="187" t="s">
        <v>1657</v>
      </c>
      <c r="G160" s="1940">
        <f>+G146/G115</f>
        <v>0.18223329950365755</v>
      </c>
      <c r="H160" s="1940">
        <f t="shared" ref="H160:P160" si="253">+H146/H115</f>
        <v>0.18223409283788278</v>
      </c>
      <c r="I160" s="1940">
        <f t="shared" si="253"/>
        <v>0.18668988622502278</v>
      </c>
      <c r="J160" s="1940">
        <f t="shared" si="253"/>
        <v>0.12608499818734656</v>
      </c>
      <c r="K160" s="1940">
        <f t="shared" si="253"/>
        <v>0.12934255376824719</v>
      </c>
      <c r="L160" s="1940">
        <f t="shared" si="253"/>
        <v>0.16004203191704205</v>
      </c>
      <c r="M160" s="1940">
        <f t="shared" si="253"/>
        <v>0.1726138774943633</v>
      </c>
      <c r="N160" s="1940">
        <f t="shared" si="253"/>
        <v>0.17488601883751065</v>
      </c>
      <c r="O160" s="1940">
        <f t="shared" si="253"/>
        <v>0.1861203268708421</v>
      </c>
      <c r="P160" s="1940">
        <f t="shared" si="253"/>
        <v>0.19424149653475592</v>
      </c>
      <c r="Q160" s="1940">
        <f t="shared" si="233"/>
        <v>0.1910739405701829</v>
      </c>
      <c r="R160" s="1940">
        <f t="shared" si="233"/>
        <v>0.18344500798451605</v>
      </c>
      <c r="S160" s="1940">
        <f t="shared" si="234"/>
        <v>0.19376195839279214</v>
      </c>
      <c r="T160" s="1940">
        <f t="shared" si="234"/>
        <v>0.18647999268379883</v>
      </c>
      <c r="U160" s="1940">
        <f t="shared" si="235"/>
        <v>0.18540487272716308</v>
      </c>
      <c r="V160" s="1940">
        <f t="shared" si="235"/>
        <v>0.18549506753880213</v>
      </c>
      <c r="W160" s="1940">
        <f t="shared" si="236"/>
        <v>0.18802339012416994</v>
      </c>
      <c r="X160" s="3073">
        <f t="shared" si="236"/>
        <v>0.1909462916285726</v>
      </c>
      <c r="Y160" s="3073">
        <f>+Y146/Y115</f>
        <v>0.19400129961630683</v>
      </c>
      <c r="Z160" s="3073">
        <f t="shared" si="237"/>
        <v>0.19458391435623074</v>
      </c>
      <c r="AA160" s="3073">
        <f t="shared" si="237"/>
        <v>0.19631483550829401</v>
      </c>
      <c r="AB160" s="3073">
        <f t="shared" ref="AB160:AC160" si="254">+AB146/AB115</f>
        <v>0.19754613210387578</v>
      </c>
      <c r="AC160" s="3073">
        <f t="shared" si="254"/>
        <v>0.19526714454993319</v>
      </c>
      <c r="AD160" s="3073">
        <f t="shared" ref="AD160:AE160" si="255">+AD146/AD115</f>
        <v>0.19459048638111123</v>
      </c>
      <c r="AE160" s="3073">
        <f t="shared" si="255"/>
        <v>0.19315843775291738</v>
      </c>
      <c r="AF160" s="3073">
        <f t="shared" ref="AF160" si="256">+AF146/AF115</f>
        <v>0.19196384561633428</v>
      </c>
      <c r="AG160" s="2954"/>
      <c r="AH160" s="2954"/>
      <c r="AI160" s="2954"/>
      <c r="AJ160" s="2954"/>
      <c r="AK160" s="2954"/>
      <c r="AL160" s="2954"/>
      <c r="AM160" s="2954"/>
      <c r="AN160" s="2954"/>
      <c r="AO160" s="2954"/>
      <c r="AP160" s="2954"/>
      <c r="AQ160" s="2954"/>
    </row>
    <row r="161" spans="1:43" s="220" customFormat="1" ht="30" customHeight="1">
      <c r="A161" s="940"/>
      <c r="B161" s="940"/>
      <c r="C161" s="711"/>
      <c r="D161" s="711"/>
      <c r="F161" s="747"/>
      <c r="Q161" s="352"/>
      <c r="R161" s="2287"/>
      <c r="S161" s="3063"/>
      <c r="T161" s="3063"/>
      <c r="U161" s="3063"/>
      <c r="V161" s="3063"/>
      <c r="W161" s="3063"/>
      <c r="X161" s="3063"/>
      <c r="Y161" s="3063"/>
      <c r="Z161" s="3063"/>
      <c r="AA161" s="3063"/>
      <c r="AB161" s="3063"/>
      <c r="AC161" s="3063"/>
      <c r="AD161" s="3063"/>
      <c r="AE161" s="3063"/>
      <c r="AF161" s="3063"/>
      <c r="AG161" s="2954"/>
      <c r="AH161" s="2954"/>
      <c r="AI161" s="2954"/>
      <c r="AJ161" s="2954"/>
      <c r="AK161" s="2954"/>
      <c r="AL161" s="2954"/>
      <c r="AM161" s="2954"/>
      <c r="AN161" s="2954"/>
      <c r="AO161" s="2954"/>
      <c r="AP161" s="2954"/>
      <c r="AQ161" s="2954"/>
    </row>
    <row r="162" spans="1:43">
      <c r="D162" s="937"/>
      <c r="E162" s="938" t="s">
        <v>447</v>
      </c>
      <c r="F162" s="939"/>
      <c r="G162" s="735">
        <f>+InputY!$G$3</f>
        <v>1995</v>
      </c>
      <c r="H162" s="735">
        <f>+G162+1</f>
        <v>1996</v>
      </c>
      <c r="I162" s="735">
        <f t="shared" ref="I162:O162" si="257">+H162+1</f>
        <v>1997</v>
      </c>
      <c r="J162" s="735">
        <f t="shared" si="257"/>
        <v>1998</v>
      </c>
      <c r="K162" s="735">
        <f t="shared" si="257"/>
        <v>1999</v>
      </c>
      <c r="L162" s="735">
        <f t="shared" si="257"/>
        <v>2000</v>
      </c>
      <c r="M162" s="735">
        <f t="shared" si="257"/>
        <v>2001</v>
      </c>
      <c r="N162" s="735">
        <f t="shared" si="257"/>
        <v>2002</v>
      </c>
      <c r="O162" s="735">
        <f t="shared" si="257"/>
        <v>2003</v>
      </c>
      <c r="P162" s="735">
        <f>+O162+1</f>
        <v>2004</v>
      </c>
      <c r="Q162" s="735">
        <f>+P162+1</f>
        <v>2005</v>
      </c>
      <c r="R162" s="735">
        <f>+Q162+1</f>
        <v>2006</v>
      </c>
      <c r="S162" s="735">
        <f>+R162+1</f>
        <v>2007</v>
      </c>
      <c r="T162" s="735">
        <f t="shared" ref="T162:AF162" si="258">+S162+1</f>
        <v>2008</v>
      </c>
      <c r="U162" s="735">
        <f t="shared" si="258"/>
        <v>2009</v>
      </c>
      <c r="V162" s="735">
        <f t="shared" si="258"/>
        <v>2010</v>
      </c>
      <c r="W162" s="735">
        <f t="shared" si="258"/>
        <v>2011</v>
      </c>
      <c r="X162" s="2271">
        <f t="shared" si="258"/>
        <v>2012</v>
      </c>
      <c r="Y162" s="2271">
        <f t="shared" si="258"/>
        <v>2013</v>
      </c>
      <c r="Z162" s="2271">
        <f t="shared" si="258"/>
        <v>2014</v>
      </c>
      <c r="AA162" s="2271">
        <f t="shared" si="258"/>
        <v>2015</v>
      </c>
      <c r="AB162" s="2271">
        <f t="shared" si="258"/>
        <v>2016</v>
      </c>
      <c r="AC162" s="2271">
        <f t="shared" si="258"/>
        <v>2017</v>
      </c>
      <c r="AD162" s="2271">
        <f t="shared" si="258"/>
        <v>2018</v>
      </c>
      <c r="AE162" s="2271">
        <f t="shared" si="258"/>
        <v>2019</v>
      </c>
      <c r="AF162" s="2271">
        <f t="shared" si="258"/>
        <v>2020</v>
      </c>
    </row>
    <row r="163" spans="1:43" s="935" customFormat="1" ht="20.25">
      <c r="A163" s="934"/>
      <c r="B163" s="934"/>
      <c r="C163" s="941" t="s">
        <v>1791</v>
      </c>
      <c r="D163" s="942"/>
      <c r="E163" s="943" t="s">
        <v>397</v>
      </c>
      <c r="F163" s="954" t="s">
        <v>1658</v>
      </c>
      <c r="G163" s="1502">
        <f>+G165-G164</f>
        <v>92.498000000000019</v>
      </c>
      <c r="H163" s="1502">
        <f t="shared" ref="H163:P163" si="259">+H165-H164</f>
        <v>97.831000000000074</v>
      </c>
      <c r="I163" s="1502">
        <f t="shared" si="259"/>
        <v>105.87500000000006</v>
      </c>
      <c r="J163" s="1502">
        <f t="shared" si="259"/>
        <v>77.934999999999945</v>
      </c>
      <c r="K163" s="1502">
        <f t="shared" si="259"/>
        <v>82.903999999999996</v>
      </c>
      <c r="L163" s="1502">
        <f t="shared" si="259"/>
        <v>106.80900000000008</v>
      </c>
      <c r="M163" s="1502">
        <f t="shared" si="259"/>
        <v>122.67099999999988</v>
      </c>
      <c r="N163" s="1502">
        <f t="shared" si="259"/>
        <v>128.39100000000002</v>
      </c>
      <c r="O163" s="1502">
        <f t="shared" si="259"/>
        <v>136.16399999999993</v>
      </c>
      <c r="P163" s="1502">
        <f t="shared" si="259"/>
        <v>148.07000000000016</v>
      </c>
      <c r="Q163" s="1502">
        <f t="shared" ref="Q163:V163" si="260">+Q165-Q164</f>
        <v>150.48099999999982</v>
      </c>
      <c r="R163" s="1502">
        <f t="shared" si="260"/>
        <v>150.96699999999993</v>
      </c>
      <c r="S163" s="1502">
        <f t="shared" si="260"/>
        <v>173.10599999999999</v>
      </c>
      <c r="T163" s="1502">
        <f t="shared" si="260"/>
        <v>174.99099999999999</v>
      </c>
      <c r="U163" s="1502">
        <f t="shared" si="260"/>
        <v>178.83600000000013</v>
      </c>
      <c r="V163" s="1502">
        <f t="shared" si="260"/>
        <v>185.22300000000001</v>
      </c>
      <c r="W163" s="1502">
        <f t="shared" ref="W163:AB163" si="261">+W165-W164</f>
        <v>200.98899999999998</v>
      </c>
      <c r="X163" s="1502">
        <f t="shared" si="261"/>
        <v>211.15999999999991</v>
      </c>
      <c r="Y163" s="1502">
        <f t="shared" si="261"/>
        <v>221.11300000000006</v>
      </c>
      <c r="Z163" s="1502">
        <f t="shared" si="261"/>
        <v>230.42100000000016</v>
      </c>
      <c r="AA163" s="1502">
        <f t="shared" si="261"/>
        <v>242.274</v>
      </c>
      <c r="AB163" s="1502">
        <f t="shared" si="261"/>
        <v>253.84000000000009</v>
      </c>
      <c r="AC163" s="1502">
        <f t="shared" ref="AC163" si="262">+AC165-AC164</f>
        <v>261.00900000000024</v>
      </c>
      <c r="AD163" s="3068">
        <f t="shared" ref="AD163:AE163" si="263">+AD142*AD29/1000</f>
        <v>271.70995138560028</v>
      </c>
      <c r="AE163" s="3068">
        <f t="shared" si="263"/>
        <v>279.22585620585301</v>
      </c>
      <c r="AF163" s="3068">
        <f t="shared" ref="AF163" si="264">+AF142*AF29/1000</f>
        <v>285.81530718645496</v>
      </c>
      <c r="AG163" s="2941"/>
      <c r="AH163" s="2941"/>
      <c r="AI163" s="2941"/>
      <c r="AJ163" s="2941"/>
      <c r="AK163" s="2941"/>
      <c r="AL163" s="2941"/>
      <c r="AM163" s="2941"/>
      <c r="AN163" s="2941"/>
      <c r="AO163" s="2941"/>
      <c r="AP163" s="2941"/>
      <c r="AQ163" s="2941"/>
    </row>
    <row r="164" spans="1:43" s="935" customFormat="1" ht="20.25">
      <c r="A164" s="934"/>
      <c r="B164" s="934"/>
      <c r="C164" s="944" t="s">
        <v>1791</v>
      </c>
      <c r="D164" s="945"/>
      <c r="E164" s="946" t="s">
        <v>398</v>
      </c>
      <c r="F164" s="955" t="s">
        <v>1659</v>
      </c>
      <c r="G164" s="1084">
        <f t="shared" ref="G164:P164" si="265">+G210-G133</f>
        <v>35.462999999999994</v>
      </c>
      <c r="H164" s="1084">
        <f t="shared" si="265"/>
        <v>37.833000000000027</v>
      </c>
      <c r="I164" s="1084">
        <f t="shared" si="265"/>
        <v>38.949999999999989</v>
      </c>
      <c r="J164" s="1084">
        <f t="shared" si="265"/>
        <v>25.168999999999983</v>
      </c>
      <c r="K164" s="1084">
        <f t="shared" si="265"/>
        <v>28.955000000000041</v>
      </c>
      <c r="L164" s="1084">
        <f t="shared" si="265"/>
        <v>41.076999999999998</v>
      </c>
      <c r="M164" s="1084">
        <f t="shared" si="265"/>
        <v>46.021999999999991</v>
      </c>
      <c r="N164" s="1084">
        <f t="shared" si="265"/>
        <v>48.161000000000001</v>
      </c>
      <c r="O164" s="1084">
        <f t="shared" si="265"/>
        <v>56.512</v>
      </c>
      <c r="P164" s="1084">
        <f t="shared" si="265"/>
        <v>58.375</v>
      </c>
      <c r="Q164" s="1084">
        <f t="shared" ref="Q164:V164" si="266">+Q210-Q133</f>
        <v>60.12299999999999</v>
      </c>
      <c r="R164" s="1084">
        <f t="shared" si="266"/>
        <v>62.477000000000032</v>
      </c>
      <c r="S164" s="1084">
        <f t="shared" si="266"/>
        <v>68.270999999999958</v>
      </c>
      <c r="T164" s="1084">
        <f t="shared" si="266"/>
        <v>70.548999999999978</v>
      </c>
      <c r="U164" s="1084">
        <f t="shared" si="266"/>
        <v>65.881999999999948</v>
      </c>
      <c r="V164" s="1084">
        <f t="shared" si="266"/>
        <v>66.950999999999965</v>
      </c>
      <c r="W164" s="1084">
        <f t="shared" ref="W164:AB164" si="267">+W210-W133</f>
        <v>68.520000000000039</v>
      </c>
      <c r="X164" s="1084">
        <f t="shared" si="267"/>
        <v>72.70700000000005</v>
      </c>
      <c r="Y164" s="1084">
        <f t="shared" si="267"/>
        <v>75.15300000000002</v>
      </c>
      <c r="Z164" s="1084">
        <f t="shared" si="267"/>
        <v>78.024999999999977</v>
      </c>
      <c r="AA164" s="1084">
        <f t="shared" si="267"/>
        <v>81.928999999999974</v>
      </c>
      <c r="AB164" s="1084">
        <f t="shared" si="267"/>
        <v>87.301999999999964</v>
      </c>
      <c r="AC164" s="1084">
        <f t="shared" ref="AC164" si="268">+AC210-AC133</f>
        <v>92.088999999999942</v>
      </c>
      <c r="AD164" s="3061">
        <f t="shared" ref="AD164:AE164" si="269">+AD143*AD30/1000</f>
        <v>96.560013038999941</v>
      </c>
      <c r="AE164" s="3061">
        <f t="shared" si="269"/>
        <v>99.866227885455302</v>
      </c>
      <c r="AF164" s="3061">
        <f t="shared" ref="AF164" si="270">+AF143*AF30/1000</f>
        <v>103.19499895320166</v>
      </c>
      <c r="AG164" s="2941"/>
      <c r="AH164" s="2941"/>
      <c r="AI164" s="2941"/>
      <c r="AJ164" s="2941"/>
      <c r="AK164" s="2941"/>
      <c r="AL164" s="2941"/>
      <c r="AM164" s="2941"/>
      <c r="AN164" s="2941"/>
      <c r="AO164" s="2941"/>
      <c r="AP164" s="2941"/>
      <c r="AQ164" s="2941"/>
    </row>
    <row r="165" spans="1:43" s="935" customFormat="1" ht="12.75">
      <c r="A165" s="934"/>
      <c r="B165" s="934"/>
      <c r="C165" s="944" t="s">
        <v>1793</v>
      </c>
      <c r="D165" s="947"/>
      <c r="E165" s="948" t="s">
        <v>399</v>
      </c>
      <c r="F165" s="953" t="s">
        <v>1620</v>
      </c>
      <c r="G165" s="957">
        <f t="shared" ref="G165:R165" si="271">+G213-G134</f>
        <v>127.96100000000001</v>
      </c>
      <c r="H165" s="957">
        <f t="shared" si="271"/>
        <v>135.6640000000001</v>
      </c>
      <c r="I165" s="957">
        <f t="shared" si="271"/>
        <v>144.82500000000005</v>
      </c>
      <c r="J165" s="957">
        <f t="shared" si="271"/>
        <v>103.10399999999993</v>
      </c>
      <c r="K165" s="957">
        <f t="shared" si="271"/>
        <v>111.85900000000004</v>
      </c>
      <c r="L165" s="957">
        <f t="shared" si="271"/>
        <v>147.88600000000008</v>
      </c>
      <c r="M165" s="957">
        <f t="shared" si="271"/>
        <v>168.69299999999987</v>
      </c>
      <c r="N165" s="957">
        <f t="shared" si="271"/>
        <v>176.55200000000002</v>
      </c>
      <c r="O165" s="957">
        <f t="shared" si="271"/>
        <v>192.67599999999993</v>
      </c>
      <c r="P165" s="957">
        <f t="shared" si="271"/>
        <v>206.44500000000016</v>
      </c>
      <c r="Q165" s="957">
        <f t="shared" si="271"/>
        <v>210.60399999999981</v>
      </c>
      <c r="R165" s="957">
        <f t="shared" si="271"/>
        <v>213.44399999999996</v>
      </c>
      <c r="S165" s="957">
        <f t="shared" ref="S165:X165" si="272">+S213-S134</f>
        <v>241.37699999999995</v>
      </c>
      <c r="T165" s="957">
        <f t="shared" si="272"/>
        <v>245.53999999999996</v>
      </c>
      <c r="U165" s="957">
        <f t="shared" si="272"/>
        <v>244.71800000000007</v>
      </c>
      <c r="V165" s="957">
        <f t="shared" si="272"/>
        <v>252.17399999999998</v>
      </c>
      <c r="W165" s="957">
        <f t="shared" si="272"/>
        <v>269.50900000000001</v>
      </c>
      <c r="X165" s="957">
        <f t="shared" si="272"/>
        <v>283.86699999999996</v>
      </c>
      <c r="Y165" s="957">
        <f>+Y213-Y134</f>
        <v>296.26600000000008</v>
      </c>
      <c r="Z165" s="957">
        <f>+Z213-Z134</f>
        <v>308.44600000000014</v>
      </c>
      <c r="AA165" s="957">
        <f>+AA213-AA134</f>
        <v>324.20299999999997</v>
      </c>
      <c r="AB165" s="957">
        <f>+AB213-AB134</f>
        <v>341.14200000000005</v>
      </c>
      <c r="AC165" s="957">
        <f>+AC213-AC134</f>
        <v>353.09800000000018</v>
      </c>
      <c r="AD165" s="3069">
        <f>+AD163+AD164</f>
        <v>368.26996442460023</v>
      </c>
      <c r="AE165" s="3069">
        <f>+AE163+AE164</f>
        <v>379.09208409130832</v>
      </c>
      <c r="AF165" s="3069">
        <f>+AF163+AF164</f>
        <v>389.01030613965662</v>
      </c>
      <c r="AG165" s="2941"/>
      <c r="AH165" s="2941"/>
      <c r="AI165" s="2941"/>
      <c r="AJ165" s="2941"/>
      <c r="AK165" s="2941"/>
      <c r="AL165" s="2941"/>
      <c r="AM165" s="2941"/>
      <c r="AN165" s="2941"/>
      <c r="AO165" s="2941"/>
      <c r="AP165" s="2941"/>
      <c r="AQ165" s="2941"/>
    </row>
    <row r="166" spans="1:43" s="935" customFormat="1" ht="20.25">
      <c r="A166" s="934"/>
      <c r="B166" s="934"/>
      <c r="C166" s="949" t="s">
        <v>1791</v>
      </c>
      <c r="D166" s="950"/>
      <c r="E166" s="951" t="s">
        <v>1650</v>
      </c>
      <c r="F166" s="956" t="s">
        <v>1860</v>
      </c>
      <c r="G166" s="958">
        <f>+G167-G165</f>
        <v>6.500000000005457E-2</v>
      </c>
      <c r="H166" s="958">
        <f>+H167-H165</f>
        <v>4.4999999999845386E-2</v>
      </c>
      <c r="I166" s="958">
        <f t="shared" ref="I166:V166" si="273">+I167-I165</f>
        <v>0.1129999999999427</v>
      </c>
      <c r="J166" s="958">
        <f t="shared" si="273"/>
        <v>0.19000000000005457</v>
      </c>
      <c r="K166" s="958">
        <f t="shared" si="273"/>
        <v>0.26999999999998181</v>
      </c>
      <c r="L166" s="958">
        <f t="shared" si="273"/>
        <v>0.30699999999990268</v>
      </c>
      <c r="M166" s="958">
        <f t="shared" si="273"/>
        <v>0.42700000000002092</v>
      </c>
      <c r="N166" s="958">
        <f t="shared" si="273"/>
        <v>0.51099999999996726</v>
      </c>
      <c r="O166" s="958">
        <f t="shared" si="273"/>
        <v>0.41900000000009641</v>
      </c>
      <c r="P166" s="958">
        <f t="shared" si="273"/>
        <v>0.39499999999998181</v>
      </c>
      <c r="Q166" s="958">
        <f t="shared" si="273"/>
        <v>0.47500000000013642</v>
      </c>
      <c r="R166" s="958">
        <f t="shared" si="273"/>
        <v>0.56899999999995998</v>
      </c>
      <c r="S166" s="958">
        <f t="shared" si="273"/>
        <v>0.85800000000017462</v>
      </c>
      <c r="T166" s="958">
        <f t="shared" si="273"/>
        <v>1.1900000000000546</v>
      </c>
      <c r="U166" s="958">
        <f t="shared" si="273"/>
        <v>1.3709999999998672</v>
      </c>
      <c r="V166" s="958">
        <f t="shared" si="273"/>
        <v>1.4100000000000819</v>
      </c>
      <c r="W166" s="958">
        <f t="shared" ref="W166:AB166" si="274">+W167-W165</f>
        <v>1.359000000000151</v>
      </c>
      <c r="X166" s="958">
        <f t="shared" si="274"/>
        <v>1.4270000000001346</v>
      </c>
      <c r="Y166" s="958">
        <f t="shared" si="274"/>
        <v>1.3899999999998727</v>
      </c>
      <c r="Z166" s="958">
        <f t="shared" si="274"/>
        <v>1.4749999999996817</v>
      </c>
      <c r="AA166" s="958">
        <f t="shared" si="274"/>
        <v>1.1590000000001055</v>
      </c>
      <c r="AB166" s="958">
        <f t="shared" si="274"/>
        <v>0.69399999999973261</v>
      </c>
      <c r="AC166" s="958">
        <f t="shared" ref="AC166" si="275">+AC167-AC165</f>
        <v>0.53899999999998727</v>
      </c>
      <c r="AD166" s="3070">
        <f>+AD145*AD34/1000</f>
        <v>0</v>
      </c>
      <c r="AE166" s="3070">
        <f>+AE145*AE34/1000</f>
        <v>0</v>
      </c>
      <c r="AF166" s="3070">
        <f>+AF145*AF34/1000</f>
        <v>0</v>
      </c>
      <c r="AG166" s="2941"/>
      <c r="AH166" s="2941"/>
      <c r="AI166" s="2941"/>
      <c r="AJ166" s="2941"/>
      <c r="AK166" s="2941"/>
      <c r="AL166" s="2941"/>
      <c r="AM166" s="2941"/>
      <c r="AN166" s="2941"/>
      <c r="AO166" s="2941"/>
      <c r="AP166" s="2941"/>
      <c r="AQ166" s="2941"/>
    </row>
    <row r="167" spans="1:43" s="946" customFormat="1" ht="12.75">
      <c r="A167" s="952"/>
      <c r="B167" s="952"/>
      <c r="C167" s="945" t="s">
        <v>1793</v>
      </c>
      <c r="D167" s="947"/>
      <c r="E167" s="948" t="s">
        <v>1651</v>
      </c>
      <c r="F167" s="953" t="s">
        <v>742</v>
      </c>
      <c r="G167" s="957">
        <f t="shared" ref="G167:R167" si="276">+G216-G136</f>
        <v>128.02600000000007</v>
      </c>
      <c r="H167" s="957">
        <f t="shared" si="276"/>
        <v>135.70899999999995</v>
      </c>
      <c r="I167" s="957">
        <f t="shared" si="276"/>
        <v>144.93799999999999</v>
      </c>
      <c r="J167" s="957">
        <f t="shared" si="276"/>
        <v>103.29399999999998</v>
      </c>
      <c r="K167" s="957">
        <f t="shared" si="276"/>
        <v>112.12900000000002</v>
      </c>
      <c r="L167" s="957">
        <f t="shared" si="276"/>
        <v>148.19299999999998</v>
      </c>
      <c r="M167" s="957">
        <f t="shared" si="276"/>
        <v>169.11999999999989</v>
      </c>
      <c r="N167" s="957">
        <f t="shared" si="276"/>
        <v>177.06299999999999</v>
      </c>
      <c r="O167" s="957">
        <f t="shared" si="276"/>
        <v>193.09500000000003</v>
      </c>
      <c r="P167" s="957">
        <f t="shared" si="276"/>
        <v>206.84000000000015</v>
      </c>
      <c r="Q167" s="957">
        <f t="shared" si="276"/>
        <v>211.07899999999995</v>
      </c>
      <c r="R167" s="957">
        <f t="shared" si="276"/>
        <v>214.01299999999992</v>
      </c>
      <c r="S167" s="957">
        <f t="shared" ref="S167:X167" si="277">+S216-S136</f>
        <v>242.23500000000013</v>
      </c>
      <c r="T167" s="957">
        <f t="shared" si="277"/>
        <v>246.73000000000002</v>
      </c>
      <c r="U167" s="957">
        <f t="shared" si="277"/>
        <v>246.08899999999994</v>
      </c>
      <c r="V167" s="957">
        <f t="shared" si="277"/>
        <v>253.58400000000006</v>
      </c>
      <c r="W167" s="957">
        <f t="shared" si="277"/>
        <v>270.86800000000017</v>
      </c>
      <c r="X167" s="957">
        <f t="shared" si="277"/>
        <v>285.2940000000001</v>
      </c>
      <c r="Y167" s="957">
        <f>+Y216-Y136</f>
        <v>297.65599999999995</v>
      </c>
      <c r="Z167" s="957">
        <f>+Z216-Z136</f>
        <v>309.92099999999982</v>
      </c>
      <c r="AA167" s="957">
        <f>+AA216-AA136</f>
        <v>325.36200000000008</v>
      </c>
      <c r="AB167" s="957">
        <f>+AB216-AB136</f>
        <v>341.83599999999979</v>
      </c>
      <c r="AC167" s="957">
        <f>+AC216-AC136</f>
        <v>353.63700000000017</v>
      </c>
      <c r="AD167" s="3069">
        <f>+AD165+AD166</f>
        <v>368.26996442460023</v>
      </c>
      <c r="AE167" s="3069">
        <f>+AE165+AE166</f>
        <v>379.09208409130832</v>
      </c>
      <c r="AF167" s="3069">
        <f>+AF165+AF166</f>
        <v>389.01030613965662</v>
      </c>
      <c r="AG167" s="2957"/>
      <c r="AH167" s="2957"/>
      <c r="AI167" s="2957"/>
      <c r="AJ167" s="2957"/>
      <c r="AK167" s="2957"/>
      <c r="AL167" s="2957"/>
      <c r="AM167" s="2957"/>
      <c r="AN167" s="2957"/>
      <c r="AO167" s="2957"/>
      <c r="AP167" s="2957"/>
      <c r="AQ167" s="2957"/>
    </row>
    <row r="168" spans="1:43" s="736" customFormat="1" ht="12.75">
      <c r="A168" s="700"/>
      <c r="B168" s="700"/>
      <c r="C168" s="731"/>
      <c r="D168" s="707"/>
      <c r="F168" s="731"/>
      <c r="X168" s="2354"/>
      <c r="Y168" s="2354"/>
      <c r="Z168" s="2354"/>
      <c r="AA168" s="2354"/>
      <c r="AB168" s="2354"/>
      <c r="AC168" s="2354"/>
      <c r="AD168" s="2354"/>
      <c r="AE168" s="2354"/>
      <c r="AF168" s="2354"/>
      <c r="AG168" s="2939"/>
      <c r="AH168" s="2939"/>
      <c r="AI168" s="2939"/>
      <c r="AJ168" s="2939"/>
      <c r="AK168" s="2939"/>
      <c r="AL168" s="2939"/>
      <c r="AM168" s="2939"/>
      <c r="AN168" s="2939"/>
      <c r="AO168" s="2939"/>
      <c r="AP168" s="2939"/>
      <c r="AQ168" s="2939"/>
    </row>
    <row r="169" spans="1:43">
      <c r="D169" s="963"/>
      <c r="E169" s="964" t="s">
        <v>405</v>
      </c>
      <c r="F169" s="965"/>
      <c r="G169" s="782">
        <f>+InputY!$G$3</f>
        <v>1995</v>
      </c>
      <c r="H169" s="782">
        <f>+G169+1</f>
        <v>1996</v>
      </c>
      <c r="I169" s="782">
        <f t="shared" ref="I169:O169" si="278">+H169+1</f>
        <v>1997</v>
      </c>
      <c r="J169" s="782">
        <f t="shared" si="278"/>
        <v>1998</v>
      </c>
      <c r="K169" s="782">
        <f t="shared" si="278"/>
        <v>1999</v>
      </c>
      <c r="L169" s="782">
        <f t="shared" si="278"/>
        <v>2000</v>
      </c>
      <c r="M169" s="782">
        <f t="shared" si="278"/>
        <v>2001</v>
      </c>
      <c r="N169" s="782">
        <f t="shared" si="278"/>
        <v>2002</v>
      </c>
      <c r="O169" s="782">
        <f t="shared" si="278"/>
        <v>2003</v>
      </c>
      <c r="P169" s="782">
        <f>+O169+1</f>
        <v>2004</v>
      </c>
      <c r="Q169" s="782">
        <f>+P169+1</f>
        <v>2005</v>
      </c>
      <c r="R169" s="782">
        <f>+Q169+1</f>
        <v>2006</v>
      </c>
      <c r="S169" s="782">
        <f>+R169+1</f>
        <v>2007</v>
      </c>
      <c r="T169" s="782">
        <f t="shared" ref="T169:AF169" si="279">+S169+1</f>
        <v>2008</v>
      </c>
      <c r="U169" s="782">
        <f t="shared" si="279"/>
        <v>2009</v>
      </c>
      <c r="V169" s="782">
        <f t="shared" si="279"/>
        <v>2010</v>
      </c>
      <c r="W169" s="782">
        <f t="shared" si="279"/>
        <v>2011</v>
      </c>
      <c r="X169" s="2272">
        <f t="shared" si="279"/>
        <v>2012</v>
      </c>
      <c r="Y169" s="2272">
        <f t="shared" si="279"/>
        <v>2013</v>
      </c>
      <c r="Z169" s="2272">
        <f t="shared" si="279"/>
        <v>2014</v>
      </c>
      <c r="AA169" s="2272">
        <f t="shared" si="279"/>
        <v>2015</v>
      </c>
      <c r="AB169" s="2272">
        <f t="shared" si="279"/>
        <v>2016</v>
      </c>
      <c r="AC169" s="2272">
        <f t="shared" si="279"/>
        <v>2017</v>
      </c>
      <c r="AD169" s="2272">
        <f t="shared" si="279"/>
        <v>2018</v>
      </c>
      <c r="AE169" s="2272">
        <f t="shared" si="279"/>
        <v>2019</v>
      </c>
      <c r="AF169" s="2272">
        <f t="shared" si="279"/>
        <v>2020</v>
      </c>
    </row>
    <row r="170" spans="1:43" s="935" customFormat="1" ht="20.25">
      <c r="A170" s="934"/>
      <c r="B170" s="934"/>
      <c r="C170" s="986" t="s">
        <v>1791</v>
      </c>
      <c r="D170" s="987"/>
      <c r="E170" s="988" t="s">
        <v>397</v>
      </c>
      <c r="F170" s="989" t="s">
        <v>1658</v>
      </c>
      <c r="G170" s="1744"/>
      <c r="H170" s="1744">
        <f t="shared" ref="H170:AF170" si="280">(H163/G163-1)*100</f>
        <v>5.7655300655149899</v>
      </c>
      <c r="I170" s="1744">
        <f t="shared" si="280"/>
        <v>8.2223426112377318</v>
      </c>
      <c r="J170" s="1744">
        <f t="shared" si="280"/>
        <v>-26.389610389610485</v>
      </c>
      <c r="K170" s="1744">
        <f t="shared" si="280"/>
        <v>6.3758260088536023</v>
      </c>
      <c r="L170" s="1744">
        <f t="shared" si="280"/>
        <v>28.834555630608993</v>
      </c>
      <c r="M170" s="1744">
        <f t="shared" si="280"/>
        <v>14.850808452471021</v>
      </c>
      <c r="N170" s="1744">
        <f t="shared" si="280"/>
        <v>4.6628787570005548</v>
      </c>
      <c r="O170" s="1744">
        <f t="shared" si="280"/>
        <v>6.054162674953778</v>
      </c>
      <c r="P170" s="1744">
        <f t="shared" si="280"/>
        <v>8.7438676889634905</v>
      </c>
      <c r="Q170" s="1744">
        <f t="shared" si="280"/>
        <v>1.628283919767437</v>
      </c>
      <c r="R170" s="1744">
        <f t="shared" si="280"/>
        <v>0.32296436094929604</v>
      </c>
      <c r="S170" s="1744">
        <f t="shared" si="280"/>
        <v>14.664794292792527</v>
      </c>
      <c r="T170" s="1744">
        <f t="shared" si="280"/>
        <v>1.0889281711783383</v>
      </c>
      <c r="U170" s="1744">
        <f t="shared" si="280"/>
        <v>2.1972558588728264</v>
      </c>
      <c r="V170" s="1744">
        <f t="shared" si="280"/>
        <v>3.5714285714285143</v>
      </c>
      <c r="W170" s="1744">
        <f t="shared" si="280"/>
        <v>8.5119018696381943</v>
      </c>
      <c r="X170" s="3075">
        <f t="shared" si="280"/>
        <v>5.060475946444809</v>
      </c>
      <c r="Y170" s="3075">
        <f t="shared" si="280"/>
        <v>4.7134874029172824</v>
      </c>
      <c r="Z170" s="3075">
        <f t="shared" si="280"/>
        <v>4.2096122796941415</v>
      </c>
      <c r="AA170" s="3075">
        <f t="shared" si="280"/>
        <v>5.1440623901466642</v>
      </c>
      <c r="AB170" s="3075">
        <f t="shared" si="280"/>
        <v>4.7739336453767489</v>
      </c>
      <c r="AC170" s="3075">
        <f t="shared" si="280"/>
        <v>2.8242199810905033</v>
      </c>
      <c r="AD170" s="3075">
        <f t="shared" si="280"/>
        <v>4.0998400000000101</v>
      </c>
      <c r="AE170" s="3075">
        <f t="shared" si="280"/>
        <v>2.7661499999999783</v>
      </c>
      <c r="AF170" s="3075">
        <f t="shared" si="280"/>
        <v>2.3599000000000148</v>
      </c>
      <c r="AG170" s="2941"/>
      <c r="AH170" s="2941"/>
      <c r="AI170" s="2941"/>
      <c r="AJ170" s="2941"/>
      <c r="AK170" s="2941"/>
      <c r="AL170" s="2941"/>
      <c r="AM170" s="2941"/>
      <c r="AN170" s="2941"/>
      <c r="AO170" s="2941"/>
      <c r="AP170" s="2941"/>
      <c r="AQ170" s="2941"/>
    </row>
    <row r="171" spans="1:43" s="935" customFormat="1" ht="20.25">
      <c r="A171" s="934"/>
      <c r="B171" s="934"/>
      <c r="C171" s="990" t="s">
        <v>1791</v>
      </c>
      <c r="D171" s="945"/>
      <c r="E171" s="946" t="s">
        <v>398</v>
      </c>
      <c r="F171" s="955" t="s">
        <v>1659</v>
      </c>
      <c r="G171" s="1084"/>
      <c r="H171" s="1084">
        <f t="shared" ref="H171:AF171" si="281">(H164/G164-1)*100</f>
        <v>6.6830217409695525</v>
      </c>
      <c r="I171" s="1084">
        <f t="shared" si="281"/>
        <v>2.9524489202547022</v>
      </c>
      <c r="J171" s="1084">
        <f t="shared" si="281"/>
        <v>-35.381258023106575</v>
      </c>
      <c r="K171" s="1084">
        <f t="shared" si="281"/>
        <v>15.042313957646547</v>
      </c>
      <c r="L171" s="1084">
        <f t="shared" si="281"/>
        <v>41.864962873424069</v>
      </c>
      <c r="M171" s="1084">
        <f t="shared" si="281"/>
        <v>12.038366969350234</v>
      </c>
      <c r="N171" s="1084">
        <f t="shared" si="281"/>
        <v>4.6477771500586851</v>
      </c>
      <c r="O171" s="1084">
        <f t="shared" si="281"/>
        <v>17.339756234297464</v>
      </c>
      <c r="P171" s="1084">
        <f t="shared" si="281"/>
        <v>3.2966449603623937</v>
      </c>
      <c r="Q171" s="1084">
        <f t="shared" si="281"/>
        <v>2.9944325481798595</v>
      </c>
      <c r="R171" s="1084">
        <f t="shared" si="281"/>
        <v>3.9153069540775354</v>
      </c>
      <c r="S171" s="1084">
        <f t="shared" si="281"/>
        <v>9.2738127630966893</v>
      </c>
      <c r="T171" s="1084">
        <f t="shared" si="281"/>
        <v>3.336702260110469</v>
      </c>
      <c r="U171" s="1084">
        <f t="shared" si="281"/>
        <v>-6.615260315525429</v>
      </c>
      <c r="V171" s="1084">
        <f t="shared" si="281"/>
        <v>1.6225979782034772</v>
      </c>
      <c r="W171" s="1084">
        <f t="shared" si="281"/>
        <v>2.3435049513824691</v>
      </c>
      <c r="X171" s="2337">
        <f t="shared" si="281"/>
        <v>6.1106246351430471</v>
      </c>
      <c r="Y171" s="2337">
        <f t="shared" si="281"/>
        <v>3.3641877673401099</v>
      </c>
      <c r="Z171" s="2337">
        <f t="shared" si="281"/>
        <v>3.8215373970433175</v>
      </c>
      <c r="AA171" s="2337">
        <f t="shared" si="281"/>
        <v>5.0035245113745574</v>
      </c>
      <c r="AB171" s="2337">
        <f t="shared" si="281"/>
        <v>6.5581173943292326</v>
      </c>
      <c r="AC171" s="2337">
        <f t="shared" si="281"/>
        <v>5.4832649882018414</v>
      </c>
      <c r="AD171" s="2337">
        <f t="shared" si="281"/>
        <v>4.8551000000000011</v>
      </c>
      <c r="AE171" s="2337">
        <f t="shared" si="281"/>
        <v>3.4240000000000048</v>
      </c>
      <c r="AF171" s="2337">
        <f t="shared" si="281"/>
        <v>3.333229999999987</v>
      </c>
      <c r="AG171" s="2941"/>
      <c r="AH171" s="2941"/>
      <c r="AI171" s="2941"/>
      <c r="AJ171" s="2941"/>
      <c r="AK171" s="2941"/>
      <c r="AL171" s="2941"/>
      <c r="AM171" s="2941"/>
      <c r="AN171" s="2941"/>
      <c r="AO171" s="2941"/>
      <c r="AP171" s="2941"/>
      <c r="AQ171" s="2941"/>
    </row>
    <row r="172" spans="1:43" s="935" customFormat="1" ht="12.75">
      <c r="A172" s="934"/>
      <c r="B172" s="934"/>
      <c r="C172" s="990" t="s">
        <v>1793</v>
      </c>
      <c r="D172" s="982"/>
      <c r="E172" s="983" t="s">
        <v>399</v>
      </c>
      <c r="F172" s="984" t="s">
        <v>1620</v>
      </c>
      <c r="G172" s="985"/>
      <c r="H172" s="985">
        <f t="shared" ref="H172:W172" si="282">(H165/G165-1)*100</f>
        <v>6.0198029086988125</v>
      </c>
      <c r="I172" s="985">
        <f t="shared" si="282"/>
        <v>6.7527125840310953</v>
      </c>
      <c r="J172" s="985">
        <f t="shared" si="282"/>
        <v>-28.807871569135234</v>
      </c>
      <c r="K172" s="985">
        <f t="shared" si="282"/>
        <v>8.4914261328368656</v>
      </c>
      <c r="L172" s="985">
        <f t="shared" si="282"/>
        <v>32.207511241831256</v>
      </c>
      <c r="M172" s="985">
        <f t="shared" si="282"/>
        <v>14.069621194703874</v>
      </c>
      <c r="N172" s="985">
        <f t="shared" si="282"/>
        <v>4.6587588103834454</v>
      </c>
      <c r="O172" s="985">
        <f t="shared" si="282"/>
        <v>9.1327201051247808</v>
      </c>
      <c r="P172" s="985">
        <f t="shared" si="282"/>
        <v>7.1461936099982637</v>
      </c>
      <c r="Q172" s="985">
        <f t="shared" si="282"/>
        <v>2.0145801545204067</v>
      </c>
      <c r="R172" s="985">
        <f t="shared" si="282"/>
        <v>1.3485024026135051</v>
      </c>
      <c r="S172" s="985">
        <f t="shared" si="282"/>
        <v>13.08680496992185</v>
      </c>
      <c r="T172" s="985">
        <f t="shared" si="282"/>
        <v>1.7246879362988299</v>
      </c>
      <c r="U172" s="985">
        <f t="shared" si="282"/>
        <v>-0.33477233851914034</v>
      </c>
      <c r="V172" s="985">
        <f t="shared" si="282"/>
        <v>3.0467722031072064</v>
      </c>
      <c r="W172" s="985">
        <f t="shared" si="282"/>
        <v>6.8742217675097583</v>
      </c>
      <c r="X172" s="3076">
        <f t="shared" ref="X172:AF174" si="283">(X165/W165-1)*100</f>
        <v>5.3274658731248037</v>
      </c>
      <c r="Y172" s="3076">
        <f t="shared" si="283"/>
        <v>4.3678905966527015</v>
      </c>
      <c r="Z172" s="3076">
        <f t="shared" si="283"/>
        <v>4.1111703671700583</v>
      </c>
      <c r="AA172" s="3076">
        <f t="shared" si="283"/>
        <v>5.1085117005893466</v>
      </c>
      <c r="AB172" s="3076">
        <f t="shared" si="283"/>
        <v>5.2248128487398571</v>
      </c>
      <c r="AC172" s="3076">
        <f t="shared" si="283"/>
        <v>3.5046989230291592</v>
      </c>
      <c r="AD172" s="3076">
        <f t="shared" si="283"/>
        <v>4.2968140359333828</v>
      </c>
      <c r="AE172" s="3076">
        <f t="shared" si="283"/>
        <v>2.9386376061422803</v>
      </c>
      <c r="AF172" s="3076">
        <f t="shared" si="283"/>
        <v>2.616309457403343</v>
      </c>
      <c r="AG172" s="2941"/>
      <c r="AH172" s="2941"/>
      <c r="AI172" s="2941"/>
      <c r="AJ172" s="2941"/>
      <c r="AK172" s="2941"/>
      <c r="AL172" s="2941"/>
      <c r="AM172" s="2941"/>
      <c r="AN172" s="2941"/>
      <c r="AO172" s="2941"/>
      <c r="AP172" s="2941"/>
      <c r="AQ172" s="2941"/>
    </row>
    <row r="173" spans="1:43" s="935" customFormat="1" ht="20.25">
      <c r="A173" s="934"/>
      <c r="B173" s="934"/>
      <c r="C173" s="991" t="s">
        <v>1791</v>
      </c>
      <c r="D173" s="992"/>
      <c r="E173" s="993" t="s">
        <v>1650</v>
      </c>
      <c r="F173" s="994" t="s">
        <v>1860</v>
      </c>
      <c r="G173" s="995"/>
      <c r="H173" s="995">
        <f t="shared" ref="H173:W173" si="284">(H166/G166-1)*100</f>
        <v>-30.769230769526757</v>
      </c>
      <c r="I173" s="995">
        <f t="shared" si="284"/>
        <v>151.11111111184655</v>
      </c>
      <c r="J173" s="995">
        <f t="shared" si="284"/>
        <v>68.14159292048754</v>
      </c>
      <c r="K173" s="995">
        <f t="shared" si="284"/>
        <v>42.105263157844355</v>
      </c>
      <c r="L173" s="995">
        <f t="shared" si="284"/>
        <v>13.70370370367533</v>
      </c>
      <c r="M173" s="995">
        <f t="shared" si="284"/>
        <v>39.087947882787063</v>
      </c>
      <c r="N173" s="995">
        <f t="shared" si="284"/>
        <v>19.672131147527459</v>
      </c>
      <c r="O173" s="995">
        <f t="shared" si="284"/>
        <v>-18.003913894300737</v>
      </c>
      <c r="P173" s="995">
        <f t="shared" si="284"/>
        <v>-5.7279236277109957</v>
      </c>
      <c r="Q173" s="995">
        <f t="shared" si="284"/>
        <v>20.253164557002101</v>
      </c>
      <c r="R173" s="995">
        <f t="shared" si="284"/>
        <v>19.789473684167703</v>
      </c>
      <c r="S173" s="995">
        <f t="shared" si="284"/>
        <v>50.790861159971001</v>
      </c>
      <c r="T173" s="995">
        <f t="shared" si="284"/>
        <v>38.69463869461682</v>
      </c>
      <c r="U173" s="995">
        <f t="shared" si="284"/>
        <v>15.210084033597004</v>
      </c>
      <c r="V173" s="995">
        <f t="shared" si="284"/>
        <v>2.8446389496876945</v>
      </c>
      <c r="W173" s="995">
        <f t="shared" si="284"/>
        <v>-3.6170212765906373</v>
      </c>
      <c r="X173" s="3077">
        <f t="shared" si="283"/>
        <v>5.0036791758628407</v>
      </c>
      <c r="Y173" s="3077">
        <f t="shared" si="283"/>
        <v>-2.5928521373691948</v>
      </c>
      <c r="Z173" s="3077">
        <f t="shared" si="283"/>
        <v>6.1151079136558817</v>
      </c>
      <c r="AA173" s="3077">
        <f t="shared" si="283"/>
        <v>-21.423728813535213</v>
      </c>
      <c r="AB173" s="3077">
        <f t="shared" si="283"/>
        <v>-40.120793787776577</v>
      </c>
      <c r="AC173" s="3077">
        <f t="shared" si="283"/>
        <v>-22.334293948098715</v>
      </c>
      <c r="AD173" s="3077">
        <f t="shared" si="283"/>
        <v>-100</v>
      </c>
      <c r="AE173" s="3077" t="e">
        <f t="shared" si="283"/>
        <v>#DIV/0!</v>
      </c>
      <c r="AF173" s="3077" t="e">
        <f t="shared" si="283"/>
        <v>#DIV/0!</v>
      </c>
      <c r="AG173" s="2941"/>
      <c r="AH173" s="2941"/>
      <c r="AI173" s="2941"/>
      <c r="AJ173" s="2941"/>
      <c r="AK173" s="2941"/>
      <c r="AL173" s="2941"/>
      <c r="AM173" s="2941"/>
      <c r="AN173" s="2941"/>
      <c r="AO173" s="2941"/>
      <c r="AP173" s="2941"/>
      <c r="AQ173" s="2941"/>
    </row>
    <row r="174" spans="1:43" s="946" customFormat="1" ht="12.75">
      <c r="A174" s="952"/>
      <c r="B174" s="952"/>
      <c r="C174" s="945" t="s">
        <v>1793</v>
      </c>
      <c r="D174" s="982"/>
      <c r="E174" s="983" t="s">
        <v>1651</v>
      </c>
      <c r="F174" s="984" t="s">
        <v>742</v>
      </c>
      <c r="G174" s="985"/>
      <c r="H174" s="985">
        <f t="shared" ref="H174:W174" si="285">(H167/G167-1)*100</f>
        <v>6.0011247715306748</v>
      </c>
      <c r="I174" s="985">
        <f t="shared" si="285"/>
        <v>6.8005806541939329</v>
      </c>
      <c r="J174" s="985">
        <f t="shared" si="285"/>
        <v>-28.732285528984814</v>
      </c>
      <c r="K174" s="985">
        <f t="shared" si="285"/>
        <v>8.5532557554166111</v>
      </c>
      <c r="L174" s="985">
        <f t="shared" si="285"/>
        <v>32.162955167708574</v>
      </c>
      <c r="M174" s="985">
        <f t="shared" si="285"/>
        <v>14.121449731093861</v>
      </c>
      <c r="N174" s="985">
        <f t="shared" si="285"/>
        <v>4.6966650898770723</v>
      </c>
      <c r="O174" s="985">
        <f t="shared" si="285"/>
        <v>9.0544043645482297</v>
      </c>
      <c r="P174" s="985">
        <f t="shared" si="285"/>
        <v>7.1182578523525386</v>
      </c>
      <c r="Q174" s="985">
        <f t="shared" si="285"/>
        <v>2.0494101721136193</v>
      </c>
      <c r="R174" s="985">
        <f t="shared" si="285"/>
        <v>1.3900009001369007</v>
      </c>
      <c r="S174" s="985">
        <f t="shared" si="285"/>
        <v>13.187049384850557</v>
      </c>
      <c r="T174" s="985">
        <f t="shared" si="285"/>
        <v>1.8556360558960927</v>
      </c>
      <c r="U174" s="985">
        <f t="shared" si="285"/>
        <v>-0.25979815993194544</v>
      </c>
      <c r="V174" s="985">
        <f t="shared" si="285"/>
        <v>3.0456460873911961</v>
      </c>
      <c r="W174" s="985">
        <f t="shared" si="285"/>
        <v>6.8158874376932799</v>
      </c>
      <c r="X174" s="3076">
        <f t="shared" si="283"/>
        <v>5.3258413692277795</v>
      </c>
      <c r="Y174" s="3076">
        <f t="shared" si="283"/>
        <v>4.3330739517830175</v>
      </c>
      <c r="Z174" s="3076">
        <f t="shared" si="283"/>
        <v>4.1205283951944116</v>
      </c>
      <c r="AA174" s="3076">
        <f t="shared" si="283"/>
        <v>4.9822374088881682</v>
      </c>
      <c r="AB174" s="3076">
        <f t="shared" si="283"/>
        <v>5.0632833582285874</v>
      </c>
      <c r="AC174" s="3076">
        <f t="shared" si="283"/>
        <v>3.4522402555612564</v>
      </c>
      <c r="AD174" s="3076">
        <f t="shared" si="283"/>
        <v>4.1378488180252804</v>
      </c>
      <c r="AE174" s="3076">
        <f t="shared" si="283"/>
        <v>2.9386376061422803</v>
      </c>
      <c r="AF174" s="3076">
        <f t="shared" si="283"/>
        <v>2.616309457403343</v>
      </c>
      <c r="AG174" s="2957"/>
      <c r="AH174" s="2957"/>
      <c r="AI174" s="2957"/>
      <c r="AJ174" s="2957"/>
      <c r="AK174" s="2957"/>
      <c r="AL174" s="2957"/>
      <c r="AM174" s="2957"/>
      <c r="AN174" s="2957"/>
      <c r="AO174" s="2957"/>
      <c r="AP174" s="2957"/>
      <c r="AQ174" s="2957"/>
    </row>
    <row r="175" spans="1:43" s="736" customFormat="1" ht="12.75">
      <c r="A175" s="700"/>
      <c r="B175" s="700"/>
      <c r="C175" s="731"/>
      <c r="D175" s="707"/>
      <c r="F175" s="731"/>
      <c r="X175" s="2354"/>
      <c r="Y175" s="2354"/>
      <c r="Z175" s="2354"/>
      <c r="AA175" s="2354"/>
      <c r="AB175" s="2354"/>
      <c r="AC175" s="2354"/>
      <c r="AD175" s="2354"/>
      <c r="AE175" s="2354"/>
      <c r="AF175" s="2354"/>
      <c r="AG175" s="2939"/>
      <c r="AH175" s="2939"/>
      <c r="AI175" s="2939"/>
      <c r="AJ175" s="2939"/>
      <c r="AK175" s="2939"/>
      <c r="AL175" s="2939"/>
      <c r="AM175" s="2939"/>
      <c r="AN175" s="2939"/>
      <c r="AO175" s="2939"/>
      <c r="AP175" s="2939"/>
      <c r="AQ175" s="2939"/>
    </row>
    <row r="176" spans="1:43">
      <c r="D176" s="1008"/>
      <c r="E176" s="1009" t="s">
        <v>406</v>
      </c>
      <c r="F176" s="1010"/>
      <c r="G176" s="1011">
        <f>+InputY!$G$3</f>
        <v>1995</v>
      </c>
      <c r="H176" s="1011">
        <f>+G176+1</f>
        <v>1996</v>
      </c>
      <c r="I176" s="1011">
        <f t="shared" ref="I176:O176" si="286">+H176+1</f>
        <v>1997</v>
      </c>
      <c r="J176" s="1011">
        <f t="shared" si="286"/>
        <v>1998</v>
      </c>
      <c r="K176" s="1011">
        <f t="shared" si="286"/>
        <v>1999</v>
      </c>
      <c r="L176" s="1011">
        <f t="shared" si="286"/>
        <v>2000</v>
      </c>
      <c r="M176" s="1011">
        <f t="shared" si="286"/>
        <v>2001</v>
      </c>
      <c r="N176" s="1011">
        <f t="shared" si="286"/>
        <v>2002</v>
      </c>
      <c r="O176" s="1011">
        <f t="shared" si="286"/>
        <v>2003</v>
      </c>
      <c r="P176" s="1011">
        <f>+O176+1</f>
        <v>2004</v>
      </c>
      <c r="Q176" s="1011">
        <f>+P176+1</f>
        <v>2005</v>
      </c>
      <c r="R176" s="1011">
        <f>+Q176+1</f>
        <v>2006</v>
      </c>
      <c r="S176" s="1011">
        <f>+R176+1</f>
        <v>2007</v>
      </c>
      <c r="T176" s="1011">
        <f t="shared" ref="T176:AF176" si="287">+S176+1</f>
        <v>2008</v>
      </c>
      <c r="U176" s="1011">
        <f t="shared" si="287"/>
        <v>2009</v>
      </c>
      <c r="V176" s="1011">
        <f t="shared" si="287"/>
        <v>2010</v>
      </c>
      <c r="W176" s="1011">
        <f t="shared" si="287"/>
        <v>2011</v>
      </c>
      <c r="X176" s="3147">
        <f t="shared" si="287"/>
        <v>2012</v>
      </c>
      <c r="Y176" s="3147">
        <f t="shared" si="287"/>
        <v>2013</v>
      </c>
      <c r="Z176" s="3147">
        <f t="shared" si="287"/>
        <v>2014</v>
      </c>
      <c r="AA176" s="3147">
        <f t="shared" si="287"/>
        <v>2015</v>
      </c>
      <c r="AB176" s="3147">
        <f t="shared" si="287"/>
        <v>2016</v>
      </c>
      <c r="AC176" s="3147">
        <f t="shared" si="287"/>
        <v>2017</v>
      </c>
      <c r="AD176" s="3147">
        <f t="shared" si="287"/>
        <v>2018</v>
      </c>
      <c r="AE176" s="3147">
        <f t="shared" si="287"/>
        <v>2019</v>
      </c>
      <c r="AF176" s="3147">
        <f t="shared" si="287"/>
        <v>2020</v>
      </c>
    </row>
    <row r="177" spans="1:43" s="935" customFormat="1" ht="20.25">
      <c r="A177" s="934"/>
      <c r="B177" s="934"/>
      <c r="C177" s="999" t="s">
        <v>1791</v>
      </c>
      <c r="D177" s="1000"/>
      <c r="E177" s="1001" t="s">
        <v>397</v>
      </c>
      <c r="F177" s="1002" t="s">
        <v>1658</v>
      </c>
      <c r="G177" s="1746">
        <f t="shared" ref="G177:P177" si="288">+G163/G209</f>
        <v>0.16815036057670463</v>
      </c>
      <c r="H177" s="1746">
        <f t="shared" si="288"/>
        <v>0.16712848757354409</v>
      </c>
      <c r="I177" s="1746">
        <f t="shared" si="288"/>
        <v>0.17140419497095649</v>
      </c>
      <c r="J177" s="1746">
        <f t="shared" si="288"/>
        <v>0.12445664498037366</v>
      </c>
      <c r="K177" s="1746">
        <f t="shared" si="288"/>
        <v>0.12435164769233076</v>
      </c>
      <c r="L177" s="1746">
        <f t="shared" si="288"/>
        <v>0.14419638216381661</v>
      </c>
      <c r="M177" s="1746">
        <f t="shared" si="288"/>
        <v>0.15416255615947705</v>
      </c>
      <c r="N177" s="1746">
        <f t="shared" si="288"/>
        <v>0.15720936269419902</v>
      </c>
      <c r="O177" s="1746">
        <f t="shared" si="288"/>
        <v>0.16328517825214675</v>
      </c>
      <c r="P177" s="1746">
        <f t="shared" si="288"/>
        <v>0.17183574234502946</v>
      </c>
      <c r="Q177" s="1746">
        <f t="shared" ref="Q177:S178" si="289">+Q163/Q209</f>
        <v>0.16845969218920001</v>
      </c>
      <c r="R177" s="1746">
        <f t="shared" si="289"/>
        <v>0.16105689218137897</v>
      </c>
      <c r="S177" s="1746">
        <f t="shared" si="289"/>
        <v>0.16925527327765996</v>
      </c>
      <c r="T177" s="1746">
        <f>+T163/T209</f>
        <v>0.16223089146287872</v>
      </c>
      <c r="U177" s="1746">
        <f t="shared" ref="U177:X178" si="290">+U163/U209</f>
        <v>0.16619920931866475</v>
      </c>
      <c r="V177" s="1746">
        <f t="shared" si="290"/>
        <v>0.1663475441637404</v>
      </c>
      <c r="W177" s="1746">
        <f t="shared" si="290"/>
        <v>0.16877223653925763</v>
      </c>
      <c r="X177" s="3078">
        <f t="shared" si="290"/>
        <v>0.17048762075466359</v>
      </c>
      <c r="Y177" s="3078">
        <f t="shared" ref="Y177:AA178" si="291">+Y163/Y209</f>
        <v>0.17360264369269041</v>
      </c>
      <c r="Z177" s="3078">
        <f t="shared" si="291"/>
        <v>0.17410447129653711</v>
      </c>
      <c r="AA177" s="3078">
        <f t="shared" si="291"/>
        <v>0.17508231124780674</v>
      </c>
      <c r="AB177" s="3078">
        <f t="shared" ref="AB177:AC177" si="292">+AB163/AB209</f>
        <v>0.17516148821020489</v>
      </c>
      <c r="AC177" s="3078">
        <f t="shared" si="292"/>
        <v>0.17230989625453469</v>
      </c>
      <c r="AD177" s="3078">
        <f t="shared" ref="AD177:AD178" si="293">+AD163/AD209</f>
        <v>0.1717364469142075</v>
      </c>
      <c r="AE177" s="3078">
        <f t="shared" ref="AE177:AF177" si="294">+AE163/AE209</f>
        <v>0.1704986356686313</v>
      </c>
      <c r="AF177" s="3078">
        <f t="shared" si="294"/>
        <v>0.16944135847615815</v>
      </c>
      <c r="AG177" s="2941"/>
      <c r="AH177" s="2941"/>
      <c r="AI177" s="2941"/>
      <c r="AJ177" s="2941"/>
      <c r="AK177" s="2941"/>
      <c r="AL177" s="2941"/>
      <c r="AM177" s="2941"/>
      <c r="AN177" s="2941"/>
      <c r="AO177" s="2941"/>
      <c r="AP177" s="2941"/>
      <c r="AQ177" s="2941"/>
    </row>
    <row r="178" spans="1:43" s="935" customFormat="1" ht="20.25">
      <c r="A178" s="934"/>
      <c r="B178" s="934"/>
      <c r="C178" s="1003" t="s">
        <v>1791</v>
      </c>
      <c r="D178" s="945"/>
      <c r="E178" s="946" t="s">
        <v>398</v>
      </c>
      <c r="F178" s="955" t="s">
        <v>1659</v>
      </c>
      <c r="G178" s="1552">
        <f t="shared" ref="G178:P178" si="295">+G164/G210</f>
        <v>0.13951045649813529</v>
      </c>
      <c r="H178" s="1552">
        <f t="shared" si="295"/>
        <v>0.14114421086011686</v>
      </c>
      <c r="I178" s="1552">
        <f t="shared" si="295"/>
        <v>0.14189642107717412</v>
      </c>
      <c r="J178" s="1552">
        <f t="shared" si="295"/>
        <v>9.4393897343964417E-2</v>
      </c>
      <c r="K178" s="1552">
        <f t="shared" si="295"/>
        <v>0.10305810832935897</v>
      </c>
      <c r="L178" s="1552">
        <f t="shared" si="295"/>
        <v>0.1394828435117744</v>
      </c>
      <c r="M178" s="1552">
        <f t="shared" si="295"/>
        <v>0.14794978541462392</v>
      </c>
      <c r="N178" s="1552">
        <f t="shared" si="295"/>
        <v>0.14684306168744055</v>
      </c>
      <c r="O178" s="1552">
        <f t="shared" si="295"/>
        <v>0.16129649133322488</v>
      </c>
      <c r="P178" s="1552">
        <f t="shared" si="295"/>
        <v>0.16145850620111299</v>
      </c>
      <c r="Q178" s="1552">
        <f t="shared" si="289"/>
        <v>0.16201337109504468</v>
      </c>
      <c r="R178" s="1552">
        <f t="shared" si="289"/>
        <v>0.1610742580766584</v>
      </c>
      <c r="S178" s="1552">
        <f t="shared" si="289"/>
        <v>0.16788143470498831</v>
      </c>
      <c r="T178" s="1552">
        <f>+T164/T210</f>
        <v>0.16703088043449948</v>
      </c>
      <c r="U178" s="1552">
        <f t="shared" si="290"/>
        <v>0.15547154494567617</v>
      </c>
      <c r="V178" s="1552">
        <f t="shared" si="290"/>
        <v>0.15470699694981044</v>
      </c>
      <c r="W178" s="1552">
        <f t="shared" si="290"/>
        <v>0.15378848920540378</v>
      </c>
      <c r="X178" s="2352">
        <f t="shared" si="290"/>
        <v>0.15649140025871339</v>
      </c>
      <c r="Y178" s="2352">
        <f t="shared" si="291"/>
        <v>0.15616077996234839</v>
      </c>
      <c r="Z178" s="2352">
        <f t="shared" si="291"/>
        <v>0.15617087625822382</v>
      </c>
      <c r="AA178" s="2352">
        <f t="shared" si="291"/>
        <v>0.15683012829102266</v>
      </c>
      <c r="AB178" s="2352">
        <f t="shared" ref="AB178:AC178" si="296">+AB164/AB210</f>
        <v>0.15806702757509364</v>
      </c>
      <c r="AC178" s="2352">
        <f t="shared" si="296"/>
        <v>0.15864476039367886</v>
      </c>
      <c r="AD178" s="2352">
        <f t="shared" si="293"/>
        <v>0.15851515149837261</v>
      </c>
      <c r="AE178" s="2352">
        <f t="shared" ref="AE178:AF178" si="297">+AE164/AE210</f>
        <v>0.15747986307088616</v>
      </c>
      <c r="AF178" s="2352">
        <f t="shared" si="297"/>
        <v>0.15670550796222998</v>
      </c>
      <c r="AG178" s="2941"/>
      <c r="AH178" s="2941"/>
      <c r="AI178" s="2941"/>
      <c r="AJ178" s="2941"/>
      <c r="AK178" s="2941"/>
      <c r="AL178" s="2941"/>
      <c r="AM178" s="2941"/>
      <c r="AN178" s="2941"/>
      <c r="AO178" s="2941"/>
      <c r="AP178" s="2941"/>
      <c r="AQ178" s="2941"/>
    </row>
    <row r="179" spans="1:43" s="935" customFormat="1" ht="12.75">
      <c r="A179" s="934"/>
      <c r="B179" s="934"/>
      <c r="C179" s="1003" t="s">
        <v>1793</v>
      </c>
      <c r="D179" s="996"/>
      <c r="E179" s="997" t="s">
        <v>399</v>
      </c>
      <c r="F179" s="998" t="s">
        <v>1620</v>
      </c>
      <c r="G179" s="1012">
        <f t="shared" ref="G179:R179" si="298">+G165/G213</f>
        <v>0.15421558678837344</v>
      </c>
      <c r="H179" s="1012">
        <f t="shared" si="298"/>
        <v>0.15418168262876233</v>
      </c>
      <c r="I179" s="1012">
        <f t="shared" si="298"/>
        <v>0.1574410676314428</v>
      </c>
      <c r="J179" s="1012">
        <f t="shared" si="298"/>
        <v>0.11195760760978145</v>
      </c>
      <c r="K179" s="1012">
        <f t="shared" si="298"/>
        <v>0.11453007029952557</v>
      </c>
      <c r="L179" s="1012">
        <f t="shared" si="298"/>
        <v>0.13805277681315281</v>
      </c>
      <c r="M179" s="1012">
        <f t="shared" si="298"/>
        <v>0.14739153341610425</v>
      </c>
      <c r="N179" s="1012">
        <f t="shared" si="298"/>
        <v>0.14909585010695428</v>
      </c>
      <c r="O179" s="1012">
        <f t="shared" si="298"/>
        <v>0.15719349772583568</v>
      </c>
      <c r="P179" s="1012">
        <f t="shared" si="298"/>
        <v>0.16303575264401524</v>
      </c>
      <c r="Q179" s="1012">
        <f t="shared" si="298"/>
        <v>0.16088984297113421</v>
      </c>
      <c r="R179" s="1012">
        <f t="shared" si="298"/>
        <v>0.15555306151897513</v>
      </c>
      <c r="S179" s="1012">
        <f t="shared" ref="S179:X179" si="299">+S165/S213</f>
        <v>0.16319533652272913</v>
      </c>
      <c r="T179" s="1012">
        <f t="shared" si="299"/>
        <v>0.15820845707128142</v>
      </c>
      <c r="U179" s="1012">
        <f t="shared" si="299"/>
        <v>0.15765393158825142</v>
      </c>
      <c r="V179" s="1012">
        <f>+V165/V213</f>
        <v>0.15754937357983209</v>
      </c>
      <c r="W179" s="1012">
        <f>+W165/W213</f>
        <v>0.15920815638385666</v>
      </c>
      <c r="X179" s="3079">
        <f t="shared" si="299"/>
        <v>0.16125480937738407</v>
      </c>
      <c r="Y179" s="3079">
        <f t="shared" ref="Y179:AD179" si="300">+Y165/Y213</f>
        <v>0.16338462828075165</v>
      </c>
      <c r="Z179" s="3079">
        <f t="shared" si="300"/>
        <v>0.16380771714562486</v>
      </c>
      <c r="AA179" s="3079">
        <f t="shared" si="300"/>
        <v>0.16481451167671032</v>
      </c>
      <c r="AB179" s="3079">
        <f t="shared" ref="AB179:AC179" si="301">+AB165/AB213</f>
        <v>0.16538157427171502</v>
      </c>
      <c r="AC179" s="3079">
        <f t="shared" si="301"/>
        <v>0.16368180928991088</v>
      </c>
      <c r="AD179" s="3079">
        <f t="shared" si="300"/>
        <v>0.16339302613401824</v>
      </c>
      <c r="AE179" s="3079">
        <f t="shared" ref="AE179:AF179" si="302">+AE165/AE213</f>
        <v>0.16236801940637952</v>
      </c>
      <c r="AF179" s="3079">
        <f t="shared" si="302"/>
        <v>0.16151094971782459</v>
      </c>
      <c r="AG179" s="2941"/>
      <c r="AH179" s="2941"/>
      <c r="AI179" s="2941"/>
      <c r="AJ179" s="2941"/>
      <c r="AK179" s="2941"/>
      <c r="AL179" s="2941"/>
      <c r="AM179" s="2941"/>
      <c r="AN179" s="2941"/>
      <c r="AO179" s="2941"/>
      <c r="AP179" s="2941"/>
      <c r="AQ179" s="2941"/>
    </row>
    <row r="180" spans="1:43" s="935" customFormat="1" ht="20.25">
      <c r="A180" s="934"/>
      <c r="B180" s="934"/>
      <c r="C180" s="1004" t="s">
        <v>1791</v>
      </c>
      <c r="D180" s="1005"/>
      <c r="E180" s="1006" t="s">
        <v>1650</v>
      </c>
      <c r="F180" s="1007" t="s">
        <v>1860</v>
      </c>
      <c r="G180" s="1013">
        <f t="shared" ref="G180:R180" si="303">+G166/G215</f>
        <v>8.0147965474789848E-2</v>
      </c>
      <c r="H180" s="1013">
        <f t="shared" si="303"/>
        <v>8.8582677165049972E-2</v>
      </c>
      <c r="I180" s="1013">
        <f t="shared" si="303"/>
        <v>7.9187105816357878E-2</v>
      </c>
      <c r="J180" s="1013">
        <f t="shared" si="303"/>
        <v>0.1176470588235632</v>
      </c>
      <c r="K180" s="1013">
        <f t="shared" si="303"/>
        <v>0.11411665257818335</v>
      </c>
      <c r="L180" s="1013">
        <f t="shared" si="303"/>
        <v>0.10484972677592305</v>
      </c>
      <c r="M180" s="1013">
        <f t="shared" si="303"/>
        <v>9.8025711662080101E-2</v>
      </c>
      <c r="N180" s="1013">
        <f t="shared" si="303"/>
        <v>9.5335820895516274E-2</v>
      </c>
      <c r="O180" s="1013">
        <f t="shared" si="303"/>
        <v>8.6498761354272577E-2</v>
      </c>
      <c r="P180" s="1013">
        <f t="shared" si="303"/>
        <v>7.2556943423949638E-2</v>
      </c>
      <c r="Q180" s="1013">
        <f t="shared" si="303"/>
        <v>7.0038336773833143E-2</v>
      </c>
      <c r="R180" s="1013">
        <f t="shared" si="303"/>
        <v>6.7067421027812352E-2</v>
      </c>
      <c r="S180" s="1013">
        <f>+S166/S215</f>
        <v>6.4341957255356172E-2</v>
      </c>
      <c r="T180" s="1013">
        <f>+T166/T215</f>
        <v>6.6786395779551824E-2</v>
      </c>
      <c r="U180" s="1013">
        <f t="shared" ref="U180:X181" si="304">+U166/U215</f>
        <v>6.4831891048369381E-2</v>
      </c>
      <c r="V180" s="1013">
        <f t="shared" si="304"/>
        <v>7.0334713423458955E-2</v>
      </c>
      <c r="W180" s="1013">
        <f t="shared" si="304"/>
        <v>7.2802271388019008E-2</v>
      </c>
      <c r="X180" s="3080">
        <f t="shared" si="304"/>
        <v>7.4959289804072834E-2</v>
      </c>
      <c r="Y180" s="3080">
        <f t="shared" ref="Y180:AA181" si="305">+Y166/Y215</f>
        <v>7.4526835022243998E-2</v>
      </c>
      <c r="Z180" s="3080">
        <f t="shared" si="305"/>
        <v>7.4941570978542926E-2</v>
      </c>
      <c r="AA180" s="3080">
        <f t="shared" si="305"/>
        <v>7.4142784032760076E-2</v>
      </c>
      <c r="AB180" s="3080">
        <f t="shared" ref="AB180:AC180" si="306">+AB166/AB215</f>
        <v>7.3129610115883315E-2</v>
      </c>
      <c r="AC180" s="3080">
        <f t="shared" si="306"/>
        <v>7.2281078181572658E-2</v>
      </c>
      <c r="AD180" s="3080">
        <f t="shared" ref="AD180:AD181" si="307">+AD166/AD215</f>
        <v>0</v>
      </c>
      <c r="AE180" s="3080">
        <f t="shared" ref="AE180:AF180" si="308">+AE166/AE215</f>
        <v>0</v>
      </c>
      <c r="AF180" s="3080">
        <f t="shared" si="308"/>
        <v>0</v>
      </c>
      <c r="AG180" s="2941"/>
      <c r="AH180" s="2941"/>
      <c r="AI180" s="2941"/>
      <c r="AJ180" s="2941"/>
      <c r="AK180" s="2941"/>
      <c r="AL180" s="2941"/>
      <c r="AM180" s="2941"/>
      <c r="AN180" s="2941"/>
      <c r="AO180" s="2941"/>
      <c r="AP180" s="2941"/>
      <c r="AQ180" s="2941"/>
    </row>
    <row r="181" spans="1:43" s="946" customFormat="1" ht="12.75">
      <c r="A181" s="952"/>
      <c r="B181" s="952"/>
      <c r="C181" s="945" t="s">
        <v>1793</v>
      </c>
      <c r="D181" s="996"/>
      <c r="E181" s="997" t="s">
        <v>1651</v>
      </c>
      <c r="F181" s="998" t="s">
        <v>742</v>
      </c>
      <c r="G181" s="1012">
        <f t="shared" ref="G181:R181" si="309">+G167/G216</f>
        <v>0.15414326392275146</v>
      </c>
      <c r="H181" s="1012">
        <f t="shared" si="309"/>
        <v>0.15414383153207892</v>
      </c>
      <c r="I181" s="1012">
        <f t="shared" si="309"/>
        <v>0.15731985954553102</v>
      </c>
      <c r="J181" s="1012">
        <f t="shared" si="309"/>
        <v>0.11196756762616052</v>
      </c>
      <c r="K181" s="1012">
        <f t="shared" si="309"/>
        <v>0.11452907121641114</v>
      </c>
      <c r="L181" s="1012">
        <f t="shared" si="309"/>
        <v>0.1379622699123777</v>
      </c>
      <c r="M181" s="1012">
        <f t="shared" si="309"/>
        <v>0.14720436181704069</v>
      </c>
      <c r="N181" s="1012">
        <f t="shared" si="309"/>
        <v>0.14885360454842367</v>
      </c>
      <c r="O181" s="1012">
        <f t="shared" si="309"/>
        <v>0.15691521564414512</v>
      </c>
      <c r="P181" s="1012">
        <f t="shared" si="309"/>
        <v>0.16264842337029184</v>
      </c>
      <c r="Q181" s="1012">
        <f t="shared" si="309"/>
        <v>0.1604215607963963</v>
      </c>
      <c r="R181" s="1012">
        <f t="shared" si="309"/>
        <v>0.15500932172330917</v>
      </c>
      <c r="S181" s="1012">
        <f>+S167/S216</f>
        <v>0.16231205646196109</v>
      </c>
      <c r="T181" s="1012">
        <f>+T167/T216</f>
        <v>0.15717078571378523</v>
      </c>
      <c r="U181" s="1012">
        <f t="shared" si="304"/>
        <v>0.15640636966559571</v>
      </c>
      <c r="V181" s="1012">
        <f t="shared" si="304"/>
        <v>0.15647055193903683</v>
      </c>
      <c r="W181" s="1012">
        <f t="shared" si="304"/>
        <v>0.15826573086622317</v>
      </c>
      <c r="X181" s="3079">
        <f t="shared" si="304"/>
        <v>0.16033157244014842</v>
      </c>
      <c r="Y181" s="3079">
        <f t="shared" si="305"/>
        <v>0.16247997358013705</v>
      </c>
      <c r="Z181" s="3079">
        <f t="shared" si="305"/>
        <v>0.16288844343019074</v>
      </c>
      <c r="AA181" s="3079">
        <f t="shared" si="305"/>
        <v>0.16409964139990219</v>
      </c>
      <c r="AB181" s="3079">
        <f t="shared" ref="AB181:AC181" si="310">+AB167/AB216</f>
        <v>0.16495909995285302</v>
      </c>
      <c r="AC181" s="3079">
        <f t="shared" si="310"/>
        <v>0.16336694724714387</v>
      </c>
      <c r="AD181" s="3079">
        <f t="shared" si="307"/>
        <v>0.16289304878913194</v>
      </c>
      <c r="AE181" s="3079">
        <f t="shared" ref="AE181:AF181" si="311">+AE167/AE216</f>
        <v>0.16188833908486944</v>
      </c>
      <c r="AF181" s="3079">
        <f t="shared" si="311"/>
        <v>0.16104837938022751</v>
      </c>
      <c r="AG181" s="2957"/>
      <c r="AH181" s="2957"/>
      <c r="AI181" s="2957"/>
      <c r="AJ181" s="2957"/>
      <c r="AK181" s="2957"/>
      <c r="AL181" s="2957"/>
      <c r="AM181" s="2957"/>
      <c r="AN181" s="2957"/>
      <c r="AO181" s="2957"/>
      <c r="AP181" s="2957"/>
      <c r="AQ181" s="2957"/>
    </row>
    <row r="182" spans="1:43" s="736" customFormat="1" ht="30" customHeight="1">
      <c r="A182" s="700"/>
      <c r="B182" s="700"/>
      <c r="C182" s="731"/>
      <c r="D182" s="707"/>
      <c r="F182" s="731"/>
      <c r="Q182" s="880"/>
      <c r="R182" s="2284"/>
      <c r="S182" s="2354"/>
      <c r="T182" s="2354"/>
      <c r="U182" s="2354"/>
      <c r="V182" s="2354"/>
      <c r="W182" s="2354"/>
      <c r="X182" s="2354"/>
      <c r="Y182" s="2354"/>
      <c r="Z182" s="2354"/>
      <c r="AA182" s="2354"/>
      <c r="AB182" s="2354"/>
      <c r="AC182" s="2354"/>
      <c r="AD182" s="2354"/>
      <c r="AE182" s="2354"/>
      <c r="AF182" s="2354"/>
      <c r="AG182" s="2939"/>
      <c r="AH182" s="2939"/>
      <c r="AI182" s="2939"/>
      <c r="AJ182" s="2939"/>
      <c r="AK182" s="2939"/>
      <c r="AL182" s="2939"/>
      <c r="AM182" s="2939"/>
      <c r="AN182" s="2939"/>
      <c r="AO182" s="2939"/>
      <c r="AP182" s="2939"/>
      <c r="AQ182" s="2939"/>
    </row>
    <row r="183" spans="1:43" s="736" customFormat="1" ht="30" customHeight="1">
      <c r="A183" s="700"/>
      <c r="B183" s="700"/>
      <c r="C183" s="731"/>
      <c r="D183" s="707"/>
      <c r="F183" s="731"/>
      <c r="Q183" s="880"/>
      <c r="R183" s="2284"/>
      <c r="S183" s="2354"/>
      <c r="T183" s="2354"/>
      <c r="U183" s="2354"/>
      <c r="V183" s="2354"/>
      <c r="W183" s="2354"/>
      <c r="X183" s="2354"/>
      <c r="Y183" s="2354"/>
      <c r="Z183" s="2354"/>
      <c r="AA183" s="2354"/>
      <c r="AB183" s="2354"/>
      <c r="AC183" s="2354"/>
      <c r="AD183" s="2354"/>
      <c r="AE183" s="2354"/>
      <c r="AF183" s="2354"/>
      <c r="AG183" s="2939"/>
      <c r="AH183" s="2939"/>
      <c r="AI183" s="2939"/>
      <c r="AJ183" s="2939"/>
      <c r="AK183" s="2939"/>
      <c r="AL183" s="2939"/>
      <c r="AM183" s="2939"/>
      <c r="AN183" s="2939"/>
      <c r="AO183" s="2939"/>
      <c r="AP183" s="2939"/>
      <c r="AQ183" s="2939"/>
    </row>
    <row r="184" spans="1:43" s="736" customFormat="1" ht="22.5" customHeight="1">
      <c r="A184" s="700"/>
      <c r="B184" s="700"/>
      <c r="C184" s="3816" t="s">
        <v>1166</v>
      </c>
      <c r="D184" s="3816"/>
      <c r="E184" s="3816"/>
      <c r="F184" s="3816"/>
      <c r="Q184" s="880"/>
      <c r="R184" s="2284"/>
      <c r="S184" s="2354"/>
      <c r="T184" s="2354"/>
      <c r="U184" s="2354"/>
      <c r="V184" s="2354"/>
      <c r="W184" s="2354"/>
      <c r="X184" s="2354"/>
      <c r="Y184" s="2354"/>
      <c r="Z184" s="2354"/>
      <c r="AA184" s="2354"/>
      <c r="AB184" s="2354"/>
      <c r="AC184" s="2354"/>
      <c r="AD184" s="2354"/>
      <c r="AE184" s="2354"/>
      <c r="AF184" s="2354"/>
      <c r="AG184" s="2939"/>
      <c r="AH184" s="2939"/>
      <c r="AI184" s="2939"/>
      <c r="AJ184" s="2939"/>
      <c r="AK184" s="2939"/>
      <c r="AL184" s="2939"/>
      <c r="AM184" s="2939"/>
      <c r="AN184" s="2939"/>
      <c r="AO184" s="2939"/>
      <c r="AP184" s="2939"/>
      <c r="AQ184" s="2939"/>
    </row>
    <row r="185" spans="1:43" s="736" customFormat="1">
      <c r="A185" s="700"/>
      <c r="B185" s="700"/>
      <c r="C185" s="731"/>
      <c r="D185" s="707"/>
      <c r="F185" s="731"/>
      <c r="Q185" s="880"/>
      <c r="R185" s="2284"/>
      <c r="S185" s="2354"/>
      <c r="T185" s="2354"/>
      <c r="U185" s="2354"/>
      <c r="V185" s="2354"/>
      <c r="W185" s="2354"/>
      <c r="X185" s="2354"/>
      <c r="Y185" s="2354"/>
      <c r="Z185" s="2354"/>
      <c r="AA185" s="2354"/>
      <c r="AB185" s="2354"/>
      <c r="AC185" s="2354"/>
      <c r="AD185" s="2354"/>
      <c r="AE185" s="2354"/>
      <c r="AF185" s="2354"/>
      <c r="AG185" s="2939"/>
      <c r="AH185" s="2939"/>
      <c r="AI185" s="2939"/>
      <c r="AJ185" s="2939"/>
      <c r="AK185" s="2939"/>
      <c r="AL185" s="2939"/>
      <c r="AM185" s="2939"/>
      <c r="AN185" s="2939"/>
      <c r="AO185" s="2939"/>
      <c r="AP185" s="2939"/>
      <c r="AQ185" s="2939"/>
    </row>
    <row r="186" spans="1:43">
      <c r="D186" s="937"/>
      <c r="E186" s="938" t="s">
        <v>1839</v>
      </c>
      <c r="F186" s="939"/>
      <c r="G186" s="815">
        <f>+InputY!$G$3</f>
        <v>1995</v>
      </c>
      <c r="H186" s="815">
        <f>+G186+1</f>
        <v>1996</v>
      </c>
      <c r="I186" s="815">
        <f t="shared" ref="I186:O186" si="312">+H186+1</f>
        <v>1997</v>
      </c>
      <c r="J186" s="815">
        <f t="shared" si="312"/>
        <v>1998</v>
      </c>
      <c r="K186" s="815">
        <f t="shared" si="312"/>
        <v>1999</v>
      </c>
      <c r="L186" s="815">
        <f t="shared" si="312"/>
        <v>2000</v>
      </c>
      <c r="M186" s="815">
        <f t="shared" si="312"/>
        <v>2001</v>
      </c>
      <c r="N186" s="815">
        <f t="shared" si="312"/>
        <v>2002</v>
      </c>
      <c r="O186" s="815">
        <f t="shared" si="312"/>
        <v>2003</v>
      </c>
      <c r="P186" s="815">
        <f>+O186+1</f>
        <v>2004</v>
      </c>
      <c r="Q186" s="815">
        <f>+P186+1</f>
        <v>2005</v>
      </c>
      <c r="R186" s="815">
        <f>+Q186+1</f>
        <v>2006</v>
      </c>
      <c r="S186" s="815">
        <f>+R186+1</f>
        <v>2007</v>
      </c>
      <c r="T186" s="815">
        <f t="shared" ref="T186:AF186" si="313">+S186+1</f>
        <v>2008</v>
      </c>
      <c r="U186" s="815">
        <f t="shared" si="313"/>
        <v>2009</v>
      </c>
      <c r="V186" s="815">
        <f t="shared" si="313"/>
        <v>2010</v>
      </c>
      <c r="W186" s="815">
        <f t="shared" si="313"/>
        <v>2011</v>
      </c>
      <c r="X186" s="2285">
        <f t="shared" si="313"/>
        <v>2012</v>
      </c>
      <c r="Y186" s="2285">
        <f t="shared" si="313"/>
        <v>2013</v>
      </c>
      <c r="Z186" s="2285">
        <f t="shared" si="313"/>
        <v>2014</v>
      </c>
      <c r="AA186" s="2285">
        <f t="shared" si="313"/>
        <v>2015</v>
      </c>
      <c r="AB186" s="2285">
        <f t="shared" si="313"/>
        <v>2016</v>
      </c>
      <c r="AC186" s="2285">
        <f t="shared" si="313"/>
        <v>2017</v>
      </c>
      <c r="AD186" s="2285">
        <f t="shared" si="313"/>
        <v>2018</v>
      </c>
      <c r="AE186" s="2285">
        <f t="shared" si="313"/>
        <v>2019</v>
      </c>
      <c r="AF186" s="2285">
        <f t="shared" si="313"/>
        <v>2020</v>
      </c>
    </row>
    <row r="187" spans="1:43" ht="12.75">
      <c r="C187" s="712"/>
      <c r="D187" s="705"/>
      <c r="E187" s="745" t="s">
        <v>1253</v>
      </c>
      <c r="F187" s="747" t="s">
        <v>308</v>
      </c>
      <c r="G187" s="1747">
        <f t="shared" ref="G187:Q187" si="314">(G209+G208)/G29*1000</f>
        <v>230.33376020489831</v>
      </c>
      <c r="H187" s="1747">
        <f t="shared" si="314"/>
        <v>245.40831060484521</v>
      </c>
      <c r="I187" s="1747">
        <f t="shared" si="314"/>
        <v>261.9098250882675</v>
      </c>
      <c r="J187" s="1747">
        <f t="shared" si="314"/>
        <v>258.05868896426597</v>
      </c>
      <c r="K187" s="1747">
        <f t="shared" si="314"/>
        <v>267.71847462192636</v>
      </c>
      <c r="L187" s="1747">
        <f t="shared" si="314"/>
        <v>284.63226941258387</v>
      </c>
      <c r="M187" s="1747">
        <f t="shared" si="314"/>
        <v>295.90925228999498</v>
      </c>
      <c r="N187" s="1747">
        <f t="shared" si="314"/>
        <v>304.88391140232181</v>
      </c>
      <c r="O187" s="1747">
        <f t="shared" si="314"/>
        <v>314.00939842881229</v>
      </c>
      <c r="P187" s="1747">
        <f t="shared" si="314"/>
        <v>329.55995920151543</v>
      </c>
      <c r="Q187" s="1747">
        <f t="shared" si="314"/>
        <v>339.66970882225121</v>
      </c>
      <c r="R187" s="1747">
        <f t="shared" ref="R187:W187" si="315">(R209+R208)/R29*1000</f>
        <v>349.84361116047626</v>
      </c>
      <c r="S187" s="1747">
        <f t="shared" si="315"/>
        <v>368.25864496411521</v>
      </c>
      <c r="T187" s="1747">
        <f t="shared" si="315"/>
        <v>377.58866196476924</v>
      </c>
      <c r="U187" s="1747">
        <f t="shared" si="315"/>
        <v>388.42529170825736</v>
      </c>
      <c r="V187" s="1747">
        <f t="shared" si="315"/>
        <v>396.10724824475119</v>
      </c>
      <c r="W187" s="1747">
        <f t="shared" si="315"/>
        <v>408.99199895068199</v>
      </c>
      <c r="X187" s="1747">
        <f t="shared" ref="X187:AC187" si="316">(X209+X208)/X29*1000</f>
        <v>420.80930111717333</v>
      </c>
      <c r="Y187" s="1747">
        <f t="shared" si="316"/>
        <v>428.03663239074547</v>
      </c>
      <c r="Z187" s="1747">
        <f t="shared" si="316"/>
        <v>437.04009098663624</v>
      </c>
      <c r="AA187" s="1747">
        <f t="shared" si="316"/>
        <v>449.87139164824214</v>
      </c>
      <c r="AB187" s="1747">
        <f t="shared" si="316"/>
        <v>460.71282598749423</v>
      </c>
      <c r="AC187" s="1747">
        <f t="shared" si="316"/>
        <v>467.97524708396401</v>
      </c>
      <c r="AD187" s="3081">
        <f t="shared" ref="AD187:AE187" si="317">+AD111+AD142</f>
        <v>480.18292404950591</v>
      </c>
      <c r="AE187" s="3081">
        <f t="shared" si="317"/>
        <v>492.31282626035085</v>
      </c>
      <c r="AF187" s="3081">
        <f t="shared" ref="AF187" si="318">+AF111+AF142</f>
        <v>503.84907449857229</v>
      </c>
    </row>
    <row r="188" spans="1:43" ht="12.75">
      <c r="C188" s="708"/>
      <c r="D188" s="711"/>
      <c r="E188" s="220" t="s">
        <v>1254</v>
      </c>
      <c r="F188" s="747" t="s">
        <v>309</v>
      </c>
      <c r="G188" s="1747">
        <f t="shared" ref="G188:Q188" si="319">+G210/G30*1000</f>
        <v>188.4329132690882</v>
      </c>
      <c r="H188" s="1747">
        <f t="shared" si="319"/>
        <v>202.14555052790348</v>
      </c>
      <c r="I188" s="1747">
        <f t="shared" si="319"/>
        <v>210.50306748466255</v>
      </c>
      <c r="J188" s="1747">
        <f t="shared" si="319"/>
        <v>204.94850115295924</v>
      </c>
      <c r="K188" s="1747">
        <f t="shared" si="319"/>
        <v>213.00833965125096</v>
      </c>
      <c r="L188" s="1747">
        <f t="shared" si="319"/>
        <v>227.58500772797527</v>
      </c>
      <c r="M188" s="1747">
        <f t="shared" si="319"/>
        <v>237.99923488905893</v>
      </c>
      <c r="N188" s="1747">
        <f t="shared" si="319"/>
        <v>247.34238310708898</v>
      </c>
      <c r="O188" s="1747">
        <f t="shared" si="319"/>
        <v>261.46343283582092</v>
      </c>
      <c r="P188" s="1747">
        <f t="shared" si="319"/>
        <v>268.60921248142643</v>
      </c>
      <c r="Q188" s="1747">
        <f t="shared" si="319"/>
        <v>276.526825633383</v>
      </c>
      <c r="R188" s="1747">
        <f t="shared" ref="R188:W188" si="320">+R210/R30*1000</f>
        <v>285.83419307295503</v>
      </c>
      <c r="S188" s="1747">
        <f t="shared" si="320"/>
        <v>299.89823008849555</v>
      </c>
      <c r="T188" s="1747">
        <f t="shared" si="320"/>
        <v>317.81113619262601</v>
      </c>
      <c r="U188" s="1747">
        <f t="shared" si="320"/>
        <v>325.46543778801839</v>
      </c>
      <c r="V188" s="1747">
        <f t="shared" si="320"/>
        <v>333.91975308641975</v>
      </c>
      <c r="W188" s="1747">
        <f t="shared" si="320"/>
        <v>342.46502690238276</v>
      </c>
      <c r="X188" s="1747">
        <f t="shared" ref="X188:AC188" si="321">+X210/X30*1000</f>
        <v>354.39130434782612</v>
      </c>
      <c r="Y188" s="1747">
        <f t="shared" si="321"/>
        <v>363.4848942598187</v>
      </c>
      <c r="Z188" s="1747">
        <f t="shared" si="321"/>
        <v>372.56748695003728</v>
      </c>
      <c r="AA188" s="1747">
        <f t="shared" si="321"/>
        <v>381.04011670313639</v>
      </c>
      <c r="AB188" s="1747">
        <f t="shared" si="321"/>
        <v>391.98722498225686</v>
      </c>
      <c r="AC188" s="1747">
        <f t="shared" si="321"/>
        <v>403.9478079331941</v>
      </c>
      <c r="AD188" s="3082">
        <f t="shared" ref="AD188:AE188" si="322">+AD112+AD143</f>
        <v>416.00215796798886</v>
      </c>
      <c r="AE188" s="3082">
        <f t="shared" si="322"/>
        <v>428.78668586221295</v>
      </c>
      <c r="AF188" s="3082">
        <f t="shared" ref="AF188" si="323">+AF112+AF143</f>
        <v>440.81634814075989</v>
      </c>
    </row>
    <row r="189" spans="1:43" ht="12.75">
      <c r="C189" s="708"/>
      <c r="D189" s="783"/>
      <c r="E189" s="787" t="s">
        <v>1255</v>
      </c>
      <c r="F189" s="932" t="s">
        <v>1359</v>
      </c>
      <c r="G189" s="959">
        <f t="shared" ref="G189:R189" si="324">+G213/G31*1000</f>
        <v>215.64374447736367</v>
      </c>
      <c r="H189" s="959">
        <f t="shared" si="324"/>
        <v>230.38777754503565</v>
      </c>
      <c r="I189" s="959">
        <f t="shared" si="324"/>
        <v>244.11984819935779</v>
      </c>
      <c r="J189" s="959">
        <f t="shared" si="324"/>
        <v>240.04796163069543</v>
      </c>
      <c r="K189" s="959">
        <f t="shared" si="324"/>
        <v>249.29882328917478</v>
      </c>
      <c r="L189" s="959">
        <f t="shared" si="324"/>
        <v>266.28253250142933</v>
      </c>
      <c r="M189" s="959">
        <f t="shared" si="324"/>
        <v>277.5543214666796</v>
      </c>
      <c r="N189" s="959">
        <f t="shared" si="324"/>
        <v>286.42808765903925</v>
      </c>
      <c r="O189" s="959">
        <f t="shared" si="324"/>
        <v>296.95108656152337</v>
      </c>
      <c r="P189" s="959">
        <f t="shared" si="324"/>
        <v>309.50723504106378</v>
      </c>
      <c r="Q189" s="959">
        <f t="shared" si="324"/>
        <v>319.01808344706569</v>
      </c>
      <c r="R189" s="959">
        <f t="shared" si="324"/>
        <v>329.01618510969911</v>
      </c>
      <c r="S189" s="959">
        <f t="shared" ref="S189:X189" si="325">+S213/S31*1000</f>
        <v>346.54014666947819</v>
      </c>
      <c r="T189" s="959">
        <f t="shared" si="325"/>
        <v>359.20174971648112</v>
      </c>
      <c r="U189" s="959">
        <f t="shared" si="325"/>
        <v>368.941601502151</v>
      </c>
      <c r="V189" s="959">
        <f t="shared" si="325"/>
        <v>377.11825271540653</v>
      </c>
      <c r="W189" s="959">
        <f t="shared" si="325"/>
        <v>389.09782558727528</v>
      </c>
      <c r="X189" s="959">
        <f t="shared" si="325"/>
        <v>400.97558197804199</v>
      </c>
      <c r="Y189" s="959">
        <f>+Y213/Y31*1000</f>
        <v>408.77006311992784</v>
      </c>
      <c r="Z189" s="959">
        <f>+Z213/Z31*1000</f>
        <v>417.85411534962162</v>
      </c>
      <c r="AA189" s="959">
        <f>+AA213/AA31*1000</f>
        <v>429.27743709490863</v>
      </c>
      <c r="AB189" s="959">
        <f>+AB213/AB31*1000</f>
        <v>440.05482666666666</v>
      </c>
      <c r="AC189" s="959">
        <f>+AC213/AC31*1000</f>
        <v>448.83215779289685</v>
      </c>
      <c r="AD189" s="3061">
        <f t="shared" ref="AD189:AE189" si="326">+AD113+AD144</f>
        <v>460.96225798352157</v>
      </c>
      <c r="AE189" s="3061">
        <f t="shared" si="326"/>
        <v>473.26839209813875</v>
      </c>
      <c r="AF189" s="3061">
        <f t="shared" ref="AF189" si="327">+AF113+AF144</f>
        <v>484.89211111817826</v>
      </c>
    </row>
    <row r="190" spans="1:43" ht="12.75">
      <c r="C190" s="709"/>
      <c r="D190" s="713"/>
      <c r="E190" s="748" t="s">
        <v>306</v>
      </c>
      <c r="F190" s="936" t="s">
        <v>1932</v>
      </c>
      <c r="G190" s="960">
        <f t="shared" ref="G190:R190" si="328">+G215/G34*1000</f>
        <v>-6.691419141914202</v>
      </c>
      <c r="H190" s="960">
        <f t="shared" si="328"/>
        <v>-4.5601436265709125</v>
      </c>
      <c r="I190" s="960">
        <f t="shared" si="328"/>
        <v>-14.726522187822553</v>
      </c>
      <c r="J190" s="960">
        <f t="shared" si="328"/>
        <v>-15.990099009901064</v>
      </c>
      <c r="K190" s="960">
        <f t="shared" si="328"/>
        <v>-23.971631205673805</v>
      </c>
      <c r="L190" s="960">
        <f t="shared" si="328"/>
        <v>-26.096256684491809</v>
      </c>
      <c r="M190" s="960">
        <f t="shared" si="328"/>
        <v>-99.679633867275228</v>
      </c>
      <c r="N190" s="960">
        <f t="shared" si="328"/>
        <v>-169.08517350157825</v>
      </c>
      <c r="O190" s="960">
        <f t="shared" si="328"/>
        <v>-278.39080459770696</v>
      </c>
      <c r="P190" s="960">
        <f t="shared" si="328"/>
        <v>-1183.4782608697055</v>
      </c>
      <c r="Q190" s="960">
        <f t="shared" si="328"/>
        <v>-6165.4545454576037</v>
      </c>
      <c r="R190" s="960">
        <f t="shared" si="328"/>
        <v>1212</v>
      </c>
      <c r="S190" s="960">
        <f t="shared" ref="S190:X190" si="329">+S215/S34*1000</f>
        <v>818.09815950919335</v>
      </c>
      <c r="T190" s="960">
        <f t="shared" si="329"/>
        <v>640.93525179855703</v>
      </c>
      <c r="U190" s="960">
        <f t="shared" si="329"/>
        <v>481.7084282460176</v>
      </c>
      <c r="V190" s="960">
        <f t="shared" si="329"/>
        <v>771.03846153846155</v>
      </c>
      <c r="W190" s="960">
        <f t="shared" si="329"/>
        <v>577.9256965944403</v>
      </c>
      <c r="X190" s="960">
        <f t="shared" si="329"/>
        <v>640.97643097641526</v>
      </c>
      <c r="Y190" s="960">
        <f>+Y215/Y34*1000</f>
        <v>566.89969604863848</v>
      </c>
      <c r="Z190" s="960">
        <f t="shared" ref="Z190:AA190" si="330">+Z215/Z34*1000</f>
        <v>563.95415472778484</v>
      </c>
      <c r="AA190" s="960">
        <f t="shared" si="330"/>
        <v>524.56375838925851</v>
      </c>
      <c r="AB190" s="960">
        <f t="shared" ref="AB190:AC190" si="331">+AB215/AB34*1000</f>
        <v>697.79411764704014</v>
      </c>
      <c r="AC190" s="960">
        <f t="shared" si="331"/>
        <v>710.19047619047615</v>
      </c>
      <c r="AD190" s="3062">
        <f t="shared" ref="AD190:AE190" si="332">+AD114+AD145</f>
        <v>679.94057142856082</v>
      </c>
      <c r="AE190" s="3062">
        <f t="shared" si="332"/>
        <v>701.69866971427473</v>
      </c>
      <c r="AF190" s="3062">
        <f t="shared" ref="AF190" si="333">+AF114+AF145</f>
        <v>724.15302714513155</v>
      </c>
    </row>
    <row r="191" spans="1:43" s="220" customFormat="1" ht="12.75">
      <c r="A191" s="940"/>
      <c r="B191" s="940"/>
      <c r="C191" s="711"/>
      <c r="D191" s="783"/>
      <c r="E191" s="787" t="s">
        <v>307</v>
      </c>
      <c r="F191" s="932" t="s">
        <v>1933</v>
      </c>
      <c r="G191" s="959">
        <f t="shared" ref="G191:R191" si="334">+G216/G76*1000</f>
        <v>215.85451426789334</v>
      </c>
      <c r="H191" s="959">
        <f t="shared" si="334"/>
        <v>230.52078969417681</v>
      </c>
      <c r="I191" s="959">
        <f t="shared" si="334"/>
        <v>244.49855364772696</v>
      </c>
      <c r="J191" s="959">
        <f t="shared" si="334"/>
        <v>240.46892920446251</v>
      </c>
      <c r="K191" s="959">
        <f t="shared" si="334"/>
        <v>249.90274906194961</v>
      </c>
      <c r="L191" s="959">
        <f t="shared" si="334"/>
        <v>267.01036565661582</v>
      </c>
      <c r="M191" s="959">
        <f t="shared" si="334"/>
        <v>278.61067998835966</v>
      </c>
      <c r="N191" s="959">
        <f t="shared" si="334"/>
        <v>287.72459000532149</v>
      </c>
      <c r="O191" s="959">
        <f t="shared" si="334"/>
        <v>298.12462145989292</v>
      </c>
      <c r="P191" s="959">
        <f t="shared" si="334"/>
        <v>310.83789597184204</v>
      </c>
      <c r="Q191" s="959">
        <f t="shared" si="334"/>
        <v>320.67093975433806</v>
      </c>
      <c r="R191" s="959">
        <f t="shared" si="334"/>
        <v>331.05047356432084</v>
      </c>
      <c r="S191" s="959">
        <f t="shared" ref="S191:X191" si="335">+S216/S76*1000</f>
        <v>349.6644877111595</v>
      </c>
      <c r="T191" s="959">
        <f t="shared" si="335"/>
        <v>363.32561853403382</v>
      </c>
      <c r="U191" s="959">
        <f t="shared" si="335"/>
        <v>373.967865376845</v>
      </c>
      <c r="V191" s="959">
        <f t="shared" si="335"/>
        <v>381.84152863840916</v>
      </c>
      <c r="W191" s="959">
        <f t="shared" si="335"/>
        <v>393.3884981381878</v>
      </c>
      <c r="X191" s="959">
        <f t="shared" si="335"/>
        <v>405.3118308960868</v>
      </c>
      <c r="Y191" s="959">
        <f>+Y216/Y76*1000</f>
        <v>412.97452660054103</v>
      </c>
      <c r="Z191" s="959">
        <f>+Z216/Z76*1000</f>
        <v>422.22177839913007</v>
      </c>
      <c r="AA191" s="959">
        <f>+AA216/AA76*1000</f>
        <v>432.68882438949873</v>
      </c>
      <c r="AB191" s="959">
        <f>+AB216/AB76*1000</f>
        <v>442.07935999999995</v>
      </c>
      <c r="AC191" s="959">
        <f>+AC216/AC76*1000</f>
        <v>450.38366310883634</v>
      </c>
      <c r="AD191" s="3061">
        <f t="shared" ref="AD191:AE191" si="336">+AD115+AD146</f>
        <v>461.38631556232383</v>
      </c>
      <c r="AE191" s="3061">
        <f t="shared" si="336"/>
        <v>473.66255963776752</v>
      </c>
      <c r="AF191" s="3061">
        <f t="shared" ref="AF191" si="337">+AF115+AF146</f>
        <v>485.25907234150731</v>
      </c>
      <c r="AG191" s="2954"/>
      <c r="AH191" s="2954"/>
      <c r="AI191" s="2954"/>
      <c r="AJ191" s="2954"/>
      <c r="AK191" s="2954"/>
      <c r="AL191" s="2954"/>
      <c r="AM191" s="2954"/>
      <c r="AN191" s="2954"/>
      <c r="AO191" s="2954"/>
      <c r="AP191" s="2954"/>
      <c r="AQ191" s="2954"/>
    </row>
    <row r="192" spans="1:43" s="220" customFormat="1" ht="12.75">
      <c r="A192" s="940"/>
      <c r="B192" s="940"/>
      <c r="C192" s="711"/>
      <c r="D192" s="711"/>
      <c r="F192" s="747"/>
      <c r="X192" s="3063"/>
      <c r="Y192" s="3063"/>
      <c r="Z192" s="3063"/>
      <c r="AA192" s="3063"/>
      <c r="AB192" s="3063"/>
      <c r="AC192" s="3063"/>
      <c r="AD192" s="3063"/>
      <c r="AE192" s="3063"/>
      <c r="AF192" s="3063"/>
      <c r="AG192" s="2954"/>
      <c r="AH192" s="2954"/>
      <c r="AI192" s="2954"/>
      <c r="AJ192" s="2954"/>
      <c r="AK192" s="2954"/>
      <c r="AL192" s="2954"/>
      <c r="AM192" s="2954"/>
      <c r="AN192" s="2954"/>
      <c r="AO192" s="2954"/>
      <c r="AP192" s="2954"/>
      <c r="AQ192" s="2954"/>
    </row>
    <row r="193" spans="1:43">
      <c r="D193" s="966"/>
      <c r="E193" s="967" t="s">
        <v>1839</v>
      </c>
      <c r="F193" s="965"/>
      <c r="G193" s="782">
        <f>+InputY!$G$3</f>
        <v>1995</v>
      </c>
      <c r="H193" s="782">
        <f>+G193+1</f>
        <v>1996</v>
      </c>
      <c r="I193" s="782">
        <f t="shared" ref="I193:O193" si="338">+H193+1</f>
        <v>1997</v>
      </c>
      <c r="J193" s="782">
        <f t="shared" si="338"/>
        <v>1998</v>
      </c>
      <c r="K193" s="782">
        <f t="shared" si="338"/>
        <v>1999</v>
      </c>
      <c r="L193" s="782">
        <f t="shared" si="338"/>
        <v>2000</v>
      </c>
      <c r="M193" s="782">
        <f t="shared" si="338"/>
        <v>2001</v>
      </c>
      <c r="N193" s="782">
        <f t="shared" si="338"/>
        <v>2002</v>
      </c>
      <c r="O193" s="782">
        <f t="shared" si="338"/>
        <v>2003</v>
      </c>
      <c r="P193" s="782">
        <f>+O193+1</f>
        <v>2004</v>
      </c>
      <c r="Q193" s="782">
        <f>+P193+1</f>
        <v>2005</v>
      </c>
      <c r="R193" s="782">
        <f>+Q193+1</f>
        <v>2006</v>
      </c>
      <c r="S193" s="782">
        <f>+R193+1</f>
        <v>2007</v>
      </c>
      <c r="T193" s="782">
        <f t="shared" ref="T193:AF193" si="339">+S193+1</f>
        <v>2008</v>
      </c>
      <c r="U193" s="782">
        <f t="shared" si="339"/>
        <v>2009</v>
      </c>
      <c r="V193" s="782">
        <f t="shared" si="339"/>
        <v>2010</v>
      </c>
      <c r="W193" s="782">
        <f t="shared" si="339"/>
        <v>2011</v>
      </c>
      <c r="X193" s="2272">
        <f t="shared" si="339"/>
        <v>2012</v>
      </c>
      <c r="Y193" s="2272">
        <f t="shared" si="339"/>
        <v>2013</v>
      </c>
      <c r="Z193" s="2272">
        <f t="shared" si="339"/>
        <v>2014</v>
      </c>
      <c r="AA193" s="2272">
        <f t="shared" si="339"/>
        <v>2015</v>
      </c>
      <c r="AB193" s="2272">
        <f t="shared" si="339"/>
        <v>2016</v>
      </c>
      <c r="AC193" s="2272">
        <f t="shared" si="339"/>
        <v>2017</v>
      </c>
      <c r="AD193" s="2272">
        <f t="shared" si="339"/>
        <v>2018</v>
      </c>
      <c r="AE193" s="2272">
        <f t="shared" si="339"/>
        <v>2019</v>
      </c>
      <c r="AF193" s="2272">
        <f t="shared" si="339"/>
        <v>2020</v>
      </c>
    </row>
    <row r="194" spans="1:43" ht="12.75">
      <c r="C194" s="799"/>
      <c r="D194" s="726"/>
      <c r="E194" s="769" t="s">
        <v>1253</v>
      </c>
      <c r="F194" s="747" t="s">
        <v>308</v>
      </c>
      <c r="H194" s="1747">
        <f t="shared" ref="H194:AF195" si="340">(H187/G187-1)*100</f>
        <v>6.544655193635962</v>
      </c>
      <c r="I194" s="1747">
        <f t="shared" si="340"/>
        <v>6.7241058148160615</v>
      </c>
      <c r="J194" s="1747">
        <f t="shared" si="340"/>
        <v>-1.4704053666958261</v>
      </c>
      <c r="K194" s="1747">
        <f t="shared" si="340"/>
        <v>3.7432514659477389</v>
      </c>
      <c r="L194" s="1747">
        <f t="shared" si="340"/>
        <v>6.3177540565862111</v>
      </c>
      <c r="M194" s="1747">
        <f t="shared" si="340"/>
        <v>3.9619481307176629</v>
      </c>
      <c r="N194" s="1747">
        <f t="shared" si="340"/>
        <v>3.0329092594683527</v>
      </c>
      <c r="O194" s="1747">
        <f t="shared" si="340"/>
        <v>2.9931021891307807</v>
      </c>
      <c r="P194" s="1747">
        <f t="shared" si="340"/>
        <v>4.952259661816627</v>
      </c>
      <c r="Q194" s="1747">
        <f t="shared" si="340"/>
        <v>3.0676510718202765</v>
      </c>
      <c r="R194" s="1747">
        <f t="shared" si="340"/>
        <v>2.9952339210644885</v>
      </c>
      <c r="S194" s="1747">
        <f t="shared" si="340"/>
        <v>5.2637902240243672</v>
      </c>
      <c r="T194" s="1747">
        <f t="shared" si="340"/>
        <v>2.5335500274713763</v>
      </c>
      <c r="U194" s="1747">
        <f t="shared" si="340"/>
        <v>2.8699563400818473</v>
      </c>
      <c r="V194" s="1747">
        <f t="shared" si="340"/>
        <v>1.9777179036692738</v>
      </c>
      <c r="W194" s="1747">
        <f t="shared" si="340"/>
        <v>3.2528439615852278</v>
      </c>
      <c r="X194" s="3083">
        <f t="shared" si="340"/>
        <v>2.8893724563830325</v>
      </c>
      <c r="Y194" s="3083">
        <f t="shared" si="340"/>
        <v>1.7174837282315059</v>
      </c>
      <c r="Z194" s="3083">
        <f t="shared" si="340"/>
        <v>2.103431789378174</v>
      </c>
      <c r="AA194" s="3083">
        <f t="shared" si="340"/>
        <v>2.9359550590973615</v>
      </c>
      <c r="AB194" s="3083">
        <f t="shared" si="340"/>
        <v>2.4098963705007304</v>
      </c>
      <c r="AC194" s="3083">
        <f t="shared" si="340"/>
        <v>1.5763444572882257</v>
      </c>
      <c r="AD194" s="3083">
        <f t="shared" si="340"/>
        <v>2.6086159559955524</v>
      </c>
      <c r="AE194" s="3083">
        <f t="shared" si="340"/>
        <v>2.5261002845645475</v>
      </c>
      <c r="AF194" s="3083">
        <f t="shared" si="340"/>
        <v>2.3432759869068898</v>
      </c>
    </row>
    <row r="195" spans="1:43" ht="12.75">
      <c r="C195" s="969"/>
      <c r="D195" s="711"/>
      <c r="E195" s="220" t="s">
        <v>1254</v>
      </c>
      <c r="F195" s="747" t="s">
        <v>309</v>
      </c>
      <c r="H195" s="1747">
        <f t="shared" si="340"/>
        <v>7.27719856415594</v>
      </c>
      <c r="I195" s="1747">
        <f t="shared" si="340"/>
        <v>4.1344055978147498</v>
      </c>
      <c r="J195" s="1747">
        <f t="shared" si="340"/>
        <v>-2.638710398891464</v>
      </c>
      <c r="K195" s="1747">
        <f t="shared" si="340"/>
        <v>3.9326164636239058</v>
      </c>
      <c r="L195" s="1747">
        <f t="shared" si="340"/>
        <v>6.8432382040017892</v>
      </c>
      <c r="M195" s="1747">
        <f t="shared" si="340"/>
        <v>4.5759724091893661</v>
      </c>
      <c r="N195" s="1747">
        <f t="shared" si="340"/>
        <v>3.9257051487519679</v>
      </c>
      <c r="O195" s="1747">
        <f t="shared" si="340"/>
        <v>5.7091104045108754</v>
      </c>
      <c r="P195" s="1747">
        <f t="shared" si="340"/>
        <v>2.7329938906189177</v>
      </c>
      <c r="Q195" s="1747">
        <f t="shared" si="340"/>
        <v>2.9476327631555277</v>
      </c>
      <c r="R195" s="1747">
        <f t="shared" si="340"/>
        <v>3.365809960119992</v>
      </c>
      <c r="S195" s="1747">
        <f t="shared" si="340"/>
        <v>4.9203480046737802</v>
      </c>
      <c r="T195" s="1747">
        <f t="shared" si="340"/>
        <v>5.9729949385978864</v>
      </c>
      <c r="U195" s="1747">
        <f t="shared" si="340"/>
        <v>2.4084434822174039</v>
      </c>
      <c r="V195" s="1747">
        <f t="shared" si="340"/>
        <v>2.5976077078598392</v>
      </c>
      <c r="W195" s="1747">
        <f t="shared" si="340"/>
        <v>2.5590800594990526</v>
      </c>
      <c r="X195" s="3083">
        <f t="shared" si="340"/>
        <v>3.4824804019602418</v>
      </c>
      <c r="Y195" s="3083">
        <f t="shared" si="340"/>
        <v>2.5659743341409635</v>
      </c>
      <c r="Z195" s="3083">
        <f t="shared" si="340"/>
        <v>2.4987538226901806</v>
      </c>
      <c r="AA195" s="3083">
        <f t="shared" si="340"/>
        <v>2.2741194682496024</v>
      </c>
      <c r="AB195" s="3083">
        <f t="shared" si="340"/>
        <v>2.8729542636712013</v>
      </c>
      <c r="AC195" s="3083">
        <f t="shared" si="340"/>
        <v>3.0512685589380251</v>
      </c>
      <c r="AD195" s="3083">
        <f t="shared" si="340"/>
        <v>2.9841355239606404</v>
      </c>
      <c r="AE195" s="3083">
        <f t="shared" si="340"/>
        <v>3.0731878788013089</v>
      </c>
      <c r="AF195" s="3083">
        <f t="shared" si="340"/>
        <v>2.8055120821574686</v>
      </c>
    </row>
    <row r="196" spans="1:43" ht="12.75">
      <c r="C196" s="969"/>
      <c r="D196" s="754"/>
      <c r="E196" s="755" t="s">
        <v>1255</v>
      </c>
      <c r="F196" s="961" t="s">
        <v>1359</v>
      </c>
      <c r="G196" s="962"/>
      <c r="H196" s="962">
        <f>(H189/G189-1)*100</f>
        <v>6.8372180715956965</v>
      </c>
      <c r="I196" s="962">
        <f t="shared" ref="I196:W196" si="341">(I189/H189-1)*100</f>
        <v>5.9604163036113489</v>
      </c>
      <c r="J196" s="962">
        <f t="shared" si="341"/>
        <v>-1.6679866871525784</v>
      </c>
      <c r="K196" s="962">
        <f t="shared" si="341"/>
        <v>3.8537555560298697</v>
      </c>
      <c r="L196" s="962">
        <f t="shared" si="341"/>
        <v>6.8125910055156114</v>
      </c>
      <c r="M196" s="962">
        <f t="shared" si="341"/>
        <v>4.2330185383788743</v>
      </c>
      <c r="N196" s="962">
        <f t="shared" si="341"/>
        <v>3.1971277353809668</v>
      </c>
      <c r="O196" s="962">
        <f t="shared" si="341"/>
        <v>3.6738711585473371</v>
      </c>
      <c r="P196" s="962">
        <f t="shared" si="341"/>
        <v>4.2283557958758156</v>
      </c>
      <c r="Q196" s="962">
        <f t="shared" si="341"/>
        <v>3.0729001875319906</v>
      </c>
      <c r="R196" s="962">
        <f t="shared" si="341"/>
        <v>3.1340234868824979</v>
      </c>
      <c r="S196" s="962">
        <f t="shared" si="341"/>
        <v>5.3261700648362664</v>
      </c>
      <c r="T196" s="962">
        <f t="shared" si="341"/>
        <v>3.6537189611913101</v>
      </c>
      <c r="U196" s="962">
        <f t="shared" si="341"/>
        <v>2.7115268211687749</v>
      </c>
      <c r="V196" s="962">
        <f t="shared" si="341"/>
        <v>2.2162453840836038</v>
      </c>
      <c r="W196" s="962">
        <f t="shared" si="341"/>
        <v>3.1766091366861371</v>
      </c>
      <c r="X196" s="3065">
        <f t="shared" ref="X196:AF198" si="342">(X189/W189-1)*100</f>
        <v>3.0526401356366639</v>
      </c>
      <c r="Y196" s="3065">
        <f t="shared" si="342"/>
        <v>1.9438792515581893</v>
      </c>
      <c r="Z196" s="3065">
        <f t="shared" si="342"/>
        <v>2.2222890199834922</v>
      </c>
      <c r="AA196" s="3065">
        <f t="shared" si="342"/>
        <v>2.7338062078744896</v>
      </c>
      <c r="AB196" s="3065">
        <f t="shared" si="342"/>
        <v>2.510588407509351</v>
      </c>
      <c r="AC196" s="3065">
        <f t="shared" si="342"/>
        <v>1.9945994440549342</v>
      </c>
      <c r="AD196" s="3065">
        <f t="shared" si="342"/>
        <v>2.7025915991121696</v>
      </c>
      <c r="AE196" s="3065">
        <f t="shared" si="342"/>
        <v>2.6696619737265115</v>
      </c>
      <c r="AF196" s="3065">
        <f t="shared" si="342"/>
        <v>2.4560522557841136</v>
      </c>
    </row>
    <row r="197" spans="1:43" ht="12.75">
      <c r="C197" s="727"/>
      <c r="D197" s="728"/>
      <c r="E197" s="772" t="s">
        <v>306</v>
      </c>
      <c r="F197" s="970" t="s">
        <v>1932</v>
      </c>
      <c r="G197" s="971"/>
      <c r="H197" s="971">
        <f t="shared" ref="H197:W197" si="343">(H190/G190-1)*100</f>
        <v>-31.850874532627159</v>
      </c>
      <c r="I197" s="971">
        <f t="shared" si="343"/>
        <v>222.93987632351056</v>
      </c>
      <c r="J197" s="971">
        <f t="shared" si="343"/>
        <v>8.5802798920397549</v>
      </c>
      <c r="K197" s="971">
        <f t="shared" si="343"/>
        <v>49.915464506070784</v>
      </c>
      <c r="L197" s="971">
        <f t="shared" si="343"/>
        <v>8.8630826187378062</v>
      </c>
      <c r="M197" s="971">
        <f t="shared" si="343"/>
        <v>281.96908879468418</v>
      </c>
      <c r="N197" s="971">
        <f t="shared" si="343"/>
        <v>69.628606106958046</v>
      </c>
      <c r="O197" s="971">
        <f t="shared" si="343"/>
        <v>64.645307943045907</v>
      </c>
      <c r="P197" s="971">
        <f t="shared" si="343"/>
        <v>325.11399131156986</v>
      </c>
      <c r="Q197" s="971">
        <f t="shared" si="343"/>
        <v>420.96052367930963</v>
      </c>
      <c r="R197" s="971">
        <f t="shared" si="343"/>
        <v>-119.65791801827395</v>
      </c>
      <c r="S197" s="971">
        <f t="shared" si="343"/>
        <v>-32.500151855677117</v>
      </c>
      <c r="T197" s="971">
        <f t="shared" si="343"/>
        <v>-21.655458535308615</v>
      </c>
      <c r="U197" s="971">
        <f t="shared" si="343"/>
        <v>-24.842887500059629</v>
      </c>
      <c r="V197" s="971">
        <f t="shared" si="343"/>
        <v>60.06331139896055</v>
      </c>
      <c r="W197" s="971">
        <f t="shared" si="343"/>
        <v>-25.045801808472856</v>
      </c>
      <c r="X197" s="3084">
        <f t="shared" si="342"/>
        <v>10.909834041558607</v>
      </c>
      <c r="Y197" s="3084">
        <f t="shared" si="342"/>
        <v>-11.556857841860712</v>
      </c>
      <c r="Z197" s="3084">
        <f t="shared" si="342"/>
        <v>-0.51958774036825472</v>
      </c>
      <c r="AA197" s="3084">
        <f t="shared" si="342"/>
        <v>-6.9846805823320368</v>
      </c>
      <c r="AB197" s="3084">
        <f t="shared" si="342"/>
        <v>33.023699500268201</v>
      </c>
      <c r="AC197" s="3084">
        <f t="shared" si="342"/>
        <v>1.7765065984271189</v>
      </c>
      <c r="AD197" s="3084">
        <f t="shared" si="342"/>
        <v>-4.2594072683399649</v>
      </c>
      <c r="AE197" s="3084">
        <f t="shared" si="342"/>
        <v>3.2000000000000028</v>
      </c>
      <c r="AF197" s="3084">
        <f t="shared" si="342"/>
        <v>3.2000000000000028</v>
      </c>
    </row>
    <row r="198" spans="1:43" s="220" customFormat="1" ht="12.75">
      <c r="A198" s="940"/>
      <c r="B198" s="940"/>
      <c r="C198" s="711"/>
      <c r="D198" s="754"/>
      <c r="E198" s="755" t="s">
        <v>307</v>
      </c>
      <c r="F198" s="961" t="s">
        <v>1933</v>
      </c>
      <c r="G198" s="962"/>
      <c r="H198" s="962">
        <f t="shared" ref="H198:W198" si="344">(H191/G191-1)*100</f>
        <v>6.7945187414896635</v>
      </c>
      <c r="I198" s="962">
        <f t="shared" si="344"/>
        <v>6.0635589406464963</v>
      </c>
      <c r="J198" s="962">
        <f t="shared" si="344"/>
        <v>-1.6481179062802664</v>
      </c>
      <c r="K198" s="962">
        <f t="shared" si="344"/>
        <v>3.9230930535170572</v>
      </c>
      <c r="L198" s="962">
        <f t="shared" si="344"/>
        <v>6.8457096446047139</v>
      </c>
      <c r="M198" s="962">
        <f t="shared" si="344"/>
        <v>4.3445183497715645</v>
      </c>
      <c r="N198" s="962">
        <f t="shared" si="344"/>
        <v>3.2711990858866669</v>
      </c>
      <c r="O198" s="962">
        <f t="shared" si="344"/>
        <v>3.6145785990620682</v>
      </c>
      <c r="P198" s="962">
        <f t="shared" si="344"/>
        <v>4.2644161524443058</v>
      </c>
      <c r="Q198" s="962">
        <f t="shared" si="344"/>
        <v>3.1633992862269089</v>
      </c>
      <c r="R198" s="962">
        <f t="shared" si="344"/>
        <v>3.2368177228452311</v>
      </c>
      <c r="S198" s="962">
        <f t="shared" si="344"/>
        <v>5.6227118319533531</v>
      </c>
      <c r="T198" s="962">
        <f t="shared" si="344"/>
        <v>3.9069254393826469</v>
      </c>
      <c r="U198" s="962">
        <f t="shared" si="344"/>
        <v>2.9291209592516854</v>
      </c>
      <c r="V198" s="962">
        <f t="shared" si="344"/>
        <v>2.1054384588980346</v>
      </c>
      <c r="W198" s="962">
        <f t="shared" si="344"/>
        <v>3.0240213894369816</v>
      </c>
      <c r="X198" s="3065">
        <f t="shared" si="342"/>
        <v>3.0309306993796747</v>
      </c>
      <c r="Y198" s="3065">
        <f t="shared" si="342"/>
        <v>1.890567982561242</v>
      </c>
      <c r="Z198" s="3065">
        <f t="shared" si="342"/>
        <v>2.2391821293940684</v>
      </c>
      <c r="AA198" s="3065">
        <f t="shared" si="342"/>
        <v>2.4790398141125936</v>
      </c>
      <c r="AB198" s="3065">
        <f t="shared" si="342"/>
        <v>2.1702745902325571</v>
      </c>
      <c r="AC198" s="3065">
        <f t="shared" si="342"/>
        <v>1.8784643347376395</v>
      </c>
      <c r="AD198" s="3065">
        <f t="shared" si="342"/>
        <v>2.4429510558931389</v>
      </c>
      <c r="AE198" s="3065">
        <f t="shared" si="342"/>
        <v>2.6607299916300731</v>
      </c>
      <c r="AF198" s="3065">
        <f t="shared" si="342"/>
        <v>2.4482645857861751</v>
      </c>
      <c r="AG198" s="2954"/>
      <c r="AH198" s="2954"/>
      <c r="AI198" s="2954"/>
      <c r="AJ198" s="2954"/>
      <c r="AK198" s="2954"/>
      <c r="AL198" s="2954"/>
      <c r="AM198" s="2954"/>
      <c r="AN198" s="2954"/>
      <c r="AO198" s="2954"/>
      <c r="AP198" s="2954"/>
      <c r="AQ198" s="2954"/>
    </row>
    <row r="199" spans="1:43" s="736" customFormat="1" ht="12.75">
      <c r="A199" s="700"/>
      <c r="B199" s="700"/>
      <c r="C199" s="731"/>
      <c r="D199" s="707"/>
      <c r="F199" s="731"/>
      <c r="X199" s="3063"/>
      <c r="Y199" s="3063"/>
      <c r="Z199" s="3063"/>
      <c r="AA199" s="3063"/>
      <c r="AB199" s="3063"/>
      <c r="AC199" s="3063"/>
      <c r="AD199" s="3063"/>
      <c r="AE199" s="3063"/>
      <c r="AF199" s="3063"/>
      <c r="AG199" s="2939"/>
      <c r="AH199" s="2939"/>
      <c r="AI199" s="2939"/>
      <c r="AJ199" s="2939"/>
      <c r="AK199" s="2939"/>
      <c r="AL199" s="2939"/>
      <c r="AM199" s="2939"/>
      <c r="AN199" s="2939"/>
      <c r="AO199" s="2939"/>
      <c r="AP199" s="2939"/>
      <c r="AQ199" s="2939"/>
    </row>
    <row r="200" spans="1:43" s="736" customFormat="1" ht="12.75" customHeight="1">
      <c r="A200" s="701"/>
      <c r="B200" s="701"/>
      <c r="C200" s="811"/>
      <c r="D200" s="851"/>
      <c r="E200" s="852" t="s">
        <v>622</v>
      </c>
      <c r="F200" s="853"/>
      <c r="G200" s="858">
        <f>+InputY!$G$3</f>
        <v>1995</v>
      </c>
      <c r="H200" s="854">
        <f t="shared" ref="H200:O200" si="345">+G200+1</f>
        <v>1996</v>
      </c>
      <c r="I200" s="854">
        <f t="shared" si="345"/>
        <v>1997</v>
      </c>
      <c r="J200" s="854">
        <f t="shared" si="345"/>
        <v>1998</v>
      </c>
      <c r="K200" s="854">
        <f t="shared" si="345"/>
        <v>1999</v>
      </c>
      <c r="L200" s="854">
        <f t="shared" si="345"/>
        <v>2000</v>
      </c>
      <c r="M200" s="854">
        <f t="shared" si="345"/>
        <v>2001</v>
      </c>
      <c r="N200" s="854">
        <f t="shared" si="345"/>
        <v>2002</v>
      </c>
      <c r="O200" s="854">
        <f t="shared" si="345"/>
        <v>2003</v>
      </c>
      <c r="P200" s="854">
        <f t="shared" ref="P200:AF200" si="346">+O200+1</f>
        <v>2004</v>
      </c>
      <c r="Q200" s="854">
        <f t="shared" si="346"/>
        <v>2005</v>
      </c>
      <c r="R200" s="854">
        <f t="shared" si="346"/>
        <v>2006</v>
      </c>
      <c r="S200" s="854">
        <f t="shared" si="346"/>
        <v>2007</v>
      </c>
      <c r="T200" s="854">
        <f t="shared" si="346"/>
        <v>2008</v>
      </c>
      <c r="U200" s="854">
        <f t="shared" si="346"/>
        <v>2009</v>
      </c>
      <c r="V200" s="854">
        <f t="shared" si="346"/>
        <v>2010</v>
      </c>
      <c r="W200" s="854">
        <f t="shared" si="346"/>
        <v>2011</v>
      </c>
      <c r="X200" s="2294">
        <f t="shared" si="346"/>
        <v>2012</v>
      </c>
      <c r="Y200" s="2294">
        <f t="shared" si="346"/>
        <v>2013</v>
      </c>
      <c r="Z200" s="2294">
        <f t="shared" si="346"/>
        <v>2014</v>
      </c>
      <c r="AA200" s="2294">
        <f t="shared" si="346"/>
        <v>2015</v>
      </c>
      <c r="AB200" s="2294">
        <f t="shared" si="346"/>
        <v>2016</v>
      </c>
      <c r="AC200" s="2294">
        <f t="shared" si="346"/>
        <v>2017</v>
      </c>
      <c r="AD200" s="2294">
        <f t="shared" si="346"/>
        <v>2018</v>
      </c>
      <c r="AE200" s="2294">
        <f t="shared" si="346"/>
        <v>2019</v>
      </c>
      <c r="AF200" s="2294">
        <f t="shared" si="346"/>
        <v>2020</v>
      </c>
      <c r="AG200" s="2939"/>
      <c r="AH200" s="2939"/>
      <c r="AI200" s="2939"/>
      <c r="AJ200" s="2939"/>
      <c r="AK200" s="2939"/>
      <c r="AL200" s="2939"/>
      <c r="AM200" s="2939"/>
      <c r="AN200" s="2939"/>
      <c r="AO200" s="2939"/>
      <c r="AP200" s="2939"/>
      <c r="AQ200" s="2939"/>
    </row>
    <row r="201" spans="1:43" s="736" customFormat="1" ht="12.75" customHeight="1">
      <c r="A201" s="701"/>
      <c r="B201" s="701"/>
      <c r="C201" s="859" t="s">
        <v>1791</v>
      </c>
      <c r="D201" s="860"/>
      <c r="E201" s="861" t="s">
        <v>1253</v>
      </c>
      <c r="F201" s="1716" t="s">
        <v>308</v>
      </c>
      <c r="G201" s="1743"/>
      <c r="H201" s="1744">
        <f>+H194-'VVP2'!H$366</f>
        <v>5.6293673852832127</v>
      </c>
      <c r="I201" s="1744">
        <f>+I194-'VVP2'!I$366</f>
        <v>5.2877293916029133</v>
      </c>
      <c r="J201" s="1744">
        <f>+J194-'VVP2'!J$366</f>
        <v>-1.9263331815673856</v>
      </c>
      <c r="K201" s="1744">
        <f>+K194-'VVP2'!K$366</f>
        <v>2.2673066552227006</v>
      </c>
      <c r="L201" s="1744">
        <f>+L194-'VVP2'!L$366</f>
        <v>5.3330528302055313</v>
      </c>
      <c r="M201" s="1744">
        <f>+M194-'VVP2'!M$366</f>
        <v>1.8099234375978934</v>
      </c>
      <c r="N201" s="1744">
        <f>+N194-'VVP2'!N$366</f>
        <v>1.5905258146692969</v>
      </c>
      <c r="O201" s="1744">
        <f>+O194-'VVP2'!O$366</f>
        <v>1.3718014350888375</v>
      </c>
      <c r="P201" s="1744">
        <f>+P194-'VVP2'!P$366</f>
        <v>4.1738369644924722</v>
      </c>
      <c r="Q201" s="1744">
        <f>+Q194-'VVP2'!Q$366</f>
        <v>1.9581981988019415</v>
      </c>
      <c r="R201" s="1744">
        <f>+R194-'VVP2'!R$366</f>
        <v>1.7909943183692656</v>
      </c>
      <c r="S201" s="1744">
        <f>+S194-'VVP2'!S$366</f>
        <v>3.8179493641763651</v>
      </c>
      <c r="T201" s="1744">
        <f>+T194-'VVP2'!T$366</f>
        <v>-0.58879904340798372</v>
      </c>
      <c r="U201" s="1744">
        <f>+U194-'VVP2'!U$366</f>
        <v>0.64248703857949785</v>
      </c>
      <c r="V201" s="1744">
        <f>+V194-'VVP2'!V$366</f>
        <v>0.49160056651409434</v>
      </c>
      <c r="W201" s="1744">
        <f>+W194-'VVP2'!W$366</f>
        <v>1.5867705739695426</v>
      </c>
      <c r="X201" s="3075">
        <f>+X194-'VVP2'!X$366</f>
        <v>2.3754863340644139</v>
      </c>
      <c r="Y201" s="3075">
        <f>+Y194-'VVP2'!Y$366</f>
        <v>1.007677576973709</v>
      </c>
      <c r="Z201" s="3075">
        <f>+Z194-'VVP2'!Z$366</f>
        <v>1.0215384856608667</v>
      </c>
      <c r="AA201" s="3075">
        <f>+AA194-'VVP2'!AA$366</f>
        <v>2.0669331514043821</v>
      </c>
      <c r="AB201" s="3075">
        <f>+AB194-'VVP2'!AB$366</f>
        <v>1.4110285211480056</v>
      </c>
      <c r="AC201" s="3075">
        <f>+AC194-'VVP2'!AC$366</f>
        <v>-0.15644449055285392</v>
      </c>
      <c r="AD201" s="3075">
        <f ca="1">+AD194-'VVP2'!AD$366</f>
        <v>0.90861595599555245</v>
      </c>
      <c r="AE201" s="3075">
        <f ca="1">+AE194-'VVP2'!AE$366</f>
        <v>0.82610028456454754</v>
      </c>
      <c r="AF201" s="3075">
        <f ca="1">+AF194-'VVP2'!AF$366</f>
        <v>0.54327598690688972</v>
      </c>
      <c r="AG201" s="2939"/>
      <c r="AH201" s="2939"/>
      <c r="AI201" s="2939"/>
      <c r="AJ201" s="2939"/>
      <c r="AK201" s="2939"/>
      <c r="AL201" s="2939"/>
      <c r="AM201" s="2939"/>
      <c r="AN201" s="2939"/>
      <c r="AO201" s="2939"/>
      <c r="AP201" s="2939"/>
      <c r="AQ201" s="2939"/>
    </row>
    <row r="202" spans="1:43" s="736" customFormat="1" ht="12.75" customHeight="1">
      <c r="A202" s="701"/>
      <c r="B202" s="701"/>
      <c r="C202" s="863" t="s">
        <v>1791</v>
      </c>
      <c r="D202" s="711"/>
      <c r="E202" s="820" t="s">
        <v>1254</v>
      </c>
      <c r="F202" s="1057" t="s">
        <v>309</v>
      </c>
      <c r="G202" s="1609"/>
      <c r="H202" s="1084">
        <f>+H195-'VVP2'!H$366</f>
        <v>6.3619107558031907</v>
      </c>
      <c r="I202" s="1084">
        <f>+I195-'VVP2'!I$366</f>
        <v>2.6980291746016016</v>
      </c>
      <c r="J202" s="1084">
        <f>+J195-'VVP2'!J$366</f>
        <v>-3.0946382137630235</v>
      </c>
      <c r="K202" s="1084">
        <f>+K195-'VVP2'!K$366</f>
        <v>2.4566716528988675</v>
      </c>
      <c r="L202" s="1084">
        <f>+L195-'VVP2'!L$366</f>
        <v>5.8585369776211094</v>
      </c>
      <c r="M202" s="1084">
        <f>+M195-'VVP2'!M$366</f>
        <v>2.4239477160695966</v>
      </c>
      <c r="N202" s="1084">
        <f>+N195-'VVP2'!N$366</f>
        <v>2.4833217039529121</v>
      </c>
      <c r="O202" s="1084">
        <f>+O195-'VVP2'!O$366</f>
        <v>4.0878096504689321</v>
      </c>
      <c r="P202" s="1084">
        <f>+P195-'VVP2'!P$366</f>
        <v>1.9545711932947629</v>
      </c>
      <c r="Q202" s="1084">
        <f>+Q195-'VVP2'!Q$366</f>
        <v>1.8381798901371926</v>
      </c>
      <c r="R202" s="1084">
        <f>+R195-'VVP2'!R$366</f>
        <v>2.1615703574247691</v>
      </c>
      <c r="S202" s="1084">
        <f>+S195-'VVP2'!S$366</f>
        <v>3.474507144825778</v>
      </c>
      <c r="T202" s="1084">
        <f>+T195-'VVP2'!T$366</f>
        <v>2.8506458677185265</v>
      </c>
      <c r="U202" s="1084">
        <f>+U195-'VVP2'!U$366</f>
        <v>0.18097418071505444</v>
      </c>
      <c r="V202" s="1084">
        <f>+V195-'VVP2'!V$366</f>
        <v>1.1114903707046597</v>
      </c>
      <c r="W202" s="1084">
        <f>+W195-'VVP2'!W$366</f>
        <v>0.89300667188336735</v>
      </c>
      <c r="X202" s="2337">
        <f>+X195-'VVP2'!X$366</f>
        <v>2.9685942796416231</v>
      </c>
      <c r="Y202" s="2337">
        <f>+Y195-'VVP2'!Y$366</f>
        <v>1.8561681828831667</v>
      </c>
      <c r="Z202" s="2337">
        <f>+Z195-'VVP2'!Z$366</f>
        <v>1.4168605189728734</v>
      </c>
      <c r="AA202" s="2337">
        <f>+AA195-'VVP2'!AA$366</f>
        <v>1.4050975605566229</v>
      </c>
      <c r="AB202" s="2337">
        <f>+AB195-'VVP2'!AB$366</f>
        <v>1.8740864143184766</v>
      </c>
      <c r="AC202" s="2337">
        <f>+AC195-'VVP2'!AC$366</f>
        <v>1.3184796110969454</v>
      </c>
      <c r="AD202" s="2337">
        <f ca="1">+AD195-'VVP2'!AD$366</f>
        <v>1.2841355239606405</v>
      </c>
      <c r="AE202" s="2337">
        <f ca="1">+AE195-'VVP2'!AE$366</f>
        <v>1.373187878801309</v>
      </c>
      <c r="AF202" s="2337">
        <f ca="1">+AF195-'VVP2'!AF$366</f>
        <v>1.0055120821574686</v>
      </c>
      <c r="AG202" s="2939"/>
      <c r="AH202" s="2939"/>
      <c r="AI202" s="2939"/>
      <c r="AJ202" s="2939"/>
      <c r="AK202" s="2939"/>
      <c r="AL202" s="2939"/>
      <c r="AM202" s="2939"/>
      <c r="AN202" s="2939"/>
      <c r="AO202" s="2939"/>
      <c r="AP202" s="2939"/>
      <c r="AQ202" s="2939"/>
    </row>
    <row r="203" spans="1:43" s="736" customFormat="1" ht="12.75" customHeight="1">
      <c r="A203" s="701"/>
      <c r="B203" s="701"/>
      <c r="C203" s="863" t="s">
        <v>1793</v>
      </c>
      <c r="D203" s="843"/>
      <c r="E203" s="844" t="s">
        <v>1255</v>
      </c>
      <c r="F203" s="1717" t="s">
        <v>1359</v>
      </c>
      <c r="G203" s="878"/>
      <c r="H203" s="1714">
        <f>+H196-'VVP2'!H$366</f>
        <v>5.9219302632429471</v>
      </c>
      <c r="I203" s="1714">
        <f>+I196-'VVP2'!I$366</f>
        <v>4.5240398803982007</v>
      </c>
      <c r="J203" s="1714">
        <f>+J196-'VVP2'!J$366</f>
        <v>-2.1239145020241379</v>
      </c>
      <c r="K203" s="1714">
        <f>+K196-'VVP2'!K$366</f>
        <v>2.3778107453048314</v>
      </c>
      <c r="L203" s="1714">
        <f>+L196-'VVP2'!L$366</f>
        <v>5.8278897791349316</v>
      </c>
      <c r="M203" s="1714">
        <f>+M196-'VVP2'!M$366</f>
        <v>2.0809938452591048</v>
      </c>
      <c r="N203" s="1714">
        <f>+N196-'VVP2'!N$366</f>
        <v>1.7547442905819111</v>
      </c>
      <c r="O203" s="1714">
        <f>+O196-'VVP2'!O$366</f>
        <v>2.0525704045053939</v>
      </c>
      <c r="P203" s="1714">
        <f>+P196-'VVP2'!P$366</f>
        <v>3.4499330985516607</v>
      </c>
      <c r="Q203" s="1714">
        <f>+Q196-'VVP2'!Q$366</f>
        <v>1.9634473145136555</v>
      </c>
      <c r="R203" s="1714">
        <f>+R196-'VVP2'!R$366</f>
        <v>1.929783884187275</v>
      </c>
      <c r="S203" s="1714">
        <f>+S196-'VVP2'!S$366</f>
        <v>3.8803292049882643</v>
      </c>
      <c r="T203" s="1714">
        <f>+T196-'VVP2'!T$366</f>
        <v>0.53136989031195014</v>
      </c>
      <c r="U203" s="1714">
        <f>+U196-'VVP2'!U$366</f>
        <v>0.48405751966642541</v>
      </c>
      <c r="V203" s="1714">
        <f>+V196-'VVP2'!V$366</f>
        <v>0.73012804692842437</v>
      </c>
      <c r="W203" s="1714">
        <f>+W196-'VVP2'!W$366</f>
        <v>1.5105357490704518</v>
      </c>
      <c r="X203" s="3086">
        <f>+X196-'VVP2'!X$366</f>
        <v>2.5387540133180453</v>
      </c>
      <c r="Y203" s="3086">
        <f>+Y196-'VVP2'!Y$366</f>
        <v>1.2340731003003924</v>
      </c>
      <c r="Z203" s="3086">
        <f>+Z196-'VVP2'!Z$366</f>
        <v>1.1403957162661849</v>
      </c>
      <c r="AA203" s="3086">
        <f>+AA196-'VVP2'!AA$366</f>
        <v>1.8647843001815101</v>
      </c>
      <c r="AB203" s="3086">
        <f>+AB196-'VVP2'!AB$366</f>
        <v>1.5117205581566262</v>
      </c>
      <c r="AC203" s="3086">
        <f>+AC196-'VVP2'!AC$366</f>
        <v>0.26181049621385455</v>
      </c>
      <c r="AD203" s="3086">
        <f ca="1">+AD196-'VVP2'!AD$366</f>
        <v>1.0025915991121697</v>
      </c>
      <c r="AE203" s="3086">
        <f ca="1">+AE196-'VVP2'!AE$366</f>
        <v>0.96966197372651153</v>
      </c>
      <c r="AF203" s="3086">
        <f ca="1">+AF196-'VVP2'!AF$366</f>
        <v>0.65605225578411352</v>
      </c>
      <c r="AG203" s="2939"/>
      <c r="AH203" s="2939"/>
      <c r="AI203" s="2939"/>
      <c r="AJ203" s="2939"/>
      <c r="AK203" s="2939"/>
      <c r="AL203" s="2939"/>
      <c r="AM203" s="2939"/>
      <c r="AN203" s="2939"/>
      <c r="AO203" s="2939"/>
      <c r="AP203" s="2939"/>
      <c r="AQ203" s="2939"/>
    </row>
    <row r="204" spans="1:43" s="736" customFormat="1" ht="12.75" customHeight="1">
      <c r="A204" s="701"/>
      <c r="B204" s="701"/>
      <c r="C204" s="864" t="s">
        <v>1791</v>
      </c>
      <c r="D204" s="865"/>
      <c r="E204" s="866" t="s">
        <v>306</v>
      </c>
      <c r="F204" s="1718" t="s">
        <v>1932</v>
      </c>
      <c r="G204" s="877"/>
      <c r="H204" s="1715">
        <f>+H197-'VVP2'!H$366</f>
        <v>-32.766162340979911</v>
      </c>
      <c r="I204" s="1715">
        <f>+I197-'VVP2'!I$366</f>
        <v>221.50349990029741</v>
      </c>
      <c r="J204" s="1715">
        <f>+J197-'VVP2'!J$366</f>
        <v>8.1243520771681954</v>
      </c>
      <c r="K204" s="1715">
        <f>+K197-'VVP2'!K$366</f>
        <v>48.439519695345744</v>
      </c>
      <c r="L204" s="1715">
        <f>+L197-'VVP2'!L$366</f>
        <v>7.8783813923571264</v>
      </c>
      <c r="M204" s="1715">
        <f>+M197-'VVP2'!M$366</f>
        <v>279.81706410156443</v>
      </c>
      <c r="N204" s="1715">
        <f>+N197-'VVP2'!N$366</f>
        <v>68.186222662158997</v>
      </c>
      <c r="O204" s="1715">
        <f>+O197-'VVP2'!O$366</f>
        <v>63.024007189003967</v>
      </c>
      <c r="P204" s="1715">
        <f>+P197-'VVP2'!P$366</f>
        <v>324.33556861424569</v>
      </c>
      <c r="Q204" s="1715">
        <f>+Q197-'VVP2'!Q$366</f>
        <v>419.85107080629132</v>
      </c>
      <c r="R204" s="1715">
        <f>+R197-'VVP2'!R$366</f>
        <v>-120.86215762096917</v>
      </c>
      <c r="S204" s="1715">
        <f>+S197-'VVP2'!S$366</f>
        <v>-33.945992715525122</v>
      </c>
      <c r="T204" s="1715">
        <f>+T197-'VVP2'!T$366</f>
        <v>-24.777807606187974</v>
      </c>
      <c r="U204" s="1715">
        <f>+U197-'VVP2'!U$366</f>
        <v>-27.070356801561978</v>
      </c>
      <c r="V204" s="1715">
        <f>+V197-'VVP2'!V$366</f>
        <v>58.577194061805372</v>
      </c>
      <c r="W204" s="1715">
        <f>+W197-'VVP2'!W$366</f>
        <v>-26.711875196088542</v>
      </c>
      <c r="X204" s="3087">
        <f>+X197-'VVP2'!X$366</f>
        <v>10.395947919239989</v>
      </c>
      <c r="Y204" s="3087">
        <f>+Y197-'VVP2'!Y$366</f>
        <v>-12.26666399311851</v>
      </c>
      <c r="Z204" s="3087">
        <f>+Z197-'VVP2'!Z$366</f>
        <v>-1.601481044085562</v>
      </c>
      <c r="AA204" s="3087">
        <f>+AA197-'VVP2'!AA$366</f>
        <v>-7.8537024900250163</v>
      </c>
      <c r="AB204" s="3087">
        <f>+AB197-'VVP2'!AB$366</f>
        <v>32.024831650915473</v>
      </c>
      <c r="AC204" s="3087">
        <f>+AC197-'VVP2'!AC$366</f>
        <v>4.3717650586039269E-2</v>
      </c>
      <c r="AD204" s="3087">
        <f ca="1">+AD197-'VVP2'!AD$366</f>
        <v>-5.959407268339965</v>
      </c>
      <c r="AE204" s="3087">
        <f ca="1">+AE197-'VVP2'!AE$366</f>
        <v>1.5000000000000029</v>
      </c>
      <c r="AF204" s="3087">
        <f ca="1">+AF197-'VVP2'!AF$366</f>
        <v>1.4000000000000028</v>
      </c>
      <c r="AG204" s="2939"/>
      <c r="AH204" s="2939"/>
      <c r="AI204" s="2939"/>
      <c r="AJ204" s="2939"/>
      <c r="AK204" s="2939"/>
      <c r="AL204" s="2939"/>
      <c r="AM204" s="2939"/>
      <c r="AN204" s="2939"/>
      <c r="AO204" s="2939"/>
      <c r="AP204" s="2939"/>
      <c r="AQ204" s="2939"/>
    </row>
    <row r="205" spans="1:43" s="736" customFormat="1" ht="12.75" customHeight="1">
      <c r="A205" s="701"/>
      <c r="B205" s="701"/>
      <c r="C205" s="811" t="s">
        <v>1793</v>
      </c>
      <c r="D205" s="843"/>
      <c r="E205" s="844" t="s">
        <v>307</v>
      </c>
      <c r="F205" s="1717" t="s">
        <v>1933</v>
      </c>
      <c r="G205" s="878"/>
      <c r="H205" s="1714">
        <f>+H198-'VVP2'!H$366</f>
        <v>5.8792309331369141</v>
      </c>
      <c r="I205" s="1714">
        <f>+I198-'VVP2'!I$366</f>
        <v>4.6271825174333481</v>
      </c>
      <c r="J205" s="1714">
        <f>+J198-'VVP2'!J$366</f>
        <v>-2.104045721151826</v>
      </c>
      <c r="K205" s="1714">
        <f>+K198-'VVP2'!K$366</f>
        <v>2.4471482427920188</v>
      </c>
      <c r="L205" s="1714">
        <f>+L198-'VVP2'!L$366</f>
        <v>5.8610084182240341</v>
      </c>
      <c r="M205" s="1714">
        <f>+M198-'VVP2'!M$366</f>
        <v>2.192493656651795</v>
      </c>
      <c r="N205" s="1714">
        <f>+N198-'VVP2'!N$366</f>
        <v>1.8288156410876111</v>
      </c>
      <c r="O205" s="1714">
        <f>+O198-'VVP2'!O$366</f>
        <v>1.9932778450201249</v>
      </c>
      <c r="P205" s="1714">
        <f>+P198-'VVP2'!P$366</f>
        <v>3.485993455120151</v>
      </c>
      <c r="Q205" s="1714">
        <f>+Q198-'VVP2'!Q$366</f>
        <v>2.0539464132085739</v>
      </c>
      <c r="R205" s="1714">
        <f>+R198-'VVP2'!R$366</f>
        <v>2.0325781201500082</v>
      </c>
      <c r="S205" s="1714">
        <f>+S198-'VVP2'!S$366</f>
        <v>4.176870972105351</v>
      </c>
      <c r="T205" s="1714">
        <f>+T198-'VVP2'!T$366</f>
        <v>0.78457636850328694</v>
      </c>
      <c r="U205" s="1714">
        <f>+U198-'VVP2'!U$366</f>
        <v>0.70165165774933591</v>
      </c>
      <c r="V205" s="1714">
        <f>+V198-'VVP2'!V$366</f>
        <v>0.61932112174285514</v>
      </c>
      <c r="W205" s="1714">
        <f>+W198-'VVP2'!W$366</f>
        <v>1.3579480018212964</v>
      </c>
      <c r="X205" s="3086">
        <f>+X198-'VVP2'!X$366</f>
        <v>2.5170445770610561</v>
      </c>
      <c r="Y205" s="3086">
        <f>+Y198-'VVP2'!Y$366</f>
        <v>1.1807618313034451</v>
      </c>
      <c r="Z205" s="3086">
        <f>+Z198-'VVP2'!Z$366</f>
        <v>1.1572888256767611</v>
      </c>
      <c r="AA205" s="3086">
        <f>+AA198-'VVP2'!AA$366</f>
        <v>1.6100179064196141</v>
      </c>
      <c r="AB205" s="3086">
        <f>+AB198-'VVP2'!AB$366</f>
        <v>1.1714067408798323</v>
      </c>
      <c r="AC205" s="3086">
        <f>+AC198-'VVP2'!AC$366</f>
        <v>0.1456753868965599</v>
      </c>
      <c r="AD205" s="3086">
        <f ca="1">+AD198-'VVP2'!AD$366</f>
        <v>0.74295105589313892</v>
      </c>
      <c r="AE205" s="3086">
        <f ca="1">+AE198-'VVP2'!AE$366</f>
        <v>0.96072999163007311</v>
      </c>
      <c r="AF205" s="3086">
        <f ca="1">+AF198-'VVP2'!AF$366</f>
        <v>0.64826458578617507</v>
      </c>
      <c r="AG205" s="2939"/>
      <c r="AH205" s="2939"/>
      <c r="AI205" s="2939"/>
      <c r="AJ205" s="2939"/>
      <c r="AK205" s="2939"/>
      <c r="AL205" s="2939"/>
      <c r="AM205" s="2939"/>
      <c r="AN205" s="2939"/>
      <c r="AO205" s="2939"/>
      <c r="AP205" s="2939"/>
      <c r="AQ205" s="2939"/>
    </row>
    <row r="206" spans="1:43" s="736" customFormat="1" ht="30" customHeight="1">
      <c r="A206" s="700"/>
      <c r="B206" s="700"/>
      <c r="C206" s="731"/>
      <c r="D206" s="707"/>
      <c r="F206" s="731"/>
      <c r="G206" s="1996"/>
      <c r="H206" s="1996"/>
      <c r="I206" s="1996"/>
      <c r="J206" s="1996"/>
      <c r="K206" s="1996"/>
      <c r="L206" s="1996"/>
      <c r="M206" s="1996"/>
      <c r="N206" s="1996"/>
      <c r="O206" s="1996"/>
      <c r="P206" s="1996"/>
      <c r="Q206" s="1996"/>
      <c r="R206" s="2295"/>
      <c r="S206" s="2295"/>
      <c r="T206" s="2295"/>
      <c r="U206" s="2295"/>
      <c r="V206" s="2295"/>
      <c r="W206" s="2295"/>
      <c r="X206" s="2295"/>
      <c r="Y206" s="2295"/>
      <c r="Z206" s="2295"/>
      <c r="AA206" s="2295"/>
      <c r="AB206" s="2295"/>
      <c r="AC206" s="2295"/>
      <c r="AD206" s="2295"/>
      <c r="AE206" s="2295"/>
      <c r="AF206" s="2295"/>
      <c r="AG206" s="2939"/>
      <c r="AH206" s="2939"/>
      <c r="AI206" s="2939"/>
      <c r="AJ206" s="2939"/>
      <c r="AK206" s="2939"/>
      <c r="AL206" s="2939"/>
      <c r="AM206" s="2939"/>
      <c r="AN206" s="2939"/>
      <c r="AO206" s="2939"/>
      <c r="AP206" s="2939"/>
      <c r="AQ206" s="2939"/>
    </row>
    <row r="207" spans="1:43" s="736" customFormat="1" ht="12.75" customHeight="1">
      <c r="A207" s="701"/>
      <c r="B207" s="701"/>
      <c r="C207" s="811"/>
      <c r="D207" s="812"/>
      <c r="E207" s="813" t="s">
        <v>1882</v>
      </c>
      <c r="F207" s="814"/>
      <c r="G207" s="815">
        <f>+InputY!$G$3</f>
        <v>1995</v>
      </c>
      <c r="H207" s="815">
        <f t="shared" ref="H207:R207" si="347">+G207+1</f>
        <v>1996</v>
      </c>
      <c r="I207" s="815">
        <f t="shared" si="347"/>
        <v>1997</v>
      </c>
      <c r="J207" s="815">
        <f t="shared" si="347"/>
        <v>1998</v>
      </c>
      <c r="K207" s="815">
        <f t="shared" si="347"/>
        <v>1999</v>
      </c>
      <c r="L207" s="815">
        <f t="shared" si="347"/>
        <v>2000</v>
      </c>
      <c r="M207" s="815">
        <f t="shared" si="347"/>
        <v>2001</v>
      </c>
      <c r="N207" s="815">
        <f t="shared" si="347"/>
        <v>2002</v>
      </c>
      <c r="O207" s="815">
        <f t="shared" si="347"/>
        <v>2003</v>
      </c>
      <c r="P207" s="815">
        <f>+O207+1</f>
        <v>2004</v>
      </c>
      <c r="Q207" s="815">
        <f t="shared" si="347"/>
        <v>2005</v>
      </c>
      <c r="R207" s="2285">
        <f t="shared" si="347"/>
        <v>2006</v>
      </c>
      <c r="S207" s="2285">
        <f t="shared" ref="S207:Y207" si="348">+R207+1</f>
        <v>2007</v>
      </c>
      <c r="T207" s="2285">
        <f t="shared" si="348"/>
        <v>2008</v>
      </c>
      <c r="U207" s="2285">
        <f t="shared" si="348"/>
        <v>2009</v>
      </c>
      <c r="V207" s="2285">
        <f>+U207+1</f>
        <v>2010</v>
      </c>
      <c r="W207" s="2285">
        <f>+V207+1</f>
        <v>2011</v>
      </c>
      <c r="X207" s="2285">
        <f t="shared" si="348"/>
        <v>2012</v>
      </c>
      <c r="Y207" s="2285">
        <f t="shared" si="348"/>
        <v>2013</v>
      </c>
      <c r="Z207" s="2285">
        <f t="shared" ref="Z207:AF207" si="349">+Y207+1</f>
        <v>2014</v>
      </c>
      <c r="AA207" s="2285">
        <f t="shared" si="349"/>
        <v>2015</v>
      </c>
      <c r="AB207" s="2285">
        <f t="shared" si="349"/>
        <v>2016</v>
      </c>
      <c r="AC207" s="2285">
        <f t="shared" si="349"/>
        <v>2017</v>
      </c>
      <c r="AD207" s="2285">
        <f t="shared" si="349"/>
        <v>2018</v>
      </c>
      <c r="AE207" s="2285">
        <f t="shared" si="349"/>
        <v>2019</v>
      </c>
      <c r="AF207" s="2285">
        <f t="shared" si="349"/>
        <v>2020</v>
      </c>
      <c r="AG207" s="2939"/>
      <c r="AH207" s="2939"/>
      <c r="AI207" s="2939"/>
      <c r="AJ207" s="2939"/>
      <c r="AK207" s="2939"/>
      <c r="AL207" s="2939"/>
      <c r="AM207" s="2939"/>
      <c r="AN207" s="2939"/>
      <c r="AO207" s="2939"/>
      <c r="AP207" s="2939"/>
      <c r="AQ207" s="2939"/>
    </row>
    <row r="208" spans="1:43" s="736" customFormat="1" ht="12.75" customHeight="1">
      <c r="A208" s="701">
        <f>+ROW(InputY!A186)</f>
        <v>186</v>
      </c>
      <c r="B208" s="701"/>
      <c r="C208" s="816" t="s">
        <v>1791</v>
      </c>
      <c r="D208" s="705" t="s">
        <v>664</v>
      </c>
      <c r="E208" s="737" t="s">
        <v>1868</v>
      </c>
      <c r="F208" s="738" t="str">
        <f>+InputY!B186</f>
        <v>$HComp</v>
      </c>
      <c r="G208" s="817">
        <f>+InputY!G186/1000</f>
        <v>25.466999999999999</v>
      </c>
      <c r="H208" s="817">
        <f>+InputY!H186/1000</f>
        <v>26.488</v>
      </c>
      <c r="I208" s="817">
        <f>+InputY!I186/1000</f>
        <v>27.68</v>
      </c>
      <c r="J208" s="817">
        <f>+InputY!J186/1000</f>
        <v>28.08</v>
      </c>
      <c r="K208" s="817">
        <f>+InputY!K186/1000</f>
        <v>29.03</v>
      </c>
      <c r="L208" s="817">
        <f>+InputY!L186/1000</f>
        <v>36.014000000000003</v>
      </c>
      <c r="M208" s="817">
        <f>+InputY!M186/1000</f>
        <v>37.732999999999997</v>
      </c>
      <c r="N208" s="817">
        <f>+InputY!N186/1000</f>
        <v>39.487000000000002</v>
      </c>
      <c r="O208" s="817">
        <f>+InputY!O186/1000</f>
        <v>41.460999999999999</v>
      </c>
      <c r="P208" s="817">
        <f>+InputY!P186/1000</f>
        <v>43.012999999999998</v>
      </c>
      <c r="Q208" s="817">
        <f>+InputY!Q186/1000</f>
        <v>44.62</v>
      </c>
      <c r="R208" s="817">
        <f>+InputY!R186/1000</f>
        <v>46.933</v>
      </c>
      <c r="S208" s="817">
        <f>+InputY!S186/1000</f>
        <v>49.655000000000001</v>
      </c>
      <c r="T208" s="817">
        <f>+InputY!T186/1000</f>
        <v>50.978000000000002</v>
      </c>
      <c r="U208" s="817">
        <f>+InputY!U186/1000</f>
        <v>52.457999999999998</v>
      </c>
      <c r="V208" s="817">
        <f>+InputY!V186/1000</f>
        <v>54.372999999999998</v>
      </c>
      <c r="W208" s="817">
        <f>+InputY!W186/1000</f>
        <v>56.372999999999998</v>
      </c>
      <c r="X208" s="817">
        <f>+InputY!X186/1000</f>
        <v>57.191000000000003</v>
      </c>
      <c r="Y208" s="817">
        <f>+InputY!Y186/1000</f>
        <v>58.377000000000002</v>
      </c>
      <c r="Z208" s="817">
        <f>+InputY!Z186/1000</f>
        <v>59.899000000000001</v>
      </c>
      <c r="AA208" s="817">
        <f>+InputY!AA186/1000</f>
        <v>60.9</v>
      </c>
      <c r="AB208" s="817">
        <f>+InputY!AB186/1000</f>
        <v>61.27</v>
      </c>
      <c r="AC208" s="817">
        <f>+InputY!AC186/1000</f>
        <v>61.984000000000002</v>
      </c>
      <c r="AD208" s="3088">
        <f>+AC208*(1+AD220/100)</f>
        <v>62.603840000000005</v>
      </c>
      <c r="AE208" s="3088">
        <f>+AD208*(1+AE220/100)</f>
        <v>62.916859199999998</v>
      </c>
      <c r="AF208" s="3088">
        <f>+AE208*(1+AF220/100)</f>
        <v>63.23144349599999</v>
      </c>
      <c r="AG208" s="2939"/>
      <c r="AH208" s="2939"/>
      <c r="AI208" s="2939"/>
      <c r="AJ208" s="2939"/>
      <c r="AK208" s="2939"/>
      <c r="AL208" s="2939"/>
      <c r="AM208" s="2939"/>
      <c r="AN208" s="2939"/>
      <c r="AO208" s="2939"/>
      <c r="AP208" s="2939"/>
      <c r="AQ208" s="2939"/>
    </row>
    <row r="209" spans="1:43" s="736" customFormat="1" ht="12.75" customHeight="1">
      <c r="A209" s="701">
        <f>+ROW(InputY!A116)</f>
        <v>116</v>
      </c>
      <c r="B209" s="701">
        <v>103</v>
      </c>
      <c r="C209" s="819" t="s">
        <v>1791</v>
      </c>
      <c r="D209" s="868" t="s">
        <v>665</v>
      </c>
      <c r="E209" s="869" t="s">
        <v>1868</v>
      </c>
      <c r="F209" s="741" t="str">
        <f>+InputY!B116</f>
        <v>$EComp</v>
      </c>
      <c r="G209" s="743">
        <f>+InputY!G116/1000</f>
        <v>550.09100000000001</v>
      </c>
      <c r="H209" s="743">
        <f>+InputY!H116/1000</f>
        <v>585.36400000000003</v>
      </c>
      <c r="I209" s="743">
        <f>+InputY!I116/1000</f>
        <v>617.69200000000001</v>
      </c>
      <c r="J209" s="743">
        <f>+InputY!J116/1000</f>
        <v>626.202</v>
      </c>
      <c r="K209" s="743">
        <f>+InputY!K116/1000</f>
        <v>666.69</v>
      </c>
      <c r="L209" s="743">
        <f>+InputY!L116/1000</f>
        <v>740.71900000000005</v>
      </c>
      <c r="M209" s="743">
        <f>+InputY!M116/1000</f>
        <v>795.72500000000002</v>
      </c>
      <c r="N209" s="743">
        <f>+InputY!N116/1000</f>
        <v>816.68799999999999</v>
      </c>
      <c r="O209" s="743">
        <f>+InputY!O116/1000</f>
        <v>833.90300000000002</v>
      </c>
      <c r="P209" s="743">
        <f>+InputY!P116/1000</f>
        <v>861.69500000000005</v>
      </c>
      <c r="Q209" s="743">
        <f>+InputY!Q116/1000</f>
        <v>893.27599999999995</v>
      </c>
      <c r="R209" s="743">
        <f>+InputY!R116/1000</f>
        <v>937.35199999999998</v>
      </c>
      <c r="S209" s="743">
        <f>+InputY!S116/1000</f>
        <v>1022.751</v>
      </c>
      <c r="T209" s="743">
        <f>+InputY!T116/1000</f>
        <v>1078.654</v>
      </c>
      <c r="U209" s="743">
        <f>+InputY!U116/1000</f>
        <v>1076.0340000000001</v>
      </c>
      <c r="V209" s="743">
        <f>+InputY!V116/1000</f>
        <v>1113.47</v>
      </c>
      <c r="W209" s="743">
        <f>+InputY!W116/1000</f>
        <v>1190.8889999999999</v>
      </c>
      <c r="X209" s="743">
        <f>+InputY!X116/1000</f>
        <v>1238.5650000000001</v>
      </c>
      <c r="Y209" s="743">
        <f>+InputY!Y116/1000</f>
        <v>1273.673</v>
      </c>
      <c r="Z209" s="743">
        <f>+InputY!Z116/1000</f>
        <v>1323.4639999999999</v>
      </c>
      <c r="AA209" s="743">
        <f>+InputY!AA116/1000</f>
        <v>1383.7719999999999</v>
      </c>
      <c r="AB209" s="743">
        <f>+InputY!AB116/1000</f>
        <v>1449.1769999999999</v>
      </c>
      <c r="AC209" s="743">
        <f>+InputY!AC116/1000</f>
        <v>1514.7650000000001</v>
      </c>
      <c r="AD209" s="3089">
        <f>+AD213-AD208-AD210</f>
        <v>1582.1332994116003</v>
      </c>
      <c r="AE209" s="3089">
        <f>+AE213-AE208-AE210</f>
        <v>1637.7014109868655</v>
      </c>
      <c r="AF209" s="3089">
        <f>+AF213-AF208-AF210</f>
        <v>1686.8095827186821</v>
      </c>
      <c r="AG209" s="2939"/>
      <c r="AH209" s="2939"/>
      <c r="AI209" s="2939"/>
      <c r="AJ209" s="2939"/>
      <c r="AK209" s="2939"/>
      <c r="AL209" s="2939"/>
      <c r="AM209" s="2939"/>
      <c r="AN209" s="2939"/>
      <c r="AO209" s="2939"/>
      <c r="AP209" s="2939"/>
      <c r="AQ209" s="2939"/>
    </row>
    <row r="210" spans="1:43" s="736" customFormat="1" ht="12.75" customHeight="1">
      <c r="A210" s="701">
        <f>+ROW(InputY!A145)</f>
        <v>145</v>
      </c>
      <c r="B210" s="701">
        <v>120</v>
      </c>
      <c r="C210" s="819" t="s">
        <v>1791</v>
      </c>
      <c r="D210" s="711" t="s">
        <v>666</v>
      </c>
      <c r="E210" s="3715" t="s">
        <v>1868</v>
      </c>
      <c r="F210" s="3716" t="str">
        <f>+InputY!B145</f>
        <v>$AComp</v>
      </c>
      <c r="G210" s="3717">
        <f>+InputY!G145/1000</f>
        <v>254.196</v>
      </c>
      <c r="H210" s="3717">
        <f>+InputY!H145/1000</f>
        <v>268.04500000000002</v>
      </c>
      <c r="I210" s="3717">
        <f>+InputY!I145/1000</f>
        <v>274.49599999999998</v>
      </c>
      <c r="J210" s="3717">
        <f>+InputY!J145/1000</f>
        <v>266.63799999999998</v>
      </c>
      <c r="K210" s="3717">
        <f>+InputY!K145/1000</f>
        <v>280.95800000000003</v>
      </c>
      <c r="L210" s="3717">
        <f>+InputY!L145/1000</f>
        <v>294.495</v>
      </c>
      <c r="M210" s="3717">
        <f>+InputY!M145/1000</f>
        <v>311.065</v>
      </c>
      <c r="N210" s="3717">
        <f>+InputY!N145/1000</f>
        <v>327.976</v>
      </c>
      <c r="O210" s="3717">
        <f>+InputY!O145/1000</f>
        <v>350.36099999999999</v>
      </c>
      <c r="P210" s="3717">
        <f>+InputY!P145/1000</f>
        <v>361.548</v>
      </c>
      <c r="Q210" s="3717">
        <f>+InputY!Q145/1000</f>
        <v>371.09899999999999</v>
      </c>
      <c r="R210" s="3717">
        <f>+InputY!R145/1000</f>
        <v>387.87700000000001</v>
      </c>
      <c r="S210" s="3717">
        <f>+InputY!S145/1000</f>
        <v>406.66199999999998</v>
      </c>
      <c r="T210" s="3717">
        <f>+InputY!T145/1000</f>
        <v>422.37099999999998</v>
      </c>
      <c r="U210" s="3717">
        <f>+InputY!U145/1000</f>
        <v>423.75599999999997</v>
      </c>
      <c r="V210" s="3717">
        <f>+InputY!V145/1000</f>
        <v>432.76</v>
      </c>
      <c r="W210" s="3717">
        <f>+InputY!W145/1000</f>
        <v>445.54700000000003</v>
      </c>
      <c r="X210" s="3717">
        <f>+InputY!X145/1000</f>
        <v>464.60700000000003</v>
      </c>
      <c r="Y210" s="3717">
        <f>+InputY!Y145/1000</f>
        <v>481.25400000000002</v>
      </c>
      <c r="Z210" s="3717">
        <f>+InputY!Z145/1000</f>
        <v>499.613</v>
      </c>
      <c r="AA210" s="3717">
        <f>+InputY!AA145/1000</f>
        <v>522.40599999999995</v>
      </c>
      <c r="AB210" s="3717">
        <f>+InputY!AB145/1000</f>
        <v>552.30999999999995</v>
      </c>
      <c r="AC210" s="3717">
        <f>+InputY!AC145/1000</f>
        <v>580.47299999999996</v>
      </c>
      <c r="AD210" s="3738">
        <f t="shared" ref="AD210:AE210" si="350">AD188*AD30/1000</f>
        <v>609.1532079189999</v>
      </c>
      <c r="AE210" s="3738">
        <f t="shared" si="350"/>
        <v>634.15236677277699</v>
      </c>
      <c r="AF210" s="3738">
        <f t="shared" ref="AF210" si="351">AF188*AF30/1000</f>
        <v>658.52821828109757</v>
      </c>
      <c r="AG210" s="2939"/>
      <c r="AH210" s="2939"/>
      <c r="AI210" s="2939"/>
      <c r="AJ210" s="2939"/>
      <c r="AK210" s="2939"/>
      <c r="AL210" s="2939"/>
      <c r="AM210" s="2939"/>
      <c r="AN210" s="2939"/>
      <c r="AO210" s="2939"/>
      <c r="AP210" s="2939"/>
      <c r="AQ210" s="2939"/>
    </row>
    <row r="211" spans="1:43" s="736" customFormat="1" ht="12.75" customHeight="1">
      <c r="A211" s="701"/>
      <c r="B211" s="701"/>
      <c r="C211" s="819"/>
      <c r="D211" s="1051"/>
      <c r="E211" s="3015" t="s">
        <v>75</v>
      </c>
      <c r="F211" s="2033"/>
      <c r="G211" s="2033"/>
      <c r="H211" s="2033"/>
      <c r="I211" s="2033"/>
      <c r="J211" s="2033"/>
      <c r="K211" s="2033"/>
      <c r="L211" s="2033"/>
      <c r="M211" s="2033"/>
      <c r="N211" s="2033"/>
      <c r="O211" s="2033"/>
      <c r="P211" s="2033"/>
      <c r="Q211" s="2033"/>
      <c r="R211" s="2033"/>
      <c r="S211" s="2033"/>
      <c r="T211" s="2033"/>
      <c r="U211" s="2033"/>
      <c r="V211" s="2033"/>
      <c r="W211" s="2033"/>
      <c r="X211" s="2033"/>
      <c r="Y211" s="2033"/>
      <c r="Z211" s="2033"/>
      <c r="AA211" s="2033"/>
      <c r="AB211" s="2033"/>
      <c r="AC211" s="2033"/>
      <c r="AD211" s="2033"/>
      <c r="AE211" s="2033"/>
      <c r="AF211" s="2033"/>
      <c r="AG211" s="2939"/>
      <c r="AH211" s="2939"/>
      <c r="AI211" s="2939"/>
      <c r="AJ211" s="2939"/>
      <c r="AK211" s="2939"/>
      <c r="AL211" s="2939"/>
      <c r="AM211" s="2939"/>
      <c r="AN211" s="2939"/>
      <c r="AO211" s="2939"/>
      <c r="AP211" s="2939"/>
      <c r="AQ211" s="2939"/>
    </row>
    <row r="212" spans="1:43" s="736" customFormat="1" ht="12.75" customHeight="1">
      <c r="A212" s="701"/>
      <c r="B212" s="701"/>
      <c r="C212" s="819"/>
      <c r="D212" s="1051"/>
      <c r="E212" s="2033" t="s">
        <v>90</v>
      </c>
      <c r="F212" s="2034"/>
      <c r="G212" s="1040">
        <f>ABS(G188*G30/1000-G210)</f>
        <v>0</v>
      </c>
      <c r="H212" s="1040">
        <f t="shared" ref="H212:R212" si="352">ABS(H188*H30/1000-H210)</f>
        <v>0</v>
      </c>
      <c r="I212" s="1040">
        <f t="shared" si="352"/>
        <v>5.6843418860808015E-14</v>
      </c>
      <c r="J212" s="1040">
        <f t="shared" si="352"/>
        <v>5.6843418860808015E-14</v>
      </c>
      <c r="K212" s="1040">
        <f t="shared" si="352"/>
        <v>0</v>
      </c>
      <c r="L212" s="1040">
        <f t="shared" si="352"/>
        <v>0</v>
      </c>
      <c r="M212" s="1040">
        <f t="shared" si="352"/>
        <v>0</v>
      </c>
      <c r="N212" s="1040">
        <f t="shared" si="352"/>
        <v>0</v>
      </c>
      <c r="O212" s="1040">
        <f t="shared" si="352"/>
        <v>5.6843418860808015E-14</v>
      </c>
      <c r="P212" s="1040">
        <f t="shared" si="352"/>
        <v>5.6843418860808015E-14</v>
      </c>
      <c r="Q212" s="1040">
        <f t="shared" si="352"/>
        <v>0</v>
      </c>
      <c r="R212" s="1040">
        <f t="shared" si="352"/>
        <v>0</v>
      </c>
      <c r="S212" s="1040">
        <f t="shared" ref="S212:X212" si="353">ABS(S188*S30/1000-S210)</f>
        <v>5.6843418860808015E-14</v>
      </c>
      <c r="T212" s="1040">
        <f t="shared" si="353"/>
        <v>5.6843418860808015E-14</v>
      </c>
      <c r="U212" s="1040">
        <f t="shared" si="353"/>
        <v>5.6843418860808015E-14</v>
      </c>
      <c r="V212" s="1040">
        <f>ABS(V188*V30/1000-V210)</f>
        <v>0</v>
      </c>
      <c r="W212" s="1040">
        <f>ABS(W188*W30/1000-W210)</f>
        <v>0</v>
      </c>
      <c r="X212" s="2297">
        <f t="shared" si="353"/>
        <v>5.6843418860808015E-14</v>
      </c>
      <c r="Y212" s="2297">
        <f t="shared" ref="Y212:AD212" si="354">ABS(Y188*Y30/1000-Y210)</f>
        <v>5.6843418860808015E-14</v>
      </c>
      <c r="Z212" s="2297">
        <f t="shared" si="354"/>
        <v>0</v>
      </c>
      <c r="AA212" s="2297">
        <f t="shared" si="354"/>
        <v>0</v>
      </c>
      <c r="AB212" s="2297">
        <f t="shared" ref="AB212:AC212" si="355">ABS(AB188*AB30/1000-AB210)</f>
        <v>1.1368683772161603E-13</v>
      </c>
      <c r="AC212" s="2297">
        <f t="shared" si="355"/>
        <v>1.1368683772161603E-13</v>
      </c>
      <c r="AD212" s="2297">
        <f t="shared" si="354"/>
        <v>0</v>
      </c>
      <c r="AE212" s="2297">
        <f t="shared" ref="AE212:AF212" si="356">ABS(AE188*AE30/1000-AE210)</f>
        <v>0</v>
      </c>
      <c r="AF212" s="2297">
        <f t="shared" si="356"/>
        <v>0</v>
      </c>
      <c r="AG212" s="2939"/>
      <c r="AH212" s="2939"/>
      <c r="AI212" s="2939"/>
      <c r="AJ212" s="2939"/>
      <c r="AK212" s="2939"/>
      <c r="AL212" s="2939"/>
      <c r="AM212" s="2939"/>
      <c r="AN212" s="2939"/>
      <c r="AO212" s="2939"/>
      <c r="AP212" s="2939"/>
      <c r="AQ212" s="2939"/>
    </row>
    <row r="213" spans="1:43" s="736" customFormat="1" ht="12.75" customHeight="1">
      <c r="A213" s="2014">
        <f>+ROW(InputY!A100)</f>
        <v>100</v>
      </c>
      <c r="B213" s="701">
        <v>61</v>
      </c>
      <c r="C213" s="819" t="s">
        <v>1793</v>
      </c>
      <c r="D213" s="783"/>
      <c r="E213" s="784" t="s">
        <v>1213</v>
      </c>
      <c r="F213" s="785" t="s">
        <v>1504</v>
      </c>
      <c r="G213" s="836">
        <f>+InputY!G100/1000</f>
        <v>829.75400000000002</v>
      </c>
      <c r="H213" s="836">
        <f>+InputY!H100/1000</f>
        <v>879.89700000000005</v>
      </c>
      <c r="I213" s="836">
        <f>+InputY!I100/1000</f>
        <v>919.86800000000005</v>
      </c>
      <c r="J213" s="836">
        <f>+InputY!J100/1000</f>
        <v>920.92</v>
      </c>
      <c r="K213" s="836">
        <f>+InputY!K100/1000</f>
        <v>976.678</v>
      </c>
      <c r="L213" s="836">
        <f>+InputY!L100/1000</f>
        <v>1071.2280000000001</v>
      </c>
      <c r="M213" s="836">
        <f>+InputY!M100/1000</f>
        <v>1144.5229999999999</v>
      </c>
      <c r="N213" s="836">
        <f>+InputY!N100/1000</f>
        <v>1184.1510000000001</v>
      </c>
      <c r="O213" s="836">
        <f>+InputY!O100/1000</f>
        <v>1225.7249999999999</v>
      </c>
      <c r="P213" s="836">
        <f>+InputY!P100/1000</f>
        <v>1266.2560000000001</v>
      </c>
      <c r="Q213" s="836">
        <f>+InputY!Q100/1000</f>
        <v>1308.9949999999999</v>
      </c>
      <c r="R213" s="836">
        <f>+InputY!R100/1000</f>
        <v>1372.162</v>
      </c>
      <c r="S213" s="836">
        <f>+InputY!S100/1000</f>
        <v>1479.068</v>
      </c>
      <c r="T213" s="836">
        <f>+InputY!T100/1000</f>
        <v>1552.0029999999999</v>
      </c>
      <c r="U213" s="836">
        <f>+InputY!U100/1000</f>
        <v>1552.248</v>
      </c>
      <c r="V213" s="836">
        <f>+InputY!V100/1000</f>
        <v>1600.6030000000001</v>
      </c>
      <c r="W213" s="836">
        <f>+InputY!W100/1000</f>
        <v>1692.809</v>
      </c>
      <c r="X213" s="836">
        <f>+InputY!X100/1000</f>
        <v>1760.3630000000001</v>
      </c>
      <c r="Y213" s="836">
        <f>+InputY!Y100/1000</f>
        <v>1813.3040000000001</v>
      </c>
      <c r="Z213" s="836">
        <f>+InputY!Z100/1000</f>
        <v>1882.9760000000001</v>
      </c>
      <c r="AA213" s="836">
        <f>+InputY!AA100/1000</f>
        <v>1967.078</v>
      </c>
      <c r="AB213" s="836">
        <f>+InputY!AB100/1000</f>
        <v>2062.7570000000001</v>
      </c>
      <c r="AC213" s="836">
        <f>+InputY!AC100/1000</f>
        <v>2157.2220000000002</v>
      </c>
      <c r="AD213" s="3033">
        <f>+AD134+AD165</f>
        <v>2253.8903473306004</v>
      </c>
      <c r="AE213" s="3033">
        <f>+AE134+AE165</f>
        <v>2334.7706369596426</v>
      </c>
      <c r="AF213" s="3033">
        <f>+AF134+AF165</f>
        <v>2408.5692444957795</v>
      </c>
      <c r="AG213" s="2939"/>
      <c r="AH213" s="2939"/>
      <c r="AI213" s="2939"/>
      <c r="AJ213" s="2939"/>
      <c r="AK213" s="2939"/>
      <c r="AL213" s="2939"/>
      <c r="AM213" s="2939"/>
      <c r="AN213" s="2939"/>
      <c r="AO213" s="2939"/>
      <c r="AP213" s="2939"/>
      <c r="AQ213" s="2939"/>
    </row>
    <row r="214" spans="1:43" s="736" customFormat="1" ht="12.75" customHeight="1">
      <c r="A214" s="701"/>
      <c r="B214" s="701"/>
      <c r="C214" s="819"/>
      <c r="D214" s="1051"/>
      <c r="E214" s="2033" t="s">
        <v>90</v>
      </c>
      <c r="F214" s="2034"/>
      <c r="G214" s="1040">
        <f t="shared" ref="G214:X214" si="357">ABS(+G208+G209+G210-G213)</f>
        <v>0</v>
      </c>
      <c r="H214" s="1040">
        <f t="shared" si="357"/>
        <v>1.1368683772161603E-13</v>
      </c>
      <c r="I214" s="1040">
        <f t="shared" si="357"/>
        <v>1.1368683772161603E-13</v>
      </c>
      <c r="J214" s="1040">
        <f t="shared" si="357"/>
        <v>1.1368683772161603E-13</v>
      </c>
      <c r="K214" s="1040">
        <f t="shared" si="357"/>
        <v>1.1368683772161603E-13</v>
      </c>
      <c r="L214" s="1040">
        <f t="shared" si="357"/>
        <v>0</v>
      </c>
      <c r="M214" s="1040">
        <f t="shared" si="357"/>
        <v>0</v>
      </c>
      <c r="N214" s="1040">
        <f t="shared" si="357"/>
        <v>2.2737367544323206E-13</v>
      </c>
      <c r="O214" s="1040">
        <f t="shared" si="357"/>
        <v>0</v>
      </c>
      <c r="P214" s="1040">
        <f t="shared" si="357"/>
        <v>0</v>
      </c>
      <c r="Q214" s="1040">
        <f t="shared" si="357"/>
        <v>0</v>
      </c>
      <c r="R214" s="1040">
        <f t="shared" si="357"/>
        <v>0</v>
      </c>
      <c r="S214" s="1040">
        <f t="shared" si="357"/>
        <v>0</v>
      </c>
      <c r="T214" s="1040">
        <f t="shared" si="357"/>
        <v>2.2737367544323206E-13</v>
      </c>
      <c r="U214" s="1040">
        <f t="shared" si="357"/>
        <v>0</v>
      </c>
      <c r="V214" s="1040">
        <f t="shared" si="357"/>
        <v>0</v>
      </c>
      <c r="W214" s="1040">
        <f>ABS(+W208+W209+W210-W213)</f>
        <v>0</v>
      </c>
      <c r="X214" s="2297">
        <f t="shared" si="357"/>
        <v>0</v>
      </c>
      <c r="Y214" s="2297">
        <f t="shared" ref="Y214:AD214" si="358">ABS(+Y208+Y209+Y210-Y213)</f>
        <v>0</v>
      </c>
      <c r="Z214" s="2297">
        <f t="shared" si="358"/>
        <v>2.2737367544323206E-13</v>
      </c>
      <c r="AA214" s="2297">
        <f t="shared" si="358"/>
        <v>0</v>
      </c>
      <c r="AB214" s="2297">
        <f t="shared" ref="AB214:AC214" si="359">ABS(+AB208+AB209+AB210-AB213)</f>
        <v>4.5474735088646412E-13</v>
      </c>
      <c r="AC214" s="2297">
        <f t="shared" si="359"/>
        <v>4.5474735088646412E-13</v>
      </c>
      <c r="AD214" s="2297">
        <f t="shared" si="358"/>
        <v>4.5474735088646412E-13</v>
      </c>
      <c r="AE214" s="2297">
        <f t="shared" ref="AE214:AF214" si="360">ABS(+AE208+AE209+AE210-AE213)</f>
        <v>0</v>
      </c>
      <c r="AF214" s="2297">
        <f t="shared" si="360"/>
        <v>0</v>
      </c>
      <c r="AG214" s="2939"/>
      <c r="AH214" s="2939"/>
      <c r="AI214" s="2939"/>
      <c r="AJ214" s="2939"/>
      <c r="AK214" s="2939"/>
      <c r="AL214" s="2939"/>
      <c r="AM214" s="2939"/>
      <c r="AN214" s="2939"/>
      <c r="AO214" s="2939"/>
      <c r="AP214" s="2939"/>
      <c r="AQ214" s="2939"/>
    </row>
    <row r="215" spans="1:43" s="736" customFormat="1" ht="12.75" customHeight="1">
      <c r="A215" s="2014">
        <f>+ROW(InputY!A231)</f>
        <v>231</v>
      </c>
      <c r="B215" s="701" t="s">
        <v>2028</v>
      </c>
      <c r="C215" s="819" t="s">
        <v>1791</v>
      </c>
      <c r="D215" s="711" t="s">
        <v>667</v>
      </c>
      <c r="E215" s="820" t="s">
        <v>1214</v>
      </c>
      <c r="F215" s="741" t="s">
        <v>1215</v>
      </c>
      <c r="G215" s="743">
        <f>+InputY!G231/1000</f>
        <v>0.81100000000000005</v>
      </c>
      <c r="H215" s="743">
        <f>+InputY!H231/1000</f>
        <v>0.50800000000000001</v>
      </c>
      <c r="I215" s="743">
        <f>+InputY!I231/1000</f>
        <v>1.427</v>
      </c>
      <c r="J215" s="743">
        <f>+InputY!J231/1000</f>
        <v>1.615</v>
      </c>
      <c r="K215" s="743">
        <f>+InputY!K231/1000</f>
        <v>2.3660000000000001</v>
      </c>
      <c r="L215" s="743">
        <f>+InputY!L231/1000</f>
        <v>2.9279999999999999</v>
      </c>
      <c r="M215" s="743">
        <f>+InputY!M231/1000</f>
        <v>4.3559999999999999</v>
      </c>
      <c r="N215" s="743">
        <f>+InputY!N231/1000</f>
        <v>5.36</v>
      </c>
      <c r="O215" s="743">
        <f>+InputY!O231/1000</f>
        <v>4.8440000000000003</v>
      </c>
      <c r="P215" s="743">
        <f>+InputY!P231/1000</f>
        <v>5.444</v>
      </c>
      <c r="Q215" s="743">
        <f>+InputY!Q231/1000</f>
        <v>6.782</v>
      </c>
      <c r="R215" s="743">
        <f>+InputY!R231/1000</f>
        <v>8.484</v>
      </c>
      <c r="S215" s="743">
        <f>+InputY!S231/1000</f>
        <v>13.335000000000001</v>
      </c>
      <c r="T215" s="743">
        <f>+InputY!T231/1000</f>
        <v>17.818000000000001</v>
      </c>
      <c r="U215" s="743">
        <f>+InputY!U231/1000</f>
        <v>21.146999999999998</v>
      </c>
      <c r="V215" s="743">
        <f>+InputY!V231/1000</f>
        <v>20.047000000000001</v>
      </c>
      <c r="W215" s="743">
        <f>+InputY!W231/1000</f>
        <v>18.667000000000002</v>
      </c>
      <c r="X215" s="743">
        <f>+InputY!X231/1000</f>
        <v>19.036999999999999</v>
      </c>
      <c r="Y215" s="743">
        <f>+InputY!Y231/1000</f>
        <v>18.651</v>
      </c>
      <c r="Z215" s="743">
        <f>+InputY!Z231/1000</f>
        <v>19.681999999999999</v>
      </c>
      <c r="AA215" s="743">
        <f>+InputY!AA231/1000</f>
        <v>15.632</v>
      </c>
      <c r="AB215" s="743">
        <f>+InputY!AB231/1000</f>
        <v>9.49</v>
      </c>
      <c r="AC215" s="743">
        <f>+InputY!AC231/1000</f>
        <v>7.4569999999999999</v>
      </c>
      <c r="AD215" s="3033">
        <f>+AD135+AD166</f>
        <v>6.9179999999998927</v>
      </c>
      <c r="AE215" s="3033">
        <f>+AE135+AE166</f>
        <v>6.9179999999998927</v>
      </c>
      <c r="AF215" s="3033">
        <f>+AF135+AF166</f>
        <v>6.9179999999998927</v>
      </c>
      <c r="AG215" s="2939"/>
      <c r="AH215" s="2939"/>
      <c r="AI215" s="2939"/>
      <c r="AJ215" s="2939"/>
      <c r="AK215" s="2939"/>
      <c r="AL215" s="2939"/>
      <c r="AM215" s="2939"/>
      <c r="AN215" s="2939"/>
      <c r="AO215" s="2939"/>
      <c r="AP215" s="2939"/>
      <c r="AQ215" s="2939"/>
    </row>
    <row r="216" spans="1:43" s="736" customFormat="1" ht="12.75" customHeight="1">
      <c r="A216" s="701">
        <f>+ROW(InputY!A184)</f>
        <v>184</v>
      </c>
      <c r="B216" s="701">
        <v>87</v>
      </c>
      <c r="C216" s="821" t="s">
        <v>1793</v>
      </c>
      <c r="D216" s="789" t="s">
        <v>664</v>
      </c>
      <c r="E216" s="790" t="s">
        <v>1870</v>
      </c>
      <c r="F216" s="791" t="str">
        <f>+InputY!B184</f>
        <v>YHComp</v>
      </c>
      <c r="G216" s="822">
        <f>+InputY!G184/1000</f>
        <v>830.56500000000005</v>
      </c>
      <c r="H216" s="822">
        <f>+InputY!H184/1000</f>
        <v>880.40499999999997</v>
      </c>
      <c r="I216" s="822">
        <f>+InputY!I184/1000</f>
        <v>921.29499999999996</v>
      </c>
      <c r="J216" s="822">
        <f>+InputY!J184/1000</f>
        <v>922.53499999999997</v>
      </c>
      <c r="K216" s="822">
        <f>+InputY!K184/1000</f>
        <v>979.04399999999998</v>
      </c>
      <c r="L216" s="822">
        <f>+InputY!L184/1000</f>
        <v>1074.1559999999999</v>
      </c>
      <c r="M216" s="822">
        <f>+InputY!M184/1000</f>
        <v>1148.8789999999999</v>
      </c>
      <c r="N216" s="822">
        <f>+InputY!N184/1000</f>
        <v>1189.511</v>
      </c>
      <c r="O216" s="822">
        <f>+InputY!O184/1000</f>
        <v>1230.569</v>
      </c>
      <c r="P216" s="822">
        <f>+InputY!P184/1000</f>
        <v>1271.7</v>
      </c>
      <c r="Q216" s="822">
        <f>+InputY!Q184/1000</f>
        <v>1315.777</v>
      </c>
      <c r="R216" s="822">
        <f>+InputY!R184/1000</f>
        <v>1380.646</v>
      </c>
      <c r="S216" s="822">
        <f>+InputY!S184/1000</f>
        <v>1492.403</v>
      </c>
      <c r="T216" s="822">
        <f>+InputY!T184/1000</f>
        <v>1569.8209999999999</v>
      </c>
      <c r="U216" s="822">
        <f>+InputY!U184/1000</f>
        <v>1573.395</v>
      </c>
      <c r="V216" s="822">
        <f>+InputY!V184/1000</f>
        <v>1620.65</v>
      </c>
      <c r="W216" s="822">
        <f>+InputY!W184/1000</f>
        <v>1711.4760000000001</v>
      </c>
      <c r="X216" s="822">
        <f>+InputY!X184/1000</f>
        <v>1779.4</v>
      </c>
      <c r="Y216" s="822">
        <f>+InputY!Y184/1000</f>
        <v>1831.9549999999999</v>
      </c>
      <c r="Z216" s="822">
        <f>+InputY!Z184/1000</f>
        <v>1902.6579999999999</v>
      </c>
      <c r="AA216" s="822">
        <f>+InputY!AA184/1000</f>
        <v>1982.71</v>
      </c>
      <c r="AB216" s="822">
        <f>+InputY!AB184/1000</f>
        <v>2072.2469999999998</v>
      </c>
      <c r="AC216" s="822">
        <f>+InputY!AC184/1000</f>
        <v>2164.6790000000001</v>
      </c>
      <c r="AD216" s="3088">
        <f>+AD213+AD215</f>
        <v>2260.8083473306006</v>
      </c>
      <c r="AE216" s="3088">
        <f>+AE213+AE215</f>
        <v>2341.6886369596423</v>
      </c>
      <c r="AF216" s="3088">
        <f>+AF213+AF215</f>
        <v>2415.4872444957791</v>
      </c>
      <c r="AG216" s="2939"/>
      <c r="AH216" s="2939"/>
      <c r="AI216" s="2939"/>
      <c r="AJ216" s="2939"/>
      <c r="AK216" s="2939"/>
      <c r="AL216" s="2939"/>
      <c r="AM216" s="2939"/>
      <c r="AN216" s="2939"/>
      <c r="AO216" s="2939"/>
      <c r="AP216" s="2939"/>
      <c r="AQ216" s="2939"/>
    </row>
    <row r="217" spans="1:43" s="2032" customFormat="1" ht="12.75" customHeight="1">
      <c r="A217" s="1036"/>
      <c r="B217" s="1036"/>
      <c r="C217" s="1647"/>
      <c r="D217" s="1051"/>
      <c r="E217" s="2033" t="s">
        <v>90</v>
      </c>
      <c r="F217" s="2034"/>
      <c r="G217" s="1040">
        <f>ABS(+G213+G215-G216)</f>
        <v>0</v>
      </c>
      <c r="H217" s="1040">
        <f t="shared" ref="H217:X217" si="361">ABS(+H213+H215-H216)</f>
        <v>1.1368683772161603E-13</v>
      </c>
      <c r="I217" s="1040">
        <f t="shared" si="361"/>
        <v>1.1368683772161603E-13</v>
      </c>
      <c r="J217" s="1040">
        <f t="shared" si="361"/>
        <v>0</v>
      </c>
      <c r="K217" s="1040">
        <f t="shared" si="361"/>
        <v>0</v>
      </c>
      <c r="L217" s="1040">
        <f t="shared" si="361"/>
        <v>2.2737367544323206E-13</v>
      </c>
      <c r="M217" s="1040">
        <f t="shared" si="361"/>
        <v>0</v>
      </c>
      <c r="N217" s="1040">
        <f t="shared" si="361"/>
        <v>0</v>
      </c>
      <c r="O217" s="1040">
        <f t="shared" si="361"/>
        <v>0</v>
      </c>
      <c r="P217" s="1040">
        <f t="shared" si="361"/>
        <v>0</v>
      </c>
      <c r="Q217" s="1040">
        <f t="shared" si="361"/>
        <v>2.2737367544323206E-13</v>
      </c>
      <c r="R217" s="1040">
        <f t="shared" si="361"/>
        <v>0</v>
      </c>
      <c r="S217" s="1040">
        <f t="shared" si="361"/>
        <v>0</v>
      </c>
      <c r="T217" s="1040">
        <f t="shared" si="361"/>
        <v>0</v>
      </c>
      <c r="U217" s="1040">
        <f t="shared" si="361"/>
        <v>0</v>
      </c>
      <c r="V217" s="1040">
        <f t="shared" si="361"/>
        <v>0</v>
      </c>
      <c r="W217" s="1040">
        <f>ABS(+W213+W215-W216)</f>
        <v>2.2737367544323206E-13</v>
      </c>
      <c r="X217" s="2297">
        <f t="shared" si="361"/>
        <v>0</v>
      </c>
      <c r="Y217" s="2297">
        <f t="shared" ref="Y217:AD217" si="362">ABS(+Y213+Y215-Y216)</f>
        <v>2.2737367544323206E-13</v>
      </c>
      <c r="Z217" s="2297">
        <f t="shared" si="362"/>
        <v>2.2737367544323206E-13</v>
      </c>
      <c r="AA217" s="2297">
        <f t="shared" si="362"/>
        <v>0</v>
      </c>
      <c r="AB217" s="2297">
        <f t="shared" ref="AB217:AC217" si="363">ABS(+AB213+AB215-AB216)</f>
        <v>0</v>
      </c>
      <c r="AC217" s="2297">
        <f t="shared" si="363"/>
        <v>0</v>
      </c>
      <c r="AD217" s="2297">
        <f t="shared" si="362"/>
        <v>0</v>
      </c>
      <c r="AE217" s="2297">
        <f t="shared" ref="AE217:AF217" si="364">ABS(+AE213+AE215-AE216)</f>
        <v>0</v>
      </c>
      <c r="AF217" s="2297">
        <f t="shared" si="364"/>
        <v>0</v>
      </c>
      <c r="AG217" s="2940"/>
      <c r="AH217" s="2940"/>
      <c r="AI217" s="2940"/>
      <c r="AJ217" s="2940"/>
      <c r="AK217" s="2940"/>
      <c r="AL217" s="2940"/>
      <c r="AM217" s="2940"/>
      <c r="AN217" s="2940"/>
      <c r="AO217" s="2940"/>
      <c r="AP217" s="2940"/>
      <c r="AQ217" s="2940"/>
    </row>
    <row r="218" spans="1:43" s="736" customFormat="1">
      <c r="A218" s="701"/>
      <c r="B218" s="700"/>
      <c r="C218" s="731"/>
      <c r="D218" s="707"/>
      <c r="F218" s="731"/>
      <c r="P218" s="1929"/>
      <c r="Q218" s="1930"/>
      <c r="R218" s="2287"/>
      <c r="S218" s="2287"/>
      <c r="T218" s="2287"/>
      <c r="U218" s="2287"/>
      <c r="V218" s="2287"/>
      <c r="W218" s="2287"/>
      <c r="X218" s="3063"/>
      <c r="Y218" s="3063"/>
      <c r="Z218"/>
      <c r="AA218"/>
      <c r="AB218"/>
      <c r="AC218"/>
      <c r="AD218"/>
      <c r="AE218"/>
      <c r="AF218"/>
      <c r="AG218" s="2939"/>
      <c r="AH218" s="2939"/>
      <c r="AI218" s="2939"/>
      <c r="AJ218" s="2939"/>
      <c r="AK218" s="2939"/>
      <c r="AL218" s="2939"/>
      <c r="AM218" s="2939"/>
      <c r="AN218" s="2939"/>
      <c r="AO218" s="2939"/>
      <c r="AP218" s="2939"/>
      <c r="AQ218" s="2939"/>
    </row>
    <row r="219" spans="1:43" s="736" customFormat="1" ht="12.75" customHeight="1">
      <c r="A219" s="701"/>
      <c r="B219" s="701"/>
      <c r="C219" s="811"/>
      <c r="D219" s="779"/>
      <c r="E219" s="780" t="s">
        <v>1883</v>
      </c>
      <c r="F219" s="781"/>
      <c r="G219" s="782">
        <f>+InputY!$G$3</f>
        <v>1995</v>
      </c>
      <c r="H219" s="782">
        <f t="shared" ref="H219:R219" si="365">+G219+1</f>
        <v>1996</v>
      </c>
      <c r="I219" s="782">
        <f t="shared" si="365"/>
        <v>1997</v>
      </c>
      <c r="J219" s="782">
        <f t="shared" si="365"/>
        <v>1998</v>
      </c>
      <c r="K219" s="782">
        <f t="shared" si="365"/>
        <v>1999</v>
      </c>
      <c r="L219" s="782">
        <f t="shared" si="365"/>
        <v>2000</v>
      </c>
      <c r="M219" s="782">
        <f t="shared" si="365"/>
        <v>2001</v>
      </c>
      <c r="N219" s="782">
        <f t="shared" si="365"/>
        <v>2002</v>
      </c>
      <c r="O219" s="782">
        <f t="shared" si="365"/>
        <v>2003</v>
      </c>
      <c r="P219" s="782">
        <f>+O219+1</f>
        <v>2004</v>
      </c>
      <c r="Q219" s="782">
        <f>+P219+1</f>
        <v>2005</v>
      </c>
      <c r="R219" s="2272">
        <f t="shared" si="365"/>
        <v>2006</v>
      </c>
      <c r="S219" s="2272">
        <f t="shared" ref="S219:Y219" si="366">+R219+1</f>
        <v>2007</v>
      </c>
      <c r="T219" s="2272">
        <f t="shared" si="366"/>
        <v>2008</v>
      </c>
      <c r="U219" s="2272">
        <f t="shared" si="366"/>
        <v>2009</v>
      </c>
      <c r="V219" s="2272">
        <f>+U219+1</f>
        <v>2010</v>
      </c>
      <c r="W219" s="2272">
        <f>+V219+1</f>
        <v>2011</v>
      </c>
      <c r="X219" s="2272">
        <f t="shared" si="366"/>
        <v>2012</v>
      </c>
      <c r="Y219" s="2272">
        <f t="shared" si="366"/>
        <v>2013</v>
      </c>
      <c r="Z219" s="2272">
        <f t="shared" ref="Z219:AF219" si="367">+Y219+1</f>
        <v>2014</v>
      </c>
      <c r="AA219" s="2272">
        <f t="shared" si="367"/>
        <v>2015</v>
      </c>
      <c r="AB219" s="2272">
        <f t="shared" si="367"/>
        <v>2016</v>
      </c>
      <c r="AC219" s="2272">
        <f t="shared" si="367"/>
        <v>2017</v>
      </c>
      <c r="AD219" s="2272">
        <f t="shared" si="367"/>
        <v>2018</v>
      </c>
      <c r="AE219" s="2272">
        <f t="shared" si="367"/>
        <v>2019</v>
      </c>
      <c r="AF219" s="2272">
        <f t="shared" si="367"/>
        <v>2020</v>
      </c>
      <c r="AG219" s="2939"/>
      <c r="AH219" s="2939"/>
      <c r="AI219" s="2939"/>
      <c r="AJ219" s="2939"/>
      <c r="AK219" s="2939"/>
      <c r="AL219" s="2939"/>
      <c r="AM219" s="2939"/>
      <c r="AN219" s="2939"/>
      <c r="AO219" s="2939"/>
      <c r="AP219" s="2939"/>
      <c r="AQ219" s="2939"/>
    </row>
    <row r="220" spans="1:43" s="736" customFormat="1" ht="12.75" customHeight="1">
      <c r="A220" s="701"/>
      <c r="B220" s="701"/>
      <c r="C220" s="831" t="s">
        <v>1791</v>
      </c>
      <c r="D220" s="726" t="s">
        <v>664</v>
      </c>
      <c r="E220" s="775" t="s">
        <v>1868</v>
      </c>
      <c r="F220" s="770" t="s">
        <v>1276</v>
      </c>
      <c r="G220" s="776"/>
      <c r="H220" s="776">
        <f t="shared" ref="H220:Z220" si="368">(H208/G208-1)*100</f>
        <v>4.0091098284053883</v>
      </c>
      <c r="I220" s="776">
        <f t="shared" si="368"/>
        <v>4.500151011778919</v>
      </c>
      <c r="J220" s="776">
        <f t="shared" si="368"/>
        <v>1.4450867052023142</v>
      </c>
      <c r="K220" s="776">
        <f t="shared" si="368"/>
        <v>3.3831908831909008</v>
      </c>
      <c r="L220" s="776">
        <f t="shared" si="368"/>
        <v>24.057871167757504</v>
      </c>
      <c r="M220" s="776">
        <f t="shared" si="368"/>
        <v>4.7731437774198859</v>
      </c>
      <c r="N220" s="776">
        <f t="shared" si="368"/>
        <v>4.6484509580473565</v>
      </c>
      <c r="O220" s="776">
        <f t="shared" si="368"/>
        <v>4.999113632334673</v>
      </c>
      <c r="P220" s="776">
        <f t="shared" si="368"/>
        <v>3.7432768143556672</v>
      </c>
      <c r="Q220" s="776">
        <f t="shared" si="368"/>
        <v>3.7360797898309706</v>
      </c>
      <c r="R220" s="776">
        <f t="shared" si="368"/>
        <v>5.1837740923352804</v>
      </c>
      <c r="S220" s="776">
        <f t="shared" si="368"/>
        <v>5.7997571005475868</v>
      </c>
      <c r="T220" s="776">
        <f t="shared" si="368"/>
        <v>2.6643842513342175</v>
      </c>
      <c r="U220" s="776">
        <f t="shared" si="368"/>
        <v>2.9032131507709114</v>
      </c>
      <c r="V220" s="776">
        <f t="shared" si="368"/>
        <v>3.6505394792023971</v>
      </c>
      <c r="W220" s="776">
        <f t="shared" si="368"/>
        <v>3.6782962131940433</v>
      </c>
      <c r="X220" s="776">
        <f t="shared" si="368"/>
        <v>1.4510492611711445</v>
      </c>
      <c r="Y220" s="776">
        <f t="shared" si="368"/>
        <v>2.0737528632127411</v>
      </c>
      <c r="Z220" s="776">
        <f t="shared" si="368"/>
        <v>2.6071911883104537</v>
      </c>
      <c r="AA220" s="776">
        <f>(AA208/Z208-1)*100</f>
        <v>1.6711464298235335</v>
      </c>
      <c r="AB220" s="776">
        <f>(AB208/AA208-1)*100</f>
        <v>0.60755336617406286</v>
      </c>
      <c r="AC220" s="776">
        <f>(AC208/AB208-1)*100</f>
        <v>1.1653337685653575</v>
      </c>
      <c r="AD220" s="3029">
        <v>1</v>
      </c>
      <c r="AE220" s="3029">
        <v>0.5</v>
      </c>
      <c r="AF220" s="3029">
        <v>0.5</v>
      </c>
      <c r="AG220" s="2939"/>
      <c r="AH220" s="2939"/>
      <c r="AI220" s="2939"/>
      <c r="AJ220" s="2939"/>
      <c r="AK220" s="2939"/>
      <c r="AL220" s="2939"/>
      <c r="AM220" s="2939"/>
      <c r="AN220" s="2939"/>
      <c r="AO220" s="2939"/>
      <c r="AP220" s="2939"/>
      <c r="AQ220" s="2939"/>
    </row>
    <row r="221" spans="1:43" s="736" customFormat="1" ht="12.75" customHeight="1">
      <c r="A221" s="701"/>
      <c r="B221" s="701"/>
      <c r="C221" s="832" t="s">
        <v>1791</v>
      </c>
      <c r="D221" s="868" t="s">
        <v>665</v>
      </c>
      <c r="E221" s="869" t="s">
        <v>1868</v>
      </c>
      <c r="F221" s="741" t="s">
        <v>1208</v>
      </c>
      <c r="G221" s="743"/>
      <c r="H221" s="743">
        <f t="shared" ref="H221:AF221" si="369">(H209/G209-1)*100</f>
        <v>6.4122117976843862</v>
      </c>
      <c r="I221" s="743">
        <f t="shared" si="369"/>
        <v>5.5227174886053776</v>
      </c>
      <c r="J221" s="743">
        <f t="shared" si="369"/>
        <v>1.3777092790581591</v>
      </c>
      <c r="K221" s="743">
        <f t="shared" si="369"/>
        <v>6.465645271014786</v>
      </c>
      <c r="L221" s="743">
        <f t="shared" si="369"/>
        <v>11.103961361352344</v>
      </c>
      <c r="M221" s="743">
        <f t="shared" si="369"/>
        <v>7.4260279539204443</v>
      </c>
      <c r="N221" s="743">
        <f t="shared" si="369"/>
        <v>2.6344528574570258</v>
      </c>
      <c r="O221" s="743">
        <f t="shared" si="369"/>
        <v>2.107904120055637</v>
      </c>
      <c r="P221" s="743">
        <f t="shared" si="369"/>
        <v>3.332761724085409</v>
      </c>
      <c r="Q221" s="743">
        <f t="shared" si="369"/>
        <v>3.6649858708707628</v>
      </c>
      <c r="R221" s="743">
        <f t="shared" si="369"/>
        <v>4.9341972693769831</v>
      </c>
      <c r="S221" s="743">
        <f t="shared" si="369"/>
        <v>9.110664936971391</v>
      </c>
      <c r="T221" s="743">
        <f t="shared" si="369"/>
        <v>5.4659443012033293</v>
      </c>
      <c r="U221" s="743">
        <f t="shared" si="369"/>
        <v>-0.24289531212046134</v>
      </c>
      <c r="V221" s="743">
        <f t="shared" si="369"/>
        <v>3.4790722226249349</v>
      </c>
      <c r="W221" s="743">
        <f t="shared" si="369"/>
        <v>6.9529488895075708</v>
      </c>
      <c r="X221" s="743">
        <f t="shared" si="369"/>
        <v>4.0033957824784805</v>
      </c>
      <c r="Y221" s="743">
        <f t="shared" si="369"/>
        <v>2.8345706523274838</v>
      </c>
      <c r="Z221" s="743">
        <f t="shared" si="369"/>
        <v>3.909245151620544</v>
      </c>
      <c r="AA221" s="743">
        <f t="shared" si="369"/>
        <v>4.556829653092187</v>
      </c>
      <c r="AB221" s="743">
        <f t="shared" si="369"/>
        <v>4.7265734528520564</v>
      </c>
      <c r="AC221" s="743">
        <f t="shared" si="369"/>
        <v>4.525879171419378</v>
      </c>
      <c r="AD221" s="743">
        <f t="shared" si="369"/>
        <v>4.447442303697291</v>
      </c>
      <c r="AE221" s="743">
        <f t="shared" si="369"/>
        <v>3.5122269151361074</v>
      </c>
      <c r="AF221" s="743">
        <f t="shared" si="369"/>
        <v>2.998603494041352</v>
      </c>
      <c r="AG221" s="2939"/>
      <c r="AH221" s="2939"/>
      <c r="AI221" s="2939"/>
      <c r="AJ221" s="2939"/>
      <c r="AK221" s="2939"/>
      <c r="AL221" s="2939"/>
      <c r="AM221" s="2939"/>
      <c r="AN221" s="2939"/>
      <c r="AO221" s="2939"/>
      <c r="AP221" s="2939"/>
      <c r="AQ221" s="2939"/>
    </row>
    <row r="222" spans="1:43" s="736" customFormat="1" ht="12.75" customHeight="1">
      <c r="A222" s="701"/>
      <c r="B222" s="701"/>
      <c r="C222" s="832" t="s">
        <v>1791</v>
      </c>
      <c r="D222" s="711" t="s">
        <v>666</v>
      </c>
      <c r="E222" s="820" t="s">
        <v>1868</v>
      </c>
      <c r="F222" s="741" t="s">
        <v>1596</v>
      </c>
      <c r="G222" s="743"/>
      <c r="H222" s="743">
        <f t="shared" ref="H222:W222" si="370">(H210/G210-1)*100</f>
        <v>5.448158114211088</v>
      </c>
      <c r="I222" s="743">
        <f t="shared" si="370"/>
        <v>2.4066854446081587</v>
      </c>
      <c r="J222" s="743">
        <f t="shared" si="370"/>
        <v>-2.8627010958265364</v>
      </c>
      <c r="K222" s="743">
        <f t="shared" si="370"/>
        <v>5.3705773370637644</v>
      </c>
      <c r="L222" s="743">
        <f t="shared" si="370"/>
        <v>4.8181578741306463</v>
      </c>
      <c r="M222" s="743">
        <f t="shared" si="370"/>
        <v>5.6265810964532426</v>
      </c>
      <c r="N222" s="743">
        <f t="shared" si="370"/>
        <v>5.4364843360712456</v>
      </c>
      <c r="O222" s="743">
        <f t="shared" si="370"/>
        <v>6.8251945264287572</v>
      </c>
      <c r="P222" s="743">
        <f t="shared" si="370"/>
        <v>3.1929923707261887</v>
      </c>
      <c r="Q222" s="743">
        <f t="shared" si="370"/>
        <v>2.6416962616305328</v>
      </c>
      <c r="R222" s="743">
        <f t="shared" si="370"/>
        <v>4.5211655110900306</v>
      </c>
      <c r="S222" s="743">
        <f t="shared" si="370"/>
        <v>4.8430301358420191</v>
      </c>
      <c r="T222" s="743">
        <f t="shared" si="370"/>
        <v>3.8629131809709394</v>
      </c>
      <c r="U222" s="743">
        <f t="shared" si="370"/>
        <v>0.32791077038907268</v>
      </c>
      <c r="V222" s="743">
        <f t="shared" si="370"/>
        <v>2.1248076723397569</v>
      </c>
      <c r="W222" s="743">
        <f t="shared" si="370"/>
        <v>2.9547555226915767</v>
      </c>
      <c r="X222" s="3090">
        <f t="shared" ref="X222:AC222" si="371">(X210/W210-1)*100</f>
        <v>4.2778876302612234</v>
      </c>
      <c r="Y222" s="3090">
        <f t="shared" si="371"/>
        <v>3.5830282367678379</v>
      </c>
      <c r="Z222" s="3090">
        <f t="shared" si="371"/>
        <v>3.8148254352171618</v>
      </c>
      <c r="AA222" s="3090">
        <f t="shared" si="371"/>
        <v>4.5621310894632394</v>
      </c>
      <c r="AB222" s="3090">
        <f t="shared" si="371"/>
        <v>5.724283411752551</v>
      </c>
      <c r="AC222" s="3090">
        <f t="shared" si="371"/>
        <v>5.0991291122739035</v>
      </c>
      <c r="AD222" s="3090">
        <f t="shared" ref="AD222" si="372">(AD210/AC210-1)*100</f>
        <v>4.9408340989158805</v>
      </c>
      <c r="AE222" s="3090">
        <f t="shared" ref="AE222:AF222" si="373">(AE210/AD210-1)*100</f>
        <v>4.1039197575893471</v>
      </c>
      <c r="AF222" s="3090">
        <f t="shared" si="373"/>
        <v>3.843847754187224</v>
      </c>
      <c r="AG222" s="2939"/>
      <c r="AH222" s="2939"/>
      <c r="AI222" s="2939"/>
      <c r="AJ222" s="2939"/>
      <c r="AK222" s="2939"/>
      <c r="AL222" s="2939"/>
      <c r="AM222" s="2939"/>
      <c r="AN222" s="2939"/>
      <c r="AO222" s="2939"/>
      <c r="AP222" s="2939"/>
      <c r="AQ222" s="2939"/>
    </row>
    <row r="223" spans="1:43" s="736" customFormat="1" ht="12.75" customHeight="1">
      <c r="A223" s="701"/>
      <c r="B223" s="701"/>
      <c r="C223" s="832" t="s">
        <v>1793</v>
      </c>
      <c r="D223" s="754"/>
      <c r="E223" s="3667" t="s">
        <v>1213</v>
      </c>
      <c r="F223" s="760" t="s">
        <v>1504</v>
      </c>
      <c r="G223" s="758"/>
      <c r="H223" s="758">
        <f t="shared" ref="H223:W223" si="374">(H213/G213-1)*100</f>
        <v>6.0431163935334986</v>
      </c>
      <c r="I223" s="758">
        <f t="shared" si="374"/>
        <v>4.5426907922177184</v>
      </c>
      <c r="J223" s="758">
        <f t="shared" si="374"/>
        <v>0.11436423486848035</v>
      </c>
      <c r="K223" s="758">
        <f t="shared" si="374"/>
        <v>6.0545975763367066</v>
      </c>
      <c r="L223" s="758">
        <f t="shared" si="374"/>
        <v>9.6807750353750333</v>
      </c>
      <c r="M223" s="758">
        <f t="shared" si="374"/>
        <v>6.8421475166817736</v>
      </c>
      <c r="N223" s="758">
        <f t="shared" si="374"/>
        <v>3.4624031146600176</v>
      </c>
      <c r="O223" s="758">
        <f t="shared" si="374"/>
        <v>3.5108698130559279</v>
      </c>
      <c r="P223" s="758">
        <f t="shared" si="374"/>
        <v>3.306696037039325</v>
      </c>
      <c r="Q223" s="758">
        <f t="shared" si="374"/>
        <v>3.375225862700737</v>
      </c>
      <c r="R223" s="758">
        <f t="shared" si="374"/>
        <v>4.8256104874350392</v>
      </c>
      <c r="S223" s="758">
        <f t="shared" si="374"/>
        <v>7.7910625713290438</v>
      </c>
      <c r="T223" s="758">
        <f t="shared" si="374"/>
        <v>4.931145829671113</v>
      </c>
      <c r="U223" s="758">
        <f t="shared" si="374"/>
        <v>1.5786051959953973E-2</v>
      </c>
      <c r="V223" s="758">
        <f t="shared" si="374"/>
        <v>3.1151594332864407</v>
      </c>
      <c r="W223" s="758">
        <f t="shared" si="374"/>
        <v>5.760703934704603</v>
      </c>
      <c r="X223" s="3037">
        <f t="shared" ref="X223:AF223" si="375">(X213/W213-1)*100</f>
        <v>3.990645134802584</v>
      </c>
      <c r="Y223" s="3037">
        <f t="shared" si="375"/>
        <v>3.0073910892242095</v>
      </c>
      <c r="Z223" s="3037">
        <f t="shared" si="375"/>
        <v>3.842268036688834</v>
      </c>
      <c r="AA223" s="3037">
        <f t="shared" si="375"/>
        <v>4.4664403582414192</v>
      </c>
      <c r="AB223" s="3037">
        <f t="shared" si="375"/>
        <v>4.864016576871899</v>
      </c>
      <c r="AC223" s="3037">
        <f t="shared" si="375"/>
        <v>4.5795505723650543</v>
      </c>
      <c r="AD223" s="3037">
        <f t="shared" si="375"/>
        <v>4.481149706919374</v>
      </c>
      <c r="AE223" s="3037">
        <f t="shared" si="375"/>
        <v>3.5884749107174985</v>
      </c>
      <c r="AF223" s="3037">
        <f t="shared" si="375"/>
        <v>3.1608504222169653</v>
      </c>
      <c r="AG223" s="2939"/>
      <c r="AH223" s="2939"/>
      <c r="AI223" s="2939"/>
      <c r="AJ223" s="2939"/>
      <c r="AK223" s="2939"/>
      <c r="AL223" s="2939"/>
      <c r="AM223" s="2939"/>
      <c r="AN223" s="2939"/>
      <c r="AO223" s="2939"/>
      <c r="AP223" s="2939"/>
      <c r="AQ223" s="2939"/>
    </row>
    <row r="224" spans="1:43" s="736" customFormat="1" ht="12.75" customHeight="1">
      <c r="A224" s="701"/>
      <c r="B224" s="701"/>
      <c r="C224" s="833" t="s">
        <v>1791</v>
      </c>
      <c r="D224" s="728" t="s">
        <v>667</v>
      </c>
      <c r="E224" s="834" t="s">
        <v>1214</v>
      </c>
      <c r="F224" s="978" t="s">
        <v>1215</v>
      </c>
      <c r="G224" s="778"/>
      <c r="H224" s="778">
        <f t="shared" ref="H224:W224" si="376">(H215/G215-1)*100</f>
        <v>-37.3612823674476</v>
      </c>
      <c r="I224" s="778">
        <f t="shared" si="376"/>
        <v>180.90551181102362</v>
      </c>
      <c r="J224" s="778">
        <f t="shared" si="376"/>
        <v>13.174491941135248</v>
      </c>
      <c r="K224" s="778">
        <f t="shared" si="376"/>
        <v>46.5015479876161</v>
      </c>
      <c r="L224" s="778">
        <f t="shared" si="376"/>
        <v>23.753169907016058</v>
      </c>
      <c r="M224" s="778">
        <f t="shared" si="376"/>
        <v>48.770491803278681</v>
      </c>
      <c r="N224" s="778">
        <f t="shared" si="376"/>
        <v>23.048668503213964</v>
      </c>
      <c r="O224" s="778">
        <f t="shared" si="376"/>
        <v>-9.6268656716417933</v>
      </c>
      <c r="P224" s="778">
        <f t="shared" si="376"/>
        <v>12.386457473162672</v>
      </c>
      <c r="Q224" s="778">
        <f t="shared" si="376"/>
        <v>24.577516531961784</v>
      </c>
      <c r="R224" s="778">
        <f t="shared" si="376"/>
        <v>25.095841934532579</v>
      </c>
      <c r="S224" s="778">
        <f t="shared" si="376"/>
        <v>57.178217821782184</v>
      </c>
      <c r="T224" s="778">
        <f t="shared" si="376"/>
        <v>33.618297712785903</v>
      </c>
      <c r="U224" s="778">
        <f t="shared" si="376"/>
        <v>18.683353911774603</v>
      </c>
      <c r="V224" s="778">
        <f t="shared" si="376"/>
        <v>-5.2016834539178047</v>
      </c>
      <c r="W224" s="778">
        <f t="shared" si="376"/>
        <v>-6.8838230159126041</v>
      </c>
      <c r="X224" s="2334">
        <f t="shared" ref="X224:AF225" si="377">(X215/W215-1)*100</f>
        <v>1.9821074623667334</v>
      </c>
      <c r="Y224" s="2334">
        <f t="shared" si="377"/>
        <v>-2.027630403950198</v>
      </c>
      <c r="Z224" s="2334">
        <f t="shared" si="377"/>
        <v>5.5278537343842027</v>
      </c>
      <c r="AA224" s="2334">
        <f t="shared" si="377"/>
        <v>-20.577177116146729</v>
      </c>
      <c r="AB224" s="2334">
        <f t="shared" si="377"/>
        <v>-39.291197543500509</v>
      </c>
      <c r="AC224" s="2334">
        <f t="shared" si="377"/>
        <v>-21.42255005268704</v>
      </c>
      <c r="AD224" s="2334">
        <f t="shared" si="377"/>
        <v>-7.2281078181588683</v>
      </c>
      <c r="AE224" s="2334">
        <f t="shared" si="377"/>
        <v>0</v>
      </c>
      <c r="AF224" s="2334">
        <f t="shared" si="377"/>
        <v>0</v>
      </c>
      <c r="AG224" s="2939"/>
      <c r="AH224" s="2939"/>
      <c r="AI224" s="2939"/>
      <c r="AJ224" s="2939"/>
      <c r="AK224" s="2939"/>
      <c r="AL224" s="2939"/>
      <c r="AM224" s="2939"/>
      <c r="AN224" s="2939"/>
      <c r="AO224" s="2939"/>
      <c r="AP224" s="2939"/>
      <c r="AQ224" s="2939"/>
    </row>
    <row r="225" spans="1:43" s="736" customFormat="1" ht="12.75" customHeight="1">
      <c r="A225" s="701"/>
      <c r="B225" s="701"/>
      <c r="C225" s="811" t="s">
        <v>1793</v>
      </c>
      <c r="D225" s="754" t="s">
        <v>664</v>
      </c>
      <c r="E225" s="759" t="s">
        <v>1870</v>
      </c>
      <c r="F225" s="760" t="s">
        <v>1558</v>
      </c>
      <c r="G225" s="758"/>
      <c r="H225" s="758">
        <f t="shared" ref="H225:W225" si="378">(H216/G216-1)*100</f>
        <v>6.0007344398090412</v>
      </c>
      <c r="I225" s="758">
        <f t="shared" si="378"/>
        <v>4.6444534049670416</v>
      </c>
      <c r="J225" s="758">
        <f t="shared" si="378"/>
        <v>0.13459315420143447</v>
      </c>
      <c r="K225" s="758">
        <f t="shared" si="378"/>
        <v>6.1254044561994903</v>
      </c>
      <c r="L225" s="758">
        <f t="shared" si="378"/>
        <v>9.7147829923884821</v>
      </c>
      <c r="M225" s="758">
        <f t="shared" si="378"/>
        <v>6.9564383571846244</v>
      </c>
      <c r="N225" s="758">
        <f t="shared" si="378"/>
        <v>3.5366648707131132</v>
      </c>
      <c r="O225" s="758">
        <f t="shared" si="378"/>
        <v>3.4516704763554173</v>
      </c>
      <c r="P225" s="758">
        <f t="shared" si="378"/>
        <v>3.3424375228044978</v>
      </c>
      <c r="Q225" s="758">
        <f t="shared" si="378"/>
        <v>3.4659904065424296</v>
      </c>
      <c r="R225" s="758">
        <f t="shared" si="378"/>
        <v>4.9300907372601843</v>
      </c>
      <c r="S225" s="758">
        <f t="shared" si="378"/>
        <v>8.0945441481741209</v>
      </c>
      <c r="T225" s="758">
        <f t="shared" si="378"/>
        <v>5.1874728206791287</v>
      </c>
      <c r="U225" s="758">
        <f t="shared" si="378"/>
        <v>0.2276692692988691</v>
      </c>
      <c r="V225" s="758">
        <f t="shared" si="378"/>
        <v>3.0033780455638981</v>
      </c>
      <c r="W225" s="758">
        <f t="shared" si="378"/>
        <v>5.6042945731650917</v>
      </c>
      <c r="X225" s="3037">
        <f t="shared" si="377"/>
        <v>3.9687380950711448</v>
      </c>
      <c r="Y225" s="3037">
        <f t="shared" si="377"/>
        <v>2.9535236596605507</v>
      </c>
      <c r="Z225" s="3037">
        <f t="shared" si="377"/>
        <v>3.8594288615168004</v>
      </c>
      <c r="AA225" s="3037">
        <f t="shared" si="377"/>
        <v>4.2073772585509372</v>
      </c>
      <c r="AB225" s="3037">
        <f t="shared" si="377"/>
        <v>4.5158898679080517</v>
      </c>
      <c r="AC225" s="3037">
        <f t="shared" si="377"/>
        <v>4.4604721348372234</v>
      </c>
      <c r="AD225" s="3037">
        <f t="shared" si="377"/>
        <v>4.4408130411299096</v>
      </c>
      <c r="AE225" s="3037">
        <f t="shared" si="377"/>
        <v>3.5774942942217614</v>
      </c>
      <c r="AF225" s="3037">
        <f t="shared" si="377"/>
        <v>3.1515123903045561</v>
      </c>
      <c r="AG225" s="2939"/>
      <c r="AH225" s="2939"/>
      <c r="AI225" s="2939"/>
      <c r="AJ225" s="2939"/>
      <c r="AK225" s="2939"/>
      <c r="AL225" s="2939"/>
      <c r="AM225" s="2939"/>
      <c r="AN225" s="2939"/>
      <c r="AO225" s="2939"/>
      <c r="AP225" s="2939"/>
      <c r="AQ225" s="2939"/>
    </row>
    <row r="226" spans="1:43" s="736" customFormat="1">
      <c r="A226" s="700"/>
      <c r="B226" s="700"/>
      <c r="C226" s="731"/>
      <c r="D226" s="707"/>
      <c r="F226" s="731"/>
      <c r="Q226" s="352"/>
      <c r="R226" s="2287"/>
      <c r="S226" s="2287"/>
      <c r="T226" s="2287"/>
      <c r="U226" s="2287"/>
      <c r="V226" s="2287"/>
      <c r="W226" s="2287"/>
      <c r="X226" s="3063"/>
      <c r="Y226" s="3063"/>
      <c r="Z226" s="3063"/>
      <c r="AA226" s="3063"/>
      <c r="AB226" s="3063"/>
      <c r="AC226" s="3063"/>
      <c r="AD226" s="3063"/>
      <c r="AE226" s="3063"/>
      <c r="AF226" s="3063"/>
      <c r="AG226" s="2939"/>
      <c r="AH226" s="2939"/>
      <c r="AI226" s="2939"/>
      <c r="AJ226" s="2939"/>
      <c r="AK226" s="2939"/>
      <c r="AL226" s="2939"/>
      <c r="AM226" s="2939"/>
      <c r="AN226" s="2939"/>
      <c r="AO226" s="2939"/>
      <c r="AP226" s="2939"/>
      <c r="AQ226" s="2939"/>
    </row>
    <row r="227" spans="1:43" s="736" customFormat="1" ht="12.75" customHeight="1">
      <c r="A227" s="701"/>
      <c r="B227" s="701"/>
      <c r="C227" s="811"/>
      <c r="D227" s="851"/>
      <c r="E227" s="852" t="s">
        <v>1884</v>
      </c>
      <c r="F227" s="853"/>
      <c r="G227" s="858">
        <f>+InputY!$G$3</f>
        <v>1995</v>
      </c>
      <c r="H227" s="854">
        <f t="shared" ref="H227:R227" si="379">+G227+1</f>
        <v>1996</v>
      </c>
      <c r="I227" s="854">
        <f t="shared" si="379"/>
        <v>1997</v>
      </c>
      <c r="J227" s="854">
        <f t="shared" si="379"/>
        <v>1998</v>
      </c>
      <c r="K227" s="854">
        <f t="shared" si="379"/>
        <v>1999</v>
      </c>
      <c r="L227" s="854">
        <f t="shared" si="379"/>
        <v>2000</v>
      </c>
      <c r="M227" s="854">
        <f t="shared" si="379"/>
        <v>2001</v>
      </c>
      <c r="N227" s="854">
        <f t="shared" si="379"/>
        <v>2002</v>
      </c>
      <c r="O227" s="854">
        <f t="shared" si="379"/>
        <v>2003</v>
      </c>
      <c r="P227" s="854">
        <f>+O227+1</f>
        <v>2004</v>
      </c>
      <c r="Q227" s="854">
        <f>+P227+1</f>
        <v>2005</v>
      </c>
      <c r="R227" s="2294">
        <f t="shared" si="379"/>
        <v>2006</v>
      </c>
      <c r="S227" s="2294">
        <f t="shared" ref="S227:Y227" si="380">+R227+1</f>
        <v>2007</v>
      </c>
      <c r="T227" s="2294">
        <f t="shared" si="380"/>
        <v>2008</v>
      </c>
      <c r="U227" s="2294">
        <f t="shared" si="380"/>
        <v>2009</v>
      </c>
      <c r="V227" s="2294">
        <f>+U227+1</f>
        <v>2010</v>
      </c>
      <c r="W227" s="2294">
        <f>+V227+1</f>
        <v>2011</v>
      </c>
      <c r="X227" s="2294">
        <f t="shared" si="380"/>
        <v>2012</v>
      </c>
      <c r="Y227" s="2294">
        <f t="shared" si="380"/>
        <v>2013</v>
      </c>
      <c r="Z227" s="2294">
        <f t="shared" ref="Z227:AF227" si="381">+Y227+1</f>
        <v>2014</v>
      </c>
      <c r="AA227" s="2294">
        <f t="shared" si="381"/>
        <v>2015</v>
      </c>
      <c r="AB227" s="2294">
        <f t="shared" si="381"/>
        <v>2016</v>
      </c>
      <c r="AC227" s="2294">
        <f t="shared" si="381"/>
        <v>2017</v>
      </c>
      <c r="AD227" s="2294">
        <f t="shared" si="381"/>
        <v>2018</v>
      </c>
      <c r="AE227" s="2294">
        <f t="shared" si="381"/>
        <v>2019</v>
      </c>
      <c r="AF227" s="2294">
        <f t="shared" si="381"/>
        <v>2020</v>
      </c>
      <c r="AG227" s="2939"/>
      <c r="AH227" s="2939"/>
      <c r="AI227" s="2939"/>
      <c r="AJ227" s="2939"/>
      <c r="AK227" s="2939"/>
      <c r="AL227" s="2939"/>
      <c r="AM227" s="2939"/>
      <c r="AN227" s="2939"/>
      <c r="AO227" s="2939"/>
      <c r="AP227" s="2939"/>
      <c r="AQ227" s="2939"/>
    </row>
    <row r="228" spans="1:43" s="736" customFormat="1" ht="12.75" customHeight="1">
      <c r="A228" s="701"/>
      <c r="B228" s="701"/>
      <c r="C228" s="859" t="s">
        <v>1791</v>
      </c>
      <c r="D228" s="860" t="s">
        <v>664</v>
      </c>
      <c r="E228" s="861" t="s">
        <v>1868</v>
      </c>
      <c r="F228" s="862" t="s">
        <v>1276</v>
      </c>
      <c r="G228" s="875">
        <f>+G208/'VVP2'!G$341</f>
        <v>1.3505702018616412E-2</v>
      </c>
      <c r="H228" s="875">
        <f>+H208/'VVP2'!H$341</f>
        <v>1.3693290556447602E-2</v>
      </c>
      <c r="I228" s="875">
        <f>+I208/'VVP2'!I$341</f>
        <v>1.3689565366190927E-2</v>
      </c>
      <c r="J228" s="875">
        <f>+J208/'VVP2'!J$341</f>
        <v>1.3217812414387834E-2</v>
      </c>
      <c r="K228" s="875">
        <f>+K208/'VVP2'!K$341</f>
        <v>1.295650710778002E-2</v>
      </c>
      <c r="L228" s="875">
        <f>+L208/'VVP2'!L$341</f>
        <v>1.5108913898405203E-2</v>
      </c>
      <c r="M228" s="875">
        <f>+M208/'VVP2'!M$341</f>
        <v>1.5203173677110746E-2</v>
      </c>
      <c r="N228" s="875">
        <f>+N208/'VVP2'!N$341</f>
        <v>1.5340959199427809E-2</v>
      </c>
      <c r="O228" s="875">
        <f>+O208/'VVP2'!O$341</f>
        <v>1.5465542252625367E-2</v>
      </c>
      <c r="P228" s="875">
        <f>+P208/'VVP2'!P$341</f>
        <v>1.5315821838959723E-2</v>
      </c>
      <c r="Q228" s="875">
        <f>+Q208/'VVP2'!Q$341</f>
        <v>1.53297353232901E-2</v>
      </c>
      <c r="R228" s="875">
        <f>+R208/'VVP2'!R$341</f>
        <v>1.5125849465359734E-2</v>
      </c>
      <c r="S228" s="875">
        <f>+S208/'VVP2'!S$341</f>
        <v>1.504248885862181E-2</v>
      </c>
      <c r="T228" s="875">
        <f>+T208/'VVP2'!T$341</f>
        <v>1.5030305031634756E-2</v>
      </c>
      <c r="U228" s="875">
        <f>+U208/'VVP2'!U$341</f>
        <v>1.5934950360099259E-2</v>
      </c>
      <c r="V228" s="875">
        <f>+V208/'VVP2'!V$341</f>
        <v>1.5430112287106279E-2</v>
      </c>
      <c r="W228" s="875">
        <f>+W208/'VVP2'!W$341</f>
        <v>1.5398070986874504E-2</v>
      </c>
      <c r="X228" s="3257">
        <f>+X208/'VVP2'!X$341</f>
        <v>1.5503659520758519E-2</v>
      </c>
      <c r="Y228" s="3257">
        <f>+Y208/'VVP2'!Y$341</f>
        <v>1.5468453517664172E-2</v>
      </c>
      <c r="Z228" s="3257">
        <f>+Z208/'VVP2'!Z$341</f>
        <v>1.5199223532546293E-2</v>
      </c>
      <c r="AA228" s="3257">
        <f>+AA208/'VVP2'!AA$341</f>
        <v>1.4494674932518839E-2</v>
      </c>
      <c r="AB228" s="3257">
        <f>+AB208/'VVP2'!AB$341</f>
        <v>1.3971050487550214E-2</v>
      </c>
      <c r="AC228" s="3257">
        <f>+AC208/'VVP2'!AC$341</f>
        <v>1.3536878625189154E-2</v>
      </c>
      <c r="AD228" s="3257">
        <f ca="1">+AD208/'VVP2'!AD$341</f>
        <v>1.303384493354031E-2</v>
      </c>
      <c r="AE228" s="3257">
        <f ca="1">+AE208/'VVP2'!AE$341</f>
        <v>1.2621751052225036E-2</v>
      </c>
      <c r="AF228" s="3257">
        <f ca="1">+AF208/'VVP2'!AF$341</f>
        <v>1.2250557435562068E-2</v>
      </c>
      <c r="AG228" s="2939"/>
      <c r="AH228" s="2939"/>
      <c r="AI228" s="2939"/>
      <c r="AJ228" s="2939"/>
      <c r="AK228" s="2939"/>
      <c r="AL228" s="2939"/>
      <c r="AM228" s="2939"/>
      <c r="AN228" s="2939"/>
      <c r="AO228" s="2939"/>
      <c r="AP228" s="2939"/>
      <c r="AQ228" s="2939"/>
    </row>
    <row r="229" spans="1:43" s="736" customFormat="1" ht="12.75" customHeight="1">
      <c r="A229" s="701"/>
      <c r="B229" s="701"/>
      <c r="C229" s="863" t="s">
        <v>1791</v>
      </c>
      <c r="D229" s="711" t="s">
        <v>665</v>
      </c>
      <c r="E229" s="820" t="s">
        <v>1868</v>
      </c>
      <c r="F229" s="741" t="s">
        <v>1208</v>
      </c>
      <c r="G229" s="876">
        <f>+G209/'VVP2'!G$341</f>
        <v>0.2917251788244678</v>
      </c>
      <c r="H229" s="876">
        <f>+H209/'VVP2'!H$341</f>
        <v>0.3026109684870279</v>
      </c>
      <c r="I229" s="876">
        <f>+I209/'VVP2'!I$341</f>
        <v>0.30548898158140197</v>
      </c>
      <c r="J229" s="876">
        <f>+J209/'VVP2'!J$341</f>
        <v>0.2947656897975246</v>
      </c>
      <c r="K229" s="876">
        <f>+K209/'VVP2'!K$341</f>
        <v>0.29755334907633008</v>
      </c>
      <c r="L229" s="876">
        <f>+L209/'VVP2'!L$341</f>
        <v>0.31075302920844128</v>
      </c>
      <c r="M229" s="876">
        <f>+M209/'VVP2'!M$341</f>
        <v>0.32060915840826198</v>
      </c>
      <c r="N229" s="876">
        <f>+N209/'VVP2'!N$341</f>
        <v>0.31728865922106764</v>
      </c>
      <c r="O229" s="876">
        <f>+O209/'VVP2'!O$341</f>
        <v>0.31105767060830786</v>
      </c>
      <c r="P229" s="876">
        <f>+P209/'VVP2'!P$341</f>
        <v>0.3068274033320717</v>
      </c>
      <c r="Q229" s="876">
        <f>+Q209/'VVP2'!Q$341</f>
        <v>0.30689566675587826</v>
      </c>
      <c r="R229" s="876">
        <f>+R209/'VVP2'!R$341</f>
        <v>0.30209543920171045</v>
      </c>
      <c r="S229" s="876">
        <f>+S209/'VVP2'!S$341</f>
        <v>0.30983225299857647</v>
      </c>
      <c r="T229" s="876">
        <f>+T209/'VVP2'!T$341</f>
        <v>0.31802931938469448</v>
      </c>
      <c r="U229" s="876">
        <f>+U209/'VVP2'!U$341</f>
        <v>0.32686241137250843</v>
      </c>
      <c r="V229" s="876">
        <f>+V209/'VVP2'!V$341</f>
        <v>0.31598343163563219</v>
      </c>
      <c r="W229" s="876">
        <f>+W209/'VVP2'!W$341</f>
        <v>0.32528681034339119</v>
      </c>
      <c r="X229" s="2348">
        <f>+X209/'VVP2'!X$341</f>
        <v>0.33575720050931573</v>
      </c>
      <c r="Y229" s="2348">
        <f>+Y209/'VVP2'!Y$341</f>
        <v>0.33749167646853862</v>
      </c>
      <c r="Z229" s="2348">
        <f>+Z209/'VVP2'!Z$341</f>
        <v>0.33582572619372353</v>
      </c>
      <c r="AA229" s="2348">
        <f>+AA209/'VVP2'!AA$341</f>
        <v>0.3293485274338499</v>
      </c>
      <c r="AB229" s="2348">
        <f>+AB209/'VVP2'!AB$341</f>
        <v>0.33044760947276897</v>
      </c>
      <c r="AC229" s="2348">
        <f>+AC209/'VVP2'!AC$341</f>
        <v>0.3308142415895175</v>
      </c>
      <c r="AD229" s="2348">
        <f ca="1">+AD209/'VVP2'!AD$341</f>
        <v>0.3293932143574787</v>
      </c>
      <c r="AE229" s="2348">
        <f ca="1">+AE209/'VVP2'!AE$341</f>
        <v>0.32853927818688539</v>
      </c>
      <c r="AF229" s="2348">
        <f ca="1">+AF209/'VVP2'!AF$341</f>
        <v>0.32680509147729525</v>
      </c>
      <c r="AG229" s="2939"/>
      <c r="AH229" s="2939"/>
      <c r="AI229" s="2939"/>
      <c r="AJ229" s="2939"/>
      <c r="AK229" s="2939"/>
      <c r="AL229" s="2939"/>
      <c r="AM229" s="2939"/>
      <c r="AN229" s="2939"/>
      <c r="AO229" s="2939"/>
      <c r="AP229" s="2939"/>
      <c r="AQ229" s="2939"/>
    </row>
    <row r="230" spans="1:43" s="736" customFormat="1" ht="12.75" customHeight="1">
      <c r="A230" s="701"/>
      <c r="B230" s="701"/>
      <c r="C230" s="863" t="s">
        <v>1791</v>
      </c>
      <c r="D230" s="711" t="s">
        <v>666</v>
      </c>
      <c r="E230" s="820" t="s">
        <v>1868</v>
      </c>
      <c r="F230" s="741" t="s">
        <v>1596</v>
      </c>
      <c r="G230" s="876">
        <f>+G210/'VVP2'!G$341</f>
        <v>0.1348056477136772</v>
      </c>
      <c r="H230" s="876">
        <f>+H210/'VVP2'!H$341</f>
        <v>0.13856909042596641</v>
      </c>
      <c r="I230" s="876">
        <f>+I210/'VVP2'!I$341</f>
        <v>0.13575617538865406</v>
      </c>
      <c r="J230" s="876">
        <f>+J210/'VVP2'!J$341</f>
        <v>0.12551179011921448</v>
      </c>
      <c r="K230" s="876">
        <f>+K210/'VVP2'!K$341</f>
        <v>0.12539560192861382</v>
      </c>
      <c r="L230" s="876">
        <f>+L210/'VVP2'!L$341</f>
        <v>0.12354916417256734</v>
      </c>
      <c r="M230" s="876">
        <f>+M210/'VVP2'!M$341</f>
        <v>0.12533260593831538</v>
      </c>
      <c r="N230" s="876">
        <f>+N210/'VVP2'!N$341</f>
        <v>0.12742083304357218</v>
      </c>
      <c r="O230" s="876">
        <f>+O210/'VVP2'!O$341</f>
        <v>0.13068963240568429</v>
      </c>
      <c r="P230" s="876">
        <f>+P210/'VVP2'!P$341</f>
        <v>0.1287379339788485</v>
      </c>
      <c r="Q230" s="876">
        <f>+Q210/'VVP2'!Q$341</f>
        <v>0.12749550535046242</v>
      </c>
      <c r="R230" s="876">
        <f>+R210/'VVP2'!R$341</f>
        <v>0.12500733200680411</v>
      </c>
      <c r="S230" s="876">
        <f>+S210/'VVP2'!S$341</f>
        <v>0.12319421214832066</v>
      </c>
      <c r="T230" s="876">
        <f>+T210/'VVP2'!T$341</f>
        <v>0.1245314638965162</v>
      </c>
      <c r="U230" s="876">
        <f>+U210/'VVP2'!U$341</f>
        <v>0.12872261284826378</v>
      </c>
      <c r="V230" s="876">
        <f>+V210/'VVP2'!V$341</f>
        <v>0.12280976575447582</v>
      </c>
      <c r="W230" s="876">
        <f>+W210/'VVP2'!W$341</f>
        <v>0.12169947198107206</v>
      </c>
      <c r="X230" s="2348">
        <f>+X210/'VVP2'!X$341</f>
        <v>0.12594829149623285</v>
      </c>
      <c r="Y230" s="2348">
        <f>+Y210/'VVP2'!Y$341</f>
        <v>0.12752034412850871</v>
      </c>
      <c r="Z230" s="2348">
        <f>+Z210/'VVP2'!Z$341</f>
        <v>0.12677556664996162</v>
      </c>
      <c r="AA230" s="2348">
        <f>+AA210/'VVP2'!AA$341</f>
        <v>0.12433670201637827</v>
      </c>
      <c r="AB230" s="2348">
        <f>+AB210/'VVP2'!AB$341</f>
        <v>0.12594011579531347</v>
      </c>
      <c r="AC230" s="2348">
        <f>+AC210/'VVP2'!AC$341</f>
        <v>0.12677130463021785</v>
      </c>
      <c r="AD230" s="2348">
        <f ca="1">+AD210/'VVP2'!AD$341</f>
        <v>0.12682302639558346</v>
      </c>
      <c r="AE230" s="2348">
        <f ca="1">+AE210/'VVP2'!AE$341</f>
        <v>0.12721730557372285</v>
      </c>
      <c r="AF230" s="2348">
        <f ca="1">+AF210/'VVP2'!AF$341</f>
        <v>0.12758427318682483</v>
      </c>
      <c r="AG230" s="2939"/>
      <c r="AH230" s="2939"/>
      <c r="AI230" s="2939"/>
      <c r="AJ230" s="2939"/>
      <c r="AK230" s="2939"/>
      <c r="AL230" s="2939"/>
      <c r="AM230" s="2939"/>
      <c r="AN230" s="2939"/>
      <c r="AO230" s="2939"/>
      <c r="AP230" s="2939"/>
      <c r="AQ230" s="2939"/>
    </row>
    <row r="231" spans="1:43" s="736" customFormat="1" ht="12.75" customHeight="1">
      <c r="A231" s="701"/>
      <c r="B231" s="701"/>
      <c r="C231" s="863" t="s">
        <v>1793</v>
      </c>
      <c r="D231" s="843"/>
      <c r="E231" s="844" t="s">
        <v>1213</v>
      </c>
      <c r="F231" s="845" t="s">
        <v>1504</v>
      </c>
      <c r="G231" s="878">
        <f>+G213/'VVP2'!G$341</f>
        <v>0.4400365285567614</v>
      </c>
      <c r="H231" s="878">
        <f>+H213/'VVP2'!H$341</f>
        <v>0.45487334946944191</v>
      </c>
      <c r="I231" s="878">
        <f>+I213/'VVP2'!I$341</f>
        <v>0.45493472233624699</v>
      </c>
      <c r="J231" s="878">
        <f>+J213/'VVP2'!J$341</f>
        <v>0.43349529233112688</v>
      </c>
      <c r="K231" s="878">
        <f>+K213/'VVP2'!K$341</f>
        <v>0.43590545811272385</v>
      </c>
      <c r="L231" s="878">
        <f>+L213/'VVP2'!L$341</f>
        <v>0.4494111072794138</v>
      </c>
      <c r="M231" s="878">
        <f>+M213/'VVP2'!M$341</f>
        <v>0.46114493802368811</v>
      </c>
      <c r="N231" s="878">
        <f>+N213/'VVP2'!N$341</f>
        <v>0.46005045146406764</v>
      </c>
      <c r="O231" s="878">
        <f>+O213/'VVP2'!O$341</f>
        <v>0.45721284526661748</v>
      </c>
      <c r="P231" s="878">
        <f>+P213/'VVP2'!P$341</f>
        <v>0.45088115914987992</v>
      </c>
      <c r="Q231" s="878">
        <f>+Q213/'VVP2'!Q$341</f>
        <v>0.44972090742963072</v>
      </c>
      <c r="R231" s="878">
        <f>+R213/'VVP2'!R$341</f>
        <v>0.44222862067387431</v>
      </c>
      <c r="S231" s="878">
        <f>+S213/'VVP2'!S$341</f>
        <v>0.44806895400551894</v>
      </c>
      <c r="T231" s="878">
        <f>+T213/'VVP2'!T$341</f>
        <v>0.45759108831284545</v>
      </c>
      <c r="U231" s="878">
        <f>+U213/'VVP2'!U$341</f>
        <v>0.47151997458087147</v>
      </c>
      <c r="V231" s="878">
        <f>+V213/'VVP2'!V$341</f>
        <v>0.4542233096772143</v>
      </c>
      <c r="W231" s="878">
        <f>+W213/'VVP2'!W$341</f>
        <v>0.46238435331133776</v>
      </c>
      <c r="X231" s="2350">
        <f>+X213/'VVP2'!X$341</f>
        <v>0.47720915152630711</v>
      </c>
      <c r="Y231" s="2350">
        <f>+Y213/'VVP2'!Y$341</f>
        <v>0.48048047411471151</v>
      </c>
      <c r="Z231" s="2350">
        <f>+Z213/'VVP2'!Z$341</f>
        <v>0.4778005163762315</v>
      </c>
      <c r="AA231" s="2350">
        <f>+AA213/'VVP2'!AA$341</f>
        <v>0.46817990438274704</v>
      </c>
      <c r="AB231" s="2350">
        <f>+AB213/'VVP2'!AB$341</f>
        <v>0.47035877575563267</v>
      </c>
      <c r="AC231" s="2350">
        <f>+AC213/'VVP2'!AC$341</f>
        <v>0.4711224248449245</v>
      </c>
      <c r="AD231" s="2350">
        <f ca="1">+AD213/'VVP2'!AD$341</f>
        <v>0.46925008568660248</v>
      </c>
      <c r="AE231" s="2350">
        <f ca="1">+AE213/'VVP2'!AE$341</f>
        <v>0.46837833481283325</v>
      </c>
      <c r="AF231" s="2350">
        <f ca="1">+AF213/'VVP2'!AF$341</f>
        <v>0.46663992209968208</v>
      </c>
      <c r="AG231" s="2939"/>
      <c r="AH231" s="2939"/>
      <c r="AI231" s="2939"/>
      <c r="AJ231" s="2939"/>
      <c r="AK231" s="2939"/>
      <c r="AL231" s="2939"/>
      <c r="AM231" s="2939"/>
      <c r="AN231" s="2939"/>
      <c r="AO231" s="2939"/>
      <c r="AP231" s="2939"/>
      <c r="AQ231" s="2939"/>
    </row>
    <row r="232" spans="1:43" s="736" customFormat="1" ht="12.75" customHeight="1">
      <c r="A232" s="701"/>
      <c r="B232" s="701"/>
      <c r="C232" s="864" t="s">
        <v>1791</v>
      </c>
      <c r="D232" s="865" t="s">
        <v>667</v>
      </c>
      <c r="E232" s="866" t="s">
        <v>1214</v>
      </c>
      <c r="F232" s="867" t="s">
        <v>1215</v>
      </c>
      <c r="G232" s="877">
        <f>+G215/'VVP2'!G$341</f>
        <v>4.300908759216991E-4</v>
      </c>
      <c r="H232" s="877">
        <f>+H215/'VVP2'!H$341</f>
        <v>2.6261671710492987E-4</v>
      </c>
      <c r="I232" s="877">
        <f>+I215/'VVP2'!I$341</f>
        <v>7.0574457288852797E-4</v>
      </c>
      <c r="J232" s="877">
        <f>+J215/'VVP2'!J$341</f>
        <v>7.6021250175343136E-4</v>
      </c>
      <c r="K232" s="877">
        <f>+K215/'VVP2'!K$341</f>
        <v>1.0559798765762151E-3</v>
      </c>
      <c r="L232" s="877">
        <f>+L215/'VVP2'!L$341</f>
        <v>1.2283806268265239E-3</v>
      </c>
      <c r="M232" s="877">
        <f>+M215/'VVP2'!M$341</f>
        <v>1.7550956599659295E-3</v>
      </c>
      <c r="N232" s="877">
        <f>+N215/'VVP2'!N$341</f>
        <v>2.082395251828021E-3</v>
      </c>
      <c r="O232" s="877">
        <f>+O215/'VVP2'!O$341</f>
        <v>1.8068808439670363E-3</v>
      </c>
      <c r="P232" s="877">
        <f>+P215/'VVP2'!P$341</f>
        <v>1.9384682326574927E-3</v>
      </c>
      <c r="Q232" s="877">
        <f>+Q215/'VVP2'!Q$341</f>
        <v>2.3300373142661019E-3</v>
      </c>
      <c r="R232" s="877">
        <f>+R215/'VVP2'!R$341</f>
        <v>2.7342745374067711E-3</v>
      </c>
      <c r="S232" s="877">
        <f>+S215/'VVP2'!S$341</f>
        <v>4.0397057482574128E-3</v>
      </c>
      <c r="T232" s="877">
        <f>+T215/'VVP2'!T$341</f>
        <v>5.2534421721854149E-3</v>
      </c>
      <c r="U232" s="877">
        <f>+U215/'VVP2'!U$341</f>
        <v>6.4237369946436957E-3</v>
      </c>
      <c r="V232" s="877">
        <f>+V215/'VVP2'!V$341</f>
        <v>5.6889901425269821E-3</v>
      </c>
      <c r="W232" s="877">
        <f>+W215/'VVP2'!W$341</f>
        <v>5.0988201995988578E-3</v>
      </c>
      <c r="X232" s="2349">
        <f>+X215/'VVP2'!X$341</f>
        <v>5.1606575562007989E-3</v>
      </c>
      <c r="Y232" s="2349">
        <f>+Y215/'VVP2'!Y$341</f>
        <v>4.9420512626197725E-3</v>
      </c>
      <c r="Z232" s="2349">
        <f>+Z215/'VVP2'!Z$341</f>
        <v>4.9942589620457119E-3</v>
      </c>
      <c r="AA232" s="2349">
        <f>+AA215/'VVP2'!AA$341</f>
        <v>3.7205379071450656E-3</v>
      </c>
      <c r="AB232" s="2349">
        <f>+AB215/'VVP2'!AB$341</f>
        <v>2.1639508589334343E-3</v>
      </c>
      <c r="AC232" s="2349">
        <f>+AC215/'VVP2'!AC$341</f>
        <v>1.6285574326928808E-3</v>
      </c>
      <c r="AD232" s="2349">
        <f ca="1">+AD215/'VVP2'!AD$341</f>
        <v>1.4402972605231637E-3</v>
      </c>
      <c r="AE232" s="2349">
        <f ca="1">+AE215/'VVP2'!AE$341</f>
        <v>1.3878199720956739E-3</v>
      </c>
      <c r="AF232" s="2349">
        <f ca="1">+AF215/'VVP2'!AF$341</f>
        <v>1.3403039951883798E-3</v>
      </c>
      <c r="AG232" s="2939"/>
      <c r="AH232" s="2939"/>
      <c r="AI232" s="2939"/>
      <c r="AJ232" s="2939"/>
      <c r="AK232" s="2939"/>
      <c r="AL232" s="2939"/>
      <c r="AM232" s="2939"/>
      <c r="AN232" s="2939"/>
      <c r="AO232" s="2939"/>
      <c r="AP232" s="2939"/>
      <c r="AQ232" s="2939"/>
    </row>
    <row r="233" spans="1:43" s="736" customFormat="1" ht="12.75" customHeight="1">
      <c r="A233" s="701"/>
      <c r="B233" s="701"/>
      <c r="C233" s="811" t="s">
        <v>1793</v>
      </c>
      <c r="D233" s="843" t="s">
        <v>664</v>
      </c>
      <c r="E233" s="844" t="s">
        <v>1870</v>
      </c>
      <c r="F233" s="845" t="s">
        <v>1558</v>
      </c>
      <c r="G233" s="878">
        <f>+G216/'VVP2'!G$341</f>
        <v>0.44046661943268312</v>
      </c>
      <c r="H233" s="878">
        <f>+H216/'VVP2'!H$341</f>
        <v>0.45513596618654678</v>
      </c>
      <c r="I233" s="878">
        <f>+I216/'VVP2'!I$341</f>
        <v>0.45564046690913546</v>
      </c>
      <c r="J233" s="878">
        <f>+J216/'VVP2'!J$341</f>
        <v>0.43425550483288033</v>
      </c>
      <c r="K233" s="878">
        <f>+K216/'VVP2'!K$341</f>
        <v>0.43696143798930009</v>
      </c>
      <c r="L233" s="878">
        <f>+L216/'VVP2'!L$341</f>
        <v>0.45063948790624025</v>
      </c>
      <c r="M233" s="878">
        <f>+M216/'VVP2'!M$341</f>
        <v>0.46290003368365401</v>
      </c>
      <c r="N233" s="878">
        <f>+N216/'VVP2'!N$341</f>
        <v>0.46213284671589566</v>
      </c>
      <c r="O233" s="878">
        <f>+O216/'VVP2'!O$341</f>
        <v>0.45901972611058456</v>
      </c>
      <c r="P233" s="878">
        <f>+P216/'VVP2'!P$341</f>
        <v>0.45281962738253739</v>
      </c>
      <c r="Q233" s="878">
        <f>+Q216/'VVP2'!Q$341</f>
        <v>0.4520509447438969</v>
      </c>
      <c r="R233" s="878">
        <f>+R216/'VVP2'!R$341</f>
        <v>0.44496289521128107</v>
      </c>
      <c r="S233" s="878">
        <f>+S216/'VVP2'!S$341</f>
        <v>0.45210865975377634</v>
      </c>
      <c r="T233" s="878">
        <f>+T216/'VVP2'!T$341</f>
        <v>0.46284453048503083</v>
      </c>
      <c r="U233" s="878">
        <f>+U216/'VVP2'!U$341</f>
        <v>0.47794371157551513</v>
      </c>
      <c r="V233" s="878">
        <f>+V216/'VVP2'!V$341</f>
        <v>0.4599122998197413</v>
      </c>
      <c r="W233" s="878">
        <f>+W216/'VVP2'!W$341</f>
        <v>0.46748317351093666</v>
      </c>
      <c r="X233" s="2350">
        <f>+X216/'VVP2'!X$341</f>
        <v>0.48236980908250793</v>
      </c>
      <c r="Y233" s="2350">
        <f>+Y216/'VVP2'!Y$341</f>
        <v>0.48542252537733122</v>
      </c>
      <c r="Z233" s="2350">
        <f>+Z216/'VVP2'!Z$341</f>
        <v>0.48279477533827714</v>
      </c>
      <c r="AA233" s="2350">
        <f>+AA216/'VVP2'!AA$341</f>
        <v>0.47190044228989214</v>
      </c>
      <c r="AB233" s="2350">
        <f>+AB216/'VVP2'!AB$341</f>
        <v>0.47252272661456607</v>
      </c>
      <c r="AC233" s="2350">
        <f>+AC216/'VVP2'!AC$341</f>
        <v>0.47275098227761736</v>
      </c>
      <c r="AD233" s="2350">
        <f ca="1">+AD216/'VVP2'!AD$341</f>
        <v>0.47069038294712573</v>
      </c>
      <c r="AE233" s="2350">
        <f ca="1">+AE216/'VVP2'!AE$341</f>
        <v>0.46976615478492889</v>
      </c>
      <c r="AF233" s="2350">
        <f ca="1">+AF216/'VVP2'!AF$341</f>
        <v>0.46798022609487044</v>
      </c>
      <c r="AG233" s="2939"/>
      <c r="AH233" s="2939"/>
      <c r="AI233" s="2939"/>
      <c r="AJ233" s="2939"/>
      <c r="AK233" s="2939"/>
      <c r="AL233" s="2939"/>
      <c r="AM233" s="2939"/>
      <c r="AN233" s="2939"/>
      <c r="AO233" s="2939"/>
      <c r="AP233" s="2939"/>
      <c r="AQ233" s="2939"/>
    </row>
    <row r="234" spans="1:43" s="736" customFormat="1" ht="12.75">
      <c r="A234" s="700"/>
      <c r="B234" s="700"/>
      <c r="C234" s="731"/>
      <c r="D234" s="707"/>
      <c r="F234" s="731"/>
      <c r="X234" s="3063"/>
      <c r="Y234" s="3063"/>
      <c r="Z234" s="3063"/>
      <c r="AA234" s="3063"/>
      <c r="AB234" s="3063"/>
      <c r="AC234" s="3063"/>
      <c r="AD234" s="3063"/>
      <c r="AE234" s="3063"/>
      <c r="AF234" s="3063"/>
      <c r="AG234" s="2939"/>
      <c r="AH234" s="2939"/>
      <c r="AI234" s="2939"/>
      <c r="AJ234" s="2939"/>
      <c r="AK234" s="2939"/>
      <c r="AL234" s="2939"/>
      <c r="AM234" s="2939"/>
      <c r="AN234" s="2939"/>
      <c r="AO234" s="2939"/>
      <c r="AP234" s="2939"/>
      <c r="AQ234" s="2939"/>
    </row>
    <row r="235" spans="1:43" s="736" customFormat="1" ht="12.75" customHeight="1">
      <c r="A235" s="701"/>
      <c r="B235" s="701"/>
      <c r="C235" s="811"/>
      <c r="D235" s="851"/>
      <c r="E235" s="852" t="s">
        <v>621</v>
      </c>
      <c r="F235" s="853"/>
      <c r="G235" s="858">
        <f>+InputY!$G$3</f>
        <v>1995</v>
      </c>
      <c r="H235" s="854">
        <f t="shared" ref="H235:O235" si="382">+G235+1</f>
        <v>1996</v>
      </c>
      <c r="I235" s="854">
        <f t="shared" si="382"/>
        <v>1997</v>
      </c>
      <c r="J235" s="854">
        <f t="shared" si="382"/>
        <v>1998</v>
      </c>
      <c r="K235" s="854">
        <f t="shared" si="382"/>
        <v>1999</v>
      </c>
      <c r="L235" s="854">
        <f t="shared" si="382"/>
        <v>2000</v>
      </c>
      <c r="M235" s="854">
        <f t="shared" si="382"/>
        <v>2001</v>
      </c>
      <c r="N235" s="854">
        <f t="shared" si="382"/>
        <v>2002</v>
      </c>
      <c r="O235" s="854">
        <f t="shared" si="382"/>
        <v>2003</v>
      </c>
      <c r="P235" s="854">
        <f t="shared" ref="P235:AF235" si="383">+O235+1</f>
        <v>2004</v>
      </c>
      <c r="Q235" s="854">
        <f t="shared" si="383"/>
        <v>2005</v>
      </c>
      <c r="R235" s="854">
        <f t="shared" si="383"/>
        <v>2006</v>
      </c>
      <c r="S235" s="854">
        <f t="shared" si="383"/>
        <v>2007</v>
      </c>
      <c r="T235" s="854">
        <f t="shared" si="383"/>
        <v>2008</v>
      </c>
      <c r="U235" s="854">
        <f t="shared" si="383"/>
        <v>2009</v>
      </c>
      <c r="V235" s="854">
        <f t="shared" si="383"/>
        <v>2010</v>
      </c>
      <c r="W235" s="854">
        <f t="shared" si="383"/>
        <v>2011</v>
      </c>
      <c r="X235" s="3085">
        <f t="shared" si="383"/>
        <v>2012</v>
      </c>
      <c r="Y235" s="3085">
        <f t="shared" si="383"/>
        <v>2013</v>
      </c>
      <c r="Z235" s="3085">
        <f t="shared" si="383"/>
        <v>2014</v>
      </c>
      <c r="AA235" s="3085">
        <f t="shared" si="383"/>
        <v>2015</v>
      </c>
      <c r="AB235" s="3085">
        <f t="shared" si="383"/>
        <v>2016</v>
      </c>
      <c r="AC235" s="3085">
        <f t="shared" si="383"/>
        <v>2017</v>
      </c>
      <c r="AD235" s="3085">
        <f t="shared" si="383"/>
        <v>2018</v>
      </c>
      <c r="AE235" s="3085">
        <f t="shared" si="383"/>
        <v>2019</v>
      </c>
      <c r="AF235" s="3085">
        <f t="shared" si="383"/>
        <v>2020</v>
      </c>
      <c r="AG235" s="2939"/>
      <c r="AH235" s="2939"/>
      <c r="AI235" s="2939"/>
      <c r="AJ235" s="2939"/>
      <c r="AK235" s="2939"/>
      <c r="AL235" s="2939"/>
      <c r="AM235" s="2939"/>
      <c r="AN235" s="2939"/>
      <c r="AO235" s="2939"/>
      <c r="AP235" s="2939"/>
      <c r="AQ235" s="2939"/>
    </row>
    <row r="236" spans="1:43" s="736" customFormat="1" ht="12.75" customHeight="1">
      <c r="A236" s="701"/>
      <c r="B236" s="701"/>
      <c r="C236" s="847" t="s">
        <v>1791</v>
      </c>
      <c r="D236" s="1710" t="s">
        <v>664</v>
      </c>
      <c r="E236" s="1711" t="s">
        <v>1870</v>
      </c>
      <c r="F236" s="1712" t="s">
        <v>1558</v>
      </c>
      <c r="G236" s="1713">
        <f>+G216/Sector1!G373</f>
        <v>0.8817646652900677</v>
      </c>
      <c r="H236" s="1713">
        <f>+H216/Sector1!H373</f>
        <v>0.93214758001929077</v>
      </c>
      <c r="I236" s="1713">
        <f>+I216/Sector1!I373</f>
        <v>0.96591647759917132</v>
      </c>
      <c r="J236" s="1713">
        <f>+J216/Sector1!J373</f>
        <v>0.94337027591383305</v>
      </c>
      <c r="K236" s="1713">
        <f>+K216/Sector1!K373</f>
        <v>1.0193363263062329</v>
      </c>
      <c r="L236" s="1713">
        <f>+L216/Sector1!L373</f>
        <v>0.97369854718806048</v>
      </c>
      <c r="M236" s="1713">
        <f>+M216/Sector1!M373</f>
        <v>0.96563441886892032</v>
      </c>
      <c r="N236" s="1713">
        <f>+N216/Sector1!N373</f>
        <v>0.95747929706617207</v>
      </c>
      <c r="O236" s="1713">
        <f>+O216/Sector1!O373</f>
        <v>0.96588168161521226</v>
      </c>
      <c r="P236" s="1713">
        <f>+P216/Sector1!P373</f>
        <v>0.97583771489608551</v>
      </c>
      <c r="Q236" s="1713">
        <f>+Q216/Sector1!Q373</f>
        <v>0.97251082619040052</v>
      </c>
      <c r="R236" s="1713">
        <f>+R216/Sector1!R373</f>
        <v>0.96530310318596746</v>
      </c>
      <c r="S236" s="1713">
        <f>+S216/Sector1!S373</f>
        <v>0.9753643230695026</v>
      </c>
      <c r="T236" s="1713">
        <f>+T216/Sector1!T373</f>
        <v>0.96339066263673878</v>
      </c>
      <c r="U236" s="1713">
        <f>+U216/Sector1!U373</f>
        <v>0.92777714880097351</v>
      </c>
      <c r="V236" s="1713">
        <f>+V216/Sector1!V373</f>
        <v>0.91741587217484122</v>
      </c>
      <c r="W236" s="1713">
        <f>+W216/Sector1!W373</f>
        <v>0.92342555488591516</v>
      </c>
      <c r="X236" s="1713">
        <f>+X216/Sector1!X373</f>
        <v>0.92275349144013108</v>
      </c>
      <c r="Y236" s="1713">
        <f>+Y216/Sector1!Y373</f>
        <v>0.9223240115232918</v>
      </c>
      <c r="Z236" s="1713">
        <f>+Z216/Sector1!Z373</f>
        <v>0.9219626458057939</v>
      </c>
      <c r="AA236" s="1713">
        <f>+AA216/Sector1!AA373</f>
        <v>0.92848800562700129</v>
      </c>
      <c r="AB236" s="2302">
        <f>+AB216/Sector1!AB373</f>
        <v>0.92717820639247195</v>
      </c>
      <c r="AC236" s="2302">
        <f>+AC216/Sector1!AC373</f>
        <v>0.93412190955064456</v>
      </c>
      <c r="AD236" s="2302">
        <f ca="1">+AD216/Sector1!AD373</f>
        <v>0.93192217291009816</v>
      </c>
      <c r="AE236" s="2302">
        <f ca="1">+AE216/Sector1!AE373</f>
        <v>0.93530710068683032</v>
      </c>
      <c r="AF236" s="2302" t="e">
        <f>+AF216/Sector1!AG373</f>
        <v>#DIV/0!</v>
      </c>
      <c r="AG236" s="2939"/>
      <c r="AH236" s="2939"/>
      <c r="AI236" s="2939"/>
      <c r="AJ236" s="2939"/>
      <c r="AK236" s="2939"/>
      <c r="AL236" s="2939"/>
      <c r="AM236" s="2939"/>
      <c r="AN236" s="2939"/>
      <c r="AO236" s="2939"/>
      <c r="AP236" s="2939"/>
      <c r="AQ236" s="2939"/>
    </row>
    <row r="237" spans="1:43" ht="30" customHeight="1">
      <c r="E237" s="167"/>
      <c r="F237" s="742"/>
      <c r="G237" s="742"/>
    </row>
    <row r="238" spans="1:43" ht="30" customHeight="1">
      <c r="W238" s="3377">
        <f t="shared" ref="W238:Z239" si="384">+W242/V242-1</f>
        <v>2.9620007893844225E-2</v>
      </c>
      <c r="X238" s="3377">
        <f t="shared" si="384"/>
        <v>-1.368804117189204E-3</v>
      </c>
      <c r="Y238" s="3377">
        <f t="shared" si="384"/>
        <v>1.3386081176993692E-2</v>
      </c>
      <c r="Z238" s="3377">
        <f t="shared" si="384"/>
        <v>2.6583672984574536E-2</v>
      </c>
      <c r="AA238" s="3377">
        <f t="shared" ref="AA238:AF239" si="385">+AA242/Z242-1</f>
        <v>4.3008575814499128E-2</v>
      </c>
      <c r="AB238" s="3377">
        <f t="shared" si="385"/>
        <v>2.5579616448880627E-2</v>
      </c>
      <c r="AC238" s="3377">
        <f t="shared" si="385"/>
        <v>2.1558791586946846E-2</v>
      </c>
      <c r="AD238" s="3377">
        <f t="shared" ca="1" si="385"/>
        <v>2.3705674154411716E-2</v>
      </c>
      <c r="AE238" s="3377">
        <f t="shared" ca="1" si="385"/>
        <v>1.6861946515336568E-2</v>
      </c>
      <c r="AF238" s="3377">
        <f t="shared" ca="1" si="385"/>
        <v>1.7707733736364695E-2</v>
      </c>
    </row>
    <row r="239" spans="1:43" ht="22.5" customHeight="1">
      <c r="C239" s="3816" t="s">
        <v>1349</v>
      </c>
      <c r="D239" s="3816"/>
      <c r="E239" s="3816"/>
      <c r="F239" s="3816"/>
      <c r="W239" s="3377">
        <f t="shared" si="384"/>
        <v>2.1322009026836009E-2</v>
      </c>
      <c r="X239" s="3377">
        <f t="shared" si="384"/>
        <v>7.358063392546077E-3</v>
      </c>
      <c r="Y239" s="3377">
        <f t="shared" si="384"/>
        <v>9.595020962095413E-3</v>
      </c>
      <c r="Z239" s="3377">
        <f t="shared" si="384"/>
        <v>1.4041696990453323E-2</v>
      </c>
      <c r="AA239" s="3377">
        <f t="shared" si="385"/>
        <v>1.477603748891787E-2</v>
      </c>
      <c r="AB239" s="3377">
        <f t="shared" si="385"/>
        <v>1.8533926862753347E-2</v>
      </c>
      <c r="AC239" s="3377">
        <f t="shared" si="385"/>
        <v>2.3445318084345912E-2</v>
      </c>
      <c r="AD239" s="3377">
        <f t="shared" si="385"/>
        <v>1.6609139345080015E-2</v>
      </c>
      <c r="AE239" s="3377">
        <f t="shared" si="385"/>
        <v>8.5891061979850303E-3</v>
      </c>
      <c r="AF239" s="3377">
        <f t="shared" si="385"/>
        <v>6.6045796907086007E-3</v>
      </c>
    </row>
    <row r="241" spans="1:43" s="736" customFormat="1" ht="12.75" customHeight="1">
      <c r="A241" s="701"/>
      <c r="B241" s="701"/>
      <c r="C241" s="703"/>
      <c r="D241" s="732"/>
      <c r="E241" s="733" t="s">
        <v>1360</v>
      </c>
      <c r="F241" s="734"/>
      <c r="G241" s="735">
        <f>+InputY!$G$3</f>
        <v>1995</v>
      </c>
      <c r="H241" s="735">
        <f>+G241+1</f>
        <v>1996</v>
      </c>
      <c r="I241" s="735">
        <f t="shared" ref="I241:O241" si="386">+H241+1</f>
        <v>1997</v>
      </c>
      <c r="J241" s="735">
        <f t="shared" si="386"/>
        <v>1998</v>
      </c>
      <c r="K241" s="735">
        <f t="shared" si="386"/>
        <v>1999</v>
      </c>
      <c r="L241" s="735">
        <f t="shared" si="386"/>
        <v>2000</v>
      </c>
      <c r="M241" s="735">
        <f t="shared" si="386"/>
        <v>2001</v>
      </c>
      <c r="N241" s="735">
        <f t="shared" si="386"/>
        <v>2002</v>
      </c>
      <c r="O241" s="735">
        <f t="shared" si="386"/>
        <v>2003</v>
      </c>
      <c r="P241" s="735">
        <f t="shared" ref="P241:AF241" si="387">+O241+1</f>
        <v>2004</v>
      </c>
      <c r="Q241" s="735">
        <f t="shared" si="387"/>
        <v>2005</v>
      </c>
      <c r="R241" s="735">
        <f t="shared" si="387"/>
        <v>2006</v>
      </c>
      <c r="S241" s="735">
        <f t="shared" si="387"/>
        <v>2007</v>
      </c>
      <c r="T241" s="735">
        <f t="shared" si="387"/>
        <v>2008</v>
      </c>
      <c r="U241" s="735">
        <f t="shared" si="387"/>
        <v>2009</v>
      </c>
      <c r="V241" s="735">
        <f t="shared" si="387"/>
        <v>2010</v>
      </c>
      <c r="W241" s="735">
        <f t="shared" si="387"/>
        <v>2011</v>
      </c>
      <c r="X241" s="735">
        <f t="shared" si="387"/>
        <v>2012</v>
      </c>
      <c r="Y241" s="735">
        <f t="shared" si="387"/>
        <v>2013</v>
      </c>
      <c r="Z241" s="735">
        <f t="shared" si="387"/>
        <v>2014</v>
      </c>
      <c r="AA241" s="735">
        <f t="shared" si="387"/>
        <v>2015</v>
      </c>
      <c r="AB241" s="735">
        <f t="shared" si="387"/>
        <v>2016</v>
      </c>
      <c r="AC241" s="735">
        <f t="shared" si="387"/>
        <v>2017</v>
      </c>
      <c r="AD241" s="735">
        <f t="shared" si="387"/>
        <v>2018</v>
      </c>
      <c r="AE241" s="735">
        <f t="shared" si="387"/>
        <v>2019</v>
      </c>
      <c r="AF241" s="735">
        <f t="shared" si="387"/>
        <v>2020</v>
      </c>
      <c r="AG241" s="2939"/>
      <c r="AH241" s="2939"/>
      <c r="AI241" s="2939"/>
      <c r="AJ241" s="2939"/>
      <c r="AK241" s="2939"/>
      <c r="AL241" s="2939"/>
      <c r="AM241" s="2939"/>
      <c r="AN241" s="2939"/>
      <c r="AO241" s="2939"/>
      <c r="AP241" s="2939"/>
      <c r="AQ241" s="2939"/>
    </row>
    <row r="242" spans="1:43" ht="12.75">
      <c r="C242" s="712"/>
      <c r="D242" s="705"/>
      <c r="E242" s="745" t="s">
        <v>1356</v>
      </c>
      <c r="F242" s="738" t="str">
        <f>+InputY!B53</f>
        <v>VGrVadd</v>
      </c>
      <c r="G242" s="1502">
        <f>+'VVP2'!G159</f>
        <v>2094.6835700000001</v>
      </c>
      <c r="H242" s="1502">
        <f>+'VVP2'!H159</f>
        <v>2129.4191700000001</v>
      </c>
      <c r="I242" s="1502">
        <f>+'VVP2'!I159</f>
        <v>2199.18021</v>
      </c>
      <c r="J242" s="1502">
        <f>+'VVP2'!J159</f>
        <v>2291.63013</v>
      </c>
      <c r="K242" s="1502">
        <f>+'VVP2'!K159</f>
        <v>2393.2321400000001</v>
      </c>
      <c r="L242" s="1502">
        <f>+'VVP2'!L159</f>
        <v>2520.7557999999999</v>
      </c>
      <c r="M242" s="1502">
        <f>+'VVP2'!M159</f>
        <v>2556.3664800000001</v>
      </c>
      <c r="N242" s="1502">
        <f>+'VVP2'!N159</f>
        <v>2605.6895099999997</v>
      </c>
      <c r="O242" s="1502">
        <f>+'VVP2'!O159</f>
        <v>2668.29943</v>
      </c>
      <c r="P242" s="1502">
        <f>+'VVP2'!P159</f>
        <v>2790.6924599999998</v>
      </c>
      <c r="Q242" s="1502">
        <f>+'VVP2'!Q159</f>
        <v>2864.7722200000003</v>
      </c>
      <c r="R242" s="1502">
        <f>+'VVP2'!R159</f>
        <v>3002.1762799999997</v>
      </c>
      <c r="S242" s="1502">
        <f>+'VVP2'!S159</f>
        <v>3104.5400399999999</v>
      </c>
      <c r="T242" s="1502">
        <f>+'VVP2'!T159</f>
        <v>3095.3247700000002</v>
      </c>
      <c r="U242" s="1502">
        <f>+'VVP2'!U159</f>
        <v>2916.7112000000002</v>
      </c>
      <c r="V242" s="1502">
        <f>+'VVP2'!V159</f>
        <v>3098.6170000000002</v>
      </c>
      <c r="W242" s="1502">
        <f>+'VVP2'!W159</f>
        <v>3190.39806</v>
      </c>
      <c r="X242" s="1502">
        <f>+'VVP2'!X159</f>
        <v>3186.0310299999996</v>
      </c>
      <c r="Y242" s="1502">
        <f>+'VVP2'!Y159</f>
        <v>3228.6795000000002</v>
      </c>
      <c r="Z242" s="1502">
        <f>+'VVP2'!Z159</f>
        <v>3314.5096600000002</v>
      </c>
      <c r="AA242" s="1502">
        <f>+'VVP2'!AA159</f>
        <v>3457.0619999999999</v>
      </c>
      <c r="AB242" s="1502">
        <f>+'VVP2'!AB159</f>
        <v>3545.4923199999998</v>
      </c>
      <c r="AC242" s="1502">
        <f>+'VVP2'!AC159</f>
        <v>3621.9288500000002</v>
      </c>
      <c r="AD242" s="1502">
        <f ca="1">+'VVP2'!AD159</f>
        <v>3707.7891151285635</v>
      </c>
      <c r="AE242" s="1502">
        <f ca="1">+'VVP2'!AE159</f>
        <v>3770.3096568780084</v>
      </c>
      <c r="AF242" s="1502">
        <f ca="1">+'VVP2'!AF159</f>
        <v>3837.0732963856485</v>
      </c>
    </row>
    <row r="243" spans="1:43" ht="12.75">
      <c r="C243" s="805" t="s">
        <v>1358</v>
      </c>
      <c r="D243" s="713"/>
      <c r="E243" s="748" t="s">
        <v>640</v>
      </c>
      <c r="F243" s="803" t="s">
        <v>784</v>
      </c>
      <c r="G243" s="749">
        <f t="shared" ref="G243:O243" si="388">+G33</f>
        <v>4128.8999999999996</v>
      </c>
      <c r="H243" s="749">
        <f t="shared" si="388"/>
        <v>4095.9</v>
      </c>
      <c r="I243" s="749">
        <f t="shared" si="388"/>
        <v>4043.2</v>
      </c>
      <c r="J243" s="749">
        <f t="shared" si="388"/>
        <v>4111.3999999999996</v>
      </c>
      <c r="K243" s="749">
        <f t="shared" si="388"/>
        <v>4197.7</v>
      </c>
      <c r="L243" s="749">
        <f t="shared" si="388"/>
        <v>4300.6000000000004</v>
      </c>
      <c r="M243" s="749">
        <f t="shared" si="388"/>
        <v>4391.1000000000004</v>
      </c>
      <c r="N243" s="749">
        <f t="shared" si="388"/>
        <v>4393.2</v>
      </c>
      <c r="O243" s="749">
        <f t="shared" si="388"/>
        <v>4367.8999999999996</v>
      </c>
      <c r="P243" s="749">
        <f t="shared" ref="P243:X243" si="389">+P33</f>
        <v>4337.2</v>
      </c>
      <c r="Q243" s="749">
        <f t="shared" si="389"/>
        <v>4348.7</v>
      </c>
      <c r="R243" s="749">
        <f t="shared" si="389"/>
        <v>4422.3999999999996</v>
      </c>
      <c r="S243" s="749">
        <f t="shared" si="389"/>
        <v>4524.3999999999996</v>
      </c>
      <c r="T243" s="749">
        <f t="shared" si="389"/>
        <v>4565.2</v>
      </c>
      <c r="U243" s="749">
        <f t="shared" si="389"/>
        <v>4454.8</v>
      </c>
      <c r="V243" s="749">
        <f t="shared" si="389"/>
        <v>4497.7</v>
      </c>
      <c r="W243" s="749">
        <f t="shared" si="389"/>
        <v>4593.6000000000004</v>
      </c>
      <c r="X243" s="749">
        <f t="shared" si="389"/>
        <v>4627.3999999999996</v>
      </c>
      <c r="Y243" s="749">
        <f t="shared" ref="Y243:AD243" si="390">+Y33</f>
        <v>4671.8</v>
      </c>
      <c r="Z243" s="749">
        <f t="shared" si="390"/>
        <v>4737.3999999999996</v>
      </c>
      <c r="AA243" s="749">
        <f t="shared" si="390"/>
        <v>4807.3999999999996</v>
      </c>
      <c r="AB243" s="749">
        <f t="shared" ref="AB243:AC243" si="391">+AB33</f>
        <v>4896.5</v>
      </c>
      <c r="AC243" s="749">
        <f t="shared" si="391"/>
        <v>5011.3</v>
      </c>
      <c r="AD243" s="749">
        <f t="shared" si="390"/>
        <v>5094.5333799999999</v>
      </c>
      <c r="AE243" s="749">
        <f t="shared" ref="AE243:AF243" si="392">+AE33</f>
        <v>5138.2908682299994</v>
      </c>
      <c r="AF243" s="749">
        <f t="shared" si="392"/>
        <v>5172.2271197432647</v>
      </c>
    </row>
    <row r="244" spans="1:43" ht="12.75">
      <c r="C244" s="707" t="s">
        <v>1793</v>
      </c>
      <c r="D244" s="806"/>
      <c r="E244" s="807" t="s">
        <v>1351</v>
      </c>
      <c r="F244" s="808" t="s">
        <v>1357</v>
      </c>
      <c r="G244" s="809">
        <f>+G242/G243*1000</f>
        <v>507.32242728087397</v>
      </c>
      <c r="H244" s="809">
        <f t="shared" ref="H244:Q244" si="393">+H242/H243*1000</f>
        <v>519.89041968798062</v>
      </c>
      <c r="I244" s="809">
        <f t="shared" si="393"/>
        <v>543.92070884447958</v>
      </c>
      <c r="J244" s="809">
        <f t="shared" si="393"/>
        <v>557.3843775842779</v>
      </c>
      <c r="K244" s="809">
        <f t="shared" si="393"/>
        <v>570.12938990399505</v>
      </c>
      <c r="L244" s="809">
        <f t="shared" si="393"/>
        <v>586.14049202436854</v>
      </c>
      <c r="M244" s="809">
        <f t="shared" si="393"/>
        <v>582.16995285919245</v>
      </c>
      <c r="N244" s="809">
        <f t="shared" si="393"/>
        <v>593.11879950833099</v>
      </c>
      <c r="O244" s="809">
        <f t="shared" si="393"/>
        <v>610.88839717026497</v>
      </c>
      <c r="P244" s="809">
        <f t="shared" si="393"/>
        <v>643.43181315134188</v>
      </c>
      <c r="Q244" s="809">
        <f t="shared" si="393"/>
        <v>658.76519879504224</v>
      </c>
      <c r="R244" s="809">
        <f t="shared" ref="R244:X244" si="394">+R242/R243*1000</f>
        <v>678.85679269175102</v>
      </c>
      <c r="S244" s="809">
        <f t="shared" si="394"/>
        <v>686.1771815047299</v>
      </c>
      <c r="T244" s="809">
        <f t="shared" si="394"/>
        <v>678.02610400420588</v>
      </c>
      <c r="U244" s="809">
        <f t="shared" si="394"/>
        <v>654.73448864146542</v>
      </c>
      <c r="V244" s="809">
        <f t="shared" si="394"/>
        <v>688.93367721279776</v>
      </c>
      <c r="W244" s="809">
        <f>+W242/W243*1000</f>
        <v>694.53109979101362</v>
      </c>
      <c r="X244" s="809">
        <f t="shared" si="394"/>
        <v>688.51429096252753</v>
      </c>
      <c r="Y244" s="809">
        <f t="shared" ref="Y244:AD244" si="395">+Y242/Y243*1000</f>
        <v>691.09968320561666</v>
      </c>
      <c r="Z244" s="809">
        <f t="shared" si="395"/>
        <v>699.64741419343954</v>
      </c>
      <c r="AA244" s="809">
        <f t="shared" si="395"/>
        <v>719.11261804717731</v>
      </c>
      <c r="AB244" s="809">
        <f t="shared" ref="AB244:AC244" si="396">+AB242/AB243*1000</f>
        <v>724.08706627182676</v>
      </c>
      <c r="AC244" s="809">
        <f t="shared" si="396"/>
        <v>722.7523496897013</v>
      </c>
      <c r="AD244" s="809">
        <f t="shared" ca="1" si="395"/>
        <v>727.79758980175018</v>
      </c>
      <c r="AE244" s="809">
        <f t="shared" ref="AE244:AF244" ca="1" si="397">+AE242/AE243*1000</f>
        <v>733.76726883832032</v>
      </c>
      <c r="AF244" s="809">
        <f t="shared" ca="1" si="397"/>
        <v>741.8609445317843</v>
      </c>
    </row>
    <row r="245" spans="1:43" ht="12.75">
      <c r="Q245" s="217"/>
      <c r="R245" s="217"/>
      <c r="S245" s="217"/>
      <c r="T245" s="217"/>
      <c r="U245" s="217"/>
      <c r="V245" s="217"/>
      <c r="W245" s="217"/>
      <c r="X245" s="217"/>
      <c r="Y245" s="217"/>
      <c r="Z245" s="217"/>
      <c r="AA245" s="217"/>
      <c r="AB245" s="217"/>
      <c r="AC245" s="217"/>
      <c r="AD245" s="217"/>
      <c r="AE245" s="217"/>
      <c r="AF245" s="217"/>
    </row>
    <row r="246" spans="1:43" s="736" customFormat="1" ht="12.75" customHeight="1">
      <c r="A246" s="701"/>
      <c r="B246" s="701"/>
      <c r="C246" s="703"/>
      <c r="D246" s="732"/>
      <c r="E246" s="733" t="s">
        <v>1350</v>
      </c>
      <c r="F246" s="734"/>
      <c r="G246" s="735">
        <f>+InputY!$G$3</f>
        <v>1995</v>
      </c>
      <c r="H246" s="735">
        <f>+G246+1</f>
        <v>1996</v>
      </c>
      <c r="I246" s="735">
        <f t="shared" ref="I246:O246" si="398">+H246+1</f>
        <v>1997</v>
      </c>
      <c r="J246" s="735">
        <f t="shared" si="398"/>
        <v>1998</v>
      </c>
      <c r="K246" s="735">
        <f t="shared" si="398"/>
        <v>1999</v>
      </c>
      <c r="L246" s="735">
        <f t="shared" si="398"/>
        <v>2000</v>
      </c>
      <c r="M246" s="735">
        <f t="shared" si="398"/>
        <v>2001</v>
      </c>
      <c r="N246" s="735">
        <f t="shared" si="398"/>
        <v>2002</v>
      </c>
      <c r="O246" s="735">
        <f t="shared" si="398"/>
        <v>2003</v>
      </c>
      <c r="P246" s="735">
        <f t="shared" ref="P246:AF246" si="399">+O246+1</f>
        <v>2004</v>
      </c>
      <c r="Q246" s="735">
        <f t="shared" si="399"/>
        <v>2005</v>
      </c>
      <c r="R246" s="735">
        <f t="shared" si="399"/>
        <v>2006</v>
      </c>
      <c r="S246" s="735">
        <f t="shared" si="399"/>
        <v>2007</v>
      </c>
      <c r="T246" s="735">
        <f t="shared" si="399"/>
        <v>2008</v>
      </c>
      <c r="U246" s="735">
        <f t="shared" si="399"/>
        <v>2009</v>
      </c>
      <c r="V246" s="735">
        <f t="shared" si="399"/>
        <v>2010</v>
      </c>
      <c r="W246" s="735">
        <f t="shared" si="399"/>
        <v>2011</v>
      </c>
      <c r="X246" s="735">
        <f t="shared" si="399"/>
        <v>2012</v>
      </c>
      <c r="Y246" s="735">
        <f t="shared" si="399"/>
        <v>2013</v>
      </c>
      <c r="Z246" s="735">
        <f t="shared" si="399"/>
        <v>2014</v>
      </c>
      <c r="AA246" s="735">
        <f t="shared" si="399"/>
        <v>2015</v>
      </c>
      <c r="AB246" s="735">
        <f t="shared" si="399"/>
        <v>2016</v>
      </c>
      <c r="AC246" s="735">
        <f t="shared" si="399"/>
        <v>2017</v>
      </c>
      <c r="AD246" s="735">
        <f t="shared" si="399"/>
        <v>2018</v>
      </c>
      <c r="AE246" s="735">
        <f t="shared" si="399"/>
        <v>2019</v>
      </c>
      <c r="AF246" s="735">
        <f t="shared" si="399"/>
        <v>2020</v>
      </c>
      <c r="AG246" s="2939"/>
      <c r="AH246" s="2939"/>
      <c r="AI246" s="2939"/>
      <c r="AJ246" s="2939"/>
      <c r="AK246" s="2939"/>
      <c r="AL246" s="2939"/>
      <c r="AM246" s="2939"/>
      <c r="AN246" s="2939"/>
      <c r="AO246" s="2939"/>
      <c r="AP246" s="2939"/>
      <c r="AQ246" s="2939"/>
    </row>
    <row r="247" spans="1:43" ht="12.75">
      <c r="C247" s="712"/>
      <c r="D247" s="705"/>
      <c r="E247" s="745" t="str">
        <f>+$E$189</f>
        <v>Total compensation / employee (domestic)</v>
      </c>
      <c r="F247" s="761" t="str">
        <f>+$F$189</f>
        <v>YCompAvD</v>
      </c>
      <c r="G247" s="1014">
        <f t="shared" ref="G247:O247" si="400">+G189</f>
        <v>215.64374447736367</v>
      </c>
      <c r="H247" s="1014">
        <f t="shared" si="400"/>
        <v>230.38777754503565</v>
      </c>
      <c r="I247" s="1014">
        <f t="shared" si="400"/>
        <v>244.11984819935779</v>
      </c>
      <c r="J247" s="1014">
        <f t="shared" si="400"/>
        <v>240.04796163069543</v>
      </c>
      <c r="K247" s="1014">
        <f t="shared" si="400"/>
        <v>249.29882328917478</v>
      </c>
      <c r="L247" s="1014">
        <f t="shared" si="400"/>
        <v>266.28253250142933</v>
      </c>
      <c r="M247" s="1014">
        <f t="shared" si="400"/>
        <v>277.5543214666796</v>
      </c>
      <c r="N247" s="1014">
        <f t="shared" si="400"/>
        <v>286.42808765903925</v>
      </c>
      <c r="O247" s="1014">
        <f t="shared" si="400"/>
        <v>296.95108656152337</v>
      </c>
      <c r="P247" s="1014">
        <f t="shared" ref="P247:X247" si="401">+P189</f>
        <v>309.50723504106378</v>
      </c>
      <c r="Q247" s="1014">
        <f t="shared" si="401"/>
        <v>319.01808344706569</v>
      </c>
      <c r="R247" s="1014">
        <f t="shared" si="401"/>
        <v>329.01618510969911</v>
      </c>
      <c r="S247" s="1014">
        <f t="shared" si="401"/>
        <v>346.54014666947819</v>
      </c>
      <c r="T247" s="1014">
        <f t="shared" si="401"/>
        <v>359.20174971648112</v>
      </c>
      <c r="U247" s="1014">
        <f t="shared" si="401"/>
        <v>368.941601502151</v>
      </c>
      <c r="V247" s="1014">
        <f t="shared" si="401"/>
        <v>377.11825271540653</v>
      </c>
      <c r="W247" s="1014">
        <f t="shared" si="401"/>
        <v>389.09782558727528</v>
      </c>
      <c r="X247" s="1014">
        <f t="shared" si="401"/>
        <v>400.97558197804199</v>
      </c>
      <c r="Y247" s="1014">
        <f t="shared" ref="Y247:AD247" si="402">+Y189</f>
        <v>408.77006311992784</v>
      </c>
      <c r="Z247" s="1014">
        <f t="shared" si="402"/>
        <v>417.85411534962162</v>
      </c>
      <c r="AA247" s="1014">
        <f t="shared" si="402"/>
        <v>429.27743709490863</v>
      </c>
      <c r="AB247" s="1014">
        <f t="shared" ref="AB247:AC247" si="403">+AB189</f>
        <v>440.05482666666666</v>
      </c>
      <c r="AC247" s="1014">
        <f t="shared" si="403"/>
        <v>448.83215779289685</v>
      </c>
      <c r="AD247" s="1014">
        <f t="shared" si="402"/>
        <v>460.96225798352157</v>
      </c>
      <c r="AE247" s="1014">
        <f t="shared" ref="AE247:AF247" si="404">+AE189</f>
        <v>473.26839209813875</v>
      </c>
      <c r="AF247" s="1014">
        <f t="shared" si="404"/>
        <v>484.89211111817826</v>
      </c>
    </row>
    <row r="248" spans="1:43" ht="12.75">
      <c r="A248" s="701"/>
      <c r="B248" s="701"/>
      <c r="C248" s="805" t="s">
        <v>1358</v>
      </c>
      <c r="D248" s="713"/>
      <c r="E248" s="748" t="str">
        <f>+$E$244</f>
        <v>Unit labour productivity</v>
      </c>
      <c r="F248" s="936" t="str">
        <f>+$F$244</f>
        <v>ULPdty</v>
      </c>
      <c r="G248" s="960">
        <f>+G244</f>
        <v>507.32242728087397</v>
      </c>
      <c r="H248" s="960">
        <f t="shared" ref="H248:O248" si="405">+H244</f>
        <v>519.89041968798062</v>
      </c>
      <c r="I248" s="960">
        <f t="shared" si="405"/>
        <v>543.92070884447958</v>
      </c>
      <c r="J248" s="960">
        <f t="shared" si="405"/>
        <v>557.3843775842779</v>
      </c>
      <c r="K248" s="960">
        <f t="shared" si="405"/>
        <v>570.12938990399505</v>
      </c>
      <c r="L248" s="960">
        <f t="shared" si="405"/>
        <v>586.14049202436854</v>
      </c>
      <c r="M248" s="960">
        <f t="shared" si="405"/>
        <v>582.16995285919245</v>
      </c>
      <c r="N248" s="960">
        <f t="shared" si="405"/>
        <v>593.11879950833099</v>
      </c>
      <c r="O248" s="960">
        <f t="shared" si="405"/>
        <v>610.88839717026497</v>
      </c>
      <c r="P248" s="960">
        <f t="shared" ref="P248:X248" si="406">+P244</f>
        <v>643.43181315134188</v>
      </c>
      <c r="Q248" s="960">
        <f t="shared" si="406"/>
        <v>658.76519879504224</v>
      </c>
      <c r="R248" s="960">
        <f t="shared" si="406"/>
        <v>678.85679269175102</v>
      </c>
      <c r="S248" s="960">
        <f t="shared" si="406"/>
        <v>686.1771815047299</v>
      </c>
      <c r="T248" s="960">
        <f t="shared" si="406"/>
        <v>678.02610400420588</v>
      </c>
      <c r="U248" s="960">
        <f t="shared" si="406"/>
        <v>654.73448864146542</v>
      </c>
      <c r="V248" s="960">
        <f t="shared" si="406"/>
        <v>688.93367721279776</v>
      </c>
      <c r="W248" s="960">
        <f t="shared" si="406"/>
        <v>694.53109979101362</v>
      </c>
      <c r="X248" s="960">
        <f t="shared" si="406"/>
        <v>688.51429096252753</v>
      </c>
      <c r="Y248" s="960">
        <f t="shared" ref="Y248:AD248" si="407">+Y244</f>
        <v>691.09968320561666</v>
      </c>
      <c r="Z248" s="960">
        <f t="shared" si="407"/>
        <v>699.64741419343954</v>
      </c>
      <c r="AA248" s="960">
        <f t="shared" si="407"/>
        <v>719.11261804717731</v>
      </c>
      <c r="AB248" s="960">
        <f t="shared" ref="AB248:AC248" si="408">+AB244</f>
        <v>724.08706627182676</v>
      </c>
      <c r="AC248" s="960">
        <f t="shared" si="408"/>
        <v>722.7523496897013</v>
      </c>
      <c r="AD248" s="960">
        <f t="shared" ca="1" si="407"/>
        <v>727.79758980175018</v>
      </c>
      <c r="AE248" s="960">
        <f t="shared" ref="AE248:AF248" ca="1" si="409">+AE244</f>
        <v>733.76726883832032</v>
      </c>
      <c r="AF248" s="960">
        <f t="shared" ca="1" si="409"/>
        <v>741.8609445317843</v>
      </c>
    </row>
    <row r="249" spans="1:43" ht="12.75">
      <c r="C249" s="707" t="s">
        <v>1793</v>
      </c>
      <c r="D249" s="806"/>
      <c r="E249" s="807" t="s">
        <v>1350</v>
      </c>
      <c r="F249" s="808" t="s">
        <v>1352</v>
      </c>
      <c r="G249" s="809">
        <f>+G247/G248*100</f>
        <v>42.506251031156303</v>
      </c>
      <c r="H249" s="809">
        <f t="shared" ref="H249:Q249" si="410">+H247/H248*100</f>
        <v>44.314680328848148</v>
      </c>
      <c r="I249" s="809">
        <f t="shared" si="410"/>
        <v>44.881513836451056</v>
      </c>
      <c r="J249" s="809">
        <f t="shared" si="410"/>
        <v>43.066862166297362</v>
      </c>
      <c r="K249" s="809">
        <f t="shared" si="410"/>
        <v>43.726709709028434</v>
      </c>
      <c r="L249" s="809">
        <f t="shared" si="410"/>
        <v>45.429813521629001</v>
      </c>
      <c r="M249" s="809">
        <f t="shared" si="410"/>
        <v>47.675823890177782</v>
      </c>
      <c r="N249" s="809">
        <f t="shared" si="410"/>
        <v>48.291857870038072</v>
      </c>
      <c r="O249" s="809">
        <f t="shared" si="410"/>
        <v>48.60971135432419</v>
      </c>
      <c r="P249" s="809">
        <f t="shared" si="410"/>
        <v>48.102569489871406</v>
      </c>
      <c r="Q249" s="809">
        <f t="shared" si="410"/>
        <v>48.42667524492591</v>
      </c>
      <c r="R249" s="809">
        <f t="shared" ref="R249:X249" si="411">+R247/R248*100</f>
        <v>48.466213883654206</v>
      </c>
      <c r="S249" s="809">
        <f t="shared" si="411"/>
        <v>50.50301234289725</v>
      </c>
      <c r="T249" s="809">
        <f t="shared" si="411"/>
        <v>52.977569387837754</v>
      </c>
      <c r="U249" s="809">
        <f t="shared" si="411"/>
        <v>56.34980406602417</v>
      </c>
      <c r="V249" s="809">
        <f t="shared" si="411"/>
        <v>54.739413268502815</v>
      </c>
      <c r="W249" s="809">
        <f>+W247/W248*100</f>
        <v>56.023096115401593</v>
      </c>
      <c r="X249" s="809">
        <f t="shared" si="411"/>
        <v>58.237800905699011</v>
      </c>
      <c r="Y249" s="809">
        <f t="shared" ref="Y249:AD249" si="412">+Y247/Y248*100</f>
        <v>59.147771740232471</v>
      </c>
      <c r="Z249" s="809">
        <f t="shared" si="412"/>
        <v>59.723527432932485</v>
      </c>
      <c r="AA249" s="809">
        <f t="shared" si="412"/>
        <v>59.695439395939772</v>
      </c>
      <c r="AB249" s="809">
        <f t="shared" ref="AB249:AC249" si="413">+AB247/AB248*100</f>
        <v>60.773744921645566</v>
      </c>
      <c r="AC249" s="809">
        <f t="shared" si="413"/>
        <v>62.100407973158944</v>
      </c>
      <c r="AD249" s="809">
        <f t="shared" ca="1" si="412"/>
        <v>63.336601335693665</v>
      </c>
      <c r="AE249" s="809">
        <f t="shared" ref="AE249:AF249" ca="1" si="414">+AE247/AE248*100</f>
        <v>64.4984332494694</v>
      </c>
      <c r="AF249" s="809">
        <f t="shared" ca="1" si="414"/>
        <v>65.361590294285065</v>
      </c>
    </row>
    <row r="250" spans="1:43" ht="30" customHeight="1">
      <c r="Q250" s="217"/>
      <c r="R250" s="217"/>
      <c r="S250" s="217"/>
      <c r="T250" s="217"/>
      <c r="U250" s="217"/>
      <c r="V250" s="217"/>
      <c r="W250" s="217"/>
      <c r="X250" s="217"/>
      <c r="Y250" s="217"/>
      <c r="Z250" s="217"/>
      <c r="AA250" s="217"/>
      <c r="AB250" s="217"/>
      <c r="AC250" s="217"/>
      <c r="AD250" s="217"/>
      <c r="AE250" s="217"/>
      <c r="AF250" s="217"/>
    </row>
    <row r="251" spans="1:43" s="736" customFormat="1" ht="12.75" customHeight="1">
      <c r="A251" s="701"/>
      <c r="B251" s="701"/>
      <c r="C251" s="703"/>
      <c r="D251" s="765"/>
      <c r="E251" s="766" t="s">
        <v>1336</v>
      </c>
      <c r="F251" s="767"/>
      <c r="G251" s="768">
        <f>+InputY!$G$3</f>
        <v>1995</v>
      </c>
      <c r="H251" s="768">
        <f>+G251+1</f>
        <v>1996</v>
      </c>
      <c r="I251" s="768">
        <f t="shared" ref="I251:O251" si="415">+H251+1</f>
        <v>1997</v>
      </c>
      <c r="J251" s="768">
        <f t="shared" si="415"/>
        <v>1998</v>
      </c>
      <c r="K251" s="768">
        <f t="shared" si="415"/>
        <v>1999</v>
      </c>
      <c r="L251" s="768">
        <f t="shared" si="415"/>
        <v>2000</v>
      </c>
      <c r="M251" s="768">
        <f t="shared" si="415"/>
        <v>2001</v>
      </c>
      <c r="N251" s="768">
        <f t="shared" si="415"/>
        <v>2002</v>
      </c>
      <c r="O251" s="768">
        <f t="shared" si="415"/>
        <v>2003</v>
      </c>
      <c r="P251" s="768">
        <f t="shared" ref="P251:AF251" si="416">+O251+1</f>
        <v>2004</v>
      </c>
      <c r="Q251" s="768">
        <f t="shared" si="416"/>
        <v>2005</v>
      </c>
      <c r="R251" s="768">
        <f t="shared" si="416"/>
        <v>2006</v>
      </c>
      <c r="S251" s="768">
        <f t="shared" si="416"/>
        <v>2007</v>
      </c>
      <c r="T251" s="768">
        <f t="shared" si="416"/>
        <v>2008</v>
      </c>
      <c r="U251" s="768">
        <f t="shared" si="416"/>
        <v>2009</v>
      </c>
      <c r="V251" s="768">
        <f t="shared" si="416"/>
        <v>2010</v>
      </c>
      <c r="W251" s="768">
        <f t="shared" si="416"/>
        <v>2011</v>
      </c>
      <c r="X251" s="768">
        <f t="shared" si="416"/>
        <v>2012</v>
      </c>
      <c r="Y251" s="768">
        <f t="shared" si="416"/>
        <v>2013</v>
      </c>
      <c r="Z251" s="768">
        <f t="shared" si="416"/>
        <v>2014</v>
      </c>
      <c r="AA251" s="768">
        <f t="shared" si="416"/>
        <v>2015</v>
      </c>
      <c r="AB251" s="768">
        <f t="shared" si="416"/>
        <v>2016</v>
      </c>
      <c r="AC251" s="768">
        <f t="shared" si="416"/>
        <v>2017</v>
      </c>
      <c r="AD251" s="768">
        <f t="shared" si="416"/>
        <v>2018</v>
      </c>
      <c r="AE251" s="768">
        <f t="shared" si="416"/>
        <v>2019</v>
      </c>
      <c r="AF251" s="768">
        <f t="shared" si="416"/>
        <v>2020</v>
      </c>
      <c r="AG251" s="2939"/>
      <c r="AH251" s="2939"/>
      <c r="AI251" s="2939"/>
      <c r="AJ251" s="2939"/>
      <c r="AK251" s="2939"/>
      <c r="AL251" s="2939"/>
      <c r="AM251" s="2939"/>
      <c r="AN251" s="2939"/>
      <c r="AO251" s="2939"/>
      <c r="AP251" s="2939"/>
      <c r="AQ251" s="2939"/>
    </row>
    <row r="252" spans="1:43" s="736" customFormat="1" ht="12.75" customHeight="1">
      <c r="A252" s="701"/>
      <c r="B252" s="701"/>
      <c r="C252" s="725"/>
      <c r="D252" s="726"/>
      <c r="E252" s="769" t="str">
        <f>+$E$244</f>
        <v>Unit labour productivity</v>
      </c>
      <c r="F252" s="770" t="s">
        <v>1357</v>
      </c>
      <c r="G252" s="771"/>
      <c r="H252" s="1015">
        <f>(H244/G244-1)*100</f>
        <v>2.4773185121083729</v>
      </c>
      <c r="I252" s="1015">
        <f t="shared" ref="I252:Q252" si="417">(I244/H244-1)*100</f>
        <v>4.6221834922292038</v>
      </c>
      <c r="J252" s="1015">
        <f t="shared" si="417"/>
        <v>2.4752998958986083</v>
      </c>
      <c r="K252" s="1015">
        <f t="shared" si="417"/>
        <v>2.2865750875463053</v>
      </c>
      <c r="L252" s="1015">
        <f t="shared" si="417"/>
        <v>2.8083277943397489</v>
      </c>
      <c r="M252" s="1015">
        <f t="shared" si="417"/>
        <v>-0.67740400453532024</v>
      </c>
      <c r="N252" s="1015">
        <f t="shared" si="417"/>
        <v>1.8806959368764753</v>
      </c>
      <c r="O252" s="1015">
        <f t="shared" si="417"/>
        <v>2.9959592710034011</v>
      </c>
      <c r="P252" s="1015">
        <f t="shared" si="417"/>
        <v>5.3272277116120259</v>
      </c>
      <c r="Q252" s="1015">
        <f t="shared" si="417"/>
        <v>2.3830630270831543</v>
      </c>
      <c r="R252" s="1015">
        <f t="shared" ref="R252:AF252" si="418">(R244/Q244-1)*100</f>
        <v>3.0498869602490597</v>
      </c>
      <c r="S252" s="1015">
        <f t="shared" si="418"/>
        <v>1.0783406591473588</v>
      </c>
      <c r="T252" s="1015">
        <f t="shared" si="418"/>
        <v>-1.1878969047978805</v>
      </c>
      <c r="U252" s="1015">
        <f t="shared" si="418"/>
        <v>-3.4352092382856081</v>
      </c>
      <c r="V252" s="1015">
        <f t="shared" si="418"/>
        <v>5.2233675122710599</v>
      </c>
      <c r="W252" s="1015">
        <f t="shared" si="418"/>
        <v>0.8124762605395075</v>
      </c>
      <c r="X252" s="1015">
        <f t="shared" si="418"/>
        <v>-0.8663123696399766</v>
      </c>
      <c r="Y252" s="1015">
        <f t="shared" si="418"/>
        <v>0.37550306174107817</v>
      </c>
      <c r="Z252" s="1015">
        <f t="shared" si="418"/>
        <v>1.2368304016831422</v>
      </c>
      <c r="AA252" s="1015">
        <f t="shared" si="418"/>
        <v>2.7821447573243008</v>
      </c>
      <c r="AB252" s="1015">
        <f t="shared" si="418"/>
        <v>0.69174814901149517</v>
      </c>
      <c r="AC252" s="1015">
        <f t="shared" si="418"/>
        <v>-0.1843309519389158</v>
      </c>
      <c r="AD252" s="1015">
        <f t="shared" ca="1" si="418"/>
        <v>0.69805931647470842</v>
      </c>
      <c r="AE252" s="1015">
        <f t="shared" ca="1" si="418"/>
        <v>0.82023891260705195</v>
      </c>
      <c r="AF252" s="1015">
        <f t="shared" ca="1" si="418"/>
        <v>1.1030303526999408</v>
      </c>
      <c r="AG252" s="2939"/>
      <c r="AH252" s="2939"/>
      <c r="AI252" s="2939"/>
      <c r="AJ252" s="2939"/>
      <c r="AK252" s="2939"/>
      <c r="AL252" s="2939"/>
      <c r="AM252" s="2939"/>
      <c r="AN252" s="2939"/>
      <c r="AO252" s="2939"/>
      <c r="AP252" s="2939"/>
      <c r="AQ252" s="2939"/>
    </row>
    <row r="253" spans="1:43" s="736" customFormat="1" ht="12.75">
      <c r="A253" s="700"/>
      <c r="B253" s="700"/>
      <c r="C253" s="1016"/>
      <c r="D253" s="728"/>
      <c r="E253" s="1017" t="str">
        <f>+$E$249</f>
        <v>Unit labour cost</v>
      </c>
      <c r="F253" s="970" t="str">
        <f>+$F$249</f>
        <v>ULCost</v>
      </c>
      <c r="G253" s="1017"/>
      <c r="H253" s="802">
        <f>(H249/G249-1)*100</f>
        <v>4.2545019939921325</v>
      </c>
      <c r="I253" s="802">
        <f t="shared" ref="I253:Q253" si="419">(I249/H249-1)*100</f>
        <v>1.2791100001096289</v>
      </c>
      <c r="J253" s="802">
        <f t="shared" si="419"/>
        <v>-4.0432051306609544</v>
      </c>
      <c r="K253" s="802">
        <f t="shared" si="419"/>
        <v>1.532146781864796</v>
      </c>
      <c r="L253" s="802">
        <f t="shared" si="419"/>
        <v>3.8948821531131994</v>
      </c>
      <c r="M253" s="802">
        <f t="shared" si="419"/>
        <v>4.9439128062444215</v>
      </c>
      <c r="N253" s="802">
        <f t="shared" si="419"/>
        <v>1.2921307480272093</v>
      </c>
      <c r="O253" s="802">
        <f t="shared" si="419"/>
        <v>0.65819270225948578</v>
      </c>
      <c r="P253" s="802">
        <f t="shared" si="419"/>
        <v>-1.0432933056445104</v>
      </c>
      <c r="Q253" s="802">
        <f t="shared" si="419"/>
        <v>0.67378054538800303</v>
      </c>
      <c r="R253" s="802">
        <f t="shared" ref="R253:AF253" si="420">(R249/Q249-1)*100</f>
        <v>8.1646403616031371E-2</v>
      </c>
      <c r="S253" s="802">
        <f t="shared" si="420"/>
        <v>4.2025120099797642</v>
      </c>
      <c r="T253" s="802">
        <f t="shared" si="420"/>
        <v>4.89982068423791</v>
      </c>
      <c r="U253" s="802">
        <f t="shared" si="420"/>
        <v>6.3654008991975264</v>
      </c>
      <c r="V253" s="802">
        <f t="shared" si="420"/>
        <v>-2.8578463123571596</v>
      </c>
      <c r="W253" s="802">
        <f t="shared" si="420"/>
        <v>2.3450796606134139</v>
      </c>
      <c r="X253" s="802">
        <f t="shared" si="420"/>
        <v>3.953199562079468</v>
      </c>
      <c r="Y253" s="802">
        <f t="shared" si="420"/>
        <v>1.5625089209788667</v>
      </c>
      <c r="Z253" s="802">
        <f t="shared" si="420"/>
        <v>0.97341907524199911</v>
      </c>
      <c r="AA253" s="802">
        <f t="shared" si="420"/>
        <v>-4.7030103880341123E-2</v>
      </c>
      <c r="AB253" s="802">
        <f t="shared" si="420"/>
        <v>1.8063449010798927</v>
      </c>
      <c r="AC253" s="802">
        <f t="shared" si="420"/>
        <v>2.1829542563549742</v>
      </c>
      <c r="AD253" s="802">
        <f t="shared" ca="1" si="420"/>
        <v>1.9906364593756498</v>
      </c>
      <c r="AE253" s="802">
        <f t="shared" ca="1" si="420"/>
        <v>1.8343767888931106</v>
      </c>
      <c r="AF253" s="802">
        <f t="shared" ca="1" si="420"/>
        <v>1.338260483750231</v>
      </c>
      <c r="AG253" s="2939"/>
      <c r="AH253" s="2939"/>
      <c r="AI253" s="2939"/>
      <c r="AJ253" s="2939"/>
      <c r="AK253" s="2939"/>
      <c r="AL253" s="2939"/>
      <c r="AM253" s="2939"/>
      <c r="AN253" s="2939"/>
      <c r="AO253" s="2939"/>
      <c r="AP253" s="2939"/>
      <c r="AQ253" s="2939"/>
    </row>
    <row r="254" spans="1:43">
      <c r="C254" s="731"/>
      <c r="E254" s="736"/>
      <c r="G254" s="736"/>
      <c r="H254" s="736"/>
    </row>
    <row r="255" spans="1:43">
      <c r="C255" s="731"/>
      <c r="E255" s="736"/>
      <c r="G255" s="736"/>
      <c r="H255" s="736"/>
    </row>
    <row r="256" spans="1:43">
      <c r="C256" s="731"/>
      <c r="E256" s="736"/>
      <c r="G256" s="736"/>
      <c r="H256" s="736"/>
    </row>
    <row r="257" spans="3:8">
      <c r="C257" s="731"/>
      <c r="E257" s="736"/>
      <c r="G257" s="736"/>
      <c r="H257" s="736"/>
    </row>
  </sheetData>
  <mergeCells count="8">
    <mergeCell ref="C239:F239"/>
    <mergeCell ref="C184:F184"/>
    <mergeCell ref="C108:F108"/>
    <mergeCell ref="C139:F139"/>
    <mergeCell ref="C2:F2"/>
    <mergeCell ref="C26:F26"/>
    <mergeCell ref="C86:F86"/>
    <mergeCell ref="C95:F95"/>
  </mergeCells>
  <phoneticPr fontId="67" type="noConversion"/>
  <conditionalFormatting sqref="G212:V212 G217:V217 G214:V214 X214 X217 X212 Z212:AB212 Z217:AB217 Z214:AB214">
    <cfRule type="cellIs" dxfId="58" priority="7" stopIfTrue="1" operator="notBetween">
      <formula>-0.001</formula>
      <formula>0.001</formula>
    </cfRule>
  </conditionalFormatting>
  <conditionalFormatting sqref="W212 W217 W214">
    <cfRule type="cellIs" dxfId="57" priority="6" stopIfTrue="1" operator="notBetween">
      <formula>-0.001</formula>
      <formula>0.001</formula>
    </cfRule>
  </conditionalFormatting>
  <conditionalFormatting sqref="Y214 Y217 Y212">
    <cfRule type="cellIs" dxfId="56" priority="5" stopIfTrue="1" operator="notBetween">
      <formula>-0.001</formula>
      <formula>0.001</formula>
    </cfRule>
  </conditionalFormatting>
  <conditionalFormatting sqref="AD212 AD217 AD214">
    <cfRule type="cellIs" dxfId="55" priority="4" stopIfTrue="1" operator="notBetween">
      <formula>-0.001</formula>
      <formula>0.001</formula>
    </cfRule>
  </conditionalFormatting>
  <conditionalFormatting sqref="AE212 AE217 AE214">
    <cfRule type="cellIs" dxfId="54" priority="3" stopIfTrue="1" operator="notBetween">
      <formula>-0.001</formula>
      <formula>0.001</formula>
    </cfRule>
  </conditionalFormatting>
  <conditionalFormatting sqref="AC212 AC217 AC214">
    <cfRule type="cellIs" dxfId="53" priority="2" stopIfTrue="1" operator="notBetween">
      <formula>-0.001</formula>
      <formula>0.001</formula>
    </cfRule>
  </conditionalFormatting>
  <conditionalFormatting sqref="AF212 AF217 AF214">
    <cfRule type="cellIs" dxfId="52" priority="1" stopIfTrue="1" operator="notBetween">
      <formula>-0.001</formula>
      <formula>0.001</formula>
    </cfRule>
  </conditionalFormatting>
  <hyperlinks>
    <hyperlink ref="E211" location="Sector1!E416" display="Follow this link to GVT final consumption expenditure" xr:uid="{00000000-0004-0000-0B00-000000000000}"/>
  </hyperlinks>
  <pageMargins left="0.75" right="0.75" top="1" bottom="1" header="0.5" footer="0.5"/>
  <pageSetup scale="18" orientation="portrait" r:id="rId1"/>
  <headerFooter alignWithMargins="0"/>
  <ignoredErrors>
    <ignoredError sqref="G33 H7:O7 G7 H33:O33" formula="1"/>
  </ignoredErrors>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indexed="42"/>
    <pageSetUpPr fitToPage="1"/>
  </sheetPr>
  <dimension ref="A1:O222"/>
  <sheetViews>
    <sheetView workbookViewId="0"/>
  </sheetViews>
  <sheetFormatPr defaultRowHeight="12.75"/>
  <sheetData>
    <row r="1" spans="1:14">
      <c r="A1" s="1553"/>
      <c r="B1" s="1553"/>
      <c r="C1" s="1553"/>
      <c r="D1" s="1553"/>
      <c r="E1" s="1553"/>
      <c r="F1" s="1553"/>
      <c r="G1" s="1553"/>
      <c r="H1" s="1553"/>
      <c r="I1" s="1553"/>
      <c r="J1" s="1553"/>
      <c r="K1" s="1553"/>
      <c r="L1" s="1553"/>
      <c r="M1" s="1553"/>
      <c r="N1" s="1553"/>
    </row>
    <row r="2" spans="1:14" ht="17.649999999999999">
      <c r="A2" s="1554" t="s">
        <v>1194</v>
      </c>
      <c r="B2" s="1553"/>
      <c r="C2" s="1553"/>
      <c r="D2" s="1553"/>
      <c r="E2" s="1553"/>
      <c r="F2" s="1553"/>
      <c r="G2" s="1553"/>
      <c r="H2" s="1553"/>
      <c r="I2" s="1553"/>
      <c r="J2" s="1553"/>
      <c r="K2" s="1553"/>
      <c r="L2" s="1553"/>
      <c r="M2" s="1553"/>
      <c r="N2" s="1553"/>
    </row>
    <row r="3" spans="1:14">
      <c r="A3" s="1553"/>
      <c r="B3" s="1553"/>
      <c r="C3" s="1553"/>
      <c r="D3" s="1553"/>
      <c r="E3" s="1553"/>
      <c r="F3" s="1553"/>
      <c r="G3" s="1553"/>
      <c r="H3" s="1553"/>
      <c r="I3" s="1553"/>
      <c r="J3" s="1553"/>
      <c r="K3" s="1553"/>
      <c r="L3" s="1553"/>
      <c r="M3" s="1553"/>
      <c r="N3" s="1553"/>
    </row>
    <row r="88" spans="15:15">
      <c r="O88" t="s">
        <v>1177</v>
      </c>
    </row>
    <row r="89" spans="15:15">
      <c r="O89" t="s">
        <v>1178</v>
      </c>
    </row>
    <row r="90" spans="15:15">
      <c r="O90" t="s">
        <v>1179</v>
      </c>
    </row>
    <row r="91" spans="15:15">
      <c r="O91" t="s">
        <v>1180</v>
      </c>
    </row>
    <row r="92" spans="15:15">
      <c r="O92" t="s">
        <v>1181</v>
      </c>
    </row>
    <row r="109" spans="1:14">
      <c r="A109" s="1553"/>
      <c r="B109" s="1553"/>
      <c r="C109" s="1553"/>
      <c r="D109" s="1553"/>
      <c r="E109" s="1553"/>
      <c r="F109" s="1553"/>
      <c r="G109" s="1553"/>
      <c r="H109" s="1553"/>
      <c r="I109" s="1553"/>
      <c r="J109" s="1553"/>
      <c r="K109" s="1553"/>
      <c r="L109" s="1553"/>
      <c r="M109" s="1553"/>
      <c r="N109" s="1553"/>
    </row>
    <row r="110" spans="1:14" ht="17.649999999999999">
      <c r="A110" s="1554" t="s">
        <v>1195</v>
      </c>
      <c r="B110" s="1553"/>
      <c r="C110" s="1553"/>
      <c r="D110" s="1553"/>
      <c r="E110" s="1553"/>
      <c r="F110" s="1553"/>
      <c r="G110" s="1553"/>
      <c r="H110" s="1553"/>
      <c r="I110" s="1553"/>
      <c r="J110" s="1553"/>
      <c r="K110" s="1553"/>
      <c r="L110" s="1553"/>
      <c r="M110" s="1553"/>
      <c r="N110" s="1553"/>
    </row>
    <row r="111" spans="1:14">
      <c r="A111" s="1553"/>
      <c r="B111" s="1553"/>
      <c r="C111" s="1553"/>
      <c r="D111" s="1553"/>
      <c r="E111" s="1553"/>
      <c r="F111" s="1553"/>
      <c r="G111" s="1553"/>
      <c r="H111" s="1553"/>
      <c r="I111" s="1553"/>
      <c r="J111" s="1553"/>
      <c r="K111" s="1553"/>
      <c r="L111" s="1553"/>
      <c r="M111" s="1553"/>
      <c r="N111" s="1553"/>
    </row>
    <row r="133" spans="1:14">
      <c r="A133" s="1553"/>
      <c r="B133" s="1553"/>
      <c r="C133" s="1553"/>
      <c r="D133" s="1553"/>
      <c r="E133" s="1553"/>
      <c r="F133" s="1553"/>
      <c r="G133" s="1553"/>
      <c r="H133" s="1553"/>
      <c r="I133" s="1553"/>
      <c r="J133" s="1553"/>
      <c r="K133" s="1553"/>
      <c r="L133" s="1553"/>
      <c r="M133" s="1553"/>
      <c r="N133" s="1553"/>
    </row>
    <row r="134" spans="1:14" ht="17.649999999999999">
      <c r="A134" s="1554" t="s">
        <v>428</v>
      </c>
      <c r="B134" s="1553"/>
      <c r="C134" s="1553"/>
      <c r="D134" s="1553"/>
      <c r="E134" s="1553"/>
      <c r="F134" s="1553"/>
      <c r="G134" s="1553"/>
      <c r="H134" s="1553"/>
      <c r="I134" s="1553"/>
      <c r="J134" s="1553"/>
      <c r="K134" s="1553"/>
      <c r="L134" s="1553"/>
      <c r="M134" s="1553"/>
      <c r="N134" s="1553"/>
    </row>
    <row r="135" spans="1:14">
      <c r="A135" s="1553"/>
      <c r="B135" s="1553"/>
      <c r="C135" s="1553"/>
      <c r="D135" s="1553"/>
      <c r="E135" s="1553"/>
      <c r="F135" s="1553"/>
      <c r="G135" s="1553"/>
      <c r="H135" s="1553"/>
      <c r="I135" s="1553"/>
      <c r="J135" s="1553"/>
      <c r="K135" s="1553"/>
      <c r="L135" s="1553"/>
      <c r="M135" s="1553"/>
      <c r="N135" s="1553"/>
    </row>
    <row r="220" spans="1:14">
      <c r="A220" s="1553"/>
      <c r="B220" s="1553"/>
      <c r="C220" s="1553"/>
      <c r="D220" s="1553"/>
      <c r="E220" s="1553"/>
      <c r="F220" s="1553"/>
      <c r="G220" s="1553"/>
      <c r="H220" s="1553"/>
      <c r="I220" s="1553"/>
      <c r="J220" s="1553"/>
      <c r="K220" s="1553"/>
      <c r="L220" s="1553"/>
      <c r="M220" s="1553"/>
      <c r="N220" s="1553"/>
    </row>
    <row r="221" spans="1:14" ht="17.649999999999999">
      <c r="A221" s="1554" t="s">
        <v>620</v>
      </c>
      <c r="B221" s="1553"/>
      <c r="C221" s="1553"/>
      <c r="D221" s="1553"/>
      <c r="E221" s="1553"/>
      <c r="F221" s="1553"/>
      <c r="G221" s="1553"/>
      <c r="H221" s="1553"/>
      <c r="I221" s="1553"/>
      <c r="J221" s="1553"/>
      <c r="K221" s="1553"/>
      <c r="L221" s="1553"/>
      <c r="M221" s="1553"/>
      <c r="N221" s="1553"/>
    </row>
    <row r="222" spans="1:14">
      <c r="A222" s="1553"/>
      <c r="B222" s="1553"/>
      <c r="C222" s="1553"/>
      <c r="D222" s="1553"/>
      <c r="E222" s="1553"/>
      <c r="F222" s="1553"/>
      <c r="G222" s="1553"/>
      <c r="H222" s="1553"/>
      <c r="I222" s="1553"/>
      <c r="J222" s="1553"/>
      <c r="K222" s="1553"/>
      <c r="L222" s="1553"/>
      <c r="M222" s="1553"/>
      <c r="N222" s="1553"/>
    </row>
  </sheetData>
  <phoneticPr fontId="67" type="noConversion"/>
  <pageMargins left="0.75" right="0.75" top="1" bottom="1" header="0.5" footer="0.5"/>
  <pageSetup paperSize="9" scale="55" fitToHeight="0"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tabColor indexed="43"/>
    <pageSetUpPr fitToPage="1"/>
  </sheetPr>
  <dimension ref="A1:BD807"/>
  <sheetViews>
    <sheetView showGridLines="0" zoomScale="80" zoomScaleNormal="80" workbookViewId="0">
      <pane xSplit="6" ySplit="3" topLeftCell="Y298" activePane="bottomRight" state="frozen"/>
      <selection pane="topRight" activeCell="G1" sqref="G1"/>
      <selection pane="bottomLeft" activeCell="A4" sqref="A4"/>
      <selection pane="bottomRight" activeCell="AF307" sqref="AF307"/>
    </sheetView>
  </sheetViews>
  <sheetFormatPr defaultColWidth="9.1328125" defaultRowHeight="13.15" outlineLevelRow="1"/>
  <cols>
    <col min="1" max="1" width="1.3984375" style="700" customWidth="1"/>
    <col min="2" max="2" width="5.73046875" style="700" customWidth="1"/>
    <col min="3" max="3" width="4" style="731" customWidth="1"/>
    <col min="4" max="4" width="4" style="707" customWidth="1"/>
    <col min="5" max="5" width="50.73046875" style="736" customWidth="1"/>
    <col min="6" max="6" width="9" style="731" customWidth="1"/>
    <col min="7" max="7" width="9.265625" style="736" customWidth="1"/>
    <col min="8" max="8" width="9.59765625" style="736" customWidth="1"/>
    <col min="9" max="9" width="9.59765625" style="736" bestFit="1" customWidth="1"/>
    <col min="10" max="13" width="9.1328125" style="736"/>
    <col min="14" max="14" width="9.265625" style="736" customWidth="1"/>
    <col min="15" max="16" width="10" style="736" customWidth="1"/>
    <col min="17" max="17" width="10" style="880" customWidth="1"/>
    <col min="18" max="18" width="9.86328125" style="2284" customWidth="1"/>
    <col min="19" max="21" width="9.59765625" style="2284" bestFit="1" customWidth="1"/>
    <col min="22" max="22" width="10.3984375" style="2284" customWidth="1"/>
    <col min="23" max="25" width="9.59765625" style="2284" bestFit="1" customWidth="1"/>
    <col min="26" max="26" width="9.59765625" style="2284" customWidth="1"/>
    <col min="27" max="28" width="8.73046875" style="2284" bestFit="1" customWidth="1"/>
    <col min="29" max="29" width="9.59765625" style="2284" bestFit="1" customWidth="1"/>
    <col min="30" max="30" width="8.86328125" style="2284" customWidth="1"/>
    <col min="31" max="31" width="9" style="2284" customWidth="1"/>
    <col min="32" max="32" width="10.59765625" style="2284" customWidth="1"/>
    <col min="33" max="33" width="10.265625" style="2939" customWidth="1"/>
    <col min="34" max="34" width="11.73046875" style="2939" bestFit="1" customWidth="1"/>
    <col min="35" max="36" width="9.59765625" style="2939" bestFit="1" customWidth="1"/>
    <col min="37" max="37" width="11.73046875" style="2939" bestFit="1" customWidth="1"/>
    <col min="38" max="38" width="11.86328125" style="2939" customWidth="1"/>
    <col min="39" max="39" width="11.73046875" style="2939" bestFit="1" customWidth="1"/>
    <col min="40" max="41" width="10.265625" style="2939" bestFit="1" customWidth="1"/>
    <col min="42" max="46" width="9.1328125" style="2939"/>
    <col min="47" max="53" width="9.1328125" style="736"/>
    <col min="54" max="54" width="8.1328125" style="3469" bestFit="1" customWidth="1"/>
    <col min="55" max="16384" width="9.1328125" style="736"/>
  </cols>
  <sheetData>
    <row r="1" spans="1:55">
      <c r="R1" s="880"/>
      <c r="S1" s="880"/>
      <c r="T1" s="880"/>
      <c r="U1" s="880"/>
      <c r="V1" s="880"/>
      <c r="W1" s="880"/>
      <c r="X1" s="880"/>
      <c r="Y1" s="880"/>
      <c r="Z1" s="880"/>
      <c r="AA1" s="880"/>
      <c r="AB1" s="880"/>
      <c r="AC1" s="880"/>
      <c r="AD1" s="880"/>
      <c r="AE1" s="880"/>
      <c r="AF1" s="880"/>
      <c r="BB1" s="3467"/>
      <c r="BC1" s="736" t="str">
        <f>IF(ABS(BB1-AB1)&gt;0.99,AB1-BB1,"")</f>
        <v/>
      </c>
    </row>
    <row r="2" spans="1:55" ht="22.5" customHeight="1">
      <c r="A2" s="590"/>
      <c r="B2" s="590"/>
      <c r="C2" s="3816" t="s">
        <v>91</v>
      </c>
      <c r="D2" s="3816"/>
      <c r="E2" s="3816"/>
      <c r="F2" s="2375">
        <v>5</v>
      </c>
      <c r="G2" s="2037" t="str">
        <f t="shared" ref="G2:AA2" si="0">IF(G14+G51+G89+G115+G142+G204+G260+G301+G328+G426+G489+G521+G543+G565+G567+G632+G665+G774+G785+G793&lt;$F$2,"ok","Not ok")</f>
        <v>Not ok</v>
      </c>
      <c r="H2" s="2037" t="str">
        <f t="shared" si="0"/>
        <v>Not ok</v>
      </c>
      <c r="I2" s="2037" t="str">
        <f t="shared" si="0"/>
        <v>Not ok</v>
      </c>
      <c r="J2" s="2037" t="str">
        <f t="shared" si="0"/>
        <v>Not ok</v>
      </c>
      <c r="K2" s="2037" t="str">
        <f t="shared" si="0"/>
        <v>Not ok</v>
      </c>
      <c r="L2" s="2037" t="str">
        <f t="shared" si="0"/>
        <v>Not ok</v>
      </c>
      <c r="M2" s="2037" t="str">
        <f t="shared" si="0"/>
        <v>Not ok</v>
      </c>
      <c r="N2" s="2037" t="str">
        <f t="shared" si="0"/>
        <v>Not ok</v>
      </c>
      <c r="O2" s="2037" t="str">
        <f t="shared" si="0"/>
        <v>Not ok</v>
      </c>
      <c r="P2" s="2037" t="str">
        <f t="shared" si="0"/>
        <v>Not ok</v>
      </c>
      <c r="Q2" s="2037" t="str">
        <f t="shared" si="0"/>
        <v>Not ok</v>
      </c>
      <c r="R2" s="2037" t="str">
        <f t="shared" si="0"/>
        <v>Not ok</v>
      </c>
      <c r="S2" s="2037" t="str">
        <f t="shared" si="0"/>
        <v>Not ok</v>
      </c>
      <c r="T2" s="2037" t="str">
        <f t="shared" si="0"/>
        <v>Not ok</v>
      </c>
      <c r="U2" s="2037" t="str">
        <f t="shared" si="0"/>
        <v>Not ok</v>
      </c>
      <c r="V2" s="2037" t="str">
        <f t="shared" si="0"/>
        <v>Not ok</v>
      </c>
      <c r="W2" s="2037" t="str">
        <f t="shared" si="0"/>
        <v>Not ok</v>
      </c>
      <c r="X2" s="2037" t="str">
        <f t="shared" si="0"/>
        <v>Not ok</v>
      </c>
      <c r="Y2" s="2037" t="str">
        <f t="shared" si="0"/>
        <v>Not ok</v>
      </c>
      <c r="Z2" s="2037" t="str">
        <f t="shared" si="0"/>
        <v>Not ok</v>
      </c>
      <c r="AA2" s="2037" t="str">
        <f t="shared" si="0"/>
        <v>Not ok</v>
      </c>
      <c r="AB2" s="2037" t="str">
        <f t="shared" ref="AB2" si="1">IF(AB14+AB51+AB89+AB115+AB142+AB204+AB260+AB301+AB328+AB426+AB489+AB521+AB543+AB565+AB567+AB632+AB665+AB774+AB785+AB793&lt;$F$2,"ok","Not ok")</f>
        <v>ok</v>
      </c>
      <c r="AC2" s="2037" t="str">
        <f>IF(AC14+AC51+AC89+AC115+AC142+AC204+AC260+AC301+AC328+AC426+AC489+AC521+AC543+AC565+AC567+AC632+AC665+AC774+AC785+AC793&lt;$F$2,"ok","Not ok")</f>
        <v>ok</v>
      </c>
      <c r="AD2" s="2037" t="str">
        <f ca="1">IF(AD14+AD51+AD89+AD115+AD142+AD204+AD260+AD301+AD328+AD426+AD489+AD521+AD543+AD565+AD567+AD632+AD665+AD774+AD785+AD793&lt;$F$2,"ok","Not ok")</f>
        <v>ok</v>
      </c>
      <c r="AE2" s="2037" t="str">
        <f ca="1">IF(AE14+AE51+AE89+AE115+AE142+AE204+AE260+AE301+AE328+AE426+AE489+AE521+AE543+AE565+AE567+AE632+AE665+AE774+AE785+AE793&lt;$F$2,"ok","Not ok")</f>
        <v>ok</v>
      </c>
      <c r="AF2" s="2037" t="str">
        <f ca="1">IF(AF14+AF51+AF89+AF115+AF142+AF204+AF260+AF301+AF328+AF426+AF489+AF521+AF543+AF565+AF567+AF632+AF665+AF774+AF785+AF793&lt;$F$2,"ok","Not ok")</f>
        <v>ok</v>
      </c>
      <c r="BB2" s="3468" t="s">
        <v>2491</v>
      </c>
      <c r="BC2" s="736" t="e">
        <f>IF(ABS(BB2-AB2)&gt;0.99,AB2-BB2,"")</f>
        <v>#VALUE!</v>
      </c>
    </row>
    <row r="3" spans="1:55">
      <c r="BC3" s="736" t="str">
        <f t="shared" ref="BC3:BC65" si="2">IF(ABS(BB3-AB3)&gt;0.99,AB3-BB3,"")</f>
        <v/>
      </c>
    </row>
    <row r="4" spans="1:55">
      <c r="BC4" s="736" t="str">
        <f t="shared" si="2"/>
        <v/>
      </c>
    </row>
    <row r="5" spans="1:55" ht="22.5" customHeight="1">
      <c r="A5" s="590"/>
      <c r="B5" s="590"/>
      <c r="C5" s="3816" t="s">
        <v>1167</v>
      </c>
      <c r="D5" s="3816"/>
      <c r="E5" s="3816"/>
      <c r="F5" s="3816"/>
      <c r="BC5" s="736" t="str">
        <f t="shared" si="2"/>
        <v/>
      </c>
    </row>
    <row r="6" spans="1:55" ht="12.75" customHeight="1">
      <c r="A6" s="701"/>
      <c r="B6" s="701"/>
      <c r="C6" s="811"/>
      <c r="L6" s="3616">
        <f>L13/'VVP2'!L341</f>
        <v>0.22628549948691612</v>
      </c>
      <c r="M6" s="3616">
        <f>M13/'VVP2'!M341</f>
        <v>0.22730906283693728</v>
      </c>
      <c r="N6" s="3616">
        <f>N13/'VVP2'!N341</f>
        <v>0.22954134079058761</v>
      </c>
      <c r="O6" s="3616">
        <f>O13/'VVP2'!O341</f>
        <v>0.22786841401444238</v>
      </c>
      <c r="P6" s="3616">
        <f>P13/'VVP2'!P341</f>
        <v>0.22318093236618822</v>
      </c>
      <c r="Q6" s="3616">
        <f>Q13/'VVP2'!Q341</f>
        <v>0.22496472477421967</v>
      </c>
      <c r="R6" s="3616">
        <f>R13/'VVP2'!R341</f>
        <v>0.22023092437429784</v>
      </c>
      <c r="S6" s="3616">
        <f>S13/'VVP2'!S341</f>
        <v>0.21954914642092974</v>
      </c>
      <c r="T6" s="3616">
        <f>T13/'VVP2'!T341</f>
        <v>0.22316131735266378</v>
      </c>
      <c r="U6" s="3616">
        <f>U13/'VVP2'!U341</f>
        <v>0.22614610105865446</v>
      </c>
      <c r="V6" s="3616">
        <f>V13/'VVP2'!V341</f>
        <v>0.22184195351413691</v>
      </c>
      <c r="W6" s="3616"/>
      <c r="X6" s="3616"/>
      <c r="Y6" s="3616"/>
      <c r="Z6" s="3616"/>
      <c r="AA6" s="3616"/>
      <c r="AB6" s="3616">
        <f>'VVP2'!AB341/'VVP2'!AA341-1</f>
        <v>4.3782486576955382E-2</v>
      </c>
      <c r="AC6" s="3616">
        <f>'VVP2'!AC341/'VVP2'!AB341-1</f>
        <v>4.4100360802891814E-2</v>
      </c>
      <c r="AD6" s="3616">
        <f ca="1">'VVP2'!AD341/'VVP2'!AC341-1</f>
        <v>4.8980364670283993E-2</v>
      </c>
      <c r="AE6" s="3616">
        <f ca="1">'VVP2'!AE341/'VVP2'!AD341-1</f>
        <v>3.7812749119215061E-2</v>
      </c>
      <c r="AF6" s="3616">
        <f ca="1">'VVP2'!AF341/'VVP2'!AE341-1</f>
        <v>3.5451641625984909E-2</v>
      </c>
      <c r="AH6" s="3703" t="s">
        <v>2601</v>
      </c>
      <c r="AI6" s="3704">
        <f ca="1">AD599</f>
        <v>1.0521553483443902E-2</v>
      </c>
      <c r="AJ6" s="3704">
        <f ca="1">AE599</f>
        <v>9.4511676569394038E-3</v>
      </c>
      <c r="AK6" s="3704">
        <f ca="1">AF599</f>
        <v>8.3901290941847811E-3</v>
      </c>
      <c r="BC6" s="736" t="e">
        <f>IF(ABS(BB6-#REF!)&gt;0.99,#REF!-BB6,"")</f>
        <v>#REF!</v>
      </c>
    </row>
    <row r="7" spans="1:55" ht="12.75" customHeight="1">
      <c r="A7" s="701"/>
      <c r="B7" s="701"/>
      <c r="C7" s="811"/>
      <c r="D7" s="812"/>
      <c r="E7" s="813" t="s">
        <v>1882</v>
      </c>
      <c r="F7" s="814"/>
      <c r="G7" s="815">
        <f>+InputY!$G$3</f>
        <v>1995</v>
      </c>
      <c r="H7" s="815">
        <f t="shared" ref="H7:R7" si="3">+G7+1</f>
        <v>1996</v>
      </c>
      <c r="I7" s="815">
        <f t="shared" si="3"/>
        <v>1997</v>
      </c>
      <c r="J7" s="815">
        <f t="shared" si="3"/>
        <v>1998</v>
      </c>
      <c r="K7" s="815">
        <f t="shared" si="3"/>
        <v>1999</v>
      </c>
      <c r="L7" s="815">
        <f t="shared" si="3"/>
        <v>2000</v>
      </c>
      <c r="M7" s="815">
        <f t="shared" si="3"/>
        <v>2001</v>
      </c>
      <c r="N7" s="815">
        <f t="shared" si="3"/>
        <v>2002</v>
      </c>
      <c r="O7" s="815">
        <f t="shared" si="3"/>
        <v>2003</v>
      </c>
      <c r="P7" s="815">
        <f>+O7+1</f>
        <v>2004</v>
      </c>
      <c r="Q7" s="815">
        <f t="shared" si="3"/>
        <v>2005</v>
      </c>
      <c r="R7" s="2285">
        <f t="shared" si="3"/>
        <v>2006</v>
      </c>
      <c r="S7" s="2285">
        <f t="shared" ref="S7:Y7" si="4">+R7+1</f>
        <v>2007</v>
      </c>
      <c r="T7" s="2285">
        <f t="shared" si="4"/>
        <v>2008</v>
      </c>
      <c r="U7" s="2285">
        <f t="shared" si="4"/>
        <v>2009</v>
      </c>
      <c r="V7" s="2285">
        <f>+U7+1</f>
        <v>2010</v>
      </c>
      <c r="W7" s="2285">
        <f>+V7+1</f>
        <v>2011</v>
      </c>
      <c r="X7" s="2285">
        <f t="shared" si="4"/>
        <v>2012</v>
      </c>
      <c r="Y7" s="2285">
        <f t="shared" si="4"/>
        <v>2013</v>
      </c>
      <c r="Z7" s="2285">
        <f t="shared" ref="Z7:AF7" si="5">+Y7+1</f>
        <v>2014</v>
      </c>
      <c r="AA7" s="2285">
        <f t="shared" si="5"/>
        <v>2015</v>
      </c>
      <c r="AB7" s="2285">
        <f t="shared" si="5"/>
        <v>2016</v>
      </c>
      <c r="AC7" s="2285">
        <f t="shared" si="5"/>
        <v>2017</v>
      </c>
      <c r="AD7" s="2285">
        <f t="shared" si="5"/>
        <v>2018</v>
      </c>
      <c r="AE7" s="2285">
        <f t="shared" si="5"/>
        <v>2019</v>
      </c>
      <c r="AF7" s="2285">
        <f t="shared" si="5"/>
        <v>2020</v>
      </c>
      <c r="AH7" s="3618">
        <v>2017</v>
      </c>
      <c r="AI7" s="3624">
        <v>2018</v>
      </c>
      <c r="AJ7" s="3624">
        <v>2019</v>
      </c>
      <c r="AK7" s="3624">
        <v>2020</v>
      </c>
      <c r="BB7" s="3470">
        <v>2016</v>
      </c>
      <c r="BC7" s="736" t="str">
        <f t="shared" si="2"/>
        <v/>
      </c>
    </row>
    <row r="8" spans="1:55" ht="12.75" customHeight="1">
      <c r="A8" s="701">
        <f>+ROW(InputY!A103)</f>
        <v>103</v>
      </c>
      <c r="B8" s="701">
        <v>50</v>
      </c>
      <c r="C8" s="816" t="s">
        <v>1791</v>
      </c>
      <c r="D8" s="705" t="s">
        <v>663</v>
      </c>
      <c r="E8" s="737" t="s">
        <v>1790</v>
      </c>
      <c r="F8" s="738" t="str">
        <f>+InputY!B103</f>
        <v>YATaxProd</v>
      </c>
      <c r="G8" s="817">
        <f>+InputY!G103/1000</f>
        <v>246.97300000000001</v>
      </c>
      <c r="H8" s="817">
        <f>+InputY!H103/1000</f>
        <v>245.548</v>
      </c>
      <c r="I8" s="817">
        <f>+InputY!I103/1000</f>
        <v>250.83</v>
      </c>
      <c r="J8" s="817">
        <f>+InputY!J103/1000</f>
        <v>265.70999999999998</v>
      </c>
      <c r="K8" s="817">
        <f>+InputY!K103/1000</f>
        <v>279.92</v>
      </c>
      <c r="L8" s="817">
        <f>+InputY!L103/1000</f>
        <v>289.39800000000002</v>
      </c>
      <c r="M8" s="817">
        <f>+InputY!M103/1000</f>
        <v>304.61599999999999</v>
      </c>
      <c r="N8" s="817">
        <f>+InputY!N103/1000</f>
        <v>319.82799999999997</v>
      </c>
      <c r="O8" s="817">
        <f>+InputY!O103/1000</f>
        <v>333.041</v>
      </c>
      <c r="P8" s="817">
        <f>+InputY!P103/1000</f>
        <v>344.54300000000001</v>
      </c>
      <c r="Q8" s="817">
        <f>+InputY!Q103/1000</f>
        <v>362.31200000000001</v>
      </c>
      <c r="R8" s="817">
        <f>+InputY!R103/1000</f>
        <v>382.39800000000002</v>
      </c>
      <c r="S8" s="817">
        <f>+InputY!S103/1000</f>
        <v>404.447</v>
      </c>
      <c r="T8" s="817">
        <f>+InputY!T103/1000</f>
        <v>412.38499999999999</v>
      </c>
      <c r="U8" s="817">
        <f>+InputY!U103/1000</f>
        <v>418.18099999999998</v>
      </c>
      <c r="V8" s="817">
        <f>+InputY!V103/1000</f>
        <v>442.72</v>
      </c>
      <c r="W8" s="817">
        <f>+InputY!W103/1000</f>
        <v>452.01</v>
      </c>
      <c r="X8" s="817">
        <f>+InputY!X103/1000</f>
        <v>449.36500000000001</v>
      </c>
      <c r="Y8" s="817">
        <f>+InputY!Y103/1000</f>
        <v>455.19499999999999</v>
      </c>
      <c r="Z8" s="817">
        <f>+InputY!Z103/1000</f>
        <v>470.57299999999998</v>
      </c>
      <c r="AA8" s="817">
        <f>+InputY!AA103/1000</f>
        <v>502.49</v>
      </c>
      <c r="AB8" s="817">
        <f>+InputY!AB103/1000</f>
        <v>532.404</v>
      </c>
      <c r="AC8" s="817">
        <f>+InputY!AC103/1000</f>
        <v>554.44600000000003</v>
      </c>
      <c r="AD8" s="2296">
        <f t="shared" ref="AD8:AF12" ca="1" si="6">+AC8*(1+AD17/100)</f>
        <v>581.83099683663374</v>
      </c>
      <c r="AE8" s="2296">
        <f t="shared" ca="1" si="6"/>
        <v>607.37640427372526</v>
      </c>
      <c r="AF8" s="2296">
        <f t="shared" ca="1" si="6"/>
        <v>628.8625714624518</v>
      </c>
      <c r="AH8" s="3632">
        <f>'VVP2'!AC185+Sector1!AC417+'VVP2'!AC228+'VVP2'!AC229</f>
        <v>2763.8290000000002</v>
      </c>
      <c r="AI8" s="3633">
        <f ca="1">'VVP2'!AD185+Sector1!AD417+'VVP2'!AD228+'VVP2'!AD229</f>
        <v>2891.3634820826373</v>
      </c>
      <c r="AJ8" s="3633">
        <f ca="1">'VVP2'!AE185+Sector1!AE417+'VVP2'!AE228+'VVP2'!AE229</f>
        <v>3007.9543397299335</v>
      </c>
      <c r="AK8" s="3633">
        <f ca="1">'VVP2'!AF185+Sector1!AF417+'VVP2'!AF228+'VVP2'!AF229</f>
        <v>3120.1912244906789</v>
      </c>
      <c r="AL8" s="3617" t="s">
        <v>2567</v>
      </c>
      <c r="AM8" s="2032"/>
      <c r="BB8" s="3471">
        <v>534.04600000000005</v>
      </c>
      <c r="BC8" s="736">
        <f t="shared" si="2"/>
        <v>-1.6420000000000528</v>
      </c>
    </row>
    <row r="9" spans="1:55" ht="12.75" customHeight="1">
      <c r="A9" s="701">
        <f>+ROW(InputY!A181)</f>
        <v>181</v>
      </c>
      <c r="B9" s="701"/>
      <c r="C9" s="819" t="s">
        <v>1791</v>
      </c>
      <c r="D9" s="711" t="s">
        <v>664</v>
      </c>
      <c r="E9" s="820" t="s">
        <v>1767</v>
      </c>
      <c r="F9" s="741" t="str">
        <f>+InputY!B181</f>
        <v>$HTaxOth</v>
      </c>
      <c r="G9" s="743">
        <f>+InputY!G181/1000</f>
        <v>17.228999999999999</v>
      </c>
      <c r="H9" s="743">
        <f>+InputY!H181/1000</f>
        <v>21.800999999999998</v>
      </c>
      <c r="I9" s="743">
        <f>+InputY!I181/1000</f>
        <v>20.966999999999999</v>
      </c>
      <c r="J9" s="743">
        <f>+InputY!J181/1000</f>
        <v>22.07</v>
      </c>
      <c r="K9" s="743">
        <f>+InputY!K181/1000</f>
        <v>21.638000000000002</v>
      </c>
      <c r="L9" s="743">
        <f>+InputY!L181/1000</f>
        <v>24.341999999999999</v>
      </c>
      <c r="M9" s="743">
        <f>+InputY!M181/1000</f>
        <v>24.82</v>
      </c>
      <c r="N9" s="743">
        <f>+InputY!N181/1000</f>
        <v>26.602</v>
      </c>
      <c r="O9" s="743">
        <f>+InputY!O181/1000</f>
        <v>27.922000000000001</v>
      </c>
      <c r="P9" s="743">
        <f>+InputY!P181/1000</f>
        <v>27.984999999999999</v>
      </c>
      <c r="Q9" s="743">
        <f>+InputY!Q181/1000</f>
        <v>29.099</v>
      </c>
      <c r="R9" s="743">
        <f>+InputY!R181/1000</f>
        <v>29.484999999999999</v>
      </c>
      <c r="S9" s="743">
        <f>+InputY!S181/1000</f>
        <v>31.081</v>
      </c>
      <c r="T9" s="743">
        <f>+InputY!T181/1000</f>
        <v>28.869</v>
      </c>
      <c r="U9" s="743">
        <f>+InputY!U181/1000</f>
        <v>29.201000000000001</v>
      </c>
      <c r="V9" s="743">
        <f>+InputY!V181/1000</f>
        <v>28.757000000000001</v>
      </c>
      <c r="W9" s="743">
        <f>+InputY!W181/1000</f>
        <v>29.306999999999999</v>
      </c>
      <c r="X9" s="743">
        <f>+InputY!X181/1000</f>
        <v>30.375</v>
      </c>
      <c r="Y9" s="743">
        <f>+InputY!Y181/1000</f>
        <v>30.771999999999998</v>
      </c>
      <c r="Z9" s="743">
        <f>+InputY!Z181/1000</f>
        <v>30.658999999999999</v>
      </c>
      <c r="AA9" s="743">
        <f>+InputY!AA181/1000</f>
        <v>31.413</v>
      </c>
      <c r="AB9" s="743">
        <f>+InputY!AB181/1000</f>
        <v>32.256</v>
      </c>
      <c r="AC9" s="743">
        <f>+InputY!AC181/1000</f>
        <v>31.292000000000002</v>
      </c>
      <c r="AD9" s="2279">
        <f t="shared" ca="1" si="6"/>
        <v>32.364885499883769</v>
      </c>
      <c r="AE9" s="2279">
        <f t="shared" ca="1" si="6"/>
        <v>32.976788147723383</v>
      </c>
      <c r="AF9" s="2279">
        <f t="shared" ca="1" si="6"/>
        <v>34.028961295573588</v>
      </c>
      <c r="AI9" s="3630">
        <f ca="1">AI8/AH8</f>
        <v>1.0461441290624844</v>
      </c>
      <c r="AJ9" s="3630">
        <f ca="1">AJ8/AI8</f>
        <v>1.0403238328109878</v>
      </c>
      <c r="AK9" s="3630">
        <f ca="1">AK8/AJ8</f>
        <v>1.0373133605381863</v>
      </c>
      <c r="AL9" s="3631" t="s">
        <v>2568</v>
      </c>
      <c r="BB9" s="3472">
        <v>32.35</v>
      </c>
      <c r="BC9" s="736" t="str">
        <f t="shared" si="2"/>
        <v/>
      </c>
    </row>
    <row r="10" spans="1:55" ht="12.75" customHeight="1">
      <c r="A10" s="701">
        <f>+ROW(InputY!A114)</f>
        <v>114</v>
      </c>
      <c r="B10" s="701">
        <v>102</v>
      </c>
      <c r="C10" s="819" t="s">
        <v>1791</v>
      </c>
      <c r="D10" s="711" t="s">
        <v>665</v>
      </c>
      <c r="E10" s="820" t="s">
        <v>1767</v>
      </c>
      <c r="F10" s="741" t="str">
        <f>+InputY!B114</f>
        <v>$ETaxProd</v>
      </c>
      <c r="G10" s="743">
        <f>+InputY!G114/1000</f>
        <v>99.165999999999997</v>
      </c>
      <c r="H10" s="743">
        <f>+InputY!H114/1000</f>
        <v>119.44499999999999</v>
      </c>
      <c r="I10" s="743">
        <f>+InputY!I114/1000</f>
        <v>122.917</v>
      </c>
      <c r="J10" s="743">
        <f>+InputY!J114/1000</f>
        <v>163.887</v>
      </c>
      <c r="K10" s="743">
        <f>+InputY!K114/1000</f>
        <v>173.87700000000001</v>
      </c>
      <c r="L10" s="743">
        <f>+InputY!L114/1000</f>
        <v>171.14699999999999</v>
      </c>
      <c r="M10" s="743">
        <f>+InputY!M114/1000</f>
        <v>180.20400000000001</v>
      </c>
      <c r="N10" s="743">
        <f>+InputY!N114/1000</f>
        <v>185.69399999999999</v>
      </c>
      <c r="O10" s="743">
        <f>+InputY!O114/1000</f>
        <v>187.74299999999999</v>
      </c>
      <c r="P10" s="743">
        <f>+InputY!P114/1000</f>
        <v>191.06299999999999</v>
      </c>
      <c r="Q10" s="743">
        <f>+InputY!Q114/1000</f>
        <v>198.84899999999999</v>
      </c>
      <c r="R10" s="743">
        <f>+InputY!R114/1000</f>
        <v>207.423</v>
      </c>
      <c r="S10" s="743">
        <f>+InputY!S114/1000</f>
        <v>221.44300000000001</v>
      </c>
      <c r="T10" s="743">
        <f>+InputY!T114/1000</f>
        <v>236.154</v>
      </c>
      <c r="U10" s="743">
        <f>+InputY!U114/1000</f>
        <v>220.39500000000001</v>
      </c>
      <c r="V10" s="743">
        <f>+InputY!V114/1000</f>
        <v>230.61799999999999</v>
      </c>
      <c r="W10" s="743">
        <f>+InputY!W114/1000</f>
        <v>241.35</v>
      </c>
      <c r="X10" s="743">
        <f>+InputY!X114/1000</f>
        <v>252.904</v>
      </c>
      <c r="Y10" s="743">
        <f>+InputY!Y114/1000</f>
        <v>260.03699999999998</v>
      </c>
      <c r="Z10" s="743">
        <f>+InputY!Z114/1000</f>
        <v>267.209</v>
      </c>
      <c r="AA10" s="743">
        <f>+InputY!AA114/1000</f>
        <v>284.47300000000001</v>
      </c>
      <c r="AB10" s="743">
        <f>+InputY!AB114/1000</f>
        <v>315.46600000000001</v>
      </c>
      <c r="AC10" s="743">
        <f>+InputY!AC114/1000</f>
        <v>331.97500000000002</v>
      </c>
      <c r="AD10" s="2279">
        <f t="shared" ca="1" si="6"/>
        <v>343.35717959299228</v>
      </c>
      <c r="AE10" s="2279">
        <f t="shared" ca="1" si="6"/>
        <v>349.84881903810788</v>
      </c>
      <c r="AF10" s="2279">
        <f t="shared" ca="1" si="6"/>
        <v>361.01126249833959</v>
      </c>
      <c r="AI10" s="3625">
        <f ca="1">0.75*(AC8*AI9)+0.25*(AC8*(1+'VVP1'!DR35/100))+InputDFM!G12</f>
        <v>581.83099683663374</v>
      </c>
      <c r="AJ10" s="3625">
        <f ca="1">0.75*(AD8*AJ9)+0.25*(AD8*(1+'VVP1'!DW35/100))+InputDFM!H12</f>
        <v>607.37640427372526</v>
      </c>
      <c r="AK10" s="3625">
        <f ca="1">0.75*(AE8*AK9)+0.25*(AE8*(1+'VVP1'!EB35/100))+InputDFM!I12</f>
        <v>628.8625714624518</v>
      </c>
      <c r="AL10" s="3634" t="s">
        <v>2569</v>
      </c>
      <c r="AM10" s="2949"/>
      <c r="BB10" s="3472">
        <v>315.964</v>
      </c>
      <c r="BC10" s="736" t="str">
        <f t="shared" si="2"/>
        <v/>
      </c>
    </row>
    <row r="11" spans="1:55" ht="12.75" customHeight="1">
      <c r="A11" s="701">
        <f>+ROW(InputY!A148)</f>
        <v>148</v>
      </c>
      <c r="B11" s="701" t="s">
        <v>963</v>
      </c>
      <c r="C11" s="819" t="s">
        <v>1791</v>
      </c>
      <c r="D11" s="711" t="s">
        <v>666</v>
      </c>
      <c r="E11" s="820" t="s">
        <v>1767</v>
      </c>
      <c r="F11" s="741" t="s">
        <v>364</v>
      </c>
      <c r="G11" s="743">
        <f>+InputY!G148/1000</f>
        <v>49.619</v>
      </c>
      <c r="H11" s="743">
        <f>+InputY!H148/1000</f>
        <v>53.353999999999999</v>
      </c>
      <c r="I11" s="743">
        <f>+InputY!I148/1000</f>
        <v>54.43</v>
      </c>
      <c r="J11" s="743">
        <f>+InputY!J148/1000</f>
        <v>71.531000000000006</v>
      </c>
      <c r="K11" s="743">
        <f>+InputY!K148/1000</f>
        <v>74.123999999999995</v>
      </c>
      <c r="L11" s="743">
        <f>+InputY!L148/1000</f>
        <v>66.454999999999998</v>
      </c>
      <c r="M11" s="743">
        <f>+InputY!M148/1000</f>
        <v>68.649000000000001</v>
      </c>
      <c r="N11" s="743">
        <f>+InputY!N148/1000</f>
        <v>72.352999999999994</v>
      </c>
      <c r="O11" s="743">
        <f>+InputY!O148/1000</f>
        <v>76.141999999999996</v>
      </c>
      <c r="P11" s="743">
        <f>+InputY!P148/1000</f>
        <v>78.478999999999999</v>
      </c>
      <c r="Q11" s="743">
        <f>+InputY!Q148/1000</f>
        <v>80.483999999999995</v>
      </c>
      <c r="R11" s="743">
        <f>+InputY!R148/1000</f>
        <v>82.683999999999997</v>
      </c>
      <c r="S11" s="743">
        <f>+InputY!S148/1000</f>
        <v>85.826999999999998</v>
      </c>
      <c r="T11" s="743">
        <f>+InputY!T148/1000</f>
        <v>88.692999999999998</v>
      </c>
      <c r="U11" s="743">
        <f>+InputY!U148/1000</f>
        <v>87.156999999999996</v>
      </c>
      <c r="V11" s="743">
        <f>+InputY!V148/1000</f>
        <v>88.272000000000006</v>
      </c>
      <c r="W11" s="743">
        <f>+InputY!W148/1000</f>
        <v>91.540999999999997</v>
      </c>
      <c r="X11" s="743">
        <f>+InputY!X148/1000</f>
        <v>94.082999999999998</v>
      </c>
      <c r="Y11" s="743">
        <f>+InputY!Y148/1000</f>
        <v>96.998000000000005</v>
      </c>
      <c r="Z11" s="743">
        <f>+InputY!Z148/1000</f>
        <v>100.304</v>
      </c>
      <c r="AA11" s="743">
        <f>+InputY!AA148/1000</f>
        <v>105.92</v>
      </c>
      <c r="AB11" s="743">
        <f>+InputY!AB148/1000</f>
        <v>113.646</v>
      </c>
      <c r="AC11" s="743">
        <f>+InputY!AC148/1000</f>
        <v>119.729</v>
      </c>
      <c r="AD11" s="2279">
        <f t="shared" si="6"/>
        <v>124.51816000000001</v>
      </c>
      <c r="AE11" s="2279">
        <f t="shared" si="6"/>
        <v>129.4988864</v>
      </c>
      <c r="AF11" s="2279">
        <f t="shared" si="6"/>
        <v>134.67884185600002</v>
      </c>
      <c r="AH11" s="3636"/>
      <c r="AI11" s="3637">
        <f ca="1">((AI10-AC8)/AC8)*100+AI12</f>
        <v>4.9391639287926541</v>
      </c>
      <c r="AJ11" s="3637">
        <f t="shared" ref="AJ11:AK11" ca="1" si="7">((AJ10-AD8)/AD8)*100+AJ12</f>
        <v>4.3905201984733964</v>
      </c>
      <c r="AK11" s="3637">
        <f t="shared" ca="1" si="7"/>
        <v>3.5375373553437228</v>
      </c>
      <c r="AL11" s="3634" t="s">
        <v>2570</v>
      </c>
      <c r="AM11" s="2949"/>
      <c r="BB11" s="3472">
        <v>114.117</v>
      </c>
      <c r="BC11" s="736" t="str">
        <f t="shared" si="2"/>
        <v/>
      </c>
    </row>
    <row r="12" spans="1:55" ht="12.75" customHeight="1">
      <c r="A12" s="2014">
        <f>+ROW(InputY!A233)</f>
        <v>233</v>
      </c>
      <c r="B12" s="701" t="s">
        <v>977</v>
      </c>
      <c r="C12" s="819" t="s">
        <v>301</v>
      </c>
      <c r="D12" s="711" t="s">
        <v>667</v>
      </c>
      <c r="E12" s="820" t="s">
        <v>978</v>
      </c>
      <c r="F12" s="741" t="str">
        <f>+InputY!B233</f>
        <v>TaxToRow</v>
      </c>
      <c r="G12" s="743">
        <f>+InputY!G233/1000</f>
        <v>4.5739999999999998</v>
      </c>
      <c r="H12" s="743">
        <f>+InputY!H233/1000</f>
        <v>3.3679999999999999</v>
      </c>
      <c r="I12" s="743">
        <f>+InputY!I233/1000</f>
        <v>3.8380000000000001</v>
      </c>
      <c r="J12" s="743">
        <f>+InputY!J233/1000</f>
        <v>3.6949999999999998</v>
      </c>
      <c r="K12" s="743">
        <f>+InputY!K233/1000</f>
        <v>3.5779999999999998</v>
      </c>
      <c r="L12" s="743">
        <f>+InputY!L233/1000</f>
        <v>3.7959999999999998</v>
      </c>
      <c r="M12" s="743">
        <f>+InputY!M233/1000</f>
        <v>3.6179999999999999</v>
      </c>
      <c r="N12" s="743">
        <f>+InputY!N233/1000</f>
        <v>3.3980000000000001</v>
      </c>
      <c r="O12" s="743">
        <f>+InputY!O233/1000</f>
        <v>3.4790000000000001</v>
      </c>
      <c r="P12" s="743">
        <f>+InputY!P233/1000</f>
        <v>3.863</v>
      </c>
      <c r="Q12" s="743">
        <f>+InputY!Q233/1000</f>
        <v>4.665</v>
      </c>
      <c r="R12" s="743">
        <f>+InputY!R233/1000</f>
        <v>5.16</v>
      </c>
      <c r="S12" s="743">
        <f>+InputY!S233/1000</f>
        <v>5.883</v>
      </c>
      <c r="T12" s="743">
        <f>+InputY!T233/1000</f>
        <v>5.8739999999999997</v>
      </c>
      <c r="U12" s="743">
        <f>+InputY!U233/1000</f>
        <v>5.1509999999999998</v>
      </c>
      <c r="V12" s="743">
        <f>+InputY!V233/1000</f>
        <v>5.6740000000000004</v>
      </c>
      <c r="W12" s="743">
        <f>+InputY!W233/1000</f>
        <v>5.66</v>
      </c>
      <c r="X12" s="743">
        <f>+InputY!X233/1000</f>
        <v>5.2549999999999999</v>
      </c>
      <c r="Y12" s="743">
        <f>+InputY!Y233/1000</f>
        <v>5.2220000000000004</v>
      </c>
      <c r="Z12" s="743">
        <f>+InputY!Z233/1000</f>
        <v>5.806</v>
      </c>
      <c r="AA12" s="743">
        <f>+InputY!AA233/1000</f>
        <v>6.2750000000000004</v>
      </c>
      <c r="AB12" s="743">
        <f>+InputY!AB233/1000</f>
        <v>6.0759999999999996</v>
      </c>
      <c r="AC12" s="743">
        <f>+InputY!AC233/1000</f>
        <v>6.258</v>
      </c>
      <c r="AD12" s="2279">
        <f t="shared" ca="1" si="6"/>
        <v>6.5185621047026192</v>
      </c>
      <c r="AE12" s="2279">
        <f t="shared" ca="1" si="6"/>
        <v>6.5476973625771908</v>
      </c>
      <c r="AF12" s="2279">
        <f t="shared" ca="1" si="6"/>
        <v>6.4818148674120462</v>
      </c>
      <c r="AH12" s="3684" t="s">
        <v>2599</v>
      </c>
      <c r="AI12" s="3683"/>
      <c r="AJ12" s="3683"/>
      <c r="AK12" s="3683"/>
      <c r="AL12" s="3634"/>
      <c r="AM12" s="2949"/>
      <c r="BB12" s="3472">
        <v>6.0759999999999996</v>
      </c>
      <c r="BC12" s="736" t="str">
        <f t="shared" si="2"/>
        <v/>
      </c>
    </row>
    <row r="13" spans="1:55" ht="12.75" customHeight="1">
      <c r="A13" s="701">
        <f>+ROW(InputY!A146)</f>
        <v>146</v>
      </c>
      <c r="B13" s="701">
        <v>113</v>
      </c>
      <c r="C13" s="821" t="s">
        <v>1793</v>
      </c>
      <c r="D13" s="789" t="s">
        <v>666</v>
      </c>
      <c r="E13" s="790" t="s">
        <v>1879</v>
      </c>
      <c r="F13" s="791" t="str">
        <f>+InputY!B146</f>
        <v>YATaxIndir</v>
      </c>
      <c r="G13" s="822">
        <f>+InputY!G146/1000</f>
        <v>404.96</v>
      </c>
      <c r="H13" s="822">
        <f>+InputY!H146/1000</f>
        <v>431.98200000000003</v>
      </c>
      <c r="I13" s="822">
        <f>+InputY!I146/1000</f>
        <v>443.03199999999998</v>
      </c>
      <c r="J13" s="822">
        <f>+InputY!J146/1000</f>
        <v>516.15</v>
      </c>
      <c r="K13" s="822">
        <f>+InputY!K146/1000</f>
        <v>539.94200000000001</v>
      </c>
      <c r="L13" s="822">
        <f>+InputY!L146/1000</f>
        <v>539.38</v>
      </c>
      <c r="M13" s="822">
        <f>+InputY!M146/1000</f>
        <v>564.16200000000003</v>
      </c>
      <c r="N13" s="822">
        <f>+InputY!N146/1000</f>
        <v>590.83000000000004</v>
      </c>
      <c r="O13" s="822">
        <f>+InputY!O146/1000</f>
        <v>610.88400000000001</v>
      </c>
      <c r="P13" s="822">
        <f>+InputY!P146/1000</f>
        <v>626.78200000000004</v>
      </c>
      <c r="Q13" s="822">
        <f>+InputY!Q146/1000</f>
        <v>654.80100000000004</v>
      </c>
      <c r="R13" s="822">
        <f>+InputY!R146/1000</f>
        <v>683.34</v>
      </c>
      <c r="S13" s="822">
        <f>+InputY!S146/1000</f>
        <v>724.72799999999995</v>
      </c>
      <c r="T13" s="822">
        <f>+InputY!T146/1000</f>
        <v>756.89200000000005</v>
      </c>
      <c r="U13" s="822">
        <f>+InputY!U146/1000</f>
        <v>744.47500000000002</v>
      </c>
      <c r="V13" s="822">
        <f>+InputY!V146/1000</f>
        <v>781.73199999999997</v>
      </c>
      <c r="W13" s="822">
        <f>+InputY!W146/1000</f>
        <v>801.84299999999996</v>
      </c>
      <c r="X13" s="822">
        <f>+InputY!X146/1000</f>
        <v>817.1</v>
      </c>
      <c r="Y13" s="822">
        <f>+InputY!Y146/1000</f>
        <v>835.00699999999995</v>
      </c>
      <c r="Z13" s="822">
        <f>+InputY!Z146/1000</f>
        <v>859.7</v>
      </c>
      <c r="AA13" s="822">
        <f>+InputY!AA146/1000</f>
        <v>915.92399999999998</v>
      </c>
      <c r="AB13" s="822">
        <f>+InputY!AB146/1000</f>
        <v>987.44100000000003</v>
      </c>
      <c r="AC13" s="822">
        <f>+InputY!AC146/1000</f>
        <v>1031.5340000000001</v>
      </c>
      <c r="AD13" s="2296">
        <f ca="1">+AD8+AD9+AD10+AD11-AD12-AC14</f>
        <v>1075.2026598248071</v>
      </c>
      <c r="AE13" s="2296">
        <f ca="1">+AE8+AE9+AE10+AE11-AE12-AD14</f>
        <v>1112.8032004969793</v>
      </c>
      <c r="AF13" s="2296">
        <f ca="1">+AF8+AF9+AF10+AF11-AF12-AE14</f>
        <v>1151.7498222449526</v>
      </c>
      <c r="AH13" s="3619" t="s">
        <v>2566</v>
      </c>
      <c r="AI13" s="825">
        <f ca="1">'VVP2'!AD348</f>
        <v>4.8980364670283993</v>
      </c>
      <c r="AJ13" s="825">
        <f ca="1">'VVP2'!AE348</f>
        <v>3.7812749119215061</v>
      </c>
      <c r="AK13" s="825">
        <f ca="1">'VVP2'!AF348</f>
        <v>3.5451641625984909</v>
      </c>
      <c r="AL13" s="3635" t="s">
        <v>2572</v>
      </c>
      <c r="AM13" s="3629"/>
      <c r="BB13" s="3473">
        <v>988.40200000000004</v>
      </c>
      <c r="BC13" s="736" t="str">
        <f t="shared" si="2"/>
        <v/>
      </c>
    </row>
    <row r="14" spans="1:55" s="2032" customFormat="1" ht="12.75" customHeight="1">
      <c r="A14" s="1036"/>
      <c r="B14" s="1036"/>
      <c r="C14" s="1647"/>
      <c r="D14" s="1051"/>
      <c r="E14" s="2033" t="s">
        <v>90</v>
      </c>
      <c r="F14" s="2034"/>
      <c r="G14" s="1040">
        <f t="shared" ref="G14:X14" si="8">ABS(+G8+G9+G10+G11-G12-G13)</f>
        <v>3.4529999999999745</v>
      </c>
      <c r="H14" s="1040">
        <f t="shared" si="8"/>
        <v>4.797999999999945</v>
      </c>
      <c r="I14" s="1040">
        <f t="shared" si="8"/>
        <v>2.2740000000000578</v>
      </c>
      <c r="J14" s="1040">
        <f t="shared" si="8"/>
        <v>3.3529999999999518</v>
      </c>
      <c r="K14" s="1040">
        <f t="shared" si="8"/>
        <v>6.0389999999999873</v>
      </c>
      <c r="L14" s="1040">
        <f t="shared" si="8"/>
        <v>8.16599999999994</v>
      </c>
      <c r="M14" s="1040">
        <f t="shared" si="8"/>
        <v>10.508999999999901</v>
      </c>
      <c r="N14" s="1040">
        <f t="shared" si="8"/>
        <v>10.248999999999796</v>
      </c>
      <c r="O14" s="1040">
        <f t="shared" si="8"/>
        <v>10.4849999999999</v>
      </c>
      <c r="P14" s="1040">
        <f t="shared" si="8"/>
        <v>11.424999999999955</v>
      </c>
      <c r="Q14" s="1040">
        <f t="shared" si="8"/>
        <v>11.27800000000002</v>
      </c>
      <c r="R14" s="1040">
        <f t="shared" si="8"/>
        <v>13.490000000000009</v>
      </c>
      <c r="S14" s="1040">
        <f t="shared" si="8"/>
        <v>12.187000000000012</v>
      </c>
      <c r="T14" s="1040">
        <f>ABS(+T8+T9+T10+T11-T12-T13)</f>
        <v>3.3349999999999227</v>
      </c>
      <c r="U14" s="1040">
        <f>ABS(+U8+U9+U10+U11-U12-U13)</f>
        <v>5.3080000000001064</v>
      </c>
      <c r="V14" s="1040">
        <f>ABS(+V8+V9+V10+V11-V12-V13)</f>
        <v>2.9610000000001264</v>
      </c>
      <c r="W14" s="1040">
        <f>ABS(+W8+W9+W10+W11-W12-W13)</f>
        <v>6.7050000000001546</v>
      </c>
      <c r="X14" s="2997">
        <f t="shared" si="8"/>
        <v>4.3719999999999573</v>
      </c>
      <c r="Y14" s="2997">
        <f t="shared" ref="Y14:AD14" si="9">ABS(+Y8+Y9+Y10+Y11-Y12-Y13)</f>
        <v>2.7730000000000246</v>
      </c>
      <c r="Z14" s="2997">
        <f t="shared" si="9"/>
        <v>3.2389999999999191</v>
      </c>
      <c r="AA14" s="2997">
        <f t="shared" si="9"/>
        <v>2.09699999999998</v>
      </c>
      <c r="AB14" s="2997">
        <f t="shared" ref="AB14" si="10">ABS(+AB8+AB9+AB10+AB11-AB12-AB13)</f>
        <v>0.25499999999988177</v>
      </c>
      <c r="AC14" s="2997">
        <f t="shared" si="9"/>
        <v>0.35000000000013642</v>
      </c>
      <c r="AD14" s="2997">
        <f t="shared" ca="1" si="9"/>
        <v>0.35000000000013642</v>
      </c>
      <c r="AE14" s="2997">
        <f t="shared" ref="AE14:AF14" ca="1" si="11">ABS(+AE8+AE9+AE10+AE11-AE12-AE13)</f>
        <v>0.35000000000013642</v>
      </c>
      <c r="AF14" s="2997">
        <f t="shared" ca="1" si="11"/>
        <v>0.35000000000013642</v>
      </c>
      <c r="AG14" s="2939"/>
      <c r="AH14" s="3634" t="s">
        <v>2571</v>
      </c>
      <c r="AI14" s="3626">
        <v>0.7</v>
      </c>
      <c r="AJ14" s="3626">
        <v>0.5</v>
      </c>
      <c r="AK14" s="3626">
        <v>0.9</v>
      </c>
      <c r="AL14" s="3684" t="s">
        <v>2600</v>
      </c>
      <c r="AM14" s="3635" t="s">
        <v>2573</v>
      </c>
      <c r="AO14" s="2939"/>
      <c r="AP14" s="2940"/>
      <c r="AQ14" s="2940"/>
      <c r="AR14" s="2940"/>
      <c r="AS14" s="2940"/>
      <c r="AT14" s="2940"/>
      <c r="BB14" s="3474">
        <v>1.9990000000000236</v>
      </c>
      <c r="BC14" s="736">
        <f t="shared" si="2"/>
        <v>-1.7440000000001419</v>
      </c>
    </row>
    <row r="15" spans="1:55" ht="13.5" thickBot="1">
      <c r="G15" s="3615">
        <f>G13/'VVP2'!G341</f>
        <v>0.21475906425801633</v>
      </c>
      <c r="H15" s="3615">
        <f>H13/'VVP2'!H341</f>
        <v>0.22331829663075162</v>
      </c>
      <c r="I15" s="3615">
        <f>I13/'VVP2'!I341</f>
        <v>0.21910821977291542</v>
      </c>
      <c r="J15" s="3615">
        <f>J13/'VVP2'!J341</f>
        <v>0.24296203268113534</v>
      </c>
      <c r="K15" s="3615">
        <f>K13/'VVP2'!K341</f>
        <v>0.24098389117426661</v>
      </c>
      <c r="L15" s="3615">
        <f>L13/'VVP2'!L341</f>
        <v>0.22628549948691612</v>
      </c>
      <c r="M15" s="3615">
        <f>M13/'VVP2'!M341</f>
        <v>0.22730906283693728</v>
      </c>
      <c r="N15" s="3615">
        <f>N13/'VVP2'!N341</f>
        <v>0.22954134079058761</v>
      </c>
      <c r="O15" s="3615">
        <f>O13/'VVP2'!O341</f>
        <v>0.22786841401444238</v>
      </c>
      <c r="P15" s="3615">
        <f>P13/'VVP2'!P341</f>
        <v>0.22318093236618822</v>
      </c>
      <c r="Q15" s="3615">
        <f>Q13/'VVP2'!Q341</f>
        <v>0.22496472477421967</v>
      </c>
      <c r="R15" s="3615">
        <f>R13/'VVP2'!R341</f>
        <v>0.22023092437429784</v>
      </c>
      <c r="S15" s="3615">
        <f>S13/'VVP2'!S341</f>
        <v>0.21954914642092974</v>
      </c>
      <c r="T15" s="3615">
        <f>T13/'VVP2'!T341</f>
        <v>0.22316131735266378</v>
      </c>
      <c r="AG15" s="3632">
        <f>'VVP2'!AB311</f>
        <v>1753.029</v>
      </c>
      <c r="AH15" s="3657"/>
      <c r="AI15" s="3658">
        <f ca="1">Tables!K433</f>
        <v>0.94511676569394043</v>
      </c>
      <c r="AJ15" s="3658">
        <f ca="1">Tables!M433</f>
        <v>0.83901290941847817</v>
      </c>
      <c r="AK15" s="3658">
        <f ca="1">Tables!M433</f>
        <v>0.83901290941847817</v>
      </c>
      <c r="AL15" s="3639" t="s">
        <v>2574</v>
      </c>
      <c r="BB15" s="3475"/>
      <c r="BC15" s="736" t="str">
        <f>IF(ABS(BB15-AB6)&gt;0.99,AB6-BB15,"")</f>
        <v/>
      </c>
    </row>
    <row r="16" spans="1:55" ht="12.75" customHeight="1" thickTop="1">
      <c r="A16" s="701"/>
      <c r="B16" s="701"/>
      <c r="C16" s="811"/>
      <c r="D16" s="779"/>
      <c r="E16" s="780" t="s">
        <v>1883</v>
      </c>
      <c r="F16" s="781"/>
      <c r="G16" s="782">
        <f>+InputY!$G$3</f>
        <v>1995</v>
      </c>
      <c r="H16" s="782">
        <f t="shared" ref="H16:R16" si="12">+G16+1</f>
        <v>1996</v>
      </c>
      <c r="I16" s="782">
        <f t="shared" si="12"/>
        <v>1997</v>
      </c>
      <c r="J16" s="782">
        <f t="shared" si="12"/>
        <v>1998</v>
      </c>
      <c r="K16" s="782">
        <f t="shared" si="12"/>
        <v>1999</v>
      </c>
      <c r="L16" s="782">
        <f t="shared" si="12"/>
        <v>2000</v>
      </c>
      <c r="M16" s="782">
        <f t="shared" si="12"/>
        <v>2001</v>
      </c>
      <c r="N16" s="782">
        <f t="shared" si="12"/>
        <v>2002</v>
      </c>
      <c r="O16" s="782">
        <f t="shared" si="12"/>
        <v>2003</v>
      </c>
      <c r="P16" s="782">
        <f>+O16+1</f>
        <v>2004</v>
      </c>
      <c r="Q16" s="782">
        <f>+P16+1</f>
        <v>2005</v>
      </c>
      <c r="R16" s="2272">
        <f t="shared" si="12"/>
        <v>2006</v>
      </c>
      <c r="S16" s="2272">
        <f t="shared" ref="S16:Y16" si="13">+R16+1</f>
        <v>2007</v>
      </c>
      <c r="T16" s="2272">
        <f t="shared" si="13"/>
        <v>2008</v>
      </c>
      <c r="U16" s="2272">
        <f t="shared" si="13"/>
        <v>2009</v>
      </c>
      <c r="V16" s="2272">
        <f>+U16+1</f>
        <v>2010</v>
      </c>
      <c r="W16" s="2272">
        <f>+V16+1</f>
        <v>2011</v>
      </c>
      <c r="X16" s="2272">
        <f t="shared" si="13"/>
        <v>2012</v>
      </c>
      <c r="Y16" s="2272">
        <f t="shared" si="13"/>
        <v>2013</v>
      </c>
      <c r="Z16" s="2272">
        <f t="shared" ref="Z16:AF16" si="14">+Y16+1</f>
        <v>2014</v>
      </c>
      <c r="AA16" s="2272">
        <f t="shared" si="14"/>
        <v>2015</v>
      </c>
      <c r="AB16" s="2272">
        <f t="shared" si="14"/>
        <v>2016</v>
      </c>
      <c r="AC16" s="2272">
        <f t="shared" si="14"/>
        <v>2017</v>
      </c>
      <c r="AD16" s="2272">
        <f t="shared" si="14"/>
        <v>2018</v>
      </c>
      <c r="AE16" s="2272">
        <f t="shared" si="14"/>
        <v>2019</v>
      </c>
      <c r="AF16" s="2272">
        <f t="shared" si="14"/>
        <v>2020</v>
      </c>
      <c r="AH16" s="3632">
        <f>'VVP2'!AC311</f>
        <v>1907.578</v>
      </c>
      <c r="AI16" s="3632">
        <f ca="1">'VVP2'!AD311</f>
        <v>2099.2973846679006</v>
      </c>
      <c r="AJ16" s="3632">
        <f ca="1">'VVP2'!AE311</f>
        <v>2227.8511249766038</v>
      </c>
      <c r="AK16" s="3632">
        <f ca="1">'VVP2'!AF311</f>
        <v>2330.0733974199097</v>
      </c>
      <c r="AL16" s="3655" t="s">
        <v>1747</v>
      </c>
      <c r="BB16" s="3476">
        <v>2016</v>
      </c>
      <c r="BC16" s="736" t="str">
        <f t="shared" si="2"/>
        <v/>
      </c>
    </row>
    <row r="17" spans="1:55" ht="12.75" customHeight="1">
      <c r="A17" s="701"/>
      <c r="B17" s="701"/>
      <c r="C17" s="831" t="s">
        <v>1791</v>
      </c>
      <c r="D17" s="726" t="s">
        <v>663</v>
      </c>
      <c r="E17" s="775" t="s">
        <v>1790</v>
      </c>
      <c r="F17" s="770" t="str">
        <f>+$F$8</f>
        <v>YATaxProd</v>
      </c>
      <c r="G17" s="776"/>
      <c r="H17" s="776">
        <f t="shared" ref="H17:AC17" si="15">(H8/G8-1)*100</f>
        <v>-0.57698614828342043</v>
      </c>
      <c r="I17" s="776">
        <f t="shared" si="15"/>
        <v>2.1511069118868908</v>
      </c>
      <c r="J17" s="776">
        <f t="shared" si="15"/>
        <v>5.9323047482358504</v>
      </c>
      <c r="K17" s="776">
        <f t="shared" si="15"/>
        <v>5.3479357193933375</v>
      </c>
      <c r="L17" s="776">
        <f t="shared" si="15"/>
        <v>3.3859674192626477</v>
      </c>
      <c r="M17" s="776">
        <f t="shared" si="15"/>
        <v>5.2585021320119552</v>
      </c>
      <c r="N17" s="776">
        <f t="shared" si="15"/>
        <v>4.9938282952963764</v>
      </c>
      <c r="O17" s="776">
        <f t="shared" si="15"/>
        <v>4.1312830646472509</v>
      </c>
      <c r="P17" s="776">
        <f t="shared" si="15"/>
        <v>3.4536288324860998</v>
      </c>
      <c r="Q17" s="776">
        <f t="shared" si="15"/>
        <v>5.1572662918706769</v>
      </c>
      <c r="R17" s="776">
        <f t="shared" si="15"/>
        <v>5.5438406677118079</v>
      </c>
      <c r="S17" s="776">
        <f t="shared" si="15"/>
        <v>5.7659820396550154</v>
      </c>
      <c r="T17" s="776">
        <f t="shared" si="15"/>
        <v>1.9626799061434497</v>
      </c>
      <c r="U17" s="776">
        <f t="shared" si="15"/>
        <v>1.4054827406428494</v>
      </c>
      <c r="V17" s="776">
        <f t="shared" si="15"/>
        <v>5.8680332200650165</v>
      </c>
      <c r="W17" s="776">
        <f t="shared" si="15"/>
        <v>2.0983917600289059</v>
      </c>
      <c r="X17" s="776">
        <f t="shared" si="15"/>
        <v>-0.58516404504325159</v>
      </c>
      <c r="Y17" s="776">
        <f t="shared" si="15"/>
        <v>1.2973863117955231</v>
      </c>
      <c r="Z17" s="776">
        <f t="shared" si="15"/>
        <v>3.3783323630532047</v>
      </c>
      <c r="AA17" s="776">
        <f t="shared" si="15"/>
        <v>6.7825820860950348</v>
      </c>
      <c r="AB17" s="776">
        <f t="shared" si="15"/>
        <v>5.9531532965830136</v>
      </c>
      <c r="AC17" s="776">
        <f t="shared" si="15"/>
        <v>4.1400891052659317</v>
      </c>
      <c r="AD17" s="2362">
        <f ca="1">AI11</f>
        <v>4.9391639287926541</v>
      </c>
      <c r="AE17" s="2362">
        <f ca="1">AJ11</f>
        <v>4.3905201984733964</v>
      </c>
      <c r="AF17" s="2362">
        <f ca="1">AK11</f>
        <v>3.5375373553437228</v>
      </c>
      <c r="AH17" s="3630">
        <f>AH16/AG15</f>
        <v>1.088161119981472</v>
      </c>
      <c r="AI17" s="3630">
        <f ca="1">AI16/AH16</f>
        <v>1.1005040866836904</v>
      </c>
      <c r="AJ17" s="3630">
        <f ca="1">AJ16/AI16</f>
        <v>1.0612365552625314</v>
      </c>
      <c r="AK17" s="3630">
        <f ca="1">AK16/AJ16</f>
        <v>1.0458837986512135</v>
      </c>
      <c r="AL17" s="3654" t="s">
        <v>2586</v>
      </c>
      <c r="BB17" s="3477">
        <v>6.2799259686759923</v>
      </c>
      <c r="BC17" s="736" t="str">
        <f t="shared" si="2"/>
        <v/>
      </c>
    </row>
    <row r="18" spans="1:55" ht="12.75" customHeight="1">
      <c r="A18" s="701"/>
      <c r="B18" s="701"/>
      <c r="C18" s="832" t="s">
        <v>1791</v>
      </c>
      <c r="D18" s="711" t="s">
        <v>664</v>
      </c>
      <c r="E18" s="820" t="s">
        <v>1767</v>
      </c>
      <c r="F18" s="741" t="str">
        <f>+$F$9</f>
        <v>$HTaxOth</v>
      </c>
      <c r="G18" s="743"/>
      <c r="H18" s="743">
        <f t="shared" ref="H18:AC18" si="16">(H9/G9-1)*100</f>
        <v>26.536653317081658</v>
      </c>
      <c r="I18" s="743">
        <f t="shared" si="16"/>
        <v>-3.8255125911655363</v>
      </c>
      <c r="J18" s="743">
        <f t="shared" si="16"/>
        <v>5.260647684456532</v>
      </c>
      <c r="K18" s="743">
        <f t="shared" si="16"/>
        <v>-1.9574082464884346</v>
      </c>
      <c r="L18" s="743">
        <f t="shared" si="16"/>
        <v>12.496533875589222</v>
      </c>
      <c r="M18" s="743">
        <f t="shared" si="16"/>
        <v>1.9636841672828975</v>
      </c>
      <c r="N18" s="743">
        <f t="shared" si="16"/>
        <v>7.1796937953263473</v>
      </c>
      <c r="O18" s="743">
        <f t="shared" si="16"/>
        <v>4.9620329298549093</v>
      </c>
      <c r="P18" s="743">
        <f t="shared" si="16"/>
        <v>0.2256285366377675</v>
      </c>
      <c r="Q18" s="743">
        <f t="shared" si="16"/>
        <v>3.9807039485438622</v>
      </c>
      <c r="R18" s="743">
        <f t="shared" si="16"/>
        <v>1.3265060655005323</v>
      </c>
      <c r="S18" s="743">
        <f t="shared" si="16"/>
        <v>5.4129218246566024</v>
      </c>
      <c r="T18" s="743">
        <f t="shared" si="16"/>
        <v>-7.1168881310125105</v>
      </c>
      <c r="U18" s="743">
        <f t="shared" si="16"/>
        <v>1.1500225155010702</v>
      </c>
      <c r="V18" s="743">
        <f t="shared" si="16"/>
        <v>-1.5204958734289842</v>
      </c>
      <c r="W18" s="743">
        <f t="shared" si="16"/>
        <v>1.9125778071426014</v>
      </c>
      <c r="X18" s="743">
        <f t="shared" si="16"/>
        <v>3.6441805711945996</v>
      </c>
      <c r="Y18" s="743">
        <f t="shared" si="16"/>
        <v>1.306995884773654</v>
      </c>
      <c r="Z18" s="743">
        <f t="shared" si="16"/>
        <v>-0.36721695047445824</v>
      </c>
      <c r="AA18" s="743">
        <f t="shared" si="16"/>
        <v>2.4593104797938636</v>
      </c>
      <c r="AB18" s="743">
        <f t="shared" si="16"/>
        <v>2.6836023302454493</v>
      </c>
      <c r="AC18" s="743">
        <f t="shared" si="16"/>
        <v>-2.9885912698412676</v>
      </c>
      <c r="AD18" s="2363">
        <f t="shared" ref="AD18:AF19" ca="1" si="17">AI$13*AI$14</f>
        <v>3.4286255269198795</v>
      </c>
      <c r="AE18" s="2363">
        <f t="shared" ca="1" si="17"/>
        <v>1.8906374559607531</v>
      </c>
      <c r="AF18" s="2363">
        <f t="shared" ca="1" si="17"/>
        <v>3.1906477463386418</v>
      </c>
      <c r="AH18" s="740">
        <f>AB12*AH17</f>
        <v>6.6116669650074238</v>
      </c>
      <c r="AI18" s="740">
        <f ca="1">AC12*AI17</f>
        <v>6.8869545744665341</v>
      </c>
      <c r="AJ18" s="740">
        <f ca="1">AD12*AJ17</f>
        <v>6.9177363932594842</v>
      </c>
      <c r="AK18" s="740">
        <f ca="1">AE12*AK17</f>
        <v>6.8481305899907641</v>
      </c>
      <c r="AL18" s="3654" t="s">
        <v>2587</v>
      </c>
      <c r="BB18" s="3472">
        <v>2.9828414987425722</v>
      </c>
      <c r="BC18" s="736" t="str">
        <f t="shared" si="2"/>
        <v/>
      </c>
    </row>
    <row r="19" spans="1:55" ht="12.75" customHeight="1">
      <c r="A19" s="701"/>
      <c r="B19" s="701"/>
      <c r="C19" s="832" t="s">
        <v>1791</v>
      </c>
      <c r="D19" s="711" t="s">
        <v>665</v>
      </c>
      <c r="E19" s="820" t="s">
        <v>1767</v>
      </c>
      <c r="F19" s="741" t="str">
        <f>+$F$10</f>
        <v>$ETaxProd</v>
      </c>
      <c r="G19" s="743"/>
      <c r="H19" s="743">
        <f t="shared" ref="H19:AC20" si="18">(H10/G10-1)*100</f>
        <v>20.449549240667153</v>
      </c>
      <c r="I19" s="743">
        <f t="shared" si="18"/>
        <v>2.906777177780584</v>
      </c>
      <c r="J19" s="743">
        <f t="shared" si="18"/>
        <v>33.331435033396531</v>
      </c>
      <c r="K19" s="743">
        <f t="shared" si="18"/>
        <v>6.095663475443458</v>
      </c>
      <c r="L19" s="743">
        <f t="shared" si="18"/>
        <v>-1.5700753981262694</v>
      </c>
      <c r="M19" s="743">
        <f t="shared" si="18"/>
        <v>5.2919420147592433</v>
      </c>
      <c r="N19" s="743">
        <f t="shared" si="18"/>
        <v>3.0465472464540122</v>
      </c>
      <c r="O19" s="743">
        <f t="shared" si="18"/>
        <v>1.1034282206210166</v>
      </c>
      <c r="P19" s="743">
        <f t="shared" si="18"/>
        <v>1.7683748528573684</v>
      </c>
      <c r="Q19" s="743">
        <f t="shared" si="18"/>
        <v>4.0750956490791079</v>
      </c>
      <c r="R19" s="743">
        <f t="shared" si="18"/>
        <v>4.3118144924037871</v>
      </c>
      <c r="S19" s="743">
        <f t="shared" si="18"/>
        <v>6.7591347150508962</v>
      </c>
      <c r="T19" s="743">
        <f t="shared" si="18"/>
        <v>6.6432445369688731</v>
      </c>
      <c r="U19" s="743">
        <f t="shared" si="18"/>
        <v>-6.6731878350567815</v>
      </c>
      <c r="V19" s="743">
        <f t="shared" si="18"/>
        <v>4.6384899838925575</v>
      </c>
      <c r="W19" s="743">
        <f t="shared" si="18"/>
        <v>4.6535829813804552</v>
      </c>
      <c r="X19" s="743">
        <f t="shared" si="18"/>
        <v>4.7872384503832688</v>
      </c>
      <c r="Y19" s="743">
        <f t="shared" si="18"/>
        <v>2.8204377945781678</v>
      </c>
      <c r="Z19" s="743">
        <f t="shared" si="18"/>
        <v>2.7580690440206723</v>
      </c>
      <c r="AA19" s="743">
        <f t="shared" si="18"/>
        <v>6.4608602255163516</v>
      </c>
      <c r="AB19" s="743">
        <f t="shared" si="18"/>
        <v>10.894882818404561</v>
      </c>
      <c r="AC19" s="743">
        <f t="shared" si="18"/>
        <v>5.2332105520087824</v>
      </c>
      <c r="AD19" s="2363">
        <f t="shared" ca="1" si="17"/>
        <v>3.4286255269198795</v>
      </c>
      <c r="AE19" s="2363">
        <f t="shared" ca="1" si="17"/>
        <v>1.8906374559607531</v>
      </c>
      <c r="AF19" s="2363">
        <f t="shared" ca="1" si="17"/>
        <v>3.1906477463386418</v>
      </c>
      <c r="AH19" s="825">
        <f>AI19</f>
        <v>0.93</v>
      </c>
      <c r="AI19" s="825">
        <f>AJ19</f>
        <v>0.93</v>
      </c>
      <c r="AJ19" s="825">
        <f>AK19</f>
        <v>0.93</v>
      </c>
      <c r="AK19" s="3682">
        <v>0.93</v>
      </c>
      <c r="AL19" s="3634" t="s">
        <v>2571</v>
      </c>
      <c r="BB19" s="3472">
        <v>11.069943368966474</v>
      </c>
      <c r="BC19" s="736" t="str">
        <f t="shared" si="2"/>
        <v/>
      </c>
    </row>
    <row r="20" spans="1:55" ht="12.75" customHeight="1">
      <c r="A20" s="701"/>
      <c r="B20" s="701"/>
      <c r="C20" s="832" t="s">
        <v>1791</v>
      </c>
      <c r="D20" s="711" t="s">
        <v>666</v>
      </c>
      <c r="E20" s="820" t="s">
        <v>1767</v>
      </c>
      <c r="F20" s="741" t="s">
        <v>364</v>
      </c>
      <c r="G20" s="743"/>
      <c r="H20" s="743">
        <f t="shared" ref="H20:P20" si="19">(H11/G11-1)*100</f>
        <v>7.527358471553236</v>
      </c>
      <c r="I20" s="743">
        <f t="shared" si="19"/>
        <v>2.0167185215729022</v>
      </c>
      <c r="J20" s="743">
        <f t="shared" si="19"/>
        <v>31.418335476759161</v>
      </c>
      <c r="K20" s="743">
        <f t="shared" si="19"/>
        <v>3.6250017474940721</v>
      </c>
      <c r="L20" s="743">
        <f t="shared" si="19"/>
        <v>-10.34617667691975</v>
      </c>
      <c r="M20" s="743">
        <f t="shared" si="19"/>
        <v>3.3014822060040583</v>
      </c>
      <c r="N20" s="743">
        <f t="shared" si="19"/>
        <v>5.3955629360951995</v>
      </c>
      <c r="O20" s="743">
        <f t="shared" si="19"/>
        <v>5.2368250107113656</v>
      </c>
      <c r="P20" s="743">
        <f t="shared" si="19"/>
        <v>3.0692653200598885</v>
      </c>
      <c r="Q20" s="743">
        <f t="shared" si="18"/>
        <v>2.5548235833789956</v>
      </c>
      <c r="R20" s="743">
        <f t="shared" si="18"/>
        <v>2.7334625515630373</v>
      </c>
      <c r="S20" s="743">
        <f t="shared" si="18"/>
        <v>3.8012190992211314</v>
      </c>
      <c r="T20" s="743">
        <f t="shared" si="18"/>
        <v>3.3392755193587087</v>
      </c>
      <c r="U20" s="743">
        <f t="shared" si="18"/>
        <v>-1.7318164905911426</v>
      </c>
      <c r="V20" s="743">
        <f t="shared" si="18"/>
        <v>1.279300572530051</v>
      </c>
      <c r="W20" s="743">
        <f t="shared" si="18"/>
        <v>3.7033260830161119</v>
      </c>
      <c r="X20" s="743">
        <f t="shared" si="18"/>
        <v>2.7768977835068487</v>
      </c>
      <c r="Y20" s="743">
        <f t="shared" si="18"/>
        <v>3.0983280720215278</v>
      </c>
      <c r="Z20" s="743">
        <f t="shared" si="18"/>
        <v>3.4083176972721008</v>
      </c>
      <c r="AA20" s="743">
        <f t="shared" si="18"/>
        <v>5.5989791035252923</v>
      </c>
      <c r="AB20" s="743">
        <f t="shared" si="18"/>
        <v>7.2941842900302145</v>
      </c>
      <c r="AC20" s="743">
        <f t="shared" si="18"/>
        <v>5.3525861006986641</v>
      </c>
      <c r="AD20" s="2363">
        <v>4</v>
      </c>
      <c r="AE20" s="2363">
        <v>4</v>
      </c>
      <c r="AF20" s="2363">
        <v>4</v>
      </c>
      <c r="AH20" s="740">
        <f t="shared" ref="AH20:AI20" si="20">AH19*AH18</f>
        <v>6.148850277456904</v>
      </c>
      <c r="AI20" s="740">
        <f t="shared" ca="1" si="20"/>
        <v>6.4048677542538774</v>
      </c>
      <c r="AJ20" s="740">
        <f ca="1">AJ19*AJ18</f>
        <v>6.433494845731321</v>
      </c>
      <c r="AK20" s="740">
        <f ca="1">AK19*AK18</f>
        <v>6.3687614486914113</v>
      </c>
      <c r="AL20" s="3631" t="s">
        <v>2588</v>
      </c>
      <c r="BB20" s="3472">
        <v>7.7185199169341301</v>
      </c>
      <c r="BC20" s="736" t="str">
        <f t="shared" si="2"/>
        <v/>
      </c>
    </row>
    <row r="21" spans="1:55" ht="12.75" customHeight="1">
      <c r="A21" s="701"/>
      <c r="B21" s="701"/>
      <c r="C21" s="833" t="s">
        <v>301</v>
      </c>
      <c r="D21" s="728" t="s">
        <v>667</v>
      </c>
      <c r="E21" s="834" t="s">
        <v>978</v>
      </c>
      <c r="F21" s="773" t="str">
        <f>+$F$12</f>
        <v>TaxToRow</v>
      </c>
      <c r="G21" s="778"/>
      <c r="H21" s="778">
        <f t="shared" ref="H21:AC22" si="21">(H12/G12-1)*100</f>
        <v>-26.366418889374732</v>
      </c>
      <c r="I21" s="778">
        <f t="shared" si="21"/>
        <v>13.95486935866983</v>
      </c>
      <c r="J21" s="778">
        <f t="shared" si="21"/>
        <v>-3.7258989056800473</v>
      </c>
      <c r="K21" s="778">
        <f t="shared" si="21"/>
        <v>-3.166441136671172</v>
      </c>
      <c r="L21" s="778">
        <f t="shared" si="21"/>
        <v>6.092789267747345</v>
      </c>
      <c r="M21" s="778">
        <f t="shared" si="21"/>
        <v>-4.689146469968386</v>
      </c>
      <c r="N21" s="778">
        <f t="shared" si="21"/>
        <v>-6.0807075732448812</v>
      </c>
      <c r="O21" s="778">
        <f t="shared" si="21"/>
        <v>2.3837551500882848</v>
      </c>
      <c r="P21" s="778">
        <f t="shared" si="21"/>
        <v>11.037654498419091</v>
      </c>
      <c r="Q21" s="778">
        <f t="shared" si="21"/>
        <v>20.761066528604722</v>
      </c>
      <c r="R21" s="778">
        <f t="shared" si="21"/>
        <v>10.610932475884249</v>
      </c>
      <c r="S21" s="778">
        <f t="shared" si="21"/>
        <v>14.011627906976742</v>
      </c>
      <c r="T21" s="778">
        <f t="shared" si="21"/>
        <v>-0.15298317185110655</v>
      </c>
      <c r="U21" s="778">
        <f t="shared" si="21"/>
        <v>-12.308478038815117</v>
      </c>
      <c r="V21" s="778">
        <f t="shared" si="21"/>
        <v>10.153368278004283</v>
      </c>
      <c r="W21" s="743">
        <f t="shared" si="21"/>
        <v>-0.2467395135706818</v>
      </c>
      <c r="X21" s="743">
        <f t="shared" si="21"/>
        <v>-7.1554770318021266</v>
      </c>
      <c r="Y21" s="743">
        <f t="shared" si="21"/>
        <v>-0.62797335870597992</v>
      </c>
      <c r="Z21" s="743">
        <f t="shared" si="21"/>
        <v>11.183454615090005</v>
      </c>
      <c r="AA21" s="743">
        <f t="shared" si="21"/>
        <v>8.0778504994833078</v>
      </c>
      <c r="AB21" s="743">
        <f t="shared" si="21"/>
        <v>-3.1713147410358689</v>
      </c>
      <c r="AC21" s="743">
        <f t="shared" si="21"/>
        <v>2.9953917050691281</v>
      </c>
      <c r="AD21" s="2363">
        <f ca="1">AI21</f>
        <v>4.1636641850850031</v>
      </c>
      <c r="AE21" s="2363">
        <f ca="1">AJ21</f>
        <v>0.44695835379942039</v>
      </c>
      <c r="AF21" s="2363">
        <f ca="1">AK21</f>
        <v>-1.0061933457965022</v>
      </c>
      <c r="AH21" s="740"/>
      <c r="AI21" s="3656">
        <f t="shared" ref="AI21" ca="1" si="22">100*(AI20/AH20-1)</f>
        <v>4.1636641850850031</v>
      </c>
      <c r="AJ21" s="3659">
        <f ca="1">100*(AJ20/AI20-1)</f>
        <v>0.44695835379942039</v>
      </c>
      <c r="AK21" s="3659">
        <f ca="1">100*(AK20/AJ20-1)</f>
        <v>-1.0061933457965022</v>
      </c>
      <c r="AL21" s="3634" t="s">
        <v>214</v>
      </c>
      <c r="AN21" s="3411"/>
      <c r="BB21" s="3472">
        <v>-3.1713147410358689</v>
      </c>
      <c r="BC21" s="736" t="str">
        <f t="shared" si="2"/>
        <v/>
      </c>
    </row>
    <row r="22" spans="1:55" ht="12.75" customHeight="1">
      <c r="A22" s="701"/>
      <c r="B22" s="701"/>
      <c r="C22" s="811" t="s">
        <v>1793</v>
      </c>
      <c r="D22" s="754" t="s">
        <v>666</v>
      </c>
      <c r="E22" s="759" t="s">
        <v>1879</v>
      </c>
      <c r="F22" s="760" t="str">
        <f>+$F$13</f>
        <v>YATaxIndir</v>
      </c>
      <c r="G22" s="758"/>
      <c r="H22" s="758">
        <f t="shared" ref="H22:W22" si="23">(H13/G13-1)*100</f>
        <v>6.6727578032398371</v>
      </c>
      <c r="I22" s="758">
        <f t="shared" si="23"/>
        <v>2.5579769527434015</v>
      </c>
      <c r="J22" s="758">
        <f t="shared" si="23"/>
        <v>16.503999711081807</v>
      </c>
      <c r="K22" s="758">
        <f t="shared" si="23"/>
        <v>4.6095127385449963</v>
      </c>
      <c r="L22" s="758">
        <f t="shared" si="23"/>
        <v>-0.10408525360131593</v>
      </c>
      <c r="M22" s="758">
        <f t="shared" si="23"/>
        <v>4.5945344654974241</v>
      </c>
      <c r="N22" s="758">
        <f t="shared" si="23"/>
        <v>4.7270110358372142</v>
      </c>
      <c r="O22" s="758">
        <f t="shared" si="23"/>
        <v>3.3942081478597785</v>
      </c>
      <c r="P22" s="758">
        <f t="shared" si="23"/>
        <v>2.6024580771472294</v>
      </c>
      <c r="Q22" s="758">
        <f t="shared" si="23"/>
        <v>4.4702942969006676</v>
      </c>
      <c r="R22" s="758">
        <f t="shared" si="23"/>
        <v>4.358423398864697</v>
      </c>
      <c r="S22" s="758">
        <f t="shared" si="23"/>
        <v>6.0567213978400147</v>
      </c>
      <c r="T22" s="758">
        <f t="shared" si="23"/>
        <v>4.438078837853654</v>
      </c>
      <c r="U22" s="758">
        <f t="shared" si="23"/>
        <v>-1.6405246719479183</v>
      </c>
      <c r="V22" s="758">
        <f t="shared" si="23"/>
        <v>5.004466234594851</v>
      </c>
      <c r="W22" s="3192">
        <f t="shared" si="23"/>
        <v>2.5726207958737701</v>
      </c>
      <c r="X22" s="3192">
        <f t="shared" si="21"/>
        <v>1.9027415591331476</v>
      </c>
      <c r="Y22" s="3192">
        <f t="shared" si="21"/>
        <v>2.1915310243544095</v>
      </c>
      <c r="Z22" s="3192">
        <f t="shared" si="21"/>
        <v>2.9572207179101584</v>
      </c>
      <c r="AA22" s="3192">
        <f t="shared" si="21"/>
        <v>6.5399557985343693</v>
      </c>
      <c r="AB22" s="3192">
        <f t="shared" si="21"/>
        <v>7.8081805914027802</v>
      </c>
      <c r="AC22" s="3192">
        <f t="shared" si="21"/>
        <v>4.4653807164174886</v>
      </c>
      <c r="AD22" s="3193">
        <f t="shared" ref="AD22:AF22" ca="1" si="24">(AD13/AC13-1)*100</f>
        <v>4.2333708656047131</v>
      </c>
      <c r="AE22" s="3193">
        <f t="shared" ca="1" si="24"/>
        <v>3.4970654442297189</v>
      </c>
      <c r="AF22" s="3193">
        <f t="shared" ca="1" si="24"/>
        <v>3.4998660796967229</v>
      </c>
      <c r="BB22" s="3478">
        <v>7.8992011283325558</v>
      </c>
      <c r="BC22" s="736" t="str">
        <f t="shared" si="2"/>
        <v/>
      </c>
    </row>
    <row r="23" spans="1:55" ht="12.75" customHeight="1">
      <c r="A23" s="701"/>
      <c r="B23" s="701"/>
      <c r="C23" s="811"/>
      <c r="D23" s="843"/>
      <c r="E23" s="844" t="s">
        <v>1765</v>
      </c>
      <c r="F23" s="845" t="s">
        <v>1766</v>
      </c>
      <c r="G23" s="846"/>
      <c r="H23" s="846">
        <f>+$F$36*'VVP2'!H188</f>
        <v>2.7445359364352662</v>
      </c>
      <c r="I23" s="846">
        <f>+$F$36*'VVP2'!I188</f>
        <v>4.2886811706422501</v>
      </c>
      <c r="J23" s="846">
        <f>+$F$36*'VVP2'!J188</f>
        <v>3.7721997763183746</v>
      </c>
      <c r="K23" s="846">
        <f>+$F$36*'VVP2'!K188</f>
        <v>5.5648694721122549</v>
      </c>
      <c r="L23" s="846">
        <f>+$F$36*'VVP2'!L188</f>
        <v>6.2846390107470285</v>
      </c>
      <c r="M23" s="846">
        <f>+$F$36*'VVP2'!M188</f>
        <v>2.8988431892746025</v>
      </c>
      <c r="N23" s="846">
        <f>+$F$36*'VVP2'!N188</f>
        <v>4.0871345605225651</v>
      </c>
      <c r="O23" s="846">
        <f>+$F$36*'VVP2'!O188</f>
        <v>3.9733740644160687</v>
      </c>
      <c r="P23" s="846">
        <f>+$F$36*'VVP2'!P188</f>
        <v>3.5894148223736266</v>
      </c>
      <c r="Q23" s="846">
        <f>+$F$36*'VVP2'!Q188</f>
        <v>3.9075875259487303</v>
      </c>
      <c r="R23" s="846">
        <f>+$F$36*'VVP2'!R188</f>
        <v>3.9078932304936309</v>
      </c>
      <c r="S23" s="846">
        <f>+$F$36*'VVP2'!S188</f>
        <v>5.2954756905138511</v>
      </c>
      <c r="T23" s="846">
        <f>+$F$36*'VVP2'!T188</f>
        <v>3.3572400190670093</v>
      </c>
      <c r="U23" s="846">
        <f>+$F$36*'VVP2'!U188</f>
        <v>2.5861127781788174</v>
      </c>
      <c r="V23" s="846">
        <f>+$F$36*'VVP2'!V188</f>
        <v>5.4343205922134485</v>
      </c>
      <c r="W23" s="846">
        <f>+$F$36*'VVP2'!W188</f>
        <v>3.5637816277590106</v>
      </c>
      <c r="X23" s="846">
        <f>+$F$36*'VVP2'!X188</f>
        <v>1.3074053618210346</v>
      </c>
      <c r="Y23" s="846">
        <f>+$F$36*'VVP2'!Y188</f>
        <v>2.5818237369885422</v>
      </c>
      <c r="Z23" s="846">
        <f>+$F$36*'VVP2'!Z188</f>
        <v>3.2326364869803781</v>
      </c>
      <c r="AA23" s="846">
        <f>+$F$36*'VVP2'!AA188</f>
        <v>4.0151328696125255</v>
      </c>
      <c r="AB23" s="846">
        <f>+$F$36*'VVP2'!AB188</f>
        <v>3.8912159805113644</v>
      </c>
      <c r="AC23" s="846">
        <f>+$F$36*'VVP2'!AC188</f>
        <v>3.9840824208579484</v>
      </c>
      <c r="AD23" s="2321">
        <f ca="1">+$F$36*'VVP2'!AD188</f>
        <v>4.1407999999999889</v>
      </c>
      <c r="AE23" s="2321">
        <f ca="1">+$F$36*'VVP2'!AE188</f>
        <v>4.0696099999999902</v>
      </c>
      <c r="AF23" s="2321">
        <f ca="1">+$F$36*'VVP2'!AF188</f>
        <v>3.9377999999999913</v>
      </c>
      <c r="AN23" s="3411"/>
      <c r="BB23" s="3479">
        <v>3.2106277006893613</v>
      </c>
      <c r="BC23" s="736" t="str">
        <f t="shared" si="2"/>
        <v/>
      </c>
    </row>
    <row r="24" spans="1:55" ht="12.75" customHeight="1" thickBot="1">
      <c r="A24" s="701"/>
      <c r="B24" s="701"/>
      <c r="C24" s="811"/>
      <c r="E24" s="823"/>
      <c r="F24" s="824"/>
      <c r="G24" s="740"/>
      <c r="H24" s="825"/>
      <c r="I24" s="740"/>
      <c r="J24" s="740"/>
      <c r="K24" s="740"/>
      <c r="L24" s="740"/>
      <c r="M24" s="740"/>
      <c r="N24" s="740"/>
      <c r="O24" s="740"/>
      <c r="P24" s="740"/>
      <c r="Q24" s="882"/>
      <c r="R24" s="2322"/>
      <c r="S24" s="2322"/>
      <c r="T24" s="2322"/>
      <c r="U24" s="2322"/>
      <c r="V24" s="2322"/>
      <c r="W24" s="2322"/>
      <c r="X24" s="2322"/>
      <c r="Y24" s="2322"/>
      <c r="Z24" s="2322"/>
      <c r="AA24" s="2322"/>
      <c r="AB24" s="2322"/>
      <c r="AC24" s="2322"/>
      <c r="AD24" s="2322"/>
      <c r="AE24" s="2322"/>
      <c r="AF24" s="2322"/>
      <c r="BB24" s="3475"/>
      <c r="BC24" s="736" t="str">
        <f t="shared" si="2"/>
        <v/>
      </c>
    </row>
    <row r="25" spans="1:55" ht="12.75" customHeight="1" thickBot="1">
      <c r="A25" s="701"/>
      <c r="B25" s="701"/>
      <c r="C25" s="811"/>
      <c r="D25" s="855"/>
      <c r="E25" s="856" t="s">
        <v>1884</v>
      </c>
      <c r="F25" s="857"/>
      <c r="G25" s="858">
        <f>+InputY!$G$3</f>
        <v>1995</v>
      </c>
      <c r="H25" s="858">
        <f t="shared" ref="H25:O25" si="25">+G25+1</f>
        <v>1996</v>
      </c>
      <c r="I25" s="858">
        <f t="shared" si="25"/>
        <v>1997</v>
      </c>
      <c r="J25" s="858">
        <f t="shared" si="25"/>
        <v>1998</v>
      </c>
      <c r="K25" s="858">
        <f t="shared" si="25"/>
        <v>1999</v>
      </c>
      <c r="L25" s="858">
        <f t="shared" si="25"/>
        <v>2000</v>
      </c>
      <c r="M25" s="858">
        <f t="shared" si="25"/>
        <v>2001</v>
      </c>
      <c r="N25" s="858">
        <f t="shared" si="25"/>
        <v>2002</v>
      </c>
      <c r="O25" s="858">
        <f t="shared" si="25"/>
        <v>2003</v>
      </c>
      <c r="P25" s="858">
        <f>+O25+1</f>
        <v>2004</v>
      </c>
      <c r="Q25" s="858">
        <f>+P25+1</f>
        <v>2005</v>
      </c>
      <c r="R25" s="858">
        <f>+Q25+1</f>
        <v>2006</v>
      </c>
      <c r="S25" s="858">
        <f t="shared" ref="S25:Y25" si="26">+R25+1</f>
        <v>2007</v>
      </c>
      <c r="T25" s="858">
        <f t="shared" si="26"/>
        <v>2008</v>
      </c>
      <c r="U25" s="858">
        <f t="shared" si="26"/>
        <v>2009</v>
      </c>
      <c r="V25" s="858">
        <f>+U25+1</f>
        <v>2010</v>
      </c>
      <c r="W25" s="858">
        <f>+V25+1</f>
        <v>2011</v>
      </c>
      <c r="X25" s="858">
        <f t="shared" si="26"/>
        <v>2012</v>
      </c>
      <c r="Y25" s="858">
        <f t="shared" si="26"/>
        <v>2013</v>
      </c>
      <c r="Z25" s="858">
        <f t="shared" ref="Z25:AF25" si="27">+Y25+1</f>
        <v>2014</v>
      </c>
      <c r="AA25" s="858">
        <f t="shared" si="27"/>
        <v>2015</v>
      </c>
      <c r="AB25" s="858">
        <f t="shared" si="27"/>
        <v>2016</v>
      </c>
      <c r="AC25" s="858">
        <f t="shared" si="27"/>
        <v>2017</v>
      </c>
      <c r="AD25" s="858">
        <f t="shared" si="27"/>
        <v>2018</v>
      </c>
      <c r="AE25" s="858">
        <f t="shared" si="27"/>
        <v>2019</v>
      </c>
      <c r="AF25" s="858">
        <f t="shared" si="27"/>
        <v>2020</v>
      </c>
      <c r="AH25" s="2839" t="s">
        <v>1678</v>
      </c>
      <c r="AI25" s="2840"/>
      <c r="AJ25" s="2847"/>
      <c r="AK25" s="2826"/>
      <c r="AL25" s="3829">
        <v>2018</v>
      </c>
      <c r="AM25" s="3830"/>
      <c r="AN25" s="3829">
        <f>AL25+1</f>
        <v>2019</v>
      </c>
      <c r="AO25" s="3830"/>
      <c r="AP25" s="3829">
        <f>AN25+1</f>
        <v>2020</v>
      </c>
      <c r="AQ25" s="3831"/>
      <c r="BB25" s="3480">
        <v>2016</v>
      </c>
      <c r="BC25" s="736" t="str">
        <f t="shared" si="2"/>
        <v/>
      </c>
    </row>
    <row r="26" spans="1:55" ht="12.75" customHeight="1">
      <c r="A26" s="701"/>
      <c r="B26" s="701"/>
      <c r="C26" s="859" t="s">
        <v>1791</v>
      </c>
      <c r="D26" s="860" t="s">
        <v>663</v>
      </c>
      <c r="E26" s="861" t="s">
        <v>1790</v>
      </c>
      <c r="F26" s="862" t="str">
        <f>+$F$8</f>
        <v>YATaxProd</v>
      </c>
      <c r="G26" s="875">
        <f>+G8/'VVP2'!G$341</f>
        <v>0.13097513427744734</v>
      </c>
      <c r="H26" s="875">
        <f>+H8/'VVP2'!H$341</f>
        <v>0.12693899537732542</v>
      </c>
      <c r="I26" s="875">
        <f>+I8/'VVP2'!I$341</f>
        <v>0.12405179482664995</v>
      </c>
      <c r="J26" s="875">
        <f>+J8/'VVP2'!J$341</f>
        <v>0.12507496213059086</v>
      </c>
      <c r="K26" s="875">
        <f>+K8/'VVP2'!K$341</f>
        <v>0.12493232757870421</v>
      </c>
      <c r="L26" s="875">
        <f>+L8/'VVP2'!L$341</f>
        <v>0.12141082535599125</v>
      </c>
      <c r="M26" s="875">
        <f>+M8/'VVP2'!M$341</f>
        <v>0.12273421018277814</v>
      </c>
      <c r="N26" s="875">
        <f>+N8/'VVP2'!N$341</f>
        <v>0.12425528145553212</v>
      </c>
      <c r="O26" s="875">
        <f>+O8/'VVP2'!O$341</f>
        <v>0.12422902625012916</v>
      </c>
      <c r="P26" s="875">
        <f>+P8/'VVP2'!P$341</f>
        <v>0.12268289130869039</v>
      </c>
      <c r="Q26" s="875">
        <f>+Q8/'VVP2'!Q$341</f>
        <v>0.12447662627637569</v>
      </c>
      <c r="R26" s="875">
        <f>+R8/'VVP2'!R$341</f>
        <v>0.12324152693956558</v>
      </c>
      <c r="S26" s="875">
        <f>+S8/'VVP2'!S$341</f>
        <v>0.12252319990742151</v>
      </c>
      <c r="T26" s="875">
        <f>+T8/'VVP2'!T$341</f>
        <v>0.12158720115482559</v>
      </c>
      <c r="U26" s="875">
        <f>+U8/'VVP2'!U$341</f>
        <v>0.12702911808564313</v>
      </c>
      <c r="V26" s="875">
        <f>+V8/'VVP2'!V$341</f>
        <v>0.12563624062949796</v>
      </c>
      <c r="W26" s="875">
        <f>+W8/'VVP2'!W$341</f>
        <v>0.12346481590082388</v>
      </c>
      <c r="X26" s="875">
        <f>+X8/'VVP2'!X$341</f>
        <v>0.12181640398918801</v>
      </c>
      <c r="Y26" s="875">
        <f>+Y8/'VVP2'!Y$341</f>
        <v>0.12061535705797047</v>
      </c>
      <c r="Z26" s="875">
        <f>+Z8/'VVP2'!Z$341</f>
        <v>0.11940673826576247</v>
      </c>
      <c r="AA26" s="875">
        <f>+AA8/'VVP2'!AA$341</f>
        <v>0.11959653870018706</v>
      </c>
      <c r="AB26" s="875">
        <f>+AB8/'VVP2'!AB$341</f>
        <v>0.12140106355106388</v>
      </c>
      <c r="AC26" s="875">
        <f>+AC8/'VVP2'!AC$341</f>
        <v>0.12108718711637885</v>
      </c>
      <c r="AD26" s="3002">
        <f ca="1">+AD8/'VVP2'!AD$341</f>
        <v>0.12113466187211305</v>
      </c>
      <c r="AE26" s="3002">
        <f ca="1">+AE8/'VVP2'!AE$341</f>
        <v>0.12184577976738151</v>
      </c>
      <c r="AF26" s="3002">
        <f ca="1">+AF8/'VVP2'!AF$341</f>
        <v>0.12183680499502388</v>
      </c>
      <c r="AH26" s="1721" t="s">
        <v>1537</v>
      </c>
      <c r="AI26" s="2420"/>
      <c r="AJ26" s="2845"/>
      <c r="AK26" s="2759"/>
      <c r="AL26" s="3840">
        <f>+Sector1!$F$36</f>
        <v>1</v>
      </c>
      <c r="AM26" s="3841"/>
      <c r="AN26" s="3841"/>
      <c r="AO26" s="3841"/>
      <c r="AP26" s="3841"/>
      <c r="AQ26" s="3842"/>
      <c r="BB26" s="3481">
        <v>0.12123802877588744</v>
      </c>
      <c r="BC26" s="736" t="str">
        <f t="shared" si="2"/>
        <v/>
      </c>
    </row>
    <row r="27" spans="1:55" ht="12.75" customHeight="1">
      <c r="A27" s="701"/>
      <c r="B27" s="701"/>
      <c r="C27" s="863" t="s">
        <v>1791</v>
      </c>
      <c r="D27" s="711" t="s">
        <v>664</v>
      </c>
      <c r="E27" s="820" t="s">
        <v>1767</v>
      </c>
      <c r="F27" s="741" t="str">
        <f>+$F$9</f>
        <v>$HTaxOth</v>
      </c>
      <c r="G27" s="876">
        <f>+G9/'VVP2'!G$341</f>
        <v>9.1369120853945166E-3</v>
      </c>
      <c r="H27" s="876">
        <f>+H9/'VVP2'!H$341</f>
        <v>1.1270289467725542E-2</v>
      </c>
      <c r="I27" s="876">
        <f>+I9/'VVP2'!I$341</f>
        <v>1.0369549025755967E-2</v>
      </c>
      <c r="J27" s="876">
        <f>+J9/'VVP2'!J$341</f>
        <v>1.038878632427135E-2</v>
      </c>
      <c r="K27" s="876">
        <f>+K9/'VVP2'!K$341</f>
        <v>9.6573510436839156E-3</v>
      </c>
      <c r="L27" s="876">
        <f>+L9/'VVP2'!L$341</f>
        <v>1.0212172547203293E-2</v>
      </c>
      <c r="M27" s="876">
        <f>+M9/'VVP2'!M$341</f>
        <v>1.000033844819889E-2</v>
      </c>
      <c r="N27" s="876">
        <f>+N9/'VVP2'!N$341</f>
        <v>1.0335051956927053E-2</v>
      </c>
      <c r="O27" s="876">
        <f>+O9/'VVP2'!O$341</f>
        <v>1.0415302833453259E-2</v>
      </c>
      <c r="P27" s="876">
        <f>+P9/'VVP2'!P$341</f>
        <v>9.9647379667376808E-3</v>
      </c>
      <c r="Q27" s="876">
        <f>+Q9/'VVP2'!Q$341</f>
        <v>9.997309909735963E-3</v>
      </c>
      <c r="R27" s="876">
        <f>+R9/'VVP2'!R$341</f>
        <v>9.5026031041299669E-3</v>
      </c>
      <c r="S27" s="876">
        <f>+S9/'VVP2'!S$341</f>
        <v>9.415680117104511E-3</v>
      </c>
      <c r="T27" s="876">
        <f>+T9/'VVP2'!T$341</f>
        <v>8.5117085008879073E-3</v>
      </c>
      <c r="U27" s="876">
        <f>+U9/'VVP2'!U$341</f>
        <v>8.8702673656116983E-3</v>
      </c>
      <c r="V27" s="3200">
        <f>+V9/'VVP2'!V$341</f>
        <v>8.1607367450814792E-3</v>
      </c>
      <c r="W27" s="3200">
        <f>+W9/'VVP2'!W$341</f>
        <v>8.0050958155913482E-3</v>
      </c>
      <c r="X27" s="3200">
        <f>+X9/'VVP2'!X$341</f>
        <v>8.2342266780269617E-3</v>
      </c>
      <c r="Y27" s="3200">
        <f>+Y9/'VVP2'!Y$341</f>
        <v>8.1538148867800996E-3</v>
      </c>
      <c r="Z27" s="3200">
        <f>+Z9/'VVP2'!Z$341</f>
        <v>7.7796456415689203E-3</v>
      </c>
      <c r="AA27" s="3200">
        <f>+AA9/'VVP2'!AA$341</f>
        <v>7.4765389762760977E-3</v>
      </c>
      <c r="AB27" s="3200">
        <f>+AB9/'VVP2'!AB$341</f>
        <v>7.3551526771082039E-3</v>
      </c>
      <c r="AC27" s="3200">
        <f>+AC9/'VVP2'!AC$341</f>
        <v>6.8339572460541275E-3</v>
      </c>
      <c r="AD27" s="3003">
        <f ca="1">+AD9/'VVP2'!AD$341</f>
        <v>6.7382272221204369E-3</v>
      </c>
      <c r="AE27" s="3003">
        <f ca="1">+AE9/'VVP2'!AE$341</f>
        <v>6.6154734326364746E-3</v>
      </c>
      <c r="AF27" s="3003">
        <f ca="1">+AF9/'VVP2'!AF$341</f>
        <v>6.5928234716057721E-3</v>
      </c>
      <c r="AH27" s="1721" t="s">
        <v>409</v>
      </c>
      <c r="AI27" s="2420"/>
      <c r="AJ27" s="2845"/>
      <c r="AK27" s="2759"/>
      <c r="AL27" s="3843">
        <f ca="1">((Transfer!E213+Transfer!E231-Transfer!D213-Transfer!D231)/(Transfer!D213+Transfer!D231))/((Transfer!E136-Transfer!D136)/Transfer!D136)</f>
        <v>1.0222542809717678</v>
      </c>
      <c r="AM27" s="3844"/>
      <c r="AN27" s="3843">
        <f ca="1">((Transfer!F213+Transfer!F231-Transfer!E213-Transfer!E231)/(Transfer!E213+Transfer!E231))/((Transfer!F136-Transfer!E136)/Transfer!E136)</f>
        <v>0.85479571474363192</v>
      </c>
      <c r="AO27" s="3844"/>
      <c r="AP27" s="3843">
        <f ca="1">((Transfer!G213+Transfer!G231-Transfer!F213-Transfer!F231)/(Transfer!F213+Transfer!F231))/((Transfer!G136-Transfer!F136)/Transfer!F136)</f>
        <v>0.8820934700988865</v>
      </c>
      <c r="AQ27" s="3845"/>
      <c r="BB27" s="3482">
        <v>7.3440307218853029E-3</v>
      </c>
      <c r="BC27" s="736" t="str">
        <f t="shared" si="2"/>
        <v/>
      </c>
    </row>
    <row r="28" spans="1:55" ht="12.75" customHeight="1">
      <c r="A28" s="701"/>
      <c r="B28" s="701"/>
      <c r="C28" s="863" t="s">
        <v>1791</v>
      </c>
      <c r="D28" s="711" t="s">
        <v>665</v>
      </c>
      <c r="E28" s="820" t="s">
        <v>1767</v>
      </c>
      <c r="F28" s="741" t="str">
        <f>+$F$10</f>
        <v>$ETaxProd</v>
      </c>
      <c r="G28" s="876">
        <f>+G10/'VVP2'!G$341</f>
        <v>5.2589878916955872E-2</v>
      </c>
      <c r="H28" s="876">
        <f>+H10/'VVP2'!H$341</f>
        <v>6.1748531052358946E-2</v>
      </c>
      <c r="I28" s="876">
        <f>+I10/'VVP2'!I$341</f>
        <v>6.0790473486852972E-2</v>
      </c>
      <c r="J28" s="876">
        <f>+J10/'VVP2'!J$341</f>
        <v>7.7144858374529168E-2</v>
      </c>
      <c r="K28" s="876">
        <f>+K10/'VVP2'!K$341</f>
        <v>7.7603809382689168E-2</v>
      </c>
      <c r="L28" s="876">
        <f>+L10/'VVP2'!L$341</f>
        <v>7.1801113094084379E-2</v>
      </c>
      <c r="M28" s="876">
        <f>+M10/'VVP2'!M$341</f>
        <v>7.2606808610766835E-2</v>
      </c>
      <c r="N28" s="876">
        <f>+N10/'VVP2'!N$341</f>
        <v>7.2143340278535903E-2</v>
      </c>
      <c r="O28" s="876">
        <f>+O10/'VVP2'!O$341</f>
        <v>7.0030807243786797E-2</v>
      </c>
      <c r="P28" s="876">
        <f>+P10/'VVP2'!P$341</f>
        <v>6.803261497726644E-2</v>
      </c>
      <c r="Q28" s="876">
        <f>+Q10/'VVP2'!Q$341</f>
        <v>6.8316955161383086E-2</v>
      </c>
      <c r="R28" s="876">
        <f>+R10/'VVP2'!R$341</f>
        <v>6.6849531750651184E-2</v>
      </c>
      <c r="S28" s="876">
        <f>+S10/'VVP2'!S$341</f>
        <v>6.7083956506289191E-2</v>
      </c>
      <c r="T28" s="876">
        <f>+T10/'VVP2'!T$341</f>
        <v>6.9627420739155593E-2</v>
      </c>
      <c r="U28" s="876">
        <f>+U10/'VVP2'!U$341</f>
        <v>6.6948480396013504E-2</v>
      </c>
      <c r="V28" s="3200">
        <f>+V10/'VVP2'!V$341</f>
        <v>6.5445379791953279E-2</v>
      </c>
      <c r="W28" s="3200">
        <f>+W10/'VVP2'!W$341</f>
        <v>6.5923836458626678E-2</v>
      </c>
      <c r="X28" s="3200">
        <f>+X10/'VVP2'!X$341</f>
        <v>6.855864572114341E-2</v>
      </c>
      <c r="Y28" s="3200">
        <f>+Y10/'VVP2'!Y$341</f>
        <v>6.8903339455142223E-2</v>
      </c>
      <c r="Z28" s="3200">
        <f>+Z10/'VVP2'!Z$341</f>
        <v>6.7803624783521629E-2</v>
      </c>
      <c r="AA28" s="3200">
        <f>+AA10/'VVP2'!AA$341</f>
        <v>6.7706792480762432E-2</v>
      </c>
      <c r="AB28" s="3200">
        <f>+AB10/'VVP2'!AB$341</f>
        <v>7.1933922198555822E-2</v>
      </c>
      <c r="AC28" s="3200">
        <f>+AC10/'VVP2'!AC$341</f>
        <v>7.250105320078036E-2</v>
      </c>
      <c r="AD28" s="3003">
        <f ca="1">+AD10/'VVP2'!AD$341</f>
        <v>7.1485458969175256E-2</v>
      </c>
      <c r="AE28" s="3003">
        <f ca="1">+AE10/'VVP2'!AE$341</f>
        <v>7.018317118750779E-2</v>
      </c>
      <c r="AF28" s="3003">
        <f ca="1">+AF10/'VVP2'!AF$341</f>
        <v>6.9942879074086861E-2</v>
      </c>
      <c r="AH28" s="1721" t="s">
        <v>410</v>
      </c>
      <c r="AI28" s="2420"/>
      <c r="AJ28" s="2845"/>
      <c r="AK28" s="2759"/>
      <c r="AL28" s="3837">
        <f ca="1">+Transfer!C258</f>
        <v>49.486635125703735</v>
      </c>
      <c r="AM28" s="3838"/>
      <c r="AN28" s="3838"/>
      <c r="AO28" s="3838"/>
      <c r="AP28" s="3838"/>
      <c r="AQ28" s="3839"/>
      <c r="BB28" s="3482">
        <v>7.1729499938478131E-2</v>
      </c>
      <c r="BC28" s="736" t="str">
        <f t="shared" si="2"/>
        <v/>
      </c>
    </row>
    <row r="29" spans="1:55" ht="12.75" customHeight="1">
      <c r="A29" s="701"/>
      <c r="B29" s="701"/>
      <c r="C29" s="863" t="s">
        <v>1791</v>
      </c>
      <c r="D29" s="711" t="s">
        <v>666</v>
      </c>
      <c r="E29" s="820" t="s">
        <v>1767</v>
      </c>
      <c r="F29" s="741" t="s">
        <v>364</v>
      </c>
      <c r="G29" s="876">
        <f>+G11/'VVP2'!G$341</f>
        <v>2.6314031038666814E-2</v>
      </c>
      <c r="H29" s="876">
        <f>+H11/'VVP2'!H$341</f>
        <v>2.7581992764599265E-2</v>
      </c>
      <c r="I29" s="876">
        <f>+I11/'VVP2'!I$341</f>
        <v>2.6919185075208532E-2</v>
      </c>
      <c r="J29" s="876">
        <f>+J11/'VVP2'!J$341</f>
        <v>3.3671059110170092E-2</v>
      </c>
      <c r="K29" s="876">
        <f>+K11/'VVP2'!K$341</f>
        <v>3.308260877909356E-2</v>
      </c>
      <c r="L29" s="876">
        <f>+L11/'VVP2'!L$341</f>
        <v>2.7879793222594481E-2</v>
      </c>
      <c r="M29" s="876">
        <f>+M11/'VVP2'!M$341</f>
        <v>2.7659679054407964E-2</v>
      </c>
      <c r="N29" s="876">
        <f>+N11/'VVP2'!N$341</f>
        <v>2.8109616353640444E-2</v>
      </c>
      <c r="O29" s="876">
        <f>+O11/'VVP2'!O$341</f>
        <v>2.8402048146436428E-2</v>
      </c>
      <c r="P29" s="876">
        <f>+P11/'VVP2'!P$341</f>
        <v>2.7944351291463512E-2</v>
      </c>
      <c r="Q29" s="876">
        <f>+Q11/'VVP2'!Q$341</f>
        <v>2.7651241993717626E-2</v>
      </c>
      <c r="R29" s="876">
        <f>+R11/'VVP2'!R$341</f>
        <v>2.6647896729248166E-2</v>
      </c>
      <c r="S29" s="876">
        <f>+S11/'VVP2'!S$341</f>
        <v>2.6000436839571726E-2</v>
      </c>
      <c r="T29" s="876">
        <f>+T11/'VVP2'!T$341</f>
        <v>2.6150159758538613E-2</v>
      </c>
      <c r="U29" s="876">
        <f>+U11/'VVP2'!U$341</f>
        <v>2.647532251582544E-2</v>
      </c>
      <c r="V29" s="3200">
        <f>+V11/'VVP2'!V$341</f>
        <v>2.5050059253810635E-2</v>
      </c>
      <c r="W29" s="3200">
        <f>+W11/'VVP2'!W$341</f>
        <v>2.5004076707102318E-2</v>
      </c>
      <c r="X29" s="3200">
        <f>+X11/'VVP2'!X$341</f>
        <v>2.5504551392553438E-2</v>
      </c>
      <c r="Y29" s="3200">
        <f>+Y11/'VVP2'!Y$341</f>
        <v>2.5702058247364361E-2</v>
      </c>
      <c r="Z29" s="3200">
        <f>+Z11/'VVP2'!Z$341</f>
        <v>2.5451892639418411E-2</v>
      </c>
      <c r="AA29" s="3200">
        <f>+AA11/'VVP2'!AA$341</f>
        <v>2.5209786023848858E-2</v>
      </c>
      <c r="AB29" s="3200">
        <f>+AB11/'VVP2'!AB$341</f>
        <v>2.5914052614789154E-2</v>
      </c>
      <c r="AC29" s="3200">
        <f>+AC11/'VVP2'!AC$341</f>
        <v>2.6147988850594869E-2</v>
      </c>
      <c r="AD29" s="3003">
        <f ca="1">+AD11/'VVP2'!AD$341</f>
        <v>2.5924134827029169E-2</v>
      </c>
      <c r="AE29" s="3003">
        <f ca="1">+AE11/'VVP2'!AE$341</f>
        <v>2.5978771452742362E-2</v>
      </c>
      <c r="AF29" s="3003">
        <f ca="1">+AF11/'VVP2'!AF$341</f>
        <v>2.6092886644542297E-2</v>
      </c>
      <c r="AH29" s="1721" t="s">
        <v>1381</v>
      </c>
      <c r="AI29" s="2420"/>
      <c r="AJ29" s="2845"/>
      <c r="AK29" s="2759"/>
      <c r="AL29" s="3826">
        <f ca="1">100*(Transfer!E213+Transfer!E231)/Transfer!E136</f>
        <v>50.897162272254484</v>
      </c>
      <c r="AM29" s="3827"/>
      <c r="AN29" s="3826">
        <f ca="1">100*(Transfer!F213+Transfer!F231)/Transfer!F136</f>
        <v>50.608159594022425</v>
      </c>
      <c r="AO29" s="3827"/>
      <c r="AP29" s="3826">
        <f ca="1">100*(Transfer!G213+Transfer!G231)/Transfer!G136</f>
        <v>50.382091883244968</v>
      </c>
      <c r="AQ29" s="3828"/>
      <c r="BB29" s="3483">
        <v>2.5906607539084546E-2</v>
      </c>
      <c r="BC29" s="736" t="str">
        <f t="shared" si="2"/>
        <v/>
      </c>
    </row>
    <row r="30" spans="1:55" ht="12.75" customHeight="1" thickBot="1">
      <c r="A30" s="701"/>
      <c r="B30" s="701"/>
      <c r="C30" s="864" t="s">
        <v>301</v>
      </c>
      <c r="D30" s="865" t="s">
        <v>667</v>
      </c>
      <c r="E30" s="866" t="s">
        <v>978</v>
      </c>
      <c r="F30" s="867" t="str">
        <f>+$F$12</f>
        <v>TaxToRow</v>
      </c>
      <c r="G30" s="877">
        <f>+G12/'VVP2'!G$341</f>
        <v>2.4256913273315063E-3</v>
      </c>
      <c r="H30" s="877">
        <f>+H12/'VVP2'!H$341</f>
        <v>1.741128155924023E-3</v>
      </c>
      <c r="I30" s="877">
        <f>+I12/'VVP2'!I$341</f>
        <v>1.8981413249797971E-3</v>
      </c>
      <c r="J30" s="877">
        <f>+J12/'VVP2'!J$341</f>
        <v>1.7393097176340115E-3</v>
      </c>
      <c r="K30" s="877">
        <f>+K12/'VVP2'!K$341</f>
        <v>1.5969129325400244E-3</v>
      </c>
      <c r="L30" s="877">
        <f>+L12/'VVP2'!L$341</f>
        <v>1.5925317142873921E-3</v>
      </c>
      <c r="M30" s="877">
        <f>+M12/'VVP2'!M$341</f>
        <v>1.4577447423683959E-3</v>
      </c>
      <c r="N30" s="877">
        <f>+N12/'VVP2'!N$341</f>
        <v>1.3201453480805251E-3</v>
      </c>
      <c r="O30" s="877">
        <f>+O12/'VVP2'!O$341</f>
        <v>1.2977164442942442E-3</v>
      </c>
      <c r="P30" s="877">
        <f>+P12/'VVP2'!P$341</f>
        <v>1.3755148388603774E-3</v>
      </c>
      <c r="Q30" s="877">
        <f>+Q12/'VVP2'!Q$341</f>
        <v>1.6027166132485057E-3</v>
      </c>
      <c r="R30" s="877">
        <f>+R12/'VVP2'!R$341</f>
        <v>1.6629958289744152E-3</v>
      </c>
      <c r="S30" s="877">
        <f>+S12/'VVP2'!S$341</f>
        <v>1.7821963942255988E-3</v>
      </c>
      <c r="T30" s="877">
        <f>+T12/'VVP2'!T$341</f>
        <v>1.7318845728710925E-3</v>
      </c>
      <c r="U30" s="877">
        <f>+U12/'VVP2'!U$341</f>
        <v>1.5646980308984574E-3</v>
      </c>
      <c r="V30" s="3201">
        <f>+V12/'VVP2'!V$341</f>
        <v>1.6101825743851E-3</v>
      </c>
      <c r="W30" s="3201">
        <f>+W12/'VVP2'!W$341</f>
        <v>1.5460075175298404E-3</v>
      </c>
      <c r="X30" s="3201">
        <f>+X12/'VVP2'!X$341</f>
        <v>1.4245551010051583E-3</v>
      </c>
      <c r="Y30" s="3201">
        <f>+Y12/'VVP2'!Y$341</f>
        <v>1.3837001604954401E-3</v>
      </c>
      <c r="Z30" s="3201">
        <f>+Z12/'VVP2'!Z$341</f>
        <v>1.4732581817720458E-3</v>
      </c>
      <c r="AA30" s="3201">
        <f>+AA12/'VVP2'!AA$341</f>
        <v>1.4934989359861367E-3</v>
      </c>
      <c r="AB30" s="3201">
        <f>+AB12/'VVP2'!AB$341</f>
        <v>1.3854758081011114E-3</v>
      </c>
      <c r="AC30" s="3201">
        <f>+AC12/'VVP2'!AC$341</f>
        <v>1.3667040919662127E-3</v>
      </c>
      <c r="AD30" s="3004">
        <f ca="1">+AD12/'VVP2'!AD$341</f>
        <v>1.357136042491101E-3</v>
      </c>
      <c r="AE30" s="3004">
        <f ca="1">+AE12/'VVP2'!AE$341</f>
        <v>1.3135335604254027E-3</v>
      </c>
      <c r="AF30" s="3004">
        <f ca="1">+AF12/'VVP2'!AF$341</f>
        <v>1.2557968145221073E-3</v>
      </c>
      <c r="AH30" s="2464" t="s">
        <v>1382</v>
      </c>
      <c r="AI30" s="2735"/>
      <c r="AJ30" s="3701"/>
      <c r="AK30" s="3702"/>
      <c r="AL30" s="3832">
        <f ca="1">100*(((Transfer!E213+Transfer!E231)/(Transfer!D213+Transfer!D231)-1)-(Sector1!$F$36*((Transfer!E136/Transfer!D136)-1)))*((Transfer!D213+Transfer!D231)/Transfer!E147)</f>
        <v>1.9910387713874472E-2</v>
      </c>
      <c r="AM30" s="3833"/>
      <c r="AN30" s="3834">
        <f ca="1">100*(((Transfer!F213+Transfer!F231)/(Transfer!E213+Transfer!E231)-1)-(Sector1!$F$36*((Transfer!F136/Transfer!E136)-1)))*((Transfer!E213+Transfer!E231)/Transfer!F147)</f>
        <v>-0.12823310276849972</v>
      </c>
      <c r="AO30" s="3835"/>
      <c r="AP30" s="3834">
        <f ca="1">100*(((Transfer!G213+Transfer!G231)/(Transfer!F213+Transfer!F231)-1)-(Sector1!$F$36*((Transfer!G136/Transfer!F136)-1)))*((Transfer!F213+Transfer!F231)/Transfer!G147)</f>
        <v>-0.10068865020985013</v>
      </c>
      <c r="AQ30" s="3836"/>
      <c r="BB30" s="3484">
        <v>1.3793610715973753E-3</v>
      </c>
      <c r="BC30" s="736" t="str">
        <f t="shared" si="2"/>
        <v/>
      </c>
    </row>
    <row r="31" spans="1:55" ht="12.75" customHeight="1">
      <c r="A31" s="701"/>
      <c r="B31" s="701"/>
      <c r="C31" s="811" t="s">
        <v>1793</v>
      </c>
      <c r="D31" s="843" t="s">
        <v>666</v>
      </c>
      <c r="E31" s="844" t="s">
        <v>1879</v>
      </c>
      <c r="F31" s="845" t="str">
        <f>+$F$13</f>
        <v>YATaxIndir</v>
      </c>
      <c r="G31" s="878">
        <f>+G13/'VVP2'!G$341</f>
        <v>0.21475906425801633</v>
      </c>
      <c r="H31" s="878">
        <f>+H13/'VVP2'!H$341</f>
        <v>0.22331829663075162</v>
      </c>
      <c r="I31" s="878">
        <f>+I13/'VVP2'!I$341</f>
        <v>0.21910821977291542</v>
      </c>
      <c r="J31" s="878">
        <f>+J13/'VVP2'!J$341</f>
        <v>0.24296203268113534</v>
      </c>
      <c r="K31" s="878">
        <f>+K13/'VVP2'!K$341</f>
        <v>0.24098389117426661</v>
      </c>
      <c r="L31" s="878">
        <f>+L13/'VVP2'!L$341</f>
        <v>0.22628549948691612</v>
      </c>
      <c r="M31" s="878">
        <f>+M13/'VVP2'!M$341</f>
        <v>0.22730906283693728</v>
      </c>
      <c r="N31" s="878">
        <f>+N13/'VVP2'!N$341</f>
        <v>0.22954134079058761</v>
      </c>
      <c r="O31" s="878">
        <f>+O13/'VVP2'!O$341</f>
        <v>0.22786841401444238</v>
      </c>
      <c r="P31" s="878">
        <f>+P13/'VVP2'!P$341</f>
        <v>0.22318093236618822</v>
      </c>
      <c r="Q31" s="878">
        <f>+Q13/'VVP2'!Q$341</f>
        <v>0.22496472477421967</v>
      </c>
      <c r="R31" s="878">
        <f>+R13/'VVP2'!R$341</f>
        <v>0.22023092437429784</v>
      </c>
      <c r="S31" s="878">
        <f>+S13/'VVP2'!S$341</f>
        <v>0.21954914642092974</v>
      </c>
      <c r="T31" s="878">
        <f>+T13/'VVP2'!T$341</f>
        <v>0.22316131735266378</v>
      </c>
      <c r="U31" s="878">
        <f>+U13/'VVP2'!U$341</f>
        <v>0.22614610105865446</v>
      </c>
      <c r="V31" s="878">
        <f>+V13/'VVP2'!V$341</f>
        <v>0.22184195351413691</v>
      </c>
      <c r="W31" s="878">
        <f>+W13/'VVP2'!W$341</f>
        <v>0.21902037206337099</v>
      </c>
      <c r="X31" s="878">
        <f>+X13/'VVP2'!X$341</f>
        <v>0.22150408620957468</v>
      </c>
      <c r="Y31" s="878">
        <f>+Y13/'VVP2'!Y$341</f>
        <v>0.22125609343447258</v>
      </c>
      <c r="Z31" s="878">
        <f>+Z13/'VVP2'!Z$341</f>
        <v>0.21814675488622595</v>
      </c>
      <c r="AA31" s="878">
        <f>+AA13/'VVP2'!AA$341</f>
        <v>0.21799705489150059</v>
      </c>
      <c r="AB31" s="878">
        <f>+AB13/'VVP2'!AB$341</f>
        <v>0.22516056903014639</v>
      </c>
      <c r="AC31" s="878">
        <f>+AC13/'VVP2'!AC$341</f>
        <v>0.22527991991087815</v>
      </c>
      <c r="AD31" s="3700">
        <f ca="1">+AD13/'VVP2'!AD$341</f>
        <v>0.22385247838290154</v>
      </c>
      <c r="AE31" s="3700">
        <f ca="1">+AE13/'VVP2'!AE$341</f>
        <v>0.22323944878024263</v>
      </c>
      <c r="AF31" s="3700">
        <f ca="1">+AF13/'VVP2'!AF$341</f>
        <v>0.2231417878306505</v>
      </c>
      <c r="BB31" s="3485">
        <v>0.2243849970192543</v>
      </c>
      <c r="BC31" s="736" t="str">
        <f t="shared" si="2"/>
        <v/>
      </c>
    </row>
    <row r="32" spans="1:55" ht="12.75" customHeight="1">
      <c r="A32" s="701"/>
      <c r="B32" s="701"/>
      <c r="C32" s="811"/>
      <c r="BC32" s="736" t="str">
        <f t="shared" si="2"/>
        <v/>
      </c>
    </row>
    <row r="33" spans="1:55" ht="12.75" customHeight="1">
      <c r="A33" s="701"/>
      <c r="B33" s="701"/>
      <c r="C33" s="811"/>
      <c r="D33" s="855"/>
      <c r="E33" s="856" t="s">
        <v>623</v>
      </c>
      <c r="F33" s="857"/>
      <c r="G33" s="858">
        <f>+InputY!$G$3</f>
        <v>1995</v>
      </c>
      <c r="H33" s="858">
        <f t="shared" ref="H33:O33" si="28">+G33+1</f>
        <v>1996</v>
      </c>
      <c r="I33" s="858">
        <f t="shared" si="28"/>
        <v>1997</v>
      </c>
      <c r="J33" s="858">
        <f t="shared" si="28"/>
        <v>1998</v>
      </c>
      <c r="K33" s="858">
        <f t="shared" si="28"/>
        <v>1999</v>
      </c>
      <c r="L33" s="858">
        <f t="shared" si="28"/>
        <v>2000</v>
      </c>
      <c r="M33" s="858">
        <f t="shared" si="28"/>
        <v>2001</v>
      </c>
      <c r="N33" s="858">
        <f t="shared" si="28"/>
        <v>2002</v>
      </c>
      <c r="O33" s="858">
        <f t="shared" si="28"/>
        <v>2003</v>
      </c>
      <c r="P33" s="858">
        <f>+O33+1</f>
        <v>2004</v>
      </c>
      <c r="Q33" s="858">
        <f>+P33+1</f>
        <v>2005</v>
      </c>
      <c r="R33" s="858">
        <f>+Q33+1</f>
        <v>2006</v>
      </c>
      <c r="S33" s="858">
        <f>+R33+1</f>
        <v>2007</v>
      </c>
      <c r="T33" s="858">
        <f t="shared" ref="T33:AF33" si="29">+S33+1</f>
        <v>2008</v>
      </c>
      <c r="U33" s="858">
        <f t="shared" si="29"/>
        <v>2009</v>
      </c>
      <c r="V33" s="858">
        <f t="shared" si="29"/>
        <v>2010</v>
      </c>
      <c r="W33" s="858">
        <f t="shared" si="29"/>
        <v>2011</v>
      </c>
      <c r="X33" s="2323">
        <f t="shared" si="29"/>
        <v>2012</v>
      </c>
      <c r="Y33" s="2323">
        <f t="shared" si="29"/>
        <v>2013</v>
      </c>
      <c r="Z33" s="2323">
        <f t="shared" si="29"/>
        <v>2014</v>
      </c>
      <c r="AA33" s="2323">
        <f t="shared" si="29"/>
        <v>2015</v>
      </c>
      <c r="AB33" s="2323">
        <f t="shared" si="29"/>
        <v>2016</v>
      </c>
      <c r="AC33" s="2323">
        <f t="shared" si="29"/>
        <v>2017</v>
      </c>
      <c r="AD33" s="2323">
        <f t="shared" si="29"/>
        <v>2018</v>
      </c>
      <c r="AE33" s="2323">
        <f t="shared" si="29"/>
        <v>2019</v>
      </c>
      <c r="AF33" s="2323">
        <f t="shared" si="29"/>
        <v>2020</v>
      </c>
      <c r="BB33" s="3486">
        <v>2016</v>
      </c>
      <c r="BC33" s="736" t="str">
        <f t="shared" si="2"/>
        <v/>
      </c>
    </row>
    <row r="34" spans="1:55" s="935" customFormat="1" ht="51">
      <c r="A34" s="701"/>
      <c r="B34" s="701"/>
      <c r="C34" s="859"/>
      <c r="D34" s="1890" t="s">
        <v>1563</v>
      </c>
      <c r="E34" s="1891" t="s">
        <v>1760</v>
      </c>
      <c r="F34" s="1892" t="s">
        <v>1782</v>
      </c>
      <c r="G34" s="1893">
        <f>+G13+G12</f>
        <v>409.53399999999999</v>
      </c>
      <c r="H34" s="1893">
        <f t="shared" ref="H34:R34" si="30">+H13+H12</f>
        <v>435.35</v>
      </c>
      <c r="I34" s="1893">
        <f t="shared" si="30"/>
        <v>446.87</v>
      </c>
      <c r="J34" s="1893">
        <f t="shared" si="30"/>
        <v>519.84500000000003</v>
      </c>
      <c r="K34" s="1893">
        <f t="shared" si="30"/>
        <v>543.52</v>
      </c>
      <c r="L34" s="1893">
        <f t="shared" si="30"/>
        <v>543.17600000000004</v>
      </c>
      <c r="M34" s="1893">
        <f t="shared" si="30"/>
        <v>567.78000000000009</v>
      </c>
      <c r="N34" s="1893">
        <f t="shared" si="30"/>
        <v>594.22800000000007</v>
      </c>
      <c r="O34" s="1893">
        <f t="shared" si="30"/>
        <v>614.36300000000006</v>
      </c>
      <c r="P34" s="1893">
        <f t="shared" si="30"/>
        <v>630.6450000000001</v>
      </c>
      <c r="Q34" s="1893">
        <f t="shared" si="30"/>
        <v>659.46600000000001</v>
      </c>
      <c r="R34" s="1893">
        <f t="shared" si="30"/>
        <v>688.5</v>
      </c>
      <c r="S34" s="1893">
        <f t="shared" ref="S34:U34" si="31">+S13+S12</f>
        <v>730.61099999999999</v>
      </c>
      <c r="T34" s="1893">
        <f t="shared" si="31"/>
        <v>762.76600000000008</v>
      </c>
      <c r="U34" s="1893">
        <f t="shared" si="31"/>
        <v>749.62599999999998</v>
      </c>
      <c r="V34" s="1893">
        <f>+V13+V12</f>
        <v>787.40599999999995</v>
      </c>
      <c r="W34" s="1893">
        <f>+W13+W12</f>
        <v>807.50299999999993</v>
      </c>
      <c r="X34" s="1893">
        <f t="shared" ref="X34:AC34" si="32">+X13+X12</f>
        <v>822.35500000000002</v>
      </c>
      <c r="Y34" s="1893">
        <f t="shared" si="32"/>
        <v>840.22899999999993</v>
      </c>
      <c r="Z34" s="1893">
        <f t="shared" si="32"/>
        <v>865.50600000000009</v>
      </c>
      <c r="AA34" s="1893">
        <f t="shared" si="32"/>
        <v>922.19899999999996</v>
      </c>
      <c r="AB34" s="1893">
        <f t="shared" si="32"/>
        <v>993.51700000000005</v>
      </c>
      <c r="AC34" s="1893">
        <f t="shared" si="32"/>
        <v>1037.7920000000001</v>
      </c>
      <c r="AD34" s="2324">
        <f t="shared" ref="AD34" ca="1" si="33">+AD13+AD12</f>
        <v>1081.7212219295097</v>
      </c>
      <c r="AE34" s="2324">
        <f t="shared" ref="AE34:AF34" ca="1" si="34">+AE13+AE12</f>
        <v>1119.3508978595564</v>
      </c>
      <c r="AF34" s="2324">
        <f t="shared" ca="1" si="34"/>
        <v>1158.2316371123648</v>
      </c>
      <c r="AG34" s="2941"/>
      <c r="AH34" s="2939"/>
      <c r="AI34" s="2939"/>
      <c r="AJ34" s="2939"/>
      <c r="AK34" s="2939"/>
      <c r="AL34" s="2939"/>
      <c r="AM34" s="2939"/>
      <c r="AN34" s="2941"/>
      <c r="AO34" s="2941"/>
      <c r="AP34" s="2941"/>
      <c r="AQ34" s="2941"/>
      <c r="AR34" s="2941"/>
      <c r="AS34" s="2941"/>
      <c r="AT34" s="2941"/>
      <c r="BB34" s="3487">
        <v>994.47800000000007</v>
      </c>
      <c r="BC34" s="736" t="str">
        <f t="shared" si="2"/>
        <v/>
      </c>
    </row>
    <row r="35" spans="1:55" ht="12.75" customHeight="1" thickBot="1">
      <c r="A35" s="701"/>
      <c r="B35" s="701"/>
      <c r="C35" s="863"/>
      <c r="D35" s="843"/>
      <c r="E35" s="1788" t="s">
        <v>1336</v>
      </c>
      <c r="F35" s="187"/>
      <c r="G35" s="1788"/>
      <c r="H35" s="846">
        <f>(H34/G34-1)*100</f>
        <v>6.3037501159854958</v>
      </c>
      <c r="I35" s="846">
        <f t="shared" ref="I35:AF35" si="35">(I34/H34-1)*100</f>
        <v>2.6461467784541171</v>
      </c>
      <c r="J35" s="846">
        <f t="shared" si="35"/>
        <v>16.330252646183464</v>
      </c>
      <c r="K35" s="846">
        <f t="shared" si="35"/>
        <v>4.5542421298656155</v>
      </c>
      <c r="L35" s="846">
        <f t="shared" si="35"/>
        <v>-6.3291139240495564E-2</v>
      </c>
      <c r="M35" s="846">
        <f t="shared" si="35"/>
        <v>4.5296552130432932</v>
      </c>
      <c r="N35" s="846">
        <f t="shared" si="35"/>
        <v>4.6581422381908544</v>
      </c>
      <c r="O35" s="846">
        <f t="shared" si="35"/>
        <v>3.3884300302240877</v>
      </c>
      <c r="P35" s="846">
        <f t="shared" si="35"/>
        <v>2.6502247042872185</v>
      </c>
      <c r="Q35" s="846">
        <f t="shared" si="35"/>
        <v>4.5700830102513912</v>
      </c>
      <c r="R35" s="846">
        <f t="shared" si="35"/>
        <v>4.4026530556541266</v>
      </c>
      <c r="S35" s="846">
        <f t="shared" si="35"/>
        <v>6.11633986928104</v>
      </c>
      <c r="T35" s="846">
        <f t="shared" si="35"/>
        <v>4.4011108510548125</v>
      </c>
      <c r="U35" s="846">
        <f t="shared" si="35"/>
        <v>-1.7226777281630357</v>
      </c>
      <c r="V35" s="846">
        <f t="shared" si="35"/>
        <v>5.0398465368063583</v>
      </c>
      <c r="W35" s="846">
        <f t="shared" si="35"/>
        <v>2.5523046560478324</v>
      </c>
      <c r="X35" s="846">
        <f t="shared" ref="X35" si="36">(X34/W34-1)*100</f>
        <v>1.8392501328168498</v>
      </c>
      <c r="Y35" s="846">
        <f t="shared" ref="Y35" si="37">(Y34/X34-1)*100</f>
        <v>2.1735138717463798</v>
      </c>
      <c r="Z35" s="846">
        <f t="shared" ref="Z35" si="38">(Z34/Y34-1)*100</f>
        <v>3.0083465340996485</v>
      </c>
      <c r="AA35" s="846">
        <f t="shared" ref="AA35" si="39">(AA34/Z34-1)*100</f>
        <v>6.5502723262461426</v>
      </c>
      <c r="AB35" s="846">
        <f t="shared" ref="AB35" si="40">(AB34/AA34-1)*100</f>
        <v>7.7334718428452076</v>
      </c>
      <c r="AC35" s="846">
        <f t="shared" ref="AC35" si="41">(AC34/AB34-1)*100</f>
        <v>4.4563907814360482</v>
      </c>
      <c r="AD35" s="2321">
        <f t="shared" ca="1" si="35"/>
        <v>4.2329505266478717</v>
      </c>
      <c r="AE35" s="2321">
        <f t="shared" ca="1" si="35"/>
        <v>3.4786851886778214</v>
      </c>
      <c r="AF35" s="2321">
        <f t="shared" ca="1" si="35"/>
        <v>3.4735076665553866</v>
      </c>
      <c r="AH35" s="2941"/>
      <c r="AI35" s="2941"/>
      <c r="AJ35" s="2941"/>
      <c r="AK35" s="2941"/>
      <c r="AL35" s="2941"/>
      <c r="AM35" s="2941"/>
      <c r="BB35" s="3488">
        <v>7.8238826780814064</v>
      </c>
      <c r="BC35" s="736" t="str">
        <f t="shared" si="2"/>
        <v/>
      </c>
    </row>
    <row r="36" spans="1:55" s="921" customFormat="1" ht="12.75" customHeight="1" thickBot="1">
      <c r="A36" s="701"/>
      <c r="B36" s="701"/>
      <c r="C36" s="863"/>
      <c r="D36" s="1081"/>
      <c r="E36" s="1082" t="s">
        <v>145</v>
      </c>
      <c r="F36" s="1555">
        <v>1</v>
      </c>
      <c r="G36" s="1084"/>
      <c r="H36" s="1084">
        <f>+H35/'VVP2'!H188</f>
        <v>2.2968364277179427</v>
      </c>
      <c r="I36" s="1084">
        <f>+I35/'VVP2'!I188</f>
        <v>0.61700711084984761</v>
      </c>
      <c r="J36" s="1084">
        <f>+J35/'VVP2'!J188</f>
        <v>4.329105989747343</v>
      </c>
      <c r="K36" s="1084">
        <f>+K35/'VVP2'!K188</f>
        <v>0.81839154587339569</v>
      </c>
      <c r="L36" s="1084">
        <f>+L35/'VVP2'!L188</f>
        <v>-1.0070767649862583E-2</v>
      </c>
      <c r="M36" s="1084">
        <f>+M35/'VVP2'!M188</f>
        <v>1.5625733843770901</v>
      </c>
      <c r="N36" s="1084">
        <f>+N35/'VVP2'!N188</f>
        <v>1.1397085584564857</v>
      </c>
      <c r="O36" s="1084">
        <f>+O35/'VVP2'!O188</f>
        <v>0.85278405085730458</v>
      </c>
      <c r="P36" s="1084">
        <f>+P35/'VVP2'!P188</f>
        <v>0.73834450333457535</v>
      </c>
      <c r="Q36" s="1084">
        <f>+Q35/'VVP2'!Q188</f>
        <v>1.1695407920880321</v>
      </c>
      <c r="R36" s="1084">
        <f>+R35/'VVP2'!R188</f>
        <v>1.1266052565868079</v>
      </c>
      <c r="S36" s="1084">
        <f>+S35/'VVP2'!S188</f>
        <v>1.1550123589912158</v>
      </c>
      <c r="T36" s="1084">
        <f>+T35/'VVP2'!T188</f>
        <v>1.3109312489006666</v>
      </c>
      <c r="U36" s="1084">
        <f>+U35/'VVP2'!U188</f>
        <v>-0.66612629684934832</v>
      </c>
      <c r="V36" s="1084">
        <f>+V35/'VVP2'!V188</f>
        <v>0.92741060290548349</v>
      </c>
      <c r="W36" s="1084">
        <f>+W35/'VVP2'!W188</f>
        <v>0.71617874568054873</v>
      </c>
      <c r="X36" s="1084">
        <f>+X35/'VVP2'!X188</f>
        <v>1.4067940873785534</v>
      </c>
      <c r="Y36" s="1084">
        <f>+Y35/'VVP2'!Y188</f>
        <v>0.84185215303721006</v>
      </c>
      <c r="Z36" s="1084">
        <f>+Z35/'VVP2'!Z188</f>
        <v>0.93061701995134005</v>
      </c>
      <c r="AA36" s="1084">
        <f>+AA35/'VVP2'!AA188</f>
        <v>1.6313961552356466</v>
      </c>
      <c r="AB36" s="1084">
        <f>+AB35/'VVP2'!AB188</f>
        <v>1.987417784460505</v>
      </c>
      <c r="AC36" s="1084">
        <f>+AC35/'VVP2'!AC188</f>
        <v>1.1185488427913575</v>
      </c>
      <c r="AD36" s="3699">
        <f ca="1">+AD35/'VVP2'!AD188</f>
        <v>1.0222542809717647</v>
      </c>
      <c r="AE36" s="3699">
        <f ca="1">+AE35/'VVP2'!AE188</f>
        <v>0.85479571474363136</v>
      </c>
      <c r="AF36" s="3699">
        <f ca="1">+AF35/'VVP2'!AF188</f>
        <v>0.88209347009888628</v>
      </c>
      <c r="AG36" s="2942"/>
      <c r="AH36" s="2939"/>
      <c r="AI36" s="2939"/>
      <c r="AJ36" s="2939"/>
      <c r="AK36" s="2939"/>
      <c r="AL36" s="2939"/>
      <c r="AM36" s="2939"/>
      <c r="AN36" s="2942"/>
      <c r="AO36" s="2942"/>
      <c r="AP36" s="2942"/>
      <c r="AQ36" s="2942"/>
      <c r="AR36" s="2942"/>
      <c r="AS36" s="2942"/>
      <c r="AT36" s="2942"/>
      <c r="BB36" s="3489">
        <v>2.4368701099792798</v>
      </c>
      <c r="BC36" s="736" t="str">
        <f t="shared" si="2"/>
        <v/>
      </c>
    </row>
    <row r="37" spans="1:55" s="921" customFormat="1" ht="12.75" customHeight="1">
      <c r="A37" s="701"/>
      <c r="B37" s="701"/>
      <c r="C37" s="863"/>
      <c r="D37" s="843"/>
      <c r="E37" s="844" t="s">
        <v>1759</v>
      </c>
      <c r="F37" s="845"/>
      <c r="G37" s="846"/>
      <c r="H37" s="846"/>
      <c r="I37" s="846"/>
      <c r="J37" s="846"/>
      <c r="K37" s="846">
        <f t="shared" ref="K37:AF37" si="42">AVERAGE(H36:K36)</f>
        <v>2.0153352685471324</v>
      </c>
      <c r="L37" s="846">
        <f t="shared" si="42"/>
        <v>1.4386084697051809</v>
      </c>
      <c r="M37" s="846">
        <f t="shared" si="42"/>
        <v>1.6750000380869916</v>
      </c>
      <c r="N37" s="846">
        <f t="shared" si="42"/>
        <v>0.87765068026427728</v>
      </c>
      <c r="O37" s="846">
        <f t="shared" si="42"/>
        <v>0.88624880651025451</v>
      </c>
      <c r="P37" s="846">
        <f t="shared" si="42"/>
        <v>1.073352624256364</v>
      </c>
      <c r="Q37" s="846">
        <f t="shared" si="42"/>
        <v>0.97509447618409939</v>
      </c>
      <c r="R37" s="846">
        <f t="shared" si="42"/>
        <v>0.97181865071667994</v>
      </c>
      <c r="S37" s="846">
        <f t="shared" si="42"/>
        <v>1.0473757277501579</v>
      </c>
      <c r="T37" s="846">
        <f t="shared" si="42"/>
        <v>1.1905224141416806</v>
      </c>
      <c r="U37" s="846">
        <f t="shared" si="42"/>
        <v>0.73160564190733546</v>
      </c>
      <c r="V37" s="846">
        <f t="shared" si="42"/>
        <v>0.68180697848700433</v>
      </c>
      <c r="W37" s="846">
        <f t="shared" si="42"/>
        <v>0.5720985751593376</v>
      </c>
      <c r="X37" s="846">
        <f t="shared" ref="X37" si="43">AVERAGE(U36:X36)</f>
        <v>0.59606428477880935</v>
      </c>
      <c r="Y37" s="846">
        <f t="shared" ref="Y37" si="44">AVERAGE(V36:Y36)</f>
        <v>0.97305889725044881</v>
      </c>
      <c r="Z37" s="846">
        <f t="shared" ref="Z37" si="45">AVERAGE(W36:Z36)</f>
        <v>0.97386050151191306</v>
      </c>
      <c r="AA37" s="846">
        <f t="shared" ref="AA37" si="46">AVERAGE(X36:AA36)</f>
        <v>1.2026648539006874</v>
      </c>
      <c r="AB37" s="846">
        <f t="shared" ref="AB37" si="47">AVERAGE(Y36:AB36)</f>
        <v>1.3478207781711755</v>
      </c>
      <c r="AC37" s="846">
        <f t="shared" ref="AC37" si="48">AVERAGE(Z36:AC36)</f>
        <v>1.4169949506097121</v>
      </c>
      <c r="AD37" s="3104">
        <f t="shared" ca="1" si="42"/>
        <v>1.4399042658648185</v>
      </c>
      <c r="AE37" s="3104">
        <f t="shared" ca="1" si="42"/>
        <v>1.2457541557418146</v>
      </c>
      <c r="AF37" s="3104">
        <f t="shared" ca="1" si="42"/>
        <v>0.96942307715141007</v>
      </c>
      <c r="AG37" s="2942"/>
      <c r="AH37" s="2942"/>
      <c r="AI37" s="2942"/>
      <c r="AJ37" s="2942"/>
      <c r="AK37" s="2942"/>
      <c r="AL37" s="2942"/>
      <c r="AM37" s="2942"/>
      <c r="AN37" s="2942"/>
      <c r="AO37" s="2942"/>
      <c r="AP37" s="2942"/>
      <c r="AQ37" s="2942"/>
      <c r="AR37" s="2942"/>
      <c r="AS37" s="2942"/>
      <c r="AT37" s="2942"/>
      <c r="BB37" s="3488">
        <v>1.4660204405268047</v>
      </c>
      <c r="BC37" s="736" t="str">
        <f t="shared" si="2"/>
        <v/>
      </c>
    </row>
    <row r="38" spans="1:55" s="921" customFormat="1" ht="12.75" customHeight="1">
      <c r="A38" s="701"/>
      <c r="B38" s="701"/>
      <c r="C38" s="863"/>
      <c r="D38" s="1081"/>
      <c r="E38" s="1082" t="s">
        <v>591</v>
      </c>
      <c r="F38" s="1084"/>
      <c r="G38" s="1552">
        <f>+G34/'VVP2'!G185</f>
        <v>0.45824395800394541</v>
      </c>
      <c r="H38" s="1552">
        <f>+H34/'VVP2'!H185</f>
        <v>0.47411816852186434</v>
      </c>
      <c r="I38" s="1552">
        <f>+I34/'VVP2'!I185</f>
        <v>0.46665086345081669</v>
      </c>
      <c r="J38" s="1552">
        <f>+J34/'VVP2'!J185</f>
        <v>0.52312288801631024</v>
      </c>
      <c r="K38" s="1552">
        <f>+K34/'VVP2'!K185</f>
        <v>0.51811476081804775</v>
      </c>
      <c r="L38" s="1552">
        <f>+L34/'VVP2'!L185</f>
        <v>0.48716996633069115</v>
      </c>
      <c r="M38" s="1552">
        <f>+M34/'VVP2'!M185</f>
        <v>0.49489097284628131</v>
      </c>
      <c r="N38" s="1552">
        <f>+N34/'VVP2'!N185</f>
        <v>0.49760587653055594</v>
      </c>
      <c r="O38" s="1552">
        <f>+O34/'VVP2'!O185</f>
        <v>0.49480639453360642</v>
      </c>
      <c r="P38" s="1552">
        <f>+P34/'VVP2'!P185</f>
        <v>0.49032024817484204</v>
      </c>
      <c r="Q38" s="1552">
        <f>+Q34/'VVP2'!Q185</f>
        <v>0.49344643903358826</v>
      </c>
      <c r="R38" s="1552">
        <f>+R34/'VVP2'!R185</f>
        <v>0.49579599561020715</v>
      </c>
      <c r="S38" s="1552">
        <f>+S34/'VVP2'!S185</f>
        <v>0.49966113008159552</v>
      </c>
      <c r="T38" s="1552">
        <f>+T34/'VVP2'!T185</f>
        <v>0.50470752721327228</v>
      </c>
      <c r="U38" s="1552">
        <f>+U34/'VVP2'!U185</f>
        <v>0.48350895615094813</v>
      </c>
      <c r="V38" s="1552">
        <f>+V34/'VVP2'!V185</f>
        <v>0.48169994616551648</v>
      </c>
      <c r="W38" s="1552">
        <f>+W34/'VVP2'!W185</f>
        <v>0.47699532457712968</v>
      </c>
      <c r="X38" s="1552">
        <f>+X34/'VVP2'!X185</f>
        <v>0.47949946006712429</v>
      </c>
      <c r="Y38" s="1552">
        <f>+Y34/'VVP2'!Y185</f>
        <v>0.47759089232294305</v>
      </c>
      <c r="Z38" s="1552">
        <f>+Z34/'VVP2'!Z185</f>
        <v>0.47655324722948567</v>
      </c>
      <c r="AA38" s="1552">
        <f>+AA34/'VVP2'!AA185</f>
        <v>0.48816818158478553</v>
      </c>
      <c r="AB38" s="1552">
        <f>+AB34/'VVP2'!AB185</f>
        <v>0.50622232639189657</v>
      </c>
      <c r="AC38" s="1552">
        <f>+AC34/'VVP2'!AC185</f>
        <v>0.50852164982198189</v>
      </c>
      <c r="AD38" s="2293">
        <f ca="1">+AD34/'VVP2'!AD185</f>
        <v>0.50897162272254481</v>
      </c>
      <c r="AE38" s="2293">
        <f ca="1">+AE34/'VVP2'!AE185</f>
        <v>0.50608159594022428</v>
      </c>
      <c r="AF38" s="2293">
        <f ca="1">+AF34/'VVP2'!AF185</f>
        <v>0.50382091883244973</v>
      </c>
      <c r="AG38" s="2942"/>
      <c r="AH38" s="2942"/>
      <c r="AI38" s="2942"/>
      <c r="AJ38" s="2942"/>
      <c r="AK38" s="2942"/>
      <c r="AL38" s="2942"/>
      <c r="AM38" s="2942"/>
      <c r="AN38" s="2942"/>
      <c r="AO38" s="2942"/>
      <c r="AP38" s="2942"/>
      <c r="AQ38" s="2942"/>
      <c r="AR38" s="2942"/>
      <c r="AS38" s="2942"/>
      <c r="AT38" s="2942"/>
      <c r="BB38" s="3490">
        <v>0.51005332470318043</v>
      </c>
      <c r="BC38" s="736" t="str">
        <f t="shared" si="2"/>
        <v/>
      </c>
    </row>
    <row r="39" spans="1:55" s="921" customFormat="1" ht="12.75" customHeight="1">
      <c r="A39" s="701"/>
      <c r="B39" s="701">
        <v>158</v>
      </c>
      <c r="C39" s="864"/>
      <c r="D39" s="1089"/>
      <c r="E39" s="1090" t="s">
        <v>1759</v>
      </c>
      <c r="F39" s="1091"/>
      <c r="G39" s="1550"/>
      <c r="H39" s="1551"/>
      <c r="I39" s="1551"/>
      <c r="J39" s="1551">
        <f t="shared" ref="J39:AF39" si="49">AVERAGE(G38:J38)</f>
        <v>0.48053396949823413</v>
      </c>
      <c r="K39" s="1551">
        <f t="shared" si="49"/>
        <v>0.49550167020175973</v>
      </c>
      <c r="L39" s="1551">
        <f t="shared" si="49"/>
        <v>0.49876461965396646</v>
      </c>
      <c r="M39" s="1551">
        <f t="shared" si="49"/>
        <v>0.50582464700283258</v>
      </c>
      <c r="N39" s="1551">
        <f t="shared" si="49"/>
        <v>0.49944539413139405</v>
      </c>
      <c r="O39" s="1551">
        <f t="shared" si="49"/>
        <v>0.49361830256028372</v>
      </c>
      <c r="P39" s="1551">
        <f t="shared" si="49"/>
        <v>0.49440587302132144</v>
      </c>
      <c r="Q39" s="1551">
        <f t="shared" si="49"/>
        <v>0.49404473956814815</v>
      </c>
      <c r="R39" s="1551">
        <f t="shared" si="49"/>
        <v>0.49359226933806094</v>
      </c>
      <c r="S39" s="1551">
        <f t="shared" si="49"/>
        <v>0.49480595322505827</v>
      </c>
      <c r="T39" s="1551">
        <f t="shared" si="49"/>
        <v>0.49840277298466584</v>
      </c>
      <c r="U39" s="1551">
        <f t="shared" si="49"/>
        <v>0.49591840226400574</v>
      </c>
      <c r="V39" s="1551">
        <f t="shared" si="49"/>
        <v>0.49239438990283313</v>
      </c>
      <c r="W39" s="1551">
        <f t="shared" si="49"/>
        <v>0.48672793852671664</v>
      </c>
      <c r="X39" s="1551">
        <f t="shared" ref="X39" si="50">AVERAGE(U38:X38)</f>
        <v>0.48042592174017967</v>
      </c>
      <c r="Y39" s="1551">
        <f t="shared" ref="Y39" si="51">AVERAGE(V38:Y38)</f>
        <v>0.47894640578317837</v>
      </c>
      <c r="Z39" s="1551">
        <f t="shared" ref="Z39" si="52">AVERAGE(W38:Z38)</f>
        <v>0.4776597310491707</v>
      </c>
      <c r="AA39" s="1551">
        <f t="shared" ref="AA39" si="53">AVERAGE(X38:AA38)</f>
        <v>0.48045294530108468</v>
      </c>
      <c r="AB39" s="1551">
        <f t="shared" ref="AB39" si="54">AVERAGE(Y38:AB38)</f>
        <v>0.48713366188227769</v>
      </c>
      <c r="AC39" s="1551">
        <f t="shared" ref="AC39" si="55">AVERAGE(Z38:AC38)</f>
        <v>0.49486635125703737</v>
      </c>
      <c r="AD39" s="2326">
        <f t="shared" ca="1" si="49"/>
        <v>0.50297094513030227</v>
      </c>
      <c r="AE39" s="2326">
        <f t="shared" ca="1" si="49"/>
        <v>0.50744929871916189</v>
      </c>
      <c r="AF39" s="2326">
        <f t="shared" ca="1" si="49"/>
        <v>0.50684894682930015</v>
      </c>
      <c r="AG39" s="2942"/>
      <c r="AH39" s="2942"/>
      <c r="AI39" s="2942"/>
      <c r="AJ39" s="2942"/>
      <c r="AK39" s="2942"/>
      <c r="AL39" s="2942"/>
      <c r="AM39" s="2942"/>
      <c r="AN39" s="2942"/>
      <c r="AO39" s="2942"/>
      <c r="AP39" s="2942"/>
      <c r="AQ39" s="2942"/>
      <c r="AR39" s="2942"/>
      <c r="AS39" s="2942"/>
      <c r="AT39" s="2942"/>
      <c r="BB39" s="3491">
        <v>0.48813762897798296</v>
      </c>
      <c r="BC39" s="736" t="str">
        <f t="shared" si="2"/>
        <v/>
      </c>
    </row>
    <row r="40" spans="1:55" ht="30" customHeight="1">
      <c r="A40" s="701"/>
      <c r="B40" s="701"/>
      <c r="C40" s="811"/>
      <c r="AH40" s="2942"/>
      <c r="AI40" s="2942"/>
      <c r="AJ40" s="2942"/>
      <c r="AK40" s="2942"/>
      <c r="AL40" s="2942"/>
      <c r="AM40" s="2942"/>
      <c r="AP40" s="3411"/>
      <c r="BC40" s="736" t="str">
        <f t="shared" si="2"/>
        <v/>
      </c>
    </row>
    <row r="41" spans="1:55" ht="30" customHeight="1" outlineLevel="1">
      <c r="AG41" s="825"/>
      <c r="AI41" s="3629"/>
      <c r="AJ41" s="3629"/>
      <c r="AK41" s="3629"/>
      <c r="AL41" s="3629"/>
      <c r="AM41" s="3629"/>
      <c r="AP41" s="825"/>
      <c r="BC41" s="736" t="str">
        <f t="shared" si="2"/>
        <v/>
      </c>
    </row>
    <row r="42" spans="1:55" ht="22.5" customHeight="1" outlineLevel="1">
      <c r="A42" s="590"/>
      <c r="B42" s="590"/>
      <c r="C42" s="3816" t="s">
        <v>1168</v>
      </c>
      <c r="D42" s="3816"/>
      <c r="E42" s="3816"/>
      <c r="F42" s="3816"/>
      <c r="AG42" s="825"/>
      <c r="AL42" s="825"/>
      <c r="AM42" s="825"/>
      <c r="AP42" s="825"/>
      <c r="BC42" s="736" t="str">
        <f t="shared" si="2"/>
        <v/>
      </c>
    </row>
    <row r="43" spans="1:55" ht="12.75" customHeight="1" outlineLevel="1">
      <c r="A43" s="701"/>
      <c r="B43" s="701"/>
      <c r="C43" s="811"/>
      <c r="AH43" s="825"/>
      <c r="AI43" s="825"/>
      <c r="AJ43" s="825"/>
      <c r="AK43" s="825"/>
      <c r="BC43" s="736" t="str">
        <f t="shared" si="2"/>
        <v/>
      </c>
    </row>
    <row r="44" spans="1:55" ht="12.75" customHeight="1" outlineLevel="1">
      <c r="A44" s="701"/>
      <c r="B44" s="701"/>
      <c r="C44" s="811"/>
      <c r="D44" s="812"/>
      <c r="E44" s="813" t="s">
        <v>1882</v>
      </c>
      <c r="F44" s="814"/>
      <c r="G44" s="815">
        <f>+InputY!$G$3</f>
        <v>1995</v>
      </c>
      <c r="H44" s="815">
        <f t="shared" ref="H44:O44" si="56">+G44+1</f>
        <v>1996</v>
      </c>
      <c r="I44" s="815">
        <f t="shared" si="56"/>
        <v>1997</v>
      </c>
      <c r="J44" s="815">
        <f t="shared" si="56"/>
        <v>1998</v>
      </c>
      <c r="K44" s="815">
        <f t="shared" si="56"/>
        <v>1999</v>
      </c>
      <c r="L44" s="815">
        <f t="shared" si="56"/>
        <v>2000</v>
      </c>
      <c r="M44" s="815">
        <f t="shared" si="56"/>
        <v>2001</v>
      </c>
      <c r="N44" s="815">
        <f t="shared" si="56"/>
        <v>2002</v>
      </c>
      <c r="O44" s="815">
        <f t="shared" si="56"/>
        <v>2003</v>
      </c>
      <c r="P44" s="815">
        <f>+O44+1</f>
        <v>2004</v>
      </c>
      <c r="Q44" s="815">
        <f>+P44+1</f>
        <v>2005</v>
      </c>
      <c r="R44" s="815">
        <f>+Q44+1</f>
        <v>2006</v>
      </c>
      <c r="S44" s="815">
        <f>+R44+1</f>
        <v>2007</v>
      </c>
      <c r="T44" s="815">
        <f t="shared" ref="T44:AF44" si="57">+S44+1</f>
        <v>2008</v>
      </c>
      <c r="U44" s="815">
        <f t="shared" si="57"/>
        <v>2009</v>
      </c>
      <c r="V44" s="815">
        <f t="shared" si="57"/>
        <v>2010</v>
      </c>
      <c r="W44" s="815">
        <f t="shared" si="57"/>
        <v>2011</v>
      </c>
      <c r="X44" s="2285">
        <f t="shared" si="57"/>
        <v>2012</v>
      </c>
      <c r="Y44" s="2285">
        <f t="shared" si="57"/>
        <v>2013</v>
      </c>
      <c r="Z44" s="2285">
        <f t="shared" si="57"/>
        <v>2014</v>
      </c>
      <c r="AA44" s="2285">
        <f t="shared" si="57"/>
        <v>2015</v>
      </c>
      <c r="AB44" s="2285">
        <f t="shared" si="57"/>
        <v>2016</v>
      </c>
      <c r="AC44" s="2285">
        <f t="shared" si="57"/>
        <v>2017</v>
      </c>
      <c r="AD44" s="2285">
        <f t="shared" si="57"/>
        <v>2018</v>
      </c>
      <c r="AE44" s="2285">
        <f t="shared" si="57"/>
        <v>2019</v>
      </c>
      <c r="AF44" s="2285">
        <f t="shared" si="57"/>
        <v>2020</v>
      </c>
      <c r="AN44" s="3627"/>
      <c r="AO44" s="3627"/>
      <c r="BB44" s="3470">
        <v>2016</v>
      </c>
      <c r="BC44" s="736" t="str">
        <f t="shared" si="2"/>
        <v/>
      </c>
    </row>
    <row r="45" spans="1:55" ht="12.75" customHeight="1" outlineLevel="1">
      <c r="A45" s="701">
        <f>+ROW(InputY!A104)</f>
        <v>104</v>
      </c>
      <c r="B45" s="701">
        <v>51</v>
      </c>
      <c r="C45" s="816" t="s">
        <v>1791</v>
      </c>
      <c r="D45" s="705" t="s">
        <v>663</v>
      </c>
      <c r="E45" s="737" t="s">
        <v>1792</v>
      </c>
      <c r="F45" s="738" t="str">
        <f>+InputY!B104</f>
        <v>$ASubProd</v>
      </c>
      <c r="G45" s="817">
        <f>+InputY!G104/1000</f>
        <v>10.936999999999999</v>
      </c>
      <c r="H45" s="817">
        <f>+InputY!H104/1000</f>
        <v>11.108000000000001</v>
      </c>
      <c r="I45" s="817">
        <f>+InputY!I104/1000</f>
        <v>11.273999999999999</v>
      </c>
      <c r="J45" s="817">
        <f>+InputY!J104/1000</f>
        <v>11.127000000000001</v>
      </c>
      <c r="K45" s="817">
        <f>+InputY!K104/1000</f>
        <v>11.33</v>
      </c>
      <c r="L45" s="817">
        <f>+InputY!L104/1000</f>
        <v>12.817</v>
      </c>
      <c r="M45" s="817">
        <f>+InputY!M104/1000</f>
        <v>13.778</v>
      </c>
      <c r="N45" s="817">
        <f>+InputY!N104/1000</f>
        <v>14.742000000000001</v>
      </c>
      <c r="O45" s="817">
        <f>+InputY!O104/1000</f>
        <v>15.972</v>
      </c>
      <c r="P45" s="817">
        <f>+InputY!P104/1000</f>
        <v>16.379000000000001</v>
      </c>
      <c r="Q45" s="817">
        <f>+InputY!Q104/1000</f>
        <v>13.393000000000001</v>
      </c>
      <c r="R45" s="817">
        <f>+InputY!R104/1000</f>
        <v>14.362</v>
      </c>
      <c r="S45" s="817">
        <f>+InputY!S104/1000</f>
        <v>15.207000000000001</v>
      </c>
      <c r="T45" s="817">
        <f>+InputY!T104/1000</f>
        <v>16.795000000000002</v>
      </c>
      <c r="U45" s="817">
        <f>+InputY!U104/1000</f>
        <v>17.457000000000001</v>
      </c>
      <c r="V45" s="817">
        <f>+InputY!V104/1000</f>
        <v>17.513000000000002</v>
      </c>
      <c r="W45" s="817">
        <f>+InputY!W104/1000</f>
        <v>18.364000000000001</v>
      </c>
      <c r="X45" s="817">
        <f>+InputY!X104/1000</f>
        <v>18.54</v>
      </c>
      <c r="Y45" s="817">
        <f>+InputY!Y104/1000</f>
        <v>18.722000000000001</v>
      </c>
      <c r="Z45" s="817">
        <f>+InputY!Z104/1000</f>
        <v>20.614000000000001</v>
      </c>
      <c r="AA45" s="817">
        <f>+InputY!AA104/1000</f>
        <v>22.387</v>
      </c>
      <c r="AB45" s="817">
        <f>+InputY!AB104/1000</f>
        <v>23.283000000000001</v>
      </c>
      <c r="AC45" s="817">
        <f>+InputY!AC104/1000</f>
        <v>24.643000000000001</v>
      </c>
      <c r="AD45" s="2296">
        <f t="shared" ref="AD45:AF49" si="58">+AC45*(1+AD54/100)</f>
        <v>25.875150000000001</v>
      </c>
      <c r="AE45" s="2296">
        <f t="shared" si="58"/>
        <v>27.168907500000003</v>
      </c>
      <c r="AF45" s="2296">
        <f t="shared" si="58"/>
        <v>28.527352875000005</v>
      </c>
      <c r="AL45" s="3627"/>
      <c r="AM45" s="3627"/>
      <c r="AN45" s="3628"/>
      <c r="AO45" s="3628"/>
      <c r="BB45" s="3471">
        <v>23.396999999999998</v>
      </c>
      <c r="BC45" s="736" t="str">
        <f t="shared" si="2"/>
        <v/>
      </c>
    </row>
    <row r="46" spans="1:55" ht="12.75" customHeight="1" outlineLevel="1">
      <c r="A46" s="701">
        <f>+ROW(InputY!A182)</f>
        <v>182</v>
      </c>
      <c r="B46" s="701"/>
      <c r="C46" s="819" t="s">
        <v>1791</v>
      </c>
      <c r="D46" s="711" t="s">
        <v>664</v>
      </c>
      <c r="E46" s="820" t="s">
        <v>1867</v>
      </c>
      <c r="F46" s="741" t="str">
        <f>+InputY!B182</f>
        <v>YHSubOth</v>
      </c>
      <c r="G46" s="743">
        <f>+InputY!G182/1000</f>
        <v>9.0079999999999991</v>
      </c>
      <c r="H46" s="743">
        <f>+InputY!H182/1000</f>
        <v>8.0939999999999994</v>
      </c>
      <c r="I46" s="743">
        <f>+InputY!I182/1000</f>
        <v>6.7009999999999996</v>
      </c>
      <c r="J46" s="743">
        <f>+InputY!J182/1000</f>
        <v>5.9210000000000003</v>
      </c>
      <c r="K46" s="743">
        <f>+InputY!K182/1000</f>
        <v>5.984</v>
      </c>
      <c r="L46" s="743">
        <f>+InputY!L182/1000</f>
        <v>5.6479999999999997</v>
      </c>
      <c r="M46" s="743">
        <f>+InputY!M182/1000</f>
        <v>5.8289999999999997</v>
      </c>
      <c r="N46" s="743">
        <f>+InputY!N182/1000</f>
        <v>6.31</v>
      </c>
      <c r="O46" s="743">
        <f>+InputY!O182/1000</f>
        <v>6.0750000000000002</v>
      </c>
      <c r="P46" s="743">
        <f>+InputY!P182/1000</f>
        <v>5.97</v>
      </c>
      <c r="Q46" s="743">
        <f>+InputY!Q182/1000</f>
        <v>9.9209999999999994</v>
      </c>
      <c r="R46" s="743">
        <f>+InputY!R182/1000</f>
        <v>10.191000000000001</v>
      </c>
      <c r="S46" s="743">
        <f>+InputY!S182/1000</f>
        <v>10.823</v>
      </c>
      <c r="T46" s="743">
        <f>+InputY!T182/1000</f>
        <v>10.282999999999999</v>
      </c>
      <c r="U46" s="743">
        <f>+InputY!U182/1000</f>
        <v>10.302</v>
      </c>
      <c r="V46" s="743">
        <f>+InputY!V182/1000</f>
        <v>10.606</v>
      </c>
      <c r="W46" s="743">
        <f>+InputY!W182/1000</f>
        <v>10.872</v>
      </c>
      <c r="X46" s="743">
        <f>+InputY!X182/1000</f>
        <v>10.898</v>
      </c>
      <c r="Y46" s="743">
        <f>+InputY!Y182/1000</f>
        <v>10.98</v>
      </c>
      <c r="Z46" s="743">
        <f>+InputY!Z182/1000</f>
        <v>10.946999999999999</v>
      </c>
      <c r="AA46" s="743">
        <f>+InputY!AA182/1000</f>
        <v>7.9249999999999998</v>
      </c>
      <c r="AB46" s="743">
        <f>+InputY!AB182/1000</f>
        <v>7.7069999999999999</v>
      </c>
      <c r="AC46" s="743">
        <f>+InputY!AC182/1000</f>
        <v>7.4189999999999996</v>
      </c>
      <c r="AD46" s="2279">
        <f t="shared" si="58"/>
        <v>7.1964299999999994</v>
      </c>
      <c r="AE46" s="2279">
        <f t="shared" si="58"/>
        <v>6.9805370999999994</v>
      </c>
      <c r="AF46" s="2279">
        <f t="shared" si="58"/>
        <v>6.7711209869999989</v>
      </c>
      <c r="AL46" s="3628"/>
      <c r="AM46" s="3628"/>
      <c r="BB46" s="3472">
        <v>7.1879999999999997</v>
      </c>
      <c r="BC46" s="736" t="str">
        <f t="shared" si="2"/>
        <v/>
      </c>
    </row>
    <row r="47" spans="1:55" ht="12.75" customHeight="1" outlineLevel="1">
      <c r="A47" s="701">
        <f>+ROW(InputY!A115)</f>
        <v>115</v>
      </c>
      <c r="B47" s="701">
        <v>101</v>
      </c>
      <c r="C47" s="819" t="s">
        <v>1791</v>
      </c>
      <c r="D47" s="711" t="s">
        <v>665</v>
      </c>
      <c r="E47" s="820" t="s">
        <v>1867</v>
      </c>
      <c r="F47" s="741" t="str">
        <f>+InputY!B115</f>
        <v>YESubProd</v>
      </c>
      <c r="G47" s="743">
        <f>+InputY!G115/1000</f>
        <v>46.216000000000001</v>
      </c>
      <c r="H47" s="743">
        <f>+InputY!H115/1000</f>
        <v>41.468000000000004</v>
      </c>
      <c r="I47" s="743">
        <f>+InputY!I115/1000</f>
        <v>37.155000000000001</v>
      </c>
      <c r="J47" s="743">
        <f>+InputY!J115/1000</f>
        <v>30.326000000000001</v>
      </c>
      <c r="K47" s="743">
        <f>+InputY!K115/1000</f>
        <v>28.071999999999999</v>
      </c>
      <c r="L47" s="743">
        <f>+InputY!L115/1000</f>
        <v>24.157</v>
      </c>
      <c r="M47" s="743">
        <f>+InputY!M115/1000</f>
        <v>22.341999999999999</v>
      </c>
      <c r="N47" s="743">
        <f>+InputY!N115/1000</f>
        <v>24.106999999999999</v>
      </c>
      <c r="O47" s="743">
        <f>+InputY!O115/1000</f>
        <v>24.687000000000001</v>
      </c>
      <c r="P47" s="743">
        <f>+InputY!P115/1000</f>
        <v>23.748000000000001</v>
      </c>
      <c r="Q47" s="743">
        <f>+InputY!Q115/1000</f>
        <v>27.552</v>
      </c>
      <c r="R47" s="743">
        <f>+InputY!R115/1000</f>
        <v>30.43</v>
      </c>
      <c r="S47" s="743">
        <f>+InputY!S115/1000</f>
        <v>29.704000000000001</v>
      </c>
      <c r="T47" s="743">
        <f>+InputY!T115/1000</f>
        <v>30.591999999999999</v>
      </c>
      <c r="U47" s="743">
        <f>+InputY!U115/1000</f>
        <v>31.597999999999999</v>
      </c>
      <c r="V47" s="743">
        <f>+InputY!V115/1000</f>
        <v>35.070999999999998</v>
      </c>
      <c r="W47" s="743">
        <f>+InputY!W115/1000</f>
        <v>38.466999999999999</v>
      </c>
      <c r="X47" s="743">
        <f>+InputY!X115/1000</f>
        <v>39.875999999999998</v>
      </c>
      <c r="Y47" s="743">
        <f>+InputY!Y115/1000</f>
        <v>40.029000000000003</v>
      </c>
      <c r="Z47" s="743">
        <f>+InputY!Z115/1000</f>
        <v>41.901000000000003</v>
      </c>
      <c r="AA47" s="743">
        <f>+InputY!AA115/1000</f>
        <v>40.590000000000003</v>
      </c>
      <c r="AB47" s="743">
        <f>+InputY!AB115/1000</f>
        <v>43.302999999999997</v>
      </c>
      <c r="AC47" s="743">
        <f>+InputY!AC115/1000</f>
        <v>43.216999999999999</v>
      </c>
      <c r="AD47" s="2279">
        <f t="shared" si="58"/>
        <v>44.081339999999997</v>
      </c>
      <c r="AE47" s="2279">
        <f t="shared" si="58"/>
        <v>44.962966799999997</v>
      </c>
      <c r="AF47" s="2279">
        <f t="shared" si="58"/>
        <v>45.862226135999997</v>
      </c>
      <c r="BB47" s="3472">
        <v>43.158000000000001</v>
      </c>
      <c r="BC47" s="736" t="str">
        <f t="shared" si="2"/>
        <v/>
      </c>
    </row>
    <row r="48" spans="1:55" ht="12.75" customHeight="1" outlineLevel="1">
      <c r="A48" s="701">
        <f>+ROW(InputY!A149)</f>
        <v>149</v>
      </c>
      <c r="B48" s="701" t="s">
        <v>2032</v>
      </c>
      <c r="C48" s="819" t="s">
        <v>1791</v>
      </c>
      <c r="D48" s="711" t="s">
        <v>666</v>
      </c>
      <c r="E48" s="820" t="s">
        <v>1867</v>
      </c>
      <c r="F48" s="741" t="s">
        <v>367</v>
      </c>
      <c r="G48" s="743">
        <f>+InputY!G149/1000</f>
        <v>4.4779999999999998</v>
      </c>
      <c r="H48" s="743">
        <f>+InputY!H149/1000</f>
        <v>3.883</v>
      </c>
      <c r="I48" s="743">
        <f>+InputY!I149/1000</f>
        <v>3.6110000000000002</v>
      </c>
      <c r="J48" s="743">
        <f>+InputY!J149/1000</f>
        <v>4.234</v>
      </c>
      <c r="K48" s="743">
        <f>+InputY!K149/1000</f>
        <v>4.766</v>
      </c>
      <c r="L48" s="743">
        <f>+InputY!L149/1000</f>
        <v>3.133</v>
      </c>
      <c r="M48" s="743">
        <f>+InputY!M149/1000</f>
        <v>2.9380000000000002</v>
      </c>
      <c r="N48" s="743">
        <f>+InputY!N149/1000</f>
        <v>3.8359999999999999</v>
      </c>
      <c r="O48" s="743">
        <f>+InputY!O149/1000</f>
        <v>3.5049999999999999</v>
      </c>
      <c r="P48" s="743">
        <f>+InputY!P149/1000</f>
        <v>2.831</v>
      </c>
      <c r="Q48" s="743">
        <f>+InputY!Q149/1000</f>
        <v>2.4630000000000001</v>
      </c>
      <c r="R48" s="743">
        <f>+InputY!R149/1000</f>
        <v>2.847</v>
      </c>
      <c r="S48" s="743">
        <f>+InputY!S149/1000</f>
        <v>2.6949999999999998</v>
      </c>
      <c r="T48" s="743">
        <f>+InputY!T149/1000</f>
        <v>2.9740000000000002</v>
      </c>
      <c r="U48" s="743">
        <f>+InputY!U149/1000</f>
        <v>2.6789999999999998</v>
      </c>
      <c r="V48" s="743">
        <f>+InputY!V149/1000</f>
        <v>3.0859999999999999</v>
      </c>
      <c r="W48" s="743">
        <f>+InputY!W149/1000</f>
        <v>3.1190000000000002</v>
      </c>
      <c r="X48" s="743">
        <f>+InputY!X149/1000</f>
        <v>3.238</v>
      </c>
      <c r="Y48" s="743">
        <f>+InputY!Y149/1000</f>
        <v>3.4769999999999999</v>
      </c>
      <c r="Z48" s="743">
        <f>+InputY!Z149/1000</f>
        <v>3.4790000000000001</v>
      </c>
      <c r="AA48" s="743">
        <f>+InputY!AA149/1000</f>
        <v>3.34</v>
      </c>
      <c r="AB48" s="743">
        <f>+InputY!AB149/1000</f>
        <v>3.327</v>
      </c>
      <c r="AC48" s="743">
        <f>+InputY!AC149/1000</f>
        <v>4.1769999999999996</v>
      </c>
      <c r="AD48" s="2279">
        <f t="shared" si="58"/>
        <v>4.3023099999999994</v>
      </c>
      <c r="AE48" s="2279">
        <f t="shared" si="58"/>
        <v>4.4313792999999997</v>
      </c>
      <c r="AF48" s="2279">
        <f t="shared" si="58"/>
        <v>4.5643206789999997</v>
      </c>
      <c r="BB48" s="3472">
        <v>3.3260000000000001</v>
      </c>
      <c r="BC48" s="736" t="str">
        <f t="shared" si="2"/>
        <v/>
      </c>
    </row>
    <row r="49" spans="1:55" ht="12.75" customHeight="1" outlineLevel="1">
      <c r="A49" s="2014">
        <f>+ROW(InputY!A235)</f>
        <v>235</v>
      </c>
      <c r="B49" s="701" t="s">
        <v>981</v>
      </c>
      <c r="C49" s="819" t="s">
        <v>301</v>
      </c>
      <c r="D49" s="711" t="s">
        <v>667</v>
      </c>
      <c r="E49" s="820" t="s">
        <v>982</v>
      </c>
      <c r="F49" s="741" t="str">
        <f>+InputY!B235</f>
        <v>SubFrRow</v>
      </c>
      <c r="G49" s="743">
        <f>+InputY!G235/1000</f>
        <v>0.85199999999999998</v>
      </c>
      <c r="H49" s="743">
        <f>+InputY!H235/1000</f>
        <v>1.0589999999999999</v>
      </c>
      <c r="I49" s="743">
        <f>+InputY!I235/1000</f>
        <v>1.3959999999999999</v>
      </c>
      <c r="J49" s="743">
        <f>+InputY!J235/1000</f>
        <v>1.2170000000000001</v>
      </c>
      <c r="K49" s="743">
        <f>+InputY!K235/1000</f>
        <v>1.389</v>
      </c>
      <c r="L49" s="743">
        <f>+InputY!L235/1000</f>
        <v>4.76</v>
      </c>
      <c r="M49" s="743">
        <f>+InputY!M235/1000</f>
        <v>5.2679999999999998</v>
      </c>
      <c r="N49" s="743">
        <f>+InputY!N235/1000</f>
        <v>5.3250000000000002</v>
      </c>
      <c r="O49" s="743">
        <f t="shared" ref="O49:V49" si="59">+O45+O46+O47+O48-O50</f>
        <v>11.249000000000002</v>
      </c>
      <c r="P49" s="743">
        <f t="shared" si="59"/>
        <v>11.008000000000003</v>
      </c>
      <c r="Q49" s="743">
        <f t="shared" si="59"/>
        <v>12.613999999999997</v>
      </c>
      <c r="R49" s="743">
        <f t="shared" si="59"/>
        <v>12.619000000000007</v>
      </c>
      <c r="S49" s="743">
        <f t="shared" si="59"/>
        <v>11.883000000000003</v>
      </c>
      <c r="T49" s="743">
        <f t="shared" si="59"/>
        <v>11.307000000000002</v>
      </c>
      <c r="U49" s="743">
        <f t="shared" si="59"/>
        <v>11.439</v>
      </c>
      <c r="V49" s="743">
        <f t="shared" si="59"/>
        <v>10.863999999999997</v>
      </c>
      <c r="W49" s="743">
        <f t="shared" ref="W49:AB49" si="60">+W45+W46+W47+W48-W50</f>
        <v>11.072000000000003</v>
      </c>
      <c r="X49" s="743">
        <f t="shared" si="60"/>
        <v>10.577999999999996</v>
      </c>
      <c r="Y49" s="743">
        <f t="shared" si="60"/>
        <v>10.308000000000014</v>
      </c>
      <c r="Z49" s="743">
        <f t="shared" si="60"/>
        <v>10.335999999999999</v>
      </c>
      <c r="AA49" s="743">
        <f t="shared" si="60"/>
        <v>7.8160000000000025</v>
      </c>
      <c r="AB49" s="743">
        <f t="shared" si="60"/>
        <v>8.0550000000000068</v>
      </c>
      <c r="AC49" s="743">
        <f t="shared" ref="AC49" si="61">+AC45+AC46+AC47+AC48-AC50</f>
        <v>7.8559999999999945</v>
      </c>
      <c r="AD49" s="2279">
        <f t="shared" si="58"/>
        <v>7.8559999999999945</v>
      </c>
      <c r="AE49" s="2279">
        <f t="shared" si="58"/>
        <v>7.8559999999999945</v>
      </c>
      <c r="AF49" s="2279">
        <f t="shared" si="58"/>
        <v>7.8559999999999945</v>
      </c>
      <c r="BB49" s="3472">
        <v>5.8489999999999895</v>
      </c>
      <c r="BC49" s="736">
        <f t="shared" si="2"/>
        <v>2.2060000000000173</v>
      </c>
    </row>
    <row r="50" spans="1:55" ht="12.75" customHeight="1" outlineLevel="1">
      <c r="A50" s="701">
        <f>+ROW(InputY!A147)</f>
        <v>147</v>
      </c>
      <c r="B50" s="701">
        <v>123</v>
      </c>
      <c r="C50" s="821" t="s">
        <v>1793</v>
      </c>
      <c r="D50" s="789" t="s">
        <v>666</v>
      </c>
      <c r="E50" s="790" t="s">
        <v>1801</v>
      </c>
      <c r="F50" s="791" t="str">
        <f>+InputY!B147</f>
        <v>$ATE</v>
      </c>
      <c r="G50" s="822">
        <f>+InputY!G147/1000</f>
        <v>65.78</v>
      </c>
      <c r="H50" s="822">
        <f>+InputY!H147/1000</f>
        <v>58.389000000000003</v>
      </c>
      <c r="I50" s="822">
        <f>+InputY!I147/1000</f>
        <v>51.036999999999999</v>
      </c>
      <c r="J50" s="822">
        <f>+InputY!J147/1000</f>
        <v>42.825000000000003</v>
      </c>
      <c r="K50" s="822">
        <f>+InputY!K147/1000</f>
        <v>41.738999999999997</v>
      </c>
      <c r="L50" s="822">
        <f>+InputY!L147/1000</f>
        <v>36.072000000000003</v>
      </c>
      <c r="M50" s="822">
        <f>+InputY!M147/1000</f>
        <v>34.488</v>
      </c>
      <c r="N50" s="822">
        <f>+InputY!N147/1000</f>
        <v>37.427999999999997</v>
      </c>
      <c r="O50" s="822">
        <f>+InputY!O147/1000</f>
        <v>38.99</v>
      </c>
      <c r="P50" s="822">
        <f>+InputY!P147/1000</f>
        <v>37.92</v>
      </c>
      <c r="Q50" s="822">
        <f>+InputY!Q147/1000</f>
        <v>40.715000000000003</v>
      </c>
      <c r="R50" s="822">
        <f>+InputY!R147/1000</f>
        <v>45.210999999999999</v>
      </c>
      <c r="S50" s="822">
        <f>+InputY!S147/1000</f>
        <v>46.545999999999999</v>
      </c>
      <c r="T50" s="822">
        <f>+InputY!T147/1000</f>
        <v>49.337000000000003</v>
      </c>
      <c r="U50" s="822">
        <f>+InputY!U147/1000</f>
        <v>50.597000000000001</v>
      </c>
      <c r="V50" s="822">
        <f>+InputY!V147/1000</f>
        <v>55.411999999999999</v>
      </c>
      <c r="W50" s="822">
        <f>+InputY!W147/1000</f>
        <v>59.75</v>
      </c>
      <c r="X50" s="822">
        <f>+InputY!X147/1000</f>
        <v>61.973999999999997</v>
      </c>
      <c r="Y50" s="822">
        <f>+InputY!Y147/1000</f>
        <v>62.9</v>
      </c>
      <c r="Z50" s="822">
        <f>+InputY!Z147/1000</f>
        <v>66.605000000000004</v>
      </c>
      <c r="AA50" s="822">
        <f>+InputY!AA147/1000</f>
        <v>66.426000000000002</v>
      </c>
      <c r="AB50" s="822">
        <f>+InputY!AB147/1000</f>
        <v>69.564999999999998</v>
      </c>
      <c r="AC50" s="822">
        <f>+InputY!AC147/1000</f>
        <v>71.599999999999994</v>
      </c>
      <c r="AD50" s="2296">
        <f>+AD45+AD46+AD47+AD48-AD49</f>
        <v>73.599230000000006</v>
      </c>
      <c r="AE50" s="2296">
        <f>+AE45+AE46+AE47+AE48-AE49</f>
        <v>75.687790700000008</v>
      </c>
      <c r="AF50" s="2296">
        <f>+AF45+AF46+AF47+AF48-AF49</f>
        <v>77.869020677000009</v>
      </c>
      <c r="BB50" s="3473">
        <v>71.22</v>
      </c>
      <c r="BC50" s="736">
        <f t="shared" si="2"/>
        <v>-1.6550000000000011</v>
      </c>
    </row>
    <row r="51" spans="1:55" s="2032" customFormat="1" ht="12.75" customHeight="1" outlineLevel="1">
      <c r="A51" s="1036"/>
      <c r="B51" s="1036"/>
      <c r="C51" s="1647"/>
      <c r="D51" s="1051"/>
      <c r="E51" s="2033" t="s">
        <v>90</v>
      </c>
      <c r="F51" s="2034"/>
      <c r="G51" s="1040">
        <f t="shared" ref="G51:X51" si="62">ABS(+G45+G46+G47+G48-G49-G50)</f>
        <v>4.0069999999999908</v>
      </c>
      <c r="H51" s="1040">
        <f t="shared" si="62"/>
        <v>5.1049999999999969</v>
      </c>
      <c r="I51" s="1040">
        <f t="shared" si="62"/>
        <v>6.3079999999999927</v>
      </c>
      <c r="J51" s="1040">
        <f t="shared" si="62"/>
        <v>7.5660000000000025</v>
      </c>
      <c r="K51" s="1040">
        <f t="shared" si="62"/>
        <v>7.0239999999999938</v>
      </c>
      <c r="L51" s="1040">
        <f t="shared" si="62"/>
        <v>4.9230000000000018</v>
      </c>
      <c r="M51" s="1040">
        <f t="shared" si="62"/>
        <v>5.1310000000000002</v>
      </c>
      <c r="N51" s="1040">
        <f t="shared" si="62"/>
        <v>6.2419999999999973</v>
      </c>
      <c r="O51" s="1040">
        <f t="shared" si="62"/>
        <v>0</v>
      </c>
      <c r="P51" s="1040">
        <f t="shared" si="62"/>
        <v>0</v>
      </c>
      <c r="Q51" s="1040">
        <f t="shared" si="62"/>
        <v>0</v>
      </c>
      <c r="R51" s="1040">
        <f t="shared" si="62"/>
        <v>0</v>
      </c>
      <c r="S51" s="1040">
        <f t="shared" si="62"/>
        <v>0</v>
      </c>
      <c r="T51" s="1040">
        <f t="shared" si="62"/>
        <v>0</v>
      </c>
      <c r="U51" s="1040">
        <f t="shared" si="62"/>
        <v>0</v>
      </c>
      <c r="V51" s="1040">
        <f t="shared" si="62"/>
        <v>0</v>
      </c>
      <c r="W51" s="1040">
        <f>ABS(+W45+W46+W47+W48-W49-W50)</f>
        <v>0</v>
      </c>
      <c r="X51" s="2997">
        <f t="shared" si="62"/>
        <v>0</v>
      </c>
      <c r="Y51" s="2997">
        <f t="shared" ref="Y51:AD51" si="63">ABS(+Y45+Y46+Y47+Y48-Y49-Y50)</f>
        <v>0</v>
      </c>
      <c r="Z51" s="2997">
        <f t="shared" si="63"/>
        <v>0</v>
      </c>
      <c r="AA51" s="2997">
        <f t="shared" si="63"/>
        <v>0</v>
      </c>
      <c r="AB51" s="2997">
        <f t="shared" ref="AB51" si="64">ABS(+AB45+AB46+AB47+AB48-AB49-AB50)</f>
        <v>0</v>
      </c>
      <c r="AC51" s="2997">
        <f t="shared" si="63"/>
        <v>0</v>
      </c>
      <c r="AD51" s="2997">
        <f t="shared" si="63"/>
        <v>0</v>
      </c>
      <c r="AE51" s="2997">
        <f t="shared" ref="AE51:AF51" si="65">ABS(+AE45+AE46+AE47+AE48-AE49-AE50)</f>
        <v>0</v>
      </c>
      <c r="AF51" s="2997">
        <f t="shared" si="65"/>
        <v>0</v>
      </c>
      <c r="AG51" s="2940"/>
      <c r="AH51" s="2939"/>
      <c r="AI51" s="2939"/>
      <c r="AJ51" s="2939"/>
      <c r="AK51" s="2939"/>
      <c r="AL51" s="2939"/>
      <c r="AM51" s="2939"/>
      <c r="AN51" s="2940"/>
      <c r="AO51" s="2940"/>
      <c r="AP51" s="2940"/>
      <c r="AQ51" s="2940"/>
      <c r="AR51" s="2940"/>
      <c r="AS51" s="2940"/>
      <c r="AT51" s="2940"/>
      <c r="BB51" s="3474">
        <v>0</v>
      </c>
      <c r="BC51" s="736" t="str">
        <f t="shared" si="2"/>
        <v/>
      </c>
    </row>
    <row r="52" spans="1:55" outlineLevel="1">
      <c r="Z52" s="2322"/>
      <c r="AH52" s="2940"/>
      <c r="AI52" s="2940"/>
      <c r="AJ52" s="2940"/>
      <c r="AK52" s="2940"/>
      <c r="AL52" s="2940"/>
      <c r="AM52" s="2940"/>
      <c r="BC52" s="736" t="str">
        <f t="shared" si="2"/>
        <v/>
      </c>
    </row>
    <row r="53" spans="1:55" ht="12.75" customHeight="1" outlineLevel="1">
      <c r="A53" s="701"/>
      <c r="B53" s="701"/>
      <c r="C53" s="811"/>
      <c r="D53" s="779"/>
      <c r="E53" s="780" t="s">
        <v>1883</v>
      </c>
      <c r="F53" s="781"/>
      <c r="G53" s="782">
        <f>+InputY!$G$3</f>
        <v>1995</v>
      </c>
      <c r="H53" s="782">
        <f t="shared" ref="H53:Q53" si="66">+G53+1</f>
        <v>1996</v>
      </c>
      <c r="I53" s="782">
        <f t="shared" si="66"/>
        <v>1997</v>
      </c>
      <c r="J53" s="782">
        <f t="shared" si="66"/>
        <v>1998</v>
      </c>
      <c r="K53" s="782">
        <f t="shared" si="66"/>
        <v>1999</v>
      </c>
      <c r="L53" s="782">
        <f t="shared" si="66"/>
        <v>2000</v>
      </c>
      <c r="M53" s="782">
        <f t="shared" si="66"/>
        <v>2001</v>
      </c>
      <c r="N53" s="782">
        <f t="shared" si="66"/>
        <v>2002</v>
      </c>
      <c r="O53" s="782">
        <f t="shared" si="66"/>
        <v>2003</v>
      </c>
      <c r="P53" s="782">
        <f>+O53+1</f>
        <v>2004</v>
      </c>
      <c r="Q53" s="782">
        <f t="shared" si="66"/>
        <v>2005</v>
      </c>
      <c r="R53" s="782">
        <f>+Q53+1</f>
        <v>2006</v>
      </c>
      <c r="S53" s="782">
        <f>+R53+1</f>
        <v>2007</v>
      </c>
      <c r="T53" s="782">
        <f t="shared" ref="T53:AF53" si="67">+S53+1</f>
        <v>2008</v>
      </c>
      <c r="U53" s="782">
        <f t="shared" si="67"/>
        <v>2009</v>
      </c>
      <c r="V53" s="782">
        <f t="shared" si="67"/>
        <v>2010</v>
      </c>
      <c r="W53" s="782">
        <f t="shared" si="67"/>
        <v>2011</v>
      </c>
      <c r="X53" s="2272">
        <f t="shared" si="67"/>
        <v>2012</v>
      </c>
      <c r="Y53" s="2272">
        <f t="shared" si="67"/>
        <v>2013</v>
      </c>
      <c r="Z53" s="2272">
        <f t="shared" si="67"/>
        <v>2014</v>
      </c>
      <c r="AA53" s="2272">
        <f t="shared" si="67"/>
        <v>2015</v>
      </c>
      <c r="AB53" s="2272">
        <f t="shared" si="67"/>
        <v>2016</v>
      </c>
      <c r="AC53" s="2272">
        <f t="shared" si="67"/>
        <v>2017</v>
      </c>
      <c r="AD53" s="2272">
        <f t="shared" si="67"/>
        <v>2018</v>
      </c>
      <c r="AE53" s="2272">
        <f t="shared" si="67"/>
        <v>2019</v>
      </c>
      <c r="AF53" s="2272">
        <f t="shared" si="67"/>
        <v>2020</v>
      </c>
      <c r="AH53" s="3411" t="s">
        <v>2489</v>
      </c>
      <c r="BB53" s="3476">
        <v>2016</v>
      </c>
      <c r="BC53" s="736" t="str">
        <f t="shared" si="2"/>
        <v/>
      </c>
    </row>
    <row r="54" spans="1:55" ht="12.75" customHeight="1" outlineLevel="1">
      <c r="A54" s="701"/>
      <c r="B54" s="701"/>
      <c r="C54" s="831" t="s">
        <v>1791</v>
      </c>
      <c r="D54" s="726" t="s">
        <v>663</v>
      </c>
      <c r="E54" s="775" t="s">
        <v>1792</v>
      </c>
      <c r="F54" s="770" t="str">
        <f>+$F$45</f>
        <v>$ASubProd</v>
      </c>
      <c r="G54" s="776"/>
      <c r="H54" s="776">
        <f t="shared" ref="H54:AC54" si="68">(H45/G45-1)*100</f>
        <v>1.5635000457163928</v>
      </c>
      <c r="I54" s="776">
        <f t="shared" si="68"/>
        <v>1.4944184371624036</v>
      </c>
      <c r="J54" s="776">
        <f t="shared" si="68"/>
        <v>-1.3038850452368189</v>
      </c>
      <c r="K54" s="776">
        <f t="shared" si="68"/>
        <v>1.8243911206973884</v>
      </c>
      <c r="L54" s="776">
        <f t="shared" si="68"/>
        <v>13.124448367166819</v>
      </c>
      <c r="M54" s="776">
        <f t="shared" si="68"/>
        <v>7.4978544121089286</v>
      </c>
      <c r="N54" s="776">
        <f t="shared" si="68"/>
        <v>6.9966613441718728</v>
      </c>
      <c r="O54" s="776">
        <f t="shared" si="68"/>
        <v>8.3435083435083435</v>
      </c>
      <c r="P54" s="776">
        <f t="shared" si="68"/>
        <v>2.5482093663911964</v>
      </c>
      <c r="Q54" s="776">
        <f t="shared" si="68"/>
        <v>-18.230661212528243</v>
      </c>
      <c r="R54" s="776">
        <f t="shared" si="68"/>
        <v>7.2351228253565214</v>
      </c>
      <c r="S54" s="776">
        <f t="shared" si="68"/>
        <v>5.883581673861582</v>
      </c>
      <c r="T54" s="776">
        <f t="shared" si="68"/>
        <v>10.442559347668844</v>
      </c>
      <c r="U54" s="776">
        <f t="shared" si="68"/>
        <v>3.9416493003870068</v>
      </c>
      <c r="V54" s="776">
        <f t="shared" si="68"/>
        <v>0.32078822248955419</v>
      </c>
      <c r="W54" s="776">
        <f t="shared" si="68"/>
        <v>4.8592474162050925</v>
      </c>
      <c r="X54" s="776">
        <f t="shared" si="68"/>
        <v>0.95839686342844566</v>
      </c>
      <c r="Y54" s="776">
        <f t="shared" si="68"/>
        <v>0.98166127292342864</v>
      </c>
      <c r="Z54" s="776">
        <f t="shared" si="68"/>
        <v>10.105757931844895</v>
      </c>
      <c r="AA54" s="776">
        <f t="shared" si="68"/>
        <v>8.6009508101290386</v>
      </c>
      <c r="AB54" s="776">
        <f t="shared" si="68"/>
        <v>4.0023227766114333</v>
      </c>
      <c r="AC54" s="776">
        <f t="shared" si="68"/>
        <v>5.841171670317391</v>
      </c>
      <c r="AD54" s="2274">
        <v>5</v>
      </c>
      <c r="AE54" s="2274">
        <v>5</v>
      </c>
      <c r="AF54" s="2274">
        <v>5</v>
      </c>
      <c r="AG54" s="3642" t="s">
        <v>2575</v>
      </c>
      <c r="AH54" s="3624">
        <v>2018</v>
      </c>
      <c r="AI54" s="3624">
        <v>2019</v>
      </c>
      <c r="AJ54" s="3624">
        <v>2020</v>
      </c>
      <c r="BB54" s="3477">
        <v>4.5115468798856417</v>
      </c>
      <c r="BC54" s="736" t="str">
        <f t="shared" si="2"/>
        <v/>
      </c>
    </row>
    <row r="55" spans="1:55" ht="12.75" customHeight="1" outlineLevel="1">
      <c r="A55" s="701"/>
      <c r="B55" s="701"/>
      <c r="C55" s="832" t="s">
        <v>1791</v>
      </c>
      <c r="D55" s="711" t="s">
        <v>664</v>
      </c>
      <c r="E55" s="820" t="s">
        <v>1867</v>
      </c>
      <c r="F55" s="741" t="str">
        <f>+$F$46</f>
        <v>YHSubOth</v>
      </c>
      <c r="G55" s="743"/>
      <c r="H55" s="743">
        <f t="shared" ref="H55:AC55" si="69">(H46/G46-1)*100</f>
        <v>-10.146536412078156</v>
      </c>
      <c r="I55" s="743">
        <f t="shared" si="69"/>
        <v>-17.210279219174694</v>
      </c>
      <c r="J55" s="743">
        <f t="shared" si="69"/>
        <v>-11.640053723324872</v>
      </c>
      <c r="K55" s="743">
        <f t="shared" si="69"/>
        <v>1.0640094578618475</v>
      </c>
      <c r="L55" s="743">
        <f t="shared" si="69"/>
        <v>-5.6149732620320858</v>
      </c>
      <c r="M55" s="743">
        <f t="shared" si="69"/>
        <v>3.2046742209631773</v>
      </c>
      <c r="N55" s="743">
        <f t="shared" si="69"/>
        <v>8.2518442271401593</v>
      </c>
      <c r="O55" s="743">
        <f t="shared" si="69"/>
        <v>-3.7242472266243998</v>
      </c>
      <c r="P55" s="743">
        <f t="shared" si="69"/>
        <v>-1.728395061728405</v>
      </c>
      <c r="Q55" s="743">
        <f t="shared" si="69"/>
        <v>66.180904522613076</v>
      </c>
      <c r="R55" s="743">
        <f t="shared" si="69"/>
        <v>2.7214998488055864</v>
      </c>
      <c r="S55" s="743">
        <f t="shared" si="69"/>
        <v>6.201550387596888</v>
      </c>
      <c r="T55" s="743">
        <f t="shared" si="69"/>
        <v>-4.9893744802735007</v>
      </c>
      <c r="U55" s="743">
        <f t="shared" si="69"/>
        <v>0.18477098123115265</v>
      </c>
      <c r="V55" s="743">
        <f t="shared" si="69"/>
        <v>2.9508833236264742</v>
      </c>
      <c r="W55" s="743">
        <f t="shared" si="69"/>
        <v>2.5080143315104664</v>
      </c>
      <c r="X55" s="743">
        <f t="shared" si="69"/>
        <v>0.2391464311993996</v>
      </c>
      <c r="Y55" s="743">
        <f t="shared" si="69"/>
        <v>0.75243163883282893</v>
      </c>
      <c r="Z55" s="743">
        <f t="shared" si="69"/>
        <v>-0.30054644808744646</v>
      </c>
      <c r="AA55" s="743">
        <f t="shared" si="69"/>
        <v>-27.605736731524612</v>
      </c>
      <c r="AB55" s="743">
        <f t="shared" si="69"/>
        <v>-2.7507886435331197</v>
      </c>
      <c r="AC55" s="743">
        <f t="shared" si="69"/>
        <v>-3.7368625924484311</v>
      </c>
      <c r="AD55" s="2276">
        <v>-3</v>
      </c>
      <c r="AE55" s="2276">
        <v>-3</v>
      </c>
      <c r="AF55" s="2276">
        <v>-3</v>
      </c>
      <c r="AG55" s="3642" t="s">
        <v>2575</v>
      </c>
      <c r="AH55" s="740">
        <f t="shared" ref="AH55:AJ59" si="70">AVERAGE(Y54:AC54)</f>
        <v>5.906372892365237</v>
      </c>
      <c r="AI55" s="740">
        <f t="shared" si="70"/>
        <v>6.7100406377805513</v>
      </c>
      <c r="AJ55" s="740">
        <f t="shared" si="70"/>
        <v>5.6888890514115724</v>
      </c>
      <c r="BB55" s="3472">
        <v>-9.2996845425867498</v>
      </c>
      <c r="BC55" s="736">
        <f t="shared" si="2"/>
        <v>6.5488958990536297</v>
      </c>
    </row>
    <row r="56" spans="1:55" ht="12.75" customHeight="1" outlineLevel="1">
      <c r="A56" s="701"/>
      <c r="B56" s="701"/>
      <c r="C56" s="832" t="s">
        <v>1791</v>
      </c>
      <c r="D56" s="711" t="s">
        <v>665</v>
      </c>
      <c r="E56" s="820" t="s">
        <v>1867</v>
      </c>
      <c r="F56" s="741" t="str">
        <f>+$F$47</f>
        <v>YESubProd</v>
      </c>
      <c r="G56" s="743"/>
      <c r="H56" s="743">
        <f t="shared" ref="H56:AC57" si="71">(H47/G47-1)*100</f>
        <v>-10.273498355547861</v>
      </c>
      <c r="I56" s="743">
        <f t="shared" si="71"/>
        <v>-10.400790971351404</v>
      </c>
      <c r="J56" s="743">
        <f t="shared" si="71"/>
        <v>-18.379760462925589</v>
      </c>
      <c r="K56" s="743">
        <f t="shared" si="71"/>
        <v>-7.4325661148849198</v>
      </c>
      <c r="L56" s="743">
        <f t="shared" si="71"/>
        <v>-13.946280991735538</v>
      </c>
      <c r="M56" s="743">
        <f t="shared" si="71"/>
        <v>-7.513350167653277</v>
      </c>
      <c r="N56" s="743">
        <f t="shared" si="71"/>
        <v>7.8999194342493917</v>
      </c>
      <c r="O56" s="743">
        <f t="shared" si="71"/>
        <v>2.4059401833492533</v>
      </c>
      <c r="P56" s="743">
        <f t="shared" si="71"/>
        <v>-3.8036213391663631</v>
      </c>
      <c r="Q56" s="743">
        <f t="shared" si="71"/>
        <v>16.018191005558347</v>
      </c>
      <c r="R56" s="743">
        <f t="shared" si="71"/>
        <v>10.445702671312418</v>
      </c>
      <c r="S56" s="743">
        <f t="shared" si="71"/>
        <v>-2.3858034834045361</v>
      </c>
      <c r="T56" s="743">
        <f t="shared" si="71"/>
        <v>2.989496364126043</v>
      </c>
      <c r="U56" s="743">
        <f t="shared" si="71"/>
        <v>3.2884414225941461</v>
      </c>
      <c r="V56" s="743">
        <f t="shared" si="71"/>
        <v>10.99120197480854</v>
      </c>
      <c r="W56" s="743">
        <f t="shared" si="71"/>
        <v>9.6832140514955469</v>
      </c>
      <c r="X56" s="743">
        <f t="shared" si="71"/>
        <v>3.662879871058311</v>
      </c>
      <c r="Y56" s="743">
        <f t="shared" si="71"/>
        <v>0.38368943725550775</v>
      </c>
      <c r="Z56" s="743">
        <f t="shared" si="71"/>
        <v>4.6766094581428552</v>
      </c>
      <c r="AA56" s="743">
        <f t="shared" si="71"/>
        <v>-3.1288036085057591</v>
      </c>
      <c r="AB56" s="743">
        <f t="shared" si="71"/>
        <v>6.6839122936683815</v>
      </c>
      <c r="AC56" s="743">
        <f t="shared" si="71"/>
        <v>-0.19860055885273509</v>
      </c>
      <c r="AD56" s="2276">
        <v>2</v>
      </c>
      <c r="AE56" s="2276">
        <v>2</v>
      </c>
      <c r="AF56" s="2276">
        <v>2</v>
      </c>
      <c r="AG56" s="3642" t="s">
        <v>2575</v>
      </c>
      <c r="AH56" s="740">
        <f t="shared" si="70"/>
        <v>-6.7283005553521562</v>
      </c>
      <c r="AI56" s="740">
        <f t="shared" si="70"/>
        <v>-7.4787868831187208</v>
      </c>
      <c r="AJ56" s="740">
        <f t="shared" si="70"/>
        <v>-8.0186775935012324</v>
      </c>
      <c r="BB56" s="3472">
        <v>6.326681448632665</v>
      </c>
      <c r="BC56" s="736" t="str">
        <f t="shared" si="2"/>
        <v/>
      </c>
    </row>
    <row r="57" spans="1:55" ht="12.75" customHeight="1" outlineLevel="1">
      <c r="A57" s="701"/>
      <c r="B57" s="701"/>
      <c r="C57" s="832" t="s">
        <v>1791</v>
      </c>
      <c r="D57" s="711" t="s">
        <v>666</v>
      </c>
      <c r="E57" s="820" t="s">
        <v>1867</v>
      </c>
      <c r="F57" s="741" t="s">
        <v>367</v>
      </c>
      <c r="G57" s="743"/>
      <c r="H57" s="743">
        <f t="shared" ref="H57:P57" si="72">(H48/G48-1)*100</f>
        <v>-13.287181777579271</v>
      </c>
      <c r="I57" s="743">
        <f t="shared" si="72"/>
        <v>-7.0048931238732903</v>
      </c>
      <c r="J57" s="743">
        <f t="shared" si="72"/>
        <v>17.252838548878422</v>
      </c>
      <c r="K57" s="743">
        <f t="shared" si="72"/>
        <v>12.564950401511577</v>
      </c>
      <c r="L57" s="743">
        <f t="shared" si="72"/>
        <v>-34.263533361309271</v>
      </c>
      <c r="M57" s="743">
        <f t="shared" si="72"/>
        <v>-6.2240663900414939</v>
      </c>
      <c r="N57" s="743">
        <f t="shared" si="72"/>
        <v>30.565010211027889</v>
      </c>
      <c r="O57" s="743">
        <f t="shared" si="72"/>
        <v>-8.6287799791449409</v>
      </c>
      <c r="P57" s="743">
        <f t="shared" si="72"/>
        <v>-19.229671897289581</v>
      </c>
      <c r="Q57" s="743">
        <f t="shared" si="71"/>
        <v>-12.998940303779582</v>
      </c>
      <c r="R57" s="743">
        <f t="shared" si="71"/>
        <v>15.590742996345908</v>
      </c>
      <c r="S57" s="743">
        <f t="shared" si="71"/>
        <v>-5.338953284158765</v>
      </c>
      <c r="T57" s="743">
        <f t="shared" ref="T57:AC57" si="73">(T48/S48-1)*100</f>
        <v>10.352504638218928</v>
      </c>
      <c r="U57" s="743">
        <f t="shared" si="73"/>
        <v>-9.9193006052454731</v>
      </c>
      <c r="V57" s="743">
        <f t="shared" si="73"/>
        <v>15.192235908921248</v>
      </c>
      <c r="W57" s="743">
        <f t="shared" si="73"/>
        <v>1.0693454309786299</v>
      </c>
      <c r="X57" s="743">
        <f t="shared" si="73"/>
        <v>3.815325424815641</v>
      </c>
      <c r="Y57" s="743">
        <f t="shared" si="73"/>
        <v>7.3810994441013023</v>
      </c>
      <c r="Z57" s="743">
        <f t="shared" si="73"/>
        <v>5.7520851308612286E-2</v>
      </c>
      <c r="AA57" s="743">
        <f t="shared" si="73"/>
        <v>-3.9954009772923293</v>
      </c>
      <c r="AB57" s="743">
        <f t="shared" si="73"/>
        <v>-0.38922155688622118</v>
      </c>
      <c r="AC57" s="743">
        <f t="shared" si="73"/>
        <v>25.548542230237437</v>
      </c>
      <c r="AD57" s="2276">
        <v>3</v>
      </c>
      <c r="AE57" s="2276">
        <v>3</v>
      </c>
      <c r="AF57" s="2276">
        <v>3</v>
      </c>
      <c r="AG57" s="3642" t="s">
        <v>2575</v>
      </c>
      <c r="AH57" s="740">
        <f t="shared" si="70"/>
        <v>1.68336140434165</v>
      </c>
      <c r="AI57" s="740">
        <f t="shared" si="70"/>
        <v>2.0066235168905484</v>
      </c>
      <c r="AJ57" s="740">
        <f t="shared" si="70"/>
        <v>1.4713016252619773</v>
      </c>
      <c r="BB57" s="3472">
        <v>-0.41916167664669546</v>
      </c>
      <c r="BC57" s="736" t="str">
        <f t="shared" si="2"/>
        <v/>
      </c>
    </row>
    <row r="58" spans="1:55" ht="12.75" customHeight="1" outlineLevel="1">
      <c r="A58" s="701"/>
      <c r="B58" s="701"/>
      <c r="C58" s="833" t="s">
        <v>301</v>
      </c>
      <c r="D58" s="728" t="s">
        <v>667</v>
      </c>
      <c r="E58" s="834" t="s">
        <v>982</v>
      </c>
      <c r="F58" s="773" t="str">
        <f>+$F$49</f>
        <v>SubFrRow</v>
      </c>
      <c r="G58" s="778"/>
      <c r="H58" s="778">
        <f t="shared" ref="H58:AC59" si="74">(H49/G49-1)*100</f>
        <v>24.295774647887324</v>
      </c>
      <c r="I58" s="778">
        <f t="shared" si="74"/>
        <v>31.822474032105763</v>
      </c>
      <c r="J58" s="778">
        <f t="shared" si="74"/>
        <v>-12.822349570200565</v>
      </c>
      <c r="K58" s="778">
        <f t="shared" si="74"/>
        <v>14.13311421528347</v>
      </c>
      <c r="L58" s="778">
        <f t="shared" si="74"/>
        <v>242.69258459323254</v>
      </c>
      <c r="M58" s="778">
        <f t="shared" si="74"/>
        <v>10.672268907563032</v>
      </c>
      <c r="N58" s="778">
        <f t="shared" si="74"/>
        <v>1.0820045558086688</v>
      </c>
      <c r="O58" s="778">
        <f t="shared" si="74"/>
        <v>111.24882629107984</v>
      </c>
      <c r="P58" s="778">
        <f t="shared" si="74"/>
        <v>-2.1424126589030146</v>
      </c>
      <c r="Q58" s="778">
        <f t="shared" si="74"/>
        <v>14.589389534883669</v>
      </c>
      <c r="R58" s="778">
        <f t="shared" si="74"/>
        <v>3.9638496908267484E-2</v>
      </c>
      <c r="S58" s="778">
        <f t="shared" si="74"/>
        <v>-5.8324748395277233</v>
      </c>
      <c r="T58" s="778">
        <f t="shared" si="74"/>
        <v>-4.8472607927291129</v>
      </c>
      <c r="U58" s="778">
        <f t="shared" si="74"/>
        <v>1.1674184133722232</v>
      </c>
      <c r="V58" s="778">
        <f t="shared" si="74"/>
        <v>-5.0266631698575264</v>
      </c>
      <c r="W58" s="778">
        <f t="shared" si="74"/>
        <v>1.9145802650957888</v>
      </c>
      <c r="X58" s="778">
        <f t="shared" si="74"/>
        <v>-4.4617052023122046</v>
      </c>
      <c r="Y58" s="778">
        <f t="shared" si="74"/>
        <v>-2.5524673851388013</v>
      </c>
      <c r="Z58" s="778">
        <f t="shared" si="74"/>
        <v>0.27163368257647758</v>
      </c>
      <c r="AA58" s="778">
        <f t="shared" si="74"/>
        <v>-24.380804953560332</v>
      </c>
      <c r="AB58" s="778">
        <f t="shared" si="74"/>
        <v>3.0578300921187962</v>
      </c>
      <c r="AC58" s="778">
        <f t="shared" si="74"/>
        <v>-2.4705152079455228</v>
      </c>
      <c r="AD58" s="2275">
        <v>0</v>
      </c>
      <c r="AE58" s="2275">
        <v>0</v>
      </c>
      <c r="AF58" s="2275">
        <v>0</v>
      </c>
      <c r="AG58" s="3642" t="s">
        <v>2575</v>
      </c>
      <c r="AH58" s="740">
        <f t="shared" si="70"/>
        <v>5.7205079982937601</v>
      </c>
      <c r="AI58" s="740">
        <f t="shared" si="70"/>
        <v>4.8442881094735002</v>
      </c>
      <c r="AJ58" s="740">
        <f t="shared" si="70"/>
        <v>5.4327839392117774</v>
      </c>
      <c r="BB58" s="3492">
        <v>-23.100184065211906</v>
      </c>
      <c r="BC58" s="736">
        <f t="shared" si="2"/>
        <v>26.158014157330701</v>
      </c>
    </row>
    <row r="59" spans="1:55" ht="12.75" customHeight="1" outlineLevel="1">
      <c r="A59" s="701"/>
      <c r="B59" s="701"/>
      <c r="C59" s="811" t="s">
        <v>1793</v>
      </c>
      <c r="D59" s="754" t="s">
        <v>666</v>
      </c>
      <c r="E59" s="759" t="s">
        <v>1801</v>
      </c>
      <c r="F59" s="760" t="str">
        <f>+$F$50</f>
        <v>$ATE</v>
      </c>
      <c r="G59" s="758"/>
      <c r="H59" s="758">
        <f t="shared" ref="H59:Y59" si="75">(H50/G50-1)*100</f>
        <v>-11.23593797506841</v>
      </c>
      <c r="I59" s="758">
        <f t="shared" si="75"/>
        <v>-12.591412766103204</v>
      </c>
      <c r="J59" s="758">
        <f t="shared" si="75"/>
        <v>-16.090287438524985</v>
      </c>
      <c r="K59" s="758">
        <f t="shared" si="75"/>
        <v>-2.5359019264448501</v>
      </c>
      <c r="L59" s="758">
        <f t="shared" si="75"/>
        <v>-13.577229928843515</v>
      </c>
      <c r="M59" s="758">
        <f t="shared" si="75"/>
        <v>-4.3912175648702645</v>
      </c>
      <c r="N59" s="758">
        <f t="shared" si="75"/>
        <v>8.5247042449547514</v>
      </c>
      <c r="O59" s="758">
        <f t="shared" si="75"/>
        <v>4.1733461579566145</v>
      </c>
      <c r="P59" s="758">
        <f t="shared" si="75"/>
        <v>-2.7442934085663007</v>
      </c>
      <c r="Q59" s="758">
        <f t="shared" si="75"/>
        <v>7.3707805907172963</v>
      </c>
      <c r="R59" s="758">
        <f t="shared" si="75"/>
        <v>11.042613287486169</v>
      </c>
      <c r="S59" s="758">
        <f t="shared" si="75"/>
        <v>2.9528212160757406</v>
      </c>
      <c r="T59" s="758">
        <f t="shared" si="75"/>
        <v>5.9962187943110035</v>
      </c>
      <c r="U59" s="758">
        <f t="shared" si="75"/>
        <v>2.5538642398200029</v>
      </c>
      <c r="V59" s="758">
        <f t="shared" si="75"/>
        <v>9.5163744886060506</v>
      </c>
      <c r="W59" s="758">
        <f t="shared" si="75"/>
        <v>7.828629177795432</v>
      </c>
      <c r="X59" s="758">
        <f t="shared" si="75"/>
        <v>3.7221757322175586</v>
      </c>
      <c r="Y59" s="758">
        <f t="shared" si="75"/>
        <v>1.494174976603091</v>
      </c>
      <c r="Z59" s="758">
        <f t="shared" si="74"/>
        <v>5.8903020667726569</v>
      </c>
      <c r="AA59" s="758">
        <f t="shared" si="74"/>
        <v>-0.26874859244802041</v>
      </c>
      <c r="AB59" s="758">
        <f t="shared" si="74"/>
        <v>4.7255592689609438</v>
      </c>
      <c r="AC59" s="758">
        <f t="shared" si="74"/>
        <v>2.9253216416301298</v>
      </c>
      <c r="AD59" s="2328">
        <f t="shared" ref="AD59:AF59" si="76">(AD50/AC50-1)*100</f>
        <v>2.7922206703910879</v>
      </c>
      <c r="AE59" s="2328">
        <f t="shared" si="76"/>
        <v>2.8377480307878233</v>
      </c>
      <c r="AF59" s="2328">
        <f t="shared" si="76"/>
        <v>2.8818782485614314</v>
      </c>
      <c r="AH59" s="740">
        <f t="shared" si="70"/>
        <v>-5.2148647543898763</v>
      </c>
      <c r="AI59" s="740">
        <f t="shared" si="70"/>
        <v>-4.7043712773621165</v>
      </c>
      <c r="AJ59" s="740">
        <f t="shared" si="70"/>
        <v>-4.758698013877412</v>
      </c>
      <c r="BB59" s="3493">
        <v>6.8791644156311893</v>
      </c>
      <c r="BC59" s="736">
        <f t="shared" si="2"/>
        <v>-2.1536051466702455</v>
      </c>
    </row>
    <row r="60" spans="1:55" ht="12.75" customHeight="1" outlineLevel="1">
      <c r="A60" s="701"/>
      <c r="B60" s="701"/>
      <c r="C60" s="811"/>
      <c r="E60" s="823"/>
      <c r="F60" s="824"/>
      <c r="G60" s="740"/>
      <c r="H60" s="825"/>
      <c r="I60" s="740"/>
      <c r="J60" s="740"/>
      <c r="K60" s="740"/>
      <c r="L60" s="740"/>
      <c r="M60" s="740"/>
      <c r="N60" s="740"/>
      <c r="O60" s="740"/>
      <c r="P60" s="740"/>
      <c r="Q60" s="882"/>
      <c r="R60" s="2338"/>
      <c r="S60" s="2338"/>
      <c r="T60" s="2338"/>
      <c r="U60" s="2338"/>
      <c r="V60" s="2338"/>
      <c r="W60" s="2338"/>
      <c r="X60" s="2322"/>
      <c r="Y60" s="2322"/>
      <c r="Z60" s="2322"/>
      <c r="AA60" s="2322"/>
      <c r="AB60" s="2322"/>
      <c r="AC60" s="2322"/>
      <c r="AD60" s="2322"/>
      <c r="AE60" s="2322"/>
      <c r="AF60" s="2322"/>
      <c r="AH60" s="3640">
        <f ca="1">Tables!K433</f>
        <v>0.94511676569394043</v>
      </c>
      <c r="AI60" s="3640">
        <f ca="1">Tables!M433</f>
        <v>0.83901290941847817</v>
      </c>
      <c r="AJ60" s="3640">
        <f>Tables!N433</f>
        <v>0</v>
      </c>
      <c r="AK60" s="3641" t="s">
        <v>2574</v>
      </c>
      <c r="BB60" s="3475"/>
      <c r="BC60" s="736" t="str">
        <f t="shared" si="2"/>
        <v/>
      </c>
    </row>
    <row r="61" spans="1:55" ht="12.75" customHeight="1" outlineLevel="1">
      <c r="A61" s="701"/>
      <c r="B61" s="701"/>
      <c r="C61" s="811"/>
      <c r="D61" s="855"/>
      <c r="E61" s="856" t="s">
        <v>1884</v>
      </c>
      <c r="F61" s="857"/>
      <c r="G61" s="858">
        <f>+InputY!$G$3</f>
        <v>1995</v>
      </c>
      <c r="H61" s="858">
        <f t="shared" ref="H61:O61" si="77">+G61+1</f>
        <v>1996</v>
      </c>
      <c r="I61" s="858">
        <f t="shared" si="77"/>
        <v>1997</v>
      </c>
      <c r="J61" s="858">
        <f t="shared" si="77"/>
        <v>1998</v>
      </c>
      <c r="K61" s="858">
        <f t="shared" si="77"/>
        <v>1999</v>
      </c>
      <c r="L61" s="858">
        <f t="shared" si="77"/>
        <v>2000</v>
      </c>
      <c r="M61" s="858">
        <f t="shared" si="77"/>
        <v>2001</v>
      </c>
      <c r="N61" s="858">
        <f t="shared" si="77"/>
        <v>2002</v>
      </c>
      <c r="O61" s="858">
        <f t="shared" si="77"/>
        <v>2003</v>
      </c>
      <c r="P61" s="858">
        <f>+O61+1</f>
        <v>2004</v>
      </c>
      <c r="Q61" s="858">
        <f>+P61+1</f>
        <v>2005</v>
      </c>
      <c r="R61" s="858">
        <f>+Q61+1</f>
        <v>2006</v>
      </c>
      <c r="S61" s="858">
        <f t="shared" ref="S61:Y61" si="78">+R61+1</f>
        <v>2007</v>
      </c>
      <c r="T61" s="858">
        <f t="shared" si="78"/>
        <v>2008</v>
      </c>
      <c r="U61" s="858">
        <f t="shared" si="78"/>
        <v>2009</v>
      </c>
      <c r="V61" s="858">
        <f>+U61+1</f>
        <v>2010</v>
      </c>
      <c r="W61" s="858">
        <f>+V61+1</f>
        <v>2011</v>
      </c>
      <c r="X61" s="858">
        <f t="shared" si="78"/>
        <v>2012</v>
      </c>
      <c r="Y61" s="858">
        <f t="shared" si="78"/>
        <v>2013</v>
      </c>
      <c r="Z61" s="858">
        <f t="shared" ref="Z61:AF61" si="79">+Y61+1</f>
        <v>2014</v>
      </c>
      <c r="AA61" s="858">
        <f t="shared" si="79"/>
        <v>2015</v>
      </c>
      <c r="AB61" s="858">
        <f t="shared" si="79"/>
        <v>2016</v>
      </c>
      <c r="AC61" s="858">
        <f t="shared" si="79"/>
        <v>2017</v>
      </c>
      <c r="AD61" s="858">
        <f t="shared" si="79"/>
        <v>2018</v>
      </c>
      <c r="AE61" s="858">
        <f t="shared" si="79"/>
        <v>2019</v>
      </c>
      <c r="AF61" s="858">
        <f t="shared" si="79"/>
        <v>2020</v>
      </c>
      <c r="BB61" s="3480">
        <v>2016</v>
      </c>
      <c r="BC61" s="736" t="str">
        <f t="shared" si="2"/>
        <v/>
      </c>
    </row>
    <row r="62" spans="1:55" ht="12.75" customHeight="1" outlineLevel="1">
      <c r="A62" s="701"/>
      <c r="B62" s="701"/>
      <c r="C62" s="859" t="s">
        <v>1791</v>
      </c>
      <c r="D62" s="860" t="s">
        <v>663</v>
      </c>
      <c r="E62" s="861" t="s">
        <v>1792</v>
      </c>
      <c r="F62" s="862" t="str">
        <f>+$F$8</f>
        <v>YATaxProd</v>
      </c>
      <c r="G62" s="875">
        <f>+G45/'VVP2'!G$341</f>
        <v>5.8001281257159341E-3</v>
      </c>
      <c r="H62" s="875">
        <f>+H45/'VVP2'!H$341</f>
        <v>5.7424143574833879E-3</v>
      </c>
      <c r="I62" s="875">
        <f>+I45/'VVP2'!I$341</f>
        <v>5.5757283214753076E-3</v>
      </c>
      <c r="J62" s="875">
        <f>+J45/'VVP2'!J$341</f>
        <v>5.2376993851457774E-3</v>
      </c>
      <c r="K62" s="875">
        <f>+K45/'VVP2'!K$341</f>
        <v>5.0567421815758736E-3</v>
      </c>
      <c r="L62" s="875">
        <f>+L45/'VVP2'!L$341</f>
        <v>5.3771019446842748E-3</v>
      </c>
      <c r="M62" s="875">
        <f>+M45/'VVP2'!M$341</f>
        <v>5.5513562908656054E-3</v>
      </c>
      <c r="N62" s="875">
        <f>+N45/'VVP2'!N$341</f>
        <v>5.7273639556807247E-3</v>
      </c>
      <c r="O62" s="875">
        <f>+O45/'VVP2'!O$341</f>
        <v>5.9577829974899873E-3</v>
      </c>
      <c r="P62" s="875">
        <f>+P45/'VVP2'!P$341</f>
        <v>5.8321401878576552E-3</v>
      </c>
      <c r="Q62" s="875">
        <f>+Q45/'VVP2'!Q$341</f>
        <v>4.6013255308118405E-3</v>
      </c>
      <c r="R62" s="875">
        <f>+R45/'VVP2'!R$341</f>
        <v>4.6286717239787884E-3</v>
      </c>
      <c r="S62" s="875">
        <f>+S45/'VVP2'!S$341</f>
        <v>4.6068095473378685E-3</v>
      </c>
      <c r="T62" s="875">
        <f>+T45/'VVP2'!T$341</f>
        <v>4.9518218252247196E-3</v>
      </c>
      <c r="U62" s="875">
        <f>+U45/'VVP2'!U$341</f>
        <v>5.3028409096086918E-3</v>
      </c>
      <c r="V62" s="3199">
        <f>+V45/'VVP2'!V$341</f>
        <v>4.969884988580588E-3</v>
      </c>
      <c r="W62" s="3199">
        <f>+W45/'VVP2'!W$341</f>
        <v>5.016056899632154E-3</v>
      </c>
      <c r="X62" s="3199">
        <f>+X45/'VVP2'!X$341</f>
        <v>5.0259279871809016E-3</v>
      </c>
      <c r="Y62" s="3199">
        <f>+Y45/'VVP2'!Y$341</f>
        <v>4.9608644972798984E-3</v>
      </c>
      <c r="Z62" s="3199">
        <f>+Z45/'VVP2'!Z$341</f>
        <v>5.2307516636322694E-3</v>
      </c>
      <c r="AA62" s="3199">
        <f>+AA45/'VVP2'!AA$341</f>
        <v>5.3282805864416959E-3</v>
      </c>
      <c r="AB62" s="3199">
        <f>+AB45/'VVP2'!AB$341</f>
        <v>5.3090903949997003E-3</v>
      </c>
      <c r="AC62" s="3199">
        <f>+AC45/'VVP2'!AC$341</f>
        <v>5.3818614474789679E-3</v>
      </c>
      <c r="AD62" s="3196">
        <f ca="1">+AD45/'VVP2'!AD$341</f>
        <v>5.3870927523310954E-3</v>
      </c>
      <c r="AE62" s="3196">
        <f ca="1">+AE45/'VVP2'!AE$341</f>
        <v>5.4503545025326016E-3</v>
      </c>
      <c r="AF62" s="3196">
        <f ca="1">+AF45/'VVP2'!AF$341</f>
        <v>5.5269333666539185E-3</v>
      </c>
      <c r="BB62" s="3481">
        <v>5.3115390046352519E-3</v>
      </c>
      <c r="BC62" s="736" t="str">
        <f t="shared" si="2"/>
        <v/>
      </c>
    </row>
    <row r="63" spans="1:55" ht="12.75" customHeight="1" outlineLevel="1">
      <c r="A63" s="701"/>
      <c r="B63" s="701"/>
      <c r="C63" s="863" t="s">
        <v>1791</v>
      </c>
      <c r="D63" s="711" t="s">
        <v>664</v>
      </c>
      <c r="E63" s="820" t="s">
        <v>1867</v>
      </c>
      <c r="F63" s="741" t="str">
        <f>+$F$9</f>
        <v>$HTaxOth</v>
      </c>
      <c r="G63" s="876">
        <f>+G46/'VVP2'!G$341</f>
        <v>4.7771376205951481E-3</v>
      </c>
      <c r="H63" s="876">
        <f>+H46/'VVP2'!H$341</f>
        <v>4.1842907642663432E-3</v>
      </c>
      <c r="I63" s="876">
        <f>+I46/'VVP2'!I$341</f>
        <v>3.3140815577617556E-3</v>
      </c>
      <c r="J63" s="876">
        <f>+J46/'VVP2'!J$341</f>
        <v>2.7871320265523635E-3</v>
      </c>
      <c r="K63" s="876">
        <f>+K46/'VVP2'!K$341</f>
        <v>2.6707453852206557E-3</v>
      </c>
      <c r="L63" s="876">
        <f>+L46/'VVP2'!L$341</f>
        <v>2.3694992419112729E-3</v>
      </c>
      <c r="M63" s="876">
        <f>+M46/'VVP2'!M$341</f>
        <v>2.3485887515935265E-3</v>
      </c>
      <c r="N63" s="876">
        <f>+N46/'VVP2'!N$341</f>
        <v>2.4514764998199274E-3</v>
      </c>
      <c r="O63" s="876">
        <f>+O46/'VVP2'!O$341</f>
        <v>2.2660613392030851E-3</v>
      </c>
      <c r="P63" s="876">
        <f>+P46/'VVP2'!P$341</f>
        <v>2.1257632896703217E-3</v>
      </c>
      <c r="Q63" s="876">
        <f>+Q46/'VVP2'!Q$341</f>
        <v>3.4084783537059854E-3</v>
      </c>
      <c r="R63" s="876">
        <f>+R46/'VVP2'!R$341</f>
        <v>3.2844167622244702E-3</v>
      </c>
      <c r="S63" s="876">
        <f>+S46/'VVP2'!S$341</f>
        <v>3.2787203084656902E-3</v>
      </c>
      <c r="T63" s="876">
        <f>+T46/'VVP2'!T$341</f>
        <v>3.0318299391953428E-3</v>
      </c>
      <c r="U63" s="876">
        <f>+U46/'VVP2'!U$341</f>
        <v>3.1293960617969148E-3</v>
      </c>
      <c r="V63" s="3200">
        <f>+V46/'VVP2'!V$341</f>
        <v>3.0097984462334098E-3</v>
      </c>
      <c r="W63" s="3200">
        <f>+W46/'VVP2'!W$341</f>
        <v>2.9696455354389444E-3</v>
      </c>
      <c r="X63" s="3200">
        <f>+X46/'VVP2'!X$341</f>
        <v>2.9542914349675008E-3</v>
      </c>
      <c r="Y63" s="3200">
        <f>+Y46/'VVP2'!Y$341</f>
        <v>2.9094269939180261E-3</v>
      </c>
      <c r="Z63" s="3200">
        <f>+Z46/'VVP2'!Z$341</f>
        <v>2.7777742535064734E-3</v>
      </c>
      <c r="AA63" s="3200">
        <f>+AA46/'VVP2'!AA$341</f>
        <v>1.8862118036159575E-3</v>
      </c>
      <c r="AB63" s="3200">
        <f>+AB46/'VVP2'!AB$341</f>
        <v>1.7573834846996816E-3</v>
      </c>
      <c r="AC63" s="3200">
        <f>+AC46/'VVP2'!AC$341</f>
        <v>1.6202584944546711E-3</v>
      </c>
      <c r="AD63" s="3197">
        <f ca="1">+AD46/'VVP2'!AD$341</f>
        <v>1.4982651654447631E-3</v>
      </c>
      <c r="AE63" s="3197">
        <f ca="1">+AE46/'VVP2'!AE$341</f>
        <v>1.4003655396552424E-3</v>
      </c>
      <c r="AF63" s="3197">
        <f ca="1">+AF46/'VVP2'!AF$341</f>
        <v>1.3118474285602954E-3</v>
      </c>
      <c r="BB63" s="3482">
        <v>1.6318050333512071E-3</v>
      </c>
      <c r="BC63" s="736" t="str">
        <f t="shared" si="2"/>
        <v/>
      </c>
    </row>
    <row r="64" spans="1:55" ht="12.75" customHeight="1" outlineLevel="1">
      <c r="A64" s="701"/>
      <c r="B64" s="701"/>
      <c r="C64" s="863" t="s">
        <v>1791</v>
      </c>
      <c r="D64" s="711" t="s">
        <v>665</v>
      </c>
      <c r="E64" s="820" t="s">
        <v>1867</v>
      </c>
      <c r="F64" s="741" t="str">
        <f>+$F$10</f>
        <v>$ETaxProd</v>
      </c>
      <c r="G64" s="876">
        <f>+G47/'VVP2'!G$341</f>
        <v>2.4509346389145804E-2</v>
      </c>
      <c r="H64" s="876">
        <f>+H47/'VVP2'!H$341</f>
        <v>2.1437381938793763E-2</v>
      </c>
      <c r="I64" s="876">
        <f>+I47/'VVP2'!I$341</f>
        <v>1.8375570851908378E-2</v>
      </c>
      <c r="J64" s="876">
        <f>+J47/'VVP2'!J$341</f>
        <v>1.4275049119612729E-2</v>
      </c>
      <c r="K64" s="876">
        <f>+K47/'VVP2'!K$341</f>
        <v>1.2528937910079252E-2</v>
      </c>
      <c r="L64" s="876">
        <f>+L47/'VVP2'!L$341</f>
        <v>1.0134559700221427E-2</v>
      </c>
      <c r="M64" s="876">
        <f>+M47/'VVP2'!M$341</f>
        <v>9.0019162614689615E-3</v>
      </c>
      <c r="N64" s="876">
        <f>+N47/'VVP2'!N$341</f>
        <v>9.3657280477272564E-3</v>
      </c>
      <c r="O64" s="876">
        <f>+O47/'VVP2'!O$341</f>
        <v>9.2086018569393531E-3</v>
      </c>
      <c r="P64" s="876">
        <f>+P47/'VVP2'!P$341</f>
        <v>8.4560513573016423E-3</v>
      </c>
      <c r="Q64" s="876">
        <f>+Q47/'VVP2'!Q$341</f>
        <v>9.4658195344529093E-3</v>
      </c>
      <c r="R64" s="876">
        <f>+R47/'VVP2'!R$341</f>
        <v>9.8071633867619096E-3</v>
      </c>
      <c r="S64" s="876">
        <f>+S47/'VVP2'!S$341</f>
        <v>8.9985316495116759E-3</v>
      </c>
      <c r="T64" s="876">
        <f>+T47/'VVP2'!T$341</f>
        <v>9.0197161820348079E-3</v>
      </c>
      <c r="U64" s="876">
        <f>+U47/'VVP2'!U$341</f>
        <v>9.5983941720693949E-3</v>
      </c>
      <c r="V64" s="3200">
        <f>+V47/'VVP2'!V$341</f>
        <v>9.9525401949700099E-3</v>
      </c>
      <c r="W64" s="3200">
        <f>+W47/'VVP2'!W$341</f>
        <v>1.0507115048908193E-2</v>
      </c>
      <c r="X64" s="3200">
        <f>+X47/'VVP2'!X$341</f>
        <v>1.080981145721821E-2</v>
      </c>
      <c r="Y64" s="3200">
        <f>+Y47/'VVP2'!Y$341</f>
        <v>1.0606689721270006E-2</v>
      </c>
      <c r="Z64" s="3200">
        <f>+Z47/'VVP2'!Z$341</f>
        <v>1.0632275417573285E-2</v>
      </c>
      <c r="AA64" s="3200">
        <f>+AA47/'VVP2'!AA$341</f>
        <v>9.6607365436935915E-3</v>
      </c>
      <c r="AB64" s="3200">
        <f>+AB47/'VVP2'!AB$341</f>
        <v>9.8741374124757114E-3</v>
      </c>
      <c r="AC64" s="3200">
        <f>+AC47/'VVP2'!AC$341</f>
        <v>9.4382951010712392E-3</v>
      </c>
      <c r="AD64" s="3197">
        <f ca="1">+AD47/'VVP2'!AD$341</f>
        <v>9.177541665537893E-3</v>
      </c>
      <c r="AE64" s="3197">
        <f ca="1">+AE47/'VVP2'!AE$341</f>
        <v>9.020020718374629E-3</v>
      </c>
      <c r="AF64" s="3197">
        <f ca="1">+AF47/'VVP2'!AF$341</f>
        <v>8.8854184617396179E-3</v>
      </c>
      <c r="BB64" s="3482">
        <v>9.7976407386437675E-3</v>
      </c>
      <c r="BC64" s="736" t="str">
        <f t="shared" si="2"/>
        <v/>
      </c>
    </row>
    <row r="65" spans="1:55" ht="12.75" customHeight="1" outlineLevel="1">
      <c r="A65" s="701"/>
      <c r="B65" s="701"/>
      <c r="C65" s="863" t="s">
        <v>1791</v>
      </c>
      <c r="D65" s="711" t="s">
        <v>666</v>
      </c>
      <c r="E65" s="820" t="s">
        <v>1867</v>
      </c>
      <c r="F65" s="741" t="s">
        <v>367</v>
      </c>
      <c r="G65" s="876">
        <f>+G48/'VVP2'!G$341</f>
        <v>2.3747804468278277E-3</v>
      </c>
      <c r="H65" s="876">
        <f>+H48/'VVP2'!H$341</f>
        <v>2.007363607319769E-3</v>
      </c>
      <c r="I65" s="876">
        <f>+I48/'VVP2'!I$341</f>
        <v>1.7858750194116851E-3</v>
      </c>
      <c r="J65" s="876">
        <f>+J48/'VVP2'!J$341</f>
        <v>1.9930276980953737E-3</v>
      </c>
      <c r="K65" s="876">
        <f>+K48/'VVP2'!K$341</f>
        <v>2.127134442841184E-3</v>
      </c>
      <c r="L65" s="876">
        <f>+L48/'VVP2'!L$341</f>
        <v>1.3143840518604847E-3</v>
      </c>
      <c r="M65" s="876">
        <f>+M48/'VVP2'!M$341</f>
        <v>1.1837628670752756E-3</v>
      </c>
      <c r="N65" s="876">
        <f>+N48/'VVP2'!N$341</f>
        <v>1.4903112287336356E-3</v>
      </c>
      <c r="O65" s="876">
        <f>+O48/'VVP2'!O$341</f>
        <v>1.3074148138118211E-3</v>
      </c>
      <c r="P65" s="876">
        <f>+P48/'VVP2'!P$341</f>
        <v>1.0080462098922412E-3</v>
      </c>
      <c r="Q65" s="876">
        <f>+Q48/'VVP2'!Q$341</f>
        <v>8.4619314435821426E-4</v>
      </c>
      <c r="R65" s="876">
        <f>+R48/'VVP2'!R$341</f>
        <v>9.1754828005623245E-4</v>
      </c>
      <c r="S65" s="876">
        <f>+S48/'VVP2'!S$341</f>
        <v>8.1642347143260046E-4</v>
      </c>
      <c r="T65" s="876">
        <f>+T48/'VVP2'!T$341</f>
        <v>8.7685133124253145E-4</v>
      </c>
      <c r="U65" s="876">
        <f>+U48/'VVP2'!U$341</f>
        <v>8.1378878368801538E-4</v>
      </c>
      <c r="V65" s="3200">
        <f>+V48/'VVP2'!V$341</f>
        <v>8.7575315906810326E-4</v>
      </c>
      <c r="W65" s="3200">
        <f>+W48/'VVP2'!W$341</f>
        <v>8.5194301186847579E-4</v>
      </c>
      <c r="X65" s="3200">
        <f>+X48/'VVP2'!X$341</f>
        <v>8.7777534101897295E-4</v>
      </c>
      <c r="Y65" s="3200">
        <f>+Y48/'VVP2'!Y$341</f>
        <v>9.2131854807404152E-4</v>
      </c>
      <c r="Z65" s="3200">
        <f>+Z48/'VVP2'!Z$341</f>
        <v>8.8278767040732818E-4</v>
      </c>
      <c r="AA65" s="3200">
        <f>+AA48/'VVP2'!AA$341</f>
        <v>7.9494604720218263E-4</v>
      </c>
      <c r="AB65" s="3200">
        <f>+AB48/'VVP2'!AB$341</f>
        <v>7.5863693442271187E-4</v>
      </c>
      <c r="AC65" s="3200">
        <f>+AC48/'VVP2'!AC$341</f>
        <v>9.1222802686846758E-4</v>
      </c>
      <c r="AD65" s="3197">
        <f ca="1">+AD48/'VVP2'!AD$341</f>
        <v>8.957220738539329E-4</v>
      </c>
      <c r="AE65" s="3197">
        <f ca="1">+AE48/'VVP2'!AE$341</f>
        <v>8.8897899630983553E-4</v>
      </c>
      <c r="AF65" s="3197">
        <f ca="1">+AF48/'VVP2'!AF$341</f>
        <v>8.8429853156761094E-4</v>
      </c>
      <c r="BB65" s="3483">
        <v>7.5506170574932043E-4</v>
      </c>
      <c r="BC65" s="736" t="str">
        <f t="shared" si="2"/>
        <v/>
      </c>
    </row>
    <row r="66" spans="1:55" ht="12.75" customHeight="1" outlineLevel="1">
      <c r="A66" s="701"/>
      <c r="B66" s="701"/>
      <c r="C66" s="864" t="s">
        <v>301</v>
      </c>
      <c r="D66" s="865" t="s">
        <v>667</v>
      </c>
      <c r="E66" s="866" t="s">
        <v>982</v>
      </c>
      <c r="F66" s="867" t="str">
        <f>+$F$12</f>
        <v>TaxToRow</v>
      </c>
      <c r="G66" s="877">
        <f>+G49/'VVP2'!G$341</f>
        <v>4.5183406447014501E-4</v>
      </c>
      <c r="H66" s="877">
        <f>+H49/'VVP2'!H$341</f>
        <v>5.4746280199630061E-4</v>
      </c>
      <c r="I66" s="877">
        <f>+I49/'VVP2'!I$341</f>
        <v>6.9041305098275054E-4</v>
      </c>
      <c r="J66" s="877">
        <f>+J49/'VVP2'!J$341</f>
        <v>5.7286601525320495E-4</v>
      </c>
      <c r="K66" s="877">
        <f>+K49/'VVP2'!K$341</f>
        <v>6.1993070522585079E-4</v>
      </c>
      <c r="L66" s="877">
        <f>+L49/'VVP2'!L$341</f>
        <v>1.9969575763983108E-3</v>
      </c>
      <c r="M66" s="877">
        <f>+M49/'VVP2'!M$341</f>
        <v>2.1225537044767023E-3</v>
      </c>
      <c r="N66" s="877">
        <f>+N49/'VVP2'!N$341</f>
        <v>2.0687975216388452E-3</v>
      </c>
      <c r="O66" s="877">
        <f>+O49/'VVP2'!O$341</f>
        <v>4.1960368732009068E-3</v>
      </c>
      <c r="P66" s="877">
        <f>+P49/'VVP2'!P$341</f>
        <v>3.9196653756601186E-3</v>
      </c>
      <c r="Q66" s="877">
        <f>+Q49/'VVP2'!Q$341</f>
        <v>4.3336907523079627E-3</v>
      </c>
      <c r="R66" s="877">
        <f>+R49/'VVP2'!R$341</f>
        <v>4.0669272026798752E-3</v>
      </c>
      <c r="S66" s="877">
        <f>+S49/'VVP2'!S$341</f>
        <v>3.5998367758937268E-3</v>
      </c>
      <c r="T66" s="877">
        <f>+T49/'VVP2'!T$341</f>
        <v>3.3337451252048768E-3</v>
      </c>
      <c r="U66" s="877">
        <f>+U49/'VVP2'!U$341</f>
        <v>3.4747778636085138E-3</v>
      </c>
      <c r="V66" s="3201">
        <f>+V49/'VVP2'!V$341</f>
        <v>3.0830143616707296E-3</v>
      </c>
      <c r="W66" s="3201">
        <f>+W49/'VVP2'!W$341</f>
        <v>3.0242747763410596E-3</v>
      </c>
      <c r="X66" s="3201">
        <f>+X49/'VVP2'!X$341</f>
        <v>2.8675440263430181E-3</v>
      </c>
      <c r="Y66" s="3201">
        <f>+Y49/'VVP2'!Y$341</f>
        <v>2.731363702486981E-3</v>
      </c>
      <c r="Z66" s="3201">
        <f>+Z49/'VVP2'!Z$341</f>
        <v>2.6227345102989774E-3</v>
      </c>
      <c r="AA66" s="3201">
        <f>+AA49/'VVP2'!AA$341</f>
        <v>1.8602689535725334E-3</v>
      </c>
      <c r="AB66" s="3201">
        <f>+AB49/'VVP2'!AB$341</f>
        <v>1.8367359503381273E-3</v>
      </c>
      <c r="AC66" s="3201">
        <f>+AC49/'VVP2'!AC$341</f>
        <v>1.7156962841940811E-3</v>
      </c>
      <c r="AD66" s="3198">
        <f ca="1">+AD49/'VVP2'!AD$341</f>
        <v>1.6355847468444843E-3</v>
      </c>
      <c r="AE66" s="3198">
        <f ca="1">+AE49/'VVP2'!AE$341</f>
        <v>1.5759921510239631E-3</v>
      </c>
      <c r="AF66" s="3198">
        <f ca="1">+AF49/'VVP2'!AF$341</f>
        <v>1.5220335626192638E-3</v>
      </c>
      <c r="BB66" s="3484">
        <v>1.3278279966710063E-3</v>
      </c>
      <c r="BC66" s="736" t="str">
        <f t="shared" ref="BC66:BC129" si="80">IF(ABS(BB66-AB66)&gt;0.99,AB66-BB66,"")</f>
        <v/>
      </c>
    </row>
    <row r="67" spans="1:55" ht="12.75" customHeight="1" outlineLevel="1">
      <c r="A67" s="701"/>
      <c r="B67" s="701"/>
      <c r="C67" s="811" t="s">
        <v>1793</v>
      </c>
      <c r="D67" s="843" t="s">
        <v>666</v>
      </c>
      <c r="E67" s="844" t="s">
        <v>1801</v>
      </c>
      <c r="F67" s="845" t="str">
        <f>+$F$13</f>
        <v>YATaxIndir</v>
      </c>
      <c r="G67" s="878">
        <f>+G50/'VVP2'!G$341</f>
        <v>3.4884559578457909E-2</v>
      </c>
      <c r="H67" s="878">
        <f>+H50/'VVP2'!H$341</f>
        <v>3.0184896643779036E-2</v>
      </c>
      <c r="I67" s="878">
        <f>+I50/'VVP2'!I$341</f>
        <v>2.5241125274360055E-2</v>
      </c>
      <c r="J67" s="878">
        <f>+J50/'VVP2'!J$341</f>
        <v>2.015857609138743E-2</v>
      </c>
      <c r="K67" s="878">
        <f>+K50/'VVP2'!K$341</f>
        <v>1.862871685055564E-2</v>
      </c>
      <c r="L67" s="878">
        <f>+L50/'VVP2'!L$341</f>
        <v>1.5133246574756275E-2</v>
      </c>
      <c r="M67" s="878">
        <f>+M50/'VVP2'!M$341</f>
        <v>1.3895716051631077E-2</v>
      </c>
      <c r="N67" s="878">
        <f>+N50/'VVP2'!N$341</f>
        <v>1.4541024157727454E-2</v>
      </c>
      <c r="O67" s="878">
        <f>+O50/'VVP2'!O$341</f>
        <v>1.4543824134243341E-2</v>
      </c>
      <c r="P67" s="878">
        <f>+P50/'VVP2'!P$341</f>
        <v>1.3502335669061742E-2</v>
      </c>
      <c r="Q67" s="878">
        <f>+Q50/'VVP2'!Q$341</f>
        <v>1.3988125811020989E-2</v>
      </c>
      <c r="R67" s="878">
        <f>+R50/'VVP2'!R$341</f>
        <v>1.4570872950341526E-2</v>
      </c>
      <c r="S67" s="878">
        <f>+S50/'VVP2'!S$341</f>
        <v>1.4100648200854108E-2</v>
      </c>
      <c r="T67" s="878">
        <f>+T50/'VVP2'!T$341</f>
        <v>1.4546474152492526E-2</v>
      </c>
      <c r="U67" s="878">
        <f>+U50/'VVP2'!U$341</f>
        <v>1.5369642063554505E-2</v>
      </c>
      <c r="V67" s="878">
        <f>+V50/'VVP2'!V$341</f>
        <v>1.5724962427181379E-2</v>
      </c>
      <c r="W67" s="878">
        <f>+W50/'VVP2'!W$341</f>
        <v>1.6320485719506707E-2</v>
      </c>
      <c r="X67" s="878">
        <f>+X50/'VVP2'!X$341</f>
        <v>1.6800262194042567E-2</v>
      </c>
      <c r="Y67" s="878">
        <f>+Y50/'VVP2'!Y$341</f>
        <v>1.6666936058054992E-2</v>
      </c>
      <c r="Z67" s="878">
        <f>+Z50/'VVP2'!Z$341</f>
        <v>1.6900854494820379E-2</v>
      </c>
      <c r="AA67" s="878">
        <f>+AA50/'VVP2'!AA$341</f>
        <v>1.5809906027380895E-2</v>
      </c>
      <c r="AB67" s="878">
        <f>+AB50/'VVP2'!AB$341</f>
        <v>1.5862512276259681E-2</v>
      </c>
      <c r="AC67" s="878">
        <f>+AC50/'VVP2'!AC$341</f>
        <v>1.5636946785679263E-2</v>
      </c>
      <c r="AD67" s="3005">
        <f ca="1">+AD50/'VVP2'!AD$341</f>
        <v>1.53230369103232E-2</v>
      </c>
      <c r="AE67" s="3005">
        <f ca="1">+AE50/'VVP2'!AE$341</f>
        <v>1.5183727605848345E-2</v>
      </c>
      <c r="AF67" s="3005">
        <f ca="1">+AF50/'VVP2'!AF$341</f>
        <v>1.508646422590218E-2</v>
      </c>
      <c r="BB67" s="3485">
        <v>1.6168218485708537E-2</v>
      </c>
      <c r="BC67" s="736" t="str">
        <f t="shared" si="80"/>
        <v/>
      </c>
    </row>
    <row r="68" spans="1:55" outlineLevel="1">
      <c r="A68" s="701"/>
      <c r="B68" s="701"/>
      <c r="C68" s="811"/>
      <c r="S68" s="880"/>
      <c r="T68" s="880"/>
      <c r="U68" s="880"/>
      <c r="V68" s="880"/>
      <c r="W68" s="880"/>
      <c r="BC68" s="736" t="str">
        <f t="shared" si="80"/>
        <v/>
      </c>
    </row>
    <row r="69" spans="1:55" outlineLevel="1">
      <c r="A69" s="701"/>
      <c r="B69" s="701"/>
      <c r="C69" s="811"/>
      <c r="BC69" s="736" t="str">
        <f t="shared" si="80"/>
        <v/>
      </c>
    </row>
    <row r="70" spans="1:55" ht="22.5" customHeight="1" outlineLevel="1">
      <c r="A70" s="590"/>
      <c r="B70" s="590"/>
      <c r="C70" s="3816" t="s">
        <v>629</v>
      </c>
      <c r="D70" s="3816"/>
      <c r="E70" s="3816"/>
      <c r="F70" s="3816"/>
      <c r="G70" s="2992"/>
      <c r="BC70" s="736" t="str">
        <f t="shared" si="80"/>
        <v/>
      </c>
    </row>
    <row r="71" spans="1:55" ht="12.75" customHeight="1" outlineLevel="1">
      <c r="A71" s="701"/>
      <c r="B71" s="701"/>
      <c r="C71" s="811"/>
      <c r="BC71" s="736" t="str">
        <f t="shared" si="80"/>
        <v/>
      </c>
    </row>
    <row r="72" spans="1:55" ht="12.75" customHeight="1" outlineLevel="1">
      <c r="A72" s="701"/>
      <c r="B72" s="701"/>
      <c r="C72" s="811"/>
      <c r="D72" s="812"/>
      <c r="E72" s="813" t="s">
        <v>1882</v>
      </c>
      <c r="F72" s="814"/>
      <c r="G72" s="815">
        <f>+InputY!$G$3</f>
        <v>1995</v>
      </c>
      <c r="H72" s="815">
        <f t="shared" ref="H72:N72" si="81">+G72+1</f>
        <v>1996</v>
      </c>
      <c r="I72" s="815">
        <f t="shared" si="81"/>
        <v>1997</v>
      </c>
      <c r="J72" s="815">
        <f t="shared" si="81"/>
        <v>1998</v>
      </c>
      <c r="K72" s="815">
        <f t="shared" si="81"/>
        <v>1999</v>
      </c>
      <c r="L72" s="815">
        <f t="shared" si="81"/>
        <v>2000</v>
      </c>
      <c r="M72" s="815">
        <f t="shared" si="81"/>
        <v>2001</v>
      </c>
      <c r="N72" s="815">
        <f t="shared" si="81"/>
        <v>2002</v>
      </c>
      <c r="O72" s="815">
        <f>+N72+1</f>
        <v>2003</v>
      </c>
      <c r="P72" s="815">
        <f>+O72+1</f>
        <v>2004</v>
      </c>
      <c r="Q72" s="815">
        <f>+P72+1</f>
        <v>2005</v>
      </c>
      <c r="R72" s="815">
        <f>+Q72+1</f>
        <v>2006</v>
      </c>
      <c r="S72" s="815">
        <f>+R72+1</f>
        <v>2007</v>
      </c>
      <c r="T72" s="815">
        <f t="shared" ref="T72:AF72" si="82">+S72+1</f>
        <v>2008</v>
      </c>
      <c r="U72" s="815">
        <f t="shared" si="82"/>
        <v>2009</v>
      </c>
      <c r="V72" s="815">
        <f t="shared" si="82"/>
        <v>2010</v>
      </c>
      <c r="W72" s="815">
        <f t="shared" si="82"/>
        <v>2011</v>
      </c>
      <c r="X72" s="2285">
        <f t="shared" si="82"/>
        <v>2012</v>
      </c>
      <c r="Y72" s="2285">
        <f t="shared" si="82"/>
        <v>2013</v>
      </c>
      <c r="Z72" s="2285">
        <f t="shared" si="82"/>
        <v>2014</v>
      </c>
      <c r="AA72" s="2285">
        <f t="shared" si="82"/>
        <v>2015</v>
      </c>
      <c r="AB72" s="2285">
        <f t="shared" si="82"/>
        <v>2016</v>
      </c>
      <c r="AC72" s="2285">
        <f t="shared" si="82"/>
        <v>2017</v>
      </c>
      <c r="AD72" s="2285">
        <f t="shared" si="82"/>
        <v>2018</v>
      </c>
      <c r="AE72" s="2285">
        <f t="shared" si="82"/>
        <v>2019</v>
      </c>
      <c r="AF72" s="2285">
        <f t="shared" si="82"/>
        <v>2020</v>
      </c>
      <c r="BB72" s="3470">
        <v>2016</v>
      </c>
      <c r="BC72" s="736" t="str">
        <f t="shared" si="80"/>
        <v/>
      </c>
    </row>
    <row r="73" spans="1:55" ht="12.75" customHeight="1" outlineLevel="1">
      <c r="A73" s="701">
        <f>+ROW(InputY!A180)</f>
        <v>180</v>
      </c>
      <c r="B73" s="701"/>
      <c r="C73" s="816" t="s">
        <v>1791</v>
      </c>
      <c r="D73" s="705" t="s">
        <v>664</v>
      </c>
      <c r="E73" s="737" t="s">
        <v>629</v>
      </c>
      <c r="F73" s="738" t="str">
        <f>+InputY!B180</f>
        <v>YHGrVadd</v>
      </c>
      <c r="G73" s="817">
        <f>+InputY!G180/1000</f>
        <v>172.45500000000001</v>
      </c>
      <c r="H73" s="817">
        <f>+InputY!H180/1000</f>
        <v>177.858</v>
      </c>
      <c r="I73" s="817">
        <f>+InputY!I180/1000</f>
        <v>180.364</v>
      </c>
      <c r="J73" s="817">
        <f>+InputY!J180/1000</f>
        <v>185.14</v>
      </c>
      <c r="K73" s="817">
        <f>+InputY!K180/1000</f>
        <v>188.01400000000001</v>
      </c>
      <c r="L73" s="817">
        <f>+InputY!L180/1000</f>
        <v>210.11099999999999</v>
      </c>
      <c r="M73" s="817">
        <f>+InputY!M180/1000</f>
        <v>218.09700000000001</v>
      </c>
      <c r="N73" s="817">
        <f>+InputY!N180/1000</f>
        <v>229.75399999999999</v>
      </c>
      <c r="O73" s="817">
        <f>+InputY!O180/1000</f>
        <v>236.34100000000001</v>
      </c>
      <c r="P73" s="817">
        <f>+InputY!P180/1000</f>
        <v>238.29900000000001</v>
      </c>
      <c r="Q73" s="817">
        <f>+InputY!Q180/1000</f>
        <v>244.50299999999999</v>
      </c>
      <c r="R73" s="817">
        <f>+InputY!R180/1000</f>
        <v>259.09100000000001</v>
      </c>
      <c r="S73" s="817">
        <f>+InputY!S180/1000</f>
        <v>282.21300000000002</v>
      </c>
      <c r="T73" s="817">
        <f>+InputY!T180/1000</f>
        <v>274.55500000000001</v>
      </c>
      <c r="U73" s="817">
        <f>+InputY!U180/1000</f>
        <v>267.15300000000002</v>
      </c>
      <c r="V73" s="817">
        <f>+InputY!V180/1000</f>
        <v>282.43099999999998</v>
      </c>
      <c r="W73" s="817">
        <f>+InputY!W180/1000</f>
        <v>287.75</v>
      </c>
      <c r="X73" s="817">
        <f>+InputY!X180/1000</f>
        <v>279.34100000000001</v>
      </c>
      <c r="Y73" s="817">
        <f>+InputY!Y180/1000</f>
        <v>282.464</v>
      </c>
      <c r="Z73" s="817">
        <f>+InputY!Z180/1000</f>
        <v>290.76299999999998</v>
      </c>
      <c r="AA73" s="817">
        <f>+InputY!AA180/1000</f>
        <v>292.32400000000001</v>
      </c>
      <c r="AB73" s="817">
        <f>+InputY!AB180/1000</f>
        <v>303.53699999999998</v>
      </c>
      <c r="AC73" s="817">
        <f>+InputY!AC180/1000</f>
        <v>319.35500000000002</v>
      </c>
      <c r="AD73" s="2296">
        <f ca="1">+AD107+Labour1!AD208+Sector1!AD9-Sector1!AD46</f>
        <v>330.33001789988379</v>
      </c>
      <c r="AE73" s="2296">
        <f ca="1">+AE107+Labour1!AE208+Sector1!AE9-Sector1!AE46</f>
        <v>340.88207227684342</v>
      </c>
      <c r="AF73" s="2296">
        <f ca="1">+AF107+Labour1!AF208+Sector1!AF9-Sector1!AF46</f>
        <v>352.23464156042343</v>
      </c>
      <c r="BB73" s="3471">
        <v>314.57799999999997</v>
      </c>
      <c r="BC73" s="736">
        <f t="shared" si="80"/>
        <v>-11.040999999999997</v>
      </c>
    </row>
    <row r="74" spans="1:55" ht="12.75" customHeight="1" outlineLevel="1">
      <c r="A74" s="701"/>
      <c r="B74" s="701"/>
      <c r="C74" s="819"/>
      <c r="D74" s="2033" t="s">
        <v>1955</v>
      </c>
      <c r="E74" s="2033"/>
      <c r="F74" s="2033"/>
      <c r="G74" s="2991"/>
      <c r="H74" s="2991"/>
      <c r="I74" s="2991"/>
      <c r="J74" s="2991"/>
      <c r="K74" s="2991"/>
      <c r="L74" s="2991"/>
      <c r="M74" s="2991"/>
      <c r="N74" s="2991"/>
      <c r="O74" s="2991"/>
      <c r="P74" s="2991"/>
      <c r="Q74" s="2991"/>
      <c r="R74" s="2991"/>
      <c r="S74" s="2991"/>
      <c r="T74" s="2991"/>
      <c r="U74" s="2991"/>
      <c r="V74" s="2991"/>
      <c r="W74" s="2991"/>
      <c r="X74" s="2998"/>
      <c r="Y74" s="2998"/>
      <c r="Z74" s="2998"/>
      <c r="AA74" s="2998"/>
      <c r="AB74" s="2998"/>
      <c r="AC74" s="2998"/>
      <c r="AD74" s="2998"/>
      <c r="AE74" s="2998"/>
      <c r="AF74" s="2998"/>
      <c r="BB74" s="3494"/>
      <c r="BC74" s="736" t="str">
        <f t="shared" si="80"/>
        <v/>
      </c>
    </row>
    <row r="75" spans="1:55" ht="12.75" customHeight="1" outlineLevel="1">
      <c r="A75" s="701"/>
      <c r="B75" s="701"/>
      <c r="C75" s="819"/>
      <c r="D75" s="2033"/>
      <c r="E75" s="2033" t="s">
        <v>1245</v>
      </c>
      <c r="F75" s="2033"/>
      <c r="G75" s="2991">
        <f t="shared" ref="G75:R75" si="83">(G9-G46)/G73</f>
        <v>4.7670406772781303E-2</v>
      </c>
      <c r="H75" s="2991">
        <f t="shared" si="83"/>
        <v>7.7067098471814588E-2</v>
      </c>
      <c r="I75" s="2991">
        <f t="shared" si="83"/>
        <v>7.9095606662083331E-2</v>
      </c>
      <c r="J75" s="2991">
        <f t="shared" si="83"/>
        <v>8.7225883115480185E-2</v>
      </c>
      <c r="K75" s="2991">
        <f t="shared" si="83"/>
        <v>8.3259757252119523E-2</v>
      </c>
      <c r="L75" s="2991">
        <f t="shared" si="83"/>
        <v>8.8972019551570358E-2</v>
      </c>
      <c r="M75" s="2991">
        <f t="shared" si="83"/>
        <v>8.707593410271576E-2</v>
      </c>
      <c r="N75" s="2991">
        <f t="shared" si="83"/>
        <v>8.8320551546436629E-2</v>
      </c>
      <c r="O75" s="2991">
        <f t="shared" si="83"/>
        <v>9.2438468145603178E-2</v>
      </c>
      <c r="P75" s="2991">
        <f t="shared" si="83"/>
        <v>9.2383937826008497E-2</v>
      </c>
      <c r="Q75" s="2991">
        <f t="shared" si="83"/>
        <v>7.8436665398788574E-2</v>
      </c>
      <c r="R75" s="2991">
        <f t="shared" si="83"/>
        <v>7.4468044046300322E-2</v>
      </c>
      <c r="S75" s="2991">
        <f t="shared" ref="S75:X75" si="84">(S9-S46)/S73</f>
        <v>7.1782660614500393E-2</v>
      </c>
      <c r="T75" s="2991">
        <f t="shared" si="84"/>
        <v>6.7694997359363324E-2</v>
      </c>
      <c r="U75" s="2991">
        <f t="shared" si="84"/>
        <v>7.0742233851014205E-2</v>
      </c>
      <c r="V75" s="2991">
        <f t="shared" si="84"/>
        <v>6.4267024512181747E-2</v>
      </c>
      <c r="W75" s="2991">
        <f t="shared" si="84"/>
        <v>6.4066029539530833E-2</v>
      </c>
      <c r="X75" s="2991">
        <f t="shared" si="84"/>
        <v>6.9724816621978158E-2</v>
      </c>
      <c r="Y75" s="2991">
        <f>(Y9-Y46)/Y73</f>
        <v>7.0069106151580365E-2</v>
      </c>
      <c r="Z75" s="2991">
        <f t="shared" ref="Z75:AB75" si="85">(Z9-Z46)/Z73</f>
        <v>6.7794045322135219E-2</v>
      </c>
      <c r="AA75" s="2991">
        <f t="shared" si="85"/>
        <v>8.034920157085973E-2</v>
      </c>
      <c r="AB75" s="2991">
        <f t="shared" si="85"/>
        <v>8.087646646043152E-2</v>
      </c>
      <c r="AC75" s="2991">
        <f t="shared" ref="AC75" si="86">(AC9-AC46)/AC73</f>
        <v>7.4753800629393616E-2</v>
      </c>
      <c r="AD75" s="2998">
        <f ca="1">(AD9-AD46)/AD73</f>
        <v>7.6191850985555323E-2</v>
      </c>
      <c r="AE75" s="2998">
        <f ca="1">(AE9-AE46)/AE73</f>
        <v>7.6261713835777289E-2</v>
      </c>
      <c r="AF75" s="2998">
        <f ca="1">(AF9-AF46)/AF73</f>
        <v>7.7385461542963233E-2</v>
      </c>
      <c r="BB75" s="3495">
        <v>7.9986521625797113E-2</v>
      </c>
      <c r="BC75" s="736" t="str">
        <f t="shared" si="80"/>
        <v/>
      </c>
    </row>
    <row r="76" spans="1:55" ht="12.75" customHeight="1" outlineLevel="1">
      <c r="A76" s="701"/>
      <c r="B76" s="701"/>
      <c r="C76" s="819"/>
      <c r="D76" s="2033"/>
      <c r="E76" s="2033" t="s">
        <v>82</v>
      </c>
      <c r="F76" s="2033"/>
      <c r="G76" s="2991">
        <f>+Labour1!G208/G73</f>
        <v>0.14767330607984691</v>
      </c>
      <c r="H76" s="2991">
        <f>+Labour1!H208/H73</f>
        <v>0.14892779633190523</v>
      </c>
      <c r="I76" s="2991">
        <f>+Labour1!I208/I73</f>
        <v>0.15346743252533765</v>
      </c>
      <c r="J76" s="2991">
        <f>+Labour1!J208/J73</f>
        <v>0.15166900723776602</v>
      </c>
      <c r="K76" s="2991">
        <f>+Labour1!K208/K73</f>
        <v>0.15440339549182508</v>
      </c>
      <c r="L76" s="2991">
        <f>+Labour1!L208/L73</f>
        <v>0.17140463850060209</v>
      </c>
      <c r="M76" s="2991">
        <f>+Labour1!M208/M73</f>
        <v>0.17301017437195373</v>
      </c>
      <c r="N76" s="2991">
        <f>+Labour1!N208/N73</f>
        <v>0.17186643105234295</v>
      </c>
      <c r="O76" s="2991">
        <f>+Labour1!O208/O73</f>
        <v>0.1754287237508515</v>
      </c>
      <c r="P76" s="2991">
        <f>+Labour1!P208/P73</f>
        <v>0.18050012799046575</v>
      </c>
      <c r="Q76" s="2991">
        <f>+Labour1!Q208/Q73</f>
        <v>0.18249264835196297</v>
      </c>
      <c r="R76" s="2991">
        <f>+Labour1!R208/R73</f>
        <v>0.1811448487211057</v>
      </c>
      <c r="S76" s="2991">
        <f>+Labour1!S208/S73</f>
        <v>0.17594866288937788</v>
      </c>
      <c r="T76" s="2991">
        <f>+Labour1!T208/T73</f>
        <v>0.18567500136584655</v>
      </c>
      <c r="U76" s="2991">
        <f>+Labour1!U208/U73</f>
        <v>0.19635938956328394</v>
      </c>
      <c r="V76" s="2991">
        <f>+Labour1!V208/V73</f>
        <v>0.19251781851142402</v>
      </c>
      <c r="W76" s="2991">
        <f>+Labour1!W208/W73</f>
        <v>0.19590964378801043</v>
      </c>
      <c r="X76" s="2991">
        <f>+Labour1!X208/X73</f>
        <v>0.20473543088912835</v>
      </c>
      <c r="Y76" s="2991">
        <f>+Labour1!Y208/Y73</f>
        <v>0.20667058457006912</v>
      </c>
      <c r="Z76" s="2991">
        <f>+Labour1!Z208/Z73</f>
        <v>0.2060062662718434</v>
      </c>
      <c r="AA76" s="2991">
        <f>+Labour1!AA208/AA73</f>
        <v>0.20833048261518039</v>
      </c>
      <c r="AB76" s="2991">
        <f>+Labour1!AB208/AB73</f>
        <v>0.20185348079476309</v>
      </c>
      <c r="AC76" s="2991">
        <f>+Labour1!AC208/AC73</f>
        <v>0.19409121510544691</v>
      </c>
      <c r="AD76" s="2998">
        <f ca="1">+Labour1!AD208/AD73</f>
        <v>0.18951907670399468</v>
      </c>
      <c r="AE76" s="2998">
        <f ca="1">+Labour1!AE208/AE73</f>
        <v>0.1845707484109132</v>
      </c>
      <c r="AF76" s="2998">
        <f ca="1">+Labour1!AF208/AF73</f>
        <v>0.17951511871711537</v>
      </c>
      <c r="BB76" s="3495">
        <v>0.19418395437697489</v>
      </c>
      <c r="BC76" s="736" t="str">
        <f t="shared" si="80"/>
        <v/>
      </c>
    </row>
    <row r="77" spans="1:55" ht="12.75" customHeight="1" outlineLevel="1">
      <c r="A77" s="701"/>
      <c r="B77" s="701"/>
      <c r="C77" s="819"/>
      <c r="D77" s="2033"/>
      <c r="E77" s="2033" t="s">
        <v>1048</v>
      </c>
      <c r="F77" s="2033"/>
      <c r="G77" s="2991">
        <f t="shared" ref="G77:R77" si="87">+G107/G73</f>
        <v>0.80465628714737181</v>
      </c>
      <c r="H77" s="2991">
        <f t="shared" si="87"/>
        <v>0.77400510519628019</v>
      </c>
      <c r="I77" s="2991">
        <f t="shared" si="87"/>
        <v>0.76743696081257884</v>
      </c>
      <c r="J77" s="2991">
        <f t="shared" si="87"/>
        <v>0.76110510964675382</v>
      </c>
      <c r="K77" s="2991">
        <f t="shared" si="87"/>
        <v>0.76233684725605544</v>
      </c>
      <c r="L77" s="2991">
        <f t="shared" si="87"/>
        <v>0.73962334194782753</v>
      </c>
      <c r="M77" s="2991">
        <f t="shared" si="87"/>
        <v>0.73991389152533049</v>
      </c>
      <c r="N77" s="2991">
        <f t="shared" si="87"/>
        <v>0.73981301740122041</v>
      </c>
      <c r="O77" s="2991">
        <f t="shared" si="87"/>
        <v>0.7321328081035452</v>
      </c>
      <c r="P77" s="2991">
        <f t="shared" si="87"/>
        <v>0.72711593418352571</v>
      </c>
      <c r="Q77" s="2991">
        <f t="shared" si="87"/>
        <v>0.73907068624924843</v>
      </c>
      <c r="R77" s="2991">
        <f t="shared" si="87"/>
        <v>0.74438710723259394</v>
      </c>
      <c r="S77" s="2991">
        <f t="shared" ref="S77:X77" si="88">+S107/S73</f>
        <v>0.75226867649612184</v>
      </c>
      <c r="T77" s="2991">
        <f t="shared" si="88"/>
        <v>0.74663000127479007</v>
      </c>
      <c r="U77" s="2991">
        <f t="shared" si="88"/>
        <v>0.73289837658570189</v>
      </c>
      <c r="V77" s="2991">
        <f t="shared" si="88"/>
        <v>0.74321515697639418</v>
      </c>
      <c r="W77" s="2991">
        <f t="shared" si="88"/>
        <v>0.74002432667245877</v>
      </c>
      <c r="X77" s="2991">
        <f t="shared" si="88"/>
        <v>0.72553975248889346</v>
      </c>
      <c r="Y77" s="2991">
        <f>+Y107/Y73</f>
        <v>0.7232603092783505</v>
      </c>
      <c r="Z77" s="2991">
        <f t="shared" ref="Z77:AB77" si="89">+Z107/Z73</f>
        <v>0.72619968840602145</v>
      </c>
      <c r="AA77" s="2991">
        <f t="shared" si="89"/>
        <v>0.71132031581395982</v>
      </c>
      <c r="AB77" s="2991">
        <f t="shared" si="89"/>
        <v>0.71727005274480538</v>
      </c>
      <c r="AC77" s="2991">
        <f t="shared" ref="AC77" si="90">+AC107/AC73</f>
        <v>0.73115498426515957</v>
      </c>
      <c r="AD77" s="2998">
        <f ca="1">+AD107/AD73</f>
        <v>0.73428907231045015</v>
      </c>
      <c r="AE77" s="2998">
        <f ca="1">+AE107/AE73</f>
        <v>0.73916753775330946</v>
      </c>
      <c r="AF77" s="2998">
        <f ca="1">+AF107/AF73</f>
        <v>0.74309941973992144</v>
      </c>
      <c r="BB77" s="3495">
        <v>0.725829523997228</v>
      </c>
      <c r="BC77" s="736" t="str">
        <f t="shared" si="80"/>
        <v/>
      </c>
    </row>
    <row r="78" spans="1:55" ht="12.75" customHeight="1" outlineLevel="1">
      <c r="A78" s="701">
        <f>+ROW(InputY!A113)</f>
        <v>113</v>
      </c>
      <c r="B78" s="701">
        <v>100</v>
      </c>
      <c r="C78" s="819" t="s">
        <v>1791</v>
      </c>
      <c r="D78" s="711" t="s">
        <v>665</v>
      </c>
      <c r="E78" s="820" t="s">
        <v>629</v>
      </c>
      <c r="F78" s="741" t="str">
        <f>+InputY!B113</f>
        <v>YEGrVadd</v>
      </c>
      <c r="G78" s="743">
        <f>+InputY!G113/1000</f>
        <v>1112.327</v>
      </c>
      <c r="H78" s="743">
        <f>+InputY!H113/1000</f>
        <v>1138.105</v>
      </c>
      <c r="I78" s="743">
        <f>+InputY!I113/1000</f>
        <v>1208.4929999999999</v>
      </c>
      <c r="J78" s="743">
        <f>+InputY!J113/1000</f>
        <v>1280.3130000000001</v>
      </c>
      <c r="K78" s="743">
        <f>+InputY!K113/1000</f>
        <v>1361.9369999999999</v>
      </c>
      <c r="L78" s="743">
        <f>+InputY!L113/1000</f>
        <v>1463.9010000000001</v>
      </c>
      <c r="M78" s="743">
        <f>+InputY!M113/1000</f>
        <v>1516.7850000000001</v>
      </c>
      <c r="N78" s="743">
        <f>+InputY!N113/1000</f>
        <v>1558.423</v>
      </c>
      <c r="O78" s="743">
        <f>+InputY!O113/1000</f>
        <v>1618.0050000000001</v>
      </c>
      <c r="P78" s="743">
        <f>+InputY!P113/1000</f>
        <v>1715.3520000000001</v>
      </c>
      <c r="Q78" s="743">
        <f>+InputY!Q113/1000</f>
        <v>1776.5709999999999</v>
      </c>
      <c r="R78" s="743">
        <f>+InputY!R113/1000</f>
        <v>1913.3309999999999</v>
      </c>
      <c r="S78" s="743">
        <f>+InputY!S113/1000</f>
        <v>2040.806</v>
      </c>
      <c r="T78" s="743">
        <f>+InputY!T113/1000</f>
        <v>2108.5520000000001</v>
      </c>
      <c r="U78" s="743">
        <f>+InputY!U113/1000</f>
        <v>2006.3009999999999</v>
      </c>
      <c r="V78" s="743">
        <f>+InputY!V113/1000</f>
        <v>2186.0219999999999</v>
      </c>
      <c r="W78" s="743">
        <f>+InputY!W113/1000</f>
        <v>2290.65</v>
      </c>
      <c r="X78" s="743">
        <f>+InputY!X113/1000</f>
        <v>2302.8330000000001</v>
      </c>
      <c r="Y78" s="743">
        <f>+InputY!Y113/1000</f>
        <v>2357.261</v>
      </c>
      <c r="Z78" s="743">
        <f>+InputY!Z113/1000</f>
        <v>2477.85</v>
      </c>
      <c r="AA78" s="743">
        <f>+InputY!AA113/1000</f>
        <v>2673.3270000000002</v>
      </c>
      <c r="AB78" s="743">
        <f>+InputY!AB113/1000</f>
        <v>2777.0720000000001</v>
      </c>
      <c r="AC78" s="743">
        <f>+InputY!AC113/1000</f>
        <v>2894.855</v>
      </c>
      <c r="AD78" s="2279">
        <f ca="1">+AD88-AD73-AD83</f>
        <v>3044.7155677528813</v>
      </c>
      <c r="AE78" s="2279">
        <f ca="1">+AE88-AE73-AE83</f>
        <v>3157.6266520075574</v>
      </c>
      <c r="AF78" s="2279">
        <f ca="1">+AF88-AF73-AF83</f>
        <v>3269.271878208453</v>
      </c>
      <c r="BB78" s="3472">
        <v>2783.68</v>
      </c>
      <c r="BC78" s="736">
        <f t="shared" si="80"/>
        <v>-6.6079999999997199</v>
      </c>
    </row>
    <row r="79" spans="1:55" ht="12.75" customHeight="1" outlineLevel="1">
      <c r="A79" s="701"/>
      <c r="B79" s="701"/>
      <c r="C79" s="819"/>
      <c r="D79" s="2033" t="s">
        <v>1955</v>
      </c>
      <c r="E79" s="2033"/>
      <c r="F79" s="2033"/>
      <c r="G79" s="2991"/>
      <c r="H79" s="2991"/>
      <c r="I79" s="2991"/>
      <c r="J79" s="2991"/>
      <c r="K79" s="2991"/>
      <c r="L79" s="2991"/>
      <c r="M79" s="2991"/>
      <c r="N79" s="2991"/>
      <c r="O79" s="2991"/>
      <c r="P79" s="2991"/>
      <c r="Q79" s="2991"/>
      <c r="R79" s="2991"/>
      <c r="S79" s="2991"/>
      <c r="T79" s="2991"/>
      <c r="U79" s="2991"/>
      <c r="V79" s="2991"/>
      <c r="W79" s="2991"/>
      <c r="X79" s="2991"/>
      <c r="Y79" s="2991"/>
      <c r="Z79" s="2998"/>
      <c r="AA79" s="2998"/>
      <c r="AB79" s="2998"/>
      <c r="AC79" s="2998"/>
      <c r="AD79" s="2998"/>
      <c r="AE79" s="2998"/>
      <c r="AF79" s="2998"/>
      <c r="BB79" s="3494"/>
      <c r="BC79" s="736" t="str">
        <f t="shared" si="80"/>
        <v/>
      </c>
    </row>
    <row r="80" spans="1:55" ht="12.75" customHeight="1" outlineLevel="1">
      <c r="A80" s="701"/>
      <c r="B80" s="701"/>
      <c r="C80" s="819"/>
      <c r="D80" s="2033"/>
      <c r="E80" s="2033" t="s">
        <v>1245</v>
      </c>
      <c r="F80" s="2033"/>
      <c r="G80" s="2991">
        <f t="shared" ref="G80:R80" si="91">+(G10-G47)/G78</f>
        <v>4.7602908137624994E-2</v>
      </c>
      <c r="H80" s="2991">
        <f t="shared" si="91"/>
        <v>6.8514767969563434E-2</v>
      </c>
      <c r="I80" s="2991">
        <f t="shared" si="91"/>
        <v>7.0966070966070965E-2</v>
      </c>
      <c r="J80" s="2991">
        <f t="shared" si="91"/>
        <v>0.10431902198915421</v>
      </c>
      <c r="K80" s="2991">
        <f t="shared" si="91"/>
        <v>0.10705708120125969</v>
      </c>
      <c r="L80" s="2991">
        <f t="shared" si="91"/>
        <v>0.10040979547114182</v>
      </c>
      <c r="M80" s="2991">
        <f t="shared" si="91"/>
        <v>0.10407671489367314</v>
      </c>
      <c r="N80" s="2991">
        <f t="shared" si="91"/>
        <v>0.10368622639681267</v>
      </c>
      <c r="O80" s="2991">
        <f t="shared" si="91"/>
        <v>0.10077595557492094</v>
      </c>
      <c r="P80" s="2991">
        <f t="shared" si="91"/>
        <v>9.7539746944067446E-2</v>
      </c>
      <c r="Q80" s="2991">
        <f t="shared" si="91"/>
        <v>9.6420013610488978E-2</v>
      </c>
      <c r="R80" s="2991">
        <f t="shared" si="91"/>
        <v>9.2505165075985288E-2</v>
      </c>
      <c r="S80" s="2991">
        <f t="shared" ref="S80:X80" si="92">+(S10-S47)/S78</f>
        <v>9.3952585400082125E-2</v>
      </c>
      <c r="T80" s="2991">
        <f t="shared" si="92"/>
        <v>9.7489651666167118E-2</v>
      </c>
      <c r="U80" s="2991">
        <f t="shared" si="92"/>
        <v>9.4102031549602991E-2</v>
      </c>
      <c r="V80" s="2991">
        <f t="shared" si="92"/>
        <v>8.945335408335324E-2</v>
      </c>
      <c r="W80" s="2991">
        <f t="shared" si="92"/>
        <v>8.8570056534171507E-2</v>
      </c>
      <c r="X80" s="2991">
        <f t="shared" si="92"/>
        <v>9.2506925165654647E-2</v>
      </c>
      <c r="Y80" s="2991">
        <f>+(Y10-Y47)/Y78</f>
        <v>9.3332049357283717E-2</v>
      </c>
      <c r="Z80" s="2991">
        <f t="shared" ref="Z80:AB80" si="93">+(Z10-Z47)/Z78</f>
        <v>9.0928829428738631E-2</v>
      </c>
      <c r="AA80" s="2991">
        <f t="shared" si="93"/>
        <v>9.1228270989669416E-2</v>
      </c>
      <c r="AB80" s="2991">
        <f t="shared" si="93"/>
        <v>9.8003580749796912E-2</v>
      </c>
      <c r="AC80" s="2991">
        <f t="shared" ref="AC80" si="94">+(AC10-AC47)/AC78</f>
        <v>9.9748692076114365E-2</v>
      </c>
      <c r="AD80" s="2998">
        <f ca="1">+(AD10-AD47)/AD78</f>
        <v>9.8293529537758925E-2</v>
      </c>
      <c r="AE80" s="2998">
        <f ca="1">+(AE10-AE47)/AE78</f>
        <v>9.6555383469501502E-2</v>
      </c>
      <c r="AF80" s="2998">
        <f ca="1">+(AF10-AF47)/AF78</f>
        <v>9.6397316620555867E-2</v>
      </c>
      <c r="BB80" s="3495">
        <v>9.8001925508679158E-2</v>
      </c>
      <c r="BC80" s="736" t="str">
        <f t="shared" si="80"/>
        <v/>
      </c>
    </row>
    <row r="81" spans="1:55" ht="12.75" customHeight="1" outlineLevel="1">
      <c r="A81" s="701"/>
      <c r="B81" s="701"/>
      <c r="C81" s="819"/>
      <c r="D81" s="2033"/>
      <c r="E81" s="2033" t="s">
        <v>82</v>
      </c>
      <c r="F81" s="2033"/>
      <c r="G81" s="2991">
        <f>+Labour1!G209/Sector1!G78</f>
        <v>0.4945407240856331</v>
      </c>
      <c r="H81" s="2991">
        <f>+Labour1!H209/Sector1!H78</f>
        <v>0.51433215740199723</v>
      </c>
      <c r="I81" s="2991">
        <f>+Labour1!I209/Sector1!I78</f>
        <v>0.51112584019932261</v>
      </c>
      <c r="J81" s="2991">
        <f>+Labour1!J209/Sector1!J78</f>
        <v>0.48910071209149636</v>
      </c>
      <c r="K81" s="2991">
        <f>+Labour1!K209/Sector1!K78</f>
        <v>0.48951603488267087</v>
      </c>
      <c r="L81" s="2991">
        <f>+Labour1!L209/Sector1!L78</f>
        <v>0.50598981761744821</v>
      </c>
      <c r="M81" s="2991">
        <f>+Labour1!M209/Sector1!M78</f>
        <v>0.52461291481653627</v>
      </c>
      <c r="N81" s="2991">
        <f>+Labour1!N209/Sector1!N78</f>
        <v>0.52404770720144656</v>
      </c>
      <c r="O81" s="2991">
        <f>+Labour1!O209/Sector1!O78</f>
        <v>0.5153896310580004</v>
      </c>
      <c r="P81" s="2991">
        <f>+Labour1!P209/Sector1!P78</f>
        <v>0.50234295934595352</v>
      </c>
      <c r="Q81" s="2991">
        <f>+Labour1!Q209/Sector1!Q78</f>
        <v>0.50280906307713003</v>
      </c>
      <c r="R81" s="2991">
        <f>+Labour1!R209/Sector1!R78</f>
        <v>0.48990582392696297</v>
      </c>
      <c r="S81" s="2991">
        <f>+Labour1!S209/Sector1!S78</f>
        <v>0.50115052582166064</v>
      </c>
      <c r="T81" s="2991">
        <f>+Labour1!T209/Sector1!T78</f>
        <v>0.51156148864244277</v>
      </c>
      <c r="U81" s="2991">
        <f>+Labour1!U209/Sector1!U78</f>
        <v>0.53632730083870772</v>
      </c>
      <c r="V81" s="2991">
        <f>+Labour1!V209/Sector1!V78</f>
        <v>0.50935900919569888</v>
      </c>
      <c r="W81" s="2991">
        <f>+Labour1!W209/Sector1!W78</f>
        <v>0.51989129723004379</v>
      </c>
      <c r="X81" s="2991">
        <f>+Labour1!X209/Sector1!X78</f>
        <v>0.53784403819121929</v>
      </c>
      <c r="Y81" s="2991">
        <f>+Labour1!Y209/Sector1!Y78</f>
        <v>0.54031903976691598</v>
      </c>
      <c r="Z81" s="2991">
        <f>+Labour1!Z209/Sector1!Z78</f>
        <v>0.53411788445628261</v>
      </c>
      <c r="AA81" s="2991">
        <f>+Labour1!AA209/Sector1!AA78</f>
        <v>0.51762167516356949</v>
      </c>
      <c r="AB81" s="2991">
        <f>+Labour1!AB209/Sector1!AB78</f>
        <v>0.52183630816917959</v>
      </c>
      <c r="AC81" s="2991">
        <f>+Labour1!AC209/Sector1!AC78</f>
        <v>0.52326109597890058</v>
      </c>
      <c r="AD81" s="2998">
        <f ca="1">+Labour1!AD209/Sector1!AD78</f>
        <v>0.51963254504566947</v>
      </c>
      <c r="AE81" s="2998">
        <f ca="1">+Labour1!AE209/Sector1!AE78</f>
        <v>0.51864947679791307</v>
      </c>
      <c r="AF81" s="2998">
        <f ca="1">+Labour1!AF209/Sector1!AF78</f>
        <v>0.51595879619624863</v>
      </c>
      <c r="BB81" s="3495">
        <v>0.52172986837567537</v>
      </c>
      <c r="BC81" s="736" t="str">
        <f t="shared" si="80"/>
        <v/>
      </c>
    </row>
    <row r="82" spans="1:55" ht="12.75" customHeight="1" outlineLevel="1">
      <c r="A82" s="701"/>
      <c r="B82" s="701"/>
      <c r="C82" s="819"/>
      <c r="D82" s="2033"/>
      <c r="E82" s="2033" t="s">
        <v>1048</v>
      </c>
      <c r="F82" s="2033"/>
      <c r="G82" s="2991">
        <f t="shared" ref="G82:R82" si="95">+G108/G78</f>
        <v>0.45785636777674193</v>
      </c>
      <c r="H82" s="2991">
        <f t="shared" si="95"/>
        <v>0.41715307462843937</v>
      </c>
      <c r="I82" s="2991">
        <f t="shared" si="95"/>
        <v>0.41790808883460634</v>
      </c>
      <c r="J82" s="2991">
        <f t="shared" si="95"/>
        <v>0.40658026591934943</v>
      </c>
      <c r="K82" s="2991">
        <f t="shared" si="95"/>
        <v>0.40342688391606951</v>
      </c>
      <c r="L82" s="2991">
        <f t="shared" si="95"/>
        <v>0.39360038691141008</v>
      </c>
      <c r="M82" s="2991">
        <f t="shared" si="95"/>
        <v>0.37131037028979053</v>
      </c>
      <c r="N82" s="2991">
        <f t="shared" si="95"/>
        <v>0.37226606640174076</v>
      </c>
      <c r="O82" s="2991">
        <f t="shared" si="95"/>
        <v>0.38383441336707869</v>
      </c>
      <c r="P82" s="2991">
        <f t="shared" si="95"/>
        <v>0.40011729370997912</v>
      </c>
      <c r="Q82" s="2991">
        <f t="shared" si="95"/>
        <v>0.40077092331238096</v>
      </c>
      <c r="R82" s="2991">
        <f t="shared" si="95"/>
        <v>0.4175890109970517</v>
      </c>
      <c r="S82" s="2991">
        <f t="shared" ref="S82:X82" si="96">+S108/S78</f>
        <v>0.40489688877825725</v>
      </c>
      <c r="T82" s="2991">
        <f t="shared" si="96"/>
        <v>0.39094885969139015</v>
      </c>
      <c r="U82" s="2991">
        <f t="shared" si="96"/>
        <v>0.36957066761168927</v>
      </c>
      <c r="V82" s="2991">
        <f t="shared" si="96"/>
        <v>0.40118763672094793</v>
      </c>
      <c r="W82" s="2991">
        <f t="shared" si="96"/>
        <v>0.39153864623578466</v>
      </c>
      <c r="X82" s="2991">
        <f t="shared" si="96"/>
        <v>0.36964903664312609</v>
      </c>
      <c r="Y82" s="2991">
        <f>+Y108/Y78</f>
        <v>0.36634891087580029</v>
      </c>
      <c r="Z82" s="2991">
        <f t="shared" ref="Z82:AB82" si="97">+Z108/Z78</f>
        <v>0.37495328611497869</v>
      </c>
      <c r="AA82" s="2991">
        <f t="shared" si="97"/>
        <v>0.39115005384676105</v>
      </c>
      <c r="AB82" s="2991">
        <f t="shared" si="97"/>
        <v>0.38016011108102354</v>
      </c>
      <c r="AC82" s="2991">
        <f t="shared" ref="AC82" si="98">+AC108/AC78</f>
        <v>0.37699021194498511</v>
      </c>
      <c r="AD82" s="2998">
        <f ca="1">+AD108/AD78</f>
        <v>0.38207392541657154</v>
      </c>
      <c r="AE82" s="2998">
        <f ca="1">+AE108/AE78</f>
        <v>0.38479513973258545</v>
      </c>
      <c r="AF82" s="2998">
        <f ca="1">+AF108/AF78</f>
        <v>0.38764388718319548</v>
      </c>
      <c r="BB82" s="3495">
        <v>0.38026820611564544</v>
      </c>
      <c r="BC82" s="736" t="str">
        <f t="shared" si="80"/>
        <v/>
      </c>
    </row>
    <row r="83" spans="1:55" ht="12.75" customHeight="1" outlineLevel="1">
      <c r="A83" s="701">
        <f>+ROW(InputY!A143)</f>
        <v>143</v>
      </c>
      <c r="B83" s="701"/>
      <c r="C83" s="819" t="s">
        <v>1791</v>
      </c>
      <c r="D83" s="711" t="s">
        <v>666</v>
      </c>
      <c r="E83" s="820" t="s">
        <v>629</v>
      </c>
      <c r="F83" s="741" t="str">
        <f>+InputY!B143</f>
        <v>YAGVadd</v>
      </c>
      <c r="G83" s="743">
        <f>+InputY!G143/1000</f>
        <v>364.83</v>
      </c>
      <c r="H83" s="743">
        <f>+InputY!H143/1000</f>
        <v>383.97500000000002</v>
      </c>
      <c r="I83" s="743">
        <f>+InputY!I143/1000</f>
        <v>393.565</v>
      </c>
      <c r="J83" s="743">
        <f>+InputY!J143/1000</f>
        <v>404.37</v>
      </c>
      <c r="K83" s="743">
        <f>+InputY!K143/1000</f>
        <v>422.03199999999998</v>
      </c>
      <c r="L83" s="743">
        <f>+InputY!L143/1000</f>
        <v>433.03300000000002</v>
      </c>
      <c r="M83" s="743">
        <f>+InputY!M143/1000</f>
        <v>456.19600000000003</v>
      </c>
      <c r="N83" s="743">
        <f>+InputY!N143/1000</f>
        <v>480.69600000000003</v>
      </c>
      <c r="O83" s="743">
        <f>+InputY!O143/1000</f>
        <v>509.44799999999998</v>
      </c>
      <c r="P83" s="743">
        <f>+InputY!P143/1000</f>
        <v>526.58799999999997</v>
      </c>
      <c r="Q83" s="743">
        <f>+InputY!Q143/1000</f>
        <v>540.69000000000005</v>
      </c>
      <c r="R83" s="743">
        <f>+InputY!R143/1000</f>
        <v>562.37599999999998</v>
      </c>
      <c r="S83" s="743">
        <f>+InputY!S143/1000</f>
        <v>588.72400000000005</v>
      </c>
      <c r="T83" s="743">
        <f>+InputY!T143/1000</f>
        <v>612.98400000000004</v>
      </c>
      <c r="U83" s="743">
        <f>+InputY!U143/1000</f>
        <v>617.83100000000002</v>
      </c>
      <c r="V83" s="743">
        <f>+InputY!V143/1000</f>
        <v>630.16399999999999</v>
      </c>
      <c r="W83" s="743">
        <f>+InputY!W143/1000</f>
        <v>648.99699999999996</v>
      </c>
      <c r="X83" s="743">
        <f>+InputY!X143/1000</f>
        <v>675.87199999999996</v>
      </c>
      <c r="Y83" s="743">
        <f>+InputY!Y143/1000</f>
        <v>697.74099999999999</v>
      </c>
      <c r="Z83" s="743">
        <f>+InputY!Z143/1000</f>
        <v>722.35299999999995</v>
      </c>
      <c r="AA83" s="743">
        <f>+InputY!AA143/1000</f>
        <v>755.78899999999999</v>
      </c>
      <c r="AB83" s="743">
        <f>+InputY!AB143/1000</f>
        <v>795.76700000000005</v>
      </c>
      <c r="AC83" s="743">
        <f>+InputY!AC143/1000</f>
        <v>834.88599999999997</v>
      </c>
      <c r="AD83" s="2279">
        <f>+AD109+Labour1!AD210+Sector1!AD11-Sector1!AD48</f>
        <v>872.17371031899984</v>
      </c>
      <c r="AE83" s="2279">
        <f>+AE109+Labour1!AE210+Sector1!AE11-Sector1!AE48</f>
        <v>906.08017840093692</v>
      </c>
      <c r="AF83" s="2279">
        <f>+AF109+Labour1!AF210+Sector1!AF11-Sector1!AF48</f>
        <v>939.67387663485738</v>
      </c>
      <c r="BB83" s="3472">
        <v>795.34900000000005</v>
      </c>
      <c r="BC83" s="736" t="str">
        <f t="shared" si="80"/>
        <v/>
      </c>
    </row>
    <row r="84" spans="1:55" ht="12.75" customHeight="1" outlineLevel="1">
      <c r="A84" s="701"/>
      <c r="B84" s="701"/>
      <c r="C84" s="819"/>
      <c r="D84" s="2033" t="s">
        <v>1955</v>
      </c>
      <c r="E84" s="2033"/>
      <c r="F84" s="2033"/>
      <c r="G84" s="2991"/>
      <c r="H84" s="2991"/>
      <c r="I84" s="2991"/>
      <c r="J84" s="2991"/>
      <c r="K84" s="2991"/>
      <c r="L84" s="2991"/>
      <c r="M84" s="2991"/>
      <c r="N84" s="2991"/>
      <c r="O84" s="2991"/>
      <c r="P84" s="2991"/>
      <c r="Q84" s="2991"/>
      <c r="R84" s="2991"/>
      <c r="S84" s="2991"/>
      <c r="T84" s="2991"/>
      <c r="U84" s="2991"/>
      <c r="V84" s="2991"/>
      <c r="W84" s="2991"/>
      <c r="X84" s="2991"/>
      <c r="Y84" s="2991"/>
      <c r="Z84" s="2998"/>
      <c r="AA84" s="2998"/>
      <c r="AB84" s="2998"/>
      <c r="AC84" s="2998"/>
      <c r="AD84" s="2998"/>
      <c r="AE84" s="2998"/>
      <c r="AF84" s="2998"/>
      <c r="BB84" s="3494"/>
      <c r="BC84" s="736" t="str">
        <f t="shared" si="80"/>
        <v/>
      </c>
    </row>
    <row r="85" spans="1:55" ht="12.75" customHeight="1" outlineLevel="1">
      <c r="A85" s="701"/>
      <c r="B85" s="701"/>
      <c r="C85" s="819"/>
      <c r="D85" s="2033"/>
      <c r="E85" s="2033" t="s">
        <v>1245</v>
      </c>
      <c r="F85" s="2033"/>
      <c r="G85" s="2991">
        <f t="shared" ref="G85:R85" si="99">(G11-G48)/G83</f>
        <v>0.12373160101965298</v>
      </c>
      <c r="H85" s="2991">
        <f t="shared" si="99"/>
        <v>0.12883911713002147</v>
      </c>
      <c r="I85" s="2991">
        <f t="shared" si="99"/>
        <v>0.12912479514184444</v>
      </c>
      <c r="J85" s="2991">
        <f t="shared" si="99"/>
        <v>0.16642431436555633</v>
      </c>
      <c r="K85" s="2991">
        <f t="shared" si="99"/>
        <v>0.16434298820942486</v>
      </c>
      <c r="L85" s="2991">
        <f t="shared" si="99"/>
        <v>0.14622904028099473</v>
      </c>
      <c r="M85" s="2991">
        <f t="shared" si="99"/>
        <v>0.14404115774798551</v>
      </c>
      <c r="N85" s="2991">
        <f t="shared" si="99"/>
        <v>0.14253707124669229</v>
      </c>
      <c r="O85" s="2991">
        <f t="shared" si="99"/>
        <v>0.14257981187481353</v>
      </c>
      <c r="P85" s="2991">
        <f t="shared" si="99"/>
        <v>0.14365690065098333</v>
      </c>
      <c r="Q85" s="2991">
        <f t="shared" si="99"/>
        <v>0.14429895133995449</v>
      </c>
      <c r="R85" s="2991">
        <f t="shared" si="99"/>
        <v>0.14196373956214348</v>
      </c>
      <c r="S85" s="2991">
        <f t="shared" ref="S85:X85" si="100">(S11-S48)/S83</f>
        <v>0.14120708515365435</v>
      </c>
      <c r="T85" s="2991">
        <f t="shared" si="100"/>
        <v>0.13983888649622175</v>
      </c>
      <c r="U85" s="2991">
        <f t="shared" si="100"/>
        <v>0.13673318431739423</v>
      </c>
      <c r="V85" s="2991">
        <f t="shared" si="100"/>
        <v>0.13518068312375828</v>
      </c>
      <c r="W85" s="2991">
        <f t="shared" si="100"/>
        <v>0.1362440812515312</v>
      </c>
      <c r="X85" s="2991">
        <f t="shared" si="100"/>
        <v>0.13441154538137398</v>
      </c>
      <c r="Y85" s="2991">
        <f>(Y11-Y48)/Y83</f>
        <v>0.13403397535761838</v>
      </c>
      <c r="Z85" s="2991">
        <f t="shared" ref="Z85:AB85" si="101">(Z11-Z48)/Z83</f>
        <v>0.13404111286310158</v>
      </c>
      <c r="AA85" s="2991">
        <f t="shared" si="101"/>
        <v>0.13572571180580822</v>
      </c>
      <c r="AB85" s="2991">
        <f t="shared" si="101"/>
        <v>0.13863228809437939</v>
      </c>
      <c r="AC85" s="2991">
        <f t="shared" ref="AC85" si="102">(AC11-AC48)/AC83</f>
        <v>0.13840452468959832</v>
      </c>
      <c r="AD85" s="2998">
        <f>(AD11-AD48)/AD83</f>
        <v>0.13783475536774747</v>
      </c>
      <c r="AE85" s="2998">
        <f>(AE11-AE48)/AE83</f>
        <v>0.13803139068853806</v>
      </c>
      <c r="AF85" s="2998">
        <f>(AF11-AF48)/AF83</f>
        <v>0.13846774334406714</v>
      </c>
      <c r="BB85" s="3495">
        <v>0.13929859721958537</v>
      </c>
      <c r="BC85" s="736" t="str">
        <f t="shared" si="80"/>
        <v/>
      </c>
    </row>
    <row r="86" spans="1:55" ht="12.75" customHeight="1" outlineLevel="1">
      <c r="A86" s="701"/>
      <c r="B86" s="701"/>
      <c r="C86" s="819"/>
      <c r="D86" s="2033"/>
      <c r="E86" s="2033" t="s">
        <v>82</v>
      </c>
      <c r="F86" s="2033"/>
      <c r="G86" s="2991">
        <f>+Labour1!G210/Sector1!G83</f>
        <v>0.69675191184935448</v>
      </c>
      <c r="H86" s="2991">
        <f>+Labour1!H210/Sector1!H83</f>
        <v>0.69807930203789315</v>
      </c>
      <c r="I86" s="2991">
        <f>+Labour1!I210/Sector1!I83</f>
        <v>0.69746039408992155</v>
      </c>
      <c r="J86" s="2991">
        <f>+Labour1!J210/Sector1!J83</f>
        <v>0.65939115166802675</v>
      </c>
      <c r="K86" s="2991">
        <f>+Labour1!K210/Sector1!K83</f>
        <v>0.66572676953406384</v>
      </c>
      <c r="L86" s="2991">
        <f>+Labour1!L210/Sector1!L83</f>
        <v>0.68007519057439036</v>
      </c>
      <c r="M86" s="2991">
        <f>+Labour1!M210/Sector1!M83</f>
        <v>0.6818670045331392</v>
      </c>
      <c r="N86" s="2991">
        <f>+Labour1!N210/Sector1!N83</f>
        <v>0.68229400702314968</v>
      </c>
      <c r="O86" s="2991">
        <f>+Labour1!O210/Sector1!O83</f>
        <v>0.68772671597493762</v>
      </c>
      <c r="P86" s="2991">
        <f>+Labour1!P210/Sector1!P83</f>
        <v>0.686586097670285</v>
      </c>
      <c r="Q86" s="2991">
        <f>+Labour1!Q210/Sector1!Q83</f>
        <v>0.68634337605652029</v>
      </c>
      <c r="R86" s="2991">
        <f>+Labour1!R210/Sector1!R83</f>
        <v>0.68971115410330464</v>
      </c>
      <c r="S86" s="2991">
        <f>+Labour1!S210/Sector1!S83</f>
        <v>0.6907515236341647</v>
      </c>
      <c r="T86" s="2991">
        <f>+Labour1!T210/Sector1!T83</f>
        <v>0.68904082325150406</v>
      </c>
      <c r="U86" s="2991">
        <f>+Labour1!U210/Sector1!U83</f>
        <v>0.68587688218946596</v>
      </c>
      <c r="V86" s="2991">
        <f>+Labour1!V210/Sector1!V83</f>
        <v>0.68674186402269888</v>
      </c>
      <c r="W86" s="2991">
        <f>+Labour1!W210/Sector1!W83</f>
        <v>0.68651627049123498</v>
      </c>
      <c r="X86" s="2991">
        <f>+Labour1!X210/Sector1!X83</f>
        <v>0.68741862364471384</v>
      </c>
      <c r="Y86" s="2991">
        <f>+Labour1!Y210/Sector1!Y83</f>
        <v>0.68973157661653828</v>
      </c>
      <c r="Z86" s="2991">
        <f>+Labour1!Z210/Sector1!Z83</f>
        <v>0.69164660491477159</v>
      </c>
      <c r="AA86" s="2991">
        <f>+Labour1!AA210/Sector1!AA83</f>
        <v>0.69120614351359966</v>
      </c>
      <c r="AB86" s="2991">
        <f>+Labour1!AB210/Sector1!AB83</f>
        <v>0.69405994468230015</v>
      </c>
      <c r="AC86" s="2991">
        <f>+Labour1!AC210/Sector1!AC83</f>
        <v>0.69527216889491494</v>
      </c>
      <c r="AD86" s="2998">
        <f>+Labour1!AD210/Sector1!AD83</f>
        <v>0.69843105875800882</v>
      </c>
      <c r="AE86" s="2998">
        <f>+Labour1!AE210/Sector1!AE83</f>
        <v>0.69988548683620699</v>
      </c>
      <c r="AF86" s="2998">
        <f>+Labour1!AF210/Sector1!AF83</f>
        <v>0.70080507147799675</v>
      </c>
      <c r="BB86" s="3495">
        <v>0.69240672962435357</v>
      </c>
      <c r="BC86" s="736" t="str">
        <f t="shared" si="80"/>
        <v/>
      </c>
    </row>
    <row r="87" spans="1:55" ht="12.75" customHeight="1" outlineLevel="1">
      <c r="A87" s="701"/>
      <c r="B87" s="701"/>
      <c r="C87" s="879"/>
      <c r="D87" s="2033"/>
      <c r="E87" s="2033" t="s">
        <v>1048</v>
      </c>
      <c r="F87" s="2033"/>
      <c r="G87" s="2991">
        <f t="shared" ref="G87:R87" si="103">+G109/G83</f>
        <v>0.17951648713099247</v>
      </c>
      <c r="H87" s="2991">
        <f t="shared" si="103"/>
        <v>0.17308158083208541</v>
      </c>
      <c r="I87" s="2991">
        <f t="shared" si="103"/>
        <v>0.17341481076823401</v>
      </c>
      <c r="J87" s="2991">
        <f t="shared" si="103"/>
        <v>0.17418453396641692</v>
      </c>
      <c r="K87" s="2991">
        <f t="shared" si="103"/>
        <v>0.16993024225651129</v>
      </c>
      <c r="L87" s="2991">
        <f t="shared" si="103"/>
        <v>0.17369576914461485</v>
      </c>
      <c r="M87" s="2991">
        <f t="shared" si="103"/>
        <v>0.17409183771887526</v>
      </c>
      <c r="N87" s="2991">
        <f t="shared" si="103"/>
        <v>0.17516892173015799</v>
      </c>
      <c r="O87" s="2991">
        <f t="shared" si="103"/>
        <v>0.16969347215024888</v>
      </c>
      <c r="P87" s="2991">
        <f t="shared" si="103"/>
        <v>0.1697570016787317</v>
      </c>
      <c r="Q87" s="2991">
        <f t="shared" si="103"/>
        <v>0.16935767260352522</v>
      </c>
      <c r="R87" s="2991">
        <f t="shared" si="103"/>
        <v>0.16832510633455192</v>
      </c>
      <c r="S87" s="2991">
        <f t="shared" ref="S87:X87" si="104">+S109/S83</f>
        <v>0.16804139121218101</v>
      </c>
      <c r="T87" s="2991">
        <f t="shared" si="104"/>
        <v>0.17112029025227421</v>
      </c>
      <c r="U87" s="2991">
        <f t="shared" si="104"/>
        <v>0.17738993349313978</v>
      </c>
      <c r="V87" s="2991">
        <f t="shared" si="104"/>
        <v>0.17807745285354287</v>
      </c>
      <c r="W87" s="2991">
        <f t="shared" si="104"/>
        <v>0.17723964825723376</v>
      </c>
      <c r="X87" s="2991">
        <f t="shared" si="104"/>
        <v>0.17816983097391212</v>
      </c>
      <c r="Y87" s="2991">
        <f>+Y109/Y83</f>
        <v>0.17623444802584334</v>
      </c>
      <c r="Z87" s="2991">
        <f t="shared" ref="Z87:AB87" si="105">+Z109/Z83</f>
        <v>0.1743122822221268</v>
      </c>
      <c r="AA87" s="2991">
        <f t="shared" si="105"/>
        <v>0.17306814468059212</v>
      </c>
      <c r="AB87" s="2991">
        <f t="shared" si="105"/>
        <v>0.1673077672233205</v>
      </c>
      <c r="AC87" s="2991">
        <f t="shared" ref="AC87" si="106">+AC109/AC83</f>
        <v>0.1663233064154867</v>
      </c>
      <c r="AD87" s="2998">
        <f>+AD109/AD83</f>
        <v>0.16373418587424382</v>
      </c>
      <c r="AE87" s="2998">
        <f>+AE109/AE83</f>
        <v>0.16208312247525505</v>
      </c>
      <c r="AF87" s="2998">
        <f>+AF109/AF83</f>
        <v>0.16072718517793605</v>
      </c>
      <c r="BB87" s="3495">
        <v>0.168294673156061</v>
      </c>
      <c r="BC87" s="736" t="str">
        <f t="shared" si="80"/>
        <v/>
      </c>
    </row>
    <row r="88" spans="1:55" ht="12.75" customHeight="1" outlineLevel="1">
      <c r="A88" s="2014">
        <f>+ROW(InputY!A99)</f>
        <v>99</v>
      </c>
      <c r="B88" s="701">
        <v>57</v>
      </c>
      <c r="C88" s="821" t="s">
        <v>1793</v>
      </c>
      <c r="D88" s="789"/>
      <c r="E88" s="790" t="s">
        <v>629</v>
      </c>
      <c r="F88" s="791" t="s">
        <v>2027</v>
      </c>
      <c r="G88" s="822">
        <f>+InputY!G99/1000</f>
        <v>1649.6120000000001</v>
      </c>
      <c r="H88" s="822">
        <f>+InputY!H99/1000</f>
        <v>1699.9380000000001</v>
      </c>
      <c r="I88" s="822">
        <f>+InputY!I99/1000</f>
        <v>1782.422</v>
      </c>
      <c r="J88" s="822">
        <f>+InputY!J99/1000</f>
        <v>1869.8230000000001</v>
      </c>
      <c r="K88" s="822">
        <f>+InputY!K99/1000</f>
        <v>1971.9829999999999</v>
      </c>
      <c r="L88" s="822">
        <f>+InputY!L99/1000</f>
        <v>2107.0450000000001</v>
      </c>
      <c r="M88" s="822">
        <f>+InputY!M99/1000</f>
        <v>2191.078</v>
      </c>
      <c r="N88" s="822">
        <f>+InputY!N99/1000</f>
        <v>2268.873</v>
      </c>
      <c r="O88" s="822">
        <f>+InputY!O99/1000</f>
        <v>2363.7939999999999</v>
      </c>
      <c r="P88" s="822">
        <f>+InputY!P99/1000</f>
        <v>2480.239</v>
      </c>
      <c r="Q88" s="822">
        <f>+InputY!Q99/1000</f>
        <v>2561.7640000000001</v>
      </c>
      <c r="R88" s="822">
        <f>+InputY!R99/1000</f>
        <v>2734.7979999999998</v>
      </c>
      <c r="S88" s="822">
        <f>+InputY!S99/1000</f>
        <v>2911.7429999999999</v>
      </c>
      <c r="T88" s="822">
        <f>+InputY!T99/1000</f>
        <v>2996.0909999999999</v>
      </c>
      <c r="U88" s="822">
        <f>+InputY!U99/1000</f>
        <v>2891.2849999999999</v>
      </c>
      <c r="V88" s="822">
        <f>+InputY!V99/1000</f>
        <v>3098.6170000000002</v>
      </c>
      <c r="W88" s="822">
        <f>+InputY!W99/1000</f>
        <v>3227.3969999999999</v>
      </c>
      <c r="X88" s="822">
        <f>+InputY!X99/1000</f>
        <v>3258.0459999999998</v>
      </c>
      <c r="Y88" s="822">
        <f>+InputY!Y99/1000</f>
        <v>3337.4659999999999</v>
      </c>
      <c r="Z88" s="822">
        <f>+InputY!Z99/1000</f>
        <v>3490.9659999999999</v>
      </c>
      <c r="AA88" s="822">
        <f>+InputY!AA99/1000</f>
        <v>3721.44</v>
      </c>
      <c r="AB88" s="822">
        <f>+InputY!AB99/1000</f>
        <v>3876.3760000000002</v>
      </c>
      <c r="AC88" s="822">
        <f>+InputY!AC99/1000</f>
        <v>4049.096</v>
      </c>
      <c r="AD88" s="2296">
        <f ca="1">+'VVP2'!AD341-AD8+AD45</f>
        <v>4247.219295971765</v>
      </c>
      <c r="AE88" s="2296">
        <f ca="1">+'VVP2'!AE341-AE8+AE45</f>
        <v>4404.5889026853374</v>
      </c>
      <c r="AF88" s="2296">
        <f ca="1">+'VVP2'!AF341-AF8+AF45</f>
        <v>4561.1803964037335</v>
      </c>
      <c r="BB88" s="3473">
        <v>3894.2890000000002</v>
      </c>
      <c r="BC88" s="736">
        <f t="shared" si="80"/>
        <v>-17.913000000000011</v>
      </c>
    </row>
    <row r="89" spans="1:55" s="2032" customFormat="1" ht="12.75" customHeight="1" outlineLevel="1">
      <c r="A89" s="1036"/>
      <c r="B89" s="1036"/>
      <c r="C89" s="1647"/>
      <c r="D89" s="1051"/>
      <c r="E89" s="2033" t="s">
        <v>90</v>
      </c>
      <c r="F89" s="2034"/>
      <c r="G89" s="1040">
        <f t="shared" ref="G89:V89" si="107">ABS(+G73+G78+G83-G88)</f>
        <v>2.2737367544323206E-13</v>
      </c>
      <c r="H89" s="1040">
        <f t="shared" si="107"/>
        <v>0</v>
      </c>
      <c r="I89" s="1040">
        <f t="shared" si="107"/>
        <v>0</v>
      </c>
      <c r="J89" s="1040">
        <f t="shared" si="107"/>
        <v>2.2737367544323206E-13</v>
      </c>
      <c r="K89" s="1040">
        <f t="shared" si="107"/>
        <v>0</v>
      </c>
      <c r="L89" s="1040">
        <f t="shared" si="107"/>
        <v>0</v>
      </c>
      <c r="M89" s="1040">
        <f t="shared" si="107"/>
        <v>0</v>
      </c>
      <c r="N89" s="1040">
        <f t="shared" si="107"/>
        <v>0</v>
      </c>
      <c r="O89" s="1040">
        <f t="shared" si="107"/>
        <v>0</v>
      </c>
      <c r="P89" s="1040">
        <f t="shared" si="107"/>
        <v>0</v>
      </c>
      <c r="Q89" s="1040">
        <f t="shared" si="107"/>
        <v>0</v>
      </c>
      <c r="R89" s="1040">
        <f t="shared" si="107"/>
        <v>0</v>
      </c>
      <c r="S89" s="1040">
        <f t="shared" si="107"/>
        <v>4.5474735088646412E-13</v>
      </c>
      <c r="T89" s="1040">
        <f t="shared" si="107"/>
        <v>0</v>
      </c>
      <c r="U89" s="1040">
        <f t="shared" si="107"/>
        <v>0</v>
      </c>
      <c r="V89" s="1040">
        <f t="shared" si="107"/>
        <v>0</v>
      </c>
      <c r="W89" s="1040">
        <f t="shared" ref="W89:AA89" si="108">ABS(+W73+W78+W83-W88)</f>
        <v>0</v>
      </c>
      <c r="X89" s="1040">
        <f t="shared" si="108"/>
        <v>0</v>
      </c>
      <c r="Y89" s="1040">
        <f t="shared" si="108"/>
        <v>0</v>
      </c>
      <c r="Z89" s="2999">
        <f t="shared" si="108"/>
        <v>0</v>
      </c>
      <c r="AA89" s="2999">
        <f t="shared" si="108"/>
        <v>4.5474735088646412E-13</v>
      </c>
      <c r="AB89" s="2999">
        <f t="shared" ref="AB89" si="109">ABS(+AB73+AB78+AB83-AB88)</f>
        <v>0</v>
      </c>
      <c r="AC89" s="2999">
        <f>ABS(+AC73+AC78+AC83-AC88)</f>
        <v>0</v>
      </c>
      <c r="AD89" s="2999">
        <f ca="1">ABS(+AD73+AD78+AD83-AD88)</f>
        <v>0</v>
      </c>
      <c r="AE89" s="2999">
        <f ca="1">ABS(+AE73+AE78+AE83-AE88)</f>
        <v>0</v>
      </c>
      <c r="AF89" s="2999">
        <f ca="1">ABS(+AF73+AF78+AF83-AF88)</f>
        <v>0</v>
      </c>
      <c r="AG89" s="2940"/>
      <c r="AH89" s="2939"/>
      <c r="AI89" s="2939"/>
      <c r="AJ89" s="2939"/>
      <c r="AK89" s="2939"/>
      <c r="AL89" s="2939"/>
      <c r="AM89" s="2939"/>
      <c r="AN89" s="2940"/>
      <c r="AO89" s="2940"/>
      <c r="AP89" s="2940"/>
      <c r="AQ89" s="2940"/>
      <c r="AR89" s="2940"/>
      <c r="AS89" s="2940"/>
      <c r="AT89" s="2940"/>
      <c r="BB89" s="3496">
        <v>0.68200000000024374</v>
      </c>
      <c r="BC89" s="736" t="str">
        <f t="shared" si="80"/>
        <v/>
      </c>
    </row>
    <row r="90" spans="1:55" outlineLevel="1">
      <c r="G90" s="740"/>
      <c r="Q90" s="736"/>
      <c r="R90" s="736"/>
      <c r="S90" s="736"/>
      <c r="T90" s="736"/>
      <c r="U90" s="736"/>
      <c r="V90" s="736"/>
      <c r="W90" s="736"/>
      <c r="AH90" s="2940"/>
      <c r="AI90" s="2940"/>
      <c r="AJ90" s="2940"/>
      <c r="AK90" s="2940"/>
      <c r="AL90" s="2940"/>
      <c r="AM90" s="2940"/>
      <c r="BC90" s="736" t="str">
        <f t="shared" si="80"/>
        <v/>
      </c>
    </row>
    <row r="91" spans="1:55" ht="12.75" customHeight="1" outlineLevel="1">
      <c r="A91" s="701"/>
      <c r="B91" s="701"/>
      <c r="C91" s="811"/>
      <c r="D91" s="779"/>
      <c r="E91" s="780" t="s">
        <v>1883</v>
      </c>
      <c r="F91" s="781"/>
      <c r="G91" s="782">
        <f>+InputY!$G$3</f>
        <v>1995</v>
      </c>
      <c r="H91" s="782">
        <f t="shared" ref="H91:N91" si="110">+G91+1</f>
        <v>1996</v>
      </c>
      <c r="I91" s="782">
        <f t="shared" si="110"/>
        <v>1997</v>
      </c>
      <c r="J91" s="782">
        <f t="shared" si="110"/>
        <v>1998</v>
      </c>
      <c r="K91" s="782">
        <f t="shared" si="110"/>
        <v>1999</v>
      </c>
      <c r="L91" s="782">
        <f t="shared" si="110"/>
        <v>2000</v>
      </c>
      <c r="M91" s="782">
        <f t="shared" si="110"/>
        <v>2001</v>
      </c>
      <c r="N91" s="782">
        <f t="shared" si="110"/>
        <v>2002</v>
      </c>
      <c r="O91" s="782">
        <f>+N91+1</f>
        <v>2003</v>
      </c>
      <c r="P91" s="782">
        <f>+O91+1</f>
        <v>2004</v>
      </c>
      <c r="Q91" s="782">
        <f>+P91+1</f>
        <v>2005</v>
      </c>
      <c r="R91" s="782">
        <f>+Q91+1</f>
        <v>2006</v>
      </c>
      <c r="S91" s="782">
        <f t="shared" ref="S91:Y91" si="111">+R91+1</f>
        <v>2007</v>
      </c>
      <c r="T91" s="782">
        <f t="shared" si="111"/>
        <v>2008</v>
      </c>
      <c r="U91" s="782">
        <f t="shared" si="111"/>
        <v>2009</v>
      </c>
      <c r="V91" s="782">
        <f>+U91+1</f>
        <v>2010</v>
      </c>
      <c r="W91" s="782">
        <f>+V91+1</f>
        <v>2011</v>
      </c>
      <c r="X91" s="782">
        <f t="shared" si="111"/>
        <v>2012</v>
      </c>
      <c r="Y91" s="782">
        <f t="shared" si="111"/>
        <v>2013</v>
      </c>
      <c r="Z91" s="782">
        <f t="shared" ref="Z91:AF91" si="112">+Y91+1</f>
        <v>2014</v>
      </c>
      <c r="AA91" s="782">
        <f t="shared" si="112"/>
        <v>2015</v>
      </c>
      <c r="AB91" s="782">
        <f t="shared" si="112"/>
        <v>2016</v>
      </c>
      <c r="AC91" s="782">
        <f t="shared" si="112"/>
        <v>2017</v>
      </c>
      <c r="AD91" s="782">
        <f t="shared" si="112"/>
        <v>2018</v>
      </c>
      <c r="AE91" s="782">
        <f t="shared" si="112"/>
        <v>2019</v>
      </c>
      <c r="AF91" s="782">
        <f t="shared" si="112"/>
        <v>2020</v>
      </c>
      <c r="BB91" s="3497">
        <v>2016</v>
      </c>
      <c r="BC91" s="736" t="str">
        <f t="shared" si="80"/>
        <v/>
      </c>
    </row>
    <row r="92" spans="1:55" ht="12.75" customHeight="1" outlineLevel="1">
      <c r="A92" s="701"/>
      <c r="B92" s="701"/>
      <c r="C92" s="831" t="s">
        <v>1791</v>
      </c>
      <c r="D92" s="726" t="s">
        <v>664</v>
      </c>
      <c r="E92" s="775" t="s">
        <v>629</v>
      </c>
      <c r="F92" s="770" t="s">
        <v>1272</v>
      </c>
      <c r="G92" s="776"/>
      <c r="H92" s="776">
        <f t="shared" ref="H92:N92" si="113">(H73/G73-1)*100</f>
        <v>3.1329912150995787</v>
      </c>
      <c r="I92" s="776">
        <f t="shared" si="113"/>
        <v>1.4089891936263754</v>
      </c>
      <c r="J92" s="776">
        <f t="shared" si="113"/>
        <v>2.6479785323013427</v>
      </c>
      <c r="K92" s="776">
        <f t="shared" si="113"/>
        <v>1.5523387706600555</v>
      </c>
      <c r="L92" s="776">
        <f t="shared" si="113"/>
        <v>11.752848192155895</v>
      </c>
      <c r="M92" s="776">
        <f t="shared" si="113"/>
        <v>3.8008481231349256</v>
      </c>
      <c r="N92" s="776">
        <f t="shared" si="113"/>
        <v>5.3448694846788269</v>
      </c>
      <c r="O92" s="776">
        <f t="shared" ref="O92:AF92" si="114">(O73/N73-1)*100</f>
        <v>2.8669794649929914</v>
      </c>
      <c r="P92" s="776">
        <f t="shared" si="114"/>
        <v>0.82846395674047724</v>
      </c>
      <c r="Q92" s="776">
        <f t="shared" si="114"/>
        <v>2.603451965807646</v>
      </c>
      <c r="R92" s="776">
        <f t="shared" si="114"/>
        <v>5.9663889604626652</v>
      </c>
      <c r="S92" s="776">
        <f t="shared" si="114"/>
        <v>8.924277570428929</v>
      </c>
      <c r="T92" s="776">
        <f t="shared" si="114"/>
        <v>-2.713553238156996</v>
      </c>
      <c r="U92" s="776">
        <f t="shared" si="114"/>
        <v>-2.6959989801679018</v>
      </c>
      <c r="V92" s="776">
        <f t="shared" si="114"/>
        <v>5.7188203014751693</v>
      </c>
      <c r="W92" s="776">
        <f t="shared" si="114"/>
        <v>1.8832918482744487</v>
      </c>
      <c r="X92" s="776">
        <f t="shared" si="114"/>
        <v>-2.9223284100781899</v>
      </c>
      <c r="Y92" s="776">
        <f t="shared" si="114"/>
        <v>1.1179884084326908</v>
      </c>
      <c r="Z92" s="776">
        <f t="shared" ref="Z92" si="115">(Z73/Y73-1)*100</f>
        <v>2.9380735244137313</v>
      </c>
      <c r="AA92" s="776">
        <f t="shared" ref="AA92" si="116">(AA73/Z73-1)*100</f>
        <v>0.53686335606664137</v>
      </c>
      <c r="AB92" s="776">
        <f t="shared" ref="AB92:AC92" si="117">(AB73/AA73-1)*100</f>
        <v>3.8358123178390935</v>
      </c>
      <c r="AC92" s="776">
        <f t="shared" si="117"/>
        <v>5.2112263084895805</v>
      </c>
      <c r="AD92" s="3000">
        <f t="shared" ca="1" si="114"/>
        <v>3.4366200309635886</v>
      </c>
      <c r="AE92" s="3000">
        <f t="shared" ca="1" si="114"/>
        <v>3.1943976645070649</v>
      </c>
      <c r="AF92" s="3000">
        <f t="shared" ca="1" si="114"/>
        <v>3.3303509356632066</v>
      </c>
      <c r="BB92" s="3477">
        <v>7.6127858130019987</v>
      </c>
      <c r="BC92" s="736">
        <f t="shared" si="80"/>
        <v>-3.7769734951629053</v>
      </c>
    </row>
    <row r="93" spans="1:55" ht="12.75" customHeight="1" outlineLevel="1">
      <c r="A93" s="701"/>
      <c r="B93" s="701"/>
      <c r="C93" s="832" t="s">
        <v>1791</v>
      </c>
      <c r="D93" s="711" t="s">
        <v>665</v>
      </c>
      <c r="E93" s="820" t="s">
        <v>629</v>
      </c>
      <c r="F93" s="741" t="s">
        <v>1841</v>
      </c>
      <c r="G93" s="743"/>
      <c r="H93" s="743">
        <f t="shared" ref="H93:N93" si="118">(H78/G78-1)*100</f>
        <v>2.3174839772836631</v>
      </c>
      <c r="I93" s="743">
        <f t="shared" si="118"/>
        <v>6.1846666168762887</v>
      </c>
      <c r="J93" s="743">
        <f t="shared" si="118"/>
        <v>5.9429388502871161</v>
      </c>
      <c r="K93" s="743">
        <f t="shared" si="118"/>
        <v>6.3753160360005445</v>
      </c>
      <c r="L93" s="743">
        <f t="shared" si="118"/>
        <v>7.4866899129695463</v>
      </c>
      <c r="M93" s="743">
        <f t="shared" si="118"/>
        <v>3.6125393725395361</v>
      </c>
      <c r="N93" s="743">
        <f t="shared" si="118"/>
        <v>2.7451484554501748</v>
      </c>
      <c r="O93" s="743">
        <f t="shared" ref="O93:AF93" si="119">(O78/N78-1)*100</f>
        <v>3.8232238615574898</v>
      </c>
      <c r="P93" s="743">
        <f t="shared" si="119"/>
        <v>6.0164832617946251</v>
      </c>
      <c r="Q93" s="743">
        <f t="shared" si="119"/>
        <v>3.5688884846958313</v>
      </c>
      <c r="R93" s="743">
        <f t="shared" si="119"/>
        <v>7.6979754819818558</v>
      </c>
      <c r="S93" s="743">
        <f t="shared" si="119"/>
        <v>6.6624645709498331</v>
      </c>
      <c r="T93" s="743">
        <f t="shared" si="119"/>
        <v>3.3195707970282484</v>
      </c>
      <c r="U93" s="743">
        <f t="shared" si="119"/>
        <v>-4.8493468503503889</v>
      </c>
      <c r="V93" s="743">
        <f t="shared" si="119"/>
        <v>8.9578283617463228</v>
      </c>
      <c r="W93" s="743">
        <f t="shared" si="119"/>
        <v>4.7862281349410063</v>
      </c>
      <c r="X93" s="743">
        <f t="shared" si="119"/>
        <v>0.53185776962871856</v>
      </c>
      <c r="Y93" s="743">
        <f t="shared" si="119"/>
        <v>2.3635235381810116</v>
      </c>
      <c r="Z93" s="743">
        <f t="shared" ref="Z93" si="120">(Z78/Y78-1)*100</f>
        <v>5.1156405675909511</v>
      </c>
      <c r="AA93" s="743">
        <f t="shared" ref="AA93" si="121">(AA78/Z78-1)*100</f>
        <v>7.8889763302863569</v>
      </c>
      <c r="AB93" s="743">
        <f t="shared" ref="AB93:AC93" si="122">(AB78/AA78-1)*100</f>
        <v>3.8807448546324341</v>
      </c>
      <c r="AC93" s="743">
        <f t="shared" si="122"/>
        <v>4.2412656207689192</v>
      </c>
      <c r="AD93" s="829">
        <f t="shared" ca="1" si="119"/>
        <v>5.1767901243026326</v>
      </c>
      <c r="AE93" s="829">
        <f t="shared" ca="1" si="119"/>
        <v>3.7084279875117865</v>
      </c>
      <c r="AF93" s="829">
        <f t="shared" ca="1" si="119"/>
        <v>3.5357323238297989</v>
      </c>
      <c r="BB93" s="3472">
        <v>4.1935227897130112</v>
      </c>
      <c r="BC93" s="736" t="str">
        <f t="shared" si="80"/>
        <v/>
      </c>
    </row>
    <row r="94" spans="1:55" ht="12.75" customHeight="1" outlineLevel="1">
      <c r="A94" s="701"/>
      <c r="B94" s="701"/>
      <c r="C94" s="833" t="s">
        <v>1791</v>
      </c>
      <c r="D94" s="728" t="s">
        <v>666</v>
      </c>
      <c r="E94" s="834" t="s">
        <v>629</v>
      </c>
      <c r="F94" s="773" t="s">
        <v>752</v>
      </c>
      <c r="G94" s="778"/>
      <c r="H94" s="778">
        <f t="shared" ref="H94:N94" si="123">(H83/G83-1)*100</f>
        <v>5.2476495902201048</v>
      </c>
      <c r="I94" s="778">
        <f t="shared" si="123"/>
        <v>2.4975584347939339</v>
      </c>
      <c r="J94" s="778">
        <f t="shared" si="123"/>
        <v>2.7454168942868451</v>
      </c>
      <c r="K94" s="778">
        <f t="shared" si="123"/>
        <v>4.3677819818483066</v>
      </c>
      <c r="L94" s="778">
        <f t="shared" si="123"/>
        <v>2.6066743754028288</v>
      </c>
      <c r="M94" s="778">
        <f t="shared" si="123"/>
        <v>5.3490149711453938</v>
      </c>
      <c r="N94" s="778">
        <f t="shared" si="123"/>
        <v>5.3704986453191106</v>
      </c>
      <c r="O94" s="778">
        <f t="shared" ref="O94:AF94" si="124">(O83/N83-1)*100</f>
        <v>5.9813270757401726</v>
      </c>
      <c r="P94" s="778">
        <f t="shared" si="124"/>
        <v>3.3644258098961988</v>
      </c>
      <c r="Q94" s="778">
        <f t="shared" si="124"/>
        <v>2.677994941016526</v>
      </c>
      <c r="R94" s="778">
        <f t="shared" si="124"/>
        <v>4.0108010135197381</v>
      </c>
      <c r="S94" s="778">
        <f t="shared" si="124"/>
        <v>4.6851216979387544</v>
      </c>
      <c r="T94" s="778">
        <f t="shared" si="124"/>
        <v>4.1207764589179297</v>
      </c>
      <c r="U94" s="778">
        <f t="shared" si="124"/>
        <v>0.79072210693915679</v>
      </c>
      <c r="V94" s="778">
        <f t="shared" si="124"/>
        <v>1.9961769480650871</v>
      </c>
      <c r="W94" s="778">
        <f t="shared" si="124"/>
        <v>2.9885870979617923</v>
      </c>
      <c r="X94" s="778">
        <f t="shared" si="124"/>
        <v>4.1410052742924863</v>
      </c>
      <c r="Y94" s="778">
        <f t="shared" si="124"/>
        <v>3.2356718431892473</v>
      </c>
      <c r="Z94" s="778">
        <f t="shared" ref="Z94" si="125">(Z83/Y83-1)*100</f>
        <v>3.5273833700470547</v>
      </c>
      <c r="AA94" s="778">
        <f t="shared" ref="AA94" si="126">(AA83/Z83-1)*100</f>
        <v>4.6287618380487228</v>
      </c>
      <c r="AB94" s="778">
        <f t="shared" ref="AB94:AC94" si="127">(AB83/AA83-1)*100</f>
        <v>5.2895715603164417</v>
      </c>
      <c r="AC94" s="778">
        <f t="shared" si="127"/>
        <v>4.9158861827645506</v>
      </c>
      <c r="AD94" s="3001">
        <f t="shared" si="124"/>
        <v>4.4662038073461474</v>
      </c>
      <c r="AE94" s="3001">
        <f t="shared" si="124"/>
        <v>3.8875819897776775</v>
      </c>
      <c r="AF94" s="3001">
        <f t="shared" si="124"/>
        <v>3.7075856016635322</v>
      </c>
      <c r="BB94" s="3492">
        <v>5.3420059972239198</v>
      </c>
      <c r="BC94" s="736" t="str">
        <f t="shared" si="80"/>
        <v/>
      </c>
    </row>
    <row r="95" spans="1:55" ht="12.75" customHeight="1" outlineLevel="1">
      <c r="A95" s="701"/>
      <c r="B95" s="701"/>
      <c r="C95" s="811" t="s">
        <v>1793</v>
      </c>
      <c r="D95" s="754"/>
      <c r="E95" s="759" t="s">
        <v>629</v>
      </c>
      <c r="F95" s="760" t="s">
        <v>2027</v>
      </c>
      <c r="G95" s="758"/>
      <c r="H95" s="758">
        <f t="shared" ref="H95:N95" si="128">(H88/G88-1)*100</f>
        <v>3.0507780011299612</v>
      </c>
      <c r="I95" s="758">
        <f t="shared" si="128"/>
        <v>4.8521769617480226</v>
      </c>
      <c r="J95" s="758">
        <f t="shared" si="128"/>
        <v>4.9034964783872814</v>
      </c>
      <c r="K95" s="758">
        <f t="shared" si="128"/>
        <v>5.4636187489403909</v>
      </c>
      <c r="L95" s="758">
        <f t="shared" si="128"/>
        <v>6.8490448447070751</v>
      </c>
      <c r="M95" s="758">
        <f t="shared" si="128"/>
        <v>3.9881919940010668</v>
      </c>
      <c r="N95" s="758">
        <f t="shared" si="128"/>
        <v>3.550535398557253</v>
      </c>
      <c r="O95" s="758">
        <f t="shared" ref="O95:AF95" si="129">(O88/N88-1)*100</f>
        <v>4.1836189156466697</v>
      </c>
      <c r="P95" s="758">
        <f t="shared" si="129"/>
        <v>4.9261906917438703</v>
      </c>
      <c r="Q95" s="758">
        <f t="shared" si="129"/>
        <v>3.2869816174973421</v>
      </c>
      <c r="R95" s="758">
        <f t="shared" si="129"/>
        <v>6.7544863617413409</v>
      </c>
      <c r="S95" s="758">
        <f t="shared" si="129"/>
        <v>6.4701305178664015</v>
      </c>
      <c r="T95" s="758">
        <f t="shared" si="129"/>
        <v>2.8968215944882525</v>
      </c>
      <c r="U95" s="758">
        <f t="shared" si="129"/>
        <v>-3.4980913463576346</v>
      </c>
      <c r="V95" s="758">
        <f t="shared" si="129"/>
        <v>7.1709291889246574</v>
      </c>
      <c r="W95" s="758">
        <f t="shared" si="129"/>
        <v>4.1560476819174408</v>
      </c>
      <c r="X95" s="758">
        <f t="shared" si="129"/>
        <v>0.94965075570188073</v>
      </c>
      <c r="Y95" s="758">
        <f t="shared" si="129"/>
        <v>2.4376574179738375</v>
      </c>
      <c r="Z95" s="758">
        <f t="shared" ref="Z95" si="130">(Z88/Y88-1)*100</f>
        <v>4.5992977905992216</v>
      </c>
      <c r="AA95" s="758">
        <f t="shared" ref="AA95" si="131">(AA88/Z88-1)*100</f>
        <v>6.6020121651141794</v>
      </c>
      <c r="AB95" s="758">
        <f t="shared" ref="AB95:AC95" si="132">(AB88/AA88-1)*100</f>
        <v>4.1633346231566337</v>
      </c>
      <c r="AC95" s="758">
        <f t="shared" si="132"/>
        <v>4.4557081150022437</v>
      </c>
      <c r="AD95" s="838">
        <f t="shared" ca="1" si="129"/>
        <v>4.8930254054674105</v>
      </c>
      <c r="AE95" s="838">
        <f t="shared" ca="1" si="129"/>
        <v>3.7052385513229424</v>
      </c>
      <c r="AF95" s="838">
        <f t="shared" ca="1" si="129"/>
        <v>3.5551897618169903</v>
      </c>
      <c r="BB95" s="3498">
        <v>4.6920269254147495</v>
      </c>
      <c r="BC95" s="736" t="str">
        <f t="shared" si="80"/>
        <v/>
      </c>
    </row>
    <row r="96" spans="1:55" ht="12.75" customHeight="1" outlineLevel="1">
      <c r="A96" s="701"/>
      <c r="B96" s="701"/>
      <c r="C96" s="811"/>
      <c r="E96" s="823"/>
      <c r="F96" s="824"/>
      <c r="G96" s="740"/>
      <c r="H96" s="825"/>
      <c r="I96" s="740"/>
      <c r="J96" s="740"/>
      <c r="K96" s="740"/>
      <c r="L96" s="740"/>
      <c r="M96" s="740"/>
      <c r="N96" s="740"/>
      <c r="O96" s="740"/>
      <c r="P96" s="740"/>
      <c r="Q96" s="740"/>
      <c r="R96" s="740"/>
      <c r="S96" s="740"/>
      <c r="T96" s="740"/>
      <c r="U96" s="740"/>
      <c r="V96" s="740"/>
      <c r="W96" s="740"/>
      <c r="X96" s="740"/>
      <c r="Y96" s="740"/>
      <c r="Z96" s="740"/>
      <c r="AA96" s="740"/>
      <c r="AB96" s="740"/>
      <c r="AC96" s="882"/>
      <c r="AD96" s="882"/>
      <c r="AE96" s="882"/>
      <c r="AF96" s="882"/>
      <c r="BB96" s="3472"/>
      <c r="BC96" s="736" t="str">
        <f t="shared" si="80"/>
        <v/>
      </c>
    </row>
    <row r="97" spans="1:55" ht="12.75" customHeight="1" outlineLevel="1">
      <c r="A97" s="701"/>
      <c r="B97" s="701"/>
      <c r="C97" s="811"/>
      <c r="D97" s="855"/>
      <c r="E97" s="856" t="s">
        <v>1217</v>
      </c>
      <c r="F97" s="857"/>
      <c r="G97" s="858">
        <f>+InputY!$G$3</f>
        <v>1995</v>
      </c>
      <c r="H97" s="858">
        <f t="shared" ref="H97:N97" si="133">+G97+1</f>
        <v>1996</v>
      </c>
      <c r="I97" s="858">
        <f t="shared" si="133"/>
        <v>1997</v>
      </c>
      <c r="J97" s="858">
        <f t="shared" si="133"/>
        <v>1998</v>
      </c>
      <c r="K97" s="858">
        <f t="shared" si="133"/>
        <v>1999</v>
      </c>
      <c r="L97" s="858">
        <f t="shared" si="133"/>
        <v>2000</v>
      </c>
      <c r="M97" s="858">
        <f t="shared" si="133"/>
        <v>2001</v>
      </c>
      <c r="N97" s="858">
        <f t="shared" si="133"/>
        <v>2002</v>
      </c>
      <c r="O97" s="858">
        <f t="shared" ref="O97:AF97" si="134">+N97+1</f>
        <v>2003</v>
      </c>
      <c r="P97" s="858">
        <f t="shared" si="134"/>
        <v>2004</v>
      </c>
      <c r="Q97" s="858">
        <f t="shared" si="134"/>
        <v>2005</v>
      </c>
      <c r="R97" s="858">
        <f t="shared" si="134"/>
        <v>2006</v>
      </c>
      <c r="S97" s="858">
        <f t="shared" si="134"/>
        <v>2007</v>
      </c>
      <c r="T97" s="858">
        <f t="shared" si="134"/>
        <v>2008</v>
      </c>
      <c r="U97" s="858">
        <f t="shared" si="134"/>
        <v>2009</v>
      </c>
      <c r="V97" s="858">
        <f t="shared" si="134"/>
        <v>2010</v>
      </c>
      <c r="W97" s="858">
        <f t="shared" si="134"/>
        <v>2011</v>
      </c>
      <c r="X97" s="858">
        <f t="shared" si="134"/>
        <v>2012</v>
      </c>
      <c r="Y97" s="858">
        <f t="shared" si="134"/>
        <v>2013</v>
      </c>
      <c r="Z97" s="858">
        <f t="shared" ref="Z97" si="135">+Y97+1</f>
        <v>2014</v>
      </c>
      <c r="AA97" s="858">
        <f t="shared" ref="AA97" si="136">+Z97+1</f>
        <v>2015</v>
      </c>
      <c r="AB97" s="858">
        <f t="shared" ref="AB97" si="137">+AA97+1</f>
        <v>2016</v>
      </c>
      <c r="AC97" s="858">
        <f t="shared" si="134"/>
        <v>2017</v>
      </c>
      <c r="AD97" s="858">
        <f t="shared" si="134"/>
        <v>2018</v>
      </c>
      <c r="AE97" s="858">
        <f t="shared" si="134"/>
        <v>2019</v>
      </c>
      <c r="AF97" s="858">
        <f t="shared" si="134"/>
        <v>2020</v>
      </c>
      <c r="BB97" s="3480">
        <v>2016</v>
      </c>
      <c r="BC97" s="736" t="str">
        <f t="shared" si="80"/>
        <v/>
      </c>
    </row>
    <row r="98" spans="1:55" ht="12.75" customHeight="1" outlineLevel="1">
      <c r="A98" s="701"/>
      <c r="B98" s="701"/>
      <c r="C98" s="859" t="s">
        <v>1791</v>
      </c>
      <c r="D98" s="860" t="s">
        <v>664</v>
      </c>
      <c r="E98" s="861" t="s">
        <v>629</v>
      </c>
      <c r="F98" s="862" t="s">
        <v>1272</v>
      </c>
      <c r="G98" s="875">
        <f t="shared" ref="G98:R98" si="138">+G73/G$88</f>
        <v>0.10454276520781856</v>
      </c>
      <c r="H98" s="875">
        <f t="shared" si="138"/>
        <v>0.10462616871909446</v>
      </c>
      <c r="I98" s="875">
        <f t="shared" si="138"/>
        <v>0.10119040272168993</v>
      </c>
      <c r="J98" s="875">
        <f t="shared" si="138"/>
        <v>9.9014719575061375E-2</v>
      </c>
      <c r="K98" s="875">
        <f t="shared" si="138"/>
        <v>9.534260690888309E-2</v>
      </c>
      <c r="L98" s="875">
        <f t="shared" si="138"/>
        <v>9.9718325901914762E-2</v>
      </c>
      <c r="M98" s="875">
        <f t="shared" si="138"/>
        <v>9.9538674570234381E-2</v>
      </c>
      <c r="N98" s="875">
        <f t="shared" si="138"/>
        <v>0.10126349072865691</v>
      </c>
      <c r="O98" s="875">
        <f t="shared" si="138"/>
        <v>9.9983754929575092E-2</v>
      </c>
      <c r="P98" s="875">
        <f t="shared" si="138"/>
        <v>9.6079047220852504E-2</v>
      </c>
      <c r="Q98" s="875">
        <f t="shared" si="138"/>
        <v>9.5443218032574426E-2</v>
      </c>
      <c r="R98" s="875">
        <f t="shared" si="138"/>
        <v>9.4738624205517194E-2</v>
      </c>
      <c r="S98" s="875">
        <f t="shared" ref="S98:X98" si="139">+S73/S$88</f>
        <v>9.6922358875766168E-2</v>
      </c>
      <c r="T98" s="875">
        <f t="shared" si="139"/>
        <v>9.1637737305041808E-2</v>
      </c>
      <c r="U98" s="875">
        <f t="shared" si="139"/>
        <v>9.2399400266663448E-2</v>
      </c>
      <c r="V98" s="875">
        <f t="shared" si="139"/>
        <v>9.1147437711727508E-2</v>
      </c>
      <c r="W98" s="875">
        <f t="shared" si="139"/>
        <v>8.9158538599372811E-2</v>
      </c>
      <c r="X98" s="875">
        <f t="shared" si="139"/>
        <v>8.5738814000784522E-2</v>
      </c>
      <c r="Y98" s="875">
        <f>+Y73/Y$88</f>
        <v>8.4634270431518999E-2</v>
      </c>
      <c r="Z98" s="875">
        <f t="shared" ref="Z98:AB98" si="140">+Z73/Z$88</f>
        <v>8.3290126572415774E-2</v>
      </c>
      <c r="AA98" s="875">
        <f t="shared" si="140"/>
        <v>7.8551313470054604E-2</v>
      </c>
      <c r="AB98" s="875">
        <f t="shared" si="140"/>
        <v>7.8304323419606345E-2</v>
      </c>
      <c r="AC98" s="875">
        <f t="shared" ref="AC98" si="141">+AC73/AC$88</f>
        <v>7.8870691136984653E-2</v>
      </c>
      <c r="AD98" s="3002">
        <f ca="1">+AD73/AD$88</f>
        <v>7.7775597368655344E-2</v>
      </c>
      <c r="AE98" s="3002">
        <f ca="1">+AE73/AE$88</f>
        <v>7.7392483114376118E-2</v>
      </c>
      <c r="AF98" s="3002">
        <f ca="1">+AF73/AF$88</f>
        <v>7.7224448705897078E-2</v>
      </c>
      <c r="BB98" s="3499">
        <v>8.077931555670366E-2</v>
      </c>
      <c r="BC98" s="736" t="str">
        <f t="shared" si="80"/>
        <v/>
      </c>
    </row>
    <row r="99" spans="1:55" ht="12.75" customHeight="1" outlineLevel="1">
      <c r="A99" s="701"/>
      <c r="B99" s="701"/>
      <c r="C99" s="863" t="s">
        <v>1791</v>
      </c>
      <c r="D99" s="711" t="s">
        <v>665</v>
      </c>
      <c r="E99" s="820" t="s">
        <v>629</v>
      </c>
      <c r="F99" s="741" t="s">
        <v>1841</v>
      </c>
      <c r="G99" s="876">
        <f t="shared" ref="G99:N99" si="142">+G78/G$88</f>
        <v>0.67429613751597339</v>
      </c>
      <c r="H99" s="876">
        <f t="shared" si="142"/>
        <v>0.66949794639569205</v>
      </c>
      <c r="I99" s="876">
        <f t="shared" si="142"/>
        <v>0.67800610629805957</v>
      </c>
      <c r="J99" s="876">
        <f t="shared" si="142"/>
        <v>0.68472416907910538</v>
      </c>
      <c r="K99" s="876">
        <f t="shared" si="142"/>
        <v>0.69064337775731333</v>
      </c>
      <c r="L99" s="876">
        <f t="shared" si="142"/>
        <v>0.69476494332109662</v>
      </c>
      <c r="M99" s="876">
        <f t="shared" si="142"/>
        <v>0.69225513651271209</v>
      </c>
      <c r="N99" s="876">
        <f t="shared" si="142"/>
        <v>0.68687097074186165</v>
      </c>
      <c r="O99" s="876">
        <f t="shared" ref="O99:X99" si="143">+O78/O$88</f>
        <v>0.68449492637683329</v>
      </c>
      <c r="P99" s="876">
        <f t="shared" si="143"/>
        <v>0.6916075426602033</v>
      </c>
      <c r="Q99" s="876">
        <f t="shared" si="143"/>
        <v>0.69349518534884547</v>
      </c>
      <c r="R99" s="876">
        <f t="shared" si="143"/>
        <v>0.69962425012743179</v>
      </c>
      <c r="S99" s="876">
        <f t="shared" si="143"/>
        <v>0.70088809348902015</v>
      </c>
      <c r="T99" s="876">
        <f t="shared" si="143"/>
        <v>0.70376767594842748</v>
      </c>
      <c r="U99" s="876">
        <f t="shared" si="143"/>
        <v>0.69391326002106335</v>
      </c>
      <c r="V99" s="876">
        <f t="shared" si="143"/>
        <v>0.70548312359998022</v>
      </c>
      <c r="W99" s="876">
        <f t="shared" si="143"/>
        <v>0.70975154280678832</v>
      </c>
      <c r="X99" s="876">
        <f t="shared" si="143"/>
        <v>0.70681414565662981</v>
      </c>
      <c r="Y99" s="876">
        <f>+Y78/Y$88</f>
        <v>0.70630262600427995</v>
      </c>
      <c r="Z99" s="876">
        <f t="shared" ref="Z99:AB99" si="144">+Z78/Z$88</f>
        <v>0.70978921020714614</v>
      </c>
      <c r="AA99" s="876">
        <f t="shared" si="144"/>
        <v>0.71835821617438411</v>
      </c>
      <c r="AB99" s="876">
        <f t="shared" si="144"/>
        <v>0.71640934728726002</v>
      </c>
      <c r="AC99" s="876">
        <f t="shared" ref="AC99" si="145">+AC78/AC$88</f>
        <v>0.71493859370091495</v>
      </c>
      <c r="AD99" s="3003">
        <f ca="1">+AD78/AD$88</f>
        <v>0.71687270083760757</v>
      </c>
      <c r="AE99" s="3003">
        <f ca="1">+AE78/AE$88</f>
        <v>0.7168947481301724</v>
      </c>
      <c r="AF99" s="3003">
        <f ca="1">+AF78/AF$88</f>
        <v>0.71676004763725487</v>
      </c>
      <c r="BB99" s="3500">
        <v>0.71481084223589975</v>
      </c>
      <c r="BC99" s="736" t="str">
        <f t="shared" si="80"/>
        <v/>
      </c>
    </row>
    <row r="100" spans="1:55" ht="12.75" customHeight="1" outlineLevel="1">
      <c r="A100" s="701"/>
      <c r="B100" s="701"/>
      <c r="C100" s="864" t="s">
        <v>1791</v>
      </c>
      <c r="D100" s="865" t="s">
        <v>666</v>
      </c>
      <c r="E100" s="866" t="s">
        <v>629</v>
      </c>
      <c r="F100" s="867" t="s">
        <v>752</v>
      </c>
      <c r="G100" s="877">
        <f t="shared" ref="G100:N100" si="146">+G83/G$88</f>
        <v>0.22116109727620797</v>
      </c>
      <c r="H100" s="877">
        <f t="shared" si="146"/>
        <v>0.22587588488521346</v>
      </c>
      <c r="I100" s="877">
        <f t="shared" si="146"/>
        <v>0.22080349098025046</v>
      </c>
      <c r="J100" s="877">
        <f t="shared" si="146"/>
        <v>0.21626111134583326</v>
      </c>
      <c r="K100" s="877">
        <f t="shared" si="146"/>
        <v>0.2140140153338036</v>
      </c>
      <c r="L100" s="877">
        <f t="shared" si="146"/>
        <v>0.20551673077698862</v>
      </c>
      <c r="M100" s="877">
        <f t="shared" si="146"/>
        <v>0.20820618891705364</v>
      </c>
      <c r="N100" s="877">
        <f t="shared" si="146"/>
        <v>0.2118655385294814</v>
      </c>
      <c r="O100" s="877">
        <f t="shared" ref="O100:X100" si="147">+O83/O$88</f>
        <v>0.21552131869359176</v>
      </c>
      <c r="P100" s="877">
        <f t="shared" si="147"/>
        <v>0.21231341011894417</v>
      </c>
      <c r="Q100" s="877">
        <f t="shared" si="147"/>
        <v>0.21106159661858001</v>
      </c>
      <c r="R100" s="877">
        <f t="shared" si="147"/>
        <v>0.20563712566705111</v>
      </c>
      <c r="S100" s="877">
        <f t="shared" si="147"/>
        <v>0.20218954763521371</v>
      </c>
      <c r="T100" s="877">
        <f t="shared" si="147"/>
        <v>0.20459458674653075</v>
      </c>
      <c r="U100" s="877">
        <f t="shared" si="147"/>
        <v>0.21368733971227327</v>
      </c>
      <c r="V100" s="877">
        <f t="shared" si="147"/>
        <v>0.20336943868829221</v>
      </c>
      <c r="W100" s="877">
        <f t="shared" si="147"/>
        <v>0.20108991859383893</v>
      </c>
      <c r="X100" s="877">
        <f t="shared" si="147"/>
        <v>0.20744704034258571</v>
      </c>
      <c r="Y100" s="877">
        <f>+Y83/Y$88</f>
        <v>0.2090631035642011</v>
      </c>
      <c r="Z100" s="877">
        <f t="shared" ref="Z100:AB100" si="148">+Z83/Z$88</f>
        <v>0.20692066322043812</v>
      </c>
      <c r="AA100" s="877">
        <f t="shared" si="148"/>
        <v>0.20309047035556127</v>
      </c>
      <c r="AB100" s="877">
        <f t="shared" si="148"/>
        <v>0.20528632929313359</v>
      </c>
      <c r="AC100" s="877">
        <f t="shared" ref="AC100" si="149">+AC83/AC$88</f>
        <v>0.20619071516210039</v>
      </c>
      <c r="AD100" s="3004">
        <f ca="1">+AD83/AD$88</f>
        <v>0.20535170179373707</v>
      </c>
      <c r="AE100" s="3004">
        <f ca="1">+AE83/AE$88</f>
        <v>0.20571276875545155</v>
      </c>
      <c r="AF100" s="3004">
        <f ca="1">+AF83/AF$88</f>
        <v>0.20601550365684812</v>
      </c>
      <c r="BB100" s="3501">
        <v>0.20423471396190679</v>
      </c>
      <c r="BC100" s="736" t="str">
        <f t="shared" si="80"/>
        <v/>
      </c>
    </row>
    <row r="101" spans="1:55" ht="12.75" customHeight="1" outlineLevel="1">
      <c r="A101" s="701"/>
      <c r="B101" s="701"/>
      <c r="C101" s="811" t="s">
        <v>1793</v>
      </c>
      <c r="D101" s="843"/>
      <c r="E101" s="844" t="s">
        <v>629</v>
      </c>
      <c r="F101" s="845" t="s">
        <v>2027</v>
      </c>
      <c r="G101" s="878">
        <f t="shared" ref="G101:N101" si="150">+G88/G$88</f>
        <v>1</v>
      </c>
      <c r="H101" s="878">
        <f t="shared" si="150"/>
        <v>1</v>
      </c>
      <c r="I101" s="878">
        <f t="shared" si="150"/>
        <v>1</v>
      </c>
      <c r="J101" s="878">
        <f t="shared" si="150"/>
        <v>1</v>
      </c>
      <c r="K101" s="878">
        <f t="shared" si="150"/>
        <v>1</v>
      </c>
      <c r="L101" s="878">
        <f t="shared" si="150"/>
        <v>1</v>
      </c>
      <c r="M101" s="878">
        <f t="shared" si="150"/>
        <v>1</v>
      </c>
      <c r="N101" s="878">
        <f t="shared" si="150"/>
        <v>1</v>
      </c>
      <c r="O101" s="878">
        <f t="shared" ref="O101:X101" si="151">+O88/O$88</f>
        <v>1</v>
      </c>
      <c r="P101" s="878">
        <f t="shared" si="151"/>
        <v>1</v>
      </c>
      <c r="Q101" s="878">
        <f t="shared" si="151"/>
        <v>1</v>
      </c>
      <c r="R101" s="878">
        <f t="shared" si="151"/>
        <v>1</v>
      </c>
      <c r="S101" s="878">
        <f t="shared" si="151"/>
        <v>1</v>
      </c>
      <c r="T101" s="878">
        <f t="shared" si="151"/>
        <v>1</v>
      </c>
      <c r="U101" s="878">
        <f t="shared" si="151"/>
        <v>1</v>
      </c>
      <c r="V101" s="878">
        <f t="shared" si="151"/>
        <v>1</v>
      </c>
      <c r="W101" s="878">
        <f t="shared" si="151"/>
        <v>1</v>
      </c>
      <c r="X101" s="878">
        <f t="shared" si="151"/>
        <v>1</v>
      </c>
      <c r="Y101" s="878">
        <f>+Y88/Y$88</f>
        <v>1</v>
      </c>
      <c r="Z101" s="878">
        <f t="shared" ref="Z101:AB101" si="152">+Z88/Z$88</f>
        <v>1</v>
      </c>
      <c r="AA101" s="878">
        <f t="shared" si="152"/>
        <v>1</v>
      </c>
      <c r="AB101" s="878">
        <f t="shared" si="152"/>
        <v>1</v>
      </c>
      <c r="AC101" s="878">
        <f t="shared" ref="AC101" si="153">+AC88/AC$88</f>
        <v>1</v>
      </c>
      <c r="AD101" s="3005">
        <f ca="1">+AD88/AD$88</f>
        <v>1</v>
      </c>
      <c r="AE101" s="3005">
        <f ca="1">+AE88/AE$88</f>
        <v>1</v>
      </c>
      <c r="AF101" s="3005">
        <f ca="1">+AF88/AF$88</f>
        <v>1</v>
      </c>
      <c r="BB101" s="3485">
        <v>1</v>
      </c>
      <c r="BC101" s="736" t="str">
        <f t="shared" si="80"/>
        <v/>
      </c>
    </row>
    <row r="102" spans="1:55" ht="12.75" customHeight="1" outlineLevel="1">
      <c r="A102" s="701"/>
      <c r="B102" s="701"/>
      <c r="C102" s="811"/>
      <c r="E102" s="823"/>
      <c r="F102" s="824"/>
      <c r="G102" s="740"/>
      <c r="H102" s="825"/>
      <c r="I102" s="740"/>
      <c r="J102" s="740"/>
      <c r="K102" s="740"/>
      <c r="L102" s="740"/>
      <c r="M102" s="740"/>
      <c r="N102" s="740"/>
      <c r="O102" s="740"/>
      <c r="P102" s="740"/>
      <c r="Q102" s="740"/>
      <c r="R102" s="2322"/>
      <c r="S102" s="2322"/>
      <c r="T102" s="2322"/>
      <c r="U102" s="2322"/>
      <c r="V102" s="2322"/>
      <c r="W102" s="2322"/>
      <c r="X102" s="2322"/>
      <c r="Y102" s="2322"/>
      <c r="Z102" s="2322"/>
      <c r="AA102" s="2322"/>
      <c r="AB102" s="2322"/>
      <c r="AC102" s="2322"/>
      <c r="AD102" s="2322"/>
      <c r="AE102" s="2322"/>
      <c r="AF102" s="2322"/>
      <c r="BB102" s="3475"/>
      <c r="BC102" s="736" t="str">
        <f t="shared" si="80"/>
        <v/>
      </c>
    </row>
    <row r="103" spans="1:55" outlineLevel="1">
      <c r="BC103" s="736" t="str">
        <f t="shared" si="80"/>
        <v/>
      </c>
    </row>
    <row r="104" spans="1:55" ht="22.5" customHeight="1" outlineLevel="1">
      <c r="A104" s="590"/>
      <c r="B104" s="590"/>
      <c r="C104" s="3816" t="s">
        <v>1261</v>
      </c>
      <c r="D104" s="3816"/>
      <c r="E104" s="3816"/>
      <c r="F104" s="3816"/>
      <c r="BC104" s="736" t="str">
        <f t="shared" si="80"/>
        <v/>
      </c>
    </row>
    <row r="105" spans="1:55" ht="12.75" customHeight="1" outlineLevel="1">
      <c r="A105" s="701"/>
      <c r="B105" s="701"/>
      <c r="C105" s="811"/>
      <c r="BC105" s="736" t="str">
        <f t="shared" si="80"/>
        <v/>
      </c>
    </row>
    <row r="106" spans="1:55" ht="12.75" customHeight="1" outlineLevel="1">
      <c r="A106" s="701"/>
      <c r="B106" s="701"/>
      <c r="C106" s="811"/>
      <c r="D106" s="812"/>
      <c r="E106" s="813" t="s">
        <v>1882</v>
      </c>
      <c r="F106" s="814"/>
      <c r="G106" s="815">
        <f>+InputY!$G$3</f>
        <v>1995</v>
      </c>
      <c r="H106" s="815">
        <f t="shared" ref="H106:R106" si="154">+G106+1</f>
        <v>1996</v>
      </c>
      <c r="I106" s="815">
        <f t="shared" si="154"/>
        <v>1997</v>
      </c>
      <c r="J106" s="815">
        <f t="shared" si="154"/>
        <v>1998</v>
      </c>
      <c r="K106" s="815">
        <f t="shared" si="154"/>
        <v>1999</v>
      </c>
      <c r="L106" s="815">
        <f t="shared" si="154"/>
        <v>2000</v>
      </c>
      <c r="M106" s="815">
        <f t="shared" si="154"/>
        <v>2001</v>
      </c>
      <c r="N106" s="815">
        <f t="shared" si="154"/>
        <v>2002</v>
      </c>
      <c r="O106" s="815">
        <f t="shared" si="154"/>
        <v>2003</v>
      </c>
      <c r="P106" s="815">
        <f>+O106+1</f>
        <v>2004</v>
      </c>
      <c r="Q106" s="815">
        <f>+P106+1</f>
        <v>2005</v>
      </c>
      <c r="R106" s="2285">
        <f t="shared" si="154"/>
        <v>2006</v>
      </c>
      <c r="S106" s="2285">
        <f t="shared" ref="S106:Y106" si="155">+R106+1</f>
        <v>2007</v>
      </c>
      <c r="T106" s="2285">
        <f t="shared" si="155"/>
        <v>2008</v>
      </c>
      <c r="U106" s="2285">
        <f t="shared" si="155"/>
        <v>2009</v>
      </c>
      <c r="V106" s="2285">
        <f>+U106+1</f>
        <v>2010</v>
      </c>
      <c r="W106" s="2285">
        <f>+V106+1</f>
        <v>2011</v>
      </c>
      <c r="X106" s="2285">
        <f t="shared" si="155"/>
        <v>2012</v>
      </c>
      <c r="Y106" s="2285">
        <f t="shared" si="155"/>
        <v>2013</v>
      </c>
      <c r="Z106" s="2285">
        <f t="shared" ref="Z106:AF106" si="156">+Y106+1</f>
        <v>2014</v>
      </c>
      <c r="AA106" s="2285">
        <f t="shared" si="156"/>
        <v>2015</v>
      </c>
      <c r="AB106" s="2285">
        <f t="shared" si="156"/>
        <v>2016</v>
      </c>
      <c r="AC106" s="2285">
        <f t="shared" si="156"/>
        <v>2017</v>
      </c>
      <c r="AD106" s="2285">
        <f t="shared" si="156"/>
        <v>2018</v>
      </c>
      <c r="AE106" s="2285">
        <f t="shared" si="156"/>
        <v>2019</v>
      </c>
      <c r="AF106" s="2285">
        <f t="shared" si="156"/>
        <v>2020</v>
      </c>
      <c r="BB106" s="3470">
        <v>2016</v>
      </c>
      <c r="BC106" s="736" t="str">
        <f t="shared" si="80"/>
        <v/>
      </c>
    </row>
    <row r="107" spans="1:55" ht="12.75" customHeight="1" outlineLevel="1">
      <c r="A107" s="701"/>
      <c r="B107" s="701">
        <v>89</v>
      </c>
      <c r="C107" s="816" t="s">
        <v>1791</v>
      </c>
      <c r="D107" s="705" t="s">
        <v>664</v>
      </c>
      <c r="E107" s="737" t="s">
        <v>85</v>
      </c>
      <c r="F107" s="738" t="s">
        <v>52</v>
      </c>
      <c r="G107" s="817">
        <f>+G73-Labour1!G208-G9+G46</f>
        <v>138.76700000000002</v>
      </c>
      <c r="H107" s="817">
        <f>+H73-Labour1!H208-H9+H46</f>
        <v>137.66300000000001</v>
      </c>
      <c r="I107" s="817">
        <f>+I73-Labour1!I208-I9+I46</f>
        <v>138.41799999999998</v>
      </c>
      <c r="J107" s="817">
        <f>+J73-Labour1!J208-J9+J46</f>
        <v>140.911</v>
      </c>
      <c r="K107" s="817">
        <f>+K73-Labour1!K208-K9+K46</f>
        <v>143.33000000000001</v>
      </c>
      <c r="L107" s="817">
        <f>+L73-Labour1!L208-L9+L46</f>
        <v>155.40299999999999</v>
      </c>
      <c r="M107" s="817">
        <f>+M73-Labour1!M208-M9+M46</f>
        <v>161.37300000000002</v>
      </c>
      <c r="N107" s="817">
        <f>+N73-Labour1!N208-N9+N46</f>
        <v>169.97499999999999</v>
      </c>
      <c r="O107" s="817">
        <f>+O73-Labour1!O208-O9+O46</f>
        <v>173.03299999999999</v>
      </c>
      <c r="P107" s="817">
        <f>+P73-Labour1!P208-P9+P46</f>
        <v>173.27099999999999</v>
      </c>
      <c r="Q107" s="817">
        <f>+Q73-Labour1!Q208-Q9+Q46</f>
        <v>180.70499999999998</v>
      </c>
      <c r="R107" s="817">
        <f>+R73-Labour1!R208-R9+R46</f>
        <v>192.864</v>
      </c>
      <c r="S107" s="817">
        <f>+S73-Labour1!S208-S9+S46</f>
        <v>212.30000000000004</v>
      </c>
      <c r="T107" s="817">
        <f>+T73-Labour1!T208-T9+T46</f>
        <v>204.99099999999999</v>
      </c>
      <c r="U107" s="817">
        <f>+U73-Labour1!U208-U9+U46</f>
        <v>195.79600000000002</v>
      </c>
      <c r="V107" s="817">
        <f>+V73-Labour1!V208-V9+V46</f>
        <v>209.90699999999998</v>
      </c>
      <c r="W107" s="817">
        <f>+W73-Labour1!W208-W9+W46</f>
        <v>212.94200000000001</v>
      </c>
      <c r="X107" s="817">
        <f>+X73-Labour1!X208-X9+X46</f>
        <v>202.673</v>
      </c>
      <c r="Y107" s="817">
        <f>+Y73-Labour1!Y208-Y9+Y46</f>
        <v>204.29499999999999</v>
      </c>
      <c r="Z107" s="817">
        <f>+Z73-Labour1!Z208-Z9+Z46</f>
        <v>211.15199999999999</v>
      </c>
      <c r="AA107" s="817">
        <f>+AA73-Labour1!AA208-AA9+AA46</f>
        <v>207.93600000000001</v>
      </c>
      <c r="AB107" s="817">
        <f>+AB73-Labour1!AB208-AB9+AB46</f>
        <v>217.71799999999996</v>
      </c>
      <c r="AC107" s="817">
        <f>+AC73-Labour1!AC208-AC9+AC46</f>
        <v>233.49800000000005</v>
      </c>
      <c r="AD107" s="2279">
        <f>+AC107*(1+AD118/100)</f>
        <v>242.55772240000005</v>
      </c>
      <c r="AE107" s="2279">
        <f>+AD107*(1+AE118/100)</f>
        <v>251.96896202912004</v>
      </c>
      <c r="AF107" s="2279">
        <f>+AE107*(1+AF118/100)</f>
        <v>261.74535775584985</v>
      </c>
      <c r="BB107" s="3471">
        <v>228.32999999999996</v>
      </c>
      <c r="BC107" s="736">
        <f t="shared" si="80"/>
        <v>-10.611999999999995</v>
      </c>
    </row>
    <row r="108" spans="1:55" ht="12.75" customHeight="1" outlineLevel="1">
      <c r="A108" s="701"/>
      <c r="B108" s="701">
        <v>104</v>
      </c>
      <c r="C108" s="819" t="s">
        <v>1791</v>
      </c>
      <c r="D108" s="711" t="s">
        <v>665</v>
      </c>
      <c r="E108" s="820" t="s">
        <v>2055</v>
      </c>
      <c r="F108" s="741" t="s">
        <v>1210</v>
      </c>
      <c r="G108" s="743">
        <f>+G78-Labour1!G209-G10+G47</f>
        <v>509.286</v>
      </c>
      <c r="H108" s="743">
        <f>+H78-Labour1!H209-H10+H47</f>
        <v>474.76400000000001</v>
      </c>
      <c r="I108" s="743">
        <f>+I78-Labour1!I209-I10+I47</f>
        <v>505.03899999999987</v>
      </c>
      <c r="J108" s="743">
        <f>+J78-Labour1!J209-J10+J47</f>
        <v>520.55000000000007</v>
      </c>
      <c r="K108" s="743">
        <f>+K78-Labour1!K209-K10+K47</f>
        <v>549.44199999999989</v>
      </c>
      <c r="L108" s="743">
        <f>+L78-Labour1!L209-L10+L47</f>
        <v>576.19200000000012</v>
      </c>
      <c r="M108" s="743">
        <f>+M78-Labour1!M209-M10+M47</f>
        <v>563.19799999999998</v>
      </c>
      <c r="N108" s="743">
        <f>+N78-Labour1!N209-N10+N47</f>
        <v>580.14800000000002</v>
      </c>
      <c r="O108" s="743">
        <f>+O78-Labour1!O209-O10+O47</f>
        <v>621.04600000000016</v>
      </c>
      <c r="P108" s="743">
        <f>+P78-Labour1!P209-P10+P47</f>
        <v>686.3420000000001</v>
      </c>
      <c r="Q108" s="743">
        <f>+Q78-Labour1!Q209-Q10+Q47</f>
        <v>711.99799999999993</v>
      </c>
      <c r="R108" s="743">
        <f>+R78-Labour1!R209-R10+R47</f>
        <v>798.98599999999988</v>
      </c>
      <c r="S108" s="743">
        <f>+S78-Labour1!S209-S10+S47</f>
        <v>826.31600000000003</v>
      </c>
      <c r="T108" s="743">
        <f>+T78-Labour1!T209-T10+T47</f>
        <v>824.33600000000013</v>
      </c>
      <c r="U108" s="743">
        <f>+U78-Labour1!U209-U10+U47</f>
        <v>741.4699999999998</v>
      </c>
      <c r="V108" s="743">
        <f>+V78-Labour1!V209-V10+V47</f>
        <v>877.005</v>
      </c>
      <c r="W108" s="743">
        <f>+W78-Labour1!W209-W10+W47</f>
        <v>896.87800000000016</v>
      </c>
      <c r="X108" s="743">
        <f>+X78-Labour1!X209-X10+X47</f>
        <v>851.24</v>
      </c>
      <c r="Y108" s="743">
        <f>+Y78-Labour1!Y209-Y10+Y47</f>
        <v>863.57999999999993</v>
      </c>
      <c r="Z108" s="743">
        <f>+Z78-Labour1!Z209-Z10+Z47</f>
        <v>929.07799999999986</v>
      </c>
      <c r="AA108" s="743">
        <f>+AA78-Labour1!AA209-AA10+AA47</f>
        <v>1045.6720000000003</v>
      </c>
      <c r="AB108" s="743">
        <f>+AB78-Labour1!AB209-AB10+AB47</f>
        <v>1055.7320000000002</v>
      </c>
      <c r="AC108" s="743">
        <f>+AC78-Labour1!AC209-AC10+AC47</f>
        <v>1091.3319999999999</v>
      </c>
      <c r="AD108" s="2279">
        <f ca="1">+AD78-Labour1!AD209-Sector1!AD10+Sector1!AD47</f>
        <v>1163.3064287482887</v>
      </c>
      <c r="AE108" s="2279">
        <f ca="1">+AE78-Labour1!AE209-Sector1!AE10+Sector1!AE47</f>
        <v>1215.039388782584</v>
      </c>
      <c r="AF108" s="2279">
        <f ca="1">+AF78-Labour1!AF209-Sector1!AF10+Sector1!AF47</f>
        <v>1267.3132591274311</v>
      </c>
      <c r="BB108" s="3472">
        <v>1058.5449999999998</v>
      </c>
      <c r="BC108" s="736">
        <f t="shared" si="80"/>
        <v>-2.8129999999996471</v>
      </c>
    </row>
    <row r="109" spans="1:55" ht="12.75" customHeight="1" outlineLevel="1">
      <c r="A109" s="701"/>
      <c r="B109" s="701" t="s">
        <v>2032</v>
      </c>
      <c r="C109" s="819" t="s">
        <v>1791</v>
      </c>
      <c r="D109" s="711" t="s">
        <v>666</v>
      </c>
      <c r="E109" s="820" t="s">
        <v>85</v>
      </c>
      <c r="F109" s="741" t="s">
        <v>2033</v>
      </c>
      <c r="G109" s="743">
        <f>+G83-Labour1!G210-G11+G48</f>
        <v>65.492999999999981</v>
      </c>
      <c r="H109" s="743">
        <f>+H83-Labour1!H210-H11+H48</f>
        <v>66.459000000000003</v>
      </c>
      <c r="I109" s="743">
        <f>+I83-Labour1!I210-I11+I48</f>
        <v>68.250000000000014</v>
      </c>
      <c r="J109" s="743">
        <f>+J83-Labour1!J210-J11+J48</f>
        <v>70.435000000000016</v>
      </c>
      <c r="K109" s="743">
        <f>+K83-Labour1!K210-K11+K48</f>
        <v>71.715999999999966</v>
      </c>
      <c r="L109" s="743">
        <f>+L83-Labour1!L210-L11+L48</f>
        <v>75.216000000000008</v>
      </c>
      <c r="M109" s="743">
        <f>+M83-Labour1!M210-M11+M48</f>
        <v>79.42000000000003</v>
      </c>
      <c r="N109" s="743">
        <f>+N83-Labour1!N210-N11+N48</f>
        <v>84.203000000000031</v>
      </c>
      <c r="O109" s="743">
        <f>+O83-Labour1!O210-O11+O48</f>
        <v>86.449999999999989</v>
      </c>
      <c r="P109" s="743">
        <f>+P83-Labour1!P210-P11+P48</f>
        <v>89.391999999999967</v>
      </c>
      <c r="Q109" s="743">
        <f>+Q83-Labour1!Q210-Q11+Q48</f>
        <v>91.570000000000064</v>
      </c>
      <c r="R109" s="743">
        <f>+R83-Labour1!R210-R11+R48</f>
        <v>94.661999999999964</v>
      </c>
      <c r="S109" s="743">
        <f>+S83-Labour1!S210-S11+S48</f>
        <v>98.930000000000064</v>
      </c>
      <c r="T109" s="743">
        <f>+T83-Labour1!T210-T11+T48</f>
        <v>104.89400000000006</v>
      </c>
      <c r="U109" s="743">
        <f>+U83-Labour1!U210-U11+U48</f>
        <v>109.59700000000005</v>
      </c>
      <c r="V109" s="743">
        <f>+V83-Labour1!V210-V11+V48</f>
        <v>112.21799999999999</v>
      </c>
      <c r="W109" s="743">
        <f>+W83-Labour1!W210-W11+W48</f>
        <v>115.02799999999993</v>
      </c>
      <c r="X109" s="743">
        <f>+X83-Labour1!X210-X11+X48</f>
        <v>120.41999999999993</v>
      </c>
      <c r="Y109" s="743">
        <f>+Y83-Labour1!Y210-Y11+Y48</f>
        <v>122.96599999999997</v>
      </c>
      <c r="Z109" s="743">
        <f>+Z83-Labour1!Z210-Z11+Z48</f>
        <v>125.91499999999995</v>
      </c>
      <c r="AA109" s="743">
        <f>+AA83-Labour1!AA210-AA11+AA48</f>
        <v>130.80300000000003</v>
      </c>
      <c r="AB109" s="743">
        <f>+AB83-Labour1!AB210-AB11+AB48</f>
        <v>133.13800000000009</v>
      </c>
      <c r="AC109" s="743">
        <f>+AC83-Labour1!AC210-AC11+AC48</f>
        <v>138.86100000000002</v>
      </c>
      <c r="AD109" s="2279">
        <f>AC109*(1+AD120/100)</f>
        <v>142.80465240000001</v>
      </c>
      <c r="AE109" s="2279">
        <f>AD109*(1+AE120/100)</f>
        <v>146.86030452816001</v>
      </c>
      <c r="AF109" s="2279">
        <f>AE109*(1+AF120/100)</f>
        <v>151.03113717675976</v>
      </c>
      <c r="BB109" s="3472">
        <v>133.85299999999998</v>
      </c>
      <c r="BC109" s="736" t="str">
        <f t="shared" si="80"/>
        <v/>
      </c>
    </row>
    <row r="110" spans="1:55" ht="12.75" customHeight="1" outlineLevel="1">
      <c r="A110" s="701"/>
      <c r="B110" s="701"/>
      <c r="C110" s="819"/>
      <c r="D110" s="2033"/>
      <c r="E110" s="3015" t="s">
        <v>76</v>
      </c>
      <c r="F110" s="2033"/>
      <c r="G110" s="2991"/>
      <c r="H110" s="2991"/>
      <c r="I110" s="2991"/>
      <c r="J110" s="2991"/>
      <c r="K110" s="2991"/>
      <c r="L110" s="2991"/>
      <c r="M110" s="2991"/>
      <c r="N110" s="2991"/>
      <c r="O110" s="2991"/>
      <c r="P110" s="2991"/>
      <c r="Q110" s="2991"/>
      <c r="R110" s="2991"/>
      <c r="S110" s="2991"/>
      <c r="T110" s="2991"/>
      <c r="U110" s="2991"/>
      <c r="V110" s="2991"/>
      <c r="W110" s="2991"/>
      <c r="X110" s="2998"/>
      <c r="Y110" s="2998"/>
      <c r="Z110" s="2998"/>
      <c r="AA110" s="2998"/>
      <c r="AB110" s="2998"/>
      <c r="AC110" s="2998"/>
      <c r="AD110" s="2998"/>
      <c r="AE110" s="2998"/>
      <c r="AF110" s="2998"/>
      <c r="BB110" s="3494"/>
      <c r="BC110" s="736" t="str">
        <f t="shared" si="80"/>
        <v/>
      </c>
    </row>
    <row r="111" spans="1:55" ht="12.75" customHeight="1" outlineLevel="1">
      <c r="A111" s="701"/>
      <c r="B111" s="701"/>
      <c r="C111" s="819"/>
      <c r="D111" s="2033" t="s">
        <v>1955</v>
      </c>
      <c r="E111" s="2033"/>
      <c r="F111" s="2033"/>
      <c r="G111" s="2991"/>
      <c r="H111" s="2991"/>
      <c r="I111" s="2991"/>
      <c r="J111" s="2991"/>
      <c r="K111" s="2991"/>
      <c r="L111" s="2991"/>
      <c r="M111" s="2991"/>
      <c r="N111" s="2991"/>
      <c r="O111" s="2991"/>
      <c r="P111" s="2991"/>
      <c r="Q111" s="2991"/>
      <c r="R111" s="2991"/>
      <c r="S111" s="2991"/>
      <c r="T111" s="2991"/>
      <c r="U111" s="2991"/>
      <c r="V111" s="2991"/>
      <c r="W111" s="2991"/>
      <c r="X111" s="2998"/>
      <c r="Y111" s="2998"/>
      <c r="Z111" s="2998"/>
      <c r="AA111" s="2998"/>
      <c r="AB111" s="2998"/>
      <c r="AC111" s="2998"/>
      <c r="AD111" s="2998"/>
      <c r="AE111" s="2998"/>
      <c r="AF111" s="2998"/>
      <c r="BB111" s="3494"/>
      <c r="BC111" s="736" t="str">
        <f t="shared" si="80"/>
        <v/>
      </c>
    </row>
    <row r="112" spans="1:55" ht="12.75" customHeight="1" outlineLevel="1">
      <c r="C112" s="819"/>
      <c r="D112" s="2033" t="s">
        <v>666</v>
      </c>
      <c r="E112" s="2033" t="s">
        <v>84</v>
      </c>
      <c r="F112" s="2033"/>
      <c r="G112" s="1052">
        <f>+G420</f>
        <v>63.676000000000002</v>
      </c>
      <c r="H112" s="1052">
        <f t="shared" ref="H112:R112" si="157">+H420</f>
        <v>65.768000000000001</v>
      </c>
      <c r="I112" s="1052">
        <f t="shared" si="157"/>
        <v>67.626000000000005</v>
      </c>
      <c r="J112" s="1052">
        <f t="shared" si="157"/>
        <v>70.009</v>
      </c>
      <c r="K112" s="1052">
        <f t="shared" si="157"/>
        <v>73.400000000000006</v>
      </c>
      <c r="L112" s="1052">
        <f t="shared" si="157"/>
        <v>77.602999999999994</v>
      </c>
      <c r="M112" s="1052">
        <f t="shared" si="157"/>
        <v>82.168000000000006</v>
      </c>
      <c r="N112" s="1052">
        <f t="shared" si="157"/>
        <v>85.897999999999996</v>
      </c>
      <c r="O112" s="1052">
        <f t="shared" si="157"/>
        <v>87.983999999999995</v>
      </c>
      <c r="P112" s="1052">
        <f t="shared" si="157"/>
        <v>90.686000000000007</v>
      </c>
      <c r="Q112" s="1052">
        <f>+Q420</f>
        <v>94.22</v>
      </c>
      <c r="R112" s="1052">
        <f t="shared" si="157"/>
        <v>98.067999999999998</v>
      </c>
      <c r="S112" s="1052">
        <f t="shared" ref="S112:X112" si="158">+S420</f>
        <v>102.696</v>
      </c>
      <c r="T112" s="1052">
        <f t="shared" si="158"/>
        <v>109.43899999999999</v>
      </c>
      <c r="U112" s="1052">
        <f t="shared" si="158"/>
        <v>113.994</v>
      </c>
      <c r="V112" s="1052">
        <f t="shared" si="158"/>
        <v>116.82299999999999</v>
      </c>
      <c r="W112" s="1052">
        <f t="shared" si="158"/>
        <v>120.574</v>
      </c>
      <c r="X112" s="1052">
        <f t="shared" si="158"/>
        <v>125.042</v>
      </c>
      <c r="Y112" s="1052">
        <f>+Y420</f>
        <v>127.065</v>
      </c>
      <c r="Z112" s="1052">
        <f>+Z420</f>
        <v>130.535</v>
      </c>
      <c r="AA112" s="1052">
        <f>+AA420</f>
        <v>134.07300000000001</v>
      </c>
      <c r="AB112" s="1052">
        <f>+AB420</f>
        <v>137.63200000000001</v>
      </c>
      <c r="AC112" s="1052">
        <f>+AC420</f>
        <v>143.655</v>
      </c>
      <c r="AD112" s="3006">
        <f>+AC112*(1+AD122/100)</f>
        <v>147.734802</v>
      </c>
      <c r="AE112" s="3006">
        <f>+AD112*(1+AE122/100)</f>
        <v>151.9304703768</v>
      </c>
      <c r="AF112" s="3006">
        <f>+AE112*(1+AF122/100)</f>
        <v>156.24529573550112</v>
      </c>
      <c r="BB112" s="3502">
        <v>137.14400000000001</v>
      </c>
      <c r="BC112" s="736" t="str">
        <f t="shared" si="80"/>
        <v/>
      </c>
    </row>
    <row r="113" spans="1:55" ht="12.75" customHeight="1" outlineLevel="1">
      <c r="C113" s="819"/>
      <c r="D113" s="2033" t="s">
        <v>666</v>
      </c>
      <c r="E113" s="2033" t="s">
        <v>83</v>
      </c>
      <c r="F113" s="2033"/>
      <c r="G113" s="1052">
        <f t="shared" ref="G113:V113" si="159">+G109-G112</f>
        <v>1.8169999999999789</v>
      </c>
      <c r="H113" s="1052">
        <f t="shared" si="159"/>
        <v>0.6910000000000025</v>
      </c>
      <c r="I113" s="1052">
        <f t="shared" si="159"/>
        <v>0.62400000000000944</v>
      </c>
      <c r="J113" s="1052">
        <f t="shared" si="159"/>
        <v>0.42600000000001614</v>
      </c>
      <c r="K113" s="1052">
        <f t="shared" si="159"/>
        <v>-1.6840000000000401</v>
      </c>
      <c r="L113" s="1052">
        <f t="shared" si="159"/>
        <v>-2.3869999999999862</v>
      </c>
      <c r="M113" s="1052">
        <f t="shared" si="159"/>
        <v>-2.7479999999999762</v>
      </c>
      <c r="N113" s="1052">
        <f t="shared" si="159"/>
        <v>-1.6949999999999648</v>
      </c>
      <c r="O113" s="1052">
        <f t="shared" si="159"/>
        <v>-1.534000000000006</v>
      </c>
      <c r="P113" s="1052">
        <f t="shared" si="159"/>
        <v>-1.2940000000000396</v>
      </c>
      <c r="Q113" s="1052">
        <f t="shared" si="159"/>
        <v>-2.6499999999999346</v>
      </c>
      <c r="R113" s="1052">
        <f t="shared" si="159"/>
        <v>-3.4060000000000343</v>
      </c>
      <c r="S113" s="1052">
        <f t="shared" si="159"/>
        <v>-3.7659999999999343</v>
      </c>
      <c r="T113" s="1052">
        <f t="shared" si="159"/>
        <v>-4.5449999999999307</v>
      </c>
      <c r="U113" s="1052">
        <f t="shared" si="159"/>
        <v>-4.3969999999999487</v>
      </c>
      <c r="V113" s="1052">
        <f t="shared" si="159"/>
        <v>-4.605000000000004</v>
      </c>
      <c r="W113" s="1052">
        <f>+W109-W112</f>
        <v>-5.5460000000000633</v>
      </c>
      <c r="X113" s="1052">
        <f t="shared" ref="X113:AB113" si="160">+X109-X112</f>
        <v>-4.6220000000000709</v>
      </c>
      <c r="Y113" s="1052">
        <f t="shared" si="160"/>
        <v>-4.0990000000000322</v>
      </c>
      <c r="Z113" s="1052">
        <f t="shared" si="160"/>
        <v>-4.6200000000000472</v>
      </c>
      <c r="AA113" s="1052">
        <f t="shared" si="160"/>
        <v>-3.2699999999999818</v>
      </c>
      <c r="AB113" s="1052">
        <f t="shared" si="160"/>
        <v>-4.4939999999999145</v>
      </c>
      <c r="AC113" s="1052">
        <f t="shared" ref="AC113" si="161">+AC109-AC112</f>
        <v>-4.7939999999999827</v>
      </c>
      <c r="AD113" s="3006">
        <f t="shared" ref="AD113" si="162">+AD109-AD112</f>
        <v>-4.9301495999999929</v>
      </c>
      <c r="AE113" s="3006">
        <f t="shared" ref="AE113:AF113" si="163">+AE109-AE112</f>
        <v>-5.0701658486399879</v>
      </c>
      <c r="AF113" s="3006">
        <f t="shared" si="163"/>
        <v>-5.2141585587413601</v>
      </c>
      <c r="BB113" s="3502">
        <v>-3.2910000000000252</v>
      </c>
      <c r="BC113" s="736">
        <f t="shared" si="80"/>
        <v>-1.2029999999998893</v>
      </c>
    </row>
    <row r="114" spans="1:55" ht="12.75" customHeight="1" outlineLevel="1">
      <c r="A114" s="2014">
        <f>+ROW(InputY!A106)</f>
        <v>106</v>
      </c>
      <c r="B114" s="701"/>
      <c r="C114" s="821" t="s">
        <v>1793</v>
      </c>
      <c r="D114" s="789"/>
      <c r="E114" s="790" t="s">
        <v>1261</v>
      </c>
      <c r="F114" s="791" t="s">
        <v>167</v>
      </c>
      <c r="G114" s="822">
        <f>+InputY!G106/1000</f>
        <v>716.99900000000002</v>
      </c>
      <c r="H114" s="822">
        <f>+InputY!H106/1000</f>
        <v>683.68399999999997</v>
      </c>
      <c r="I114" s="822">
        <f>+InputY!I106/1000</f>
        <v>713.98099999999999</v>
      </c>
      <c r="J114" s="822">
        <f>+InputY!J106/1000</f>
        <v>735.24900000000002</v>
      </c>
      <c r="K114" s="822">
        <f>+InputY!K106/1000</f>
        <v>770.52700000000004</v>
      </c>
      <c r="L114" s="822">
        <f>+InputY!L106/1000</f>
        <v>814.97699999999998</v>
      </c>
      <c r="M114" s="822">
        <f>+InputY!M106/1000</f>
        <v>814.5</v>
      </c>
      <c r="N114" s="822">
        <f>+InputY!N106/1000</f>
        <v>844.57500000000005</v>
      </c>
      <c r="O114" s="822">
        <f>+InputY!O106/1000</f>
        <v>891.01400000000001</v>
      </c>
      <c r="P114" s="822">
        <f>+InputY!P106/1000</f>
        <v>960.43</v>
      </c>
      <c r="Q114" s="822">
        <f>+InputY!Q106/1000</f>
        <v>995.55100000000004</v>
      </c>
      <c r="R114" s="822">
        <f>+InputY!R106/1000</f>
        <v>1100.002</v>
      </c>
      <c r="S114" s="822">
        <f>+InputY!S106/1000</f>
        <v>1149.7329999999999</v>
      </c>
      <c r="T114" s="822">
        <f>+InputY!T106/1000</f>
        <v>1137.556</v>
      </c>
      <c r="U114" s="822">
        <f>+InputY!U106/1000</f>
        <v>1052.171</v>
      </c>
      <c r="V114" s="822">
        <f>+InputY!V106/1000</f>
        <v>1202.0909999999999</v>
      </c>
      <c r="W114" s="822">
        <f>+InputY!W106/1000</f>
        <v>1231.5530000000001</v>
      </c>
      <c r="X114" s="822">
        <f>+InputY!X106/1000</f>
        <v>1178.7049999999999</v>
      </c>
      <c r="Y114" s="822">
        <f>+InputY!Y106/1000</f>
        <v>1193.614</v>
      </c>
      <c r="Z114" s="822">
        <f>+InputY!Z106/1000</f>
        <v>1269.384</v>
      </c>
      <c r="AA114" s="822">
        <f>+InputY!AA106/1000</f>
        <v>1386.508</v>
      </c>
      <c r="AB114" s="822">
        <f>+InputY!AB106/1000</f>
        <v>1406.8430000000001</v>
      </c>
      <c r="AC114" s="822">
        <f>+InputY!AC106/1000</f>
        <v>1463.3409999999999</v>
      </c>
      <c r="AD114" s="2296">
        <f ca="1">+AD107+AD108+AD109</f>
        <v>1548.6688035482889</v>
      </c>
      <c r="AE114" s="2296">
        <f ca="1">+AE107+AE108+AE109</f>
        <v>1613.8686553398641</v>
      </c>
      <c r="AF114" s="2296">
        <f ca="1">+AF107+AF108+AF109</f>
        <v>1680.0897540600408</v>
      </c>
      <c r="BB114" s="3473">
        <v>1423.307</v>
      </c>
      <c r="BC114" s="736">
        <f t="shared" si="80"/>
        <v>-16.463999999999942</v>
      </c>
    </row>
    <row r="115" spans="1:55" s="2032" customFormat="1" ht="12.75" customHeight="1" outlineLevel="1">
      <c r="A115" s="1036"/>
      <c r="B115" s="1036"/>
      <c r="C115" s="1647"/>
      <c r="D115" s="1051"/>
      <c r="E115" s="2033" t="s">
        <v>90</v>
      </c>
      <c r="F115" s="2034"/>
      <c r="G115" s="1040">
        <f t="shared" ref="G115:V115" si="164">ABS(+G107+G108+G109-G114)</f>
        <v>3.4530000000000882</v>
      </c>
      <c r="H115" s="1040">
        <f t="shared" si="164"/>
        <v>4.7980000000000018</v>
      </c>
      <c r="I115" s="1040">
        <f t="shared" si="164"/>
        <v>2.2740000000001146</v>
      </c>
      <c r="J115" s="1040">
        <f t="shared" si="164"/>
        <v>3.3529999999999518</v>
      </c>
      <c r="K115" s="1040">
        <f t="shared" si="164"/>
        <v>6.039000000000101</v>
      </c>
      <c r="L115" s="1040">
        <f t="shared" si="164"/>
        <v>8.1659999999998263</v>
      </c>
      <c r="M115" s="1040">
        <f t="shared" si="164"/>
        <v>10.508999999999901</v>
      </c>
      <c r="N115" s="1040">
        <f t="shared" si="164"/>
        <v>10.249000000000024</v>
      </c>
      <c r="O115" s="1040">
        <f t="shared" si="164"/>
        <v>10.484999999999786</v>
      </c>
      <c r="P115" s="1040">
        <f t="shared" si="164"/>
        <v>11.424999999999955</v>
      </c>
      <c r="Q115" s="1040">
        <f t="shared" si="164"/>
        <v>11.27800000000002</v>
      </c>
      <c r="R115" s="1040">
        <f t="shared" si="164"/>
        <v>13.490000000000009</v>
      </c>
      <c r="S115" s="1040">
        <f t="shared" si="164"/>
        <v>12.186999999999898</v>
      </c>
      <c r="T115" s="1040">
        <f t="shared" si="164"/>
        <v>3.334999999999809</v>
      </c>
      <c r="U115" s="1040">
        <f t="shared" si="164"/>
        <v>5.3080000000002201</v>
      </c>
      <c r="V115" s="1040">
        <f t="shared" si="164"/>
        <v>2.9609999999997854</v>
      </c>
      <c r="W115" s="1040">
        <f t="shared" ref="W115:AA115" si="165">ABS(+W107+W108+W109-W114)</f>
        <v>6.7049999999999272</v>
      </c>
      <c r="X115" s="1040">
        <f t="shared" si="165"/>
        <v>4.3720000000000709</v>
      </c>
      <c r="Y115" s="1040">
        <f t="shared" si="165"/>
        <v>2.7730000000001382</v>
      </c>
      <c r="Z115" s="2999">
        <f t="shared" si="165"/>
        <v>3.2390000000002601</v>
      </c>
      <c r="AA115" s="2999">
        <f t="shared" si="165"/>
        <v>2.0969999999997526</v>
      </c>
      <c r="AB115" s="2999">
        <f t="shared" ref="AB115" si="166">ABS(+AB107+AB108+AB109-AB114)</f>
        <v>0.25499999999965439</v>
      </c>
      <c r="AC115" s="2999">
        <f>ABS(+AC107+AC108+AC109-AC114)</f>
        <v>0.35000000000013642</v>
      </c>
      <c r="AD115" s="2999">
        <f ca="1">ABS(+AD107+AD108+AD109-AD114)</f>
        <v>0</v>
      </c>
      <c r="AE115" s="2999">
        <f ca="1">ABS(+AE107+AE108+AE109-AE114)</f>
        <v>0</v>
      </c>
      <c r="AF115" s="2999">
        <f ca="1">ABS(+AF107+AF108+AF109-AF114)</f>
        <v>0</v>
      </c>
      <c r="AG115" s="2940"/>
      <c r="AH115" s="2939"/>
      <c r="AI115" s="2939"/>
      <c r="AJ115" s="2939"/>
      <c r="AK115" s="2939"/>
      <c r="AL115" s="2939"/>
      <c r="AM115" s="2939"/>
      <c r="AN115" s="2940"/>
      <c r="AO115" s="2940"/>
      <c r="AP115" s="2940"/>
      <c r="AQ115" s="2940"/>
      <c r="AR115" s="2940"/>
      <c r="AS115" s="2940"/>
      <c r="AT115" s="2940"/>
      <c r="BB115" s="3496">
        <v>2.5790000000001783</v>
      </c>
      <c r="BC115" s="736">
        <f t="shared" si="80"/>
        <v>-2.3240000000005239</v>
      </c>
    </row>
    <row r="116" spans="1:55" ht="12.75" customHeight="1" outlineLevel="1">
      <c r="A116" s="701"/>
      <c r="B116" s="701"/>
      <c r="C116" s="811"/>
      <c r="E116" s="823"/>
      <c r="F116" s="824"/>
      <c r="G116" s="740"/>
      <c r="H116" s="825"/>
      <c r="I116" s="740"/>
      <c r="J116" s="740"/>
      <c r="K116" s="740"/>
      <c r="L116" s="740"/>
      <c r="M116" s="740"/>
      <c r="N116" s="740"/>
      <c r="O116" s="740"/>
      <c r="P116" s="740"/>
      <c r="Q116" s="740"/>
      <c r="R116" s="2322"/>
      <c r="S116" s="2322"/>
      <c r="T116" s="2322"/>
      <c r="U116" s="2322"/>
      <c r="V116" s="2322"/>
      <c r="W116" s="2322"/>
      <c r="X116" s="2322"/>
      <c r="Y116" s="2322"/>
      <c r="Z116" s="2322"/>
      <c r="AA116" s="2322"/>
      <c r="AB116" s="2322"/>
      <c r="AC116" s="2322"/>
      <c r="AD116" s="2322"/>
      <c r="AE116" s="2322"/>
      <c r="AF116" s="2322"/>
      <c r="AH116" s="2940"/>
      <c r="AI116" s="2940"/>
      <c r="AJ116" s="2940"/>
      <c r="AK116" s="2940"/>
      <c r="AL116" s="2940"/>
      <c r="AM116" s="2940"/>
      <c r="BB116" s="3475"/>
      <c r="BC116" s="736" t="str">
        <f t="shared" si="80"/>
        <v/>
      </c>
    </row>
    <row r="117" spans="1:55" ht="12.75" customHeight="1" outlineLevel="1">
      <c r="A117" s="701"/>
      <c r="B117" s="701"/>
      <c r="C117" s="811"/>
      <c r="D117" s="779"/>
      <c r="E117" s="780" t="s">
        <v>1883</v>
      </c>
      <c r="F117" s="781"/>
      <c r="G117" s="782">
        <f>+InputY!$G$3</f>
        <v>1995</v>
      </c>
      <c r="H117" s="782">
        <f>+G117+1</f>
        <v>1996</v>
      </c>
      <c r="I117" s="782">
        <f t="shared" ref="I117:O117" si="167">+H117+1</f>
        <v>1997</v>
      </c>
      <c r="J117" s="782">
        <f t="shared" si="167"/>
        <v>1998</v>
      </c>
      <c r="K117" s="782">
        <f t="shared" si="167"/>
        <v>1999</v>
      </c>
      <c r="L117" s="782">
        <f t="shared" si="167"/>
        <v>2000</v>
      </c>
      <c r="M117" s="782">
        <f t="shared" si="167"/>
        <v>2001</v>
      </c>
      <c r="N117" s="782">
        <f t="shared" si="167"/>
        <v>2002</v>
      </c>
      <c r="O117" s="782">
        <f t="shared" si="167"/>
        <v>2003</v>
      </c>
      <c r="P117" s="782">
        <f>+O117+1</f>
        <v>2004</v>
      </c>
      <c r="Q117" s="782">
        <f>+P117+1</f>
        <v>2005</v>
      </c>
      <c r="R117" s="782">
        <f>+Q117+1</f>
        <v>2006</v>
      </c>
      <c r="S117" s="782">
        <f>+R117+1</f>
        <v>2007</v>
      </c>
      <c r="T117" s="782">
        <f t="shared" ref="T117:AF117" si="168">+S117+1</f>
        <v>2008</v>
      </c>
      <c r="U117" s="782">
        <f t="shared" si="168"/>
        <v>2009</v>
      </c>
      <c r="V117" s="782">
        <f t="shared" si="168"/>
        <v>2010</v>
      </c>
      <c r="W117" s="782">
        <f t="shared" si="168"/>
        <v>2011</v>
      </c>
      <c r="X117" s="2272">
        <f t="shared" si="168"/>
        <v>2012</v>
      </c>
      <c r="Y117" s="2272">
        <f t="shared" si="168"/>
        <v>2013</v>
      </c>
      <c r="Z117" s="2272">
        <f t="shared" si="168"/>
        <v>2014</v>
      </c>
      <c r="AA117" s="2272">
        <f t="shared" si="168"/>
        <v>2015</v>
      </c>
      <c r="AB117" s="2272">
        <f t="shared" si="168"/>
        <v>2016</v>
      </c>
      <c r="AC117" s="2272">
        <f t="shared" si="168"/>
        <v>2017</v>
      </c>
      <c r="AD117" s="2272">
        <f t="shared" si="168"/>
        <v>2018</v>
      </c>
      <c r="AE117" s="2272">
        <f t="shared" si="168"/>
        <v>2019</v>
      </c>
      <c r="AF117" s="2272">
        <f t="shared" si="168"/>
        <v>2020</v>
      </c>
      <c r="AH117" s="3458" t="s">
        <v>2490</v>
      </c>
      <c r="AI117" s="2944"/>
      <c r="BB117" s="3476">
        <v>2016</v>
      </c>
      <c r="BC117" s="736" t="str">
        <f t="shared" si="80"/>
        <v/>
      </c>
    </row>
    <row r="118" spans="1:55" ht="12.75" customHeight="1" outlineLevel="1">
      <c r="A118" s="701"/>
      <c r="B118" s="701"/>
      <c r="C118" s="831" t="s">
        <v>1791</v>
      </c>
      <c r="D118" s="726" t="s">
        <v>664</v>
      </c>
      <c r="E118" s="775" t="s">
        <v>1261</v>
      </c>
      <c r="F118" s="770" t="s">
        <v>52</v>
      </c>
      <c r="G118" s="776"/>
      <c r="H118" s="776">
        <f t="shared" ref="H118:P118" si="169">(H107/G107-1)*100</f>
        <v>-0.79557819942782659</v>
      </c>
      <c r="I118" s="776">
        <f t="shared" si="169"/>
        <v>0.54844075750200005</v>
      </c>
      <c r="J118" s="776">
        <f t="shared" si="169"/>
        <v>1.8010663353032363</v>
      </c>
      <c r="K118" s="776">
        <f t="shared" si="169"/>
        <v>1.7166864190872433</v>
      </c>
      <c r="L118" s="776">
        <f t="shared" si="169"/>
        <v>8.4232191446312434</v>
      </c>
      <c r="M118" s="776">
        <f t="shared" si="169"/>
        <v>3.8416246790602626</v>
      </c>
      <c r="N118" s="776">
        <f t="shared" si="169"/>
        <v>5.3305075818135483</v>
      </c>
      <c r="O118" s="776">
        <f t="shared" si="169"/>
        <v>1.7990881011913373</v>
      </c>
      <c r="P118" s="776">
        <f t="shared" si="169"/>
        <v>0.13754601723370286</v>
      </c>
      <c r="Q118" s="776">
        <f t="shared" ref="Q118:AC120" si="170">(Q107/P107-1)*100</f>
        <v>4.290389043752274</v>
      </c>
      <c r="R118" s="776">
        <f t="shared" si="170"/>
        <v>6.7286461359674643</v>
      </c>
      <c r="S118" s="776">
        <f t="shared" si="170"/>
        <v>10.077567612410832</v>
      </c>
      <c r="T118" s="776">
        <f t="shared" si="170"/>
        <v>-3.4427696655676132</v>
      </c>
      <c r="U118" s="776">
        <f t="shared" si="170"/>
        <v>-4.4855627808049974</v>
      </c>
      <c r="V118" s="776">
        <f t="shared" si="170"/>
        <v>7.206990949764025</v>
      </c>
      <c r="W118" s="776">
        <f t="shared" si="170"/>
        <v>1.4458784128209334</v>
      </c>
      <c r="X118" s="776">
        <f t="shared" si="170"/>
        <v>-4.8224399132158036</v>
      </c>
      <c r="Y118" s="776">
        <f t="shared" si="170"/>
        <v>0.80030393787036136</v>
      </c>
      <c r="Z118" s="776">
        <f t="shared" si="170"/>
        <v>3.3564208619887959</v>
      </c>
      <c r="AA118" s="776">
        <f t="shared" si="170"/>
        <v>-1.5230734257785761</v>
      </c>
      <c r="AB118" s="776">
        <f t="shared" si="170"/>
        <v>4.7043321021852602</v>
      </c>
      <c r="AC118" s="776">
        <f t="shared" si="170"/>
        <v>7.2479078440919498</v>
      </c>
      <c r="AD118" s="2274">
        <f>AH119</f>
        <v>3.88</v>
      </c>
      <c r="AE118" s="2274">
        <f>AI119</f>
        <v>3.88</v>
      </c>
      <c r="AF118" s="2274">
        <f>AJ119</f>
        <v>3.88</v>
      </c>
      <c r="AH118" s="3624">
        <v>2018</v>
      </c>
      <c r="AI118" s="3624">
        <v>2019</v>
      </c>
      <c r="AJ118" s="3624">
        <v>2019</v>
      </c>
      <c r="BB118" s="3477">
        <v>9.8078254847645105</v>
      </c>
      <c r="BC118" s="736">
        <f t="shared" si="80"/>
        <v>-5.1034933825792503</v>
      </c>
    </row>
    <row r="119" spans="1:55" ht="12.75" customHeight="1" outlineLevel="1">
      <c r="A119" s="701"/>
      <c r="B119" s="701"/>
      <c r="C119" s="832" t="s">
        <v>1791</v>
      </c>
      <c r="D119" s="711" t="s">
        <v>665</v>
      </c>
      <c r="E119" s="3412" t="s">
        <v>1261</v>
      </c>
      <c r="F119" s="741" t="s">
        <v>1210</v>
      </c>
      <c r="G119" s="743"/>
      <c r="H119" s="743">
        <f t="shared" ref="H119:P120" si="171">(H108/G108-1)*100</f>
        <v>-6.7785095211727819</v>
      </c>
      <c r="I119" s="743">
        <f t="shared" si="171"/>
        <v>6.3768524993470077</v>
      </c>
      <c r="J119" s="743">
        <f t="shared" si="171"/>
        <v>3.0712479630286449</v>
      </c>
      <c r="K119" s="743">
        <f t="shared" si="171"/>
        <v>5.550283354144625</v>
      </c>
      <c r="L119" s="743">
        <f t="shared" si="171"/>
        <v>4.8685757550387843</v>
      </c>
      <c r="M119" s="743">
        <f t="shared" si="171"/>
        <v>-2.2551510607575542</v>
      </c>
      <c r="N119" s="743">
        <f t="shared" si="171"/>
        <v>3.0095987556774118</v>
      </c>
      <c r="O119" s="743">
        <f t="shared" si="171"/>
        <v>7.0495804518847072</v>
      </c>
      <c r="P119" s="743">
        <f t="shared" si="171"/>
        <v>10.513874978665005</v>
      </c>
      <c r="Q119" s="743">
        <f t="shared" si="170"/>
        <v>3.7380781010050157</v>
      </c>
      <c r="R119" s="743">
        <f t="shared" si="170"/>
        <v>12.217450049016975</v>
      </c>
      <c r="S119" s="743">
        <f t="shared" si="170"/>
        <v>3.42058559223819</v>
      </c>
      <c r="T119" s="743">
        <f t="shared" si="170"/>
        <v>-0.23961777334577938</v>
      </c>
      <c r="U119" s="743">
        <f t="shared" si="170"/>
        <v>-10.052454339007433</v>
      </c>
      <c r="V119" s="743">
        <f t="shared" si="170"/>
        <v>18.279229098952122</v>
      </c>
      <c r="W119" s="743">
        <f t="shared" si="170"/>
        <v>2.2660076054298539</v>
      </c>
      <c r="X119" s="743">
        <f t="shared" si="170"/>
        <v>-5.0885404703872927</v>
      </c>
      <c r="Y119" s="743">
        <f t="shared" si="170"/>
        <v>1.4496499224660342</v>
      </c>
      <c r="Z119" s="743">
        <f t="shared" si="170"/>
        <v>7.5844739340883205</v>
      </c>
      <c r="AA119" s="743">
        <f t="shared" si="170"/>
        <v>12.549430725945543</v>
      </c>
      <c r="AB119" s="743">
        <f t="shared" si="170"/>
        <v>0.96206076092693049</v>
      </c>
      <c r="AC119" s="743">
        <f t="shared" si="170"/>
        <v>3.3720679111743923</v>
      </c>
      <c r="AD119" s="874">
        <f ca="1">(AD108/AC108-1)*100</f>
        <v>6.5950992684434162</v>
      </c>
      <c r="AE119" s="874">
        <f ca="1">(AE108/AD108-1)*100</f>
        <v>4.4470621631447216</v>
      </c>
      <c r="AF119" s="874">
        <f ca="1">(AF108/AE108-1)*100</f>
        <v>4.3022366869294171</v>
      </c>
      <c r="AH119" s="3460">
        <v>3.88</v>
      </c>
      <c r="AI119" s="3460">
        <v>3.88</v>
      </c>
      <c r="AJ119" s="3460">
        <v>3.88</v>
      </c>
      <c r="BB119" s="3472">
        <v>1.3942675641218427</v>
      </c>
      <c r="BC119" s="736" t="str">
        <f t="shared" si="80"/>
        <v/>
      </c>
    </row>
    <row r="120" spans="1:55" ht="12.75" customHeight="1" outlineLevel="1">
      <c r="A120" s="701"/>
      <c r="B120" s="701"/>
      <c r="C120" s="832" t="s">
        <v>1791</v>
      </c>
      <c r="D120" s="711" t="s">
        <v>666</v>
      </c>
      <c r="E120" s="820" t="s">
        <v>1261</v>
      </c>
      <c r="F120" s="741" t="s">
        <v>2033</v>
      </c>
      <c r="G120" s="743"/>
      <c r="H120" s="743">
        <f>(H109/G109-1)*100</f>
        <v>1.4749667903440455</v>
      </c>
      <c r="I120" s="743">
        <f t="shared" si="171"/>
        <v>2.6948945966686289</v>
      </c>
      <c r="J120" s="743">
        <f t="shared" si="171"/>
        <v>3.2014652014652034</v>
      </c>
      <c r="K120" s="743">
        <f t="shared" si="171"/>
        <v>1.8186980904379091</v>
      </c>
      <c r="L120" s="743">
        <f t="shared" si="171"/>
        <v>4.8803614256233585</v>
      </c>
      <c r="M120" s="743">
        <f t="shared" si="171"/>
        <v>5.589236332695191</v>
      </c>
      <c r="N120" s="743">
        <f t="shared" si="171"/>
        <v>6.0224124905565279</v>
      </c>
      <c r="O120" s="743">
        <f t="shared" si="171"/>
        <v>2.6685510017457226</v>
      </c>
      <c r="P120" s="743">
        <f>(P109/O109-1)*100</f>
        <v>3.4031231925968575</v>
      </c>
      <c r="Q120" s="743">
        <f t="shared" si="170"/>
        <v>2.4364596384464976</v>
      </c>
      <c r="R120" s="743">
        <f t="shared" si="170"/>
        <v>3.3766517418367448</v>
      </c>
      <c r="S120" s="743">
        <f t="shared" si="170"/>
        <v>4.5086729627517919</v>
      </c>
      <c r="T120" s="743">
        <f t="shared" si="170"/>
        <v>6.0285050035378429</v>
      </c>
      <c r="U120" s="743">
        <f t="shared" si="170"/>
        <v>4.4835738936449987</v>
      </c>
      <c r="V120" s="743">
        <f t="shared" si="170"/>
        <v>2.3914888181245209</v>
      </c>
      <c r="W120" s="743">
        <f t="shared" si="170"/>
        <v>2.5040546079950987</v>
      </c>
      <c r="X120" s="743">
        <f t="shared" si="170"/>
        <v>4.6875543345967996</v>
      </c>
      <c r="Y120" s="743">
        <f t="shared" si="170"/>
        <v>2.1142667331008447</v>
      </c>
      <c r="Z120" s="743">
        <f t="shared" si="170"/>
        <v>2.3982238992892313</v>
      </c>
      <c r="AA120" s="743">
        <f t="shared" si="170"/>
        <v>3.8819838780130178</v>
      </c>
      <c r="AB120" s="743">
        <f t="shared" si="170"/>
        <v>1.7851272524330941</v>
      </c>
      <c r="AC120" s="743">
        <f t="shared" si="170"/>
        <v>4.2985473718997858</v>
      </c>
      <c r="AD120" s="2276">
        <v>2.84</v>
      </c>
      <c r="AE120" s="2276">
        <v>2.84</v>
      </c>
      <c r="AF120" s="2276">
        <v>2.84</v>
      </c>
      <c r="AH120" s="3459"/>
      <c r="AI120" s="3459"/>
      <c r="AJ120" s="3459"/>
      <c r="BB120" s="3472">
        <v>3.0415236101061005</v>
      </c>
      <c r="BC120" s="736">
        <f t="shared" si="80"/>
        <v>-1.2563963576730064</v>
      </c>
    </row>
    <row r="121" spans="1:55" ht="12.75" customHeight="1" outlineLevel="1">
      <c r="A121" s="701"/>
      <c r="B121" s="701"/>
      <c r="C121" s="832"/>
      <c r="D121" s="2993" t="s">
        <v>1955</v>
      </c>
      <c r="E121" s="2993"/>
      <c r="F121" s="2993"/>
      <c r="G121" s="2994"/>
      <c r="H121" s="2994"/>
      <c r="I121" s="2994"/>
      <c r="J121" s="2994"/>
      <c r="K121" s="2994"/>
      <c r="L121" s="2994"/>
      <c r="M121" s="2994"/>
      <c r="N121" s="2994"/>
      <c r="O121" s="2994"/>
      <c r="P121" s="2994"/>
      <c r="Q121" s="2994"/>
      <c r="R121" s="2994"/>
      <c r="S121" s="2994"/>
      <c r="T121" s="2994"/>
      <c r="U121" s="2994"/>
      <c r="V121" s="2994"/>
      <c r="W121" s="2994"/>
      <c r="X121" s="3007"/>
      <c r="Y121" s="3007"/>
      <c r="Z121" s="3007"/>
      <c r="AA121" s="3007"/>
      <c r="AB121" s="3007"/>
      <c r="AC121" s="3007"/>
      <c r="AD121" s="3007"/>
      <c r="AE121" s="3007"/>
      <c r="AF121" s="3007"/>
      <c r="AH121" s="1084">
        <f>AVERAGE(AA120:AC120)</f>
        <v>3.3218861674486324</v>
      </c>
      <c r="AI121" s="1084">
        <f>AVERAGE(AB120:AD120)</f>
        <v>2.9745582081109596</v>
      </c>
      <c r="AJ121" s="1084">
        <f>AVERAGE(AC120:AE120)</f>
        <v>3.3261824572999288</v>
      </c>
      <c r="BB121" s="3503"/>
      <c r="BC121" s="736" t="str">
        <f t="shared" si="80"/>
        <v/>
      </c>
    </row>
    <row r="122" spans="1:55" ht="12.75" customHeight="1" outlineLevel="1">
      <c r="A122" s="701"/>
      <c r="B122" s="701"/>
      <c r="C122" s="832"/>
      <c r="D122" s="2993" t="s">
        <v>666</v>
      </c>
      <c r="E122" s="2993" t="s">
        <v>84</v>
      </c>
      <c r="F122" s="2993"/>
      <c r="G122" s="1043"/>
      <c r="H122" s="1043">
        <f t="shared" ref="H122:Y124" si="172">(H112/G112-1)*100</f>
        <v>3.285382247628621</v>
      </c>
      <c r="I122" s="1043">
        <f t="shared" si="172"/>
        <v>2.825082106799659</v>
      </c>
      <c r="J122" s="1043">
        <f t="shared" si="172"/>
        <v>3.5237926241386441</v>
      </c>
      <c r="K122" s="1043">
        <f t="shared" si="172"/>
        <v>4.8436629576197321</v>
      </c>
      <c r="L122" s="1043">
        <f t="shared" si="172"/>
        <v>5.7261580381471333</v>
      </c>
      <c r="M122" s="1043">
        <f t="shared" si="172"/>
        <v>5.8825045423501754</v>
      </c>
      <c r="N122" s="1043">
        <f t="shared" si="172"/>
        <v>4.5394800895725673</v>
      </c>
      <c r="O122" s="1043">
        <f t="shared" si="172"/>
        <v>2.4284616638338585</v>
      </c>
      <c r="P122" s="1043">
        <f t="shared" si="172"/>
        <v>3.0710129114384532</v>
      </c>
      <c r="Q122" s="1043">
        <f t="shared" si="172"/>
        <v>3.8969631475641142</v>
      </c>
      <c r="R122" s="1043">
        <f t="shared" si="172"/>
        <v>4.0840585862874201</v>
      </c>
      <c r="S122" s="1043">
        <f t="shared" si="172"/>
        <v>4.7191744503813693</v>
      </c>
      <c r="T122" s="1043">
        <f t="shared" si="172"/>
        <v>6.5659811482433605</v>
      </c>
      <c r="U122" s="1043">
        <f t="shared" si="172"/>
        <v>4.1621359844296935</v>
      </c>
      <c r="V122" s="1043">
        <f t="shared" si="172"/>
        <v>2.4817095636612496</v>
      </c>
      <c r="W122" s="1043">
        <f t="shared" si="172"/>
        <v>3.2108403310991962</v>
      </c>
      <c r="X122" s="1043">
        <f t="shared" si="172"/>
        <v>3.7056081742332436</v>
      </c>
      <c r="Y122" s="1043">
        <f t="shared" si="172"/>
        <v>1.6178564002495177</v>
      </c>
      <c r="Z122" s="1043">
        <f>(Z112/Y112-1)*100</f>
        <v>2.7308857671270559</v>
      </c>
      <c r="AA122" s="1043">
        <f>(AA112/Z112-1)*100</f>
        <v>2.7103841881487734</v>
      </c>
      <c r="AB122" s="1043">
        <f>(AB112/AA112-1)*100</f>
        <v>2.6545240279549187</v>
      </c>
      <c r="AC122" s="1043">
        <f>(AC112/AB112-1)*100</f>
        <v>4.3761625203440957</v>
      </c>
      <c r="AD122" s="2327">
        <f>+AD120</f>
        <v>2.84</v>
      </c>
      <c r="AE122" s="2327">
        <f>+AE120</f>
        <v>2.84</v>
      </c>
      <c r="AF122" s="2327">
        <f>+AF120</f>
        <v>2.84</v>
      </c>
      <c r="BB122" s="3504">
        <v>3.1716417910447881</v>
      </c>
      <c r="BC122" s="736" t="str">
        <f t="shared" si="80"/>
        <v/>
      </c>
    </row>
    <row r="123" spans="1:55" ht="12.75" customHeight="1" outlineLevel="1">
      <c r="A123" s="701"/>
      <c r="B123" s="701"/>
      <c r="C123" s="833"/>
      <c r="D123" s="2995" t="s">
        <v>666</v>
      </c>
      <c r="E123" s="2995" t="s">
        <v>83</v>
      </c>
      <c r="F123" s="2995"/>
      <c r="G123" s="2996"/>
      <c r="H123" s="2996">
        <f t="shared" ref="H123:W123" si="173">(H113/G113-1)*100</f>
        <v>-61.970280682443011</v>
      </c>
      <c r="I123" s="2996">
        <f t="shared" si="173"/>
        <v>-9.6960926193911501</v>
      </c>
      <c r="J123" s="2996">
        <f t="shared" si="173"/>
        <v>-31.730769230767674</v>
      </c>
      <c r="K123" s="2996">
        <f t="shared" si="173"/>
        <v>-495.30516431924332</v>
      </c>
      <c r="L123" s="2996">
        <f t="shared" si="173"/>
        <v>41.745843230399601</v>
      </c>
      <c r="M123" s="2996">
        <f t="shared" si="173"/>
        <v>15.12358609132769</v>
      </c>
      <c r="N123" s="2996">
        <f t="shared" si="173"/>
        <v>-38.318777292577167</v>
      </c>
      <c r="O123" s="2996">
        <f t="shared" si="173"/>
        <v>-9.4985250737440801</v>
      </c>
      <c r="P123" s="2996">
        <f t="shared" si="173"/>
        <v>-15.645371577572719</v>
      </c>
      <c r="Q123" s="2996">
        <f t="shared" si="173"/>
        <v>104.79134466768576</v>
      </c>
      <c r="R123" s="2996">
        <f t="shared" si="173"/>
        <v>28.528301886796914</v>
      </c>
      <c r="S123" s="2996">
        <f t="shared" si="173"/>
        <v>10.569583088664025</v>
      </c>
      <c r="T123" s="2996">
        <f t="shared" si="173"/>
        <v>20.685077004779863</v>
      </c>
      <c r="U123" s="2996">
        <f t="shared" si="173"/>
        <v>-3.2563256325629064</v>
      </c>
      <c r="V123" s="2996">
        <f t="shared" si="173"/>
        <v>4.7304980668650742</v>
      </c>
      <c r="W123" s="2996">
        <f t="shared" si="173"/>
        <v>20.434310532031663</v>
      </c>
      <c r="X123" s="2996">
        <f t="shared" si="172"/>
        <v>-16.660656328885359</v>
      </c>
      <c r="Y123" s="2996">
        <f t="shared" si="172"/>
        <v>-11.31544785807076</v>
      </c>
      <c r="Z123" s="2996">
        <f t="shared" ref="Z123:Z124" si="174">(Z113/Y113-1)*100</f>
        <v>12.710417174920984</v>
      </c>
      <c r="AA123" s="2996">
        <f t="shared" ref="AA123:AA124" si="175">(AA113/Z113-1)*100</f>
        <v>-29.220779220780337</v>
      </c>
      <c r="AB123" s="2996">
        <f t="shared" ref="AB123:AB124" si="176">(AB113/AA113-1)*100</f>
        <v>37.431192660548618</v>
      </c>
      <c r="AC123" s="2996">
        <f t="shared" ref="AC123:AC124" si="177">(AC113/AB113-1)*100</f>
        <v>6.675567423232609</v>
      </c>
      <c r="AD123" s="3008">
        <f t="shared" ref="AD123:AF124" si="178">(AD113/AC113-1)*100</f>
        <v>2.8400000000002201</v>
      </c>
      <c r="AE123" s="3008">
        <f t="shared" si="178"/>
        <v>2.8399999999999093</v>
      </c>
      <c r="AF123" s="3008">
        <f t="shared" si="178"/>
        <v>2.8399999999999315</v>
      </c>
      <c r="BB123" s="3505">
        <v>8.7574355584924888</v>
      </c>
      <c r="BC123" s="736">
        <f t="shared" si="80"/>
        <v>28.673757102056129</v>
      </c>
    </row>
    <row r="124" spans="1:55" ht="12.75" customHeight="1" outlineLevel="1">
      <c r="A124" s="701"/>
      <c r="B124" s="701"/>
      <c r="C124" s="811" t="s">
        <v>1793</v>
      </c>
      <c r="D124" s="754"/>
      <c r="E124" s="759" t="s">
        <v>1261</v>
      </c>
      <c r="F124" s="760" t="s">
        <v>167</v>
      </c>
      <c r="G124" s="758"/>
      <c r="H124" s="758">
        <f t="shared" ref="H124:P124" si="179">(H114/G114-1)*100</f>
        <v>-4.6464499950488181</v>
      </c>
      <c r="I124" s="758">
        <f t="shared" si="179"/>
        <v>4.4314332352373365</v>
      </c>
      <c r="J124" s="758">
        <f t="shared" si="179"/>
        <v>2.9787907521348744</v>
      </c>
      <c r="K124" s="758">
        <f t="shared" si="179"/>
        <v>4.7981024115639759</v>
      </c>
      <c r="L124" s="758">
        <f t="shared" si="179"/>
        <v>5.7687790304557618</v>
      </c>
      <c r="M124" s="758">
        <f t="shared" si="179"/>
        <v>-5.8529259107920062E-2</v>
      </c>
      <c r="N124" s="758">
        <f t="shared" si="179"/>
        <v>3.6924493554327809</v>
      </c>
      <c r="O124" s="758">
        <f t="shared" si="179"/>
        <v>5.4985051653198225</v>
      </c>
      <c r="P124" s="758">
        <f t="shared" si="179"/>
        <v>7.7906744450704446</v>
      </c>
      <c r="Q124" s="758">
        <f t="shared" ref="Q124:W124" si="180">(Q114/P114-1)*100</f>
        <v>3.6567995585310875</v>
      </c>
      <c r="R124" s="758">
        <f t="shared" si="180"/>
        <v>10.491777919965916</v>
      </c>
      <c r="S124" s="758">
        <f t="shared" si="180"/>
        <v>4.5209917800149491</v>
      </c>
      <c r="T124" s="758">
        <f t="shared" si="180"/>
        <v>-1.0591154641990674</v>
      </c>
      <c r="U124" s="758">
        <f t="shared" si="180"/>
        <v>-7.5060041000179272</v>
      </c>
      <c r="V124" s="758">
        <f t="shared" si="180"/>
        <v>14.248634490021095</v>
      </c>
      <c r="W124" s="758">
        <f t="shared" si="180"/>
        <v>2.4508959804208086</v>
      </c>
      <c r="X124" s="758">
        <f t="shared" si="172"/>
        <v>-4.2911673310040417</v>
      </c>
      <c r="Y124" s="758">
        <f t="shared" si="172"/>
        <v>1.2648627094989928</v>
      </c>
      <c r="Z124" s="758">
        <f t="shared" si="174"/>
        <v>6.3479483317052221</v>
      </c>
      <c r="AA124" s="758">
        <f t="shared" si="175"/>
        <v>9.226837584214076</v>
      </c>
      <c r="AB124" s="758">
        <f t="shared" si="176"/>
        <v>1.4666341629474999</v>
      </c>
      <c r="AC124" s="758">
        <f t="shared" si="177"/>
        <v>4.0159420774030785</v>
      </c>
      <c r="AD124" s="2328">
        <f t="shared" ca="1" si="178"/>
        <v>5.8310266402902045</v>
      </c>
      <c r="AE124" s="2328">
        <f t="shared" ca="1" si="178"/>
        <v>4.2100578020419999</v>
      </c>
      <c r="AF124" s="2328">
        <f t="shared" ca="1" si="178"/>
        <v>4.1032520522081395</v>
      </c>
      <c r="BB124" s="3493">
        <v>2.7799481517320146</v>
      </c>
      <c r="BC124" s="736">
        <f t="shared" si="80"/>
        <v>-1.3133139887845147</v>
      </c>
    </row>
    <row r="125" spans="1:55" ht="12.75" customHeight="1" outlineLevel="1">
      <c r="A125" s="701"/>
      <c r="B125" s="701"/>
      <c r="C125" s="811"/>
      <c r="E125" s="823"/>
      <c r="F125" s="824"/>
      <c r="G125" s="740"/>
      <c r="H125" s="825"/>
      <c r="I125" s="740"/>
      <c r="J125" s="740"/>
      <c r="K125" s="740"/>
      <c r="L125" s="740"/>
      <c r="M125" s="740"/>
      <c r="N125" s="740"/>
      <c r="O125" s="740"/>
      <c r="P125" s="740"/>
      <c r="Q125" s="740"/>
      <c r="R125" s="740"/>
      <c r="S125" s="740"/>
      <c r="T125" s="740"/>
      <c r="U125" s="740"/>
      <c r="V125" s="740"/>
      <c r="W125" s="740"/>
      <c r="X125" s="2322"/>
      <c r="Y125" s="2322"/>
      <c r="Z125" s="2322"/>
      <c r="AA125" s="2322"/>
      <c r="AB125" s="2322"/>
      <c r="AC125" s="2322"/>
      <c r="AD125" s="2322"/>
      <c r="AE125" s="2322"/>
      <c r="AF125" s="2322"/>
      <c r="BB125" s="3475"/>
      <c r="BC125" s="736" t="str">
        <f t="shared" si="80"/>
        <v/>
      </c>
    </row>
    <row r="126" spans="1:55" ht="12.75" customHeight="1" outlineLevel="1">
      <c r="A126" s="701"/>
      <c r="B126" s="701"/>
      <c r="C126" s="811"/>
      <c r="D126" s="855"/>
      <c r="E126" s="856" t="s">
        <v>1884</v>
      </c>
      <c r="F126" s="857"/>
      <c r="G126" s="858">
        <f>+InputY!$G$3</f>
        <v>1995</v>
      </c>
      <c r="H126" s="858">
        <f>+G126+1</f>
        <v>1996</v>
      </c>
      <c r="I126" s="858">
        <f t="shared" ref="I126:O126" si="181">+H126+1</f>
        <v>1997</v>
      </c>
      <c r="J126" s="858">
        <f t="shared" si="181"/>
        <v>1998</v>
      </c>
      <c r="K126" s="858">
        <f t="shared" si="181"/>
        <v>1999</v>
      </c>
      <c r="L126" s="858">
        <f t="shared" si="181"/>
        <v>2000</v>
      </c>
      <c r="M126" s="858">
        <f t="shared" si="181"/>
        <v>2001</v>
      </c>
      <c r="N126" s="858">
        <f t="shared" si="181"/>
        <v>2002</v>
      </c>
      <c r="O126" s="858">
        <f t="shared" si="181"/>
        <v>2003</v>
      </c>
      <c r="P126" s="858">
        <f>+O126+1</f>
        <v>2004</v>
      </c>
      <c r="Q126" s="858">
        <f>+P126+1</f>
        <v>2005</v>
      </c>
      <c r="R126" s="858">
        <f>+Q126+1</f>
        <v>2006</v>
      </c>
      <c r="S126" s="858">
        <f t="shared" ref="S126:Y126" si="182">+R126+1</f>
        <v>2007</v>
      </c>
      <c r="T126" s="858">
        <f t="shared" si="182"/>
        <v>2008</v>
      </c>
      <c r="U126" s="858">
        <f t="shared" si="182"/>
        <v>2009</v>
      </c>
      <c r="V126" s="858">
        <f>+U126+1</f>
        <v>2010</v>
      </c>
      <c r="W126" s="858">
        <f>+V126+1</f>
        <v>2011</v>
      </c>
      <c r="X126" s="858">
        <f t="shared" si="182"/>
        <v>2012</v>
      </c>
      <c r="Y126" s="858">
        <f t="shared" si="182"/>
        <v>2013</v>
      </c>
      <c r="Z126" s="858">
        <f t="shared" ref="Z126:AF126" si="183">+Y126+1</f>
        <v>2014</v>
      </c>
      <c r="AA126" s="858">
        <f t="shared" si="183"/>
        <v>2015</v>
      </c>
      <c r="AB126" s="858">
        <f t="shared" si="183"/>
        <v>2016</v>
      </c>
      <c r="AC126" s="858">
        <f t="shared" si="183"/>
        <v>2017</v>
      </c>
      <c r="AD126" s="858">
        <f t="shared" si="183"/>
        <v>2018</v>
      </c>
      <c r="AE126" s="858">
        <f t="shared" si="183"/>
        <v>2019</v>
      </c>
      <c r="AF126" s="858">
        <f t="shared" si="183"/>
        <v>2020</v>
      </c>
      <c r="BB126" s="3480">
        <v>2016</v>
      </c>
      <c r="BC126" s="736" t="str">
        <f t="shared" si="80"/>
        <v/>
      </c>
    </row>
    <row r="127" spans="1:55" ht="12.75" customHeight="1" outlineLevel="1">
      <c r="A127" s="701"/>
      <c r="B127" s="701"/>
      <c r="C127" s="859" t="s">
        <v>1791</v>
      </c>
      <c r="D127" s="860" t="s">
        <v>664</v>
      </c>
      <c r="E127" s="861" t="s">
        <v>1261</v>
      </c>
      <c r="F127" s="862" t="s">
        <v>52</v>
      </c>
      <c r="G127" s="875">
        <f>+G107/'VVP2'!G$341</f>
        <v>7.3591147446395097E-2</v>
      </c>
      <c r="H127" s="875">
        <f>+H107/'VVP2'!H$341</f>
        <v>7.1166545525228275E-2</v>
      </c>
      <c r="I127" s="875">
        <f>+I107/'VVP2'!I$341</f>
        <v>6.8456729004964439E-2</v>
      </c>
      <c r="J127" s="875">
        <f>+J107/'VVP2'!J$341</f>
        <v>6.6329599897571367E-2</v>
      </c>
      <c r="K127" s="875">
        <f>+K107/'VVP2'!K$341</f>
        <v>6.3970243326149173E-2</v>
      </c>
      <c r="L127" s="875">
        <f>+L107/'VVP2'!L$341</f>
        <v>6.519605005147619E-2</v>
      </c>
      <c r="M127" s="875">
        <f>+M107/'VVP2'!M$341</f>
        <v>6.5019525237759862E-2</v>
      </c>
      <c r="N127" s="875">
        <f>+N107/'VVP2'!N$341</f>
        <v>6.6036405397288764E-2</v>
      </c>
      <c r="O127" s="875">
        <f>+O107/'VVP2'!O$341</f>
        <v>6.4543768182111508E-2</v>
      </c>
      <c r="P127" s="875">
        <f>+P107/'VVP2'!P$341</f>
        <v>6.1697341870094853E-2</v>
      </c>
      <c r="Q127" s="875">
        <f>+Q107/'VVP2'!Q$341</f>
        <v>6.2083366687475064E-2</v>
      </c>
      <c r="R127" s="875">
        <f>+R107/'VVP2'!R$341</f>
        <v>6.2157369682039068E-2</v>
      </c>
      <c r="S127" s="875">
        <f>+S107/'VVP2'!S$341</f>
        <v>6.4314175504690582E-2</v>
      </c>
      <c r="T127" s="875">
        <f>+T107/'VVP2'!T$341</f>
        <v>6.043935146023461E-2</v>
      </c>
      <c r="U127" s="875">
        <f>+U107/'VVP2'!U$341</f>
        <v>5.9476143594990177E-2</v>
      </c>
      <c r="V127" s="875">
        <f>+V107/'VVP2'!V$341</f>
        <v>5.9567957991091491E-2</v>
      </c>
      <c r="W127" s="875">
        <f>+W107/'VVP2'!W$341</f>
        <v>5.8164299080890339E-2</v>
      </c>
      <c r="X127" s="3199">
        <f>+X107/'VVP2'!X$341</f>
        <v>5.4941742337967364E-2</v>
      </c>
      <c r="Y127" s="3199">
        <f>+Y107/'VVP2'!Y$341</f>
        <v>5.4133095420991172E-2</v>
      </c>
      <c r="Z127" s="3199">
        <f>+Z107/'VVP2'!Z$341</f>
        <v>5.3579299276185155E-2</v>
      </c>
      <c r="AA127" s="3199">
        <f>+AA107/'VVP2'!AA$341</f>
        <v>4.9490389602105708E-2</v>
      </c>
      <c r="AB127" s="3199">
        <f>+AB107/'VVP2'!AB$341</f>
        <v>4.9645000327214896E-2</v>
      </c>
      <c r="AC127" s="3199">
        <f>+AC107/'VVP2'!AC$341</f>
        <v>5.0994354756460018E-2</v>
      </c>
      <c r="AD127" s="3196">
        <f ca="1">+AD107/'VVP2'!AD$341</f>
        <v>5.0499454046178595E-2</v>
      </c>
      <c r="AE127" s="3196">
        <f ca="1">+AE107/'VVP2'!AE$341</f>
        <v>5.0547493184769407E-2</v>
      </c>
      <c r="AF127" s="3196">
        <f ca="1">+AF107/'VVP2'!AF$341</f>
        <v>5.0710949511735007E-2</v>
      </c>
      <c r="BB127" s="3481">
        <v>5.1835008801485956E-2</v>
      </c>
      <c r="BC127" s="736" t="str">
        <f t="shared" si="80"/>
        <v/>
      </c>
    </row>
    <row r="128" spans="1:55" ht="12.75" customHeight="1" outlineLevel="1">
      <c r="A128" s="701"/>
      <c r="B128" s="701"/>
      <c r="C128" s="863" t="s">
        <v>1791</v>
      </c>
      <c r="D128" s="711" t="s">
        <v>665</v>
      </c>
      <c r="E128" s="820" t="s">
        <v>1261</v>
      </c>
      <c r="F128" s="741" t="s">
        <v>1210</v>
      </c>
      <c r="G128" s="876">
        <f>+G108/'VVP2'!G$341</f>
        <v>0.27008540300204492</v>
      </c>
      <c r="H128" s="876">
        <f>+H108/'VVP2'!H$341</f>
        <v>0.24543496669213569</v>
      </c>
      <c r="I128" s="876">
        <f>+I108/'VVP2'!I$341</f>
        <v>0.24977472554102956</v>
      </c>
      <c r="J128" s="876">
        <f>+J108/'VVP2'!J$341</f>
        <v>0.24503319986857505</v>
      </c>
      <c r="K128" s="876">
        <f>+K108/'VVP2'!K$341</f>
        <v>0.24522387799906539</v>
      </c>
      <c r="L128" s="876">
        <f>+L108/'VVP2'!L$341</f>
        <v>0.24172919744959992</v>
      </c>
      <c r="M128" s="876">
        <f>+M108/'VVP2'!M$341</f>
        <v>0.22692065323725699</v>
      </c>
      <c r="N128" s="876">
        <f>+N108/'VVP2'!N$341</f>
        <v>0.22539131353685124</v>
      </c>
      <c r="O128" s="876">
        <f>+O108/'VVP2'!O$341</f>
        <v>0.23165898443896618</v>
      </c>
      <c r="P128" s="876">
        <f>+P108/'VVP2'!P$341</f>
        <v>0.24438871486748881</v>
      </c>
      <c r="Q128" s="876">
        <f>+Q108/'VVP2'!Q$341</f>
        <v>0.24461543905674371</v>
      </c>
      <c r="R128" s="876">
        <f>+R108/'VVP2'!R$341</f>
        <v>0.25750201267615347</v>
      </c>
      <c r="S128" s="876">
        <f>+S108/'VVP2'!S$341</f>
        <v>0.25032422160308004</v>
      </c>
      <c r="T128" s="876">
        <f>+T108/'VVP2'!T$341</f>
        <v>0.24304644216245577</v>
      </c>
      <c r="U128" s="876">
        <f>+U108/'VVP2'!U$341</f>
        <v>0.22523328459916112</v>
      </c>
      <c r="V128" s="876">
        <f>+V108/'VVP2'!V$341</f>
        <v>0.2488787748763843</v>
      </c>
      <c r="W128" s="876">
        <f>+W108/'VVP2'!W$341</f>
        <v>0.24497882160903331</v>
      </c>
      <c r="X128" s="876">
        <f>+X108/'VVP2'!X$341</f>
        <v>0.23075895036719907</v>
      </c>
      <c r="Y128" s="876">
        <f>+Y108/'VVP2'!Y$341</f>
        <v>0.22882722799706087</v>
      </c>
      <c r="Z128" s="876">
        <f>+Z108/'VVP2'!Z$341</f>
        <v>0.23575125129252644</v>
      </c>
      <c r="AA128" s="876">
        <f>+AA108/'VVP2'!AA$341</f>
        <v>0.24887809073952125</v>
      </c>
      <c r="AB128" s="876">
        <f>+AB108/'VVP2'!AB$341</f>
        <v>0.24073257831438491</v>
      </c>
      <c r="AC128" s="876">
        <f>+AC108/'VVP2'!AC$341</f>
        <v>0.23833939119425868</v>
      </c>
      <c r="AD128" s="3003">
        <f ca="1">+AD108/'VVP2'!AD$341</f>
        <v>0.24219529668620571</v>
      </c>
      <c r="AE128" s="3003">
        <f ca="1">+AE108/'VVP2'!AE$341</f>
        <v>0.2437490503954057</v>
      </c>
      <c r="AF128" s="3003">
        <f ca="1">+AF108/'VVP2'!AF$341</f>
        <v>0.24553122641857889</v>
      </c>
      <c r="BB128" s="3462">
        <v>0.24030871717150157</v>
      </c>
      <c r="BC128" s="736" t="str">
        <f t="shared" si="80"/>
        <v/>
      </c>
    </row>
    <row r="129" spans="1:55" ht="12.75" customHeight="1" outlineLevel="1">
      <c r="A129" s="701"/>
      <c r="B129" s="701"/>
      <c r="C129" s="864" t="s">
        <v>1791</v>
      </c>
      <c r="D129" s="865" t="s">
        <v>666</v>
      </c>
      <c r="E129" s="866" t="s">
        <v>1261</v>
      </c>
      <c r="F129" s="867" t="s">
        <v>2033</v>
      </c>
      <c r="G129" s="877">
        <f>+G109/'VVP2'!G$341</f>
        <v>3.4732357258618778E-2</v>
      </c>
      <c r="H129" s="877">
        <f>+H109/'VVP2'!H$341</f>
        <v>3.4356780319048298E-2</v>
      </c>
      <c r="I129" s="877">
        <f>+I109/'VVP2'!I$341</f>
        <v>3.3754076453848661E-2</v>
      </c>
      <c r="J129" s="877">
        <f>+J109/'VVP2'!J$341</f>
        <v>3.3155150192571488E-2</v>
      </c>
      <c r="K129" s="877">
        <f>+K109/'VVP2'!K$341</f>
        <v>3.2007883697607695E-2</v>
      </c>
      <c r="L129" s="877">
        <f>+L109/'VVP2'!L$341</f>
        <v>3.1555285938314151E-2</v>
      </c>
      <c r="M129" s="877">
        <f>+M109/'VVP2'!M$341</f>
        <v>3.1999471376146504E-2</v>
      </c>
      <c r="N129" s="877">
        <f>+N109/'VVP2'!N$341</f>
        <v>3.2713419289118452E-2</v>
      </c>
      <c r="O129" s="877">
        <f>+O109/'VVP2'!O$341</f>
        <v>3.2247078645943485E-2</v>
      </c>
      <c r="P129" s="877">
        <f>+P109/'VVP2'!P$341</f>
        <v>3.1830189613100392E-2</v>
      </c>
      <c r="Q129" s="877">
        <f>+Q109/'VVP2'!Q$341</f>
        <v>3.1459970048267047E-2</v>
      </c>
      <c r="R129" s="877">
        <f>+R109/'VVP2'!R$341</f>
        <v>3.0508238597359693E-2</v>
      </c>
      <c r="S129" s="877">
        <f>+S109/'VVP2'!S$341</f>
        <v>2.9969860493071324E-2</v>
      </c>
      <c r="T129" s="877">
        <f>+T109/'VVP2'!T$341</f>
        <v>3.0926847188753912E-2</v>
      </c>
      <c r="U129" s="877">
        <f>+U109/'VVP2'!U$341</f>
        <v>3.3291828789046463E-2</v>
      </c>
      <c r="V129" s="3201">
        <f>+V109/'VVP2'!V$341</f>
        <v>3.1845517823818663E-2</v>
      </c>
      <c r="W129" s="3201">
        <f>+W109/'VVP2'!W$341</f>
        <v>3.1419461612442121E-2</v>
      </c>
      <c r="X129" s="3201">
        <f>+X109/'VVP2'!X$341</f>
        <v>3.2644134208000206E-2</v>
      </c>
      <c r="Y129" s="3201">
        <f>+Y109/'VVP2'!Y$341</f>
        <v>3.25829325805213E-2</v>
      </c>
      <c r="Z129" s="3201">
        <f>+Z109/'VVP2'!Z$341</f>
        <v>3.1950620729904768E-2</v>
      </c>
      <c r="AA129" s="3201">
        <f>+AA109/'VVP2'!AA$341</f>
        <v>3.1132134075505125E-2</v>
      </c>
      <c r="AB129" s="3201">
        <f>+AB109/'VVP2'!AB$341</f>
        <v>3.0358702787848236E-2</v>
      </c>
      <c r="AC129" s="3201">
        <f>+AC109/'VVP2'!AC$341</f>
        <v>3.0326285860421905E-2</v>
      </c>
      <c r="AD129" s="3198">
        <f ca="1">+AD109/'VVP2'!AD$341</f>
        <v>2.9731302347742967E-2</v>
      </c>
      <c r="AE129" s="3198">
        <f ca="1">+AE109/'VVP2'!AE$341</f>
        <v>2.946164552359589E-2</v>
      </c>
      <c r="AF129" s="3198">
        <f ca="1">+AF109/'VVP2'!AF$341</f>
        <v>2.9261005573266618E-2</v>
      </c>
      <c r="BB129" s="3506">
        <v>3.0387033824312619E-2</v>
      </c>
      <c r="BC129" s="736" t="str">
        <f t="shared" si="80"/>
        <v/>
      </c>
    </row>
    <row r="130" spans="1:55" ht="12.75" customHeight="1" outlineLevel="1">
      <c r="A130" s="701"/>
      <c r="B130" s="701"/>
      <c r="C130" s="811" t="s">
        <v>1793</v>
      </c>
      <c r="D130" s="843"/>
      <c r="E130" s="844" t="s">
        <v>1261</v>
      </c>
      <c r="F130" s="845" t="s">
        <v>167</v>
      </c>
      <c r="G130" s="878">
        <f>+G114/'VVP2'!G$341</f>
        <v>0.38024010844017553</v>
      </c>
      <c r="H130" s="878">
        <f>+H114/'VVP2'!H$341</f>
        <v>0.35343867641174581</v>
      </c>
      <c r="I130" s="878">
        <f>+I114/'VVP2'!I$341</f>
        <v>0.35311017231641489</v>
      </c>
      <c r="J130" s="878">
        <f>+J114/'VVP2'!J$341</f>
        <v>0.34609627349951</v>
      </c>
      <c r="K130" s="878">
        <f>+K114/'VVP2'!K$341</f>
        <v>0.34389729770018657</v>
      </c>
      <c r="L130" s="878">
        <f>+L114/'VVP2'!L$341</f>
        <v>0.34190640645806009</v>
      </c>
      <c r="M130" s="878">
        <f>+M114/'VVP2'!M$341</f>
        <v>0.32817387856800956</v>
      </c>
      <c r="N130" s="878">
        <f>+N114/'VVP2'!N$341</f>
        <v>0.32812294212922588</v>
      </c>
      <c r="O130" s="878">
        <f>+O114/'VVP2'!O$341</f>
        <v>0.33236088528209018</v>
      </c>
      <c r="P130" s="878">
        <f>+P114/'VVP2'!P$341</f>
        <v>0.34198439468979347</v>
      </c>
      <c r="Q130" s="878">
        <f>+Q114/'VVP2'!Q$341</f>
        <v>0.34203346774623</v>
      </c>
      <c r="R130" s="878">
        <f>+R114/'VVP2'!R$341</f>
        <v>0.35451525927587491</v>
      </c>
      <c r="S130" s="878">
        <f>+S114/'VVP2'!S$341</f>
        <v>0.3483001881560735</v>
      </c>
      <c r="T130" s="878">
        <f>+T114/'VVP2'!T$341</f>
        <v>0.33539592903931709</v>
      </c>
      <c r="U130" s="878">
        <f>+U114/'VVP2'!U$341</f>
        <v>0.31961364625673866</v>
      </c>
      <c r="V130" s="878">
        <f>+V114/'VVP2'!V$341</f>
        <v>0.34113253102311575</v>
      </c>
      <c r="W130" s="878">
        <f>+W114/'VVP2'!W$341</f>
        <v>0.33639402760360915</v>
      </c>
      <c r="X130" s="878">
        <f>+X114/'VVP2'!X$341</f>
        <v>0.31953001338349862</v>
      </c>
      <c r="Y130" s="878">
        <f>+Y114/'VVP2'!Y$341</f>
        <v>0.31627803205086252</v>
      </c>
      <c r="Z130" s="878">
        <f>+Z114/'VVP2'!Z$341</f>
        <v>0.32210305956088986</v>
      </c>
      <c r="AA130" s="878">
        <f>+AA114/'VVP2'!AA$341</f>
        <v>0.32999971677071976</v>
      </c>
      <c r="AB130" s="878">
        <f>+AB114/'VVP2'!AB$341</f>
        <v>0.32079442763271754</v>
      </c>
      <c r="AC130" s="878">
        <f>+AC114/'VVP2'!AC$341</f>
        <v>0.31958359422210442</v>
      </c>
      <c r="AD130" s="3005">
        <f ca="1">+AD114/'VVP2'!AD$341</f>
        <v>0.32242605308012728</v>
      </c>
      <c r="AE130" s="3005">
        <f ca="1">+AE114/'VVP2'!AE$341</f>
        <v>0.32375818910377102</v>
      </c>
      <c r="AF130" s="3005">
        <f ca="1">+AF114/'VVP2'!AF$341</f>
        <v>0.32550318150358054</v>
      </c>
      <c r="BB130" s="3507">
        <v>0.32311623909349008</v>
      </c>
      <c r="BC130" s="736" t="str">
        <f t="shared" ref="BC130:BC193" si="184">IF(ABS(BB130-AB130)&gt;0.99,AB130-BB130,"")</f>
        <v/>
      </c>
    </row>
    <row r="131" spans="1:55" ht="30" customHeight="1" outlineLevel="1">
      <c r="BC131" s="736" t="str">
        <f t="shared" si="184"/>
        <v/>
      </c>
    </row>
    <row r="132" spans="1:55" ht="30" customHeight="1" outlineLevel="1">
      <c r="BC132" s="736" t="str">
        <f t="shared" si="184"/>
        <v/>
      </c>
    </row>
    <row r="133" spans="1:55" ht="22.5" customHeight="1" outlineLevel="1">
      <c r="A133" s="590"/>
      <c r="B133" s="590"/>
      <c r="C133" s="3816" t="s">
        <v>1802</v>
      </c>
      <c r="D133" s="3816"/>
      <c r="E133" s="3816"/>
      <c r="F133" s="3816"/>
      <c r="R133" s="880"/>
      <c r="S133" s="880"/>
      <c r="T133" s="880"/>
      <c r="U133" s="880"/>
      <c r="V133" s="880"/>
      <c r="W133" s="880"/>
      <c r="X133" s="880"/>
      <c r="Y133" s="880"/>
      <c r="Z133" s="880"/>
      <c r="AA133" s="880"/>
      <c r="AB133" s="880"/>
      <c r="AC133" s="880"/>
      <c r="AD133" s="880"/>
      <c r="AE133" s="880"/>
      <c r="AF133" s="880"/>
      <c r="BB133" s="3467"/>
      <c r="BC133" s="736" t="str">
        <f t="shared" si="184"/>
        <v/>
      </c>
    </row>
    <row r="134" spans="1:55" ht="12.75" customHeight="1" outlineLevel="1">
      <c r="A134" s="701"/>
      <c r="B134" s="701"/>
      <c r="C134" s="811"/>
      <c r="Q134" s="736"/>
      <c r="R134" s="2322"/>
      <c r="S134" s="2322"/>
      <c r="T134" s="2322"/>
      <c r="U134" s="2322"/>
      <c r="V134" s="2322"/>
      <c r="W134" s="2322"/>
      <c r="X134" s="2322"/>
      <c r="Y134" s="2322"/>
      <c r="Z134" s="2322"/>
      <c r="AA134" s="2322"/>
      <c r="AB134" s="2322"/>
      <c r="AC134" s="2322"/>
      <c r="AD134" s="2322"/>
      <c r="AE134" s="2322"/>
      <c r="AF134" s="2322"/>
      <c r="BB134" s="3475"/>
      <c r="BC134" s="736" t="str">
        <f t="shared" si="184"/>
        <v/>
      </c>
    </row>
    <row r="135" spans="1:55" ht="12.75" customHeight="1" outlineLevel="1">
      <c r="A135" s="701"/>
      <c r="B135" s="701"/>
      <c r="C135" s="811"/>
      <c r="D135" s="812"/>
      <c r="E135" s="813" t="s">
        <v>1882</v>
      </c>
      <c r="F135" s="814"/>
      <c r="G135" s="815">
        <f>+InputY!$G$3</f>
        <v>1995</v>
      </c>
      <c r="H135" s="815">
        <f>+G135+1</f>
        <v>1996</v>
      </c>
      <c r="I135" s="815">
        <f t="shared" ref="I135:O135" si="185">+H135+1</f>
        <v>1997</v>
      </c>
      <c r="J135" s="815">
        <f t="shared" si="185"/>
        <v>1998</v>
      </c>
      <c r="K135" s="815">
        <f t="shared" si="185"/>
        <v>1999</v>
      </c>
      <c r="L135" s="815">
        <f t="shared" si="185"/>
        <v>2000</v>
      </c>
      <c r="M135" s="815">
        <f t="shared" si="185"/>
        <v>2001</v>
      </c>
      <c r="N135" s="815">
        <f t="shared" si="185"/>
        <v>2002</v>
      </c>
      <c r="O135" s="815">
        <f t="shared" si="185"/>
        <v>2003</v>
      </c>
      <c r="P135" s="815">
        <f>+O135+1</f>
        <v>2004</v>
      </c>
      <c r="Q135" s="815">
        <f>+P135+1</f>
        <v>2005</v>
      </c>
      <c r="R135" s="815">
        <f>+Q135+1</f>
        <v>2006</v>
      </c>
      <c r="S135" s="815">
        <f>+R135+1</f>
        <v>2007</v>
      </c>
      <c r="T135" s="815">
        <f t="shared" ref="T135:AF135" si="186">+S135+1</f>
        <v>2008</v>
      </c>
      <c r="U135" s="815">
        <f t="shared" si="186"/>
        <v>2009</v>
      </c>
      <c r="V135" s="815">
        <f t="shared" si="186"/>
        <v>2010</v>
      </c>
      <c r="W135" s="815">
        <f t="shared" si="186"/>
        <v>2011</v>
      </c>
      <c r="X135" s="2285">
        <f t="shared" si="186"/>
        <v>2012</v>
      </c>
      <c r="Y135" s="2285">
        <f t="shared" si="186"/>
        <v>2013</v>
      </c>
      <c r="Z135" s="2285">
        <f t="shared" si="186"/>
        <v>2014</v>
      </c>
      <c r="AA135" s="2285">
        <f t="shared" si="186"/>
        <v>2015</v>
      </c>
      <c r="AB135" s="2285">
        <f t="shared" si="186"/>
        <v>2016</v>
      </c>
      <c r="AC135" s="2285">
        <f t="shared" si="186"/>
        <v>2017</v>
      </c>
      <c r="AD135" s="2285">
        <f t="shared" si="186"/>
        <v>2018</v>
      </c>
      <c r="AE135" s="2285">
        <f t="shared" si="186"/>
        <v>2019</v>
      </c>
      <c r="AF135" s="2285">
        <f t="shared" si="186"/>
        <v>2020</v>
      </c>
      <c r="BB135" s="3470">
        <v>2016</v>
      </c>
      <c r="BC135" s="736" t="str">
        <f t="shared" si="184"/>
        <v/>
      </c>
    </row>
    <row r="136" spans="1:55" ht="12.75" customHeight="1" outlineLevel="1">
      <c r="A136" s="701">
        <f>+ROW(InputY!A119)</f>
        <v>119</v>
      </c>
      <c r="B136" s="701">
        <v>105</v>
      </c>
      <c r="C136" s="816" t="s">
        <v>301</v>
      </c>
      <c r="D136" s="705" t="s">
        <v>665</v>
      </c>
      <c r="E136" s="737" t="s">
        <v>612</v>
      </c>
      <c r="F136" s="738" t="str">
        <f>+InputY!B119</f>
        <v>YEPropN</v>
      </c>
      <c r="G136" s="817">
        <f>+InputY!G119/1000</f>
        <v>-67.569000000000003</v>
      </c>
      <c r="H136" s="817">
        <f>+InputY!H119/1000</f>
        <v>-69.372</v>
      </c>
      <c r="I136" s="817">
        <f>+InputY!I119/1000</f>
        <v>-55.966999999999999</v>
      </c>
      <c r="J136" s="817">
        <f>+InputY!J119/1000</f>
        <v>-57.244</v>
      </c>
      <c r="K136" s="817">
        <f>+InputY!K119/1000</f>
        <v>-51.536999999999999</v>
      </c>
      <c r="L136" s="817">
        <f>+InputY!L119/1000</f>
        <v>-80.257000000000005</v>
      </c>
      <c r="M136" s="817">
        <f>+InputY!M119/1000</f>
        <v>-72.97</v>
      </c>
      <c r="N136" s="817">
        <f>+InputY!N119/1000</f>
        <v>-44.335000000000001</v>
      </c>
      <c r="O136" s="817">
        <f>+InputY!O119/1000</f>
        <v>-16.849</v>
      </c>
      <c r="P136" s="817">
        <f>+InputY!P119/1000</f>
        <v>-56.091000000000001</v>
      </c>
      <c r="Q136" s="817">
        <f>+InputY!Q119/1000</f>
        <v>-59.04</v>
      </c>
      <c r="R136" s="817">
        <f>+InputY!R119/1000</f>
        <v>-57.326999999999998</v>
      </c>
      <c r="S136" s="817">
        <f>+InputY!S119/1000</f>
        <v>-62.619</v>
      </c>
      <c r="T136" s="817">
        <f>+InputY!T119/1000</f>
        <v>-80.713999999999999</v>
      </c>
      <c r="U136" s="817">
        <f>+InputY!U119/1000</f>
        <v>-107.91500000000001</v>
      </c>
      <c r="V136" s="817">
        <f>+InputY!V119/1000</f>
        <v>-144.655</v>
      </c>
      <c r="W136" s="817">
        <f>+InputY!W119/1000</f>
        <v>-167.61600000000001</v>
      </c>
      <c r="X136" s="817">
        <f>+InputY!X119/1000</f>
        <v>-166.39099999999999</v>
      </c>
      <c r="Y136" s="817">
        <f>+InputY!Y119/1000</f>
        <v>-176.28800000000001</v>
      </c>
      <c r="Z136" s="817">
        <f>+InputY!Z119/1000</f>
        <v>-221.47200000000001</v>
      </c>
      <c r="AA136" s="817">
        <f>+InputY!AA119/1000</f>
        <v>-265.34500000000003</v>
      </c>
      <c r="AB136" s="817">
        <f>+InputY!AB119/1000</f>
        <v>-317.185</v>
      </c>
      <c r="AC136" s="817">
        <f>+InputY!AC119/1000</f>
        <v>-287.46800000000002</v>
      </c>
      <c r="AD136" s="2296">
        <f t="shared" ref="AD136:AF140" si="187">+AC136*(1+AD145/100)</f>
        <v>-298.96672000000001</v>
      </c>
      <c r="AE136" s="2296">
        <f t="shared" si="187"/>
        <v>-310.92538880000001</v>
      </c>
      <c r="AF136" s="2296">
        <f t="shared" si="187"/>
        <v>-323.362404352</v>
      </c>
      <c r="BB136" s="3471">
        <v>-263.12599999999998</v>
      </c>
      <c r="BC136" s="736">
        <f t="shared" si="184"/>
        <v>-54.059000000000026</v>
      </c>
    </row>
    <row r="137" spans="1:55" ht="12.75" customHeight="1" outlineLevel="1">
      <c r="A137" s="701">
        <f>+ROW(InputY!A151)</f>
        <v>151</v>
      </c>
      <c r="B137" s="701" t="s">
        <v>2032</v>
      </c>
      <c r="C137" s="819" t="s">
        <v>301</v>
      </c>
      <c r="D137" s="711" t="s">
        <v>666</v>
      </c>
      <c r="E137" s="820" t="s">
        <v>1982</v>
      </c>
      <c r="F137" s="741" t="str">
        <f>+InputY!B151</f>
        <v>YAProp</v>
      </c>
      <c r="G137" s="743">
        <f>+InputY!G151/1000</f>
        <v>71.674000000000007</v>
      </c>
      <c r="H137" s="743">
        <f>+InputY!H151/1000</f>
        <v>70.997</v>
      </c>
      <c r="I137" s="743">
        <f>+InputY!I151/1000</f>
        <v>64.495999999999995</v>
      </c>
      <c r="J137" s="743">
        <f>+InputY!J151/1000</f>
        <v>64.83</v>
      </c>
      <c r="K137" s="743">
        <f>+InputY!K151/1000</f>
        <v>57.204000000000001</v>
      </c>
      <c r="L137" s="743">
        <f>+InputY!L151/1000</f>
        <v>54.951999999999998</v>
      </c>
      <c r="M137" s="743">
        <f>+InputY!M151/1000</f>
        <v>47.914000000000001</v>
      </c>
      <c r="N137" s="743">
        <f>+InputY!N151/1000</f>
        <v>48.000999999999998</v>
      </c>
      <c r="O137" s="743">
        <f>+InputY!O151/1000</f>
        <v>50.405000000000001</v>
      </c>
      <c r="P137" s="743">
        <f>+InputY!P151/1000</f>
        <v>49.762</v>
      </c>
      <c r="Q137" s="743">
        <f>+InputY!Q151/1000</f>
        <v>62.478000000000002</v>
      </c>
      <c r="R137" s="743">
        <f>+InputY!R151/1000</f>
        <v>64.611000000000004</v>
      </c>
      <c r="S137" s="743">
        <f>+InputY!S151/1000</f>
        <v>77.772999999999996</v>
      </c>
      <c r="T137" s="743">
        <f>+InputY!T151/1000</f>
        <v>84.337999999999994</v>
      </c>
      <c r="U137" s="743">
        <f>+InputY!U151/1000</f>
        <v>70.828000000000003</v>
      </c>
      <c r="V137" s="743">
        <f>+InputY!V151/1000</f>
        <v>69.531999999999996</v>
      </c>
      <c r="W137" s="743">
        <f>+InputY!W151/1000</f>
        <v>78.677999999999997</v>
      </c>
      <c r="X137" s="743">
        <f>+InputY!X151/1000</f>
        <v>75.326999999999998</v>
      </c>
      <c r="Y137" s="743">
        <f>+InputY!Y151/1000</f>
        <v>76.623999999999995</v>
      </c>
      <c r="Z137" s="743">
        <f>+InputY!Z151/1000</f>
        <v>66.649000000000001</v>
      </c>
      <c r="AA137" s="743">
        <f>+InputY!AA151/1000</f>
        <v>65.91</v>
      </c>
      <c r="AB137" s="743">
        <f>+InputY!AB151/1000</f>
        <v>69.638000000000005</v>
      </c>
      <c r="AC137" s="743">
        <f>+InputY!AC151/1000</f>
        <v>69.213999999999999</v>
      </c>
      <c r="AD137" s="2279">
        <f t="shared" si="187"/>
        <v>67.829719999999995</v>
      </c>
      <c r="AE137" s="2279">
        <f t="shared" si="187"/>
        <v>66.473125599999989</v>
      </c>
      <c r="AF137" s="2279">
        <f t="shared" si="187"/>
        <v>65.143663087999983</v>
      </c>
      <c r="BB137" s="3472">
        <v>69.478999999999999</v>
      </c>
      <c r="BC137" s="736" t="str">
        <f t="shared" si="184"/>
        <v/>
      </c>
    </row>
    <row r="138" spans="1:55" ht="12.75" customHeight="1" outlineLevel="1">
      <c r="A138" s="701">
        <f>+ROW(InputY!A154)</f>
        <v>154</v>
      </c>
      <c r="B138" s="701" t="s">
        <v>963</v>
      </c>
      <c r="C138" s="819" t="s">
        <v>1791</v>
      </c>
      <c r="D138" s="711" t="s">
        <v>666</v>
      </c>
      <c r="E138" s="820" t="s">
        <v>1981</v>
      </c>
      <c r="F138" s="1018" t="s">
        <v>1050</v>
      </c>
      <c r="G138" s="743">
        <f>+InputY!G154/1000</f>
        <v>0.29399999999999998</v>
      </c>
      <c r="H138" s="743">
        <f>+InputY!H154/1000</f>
        <v>0.21</v>
      </c>
      <c r="I138" s="743">
        <f>+InputY!I154/1000</f>
        <v>0.214</v>
      </c>
      <c r="J138" s="743">
        <f>+InputY!J154/1000</f>
        <v>2.504</v>
      </c>
      <c r="K138" s="743">
        <f>+InputY!K154/1000</f>
        <v>2.6469999999999998</v>
      </c>
      <c r="L138" s="743">
        <f>+InputY!L154/1000</f>
        <v>2.7080000000000002</v>
      </c>
      <c r="M138" s="743">
        <f>+InputY!M154/1000</f>
        <v>2.9220000000000002</v>
      </c>
      <c r="N138" s="743">
        <f>+InputY!N154/1000</f>
        <v>3.1389999999999998</v>
      </c>
      <c r="O138" s="743">
        <f>+InputY!O154/1000</f>
        <v>3.3220000000000001</v>
      </c>
      <c r="P138" s="743">
        <f>+InputY!P154/1000</f>
        <v>3.532</v>
      </c>
      <c r="Q138" s="743">
        <f>+InputY!Q154/1000</f>
        <v>3.9569999999999999</v>
      </c>
      <c r="R138" s="743">
        <f>+InputY!R154/1000</f>
        <v>3.931</v>
      </c>
      <c r="S138" s="743">
        <f>+InputY!S154/1000</f>
        <v>4.0339999999999998</v>
      </c>
      <c r="T138" s="743">
        <f>+InputY!T154/1000</f>
        <v>4.3310000000000004</v>
      </c>
      <c r="U138" s="743">
        <f>+InputY!U154/1000</f>
        <v>4.5890000000000004</v>
      </c>
      <c r="V138" s="743">
        <f>+InputY!V154/1000</f>
        <v>4.7839999999999998</v>
      </c>
      <c r="W138" s="743">
        <f>+InputY!W154/1000</f>
        <v>5.2190000000000003</v>
      </c>
      <c r="X138" s="743">
        <f>+InputY!X154/1000</f>
        <v>5.4779999999999998</v>
      </c>
      <c r="Y138" s="743">
        <f>+InputY!Y154/1000</f>
        <v>5.5880000000000001</v>
      </c>
      <c r="Z138" s="743">
        <f>+InputY!Z154/1000</f>
        <v>6.0620000000000003</v>
      </c>
      <c r="AA138" s="743">
        <f>+InputY!AA154/1000</f>
        <v>6.7750000000000004</v>
      </c>
      <c r="AB138" s="743">
        <f>+InputY!AB154/1000</f>
        <v>7.22</v>
      </c>
      <c r="AC138" s="743">
        <f>+InputY!AC154/1000</f>
        <v>7.59</v>
      </c>
      <c r="AD138" s="2279">
        <f t="shared" ca="1" si="187"/>
        <v>7.9617609678474555</v>
      </c>
      <c r="AE138" s="2279">
        <f t="shared" ca="1" si="187"/>
        <v>8.2628170378718302</v>
      </c>
      <c r="AF138" s="2279">
        <f t="shared" ca="1" si="187"/>
        <v>8.555747466319545</v>
      </c>
      <c r="BB138" s="3472">
        <v>7.4850000000000003</v>
      </c>
      <c r="BC138" s="736" t="str">
        <f t="shared" si="184"/>
        <v/>
      </c>
    </row>
    <row r="139" spans="1:55" ht="12.75" customHeight="1" outlineLevel="1">
      <c r="A139" s="701">
        <f>+ROW(InputY!A153)</f>
        <v>153</v>
      </c>
      <c r="B139" s="701">
        <v>122</v>
      </c>
      <c r="C139" s="819" t="s">
        <v>1791</v>
      </c>
      <c r="D139" s="711" t="s">
        <v>666</v>
      </c>
      <c r="E139" s="820" t="s">
        <v>1262</v>
      </c>
      <c r="F139" s="741" t="str">
        <f>+InputY!B153</f>
        <v>$AInt</v>
      </c>
      <c r="G139" s="743">
        <f>+InputY!G153/1000</f>
        <v>96.671999999999997</v>
      </c>
      <c r="H139" s="743">
        <f>+InputY!H153/1000</f>
        <v>100.435</v>
      </c>
      <c r="I139" s="743">
        <f>+InputY!I153/1000</f>
        <v>101.459</v>
      </c>
      <c r="J139" s="743">
        <f>+InputY!J153/1000</f>
        <v>92.584999999999994</v>
      </c>
      <c r="K139" s="743">
        <f>+InputY!K153/1000</f>
        <v>85.978999999999999</v>
      </c>
      <c r="L139" s="743">
        <f>+InputY!L153/1000</f>
        <v>78.953999999999994</v>
      </c>
      <c r="M139" s="743">
        <f>+InputY!M153/1000</f>
        <v>64.691999999999993</v>
      </c>
      <c r="N139" s="743">
        <f>+InputY!N153/1000</f>
        <v>74.091999999999999</v>
      </c>
      <c r="O139" s="743">
        <f>+InputY!O153/1000</f>
        <v>55.999000000000002</v>
      </c>
      <c r="P139" s="743">
        <f>+InputY!P153/1000</f>
        <v>47.375</v>
      </c>
      <c r="Q139" s="743">
        <f>+InputY!Q153/1000</f>
        <v>50.914000000000001</v>
      </c>
      <c r="R139" s="743">
        <f>+InputY!R153/1000</f>
        <v>50.259</v>
      </c>
      <c r="S139" s="743">
        <f>+InputY!S153/1000</f>
        <v>54.591000000000001</v>
      </c>
      <c r="T139" s="743">
        <f>+InputY!T153/1000</f>
        <v>53.036999999999999</v>
      </c>
      <c r="U139" s="743">
        <f>+InputY!U153/1000</f>
        <v>38.298000000000002</v>
      </c>
      <c r="V139" s="743">
        <f>+InputY!V153/1000</f>
        <v>36.905000000000001</v>
      </c>
      <c r="W139" s="743">
        <f>+InputY!W153/1000</f>
        <v>41.17</v>
      </c>
      <c r="X139" s="743">
        <f>+InputY!X153/1000</f>
        <v>33.578000000000003</v>
      </c>
      <c r="Y139" s="743">
        <f>+InputY!Y153/1000</f>
        <v>30.331</v>
      </c>
      <c r="Z139" s="743">
        <f>+InputY!Z153/1000</f>
        <v>26.745000000000001</v>
      </c>
      <c r="AA139" s="743">
        <f>+InputY!AA153/1000</f>
        <v>18.783000000000001</v>
      </c>
      <c r="AB139" s="743">
        <f>+InputY!AB153/1000</f>
        <v>18.178000000000001</v>
      </c>
      <c r="AC139" s="743">
        <f>+InputY!AC153/1000</f>
        <v>16.094000000000001</v>
      </c>
      <c r="AD139" s="2279">
        <f t="shared" si="187"/>
        <v>14.162720000000002</v>
      </c>
      <c r="AE139" s="2279">
        <f t="shared" si="187"/>
        <v>12.463193600000002</v>
      </c>
      <c r="AF139" s="2279">
        <f t="shared" si="187"/>
        <v>16.825311360000004</v>
      </c>
      <c r="BB139" s="3472">
        <v>19.117000000000001</v>
      </c>
      <c r="BC139" s="736" t="str">
        <f t="shared" si="184"/>
        <v/>
      </c>
    </row>
    <row r="140" spans="1:55" ht="12.75" customHeight="1" outlineLevel="1">
      <c r="A140" s="2014">
        <f>+ROW(InputY!A238)</f>
        <v>238</v>
      </c>
      <c r="B140" s="701" t="s">
        <v>2028</v>
      </c>
      <c r="C140" s="879" t="s">
        <v>301</v>
      </c>
      <c r="D140" s="711" t="s">
        <v>667</v>
      </c>
      <c r="E140" s="820" t="s">
        <v>612</v>
      </c>
      <c r="F140" s="741" t="str">
        <f>InputY!B238</f>
        <v>PropFrRowN</v>
      </c>
      <c r="G140" s="743">
        <f>InputY!G238/1000</f>
        <v>-31.204000000000001</v>
      </c>
      <c r="H140" s="743">
        <f>InputY!H238/1000</f>
        <v>-30.875</v>
      </c>
      <c r="I140" s="743">
        <f>InputY!I238/1000</f>
        <v>-30.646999999999998</v>
      </c>
      <c r="J140" s="743">
        <f>InputY!J238/1000</f>
        <v>-20.84</v>
      </c>
      <c r="K140" s="743">
        <f>InputY!K238/1000</f>
        <v>-10.831</v>
      </c>
      <c r="L140" s="743">
        <f>InputY!L238/1000</f>
        <v>-7.3819999999999997</v>
      </c>
      <c r="M140" s="743">
        <f>InputY!M238/1000</f>
        <v>-9.2569999999999997</v>
      </c>
      <c r="N140" s="743">
        <f>InputY!N238/1000</f>
        <v>-6.1369999999999996</v>
      </c>
      <c r="O140" s="743">
        <f>InputY!O238/1000</f>
        <v>32.856000000000002</v>
      </c>
      <c r="P140" s="743">
        <f>InputY!P238/1000</f>
        <v>3.29</v>
      </c>
      <c r="Q140" s="743">
        <f>InputY!Q238/1000</f>
        <v>25.07</v>
      </c>
      <c r="R140" s="743">
        <f>InputY!R238/1000</f>
        <v>64.935000000000002</v>
      </c>
      <c r="S140" s="743">
        <f>InputY!S238/1000</f>
        <v>80.043000000000006</v>
      </c>
      <c r="T140" s="743">
        <f>InputY!T238/1000</f>
        <v>94.287999999999997</v>
      </c>
      <c r="U140" s="743">
        <f>InputY!U238/1000</f>
        <v>50.790999999999997</v>
      </c>
      <c r="V140" s="743">
        <f>InputY!V238/1000</f>
        <v>71.683999999999997</v>
      </c>
      <c r="W140" s="743">
        <f>InputY!W238/1000</f>
        <v>51.843000000000004</v>
      </c>
      <c r="X140" s="743">
        <f>InputY!X238/1000</f>
        <v>61.171999999999997</v>
      </c>
      <c r="Y140" s="743">
        <f>InputY!Y238/1000</f>
        <v>62.369</v>
      </c>
      <c r="Z140" s="743">
        <f>InputY!Z238/1000</f>
        <v>59.902999999999999</v>
      </c>
      <c r="AA140" s="743">
        <f>InputY!AA238/1000</f>
        <v>36.912999999999997</v>
      </c>
      <c r="AB140" s="743">
        <f>InputY!AB238/1000</f>
        <v>36.396000000000001</v>
      </c>
      <c r="AC140" s="743">
        <f>InputY!AC238/1000</f>
        <v>55.795000000000002</v>
      </c>
      <c r="AD140" s="2279">
        <f t="shared" si="187"/>
        <v>56.35295</v>
      </c>
      <c r="AE140" s="2279">
        <f t="shared" si="187"/>
        <v>56.916479500000001</v>
      </c>
      <c r="AF140" s="2279">
        <f t="shared" si="187"/>
        <v>57.485644295</v>
      </c>
      <c r="BB140" s="3472">
        <v>55.078000000000003</v>
      </c>
      <c r="BC140" s="736">
        <f t="shared" si="184"/>
        <v>-18.682000000000002</v>
      </c>
    </row>
    <row r="141" spans="1:55" ht="12.75" customHeight="1" outlineLevel="1">
      <c r="A141" s="701">
        <f>+ROW(InputY!A189)</f>
        <v>189</v>
      </c>
      <c r="B141" s="701">
        <v>90</v>
      </c>
      <c r="C141" s="821" t="s">
        <v>1793</v>
      </c>
      <c r="D141" s="789" t="s">
        <v>664</v>
      </c>
      <c r="E141" s="790" t="s">
        <v>612</v>
      </c>
      <c r="F141" s="791" t="str">
        <f>+InputY!B189</f>
        <v>HPropN</v>
      </c>
      <c r="G141" s="822">
        <f>+InputY!G189/1000</f>
        <v>61.656999999999996</v>
      </c>
      <c r="H141" s="822">
        <f>+InputY!H189/1000</f>
        <v>68.144999999999996</v>
      </c>
      <c r="I141" s="822">
        <f>+InputY!I189/1000</f>
        <v>62.497</v>
      </c>
      <c r="J141" s="822">
        <f>+InputY!J189/1000</f>
        <v>66.662999999999997</v>
      </c>
      <c r="K141" s="822">
        <v>1</v>
      </c>
      <c r="L141" s="822">
        <f>+InputY!L189/1000</f>
        <v>99.584999999999994</v>
      </c>
      <c r="M141" s="822">
        <f>+InputY!M189/1000</f>
        <v>83.412999999999997</v>
      </c>
      <c r="N141" s="822">
        <f>+InputY!N189/1000</f>
        <v>67.427999999999997</v>
      </c>
      <c r="O141" s="822">
        <f>+InputY!O189/1000</f>
        <v>58.621000000000002</v>
      </c>
      <c r="P141" s="822">
        <f>+InputY!P189/1000</f>
        <v>60.526000000000003</v>
      </c>
      <c r="Q141" s="822">
        <f>+InputY!Q189/1000</f>
        <v>76.503</v>
      </c>
      <c r="R141" s="822">
        <f>+InputY!R189/1000</f>
        <v>111.84099999999999</v>
      </c>
      <c r="S141" s="822">
        <f>+InputY!S189/1000</f>
        <v>123.514</v>
      </c>
      <c r="T141" s="822">
        <f>+InputY!T189/1000</f>
        <v>148.03200000000001</v>
      </c>
      <c r="U141" s="822">
        <f>+InputY!U189/1000</f>
        <v>130.76499999999999</v>
      </c>
      <c r="V141" s="822">
        <f>+InputY!V189/1000</f>
        <v>188.49600000000001</v>
      </c>
      <c r="W141" s="822">
        <f>+InputY!W189/1000</f>
        <v>187.17</v>
      </c>
      <c r="X141" s="822">
        <f>+InputY!X189/1000</f>
        <v>191.292</v>
      </c>
      <c r="Y141" s="822">
        <f>+InputY!Y189/1000</f>
        <v>197.952</v>
      </c>
      <c r="Z141" s="822">
        <f>+InputY!Z189/1000</f>
        <v>247.53299999999999</v>
      </c>
      <c r="AA141" s="822">
        <f>+InputY!AA189/1000</f>
        <v>261.90600000000001</v>
      </c>
      <c r="AB141" s="822">
        <f>+InputY!AB189/1000</f>
        <v>309.34100000000001</v>
      </c>
      <c r="AC141" s="822">
        <f>+InputY!AC189/1000</f>
        <v>297.733</v>
      </c>
      <c r="AD141" s="2296">
        <f ca="1">-AD136-AD137+AD138+AD139+AD140</f>
        <v>309.61443096784745</v>
      </c>
      <c r="AE141" s="2296">
        <f ca="1">-AE136-AE137+AE138+AE139+AE140</f>
        <v>322.09475333787179</v>
      </c>
      <c r="AF141" s="2296">
        <f ca="1">-AF136-AF137+AF138+AF139+AF140</f>
        <v>341.08544438531953</v>
      </c>
      <c r="BB141" s="3473">
        <v>275.72699999999998</v>
      </c>
      <c r="BC141" s="736">
        <f t="shared" si="184"/>
        <v>33.614000000000033</v>
      </c>
    </row>
    <row r="142" spans="1:55" s="2032" customFormat="1" ht="12.75" customHeight="1" outlineLevel="1">
      <c r="A142" s="1036"/>
      <c r="B142" s="1036"/>
      <c r="C142" s="1647"/>
      <c r="D142" s="1051"/>
      <c r="E142" s="2033" t="s">
        <v>90</v>
      </c>
      <c r="F142" s="2034"/>
      <c r="G142" s="2999">
        <f t="shared" ref="G142" si="188">ABS(+G141-G140-G139-G138+G137+G136)</f>
        <v>0</v>
      </c>
      <c r="H142" s="2999">
        <f t="shared" ref="H142:I142" si="189">ABS(+H141-H140-H139-H138+H137+H136)</f>
        <v>0</v>
      </c>
      <c r="I142" s="2999">
        <f t="shared" si="189"/>
        <v>0</v>
      </c>
      <c r="J142" s="2999">
        <f t="shared" ref="J142" si="190">ABS(+J141-J140-J139-J138+J137+J136)</f>
        <v>7.1054273576010019E-15</v>
      </c>
      <c r="K142" s="2999">
        <f t="shared" ref="K142:L142" si="191">ABS(+K141-K140-K139-K138+K137+K136)</f>
        <v>71.128</v>
      </c>
      <c r="L142" s="2999">
        <f t="shared" si="191"/>
        <v>0</v>
      </c>
      <c r="M142" s="2999">
        <f t="shared" ref="M142" si="192">ABS(+M141-M140-M139-M138+M137+M136)</f>
        <v>1.4210854715202004E-14</v>
      </c>
      <c r="N142" s="2999">
        <f t="shared" ref="N142:O142" si="193">ABS(+N141-N140-N139-N138+N137+N136)</f>
        <v>7.1054273576010019E-15</v>
      </c>
      <c r="O142" s="2999">
        <f t="shared" si="193"/>
        <v>3.5527136788005009E-15</v>
      </c>
      <c r="P142" s="2999">
        <f t="shared" ref="P142" si="194">ABS(+P141-P140-P139-P138+P137+P136)</f>
        <v>7.1054273576010019E-15</v>
      </c>
      <c r="Q142" s="2999">
        <f t="shared" ref="Q142:R142" si="195">ABS(+Q141-Q140-Q139-Q138+Q137+Q136)</f>
        <v>0</v>
      </c>
      <c r="R142" s="2999">
        <f t="shared" si="195"/>
        <v>0</v>
      </c>
      <c r="S142" s="2999">
        <f t="shared" ref="S142" si="196">ABS(+S141-S140-S139-S138+S137+S136)</f>
        <v>1.4210854715202004E-14</v>
      </c>
      <c r="T142" s="2999">
        <f t="shared" ref="T142:U142" si="197">ABS(+T141-T140-T139-T138+T137+T136)</f>
        <v>1.4210854715202004E-14</v>
      </c>
      <c r="U142" s="2999">
        <f t="shared" si="197"/>
        <v>1.4210854715202004E-14</v>
      </c>
      <c r="V142" s="2999">
        <f t="shared" ref="V142" si="198">ABS(+V141-V140-V139-V138+V137+V136)</f>
        <v>0</v>
      </c>
      <c r="W142" s="2999">
        <f t="shared" ref="W142:X142" si="199">ABS(+W141-W140-W139-W138+W137+W136)</f>
        <v>2.8421709430404007E-14</v>
      </c>
      <c r="X142" s="2999">
        <f t="shared" si="199"/>
        <v>2.8421709430404007E-14</v>
      </c>
      <c r="Y142" s="2999">
        <f t="shared" ref="Y142" si="200">ABS(+Y141-Y140-Y139-Y138+Y137+Y136)</f>
        <v>0</v>
      </c>
      <c r="Z142" s="2999">
        <f t="shared" ref="Z142:AC142" si="201">ABS(+Z141-Z140-Z139-Z138+Z137+Z136)</f>
        <v>2.8421709430404007E-14</v>
      </c>
      <c r="AA142" s="2999">
        <f t="shared" si="201"/>
        <v>5.6843418860808015E-14</v>
      </c>
      <c r="AB142" s="2999">
        <f t="shared" si="201"/>
        <v>0</v>
      </c>
      <c r="AC142" s="2999">
        <f t="shared" si="201"/>
        <v>5.6843418860808015E-14</v>
      </c>
      <c r="AD142" s="2999">
        <f t="shared" ref="AD142:AE142" ca="1" si="202">ABS(+AD141-AD140-AD139-AD138+AD137+AD136)</f>
        <v>0</v>
      </c>
      <c r="AE142" s="2999">
        <f t="shared" ca="1" si="202"/>
        <v>5.6843418860808015E-14</v>
      </c>
      <c r="AF142" s="2999">
        <f t="shared" ref="AF142" ca="1" si="203">ABS(+AF141-AF140-AF139-AF138+AF137+AF136)</f>
        <v>0</v>
      </c>
      <c r="AG142" s="2940"/>
      <c r="AH142" s="2939"/>
      <c r="AI142" s="2939"/>
      <c r="AJ142" s="2939"/>
      <c r="AK142" s="2939"/>
      <c r="AL142" s="2939"/>
      <c r="AM142" s="2939"/>
      <c r="AN142" s="2940"/>
      <c r="AO142" s="2940"/>
      <c r="AP142" s="2940"/>
      <c r="AQ142" s="2940"/>
      <c r="AR142" s="2940"/>
      <c r="AS142" s="2940"/>
      <c r="AT142" s="2940"/>
      <c r="BB142" s="3508">
        <v>0.39999999999997726</v>
      </c>
      <c r="BC142" s="736" t="str">
        <f t="shared" si="184"/>
        <v/>
      </c>
    </row>
    <row r="143" spans="1:55" ht="12.75" customHeight="1" outlineLevel="1">
      <c r="A143" s="701"/>
      <c r="B143" s="701"/>
      <c r="C143" s="811"/>
      <c r="E143" s="2939" t="s">
        <v>2455</v>
      </c>
      <c r="F143" s="824"/>
      <c r="G143" s="740"/>
      <c r="H143" s="825"/>
      <c r="I143" s="740"/>
      <c r="J143" s="740"/>
      <c r="K143" s="740"/>
      <c r="L143" s="2339">
        <f t="shared" ref="L143:AC143" si="204">L139/L602</f>
        <v>5.7363643827236285E-2</v>
      </c>
      <c r="M143" s="2339">
        <f t="shared" si="204"/>
        <v>5.3482363931729206E-2</v>
      </c>
      <c r="N143" s="2339">
        <f t="shared" si="204"/>
        <v>5.716940018888772E-2</v>
      </c>
      <c r="O143" s="2339">
        <f t="shared" si="204"/>
        <v>4.3305472981542262E-2</v>
      </c>
      <c r="P143" s="2339">
        <f t="shared" si="204"/>
        <v>3.5565134682068338E-2</v>
      </c>
      <c r="Q143" s="2339">
        <f t="shared" si="204"/>
        <v>3.7110113843514189E-2</v>
      </c>
      <c r="R143" s="2339">
        <f t="shared" si="204"/>
        <v>3.5160070349522961E-2</v>
      </c>
      <c r="S143" s="3388">
        <f t="shared" si="204"/>
        <v>4.0048388776972928E-2</v>
      </c>
      <c r="T143" s="3388">
        <f t="shared" si="204"/>
        <v>4.0982365150037628E-2</v>
      </c>
      <c r="U143" s="3388">
        <f t="shared" si="204"/>
        <v>2.992138779987406E-2</v>
      </c>
      <c r="V143" s="3388">
        <f t="shared" si="204"/>
        <v>2.7112903699785477E-2</v>
      </c>
      <c r="W143" s="3388">
        <f t="shared" si="204"/>
        <v>3.0265271391342382E-2</v>
      </c>
      <c r="X143" s="3663">
        <f t="shared" si="204"/>
        <v>2.4246091547083761E-2</v>
      </c>
      <c r="Y143" s="3663">
        <f t="shared" si="204"/>
        <v>2.1599661025398172E-2</v>
      </c>
      <c r="Z143" s="3663">
        <f t="shared" si="204"/>
        <v>1.7413775927774339E-2</v>
      </c>
      <c r="AA143" s="3663">
        <f t="shared" si="204"/>
        <v>1.0483784544078445E-2</v>
      </c>
      <c r="AB143" s="3663">
        <f t="shared" ref="AB143" si="205">AB139/AB602</f>
        <v>9.7924715728504291E-3</v>
      </c>
      <c r="AC143" s="3663">
        <f t="shared" si="204"/>
        <v>8.6631165149876656E-3</v>
      </c>
      <c r="AD143" s="3663">
        <f t="shared" ref="AD143:AE143" si="206">AD139/AD602</f>
        <v>7.5756442741321652E-3</v>
      </c>
      <c r="AE143" s="3663">
        <f t="shared" ca="1" si="206"/>
        <v>6.855995049257331E-3</v>
      </c>
      <c r="AF143" s="3663">
        <f t="shared" ref="AF143" ca="1" si="207">AF139/AF602</f>
        <v>9.5049066717203725E-3</v>
      </c>
      <c r="AH143" s="2940"/>
      <c r="AI143" s="2940"/>
      <c r="AJ143" s="2940"/>
      <c r="AK143" s="2940"/>
      <c r="AL143" s="2940"/>
      <c r="AM143" s="2940"/>
      <c r="BB143" s="3509">
        <v>1.0406981175215303E-2</v>
      </c>
      <c r="BC143" s="736" t="str">
        <f t="shared" si="184"/>
        <v/>
      </c>
    </row>
    <row r="144" spans="1:55" ht="12.75" customHeight="1" outlineLevel="1">
      <c r="A144" s="701"/>
      <c r="B144" s="701"/>
      <c r="C144" s="811"/>
      <c r="D144" s="779"/>
      <c r="E144" s="780" t="s">
        <v>1883</v>
      </c>
      <c r="F144" s="781"/>
      <c r="G144" s="782">
        <f>+InputY!$G$3</f>
        <v>1995</v>
      </c>
      <c r="H144" s="782">
        <f>+G144+1</f>
        <v>1996</v>
      </c>
      <c r="I144" s="782">
        <f t="shared" ref="I144:O144" si="208">+H144+1</f>
        <v>1997</v>
      </c>
      <c r="J144" s="782">
        <f t="shared" si="208"/>
        <v>1998</v>
      </c>
      <c r="K144" s="782">
        <f t="shared" si="208"/>
        <v>1999</v>
      </c>
      <c r="L144" s="782">
        <f t="shared" si="208"/>
        <v>2000</v>
      </c>
      <c r="M144" s="782">
        <f t="shared" si="208"/>
        <v>2001</v>
      </c>
      <c r="N144" s="782">
        <f t="shared" si="208"/>
        <v>2002</v>
      </c>
      <c r="O144" s="782">
        <f t="shared" si="208"/>
        <v>2003</v>
      </c>
      <c r="P144" s="782">
        <f t="shared" ref="P144:AF144" si="209">+O144+1</f>
        <v>2004</v>
      </c>
      <c r="Q144" s="782">
        <f t="shared" si="209"/>
        <v>2005</v>
      </c>
      <c r="R144" s="782">
        <f t="shared" si="209"/>
        <v>2006</v>
      </c>
      <c r="S144" s="782">
        <f t="shared" si="209"/>
        <v>2007</v>
      </c>
      <c r="T144" s="782">
        <f t="shared" si="209"/>
        <v>2008</v>
      </c>
      <c r="U144" s="782">
        <f t="shared" si="209"/>
        <v>2009</v>
      </c>
      <c r="V144" s="782">
        <f t="shared" si="209"/>
        <v>2010</v>
      </c>
      <c r="W144" s="782">
        <f t="shared" si="209"/>
        <v>2011</v>
      </c>
      <c r="X144" s="2272">
        <f t="shared" si="209"/>
        <v>2012</v>
      </c>
      <c r="Y144" s="2272">
        <f t="shared" si="209"/>
        <v>2013</v>
      </c>
      <c r="Z144" s="2272">
        <f t="shared" si="209"/>
        <v>2014</v>
      </c>
      <c r="AA144" s="2272">
        <f t="shared" si="209"/>
        <v>2015</v>
      </c>
      <c r="AB144" s="2272">
        <f t="shared" si="209"/>
        <v>2016</v>
      </c>
      <c r="AC144" s="2272">
        <f t="shared" si="209"/>
        <v>2017</v>
      </c>
      <c r="AD144" s="2272">
        <f t="shared" si="209"/>
        <v>2018</v>
      </c>
      <c r="AE144" s="2272">
        <f t="shared" si="209"/>
        <v>2019</v>
      </c>
      <c r="AF144" s="2272">
        <f t="shared" si="209"/>
        <v>2020</v>
      </c>
      <c r="AH144" s="3458" t="s">
        <v>2490</v>
      </c>
      <c r="AI144" s="2944"/>
      <c r="BB144" s="3476">
        <v>2016</v>
      </c>
      <c r="BC144" s="736" t="str">
        <f t="shared" si="184"/>
        <v/>
      </c>
    </row>
    <row r="145" spans="1:55" ht="12.75" customHeight="1" outlineLevel="1">
      <c r="A145" s="701"/>
      <c r="B145" s="701"/>
      <c r="C145" s="831" t="s">
        <v>301</v>
      </c>
      <c r="D145" s="726" t="s">
        <v>665</v>
      </c>
      <c r="E145" s="775" t="s">
        <v>612</v>
      </c>
      <c r="F145" s="770" t="s">
        <v>1212</v>
      </c>
      <c r="G145" s="776"/>
      <c r="H145" s="776">
        <f t="shared" ref="H145:AC145" si="210">(H136/G136-1)*100</f>
        <v>2.6683834302712706</v>
      </c>
      <c r="I145" s="776">
        <f t="shared" si="210"/>
        <v>-19.323358127198297</v>
      </c>
      <c r="J145" s="776">
        <f t="shared" si="210"/>
        <v>2.2817017170832843</v>
      </c>
      <c r="K145" s="776">
        <f t="shared" si="210"/>
        <v>-9.9696038012717541</v>
      </c>
      <c r="L145" s="776">
        <f t="shared" si="210"/>
        <v>55.726953450918757</v>
      </c>
      <c r="M145" s="776">
        <f t="shared" si="210"/>
        <v>-9.0795818433283095</v>
      </c>
      <c r="N145" s="776">
        <f t="shared" si="210"/>
        <v>-39.242154309990404</v>
      </c>
      <c r="O145" s="776">
        <f t="shared" si="210"/>
        <v>-61.996165557685799</v>
      </c>
      <c r="P145" s="776">
        <f t="shared" si="210"/>
        <v>232.90402991275445</v>
      </c>
      <c r="Q145" s="776">
        <f t="shared" si="210"/>
        <v>5.2575279456597235</v>
      </c>
      <c r="R145" s="776">
        <f t="shared" si="210"/>
        <v>-2.9014227642276458</v>
      </c>
      <c r="S145" s="776">
        <f t="shared" si="210"/>
        <v>9.231252289497105</v>
      </c>
      <c r="T145" s="776">
        <f t="shared" si="210"/>
        <v>28.896980149794782</v>
      </c>
      <c r="U145" s="776">
        <f t="shared" si="210"/>
        <v>33.7004732760116</v>
      </c>
      <c r="V145" s="776">
        <f t="shared" si="210"/>
        <v>34.045313441134219</v>
      </c>
      <c r="W145" s="776">
        <f t="shared" si="210"/>
        <v>15.872939061905921</v>
      </c>
      <c r="X145" s="776">
        <f t="shared" si="210"/>
        <v>-0.73083715158458462</v>
      </c>
      <c r="Y145" s="776">
        <f t="shared" si="210"/>
        <v>5.9480380549428835</v>
      </c>
      <c r="Z145" s="776">
        <f t="shared" si="210"/>
        <v>25.630785986567428</v>
      </c>
      <c r="AA145" s="776">
        <f t="shared" si="210"/>
        <v>19.809727640514385</v>
      </c>
      <c r="AB145" s="776">
        <f t="shared" si="210"/>
        <v>19.536829410767108</v>
      </c>
      <c r="AC145" s="776">
        <f t="shared" si="210"/>
        <v>-9.3689802481201738</v>
      </c>
      <c r="AD145" s="2274">
        <v>4</v>
      </c>
      <c r="AE145" s="2274">
        <v>4</v>
      </c>
      <c r="AF145" s="2274">
        <v>4</v>
      </c>
      <c r="AG145" s="3634" t="s">
        <v>2575</v>
      </c>
      <c r="AH145" s="3624">
        <v>2018</v>
      </c>
      <c r="AI145" s="3624">
        <v>2019</v>
      </c>
      <c r="AJ145" s="3624">
        <v>2020</v>
      </c>
      <c r="BB145" s="3477">
        <v>1.8072778626840202</v>
      </c>
      <c r="BC145" s="736">
        <f t="shared" si="184"/>
        <v>17.729551548083087</v>
      </c>
    </row>
    <row r="146" spans="1:55" ht="12.75" customHeight="1" outlineLevel="1">
      <c r="A146" s="701"/>
      <c r="B146" s="701"/>
      <c r="C146" s="832" t="s">
        <v>301</v>
      </c>
      <c r="D146" s="711" t="s">
        <v>666</v>
      </c>
      <c r="E146" s="820" t="s">
        <v>164</v>
      </c>
      <c r="F146" s="741" t="s">
        <v>760</v>
      </c>
      <c r="G146" s="743"/>
      <c r="H146" s="743">
        <f t="shared" ref="H146:AC147" si="211">(H137/G137-1)*100</f>
        <v>-0.94455451070123431</v>
      </c>
      <c r="I146" s="743">
        <f t="shared" si="211"/>
        <v>-9.1567249320393849</v>
      </c>
      <c r="J146" s="743">
        <f t="shared" si="211"/>
        <v>0.51786157281072942</v>
      </c>
      <c r="K146" s="743">
        <f t="shared" si="211"/>
        <v>-11.76307265155021</v>
      </c>
      <c r="L146" s="743">
        <f t="shared" si="211"/>
        <v>-3.9367876372281674</v>
      </c>
      <c r="M146" s="743">
        <f t="shared" si="211"/>
        <v>-12.807541126801569</v>
      </c>
      <c r="N146" s="743">
        <f t="shared" si="211"/>
        <v>0.18157532245270946</v>
      </c>
      <c r="O146" s="743">
        <f t="shared" si="211"/>
        <v>5.0082289952292802</v>
      </c>
      <c r="P146" s="743">
        <f t="shared" si="211"/>
        <v>-1.2756670965182071</v>
      </c>
      <c r="Q146" s="743">
        <f t="shared" si="211"/>
        <v>25.553635304047262</v>
      </c>
      <c r="R146" s="743">
        <f t="shared" si="211"/>
        <v>3.4140017286084845</v>
      </c>
      <c r="S146" s="743">
        <f t="shared" si="211"/>
        <v>20.371144232406223</v>
      </c>
      <c r="T146" s="743">
        <f t="shared" si="211"/>
        <v>8.4412328185874195</v>
      </c>
      <c r="U146" s="743">
        <f t="shared" si="211"/>
        <v>-16.018876425810426</v>
      </c>
      <c r="V146" s="743">
        <f t="shared" si="211"/>
        <v>-1.8297848308578613</v>
      </c>
      <c r="W146" s="743">
        <f t="shared" si="211"/>
        <v>13.15365587067825</v>
      </c>
      <c r="X146" s="743">
        <f t="shared" si="211"/>
        <v>-4.2591321589262598</v>
      </c>
      <c r="Y146" s="743">
        <f t="shared" si="211"/>
        <v>1.7218261712267813</v>
      </c>
      <c r="Z146" s="743">
        <f t="shared" si="211"/>
        <v>-13.018114428899551</v>
      </c>
      <c r="AA146" s="743">
        <f t="shared" si="211"/>
        <v>-1.1087938303650513</v>
      </c>
      <c r="AB146" s="743">
        <f t="shared" si="211"/>
        <v>5.6561978455469619</v>
      </c>
      <c r="AC146" s="743">
        <f t="shared" si="211"/>
        <v>-0.60886297711020276</v>
      </c>
      <c r="AD146" s="2276">
        <v>-2</v>
      </c>
      <c r="AE146" s="2276">
        <v>-2</v>
      </c>
      <c r="AF146" s="2276">
        <v>-2</v>
      </c>
      <c r="AG146" s="3634" t="s">
        <v>2575</v>
      </c>
      <c r="AH146" s="1084">
        <f t="shared" ref="AH146:AJ150" si="212">AVERAGE(AA145:AC145)</f>
        <v>9.9925256010537726</v>
      </c>
      <c r="AI146" s="1084">
        <f t="shared" si="212"/>
        <v>4.7226163875489782</v>
      </c>
      <c r="AJ146" s="1084">
        <f t="shared" si="212"/>
        <v>-0.45632674937339129</v>
      </c>
      <c r="BB146" s="3472">
        <v>6.3329303194012976</v>
      </c>
      <c r="BC146" s="736" t="str">
        <f t="shared" si="184"/>
        <v/>
      </c>
    </row>
    <row r="147" spans="1:55" ht="12.75" customHeight="1" outlineLevel="1">
      <c r="A147" s="701"/>
      <c r="B147" s="701"/>
      <c r="C147" s="832" t="s">
        <v>1791</v>
      </c>
      <c r="D147" s="711" t="s">
        <v>666</v>
      </c>
      <c r="E147" s="820" t="s">
        <v>1981</v>
      </c>
      <c r="F147" s="1018" t="s">
        <v>1050</v>
      </c>
      <c r="G147" s="743"/>
      <c r="H147" s="743">
        <f t="shared" si="211"/>
        <v>-28.571428571428569</v>
      </c>
      <c r="I147" s="743">
        <f t="shared" ref="I147:AC147" si="213">(I138/H138-1)*100</f>
        <v>1.904761904761898</v>
      </c>
      <c r="J147" s="743">
        <f t="shared" si="213"/>
        <v>1070.0934579439252</v>
      </c>
      <c r="K147" s="743">
        <f t="shared" si="213"/>
        <v>5.7108626198082879</v>
      </c>
      <c r="L147" s="743">
        <f t="shared" si="213"/>
        <v>2.3044956554590268</v>
      </c>
      <c r="M147" s="743">
        <f t="shared" si="213"/>
        <v>7.9025110782865671</v>
      </c>
      <c r="N147" s="743">
        <f t="shared" si="213"/>
        <v>7.4264202600958118</v>
      </c>
      <c r="O147" s="743">
        <f t="shared" si="213"/>
        <v>5.8298821280662771</v>
      </c>
      <c r="P147" s="743">
        <f t="shared" si="213"/>
        <v>6.3214930764599719</v>
      </c>
      <c r="Q147" s="743">
        <f t="shared" si="213"/>
        <v>12.03284258210644</v>
      </c>
      <c r="R147" s="743">
        <f t="shared" si="213"/>
        <v>-0.65706343189284588</v>
      </c>
      <c r="S147" s="743">
        <f t="shared" si="213"/>
        <v>2.6201984227931741</v>
      </c>
      <c r="T147" s="743">
        <f t="shared" si="213"/>
        <v>7.3624194348041794</v>
      </c>
      <c r="U147" s="743">
        <f t="shared" si="213"/>
        <v>5.957053798199019</v>
      </c>
      <c r="V147" s="743">
        <f t="shared" si="213"/>
        <v>4.2492917847025469</v>
      </c>
      <c r="W147" s="743">
        <f t="shared" si="213"/>
        <v>9.0928093645485042</v>
      </c>
      <c r="X147" s="743">
        <f t="shared" si="213"/>
        <v>4.9626365204062051</v>
      </c>
      <c r="Y147" s="743">
        <f t="shared" si="213"/>
        <v>2.008032128514059</v>
      </c>
      <c r="Z147" s="743">
        <f t="shared" si="213"/>
        <v>8.4824624194703055</v>
      </c>
      <c r="AA147" s="743">
        <f t="shared" si="213"/>
        <v>11.761794787198943</v>
      </c>
      <c r="AB147" s="743">
        <f t="shared" si="213"/>
        <v>6.5682656826568264</v>
      </c>
      <c r="AC147" s="743">
        <f t="shared" si="213"/>
        <v>5.1246537396121949</v>
      </c>
      <c r="AD147" s="2327">
        <f ca="1">+'VVP2'!AD348</f>
        <v>4.8980364670283993</v>
      </c>
      <c r="AE147" s="2327">
        <f ca="1">+'VVP2'!AE348</f>
        <v>3.7812749119215061</v>
      </c>
      <c r="AF147" s="2327">
        <f ca="1">+'VVP2'!AF348</f>
        <v>3.5451641625984909</v>
      </c>
      <c r="AH147" s="1084">
        <f t="shared" si="212"/>
        <v>1.3128470126905694</v>
      </c>
      <c r="AI147" s="1084">
        <f t="shared" si="212"/>
        <v>1.0157782894789198</v>
      </c>
      <c r="AJ147" s="1084">
        <f t="shared" si="212"/>
        <v>-1.5362876590367343</v>
      </c>
      <c r="BB147" s="3472">
        <v>10.741233910341762</v>
      </c>
      <c r="BC147" s="736">
        <f t="shared" si="184"/>
        <v>-4.1729682276849358</v>
      </c>
    </row>
    <row r="148" spans="1:55" ht="12.75" customHeight="1" outlineLevel="1">
      <c r="A148" s="701"/>
      <c r="B148" s="701"/>
      <c r="C148" s="832" t="s">
        <v>1791</v>
      </c>
      <c r="D148" s="711" t="s">
        <v>666</v>
      </c>
      <c r="E148" s="820" t="s">
        <v>1262</v>
      </c>
      <c r="F148" s="741" t="s">
        <v>1154</v>
      </c>
      <c r="G148" s="743"/>
      <c r="H148" s="743">
        <f t="shared" ref="H148:AC148" si="214">(H139/G139-1)*100</f>
        <v>3.8925438596491224</v>
      </c>
      <c r="I148" s="743">
        <f t="shared" si="214"/>
        <v>1.0195648927166845</v>
      </c>
      <c r="J148" s="743">
        <f t="shared" si="214"/>
        <v>-8.7463901674568199</v>
      </c>
      <c r="K148" s="743">
        <f t="shared" si="214"/>
        <v>-7.1350650753361666</v>
      </c>
      <c r="L148" s="743">
        <f t="shared" si="214"/>
        <v>-8.1705997976250107</v>
      </c>
      <c r="M148" s="743">
        <f t="shared" si="214"/>
        <v>-18.063682650657341</v>
      </c>
      <c r="N148" s="743">
        <f t="shared" si="214"/>
        <v>14.530390156433581</v>
      </c>
      <c r="O148" s="743">
        <f t="shared" si="214"/>
        <v>-24.419640447011815</v>
      </c>
      <c r="P148" s="743">
        <f t="shared" si="214"/>
        <v>-15.400275004910801</v>
      </c>
      <c r="Q148" s="743">
        <f t="shared" si="214"/>
        <v>7.4701846965699259</v>
      </c>
      <c r="R148" s="743">
        <f t="shared" si="214"/>
        <v>-1.2864830891306966</v>
      </c>
      <c r="S148" s="743">
        <f t="shared" si="214"/>
        <v>8.6193517578941012</v>
      </c>
      <c r="T148" s="743">
        <f t="shared" si="214"/>
        <v>-2.8466230697367756</v>
      </c>
      <c r="U148" s="743">
        <f t="shared" si="214"/>
        <v>-27.790033372928324</v>
      </c>
      <c r="V148" s="743">
        <f t="shared" si="214"/>
        <v>-3.6372656535589298</v>
      </c>
      <c r="W148" s="743">
        <f t="shared" si="214"/>
        <v>11.556699634195899</v>
      </c>
      <c r="X148" s="743">
        <f t="shared" si="214"/>
        <v>-18.440612096186538</v>
      </c>
      <c r="Y148" s="743">
        <f t="shared" si="214"/>
        <v>-9.6700220382393347</v>
      </c>
      <c r="Z148" s="743">
        <f t="shared" si="214"/>
        <v>-11.8228874748607</v>
      </c>
      <c r="AA148" s="743">
        <f t="shared" si="214"/>
        <v>-29.77005047672462</v>
      </c>
      <c r="AB148" s="743">
        <f t="shared" si="214"/>
        <v>-3.2209977106958387</v>
      </c>
      <c r="AC148" s="743">
        <f t="shared" si="214"/>
        <v>-11.464407525580366</v>
      </c>
      <c r="AD148" s="3662">
        <v>-12</v>
      </c>
      <c r="AE148" s="3662">
        <v>-12</v>
      </c>
      <c r="AF148" s="3662">
        <v>35</v>
      </c>
      <c r="AG148" s="3634" t="s">
        <v>2575</v>
      </c>
      <c r="AH148" s="1084">
        <f t="shared" si="212"/>
        <v>7.8182380698226552</v>
      </c>
      <c r="AI148" s="1084">
        <f t="shared" ca="1" si="212"/>
        <v>5.530318629765806</v>
      </c>
      <c r="AJ148" s="1084">
        <f t="shared" ca="1" si="212"/>
        <v>4.6013217061873668</v>
      </c>
      <c r="BB148" s="3472">
        <v>-2.1096830354856877</v>
      </c>
      <c r="BC148" s="736">
        <f t="shared" si="184"/>
        <v>-1.111314675210151</v>
      </c>
    </row>
    <row r="149" spans="1:55" ht="12.75" customHeight="1" outlineLevel="1">
      <c r="A149" s="701"/>
      <c r="B149" s="701"/>
      <c r="C149" s="833" t="s">
        <v>301</v>
      </c>
      <c r="D149" s="728" t="s">
        <v>667</v>
      </c>
      <c r="E149" s="834" t="s">
        <v>612</v>
      </c>
      <c r="F149" s="773" t="s">
        <v>1722</v>
      </c>
      <c r="G149" s="778"/>
      <c r="H149" s="778">
        <f t="shared" ref="H149:AC150" si="215">(H140/G140-1)*100</f>
        <v>-1.0543520061530587</v>
      </c>
      <c r="I149" s="778">
        <f t="shared" si="215"/>
        <v>-0.73846153846154339</v>
      </c>
      <c r="J149" s="778">
        <f t="shared" si="215"/>
        <v>-31.999869481515319</v>
      </c>
      <c r="K149" s="778">
        <f t="shared" si="215"/>
        <v>-48.027831094049908</v>
      </c>
      <c r="L149" s="778">
        <f t="shared" si="215"/>
        <v>-31.843781737605028</v>
      </c>
      <c r="M149" s="778">
        <f t="shared" si="215"/>
        <v>25.399620698997573</v>
      </c>
      <c r="N149" s="778">
        <f t="shared" si="215"/>
        <v>-33.70422383061468</v>
      </c>
      <c r="O149" s="778">
        <f t="shared" si="215"/>
        <v>-635.37559067948507</v>
      </c>
      <c r="P149" s="778">
        <f t="shared" si="215"/>
        <v>-89.98660822985147</v>
      </c>
      <c r="Q149" s="778">
        <f t="shared" si="215"/>
        <v>662.00607902735567</v>
      </c>
      <c r="R149" s="778">
        <f t="shared" si="215"/>
        <v>159.01475867570804</v>
      </c>
      <c r="S149" s="778">
        <f t="shared" si="215"/>
        <v>23.26634326634327</v>
      </c>
      <c r="T149" s="778">
        <f t="shared" si="215"/>
        <v>17.796684282198292</v>
      </c>
      <c r="U149" s="778">
        <f t="shared" si="215"/>
        <v>-46.132063465128113</v>
      </c>
      <c r="V149" s="778">
        <f t="shared" si="215"/>
        <v>41.135240495363348</v>
      </c>
      <c r="W149" s="778">
        <f t="shared" si="215"/>
        <v>-27.678421963060085</v>
      </c>
      <c r="X149" s="778">
        <f t="shared" si="215"/>
        <v>17.994714812028612</v>
      </c>
      <c r="Y149" s="778">
        <f t="shared" si="215"/>
        <v>1.9567776106715451</v>
      </c>
      <c r="Z149" s="778">
        <f t="shared" si="215"/>
        <v>-3.9538873478811576</v>
      </c>
      <c r="AA149" s="778">
        <f t="shared" si="215"/>
        <v>-38.378712251473225</v>
      </c>
      <c r="AB149" s="778">
        <f t="shared" si="215"/>
        <v>-1.4005905778451955</v>
      </c>
      <c r="AC149" s="778">
        <f t="shared" si="215"/>
        <v>53.299813166282007</v>
      </c>
      <c r="AD149" s="2275">
        <v>1</v>
      </c>
      <c r="AE149" s="2275">
        <v>1</v>
      </c>
      <c r="AF149" s="3694">
        <v>1</v>
      </c>
      <c r="AG149" s="3634" t="s">
        <v>2575</v>
      </c>
      <c r="AH149" s="1084">
        <f t="shared" si="212"/>
        <v>-14.818485237666943</v>
      </c>
      <c r="AI149" s="1084">
        <f t="shared" si="212"/>
        <v>-8.8951350787587344</v>
      </c>
      <c r="AJ149" s="1084">
        <f t="shared" si="212"/>
        <v>-11.821469175193457</v>
      </c>
      <c r="BB149" s="3492">
        <v>21.35727663324889</v>
      </c>
      <c r="BC149" s="736">
        <f t="shared" si="184"/>
        <v>-22.757867211094087</v>
      </c>
    </row>
    <row r="150" spans="1:55" ht="12.75" customHeight="1" outlineLevel="1">
      <c r="A150" s="701"/>
      <c r="B150" s="701"/>
      <c r="C150" s="811" t="s">
        <v>1793</v>
      </c>
      <c r="D150" s="754" t="s">
        <v>664</v>
      </c>
      <c r="E150" s="759" t="s">
        <v>612</v>
      </c>
      <c r="F150" s="760" t="s">
        <v>661</v>
      </c>
      <c r="G150" s="758"/>
      <c r="H150" s="758">
        <f t="shared" ref="H150:Y150" si="216">(H141/G141-1)*100</f>
        <v>10.522730590200634</v>
      </c>
      <c r="I150" s="758">
        <f t="shared" si="216"/>
        <v>-8.2882089661750591</v>
      </c>
      <c r="J150" s="758">
        <f t="shared" si="216"/>
        <v>6.6659199641582845</v>
      </c>
      <c r="K150" s="758">
        <f t="shared" si="216"/>
        <v>-98.499917495462256</v>
      </c>
      <c r="L150" s="758">
        <f t="shared" si="216"/>
        <v>9858.5</v>
      </c>
      <c r="M150" s="758">
        <f t="shared" si="216"/>
        <v>-16.239393482954256</v>
      </c>
      <c r="N150" s="758">
        <f t="shared" si="216"/>
        <v>-19.163679522376608</v>
      </c>
      <c r="O150" s="758">
        <f t="shared" si="216"/>
        <v>-13.061339502877134</v>
      </c>
      <c r="P150" s="758">
        <f t="shared" si="216"/>
        <v>3.2496886781187673</v>
      </c>
      <c r="Q150" s="758">
        <f t="shared" si="216"/>
        <v>26.396920331758245</v>
      </c>
      <c r="R150" s="758">
        <f t="shared" si="216"/>
        <v>46.191652614930121</v>
      </c>
      <c r="S150" s="758">
        <f t="shared" si="216"/>
        <v>10.437138437603387</v>
      </c>
      <c r="T150" s="758">
        <f t="shared" si="216"/>
        <v>19.850381333290159</v>
      </c>
      <c r="U150" s="758">
        <f t="shared" si="216"/>
        <v>-11.664369865974944</v>
      </c>
      <c r="V150" s="758">
        <f t="shared" si="216"/>
        <v>44.148663633235216</v>
      </c>
      <c r="W150" s="758">
        <f t="shared" si="216"/>
        <v>-0.70346320346321711</v>
      </c>
      <c r="X150" s="758">
        <f t="shared" si="216"/>
        <v>2.2022760057701651</v>
      </c>
      <c r="Y150" s="758">
        <f t="shared" si="216"/>
        <v>3.4815883570666895</v>
      </c>
      <c r="Z150" s="758">
        <f t="shared" si="215"/>
        <v>25.046981086323949</v>
      </c>
      <c r="AA150" s="758">
        <f t="shared" si="215"/>
        <v>5.8064985274690617</v>
      </c>
      <c r="AB150" s="758">
        <f t="shared" si="215"/>
        <v>18.111459836735321</v>
      </c>
      <c r="AC150" s="758">
        <f t="shared" si="215"/>
        <v>-3.7524932032934499</v>
      </c>
      <c r="AD150" s="2282">
        <f t="shared" ref="AD150:AF150" ca="1" si="217">(AD141/AC141-1)*100</f>
        <v>3.9906328716828421</v>
      </c>
      <c r="AE150" s="2282">
        <f t="shared" ca="1" si="217"/>
        <v>4.0309239885915948</v>
      </c>
      <c r="AF150" s="2282">
        <f t="shared" ca="1" si="217"/>
        <v>5.8959951538008593</v>
      </c>
      <c r="AH150" s="1084">
        <f t="shared" si="212"/>
        <v>4.5068367789878634</v>
      </c>
      <c r="AI150" s="1084">
        <f t="shared" si="212"/>
        <v>17.633074196145603</v>
      </c>
      <c r="AJ150" s="1084">
        <f t="shared" si="212"/>
        <v>18.433271055427337</v>
      </c>
      <c r="BB150" s="3498">
        <v>4.2343663760840089</v>
      </c>
      <c r="BC150" s="736">
        <f t="shared" si="184"/>
        <v>13.877093460651313</v>
      </c>
    </row>
    <row r="151" spans="1:55" ht="12.75" customHeight="1" outlineLevel="1">
      <c r="A151" s="701"/>
      <c r="B151" s="701"/>
      <c r="C151" s="811"/>
      <c r="E151" s="823"/>
      <c r="F151" s="824"/>
      <c r="G151" s="740"/>
      <c r="H151" s="825"/>
      <c r="I151" s="740"/>
      <c r="J151" s="740"/>
      <c r="K151" s="740"/>
      <c r="L151" s="740"/>
      <c r="M151" s="740"/>
      <c r="N151" s="740"/>
      <c r="O151" s="740"/>
      <c r="P151" s="740"/>
      <c r="Q151" s="740"/>
      <c r="R151" s="740"/>
      <c r="S151" s="740"/>
      <c r="T151" s="740"/>
      <c r="U151" s="740"/>
      <c r="V151" s="740"/>
      <c r="W151" s="740"/>
      <c r="X151" s="2322"/>
      <c r="Y151" s="2322"/>
      <c r="Z151" s="2322"/>
      <c r="AA151" s="2322"/>
      <c r="AB151" s="2322"/>
      <c r="AC151" s="2322"/>
      <c r="AD151" s="2322"/>
      <c r="AE151" s="2322"/>
      <c r="AF151" s="2322"/>
      <c r="BB151" s="3475"/>
      <c r="BC151" s="736" t="str">
        <f t="shared" si="184"/>
        <v/>
      </c>
    </row>
    <row r="152" spans="1:55" ht="12.75" customHeight="1" outlineLevel="1">
      <c r="A152" s="701"/>
      <c r="B152" s="701"/>
      <c r="C152" s="811"/>
      <c r="D152" s="855"/>
      <c r="E152" s="856" t="s">
        <v>1884</v>
      </c>
      <c r="F152" s="857"/>
      <c r="G152" s="858">
        <f>+InputY!$G$3</f>
        <v>1995</v>
      </c>
      <c r="H152" s="858">
        <f>+G152+1</f>
        <v>1996</v>
      </c>
      <c r="I152" s="858">
        <f t="shared" ref="I152:O152" si="218">+H152+1</f>
        <v>1997</v>
      </c>
      <c r="J152" s="858">
        <f t="shared" si="218"/>
        <v>1998</v>
      </c>
      <c r="K152" s="858">
        <f t="shared" si="218"/>
        <v>1999</v>
      </c>
      <c r="L152" s="858">
        <f t="shared" si="218"/>
        <v>2000</v>
      </c>
      <c r="M152" s="858">
        <f t="shared" si="218"/>
        <v>2001</v>
      </c>
      <c r="N152" s="858">
        <f t="shared" si="218"/>
        <v>2002</v>
      </c>
      <c r="O152" s="858">
        <f t="shared" si="218"/>
        <v>2003</v>
      </c>
      <c r="P152" s="858">
        <f>+O152+1</f>
        <v>2004</v>
      </c>
      <c r="Q152" s="858">
        <f>+P152+1</f>
        <v>2005</v>
      </c>
      <c r="R152" s="858">
        <f>+Q152+1</f>
        <v>2006</v>
      </c>
      <c r="S152" s="858">
        <f t="shared" ref="S152:Y152" si="219">+R152+1</f>
        <v>2007</v>
      </c>
      <c r="T152" s="858">
        <f t="shared" si="219"/>
        <v>2008</v>
      </c>
      <c r="U152" s="858">
        <f t="shared" si="219"/>
        <v>2009</v>
      </c>
      <c r="V152" s="858">
        <f>+U152+1</f>
        <v>2010</v>
      </c>
      <c r="W152" s="858">
        <f>+V152+1</f>
        <v>2011</v>
      </c>
      <c r="X152" s="858">
        <f t="shared" si="219"/>
        <v>2012</v>
      </c>
      <c r="Y152" s="858">
        <f t="shared" si="219"/>
        <v>2013</v>
      </c>
      <c r="Z152" s="858">
        <f t="shared" ref="Z152:AF152" si="220">+Y152+1</f>
        <v>2014</v>
      </c>
      <c r="AA152" s="858">
        <f t="shared" si="220"/>
        <v>2015</v>
      </c>
      <c r="AB152" s="858">
        <f t="shared" si="220"/>
        <v>2016</v>
      </c>
      <c r="AC152" s="858">
        <f t="shared" si="220"/>
        <v>2017</v>
      </c>
      <c r="AD152" s="858">
        <f t="shared" si="220"/>
        <v>2018</v>
      </c>
      <c r="AE152" s="858">
        <f t="shared" si="220"/>
        <v>2019</v>
      </c>
      <c r="AF152" s="858">
        <f t="shared" si="220"/>
        <v>2020</v>
      </c>
      <c r="BB152" s="3480">
        <v>2016</v>
      </c>
      <c r="BC152" s="736" t="str">
        <f t="shared" si="184"/>
        <v/>
      </c>
    </row>
    <row r="153" spans="1:55" ht="12.75" customHeight="1" outlineLevel="1">
      <c r="A153" s="701"/>
      <c r="B153" s="701"/>
      <c r="C153" s="859" t="s">
        <v>301</v>
      </c>
      <c r="D153" s="860" t="s">
        <v>665</v>
      </c>
      <c r="E153" s="861" t="s">
        <v>612</v>
      </c>
      <c r="F153" s="862" t="s">
        <v>1212</v>
      </c>
      <c r="G153" s="875">
        <f>+G136/'VVP2'!G$341</f>
        <v>-3.5833305049510836E-2</v>
      </c>
      <c r="H153" s="875">
        <f>+H136/'VVP2'!H$341</f>
        <v>-3.5862690746069278E-2</v>
      </c>
      <c r="I153" s="875">
        <f>+I136/'VVP2'!I$341</f>
        <v>-2.7679331822601433E-2</v>
      </c>
      <c r="J153" s="875">
        <f>+J136/'VVP2'!J$341</f>
        <v>-2.6945885108590355E-2</v>
      </c>
      <c r="K153" s="875">
        <f>+K136/'VVP2'!K$341</f>
        <v>-2.3001705367332374E-2</v>
      </c>
      <c r="L153" s="875">
        <f>+L136/'VVP2'!L$341</f>
        <v>-3.3670131136344372E-2</v>
      </c>
      <c r="M153" s="875">
        <f>+M136/'VVP2'!M$341</f>
        <v>-2.9400672706086747E-2</v>
      </c>
      <c r="N153" s="875">
        <f>+N136/'VVP2'!N$341</f>
        <v>-1.7224439083917034E-2</v>
      </c>
      <c r="O153" s="875">
        <f>+O136/'VVP2'!O$341</f>
        <v>-6.2849164616021044E-3</v>
      </c>
      <c r="P153" s="875">
        <f>+P136/'VVP2'!P$341</f>
        <v>-1.9972560918073371E-2</v>
      </c>
      <c r="Q153" s="875">
        <f>+Q136/'VVP2'!Q$341</f>
        <v>-2.0283899002399092E-2</v>
      </c>
      <c r="R153" s="875">
        <f>+R136/'VVP2'!R$341</f>
        <v>-1.8475690288297732E-2</v>
      </c>
      <c r="S153" s="875">
        <f>+S136/'VVP2'!S$341</f>
        <v>-1.8969803843279408E-2</v>
      </c>
      <c r="T153" s="875">
        <f>+T136/'VVP2'!T$341</f>
        <v>-2.379763898786472E-2</v>
      </c>
      <c r="U153" s="875">
        <f>+U136/'VVP2'!U$341</f>
        <v>-3.2780894584431577E-2</v>
      </c>
      <c r="V153" s="875">
        <f>+V136/'VVP2'!V$341</f>
        <v>-4.105057460304487E-2</v>
      </c>
      <c r="W153" s="875">
        <f>+W136/'VVP2'!W$341</f>
        <v>-4.5783674215244131E-2</v>
      </c>
      <c r="X153" s="875">
        <f>+X136/'VVP2'!X$341</f>
        <v>-4.5106212713862857E-2</v>
      </c>
      <c r="Y153" s="875">
        <f>+Y136/'VVP2'!Y$341</f>
        <v>-4.6711936785411745E-2</v>
      </c>
      <c r="Z153" s="875">
        <f>+Z136/'VVP2'!Z$341</f>
        <v>-5.6197973825941876E-2</v>
      </c>
      <c r="AA153" s="875">
        <f>+AA136/'VVP2'!AA$341</f>
        <v>-6.3154179309839284E-2</v>
      </c>
      <c r="AB153" s="875">
        <f>+AB136/'VVP2'!AB$341</f>
        <v>-7.2325896015890553E-2</v>
      </c>
      <c r="AC153" s="875">
        <f>+AC136/'VVP2'!AC$341</f>
        <v>-6.2781030985833056E-2</v>
      </c>
      <c r="AD153" s="3002">
        <f ca="1">+AD136/'VVP2'!AD$341</f>
        <v>-6.2243559960046609E-2</v>
      </c>
      <c r="AE153" s="3002">
        <f ca="1">+AE136/'VVP2'!AE$341</f>
        <v>-6.2374741891913749E-2</v>
      </c>
      <c r="AF153" s="3002">
        <f ca="1">+AF136/'VVP2'!AF$341</f>
        <v>-6.2648731200739036E-2</v>
      </c>
      <c r="BB153" s="3499">
        <v>-5.9734325432049207E-2</v>
      </c>
      <c r="BC153" s="736" t="str">
        <f t="shared" si="184"/>
        <v/>
      </c>
    </row>
    <row r="154" spans="1:55" ht="12.75" customHeight="1" outlineLevel="1">
      <c r="A154" s="701"/>
      <c r="B154" s="701"/>
      <c r="C154" s="863" t="s">
        <v>301</v>
      </c>
      <c r="D154" s="711" t="s">
        <v>666</v>
      </c>
      <c r="E154" s="820" t="s">
        <v>164</v>
      </c>
      <c r="F154" s="741" t="s">
        <v>760</v>
      </c>
      <c r="G154" s="876">
        <f>+G137/'VVP2'!G$341</f>
        <v>3.8010275512714999E-2</v>
      </c>
      <c r="H154" s="876">
        <f>+H137/'VVP2'!H$341</f>
        <v>3.6702754063580131E-2</v>
      </c>
      <c r="I154" s="876">
        <f>+I137/'VVP2'!I$341</f>
        <v>3.1897478607581284E-2</v>
      </c>
      <c r="J154" s="876">
        <f>+J137/'VVP2'!J$341</f>
        <v>3.051676562766251E-2</v>
      </c>
      <c r="K154" s="876">
        <f>+K137/'VVP2'!K$341</f>
        <v>2.5530969086925533E-2</v>
      </c>
      <c r="L154" s="876">
        <f>+L137/'VVP2'!L$341</f>
        <v>2.3053952255932764E-2</v>
      </c>
      <c r="M154" s="876">
        <f>+M137/'VVP2'!M$341</f>
        <v>1.9305246430580243E-2</v>
      </c>
      <c r="N154" s="876">
        <f>+N137/'VVP2'!N$341</f>
        <v>1.8648704194588958E-2</v>
      </c>
      <c r="O154" s="876">
        <f>+O137/'VVP2'!O$341</f>
        <v>1.8801781366671853E-2</v>
      </c>
      <c r="P154" s="876">
        <f>+P137/'VVP2'!P$341</f>
        <v>1.7718966971620526E-2</v>
      </c>
      <c r="Q154" s="876">
        <f>+Q137/'VVP2'!Q$341</f>
        <v>2.146506507235587E-2</v>
      </c>
      <c r="R154" s="876">
        <f>+R137/'VVP2'!R$341</f>
        <v>2.082322160966394E-2</v>
      </c>
      <c r="S154" s="876">
        <f>+S137/'VVP2'!S$341</f>
        <v>2.3560557567245875E-2</v>
      </c>
      <c r="T154" s="876">
        <f>+T137/'VVP2'!T$341</f>
        <v>2.4866135700851583E-2</v>
      </c>
      <c r="U154" s="876">
        <f>+U137/'VVP2'!U$341</f>
        <v>2.151512951513802E-2</v>
      </c>
      <c r="V154" s="876">
        <f>+V137/'VVP2'!V$341</f>
        <v>1.973197299297581E-2</v>
      </c>
      <c r="W154" s="876">
        <f>+W137/'VVP2'!W$341</f>
        <v>2.1490597078482825E-2</v>
      </c>
      <c r="X154" s="876">
        <f>+X137/'VVP2'!X$341</f>
        <v>2.0420068904551014E-2</v>
      </c>
      <c r="Y154" s="876">
        <f>+Y137/'VVP2'!Y$341</f>
        <v>2.0303454825316467E-2</v>
      </c>
      <c r="Z154" s="876">
        <f>+Z137/'VVP2'!Z$341</f>
        <v>1.6912019386311587E-2</v>
      </c>
      <c r="AA154" s="876">
        <f>+AA137/'VVP2'!AA$341</f>
        <v>1.5687094003322112E-2</v>
      </c>
      <c r="AB154" s="876">
        <f>+AB137/'VVP2'!AB$341</f>
        <v>1.5879158052097629E-2</v>
      </c>
      <c r="AC154" s="876">
        <f>+AC137/'VVP2'!AC$341</f>
        <v>1.511586082156431E-2</v>
      </c>
      <c r="AD154" s="3003">
        <f ca="1">+AD137/'VVP2'!AD$341</f>
        <v>1.412185023099953E-2</v>
      </c>
      <c r="AE154" s="3003">
        <f ca="1">+AE137/'VVP2'!AE$341</f>
        <v>1.3335173650665749E-2</v>
      </c>
      <c r="AF154" s="3003">
        <f ca="1">+AF137/'VVP2'!AF$341</f>
        <v>1.2621033810068447E-2</v>
      </c>
      <c r="BB154" s="3500">
        <v>1.5772980232638914E-2</v>
      </c>
      <c r="BC154" s="736" t="str">
        <f t="shared" si="184"/>
        <v/>
      </c>
    </row>
    <row r="155" spans="1:55" ht="12.75" customHeight="1" outlineLevel="1">
      <c r="A155" s="701"/>
      <c r="B155" s="701"/>
      <c r="C155" s="863" t="s">
        <v>1791</v>
      </c>
      <c r="D155" s="711" t="s">
        <v>666</v>
      </c>
      <c r="E155" s="820" t="s">
        <v>1981</v>
      </c>
      <c r="F155" s="1018" t="s">
        <v>1050</v>
      </c>
      <c r="G155" s="876">
        <f>+G138/'VVP2'!G$341</f>
        <v>1.5591457154251484E-4</v>
      </c>
      <c r="H155" s="876">
        <f>+H138/'VVP2'!H$341</f>
        <v>1.0856202872447887E-4</v>
      </c>
      <c r="I155" s="876">
        <f>+I138/'VVP2'!I$341</f>
        <v>1.0583695767214084E-4</v>
      </c>
      <c r="J155" s="876">
        <f>+J138/'VVP2'!J$341</f>
        <v>1.1786824175793139E-3</v>
      </c>
      <c r="K155" s="876">
        <f>+K138/'VVP2'!K$341</f>
        <v>1.1813942237097386E-3</v>
      </c>
      <c r="L155" s="876">
        <f>+L138/'VVP2'!L$341</f>
        <v>1.1360842682534929E-3</v>
      </c>
      <c r="M155" s="876">
        <f>+M138/'VVP2'!M$341</f>
        <v>1.1773162347154375E-3</v>
      </c>
      <c r="N155" s="876">
        <f>+N138/'VVP2'!N$341</f>
        <v>1.2195221446806262E-3</v>
      </c>
      <c r="O155" s="876">
        <f>+O138/'VVP2'!O$341</f>
        <v>1.2391532129765678E-3</v>
      </c>
      <c r="P155" s="876">
        <f>+P138/'VVP2'!P$341</f>
        <v>1.2576542611583881E-3</v>
      </c>
      <c r="Q155" s="876">
        <f>+Q138/'VVP2'!Q$341</f>
        <v>1.3594747349677035E-3</v>
      </c>
      <c r="R155" s="876">
        <f>+R138/'VVP2'!R$341</f>
        <v>1.2669063185462065E-3</v>
      </c>
      <c r="S155" s="876">
        <f>+S138/'VVP2'!S$341</f>
        <v>1.2220602166082041E-3</v>
      </c>
      <c r="T155" s="876">
        <f>+T138/'VVP2'!T$341</f>
        <v>1.2769479205149306E-3</v>
      </c>
      <c r="U155" s="876">
        <f>+U138/'VVP2'!U$341</f>
        <v>1.3939816081912292E-3</v>
      </c>
      <c r="V155" s="876">
        <f>+V138/'VVP2'!V$341</f>
        <v>1.3576160443881419E-3</v>
      </c>
      <c r="W155" s="876">
        <f>+W138/'VVP2'!W$341</f>
        <v>1.4255500413406781E-3</v>
      </c>
      <c r="X155" s="876">
        <f>+X138/'VVP2'!X$341</f>
        <v>1.4850072013903441E-3</v>
      </c>
      <c r="Y155" s="876">
        <f>+Y138/'VVP2'!Y$341</f>
        <v>1.4806810602927074E-3</v>
      </c>
      <c r="Z155" s="876">
        <f>+Z138/'VVP2'!Z$341</f>
        <v>1.5382175504481815E-3</v>
      </c>
      <c r="AA155" s="876">
        <f>+AA138/'VVP2'!AA$341</f>
        <v>1.6125028352679007E-3</v>
      </c>
      <c r="AB155" s="876">
        <f>+AB138/'VVP2'!AB$341</f>
        <v>1.6463356376711692E-3</v>
      </c>
      <c r="AC155" s="876">
        <f>+AC138/'VVP2'!AC$341</f>
        <v>1.6576037165266146E-3</v>
      </c>
      <c r="AD155" s="3003">
        <f ca="1">+AD138/'VVP2'!AD$341</f>
        <v>1.6576037165266146E-3</v>
      </c>
      <c r="AE155" s="3003">
        <f ca="1">+AE138/'VVP2'!AE$341</f>
        <v>1.6576037165266148E-3</v>
      </c>
      <c r="AF155" s="3003">
        <f ca="1">+AF138/'VVP2'!AF$341</f>
        <v>1.6576037165266148E-3</v>
      </c>
      <c r="BB155" s="3500">
        <v>1.6992293648627971E-3</v>
      </c>
      <c r="BC155" s="736" t="str">
        <f t="shared" si="184"/>
        <v/>
      </c>
    </row>
    <row r="156" spans="1:55" ht="12.75" customHeight="1" outlineLevel="1">
      <c r="A156" s="701"/>
      <c r="B156" s="701"/>
      <c r="C156" s="863" t="s">
        <v>1791</v>
      </c>
      <c r="D156" s="711" t="s">
        <v>666</v>
      </c>
      <c r="E156" s="820" t="s">
        <v>1262</v>
      </c>
      <c r="F156" s="741" t="s">
        <v>1154</v>
      </c>
      <c r="G156" s="876">
        <f>+G139/'VVP2'!G$341</f>
        <v>5.126725666720406E-2</v>
      </c>
      <c r="H156" s="876">
        <f>+H139/'VVP2'!H$341</f>
        <v>5.1921082642585888E-2</v>
      </c>
      <c r="I156" s="876">
        <f>+I139/'VVP2'!I$341</f>
        <v>5.0178092936718405E-2</v>
      </c>
      <c r="J156" s="876">
        <f>+J139/'VVP2'!J$341</f>
        <v>4.3581594102069E-2</v>
      </c>
      <c r="K156" s="876">
        <f>+K139/'VVP2'!K$341</f>
        <v>3.8373666022039898E-2</v>
      </c>
      <c r="L156" s="876">
        <f>+L139/'VVP2'!L$341</f>
        <v>3.3123484976250464E-2</v>
      </c>
      <c r="M156" s="876">
        <f>+M139/'VVP2'!M$341</f>
        <v>2.6065346288915495E-2</v>
      </c>
      <c r="N156" s="876">
        <f>+N139/'VVP2'!N$341</f>
        <v>2.8785229290754048E-2</v>
      </c>
      <c r="O156" s="876">
        <f>+O139/'VVP2'!O$341</f>
        <v>2.0888422869799764E-2</v>
      </c>
      <c r="P156" s="876">
        <f>+P139/'VVP2'!P$341</f>
        <v>1.6869017730005275E-2</v>
      </c>
      <c r="Q156" s="876">
        <f>+Q139/'VVP2'!Q$341</f>
        <v>1.7492114393769437E-2</v>
      </c>
      <c r="R156" s="876">
        <f>+R139/'VVP2'!R$341</f>
        <v>1.6197772745818823E-2</v>
      </c>
      <c r="S156" s="876">
        <f>+S139/'VVP2'!S$341</f>
        <v>1.6537801012607455E-2</v>
      </c>
      <c r="T156" s="876">
        <f>+T139/'VVP2'!T$341</f>
        <v>1.5637378633191035E-2</v>
      </c>
      <c r="U156" s="876">
        <f>+U139/'VVP2'!U$341</f>
        <v>1.1633625545981192E-2</v>
      </c>
      <c r="V156" s="876">
        <f>+V139/'VVP2'!V$341</f>
        <v>1.0472997516334528E-2</v>
      </c>
      <c r="W156" s="876">
        <f>+W139/'VVP2'!W$341</f>
        <v>1.1245429239700271E-2</v>
      </c>
      <c r="X156" s="876">
        <f>+X139/'VVP2'!X$341</f>
        <v>9.1025140212276333E-3</v>
      </c>
      <c r="Y156" s="876">
        <f>+Y139/'VVP2'!Y$341</f>
        <v>8.0369608517784734E-3</v>
      </c>
      <c r="Z156" s="876">
        <f>+Z139/'VVP2'!Z$341</f>
        <v>6.7864777939189401E-3</v>
      </c>
      <c r="AA156" s="876">
        <f>+AA139/'VVP2'!AA$341</f>
        <v>4.4705004804187418E-3</v>
      </c>
      <c r="AB156" s="876">
        <f>+AB139/'VVP2'!AB$341</f>
        <v>4.145026207975972E-3</v>
      </c>
      <c r="AC156" s="876">
        <f>+AC139/'VVP2'!AC$341</f>
        <v>3.5148187369933252E-3</v>
      </c>
      <c r="AD156" s="3197">
        <f ca="1">+AD139/'VVP2'!AD$341</f>
        <v>2.9486161921880513E-3</v>
      </c>
      <c r="AE156" s="3197">
        <f ca="1">+AE139/'VVP2'!AE$341</f>
        <v>2.5002412538559201E-3</v>
      </c>
      <c r="AF156" s="3197">
        <f ca="1">+AF139/'VVP2'!AF$341</f>
        <v>3.2597617860793274E-3</v>
      </c>
      <c r="BB156" s="3500">
        <v>4.3399021734244611E-3</v>
      </c>
      <c r="BC156" s="736" t="str">
        <f t="shared" si="184"/>
        <v/>
      </c>
    </row>
    <row r="157" spans="1:55" ht="12.75" customHeight="1" outlineLevel="1">
      <c r="A157" s="701"/>
      <c r="B157" s="701"/>
      <c r="C157" s="864" t="s">
        <v>301</v>
      </c>
      <c r="D157" s="865" t="s">
        <v>667</v>
      </c>
      <c r="E157" s="866" t="s">
        <v>612</v>
      </c>
      <c r="F157" s="867" t="s">
        <v>1722</v>
      </c>
      <c r="G157" s="877">
        <f>+G140/'VVP2'!G$341</f>
        <v>-1.6548157450383107E-2</v>
      </c>
      <c r="H157" s="877">
        <f>+H140/'VVP2'!H$341</f>
        <v>-1.5961203032706123E-2</v>
      </c>
      <c r="I157" s="877">
        <f>+I140/'VVP2'!I$341</f>
        <v>-1.5156940382140655E-2</v>
      </c>
      <c r="J157" s="877">
        <f>+J140/'VVP2'!J$341</f>
        <v>-9.8098009514188903E-3</v>
      </c>
      <c r="K157" s="877">
        <f>+K140/'VVP2'!K$341</f>
        <v>-4.8340312946732822E-3</v>
      </c>
      <c r="L157" s="877">
        <f>+L140/'VVP2'!L$341</f>
        <v>-3.0969623590278001E-3</v>
      </c>
      <c r="M157" s="877">
        <f>+M140/'VVP2'!M$341</f>
        <v>-3.7297797346888448E-3</v>
      </c>
      <c r="N157" s="877">
        <f>+N140/'VVP2'!N$341</f>
        <v>-2.3842648620277167E-3</v>
      </c>
      <c r="O157" s="877">
        <f>+O140/'VVP2'!O$341</f>
        <v>1.22557549565196E-2</v>
      </c>
      <c r="P157" s="877">
        <f>+P140/'VVP2'!P$341</f>
        <v>1.1714842919623716E-3</v>
      </c>
      <c r="Q157" s="877">
        <f>+Q140/'VVP2'!Q$341</f>
        <v>8.6130987125702108E-3</v>
      </c>
      <c r="R157" s="877">
        <f>+R140/'VVP2'!R$341</f>
        <v>2.0927642277994894E-2</v>
      </c>
      <c r="S157" s="877">
        <f>+S140/'VVP2'!S$341</f>
        <v>2.4248231511643653E-2</v>
      </c>
      <c r="T157" s="877">
        <f>+T140/'VVP2'!T$341</f>
        <v>2.7799784236784059E-2</v>
      </c>
      <c r="U157" s="877">
        <f>+U140/'VVP2'!U$341</f>
        <v>1.5428572643634935E-2</v>
      </c>
      <c r="V157" s="877">
        <f>+V140/'VVP2'!V$341</f>
        <v>2.0342673186856095E-2</v>
      </c>
      <c r="W157" s="877">
        <f>+W140/'VVP2'!W$341</f>
        <v>1.4160718680441612E-2</v>
      </c>
      <c r="X157" s="877">
        <f>+X140/'VVP2'!X$341</f>
        <v>1.658285150117746E-2</v>
      </c>
      <c r="Y157" s="877">
        <f>+Y140/'VVP2'!Y$341</f>
        <v>1.6526234260808136E-2</v>
      </c>
      <c r="Z157" s="877">
        <f>+Z140/'VVP2'!Z$341</f>
        <v>1.5200238522681857E-2</v>
      </c>
      <c r="AA157" s="877">
        <f>+AA140/'VVP2'!AA$341</f>
        <v>8.7855818683754989E-3</v>
      </c>
      <c r="AB157" s="877">
        <f>+AB140/'VVP2'!AB$341</f>
        <v>8.2991733890138333E-3</v>
      </c>
      <c r="AC157" s="877">
        <f>+AC140/'VVP2'!AC$341</f>
        <v>1.2185243657918638E-2</v>
      </c>
      <c r="AD157" s="3198">
        <f ca="1">+AD140/'VVP2'!AD$341</f>
        <v>1.1732437049349535E-2</v>
      </c>
      <c r="AE157" s="3198">
        <f ca="1">+AE140/'VVP2'!AE$341</f>
        <v>1.1418014887463895E-2</v>
      </c>
      <c r="AF157" s="3198">
        <f ca="1">+AF140/'VVP2'!AF$341</f>
        <v>1.1137357431998812E-2</v>
      </c>
      <c r="BB157" s="3501">
        <v>1.2503694717156065E-2</v>
      </c>
      <c r="BC157" s="736" t="str">
        <f t="shared" si="184"/>
        <v/>
      </c>
    </row>
    <row r="158" spans="1:55" ht="12.75" customHeight="1" outlineLevel="1">
      <c r="A158" s="701"/>
      <c r="B158" s="701"/>
      <c r="C158" s="811" t="s">
        <v>1793</v>
      </c>
      <c r="D158" s="843" t="s">
        <v>664</v>
      </c>
      <c r="E158" s="844" t="s">
        <v>612</v>
      </c>
      <c r="F158" s="845" t="s">
        <v>661</v>
      </c>
      <c r="G158" s="878">
        <f>+G141/'VVP2'!G$341</f>
        <v>3.2698043325159305E-2</v>
      </c>
      <c r="H158" s="878">
        <f>+H141/'VVP2'!H$341</f>
        <v>3.5228378321093393E-2</v>
      </c>
      <c r="I158" s="878">
        <f>+I141/'VVP2'!I$341</f>
        <v>3.0908842727270028E-2</v>
      </c>
      <c r="J158" s="878">
        <f>+J141/'VVP2'!J$341</f>
        <v>3.1379595049157272E-2</v>
      </c>
      <c r="K158" s="878">
        <f>+K141/'VVP2'!K$341</f>
        <v>4.4631440261040368E-4</v>
      </c>
      <c r="L158" s="878">
        <f>+L141/'VVP2'!L$341</f>
        <v>4.1778785765887762E-2</v>
      </c>
      <c r="M158" s="878">
        <f>+M141/'VVP2'!M$341</f>
        <v>3.3608309064448595E-2</v>
      </c>
      <c r="N158" s="878">
        <f>+N141/'VVP2'!N$341</f>
        <v>2.6196221462735033E-2</v>
      </c>
      <c r="O158" s="878">
        <f>+O141/'VVP2'!O$341</f>
        <v>2.1866466134226183E-2</v>
      </c>
      <c r="P158" s="878">
        <f>+P141/'VVP2'!P$341</f>
        <v>2.1551750229578878E-2</v>
      </c>
      <c r="Q158" s="878">
        <f>+Q141/'VVP2'!Q$341</f>
        <v>2.6283521771350574E-2</v>
      </c>
      <c r="R158" s="878">
        <f>+R141/'VVP2'!R$341</f>
        <v>3.6044790020993714E-2</v>
      </c>
      <c r="S158" s="878">
        <f>+S141/'VVP2'!S$341</f>
        <v>3.7417339016892842E-2</v>
      </c>
      <c r="T158" s="878">
        <f>+T141/'VVP2'!T$341</f>
        <v>4.3645614077503163E-2</v>
      </c>
      <c r="U158" s="878">
        <f>+U141/'VVP2'!U$341</f>
        <v>3.9721944867100907E-2</v>
      </c>
      <c r="V158" s="878">
        <f>+V141/'VVP2'!V$341</f>
        <v>5.3491888357647829E-2</v>
      </c>
      <c r="W158" s="878">
        <f>+W141/'VVP2'!W$341</f>
        <v>5.1124775098243855E-2</v>
      </c>
      <c r="X158" s="878">
        <f>+X141/'VVP2'!X$341</f>
        <v>5.1856516533107286E-2</v>
      </c>
      <c r="Y158" s="878">
        <f>+Y141/'VVP2'!Y$341</f>
        <v>5.2452358132974594E-2</v>
      </c>
      <c r="Z158" s="878">
        <f>+Z141/'VVP2'!Z$341</f>
        <v>6.2810888306679261E-2</v>
      </c>
      <c r="AA158" s="878">
        <f>+AA141/'VVP2'!AA$341</f>
        <v>6.2335670490579302E-2</v>
      </c>
      <c r="AB158" s="878">
        <f>+AB141/'VVP2'!AB$341</f>
        <v>7.0537273198453904E-2</v>
      </c>
      <c r="AC158" s="878">
        <f>+AC141/'VVP2'!AC$341</f>
        <v>6.5022836275707319E-2</v>
      </c>
      <c r="AD158" s="3005">
        <f ca="1">+AD141/'VVP2'!AD$341</f>
        <v>6.4460366687111276E-2</v>
      </c>
      <c r="AE158" s="3005">
        <f ca="1">+AE141/'VVP2'!AE$341</f>
        <v>6.4615428099094416E-2</v>
      </c>
      <c r="AF158" s="3005">
        <f ca="1">+AF141/'VVP2'!AF$341</f>
        <v>6.6082420325275337E-2</v>
      </c>
      <c r="BB158" s="3485">
        <v>6.2594978635340609E-2</v>
      </c>
      <c r="BC158" s="736" t="str">
        <f t="shared" si="184"/>
        <v/>
      </c>
    </row>
    <row r="159" spans="1:55" ht="30" customHeight="1" outlineLevel="1">
      <c r="BC159" s="736" t="str">
        <f t="shared" si="184"/>
        <v/>
      </c>
    </row>
    <row r="160" spans="1:55" ht="12.75" customHeight="1" outlineLevel="1">
      <c r="A160" s="701"/>
      <c r="B160" s="701"/>
      <c r="C160" s="811"/>
      <c r="D160" s="812"/>
      <c r="E160" s="813" t="s">
        <v>1882</v>
      </c>
      <c r="F160" s="814"/>
      <c r="G160" s="815">
        <f>+InputY!$G$3</f>
        <v>1995</v>
      </c>
      <c r="H160" s="815">
        <f>+G160+1</f>
        <v>1996</v>
      </c>
      <c r="I160" s="815">
        <f t="shared" ref="I160:Q160" si="221">+H160+1</f>
        <v>1997</v>
      </c>
      <c r="J160" s="815">
        <f t="shared" si="221"/>
        <v>1998</v>
      </c>
      <c r="K160" s="815">
        <f t="shared" si="221"/>
        <v>1999</v>
      </c>
      <c r="L160" s="815">
        <f t="shared" si="221"/>
        <v>2000</v>
      </c>
      <c r="M160" s="815">
        <f t="shared" si="221"/>
        <v>2001</v>
      </c>
      <c r="N160" s="815">
        <f t="shared" si="221"/>
        <v>2002</v>
      </c>
      <c r="O160" s="815">
        <f t="shared" si="221"/>
        <v>2003</v>
      </c>
      <c r="P160" s="815">
        <f>+O160+1</f>
        <v>2004</v>
      </c>
      <c r="Q160" s="815">
        <f t="shared" si="221"/>
        <v>2005</v>
      </c>
      <c r="R160" s="815">
        <f>+Q160+1</f>
        <v>2006</v>
      </c>
      <c r="S160" s="815">
        <f>+R160+1</f>
        <v>2007</v>
      </c>
      <c r="T160" s="815">
        <f t="shared" ref="T160:AF160" si="222">+S160+1</f>
        <v>2008</v>
      </c>
      <c r="U160" s="815">
        <f t="shared" si="222"/>
        <v>2009</v>
      </c>
      <c r="V160" s="815">
        <f t="shared" si="222"/>
        <v>2010</v>
      </c>
      <c r="W160" s="815">
        <f t="shared" si="222"/>
        <v>2011</v>
      </c>
      <c r="X160" s="2285">
        <f t="shared" si="222"/>
        <v>2012</v>
      </c>
      <c r="Y160" s="2285">
        <f t="shared" si="222"/>
        <v>2013</v>
      </c>
      <c r="Z160" s="2285">
        <f t="shared" si="222"/>
        <v>2014</v>
      </c>
      <c r="AA160" s="2285">
        <f t="shared" si="222"/>
        <v>2015</v>
      </c>
      <c r="AB160" s="2285">
        <f t="shared" si="222"/>
        <v>2016</v>
      </c>
      <c r="AC160" s="2285">
        <f t="shared" si="222"/>
        <v>2017</v>
      </c>
      <c r="AD160" s="2285">
        <f t="shared" si="222"/>
        <v>2018</v>
      </c>
      <c r="AE160" s="2285">
        <f t="shared" si="222"/>
        <v>2019</v>
      </c>
      <c r="AF160" s="2285">
        <f t="shared" si="222"/>
        <v>2020</v>
      </c>
      <c r="BB160" s="3470">
        <v>2016</v>
      </c>
      <c r="BC160" s="736" t="str">
        <f t="shared" si="184"/>
        <v/>
      </c>
    </row>
    <row r="161" spans="1:55" ht="12.75" customHeight="1" outlineLevel="1">
      <c r="A161" s="701"/>
      <c r="B161" s="701"/>
      <c r="C161" s="816" t="s">
        <v>1791</v>
      </c>
      <c r="D161" s="705" t="s">
        <v>666</v>
      </c>
      <c r="E161" s="737" t="s">
        <v>1262</v>
      </c>
      <c r="F161" s="738" t="s">
        <v>1154</v>
      </c>
      <c r="G161" s="817">
        <f>+G139</f>
        <v>96.671999999999997</v>
      </c>
      <c r="H161" s="817">
        <f t="shared" ref="H161:O161" si="223">+H139</f>
        <v>100.435</v>
      </c>
      <c r="I161" s="817">
        <f t="shared" si="223"/>
        <v>101.459</v>
      </c>
      <c r="J161" s="817">
        <f t="shared" si="223"/>
        <v>92.584999999999994</v>
      </c>
      <c r="K161" s="817">
        <f t="shared" si="223"/>
        <v>85.978999999999999</v>
      </c>
      <c r="L161" s="817">
        <f t="shared" si="223"/>
        <v>78.953999999999994</v>
      </c>
      <c r="M161" s="817">
        <f t="shared" si="223"/>
        <v>64.691999999999993</v>
      </c>
      <c r="N161" s="817">
        <f t="shared" si="223"/>
        <v>74.091999999999999</v>
      </c>
      <c r="O161" s="817">
        <f t="shared" si="223"/>
        <v>55.999000000000002</v>
      </c>
      <c r="P161" s="817">
        <f t="shared" ref="P161:AC161" si="224">+P139</f>
        <v>47.375</v>
      </c>
      <c r="Q161" s="817">
        <f t="shared" si="224"/>
        <v>50.914000000000001</v>
      </c>
      <c r="R161" s="817">
        <f t="shared" si="224"/>
        <v>50.259</v>
      </c>
      <c r="S161" s="817">
        <f t="shared" si="224"/>
        <v>54.591000000000001</v>
      </c>
      <c r="T161" s="817">
        <f t="shared" si="224"/>
        <v>53.036999999999999</v>
      </c>
      <c r="U161" s="817">
        <f t="shared" si="224"/>
        <v>38.298000000000002</v>
      </c>
      <c r="V161" s="817">
        <f t="shared" si="224"/>
        <v>36.905000000000001</v>
      </c>
      <c r="W161" s="817">
        <f t="shared" si="224"/>
        <v>41.17</v>
      </c>
      <c r="X161" s="817">
        <f t="shared" si="224"/>
        <v>33.578000000000003</v>
      </c>
      <c r="Y161" s="817">
        <f t="shared" si="224"/>
        <v>30.331</v>
      </c>
      <c r="Z161" s="817">
        <f t="shared" si="224"/>
        <v>26.745000000000001</v>
      </c>
      <c r="AA161" s="817">
        <f t="shared" si="224"/>
        <v>18.783000000000001</v>
      </c>
      <c r="AB161" s="817">
        <f t="shared" si="224"/>
        <v>18.178000000000001</v>
      </c>
      <c r="AC161" s="817">
        <f t="shared" si="224"/>
        <v>16.094000000000001</v>
      </c>
      <c r="AD161" s="2335">
        <f>+AD139</f>
        <v>14.162720000000002</v>
      </c>
      <c r="AE161" s="2335">
        <f>+AE139</f>
        <v>12.463193600000002</v>
      </c>
      <c r="AF161" s="2335">
        <f>+AF139</f>
        <v>16.825311360000004</v>
      </c>
      <c r="BB161" s="3510">
        <v>19.117000000000001</v>
      </c>
      <c r="BC161" s="736" t="str">
        <f t="shared" si="184"/>
        <v/>
      </c>
    </row>
    <row r="162" spans="1:55" ht="12.75" customHeight="1" outlineLevel="1">
      <c r="A162" s="701"/>
      <c r="B162" s="701"/>
      <c r="C162" s="819" t="s">
        <v>301</v>
      </c>
      <c r="D162" s="711" t="s">
        <v>666</v>
      </c>
      <c r="E162" s="820" t="s">
        <v>1451</v>
      </c>
      <c r="F162" s="741" t="s">
        <v>1452</v>
      </c>
      <c r="G162" s="743">
        <f t="shared" ref="G162:P162" si="225">+G161-G163</f>
        <v>0</v>
      </c>
      <c r="H162" s="743">
        <f t="shared" si="225"/>
        <v>0</v>
      </c>
      <c r="I162" s="743">
        <f t="shared" si="225"/>
        <v>0</v>
      </c>
      <c r="J162" s="743">
        <f t="shared" si="225"/>
        <v>0</v>
      </c>
      <c r="K162" s="743">
        <f t="shared" si="225"/>
        <v>0</v>
      </c>
      <c r="L162" s="743">
        <f t="shared" si="225"/>
        <v>0</v>
      </c>
      <c r="M162" s="743">
        <f t="shared" si="225"/>
        <v>0</v>
      </c>
      <c r="N162" s="743">
        <f t="shared" si="225"/>
        <v>0</v>
      </c>
      <c r="O162" s="743">
        <f t="shared" si="225"/>
        <v>0</v>
      </c>
      <c r="P162" s="743">
        <f t="shared" si="225"/>
        <v>0</v>
      </c>
      <c r="Q162" s="743">
        <f t="shared" ref="Q162:V162" si="226">+Q161-Q163</f>
        <v>0</v>
      </c>
      <c r="R162" s="743">
        <f t="shared" si="226"/>
        <v>0</v>
      </c>
      <c r="S162" s="743">
        <f t="shared" si="226"/>
        <v>0</v>
      </c>
      <c r="T162" s="743">
        <f t="shared" si="226"/>
        <v>0</v>
      </c>
      <c r="U162" s="743">
        <f t="shared" si="226"/>
        <v>0</v>
      </c>
      <c r="V162" s="743">
        <f t="shared" si="226"/>
        <v>0</v>
      </c>
      <c r="W162" s="743">
        <f t="shared" ref="W162:AA162" si="227">+W161-W163</f>
        <v>0</v>
      </c>
      <c r="X162" s="743">
        <f t="shared" si="227"/>
        <v>0</v>
      </c>
      <c r="Y162" s="743">
        <f t="shared" si="227"/>
        <v>0</v>
      </c>
      <c r="Z162" s="743">
        <f t="shared" si="227"/>
        <v>0</v>
      </c>
      <c r="AA162" s="743">
        <f t="shared" si="227"/>
        <v>0</v>
      </c>
      <c r="AB162" s="743">
        <f t="shared" ref="AB162:AC162" si="228">+AB161-AB163</f>
        <v>0</v>
      </c>
      <c r="AC162" s="743">
        <f t="shared" si="228"/>
        <v>0</v>
      </c>
      <c r="AD162" s="2343">
        <f>AC162*(1+AD167/100)</f>
        <v>0</v>
      </c>
      <c r="AE162" s="2343">
        <f>AD162*(1+AE167/100)</f>
        <v>0</v>
      </c>
      <c r="AF162" s="2343">
        <f>AE162*(1+AF167/100)</f>
        <v>0</v>
      </c>
      <c r="BB162" s="3472">
        <v>0</v>
      </c>
      <c r="BC162" s="736" t="str">
        <f t="shared" si="184"/>
        <v/>
      </c>
    </row>
    <row r="163" spans="1:55" ht="12.75" customHeight="1" outlineLevel="1">
      <c r="A163" s="701">
        <f>+ROW(InputY!A178)</f>
        <v>178</v>
      </c>
      <c r="B163" s="701">
        <v>132</v>
      </c>
      <c r="C163" s="821" t="s">
        <v>1793</v>
      </c>
      <c r="D163" s="789" t="s">
        <v>666</v>
      </c>
      <c r="E163" s="790" t="s">
        <v>1453</v>
      </c>
      <c r="F163" s="791" t="s">
        <v>753</v>
      </c>
      <c r="G163" s="822">
        <f>+InputY!G178/1000</f>
        <v>96.671999999999997</v>
      </c>
      <c r="H163" s="822">
        <f>+InputY!H178/1000</f>
        <v>100.435</v>
      </c>
      <c r="I163" s="822">
        <f>+InputY!I178/1000</f>
        <v>101.459</v>
      </c>
      <c r="J163" s="822">
        <f>+InputY!J178/1000</f>
        <v>92.584999999999994</v>
      </c>
      <c r="K163" s="822">
        <f>+InputY!K178/1000</f>
        <v>85.978999999999999</v>
      </c>
      <c r="L163" s="822">
        <f>+InputY!L178/1000</f>
        <v>78.953999999999994</v>
      </c>
      <c r="M163" s="822">
        <f>+InputY!M178/1000</f>
        <v>64.691999999999993</v>
      </c>
      <c r="N163" s="822">
        <f>+InputY!N178/1000</f>
        <v>74.091999999999999</v>
      </c>
      <c r="O163" s="822">
        <f>+InputY!O178/1000</f>
        <v>55.999000000000002</v>
      </c>
      <c r="P163" s="822">
        <f>+InputY!P178/1000</f>
        <v>47.375</v>
      </c>
      <c r="Q163" s="822">
        <f>+InputY!Q178/1000</f>
        <v>50.914000000000001</v>
      </c>
      <c r="R163" s="822">
        <f>+InputY!R178/1000</f>
        <v>50.259</v>
      </c>
      <c r="S163" s="822">
        <f>+InputY!S178/1000</f>
        <v>54.591000000000001</v>
      </c>
      <c r="T163" s="822">
        <f>+InputY!T178/1000</f>
        <v>53.036999999999999</v>
      </c>
      <c r="U163" s="822">
        <f>+InputY!U178/1000</f>
        <v>38.298000000000002</v>
      </c>
      <c r="V163" s="822">
        <f>+InputY!V178/1000</f>
        <v>36.905000000000001</v>
      </c>
      <c r="W163" s="822">
        <f>+InputY!W178/1000</f>
        <v>41.17</v>
      </c>
      <c r="X163" s="822">
        <f>+InputY!X178/1000</f>
        <v>33.578000000000003</v>
      </c>
      <c r="Y163" s="822">
        <f>+InputY!Y178/1000</f>
        <v>30.331</v>
      </c>
      <c r="Z163" s="822">
        <f>+InputY!Z178/1000</f>
        <v>26.745000000000001</v>
      </c>
      <c r="AA163" s="822">
        <f>+InputY!AA178/1000</f>
        <v>18.783000000000001</v>
      </c>
      <c r="AB163" s="822">
        <f>+InputY!AB178/1000</f>
        <v>18.178000000000001</v>
      </c>
      <c r="AC163" s="822">
        <f>+InputY!AC178/1000</f>
        <v>16.094000000000001</v>
      </c>
      <c r="AD163" s="2296">
        <f>+AD161</f>
        <v>14.162720000000002</v>
      </c>
      <c r="AE163" s="2296">
        <f>+AE161</f>
        <v>12.463193600000002</v>
      </c>
      <c r="AF163" s="2296">
        <f>+AF161</f>
        <v>16.825311360000004</v>
      </c>
      <c r="BB163" s="3473">
        <v>19.117000000000001</v>
      </c>
      <c r="BC163" s="736" t="str">
        <f t="shared" si="184"/>
        <v/>
      </c>
    </row>
    <row r="164" spans="1:55" ht="12.75" customHeight="1" outlineLevel="1">
      <c r="A164" s="701"/>
      <c r="B164" s="701"/>
      <c r="C164" s="811"/>
      <c r="E164" s="823"/>
      <c r="F164" s="824"/>
      <c r="G164" s="740"/>
      <c r="H164" s="825"/>
      <c r="I164" s="740"/>
      <c r="J164" s="740"/>
      <c r="K164" s="740"/>
      <c r="L164" s="740"/>
      <c r="M164" s="740"/>
      <c r="N164" s="740"/>
      <c r="O164" s="740"/>
      <c r="P164" s="740"/>
      <c r="Q164" s="1968"/>
      <c r="R164" s="1968"/>
      <c r="S164" s="1968"/>
      <c r="T164" s="1968"/>
      <c r="U164" s="1968"/>
      <c r="V164" s="1968"/>
      <c r="W164" s="1968"/>
      <c r="X164" s="2339"/>
      <c r="Y164" s="2339"/>
      <c r="Z164" s="2339"/>
      <c r="AA164" s="2339"/>
      <c r="AB164" s="2339"/>
      <c r="AC164" s="2339"/>
      <c r="AD164" s="2339"/>
      <c r="AE164" s="2339"/>
      <c r="AF164" s="2339"/>
      <c r="BB164" s="3490"/>
      <c r="BC164" s="736" t="str">
        <f t="shared" si="184"/>
        <v/>
      </c>
    </row>
    <row r="165" spans="1:55" ht="12.75" customHeight="1" outlineLevel="1">
      <c r="A165" s="701"/>
      <c r="B165" s="701"/>
      <c r="C165" s="811"/>
      <c r="D165" s="779"/>
      <c r="E165" s="780" t="s">
        <v>1883</v>
      </c>
      <c r="F165" s="781"/>
      <c r="G165" s="782">
        <f>+G160</f>
        <v>1995</v>
      </c>
      <c r="H165" s="782">
        <f>+G165+1</f>
        <v>1996</v>
      </c>
      <c r="I165" s="782">
        <f t="shared" ref="I165:Q165" si="229">+H165+1</f>
        <v>1997</v>
      </c>
      <c r="J165" s="782">
        <f t="shared" si="229"/>
        <v>1998</v>
      </c>
      <c r="K165" s="782">
        <f t="shared" si="229"/>
        <v>1999</v>
      </c>
      <c r="L165" s="782">
        <f t="shared" si="229"/>
        <v>2000</v>
      </c>
      <c r="M165" s="782">
        <f t="shared" si="229"/>
        <v>2001</v>
      </c>
      <c r="N165" s="782">
        <f t="shared" si="229"/>
        <v>2002</v>
      </c>
      <c r="O165" s="782">
        <f t="shared" si="229"/>
        <v>2003</v>
      </c>
      <c r="P165" s="782">
        <f>+O165+1</f>
        <v>2004</v>
      </c>
      <c r="Q165" s="782">
        <f t="shared" si="229"/>
        <v>2005</v>
      </c>
      <c r="R165" s="782">
        <f>+Q165+1</f>
        <v>2006</v>
      </c>
      <c r="S165" s="782">
        <f>+R165+1</f>
        <v>2007</v>
      </c>
      <c r="T165" s="782">
        <f t="shared" ref="T165:AF165" si="230">+S165+1</f>
        <v>2008</v>
      </c>
      <c r="U165" s="782">
        <f t="shared" si="230"/>
        <v>2009</v>
      </c>
      <c r="V165" s="782">
        <f t="shared" si="230"/>
        <v>2010</v>
      </c>
      <c r="W165" s="782">
        <f t="shared" si="230"/>
        <v>2011</v>
      </c>
      <c r="X165" s="2272">
        <f t="shared" si="230"/>
        <v>2012</v>
      </c>
      <c r="Y165" s="2272">
        <f t="shared" si="230"/>
        <v>2013</v>
      </c>
      <c r="Z165" s="2272">
        <f t="shared" si="230"/>
        <v>2014</v>
      </c>
      <c r="AA165" s="2272">
        <f t="shared" si="230"/>
        <v>2015</v>
      </c>
      <c r="AB165" s="2272">
        <f t="shared" si="230"/>
        <v>2016</v>
      </c>
      <c r="AC165" s="2272">
        <f t="shared" si="230"/>
        <v>2017</v>
      </c>
      <c r="AD165" s="2272">
        <f t="shared" si="230"/>
        <v>2018</v>
      </c>
      <c r="AE165" s="2272">
        <f t="shared" si="230"/>
        <v>2019</v>
      </c>
      <c r="AF165" s="2272">
        <f t="shared" si="230"/>
        <v>2020</v>
      </c>
      <c r="BB165" s="3476">
        <v>2016</v>
      </c>
      <c r="BC165" s="736" t="str">
        <f t="shared" si="184"/>
        <v/>
      </c>
    </row>
    <row r="166" spans="1:55" ht="12.75" customHeight="1" outlineLevel="1">
      <c r="A166" s="701"/>
      <c r="B166" s="701"/>
      <c r="C166" s="831" t="s">
        <v>1791</v>
      </c>
      <c r="D166" s="726" t="s">
        <v>666</v>
      </c>
      <c r="E166" s="775" t="s">
        <v>1262</v>
      </c>
      <c r="F166" s="770" t="s">
        <v>1154</v>
      </c>
      <c r="G166" s="776"/>
      <c r="H166" s="776">
        <f t="shared" ref="H166:AF166" si="231">(H161/G161-1)*100</f>
        <v>3.8925438596491224</v>
      </c>
      <c r="I166" s="776">
        <f t="shared" si="231"/>
        <v>1.0195648927166845</v>
      </c>
      <c r="J166" s="776">
        <f t="shared" si="231"/>
        <v>-8.7463901674568199</v>
      </c>
      <c r="K166" s="776">
        <f t="shared" si="231"/>
        <v>-7.1350650753361666</v>
      </c>
      <c r="L166" s="776">
        <f t="shared" si="231"/>
        <v>-8.1705997976250107</v>
      </c>
      <c r="M166" s="776">
        <f t="shared" si="231"/>
        <v>-18.063682650657341</v>
      </c>
      <c r="N166" s="776">
        <f t="shared" si="231"/>
        <v>14.530390156433581</v>
      </c>
      <c r="O166" s="776">
        <f t="shared" si="231"/>
        <v>-24.419640447011815</v>
      </c>
      <c r="P166" s="776">
        <f t="shared" si="231"/>
        <v>-15.400275004910801</v>
      </c>
      <c r="Q166" s="776">
        <f t="shared" si="231"/>
        <v>7.4701846965699259</v>
      </c>
      <c r="R166" s="776">
        <f t="shared" si="231"/>
        <v>-1.2864830891306966</v>
      </c>
      <c r="S166" s="776">
        <f t="shared" si="231"/>
        <v>8.6193517578941012</v>
      </c>
      <c r="T166" s="776">
        <f t="shared" si="231"/>
        <v>-2.8466230697367756</v>
      </c>
      <c r="U166" s="776">
        <f t="shared" si="231"/>
        <v>-27.790033372928324</v>
      </c>
      <c r="V166" s="776">
        <f t="shared" si="231"/>
        <v>-3.6372656535589298</v>
      </c>
      <c r="W166" s="776">
        <f t="shared" si="231"/>
        <v>11.556699634195899</v>
      </c>
      <c r="X166" s="776">
        <f t="shared" si="231"/>
        <v>-18.440612096186538</v>
      </c>
      <c r="Y166" s="776">
        <f t="shared" si="231"/>
        <v>-9.6700220382393347</v>
      </c>
      <c r="Z166" s="776">
        <f t="shared" ref="Z166" si="232">(Z161/Y161-1)*100</f>
        <v>-11.8228874748607</v>
      </c>
      <c r="AA166" s="776">
        <f t="shared" ref="AA166" si="233">(AA161/Z161-1)*100</f>
        <v>-29.77005047672462</v>
      </c>
      <c r="AB166" s="776">
        <f t="shared" ref="AB166" si="234">(AB161/AA161-1)*100</f>
        <v>-3.2209977106958387</v>
      </c>
      <c r="AC166" s="2336">
        <f t="shared" si="231"/>
        <v>-11.464407525580366</v>
      </c>
      <c r="AD166" s="2336">
        <f t="shared" si="231"/>
        <v>-12</v>
      </c>
      <c r="AE166" s="2336">
        <f t="shared" si="231"/>
        <v>-12</v>
      </c>
      <c r="AF166" s="2336">
        <f t="shared" si="231"/>
        <v>35.000000000000007</v>
      </c>
      <c r="BB166" s="3477">
        <v>-2.1096830354856877</v>
      </c>
      <c r="BC166" s="736">
        <f t="shared" si="184"/>
        <v>-1.111314675210151</v>
      </c>
    </row>
    <row r="167" spans="1:55" ht="12.75" customHeight="1" outlineLevel="1">
      <c r="A167" s="701"/>
      <c r="B167" s="701"/>
      <c r="C167" s="833" t="s">
        <v>1791</v>
      </c>
      <c r="D167" s="728" t="s">
        <v>666</v>
      </c>
      <c r="E167" s="834" t="s">
        <v>1451</v>
      </c>
      <c r="F167" s="773" t="s">
        <v>1452</v>
      </c>
      <c r="G167" s="778"/>
      <c r="H167" s="778" t="e">
        <f t="shared" ref="H167:AC167" si="235">(H162/G162-1)*100</f>
        <v>#DIV/0!</v>
      </c>
      <c r="I167" s="778" t="e">
        <f t="shared" si="235"/>
        <v>#DIV/0!</v>
      </c>
      <c r="J167" s="778" t="e">
        <f t="shared" si="235"/>
        <v>#DIV/0!</v>
      </c>
      <c r="K167" s="778" t="e">
        <f t="shared" si="235"/>
        <v>#DIV/0!</v>
      </c>
      <c r="L167" s="778" t="e">
        <f t="shared" si="235"/>
        <v>#DIV/0!</v>
      </c>
      <c r="M167" s="778" t="e">
        <f t="shared" si="235"/>
        <v>#DIV/0!</v>
      </c>
      <c r="N167" s="778" t="e">
        <f t="shared" si="235"/>
        <v>#DIV/0!</v>
      </c>
      <c r="O167" s="778" t="e">
        <f t="shared" si="235"/>
        <v>#DIV/0!</v>
      </c>
      <c r="P167" s="778" t="e">
        <f t="shared" si="235"/>
        <v>#DIV/0!</v>
      </c>
      <c r="Q167" s="778" t="e">
        <f t="shared" si="235"/>
        <v>#DIV/0!</v>
      </c>
      <c r="R167" s="778" t="e">
        <f t="shared" si="235"/>
        <v>#DIV/0!</v>
      </c>
      <c r="S167" s="778" t="e">
        <f t="shared" si="235"/>
        <v>#DIV/0!</v>
      </c>
      <c r="T167" s="778" t="e">
        <f t="shared" si="235"/>
        <v>#DIV/0!</v>
      </c>
      <c r="U167" s="778" t="e">
        <f t="shared" si="235"/>
        <v>#DIV/0!</v>
      </c>
      <c r="V167" s="778" t="e">
        <f t="shared" si="235"/>
        <v>#DIV/0!</v>
      </c>
      <c r="W167" s="778" t="e">
        <f t="shared" si="235"/>
        <v>#DIV/0!</v>
      </c>
      <c r="X167" s="778" t="e">
        <f t="shared" si="235"/>
        <v>#DIV/0!</v>
      </c>
      <c r="Y167" s="778" t="e">
        <f t="shared" si="235"/>
        <v>#DIV/0!</v>
      </c>
      <c r="Z167" s="778" t="e">
        <f t="shared" si="235"/>
        <v>#DIV/0!</v>
      </c>
      <c r="AA167" s="778" t="e">
        <f t="shared" si="235"/>
        <v>#DIV/0!</v>
      </c>
      <c r="AB167" s="778" t="e">
        <f t="shared" si="235"/>
        <v>#DIV/0!</v>
      </c>
      <c r="AC167" s="778" t="e">
        <f t="shared" si="235"/>
        <v>#DIV/0!</v>
      </c>
      <c r="AD167" s="2275">
        <v>0</v>
      </c>
      <c r="AE167" s="2275">
        <v>0</v>
      </c>
      <c r="AF167" s="2275">
        <v>0</v>
      </c>
      <c r="BB167" s="3492" t="e">
        <v>#DIV/0!</v>
      </c>
      <c r="BC167" s="736" t="e">
        <f t="shared" si="184"/>
        <v>#DIV/0!</v>
      </c>
    </row>
    <row r="168" spans="1:55" ht="12.75" customHeight="1" outlineLevel="1">
      <c r="A168" s="701"/>
      <c r="B168" s="701"/>
      <c r="C168" s="811" t="s">
        <v>1793</v>
      </c>
      <c r="D168" s="754" t="s">
        <v>666</v>
      </c>
      <c r="E168" s="759" t="s">
        <v>1453</v>
      </c>
      <c r="F168" s="760" t="s">
        <v>753</v>
      </c>
      <c r="G168" s="758"/>
      <c r="H168" s="758">
        <f t="shared" ref="H168:Y168" si="236">(H163/G163-1)*100</f>
        <v>3.8925438596491224</v>
      </c>
      <c r="I168" s="758">
        <f t="shared" si="236"/>
        <v>1.0195648927166845</v>
      </c>
      <c r="J168" s="758">
        <f t="shared" si="236"/>
        <v>-8.7463901674568199</v>
      </c>
      <c r="K168" s="758">
        <f t="shared" si="236"/>
        <v>-7.1350650753361666</v>
      </c>
      <c r="L168" s="758">
        <f t="shared" si="236"/>
        <v>-8.1705997976250107</v>
      </c>
      <c r="M168" s="758">
        <f t="shared" si="236"/>
        <v>-18.063682650657341</v>
      </c>
      <c r="N168" s="758">
        <f t="shared" si="236"/>
        <v>14.530390156433581</v>
      </c>
      <c r="O168" s="758">
        <f t="shared" si="236"/>
        <v>-24.419640447011815</v>
      </c>
      <c r="P168" s="758">
        <f t="shared" si="236"/>
        <v>-15.400275004910801</v>
      </c>
      <c r="Q168" s="758">
        <f t="shared" si="236"/>
        <v>7.4701846965699259</v>
      </c>
      <c r="R168" s="758">
        <f t="shared" si="236"/>
        <v>-1.2864830891306966</v>
      </c>
      <c r="S168" s="758">
        <f t="shared" si="236"/>
        <v>8.6193517578941012</v>
      </c>
      <c r="T168" s="758">
        <f t="shared" si="236"/>
        <v>-2.8466230697367756</v>
      </c>
      <c r="U168" s="758">
        <f t="shared" si="236"/>
        <v>-27.790033372928324</v>
      </c>
      <c r="V168" s="758">
        <f t="shared" si="236"/>
        <v>-3.6372656535589298</v>
      </c>
      <c r="W168" s="758">
        <f t="shared" si="236"/>
        <v>11.556699634195899</v>
      </c>
      <c r="X168" s="758">
        <f t="shared" si="236"/>
        <v>-18.440612096186538</v>
      </c>
      <c r="Y168" s="758">
        <f t="shared" si="236"/>
        <v>-9.6700220382393347</v>
      </c>
      <c r="Z168" s="2328">
        <f t="shared" ref="Z168:AF168" si="237">(Z163/Y163-1)*100</f>
        <v>-11.8228874748607</v>
      </c>
      <c r="AA168" s="2328">
        <f t="shared" si="237"/>
        <v>-29.77005047672462</v>
      </c>
      <c r="AB168" s="2328">
        <f t="shared" si="237"/>
        <v>-3.2209977106958387</v>
      </c>
      <c r="AC168" s="2328">
        <f t="shared" si="237"/>
        <v>-11.464407525580366</v>
      </c>
      <c r="AD168" s="2328">
        <f t="shared" si="237"/>
        <v>-12</v>
      </c>
      <c r="AE168" s="2328">
        <f t="shared" si="237"/>
        <v>-12</v>
      </c>
      <c r="AF168" s="2328">
        <f t="shared" si="237"/>
        <v>35.000000000000007</v>
      </c>
      <c r="BB168" s="3493">
        <v>-2.1096830354856877</v>
      </c>
      <c r="BC168" s="736">
        <f t="shared" si="184"/>
        <v>-1.111314675210151</v>
      </c>
    </row>
    <row r="169" spans="1:55" ht="12.75" customHeight="1" outlineLevel="1">
      <c r="A169" s="701"/>
      <c r="B169" s="701"/>
      <c r="C169" s="811"/>
      <c r="E169" s="823"/>
      <c r="F169" s="824"/>
      <c r="G169" s="740"/>
      <c r="H169" s="825"/>
      <c r="I169" s="740"/>
      <c r="J169" s="740"/>
      <c r="K169" s="740"/>
      <c r="L169" s="740"/>
      <c r="M169" s="740"/>
      <c r="N169" s="740"/>
      <c r="O169" s="740"/>
      <c r="P169" s="740"/>
      <c r="Q169" s="1968"/>
      <c r="R169" s="1968"/>
      <c r="S169" s="1968"/>
      <c r="T169" s="1968"/>
      <c r="U169" s="1968"/>
      <c r="V169" s="1968"/>
      <c r="W169" s="1968"/>
      <c r="X169" s="2338"/>
      <c r="Y169" s="2338"/>
      <c r="Z169" s="2338"/>
      <c r="AA169" s="2338"/>
      <c r="AB169" s="2338"/>
      <c r="AC169" s="2338"/>
      <c r="AD169" s="2338"/>
      <c r="AE169" s="2338"/>
      <c r="AF169" s="2338"/>
      <c r="BB169" s="3511"/>
      <c r="BC169" s="736" t="str">
        <f t="shared" si="184"/>
        <v/>
      </c>
    </row>
    <row r="170" spans="1:55" ht="12.75" customHeight="1" outlineLevel="1">
      <c r="A170" s="701"/>
      <c r="B170" s="701"/>
      <c r="C170" s="811"/>
      <c r="D170" s="851"/>
      <c r="E170" s="852" t="s">
        <v>1584</v>
      </c>
      <c r="F170" s="853"/>
      <c r="G170" s="858">
        <f>+InputY!$G$3</f>
        <v>1995</v>
      </c>
      <c r="H170" s="854">
        <f>+G170+1</f>
        <v>1996</v>
      </c>
      <c r="I170" s="854">
        <f t="shared" ref="I170:O170" si="238">+H170+1</f>
        <v>1997</v>
      </c>
      <c r="J170" s="854">
        <f t="shared" si="238"/>
        <v>1998</v>
      </c>
      <c r="K170" s="854">
        <f t="shared" si="238"/>
        <v>1999</v>
      </c>
      <c r="L170" s="854">
        <f t="shared" si="238"/>
        <v>2000</v>
      </c>
      <c r="M170" s="854">
        <f t="shared" si="238"/>
        <v>2001</v>
      </c>
      <c r="N170" s="854">
        <f t="shared" si="238"/>
        <v>2002</v>
      </c>
      <c r="O170" s="854">
        <f t="shared" si="238"/>
        <v>2003</v>
      </c>
      <c r="P170" s="854">
        <f>+O170+1</f>
        <v>2004</v>
      </c>
      <c r="Q170" s="854">
        <f>+P170+1</f>
        <v>2005</v>
      </c>
      <c r="R170" s="854">
        <f>+Q170+1</f>
        <v>2006</v>
      </c>
      <c r="S170" s="854">
        <f t="shared" ref="S170:Y170" si="239">+R170+1</f>
        <v>2007</v>
      </c>
      <c r="T170" s="854">
        <f t="shared" si="239"/>
        <v>2008</v>
      </c>
      <c r="U170" s="854">
        <f t="shared" si="239"/>
        <v>2009</v>
      </c>
      <c r="V170" s="854">
        <f>+U170+1</f>
        <v>2010</v>
      </c>
      <c r="W170" s="854">
        <f>+V170+1</f>
        <v>2011</v>
      </c>
      <c r="X170" s="854">
        <f t="shared" si="239"/>
        <v>2012</v>
      </c>
      <c r="Y170" s="854">
        <f t="shared" si="239"/>
        <v>2013</v>
      </c>
      <c r="Z170" s="854">
        <f t="shared" ref="Z170:AF170" si="240">+Y170+1</f>
        <v>2014</v>
      </c>
      <c r="AA170" s="854">
        <f t="shared" si="240"/>
        <v>2015</v>
      </c>
      <c r="AB170" s="854">
        <f t="shared" si="240"/>
        <v>2016</v>
      </c>
      <c r="AC170" s="854">
        <f t="shared" si="240"/>
        <v>2017</v>
      </c>
      <c r="AD170" s="854">
        <f t="shared" si="240"/>
        <v>2018</v>
      </c>
      <c r="AE170" s="854">
        <f t="shared" si="240"/>
        <v>2019</v>
      </c>
      <c r="AF170" s="854">
        <f t="shared" si="240"/>
        <v>2020</v>
      </c>
      <c r="BB170" s="3512">
        <v>2016</v>
      </c>
      <c r="BC170" s="736" t="str">
        <f t="shared" si="184"/>
        <v/>
      </c>
    </row>
    <row r="171" spans="1:55" ht="12.75" customHeight="1" outlineLevel="1">
      <c r="A171" s="701"/>
      <c r="B171" s="701"/>
      <c r="C171" s="847"/>
      <c r="D171" s="848" t="s">
        <v>666</v>
      </c>
      <c r="E171" s="849" t="s">
        <v>1262</v>
      </c>
      <c r="F171" s="850" t="s">
        <v>561</v>
      </c>
      <c r="G171" s="1577"/>
      <c r="H171" s="1577">
        <f t="shared" ref="H171:AF171" si="241">+H161/G$605</f>
        <v>7.6672445632300523E-2</v>
      </c>
      <c r="I171" s="1577">
        <f t="shared" si="241"/>
        <v>7.4755619805055809E-2</v>
      </c>
      <c r="J171" s="1577">
        <f t="shared" si="241"/>
        <v>6.7547405752090034E-2</v>
      </c>
      <c r="K171" s="1577">
        <f t="shared" si="241"/>
        <v>6.0675026340098845E-2</v>
      </c>
      <c r="L171" s="1577">
        <f t="shared" si="241"/>
        <v>5.7363643827236285E-2</v>
      </c>
      <c r="M171" s="1577">
        <f t="shared" si="241"/>
        <v>5.3482363931729206E-2</v>
      </c>
      <c r="N171" s="1577">
        <f t="shared" si="241"/>
        <v>5.716940018888772E-2</v>
      </c>
      <c r="O171" s="1577">
        <f t="shared" si="241"/>
        <v>4.3305472981542262E-2</v>
      </c>
      <c r="P171" s="1577">
        <f t="shared" si="241"/>
        <v>3.5565134682068338E-2</v>
      </c>
      <c r="Q171" s="1577">
        <f t="shared" si="241"/>
        <v>3.7110113843514189E-2</v>
      </c>
      <c r="R171" s="1577">
        <f t="shared" si="241"/>
        <v>3.5160070349522961E-2</v>
      </c>
      <c r="S171" s="1577">
        <f t="shared" si="241"/>
        <v>4.0048388776972928E-2</v>
      </c>
      <c r="T171" s="1577">
        <f t="shared" si="241"/>
        <v>4.0982365150037628E-2</v>
      </c>
      <c r="U171" s="1577">
        <f t="shared" si="241"/>
        <v>2.992138779987406E-2</v>
      </c>
      <c r="V171" s="1577">
        <f t="shared" si="241"/>
        <v>2.7112903699785477E-2</v>
      </c>
      <c r="W171" s="1577">
        <f t="shared" si="241"/>
        <v>3.0265271391342382E-2</v>
      </c>
      <c r="X171" s="1577">
        <f t="shared" ref="X171" si="242">+X161/W$605</f>
        <v>2.4246091547083761E-2</v>
      </c>
      <c r="Y171" s="1577">
        <f t="shared" ref="Y171" si="243">+Y161/X$605</f>
        <v>2.1599661025398172E-2</v>
      </c>
      <c r="Z171" s="1577">
        <f t="shared" ref="Z171" si="244">+Z161/Y$605</f>
        <v>1.7413775927774339E-2</v>
      </c>
      <c r="AA171" s="1577">
        <f t="shared" ref="AA171" si="245">+AA161/Z$605</f>
        <v>1.0483784544078445E-2</v>
      </c>
      <c r="AB171" s="1577">
        <f t="shared" ref="AB171:AC171" si="246">+AB161/AA$605</f>
        <v>9.7924715728504291E-3</v>
      </c>
      <c r="AC171" s="1577">
        <f t="shared" si="246"/>
        <v>8.6631165149876656E-3</v>
      </c>
      <c r="AD171" s="3098">
        <f t="shared" si="241"/>
        <v>7.5756442741321652E-3</v>
      </c>
      <c r="AE171" s="3098">
        <f t="shared" ca="1" si="241"/>
        <v>6.855995049257331E-3</v>
      </c>
      <c r="AF171" s="3098">
        <f t="shared" ca="1" si="241"/>
        <v>9.5049066717203725E-3</v>
      </c>
      <c r="BB171" s="3461">
        <v>1.0406981175215303E-2</v>
      </c>
      <c r="BC171" s="736" t="str">
        <f t="shared" si="184"/>
        <v/>
      </c>
    </row>
    <row r="172" spans="1:55" s="830" customFormat="1" ht="12.75" customHeight="1" outlineLevel="1">
      <c r="A172" s="701"/>
      <c r="B172" s="701"/>
      <c r="C172" s="731"/>
      <c r="D172" s="840" t="s">
        <v>666</v>
      </c>
      <c r="E172" s="841" t="s">
        <v>1453</v>
      </c>
      <c r="F172" s="842" t="s">
        <v>1622</v>
      </c>
      <c r="G172" s="1576"/>
      <c r="H172" s="1576">
        <f t="shared" ref="H172:AF172" si="247">+H163/G$605</f>
        <v>7.6672445632300523E-2</v>
      </c>
      <c r="I172" s="1576">
        <f t="shared" si="247"/>
        <v>7.4755619805055809E-2</v>
      </c>
      <c r="J172" s="1576">
        <f t="shared" si="247"/>
        <v>6.7547405752090034E-2</v>
      </c>
      <c r="K172" s="1576">
        <f t="shared" si="247"/>
        <v>6.0675026340098845E-2</v>
      </c>
      <c r="L172" s="1576">
        <f t="shared" si="247"/>
        <v>5.7363643827236285E-2</v>
      </c>
      <c r="M172" s="1576">
        <f t="shared" si="247"/>
        <v>5.3482363931729206E-2</v>
      </c>
      <c r="N172" s="1576">
        <f t="shared" si="247"/>
        <v>5.716940018888772E-2</v>
      </c>
      <c r="O172" s="1576">
        <f t="shared" si="247"/>
        <v>4.3305472981542262E-2</v>
      </c>
      <c r="P172" s="1576">
        <f t="shared" si="247"/>
        <v>3.5565134682068338E-2</v>
      </c>
      <c r="Q172" s="1576">
        <f t="shared" si="247"/>
        <v>3.7110113843514189E-2</v>
      </c>
      <c r="R172" s="1576">
        <f t="shared" si="247"/>
        <v>3.5160070349522961E-2</v>
      </c>
      <c r="S172" s="1576">
        <f t="shared" si="247"/>
        <v>4.0048388776972928E-2</v>
      </c>
      <c r="T172" s="1576">
        <f t="shared" si="247"/>
        <v>4.0982365150037628E-2</v>
      </c>
      <c r="U172" s="1576">
        <f t="shared" si="247"/>
        <v>2.992138779987406E-2</v>
      </c>
      <c r="V172" s="1576">
        <f t="shared" si="247"/>
        <v>2.7112903699785477E-2</v>
      </c>
      <c r="W172" s="1576">
        <f t="shared" si="247"/>
        <v>3.0265271391342382E-2</v>
      </c>
      <c r="X172" s="1576">
        <f t="shared" ref="X172" si="248">+X163/W$605</f>
        <v>2.4246091547083761E-2</v>
      </c>
      <c r="Y172" s="1576">
        <f t="shared" ref="Y172" si="249">+Y163/X$605</f>
        <v>2.1599661025398172E-2</v>
      </c>
      <c r="Z172" s="1576">
        <f t="shared" ref="Z172" si="250">+Z163/Y$605</f>
        <v>1.7413775927774339E-2</v>
      </c>
      <c r="AA172" s="1576">
        <f t="shared" ref="AA172" si="251">+AA163/Z$605</f>
        <v>1.0483784544078445E-2</v>
      </c>
      <c r="AB172" s="1576">
        <f t="shared" ref="AB172:AC172" si="252">+AB163/AA$605</f>
        <v>9.7924715728504291E-3</v>
      </c>
      <c r="AC172" s="1576">
        <f t="shared" si="252"/>
        <v>8.6631165149876656E-3</v>
      </c>
      <c r="AD172" s="2031">
        <f t="shared" si="247"/>
        <v>7.5756442741321652E-3</v>
      </c>
      <c r="AE172" s="2031">
        <f t="shared" ca="1" si="247"/>
        <v>6.855995049257331E-3</v>
      </c>
      <c r="AF172" s="2031">
        <f t="shared" ca="1" si="247"/>
        <v>9.5049066717203725E-3</v>
      </c>
      <c r="AG172" s="2943"/>
      <c r="AH172" s="2939"/>
      <c r="AI172" s="2939"/>
      <c r="AJ172" s="2939"/>
      <c r="AK172" s="2939"/>
      <c r="AL172" s="2939"/>
      <c r="AM172" s="2939"/>
      <c r="AN172" s="2943"/>
      <c r="AO172" s="2943"/>
      <c r="AP172" s="2943"/>
      <c r="AQ172" s="2943"/>
      <c r="AR172" s="2943"/>
      <c r="AS172" s="2943"/>
      <c r="AT172" s="2943"/>
      <c r="BB172" s="3513">
        <v>1.0406981175215303E-2</v>
      </c>
      <c r="BC172" s="736" t="str">
        <f t="shared" si="184"/>
        <v/>
      </c>
    </row>
    <row r="173" spans="1:55" ht="30" customHeight="1" outlineLevel="1">
      <c r="AH173" s="2943"/>
      <c r="AI173" s="2943"/>
      <c r="AJ173" s="2943"/>
      <c r="AK173" s="2943"/>
      <c r="AL173" s="2943"/>
      <c r="AM173" s="2943"/>
      <c r="BC173" s="736" t="str">
        <f t="shared" si="184"/>
        <v/>
      </c>
    </row>
    <row r="174" spans="1:55" ht="30" customHeight="1" outlineLevel="1">
      <c r="BC174" s="736" t="str">
        <f t="shared" si="184"/>
        <v/>
      </c>
    </row>
    <row r="175" spans="1:55" ht="22.5" customHeight="1" outlineLevel="1">
      <c r="A175" s="590"/>
      <c r="B175" s="590"/>
      <c r="C175" s="3846" t="s">
        <v>1804</v>
      </c>
      <c r="D175" s="3846"/>
      <c r="E175" s="3846"/>
      <c r="F175" s="3846"/>
      <c r="BC175" s="736" t="str">
        <f t="shared" si="184"/>
        <v/>
      </c>
    </row>
    <row r="176" spans="1:55" ht="12.75" customHeight="1" outlineLevel="1">
      <c r="A176" s="701"/>
      <c r="B176" s="701"/>
      <c r="C176" s="811"/>
      <c r="BC176" s="736" t="str">
        <f t="shared" si="184"/>
        <v/>
      </c>
    </row>
    <row r="177" spans="1:55" ht="12.75" customHeight="1" outlineLevel="1">
      <c r="A177" s="701"/>
      <c r="B177" s="701"/>
      <c r="C177" s="811"/>
      <c r="D177" s="812"/>
      <c r="E177" s="813" t="s">
        <v>1882</v>
      </c>
      <c r="F177" s="814"/>
      <c r="G177" s="815">
        <f>+InputY!$G$3</f>
        <v>1995</v>
      </c>
      <c r="H177" s="815">
        <f>+G177+1</f>
        <v>1996</v>
      </c>
      <c r="I177" s="815">
        <f t="shared" ref="I177:O177" si="253">+H177+1</f>
        <v>1997</v>
      </c>
      <c r="J177" s="815">
        <f t="shared" si="253"/>
        <v>1998</v>
      </c>
      <c r="K177" s="815">
        <f t="shared" si="253"/>
        <v>1999</v>
      </c>
      <c r="L177" s="815">
        <f t="shared" si="253"/>
        <v>2000</v>
      </c>
      <c r="M177" s="815">
        <f t="shared" si="253"/>
        <v>2001</v>
      </c>
      <c r="N177" s="815">
        <f t="shared" si="253"/>
        <v>2002</v>
      </c>
      <c r="O177" s="815">
        <f t="shared" si="253"/>
        <v>2003</v>
      </c>
      <c r="P177" s="815">
        <f>+O177+1</f>
        <v>2004</v>
      </c>
      <c r="Q177" s="815">
        <f>+P177+1</f>
        <v>2005</v>
      </c>
      <c r="R177" s="815">
        <f>+Q177+1</f>
        <v>2006</v>
      </c>
      <c r="S177" s="815">
        <f t="shared" ref="S177:Y177" si="254">+R177+1</f>
        <v>2007</v>
      </c>
      <c r="T177" s="815">
        <f t="shared" si="254"/>
        <v>2008</v>
      </c>
      <c r="U177" s="815">
        <f t="shared" si="254"/>
        <v>2009</v>
      </c>
      <c r="V177" s="815">
        <f>+U177+1</f>
        <v>2010</v>
      </c>
      <c r="W177" s="815">
        <f>+V177+1</f>
        <v>2011</v>
      </c>
      <c r="X177" s="815">
        <f t="shared" si="254"/>
        <v>2012</v>
      </c>
      <c r="Y177" s="815">
        <f t="shared" si="254"/>
        <v>2013</v>
      </c>
      <c r="Z177" s="815">
        <f t="shared" ref="Z177:AF177" si="255">+Y177+1</f>
        <v>2014</v>
      </c>
      <c r="AA177" s="815">
        <f t="shared" si="255"/>
        <v>2015</v>
      </c>
      <c r="AB177" s="815">
        <f t="shared" si="255"/>
        <v>2016</v>
      </c>
      <c r="AC177" s="815">
        <f t="shared" si="255"/>
        <v>2017</v>
      </c>
      <c r="AD177" s="815">
        <f t="shared" si="255"/>
        <v>2018</v>
      </c>
      <c r="AE177" s="815">
        <f t="shared" si="255"/>
        <v>2019</v>
      </c>
      <c r="AF177" s="815">
        <f t="shared" si="255"/>
        <v>2020</v>
      </c>
      <c r="BB177" s="3514">
        <v>2016</v>
      </c>
      <c r="BC177" s="736" t="str">
        <f t="shared" si="184"/>
        <v/>
      </c>
    </row>
    <row r="178" spans="1:55" ht="12.75" customHeight="1" outlineLevel="1">
      <c r="A178" s="701"/>
      <c r="B178" s="701"/>
      <c r="C178" s="816" t="s">
        <v>1791</v>
      </c>
      <c r="D178" s="705" t="s">
        <v>664</v>
      </c>
      <c r="E178" s="737" t="s">
        <v>169</v>
      </c>
      <c r="F178" s="738" t="s">
        <v>2046</v>
      </c>
      <c r="G178" s="817">
        <f>+G107+G141+Labour1!G216</f>
        <v>1030.989</v>
      </c>
      <c r="H178" s="817">
        <f>+H107+H141+Labour1!H216</f>
        <v>1086.213</v>
      </c>
      <c r="I178" s="817">
        <f>+I107+I141+Labour1!I216</f>
        <v>1122.21</v>
      </c>
      <c r="J178" s="817">
        <f>+J107+J141+Labour1!J216</f>
        <v>1130.1089999999999</v>
      </c>
      <c r="K178" s="817">
        <f>+K107+K141+Labour1!K216</f>
        <v>1123.374</v>
      </c>
      <c r="L178" s="817">
        <f>+L107+L141+Labour1!L216</f>
        <v>1329.144</v>
      </c>
      <c r="M178" s="817">
        <f>+M107+M141+Labour1!M216</f>
        <v>1393.665</v>
      </c>
      <c r="N178" s="817">
        <f>+N107+N141+Labour1!N216</f>
        <v>1426.914</v>
      </c>
      <c r="O178" s="817">
        <f>+O107+O141+Labour1!O216</f>
        <v>1462.223</v>
      </c>
      <c r="P178" s="817">
        <f>+P107+P141+Labour1!P216</f>
        <v>1505.4970000000001</v>
      </c>
      <c r="Q178" s="817">
        <f>+Q107+Q141+Labour1!Q216</f>
        <v>1572.9850000000001</v>
      </c>
      <c r="R178" s="817">
        <f>+R107+R141+Labour1!R216</f>
        <v>1685.3509999999999</v>
      </c>
      <c r="S178" s="817">
        <f>+S107+S141+Labour1!S216</f>
        <v>1828.2170000000001</v>
      </c>
      <c r="T178" s="817">
        <f>+T107+T141+Labour1!T216</f>
        <v>1922.8440000000001</v>
      </c>
      <c r="U178" s="817">
        <f>+U107+U141+Labour1!U216</f>
        <v>1899.9560000000001</v>
      </c>
      <c r="V178" s="817">
        <f>+V107+V141+Labour1!V216</f>
        <v>2019.0530000000001</v>
      </c>
      <c r="W178" s="817">
        <f>+W107+W141+Labour1!W216</f>
        <v>2111.5880000000002</v>
      </c>
      <c r="X178" s="817">
        <f>+X107+X141+Labour1!X216</f>
        <v>2173.3650000000002</v>
      </c>
      <c r="Y178" s="817">
        <f>+Y107+Y141+Labour1!Y216</f>
        <v>2234.2019999999998</v>
      </c>
      <c r="Z178" s="817">
        <f>+Z107+Z141+Labour1!Z216</f>
        <v>2361.3429999999998</v>
      </c>
      <c r="AA178" s="817">
        <f>+AA107+AA141+Labour1!AA216</f>
        <v>2452.5520000000001</v>
      </c>
      <c r="AB178" s="817">
        <f>+AB107+AB141+Labour1!AB216</f>
        <v>2599.3059999999996</v>
      </c>
      <c r="AC178" s="817">
        <f>+AC107+AC141+Labour1!AC216</f>
        <v>2695.91</v>
      </c>
      <c r="AD178" s="883">
        <f ca="1">+AD107+AD141+Labour1!AD216</f>
        <v>2812.9805006984479</v>
      </c>
      <c r="AE178" s="883">
        <f ca="1">+AE107+AE141+Labour1!AE216</f>
        <v>2915.7523523266341</v>
      </c>
      <c r="AF178" s="883">
        <f ca="1">+AF107+AF141+Labour1!AF216</f>
        <v>3018.3180466369486</v>
      </c>
      <c r="BB178" s="3471">
        <v>2580.7969999999996</v>
      </c>
      <c r="BC178" s="736">
        <f t="shared" si="184"/>
        <v>18.509000000000015</v>
      </c>
    </row>
    <row r="179" spans="1:55" ht="12.75" customHeight="1" outlineLevel="1">
      <c r="A179" s="701"/>
      <c r="B179" s="701"/>
      <c r="C179" s="819" t="s">
        <v>1791</v>
      </c>
      <c r="D179" s="711" t="s">
        <v>665</v>
      </c>
      <c r="E179" s="820" t="s">
        <v>169</v>
      </c>
      <c r="F179" s="741" t="s">
        <v>2047</v>
      </c>
      <c r="G179" s="743">
        <f t="shared" ref="G179:R179" si="256">+G108+G136</f>
        <v>441.71699999999998</v>
      </c>
      <c r="H179" s="743">
        <f t="shared" si="256"/>
        <v>405.392</v>
      </c>
      <c r="I179" s="743">
        <f t="shared" si="256"/>
        <v>449.07199999999989</v>
      </c>
      <c r="J179" s="743">
        <f t="shared" si="256"/>
        <v>463.30600000000004</v>
      </c>
      <c r="K179" s="743">
        <f t="shared" si="256"/>
        <v>497.90499999999992</v>
      </c>
      <c r="L179" s="743">
        <f t="shared" si="256"/>
        <v>495.93500000000012</v>
      </c>
      <c r="M179" s="743">
        <f t="shared" si="256"/>
        <v>490.22799999999995</v>
      </c>
      <c r="N179" s="743">
        <f t="shared" si="256"/>
        <v>535.81299999999999</v>
      </c>
      <c r="O179" s="743">
        <f t="shared" si="256"/>
        <v>604.19700000000012</v>
      </c>
      <c r="P179" s="743">
        <f t="shared" si="256"/>
        <v>630.25100000000009</v>
      </c>
      <c r="Q179" s="743">
        <f t="shared" si="256"/>
        <v>652.95799999999997</v>
      </c>
      <c r="R179" s="743">
        <f t="shared" si="256"/>
        <v>741.65899999999988</v>
      </c>
      <c r="S179" s="743">
        <f t="shared" ref="S179:X179" si="257">+S108+S136</f>
        <v>763.697</v>
      </c>
      <c r="T179" s="743">
        <f t="shared" si="257"/>
        <v>743.62200000000007</v>
      </c>
      <c r="U179" s="743">
        <f t="shared" si="257"/>
        <v>633.55499999999984</v>
      </c>
      <c r="V179" s="743">
        <f t="shared" si="257"/>
        <v>732.35</v>
      </c>
      <c r="W179" s="743">
        <f t="shared" si="257"/>
        <v>729.26200000000017</v>
      </c>
      <c r="X179" s="743">
        <f t="shared" si="257"/>
        <v>684.84900000000005</v>
      </c>
      <c r="Y179" s="743">
        <f>+Y108+Y136</f>
        <v>687.29199999999992</v>
      </c>
      <c r="Z179" s="743">
        <f t="shared" ref="Z179:AB179" si="258">+Z108+Z136</f>
        <v>707.60599999999988</v>
      </c>
      <c r="AA179" s="743">
        <f t="shared" si="258"/>
        <v>780.32700000000023</v>
      </c>
      <c r="AB179" s="743">
        <f t="shared" si="258"/>
        <v>738.54700000000025</v>
      </c>
      <c r="AC179" s="743">
        <f t="shared" ref="AC179" si="259">+AC108+AC136</f>
        <v>803.86399999999981</v>
      </c>
      <c r="AD179" s="829">
        <f ca="1">+AD108+AD136</f>
        <v>864.33970874828867</v>
      </c>
      <c r="AE179" s="829">
        <f ca="1">+AE108+AE136</f>
        <v>904.11399998258389</v>
      </c>
      <c r="AF179" s="829">
        <f ca="1">+AF108+AF136</f>
        <v>943.95085477543114</v>
      </c>
      <c r="BB179" s="3472">
        <v>795.41899999999987</v>
      </c>
      <c r="BC179" s="736">
        <f t="shared" si="184"/>
        <v>-56.871999999999616</v>
      </c>
    </row>
    <row r="180" spans="1:55" ht="12.75" customHeight="1" outlineLevel="1">
      <c r="A180" s="701"/>
      <c r="B180" s="701"/>
      <c r="C180" s="819" t="s">
        <v>1791</v>
      </c>
      <c r="D180" s="711" t="s">
        <v>666</v>
      </c>
      <c r="E180" s="820" t="s">
        <v>169</v>
      </c>
      <c r="F180" s="741" t="s">
        <v>2048</v>
      </c>
      <c r="G180" s="743">
        <f t="shared" ref="G180:R180" si="260">+G109+G13-G50+G137-G138-G139</f>
        <v>379.38099999999997</v>
      </c>
      <c r="H180" s="743">
        <f t="shared" si="260"/>
        <v>410.40400000000005</v>
      </c>
      <c r="I180" s="743">
        <f t="shared" si="260"/>
        <v>423.06799999999993</v>
      </c>
      <c r="J180" s="743">
        <f t="shared" si="260"/>
        <v>513.50099999999998</v>
      </c>
      <c r="K180" s="743">
        <f t="shared" si="260"/>
        <v>538.49699999999984</v>
      </c>
      <c r="L180" s="743">
        <f t="shared" si="260"/>
        <v>551.81400000000008</v>
      </c>
      <c r="M180" s="743">
        <f t="shared" si="260"/>
        <v>589.39400000000001</v>
      </c>
      <c r="N180" s="743">
        <f t="shared" si="260"/>
        <v>608.37500000000011</v>
      </c>
      <c r="O180" s="743">
        <f t="shared" si="260"/>
        <v>649.428</v>
      </c>
      <c r="P180" s="743">
        <f t="shared" si="260"/>
        <v>677.10900000000004</v>
      </c>
      <c r="Q180" s="743">
        <f t="shared" si="260"/>
        <v>713.26300000000003</v>
      </c>
      <c r="R180" s="743">
        <f t="shared" si="260"/>
        <v>743.21199999999988</v>
      </c>
      <c r="S180" s="743">
        <f t="shared" ref="S180:X180" si="261">+S109+S13-S50+S137-S138-S139</f>
        <v>796.26</v>
      </c>
      <c r="T180" s="743">
        <f t="shared" si="261"/>
        <v>839.41899999999998</v>
      </c>
      <c r="U180" s="743">
        <f t="shared" si="261"/>
        <v>831.41600000000005</v>
      </c>
      <c r="V180" s="743">
        <f t="shared" si="261"/>
        <v>866.38099999999997</v>
      </c>
      <c r="W180" s="743">
        <f t="shared" si="261"/>
        <v>889.40999999999985</v>
      </c>
      <c r="X180" s="743">
        <f t="shared" si="261"/>
        <v>911.81700000000001</v>
      </c>
      <c r="Y180" s="743">
        <f>+Y109+Y13-Y50+Y137-Y138-Y139</f>
        <v>935.77800000000002</v>
      </c>
      <c r="Z180" s="743">
        <f t="shared" ref="Z180:AB180" si="262">+Z109+Z13-Z50+Z137-Z138-Z139</f>
        <v>952.85199999999998</v>
      </c>
      <c r="AA180" s="743">
        <f t="shared" si="262"/>
        <v>1020.6529999999999</v>
      </c>
      <c r="AB180" s="743">
        <f t="shared" si="262"/>
        <v>1095.2539999999999</v>
      </c>
      <c r="AC180" s="743">
        <f t="shared" ref="AC180" si="263">+AC109+AC13-AC50+AC137-AC138-AC139</f>
        <v>1144.3250000000003</v>
      </c>
      <c r="AD180" s="829">
        <f ca="1">+AD109+AD13-AD50+AD137-AD138-AD139</f>
        <v>1190.1133212569596</v>
      </c>
      <c r="AE180" s="829">
        <f ca="1">+AE109+AE13-AE50+AE137-AE138-AE139</f>
        <v>1229.7228292872674</v>
      </c>
      <c r="AF180" s="829">
        <f ca="1">+AF109+AF13-AF50+AF137-AF138-AF139</f>
        <v>1264.6745430063927</v>
      </c>
      <c r="BB180" s="3472">
        <v>1093.9120000000003</v>
      </c>
      <c r="BC180" s="736">
        <f t="shared" si="184"/>
        <v>1.3419999999996435</v>
      </c>
    </row>
    <row r="181" spans="1:55" ht="12.75" customHeight="1" outlineLevel="1">
      <c r="A181" s="701"/>
      <c r="B181" s="701"/>
      <c r="C181" s="821" t="s">
        <v>1793</v>
      </c>
      <c r="D181" s="789"/>
      <c r="E181" s="790" t="s">
        <v>169</v>
      </c>
      <c r="F181" s="791" t="s">
        <v>168</v>
      </c>
      <c r="G181" s="822">
        <f t="shared" ref="G181:V181" si="264">+G178+G179+G180</f>
        <v>1852.087</v>
      </c>
      <c r="H181" s="822">
        <f t="shared" si="264"/>
        <v>1902.009</v>
      </c>
      <c r="I181" s="822">
        <f t="shared" si="264"/>
        <v>1994.35</v>
      </c>
      <c r="J181" s="822">
        <f t="shared" si="264"/>
        <v>2106.9160000000002</v>
      </c>
      <c r="K181" s="822">
        <f t="shared" si="264"/>
        <v>2159.7759999999998</v>
      </c>
      <c r="L181" s="822">
        <f t="shared" si="264"/>
        <v>2376.893</v>
      </c>
      <c r="M181" s="822">
        <f t="shared" si="264"/>
        <v>2473.2870000000003</v>
      </c>
      <c r="N181" s="822">
        <f t="shared" si="264"/>
        <v>2571.1019999999999</v>
      </c>
      <c r="O181" s="822">
        <f t="shared" si="264"/>
        <v>2715.848</v>
      </c>
      <c r="P181" s="822">
        <f t="shared" si="264"/>
        <v>2812.857</v>
      </c>
      <c r="Q181" s="822">
        <f t="shared" si="264"/>
        <v>2939.2060000000001</v>
      </c>
      <c r="R181" s="822">
        <f t="shared" si="264"/>
        <v>3170.2219999999998</v>
      </c>
      <c r="S181" s="822">
        <f t="shared" si="264"/>
        <v>3388.174</v>
      </c>
      <c r="T181" s="822">
        <f t="shared" si="264"/>
        <v>3505.8850000000002</v>
      </c>
      <c r="U181" s="822">
        <f t="shared" si="264"/>
        <v>3364.9270000000001</v>
      </c>
      <c r="V181" s="822">
        <f t="shared" si="264"/>
        <v>3617.7840000000001</v>
      </c>
      <c r="W181" s="822">
        <f t="shared" ref="W181:Y181" si="265">+W178+W179+W180</f>
        <v>3730.26</v>
      </c>
      <c r="X181" s="822">
        <f t="shared" si="265"/>
        <v>3770.0310000000004</v>
      </c>
      <c r="Y181" s="822">
        <f t="shared" si="265"/>
        <v>3857.2719999999999</v>
      </c>
      <c r="Z181" s="822">
        <f t="shared" ref="Z181:AB181" si="266">+Z178+Z179+Z180</f>
        <v>4021.8009999999995</v>
      </c>
      <c r="AA181" s="822">
        <f t="shared" si="266"/>
        <v>4253.5320000000002</v>
      </c>
      <c r="AB181" s="822">
        <f t="shared" si="266"/>
        <v>4433.107</v>
      </c>
      <c r="AC181" s="822">
        <f t="shared" ref="AC181" si="267">+AC178+AC179+AC180</f>
        <v>4644.0990000000002</v>
      </c>
      <c r="AD181" s="881">
        <f ca="1">+AD178+AD179+AD180</f>
        <v>4867.4335307036963</v>
      </c>
      <c r="AE181" s="881">
        <f ca="1">+AE178+AE179+AE180</f>
        <v>5049.589181596486</v>
      </c>
      <c r="AF181" s="881">
        <f ca="1">+AF178+AF179+AF180</f>
        <v>5226.9434444187727</v>
      </c>
      <c r="BB181" s="3473">
        <v>4470.1279999999997</v>
      </c>
      <c r="BC181" s="736">
        <f t="shared" si="184"/>
        <v>-37.020999999999731</v>
      </c>
    </row>
    <row r="182" spans="1:55" ht="12.75" customHeight="1" outlineLevel="1">
      <c r="A182" s="701"/>
      <c r="B182" s="701"/>
      <c r="C182" s="811"/>
      <c r="E182" s="823"/>
      <c r="F182" s="824"/>
      <c r="G182" s="740"/>
      <c r="H182" s="825"/>
      <c r="I182" s="740"/>
      <c r="J182" s="740"/>
      <c r="K182" s="740"/>
      <c r="L182" s="740"/>
      <c r="M182" s="740"/>
      <c r="N182" s="740"/>
      <c r="O182" s="740"/>
      <c r="P182" s="740"/>
      <c r="Q182" s="740"/>
      <c r="R182" s="740"/>
      <c r="S182" s="740"/>
      <c r="T182" s="740"/>
      <c r="U182" s="740"/>
      <c r="V182" s="740"/>
      <c r="W182" s="740"/>
      <c r="X182" s="740"/>
      <c r="Y182" s="740"/>
      <c r="Z182" s="882"/>
      <c r="AA182" s="882"/>
      <c r="AB182" s="882"/>
      <c r="AC182" s="882"/>
      <c r="AD182" s="882"/>
      <c r="AE182" s="882"/>
      <c r="AF182" s="882"/>
      <c r="BB182" s="3515"/>
      <c r="BC182" s="736" t="str">
        <f t="shared" si="184"/>
        <v/>
      </c>
    </row>
    <row r="183" spans="1:55" ht="12.75" customHeight="1" outlineLevel="1">
      <c r="A183" s="701"/>
      <c r="B183" s="701"/>
      <c r="C183" s="811"/>
      <c r="D183" s="779"/>
      <c r="E183" s="780" t="s">
        <v>1883</v>
      </c>
      <c r="F183" s="781"/>
      <c r="G183" s="782">
        <f>+G177</f>
        <v>1995</v>
      </c>
      <c r="H183" s="782">
        <f>+G183+1</f>
        <v>1996</v>
      </c>
      <c r="I183" s="782">
        <f t="shared" ref="I183:O183" si="268">+H183+1</f>
        <v>1997</v>
      </c>
      <c r="J183" s="782">
        <f t="shared" si="268"/>
        <v>1998</v>
      </c>
      <c r="K183" s="782">
        <f t="shared" si="268"/>
        <v>1999</v>
      </c>
      <c r="L183" s="782">
        <f t="shared" si="268"/>
        <v>2000</v>
      </c>
      <c r="M183" s="782">
        <f t="shared" si="268"/>
        <v>2001</v>
      </c>
      <c r="N183" s="782">
        <f t="shared" si="268"/>
        <v>2002</v>
      </c>
      <c r="O183" s="782">
        <f t="shared" si="268"/>
        <v>2003</v>
      </c>
      <c r="P183" s="782">
        <f t="shared" ref="P183:AF183" si="269">+O183+1</f>
        <v>2004</v>
      </c>
      <c r="Q183" s="782">
        <f t="shared" si="269"/>
        <v>2005</v>
      </c>
      <c r="R183" s="782">
        <f t="shared" si="269"/>
        <v>2006</v>
      </c>
      <c r="S183" s="782">
        <f t="shared" si="269"/>
        <v>2007</v>
      </c>
      <c r="T183" s="782">
        <f t="shared" si="269"/>
        <v>2008</v>
      </c>
      <c r="U183" s="782">
        <f t="shared" si="269"/>
        <v>2009</v>
      </c>
      <c r="V183" s="782">
        <f t="shared" si="269"/>
        <v>2010</v>
      </c>
      <c r="W183" s="782">
        <f t="shared" si="269"/>
        <v>2011</v>
      </c>
      <c r="X183" s="782">
        <f t="shared" si="269"/>
        <v>2012</v>
      </c>
      <c r="Y183" s="782">
        <f t="shared" si="269"/>
        <v>2013</v>
      </c>
      <c r="Z183" s="782">
        <f t="shared" si="269"/>
        <v>2014</v>
      </c>
      <c r="AA183" s="782">
        <f t="shared" si="269"/>
        <v>2015</v>
      </c>
      <c r="AB183" s="782">
        <f t="shared" si="269"/>
        <v>2016</v>
      </c>
      <c r="AC183" s="782">
        <f t="shared" si="269"/>
        <v>2017</v>
      </c>
      <c r="AD183" s="782">
        <f t="shared" si="269"/>
        <v>2018</v>
      </c>
      <c r="AE183" s="782">
        <f t="shared" si="269"/>
        <v>2019</v>
      </c>
      <c r="AF183" s="782">
        <f t="shared" si="269"/>
        <v>2020</v>
      </c>
      <c r="BB183" s="3497">
        <v>2016</v>
      </c>
      <c r="BC183" s="736" t="str">
        <f t="shared" si="184"/>
        <v/>
      </c>
    </row>
    <row r="184" spans="1:55" ht="12.75" customHeight="1" outlineLevel="1">
      <c r="A184" s="701"/>
      <c r="B184" s="701"/>
      <c r="C184" s="831" t="s">
        <v>1791</v>
      </c>
      <c r="D184" s="726" t="s">
        <v>664</v>
      </c>
      <c r="E184" s="775" t="s">
        <v>169</v>
      </c>
      <c r="F184" s="770" t="s">
        <v>2046</v>
      </c>
      <c r="G184" s="776"/>
      <c r="H184" s="776">
        <f t="shared" ref="H184:Y184" si="270">(H178/G178-1)*100</f>
        <v>5.3564102041825823</v>
      </c>
      <c r="I184" s="776">
        <f t="shared" si="270"/>
        <v>3.3139909023368386</v>
      </c>
      <c r="J184" s="776">
        <f t="shared" si="270"/>
        <v>0.7038789531371048</v>
      </c>
      <c r="K184" s="776">
        <f t="shared" si="270"/>
        <v>-0.59596021268744082</v>
      </c>
      <c r="L184" s="776">
        <f t="shared" si="270"/>
        <v>18.317141041184847</v>
      </c>
      <c r="M184" s="776">
        <f t="shared" si="270"/>
        <v>4.8543272963651685</v>
      </c>
      <c r="N184" s="776">
        <f t="shared" si="270"/>
        <v>2.3857239724037083</v>
      </c>
      <c r="O184" s="776">
        <f t="shared" si="270"/>
        <v>2.4745009159627074</v>
      </c>
      <c r="P184" s="776">
        <f t="shared" si="270"/>
        <v>2.9594665109220708</v>
      </c>
      <c r="Q184" s="776">
        <f t="shared" si="270"/>
        <v>4.4827721343848603</v>
      </c>
      <c r="R184" s="776">
        <f t="shared" si="270"/>
        <v>7.1434883358709511</v>
      </c>
      <c r="S184" s="776">
        <f t="shared" si="270"/>
        <v>8.4769285448550669</v>
      </c>
      <c r="T184" s="776">
        <f t="shared" si="270"/>
        <v>5.1759173008455672</v>
      </c>
      <c r="U184" s="776">
        <f t="shared" si="270"/>
        <v>-1.1903201715791734</v>
      </c>
      <c r="V184" s="776">
        <f t="shared" si="270"/>
        <v>6.2684083210347907</v>
      </c>
      <c r="W184" s="776">
        <f t="shared" si="270"/>
        <v>4.5830892007292512</v>
      </c>
      <c r="X184" s="776">
        <f t="shared" si="270"/>
        <v>2.9256180656453745</v>
      </c>
      <c r="Y184" s="776">
        <f t="shared" si="270"/>
        <v>2.7992076802561661</v>
      </c>
      <c r="Z184" s="776">
        <f t="shared" ref="Z184:Z187" si="271">(Z178/Y178-1)*100</f>
        <v>5.6906671822870125</v>
      </c>
      <c r="AA184" s="776">
        <f t="shared" ref="AA184:AA187" si="272">(AA178/Z178-1)*100</f>
        <v>3.8625900599785989</v>
      </c>
      <c r="AB184" s="776">
        <f t="shared" ref="AB184:AC187" si="273">(AB178/AA178-1)*100</f>
        <v>5.9837263389318274</v>
      </c>
      <c r="AC184" s="776">
        <f t="shared" si="273"/>
        <v>3.7165304892921469</v>
      </c>
      <c r="AD184" s="3000">
        <f t="shared" ref="AD184:AF187" ca="1" si="274">(AD178/AC178-1)*100</f>
        <v>4.3425225878626517</v>
      </c>
      <c r="AE184" s="3000">
        <f t="shared" ca="1" si="274"/>
        <v>3.6534861014027031</v>
      </c>
      <c r="AF184" s="3000">
        <f t="shared" ca="1" si="274"/>
        <v>3.517640797870647</v>
      </c>
      <c r="BB184" s="3477">
        <v>5.1167494578790995</v>
      </c>
      <c r="BC184" s="736" t="str">
        <f t="shared" si="184"/>
        <v/>
      </c>
    </row>
    <row r="185" spans="1:55" ht="12.75" customHeight="1" outlineLevel="1">
      <c r="A185" s="701"/>
      <c r="B185" s="701"/>
      <c r="C185" s="832" t="s">
        <v>1791</v>
      </c>
      <c r="D185" s="711" t="s">
        <v>665</v>
      </c>
      <c r="E185" s="820" t="s">
        <v>169</v>
      </c>
      <c r="F185" s="741" t="s">
        <v>2047</v>
      </c>
      <c r="G185" s="743"/>
      <c r="H185" s="743">
        <f t="shared" ref="H185:Y185" si="275">(H179/G179-1)*100</f>
        <v>-8.223591122822981</v>
      </c>
      <c r="I185" s="743">
        <f t="shared" si="275"/>
        <v>10.774756285274467</v>
      </c>
      <c r="J185" s="743">
        <f t="shared" si="275"/>
        <v>3.1696476288880504</v>
      </c>
      <c r="K185" s="743">
        <f t="shared" si="275"/>
        <v>7.4678506214035378</v>
      </c>
      <c r="L185" s="743">
        <f t="shared" si="275"/>
        <v>-0.39565780620797186</v>
      </c>
      <c r="M185" s="743">
        <f t="shared" si="275"/>
        <v>-1.1507556433807187</v>
      </c>
      <c r="N185" s="743">
        <f t="shared" si="275"/>
        <v>9.2987344664115632</v>
      </c>
      <c r="O185" s="743">
        <f t="shared" si="275"/>
        <v>12.762661600222479</v>
      </c>
      <c r="P185" s="743">
        <f t="shared" si="275"/>
        <v>4.3121697062382003</v>
      </c>
      <c r="Q185" s="743">
        <f t="shared" si="275"/>
        <v>3.6028502929784878</v>
      </c>
      <c r="R185" s="743">
        <f t="shared" si="275"/>
        <v>13.584487823106528</v>
      </c>
      <c r="S185" s="743">
        <f t="shared" si="275"/>
        <v>2.9714464464127177</v>
      </c>
      <c r="T185" s="743">
        <f t="shared" si="275"/>
        <v>-2.6286603194722424</v>
      </c>
      <c r="U185" s="743">
        <f t="shared" si="275"/>
        <v>-14.801471715468374</v>
      </c>
      <c r="V185" s="743">
        <f t="shared" si="275"/>
        <v>15.593752712866316</v>
      </c>
      <c r="W185" s="743">
        <f t="shared" si="275"/>
        <v>-0.42165631187272012</v>
      </c>
      <c r="X185" s="743">
        <f t="shared" si="275"/>
        <v>-6.090129473358008</v>
      </c>
      <c r="Y185" s="743">
        <f t="shared" si="275"/>
        <v>0.35672097060810426</v>
      </c>
      <c r="Z185" s="743">
        <f t="shared" si="271"/>
        <v>2.9556578572135228</v>
      </c>
      <c r="AA185" s="743">
        <f t="shared" si="272"/>
        <v>10.277046831146187</v>
      </c>
      <c r="AB185" s="743">
        <f t="shared" si="273"/>
        <v>-5.3541656254365133</v>
      </c>
      <c r="AC185" s="743">
        <f t="shared" si="273"/>
        <v>8.8439869094315569</v>
      </c>
      <c r="AD185" s="829">
        <f t="shared" ca="1" si="274"/>
        <v>7.5231268906542414</v>
      </c>
      <c r="AE185" s="829">
        <f t="shared" ca="1" si="274"/>
        <v>4.6016966282730554</v>
      </c>
      <c r="AF185" s="829">
        <f t="shared" ca="1" si="274"/>
        <v>4.4061760788589366</v>
      </c>
      <c r="BB185" s="3472">
        <v>1.2583796500215128</v>
      </c>
      <c r="BC185" s="736">
        <f t="shared" si="184"/>
        <v>-6.6125452754580261</v>
      </c>
    </row>
    <row r="186" spans="1:55" ht="12.75" customHeight="1" outlineLevel="1">
      <c r="A186" s="701"/>
      <c r="B186" s="701"/>
      <c r="C186" s="833" t="s">
        <v>1791</v>
      </c>
      <c r="D186" s="728" t="s">
        <v>666</v>
      </c>
      <c r="E186" s="834" t="s">
        <v>169</v>
      </c>
      <c r="F186" s="773" t="s">
        <v>2048</v>
      </c>
      <c r="G186" s="778"/>
      <c r="H186" s="778">
        <f t="shared" ref="H186:Y186" si="276">(H180/G180-1)*100</f>
        <v>8.1772677071334741</v>
      </c>
      <c r="I186" s="778">
        <f t="shared" si="276"/>
        <v>3.0857399050691292</v>
      </c>
      <c r="J186" s="778">
        <f t="shared" si="276"/>
        <v>21.375523556496834</v>
      </c>
      <c r="K186" s="778">
        <f t="shared" si="276"/>
        <v>4.8677607249060673</v>
      </c>
      <c r="L186" s="778">
        <f t="shared" si="276"/>
        <v>2.4729942785197023</v>
      </c>
      <c r="M186" s="778">
        <f t="shared" si="276"/>
        <v>6.8102657779613995</v>
      </c>
      <c r="N186" s="778">
        <f t="shared" si="276"/>
        <v>3.2204264040692765</v>
      </c>
      <c r="O186" s="778">
        <f t="shared" si="276"/>
        <v>6.747976166016012</v>
      </c>
      <c r="P186" s="778">
        <f t="shared" si="276"/>
        <v>4.2623662669302842</v>
      </c>
      <c r="Q186" s="778">
        <f t="shared" si="276"/>
        <v>5.3394652855005553</v>
      </c>
      <c r="R186" s="778">
        <f t="shared" si="276"/>
        <v>4.198871944850624</v>
      </c>
      <c r="S186" s="778">
        <f t="shared" si="276"/>
        <v>7.1376673143060287</v>
      </c>
      <c r="T186" s="778">
        <f t="shared" si="276"/>
        <v>5.420214502800591</v>
      </c>
      <c r="U186" s="778">
        <f t="shared" si="276"/>
        <v>-0.95339752852865445</v>
      </c>
      <c r="V186" s="778">
        <f t="shared" si="276"/>
        <v>4.2054759590866464</v>
      </c>
      <c r="W186" s="778">
        <f t="shared" si="276"/>
        <v>2.6580684479460936</v>
      </c>
      <c r="X186" s="778">
        <f t="shared" si="276"/>
        <v>2.5193105541876148</v>
      </c>
      <c r="Y186" s="778">
        <f t="shared" si="276"/>
        <v>2.6278299263997162</v>
      </c>
      <c r="Z186" s="778">
        <f t="shared" si="271"/>
        <v>1.8245780516318977</v>
      </c>
      <c r="AA186" s="778">
        <f t="shared" si="272"/>
        <v>7.1155856313467325</v>
      </c>
      <c r="AB186" s="778">
        <f t="shared" si="273"/>
        <v>7.3091442439301213</v>
      </c>
      <c r="AC186" s="778">
        <f t="shared" si="273"/>
        <v>4.4803305899818957</v>
      </c>
      <c r="AD186" s="3001">
        <f t="shared" ca="1" si="274"/>
        <v>4.0013388903466396</v>
      </c>
      <c r="AE186" s="3001">
        <f t="shared" ca="1" si="274"/>
        <v>3.3282131476751742</v>
      </c>
      <c r="AF186" s="3001">
        <f t="shared" ca="1" si="274"/>
        <v>2.8422432182854562</v>
      </c>
      <c r="BB186" s="3492">
        <v>7.4188819092640523</v>
      </c>
      <c r="BC186" s="736" t="str">
        <f t="shared" si="184"/>
        <v/>
      </c>
    </row>
    <row r="187" spans="1:55" ht="12.75" customHeight="1" outlineLevel="1">
      <c r="A187" s="701"/>
      <c r="B187" s="701"/>
      <c r="C187" s="811" t="s">
        <v>1793</v>
      </c>
      <c r="D187" s="754"/>
      <c r="E187" s="759" t="s">
        <v>169</v>
      </c>
      <c r="F187" s="760" t="s">
        <v>168</v>
      </c>
      <c r="G187" s="758"/>
      <c r="H187" s="758">
        <f t="shared" ref="H187:Y187" si="277">(H181/G181-1)*100</f>
        <v>2.6954457323009162</v>
      </c>
      <c r="I187" s="758">
        <f t="shared" si="277"/>
        <v>4.8549191933371372</v>
      </c>
      <c r="J187" s="758">
        <f t="shared" si="277"/>
        <v>5.6442449921026983</v>
      </c>
      <c r="K187" s="758">
        <f t="shared" si="277"/>
        <v>2.5088802780936614</v>
      </c>
      <c r="L187" s="758">
        <f t="shared" si="277"/>
        <v>10.052755470937736</v>
      </c>
      <c r="M187" s="758">
        <f t="shared" si="277"/>
        <v>4.0554623199277495</v>
      </c>
      <c r="N187" s="758">
        <f t="shared" si="277"/>
        <v>3.9548584535478382</v>
      </c>
      <c r="O187" s="758">
        <f t="shared" si="277"/>
        <v>5.6297260863240828</v>
      </c>
      <c r="P187" s="758">
        <f t="shared" si="277"/>
        <v>3.5719598445862921</v>
      </c>
      <c r="Q187" s="758">
        <f t="shared" si="277"/>
        <v>4.4918387248267466</v>
      </c>
      <c r="R187" s="758">
        <f t="shared" si="277"/>
        <v>7.8598097581455528</v>
      </c>
      <c r="S187" s="758">
        <f t="shared" si="277"/>
        <v>6.8749759480566386</v>
      </c>
      <c r="T187" s="758">
        <f t="shared" si="277"/>
        <v>3.4741722237405792</v>
      </c>
      <c r="U187" s="758">
        <f t="shared" si="277"/>
        <v>-4.0206110582634675</v>
      </c>
      <c r="V187" s="758">
        <f t="shared" si="277"/>
        <v>7.5144869413214632</v>
      </c>
      <c r="W187" s="758">
        <f t="shared" si="277"/>
        <v>3.1089749968489011</v>
      </c>
      <c r="X187" s="758">
        <f t="shared" si="277"/>
        <v>1.0661723311511828</v>
      </c>
      <c r="Y187" s="758">
        <f t="shared" si="277"/>
        <v>2.3140658525088842</v>
      </c>
      <c r="Z187" s="758">
        <f t="shared" si="271"/>
        <v>4.2654238539568734</v>
      </c>
      <c r="AA187" s="758">
        <f t="shared" si="272"/>
        <v>5.7618713606168104</v>
      </c>
      <c r="AB187" s="758">
        <f t="shared" si="273"/>
        <v>4.22178556550179</v>
      </c>
      <c r="AC187" s="758">
        <f t="shared" si="273"/>
        <v>4.7594610281231686</v>
      </c>
      <c r="AD187" s="838">
        <f t="shared" ca="1" si="274"/>
        <v>4.8089959043443375</v>
      </c>
      <c r="AE187" s="838">
        <f t="shared" ca="1" si="274"/>
        <v>3.7423346357737586</v>
      </c>
      <c r="AF187" s="838">
        <f t="shared" ca="1" si="274"/>
        <v>3.5122513227148211</v>
      </c>
      <c r="BB187" s="3498">
        <v>4.9555689074625819</v>
      </c>
      <c r="BC187" s="736" t="str">
        <f t="shared" si="184"/>
        <v/>
      </c>
    </row>
    <row r="188" spans="1:55" ht="12.75" customHeight="1" outlineLevel="1">
      <c r="A188" s="701"/>
      <c r="B188" s="701"/>
      <c r="C188" s="811"/>
      <c r="E188" s="823"/>
      <c r="F188" s="824"/>
      <c r="G188" s="740"/>
      <c r="H188" s="825"/>
      <c r="I188" s="825"/>
      <c r="J188" s="825"/>
      <c r="K188" s="825"/>
      <c r="L188" s="825"/>
      <c r="M188" s="825"/>
      <c r="N188" s="825"/>
      <c r="O188" s="825"/>
      <c r="P188" s="825"/>
      <c r="Q188" s="825"/>
      <c r="R188" s="825"/>
      <c r="S188" s="825"/>
      <c r="T188" s="825"/>
      <c r="U188" s="825"/>
      <c r="V188" s="825"/>
      <c r="W188" s="825"/>
      <c r="X188" s="825"/>
      <c r="Y188" s="825"/>
      <c r="Z188" s="885"/>
      <c r="AA188" s="885"/>
      <c r="AB188" s="885"/>
      <c r="AC188" s="885"/>
      <c r="AD188" s="885"/>
      <c r="AE188" s="885"/>
      <c r="AF188" s="885"/>
      <c r="BB188" s="3449"/>
      <c r="BC188" s="736" t="str">
        <f t="shared" si="184"/>
        <v/>
      </c>
    </row>
    <row r="189" spans="1:55" ht="12.75" customHeight="1" outlineLevel="1">
      <c r="A189" s="701"/>
      <c r="B189" s="701"/>
      <c r="C189" s="811"/>
      <c r="D189" s="855"/>
      <c r="E189" s="856" t="s">
        <v>1884</v>
      </c>
      <c r="F189" s="857"/>
      <c r="G189" s="858">
        <f>+InputY!$G$3</f>
        <v>1995</v>
      </c>
      <c r="H189" s="858">
        <f>+G189+1</f>
        <v>1996</v>
      </c>
      <c r="I189" s="858">
        <f t="shared" ref="I189:O189" si="278">+H189+1</f>
        <v>1997</v>
      </c>
      <c r="J189" s="858">
        <f t="shared" si="278"/>
        <v>1998</v>
      </c>
      <c r="K189" s="858">
        <f t="shared" si="278"/>
        <v>1999</v>
      </c>
      <c r="L189" s="858">
        <f t="shared" si="278"/>
        <v>2000</v>
      </c>
      <c r="M189" s="858">
        <f t="shared" si="278"/>
        <v>2001</v>
      </c>
      <c r="N189" s="858">
        <f t="shared" si="278"/>
        <v>2002</v>
      </c>
      <c r="O189" s="858">
        <f t="shared" si="278"/>
        <v>2003</v>
      </c>
      <c r="P189" s="858">
        <f t="shared" ref="P189:AF189" si="279">+O189+1</f>
        <v>2004</v>
      </c>
      <c r="Q189" s="858">
        <f t="shared" si="279"/>
        <v>2005</v>
      </c>
      <c r="R189" s="858">
        <f t="shared" si="279"/>
        <v>2006</v>
      </c>
      <c r="S189" s="858">
        <f t="shared" si="279"/>
        <v>2007</v>
      </c>
      <c r="T189" s="858">
        <f t="shared" si="279"/>
        <v>2008</v>
      </c>
      <c r="U189" s="858">
        <f t="shared" si="279"/>
        <v>2009</v>
      </c>
      <c r="V189" s="858">
        <f t="shared" si="279"/>
        <v>2010</v>
      </c>
      <c r="W189" s="858">
        <f t="shared" si="279"/>
        <v>2011</v>
      </c>
      <c r="X189" s="858">
        <f t="shared" si="279"/>
        <v>2012</v>
      </c>
      <c r="Y189" s="858">
        <f t="shared" si="279"/>
        <v>2013</v>
      </c>
      <c r="Z189" s="858">
        <f t="shared" si="279"/>
        <v>2014</v>
      </c>
      <c r="AA189" s="858">
        <f t="shared" si="279"/>
        <v>2015</v>
      </c>
      <c r="AB189" s="858">
        <f t="shared" si="279"/>
        <v>2016</v>
      </c>
      <c r="AC189" s="858">
        <f t="shared" si="279"/>
        <v>2017</v>
      </c>
      <c r="AD189" s="858">
        <f t="shared" si="279"/>
        <v>2018</v>
      </c>
      <c r="AE189" s="858">
        <f t="shared" si="279"/>
        <v>2019</v>
      </c>
      <c r="AF189" s="858">
        <f t="shared" si="279"/>
        <v>2020</v>
      </c>
      <c r="BB189" s="3480">
        <v>2016</v>
      </c>
      <c r="BC189" s="736" t="str">
        <f t="shared" si="184"/>
        <v/>
      </c>
    </row>
    <row r="190" spans="1:55" ht="12.75" customHeight="1" outlineLevel="1">
      <c r="A190" s="701"/>
      <c r="B190" s="701"/>
      <c r="C190" s="859" t="s">
        <v>1791</v>
      </c>
      <c r="D190" s="860" t="s">
        <v>664</v>
      </c>
      <c r="E190" s="861" t="s">
        <v>169</v>
      </c>
      <c r="F190" s="862" t="s">
        <v>2046</v>
      </c>
      <c r="G190" s="875">
        <f>+G178/'VVP2'!G$341</f>
        <v>0.54675581020423758</v>
      </c>
      <c r="H190" s="875">
        <f>+H178/'VVP2'!H$341</f>
        <v>0.56153089003286849</v>
      </c>
      <c r="I190" s="875">
        <f>+I178/'VVP2'!I$341</f>
        <v>0.55500603864136999</v>
      </c>
      <c r="J190" s="875">
        <f>+J178/'VVP2'!J$341</f>
        <v>0.53196469977960892</v>
      </c>
      <c r="K190" s="875">
        <f>+K178/'VVP2'!K$341</f>
        <v>0.50137799571805963</v>
      </c>
      <c r="L190" s="875">
        <f>+L178/'VVP2'!L$341</f>
        <v>0.5576143237236042</v>
      </c>
      <c r="M190" s="875">
        <f>+M178/'VVP2'!M$341</f>
        <v>0.56152786798586252</v>
      </c>
      <c r="N190" s="875">
        <f>+N178/'VVP2'!N$341</f>
        <v>0.55436547357591948</v>
      </c>
      <c r="O190" s="875">
        <f>+O178/'VVP2'!O$341</f>
        <v>0.54542996042692227</v>
      </c>
      <c r="P190" s="875">
        <f>+P178/'VVP2'!P$341</f>
        <v>0.53606871948221113</v>
      </c>
      <c r="Q190" s="875">
        <f>+Q178/'VVP2'!Q$341</f>
        <v>0.54041783320272252</v>
      </c>
      <c r="R190" s="875">
        <f>+R178/'VVP2'!R$341</f>
        <v>0.54316505491431377</v>
      </c>
      <c r="S190" s="875">
        <f>+S178/'VVP2'!S$341</f>
        <v>0.55384017427535981</v>
      </c>
      <c r="T190" s="875">
        <f>+T178/'VVP2'!T$341</f>
        <v>0.56692949602276865</v>
      </c>
      <c r="U190" s="875">
        <f>+U178/'VVP2'!U$341</f>
        <v>0.57714180003760629</v>
      </c>
      <c r="V190" s="875">
        <f>+V178/'VVP2'!V$341</f>
        <v>0.57297214616848058</v>
      </c>
      <c r="W190" s="875">
        <f>+W178/'VVP2'!W$341</f>
        <v>0.57677224769007085</v>
      </c>
      <c r="X190" s="875">
        <f>+X178/'VVP2'!X$341</f>
        <v>0.58916806795358256</v>
      </c>
      <c r="Y190" s="875">
        <f>+Y178/'VVP2'!Y$341</f>
        <v>0.59200797893129697</v>
      </c>
      <c r="Z190" s="875">
        <f>+Z178/'VVP2'!Z$341</f>
        <v>0.59918496292114154</v>
      </c>
      <c r="AA190" s="875">
        <f>+AA178/'VVP2'!AA$341</f>
        <v>0.58372650238257717</v>
      </c>
      <c r="AB190" s="875">
        <f>+AB178/'VVP2'!AB$341</f>
        <v>0.59270500014023486</v>
      </c>
      <c r="AC190" s="875">
        <f>+AC178/'VVP2'!AC$341</f>
        <v>0.5887681733097847</v>
      </c>
      <c r="AD190" s="3002">
        <f ca="1">+AD178/'VVP2'!AD$341</f>
        <v>0.58565020368041554</v>
      </c>
      <c r="AE190" s="3002">
        <f ca="1">+AE178/'VVP2'!AE$341</f>
        <v>0.58492907606879274</v>
      </c>
      <c r="AF190" s="3002">
        <f ca="1">+AF178/'VVP2'!AF$341</f>
        <v>0.58477359593188083</v>
      </c>
      <c r="BB190" s="3499">
        <v>0.58588724744820464</v>
      </c>
      <c r="BC190" s="736" t="str">
        <f t="shared" si="184"/>
        <v/>
      </c>
    </row>
    <row r="191" spans="1:55" ht="12.75" customHeight="1" outlineLevel="1">
      <c r="A191" s="701"/>
      <c r="B191" s="701"/>
      <c r="C191" s="863" t="s">
        <v>1791</v>
      </c>
      <c r="D191" s="711" t="s">
        <v>665</v>
      </c>
      <c r="E191" s="820" t="s">
        <v>169</v>
      </c>
      <c r="F191" s="741" t="s">
        <v>2047</v>
      </c>
      <c r="G191" s="876">
        <f>+G179/'VVP2'!G$341</f>
        <v>0.2342520979525341</v>
      </c>
      <c r="H191" s="876">
        <f>+H179/'VVP2'!H$341</f>
        <v>0.20957227594606639</v>
      </c>
      <c r="I191" s="876">
        <f>+I179/'VVP2'!I$341</f>
        <v>0.22209539371842812</v>
      </c>
      <c r="J191" s="876">
        <f>+J179/'VVP2'!J$341</f>
        <v>0.21808731475998469</v>
      </c>
      <c r="K191" s="876">
        <f>+K179/'VVP2'!K$341</f>
        <v>0.22222217263173302</v>
      </c>
      <c r="L191" s="876">
        <f>+L179/'VVP2'!L$341</f>
        <v>0.20805906631325555</v>
      </c>
      <c r="M191" s="876">
        <f>+M179/'VVP2'!M$341</f>
        <v>0.19751998053117023</v>
      </c>
      <c r="N191" s="876">
        <f>+N179/'VVP2'!N$341</f>
        <v>0.20816687445293419</v>
      </c>
      <c r="O191" s="876">
        <f>+O179/'VVP2'!O$341</f>
        <v>0.22537406797736406</v>
      </c>
      <c r="P191" s="876">
        <f>+P179/'VVP2'!P$341</f>
        <v>0.22441615394941541</v>
      </c>
      <c r="Q191" s="876">
        <f>+Q179/'VVP2'!Q$341</f>
        <v>0.22433154005434464</v>
      </c>
      <c r="R191" s="876">
        <f>+R179/'VVP2'!R$341</f>
        <v>0.23902632238785573</v>
      </c>
      <c r="S191" s="876">
        <f>+S179/'VVP2'!S$341</f>
        <v>0.23135441775980062</v>
      </c>
      <c r="T191" s="876">
        <f>+T179/'VVP2'!T$341</f>
        <v>0.21924880317459103</v>
      </c>
      <c r="U191" s="876">
        <f>+U179/'VVP2'!U$341</f>
        <v>0.19245239001472955</v>
      </c>
      <c r="V191" s="876">
        <f>+V179/'VVP2'!V$341</f>
        <v>0.20782820027333943</v>
      </c>
      <c r="W191" s="876">
        <f>+W179/'VVP2'!W$341</f>
        <v>0.19919514739378918</v>
      </c>
      <c r="X191" s="876">
        <f>+X179/'VVP2'!X$341</f>
        <v>0.18565273765333623</v>
      </c>
      <c r="Y191" s="876">
        <f>+Y179/'VVP2'!Y$341</f>
        <v>0.18211529121164913</v>
      </c>
      <c r="Z191" s="876">
        <f>+Z179/'VVP2'!Z$341</f>
        <v>0.17955327746658459</v>
      </c>
      <c r="AA191" s="876">
        <f>+AA179/'VVP2'!AA$341</f>
        <v>0.18572391142968198</v>
      </c>
      <c r="AB191" s="876">
        <f>+AB179/'VVP2'!AB$341</f>
        <v>0.16840668229849437</v>
      </c>
      <c r="AC191" s="876">
        <f>+AC179/'VVP2'!AC$341</f>
        <v>0.17555836020842561</v>
      </c>
      <c r="AD191" s="3003">
        <f ca="1">+AD179/'VVP2'!AD$341</f>
        <v>0.17995173672615911</v>
      </c>
      <c r="AE191" s="3003">
        <f ca="1">+AE179/'VVP2'!AE$341</f>
        <v>0.18137430850349193</v>
      </c>
      <c r="AF191" s="3003">
        <f ca="1">+AF179/'VVP2'!AF$341</f>
        <v>0.18288249521783984</v>
      </c>
      <c r="BB191" s="3500">
        <v>0.18057439173945236</v>
      </c>
      <c r="BC191" s="736" t="str">
        <f t="shared" si="184"/>
        <v/>
      </c>
    </row>
    <row r="192" spans="1:55" ht="12.75" customHeight="1" outlineLevel="1">
      <c r="A192" s="701"/>
      <c r="B192" s="701"/>
      <c r="C192" s="864" t="s">
        <v>1791</v>
      </c>
      <c r="D192" s="865" t="s">
        <v>666</v>
      </c>
      <c r="E192" s="866" t="s">
        <v>169</v>
      </c>
      <c r="F192" s="867" t="s">
        <v>2048</v>
      </c>
      <c r="G192" s="877">
        <f>+G180/'VVP2'!G$341</f>
        <v>0.20119396621214564</v>
      </c>
      <c r="H192" s="877">
        <f>+H180/'VVP2'!H$341</f>
        <v>0.21216328969829065</v>
      </c>
      <c r="I192" s="877">
        <f>+I180/'VVP2'!I$341</f>
        <v>0.20923471966559473</v>
      </c>
      <c r="J192" s="877">
        <f>+J180/'VVP2'!J$341</f>
        <v>0.24171509589033358</v>
      </c>
      <c r="K192" s="877">
        <f>+K180/'VVP2'!K$341</f>
        <v>0.24033896686249451</v>
      </c>
      <c r="L192" s="877">
        <f>+L180/'VVP2'!L$341</f>
        <v>0.23150192186190285</v>
      </c>
      <c r="M192" s="877">
        <f>+M180/'VVP2'!M$341</f>
        <v>0.23747540206840198</v>
      </c>
      <c r="N192" s="877">
        <f>+N180/'VVP2'!N$341</f>
        <v>0.23635768868113291</v>
      </c>
      <c r="O192" s="877">
        <f>+O180/'VVP2'!O$341</f>
        <v>0.24224587381003804</v>
      </c>
      <c r="P192" s="877">
        <f>+P180/'VVP2'!P$341</f>
        <v>0.24110108129068375</v>
      </c>
      <c r="Q192" s="877">
        <f>+Q180/'VVP2'!Q$341</f>
        <v>0.24505004495508445</v>
      </c>
      <c r="R192" s="877">
        <f>+R180/'VVP2'!R$341</f>
        <v>0.23952683256661489</v>
      </c>
      <c r="S192" s="877">
        <f>+S180/'VVP2'!S$341</f>
        <v>0.24121905505117716</v>
      </c>
      <c r="T192" s="877">
        <f>+T180/'VVP2'!T$341</f>
        <v>0.24749349953607075</v>
      </c>
      <c r="U192" s="877">
        <f>+U180/'VVP2'!U$341</f>
        <v>0.25255581014511203</v>
      </c>
      <c r="V192" s="877">
        <f>+V180/'VVP2'!V$341</f>
        <v>0.24586386834302734</v>
      </c>
      <c r="W192" s="877">
        <f>+W180/'VVP2'!W$341</f>
        <v>0.24293896575374826</v>
      </c>
      <c r="X192" s="877">
        <f>+X180/'VVP2'!X$341</f>
        <v>0.24718050590546539</v>
      </c>
      <c r="Y192" s="877">
        <f>+Y180/'VVP2'!Y$341</f>
        <v>0.24795790287018418</v>
      </c>
      <c r="Z192" s="877">
        <f>+Z180/'VVP2'!Z$341</f>
        <v>0.2417838451632548</v>
      </c>
      <c r="AA192" s="877">
        <f>+AA180/'VVP2'!AA$341</f>
        <v>0.24292337362726027</v>
      </c>
      <c r="AB192" s="877">
        <f>+AB180/'VVP2'!AB$341</f>
        <v>0.24974455574818541</v>
      </c>
      <c r="AC192" s="877">
        <f>+AC180/'VVP2'!AC$341</f>
        <v>0.2499126973536652</v>
      </c>
      <c r="AD192" s="3004">
        <f ca="1">+AD180/'VVP2'!AD$341</f>
        <v>0.24777637414260614</v>
      </c>
      <c r="AE192" s="3004">
        <f ca="1">+AE180/'VVP2'!AE$341</f>
        <v>0.24669469537827338</v>
      </c>
      <c r="AF192" s="3004">
        <f ca="1">+AF180/'VVP2'!AF$341</f>
        <v>0.24501999748547743</v>
      </c>
      <c r="BB192" s="3501">
        <v>0.24833766105221008</v>
      </c>
      <c r="BC192" s="736" t="str">
        <f t="shared" si="184"/>
        <v/>
      </c>
    </row>
    <row r="193" spans="1:56" ht="12.75" customHeight="1" outlineLevel="1">
      <c r="A193" s="701"/>
      <c r="B193" s="701"/>
      <c r="C193" s="811" t="s">
        <v>1793</v>
      </c>
      <c r="D193" s="843"/>
      <c r="E193" s="844" t="s">
        <v>169</v>
      </c>
      <c r="F193" s="845" t="s">
        <v>168</v>
      </c>
      <c r="G193" s="878">
        <f>+G181/'VVP2'!G$341</f>
        <v>0.98220187436891726</v>
      </c>
      <c r="H193" s="878">
        <f>+H181/'VVP2'!H$341</f>
        <v>0.98326645567722548</v>
      </c>
      <c r="I193" s="878">
        <f>+I181/'VVP2'!I$341</f>
        <v>0.98633615202539293</v>
      </c>
      <c r="J193" s="878">
        <f>+J181/'VVP2'!J$341</f>
        <v>0.99176711042992738</v>
      </c>
      <c r="K193" s="878">
        <f>+K181/'VVP2'!K$341</f>
        <v>0.96393913521228725</v>
      </c>
      <c r="L193" s="878">
        <f>+L181/'VVP2'!L$341</f>
        <v>0.99717531189876252</v>
      </c>
      <c r="M193" s="878">
        <f>+M181/'VVP2'!M$341</f>
        <v>0.99652325058543489</v>
      </c>
      <c r="N193" s="878">
        <f>+N181/'VVP2'!N$341</f>
        <v>0.99889003670998644</v>
      </c>
      <c r="O193" s="878">
        <f>+O181/'VVP2'!O$341</f>
        <v>1.0130499022143242</v>
      </c>
      <c r="P193" s="878">
        <f>+P181/'VVP2'!P$341</f>
        <v>1.0015859547223103</v>
      </c>
      <c r="Q193" s="878">
        <f>+Q181/'VVP2'!Q$341</f>
        <v>1.0097994182121517</v>
      </c>
      <c r="R193" s="878">
        <f>+R181/'VVP2'!R$341</f>
        <v>1.0217182098687845</v>
      </c>
      <c r="S193" s="878">
        <f>+S181/'VVP2'!S$341</f>
        <v>1.0264136470863376</v>
      </c>
      <c r="T193" s="878">
        <f>+T181/'VVP2'!T$341</f>
        <v>1.0336717987334305</v>
      </c>
      <c r="U193" s="878">
        <f>+U181/'VVP2'!U$341</f>
        <v>1.0221500001974479</v>
      </c>
      <c r="V193" s="878">
        <f>+V181/'VVP2'!V$341</f>
        <v>1.0266642147848475</v>
      </c>
      <c r="W193" s="878">
        <f>+W181/'VVP2'!W$341</f>
        <v>1.0189063608376083</v>
      </c>
      <c r="X193" s="878">
        <f>+X181/'VVP2'!X$341</f>
        <v>1.0220013115123843</v>
      </c>
      <c r="Y193" s="878">
        <f>+Y181/'VVP2'!Y$341</f>
        <v>1.0220811730131303</v>
      </c>
      <c r="Z193" s="878">
        <f>+Z181/'VVP2'!Z$341</f>
        <v>1.0205220855509809</v>
      </c>
      <c r="AA193" s="878">
        <f>+AA181/'VVP2'!AA$341</f>
        <v>1.0123737874395193</v>
      </c>
      <c r="AB193" s="878">
        <f>+AB181/'VVP2'!AB$341</f>
        <v>1.0108562381869146</v>
      </c>
      <c r="AC193" s="878">
        <f>+AC181/'VVP2'!AC$341</f>
        <v>1.0142392308718755</v>
      </c>
      <c r="AD193" s="3005">
        <f ca="1">+AD181/'VVP2'!AD$341</f>
        <v>1.0133783145491808</v>
      </c>
      <c r="AE193" s="3005">
        <f ca="1">+AE181/'VVP2'!AE$341</f>
        <v>1.0129980799505582</v>
      </c>
      <c r="AF193" s="3005">
        <f ca="1">+AF181/'VVP2'!AF$341</f>
        <v>1.0126760886351982</v>
      </c>
      <c r="BB193" s="3485">
        <v>1.014799300239867</v>
      </c>
      <c r="BC193" s="736" t="str">
        <f t="shared" si="184"/>
        <v/>
      </c>
    </row>
    <row r="194" spans="1:56" ht="30" customHeight="1">
      <c r="BC194" s="736" t="str">
        <f t="shared" ref="BC194:BC257" si="280">IF(ABS(BB194-AB194)&gt;0.99,AB194-BB194,"")</f>
        <v/>
      </c>
    </row>
    <row r="195" spans="1:56" ht="30" customHeight="1">
      <c r="BC195" s="736" t="str">
        <f t="shared" si="280"/>
        <v/>
      </c>
    </row>
    <row r="196" spans="1:56" ht="22.5" customHeight="1">
      <c r="A196" s="590"/>
      <c r="B196" s="590"/>
      <c r="C196" s="3816" t="s">
        <v>1165</v>
      </c>
      <c r="D196" s="3816"/>
      <c r="E196" s="3816"/>
      <c r="F196" s="3816"/>
      <c r="I196" s="740"/>
      <c r="R196" s="2342"/>
      <c r="BC196" s="736" t="str">
        <f t="shared" si="280"/>
        <v/>
      </c>
    </row>
    <row r="197" spans="1:56" ht="12.75" customHeight="1">
      <c r="A197" s="701"/>
      <c r="B197" s="701"/>
      <c r="C197" s="811"/>
      <c r="I197" s="740"/>
      <c r="Q197" s="882"/>
      <c r="R197" s="2338"/>
      <c r="S197" s="2338"/>
      <c r="T197" s="2338"/>
      <c r="U197" s="2338"/>
      <c r="V197" s="2338"/>
      <c r="W197" s="2338"/>
      <c r="AA197" s="2339">
        <f>AA200/'VVP2'!AA341</f>
        <v>2.9041711580721656E-2</v>
      </c>
      <c r="AB197" s="2339">
        <f>AB199/'VVP2'!AB341</f>
        <v>0.15974289801133143</v>
      </c>
      <c r="AC197" s="2339">
        <f>AC203/'VVP2'!AC341</f>
        <v>0.18939225346529809</v>
      </c>
      <c r="AD197" s="2339">
        <f ca="1">AD203/'VVP2'!AD341</f>
        <v>0.18642148496776725</v>
      </c>
      <c r="AE197" s="2339">
        <f ca="1">AE203/'VVP2'!AE341</f>
        <v>0.18524788147650134</v>
      </c>
      <c r="AF197" s="2339">
        <f ca="1">AF203/'VVP2'!AF341</f>
        <v>0.18398344803850611</v>
      </c>
      <c r="AH197" s="3707" t="s">
        <v>2574</v>
      </c>
      <c r="BC197" s="736" t="str">
        <f t="shared" si="280"/>
        <v/>
      </c>
    </row>
    <row r="198" spans="1:56" ht="12.75" customHeight="1">
      <c r="A198" s="701"/>
      <c r="B198" s="701"/>
      <c r="C198" s="811"/>
      <c r="D198" s="812"/>
      <c r="E198" s="813" t="s">
        <v>1882</v>
      </c>
      <c r="F198" s="814"/>
      <c r="G198" s="815">
        <f>+InputY!$G$3</f>
        <v>1995</v>
      </c>
      <c r="H198" s="815">
        <f>+G198+1</f>
        <v>1996</v>
      </c>
      <c r="I198" s="815">
        <f t="shared" ref="I198:R198" si="281">+H198+1</f>
        <v>1997</v>
      </c>
      <c r="J198" s="815">
        <f t="shared" si="281"/>
        <v>1998</v>
      </c>
      <c r="K198" s="815">
        <f t="shared" si="281"/>
        <v>1999</v>
      </c>
      <c r="L198" s="815">
        <f t="shared" si="281"/>
        <v>2000</v>
      </c>
      <c r="M198" s="815">
        <f t="shared" si="281"/>
        <v>2001</v>
      </c>
      <c r="N198" s="815">
        <f t="shared" si="281"/>
        <v>2002</v>
      </c>
      <c r="O198" s="815">
        <f t="shared" si="281"/>
        <v>2003</v>
      </c>
      <c r="P198" s="815">
        <f>+O198+1</f>
        <v>2004</v>
      </c>
      <c r="Q198" s="815">
        <f>+P198+1</f>
        <v>2005</v>
      </c>
      <c r="R198" s="2285">
        <f t="shared" si="281"/>
        <v>2006</v>
      </c>
      <c r="S198" s="2285">
        <f t="shared" ref="S198:Y198" si="282">+R198+1</f>
        <v>2007</v>
      </c>
      <c r="T198" s="2285">
        <f t="shared" si="282"/>
        <v>2008</v>
      </c>
      <c r="U198" s="2285">
        <f t="shared" si="282"/>
        <v>2009</v>
      </c>
      <c r="V198" s="2285">
        <f>+U198+1</f>
        <v>2010</v>
      </c>
      <c r="W198" s="2285">
        <f>+V198+1</f>
        <v>2011</v>
      </c>
      <c r="X198" s="2285">
        <f t="shared" si="282"/>
        <v>2012</v>
      </c>
      <c r="Y198" s="2285">
        <f t="shared" si="282"/>
        <v>2013</v>
      </c>
      <c r="Z198" s="2285">
        <f t="shared" ref="Z198:AF198" si="283">+Y198+1</f>
        <v>2014</v>
      </c>
      <c r="AA198" s="2285">
        <f t="shared" si="283"/>
        <v>2015</v>
      </c>
      <c r="AB198" s="2285">
        <f t="shared" si="283"/>
        <v>2016</v>
      </c>
      <c r="AC198" s="2285">
        <f t="shared" si="283"/>
        <v>2017</v>
      </c>
      <c r="AD198" s="2285">
        <f t="shared" si="283"/>
        <v>2018</v>
      </c>
      <c r="AE198" s="2285">
        <f t="shared" si="283"/>
        <v>2019</v>
      </c>
      <c r="AF198" s="2285">
        <f t="shared" si="283"/>
        <v>2020</v>
      </c>
      <c r="AG198" s="3643">
        <v>2016</v>
      </c>
      <c r="AH198" s="3707">
        <f ca="1">Tables!$G$433</f>
        <v>1.5523163974571161</v>
      </c>
      <c r="AI198" s="3707">
        <f ca="1">Tables!$I$433</f>
        <v>1.0521553483443902</v>
      </c>
      <c r="AJ198" s="3707">
        <f ca="1">Tables!$K$433</f>
        <v>0.94511676569394043</v>
      </c>
      <c r="AK198" s="3707">
        <f ca="1">Tables!$M$433</f>
        <v>0.83901290941847817</v>
      </c>
      <c r="AO198" s="3411"/>
      <c r="AP198" s="3411"/>
      <c r="AU198" s="2939"/>
      <c r="BB198" s="736"/>
      <c r="BC198" s="3470">
        <v>2016</v>
      </c>
      <c r="BD198" s="736" t="str">
        <f t="shared" ref="BD198:BD208" si="284">IF(ABS(BC198-AB198)&gt;0.99,AB198-BC198,"")</f>
        <v/>
      </c>
    </row>
    <row r="199" spans="1:56" ht="12.75" customHeight="1">
      <c r="A199" s="701">
        <f>+ROW(InputY!A191)</f>
        <v>191</v>
      </c>
      <c r="B199" s="701">
        <v>92</v>
      </c>
      <c r="C199" s="816" t="s">
        <v>1791</v>
      </c>
      <c r="D199" s="705" t="s">
        <v>664</v>
      </c>
      <c r="E199" s="737" t="s">
        <v>105</v>
      </c>
      <c r="F199" s="738" t="str">
        <f>+InputY!B191</f>
        <v>$HTaxDir</v>
      </c>
      <c r="G199" s="817">
        <f>+InputY!G191/1000</f>
        <v>308.827</v>
      </c>
      <c r="H199" s="817">
        <f>+InputY!H191/1000</f>
        <v>335.00900000000001</v>
      </c>
      <c r="I199" s="817">
        <f>+InputY!I191/1000</f>
        <v>352.20699999999999</v>
      </c>
      <c r="J199" s="817">
        <f>+InputY!J191/1000</f>
        <v>370.53399999999999</v>
      </c>
      <c r="K199" s="817">
        <f>+InputY!K191/1000</f>
        <v>397.29500000000002</v>
      </c>
      <c r="L199" s="817">
        <f>+InputY!L191/1000</f>
        <v>424.87599999999998</v>
      </c>
      <c r="M199" s="817">
        <f>+InputY!M191/1000</f>
        <v>425.55099999999999</v>
      </c>
      <c r="N199" s="817">
        <f>+InputY!N191/1000</f>
        <v>426.35599999999999</v>
      </c>
      <c r="O199" s="817">
        <f>+InputY!O191/1000</f>
        <v>455.96100000000001</v>
      </c>
      <c r="P199" s="817">
        <f>+InputY!P191/1000</f>
        <v>478.05500000000001</v>
      </c>
      <c r="Q199" s="817">
        <f>+InputY!Q191/1000</f>
        <v>511.209</v>
      </c>
      <c r="R199" s="2965">
        <f>+InputY!R191/1000</f>
        <v>549.89200000000005</v>
      </c>
      <c r="S199" s="2965">
        <f>+InputY!S191/1000</f>
        <v>549.12599999999998</v>
      </c>
      <c r="T199" s="2965">
        <f>+InputY!T191/1000</f>
        <v>549.43600000000004</v>
      </c>
      <c r="U199" s="2965">
        <f>+InputY!U191/1000</f>
        <v>525.36400000000003</v>
      </c>
      <c r="V199" s="2965">
        <f>+InputY!V191/1000</f>
        <v>533.44200000000001</v>
      </c>
      <c r="W199" s="2965">
        <f>+InputY!W191/1000</f>
        <v>539.279</v>
      </c>
      <c r="X199" s="2965">
        <f>+InputY!X191/1000</f>
        <v>554.35699999999997</v>
      </c>
      <c r="Y199" s="2965">
        <f>+InputY!Y191/1000</f>
        <v>573.54200000000003</v>
      </c>
      <c r="Z199" s="2965">
        <f>+InputY!Z191/1000</f>
        <v>601.96199999999999</v>
      </c>
      <c r="AA199" s="2965">
        <f>+InputY!AA191/1000</f>
        <v>650.73299999999995</v>
      </c>
      <c r="AB199" s="2965">
        <f>+InputY!AB191/1000</f>
        <v>700.55200000000002</v>
      </c>
      <c r="AC199" s="2965">
        <f>+InputY!AC191/1000</f>
        <v>735.09299999999996</v>
      </c>
      <c r="AD199" s="2296">
        <f t="shared" ref="AD199:AF199" si="285">+AC199*(1+AD207/100)</f>
        <v>756.57994268260916</v>
      </c>
      <c r="AE199" s="2296">
        <f t="shared" si="285"/>
        <v>780.90266659148301</v>
      </c>
      <c r="AF199" s="2296">
        <f t="shared" si="285"/>
        <v>803.35586821466859</v>
      </c>
      <c r="AG199" s="740">
        <f>AA199*(1+Labour1!AB223/1000)+InputDFM!E20</f>
        <v>681.89817609911745</v>
      </c>
      <c r="AH199" s="3643">
        <v>2017</v>
      </c>
      <c r="AI199" s="3643">
        <f>AH199+1</f>
        <v>2018</v>
      </c>
      <c r="AJ199" s="3643">
        <f t="shared" ref="AJ199:AK199" si="286">AI199+1</f>
        <v>2019</v>
      </c>
      <c r="AK199" s="3643">
        <f t="shared" si="286"/>
        <v>2020</v>
      </c>
      <c r="AL199" s="3411"/>
      <c r="AM199" s="3411"/>
      <c r="AO199" s="740"/>
      <c r="AP199" s="740"/>
      <c r="AU199" s="2939"/>
      <c r="BB199" s="736"/>
      <c r="BC199" s="3516">
        <v>701.29200000000003</v>
      </c>
      <c r="BD199" s="736" t="str">
        <f t="shared" si="284"/>
        <v/>
      </c>
    </row>
    <row r="200" spans="1:56" ht="12.75" customHeight="1">
      <c r="A200" s="701">
        <f>+ROW(InputY!A121)</f>
        <v>121</v>
      </c>
      <c r="B200" s="701">
        <v>107</v>
      </c>
      <c r="C200" s="819" t="s">
        <v>1791</v>
      </c>
      <c r="D200" s="711" t="s">
        <v>665</v>
      </c>
      <c r="E200" s="820" t="s">
        <v>105</v>
      </c>
      <c r="F200" s="741" t="str">
        <f>+InputY!B121</f>
        <v>$ETaxDir</v>
      </c>
      <c r="G200" s="743">
        <f>+InputY!G121/1000</f>
        <v>46.326000000000001</v>
      </c>
      <c r="H200" s="743">
        <f>+InputY!H121/1000</f>
        <v>46.036000000000001</v>
      </c>
      <c r="I200" s="743">
        <f>+InputY!I121/1000</f>
        <v>53.537999999999997</v>
      </c>
      <c r="J200" s="743">
        <f>+InputY!J121/1000</f>
        <v>49.536000000000001</v>
      </c>
      <c r="K200" s="743">
        <f>+InputY!K121/1000</f>
        <v>62.482999999999997</v>
      </c>
      <c r="L200" s="743">
        <f>+InputY!L121/1000</f>
        <v>81.98</v>
      </c>
      <c r="M200" s="743">
        <f>+InputY!M121/1000</f>
        <v>58.795000000000002</v>
      </c>
      <c r="N200" s="743">
        <f>+InputY!N121/1000</f>
        <v>47.158000000000001</v>
      </c>
      <c r="O200" s="743">
        <f>+InputY!O121/1000</f>
        <v>55.012999999999998</v>
      </c>
      <c r="P200" s="743">
        <f>+InputY!P121/1000</f>
        <v>78.111999999999995</v>
      </c>
      <c r="Q200" s="743">
        <f>+InputY!Q121/1000</f>
        <v>99.003</v>
      </c>
      <c r="R200" s="1616">
        <f>+InputY!R121/1000</f>
        <v>107.089</v>
      </c>
      <c r="S200" s="1616">
        <f>+InputY!S121/1000</f>
        <v>117.184</v>
      </c>
      <c r="T200" s="1616">
        <f>+InputY!T121/1000</f>
        <v>89.872</v>
      </c>
      <c r="U200" s="1616">
        <f>+InputY!U121/1000</f>
        <v>89.897999999999996</v>
      </c>
      <c r="V200" s="1616">
        <f>+InputY!V121/1000</f>
        <v>113.101</v>
      </c>
      <c r="W200" s="1616">
        <f>+InputY!W121/1000</f>
        <v>109.571</v>
      </c>
      <c r="X200" s="1616">
        <f>+InputY!X121/1000</f>
        <v>93.506</v>
      </c>
      <c r="Y200" s="1616">
        <f>+InputY!Y121/1000</f>
        <v>99.924000000000007</v>
      </c>
      <c r="Z200" s="1616">
        <f>+InputY!Z121/1000</f>
        <v>102.122</v>
      </c>
      <c r="AA200" s="1616">
        <f>+InputY!AA121/1000</f>
        <v>122.02</v>
      </c>
      <c r="AB200" s="1616">
        <f>+InputY!AB121/1000</f>
        <v>123.566</v>
      </c>
      <c r="AC200" s="1616">
        <f>+InputY!AC121/1000</f>
        <v>132.32</v>
      </c>
      <c r="AD200" s="2279">
        <f t="shared" ref="AD200:AF201" si="287">+AC200*(1+AD208/100)</f>
        <v>138.93600000000001</v>
      </c>
      <c r="AE200" s="2279">
        <f t="shared" si="287"/>
        <v>142.54833600000001</v>
      </c>
      <c r="AF200" s="2279">
        <f t="shared" si="287"/>
        <v>146.25459273600001</v>
      </c>
      <c r="AG200" s="740"/>
      <c r="AH200" s="740">
        <f>AB199*(1+Labour1!AC223/1000)+InputDFM!F20</f>
        <v>705.70021331257158</v>
      </c>
      <c r="AI200" s="740">
        <f>AC199*(1+Labour1!AD223/1000)+InputDFM!G20</f>
        <v>730.89706178150857</v>
      </c>
      <c r="AJ200" s="740">
        <f>AD199*(1+Labour1!AE223/1000)+InputDFM!H20</f>
        <v>757.00491082487792</v>
      </c>
      <c r="AK200" s="740">
        <f>AE199*(1+Labour1!AF223/1000)+InputDFM!I20</f>
        <v>778.77098311488896</v>
      </c>
      <c r="AL200" s="3642" t="s">
        <v>2578</v>
      </c>
      <c r="AM200" s="740"/>
      <c r="AO200" s="740"/>
      <c r="AP200" s="740"/>
      <c r="AU200" s="2939"/>
      <c r="BB200" s="736"/>
      <c r="BC200" s="3517">
        <v>124.011</v>
      </c>
      <c r="BD200" s="736" t="str">
        <f t="shared" si="284"/>
        <v/>
      </c>
    </row>
    <row r="201" spans="1:56" ht="12.75" customHeight="1">
      <c r="A201" s="701">
        <f>+ROW(InputY!A157)</f>
        <v>157</v>
      </c>
      <c r="B201" s="701" t="s">
        <v>963</v>
      </c>
      <c r="C201" s="819" t="s">
        <v>1791</v>
      </c>
      <c r="D201" s="711" t="s">
        <v>666</v>
      </c>
      <c r="E201" s="820" t="s">
        <v>105</v>
      </c>
      <c r="F201" s="741" t="str">
        <f>+InputY!B157</f>
        <v>$ATaxDir</v>
      </c>
      <c r="G201" s="743">
        <f>+InputY!G157/1000</f>
        <v>1.4999999999999999E-2</v>
      </c>
      <c r="H201" s="743">
        <f>+InputY!H157/1000</f>
        <v>4.0000000000000001E-3</v>
      </c>
      <c r="I201" s="743">
        <f>+InputY!I157/1000</f>
        <v>7.0000000000000001E-3</v>
      </c>
      <c r="J201" s="743">
        <f>+InputY!J157/1000</f>
        <v>7.0000000000000001E-3</v>
      </c>
      <c r="K201" s="743">
        <f>+InputY!K157/1000</f>
        <v>5.0000000000000001E-3</v>
      </c>
      <c r="L201" s="743">
        <f>+InputY!L157/1000</f>
        <v>0.111</v>
      </c>
      <c r="M201" s="743">
        <f>+InputY!M157/1000</f>
        <v>5.0000000000000001E-3</v>
      </c>
      <c r="N201" s="743">
        <f>+InputY!N157/1000</f>
        <v>1.4999999999999999E-2</v>
      </c>
      <c r="O201" s="743">
        <f>+InputY!O157/1000</f>
        <v>1.9E-2</v>
      </c>
      <c r="P201" s="743">
        <f>+InputY!P157/1000</f>
        <v>1.0999999999999999E-2</v>
      </c>
      <c r="Q201" s="743">
        <f>+InputY!Q157/1000</f>
        <v>5.0000000000000001E-3</v>
      </c>
      <c r="R201" s="1616">
        <f>+InputY!R157/1000</f>
        <v>4.2000000000000003E-2</v>
      </c>
      <c r="S201" s="1616">
        <f>+InputY!S157/1000</f>
        <v>4.4999999999999998E-2</v>
      </c>
      <c r="T201" s="1616">
        <f>+InputY!T157/1000</f>
        <v>2.1000000000000001E-2</v>
      </c>
      <c r="U201" s="1616">
        <f>+InputY!U157/1000</f>
        <v>0.34799999999999998</v>
      </c>
      <c r="V201" s="1616">
        <f>+InputY!V157/1000</f>
        <v>2.9000000000000001E-2</v>
      </c>
      <c r="W201" s="1616">
        <f>+InputY!W157/1000</f>
        <v>1.0999999999999999E-2</v>
      </c>
      <c r="X201" s="1616">
        <f>+InputY!X157/1000</f>
        <v>0.123</v>
      </c>
      <c r="Y201" s="1616">
        <f>+InputY!Y157/1000</f>
        <v>6.2E-2</v>
      </c>
      <c r="Z201" s="1616">
        <f>+InputY!Z157/1000</f>
        <v>8.5999999999999993E-2</v>
      </c>
      <c r="AA201" s="1616">
        <f>+InputY!AA157/1000</f>
        <v>6.4000000000000001E-2</v>
      </c>
      <c r="AB201" s="1616">
        <f>+InputY!AB157/1000</f>
        <v>0.17599999999999999</v>
      </c>
      <c r="AC201" s="1616">
        <f>+InputY!AC157/1000</f>
        <v>0.14199999999999999</v>
      </c>
      <c r="AD201" s="2279">
        <f t="shared" si="287"/>
        <v>0.14199999999999999</v>
      </c>
      <c r="AE201" s="2279">
        <f t="shared" si="287"/>
        <v>0.14199999999999999</v>
      </c>
      <c r="AF201" s="2279">
        <f t="shared" si="287"/>
        <v>0.14199999999999999</v>
      </c>
      <c r="AG201" s="740"/>
      <c r="AH201" s="3640">
        <f>AB200*(1+(AC215/100)*(1.05))+InputDFM!F20</f>
        <v>134.43196188970509</v>
      </c>
      <c r="AI201" s="3640">
        <f ca="1">AC200*(1+(AD215/100)*(1.14))+InputDFM!G20</f>
        <v>136.35595596768101</v>
      </c>
      <c r="AJ201" s="3640">
        <f ca="1">AD200*(1+(AE215/100)*(1.14))+InputDFM!H20</f>
        <v>145.98891707531794</v>
      </c>
      <c r="AK201" s="3640">
        <f ca="1">AE200*(1+(AF215/100)*(1.14))+InputDFM!I20</f>
        <v>146.93560937357384</v>
      </c>
      <c r="AL201" s="3640" t="s">
        <v>2580</v>
      </c>
      <c r="AM201" s="740"/>
      <c r="AO201" s="740"/>
      <c r="AP201" s="740"/>
      <c r="AU201" s="2939"/>
      <c r="BB201" s="736"/>
      <c r="BC201" s="3517">
        <v>0</v>
      </c>
      <c r="BD201" s="736" t="str">
        <f t="shared" si="284"/>
        <v/>
      </c>
    </row>
    <row r="202" spans="1:56" ht="12.75" customHeight="1">
      <c r="A202" s="2014">
        <f>ROW(InputY!A242)</f>
        <v>242</v>
      </c>
      <c r="B202" s="701" t="s">
        <v>950</v>
      </c>
      <c r="C202" s="819" t="s">
        <v>1791</v>
      </c>
      <c r="D202" s="711" t="s">
        <v>667</v>
      </c>
      <c r="E202" s="820" t="s">
        <v>106</v>
      </c>
      <c r="F202" s="741" t="s">
        <v>107</v>
      </c>
      <c r="G202" s="743">
        <f>+InputY!G242/1000</f>
        <v>0.13200000000000001</v>
      </c>
      <c r="H202" s="743">
        <f>+InputY!H242/1000</f>
        <v>0.82299999999999995</v>
      </c>
      <c r="I202" s="743">
        <f>+InputY!I242/1000</f>
        <v>0.57499999999999996</v>
      </c>
      <c r="J202" s="743">
        <f>+InputY!J242/1000</f>
        <v>2.5590000000000002</v>
      </c>
      <c r="K202" s="743">
        <f>+InputY!K242/1000</f>
        <v>1.925</v>
      </c>
      <c r="L202" s="743">
        <f>+InputY!L242/1000</f>
        <v>1.8049999999999999</v>
      </c>
      <c r="M202" s="743">
        <f>+InputY!M242/1000</f>
        <v>1.4350000000000001</v>
      </c>
      <c r="N202" s="743">
        <f>+InputY!N242/1000</f>
        <v>1.2470000000000001</v>
      </c>
      <c r="O202" s="743">
        <f>+InputY!O242/1000</f>
        <v>-0.67200000000000004</v>
      </c>
      <c r="P202" s="743">
        <f>+InputY!P242/1000</f>
        <v>-2.0619999999999998</v>
      </c>
      <c r="Q202" s="743">
        <f>+InputY!Q242/1000</f>
        <v>-1.82</v>
      </c>
      <c r="R202" s="743">
        <f>+InputY!R242/1000</f>
        <v>-3.2309999999999999</v>
      </c>
      <c r="S202" s="743">
        <f>+InputY!S242/1000</f>
        <v>-2.14</v>
      </c>
      <c r="T202" s="743">
        <f>+InputY!T242/1000</f>
        <v>-4.2889999999999997</v>
      </c>
      <c r="U202" s="743">
        <f>+InputY!U242/1000</f>
        <v>-7.2670000000000003</v>
      </c>
      <c r="V202" s="743">
        <f>+InputY!V242/1000</f>
        <v>-7.0010000000000003</v>
      </c>
      <c r="W202" s="743">
        <f>+InputY!W242/1000</f>
        <v>-3.8220000000000001</v>
      </c>
      <c r="X202" s="743">
        <f>+InputY!X242/1000</f>
        <v>-5.7560000000000002</v>
      </c>
      <c r="Y202" s="743">
        <f>+InputY!Y242/1000</f>
        <v>-2.93</v>
      </c>
      <c r="Z202" s="743">
        <f>+InputY!Z242/1000</f>
        <v>-2.883</v>
      </c>
      <c r="AA202" s="743">
        <f>+InputY!AA242/1000</f>
        <v>-1.44</v>
      </c>
      <c r="AB202" s="743">
        <f>+InputY!AB242/1000</f>
        <v>0.37</v>
      </c>
      <c r="AC202" s="743">
        <f>+InputY!AC242/1000</f>
        <v>-0.34699999999999998</v>
      </c>
      <c r="AD202" s="2279">
        <f>+AC202*(1+AD210/100)</f>
        <v>-0.24289999999999998</v>
      </c>
      <c r="AE202" s="2279">
        <f>+AD202*(1+AE210/100)</f>
        <v>-0.17002999999999999</v>
      </c>
      <c r="AF202" s="2279">
        <f>+AE202*(1+AF210/100)</f>
        <v>-0.11902099999999999</v>
      </c>
      <c r="AH202" s="740"/>
      <c r="AI202" s="740"/>
      <c r="AJ202" s="740"/>
      <c r="AK202" s="740"/>
      <c r="AL202" s="3413"/>
      <c r="AM202" s="740"/>
      <c r="AU202" s="2939"/>
      <c r="BB202" s="736"/>
      <c r="BC202" s="3472">
        <v>-0.36799999999999999</v>
      </c>
      <c r="BD202" s="736" t="str">
        <f t="shared" si="284"/>
        <v/>
      </c>
    </row>
    <row r="203" spans="1:56" ht="12.75" customHeight="1">
      <c r="A203" s="701">
        <f>+ROW(InputY!A156)</f>
        <v>156</v>
      </c>
      <c r="B203" s="701">
        <v>114</v>
      </c>
      <c r="C203" s="821" t="s">
        <v>1793</v>
      </c>
      <c r="D203" s="789" t="s">
        <v>666</v>
      </c>
      <c r="E203" s="790" t="s">
        <v>820</v>
      </c>
      <c r="F203" s="791" t="str">
        <f>+InputY!B156</f>
        <v>YATaxDir</v>
      </c>
      <c r="G203" s="822">
        <f>+InputY!G156/1000</f>
        <v>355.3</v>
      </c>
      <c r="H203" s="822">
        <f>+InputY!H156/1000</f>
        <v>381.87200000000001</v>
      </c>
      <c r="I203" s="822">
        <f>+InputY!I156/1000</f>
        <v>406.327</v>
      </c>
      <c r="J203" s="822">
        <f>+InputY!J156/1000</f>
        <v>422.63600000000002</v>
      </c>
      <c r="K203" s="822">
        <f>+InputY!K156/1000</f>
        <v>461.70800000000003</v>
      </c>
      <c r="L203" s="822">
        <f>+InputY!L156/1000</f>
        <v>508.77199999999999</v>
      </c>
      <c r="M203" s="822">
        <f>+InputY!M156/1000</f>
        <v>485.786</v>
      </c>
      <c r="N203" s="822">
        <f>+InputY!N156/1000</f>
        <v>474.77600000000001</v>
      </c>
      <c r="O203" s="822">
        <f>+InputY!O156/1000</f>
        <v>510.32100000000003</v>
      </c>
      <c r="P203" s="822">
        <f>+InputY!P156/1000</f>
        <v>554.11599999999999</v>
      </c>
      <c r="Q203" s="2158">
        <f>+InputY!Q156/1000</f>
        <v>608.39700000000005</v>
      </c>
      <c r="R203" s="2967">
        <f>+InputY!R156/1000</f>
        <v>653.79200000000003</v>
      </c>
      <c r="S203" s="2967">
        <f>+InputY!S156/1000</f>
        <v>664.21500000000003</v>
      </c>
      <c r="T203" s="2967">
        <f>+InputY!T156/1000</f>
        <v>635.04</v>
      </c>
      <c r="U203" s="2967">
        <f>+InputY!U156/1000</f>
        <v>608.34299999999996</v>
      </c>
      <c r="V203" s="2967">
        <f>+InputY!V156/1000</f>
        <v>639.57100000000003</v>
      </c>
      <c r="W203" s="2967">
        <f>+InputY!W156/1000</f>
        <v>645.03899999999999</v>
      </c>
      <c r="X203" s="2967">
        <f>+InputY!X156/1000</f>
        <v>642.23</v>
      </c>
      <c r="Y203" s="2967">
        <f>+InputY!Y156/1000</f>
        <v>670.59799999999996</v>
      </c>
      <c r="Z203" s="2967">
        <f>+InputY!Z156/1000</f>
        <v>701.28700000000003</v>
      </c>
      <c r="AA203" s="2967">
        <f>+InputY!AA156/1000</f>
        <v>771.37699999999995</v>
      </c>
      <c r="AB203" s="2967">
        <f>+InputY!AB156/1000</f>
        <v>824.66399999999999</v>
      </c>
      <c r="AC203" s="3705">
        <f>+InputY!AC156/1000</f>
        <v>867.20799999999997</v>
      </c>
      <c r="AD203" s="3706">
        <f>+AD199+AD200+AD201+AD202</f>
        <v>895.41504268260928</v>
      </c>
      <c r="AE203" s="3706">
        <f>+AE199+AE200+AE201+AE202</f>
        <v>923.42297259148313</v>
      </c>
      <c r="AF203" s="3706">
        <f>+AF199+AF200+AF201+AF202</f>
        <v>949.63343995066862</v>
      </c>
      <c r="AU203" s="2939"/>
      <c r="BB203" s="736"/>
      <c r="BC203" s="3518">
        <v>808.34400000000005</v>
      </c>
      <c r="BD203" s="736">
        <f t="shared" si="284"/>
        <v>16.319999999999936</v>
      </c>
    </row>
    <row r="204" spans="1:56" s="2032" customFormat="1" ht="12.75" customHeight="1">
      <c r="A204" s="1036"/>
      <c r="B204" s="1036"/>
      <c r="C204" s="1647"/>
      <c r="D204" s="1051"/>
      <c r="E204" s="2033" t="s">
        <v>90</v>
      </c>
      <c r="F204" s="2034"/>
      <c r="G204" s="1040">
        <f>ABS(+G199+G200+G201+G202-G203)</f>
        <v>0</v>
      </c>
      <c r="H204" s="1040">
        <f t="shared" ref="H204:X204" si="288">ABS(+H199+H200+H201+H202-H203)</f>
        <v>0</v>
      </c>
      <c r="I204" s="1040">
        <f t="shared" si="288"/>
        <v>0</v>
      </c>
      <c r="J204" s="1040">
        <f t="shared" si="288"/>
        <v>0</v>
      </c>
      <c r="K204" s="1040">
        <f t="shared" si="288"/>
        <v>0</v>
      </c>
      <c r="L204" s="1040">
        <f t="shared" si="288"/>
        <v>0</v>
      </c>
      <c r="M204" s="1040">
        <f t="shared" si="288"/>
        <v>0</v>
      </c>
      <c r="N204" s="1040">
        <f t="shared" si="288"/>
        <v>0</v>
      </c>
      <c r="O204" s="1040">
        <f t="shared" si="288"/>
        <v>5.6843418860808015E-14</v>
      </c>
      <c r="P204" s="1040">
        <f t="shared" si="288"/>
        <v>0</v>
      </c>
      <c r="Q204" s="1040">
        <f t="shared" si="288"/>
        <v>1.1368683772161603E-13</v>
      </c>
      <c r="R204" s="1040">
        <f t="shared" si="288"/>
        <v>0</v>
      </c>
      <c r="S204" s="1040">
        <f t="shared" si="288"/>
        <v>1.1368683772161603E-13</v>
      </c>
      <c r="T204" s="1040">
        <f t="shared" si="288"/>
        <v>0</v>
      </c>
      <c r="U204" s="1040">
        <f t="shared" si="288"/>
        <v>0</v>
      </c>
      <c r="V204" s="1040">
        <f t="shared" si="288"/>
        <v>0</v>
      </c>
      <c r="W204" s="1040">
        <f>ABS(+W199+W200+W201+W202-W203)</f>
        <v>0</v>
      </c>
      <c r="X204" s="2999">
        <f t="shared" si="288"/>
        <v>0</v>
      </c>
      <c r="Y204" s="2999">
        <f>ABS(+Y199+Y200+Y201+Y202-Y203)</f>
        <v>1.1368683772161603E-13</v>
      </c>
      <c r="Z204" s="2999">
        <f>ABS(+Z199+Z200+Z201+Z202-Z203)</f>
        <v>1.1368683772161603E-13</v>
      </c>
      <c r="AA204" s="2999">
        <f>+AA199+AA200+AA201+AA202-AA203</f>
        <v>0</v>
      </c>
      <c r="AB204" s="2999">
        <f>+AB199+AB200+AB201+AB202-AB203</f>
        <v>0</v>
      </c>
      <c r="AC204" s="2999">
        <f>ABS(+AC199+AC200+AC201+AC202-AC203)</f>
        <v>1.1368683772161603E-13</v>
      </c>
      <c r="AD204" s="2999">
        <f>ABS(+AD199+AD200+AD201+AD202-AD203)</f>
        <v>0</v>
      </c>
      <c r="AE204" s="2999">
        <f>ABS(+AE199+AE200+AE201+AE202-AE203)</f>
        <v>0</v>
      </c>
      <c r="AF204" s="2999">
        <f>ABS(+AF199+AF200+AF201+AF202-AF203)</f>
        <v>0</v>
      </c>
      <c r="AG204" s="2940"/>
      <c r="AH204" s="2939"/>
      <c r="AI204" s="2939"/>
      <c r="AJ204" s="2939"/>
      <c r="AK204" s="2939"/>
      <c r="AL204" s="2939"/>
      <c r="AM204" s="2939"/>
      <c r="AO204" s="2940"/>
      <c r="AP204" s="2940"/>
      <c r="AQ204" s="2940"/>
      <c r="AR204" s="2940"/>
      <c r="AS204" s="2940"/>
      <c r="AT204" s="2940"/>
      <c r="AU204" s="2940"/>
      <c r="BC204" s="3519">
        <v>16.590999999999894</v>
      </c>
      <c r="BD204" s="736">
        <f t="shared" si="284"/>
        <v>-16.590999999999894</v>
      </c>
    </row>
    <row r="205" spans="1:56">
      <c r="A205" s="701"/>
      <c r="B205" s="701"/>
      <c r="Q205" s="882"/>
      <c r="R205" s="882"/>
      <c r="S205" s="882"/>
      <c r="T205" s="882"/>
      <c r="U205" s="882"/>
      <c r="V205" s="882"/>
      <c r="W205" s="3451">
        <f>'VVP2'!W341/'VVP2'!V341-1</f>
        <v>3.8940367055789515E-2</v>
      </c>
      <c r="X205" s="3451">
        <f>'VVP2'!X341/'VVP2'!W341-1</f>
        <v>7.6011125791202172E-3</v>
      </c>
      <c r="Y205" s="3451">
        <f>'VVP2'!Y341/'VVP2'!X341-1</f>
        <v>2.3060714240210611E-2</v>
      </c>
      <c r="Z205" s="3451">
        <f>'VVP2'!Z341/'VVP2'!Y341-1</f>
        <v>4.4247138069799297E-2</v>
      </c>
      <c r="AA205" s="3451">
        <f>'VVP2'!AA341/'VVP2'!Z341-1</f>
        <v>6.6131174787644964E-2</v>
      </c>
      <c r="AB205" s="3451">
        <f>'VVP2'!AB341/'VVP2'!AA341-1</f>
        <v>4.3782486576955382E-2</v>
      </c>
      <c r="AC205" s="3451">
        <f>'VVP2'!AC341/'VVP2'!AB341-1</f>
        <v>4.4100360802891814E-2</v>
      </c>
      <c r="AD205" s="3451">
        <f ca="1">'VVP2'!AD341/'VVP2'!AC341-1</f>
        <v>4.8980364670283993E-2</v>
      </c>
      <c r="AE205" s="3451">
        <f ca="1">'VVP2'!AE341/'VVP2'!AD341-1</f>
        <v>3.7812749119215061E-2</v>
      </c>
      <c r="AF205" s="3451">
        <f ca="1">'VVP2'!AF341/'VVP2'!AE341-1</f>
        <v>3.5451641625984909E-2</v>
      </c>
      <c r="AG205" s="3643">
        <v>2016</v>
      </c>
      <c r="AH205" s="2940"/>
      <c r="AI205" s="2940"/>
      <c r="AJ205" s="2940"/>
      <c r="AK205" s="2940"/>
      <c r="AL205" s="2940"/>
      <c r="AM205" s="2940"/>
      <c r="AU205" s="2939"/>
      <c r="BB205" s="736"/>
      <c r="BC205" s="3511"/>
      <c r="BD205" s="736" t="str">
        <f t="shared" si="284"/>
        <v/>
      </c>
    </row>
    <row r="206" spans="1:56" ht="12.75" customHeight="1">
      <c r="A206" s="701"/>
      <c r="B206" s="701"/>
      <c r="C206" s="811"/>
      <c r="D206" s="779"/>
      <c r="E206" s="780" t="s">
        <v>1883</v>
      </c>
      <c r="F206" s="781"/>
      <c r="G206" s="782">
        <f>+InputY!$G$3</f>
        <v>1995</v>
      </c>
      <c r="H206" s="782">
        <f>+G206+1</f>
        <v>1996</v>
      </c>
      <c r="I206" s="782">
        <f t="shared" ref="I206:R206" si="289">+H206+1</f>
        <v>1997</v>
      </c>
      <c r="J206" s="782">
        <f t="shared" si="289"/>
        <v>1998</v>
      </c>
      <c r="K206" s="782">
        <f t="shared" si="289"/>
        <v>1999</v>
      </c>
      <c r="L206" s="782">
        <f t="shared" si="289"/>
        <v>2000</v>
      </c>
      <c r="M206" s="782">
        <f t="shared" si="289"/>
        <v>2001</v>
      </c>
      <c r="N206" s="782">
        <f t="shared" si="289"/>
        <v>2002</v>
      </c>
      <c r="O206" s="782">
        <f t="shared" si="289"/>
        <v>2003</v>
      </c>
      <c r="P206" s="782">
        <f>+O206+1</f>
        <v>2004</v>
      </c>
      <c r="Q206" s="782">
        <f t="shared" si="289"/>
        <v>2005</v>
      </c>
      <c r="R206" s="2272">
        <f t="shared" si="289"/>
        <v>2006</v>
      </c>
      <c r="S206" s="2272">
        <f t="shared" ref="S206:Y206" si="290">+R206+1</f>
        <v>2007</v>
      </c>
      <c r="T206" s="2272">
        <f t="shared" si="290"/>
        <v>2008</v>
      </c>
      <c r="U206" s="2272">
        <f t="shared" si="290"/>
        <v>2009</v>
      </c>
      <c r="V206" s="2272">
        <f>+U206+1</f>
        <v>2010</v>
      </c>
      <c r="W206" s="2272">
        <f>+V206+1</f>
        <v>2011</v>
      </c>
      <c r="X206" s="2272">
        <f t="shared" si="290"/>
        <v>2012</v>
      </c>
      <c r="Y206" s="2272">
        <f t="shared" si="290"/>
        <v>2013</v>
      </c>
      <c r="Z206" s="2272">
        <f t="shared" ref="Z206:AF206" si="291">+Y206+1</f>
        <v>2014</v>
      </c>
      <c r="AA206" s="2272">
        <f t="shared" si="291"/>
        <v>2015</v>
      </c>
      <c r="AB206" s="2272">
        <f t="shared" si="291"/>
        <v>2016</v>
      </c>
      <c r="AC206" s="2272">
        <f t="shared" si="291"/>
        <v>2017</v>
      </c>
      <c r="AD206" s="2272">
        <f t="shared" si="291"/>
        <v>2018</v>
      </c>
      <c r="AE206" s="2272">
        <f t="shared" si="291"/>
        <v>2019</v>
      </c>
      <c r="AF206" s="2272">
        <f t="shared" si="291"/>
        <v>2020</v>
      </c>
      <c r="AH206" s="3643">
        <v>2017</v>
      </c>
      <c r="AI206" s="3643">
        <f>AH206+1</f>
        <v>2018</v>
      </c>
      <c r="AJ206" s="3643">
        <f t="shared" ref="AJ206:AK206" si="292">AI206+1</f>
        <v>2019</v>
      </c>
      <c r="AK206" s="3643">
        <f t="shared" si="292"/>
        <v>2020</v>
      </c>
      <c r="AU206" s="2939"/>
      <c r="BB206" s="736"/>
      <c r="BC206" s="3476">
        <v>2016</v>
      </c>
      <c r="BD206" s="736" t="str">
        <f t="shared" si="284"/>
        <v/>
      </c>
    </row>
    <row r="207" spans="1:56" ht="12.75" customHeight="1">
      <c r="A207" s="701"/>
      <c r="B207" s="701"/>
      <c r="C207" s="831" t="s">
        <v>1791</v>
      </c>
      <c r="D207" s="726" t="s">
        <v>664</v>
      </c>
      <c r="E207" s="775" t="s">
        <v>105</v>
      </c>
      <c r="F207" s="770" t="s">
        <v>1565</v>
      </c>
      <c r="G207" s="776"/>
      <c r="H207" s="776">
        <f t="shared" ref="H207:AC207" si="293">(H199/G199-1)*100</f>
        <v>8.4778856770943101</v>
      </c>
      <c r="I207" s="776">
        <f t="shared" si="293"/>
        <v>5.1335934258482485</v>
      </c>
      <c r="J207" s="776">
        <f t="shared" si="293"/>
        <v>5.2034740933598611</v>
      </c>
      <c r="K207" s="776">
        <f t="shared" si="293"/>
        <v>7.2222791970507405</v>
      </c>
      <c r="L207" s="776">
        <f t="shared" si="293"/>
        <v>6.9421966045381867</v>
      </c>
      <c r="M207" s="776">
        <f t="shared" si="293"/>
        <v>0.15886988203617225</v>
      </c>
      <c r="N207" s="776">
        <f t="shared" si="293"/>
        <v>0.18916651588176681</v>
      </c>
      <c r="O207" s="776">
        <f t="shared" si="293"/>
        <v>6.9437277767874672</v>
      </c>
      <c r="P207" s="776">
        <f t="shared" si="293"/>
        <v>4.8455898640453965</v>
      </c>
      <c r="Q207" s="776">
        <f t="shared" si="293"/>
        <v>6.9351852820282112</v>
      </c>
      <c r="R207" s="2273">
        <f t="shared" si="293"/>
        <v>7.5669638054103316</v>
      </c>
      <c r="S207" s="2273">
        <f t="shared" si="293"/>
        <v>-0.13930008074314326</v>
      </c>
      <c r="T207" s="2273">
        <f t="shared" si="293"/>
        <v>5.6453345862350623E-2</v>
      </c>
      <c r="U207" s="2273">
        <f t="shared" si="293"/>
        <v>-4.3812200147059883</v>
      </c>
      <c r="V207" s="2273">
        <f t="shared" si="293"/>
        <v>1.537600596919475</v>
      </c>
      <c r="W207" s="2273">
        <f t="shared" si="293"/>
        <v>1.094214553784667</v>
      </c>
      <c r="X207" s="2273">
        <f t="shared" si="293"/>
        <v>2.7959553403711146</v>
      </c>
      <c r="Y207" s="2273">
        <f t="shared" si="293"/>
        <v>3.4607662571231268</v>
      </c>
      <c r="Z207" s="2273">
        <f t="shared" si="293"/>
        <v>4.9551732915810831</v>
      </c>
      <c r="AA207" s="2273">
        <f t="shared" si="293"/>
        <v>8.1020064389446524</v>
      </c>
      <c r="AB207" s="2273">
        <f t="shared" si="293"/>
        <v>7.6558281199816225</v>
      </c>
      <c r="AC207" s="2273">
        <f t="shared" si="293"/>
        <v>4.9305404880722437</v>
      </c>
      <c r="AD207" s="2362">
        <f>AI208</f>
        <v>2.9230237102800856</v>
      </c>
      <c r="AE207" s="2362">
        <f>AJ208</f>
        <v>3.2148253656623047</v>
      </c>
      <c r="AF207" s="2362">
        <f>AK208</f>
        <v>2.8752881228066829</v>
      </c>
      <c r="AH207" s="3644">
        <v>1.4037878493009841</v>
      </c>
      <c r="AI207" s="3644">
        <v>0.81866526220744684</v>
      </c>
      <c r="AJ207" s="3644">
        <v>0.9</v>
      </c>
      <c r="AK207" s="3644">
        <v>1</v>
      </c>
      <c r="AL207" s="3634" t="s">
        <v>2577</v>
      </c>
      <c r="AM207" s="3645" t="s">
        <v>2581</v>
      </c>
      <c r="AU207" s="2939"/>
      <c r="BB207" s="736"/>
      <c r="BC207" s="3520">
        <v>7.7731896341079354</v>
      </c>
      <c r="BD207" s="736" t="str">
        <f t="shared" si="284"/>
        <v/>
      </c>
    </row>
    <row r="208" spans="1:56" ht="12.75" customHeight="1">
      <c r="A208" s="701"/>
      <c r="B208" s="701"/>
      <c r="C208" s="832" t="s">
        <v>1791</v>
      </c>
      <c r="D208" s="711" t="s">
        <v>665</v>
      </c>
      <c r="E208" s="820" t="s">
        <v>105</v>
      </c>
      <c r="F208" s="741" t="s">
        <v>1241</v>
      </c>
      <c r="G208" s="743"/>
      <c r="H208" s="743">
        <f t="shared" ref="H208:AC208" si="294">(H200/G200-1)*100</f>
        <v>-0.62599835945257309</v>
      </c>
      <c r="I208" s="743">
        <f t="shared" si="294"/>
        <v>16.29594230602136</v>
      </c>
      <c r="J208" s="743">
        <f t="shared" si="294"/>
        <v>-7.4750644402106881</v>
      </c>
      <c r="K208" s="743">
        <f t="shared" si="294"/>
        <v>26.136547157622726</v>
      </c>
      <c r="L208" s="743">
        <f t="shared" si="294"/>
        <v>31.203687402973614</v>
      </c>
      <c r="M208" s="743">
        <f t="shared" si="294"/>
        <v>-28.281288119053428</v>
      </c>
      <c r="N208" s="743">
        <f t="shared" si="294"/>
        <v>-19.792499362190664</v>
      </c>
      <c r="O208" s="743">
        <f t="shared" si="294"/>
        <v>16.656770855422188</v>
      </c>
      <c r="P208" s="743">
        <f t="shared" si="294"/>
        <v>41.988257320996844</v>
      </c>
      <c r="Q208" s="743">
        <f t="shared" si="294"/>
        <v>26.744930356411324</v>
      </c>
      <c r="R208" s="2281">
        <f t="shared" si="294"/>
        <v>8.1674292698201043</v>
      </c>
      <c r="S208" s="2281">
        <f t="shared" si="294"/>
        <v>9.4267385072229537</v>
      </c>
      <c r="T208" s="2281">
        <f t="shared" si="294"/>
        <v>-23.306936100491537</v>
      </c>
      <c r="U208" s="2281">
        <f t="shared" si="294"/>
        <v>2.8930033825891321E-2</v>
      </c>
      <c r="V208" s="2281">
        <f t="shared" si="294"/>
        <v>25.810362855680879</v>
      </c>
      <c r="W208" s="2281">
        <f t="shared" si="294"/>
        <v>-3.1211041458519384</v>
      </c>
      <c r="X208" s="2281">
        <f t="shared" si="294"/>
        <v>-14.661726186673473</v>
      </c>
      <c r="Y208" s="2281">
        <f t="shared" si="294"/>
        <v>6.8637306696896605</v>
      </c>
      <c r="Z208" s="2281">
        <f t="shared" si="294"/>
        <v>2.1996717505303964</v>
      </c>
      <c r="AA208" s="2281">
        <f t="shared" si="294"/>
        <v>19.48453810148645</v>
      </c>
      <c r="AB208" s="2281">
        <f t="shared" si="294"/>
        <v>1.267005408949351</v>
      </c>
      <c r="AC208" s="2281">
        <f t="shared" si="294"/>
        <v>7.0844730751177476</v>
      </c>
      <c r="AD208" s="3668">
        <v>5</v>
      </c>
      <c r="AE208" s="3668">
        <v>2.6</v>
      </c>
      <c r="AF208" s="3668">
        <v>2.6</v>
      </c>
      <c r="AG208" s="3414" t="s">
        <v>2590</v>
      </c>
      <c r="AH208" s="2362">
        <f>((AH200-AG199)/AG199)*100*AH207</f>
        <v>4.9000000000000004</v>
      </c>
      <c r="AI208" s="2362">
        <f>((AI200-AH200)/AH200)*100*AI207</f>
        <v>2.9230237102800856</v>
      </c>
      <c r="AJ208" s="2362">
        <f>((AJ200-AI200)/AI200)*100*AJ207</f>
        <v>3.2148253656623047</v>
      </c>
      <c r="AK208" s="2362">
        <f>((AK200-AJ200)/AJ200)*100*AK207</f>
        <v>2.8752881228066829</v>
      </c>
      <c r="AL208" s="3634" t="s">
        <v>2579</v>
      </c>
      <c r="AU208" s="2939"/>
      <c r="BB208" s="736"/>
      <c r="BC208" s="3521">
        <v>1.5784214147636089</v>
      </c>
      <c r="BD208" s="736" t="str">
        <f t="shared" si="284"/>
        <v/>
      </c>
    </row>
    <row r="209" spans="1:55" ht="12.75" customHeight="1">
      <c r="A209" s="701"/>
      <c r="B209" s="701"/>
      <c r="C209" s="832" t="s">
        <v>1791</v>
      </c>
      <c r="D209" s="711" t="s">
        <v>666</v>
      </c>
      <c r="E209" s="820" t="s">
        <v>105</v>
      </c>
      <c r="F209" s="741" t="s">
        <v>1547</v>
      </c>
      <c r="G209" s="743"/>
      <c r="H209" s="743">
        <f>(H201/G201-1)*100</f>
        <v>-73.333333333333343</v>
      </c>
      <c r="I209" s="743">
        <f t="shared" ref="I209:T209" si="295">(I201/H201-1)*100</f>
        <v>75</v>
      </c>
      <c r="J209" s="743">
        <f t="shared" si="295"/>
        <v>0</v>
      </c>
      <c r="K209" s="743">
        <f t="shared" si="295"/>
        <v>-28.571428571428569</v>
      </c>
      <c r="L209" s="743">
        <f t="shared" si="295"/>
        <v>2120</v>
      </c>
      <c r="M209" s="743">
        <f t="shared" si="295"/>
        <v>-95.495495495495504</v>
      </c>
      <c r="N209" s="743">
        <f t="shared" si="295"/>
        <v>200</v>
      </c>
      <c r="O209" s="743">
        <f t="shared" si="295"/>
        <v>26.666666666666661</v>
      </c>
      <c r="P209" s="743">
        <f t="shared" si="295"/>
        <v>-42.105263157894733</v>
      </c>
      <c r="Q209" s="743">
        <f t="shared" si="295"/>
        <v>-54.54545454545454</v>
      </c>
      <c r="R209" s="2281">
        <f t="shared" si="295"/>
        <v>740</v>
      </c>
      <c r="S209" s="2281">
        <f t="shared" si="295"/>
        <v>7.1428571428571397</v>
      </c>
      <c r="T209" s="2281">
        <f t="shared" si="295"/>
        <v>-53.333333333333321</v>
      </c>
      <c r="U209" s="2281">
        <f t="shared" ref="U209:AC209" si="296">IF(T201=0,0,(U201/T201-1)*100)</f>
        <v>1557.1428571428569</v>
      </c>
      <c r="V209" s="2281">
        <f t="shared" si="296"/>
        <v>-91.666666666666657</v>
      </c>
      <c r="W209" s="2281">
        <f t="shared" si="296"/>
        <v>-62.068965517241381</v>
      </c>
      <c r="X209" s="2281">
        <f t="shared" si="296"/>
        <v>1018.1818181818181</v>
      </c>
      <c r="Y209" s="2281">
        <f t="shared" si="296"/>
        <v>-49.59349593495935</v>
      </c>
      <c r="Z209" s="2281">
        <f t="shared" si="296"/>
        <v>38.709677419354826</v>
      </c>
      <c r="AA209" s="2281">
        <f t="shared" si="296"/>
        <v>-25.581395348837198</v>
      </c>
      <c r="AB209" s="2281">
        <f t="shared" si="296"/>
        <v>175</v>
      </c>
      <c r="AC209" s="2281">
        <f t="shared" si="296"/>
        <v>-19.318181818181824</v>
      </c>
      <c r="AD209" s="3668">
        <v>0</v>
      </c>
      <c r="AE209" s="3668">
        <v>0</v>
      </c>
      <c r="AF209" s="3668">
        <v>0</v>
      </c>
      <c r="AG209" s="3414" t="s">
        <v>2590</v>
      </c>
      <c r="BB209" s="3521">
        <v>0</v>
      </c>
      <c r="BC209" s="736">
        <f t="shared" si="280"/>
        <v>175</v>
      </c>
    </row>
    <row r="210" spans="1:55" ht="12.75" customHeight="1" thickBot="1">
      <c r="A210" s="701"/>
      <c r="B210" s="701"/>
      <c r="C210" s="833" t="s">
        <v>1791</v>
      </c>
      <c r="D210" s="728" t="s">
        <v>667</v>
      </c>
      <c r="E210" s="834" t="s">
        <v>106</v>
      </c>
      <c r="F210" s="773" t="s">
        <v>107</v>
      </c>
      <c r="G210" s="778"/>
      <c r="H210" s="778">
        <f>(H202/G202-1)*100</f>
        <v>523.4848484848485</v>
      </c>
      <c r="I210" s="778">
        <f t="shared" ref="I210:AC211" si="297">(I202/H202-1)*100</f>
        <v>-30.133657351154319</v>
      </c>
      <c r="J210" s="778">
        <f t="shared" si="297"/>
        <v>345.04347826086968</v>
      </c>
      <c r="K210" s="778">
        <f t="shared" si="297"/>
        <v>-24.775302852676827</v>
      </c>
      <c r="L210" s="778">
        <f t="shared" si="297"/>
        <v>-6.2337662337662358</v>
      </c>
      <c r="M210" s="778">
        <f t="shared" si="297"/>
        <v>-20.498614958448748</v>
      </c>
      <c r="N210" s="778">
        <f t="shared" si="297"/>
        <v>-13.101045296167246</v>
      </c>
      <c r="O210" s="778">
        <f t="shared" si="297"/>
        <v>-153.88933440256616</v>
      </c>
      <c r="P210" s="778">
        <f t="shared" si="297"/>
        <v>206.84523809523805</v>
      </c>
      <c r="Q210" s="778">
        <f t="shared" si="297"/>
        <v>-11.736178467507264</v>
      </c>
      <c r="R210" s="2334">
        <f t="shared" si="297"/>
        <v>77.527472527472526</v>
      </c>
      <c r="S210" s="2334">
        <f t="shared" si="297"/>
        <v>-33.766635716496431</v>
      </c>
      <c r="T210" s="2334">
        <f t="shared" si="297"/>
        <v>100.42056074766354</v>
      </c>
      <c r="U210" s="2334">
        <f t="shared" si="297"/>
        <v>69.433434366985324</v>
      </c>
      <c r="V210" s="2334">
        <f t="shared" si="297"/>
        <v>-3.6603825512591115</v>
      </c>
      <c r="W210" s="2334">
        <f t="shared" si="297"/>
        <v>-45.407798885873454</v>
      </c>
      <c r="X210" s="2334">
        <f t="shared" si="297"/>
        <v>50.601779173207738</v>
      </c>
      <c r="Y210" s="2334">
        <f t="shared" si="297"/>
        <v>-49.096594857539955</v>
      </c>
      <c r="Z210" s="2334">
        <f t="shared" si="297"/>
        <v>-1.6040955631399401</v>
      </c>
      <c r="AA210" s="2334">
        <f t="shared" si="297"/>
        <v>-50.052029136316342</v>
      </c>
      <c r="AB210" s="2334">
        <f t="shared" si="297"/>
        <v>-125.69444444444444</v>
      </c>
      <c r="AC210" s="2334">
        <f t="shared" si="297"/>
        <v>-193.78378378378378</v>
      </c>
      <c r="AD210" s="3669">
        <v>-30</v>
      </c>
      <c r="AE210" s="3669">
        <v>-30</v>
      </c>
      <c r="AF210" s="3669">
        <v>-30</v>
      </c>
      <c r="AG210" s="3414" t="s">
        <v>2590</v>
      </c>
      <c r="AH210" s="3634"/>
      <c r="AI210" s="740"/>
      <c r="AJ210" s="740"/>
      <c r="BB210" s="3522">
        <v>-78.911174785100286</v>
      </c>
      <c r="BC210" s="736">
        <f t="shared" si="280"/>
        <v>-46.783269659344157</v>
      </c>
    </row>
    <row r="211" spans="1:55" ht="12.75" customHeight="1" thickBot="1">
      <c r="A211" s="701"/>
      <c r="B211" s="701"/>
      <c r="C211" s="811" t="s">
        <v>1793</v>
      </c>
      <c r="D211" s="754" t="s">
        <v>666</v>
      </c>
      <c r="E211" s="759" t="s">
        <v>820</v>
      </c>
      <c r="F211" s="760" t="s">
        <v>151</v>
      </c>
      <c r="G211" s="758"/>
      <c r="H211" s="758">
        <f>(H203/G203-1)*100</f>
        <v>7.4787503518153775</v>
      </c>
      <c r="I211" s="758">
        <f t="shared" ref="I211:W211" si="298">(I203/H203-1)*100</f>
        <v>6.4039782963924985</v>
      </c>
      <c r="J211" s="758">
        <f t="shared" si="298"/>
        <v>4.0137623145889867</v>
      </c>
      <c r="K211" s="758">
        <f t="shared" si="298"/>
        <v>9.244834798739344</v>
      </c>
      <c r="L211" s="758">
        <f t="shared" si="298"/>
        <v>10.193455603974799</v>
      </c>
      <c r="M211" s="758">
        <f t="shared" si="298"/>
        <v>-4.5179373078707119</v>
      </c>
      <c r="N211" s="758">
        <f t="shared" si="298"/>
        <v>-2.2664300741478738</v>
      </c>
      <c r="O211" s="758">
        <f t="shared" si="298"/>
        <v>7.4866884593998151</v>
      </c>
      <c r="P211" s="758">
        <f t="shared" si="298"/>
        <v>8.5818533824788545</v>
      </c>
      <c r="Q211" s="758">
        <f t="shared" si="298"/>
        <v>9.7959633001032387</v>
      </c>
      <c r="R211" s="2340">
        <f t="shared" si="298"/>
        <v>7.4614108879563767</v>
      </c>
      <c r="S211" s="2340">
        <f t="shared" si="298"/>
        <v>1.5942379227644299</v>
      </c>
      <c r="T211" s="2340">
        <f t="shared" si="298"/>
        <v>-4.392403062261474</v>
      </c>
      <c r="U211" s="2340">
        <f t="shared" si="298"/>
        <v>-4.2039871504157222</v>
      </c>
      <c r="V211" s="2340">
        <f t="shared" si="298"/>
        <v>5.1332882929531642</v>
      </c>
      <c r="W211" s="2340">
        <f t="shared" si="298"/>
        <v>0.85494808238646414</v>
      </c>
      <c r="X211" s="2340">
        <f t="shared" si="297"/>
        <v>-0.43547754476860323</v>
      </c>
      <c r="Y211" s="2340">
        <f t="shared" si="297"/>
        <v>4.4171091353564895</v>
      </c>
      <c r="Z211" s="2340">
        <f t="shared" si="297"/>
        <v>4.5763631862904663</v>
      </c>
      <c r="AA211" s="2340">
        <f t="shared" si="297"/>
        <v>9.9944815745907079</v>
      </c>
      <c r="AB211" s="2340">
        <f t="shared" si="297"/>
        <v>6.9080358890659221</v>
      </c>
      <c r="AC211" s="2340">
        <f t="shared" si="297"/>
        <v>5.1589495843155531</v>
      </c>
      <c r="AD211" s="2328">
        <f t="shared" ref="AD211:AF211" si="299">(AD203/AC203-1)*100</f>
        <v>3.2526271301244192</v>
      </c>
      <c r="AE211" s="2328">
        <f t="shared" si="299"/>
        <v>3.1279271146667176</v>
      </c>
      <c r="AF211" s="2328">
        <f t="shared" si="299"/>
        <v>2.8384032168518258</v>
      </c>
      <c r="AH211" s="2839" t="s">
        <v>1133</v>
      </c>
      <c r="AI211" s="2840"/>
      <c r="AJ211" s="2847"/>
      <c r="AK211" s="2826"/>
      <c r="AL211" s="3829">
        <f>+AL25</f>
        <v>2018</v>
      </c>
      <c r="AM211" s="3830"/>
      <c r="AN211" s="3829">
        <f>+AN25</f>
        <v>2019</v>
      </c>
      <c r="AO211" s="3830"/>
      <c r="AP211" s="3829">
        <f>+AP25</f>
        <v>2020</v>
      </c>
      <c r="AQ211" s="3831"/>
      <c r="BB211" s="3523">
        <v>4.649618282068646</v>
      </c>
      <c r="BC211" s="736">
        <f t="shared" si="280"/>
        <v>2.2584176069972761</v>
      </c>
    </row>
    <row r="212" spans="1:55" ht="12.75" customHeight="1">
      <c r="A212" s="701"/>
      <c r="B212" s="701"/>
      <c r="C212" s="811"/>
      <c r="D212" s="736"/>
      <c r="Q212" s="736"/>
      <c r="R212" s="2344"/>
      <c r="S212" s="2344"/>
      <c r="T212" s="2344"/>
      <c r="U212" s="2344"/>
      <c r="V212" s="2344"/>
      <c r="W212" s="2344"/>
      <c r="AH212" s="1721" t="s">
        <v>1561</v>
      </c>
      <c r="AI212" s="2420"/>
      <c r="AJ212" s="2845"/>
      <c r="AK212" s="2759"/>
      <c r="AL212" s="3840">
        <f>+Sector1!$F$242</f>
        <v>1.3557600000000001</v>
      </c>
      <c r="AM212" s="3841"/>
      <c r="AN212" s="3841"/>
      <c r="AO212" s="3841"/>
      <c r="AP212" s="3841"/>
      <c r="AQ212" s="3842"/>
      <c r="BC212" s="736" t="str">
        <f t="shared" si="280"/>
        <v/>
      </c>
    </row>
    <row r="213" spans="1:55" ht="12.75" customHeight="1">
      <c r="A213" s="701"/>
      <c r="B213" s="701"/>
      <c r="C213" s="811"/>
      <c r="D213" s="851"/>
      <c r="E213" s="852" t="s">
        <v>1765</v>
      </c>
      <c r="F213" s="853"/>
      <c r="G213" s="854">
        <f>+InputY!$G$3</f>
        <v>1995</v>
      </c>
      <c r="H213" s="854">
        <f>+G213+1</f>
        <v>1996</v>
      </c>
      <c r="I213" s="854">
        <f t="shared" ref="I213:O213" si="300">+H213+1</f>
        <v>1997</v>
      </c>
      <c r="J213" s="854">
        <f t="shared" si="300"/>
        <v>1998</v>
      </c>
      <c r="K213" s="854">
        <f t="shared" si="300"/>
        <v>1999</v>
      </c>
      <c r="L213" s="854">
        <f t="shared" si="300"/>
        <v>2000</v>
      </c>
      <c r="M213" s="854">
        <f t="shared" si="300"/>
        <v>2001</v>
      </c>
      <c r="N213" s="854">
        <f t="shared" si="300"/>
        <v>2002</v>
      </c>
      <c r="O213" s="854">
        <f t="shared" si="300"/>
        <v>2003</v>
      </c>
      <c r="P213" s="854">
        <f>+O213+1</f>
        <v>2004</v>
      </c>
      <c r="Q213" s="854">
        <f>+P213+1</f>
        <v>2005</v>
      </c>
      <c r="R213" s="2294">
        <f>+Q213+1</f>
        <v>2006</v>
      </c>
      <c r="S213" s="2294">
        <f t="shared" ref="S213:Y213" si="301">+R213+1</f>
        <v>2007</v>
      </c>
      <c r="T213" s="2294">
        <f t="shared" si="301"/>
        <v>2008</v>
      </c>
      <c r="U213" s="2294">
        <f t="shared" si="301"/>
        <v>2009</v>
      </c>
      <c r="V213" s="2294">
        <f>+U213+1</f>
        <v>2010</v>
      </c>
      <c r="W213" s="2294">
        <f>+V213+1</f>
        <v>2011</v>
      </c>
      <c r="X213" s="2294">
        <f t="shared" si="301"/>
        <v>2012</v>
      </c>
      <c r="Y213" s="2294">
        <f t="shared" si="301"/>
        <v>2013</v>
      </c>
      <c r="Z213" s="2294">
        <f t="shared" ref="Z213:AF213" si="302">+Y213+1</f>
        <v>2014</v>
      </c>
      <c r="AA213" s="2294">
        <f t="shared" si="302"/>
        <v>2015</v>
      </c>
      <c r="AB213" s="2294">
        <f t="shared" si="302"/>
        <v>2016</v>
      </c>
      <c r="AC213" s="2294">
        <f t="shared" si="302"/>
        <v>2017</v>
      </c>
      <c r="AD213" s="2294">
        <f t="shared" si="302"/>
        <v>2018</v>
      </c>
      <c r="AE213" s="2294">
        <f t="shared" si="302"/>
        <v>2019</v>
      </c>
      <c r="AF213" s="2294">
        <f t="shared" si="302"/>
        <v>2020</v>
      </c>
      <c r="AH213" s="1721" t="s">
        <v>409</v>
      </c>
      <c r="AI213" s="2420"/>
      <c r="AJ213" s="2845"/>
      <c r="AK213" s="2759"/>
      <c r="AL213" s="3843">
        <f ca="1">((Transfer!E214-Transfer!D214)/Transfer!D214)/((Transfer!E147-Transfer!D147)/Transfer!D147)</f>
        <v>0.66406756095422814</v>
      </c>
      <c r="AM213" s="3844"/>
      <c r="AN213" s="3843">
        <f ca="1">((Transfer!F214-Transfer!E214)/Transfer!E214)/((Transfer!F147-Transfer!E147)/Transfer!E147)</f>
        <v>0.82721494404045226</v>
      </c>
      <c r="AO213" s="3844"/>
      <c r="AP213" s="3843">
        <f ca="1">((Transfer!G214-Transfer!F214)/Transfer!F214)/((Transfer!G147-Transfer!F147)/Transfer!F147)</f>
        <v>0.80064084106372513</v>
      </c>
      <c r="AQ213" s="3845"/>
      <c r="BB213" s="3524">
        <v>2016</v>
      </c>
      <c r="BC213" s="736" t="str">
        <f t="shared" si="280"/>
        <v/>
      </c>
    </row>
    <row r="214" spans="1:55" ht="12.75" customHeight="1">
      <c r="A214" s="701"/>
      <c r="B214" s="701"/>
      <c r="C214" s="859" t="s">
        <v>1791</v>
      </c>
      <c r="D214" s="1085" t="s">
        <v>664</v>
      </c>
      <c r="E214" s="1086" t="s">
        <v>105</v>
      </c>
      <c r="F214" s="1087" t="s">
        <v>1766</v>
      </c>
      <c r="G214" s="1088"/>
      <c r="H214" s="1088">
        <f>+$F$228*'VVP2'!H348</f>
        <v>3.411219909548338</v>
      </c>
      <c r="I214" s="1088">
        <f>+$F$228*'VVP2'!I348</f>
        <v>5.9777354787947399</v>
      </c>
      <c r="J214" s="1088">
        <f>+$F$228*'VVP2'!J348</f>
        <v>6.6867671161605076</v>
      </c>
      <c r="K214" s="1088">
        <f>+$F$228*'VVP2'!K348</f>
        <v>7.2180383598991789</v>
      </c>
      <c r="L214" s="1088">
        <f>+$F$228*'VVP2'!L348</f>
        <v>8.4277530792346713</v>
      </c>
      <c r="M214" s="1088">
        <f>+$F$228*'VVP2'!M348</f>
        <v>5.4430854504859392</v>
      </c>
      <c r="N214" s="1088">
        <f>+$F$228*'VVP2'!N348</f>
        <v>4.8952809039467624</v>
      </c>
      <c r="O214" s="1088">
        <f>+$F$228*'VVP2'!O348</f>
        <v>5.4823437358559239</v>
      </c>
      <c r="P214" s="1088">
        <f>+$F$228*'VVP2'!P348</f>
        <v>6.279798706610519</v>
      </c>
      <c r="Q214" s="1088">
        <f>+$F$228*'VVP2'!Q348</f>
        <v>4.8073442451101238</v>
      </c>
      <c r="R214" s="2345">
        <f>+$F$228*'VVP2'!R348</f>
        <v>8.7140825709979488</v>
      </c>
      <c r="S214" s="2345">
        <f>+$F$228*'VVP2'!S348</f>
        <v>8.4296059666743517</v>
      </c>
      <c r="T214" s="2345">
        <f>+$F$228*'VVP2'!T348</f>
        <v>3.6268396414037891</v>
      </c>
      <c r="U214" s="2345">
        <f>+$F$228*'VVP2'!U348</f>
        <v>-3.879110093195679</v>
      </c>
      <c r="V214" s="2345">
        <f>+$F$228*'VVP2'!V348</f>
        <v>9.2951082454513507</v>
      </c>
      <c r="W214" s="2345">
        <f>+$F$228*'VVP2'!W348</f>
        <v>5.140128451364216</v>
      </c>
      <c r="X214" s="2345">
        <f>+$F$228*'VVP2'!X348</f>
        <v>1.0033468604438687</v>
      </c>
      <c r="Y214" s="2345">
        <f>+$F$228*'VVP2'!Y348</f>
        <v>3.0440142797078007</v>
      </c>
      <c r="Z214" s="2345">
        <f>+$F$228*'VVP2'!Z348</f>
        <v>5.8406222252135072</v>
      </c>
      <c r="AA214" s="2345">
        <f>+$F$228*'VVP2'!AA348</f>
        <v>8.7293150719691361</v>
      </c>
      <c r="AB214" s="2345">
        <f>+$F$228*'VVP2'!AB348</f>
        <v>5.7792882281581104</v>
      </c>
      <c r="AC214" s="3099">
        <f>+$F$228*'VVP2'!AC348</f>
        <v>5.8212476259817194</v>
      </c>
      <c r="AD214" s="3099">
        <f ca="1">+$F$228*'VVP2'!AD348</f>
        <v>6.4654081364774871</v>
      </c>
      <c r="AE214" s="3099">
        <f ca="1">+$F$228*'VVP2'!AE348</f>
        <v>4.9912828837363881</v>
      </c>
      <c r="AF214" s="3099">
        <f ca="1">+$F$228*'VVP2'!AF348</f>
        <v>4.679616694630008</v>
      </c>
      <c r="AH214" s="1721" t="s">
        <v>410</v>
      </c>
      <c r="AI214" s="2420"/>
      <c r="AJ214" s="2845"/>
      <c r="AK214" s="2759"/>
      <c r="AL214" s="3837">
        <f ca="1">+Transfer!C259</f>
        <v>18.474482378138173</v>
      </c>
      <c r="AM214" s="3838"/>
      <c r="AN214" s="3838"/>
      <c r="AO214" s="3838"/>
      <c r="AP214" s="3838"/>
      <c r="AQ214" s="3839"/>
      <c r="BB214" s="3525">
        <v>6.4455234222093303</v>
      </c>
      <c r="BC214" s="736" t="str">
        <f t="shared" si="280"/>
        <v/>
      </c>
    </row>
    <row r="215" spans="1:55" ht="12.75" customHeight="1">
      <c r="A215" s="701"/>
      <c r="B215" s="701"/>
      <c r="C215" s="863" t="s">
        <v>1791</v>
      </c>
      <c r="D215" s="1081" t="s">
        <v>665</v>
      </c>
      <c r="E215" s="1082" t="s">
        <v>105</v>
      </c>
      <c r="F215" s="1083" t="s">
        <v>1766</v>
      </c>
      <c r="G215" s="1084"/>
      <c r="H215" s="1084">
        <f>+$F$236*'VVP2'!H348</f>
        <v>4.0314417112843994</v>
      </c>
      <c r="I215" s="1084">
        <f>+$F$236*'VVP2'!I348</f>
        <v>7.064596474939238</v>
      </c>
      <c r="J215" s="1084">
        <f>+$F$236*'VVP2'!J348</f>
        <v>7.902542955462418</v>
      </c>
      <c r="K215" s="1084">
        <f>+$F$236*'VVP2'!K348</f>
        <v>8.5304089707899386</v>
      </c>
      <c r="L215" s="1084">
        <f>+$F$236*'VVP2'!L348</f>
        <v>9.9600718209137025</v>
      </c>
      <c r="M215" s="1084">
        <f>+$F$236*'VVP2'!M348</f>
        <v>6.4327373505742917</v>
      </c>
      <c r="N215" s="1084">
        <f>+$F$236*'VVP2'!N348</f>
        <v>5.7853319773916283</v>
      </c>
      <c r="O215" s="1084">
        <f>+$F$236*'VVP2'!O348</f>
        <v>6.4791335060115465</v>
      </c>
      <c r="P215" s="1084">
        <f>+$F$236*'VVP2'!P348</f>
        <v>7.4215802896306133</v>
      </c>
      <c r="Q215" s="1084">
        <f>+$F$236*'VVP2'!Q348</f>
        <v>5.6814068351301463</v>
      </c>
      <c r="R215" s="2337">
        <f>+$F$236*'VVP2'!R348</f>
        <v>10.298461220270303</v>
      </c>
      <c r="S215" s="2337">
        <f>+$F$236*'VVP2'!S348</f>
        <v>9.9622615969787791</v>
      </c>
      <c r="T215" s="2337">
        <f>+$F$236*'VVP2'!T348</f>
        <v>4.2862650307499326</v>
      </c>
      <c r="U215" s="2337">
        <f>+$F$236*'VVP2'!U348</f>
        <v>-4.5844028374130756</v>
      </c>
      <c r="V215" s="2337">
        <f>+$F$236*'VVP2'!V348</f>
        <v>10.985127926442505</v>
      </c>
      <c r="W215" s="2337">
        <f>+$F$236*'VVP2'!W348</f>
        <v>6.0746972607031644</v>
      </c>
      <c r="X215" s="2337">
        <f>+$F$236*'VVP2'!X348</f>
        <v>1.1857735623427539</v>
      </c>
      <c r="Y215" s="2337">
        <f>+$F$236*'VVP2'!Y348</f>
        <v>3.5974714214728554</v>
      </c>
      <c r="Z215" s="2337">
        <f>+$F$236*'VVP2'!Z348</f>
        <v>6.9025535388886903</v>
      </c>
      <c r="AA215" s="2337">
        <f>+$F$236*'VVP2'!AA348</f>
        <v>10.316463266872615</v>
      </c>
      <c r="AB215" s="2337">
        <f>+$F$236*'VVP2'!AB348</f>
        <v>6.8300679060050395</v>
      </c>
      <c r="AC215" s="3100">
        <f>+$F$236*'VVP2'!AC348</f>
        <v>6.8796562852511229</v>
      </c>
      <c r="AD215" s="3100">
        <f ca="1">+$F$236*'VVP2'!AD348</f>
        <v>7.640936888564303</v>
      </c>
      <c r="AE215" s="3100">
        <f ca="1">+$F$236*'VVP2'!AE348</f>
        <v>5.8987888625975495</v>
      </c>
      <c r="AF215" s="3100">
        <f ca="1">+$F$236*'VVP2'!AF348</f>
        <v>5.5304560936536458</v>
      </c>
      <c r="AH215" s="1721" t="s">
        <v>1381</v>
      </c>
      <c r="AI215" s="2420"/>
      <c r="AJ215" s="2845"/>
      <c r="AK215" s="2759"/>
      <c r="AL215" s="3826">
        <f ca="1">100*Transfer!E214/Transfer!E147</f>
        <v>18.642148496776727</v>
      </c>
      <c r="AM215" s="3827"/>
      <c r="AN215" s="3826">
        <f ca="1">100*Transfer!F214/Transfer!F147</f>
        <v>18.524788147650135</v>
      </c>
      <c r="AO215" s="3827"/>
      <c r="AP215" s="3826">
        <f ca="1">100*Transfer!G214/Transfer!G147</f>
        <v>18.398344803850609</v>
      </c>
      <c r="AQ215" s="3828"/>
      <c r="BB215" s="3521">
        <v>7.6174367717019358</v>
      </c>
      <c r="BC215" s="736" t="str">
        <f t="shared" si="280"/>
        <v/>
      </c>
    </row>
    <row r="216" spans="1:55" ht="12.75" customHeight="1" thickBot="1">
      <c r="A216" s="701"/>
      <c r="B216" s="701"/>
      <c r="C216" s="864" t="s">
        <v>1791</v>
      </c>
      <c r="D216" s="1556" t="s">
        <v>666</v>
      </c>
      <c r="E216" s="1557" t="s">
        <v>820</v>
      </c>
      <c r="F216" s="1558" t="s">
        <v>1766</v>
      </c>
      <c r="G216" s="1559"/>
      <c r="H216" s="1559">
        <f>+$F$242*'VVP2'!H348</f>
        <v>3.5036329580070111</v>
      </c>
      <c r="I216" s="1559">
        <f>+$F$242*'VVP2'!I348</f>
        <v>6.1396777672202703</v>
      </c>
      <c r="J216" s="1559">
        <f>+$F$242*'VVP2'!J348</f>
        <v>6.8679177162164926</v>
      </c>
      <c r="K216" s="1559">
        <f>+$F$242*'VVP2'!K348</f>
        <v>7.4135815809219023</v>
      </c>
      <c r="L216" s="1559">
        <f>+$F$242*'VVP2'!L348</f>
        <v>8.6560685717448482</v>
      </c>
      <c r="M216" s="1559">
        <f>+$F$242*'VVP2'!M348</f>
        <v>5.5905435835991044</v>
      </c>
      <c r="N216" s="1559">
        <f>+$F$242*'VVP2'!N348</f>
        <v>5.0278985138900474</v>
      </c>
      <c r="O216" s="1559">
        <f>+$F$242*'VVP2'!O348</f>
        <v>5.6308654116091121</v>
      </c>
      <c r="P216" s="1559">
        <f>+$F$242*'VVP2'!P348</f>
        <v>6.4499241624805137</v>
      </c>
      <c r="Q216" s="1559">
        <f>+$F$242*'VVP2'!Q348</f>
        <v>4.9375795710231074</v>
      </c>
      <c r="R216" s="2346">
        <f>+$F$242*'VVP2'!R348</f>
        <v>8.9501549897395289</v>
      </c>
      <c r="S216" s="2346">
        <f>+$F$242*'VVP2'!S348</f>
        <v>8.6579716555897104</v>
      </c>
      <c r="T216" s="2346">
        <f>+$F$242*'VVP2'!T348</f>
        <v>3.7250940244163648</v>
      </c>
      <c r="U216" s="2346">
        <f>+$F$242*'VVP2'!U348</f>
        <v>-3.9841987120840714</v>
      </c>
      <c r="V216" s="2346">
        <f>+$F$242*'VVP2'!V348</f>
        <v>9.5469211779190317</v>
      </c>
      <c r="W216" s="2346">
        <f>+$F$242*'VVP2'!W348</f>
        <v>5.2793792039557195</v>
      </c>
      <c r="X216" s="2346">
        <f>+$F$242*'VVP2'!X348</f>
        <v>1.0305284390268026</v>
      </c>
      <c r="Y216" s="2346">
        <f>+$F$242*'VVP2'!Y348</f>
        <v>3.126479393830794</v>
      </c>
      <c r="Z216" s="2346">
        <f>+$F$242*'VVP2'!Z348</f>
        <v>5.9988499909511095</v>
      </c>
      <c r="AA216" s="2346">
        <f>+$F$242*'VVP2'!AA348</f>
        <v>8.965800153009754</v>
      </c>
      <c r="AB216" s="2346">
        <f>+$F$242*'VVP2'!AB348</f>
        <v>5.9358544001573028</v>
      </c>
      <c r="AC216" s="3102">
        <f>+$F$242*'VVP2'!AC348</f>
        <v>5.9789505162128611</v>
      </c>
      <c r="AD216" s="3102">
        <f ca="1">+$F$242*'VVP2'!AD348</f>
        <v>6.6405619205384232</v>
      </c>
      <c r="AE216" s="3102">
        <f ca="1">+$F$242*'VVP2'!AE348</f>
        <v>5.1265012745867011</v>
      </c>
      <c r="AF216" s="3102">
        <f ca="1">+$F$242*'VVP2'!AF348</f>
        <v>4.8063917650845305</v>
      </c>
      <c r="AH216" s="2464" t="s">
        <v>1382</v>
      </c>
      <c r="AI216" s="2735"/>
      <c r="AJ216" s="3701"/>
      <c r="AK216" s="3702"/>
      <c r="AL216" s="3832">
        <f ca="1">100*(((Transfer!E214/Transfer!D214)-1)-(Sector1!$F$228*((Transfer!E147/Transfer!D147)-1)))*(Transfer!D214/Transfer!E147)</f>
        <v>-0.5800640843024476</v>
      </c>
      <c r="AM216" s="3833"/>
      <c r="AN216" s="3834">
        <f ca="1">100*(((Transfer!F214/Transfer!E214)-1)-(Sector1!$F$228*((Transfer!F147/Transfer!E147)-1)))*(Transfer!E214/Transfer!F147)</f>
        <v>-0.33471312603167991</v>
      </c>
      <c r="AO216" s="3835"/>
      <c r="AP216" s="3834">
        <f ca="1">100*(((Transfer!G214/Transfer!F214)-1)-(Sector1!$F$228*((Transfer!G147/Transfer!F147)-1)))*(Transfer!F214/Transfer!G147)</f>
        <v>-0.32940301834741909</v>
      </c>
      <c r="AQ216" s="3836"/>
      <c r="BB216" s="3526">
        <v>6.620138511283729</v>
      </c>
      <c r="BC216" s="736" t="str">
        <f t="shared" si="280"/>
        <v/>
      </c>
    </row>
    <row r="217" spans="1:55" ht="12.75" customHeight="1">
      <c r="A217" s="701"/>
      <c r="B217" s="701"/>
      <c r="C217" s="811"/>
      <c r="E217" s="823"/>
      <c r="F217" s="824"/>
      <c r="G217" s="740"/>
      <c r="H217" s="825"/>
      <c r="I217" s="740"/>
      <c r="J217" s="740"/>
      <c r="K217" s="740"/>
      <c r="L217" s="740"/>
      <c r="M217" s="740"/>
      <c r="N217" s="740"/>
      <c r="O217" s="740"/>
      <c r="P217" s="740"/>
      <c r="Q217" s="882"/>
      <c r="R217" s="2322"/>
      <c r="S217" s="2322"/>
      <c r="T217" s="2322"/>
      <c r="U217" s="2322"/>
      <c r="V217" s="2322"/>
      <c r="W217" s="2322"/>
      <c r="X217" s="2322"/>
      <c r="Y217" s="2322"/>
      <c r="Z217" s="2322"/>
      <c r="AA217" s="2322"/>
      <c r="AB217" s="2322"/>
      <c r="AC217" s="2322"/>
      <c r="AD217" s="2322"/>
      <c r="AE217" s="2322"/>
      <c r="AF217" s="2322"/>
      <c r="BB217" s="3475"/>
      <c r="BC217" s="736" t="str">
        <f t="shared" si="280"/>
        <v/>
      </c>
    </row>
    <row r="218" spans="1:55" ht="12.75" customHeight="1">
      <c r="A218" s="701"/>
      <c r="B218" s="701"/>
      <c r="C218" s="811"/>
      <c r="D218" s="855"/>
      <c r="E218" s="856" t="s">
        <v>1884</v>
      </c>
      <c r="F218" s="857"/>
      <c r="G218" s="858">
        <f>+InputY!$G$3</f>
        <v>1995</v>
      </c>
      <c r="H218" s="858">
        <f>+G218+1</f>
        <v>1996</v>
      </c>
      <c r="I218" s="858">
        <f t="shared" ref="I218:O218" si="303">+H218+1</f>
        <v>1997</v>
      </c>
      <c r="J218" s="858">
        <f t="shared" si="303"/>
        <v>1998</v>
      </c>
      <c r="K218" s="858">
        <f t="shared" si="303"/>
        <v>1999</v>
      </c>
      <c r="L218" s="858">
        <f t="shared" si="303"/>
        <v>2000</v>
      </c>
      <c r="M218" s="858">
        <f t="shared" si="303"/>
        <v>2001</v>
      </c>
      <c r="N218" s="858">
        <f t="shared" si="303"/>
        <v>2002</v>
      </c>
      <c r="O218" s="858">
        <f t="shared" si="303"/>
        <v>2003</v>
      </c>
      <c r="P218" s="858">
        <f>+O218+1</f>
        <v>2004</v>
      </c>
      <c r="Q218" s="858">
        <f>+P218+1</f>
        <v>2005</v>
      </c>
      <c r="R218" s="2323">
        <f>+Q218+1</f>
        <v>2006</v>
      </c>
      <c r="S218" s="2323">
        <f t="shared" ref="S218:Y218" si="304">+R218+1</f>
        <v>2007</v>
      </c>
      <c r="T218" s="2323">
        <f t="shared" si="304"/>
        <v>2008</v>
      </c>
      <c r="U218" s="2323">
        <f t="shared" si="304"/>
        <v>2009</v>
      </c>
      <c r="V218" s="2323">
        <f>+U218+1</f>
        <v>2010</v>
      </c>
      <c r="W218" s="2323">
        <f>+V218+1</f>
        <v>2011</v>
      </c>
      <c r="X218" s="2323">
        <f t="shared" si="304"/>
        <v>2012</v>
      </c>
      <c r="Y218" s="2323">
        <f t="shared" si="304"/>
        <v>2013</v>
      </c>
      <c r="Z218" s="2323">
        <f t="shared" ref="Z218:AF218" si="305">+Y218+1</f>
        <v>2014</v>
      </c>
      <c r="AA218" s="2323">
        <f t="shared" si="305"/>
        <v>2015</v>
      </c>
      <c r="AB218" s="2323">
        <f t="shared" si="305"/>
        <v>2016</v>
      </c>
      <c r="AC218" s="2323">
        <f t="shared" si="305"/>
        <v>2017</v>
      </c>
      <c r="AD218" s="2323">
        <f t="shared" si="305"/>
        <v>2018</v>
      </c>
      <c r="AE218" s="2323">
        <f t="shared" si="305"/>
        <v>2019</v>
      </c>
      <c r="AF218" s="2323">
        <f t="shared" si="305"/>
        <v>2020</v>
      </c>
      <c r="BB218" s="3486">
        <v>2016</v>
      </c>
      <c r="BC218" s="736" t="str">
        <f t="shared" si="280"/>
        <v/>
      </c>
    </row>
    <row r="219" spans="1:55" ht="12.75" customHeight="1">
      <c r="A219" s="701"/>
      <c r="B219" s="701"/>
      <c r="C219" s="859" t="s">
        <v>1791</v>
      </c>
      <c r="D219" s="860" t="s">
        <v>664</v>
      </c>
      <c r="E219" s="861" t="s">
        <v>105</v>
      </c>
      <c r="F219" s="862" t="s">
        <v>1565</v>
      </c>
      <c r="G219" s="875">
        <f>+G199/'VVP2'!G$341</f>
        <v>0.16377765097197355</v>
      </c>
      <c r="H219" s="875">
        <f>+H199/'VVP2'!H$341</f>
        <v>0.17318693657599499</v>
      </c>
      <c r="I219" s="875">
        <f>+I199/'VVP2'!I$341</f>
        <v>0.17418933341510145</v>
      </c>
      <c r="J219" s="875">
        <f>+J199/'VVP2'!J$341</f>
        <v>0.17441769605244947</v>
      </c>
      <c r="K219" s="875">
        <f>+K199/'VVP2'!K$341</f>
        <v>0.17731848058510036</v>
      </c>
      <c r="L219" s="875">
        <f>+L199/'VVP2'!L$341</f>
        <v>0.17824776202306902</v>
      </c>
      <c r="M219" s="875">
        <f>+M199/'VVP2'!M$341</f>
        <v>0.17146067796009209</v>
      </c>
      <c r="N219" s="875">
        <f>+N199/'VVP2'!N$341</f>
        <v>0.16564211007246038</v>
      </c>
      <c r="O219" s="875">
        <f>+O199/'VVP2'!O$341</f>
        <v>0.17007993321553547</v>
      </c>
      <c r="P219" s="875">
        <f>+P199/'VVP2'!P$341</f>
        <v>0.17022307695868436</v>
      </c>
      <c r="Q219" s="875">
        <f>+Q199/'VVP2'!Q$341</f>
        <v>0.17563197366391325</v>
      </c>
      <c r="R219" s="2347">
        <f>+R199/'VVP2'!R$341</f>
        <v>0.17722250046248045</v>
      </c>
      <c r="S219" s="2347">
        <f>+S199/'VVP2'!S$341</f>
        <v>0.16635226537064868</v>
      </c>
      <c r="T219" s="2347">
        <f>+T199/'VVP2'!T$341</f>
        <v>0.16199518763704487</v>
      </c>
      <c r="U219" s="2347">
        <f>+U199/'VVP2'!U$341</f>
        <v>0.15958765604832795</v>
      </c>
      <c r="V219" s="2347">
        <f>+V199/'VVP2'!V$341</f>
        <v>0.15138156729734514</v>
      </c>
      <c r="W219" s="2347">
        <f>+W199/'VVP2'!W$341</f>
        <v>0.14730201202225704</v>
      </c>
      <c r="X219" s="2347">
        <f>+X199/'VVP2'!X$341</f>
        <v>0.15027822875888042</v>
      </c>
      <c r="Y219" s="2347">
        <f>+Y199/'VVP2'!Y$341</f>
        <v>0.1519743694850394</v>
      </c>
      <c r="Z219" s="2347">
        <f>+Z199/'VVP2'!Z$341</f>
        <v>0.15274637299618743</v>
      </c>
      <c r="AA219" s="2347">
        <f>+AA199/'VVP2'!AA$341</f>
        <v>0.15487952878264008</v>
      </c>
      <c r="AB219" s="2347">
        <f>+AB199/'VVP2'!AB$341</f>
        <v>0.15974289801133143</v>
      </c>
      <c r="AC219" s="2299">
        <f>+AC199/'VVP2'!AC$341</f>
        <v>0.16053924753526991</v>
      </c>
      <c r="AD219" s="2299">
        <f ca="1">+AD199/'VVP2'!AD$341</f>
        <v>0.15751662602089492</v>
      </c>
      <c r="AE219" s="2299">
        <f ca="1">+AE199/'VVP2'!AE$341</f>
        <v>0.15665688305268086</v>
      </c>
      <c r="AF219" s="2299">
        <f ca="1">+AF199/'VVP2'!AF$341</f>
        <v>0.15564340556897463</v>
      </c>
      <c r="BB219" s="3527">
        <v>0.15920587304520517</v>
      </c>
      <c r="BC219" s="736" t="str">
        <f t="shared" si="280"/>
        <v/>
      </c>
    </row>
    <row r="220" spans="1:55" ht="12.75" customHeight="1">
      <c r="A220" s="701"/>
      <c r="B220" s="701"/>
      <c r="C220" s="863" t="s">
        <v>1791</v>
      </c>
      <c r="D220" s="711" t="s">
        <v>665</v>
      </c>
      <c r="E220" s="820" t="s">
        <v>105</v>
      </c>
      <c r="F220" s="741" t="s">
        <v>1241</v>
      </c>
      <c r="G220" s="876">
        <f>+G200/'VVP2'!G$341</f>
        <v>2.4567681773056266E-2</v>
      </c>
      <c r="H220" s="876">
        <f>+H200/'VVP2'!H$341</f>
        <v>2.3798864544571953E-2</v>
      </c>
      <c r="I220" s="876">
        <f>+I200/'VVP2'!I$341</f>
        <v>2.6478032896500355E-2</v>
      </c>
      <c r="J220" s="876">
        <f>+J200/'VVP2'!J$341</f>
        <v>2.3317576772048283E-2</v>
      </c>
      <c r="K220" s="876">
        <f>+K200/'VVP2'!K$341</f>
        <v>2.7887062818305854E-2</v>
      </c>
      <c r="L220" s="876">
        <f>+L200/'VVP2'!L$341</f>
        <v>3.4392979435532253E-2</v>
      </c>
      <c r="M220" s="876">
        <f>+M200/'VVP2'!M$341</f>
        <v>2.368935934979266E-2</v>
      </c>
      <c r="N220" s="876">
        <f>+N200/'VVP2'!N$341</f>
        <v>1.8321193150318247E-2</v>
      </c>
      <c r="O220" s="876">
        <f>+O200/'VVP2'!O$341</f>
        <v>2.0520630856556265E-2</v>
      </c>
      <c r="P220" s="876">
        <f>+P200/'VVP2'!P$341</f>
        <v>2.7813672040657982E-2</v>
      </c>
      <c r="Q220" s="876">
        <f>+Q200/'VVP2'!Q$341</f>
        <v>3.4013666208240471E-2</v>
      </c>
      <c r="R220" s="2348">
        <f>+R200/'VVP2'!R$341</f>
        <v>3.4513286885473088E-2</v>
      </c>
      <c r="S220" s="2348">
        <f>+S200/'VVP2'!S$341</f>
        <v>3.5499728414232969E-2</v>
      </c>
      <c r="T220" s="2348">
        <f>+T200/'VVP2'!T$341</f>
        <v>2.6497774997117949E-2</v>
      </c>
      <c r="U220" s="2348">
        <f>+U200/'VVP2'!U$341</f>
        <v>2.7307944783869057E-2</v>
      </c>
      <c r="V220" s="2348">
        <f>+V200/'VVP2'!V$341</f>
        <v>3.209609787548981E-2</v>
      </c>
      <c r="W220" s="2348">
        <f>+W200/'VVP2'!W$341</f>
        <v>2.9928902774427942E-2</v>
      </c>
      <c r="X220" s="2348">
        <f>+X200/'VVP2'!X$341</f>
        <v>2.5348134971377421E-2</v>
      </c>
      <c r="Y220" s="2348">
        <f>+Y200/'VVP2'!Y$341</f>
        <v>2.6477375495470384E-2</v>
      </c>
      <c r="Z220" s="2348">
        <f>+Z200/'VVP2'!Z$341</f>
        <v>2.5913205656032529E-2</v>
      </c>
      <c r="AA220" s="2348">
        <f>+AA200/'VVP2'!AA$341</f>
        <v>2.9041711580721656E-2</v>
      </c>
      <c r="AB220" s="2348">
        <f>+AB200/'VVP2'!AB$341</f>
        <v>2.8176053934137909E-2</v>
      </c>
      <c r="AC220" s="2280">
        <f>+AC200/'VVP2'!AC$341</f>
        <v>2.8897776517892181E-2</v>
      </c>
      <c r="AD220" s="2280">
        <f ca="1">+AD200/'VVP2'!AD$341</f>
        <v>2.892586588436678E-2</v>
      </c>
      <c r="AE220" s="2280">
        <f ca="1">+AE200/'VVP2'!AE$341</f>
        <v>2.8596621522088441E-2</v>
      </c>
      <c r="AF220" s="2280">
        <f ca="1">+AF200/'VVP2'!AF$341</f>
        <v>2.8335590482612492E-2</v>
      </c>
      <c r="BB220" s="3528">
        <v>2.8152723148430238E-2</v>
      </c>
      <c r="BC220" s="736" t="str">
        <f t="shared" si="280"/>
        <v/>
      </c>
    </row>
    <row r="221" spans="1:55" ht="12.75" customHeight="1">
      <c r="A221" s="701"/>
      <c r="B221" s="701"/>
      <c r="C221" s="863" t="s">
        <v>1791</v>
      </c>
      <c r="D221" s="711" t="s">
        <v>666</v>
      </c>
      <c r="E221" s="820" t="s">
        <v>105</v>
      </c>
      <c r="F221" s="741" t="s">
        <v>1547</v>
      </c>
      <c r="G221" s="876">
        <f>+G201/'VVP2'!G$341</f>
        <v>7.9548250786997358E-6</v>
      </c>
      <c r="H221" s="876">
        <f>+H201/'VVP2'!H$341</f>
        <v>2.0678481661805501E-6</v>
      </c>
      <c r="I221" s="876">
        <f>+I201/'VVP2'!I$341</f>
        <v>3.461956559369093E-6</v>
      </c>
      <c r="J221" s="876">
        <f>+J201/'VVP2'!J$341</f>
        <v>3.2950387072904147E-6</v>
      </c>
      <c r="K221" s="876">
        <f>+K201/'VVP2'!K$341</f>
        <v>2.2315720130520184E-6</v>
      </c>
      <c r="L221" s="876">
        <f>+L201/'VVP2'!L$341</f>
        <v>4.6567708189120272E-5</v>
      </c>
      <c r="M221" s="876">
        <f>+M201/'VVP2'!M$341</f>
        <v>2.014572612449414E-6</v>
      </c>
      <c r="N221" s="876">
        <f>+N201/'VVP2'!N$341</f>
        <v>5.8275986525037895E-6</v>
      </c>
      <c r="O221" s="876">
        <f>+O201/'VVP2'!O$341</f>
        <v>7.0872700320754923E-6</v>
      </c>
      <c r="P221" s="876">
        <f>+P201/'VVP2'!P$341</f>
        <v>3.9168167816371087E-6</v>
      </c>
      <c r="Q221" s="876">
        <f>+Q201/'VVP2'!Q$341</f>
        <v>1.7178098748644218E-6</v>
      </c>
      <c r="R221" s="2348">
        <f>+R201/'VVP2'!R$341</f>
        <v>1.3536012561419658E-5</v>
      </c>
      <c r="S221" s="2348">
        <f>+S201/'VVP2'!S$341</f>
        <v>1.3632302862510953E-5</v>
      </c>
      <c r="T221" s="2348">
        <f>+T201/'VVP2'!T$341</f>
        <v>6.1916200255861327E-6</v>
      </c>
      <c r="U221" s="2348">
        <f>+U201/'VVP2'!U$341</f>
        <v>1.0571052509273212E-4</v>
      </c>
      <c r="V221" s="2348">
        <f>+V201/'VVP2'!V$341</f>
        <v>8.2296959212491879E-6</v>
      </c>
      <c r="W221" s="2348">
        <f>+W201/'VVP2'!W$341</f>
        <v>3.0046082496162975E-6</v>
      </c>
      <c r="X221" s="2348">
        <f>+X201/'VVP2'!X$341</f>
        <v>3.3343535190035107E-5</v>
      </c>
      <c r="Y221" s="2348">
        <f>+Y201/'VVP2'!Y$341</f>
        <v>1.6428458435602697E-5</v>
      </c>
      <c r="Z221" s="2348">
        <f>+Z201/'VVP2'!Z$341</f>
        <v>2.1822287914639326E-5</v>
      </c>
      <c r="AA221" s="2348">
        <f>+AA201/'VVP2'!AA$341</f>
        <v>1.5232499108065777E-5</v>
      </c>
      <c r="AB221" s="2348">
        <f>+AB201/'VVP2'!AB$341</f>
        <v>4.0132281472316586E-5</v>
      </c>
      <c r="AC221" s="2280">
        <f>+AC201/'VVP2'!AC$341</f>
        <v>3.1011821837520324E-5</v>
      </c>
      <c r="AD221" s="2280">
        <f ca="1">+AD201/'VVP2'!AD$341</f>
        <v>2.9563777246934431E-5</v>
      </c>
      <c r="AE221" s="2280">
        <f ca="1">+AE201/'VVP2'!AE$341</f>
        <v>2.8486619837754949E-5</v>
      </c>
      <c r="AF221" s="2280">
        <f ca="1">+AF201/'VVP2'!AF$341</f>
        <v>2.7511299120663898E-5</v>
      </c>
      <c r="BB221" s="3528">
        <v>0</v>
      </c>
      <c r="BC221" s="736" t="str">
        <f t="shared" si="280"/>
        <v/>
      </c>
    </row>
    <row r="222" spans="1:55" ht="12.75" customHeight="1">
      <c r="A222" s="701"/>
      <c r="B222" s="701"/>
      <c r="C222" s="864" t="s">
        <v>1791</v>
      </c>
      <c r="D222" s="865" t="s">
        <v>667</v>
      </c>
      <c r="E222" s="866" t="s">
        <v>106</v>
      </c>
      <c r="F222" s="867" t="s">
        <v>107</v>
      </c>
      <c r="G222" s="877">
        <f>+G202/'VVP2'!G$341</f>
        <v>7.0002460692557682E-5</v>
      </c>
      <c r="H222" s="877">
        <f>+H202/'VVP2'!H$341</f>
        <v>4.2545976019164818E-4</v>
      </c>
      <c r="I222" s="877">
        <f>+I202/'VVP2'!I$341</f>
        <v>2.843750030910326E-4</v>
      </c>
      <c r="J222" s="877">
        <f>+J202/'VVP2'!J$341</f>
        <v>1.2045720074223101E-3</v>
      </c>
      <c r="K222" s="877">
        <f>+K202/'VVP2'!K$341</f>
        <v>8.5915522502502716E-4</v>
      </c>
      <c r="L222" s="877">
        <f>+L202/'VVP2'!L$341</f>
        <v>7.5724966920146018E-4</v>
      </c>
      <c r="M222" s="877">
        <f>+M202/'VVP2'!M$341</f>
        <v>5.7818233977298178E-4</v>
      </c>
      <c r="N222" s="877">
        <f>+N202/'VVP2'!N$341</f>
        <v>4.8446770131148174E-4</v>
      </c>
      <c r="O222" s="877">
        <f>+O202/'VVP2'!O$341</f>
        <v>-2.5066555060814373E-4</v>
      </c>
      <c r="P222" s="877">
        <f>+P202/'VVP2'!P$341</f>
        <v>-7.3422510943051979E-4</v>
      </c>
      <c r="Q222" s="877">
        <f>+Q202/'VVP2'!Q$341</f>
        <v>-6.2528279445064959E-4</v>
      </c>
      <c r="R222" s="2349">
        <f>+R202/'VVP2'!R$341</f>
        <v>-1.0413061091892122E-3</v>
      </c>
      <c r="S222" s="2349">
        <f>+S202/'VVP2'!S$341</f>
        <v>-6.4829173612829878E-4</v>
      </c>
      <c r="T222" s="2349">
        <f>+T202/'VVP2'!T$341</f>
        <v>-1.2645646804637582E-3</v>
      </c>
      <c r="U222" s="2349">
        <f>+U202/'VVP2'!U$341</f>
        <v>-2.2074666260025414E-3</v>
      </c>
      <c r="V222" s="2349">
        <f>+V202/'VVP2'!V$341</f>
        <v>-1.9867621084367439E-3</v>
      </c>
      <c r="W222" s="2349">
        <f>+W202/'VVP2'!W$341</f>
        <v>-1.0439647936394082E-3</v>
      </c>
      <c r="X222" s="2349">
        <f>+X202/'VVP2'!X$341</f>
        <v>-1.5603690126328625E-3</v>
      </c>
      <c r="Y222" s="2349">
        <f>+Y202/'VVP2'!Y$341</f>
        <v>-7.7637714865025646E-4</v>
      </c>
      <c r="Z222" s="2349">
        <f>+Z202/'VVP2'!Z$341</f>
        <v>-7.315541402081998E-4</v>
      </c>
      <c r="AA222" s="2349">
        <f>+AA202/'VVP2'!AA$341</f>
        <v>-3.4273122993147992E-4</v>
      </c>
      <c r="AB222" s="2349">
        <f>+AB202/'VVP2'!AB$341</f>
        <v>8.4369000822483742E-5</v>
      </c>
      <c r="AC222" s="2301">
        <f>+AC202/'VVP2'!AC$341</f>
        <v>-7.5782409701546141E-5</v>
      </c>
      <c r="AD222" s="2301">
        <f ca="1">+AD202/'VVP2'!AD$341</f>
        <v>-5.0570714741411081E-5</v>
      </c>
      <c r="AE222" s="2301">
        <f ca="1">+AE202/'VVP2'!AE$341</f>
        <v>-3.4109718105728691E-5</v>
      </c>
      <c r="AF222" s="2301">
        <f ca="1">+AF202/'VVP2'!AF$341</f>
        <v>-2.3059312201693931E-5</v>
      </c>
      <c r="BB222" s="3529">
        <v>-8.3542606048030643E-5</v>
      </c>
      <c r="BC222" s="736" t="str">
        <f t="shared" si="280"/>
        <v/>
      </c>
    </row>
    <row r="223" spans="1:55" ht="12.75" customHeight="1">
      <c r="A223" s="701"/>
      <c r="B223" s="701"/>
      <c r="C223" s="811" t="s">
        <v>1793</v>
      </c>
      <c r="D223" s="843" t="s">
        <v>666</v>
      </c>
      <c r="E223" s="844" t="s">
        <v>820</v>
      </c>
      <c r="F223" s="845" t="s">
        <v>151</v>
      </c>
      <c r="G223" s="878">
        <f>+G203/'VVP2'!G$341</f>
        <v>0.1884232900308011</v>
      </c>
      <c r="H223" s="878">
        <f>+H203/'VVP2'!H$341</f>
        <v>0.19741332872892475</v>
      </c>
      <c r="I223" s="878">
        <f>+I203/'VVP2'!I$341</f>
        <v>0.20095520327125221</v>
      </c>
      <c r="J223" s="878">
        <f>+J203/'VVP2'!J$341</f>
        <v>0.19894313987062739</v>
      </c>
      <c r="K223" s="878">
        <f>+K203/'VVP2'!K$341</f>
        <v>0.20606693020044428</v>
      </c>
      <c r="L223" s="878">
        <f>+L203/'VVP2'!L$341</f>
        <v>0.21344455883599187</v>
      </c>
      <c r="M223" s="878">
        <f>+M203/'VVP2'!M$341</f>
        <v>0.19573023422227021</v>
      </c>
      <c r="N223" s="878">
        <f>+N203/'VVP2'!N$341</f>
        <v>0.1844535985227426</v>
      </c>
      <c r="O223" s="878">
        <f>+O203/'VVP2'!O$341</f>
        <v>0.19035698579151566</v>
      </c>
      <c r="P223" s="878">
        <f>+P203/'VVP2'!P$341</f>
        <v>0.19730644070669345</v>
      </c>
      <c r="Q223" s="878">
        <f>+Q203/'VVP2'!Q$341</f>
        <v>0.20902207488757796</v>
      </c>
      <c r="R223" s="2350">
        <f>+R203/'VVP2'!R$341</f>
        <v>0.21070801725132574</v>
      </c>
      <c r="S223" s="2350">
        <f>+S203/'VVP2'!S$341</f>
        <v>0.20121733435161587</v>
      </c>
      <c r="T223" s="2350">
        <f>+T203/'VVP2'!T$341</f>
        <v>0.18723458957372463</v>
      </c>
      <c r="U223" s="2350">
        <f>+U203/'VVP2'!U$341</f>
        <v>0.18479384473128718</v>
      </c>
      <c r="V223" s="2350">
        <f>+V203/'VVP2'!V$341</f>
        <v>0.18149913276031948</v>
      </c>
      <c r="W223" s="2350">
        <f>+W203/'VVP2'!W$341</f>
        <v>0.17618995461129519</v>
      </c>
      <c r="X223" s="2350">
        <f>+X203/'VVP2'!X$341</f>
        <v>0.17409933825281501</v>
      </c>
      <c r="Y223" s="2350">
        <f>+Y203/'VVP2'!Y$341</f>
        <v>0.17769179629029511</v>
      </c>
      <c r="Z223" s="2350">
        <f>+Z203/'VVP2'!Z$341</f>
        <v>0.17794984679992643</v>
      </c>
      <c r="AA223" s="2350">
        <f>+AA203/'VVP2'!AA$341</f>
        <v>0.18359374163253833</v>
      </c>
      <c r="AB223" s="2350">
        <f>+AB203/'VVP2'!AB$341</f>
        <v>0.18804345322776414</v>
      </c>
      <c r="AC223" s="2300">
        <f>+AC203/'VVP2'!AC$341</f>
        <v>0.18939225346529809</v>
      </c>
      <c r="AD223" s="3700">
        <f ca="1">+AD203/'VVP2'!AD$341</f>
        <v>0.18642148496776725</v>
      </c>
      <c r="AE223" s="3700">
        <f ca="1">+AE203/'VVP2'!AE$341</f>
        <v>0.18524788147650134</v>
      </c>
      <c r="AF223" s="3700">
        <f ca="1">+AF203/'VVP2'!AF$341</f>
        <v>0.18398344803850611</v>
      </c>
      <c r="AG223" s="2939" t="s">
        <v>2609</v>
      </c>
      <c r="BB223" s="3530">
        <v>0.18350859875893827</v>
      </c>
      <c r="BC223" s="736" t="str">
        <f t="shared" si="280"/>
        <v/>
      </c>
    </row>
    <row r="224" spans="1:55" ht="12.75" customHeight="1">
      <c r="A224" s="701"/>
      <c r="B224" s="701"/>
      <c r="C224" s="811"/>
      <c r="Q224" s="736"/>
      <c r="BC224" s="736" t="str">
        <f t="shared" si="280"/>
        <v/>
      </c>
    </row>
    <row r="225" spans="1:55" ht="12.75" customHeight="1">
      <c r="A225" s="701"/>
      <c r="B225" s="701"/>
      <c r="C225" s="811"/>
      <c r="D225" s="851" t="s">
        <v>664</v>
      </c>
      <c r="E225" s="2157" t="s">
        <v>592</v>
      </c>
      <c r="F225" s="853"/>
      <c r="G225" s="854">
        <f>+InputY!$G$3</f>
        <v>1995</v>
      </c>
      <c r="H225" s="858">
        <f>+G225+1</f>
        <v>1996</v>
      </c>
      <c r="I225" s="858">
        <f t="shared" ref="I225:O225" si="306">+H225+1</f>
        <v>1997</v>
      </c>
      <c r="J225" s="858">
        <f t="shared" si="306"/>
        <v>1998</v>
      </c>
      <c r="K225" s="858">
        <f t="shared" si="306"/>
        <v>1999</v>
      </c>
      <c r="L225" s="858">
        <f t="shared" si="306"/>
        <v>2000</v>
      </c>
      <c r="M225" s="858">
        <f t="shared" si="306"/>
        <v>2001</v>
      </c>
      <c r="N225" s="858">
        <f t="shared" si="306"/>
        <v>2002</v>
      </c>
      <c r="O225" s="858">
        <f t="shared" si="306"/>
        <v>2003</v>
      </c>
      <c r="P225" s="858">
        <f t="shared" ref="P225:AF225" si="307">+O225+1</f>
        <v>2004</v>
      </c>
      <c r="Q225" s="858">
        <f t="shared" si="307"/>
        <v>2005</v>
      </c>
      <c r="R225" s="2323">
        <f t="shared" si="307"/>
        <v>2006</v>
      </c>
      <c r="S225" s="2323">
        <f t="shared" si="307"/>
        <v>2007</v>
      </c>
      <c r="T225" s="2323">
        <f t="shared" si="307"/>
        <v>2008</v>
      </c>
      <c r="U225" s="2323">
        <f t="shared" si="307"/>
        <v>2009</v>
      </c>
      <c r="V225" s="2323">
        <f t="shared" si="307"/>
        <v>2010</v>
      </c>
      <c r="W225" s="2323">
        <f t="shared" si="307"/>
        <v>2011</v>
      </c>
      <c r="X225" s="2323">
        <f t="shared" si="307"/>
        <v>2012</v>
      </c>
      <c r="Y225" s="2323">
        <f t="shared" si="307"/>
        <v>2013</v>
      </c>
      <c r="Z225" s="2323">
        <f t="shared" si="307"/>
        <v>2014</v>
      </c>
      <c r="AA225" s="2323">
        <f t="shared" si="307"/>
        <v>2015</v>
      </c>
      <c r="AB225" s="2323">
        <f t="shared" si="307"/>
        <v>2016</v>
      </c>
      <c r="AC225" s="2323">
        <f t="shared" si="307"/>
        <v>2017</v>
      </c>
      <c r="AD225" s="2323">
        <f t="shared" si="307"/>
        <v>2018</v>
      </c>
      <c r="AE225" s="2323">
        <f t="shared" si="307"/>
        <v>2019</v>
      </c>
      <c r="AF225" s="2323">
        <f t="shared" si="307"/>
        <v>2020</v>
      </c>
      <c r="BB225" s="3486">
        <v>2016</v>
      </c>
      <c r="BC225" s="736" t="str">
        <f t="shared" si="280"/>
        <v/>
      </c>
    </row>
    <row r="226" spans="1:55" s="921" customFormat="1" ht="12.75" customHeight="1">
      <c r="A226" s="701"/>
      <c r="B226" s="701"/>
      <c r="C226" s="859"/>
      <c r="D226" s="1081"/>
      <c r="E226" s="1082" t="s">
        <v>147</v>
      </c>
      <c r="F226" s="3343">
        <v>1.42</v>
      </c>
      <c r="G226" s="1084"/>
      <c r="H226" s="1088">
        <f>+H207/Labour1!H196</f>
        <v>1.239961280789704</v>
      </c>
      <c r="I226" s="1088">
        <f>+I207/Labour1!I196</f>
        <v>0.86128101869962714</v>
      </c>
      <c r="J226" s="1088">
        <f>+J207/Labour1!J196</f>
        <v>-3.1196136836336006</v>
      </c>
      <c r="K226" s="1088">
        <f>+K207/Labour1!K196</f>
        <v>1.8740885590810841</v>
      </c>
      <c r="L226" s="1088">
        <f>+L207/Labour1!L196</f>
        <v>1.0190244209461046</v>
      </c>
      <c r="M226" s="1088">
        <f>+M207/Labour1!M196</f>
        <v>3.7531109442533864E-2</v>
      </c>
      <c r="N226" s="1088">
        <f>+N207/Labour1!N196</f>
        <v>5.9167644066378193E-2</v>
      </c>
      <c r="O226" s="1088">
        <f>+O207/Labour1!O196</f>
        <v>1.8900302915176384</v>
      </c>
      <c r="P226" s="1088">
        <f>+P207/Labour1!P196</f>
        <v>1.1459749600001987</v>
      </c>
      <c r="Q226" s="1088">
        <f>+Q207/Labour1!Q196</f>
        <v>2.256885957496142</v>
      </c>
      <c r="R226" s="2345">
        <f>+R207/Labour1!R196</f>
        <v>2.4144566360405313</v>
      </c>
      <c r="S226" s="2345">
        <f>+S207/Labour1!S196</f>
        <v>-2.6153892768616568E-2</v>
      </c>
      <c r="T226" s="2345">
        <f>+T207/Labour1!T196</f>
        <v>1.5450927250284126E-2</v>
      </c>
      <c r="U226" s="2345">
        <f>+U207/Labour1!U196</f>
        <v>-1.6157760198062543</v>
      </c>
      <c r="V226" s="2345">
        <f>+V207/Labour1!V196</f>
        <v>0.6937862602950251</v>
      </c>
      <c r="W226" s="2345">
        <f>+W207/Labour1!W196</f>
        <v>0.34445992777259338</v>
      </c>
      <c r="X226" s="2345">
        <f>+X207/Labour1!X196</f>
        <v>0.91591383724894426</v>
      </c>
      <c r="Y226" s="2345">
        <f>+Y207/Labour1!Y196</f>
        <v>1.7803401391053584</v>
      </c>
      <c r="Z226" s="2345">
        <f>+Z207/Labour1!Z196</f>
        <v>2.2297609568434495</v>
      </c>
      <c r="AA226" s="2345">
        <f>+AA207/Labour1!AA196</f>
        <v>2.963635979612429</v>
      </c>
      <c r="AB226" s="2345">
        <f>+AB207/Labour1!AB196</f>
        <v>3.0494158648556207</v>
      </c>
      <c r="AC226" s="2345">
        <f>+AC207/Labour1!AC196</f>
        <v>2.4719451831635273</v>
      </c>
      <c r="AD226" s="3099">
        <f>+AD207/Labour1!AD196</f>
        <v>1.081563234060348</v>
      </c>
      <c r="AE226" s="3099">
        <f>+AE207/Labour1!AE196</f>
        <v>1.2042068985890426</v>
      </c>
      <c r="AF226" s="3099">
        <f>+AF207/Labour1!AF196</f>
        <v>1.1706950110834369</v>
      </c>
      <c r="AG226" s="2942"/>
      <c r="AR226" s="2942"/>
      <c r="AS226" s="2942"/>
      <c r="AT226" s="2942"/>
      <c r="BB226" s="3531">
        <v>2.8039787972411423</v>
      </c>
      <c r="BC226" s="736" t="str">
        <f t="shared" si="280"/>
        <v/>
      </c>
    </row>
    <row r="227" spans="1:55" s="922" customFormat="1" ht="12.75" customHeight="1" thickBot="1">
      <c r="A227" s="701"/>
      <c r="B227" s="701"/>
      <c r="C227" s="863"/>
      <c r="D227" s="843"/>
      <c r="E227" s="844" t="s">
        <v>1759</v>
      </c>
      <c r="F227" s="845"/>
      <c r="G227" s="846"/>
      <c r="H227" s="846"/>
      <c r="I227" s="846"/>
      <c r="J227" s="846"/>
      <c r="K227" s="846">
        <f t="shared" ref="K227:Y227" si="308">AVERAGE(H226:K226)</f>
        <v>0.21392929373420366</v>
      </c>
      <c r="L227" s="846">
        <f t="shared" si="308"/>
        <v>0.1586950787733038</v>
      </c>
      <c r="M227" s="846">
        <f t="shared" si="308"/>
        <v>-4.7242398540969524E-2</v>
      </c>
      <c r="N227" s="846">
        <f t="shared" si="308"/>
        <v>0.74745293338402508</v>
      </c>
      <c r="O227" s="846">
        <f t="shared" si="308"/>
        <v>0.75143836649316376</v>
      </c>
      <c r="P227" s="846">
        <f t="shared" si="308"/>
        <v>0.78317600125668729</v>
      </c>
      <c r="Q227" s="846">
        <f t="shared" si="308"/>
        <v>1.3380147132700895</v>
      </c>
      <c r="R227" s="2351">
        <f t="shared" si="308"/>
        <v>1.9268369612636276</v>
      </c>
      <c r="S227" s="2351">
        <f t="shared" si="308"/>
        <v>1.447790915192064</v>
      </c>
      <c r="T227" s="2351">
        <f t="shared" si="308"/>
        <v>1.1651599070045853</v>
      </c>
      <c r="U227" s="2351">
        <f t="shared" si="308"/>
        <v>0.1969944126789861</v>
      </c>
      <c r="V227" s="2351">
        <f t="shared" si="308"/>
        <v>-0.23317318125739039</v>
      </c>
      <c r="W227" s="2351">
        <f t="shared" si="308"/>
        <v>-0.14051972612208793</v>
      </c>
      <c r="X227" s="2351">
        <f t="shared" si="308"/>
        <v>8.4596001377577112E-2</v>
      </c>
      <c r="Y227" s="2351">
        <f t="shared" si="308"/>
        <v>0.93362504110548028</v>
      </c>
      <c r="Z227" s="2351">
        <f t="shared" ref="Z227" si="309">AVERAGE(W226:Z226)</f>
        <v>1.3176187152425864</v>
      </c>
      <c r="AA227" s="2351">
        <f t="shared" ref="AA227" si="310">AVERAGE(X226:AA226)</f>
        <v>1.9724127282025452</v>
      </c>
      <c r="AB227" s="2351">
        <f t="shared" ref="AB227" si="311">AVERAGE(Y226:AB226)</f>
        <v>2.5057882351042142</v>
      </c>
      <c r="AC227" s="2351">
        <f t="shared" ref="AC227" si="312">AVERAGE(Z226:AC226)</f>
        <v>2.6786894961187562</v>
      </c>
      <c r="AD227" s="3104">
        <f t="shared" ref="AD227:AF227" si="313">AVERAGE(AA226:AD226)</f>
        <v>2.3916400654229815</v>
      </c>
      <c r="AE227" s="3104">
        <f t="shared" si="313"/>
        <v>1.9517827951671347</v>
      </c>
      <c r="AF227" s="3104">
        <f t="shared" si="313"/>
        <v>1.4821025817240887</v>
      </c>
      <c r="AG227" s="2944"/>
      <c r="AR227" s="2944"/>
      <c r="AS227" s="2944"/>
      <c r="AT227" s="2944"/>
      <c r="BB227" s="3532">
        <v>2.4440947532390842</v>
      </c>
      <c r="BC227" s="736" t="str">
        <f t="shared" si="280"/>
        <v/>
      </c>
    </row>
    <row r="228" spans="1:55" s="922" customFormat="1" ht="12.75" customHeight="1" thickBot="1">
      <c r="A228" s="701"/>
      <c r="B228" s="701"/>
      <c r="C228" s="863"/>
      <c r="D228" s="1081"/>
      <c r="E228" s="1082" t="s">
        <v>1761</v>
      </c>
      <c r="F228" s="3343">
        <v>1.32</v>
      </c>
      <c r="G228" s="1084"/>
      <c r="H228" s="1084">
        <f>+H207/'VVP2'!H348</f>
        <v>3.280588584289251</v>
      </c>
      <c r="I228" s="1084">
        <f>+I207/'VVP2'!I348</f>
        <v>1.1335970529572459</v>
      </c>
      <c r="J228" s="1084">
        <f>+J207/'VVP2'!J348</f>
        <v>1.0271908209028384</v>
      </c>
      <c r="K228" s="1084">
        <f>+K207/'VVP2'!K348</f>
        <v>1.3207755438196562</v>
      </c>
      <c r="L228" s="1084">
        <f>+L207/'VVP2'!L348</f>
        <v>1.0873241576772166</v>
      </c>
      <c r="M228" s="1084">
        <f>+M207/'VVP2'!M348</f>
        <v>3.8527457669992188E-2</v>
      </c>
      <c r="N228" s="1084">
        <f>+N207/'VVP2'!N348</f>
        <v>5.1008268138936559E-2</v>
      </c>
      <c r="O228" s="1084">
        <f>+O207/'VVP2'!O348</f>
        <v>1.671861726840167</v>
      </c>
      <c r="P228" s="1084">
        <f>+P207/'VVP2'!P348</f>
        <v>1.0185324274497676</v>
      </c>
      <c r="Q228" s="1084">
        <f>+Q207/'VVP2'!Q348</f>
        <v>1.9042623339464082</v>
      </c>
      <c r="R228" s="2337">
        <f>+R207/'VVP2'!R348</f>
        <v>1.1462356641403451</v>
      </c>
      <c r="S228" s="2337">
        <f>+S207/'VVP2'!S348</f>
        <v>-2.1813131872104805E-2</v>
      </c>
      <c r="T228" s="2337">
        <f>+T207/'VVP2'!T348</f>
        <v>2.0546377536962191E-2</v>
      </c>
      <c r="U228" s="2337">
        <f>+U207/'VVP2'!U348</f>
        <v>1.4908600891622528</v>
      </c>
      <c r="V228" s="2337">
        <f>+V207/'VVP2'!V348</f>
        <v>0.21835493835447556</v>
      </c>
      <c r="W228" s="2337">
        <f>+W207/'VVP2'!W348</f>
        <v>0.28099749347945169</v>
      </c>
      <c r="X228" s="2337">
        <f>+X207/'VVP2'!X348</f>
        <v>3.6783501247586172</v>
      </c>
      <c r="Y228" s="2337">
        <f>+Y207/'VVP2'!Y348</f>
        <v>1.5007194578078775</v>
      </c>
      <c r="Z228" s="2337">
        <f>+Z207/'VVP2'!Z348</f>
        <v>1.119885603395266</v>
      </c>
      <c r="AA228" s="2337">
        <f>+AA207/'VVP2'!AA348</f>
        <v>1.2251417678517211</v>
      </c>
      <c r="AB228" s="2337">
        <f>+AB207/'VVP2'!AB348</f>
        <v>1.7486051429548581</v>
      </c>
      <c r="AC228" s="2337">
        <f>+AC207/'VVP2'!AC348</f>
        <v>1.1180272447451112</v>
      </c>
      <c r="AD228" s="3699">
        <f ca="1">+AD207/'VVP2'!AD348</f>
        <v>0.59677459119724796</v>
      </c>
      <c r="AE228" s="3699">
        <f ca="1">+AE207/'VVP2'!AE348</f>
        <v>0.85019614826911583</v>
      </c>
      <c r="AF228" s="3699">
        <f ca="1">+AF207/'VVP2'!AF348</f>
        <v>0.81104512821747288</v>
      </c>
      <c r="AG228" s="2944"/>
      <c r="AR228" s="2944"/>
      <c r="AS228" s="2944"/>
      <c r="AT228" s="2944"/>
      <c r="BB228" s="3489">
        <v>1.5918971423899424</v>
      </c>
      <c r="BC228" s="736" t="str">
        <f t="shared" si="280"/>
        <v/>
      </c>
    </row>
    <row r="229" spans="1:55" s="921" customFormat="1" ht="12.75" customHeight="1">
      <c r="A229" s="701"/>
      <c r="B229" s="701"/>
      <c r="C229" s="863"/>
      <c r="D229" s="843"/>
      <c r="E229" s="844" t="s">
        <v>1759</v>
      </c>
      <c r="F229" s="845"/>
      <c r="G229" s="846"/>
      <c r="H229" s="846"/>
      <c r="I229" s="846"/>
      <c r="J229" s="846"/>
      <c r="K229" s="846">
        <f t="shared" ref="K229:Y229" si="314">AVERAGE(H228:K228)</f>
        <v>1.6905380004922479</v>
      </c>
      <c r="L229" s="846">
        <f t="shared" si="314"/>
        <v>1.1422218938392392</v>
      </c>
      <c r="M229" s="846">
        <f t="shared" si="314"/>
        <v>0.86845449501742589</v>
      </c>
      <c r="N229" s="846">
        <f t="shared" si="314"/>
        <v>0.62440885682645053</v>
      </c>
      <c r="O229" s="846">
        <f t="shared" si="314"/>
        <v>0.71218040258157811</v>
      </c>
      <c r="P229" s="846">
        <f t="shared" si="314"/>
        <v>0.6949824700247158</v>
      </c>
      <c r="Q229" s="846">
        <f t="shared" si="314"/>
        <v>1.1614161890938199</v>
      </c>
      <c r="R229" s="2351">
        <f t="shared" si="314"/>
        <v>1.435223038094172</v>
      </c>
      <c r="S229" s="2351">
        <f t="shared" si="314"/>
        <v>1.011804323416104</v>
      </c>
      <c r="T229" s="2351">
        <f t="shared" si="314"/>
        <v>0.76230781093790267</v>
      </c>
      <c r="U229" s="2351">
        <f t="shared" si="314"/>
        <v>0.65895724974186376</v>
      </c>
      <c r="V229" s="2351">
        <f t="shared" si="314"/>
        <v>0.42698706829539645</v>
      </c>
      <c r="W229" s="2351">
        <f t="shared" si="314"/>
        <v>0.50268972463328554</v>
      </c>
      <c r="X229" s="2351">
        <f t="shared" si="314"/>
        <v>1.4171406614386992</v>
      </c>
      <c r="Y229" s="2351">
        <f t="shared" si="314"/>
        <v>1.4196055036001054</v>
      </c>
      <c r="Z229" s="2351">
        <f t="shared" ref="Z229" si="315">AVERAGE(W228:Z228)</f>
        <v>1.6449881698603033</v>
      </c>
      <c r="AA229" s="2351">
        <f t="shared" ref="AA229" si="316">AVERAGE(X228:AA228)</f>
        <v>1.8810242384533704</v>
      </c>
      <c r="AB229" s="2351">
        <f t="shared" ref="AB229" si="317">AVERAGE(Y228:AB228)</f>
        <v>1.3985879930024305</v>
      </c>
      <c r="AC229" s="2351">
        <f t="shared" ref="AC229" si="318">AVERAGE(Z228:AC228)</f>
        <v>1.302914939736739</v>
      </c>
      <c r="AD229" s="3104">
        <f t="shared" ref="AD229:AF229" ca="1" si="319">AVERAGE(AA228:AD228)</f>
        <v>1.1721371866872348</v>
      </c>
      <c r="AE229" s="3104">
        <f t="shared" ca="1" si="319"/>
        <v>1.0784007817915833</v>
      </c>
      <c r="AF229" s="3104">
        <f t="shared" ca="1" si="319"/>
        <v>0.84401077810723701</v>
      </c>
      <c r="AG229" s="2942"/>
      <c r="AR229" s="2942"/>
      <c r="AS229" s="2942"/>
      <c r="AT229" s="2942"/>
      <c r="BB229" s="3532">
        <v>1.3553611306022106</v>
      </c>
      <c r="BC229" s="736" t="str">
        <f t="shared" si="280"/>
        <v/>
      </c>
    </row>
    <row r="230" spans="1:55" s="921" customFormat="1" ht="12.75" customHeight="1">
      <c r="A230" s="701"/>
      <c r="B230" s="701"/>
      <c r="C230" s="863"/>
      <c r="D230" s="1081"/>
      <c r="E230" s="1082" t="s">
        <v>785</v>
      </c>
      <c r="F230" s="1083"/>
      <c r="G230" s="1552">
        <f>+G199/'VVP2'!G341</f>
        <v>0.16377765097197355</v>
      </c>
      <c r="H230" s="1552">
        <f>+H199/'VVP2'!H341</f>
        <v>0.17318693657599499</v>
      </c>
      <c r="I230" s="1552">
        <f>+I199/'VVP2'!I341</f>
        <v>0.17418933341510145</v>
      </c>
      <c r="J230" s="1552">
        <f>+J199/'VVP2'!J341</f>
        <v>0.17441769605244947</v>
      </c>
      <c r="K230" s="1552">
        <f>+K199/'VVP2'!K341</f>
        <v>0.17731848058510036</v>
      </c>
      <c r="L230" s="1552">
        <f>+L199/'VVP2'!L341</f>
        <v>0.17824776202306902</v>
      </c>
      <c r="M230" s="1552">
        <f>+M199/'VVP2'!M341</f>
        <v>0.17146067796009209</v>
      </c>
      <c r="N230" s="1552">
        <f>+N199/'VVP2'!N341</f>
        <v>0.16564211007246038</v>
      </c>
      <c r="O230" s="1552">
        <f>+O199/'VVP2'!O341</f>
        <v>0.17007993321553547</v>
      </c>
      <c r="P230" s="1552">
        <f>+P199/'VVP2'!P341</f>
        <v>0.17022307695868436</v>
      </c>
      <c r="Q230" s="1552">
        <f>+Q199/'VVP2'!Q341</f>
        <v>0.17563197366391325</v>
      </c>
      <c r="R230" s="2352">
        <f>+R199/'VVP2'!R341</f>
        <v>0.17722250046248045</v>
      </c>
      <c r="S230" s="2352">
        <f>+S199/'VVP2'!S341</f>
        <v>0.16635226537064868</v>
      </c>
      <c r="T230" s="2352">
        <f>+T199/'VVP2'!T341</f>
        <v>0.16199518763704487</v>
      </c>
      <c r="U230" s="2352">
        <f>+U199/'VVP2'!U341</f>
        <v>0.15958765604832795</v>
      </c>
      <c r="V230" s="2352">
        <f>+V199/'VVP2'!V341</f>
        <v>0.15138156729734514</v>
      </c>
      <c r="W230" s="2352">
        <f>+W199/'VVP2'!W341</f>
        <v>0.14730201202225704</v>
      </c>
      <c r="X230" s="2352">
        <f>+X199/'VVP2'!X341</f>
        <v>0.15027822875888042</v>
      </c>
      <c r="Y230" s="2352">
        <f>+Y199/'VVP2'!Y341</f>
        <v>0.1519743694850394</v>
      </c>
      <c r="Z230" s="2352">
        <f>+Z199/'VVP2'!Z341</f>
        <v>0.15274637299618743</v>
      </c>
      <c r="AA230" s="2352">
        <f>+AA199/'VVP2'!AA341</f>
        <v>0.15487952878264008</v>
      </c>
      <c r="AB230" s="2352">
        <f>+AB199/'VVP2'!AB341</f>
        <v>0.15974289801133143</v>
      </c>
      <c r="AC230" s="2352">
        <f>+AC199/'VVP2'!AC341</f>
        <v>0.16053924753526991</v>
      </c>
      <c r="AD230" s="2293">
        <f ca="1">+AD199/'VVP2'!AD341</f>
        <v>0.15751662602089492</v>
      </c>
      <c r="AE230" s="2293">
        <f ca="1">+AE199/'VVP2'!AE341</f>
        <v>0.15665688305268086</v>
      </c>
      <c r="AF230" s="2293">
        <f ca="1">+AF199/'VVP2'!AF341</f>
        <v>0.15564340556897463</v>
      </c>
      <c r="AG230" s="2942"/>
      <c r="AR230" s="2942"/>
      <c r="AS230" s="2942"/>
      <c r="AT230" s="2942"/>
      <c r="BB230" s="3490">
        <v>0.15920587304520517</v>
      </c>
      <c r="BC230" s="736" t="str">
        <f t="shared" si="280"/>
        <v/>
      </c>
    </row>
    <row r="231" spans="1:55" s="921" customFormat="1" ht="12.75" customHeight="1">
      <c r="A231" s="701"/>
      <c r="B231" s="701"/>
      <c r="C231" s="864"/>
      <c r="D231" s="1089"/>
      <c r="E231" s="1090" t="s">
        <v>1759</v>
      </c>
      <c r="F231" s="1091"/>
      <c r="G231" s="1550"/>
      <c r="H231" s="1551"/>
      <c r="I231" s="1551"/>
      <c r="J231" s="1551">
        <f t="shared" ref="J231:Y231" si="320">AVERAGE(G230:J230)</f>
        <v>0.17139290425387987</v>
      </c>
      <c r="K231" s="1551">
        <f t="shared" si="320"/>
        <v>0.17477811165716156</v>
      </c>
      <c r="L231" s="1551">
        <f t="shared" si="320"/>
        <v>0.17604331801893008</v>
      </c>
      <c r="M231" s="1551">
        <f t="shared" si="320"/>
        <v>0.17536115415517775</v>
      </c>
      <c r="N231" s="1551">
        <f t="shared" si="320"/>
        <v>0.17316725766018048</v>
      </c>
      <c r="O231" s="1551">
        <f t="shared" si="320"/>
        <v>0.17135762081778924</v>
      </c>
      <c r="P231" s="1551">
        <f t="shared" si="320"/>
        <v>0.16935144955169307</v>
      </c>
      <c r="Q231" s="1551">
        <f t="shared" si="320"/>
        <v>0.17039427347764835</v>
      </c>
      <c r="R231" s="2353">
        <f t="shared" si="320"/>
        <v>0.17328937107515338</v>
      </c>
      <c r="S231" s="2353">
        <f t="shared" si="320"/>
        <v>0.17235745411393166</v>
      </c>
      <c r="T231" s="2353">
        <f t="shared" si="320"/>
        <v>0.17030048178352181</v>
      </c>
      <c r="U231" s="2353">
        <f t="shared" si="320"/>
        <v>0.16628940237962547</v>
      </c>
      <c r="V231" s="2353">
        <f t="shared" si="320"/>
        <v>0.15982916908834166</v>
      </c>
      <c r="W231" s="2353">
        <f t="shared" si="320"/>
        <v>0.15506660575124376</v>
      </c>
      <c r="X231" s="2353">
        <f t="shared" si="320"/>
        <v>0.15213736603170264</v>
      </c>
      <c r="Y231" s="2353">
        <f t="shared" si="320"/>
        <v>0.15023404439088051</v>
      </c>
      <c r="Z231" s="2353">
        <f t="shared" ref="Z231" si="321">AVERAGE(W230:Z230)</f>
        <v>0.15057524581559106</v>
      </c>
      <c r="AA231" s="2353">
        <f t="shared" ref="AA231" si="322">AVERAGE(X230:AA230)</f>
        <v>0.15246962500568684</v>
      </c>
      <c r="AB231" s="2353">
        <f t="shared" ref="AB231" si="323">AVERAGE(Y230:AB230)</f>
        <v>0.1548357923187996</v>
      </c>
      <c r="AC231" s="2353">
        <f t="shared" ref="AC231" si="324">AVERAGE(Z230:AC230)</f>
        <v>0.15697701183135723</v>
      </c>
      <c r="AD231" s="2326">
        <f t="shared" ref="AD231:AF231" ca="1" si="325">AVERAGE(AA230:AD230)</f>
        <v>0.15816957508753407</v>
      </c>
      <c r="AE231" s="2326">
        <f t="shared" ca="1" si="325"/>
        <v>0.15861391365504429</v>
      </c>
      <c r="AF231" s="2326">
        <f t="shared" ca="1" si="325"/>
        <v>0.15758904054445508</v>
      </c>
      <c r="AG231" s="2942"/>
      <c r="AR231" s="2942"/>
      <c r="AS231" s="2942"/>
      <c r="AT231" s="2942"/>
      <c r="BB231" s="3491">
        <v>0.15479598117427076</v>
      </c>
      <c r="BC231" s="736" t="str">
        <f t="shared" si="280"/>
        <v/>
      </c>
    </row>
    <row r="232" spans="1:55" ht="12.75" customHeight="1">
      <c r="A232" s="701"/>
      <c r="B232" s="701"/>
      <c r="C232" s="811"/>
      <c r="Q232" s="736"/>
      <c r="R232" s="2354"/>
      <c r="S232" s="2354"/>
      <c r="T232" s="2354"/>
      <c r="U232" s="2354"/>
      <c r="V232" s="2354"/>
      <c r="W232" s="2354"/>
      <c r="BC232" s="736" t="str">
        <f t="shared" si="280"/>
        <v/>
      </c>
    </row>
    <row r="233" spans="1:55" ht="12.75" customHeight="1">
      <c r="A233" s="701"/>
      <c r="B233" s="701"/>
      <c r="C233" s="811"/>
      <c r="D233" s="851" t="s">
        <v>665</v>
      </c>
      <c r="E233" s="2157" t="s">
        <v>105</v>
      </c>
      <c r="F233" s="853"/>
      <c r="G233" s="858">
        <f>+InputY!$G$3</f>
        <v>1995</v>
      </c>
      <c r="H233" s="858">
        <f>+G233+1</f>
        <v>1996</v>
      </c>
      <c r="I233" s="858">
        <f t="shared" ref="I233:O233" si="326">+H233+1</f>
        <v>1997</v>
      </c>
      <c r="J233" s="858">
        <f t="shared" si="326"/>
        <v>1998</v>
      </c>
      <c r="K233" s="858">
        <f t="shared" si="326"/>
        <v>1999</v>
      </c>
      <c r="L233" s="858">
        <f t="shared" si="326"/>
        <v>2000</v>
      </c>
      <c r="M233" s="858">
        <f t="shared" si="326"/>
        <v>2001</v>
      </c>
      <c r="N233" s="858">
        <f t="shared" si="326"/>
        <v>2002</v>
      </c>
      <c r="O233" s="858">
        <f t="shared" si="326"/>
        <v>2003</v>
      </c>
      <c r="P233" s="858">
        <f>+O233+1</f>
        <v>2004</v>
      </c>
      <c r="Q233" s="858">
        <f>+P233+1</f>
        <v>2005</v>
      </c>
      <c r="R233" s="2323">
        <f>+Q233+1</f>
        <v>2006</v>
      </c>
      <c r="S233" s="2323">
        <f>+R233+1</f>
        <v>2007</v>
      </c>
      <c r="T233" s="2323">
        <f t="shared" ref="T233:AF233" si="327">+S233+1</f>
        <v>2008</v>
      </c>
      <c r="U233" s="2323">
        <f t="shared" si="327"/>
        <v>2009</v>
      </c>
      <c r="V233" s="2323">
        <f t="shared" si="327"/>
        <v>2010</v>
      </c>
      <c r="W233" s="2323">
        <f t="shared" si="327"/>
        <v>2011</v>
      </c>
      <c r="X233" s="2323">
        <f t="shared" si="327"/>
        <v>2012</v>
      </c>
      <c r="Y233" s="2323">
        <f t="shared" si="327"/>
        <v>2013</v>
      </c>
      <c r="Z233" s="2323">
        <f t="shared" si="327"/>
        <v>2014</v>
      </c>
      <c r="AA233" s="2323">
        <f t="shared" si="327"/>
        <v>2015</v>
      </c>
      <c r="AB233" s="2323">
        <f t="shared" si="327"/>
        <v>2016</v>
      </c>
      <c r="AC233" s="2323">
        <f t="shared" si="327"/>
        <v>2017</v>
      </c>
      <c r="AD233" s="2323">
        <f t="shared" si="327"/>
        <v>2018</v>
      </c>
      <c r="AE233" s="2323">
        <f t="shared" si="327"/>
        <v>2019</v>
      </c>
      <c r="AF233" s="2323">
        <f t="shared" si="327"/>
        <v>2020</v>
      </c>
      <c r="AH233" s="2942"/>
      <c r="AI233" s="2942"/>
      <c r="AJ233" s="2942"/>
      <c r="AK233" s="2942"/>
      <c r="AL233" s="2942"/>
      <c r="AM233" s="2942"/>
      <c r="BB233" s="3486">
        <v>2016</v>
      </c>
      <c r="BC233" s="736" t="str">
        <f t="shared" si="280"/>
        <v/>
      </c>
    </row>
    <row r="234" spans="1:55" s="921" customFormat="1" ht="12.75" customHeight="1">
      <c r="A234" s="701"/>
      <c r="B234" s="701"/>
      <c r="C234" s="859"/>
      <c r="D234" s="1085"/>
      <c r="E234" s="1086" t="s">
        <v>1176</v>
      </c>
      <c r="F234" s="3344">
        <v>1.19</v>
      </c>
      <c r="G234" s="1088"/>
      <c r="H234" s="1088">
        <f t="shared" ref="H234:R234" si="328">+H208/H119</f>
        <v>9.2350443338208396E-2</v>
      </c>
      <c r="I234" s="1088">
        <f t="shared" si="328"/>
        <v>2.5554836508591143</v>
      </c>
      <c r="J234" s="1088">
        <f t="shared" si="328"/>
        <v>-2.4338850298623607</v>
      </c>
      <c r="K234" s="1088">
        <f t="shared" si="328"/>
        <v>4.7090473566733291</v>
      </c>
      <c r="L234" s="1088">
        <f t="shared" si="328"/>
        <v>6.4092023977811223</v>
      </c>
      <c r="M234" s="1088">
        <f t="shared" si="328"/>
        <v>12.540751088112533</v>
      </c>
      <c r="N234" s="1088">
        <f t="shared" si="328"/>
        <v>-6.5764578500218365</v>
      </c>
      <c r="O234" s="1088">
        <f t="shared" si="328"/>
        <v>2.3628031439756101</v>
      </c>
      <c r="P234" s="1088">
        <f t="shared" si="328"/>
        <v>3.9936043947831199</v>
      </c>
      <c r="Q234" s="1088">
        <f t="shared" si="328"/>
        <v>7.1547275454787078</v>
      </c>
      <c r="R234" s="2345">
        <f t="shared" si="328"/>
        <v>0.66850523121044081</v>
      </c>
      <c r="S234" s="2345">
        <f t="shared" ref="S234:U234" si="329">+S208/S119</f>
        <v>2.7558844101470825</v>
      </c>
      <c r="T234" s="2345">
        <f t="shared" si="329"/>
        <v>97.2671424788618</v>
      </c>
      <c r="U234" s="2345">
        <f t="shared" si="329"/>
        <v>-2.8779075089783337E-3</v>
      </c>
      <c r="V234" s="2345">
        <f>+V208/V119</f>
        <v>1.4120049984580854</v>
      </c>
      <c r="W234" s="2345">
        <f>+W208/W119</f>
        <v>-1.377358195256311</v>
      </c>
      <c r="X234" s="2345">
        <f t="shared" ref="X234:AC234" si="330">+X208/X119</f>
        <v>2.8813225073077895</v>
      </c>
      <c r="Y234" s="2345">
        <f t="shared" si="330"/>
        <v>4.7347504823879163</v>
      </c>
      <c r="Z234" s="2345">
        <f t="shared" si="330"/>
        <v>0.29002298243046232</v>
      </c>
      <c r="AA234" s="2345">
        <f t="shared" si="330"/>
        <v>1.5526232645121341</v>
      </c>
      <c r="AB234" s="2345">
        <f t="shared" si="330"/>
        <v>1.3169702584362875</v>
      </c>
      <c r="AC234" s="2345">
        <f t="shared" si="330"/>
        <v>2.1009283507135637</v>
      </c>
      <c r="AD234" s="3099">
        <f t="shared" ref="AD234" ca="1" si="331">+AD208/AD119</f>
        <v>0.75813870216090107</v>
      </c>
      <c r="AE234" s="3099">
        <f t="shared" ref="AE234:AF234" ca="1" si="332">+AE208/AE119</f>
        <v>0.5846556455962425</v>
      </c>
      <c r="AF234" s="3099">
        <f t="shared" ca="1" si="332"/>
        <v>0.60433681110549642</v>
      </c>
      <c r="AG234" s="2942"/>
      <c r="AH234" s="2939"/>
      <c r="AI234" s="2939"/>
      <c r="AJ234" s="2939"/>
      <c r="AK234" s="2939"/>
      <c r="AL234" s="2939"/>
      <c r="AM234" s="2939"/>
      <c r="AN234" s="2939"/>
      <c r="AO234" s="2939"/>
      <c r="AP234" s="2939"/>
      <c r="AQ234" s="2939"/>
      <c r="AR234" s="2942"/>
      <c r="AS234" s="2942"/>
      <c r="AT234" s="2942"/>
      <c r="BB234" s="3531">
        <v>1.1320792761594167</v>
      </c>
      <c r="BC234" s="736" t="str">
        <f t="shared" si="280"/>
        <v/>
      </c>
    </row>
    <row r="235" spans="1:55" s="922" customFormat="1" ht="12.75" customHeight="1" thickBot="1">
      <c r="A235" s="701"/>
      <c r="B235" s="701"/>
      <c r="C235" s="863"/>
      <c r="D235" s="843"/>
      <c r="E235" s="844" t="s">
        <v>1759</v>
      </c>
      <c r="F235" s="845"/>
      <c r="G235" s="846"/>
      <c r="H235" s="846"/>
      <c r="I235" s="846"/>
      <c r="J235" s="846"/>
      <c r="K235" s="846">
        <f t="shared" ref="K235:W235" si="333">AVERAGE(H234:K234)</f>
        <v>1.2307491052520727</v>
      </c>
      <c r="L235" s="846">
        <f t="shared" si="333"/>
        <v>2.8099620938628012</v>
      </c>
      <c r="M235" s="846">
        <f t="shared" si="333"/>
        <v>5.3062789531761556</v>
      </c>
      <c r="N235" s="846">
        <f t="shared" si="333"/>
        <v>4.2706357481362867</v>
      </c>
      <c r="O235" s="846">
        <f t="shared" si="333"/>
        <v>3.6840746949618572</v>
      </c>
      <c r="P235" s="846">
        <f t="shared" si="333"/>
        <v>3.0801751942123565</v>
      </c>
      <c r="Q235" s="846">
        <f t="shared" si="333"/>
        <v>1.7336693085539006</v>
      </c>
      <c r="R235" s="2351">
        <f t="shared" si="333"/>
        <v>3.5449100788619696</v>
      </c>
      <c r="S235" s="2351">
        <f t="shared" si="333"/>
        <v>3.6431803954048378</v>
      </c>
      <c r="T235" s="2351">
        <f t="shared" si="333"/>
        <v>26.961564916424507</v>
      </c>
      <c r="U235" s="2351">
        <f t="shared" si="333"/>
        <v>25.172163553177587</v>
      </c>
      <c r="V235" s="2351">
        <f t="shared" si="333"/>
        <v>25.358038494989501</v>
      </c>
      <c r="W235" s="2351">
        <f t="shared" si="333"/>
        <v>24.324727843638652</v>
      </c>
      <c r="X235" s="2351">
        <f t="shared" ref="X235" si="334">AVERAGE(U234:X234)</f>
        <v>0.72827285075014636</v>
      </c>
      <c r="Y235" s="2351">
        <f t="shared" ref="Y235" si="335">AVERAGE(V234:Y234)</f>
        <v>1.9126799482243699</v>
      </c>
      <c r="Z235" s="2351">
        <f t="shared" ref="Z235" si="336">AVERAGE(W234:Z234)</f>
        <v>1.6321844442174642</v>
      </c>
      <c r="AA235" s="2351">
        <f t="shared" ref="AA235" si="337">AVERAGE(X234:AA234)</f>
        <v>2.3646798091595755</v>
      </c>
      <c r="AB235" s="2351">
        <f t="shared" ref="AB235" si="338">AVERAGE(Y234:AB234)</f>
        <v>1.9735917469416999</v>
      </c>
      <c r="AC235" s="2351">
        <f t="shared" ref="AC235" si="339">AVERAGE(Z234:AC234)</f>
        <v>1.315136214023112</v>
      </c>
      <c r="AD235" s="3104">
        <f t="shared" ref="AD235:AF235" ca="1" si="340">AVERAGE(AA234:AD234)</f>
        <v>1.4321651439557215</v>
      </c>
      <c r="AE235" s="3104">
        <f t="shared" ca="1" si="340"/>
        <v>1.1901732392267488</v>
      </c>
      <c r="AF235" s="3104">
        <f t="shared" ca="1" si="340"/>
        <v>1.0120148773940509</v>
      </c>
      <c r="AG235" s="2944"/>
      <c r="AH235" s="2939"/>
      <c r="AI235" s="2939"/>
      <c r="AJ235" s="2939"/>
      <c r="AK235" s="2939"/>
      <c r="AL235" s="2939"/>
      <c r="AM235" s="2939"/>
      <c r="AN235" s="2942"/>
      <c r="AO235" s="2942"/>
      <c r="AP235" s="2942"/>
      <c r="AQ235" s="2942"/>
      <c r="AR235" s="2944"/>
      <c r="AS235" s="2944"/>
      <c r="AT235" s="2944"/>
      <c r="BB235" s="3532">
        <v>1.916874405794204</v>
      </c>
      <c r="BC235" s="736" t="str">
        <f t="shared" si="280"/>
        <v/>
      </c>
    </row>
    <row r="236" spans="1:55" s="922" customFormat="1" ht="12.75" customHeight="1" thickBot="1">
      <c r="A236" s="701"/>
      <c r="B236" s="701"/>
      <c r="C236" s="863"/>
      <c r="D236" s="1081"/>
      <c r="E236" s="1082" t="s">
        <v>1761</v>
      </c>
      <c r="F236" s="3343">
        <v>1.56</v>
      </c>
      <c r="G236" s="1084"/>
      <c r="H236" s="1084">
        <f>+H208/'VVP2'!H348</f>
        <v>-0.24223528719577769</v>
      </c>
      <c r="I236" s="1084">
        <f>+I208/'VVP2'!I348</f>
        <v>3.5984603066252232</v>
      </c>
      <c r="J236" s="1084">
        <f>+J208/'VVP2'!J348</f>
        <v>-1.4756136844113268</v>
      </c>
      <c r="K236" s="1084">
        <f>+K208/'VVP2'!K348</f>
        <v>4.77972553314941</v>
      </c>
      <c r="L236" s="1084">
        <f>+L208/'VVP2'!L348</f>
        <v>4.8872892910699219</v>
      </c>
      <c r="M236" s="1084">
        <f>+M208/'VVP2'!M348</f>
        <v>-6.8584813993353198</v>
      </c>
      <c r="N236" s="1084">
        <f>+N208/'VVP2'!N348</f>
        <v>-5.3369969304576204</v>
      </c>
      <c r="O236" s="1084">
        <f>+O208/'VVP2'!O348</f>
        <v>4.0104996309073284</v>
      </c>
      <c r="P236" s="1084">
        <f>+P208/'VVP2'!P348</f>
        <v>8.8258401667194288</v>
      </c>
      <c r="Q236" s="1084">
        <f>+Q208/'VVP2'!Q348</f>
        <v>7.343619734819768</v>
      </c>
      <c r="R236" s="2337">
        <f>+R208/'VVP2'!R348</f>
        <v>1.2371935368209259</v>
      </c>
      <c r="S236" s="2337">
        <f>+S208/'VVP2'!S348</f>
        <v>1.4761419310377837</v>
      </c>
      <c r="T236" s="2337">
        <f>+T208/'VVP2'!T348</f>
        <v>-8.4826346611621908</v>
      </c>
      <c r="U236" s="2337">
        <f>+U208/'VVP2'!U348</f>
        <v>-9.8444343503323699E-3</v>
      </c>
      <c r="V236" s="2337">
        <f>+V208/'VVP2'!V348</f>
        <v>3.6653342887288143</v>
      </c>
      <c r="W236" s="2337">
        <f>+W208/'VVP2'!W348</f>
        <v>-0.8015086610201595</v>
      </c>
      <c r="X236" s="2337">
        <f>+X208/'VVP2'!X348</f>
        <v>-19.28892123890958</v>
      </c>
      <c r="Y236" s="2337">
        <f>+Y208/'VVP2'!Y348</f>
        <v>2.9763738443631893</v>
      </c>
      <c r="Z236" s="2337">
        <f>+Z208/'VVP2'!Z348</f>
        <v>0.4971331133463236</v>
      </c>
      <c r="AA236" s="2337">
        <f>+AA208/'VVP2'!AA348</f>
        <v>2.9463468876900509</v>
      </c>
      <c r="AB236" s="2337">
        <f>+AB208/'VVP2'!AB348</f>
        <v>0.28938635239969007</v>
      </c>
      <c r="AC236" s="2337">
        <f>+AC208/'VVP2'!AC348</f>
        <v>1.6064433365482111</v>
      </c>
      <c r="AD236" s="3699">
        <f ca="1">+AD208/'VVP2'!AD348</f>
        <v>1.0208172261799147</v>
      </c>
      <c r="AE236" s="3699">
        <f ca="1">+AE208/'VVP2'!AE348</f>
        <v>0.68759877569408856</v>
      </c>
      <c r="AF236" s="3699">
        <f ca="1">+AF208/'VVP2'!AF348</f>
        <v>0.73339340034800649</v>
      </c>
      <c r="AG236" s="2944"/>
      <c r="AH236" s="2942"/>
      <c r="AI236" s="2942"/>
      <c r="AJ236" s="2942"/>
      <c r="AK236" s="2942"/>
      <c r="AL236" s="2942"/>
      <c r="AM236" s="2942"/>
      <c r="AN236" s="2942"/>
      <c r="AO236" s="2942"/>
      <c r="AP236" s="2942"/>
      <c r="AQ236" s="2942"/>
      <c r="AR236" s="2944"/>
      <c r="AS236" s="2944"/>
      <c r="AT236" s="2944"/>
      <c r="BB236" s="3489">
        <v>0.32325012741537712</v>
      </c>
      <c r="BC236" s="736" t="str">
        <f t="shared" si="280"/>
        <v/>
      </c>
    </row>
    <row r="237" spans="1:55" s="921" customFormat="1" ht="12.75" customHeight="1">
      <c r="A237" s="701"/>
      <c r="B237" s="701"/>
      <c r="C237" s="863"/>
      <c r="D237" s="843"/>
      <c r="E237" s="844" t="s">
        <v>1759</v>
      </c>
      <c r="F237" s="845"/>
      <c r="G237" s="846"/>
      <c r="H237" s="846"/>
      <c r="I237" s="846"/>
      <c r="J237" s="846"/>
      <c r="K237" s="846">
        <f t="shared" ref="K237:W237" si="341">AVERAGE(H236:K236)</f>
        <v>1.665084217041882</v>
      </c>
      <c r="L237" s="846">
        <f t="shared" si="341"/>
        <v>2.9474653616083071</v>
      </c>
      <c r="M237" s="846">
        <f t="shared" si="341"/>
        <v>0.33322993511817112</v>
      </c>
      <c r="N237" s="846">
        <f t="shared" si="341"/>
        <v>-0.63211587639340183</v>
      </c>
      <c r="O237" s="846">
        <f t="shared" si="341"/>
        <v>-0.82442235195392244</v>
      </c>
      <c r="P237" s="846">
        <f t="shared" si="341"/>
        <v>0.16021536695845429</v>
      </c>
      <c r="Q237" s="846">
        <f t="shared" si="341"/>
        <v>3.7107406504972262</v>
      </c>
      <c r="R237" s="2351">
        <f t="shared" si="341"/>
        <v>5.3542882673168624</v>
      </c>
      <c r="S237" s="2351">
        <f t="shared" si="341"/>
        <v>4.7206988423494769</v>
      </c>
      <c r="T237" s="2351">
        <f t="shared" si="341"/>
        <v>0.39358013537907155</v>
      </c>
      <c r="U237" s="2351">
        <f t="shared" si="341"/>
        <v>-1.4447859069134534</v>
      </c>
      <c r="V237" s="2351">
        <f t="shared" si="341"/>
        <v>-0.83775071893648134</v>
      </c>
      <c r="W237" s="2351">
        <f t="shared" si="341"/>
        <v>-1.4071633669509671</v>
      </c>
      <c r="X237" s="2351">
        <f t="shared" ref="X237" si="342">AVERAGE(U236:X236)</f>
        <v>-4.1087350113878145</v>
      </c>
      <c r="Y237" s="2351">
        <f t="shared" ref="Y237" si="343">AVERAGE(V236:Y236)</f>
        <v>-3.3621804417094343</v>
      </c>
      <c r="Z237" s="2351">
        <f t="shared" ref="Z237" si="344">AVERAGE(W236:Z236)</f>
        <v>-4.154230735555057</v>
      </c>
      <c r="AA237" s="2351">
        <f t="shared" ref="AA237" si="345">AVERAGE(X236:AA236)</f>
        <v>-3.2172668483775042</v>
      </c>
      <c r="AB237" s="2351">
        <f t="shared" ref="AB237" si="346">AVERAGE(Y236:AB236)</f>
        <v>1.6773100494498134</v>
      </c>
      <c r="AC237" s="2351">
        <f t="shared" ref="AC237" si="347">AVERAGE(Z236:AC236)</f>
        <v>1.334827422496069</v>
      </c>
      <c r="AD237" s="3104">
        <f t="shared" ref="AD237:AF237" ca="1" si="348">AVERAGE(AA236:AD236)</f>
        <v>1.4657484507044667</v>
      </c>
      <c r="AE237" s="3104">
        <f t="shared" ca="1" si="348"/>
        <v>0.90106142270547607</v>
      </c>
      <c r="AF237" s="3104">
        <f t="shared" ca="1" si="348"/>
        <v>1.0120631846925552</v>
      </c>
      <c r="AG237" s="2942"/>
      <c r="AH237" s="2942"/>
      <c r="AI237" s="2942"/>
      <c r="AJ237" s="2942"/>
      <c r="AK237" s="2942"/>
      <c r="AL237" s="2942"/>
      <c r="AM237" s="2942"/>
      <c r="AN237" s="2942"/>
      <c r="AO237" s="2942"/>
      <c r="AP237" s="2942"/>
      <c r="AQ237" s="2942"/>
      <c r="AR237" s="2942"/>
      <c r="AS237" s="2942"/>
      <c r="AT237" s="2942"/>
      <c r="BB237" s="3532">
        <v>1.6825145302525757</v>
      </c>
      <c r="BC237" s="736" t="str">
        <f t="shared" si="280"/>
        <v/>
      </c>
    </row>
    <row r="238" spans="1:55" s="921" customFormat="1" ht="12.75" customHeight="1">
      <c r="A238" s="701"/>
      <c r="B238" s="701"/>
      <c r="C238" s="863"/>
      <c r="D238" s="1081"/>
      <c r="E238" s="1082" t="s">
        <v>785</v>
      </c>
      <c r="F238" s="1083"/>
      <c r="G238" s="1552">
        <f>+G200/'VVP2'!G341</f>
        <v>2.4567681773056266E-2</v>
      </c>
      <c r="H238" s="1552">
        <f>+H200/'VVP2'!H341</f>
        <v>2.3798864544571953E-2</v>
      </c>
      <c r="I238" s="1552">
        <f>+I200/'VVP2'!I341</f>
        <v>2.6478032896500355E-2</v>
      </c>
      <c r="J238" s="1552">
        <f>+J200/'VVP2'!J341</f>
        <v>2.3317576772048283E-2</v>
      </c>
      <c r="K238" s="1552">
        <f>+K200/'VVP2'!K341</f>
        <v>2.7887062818305854E-2</v>
      </c>
      <c r="L238" s="1552">
        <f>+L200/'VVP2'!L341</f>
        <v>3.4392979435532253E-2</v>
      </c>
      <c r="M238" s="1552">
        <f>+M200/'VVP2'!M341</f>
        <v>2.368935934979266E-2</v>
      </c>
      <c r="N238" s="1552">
        <f>+N200/'VVP2'!N341</f>
        <v>1.8321193150318247E-2</v>
      </c>
      <c r="O238" s="1552">
        <f>+O200/'VVP2'!O341</f>
        <v>2.0520630856556265E-2</v>
      </c>
      <c r="P238" s="1552">
        <f>+P200/'VVP2'!P341</f>
        <v>2.7813672040657982E-2</v>
      </c>
      <c r="Q238" s="1552">
        <f>+Q200/'VVP2'!Q341</f>
        <v>3.4013666208240471E-2</v>
      </c>
      <c r="R238" s="2352">
        <f>+R200/'VVP2'!R341</f>
        <v>3.4513286885473088E-2</v>
      </c>
      <c r="S238" s="2352">
        <f>+S200/'VVP2'!S341</f>
        <v>3.5499728414232969E-2</v>
      </c>
      <c r="T238" s="2352">
        <f>+T200/'VVP2'!T341</f>
        <v>2.6497774997117949E-2</v>
      </c>
      <c r="U238" s="2352">
        <f>+U200/'VVP2'!U341</f>
        <v>2.7307944783869057E-2</v>
      </c>
      <c r="V238" s="2352">
        <f>+V200/'VVP2'!V341</f>
        <v>3.209609787548981E-2</v>
      </c>
      <c r="W238" s="2352">
        <f>+W200/'VVP2'!W341</f>
        <v>2.9928902774427942E-2</v>
      </c>
      <c r="X238" s="2352">
        <f>+X200/'VVP2'!X341</f>
        <v>2.5348134971377421E-2</v>
      </c>
      <c r="Y238" s="2352">
        <f>+Y200/'VVP2'!Y341</f>
        <v>2.6477375495470384E-2</v>
      </c>
      <c r="Z238" s="2352">
        <f>+Z200/'VVP2'!Z341</f>
        <v>2.5913205656032529E-2</v>
      </c>
      <c r="AA238" s="2352">
        <f>+AA200/'VVP2'!AA341</f>
        <v>2.9041711580721656E-2</v>
      </c>
      <c r="AB238" s="2352">
        <f>+AB200/'VVP2'!AB341</f>
        <v>2.8176053934137909E-2</v>
      </c>
      <c r="AC238" s="2352">
        <f>+AC200/'VVP2'!AC341</f>
        <v>2.8897776517892181E-2</v>
      </c>
      <c r="AD238" s="2293">
        <f ca="1">+AD200/'VVP2'!AD341</f>
        <v>2.892586588436678E-2</v>
      </c>
      <c r="AE238" s="2293">
        <f ca="1">+AE200/'VVP2'!AE341</f>
        <v>2.8596621522088441E-2</v>
      </c>
      <c r="AF238" s="2293">
        <f ca="1">+AF200/'VVP2'!AF341</f>
        <v>2.8335590482612492E-2</v>
      </c>
      <c r="AG238" s="2942"/>
      <c r="AH238" s="2942"/>
      <c r="AI238" s="2942"/>
      <c r="AJ238" s="2942"/>
      <c r="AK238" s="2942"/>
      <c r="AL238" s="2942"/>
      <c r="AM238" s="2942"/>
      <c r="AN238" s="2942"/>
      <c r="AO238" s="2942"/>
      <c r="AP238" s="2942"/>
      <c r="AQ238" s="2942"/>
      <c r="AR238" s="2942"/>
      <c r="AS238" s="2942"/>
      <c r="AT238" s="2942"/>
      <c r="BB238" s="3490">
        <v>2.8152723148430238E-2</v>
      </c>
      <c r="BC238" s="736" t="str">
        <f t="shared" si="280"/>
        <v/>
      </c>
    </row>
    <row r="239" spans="1:55" s="921" customFormat="1" ht="12.75" customHeight="1">
      <c r="A239" s="701"/>
      <c r="B239" s="701"/>
      <c r="C239" s="864"/>
      <c r="D239" s="1089"/>
      <c r="E239" s="1090" t="s">
        <v>1759</v>
      </c>
      <c r="F239" s="1091"/>
      <c r="G239" s="1550"/>
      <c r="H239" s="1551"/>
      <c r="I239" s="1551"/>
      <c r="J239" s="1551">
        <f t="shared" ref="J239:W239" si="349">AVERAGE(G238:J238)</f>
        <v>2.4540538996544212E-2</v>
      </c>
      <c r="K239" s="1551">
        <f t="shared" si="349"/>
        <v>2.537038425785661E-2</v>
      </c>
      <c r="L239" s="1551">
        <f t="shared" si="349"/>
        <v>2.8018912980596687E-2</v>
      </c>
      <c r="M239" s="1551">
        <f t="shared" si="349"/>
        <v>2.7321744593919763E-2</v>
      </c>
      <c r="N239" s="1551">
        <f t="shared" si="349"/>
        <v>2.6072648688487254E-2</v>
      </c>
      <c r="O239" s="1551">
        <f t="shared" si="349"/>
        <v>2.4231040698049856E-2</v>
      </c>
      <c r="P239" s="1551">
        <f t="shared" si="349"/>
        <v>2.2586213849331287E-2</v>
      </c>
      <c r="Q239" s="1551">
        <f t="shared" si="349"/>
        <v>2.5167290563943241E-2</v>
      </c>
      <c r="R239" s="2353">
        <f t="shared" si="349"/>
        <v>2.9215313997731952E-2</v>
      </c>
      <c r="S239" s="2353">
        <f t="shared" si="349"/>
        <v>3.2960088387151129E-2</v>
      </c>
      <c r="T239" s="2353">
        <f t="shared" si="349"/>
        <v>3.2631114126266118E-2</v>
      </c>
      <c r="U239" s="2353">
        <f t="shared" si="349"/>
        <v>3.0954683770173262E-2</v>
      </c>
      <c r="V239" s="2353">
        <f t="shared" si="349"/>
        <v>3.0350386517677446E-2</v>
      </c>
      <c r="W239" s="2353">
        <f t="shared" si="349"/>
        <v>2.8957680107726189E-2</v>
      </c>
      <c r="X239" s="2353">
        <f t="shared" ref="X239" si="350">AVERAGE(U238:X238)</f>
        <v>2.8670270101291057E-2</v>
      </c>
      <c r="Y239" s="2353">
        <f t="shared" ref="Y239" si="351">AVERAGE(V238:Y238)</f>
        <v>2.8462627779191389E-2</v>
      </c>
      <c r="Z239" s="2353">
        <f t="shared" ref="Z239" si="352">AVERAGE(W238:Z238)</f>
        <v>2.6916904724327069E-2</v>
      </c>
      <c r="AA239" s="2353">
        <f t="shared" ref="AA239" si="353">AVERAGE(X238:AA238)</f>
        <v>2.6695106925900498E-2</v>
      </c>
      <c r="AB239" s="2353">
        <f t="shared" ref="AB239" si="354">AVERAGE(Y238:AB238)</f>
        <v>2.7402086666590622E-2</v>
      </c>
      <c r="AC239" s="2353">
        <f t="shared" ref="AC239" si="355">AVERAGE(Z238:AC238)</f>
        <v>2.8007186922196066E-2</v>
      </c>
      <c r="AD239" s="2326">
        <f t="shared" ref="AD239:AF239" ca="1" si="356">AVERAGE(AA238:AD238)</f>
        <v>2.876035197927963E-2</v>
      </c>
      <c r="AE239" s="2326">
        <f t="shared" ca="1" si="356"/>
        <v>2.8649079464621328E-2</v>
      </c>
      <c r="AF239" s="2326">
        <f t="shared" ca="1" si="356"/>
        <v>2.8688963601739975E-2</v>
      </c>
      <c r="AG239" s="2942"/>
      <c r="AH239" s="2942"/>
      <c r="AI239" s="2942"/>
      <c r="AJ239" s="2942"/>
      <c r="AK239" s="2942"/>
      <c r="AL239" s="2942"/>
      <c r="AM239" s="2942"/>
      <c r="AN239" s="2939"/>
      <c r="AO239" s="2939"/>
      <c r="AP239" s="2939"/>
      <c r="AQ239" s="2939"/>
      <c r="AR239" s="2942"/>
      <c r="AS239" s="2942"/>
      <c r="AT239" s="2942"/>
      <c r="BB239" s="3491">
        <v>2.7426277627012337E-2</v>
      </c>
      <c r="BC239" s="736" t="str">
        <f t="shared" si="280"/>
        <v/>
      </c>
    </row>
    <row r="240" spans="1:55" ht="12.75" customHeight="1">
      <c r="A240" s="701"/>
      <c r="B240" s="701"/>
      <c r="C240" s="811"/>
      <c r="Q240" s="736"/>
      <c r="BC240" s="736" t="str">
        <f t="shared" si="280"/>
        <v/>
      </c>
    </row>
    <row r="241" spans="1:55" ht="12.75" customHeight="1" thickBot="1">
      <c r="A241" s="701"/>
      <c r="B241" s="701"/>
      <c r="C241" s="811"/>
      <c r="D241" s="855" t="s">
        <v>666</v>
      </c>
      <c r="E241" s="1092" t="s">
        <v>820</v>
      </c>
      <c r="F241" s="857"/>
      <c r="G241" s="858">
        <f>+InputY!$G$3</f>
        <v>1995</v>
      </c>
      <c r="H241" s="858">
        <f t="shared" ref="H241:O241" si="357">+G241+1</f>
        <v>1996</v>
      </c>
      <c r="I241" s="858">
        <f t="shared" si="357"/>
        <v>1997</v>
      </c>
      <c r="J241" s="858">
        <f t="shared" si="357"/>
        <v>1998</v>
      </c>
      <c r="K241" s="858">
        <f t="shared" si="357"/>
        <v>1999</v>
      </c>
      <c r="L241" s="858">
        <f t="shared" si="357"/>
        <v>2000</v>
      </c>
      <c r="M241" s="858">
        <f t="shared" si="357"/>
        <v>2001</v>
      </c>
      <c r="N241" s="858">
        <f t="shared" si="357"/>
        <v>2002</v>
      </c>
      <c r="O241" s="858">
        <f t="shared" si="357"/>
        <v>2003</v>
      </c>
      <c r="P241" s="858">
        <f>+O241+1</f>
        <v>2004</v>
      </c>
      <c r="Q241" s="858">
        <f>+P241+1</f>
        <v>2005</v>
      </c>
      <c r="R241" s="858">
        <f>+Q241+1</f>
        <v>2006</v>
      </c>
      <c r="S241" s="858">
        <f>+R241+1</f>
        <v>2007</v>
      </c>
      <c r="T241" s="858">
        <f t="shared" ref="T241:AF241" si="358">+S241+1</f>
        <v>2008</v>
      </c>
      <c r="U241" s="858">
        <f t="shared" si="358"/>
        <v>2009</v>
      </c>
      <c r="V241" s="858">
        <f t="shared" si="358"/>
        <v>2010</v>
      </c>
      <c r="W241" s="858">
        <f t="shared" si="358"/>
        <v>2011</v>
      </c>
      <c r="X241" s="2323">
        <f t="shared" si="358"/>
        <v>2012</v>
      </c>
      <c r="Y241" s="2323">
        <f t="shared" si="358"/>
        <v>2013</v>
      </c>
      <c r="Z241" s="2323">
        <f t="shared" si="358"/>
        <v>2014</v>
      </c>
      <c r="AA241" s="2323">
        <f t="shared" si="358"/>
        <v>2015</v>
      </c>
      <c r="AB241" s="2323">
        <f t="shared" si="358"/>
        <v>2016</v>
      </c>
      <c r="AC241" s="2323">
        <f t="shared" si="358"/>
        <v>2017</v>
      </c>
      <c r="AD241" s="2323">
        <f t="shared" si="358"/>
        <v>2018</v>
      </c>
      <c r="AE241" s="2323">
        <f t="shared" si="358"/>
        <v>2019</v>
      </c>
      <c r="AF241" s="2323">
        <f t="shared" si="358"/>
        <v>2020</v>
      </c>
      <c r="BB241" s="3486">
        <v>2016</v>
      </c>
      <c r="BC241" s="736" t="str">
        <f t="shared" si="280"/>
        <v/>
      </c>
    </row>
    <row r="242" spans="1:55" s="921" customFormat="1" ht="12.75" customHeight="1" thickBot="1">
      <c r="A242" s="701"/>
      <c r="B242" s="701"/>
      <c r="C242" s="859"/>
      <c r="D242" s="1085"/>
      <c r="E242" s="1086" t="s">
        <v>1761</v>
      </c>
      <c r="F242" s="1555">
        <f>0.851*F228+0.149*F236</f>
        <v>1.3557600000000001</v>
      </c>
      <c r="G242" s="1088"/>
      <c r="H242" s="1088">
        <f>+H211/'VVP2'!H348</f>
        <v>2.8939648355017349</v>
      </c>
      <c r="I242" s="1088">
        <f>+I211/'VVP2'!I348</f>
        <v>1.4141226859610863</v>
      </c>
      <c r="J242" s="1088">
        <f>+J211/'VVP2'!J348</f>
        <v>0.79233599185066739</v>
      </c>
      <c r="K242" s="1088">
        <f>+K211/'VVP2'!K348</f>
        <v>1.6906507455172886</v>
      </c>
      <c r="L242" s="1088">
        <f>+L211/'VVP2'!L348</f>
        <v>1.5965538229163001</v>
      </c>
      <c r="M242" s="1088">
        <f>+M211/'VVP2'!M348</f>
        <v>-1.0956427747899722</v>
      </c>
      <c r="N242" s="1088">
        <f>+N211/'VVP2'!N348</f>
        <v>-0.61113708417900603</v>
      </c>
      <c r="O242" s="1088">
        <f>+O211/'VVP2'!O348</f>
        <v>1.8025919647785227</v>
      </c>
      <c r="P242" s="1088">
        <f>+P211/'VVP2'!P348</f>
        <v>1.8038868750597785</v>
      </c>
      <c r="Q242" s="1088">
        <f>+Q211/'VVP2'!Q348</f>
        <v>2.6897744153206706</v>
      </c>
      <c r="R242" s="1088">
        <f>+R211/'VVP2'!R348</f>
        <v>1.1302466199806149</v>
      </c>
      <c r="S242" s="1088">
        <f>+S211/'VVP2'!S348</f>
        <v>0.24964322963238972</v>
      </c>
      <c r="T242" s="1088">
        <f>+T211/'VVP2'!T348</f>
        <v>-1.5986292793306427</v>
      </c>
      <c r="U242" s="1088">
        <f>+U211/'VVP2'!U348</f>
        <v>1.4305505400021201</v>
      </c>
      <c r="V242" s="1088">
        <f>+V211/'VVP2'!V348</f>
        <v>0.72897919720451321</v>
      </c>
      <c r="W242" s="1088">
        <f>+W211/'VVP2'!W348</f>
        <v>0.21955316475614819</v>
      </c>
      <c r="X242" s="1088">
        <f>+X211/'VVP2'!X348</f>
        <v>-0.57291289957319269</v>
      </c>
      <c r="Y242" s="1088">
        <f>+Y211/'VVP2'!Y348</f>
        <v>1.9154259878275777</v>
      </c>
      <c r="Z242" s="1088">
        <f>+Z211/'VVP2'!Z348</f>
        <v>1.0342732628427429</v>
      </c>
      <c r="AA242" s="1088">
        <f>+AA211/'VVP2'!AA348</f>
        <v>1.5113116630218912</v>
      </c>
      <c r="AB242" s="1088">
        <f>+AB211/'VVP2'!AB348</f>
        <v>1.5778080299125634</v>
      </c>
      <c r="AC242" s="1088">
        <f>+AC211/'VVP2'!AC348</f>
        <v>1.1698202668621394</v>
      </c>
      <c r="AD242" s="3708">
        <f ca="1">+AD211/'VVP2'!AD348</f>
        <v>0.66406756095422925</v>
      </c>
      <c r="AE242" s="3709">
        <f ca="1">+AE211/'VVP2'!AE348</f>
        <v>0.82721494404045304</v>
      </c>
      <c r="AF242" s="3710">
        <f ca="1">+AF211/'VVP2'!AF348</f>
        <v>0.80064084106372324</v>
      </c>
      <c r="AG242" s="2942" t="s">
        <v>2609</v>
      </c>
      <c r="AH242" s="2939"/>
      <c r="AI242" s="2939"/>
      <c r="AJ242" s="2939"/>
      <c r="AK242" s="2939"/>
      <c r="AL242" s="2939"/>
      <c r="AM242" s="2939"/>
      <c r="AN242" s="2939"/>
      <c r="AO242" s="2939"/>
      <c r="AP242" s="2939"/>
      <c r="AQ242" s="2939"/>
      <c r="AR242" s="2942"/>
      <c r="AS242" s="2942"/>
      <c r="AT242" s="2942"/>
      <c r="BB242" s="3489">
        <v>0.95221066316858793</v>
      </c>
      <c r="BC242" s="736" t="str">
        <f t="shared" si="280"/>
        <v/>
      </c>
    </row>
    <row r="243" spans="1:55" s="921" customFormat="1" ht="12.75" customHeight="1" thickBot="1">
      <c r="A243" s="701"/>
      <c r="B243" s="701"/>
      <c r="C243" s="863"/>
      <c r="D243" s="843"/>
      <c r="E243" s="844" t="s">
        <v>1759</v>
      </c>
      <c r="F243" s="845"/>
      <c r="G243" s="846"/>
      <c r="H243" s="846"/>
      <c r="I243" s="846"/>
      <c r="J243" s="846"/>
      <c r="K243" s="846">
        <f t="shared" ref="K243:W243" si="359">AVERAGE(H242:K242)</f>
        <v>1.6977685647076943</v>
      </c>
      <c r="L243" s="846">
        <f t="shared" si="359"/>
        <v>1.3734158115613355</v>
      </c>
      <c r="M243" s="846">
        <f t="shared" si="359"/>
        <v>0.74597444637357091</v>
      </c>
      <c r="N243" s="846">
        <f t="shared" si="359"/>
        <v>0.39510617736615267</v>
      </c>
      <c r="O243" s="846">
        <f t="shared" si="359"/>
        <v>0.42309148218146114</v>
      </c>
      <c r="P243" s="846">
        <f t="shared" si="359"/>
        <v>0.47492474521733075</v>
      </c>
      <c r="Q243" s="846">
        <f t="shared" si="359"/>
        <v>1.4212790427449913</v>
      </c>
      <c r="R243" s="846">
        <f t="shared" si="359"/>
        <v>1.8566249687848966</v>
      </c>
      <c r="S243" s="846">
        <f t="shared" si="359"/>
        <v>1.4683877849983633</v>
      </c>
      <c r="T243" s="846">
        <f t="shared" si="359"/>
        <v>0.61775874640075812</v>
      </c>
      <c r="U243" s="846">
        <f t="shared" si="359"/>
        <v>0.30295277757112055</v>
      </c>
      <c r="V243" s="846">
        <f t="shared" si="359"/>
        <v>0.20263592187709506</v>
      </c>
      <c r="W243" s="846">
        <f t="shared" si="359"/>
        <v>0.1951134056580347</v>
      </c>
      <c r="X243" s="846">
        <f t="shared" ref="X243" si="360">AVERAGE(U242:X242)</f>
        <v>0.45154250059739726</v>
      </c>
      <c r="Y243" s="846">
        <f t="shared" ref="Y243" si="361">AVERAGE(V242:Y242)</f>
        <v>0.57276136255376153</v>
      </c>
      <c r="Z243" s="846">
        <f t="shared" ref="Z243" si="362">AVERAGE(W242:Z242)</f>
        <v>0.64908487896331901</v>
      </c>
      <c r="AA243" s="846">
        <f t="shared" ref="AA243" si="363">AVERAGE(X242:AA242)</f>
        <v>0.97202450352975478</v>
      </c>
      <c r="AB243" s="846">
        <f t="shared" ref="AB243" si="364">AVERAGE(Y242:AB242)</f>
        <v>1.5097047359011937</v>
      </c>
      <c r="AC243" s="846">
        <f t="shared" ref="AC243" si="365">AVERAGE(Z242:AC242)</f>
        <v>1.3233033056598342</v>
      </c>
      <c r="AD243" s="3711">
        <f t="shared" ref="AD243:AF243" ca="1" si="366">AVERAGE(AA242:AD242)</f>
        <v>1.2307518801877058</v>
      </c>
      <c r="AE243" s="3712">
        <f t="shared" ca="1" si="366"/>
        <v>1.0597277004423464</v>
      </c>
      <c r="AF243" s="3713">
        <f t="shared" ca="1" si="366"/>
        <v>0.86543590323013619</v>
      </c>
      <c r="AG243" s="2942"/>
      <c r="AH243" s="2939"/>
      <c r="AI243" s="2939"/>
      <c r="AJ243" s="2939"/>
      <c r="AK243" s="2939"/>
      <c r="AL243" s="2939"/>
      <c r="AM243" s="2939"/>
      <c r="AN243" s="2939"/>
      <c r="AO243" s="2939"/>
      <c r="AP243" s="2939"/>
      <c r="AQ243" s="2939"/>
      <c r="AR243" s="2942"/>
      <c r="AS243" s="2942"/>
      <c r="AT243" s="2942"/>
      <c r="BB243" s="3533">
        <v>1.3541048497879022</v>
      </c>
      <c r="BC243" s="736" t="str">
        <f t="shared" si="280"/>
        <v/>
      </c>
    </row>
    <row r="244" spans="1:55" s="921" customFormat="1" ht="12.75" customHeight="1">
      <c r="A244" s="701"/>
      <c r="B244" s="701"/>
      <c r="C244" s="863"/>
      <c r="D244" s="1081"/>
      <c r="E244" s="1082" t="s">
        <v>785</v>
      </c>
      <c r="F244" s="1084"/>
      <c r="G244" s="1552">
        <f>+G203/'VVP2'!G341</f>
        <v>0.1884232900308011</v>
      </c>
      <c r="H244" s="1552">
        <f>+H203/'VVP2'!H341</f>
        <v>0.19741332872892475</v>
      </c>
      <c r="I244" s="1552">
        <f>+I203/'VVP2'!I341</f>
        <v>0.20095520327125221</v>
      </c>
      <c r="J244" s="1552">
        <f>+J203/'VVP2'!J341</f>
        <v>0.19894313987062739</v>
      </c>
      <c r="K244" s="1552">
        <f>+K203/'VVP2'!K341</f>
        <v>0.20606693020044428</v>
      </c>
      <c r="L244" s="1552">
        <f>+L203/'VVP2'!L341</f>
        <v>0.21344455883599187</v>
      </c>
      <c r="M244" s="1552">
        <f>+M203/'VVP2'!M341</f>
        <v>0.19573023422227021</v>
      </c>
      <c r="N244" s="1552">
        <f>+N203/'VVP2'!N341</f>
        <v>0.1844535985227426</v>
      </c>
      <c r="O244" s="1552">
        <f>+O203/'VVP2'!O341</f>
        <v>0.19035698579151566</v>
      </c>
      <c r="P244" s="1552">
        <f>+P203/'VVP2'!P341</f>
        <v>0.19730644070669345</v>
      </c>
      <c r="Q244" s="1552">
        <f>+Q203/'VVP2'!Q341</f>
        <v>0.20902207488757796</v>
      </c>
      <c r="R244" s="1552">
        <f>+R203/'VVP2'!R341</f>
        <v>0.21070801725132574</v>
      </c>
      <c r="S244" s="1552">
        <f>+S203/'VVP2'!S341</f>
        <v>0.20121733435161587</v>
      </c>
      <c r="T244" s="1552">
        <f>+T203/'VVP2'!T341</f>
        <v>0.18723458957372463</v>
      </c>
      <c r="U244" s="1552">
        <f>+U203/'VVP2'!U341</f>
        <v>0.18479384473128718</v>
      </c>
      <c r="V244" s="1552">
        <f>+V203/'VVP2'!V341</f>
        <v>0.18149913276031948</v>
      </c>
      <c r="W244" s="1552">
        <f>+W203/'VVP2'!W341</f>
        <v>0.17618995461129519</v>
      </c>
      <c r="X244" s="1552">
        <f>+X203/'VVP2'!X341</f>
        <v>0.17409933825281501</v>
      </c>
      <c r="Y244" s="1552">
        <f>+Y203/'VVP2'!Y341</f>
        <v>0.17769179629029511</v>
      </c>
      <c r="Z244" s="1552">
        <f>+Z203/'VVP2'!Z341</f>
        <v>0.17794984679992643</v>
      </c>
      <c r="AA244" s="1552">
        <f>+AA203/'VVP2'!AA341</f>
        <v>0.18359374163253833</v>
      </c>
      <c r="AB244" s="1552">
        <f>+AB203/'VVP2'!AB341</f>
        <v>0.18804345322776414</v>
      </c>
      <c r="AC244" s="1552">
        <f>+AC203/'VVP2'!AC341</f>
        <v>0.18939225346529809</v>
      </c>
      <c r="AD244" s="3105">
        <f ca="1">+AD203/'VVP2'!AD341</f>
        <v>0.18642148496776725</v>
      </c>
      <c r="AE244" s="3105">
        <f ca="1">+AE203/'VVP2'!AE341</f>
        <v>0.18524788147650134</v>
      </c>
      <c r="AF244" s="3105">
        <f ca="1">+AF203/'VVP2'!AF341</f>
        <v>0.18398344803850611</v>
      </c>
      <c r="AG244" s="2942"/>
      <c r="AH244" s="3629"/>
      <c r="AI244" s="3629"/>
      <c r="AJ244" s="2939"/>
      <c r="AK244" s="2939"/>
      <c r="AL244" s="2939"/>
      <c r="AM244" s="2939"/>
      <c r="AN244" s="2939"/>
      <c r="AO244" s="2939"/>
      <c r="AP244" s="2939"/>
      <c r="AQ244" s="2939"/>
      <c r="AR244" s="2942"/>
      <c r="AS244" s="2942"/>
      <c r="AT244" s="2942"/>
      <c r="BB244" s="3462">
        <v>0.18350859875893827</v>
      </c>
      <c r="BC244" s="736" t="str">
        <f t="shared" si="280"/>
        <v/>
      </c>
    </row>
    <row r="245" spans="1:55" s="921" customFormat="1" ht="12.75" customHeight="1">
      <c r="A245" s="701"/>
      <c r="B245" s="701">
        <v>159</v>
      </c>
      <c r="C245" s="864"/>
      <c r="D245" s="1089"/>
      <c r="E245" s="1090" t="s">
        <v>1759</v>
      </c>
      <c r="F245" s="1091"/>
      <c r="G245" s="1550"/>
      <c r="H245" s="1551"/>
      <c r="I245" s="1551"/>
      <c r="J245" s="1551">
        <f t="shared" ref="J245:W245" si="367">AVERAGE(G244:J244)</f>
        <v>0.19643374047540135</v>
      </c>
      <c r="K245" s="1551">
        <f t="shared" si="367"/>
        <v>0.20084465051781217</v>
      </c>
      <c r="L245" s="1551">
        <f t="shared" si="367"/>
        <v>0.20485245804457894</v>
      </c>
      <c r="M245" s="1551">
        <f t="shared" si="367"/>
        <v>0.20354621578233345</v>
      </c>
      <c r="N245" s="1551">
        <f t="shared" si="367"/>
        <v>0.19992383044536224</v>
      </c>
      <c r="O245" s="1551">
        <f t="shared" si="367"/>
        <v>0.19599634434313007</v>
      </c>
      <c r="P245" s="1551">
        <f t="shared" si="367"/>
        <v>0.19196181481080546</v>
      </c>
      <c r="Q245" s="1551">
        <f t="shared" si="367"/>
        <v>0.19528477497713242</v>
      </c>
      <c r="R245" s="1551">
        <f t="shared" si="367"/>
        <v>0.20184837965927818</v>
      </c>
      <c r="S245" s="1551">
        <f t="shared" si="367"/>
        <v>0.20456346679930326</v>
      </c>
      <c r="T245" s="1551">
        <f t="shared" si="367"/>
        <v>0.20204550401606103</v>
      </c>
      <c r="U245" s="1551">
        <f t="shared" si="367"/>
        <v>0.19598844647698838</v>
      </c>
      <c r="V245" s="1551">
        <f t="shared" si="367"/>
        <v>0.18868622535423679</v>
      </c>
      <c r="W245" s="1551">
        <f t="shared" si="367"/>
        <v>0.1824293804191566</v>
      </c>
      <c r="X245" s="1551">
        <f t="shared" ref="X245" si="368">AVERAGE(U244:X244)</f>
        <v>0.17914556758892922</v>
      </c>
      <c r="Y245" s="1551">
        <f t="shared" ref="Y245" si="369">AVERAGE(V244:Y244)</f>
        <v>0.17737005547868118</v>
      </c>
      <c r="Z245" s="1551">
        <f t="shared" ref="Z245" si="370">AVERAGE(W244:Z244)</f>
        <v>0.17648273398858294</v>
      </c>
      <c r="AA245" s="1551">
        <f t="shared" ref="AA245" si="371">AVERAGE(X244:AA244)</f>
        <v>0.17833368074389372</v>
      </c>
      <c r="AB245" s="1551">
        <f t="shared" ref="AB245" si="372">AVERAGE(Y244:AB244)</f>
        <v>0.18181970948763099</v>
      </c>
      <c r="AC245" s="1551">
        <f t="shared" ref="AC245" si="373">AVERAGE(Z244:AC244)</f>
        <v>0.18474482378138174</v>
      </c>
      <c r="AD245" s="3106">
        <f t="shared" ref="AD245:AF245" ca="1" si="374">AVERAGE(AA244:AD244)</f>
        <v>0.18686273332334194</v>
      </c>
      <c r="AE245" s="3106">
        <f t="shared" ca="1" si="374"/>
        <v>0.18727626828433269</v>
      </c>
      <c r="AF245" s="3106">
        <f t="shared" ca="1" si="374"/>
        <v>0.18626126698701817</v>
      </c>
      <c r="AG245" s="2942"/>
      <c r="AH245" s="740"/>
      <c r="AI245" s="740"/>
      <c r="AJ245" s="2939"/>
      <c r="AK245" s="2939"/>
      <c r="AL245" s="2939"/>
      <c r="AM245" s="2939"/>
      <c r="AN245" s="2939"/>
      <c r="AO245" s="2939"/>
      <c r="AP245" s="2939"/>
      <c r="AQ245" s="2939"/>
      <c r="AR245" s="2942"/>
      <c r="AS245" s="2942"/>
      <c r="AT245" s="2942"/>
      <c r="BB245" s="3534">
        <v>0.18086002421089903</v>
      </c>
      <c r="BC245" s="736" t="str">
        <f t="shared" si="280"/>
        <v/>
      </c>
    </row>
    <row r="246" spans="1:55" ht="30" customHeight="1">
      <c r="A246" s="701"/>
      <c r="B246" s="701"/>
      <c r="C246" s="811"/>
      <c r="AH246" s="740"/>
      <c r="AI246" s="740"/>
      <c r="BC246" s="736" t="str">
        <f t="shared" si="280"/>
        <v/>
      </c>
    </row>
    <row r="247" spans="1:55" ht="30" customHeight="1">
      <c r="AH247" s="740"/>
      <c r="AI247" s="740"/>
      <c r="BC247" s="736" t="str">
        <f t="shared" si="280"/>
        <v/>
      </c>
    </row>
    <row r="248" spans="1:55" ht="22.5" customHeight="1">
      <c r="A248" s="590"/>
      <c r="B248" s="590"/>
      <c r="C248" s="3816" t="s">
        <v>108</v>
      </c>
      <c r="D248" s="3816"/>
      <c r="E248" s="3816"/>
      <c r="F248" s="3816"/>
      <c r="X248" s="2322"/>
      <c r="Y248" s="2322"/>
      <c r="Z248" s="2322"/>
      <c r="AA248" s="2322"/>
      <c r="AB248" s="2322"/>
      <c r="AC248" s="2322"/>
      <c r="AD248" s="2322"/>
      <c r="AE248" s="2322"/>
      <c r="AF248" s="2322"/>
      <c r="AH248" s="740"/>
      <c r="AI248" s="740"/>
      <c r="BB248" s="3475"/>
      <c r="BC248" s="736" t="str">
        <f t="shared" si="280"/>
        <v/>
      </c>
    </row>
    <row r="249" spans="1:55" ht="12.75" customHeight="1">
      <c r="A249" s="701"/>
      <c r="B249" s="701"/>
      <c r="C249" s="811"/>
      <c r="AH249" s="740"/>
      <c r="AI249" s="740"/>
      <c r="BC249" s="736" t="str">
        <f t="shared" si="280"/>
        <v/>
      </c>
    </row>
    <row r="250" spans="1:55" ht="12.75" customHeight="1">
      <c r="A250" s="701"/>
      <c r="B250" s="701"/>
      <c r="C250" s="811"/>
      <c r="D250" s="812"/>
      <c r="E250" s="813" t="s">
        <v>1882</v>
      </c>
      <c r="F250" s="814"/>
      <c r="G250" s="815">
        <f>+InputY!$G$3</f>
        <v>1995</v>
      </c>
      <c r="H250" s="815">
        <f>+G250+1</f>
        <v>1996</v>
      </c>
      <c r="I250" s="815">
        <f t="shared" ref="I250:O250" si="375">+H250+1</f>
        <v>1997</v>
      </c>
      <c r="J250" s="815">
        <f t="shared" si="375"/>
        <v>1998</v>
      </c>
      <c r="K250" s="815">
        <f t="shared" si="375"/>
        <v>1999</v>
      </c>
      <c r="L250" s="815">
        <f t="shared" si="375"/>
        <v>2000</v>
      </c>
      <c r="M250" s="815">
        <f t="shared" si="375"/>
        <v>2001</v>
      </c>
      <c r="N250" s="815">
        <f t="shared" si="375"/>
        <v>2002</v>
      </c>
      <c r="O250" s="815">
        <f t="shared" si="375"/>
        <v>2003</v>
      </c>
      <c r="P250" s="815">
        <f>+O250+1</f>
        <v>2004</v>
      </c>
      <c r="Q250" s="815">
        <f>+P250+1</f>
        <v>2005</v>
      </c>
      <c r="R250" s="815">
        <f>+Q250+1</f>
        <v>2006</v>
      </c>
      <c r="S250" s="815">
        <f>+R250+1</f>
        <v>2007</v>
      </c>
      <c r="T250" s="815">
        <f t="shared" ref="T250:AF250" si="376">+S250+1</f>
        <v>2008</v>
      </c>
      <c r="U250" s="815">
        <f t="shared" si="376"/>
        <v>2009</v>
      </c>
      <c r="V250" s="815">
        <f t="shared" si="376"/>
        <v>2010</v>
      </c>
      <c r="W250" s="815">
        <f t="shared" si="376"/>
        <v>2011</v>
      </c>
      <c r="X250" s="2285">
        <f t="shared" si="376"/>
        <v>2012</v>
      </c>
      <c r="Y250" s="2285">
        <f t="shared" si="376"/>
        <v>2013</v>
      </c>
      <c r="Z250" s="2285">
        <f t="shared" si="376"/>
        <v>2014</v>
      </c>
      <c r="AA250" s="2285">
        <f t="shared" si="376"/>
        <v>2015</v>
      </c>
      <c r="AB250" s="2285">
        <f t="shared" si="376"/>
        <v>2016</v>
      </c>
      <c r="AC250" s="2285">
        <f t="shared" si="376"/>
        <v>2017</v>
      </c>
      <c r="AD250" s="2285">
        <f t="shared" si="376"/>
        <v>2018</v>
      </c>
      <c r="AE250" s="2285">
        <f t="shared" si="376"/>
        <v>2019</v>
      </c>
      <c r="AF250" s="2285">
        <f t="shared" si="376"/>
        <v>2020</v>
      </c>
      <c r="AH250" s="740"/>
      <c r="AI250" s="740"/>
      <c r="BB250" s="3470">
        <v>2016</v>
      </c>
      <c r="BC250" s="736" t="str">
        <f t="shared" si="280"/>
        <v/>
      </c>
    </row>
    <row r="251" spans="1:55" ht="12.75" customHeight="1">
      <c r="A251" s="701">
        <f>+ROW(InputY!A159)</f>
        <v>159</v>
      </c>
      <c r="B251" s="701">
        <v>116</v>
      </c>
      <c r="C251" s="816" t="s">
        <v>1791</v>
      </c>
      <c r="D251" s="705" t="s">
        <v>666</v>
      </c>
      <c r="E251" s="737" t="s">
        <v>2034</v>
      </c>
      <c r="F251" s="738" t="str">
        <f>+InputY!B159</f>
        <v>YATaxActSoc</v>
      </c>
      <c r="G251" s="817">
        <f>+InputY!G159/1000</f>
        <v>101.735</v>
      </c>
      <c r="H251" s="817">
        <f>+InputY!H159/1000</f>
        <v>114.637</v>
      </c>
      <c r="I251" s="817">
        <f>+InputY!I159/1000</f>
        <v>126.718</v>
      </c>
      <c r="J251" s="817">
        <f>+InputY!J159/1000</f>
        <v>98.093999999999994</v>
      </c>
      <c r="K251" s="817">
        <f>+InputY!K159/1000</f>
        <v>98.081000000000003</v>
      </c>
      <c r="L251" s="817">
        <f>+InputY!L159/1000</f>
        <v>119.379</v>
      </c>
      <c r="M251" s="817">
        <f>+InputY!M159/1000</f>
        <v>112.81699999999999</v>
      </c>
      <c r="N251" s="817">
        <f>+InputY!N159/1000</f>
        <v>98.570999999999998</v>
      </c>
      <c r="O251" s="817">
        <f>+InputY!O159/1000</f>
        <v>101.652</v>
      </c>
      <c r="P251" s="817">
        <f>+InputY!P159/1000</f>
        <v>104.187</v>
      </c>
      <c r="Q251" s="817">
        <f>+InputY!Q159/1000</f>
        <v>98.632999999999996</v>
      </c>
      <c r="R251" s="817">
        <f>+InputY!R159/1000</f>
        <v>93.983999999999995</v>
      </c>
      <c r="S251" s="817">
        <f>+InputY!S159/1000</f>
        <v>101.75700000000001</v>
      </c>
      <c r="T251" s="817">
        <f>+InputY!T159/1000</f>
        <v>107.465</v>
      </c>
      <c r="U251" s="817">
        <f>+InputY!U159/1000</f>
        <v>107.113</v>
      </c>
      <c r="V251" s="817">
        <f>+InputY!V159/1000</f>
        <v>109.208</v>
      </c>
      <c r="W251" s="817">
        <f>+InputY!W159/1000</f>
        <v>118.41800000000001</v>
      </c>
      <c r="X251" s="817">
        <f>+InputY!X159/1000</f>
        <v>119.142</v>
      </c>
      <c r="Y251" s="817">
        <f>+InputY!Y159/1000</f>
        <v>122.538</v>
      </c>
      <c r="Z251" s="817">
        <f>+InputY!Z159/1000</f>
        <v>126.099</v>
      </c>
      <c r="AA251" s="817">
        <f>+InputY!AA159/1000</f>
        <v>132.46899999999999</v>
      </c>
      <c r="AB251" s="817">
        <f>+InputY!AB159/1000</f>
        <v>138.55199999999999</v>
      </c>
      <c r="AC251" s="817">
        <f>+InputY!AC159/1000</f>
        <v>145.512</v>
      </c>
      <c r="AD251" s="2296">
        <f t="shared" ref="AD251:AF252" si="377">+AC251*(1+AD263/100)</f>
        <v>152.11129008965221</v>
      </c>
      <c r="AE251" s="2296">
        <f t="shared" si="377"/>
        <v>158.43402469475458</v>
      </c>
      <c r="AF251" s="2296">
        <f t="shared" si="377"/>
        <v>164.39795067916288</v>
      </c>
      <c r="AH251" s="740"/>
      <c r="AI251" s="740"/>
      <c r="AN251" s="2945"/>
      <c r="AO251" s="2945"/>
      <c r="AP251" s="2945"/>
      <c r="AQ251" s="2945"/>
      <c r="BB251" s="3471">
        <v>154.97300000000001</v>
      </c>
      <c r="BC251" s="736">
        <f t="shared" si="280"/>
        <v>-16.421000000000021</v>
      </c>
    </row>
    <row r="252" spans="1:55" ht="12.75" customHeight="1">
      <c r="A252" s="701">
        <f>+ROW(InputY!A158)</f>
        <v>158</v>
      </c>
      <c r="B252" s="701"/>
      <c r="C252" s="819" t="s">
        <v>1791</v>
      </c>
      <c r="D252" s="711" t="s">
        <v>666</v>
      </c>
      <c r="E252" s="820" t="s">
        <v>2035</v>
      </c>
      <c r="F252" s="741" t="str">
        <f>+InputY!B158</f>
        <v>YATaxSocImp</v>
      </c>
      <c r="G252" s="743">
        <f>+InputY!G158/1000</f>
        <v>10.297000000000001</v>
      </c>
      <c r="H252" s="743">
        <f>+InputY!H158/1000</f>
        <v>10.627000000000001</v>
      </c>
      <c r="I252" s="743">
        <f>+InputY!I158/1000</f>
        <v>10.039999999999999</v>
      </c>
      <c r="J252" s="743">
        <f>+InputY!J158/1000</f>
        <v>2.3820000000000001</v>
      </c>
      <c r="K252" s="743">
        <f>+InputY!K158/1000</f>
        <v>2.6469999999999998</v>
      </c>
      <c r="L252" s="743">
        <f>+InputY!L158/1000</f>
        <v>2.6379999999999999</v>
      </c>
      <c r="M252" s="743">
        <f>+InputY!M158/1000</f>
        <v>2.8420000000000001</v>
      </c>
      <c r="N252" s="743">
        <f>+InputY!N158/1000</f>
        <v>3.069</v>
      </c>
      <c r="O252" s="743">
        <f>+InputY!O158/1000</f>
        <v>3.2490000000000001</v>
      </c>
      <c r="P252" s="743">
        <f>+InputY!P158/1000</f>
        <v>3.3980000000000001</v>
      </c>
      <c r="Q252" s="743">
        <f>+InputY!Q158/1000</f>
        <v>3.6840000000000002</v>
      </c>
      <c r="R252" s="743">
        <f>+InputY!R158/1000</f>
        <v>3.7839999999999998</v>
      </c>
      <c r="S252" s="743">
        <f>+InputY!S158/1000</f>
        <v>3.9470000000000001</v>
      </c>
      <c r="T252" s="743">
        <f>+InputY!T158/1000</f>
        <v>4.226</v>
      </c>
      <c r="U252" s="743">
        <f>+InputY!U158/1000</f>
        <v>4.5309999999999997</v>
      </c>
      <c r="V252" s="743">
        <f>+InputY!V158/1000</f>
        <v>4.7080000000000002</v>
      </c>
      <c r="W252" s="743">
        <f>+InputY!W158/1000</f>
        <v>5.0570000000000004</v>
      </c>
      <c r="X252" s="743">
        <f>+InputY!X158/1000</f>
        <v>5.399</v>
      </c>
      <c r="Y252" s="743">
        <f>+InputY!Y158/1000</f>
        <v>5.5049999999999999</v>
      </c>
      <c r="Z252" s="743">
        <f>+InputY!Z158/1000</f>
        <v>5.9850000000000003</v>
      </c>
      <c r="AA252" s="743">
        <f>+InputY!AA158/1000</f>
        <v>6.6929999999999996</v>
      </c>
      <c r="AB252" s="743">
        <f>+InputY!AB158/1000</f>
        <v>7.13</v>
      </c>
      <c r="AC252" s="743">
        <f>+InputY!AC158/1000</f>
        <v>7.4980000000000002</v>
      </c>
      <c r="AD252" s="2279">
        <f t="shared" si="377"/>
        <v>7.8054179999999995</v>
      </c>
      <c r="AE252" s="2279">
        <f t="shared" si="377"/>
        <v>8.0973406332</v>
      </c>
      <c r="AF252" s="2279">
        <f t="shared" si="377"/>
        <v>8.4001811728816804</v>
      </c>
      <c r="AH252" s="3646"/>
      <c r="AI252" s="3646"/>
      <c r="AJ252" s="1044"/>
      <c r="AK252" s="2945"/>
      <c r="AL252" s="2945"/>
      <c r="AM252" s="2945"/>
      <c r="AN252" s="2945"/>
      <c r="AO252" s="2945"/>
      <c r="AP252" s="2945"/>
      <c r="AQ252" s="2945"/>
      <c r="BB252" s="3472">
        <v>7.4039999999999999</v>
      </c>
      <c r="BC252" s="736" t="str">
        <f t="shared" si="280"/>
        <v/>
      </c>
    </row>
    <row r="253" spans="1:55" ht="12.75" customHeight="1">
      <c r="A253" s="701"/>
      <c r="B253" s="701">
        <v>115</v>
      </c>
      <c r="C253" s="819" t="s">
        <v>1793</v>
      </c>
      <c r="D253" s="3721" t="s">
        <v>666</v>
      </c>
      <c r="E253" s="3715" t="s">
        <v>821</v>
      </c>
      <c r="F253" s="3716" t="s">
        <v>153</v>
      </c>
      <c r="G253" s="3717">
        <f>+G251+G252</f>
        <v>112.032</v>
      </c>
      <c r="H253" s="3717">
        <f t="shared" ref="H253:V253" si="378">+H251+H252</f>
        <v>125.264</v>
      </c>
      <c r="I253" s="3717">
        <f t="shared" si="378"/>
        <v>136.75800000000001</v>
      </c>
      <c r="J253" s="3717">
        <f t="shared" si="378"/>
        <v>100.476</v>
      </c>
      <c r="K253" s="3717">
        <f t="shared" si="378"/>
        <v>100.72800000000001</v>
      </c>
      <c r="L253" s="3717">
        <f t="shared" si="378"/>
        <v>122.01700000000001</v>
      </c>
      <c r="M253" s="3717">
        <f t="shared" si="378"/>
        <v>115.65899999999999</v>
      </c>
      <c r="N253" s="3717">
        <f t="shared" si="378"/>
        <v>101.64</v>
      </c>
      <c r="O253" s="3717">
        <f t="shared" si="378"/>
        <v>104.901</v>
      </c>
      <c r="P253" s="3717">
        <f t="shared" si="378"/>
        <v>107.58499999999999</v>
      </c>
      <c r="Q253" s="3717">
        <f t="shared" si="378"/>
        <v>102.31699999999999</v>
      </c>
      <c r="R253" s="3718">
        <f t="shared" si="378"/>
        <v>97.768000000000001</v>
      </c>
      <c r="S253" s="3718">
        <f t="shared" si="378"/>
        <v>105.70400000000001</v>
      </c>
      <c r="T253" s="3718">
        <f t="shared" si="378"/>
        <v>111.691</v>
      </c>
      <c r="U253" s="3718">
        <f t="shared" si="378"/>
        <v>111.64400000000001</v>
      </c>
      <c r="V253" s="3718">
        <f t="shared" si="378"/>
        <v>113.916</v>
      </c>
      <c r="W253" s="3717">
        <f t="shared" ref="W253:AC253" si="379">+W251+W252</f>
        <v>123.47500000000001</v>
      </c>
      <c r="X253" s="3717">
        <f t="shared" si="379"/>
        <v>124.541</v>
      </c>
      <c r="Y253" s="3717">
        <f t="shared" si="379"/>
        <v>128.04300000000001</v>
      </c>
      <c r="Z253" s="3717">
        <f t="shared" si="379"/>
        <v>132.084</v>
      </c>
      <c r="AA253" s="3717">
        <f t="shared" si="379"/>
        <v>139.16200000000001</v>
      </c>
      <c r="AB253" s="3717">
        <f t="shared" si="379"/>
        <v>145.68199999999999</v>
      </c>
      <c r="AC253" s="3717">
        <f t="shared" si="379"/>
        <v>153.01</v>
      </c>
      <c r="AD253" s="3725">
        <f>+AD251+AD252</f>
        <v>159.91670808965222</v>
      </c>
      <c r="AE253" s="3725">
        <f>+AE251+AE252</f>
        <v>166.53136532795457</v>
      </c>
      <c r="AF253" s="3725">
        <f>+AF251+AF252</f>
        <v>172.79813185204455</v>
      </c>
      <c r="AH253" s="3646"/>
      <c r="AI253" s="3646"/>
      <c r="AJ253" s="1044"/>
      <c r="AK253" s="2945"/>
      <c r="AL253" s="2945"/>
      <c r="AM253" s="2945"/>
      <c r="AN253" s="2940"/>
      <c r="AO253" s="2940"/>
      <c r="AP253" s="2940"/>
      <c r="AQ253" s="2940"/>
      <c r="BB253" s="3535">
        <v>162.37700000000001</v>
      </c>
      <c r="BC253" s="736">
        <f t="shared" si="280"/>
        <v>-16.695000000000022</v>
      </c>
    </row>
    <row r="254" spans="1:55" ht="12.75" customHeight="1">
      <c r="A254" s="701">
        <f>+ROW(InputY!A192)</f>
        <v>192</v>
      </c>
      <c r="B254" s="701" t="s">
        <v>959</v>
      </c>
      <c r="C254" s="819" t="s">
        <v>1791</v>
      </c>
      <c r="D254" s="711" t="s">
        <v>664</v>
      </c>
      <c r="E254" s="820" t="s">
        <v>821</v>
      </c>
      <c r="F254" s="741" t="str">
        <f>+InputY!B192</f>
        <v>YHTSoc(1)</v>
      </c>
      <c r="G254" s="743">
        <f>+InputY!G192/1000</f>
        <v>0</v>
      </c>
      <c r="H254" s="743">
        <f>+InputY!H192/1000</f>
        <v>0</v>
      </c>
      <c r="I254" s="743">
        <f>+InputY!I192/1000</f>
        <v>0</v>
      </c>
      <c r="J254" s="743">
        <f>+InputY!J192/1000</f>
        <v>0</v>
      </c>
      <c r="K254" s="743">
        <f>+InputY!K192/1000</f>
        <v>0</v>
      </c>
      <c r="L254" s="743">
        <f>+InputY!L192/1000</f>
        <v>0</v>
      </c>
      <c r="M254" s="743">
        <f>+InputY!M192/1000</f>
        <v>0</v>
      </c>
      <c r="N254" s="743">
        <f>+InputY!N192/1000</f>
        <v>0</v>
      </c>
      <c r="O254" s="743">
        <f>+InputY!O192/1000</f>
        <v>0</v>
      </c>
      <c r="P254" s="743">
        <f>+InputY!P192/1000</f>
        <v>0</v>
      </c>
      <c r="Q254" s="743">
        <f>+InputY!Q192/1000</f>
        <v>0</v>
      </c>
      <c r="R254" s="743">
        <f>+InputY!R192/1000</f>
        <v>0</v>
      </c>
      <c r="S254" s="743">
        <f>+InputY!S192/1000</f>
        <v>0</v>
      </c>
      <c r="T254" s="743">
        <f>+InputY!T192/1000</f>
        <v>0</v>
      </c>
      <c r="U254" s="743">
        <f>+InputY!U192/1000</f>
        <v>0</v>
      </c>
      <c r="V254" s="743">
        <f>+InputY!V192/1000</f>
        <v>0</v>
      </c>
      <c r="W254" s="743">
        <f>+InputY!W192/1000</f>
        <v>0</v>
      </c>
      <c r="X254" s="743">
        <f>+InputY!X192/1000</f>
        <v>0</v>
      </c>
      <c r="Y254" s="743">
        <f>+InputY!Y192/1000</f>
        <v>0</v>
      </c>
      <c r="Z254" s="743">
        <f>+InputY!Z192/1000</f>
        <v>0</v>
      </c>
      <c r="AA254" s="743">
        <f>+InputY!AA192/1000</f>
        <v>0</v>
      </c>
      <c r="AB254" s="743">
        <f>+InputY!AB192/1000</f>
        <v>0</v>
      </c>
      <c r="AC254" s="743">
        <f>+InputY!AC192/1000</f>
        <v>0</v>
      </c>
      <c r="AD254" s="2279">
        <f t="shared" ref="AD254:AF256" si="380">+AC254*(1+AD266/100)</f>
        <v>0</v>
      </c>
      <c r="AE254" s="2279">
        <f t="shared" si="380"/>
        <v>0</v>
      </c>
      <c r="AF254" s="2279">
        <f t="shared" si="380"/>
        <v>0</v>
      </c>
      <c r="AH254" s="3647"/>
      <c r="AI254" s="3647"/>
      <c r="AJ254" s="2032"/>
      <c r="AK254" s="2940"/>
      <c r="AL254" s="2940"/>
      <c r="AM254" s="2940"/>
      <c r="BB254" s="3472">
        <v>0</v>
      </c>
      <c r="BC254" s="736" t="str">
        <f t="shared" si="280"/>
        <v/>
      </c>
    </row>
    <row r="255" spans="1:55" ht="12.75" customHeight="1">
      <c r="A255" s="701">
        <f>+ROW(InputY!A122)</f>
        <v>122</v>
      </c>
      <c r="B255" s="701" t="s">
        <v>954</v>
      </c>
      <c r="C255" s="819" t="s">
        <v>1791</v>
      </c>
      <c r="D255" s="711" t="s">
        <v>665</v>
      </c>
      <c r="E255" s="820" t="s">
        <v>821</v>
      </c>
      <c r="F255" s="741" t="str">
        <f>+InputY!B122</f>
        <v>YESoc</v>
      </c>
      <c r="G255" s="743">
        <f>+InputY!G122/1000</f>
        <v>80.710999999999999</v>
      </c>
      <c r="H255" s="743">
        <f>+InputY!H122/1000</f>
        <v>82.444000000000003</v>
      </c>
      <c r="I255" s="743">
        <f>+InputY!I122/1000</f>
        <v>88.131</v>
      </c>
      <c r="J255" s="743">
        <f>+InputY!J122/1000</f>
        <v>95.128</v>
      </c>
      <c r="K255" s="743">
        <f>+InputY!K122/1000</f>
        <v>103.747</v>
      </c>
      <c r="L255" s="743">
        <f>+InputY!L122/1000</f>
        <v>125.321</v>
      </c>
      <c r="M255" s="743">
        <f>+InputY!M122/1000</f>
        <v>129.495</v>
      </c>
      <c r="N255" s="743">
        <f>+InputY!N122/1000</f>
        <v>130.23500000000001</v>
      </c>
      <c r="O255" s="743">
        <f>+InputY!O122/1000</f>
        <v>138.89099999999999</v>
      </c>
      <c r="P255" s="743">
        <f>+InputY!P122/1000</f>
        <v>143.64699999999999</v>
      </c>
      <c r="Q255" s="743">
        <f>+InputY!Q122/1000</f>
        <v>147.523</v>
      </c>
      <c r="R255" s="743">
        <f>+InputY!R122/1000</f>
        <v>159.15600000000001</v>
      </c>
      <c r="S255" s="743">
        <f>+InputY!S122/1000</f>
        <v>185.03399999999999</v>
      </c>
      <c r="T255" s="743">
        <f>+InputY!T122/1000</f>
        <v>199.685</v>
      </c>
      <c r="U255" s="743">
        <f>+InputY!U122/1000</f>
        <v>171.797</v>
      </c>
      <c r="V255" s="743">
        <f>+InputY!V122/1000</f>
        <v>218.96600000000001</v>
      </c>
      <c r="W255" s="743">
        <f>+InputY!W122/1000</f>
        <v>227.86199999999999</v>
      </c>
      <c r="X255" s="743">
        <f>+InputY!X122/1000</f>
        <v>225.06299999999999</v>
      </c>
      <c r="Y255" s="743">
        <f>+InputY!Y122/1000</f>
        <v>240.67599999999999</v>
      </c>
      <c r="Z255" s="743">
        <f>+InputY!Z122/1000</f>
        <v>273.63</v>
      </c>
      <c r="AA255" s="743">
        <f>+InputY!AA122/1000</f>
        <v>265.036</v>
      </c>
      <c r="AB255" s="743">
        <f>+InputY!AB122/1000</f>
        <v>283.8</v>
      </c>
      <c r="AC255" s="743">
        <f>+InputY!AC122/1000</f>
        <v>278.36599999999999</v>
      </c>
      <c r="AD255" s="2279">
        <f t="shared" si="380"/>
        <v>288.50175079991578</v>
      </c>
      <c r="AE255" s="2279">
        <f t="shared" si="380"/>
        <v>298.8328117711668</v>
      </c>
      <c r="AF255" s="2279">
        <f t="shared" si="380"/>
        <v>311.5869352544841</v>
      </c>
      <c r="AH255" s="3646"/>
      <c r="AI255" s="3646"/>
      <c r="AK255" s="2945"/>
      <c r="BB255" s="3472">
        <v>289.27300000000002</v>
      </c>
      <c r="BC255" s="736">
        <f t="shared" si="280"/>
        <v>-5.4730000000000132</v>
      </c>
    </row>
    <row r="256" spans="1:55" ht="12.75" customHeight="1">
      <c r="A256" s="2014">
        <f>ROW(InputY!A246)</f>
        <v>246</v>
      </c>
      <c r="B256" s="701" t="s">
        <v>950</v>
      </c>
      <c r="C256" s="819" t="s">
        <v>1791</v>
      </c>
      <c r="D256" s="711" t="s">
        <v>667</v>
      </c>
      <c r="E256" s="820" t="s">
        <v>230</v>
      </c>
      <c r="F256" s="741" t="s">
        <v>231</v>
      </c>
      <c r="G256" s="743">
        <f>+InputY!G246/1000</f>
        <v>6.5000000000000002E-2</v>
      </c>
      <c r="H256" s="743">
        <f>+InputY!H246/1000</f>
        <v>4.4999999999999998E-2</v>
      </c>
      <c r="I256" s="743">
        <f>+InputY!I246/1000</f>
        <v>0.113</v>
      </c>
      <c r="J256" s="743">
        <f>+InputY!J246/1000</f>
        <v>0.19</v>
      </c>
      <c r="K256" s="743">
        <f>+InputY!K246/1000</f>
        <v>0.27</v>
      </c>
      <c r="L256" s="743">
        <f>+InputY!L246/1000</f>
        <v>0.307</v>
      </c>
      <c r="M256" s="743">
        <f>+InputY!M246/1000</f>
        <v>0.42699999999999999</v>
      </c>
      <c r="N256" s="743">
        <f>+InputY!N246/1000</f>
        <v>0.51100000000000001</v>
      </c>
      <c r="O256" s="743">
        <f>+InputY!O246/1000</f>
        <v>0.41899999999999998</v>
      </c>
      <c r="P256" s="743">
        <f>+InputY!P246/1000</f>
        <v>0.39500000000000002</v>
      </c>
      <c r="Q256" s="743">
        <f>+InputY!Q246/1000</f>
        <v>0.47499999999999998</v>
      </c>
      <c r="R256" s="743">
        <f>+InputY!R246/1000</f>
        <v>0.56899999999999995</v>
      </c>
      <c r="S256" s="743">
        <f>+InputY!S246/1000</f>
        <v>0.85799999999999998</v>
      </c>
      <c r="T256" s="743">
        <f>+InputY!T246/1000</f>
        <v>1.19</v>
      </c>
      <c r="U256" s="743">
        <f>+InputY!U246/1000</f>
        <v>1.371</v>
      </c>
      <c r="V256" s="743">
        <f>+InputY!V246/1000</f>
        <v>1.41</v>
      </c>
      <c r="W256" s="743">
        <f>+InputY!W246/1000</f>
        <v>1.359</v>
      </c>
      <c r="X256" s="743">
        <f>+InputY!X246/1000</f>
        <v>1.427</v>
      </c>
      <c r="Y256" s="743">
        <f>+InputY!Y246/1000</f>
        <v>1.39</v>
      </c>
      <c r="Z256" s="743">
        <f>+InputY!Z246/1000</f>
        <v>1.4750000000000001</v>
      </c>
      <c r="AA256" s="743">
        <f>+InputY!AA246/1000</f>
        <v>1.159</v>
      </c>
      <c r="AB256" s="743">
        <f>+InputY!AB246/1000</f>
        <v>0.69399999999999995</v>
      </c>
      <c r="AC256" s="743">
        <f>+InputY!AC246/1000</f>
        <v>0.53900000000000003</v>
      </c>
      <c r="AD256" s="2279">
        <f t="shared" si="380"/>
        <v>0.47819317478713758</v>
      </c>
      <c r="AE256" s="2279">
        <f t="shared" si="380"/>
        <v>0.41901041880135798</v>
      </c>
      <c r="AF256" s="2279">
        <f t="shared" si="380"/>
        <v>0.35674888040763519</v>
      </c>
      <c r="AH256" s="3643">
        <v>2018</v>
      </c>
      <c r="AI256" s="3643">
        <v>2019</v>
      </c>
      <c r="AK256" s="2940"/>
      <c r="BB256" s="3472">
        <v>1.026</v>
      </c>
      <c r="BC256" s="736" t="str">
        <f t="shared" si="280"/>
        <v/>
      </c>
    </row>
    <row r="257" spans="1:56" ht="12.75" customHeight="1">
      <c r="A257" s="701">
        <f>+ROW(InputY!A194)</f>
        <v>194</v>
      </c>
      <c r="B257" s="701" t="s">
        <v>953</v>
      </c>
      <c r="C257" s="821" t="s">
        <v>1793</v>
      </c>
      <c r="D257" s="789" t="s">
        <v>664</v>
      </c>
      <c r="E257" s="790" t="s">
        <v>1667</v>
      </c>
      <c r="F257" s="791" t="str">
        <f>+InputY!B194</f>
        <v>$HTaxSoc(1)</v>
      </c>
      <c r="G257" s="822">
        <f>+InputY!G194/1000</f>
        <v>192.80799999999999</v>
      </c>
      <c r="H257" s="822">
        <f>+InputY!H194/1000</f>
        <v>207.75299999999999</v>
      </c>
      <c r="I257" s="822">
        <f>+InputY!I194/1000</f>
        <v>225.00200000000001</v>
      </c>
      <c r="J257" s="822">
        <f>+InputY!J194/1000</f>
        <v>195.79400000000001</v>
      </c>
      <c r="K257" s="822">
        <f>+InputY!K194/1000</f>
        <v>204.745</v>
      </c>
      <c r="L257" s="822">
        <f>+InputY!L194/1000</f>
        <v>247.64500000000001</v>
      </c>
      <c r="M257" s="822">
        <f>+InputY!M194/1000</f>
        <v>245.58099999999999</v>
      </c>
      <c r="N257" s="822">
        <f>+InputY!N194/1000</f>
        <v>232.386</v>
      </c>
      <c r="O257" s="822">
        <f>+InputY!O194/1000</f>
        <v>244.21100000000001</v>
      </c>
      <c r="P257" s="822">
        <f>+InputY!P194/1000</f>
        <v>251.62700000000001</v>
      </c>
      <c r="Q257" s="822">
        <f>+InputY!Q194/1000</f>
        <v>250.315</v>
      </c>
      <c r="R257" s="822">
        <f>+InputY!R194/1000</f>
        <v>257.49299999999999</v>
      </c>
      <c r="S257" s="822">
        <f>+InputY!S194/1000</f>
        <v>291.596</v>
      </c>
      <c r="T257" s="822">
        <f>+InputY!T194/1000</f>
        <v>312.56599999999997</v>
      </c>
      <c r="U257" s="822">
        <f>+InputY!U194/1000</f>
        <v>284.81200000000001</v>
      </c>
      <c r="V257" s="822">
        <f>+InputY!V194/1000</f>
        <v>334.29199999999997</v>
      </c>
      <c r="W257" s="822">
        <f>+InputY!W194/1000</f>
        <v>352.69600000000003</v>
      </c>
      <c r="X257" s="822">
        <f>+InputY!X194/1000</f>
        <v>351.03100000000001</v>
      </c>
      <c r="Y257" s="822">
        <f>+InputY!Y194/1000</f>
        <v>370.10899999999998</v>
      </c>
      <c r="Z257" s="822">
        <f>+InputY!Z194/1000</f>
        <v>407.18900000000002</v>
      </c>
      <c r="AA257" s="822">
        <f>+InputY!AA194/1000</f>
        <v>405.35700000000003</v>
      </c>
      <c r="AB257" s="822">
        <f>+InputY!AB194/1000</f>
        <v>430.17599999999999</v>
      </c>
      <c r="AC257" s="822">
        <f>+InputY!AC194/1000</f>
        <v>431.91500000000002</v>
      </c>
      <c r="AD257" s="2296">
        <f>+AD253+AD254+AD255+AD256</f>
        <v>448.89665206435512</v>
      </c>
      <c r="AE257" s="2296">
        <f>+AE253+AE254+AE255+AE256</f>
        <v>465.78318751792273</v>
      </c>
      <c r="AF257" s="2296">
        <f>+AF253+AF254+AF255+AF256</f>
        <v>484.74181598693627</v>
      </c>
      <c r="AH257" s="3650" t="s">
        <v>2582</v>
      </c>
      <c r="AI257" s="3413"/>
      <c r="AK257" s="2945"/>
      <c r="BB257" s="3473">
        <v>435.85</v>
      </c>
      <c r="BC257" s="736">
        <f t="shared" si="280"/>
        <v>-5.674000000000035</v>
      </c>
    </row>
    <row r="258" spans="1:56" s="1044" customFormat="1" ht="12.75">
      <c r="A258" s="701"/>
      <c r="B258" s="1036"/>
      <c r="C258" s="1045"/>
      <c r="D258" s="1046"/>
      <c r="E258" s="1051" t="s">
        <v>1619</v>
      </c>
      <c r="F258" s="1046" t="s">
        <v>976</v>
      </c>
      <c r="G258" s="1052">
        <f>+Labour1!G167</f>
        <v>128.02600000000007</v>
      </c>
      <c r="H258" s="1052">
        <f>+Labour1!H167</f>
        <v>135.70899999999995</v>
      </c>
      <c r="I258" s="1052">
        <f>+Labour1!I167</f>
        <v>144.93799999999999</v>
      </c>
      <c r="J258" s="1052">
        <f>+Labour1!J167</f>
        <v>103.29399999999998</v>
      </c>
      <c r="K258" s="1052">
        <f>+Labour1!K167</f>
        <v>112.12900000000002</v>
      </c>
      <c r="L258" s="1052">
        <f>+Labour1!L167</f>
        <v>148.19299999999998</v>
      </c>
      <c r="M258" s="1052">
        <f>+Labour1!M167</f>
        <v>169.11999999999989</v>
      </c>
      <c r="N258" s="1052">
        <f>+Labour1!N167</f>
        <v>177.06299999999999</v>
      </c>
      <c r="O258" s="1052">
        <f>+Labour1!O167</f>
        <v>193.09500000000003</v>
      </c>
      <c r="P258" s="1052">
        <f>+Labour1!P167</f>
        <v>206.84000000000015</v>
      </c>
      <c r="Q258" s="1052">
        <f>+Labour1!Q167</f>
        <v>211.07899999999995</v>
      </c>
      <c r="R258" s="1052">
        <f>+Labour1!R167</f>
        <v>214.01299999999992</v>
      </c>
      <c r="S258" s="1052">
        <f>+Labour1!S167</f>
        <v>242.23500000000013</v>
      </c>
      <c r="T258" s="1052">
        <f>+Labour1!T167</f>
        <v>246.73000000000002</v>
      </c>
      <c r="U258" s="1052">
        <f>+Labour1!U167</f>
        <v>246.08899999999994</v>
      </c>
      <c r="V258" s="1052">
        <f>+Labour1!V167</f>
        <v>253.58400000000006</v>
      </c>
      <c r="W258" s="1052">
        <f>+Labour1!W167</f>
        <v>270.86800000000017</v>
      </c>
      <c r="X258" s="1052">
        <f>+Labour1!X167</f>
        <v>285.2940000000001</v>
      </c>
      <c r="Y258" s="1052">
        <f>+Labour1!Y167</f>
        <v>297.65599999999995</v>
      </c>
      <c r="Z258" s="1052">
        <f>+Labour1!Z167</f>
        <v>309.92099999999982</v>
      </c>
      <c r="AA258" s="1052">
        <f>+Labour1!AA167</f>
        <v>325.36200000000008</v>
      </c>
      <c r="AB258" s="1052">
        <f>+Labour1!AB167</f>
        <v>341.83599999999979</v>
      </c>
      <c r="AC258" s="1052">
        <f>+Labour1!AC167</f>
        <v>353.63700000000017</v>
      </c>
      <c r="AD258" s="2355">
        <f>+Labour1!AD167</f>
        <v>368.26996442460023</v>
      </c>
      <c r="AE258" s="2355">
        <f>+Labour1!AE167</f>
        <v>379.09208409130832</v>
      </c>
      <c r="AF258" s="2355">
        <f>+Labour1!AF167</f>
        <v>389.01030613965662</v>
      </c>
      <c r="AG258" s="2945"/>
      <c r="AH258" s="2940"/>
      <c r="AI258" s="2940"/>
      <c r="AJ258" s="2940"/>
      <c r="AK258" s="2940"/>
      <c r="AL258" s="2939"/>
      <c r="AM258" s="2939"/>
      <c r="AN258" s="2939"/>
      <c r="AO258" s="2939"/>
      <c r="AP258" s="2939"/>
      <c r="AQ258" s="2939"/>
      <c r="AR258" s="2945"/>
      <c r="AS258" s="2945"/>
      <c r="AT258" s="2945"/>
      <c r="BB258" s="3536">
        <v>341.80499999999984</v>
      </c>
      <c r="BC258" s="736" t="str">
        <f t="shared" ref="BC258:BC321" si="381">IF(ABS(BB258-AB258)&gt;0.99,AB258-BB258,"")</f>
        <v/>
      </c>
    </row>
    <row r="259" spans="1:56" s="1044" customFormat="1" ht="12.75">
      <c r="A259" s="701"/>
      <c r="B259" s="1036"/>
      <c r="C259" s="1045"/>
      <c r="D259" s="1046"/>
      <c r="E259" s="1051" t="s">
        <v>146</v>
      </c>
      <c r="F259" s="1046" t="s">
        <v>1280</v>
      </c>
      <c r="G259" s="1052">
        <f>+G257-G258</f>
        <v>64.781999999999925</v>
      </c>
      <c r="H259" s="1052">
        <f t="shared" ref="H259:V259" si="382">+H257-H258</f>
        <v>72.04400000000004</v>
      </c>
      <c r="I259" s="1052">
        <f t="shared" si="382"/>
        <v>80.064000000000021</v>
      </c>
      <c r="J259" s="1052">
        <f t="shared" si="382"/>
        <v>92.500000000000028</v>
      </c>
      <c r="K259" s="1052">
        <f t="shared" si="382"/>
        <v>92.615999999999985</v>
      </c>
      <c r="L259" s="1052">
        <f t="shared" si="382"/>
        <v>99.452000000000027</v>
      </c>
      <c r="M259" s="1052">
        <f t="shared" si="382"/>
        <v>76.461000000000098</v>
      </c>
      <c r="N259" s="1052">
        <f t="shared" si="382"/>
        <v>55.323000000000008</v>
      </c>
      <c r="O259" s="1052">
        <f t="shared" si="382"/>
        <v>51.115999999999985</v>
      </c>
      <c r="P259" s="1052">
        <f t="shared" si="382"/>
        <v>44.786999999999864</v>
      </c>
      <c r="Q259" s="1052">
        <f t="shared" si="382"/>
        <v>39.236000000000047</v>
      </c>
      <c r="R259" s="1052">
        <f t="shared" si="382"/>
        <v>43.480000000000075</v>
      </c>
      <c r="S259" s="1052">
        <f t="shared" si="382"/>
        <v>49.360999999999876</v>
      </c>
      <c r="T259" s="1052">
        <f t="shared" si="382"/>
        <v>65.835999999999956</v>
      </c>
      <c r="U259" s="1052">
        <f t="shared" si="382"/>
        <v>38.72300000000007</v>
      </c>
      <c r="V259" s="1052">
        <f t="shared" si="382"/>
        <v>80.707999999999913</v>
      </c>
      <c r="W259" s="1052">
        <f>+W257-W258</f>
        <v>81.827999999999861</v>
      </c>
      <c r="X259" s="1052">
        <f t="shared" ref="X259:AC259" si="383">+X257-X258</f>
        <v>65.73699999999991</v>
      </c>
      <c r="Y259" s="1052">
        <f t="shared" si="383"/>
        <v>72.453000000000031</v>
      </c>
      <c r="Z259" s="1052">
        <f t="shared" si="383"/>
        <v>97.2680000000002</v>
      </c>
      <c r="AA259" s="1052">
        <f t="shared" si="383"/>
        <v>79.994999999999948</v>
      </c>
      <c r="AB259" s="1052">
        <f t="shared" si="383"/>
        <v>88.340000000000202</v>
      </c>
      <c r="AC259" s="1052">
        <f t="shared" si="383"/>
        <v>78.277999999999849</v>
      </c>
      <c r="AD259" s="2355">
        <f t="shared" ref="AD259" si="384">+AD257-AD258</f>
        <v>80.626687639754891</v>
      </c>
      <c r="AE259" s="2355">
        <f t="shared" ref="AE259:AF259" si="385">+AE257-AE258</f>
        <v>86.691103426614404</v>
      </c>
      <c r="AF259" s="2355">
        <f t="shared" si="385"/>
        <v>95.731509847279654</v>
      </c>
      <c r="AG259" s="2945"/>
      <c r="AH259" s="2945"/>
      <c r="AI259" s="2945"/>
      <c r="AJ259" s="2945"/>
      <c r="AK259" s="2945"/>
      <c r="AL259" s="2939"/>
      <c r="AM259" s="2939"/>
      <c r="AN259" s="2939"/>
      <c r="AO259" s="2939"/>
      <c r="AP259" s="2939"/>
      <c r="AQ259" s="2939"/>
      <c r="AR259" s="2945"/>
      <c r="AS259" s="2945"/>
      <c r="AT259" s="2945"/>
      <c r="BB259" s="3536">
        <v>94.045000000000186</v>
      </c>
      <c r="BC259" s="736">
        <f t="shared" si="381"/>
        <v>-5.7049999999999841</v>
      </c>
    </row>
    <row r="260" spans="1:56" s="2032" customFormat="1" ht="12.75" customHeight="1">
      <c r="A260" s="1036"/>
      <c r="B260" s="1036"/>
      <c r="C260" s="1647"/>
      <c r="D260" s="1051"/>
      <c r="E260" s="2033" t="s">
        <v>90</v>
      </c>
      <c r="F260" s="2034"/>
      <c r="G260" s="1040">
        <f>ABS(+G253+G254+G255+G256-G257)</f>
        <v>0</v>
      </c>
      <c r="H260" s="1040">
        <f t="shared" ref="H260:Q260" si="386">ABS(+H253+H254+H255+H256-H257)</f>
        <v>0</v>
      </c>
      <c r="I260" s="1040">
        <f t="shared" si="386"/>
        <v>0</v>
      </c>
      <c r="J260" s="1040">
        <f t="shared" si="386"/>
        <v>2.8421709430404007E-14</v>
      </c>
      <c r="K260" s="1040">
        <f t="shared" si="386"/>
        <v>2.8421709430404007E-14</v>
      </c>
      <c r="L260" s="1040">
        <f t="shared" si="386"/>
        <v>0</v>
      </c>
      <c r="M260" s="1040">
        <f t="shared" si="386"/>
        <v>0</v>
      </c>
      <c r="N260" s="1040">
        <f t="shared" si="386"/>
        <v>0</v>
      </c>
      <c r="O260" s="1040">
        <f t="shared" si="386"/>
        <v>2.8421709430404007E-14</v>
      </c>
      <c r="P260" s="1040">
        <f t="shared" si="386"/>
        <v>2.8421709430404007E-14</v>
      </c>
      <c r="Q260" s="1040">
        <f t="shared" si="386"/>
        <v>2.8421709430404007E-14</v>
      </c>
      <c r="R260" s="1040">
        <f t="shared" ref="R260:W260" si="387">ABS(+R253+R254+R255+R256-R257)</f>
        <v>0</v>
      </c>
      <c r="S260" s="1040">
        <f t="shared" si="387"/>
        <v>0</v>
      </c>
      <c r="T260" s="1040">
        <f t="shared" si="387"/>
        <v>0</v>
      </c>
      <c r="U260" s="1040">
        <f t="shared" si="387"/>
        <v>0</v>
      </c>
      <c r="V260" s="1040">
        <f t="shared" si="387"/>
        <v>5.6843418860808015E-14</v>
      </c>
      <c r="W260" s="1040">
        <f t="shared" si="387"/>
        <v>5.6843418860808015E-14</v>
      </c>
      <c r="X260" s="1040">
        <f t="shared" ref="X260:AC260" si="388">ABS(+X253+X254+X255+X256-X257)</f>
        <v>0</v>
      </c>
      <c r="Y260" s="1040">
        <f t="shared" si="388"/>
        <v>0</v>
      </c>
      <c r="Z260" s="1040">
        <f t="shared" si="388"/>
        <v>0</v>
      </c>
      <c r="AA260" s="1040">
        <f t="shared" si="388"/>
        <v>5.6843418860808015E-14</v>
      </c>
      <c r="AB260" s="1040">
        <f t="shared" si="388"/>
        <v>0</v>
      </c>
      <c r="AC260" s="1040">
        <f t="shared" si="388"/>
        <v>5.6843418860808015E-14</v>
      </c>
      <c r="AD260" s="2999">
        <f t="shared" ref="AD260" si="389">ABS(+AD253+AD254+AD255+AD256-AD257)</f>
        <v>0</v>
      </c>
      <c r="AE260" s="2999">
        <f t="shared" ref="AE260:AF260" si="390">ABS(+AE253+AE254+AE255+AE256-AE257)</f>
        <v>0</v>
      </c>
      <c r="AF260" s="2999">
        <f t="shared" si="390"/>
        <v>0</v>
      </c>
      <c r="AG260" s="2940"/>
      <c r="AH260" s="2940"/>
      <c r="AI260" s="2940"/>
      <c r="AJ260" s="2940"/>
      <c r="AK260" s="2940"/>
      <c r="AL260" s="2939"/>
      <c r="AM260" s="2939"/>
      <c r="AN260" s="2939"/>
      <c r="AO260" s="2939"/>
      <c r="AP260" s="2939"/>
      <c r="AQ260" s="2939"/>
      <c r="AR260" s="2940"/>
      <c r="AS260" s="2940"/>
      <c r="AT260" s="2940"/>
      <c r="BB260" s="3496">
        <v>16.826000000000022</v>
      </c>
      <c r="BC260" s="736">
        <f t="shared" si="381"/>
        <v>-16.826000000000022</v>
      </c>
    </row>
    <row r="261" spans="1:56">
      <c r="A261" s="701"/>
      <c r="B261" s="701"/>
      <c r="Q261" s="882"/>
      <c r="R261" s="882"/>
      <c r="S261" s="882"/>
      <c r="T261" s="882"/>
      <c r="U261" s="882"/>
      <c r="V261" s="882"/>
      <c r="W261" s="3724">
        <f t="shared" ref="W261:AC261" si="391">W205</f>
        <v>3.8940367055789515E-2</v>
      </c>
      <c r="X261" s="3724">
        <f t="shared" si="391"/>
        <v>7.6011125791202172E-3</v>
      </c>
      <c r="Y261" s="3724">
        <f t="shared" si="391"/>
        <v>2.3060714240210611E-2</v>
      </c>
      <c r="Z261" s="3724">
        <f t="shared" si="391"/>
        <v>4.4247138069799297E-2</v>
      </c>
      <c r="AA261" s="3724">
        <f t="shared" si="391"/>
        <v>6.6131174787644964E-2</v>
      </c>
      <c r="AB261" s="3724">
        <f t="shared" si="391"/>
        <v>4.3782486576955382E-2</v>
      </c>
      <c r="AC261" s="3724">
        <f t="shared" si="391"/>
        <v>4.4100360802891814E-2</v>
      </c>
      <c r="AD261" s="3724">
        <f ca="1">AD205</f>
        <v>4.8980364670283993E-2</v>
      </c>
      <c r="AE261" s="3724">
        <f t="shared" ref="AE261:AF261" ca="1" si="392">AE205</f>
        <v>3.7812749119215061E-2</v>
      </c>
      <c r="AF261" s="3724">
        <f t="shared" ca="1" si="392"/>
        <v>3.5451641625984909E-2</v>
      </c>
      <c r="AG261" s="2945"/>
      <c r="AH261" s="743"/>
      <c r="AI261" s="743"/>
      <c r="AJ261" s="743"/>
      <c r="AK261" s="2945"/>
      <c r="AL261" s="2945"/>
      <c r="BC261" s="736" t="str">
        <f t="shared" si="381"/>
        <v/>
      </c>
    </row>
    <row r="262" spans="1:56" ht="12.75" customHeight="1">
      <c r="A262" s="701"/>
      <c r="B262" s="701"/>
      <c r="C262" s="811"/>
      <c r="D262" s="779"/>
      <c r="E262" s="780" t="s">
        <v>1883</v>
      </c>
      <c r="F262" s="781"/>
      <c r="G262" s="782">
        <f>+InputY!$G$3</f>
        <v>1995</v>
      </c>
      <c r="H262" s="782">
        <f>+G262+1</f>
        <v>1996</v>
      </c>
      <c r="I262" s="782">
        <f t="shared" ref="I262:O262" si="393">+H262+1</f>
        <v>1997</v>
      </c>
      <c r="J262" s="782">
        <f t="shared" si="393"/>
        <v>1998</v>
      </c>
      <c r="K262" s="782">
        <f t="shared" si="393"/>
        <v>1999</v>
      </c>
      <c r="L262" s="782">
        <f t="shared" si="393"/>
        <v>2000</v>
      </c>
      <c r="M262" s="782">
        <f t="shared" si="393"/>
        <v>2001</v>
      </c>
      <c r="N262" s="782">
        <f t="shared" si="393"/>
        <v>2002</v>
      </c>
      <c r="O262" s="782">
        <f t="shared" si="393"/>
        <v>2003</v>
      </c>
      <c r="P262" s="782">
        <f>+O262+1</f>
        <v>2004</v>
      </c>
      <c r="Q262" s="782">
        <f>+P262+1</f>
        <v>2005</v>
      </c>
      <c r="R262" s="782">
        <f>+Q262+1</f>
        <v>2006</v>
      </c>
      <c r="S262" s="782">
        <f>+R262+1</f>
        <v>2007</v>
      </c>
      <c r="T262" s="782">
        <f t="shared" ref="T262:AF262" si="394">+S262+1</f>
        <v>2008</v>
      </c>
      <c r="U262" s="782">
        <f t="shared" si="394"/>
        <v>2009</v>
      </c>
      <c r="V262" s="782">
        <f t="shared" si="394"/>
        <v>2010</v>
      </c>
      <c r="W262" s="782">
        <f t="shared" si="394"/>
        <v>2011</v>
      </c>
      <c r="X262" s="2272">
        <f t="shared" si="394"/>
        <v>2012</v>
      </c>
      <c r="Y262" s="2272">
        <f t="shared" si="394"/>
        <v>2013</v>
      </c>
      <c r="Z262" s="2272">
        <f t="shared" si="394"/>
        <v>2014</v>
      </c>
      <c r="AA262" s="2272">
        <f t="shared" si="394"/>
        <v>2015</v>
      </c>
      <c r="AB262" s="2272">
        <f t="shared" si="394"/>
        <v>2016</v>
      </c>
      <c r="AC262" s="2272">
        <f t="shared" si="394"/>
        <v>2017</v>
      </c>
      <c r="AD262" s="2272">
        <f t="shared" si="394"/>
        <v>2018</v>
      </c>
      <c r="AE262" s="2272">
        <f t="shared" si="394"/>
        <v>2019</v>
      </c>
      <c r="AF262" s="2272">
        <f t="shared" si="394"/>
        <v>2020</v>
      </c>
      <c r="AG262" s="2940"/>
      <c r="AH262" s="3643">
        <v>2018</v>
      </c>
      <c r="AI262" s="3643">
        <f>AH262+1</f>
        <v>2019</v>
      </c>
      <c r="AJ262" s="3643">
        <f>AI262+1</f>
        <v>2020</v>
      </c>
      <c r="AK262" s="2940"/>
      <c r="AL262" s="2940"/>
      <c r="BB262" s="3476">
        <v>2016</v>
      </c>
      <c r="BC262" s="736" t="str">
        <f t="shared" si="381"/>
        <v/>
      </c>
    </row>
    <row r="263" spans="1:56" ht="12.75" customHeight="1">
      <c r="A263" s="701"/>
      <c r="B263" s="701"/>
      <c r="C263" s="831" t="s">
        <v>1791</v>
      </c>
      <c r="D263" s="726" t="s">
        <v>666</v>
      </c>
      <c r="E263" s="775" t="s">
        <v>2034</v>
      </c>
      <c r="F263" s="770" t="s">
        <v>450</v>
      </c>
      <c r="G263" s="776"/>
      <c r="H263" s="776">
        <f t="shared" ref="H263:H271" si="395">(H251/G251-1)*100</f>
        <v>12.681967857669441</v>
      </c>
      <c r="I263" s="776">
        <f t="shared" ref="I263:AC263" si="396">(I251/H251-1)*100</f>
        <v>10.538482339907706</v>
      </c>
      <c r="J263" s="776">
        <f t="shared" si="396"/>
        <v>-22.588740352593952</v>
      </c>
      <c r="K263" s="776">
        <f t="shared" si="396"/>
        <v>-1.325259445020821E-2</v>
      </c>
      <c r="L263" s="776">
        <f t="shared" si="396"/>
        <v>21.714705192646889</v>
      </c>
      <c r="M263" s="776">
        <f t="shared" si="396"/>
        <v>-5.4967791655148872</v>
      </c>
      <c r="N263" s="776">
        <f t="shared" si="396"/>
        <v>-12.627529538987915</v>
      </c>
      <c r="O263" s="776">
        <f t="shared" si="396"/>
        <v>3.1256657637641849</v>
      </c>
      <c r="P263" s="776">
        <f t="shared" si="396"/>
        <v>2.4938023846063029</v>
      </c>
      <c r="Q263" s="776">
        <f t="shared" si="396"/>
        <v>-5.3307994279516713</v>
      </c>
      <c r="R263" s="776">
        <f t="shared" si="396"/>
        <v>-4.7134326239696716</v>
      </c>
      <c r="S263" s="776">
        <f t="shared" si="396"/>
        <v>8.2705566905005199</v>
      </c>
      <c r="T263" s="776">
        <f t="shared" si="396"/>
        <v>5.6094421022632401</v>
      </c>
      <c r="U263" s="776">
        <f t="shared" si="396"/>
        <v>-0.3275485041641546</v>
      </c>
      <c r="V263" s="776">
        <f t="shared" si="396"/>
        <v>1.9558783714395123</v>
      </c>
      <c r="W263" s="776">
        <f t="shared" si="396"/>
        <v>8.4334480990403637</v>
      </c>
      <c r="X263" s="776">
        <f t="shared" si="396"/>
        <v>0.61139353814452235</v>
      </c>
      <c r="Y263" s="776">
        <f t="shared" si="396"/>
        <v>2.8503802185627203</v>
      </c>
      <c r="Z263" s="776">
        <f t="shared" si="396"/>
        <v>2.9060373108749982</v>
      </c>
      <c r="AA263" s="776">
        <f t="shared" si="396"/>
        <v>5.0515864519147469</v>
      </c>
      <c r="AB263" s="776">
        <f t="shared" si="396"/>
        <v>4.5920177550974106</v>
      </c>
      <c r="AC263" s="776">
        <f t="shared" si="396"/>
        <v>5.0233847219816496</v>
      </c>
      <c r="AD263" s="3726">
        <f>((AC251*(1+Labour1!AC222/1000))-(AB251*(1+Labour1!AD222/1000)))/(AB251*(1+Labour1!AC222/1000))*100*AH263</f>
        <v>4.5352205245287127</v>
      </c>
      <c r="AE263" s="3726">
        <f>((AD251*(1+Labour1!AD222/1000))-(AC251*(1+Labour1!AE222/1000)))/(AC251*(1+Labour1!AD222/1000))*100*AI263</f>
        <v>4.1566504375683371</v>
      </c>
      <c r="AF263" s="3726">
        <f>((AE251*(1+Labour1!AE222/1000))-(AD251*(1+Labour1!AF222/1000)))/(AD251*(1+Labour1!AE222/1000))*100*AJ263</f>
        <v>3.7642962084051272</v>
      </c>
      <c r="AG263" s="3634"/>
      <c r="AH263" s="776">
        <v>0.9</v>
      </c>
      <c r="AI263" s="776">
        <f>AH263</f>
        <v>0.9</v>
      </c>
      <c r="AJ263" s="776">
        <f>AI263</f>
        <v>0.9</v>
      </c>
      <c r="AK263" s="776" t="s">
        <v>2610</v>
      </c>
      <c r="AL263" s="2945"/>
      <c r="AN263" s="2945"/>
      <c r="AO263" s="2945"/>
      <c r="AP263" s="2945"/>
      <c r="AQ263" s="2945"/>
      <c r="BB263" s="3477">
        <v>4.479936357262293</v>
      </c>
      <c r="BC263" s="736" t="str">
        <f t="shared" si="381"/>
        <v/>
      </c>
    </row>
    <row r="264" spans="1:56" ht="12.75" customHeight="1">
      <c r="A264" s="701"/>
      <c r="B264" s="701"/>
      <c r="C264" s="832" t="s">
        <v>1791</v>
      </c>
      <c r="D264" s="711" t="s">
        <v>666</v>
      </c>
      <c r="E264" s="820" t="s">
        <v>2035</v>
      </c>
      <c r="F264" s="741" t="s">
        <v>1548</v>
      </c>
      <c r="G264" s="743"/>
      <c r="H264" s="743">
        <f t="shared" si="395"/>
        <v>3.2048169369719437</v>
      </c>
      <c r="I264" s="743">
        <f t="shared" ref="I264:AC271" si="397">(I252/H252-1)*100</f>
        <v>-5.5236661334337249</v>
      </c>
      <c r="J264" s="743">
        <f t="shared" si="397"/>
        <v>-76.274900398406359</v>
      </c>
      <c r="K264" s="743">
        <f t="shared" si="397"/>
        <v>11.125104953820308</v>
      </c>
      <c r="L264" s="743">
        <f t="shared" si="397"/>
        <v>-0.34000755572345387</v>
      </c>
      <c r="M264" s="743">
        <f t="shared" si="397"/>
        <v>7.733131159969675</v>
      </c>
      <c r="N264" s="743">
        <f t="shared" si="397"/>
        <v>7.9873328641801411</v>
      </c>
      <c r="O264" s="743">
        <f t="shared" si="397"/>
        <v>5.8651026392961825</v>
      </c>
      <c r="P264" s="743">
        <f t="shared" si="397"/>
        <v>4.58602646968298</v>
      </c>
      <c r="Q264" s="743">
        <f t="shared" si="397"/>
        <v>8.4167157151265428</v>
      </c>
      <c r="R264" s="743">
        <f t="shared" si="397"/>
        <v>2.7144408251900121</v>
      </c>
      <c r="S264" s="743">
        <f t="shared" si="397"/>
        <v>4.3076109936575069</v>
      </c>
      <c r="T264" s="743">
        <f t="shared" si="397"/>
        <v>7.0686597415758889</v>
      </c>
      <c r="U264" s="743">
        <f t="shared" si="397"/>
        <v>7.2172266919072303</v>
      </c>
      <c r="V264" s="743">
        <f t="shared" si="397"/>
        <v>3.9064224233061218</v>
      </c>
      <c r="W264" s="743">
        <f t="shared" si="397"/>
        <v>7.4129141886151162</v>
      </c>
      <c r="X264" s="743">
        <f t="shared" si="397"/>
        <v>6.7629029068617674</v>
      </c>
      <c r="Y264" s="743">
        <f t="shared" si="397"/>
        <v>1.963326541952215</v>
      </c>
      <c r="Z264" s="743">
        <f t="shared" si="397"/>
        <v>8.7193460490463401</v>
      </c>
      <c r="AA264" s="743">
        <f t="shared" si="397"/>
        <v>11.829573934837079</v>
      </c>
      <c r="AB264" s="743">
        <f t="shared" si="397"/>
        <v>6.5292096219931262</v>
      </c>
      <c r="AC264" s="743">
        <f t="shared" si="397"/>
        <v>5.1612903225806583</v>
      </c>
      <c r="AD264" s="2276">
        <v>4.0999999999999996</v>
      </c>
      <c r="AE264" s="2276">
        <v>3.74</v>
      </c>
      <c r="AF264" s="2276">
        <v>3.74</v>
      </c>
      <c r="AG264" s="3648" t="s">
        <v>2576</v>
      </c>
      <c r="AH264" s="3638"/>
      <c r="AI264" s="3638"/>
      <c r="AJ264" s="3638"/>
      <c r="AK264" s="3641"/>
      <c r="AL264" s="2940"/>
      <c r="AM264" s="2945"/>
      <c r="AN264" s="2945"/>
      <c r="AO264" s="2945"/>
      <c r="AP264" s="2945"/>
      <c r="AQ264" s="2945"/>
      <c r="BB264" s="3472">
        <v>10.888123408716499</v>
      </c>
      <c r="BC264" s="736">
        <f t="shared" si="381"/>
        <v>-4.3589137867233729</v>
      </c>
    </row>
    <row r="265" spans="1:56" ht="12.75" customHeight="1">
      <c r="A265" s="701"/>
      <c r="B265" s="701"/>
      <c r="C265" s="832" t="s">
        <v>1793</v>
      </c>
      <c r="D265" s="3721" t="s">
        <v>666</v>
      </c>
      <c r="E265" s="3715" t="s">
        <v>821</v>
      </c>
      <c r="F265" s="3716" t="s">
        <v>153</v>
      </c>
      <c r="G265" s="3717"/>
      <c r="H265" s="3717">
        <f t="shared" si="395"/>
        <v>11.810911168237649</v>
      </c>
      <c r="I265" s="3717">
        <f t="shared" si="397"/>
        <v>9.1758206667518216</v>
      </c>
      <c r="J265" s="3717">
        <f t="shared" si="397"/>
        <v>-26.530075023033394</v>
      </c>
      <c r="K265" s="3717">
        <f t="shared" si="397"/>
        <v>0.25080616266572875</v>
      </c>
      <c r="L265" s="3717">
        <f t="shared" si="397"/>
        <v>21.135136208402816</v>
      </c>
      <c r="M265" s="3717">
        <f t="shared" si="397"/>
        <v>-5.2107493218158218</v>
      </c>
      <c r="N265" s="3717">
        <f t="shared" si="397"/>
        <v>-12.120976318315035</v>
      </c>
      <c r="O265" s="3717">
        <f t="shared" si="397"/>
        <v>3.2083825265643462</v>
      </c>
      <c r="P265" s="3717">
        <f t="shared" si="397"/>
        <v>2.5586028731851895</v>
      </c>
      <c r="Q265" s="3717">
        <f t="shared" si="397"/>
        <v>-4.8965933912720194</v>
      </c>
      <c r="R265" s="3718">
        <f t="shared" si="397"/>
        <v>-4.4459864929581538</v>
      </c>
      <c r="S265" s="3718">
        <f t="shared" si="397"/>
        <v>8.117175353899043</v>
      </c>
      <c r="T265" s="3718">
        <f t="shared" si="397"/>
        <v>5.6639294634072357</v>
      </c>
      <c r="U265" s="3718">
        <f t="shared" si="397"/>
        <v>-4.2080382483811185E-2</v>
      </c>
      <c r="V265" s="3718">
        <f t="shared" si="397"/>
        <v>2.0350399484074355</v>
      </c>
      <c r="W265" s="3717">
        <f t="shared" si="397"/>
        <v>8.3912707609115511</v>
      </c>
      <c r="X265" s="3717">
        <f t="shared" ref="X265" si="398">(X253/W253-1)*100</f>
        <v>0.86333265843288043</v>
      </c>
      <c r="Y265" s="3717">
        <f t="shared" ref="Y265" si="399">(Y253/X253-1)*100</f>
        <v>2.8119253900322105</v>
      </c>
      <c r="Z265" s="3717">
        <f t="shared" ref="Z265" si="400">(Z253/Y253-1)*100</f>
        <v>3.1559710409784225</v>
      </c>
      <c r="AA265" s="3717">
        <f t="shared" ref="AA265" si="401">(AA253/Z253-1)*100</f>
        <v>5.3587111232246132</v>
      </c>
      <c r="AB265" s="3717">
        <f t="shared" ref="AB265" si="402">(AB253/AA253-1)*100</f>
        <v>4.6851870481884328</v>
      </c>
      <c r="AC265" s="3717">
        <f t="shared" ref="AC265" si="403">(AC253/AB253-1)*100</f>
        <v>5.0301341277577238</v>
      </c>
      <c r="AD265" s="3723">
        <f t="shared" ref="AD265:AF265" si="404">(AD253/AC253-1)*100</f>
        <v>4.5138932681865418</v>
      </c>
      <c r="AE265" s="3723">
        <f t="shared" si="404"/>
        <v>4.136314033299171</v>
      </c>
      <c r="AF265" s="3723">
        <f t="shared" si="404"/>
        <v>3.7631148413085125</v>
      </c>
      <c r="AG265" s="2945"/>
      <c r="AH265" s="2945"/>
      <c r="AI265" s="2945"/>
      <c r="AJ265" s="2945"/>
      <c r="AK265" s="2945"/>
      <c r="AL265" s="2945"/>
      <c r="AM265" s="2945"/>
      <c r="BB265" s="3537">
        <v>4.7559756136899001</v>
      </c>
      <c r="BC265" s="736" t="str">
        <f t="shared" si="381"/>
        <v/>
      </c>
    </row>
    <row r="266" spans="1:56" ht="12.75" customHeight="1">
      <c r="A266" s="701"/>
      <c r="B266" s="701"/>
      <c r="C266" s="832" t="s">
        <v>1791</v>
      </c>
      <c r="D266" s="711" t="s">
        <v>664</v>
      </c>
      <c r="E266" s="820" t="s">
        <v>821</v>
      </c>
      <c r="F266" s="741" t="s">
        <v>1277</v>
      </c>
      <c r="G266" s="743"/>
      <c r="H266" s="743" t="e">
        <f t="shared" si="395"/>
        <v>#DIV/0!</v>
      </c>
      <c r="I266" s="743" t="e">
        <f t="shared" si="397"/>
        <v>#DIV/0!</v>
      </c>
      <c r="J266" s="743" t="e">
        <f t="shared" si="397"/>
        <v>#DIV/0!</v>
      </c>
      <c r="K266" s="743" t="e">
        <f t="shared" si="397"/>
        <v>#DIV/0!</v>
      </c>
      <c r="L266" s="743" t="e">
        <f t="shared" si="397"/>
        <v>#DIV/0!</v>
      </c>
      <c r="M266" s="743" t="e">
        <f t="shared" si="397"/>
        <v>#DIV/0!</v>
      </c>
      <c r="N266" s="743" t="e">
        <f t="shared" si="397"/>
        <v>#DIV/0!</v>
      </c>
      <c r="O266" s="743" t="e">
        <f t="shared" si="397"/>
        <v>#DIV/0!</v>
      </c>
      <c r="P266" s="743" t="e">
        <f t="shared" si="397"/>
        <v>#DIV/0!</v>
      </c>
      <c r="Q266" s="743" t="e">
        <f t="shared" si="397"/>
        <v>#DIV/0!</v>
      </c>
      <c r="R266" s="743" t="e">
        <f t="shared" si="397"/>
        <v>#DIV/0!</v>
      </c>
      <c r="S266" s="743" t="e">
        <f t="shared" si="397"/>
        <v>#DIV/0!</v>
      </c>
      <c r="T266" s="743" t="e">
        <f t="shared" si="397"/>
        <v>#DIV/0!</v>
      </c>
      <c r="U266" s="743" t="e">
        <f t="shared" si="397"/>
        <v>#DIV/0!</v>
      </c>
      <c r="V266" s="743" t="e">
        <f t="shared" si="397"/>
        <v>#DIV/0!</v>
      </c>
      <c r="W266" s="743" t="e">
        <f t="shared" si="397"/>
        <v>#DIV/0!</v>
      </c>
      <c r="X266" s="743" t="e">
        <f t="shared" si="397"/>
        <v>#DIV/0!</v>
      </c>
      <c r="Y266" s="743" t="e">
        <f t="shared" si="397"/>
        <v>#DIV/0!</v>
      </c>
      <c r="Z266" s="743" t="e">
        <f t="shared" si="397"/>
        <v>#DIV/0!</v>
      </c>
      <c r="AA266" s="743" t="e">
        <f t="shared" si="397"/>
        <v>#DIV/0!</v>
      </c>
      <c r="AB266" s="743" t="e">
        <f t="shared" si="397"/>
        <v>#DIV/0!</v>
      </c>
      <c r="AC266" s="743" t="e">
        <f t="shared" si="397"/>
        <v>#DIV/0!</v>
      </c>
      <c r="AD266" s="2276">
        <v>0</v>
      </c>
      <c r="AE266" s="2276">
        <v>0</v>
      </c>
      <c r="AF266" s="2276">
        <v>0</v>
      </c>
      <c r="AG266" s="3648" t="s">
        <v>2576</v>
      </c>
      <c r="BB266" s="3472" t="e">
        <v>#DIV/0!</v>
      </c>
      <c r="BC266" s="736" t="e">
        <f t="shared" si="381"/>
        <v>#DIV/0!</v>
      </c>
    </row>
    <row r="267" spans="1:56" ht="12.75" customHeight="1">
      <c r="A267" s="701"/>
      <c r="B267" s="701"/>
      <c r="C267" s="832" t="s">
        <v>1791</v>
      </c>
      <c r="D267" s="711" t="s">
        <v>665</v>
      </c>
      <c r="E267" s="820" t="s">
        <v>821</v>
      </c>
      <c r="F267" s="741" t="s">
        <v>741</v>
      </c>
      <c r="G267" s="743"/>
      <c r="H267" s="743">
        <f t="shared" si="395"/>
        <v>2.1471670528180775</v>
      </c>
      <c r="I267" s="743">
        <f t="shared" si="397"/>
        <v>6.8980156227257172</v>
      </c>
      <c r="J267" s="743">
        <f t="shared" si="397"/>
        <v>7.9393176067445115</v>
      </c>
      <c r="K267" s="743">
        <f t="shared" si="397"/>
        <v>9.0604238499705669</v>
      </c>
      <c r="L267" s="743">
        <f t="shared" si="397"/>
        <v>20.794818163416771</v>
      </c>
      <c r="M267" s="743">
        <f t="shared" si="397"/>
        <v>3.3306468987639892</v>
      </c>
      <c r="N267" s="743">
        <f t="shared" si="397"/>
        <v>0.57145063515966488</v>
      </c>
      <c r="O267" s="743">
        <f t="shared" si="397"/>
        <v>6.6464468076937733</v>
      </c>
      <c r="P267" s="743">
        <f t="shared" si="397"/>
        <v>3.4242679511271357</v>
      </c>
      <c r="Q267" s="743">
        <f t="shared" si="397"/>
        <v>2.6982812032273484</v>
      </c>
      <c r="R267" s="743">
        <f t="shared" si="397"/>
        <v>7.8855500498227427</v>
      </c>
      <c r="S267" s="743">
        <f t="shared" si="397"/>
        <v>16.259518962527331</v>
      </c>
      <c r="T267" s="743">
        <f t="shared" si="397"/>
        <v>7.9180042586767918</v>
      </c>
      <c r="U267" s="743">
        <f t="shared" si="397"/>
        <v>-13.965996444399931</v>
      </c>
      <c r="V267" s="743">
        <f t="shared" si="397"/>
        <v>27.456241959987658</v>
      </c>
      <c r="W267" s="743">
        <f t="shared" si="397"/>
        <v>4.0627312002776694</v>
      </c>
      <c r="X267" s="743">
        <f t="shared" si="397"/>
        <v>-1.2283750691207906</v>
      </c>
      <c r="Y267" s="743">
        <f t="shared" si="397"/>
        <v>6.9371687038740193</v>
      </c>
      <c r="Z267" s="743">
        <f t="shared" si="397"/>
        <v>13.692266781897654</v>
      </c>
      <c r="AA267" s="743">
        <f t="shared" si="397"/>
        <v>-3.1407374922340359</v>
      </c>
      <c r="AB267" s="743">
        <f t="shared" si="397"/>
        <v>7.07979293379013</v>
      </c>
      <c r="AC267" s="743">
        <f t="shared" si="397"/>
        <v>-1.9147286821705523</v>
      </c>
      <c r="AD267" s="2276">
        <f>AVERAGE(W267:AC267)</f>
        <v>3.6411597680448713</v>
      </c>
      <c r="AE267" s="2276">
        <f t="shared" ref="AE267:AF267" si="405">AVERAGE(X267:AD267)</f>
        <v>3.5809352777258998</v>
      </c>
      <c r="AF267" s="2276">
        <f t="shared" si="405"/>
        <v>4.2679796129897127</v>
      </c>
      <c r="AG267" s="3649" t="s">
        <v>2589</v>
      </c>
      <c r="AU267" s="2939"/>
      <c r="BB267" s="736"/>
      <c r="BC267" s="3472">
        <v>8.6377514806232689</v>
      </c>
      <c r="BD267" s="736">
        <f>IF(ABS(BC267-AB267)&gt;0.99,AB267-BC267,"")</f>
        <v>-1.5579585468331389</v>
      </c>
    </row>
    <row r="268" spans="1:56" ht="12.75" customHeight="1">
      <c r="A268" s="701"/>
      <c r="B268" s="701"/>
      <c r="C268" s="833" t="s">
        <v>1791</v>
      </c>
      <c r="D268" s="728" t="s">
        <v>667</v>
      </c>
      <c r="E268" s="834" t="s">
        <v>230</v>
      </c>
      <c r="F268" s="773" t="s">
        <v>231</v>
      </c>
      <c r="G268" s="778"/>
      <c r="H268" s="778">
        <f t="shared" si="395"/>
        <v>-30.76923076923077</v>
      </c>
      <c r="I268" s="778">
        <f t="shared" si="397"/>
        <v>151.11111111111111</v>
      </c>
      <c r="J268" s="778">
        <f t="shared" si="397"/>
        <v>68.141592920353972</v>
      </c>
      <c r="K268" s="778">
        <f t="shared" si="397"/>
        <v>42.105263157894733</v>
      </c>
      <c r="L268" s="778">
        <f t="shared" si="397"/>
        <v>13.703703703703685</v>
      </c>
      <c r="M268" s="778">
        <f t="shared" si="397"/>
        <v>39.087947882736152</v>
      </c>
      <c r="N268" s="778">
        <f t="shared" si="397"/>
        <v>19.672131147540984</v>
      </c>
      <c r="O268" s="778">
        <f t="shared" si="397"/>
        <v>-18.003913894324864</v>
      </c>
      <c r="P268" s="778">
        <f t="shared" si="397"/>
        <v>-5.7279236276849606</v>
      </c>
      <c r="Q268" s="778">
        <f t="shared" si="397"/>
        <v>20.253164556962023</v>
      </c>
      <c r="R268" s="778">
        <f t="shared" si="397"/>
        <v>19.789473684210513</v>
      </c>
      <c r="S268" s="778">
        <f t="shared" si="397"/>
        <v>50.790861159929705</v>
      </c>
      <c r="T268" s="778">
        <f t="shared" si="397"/>
        <v>38.694638694638698</v>
      </c>
      <c r="U268" s="778">
        <f t="shared" si="397"/>
        <v>15.210084033613459</v>
      </c>
      <c r="V268" s="778">
        <f t="shared" si="397"/>
        <v>2.8446389496717739</v>
      </c>
      <c r="W268" s="778">
        <f t="shared" si="397"/>
        <v>-3.6170212765957444</v>
      </c>
      <c r="X268" s="778">
        <f t="shared" si="397"/>
        <v>5.0036791758646171</v>
      </c>
      <c r="Y268" s="778">
        <f t="shared" si="397"/>
        <v>-2.5928521373510982</v>
      </c>
      <c r="Z268" s="778">
        <f t="shared" si="397"/>
        <v>6.1151079136690711</v>
      </c>
      <c r="AA268" s="778">
        <f t="shared" si="397"/>
        <v>-21.423728813559329</v>
      </c>
      <c r="AB268" s="778">
        <f t="shared" si="397"/>
        <v>-40.120793787748063</v>
      </c>
      <c r="AC268" s="778">
        <f t="shared" si="397"/>
        <v>-22.334293948126792</v>
      </c>
      <c r="AD268" s="2276">
        <f>AVERAGE(W268:AC268)</f>
        <v>-11.281414696263905</v>
      </c>
      <c r="AE268" s="2276">
        <f t="shared" ref="AE268:AF268" si="406">AVERAGE(X268:AD268)</f>
        <v>-12.376328041930787</v>
      </c>
      <c r="AF268" s="2276">
        <f t="shared" si="406"/>
        <v>-14.859186215901557</v>
      </c>
      <c r="AG268" s="3649" t="s">
        <v>2589</v>
      </c>
      <c r="AU268" s="2939"/>
      <c r="BB268" s="736"/>
      <c r="BC268" s="3492">
        <v>-20.155642023346299</v>
      </c>
      <c r="BD268" s="736">
        <f>IF(ABS(BC268-AB268)&gt;0.99,AB268-BC268,"")</f>
        <v>-19.965151764401764</v>
      </c>
    </row>
    <row r="269" spans="1:56" ht="12.75" customHeight="1">
      <c r="A269" s="701"/>
      <c r="B269" s="701"/>
      <c r="C269" s="811" t="s">
        <v>1793</v>
      </c>
      <c r="D269" s="754" t="s">
        <v>664</v>
      </c>
      <c r="E269" s="759" t="s">
        <v>1667</v>
      </c>
      <c r="F269" s="760" t="s">
        <v>658</v>
      </c>
      <c r="G269" s="758"/>
      <c r="H269" s="758">
        <f t="shared" si="395"/>
        <v>7.7512343886145807</v>
      </c>
      <c r="I269" s="758">
        <f t="shared" si="397"/>
        <v>8.3026478558673169</v>
      </c>
      <c r="J269" s="758">
        <f t="shared" si="397"/>
        <v>-12.981217944729384</v>
      </c>
      <c r="K269" s="758">
        <f t="shared" si="397"/>
        <v>4.5716416233388069</v>
      </c>
      <c r="L269" s="758">
        <f t="shared" si="397"/>
        <v>20.952892622530463</v>
      </c>
      <c r="M269" s="758">
        <f t="shared" si="397"/>
        <v>-0.83345110945103329</v>
      </c>
      <c r="N269" s="758">
        <f t="shared" si="397"/>
        <v>-5.3729726648234166</v>
      </c>
      <c r="O269" s="758">
        <f t="shared" si="397"/>
        <v>5.0885165199280546</v>
      </c>
      <c r="P269" s="758">
        <f t="shared" si="397"/>
        <v>3.0367182477447852</v>
      </c>
      <c r="Q269" s="758">
        <f t="shared" si="397"/>
        <v>-0.52140668529212508</v>
      </c>
      <c r="R269" s="758">
        <f t="shared" si="397"/>
        <v>2.8675868405808602</v>
      </c>
      <c r="S269" s="758">
        <f t="shared" si="397"/>
        <v>13.244243532833909</v>
      </c>
      <c r="T269" s="758">
        <f t="shared" si="397"/>
        <v>7.1914566729310403</v>
      </c>
      <c r="U269" s="758">
        <f t="shared" si="397"/>
        <v>-8.8794046697337379</v>
      </c>
      <c r="V269" s="758">
        <f t="shared" si="397"/>
        <v>17.37286350294227</v>
      </c>
      <c r="W269" s="758">
        <f t="shared" si="397"/>
        <v>5.5053665657569084</v>
      </c>
      <c r="X269" s="758">
        <f t="shared" ref="X269:X271" si="407">(X257/W257-1)*100</f>
        <v>-0.47207793680676957</v>
      </c>
      <c r="Y269" s="758">
        <f t="shared" ref="Y269:Y271" si="408">(Y257/X257-1)*100</f>
        <v>5.4348476345393859</v>
      </c>
      <c r="Z269" s="758">
        <f t="shared" ref="Z269:Z271" si="409">(Z257/Y257-1)*100</f>
        <v>10.018670175542898</v>
      </c>
      <c r="AA269" s="758">
        <f t="shared" ref="AA269:AA271" si="410">(AA257/Z257-1)*100</f>
        <v>-0.44991392203620473</v>
      </c>
      <c r="AB269" s="758">
        <f t="shared" ref="AB269:AB271" si="411">(AB257/AA257-1)*100</f>
        <v>6.1227510564761278</v>
      </c>
      <c r="AC269" s="758">
        <f t="shared" ref="AC269:AC271" si="412">(AC257/AB257-1)*100</f>
        <v>0.40425314289966874</v>
      </c>
      <c r="AD269" s="2282">
        <f t="shared" ref="AD269:AF271" si="413">(AD257/AC257-1)*100</f>
        <v>3.9317115785177936</v>
      </c>
      <c r="AE269" s="2282">
        <f t="shared" si="413"/>
        <v>3.7617869003724991</v>
      </c>
      <c r="AF269" s="2282">
        <f t="shared" si="413"/>
        <v>4.0702689528234748</v>
      </c>
      <c r="AG269" s="2945"/>
      <c r="AU269" s="2939"/>
      <c r="BB269" s="736"/>
      <c r="BC269" s="3537">
        <v>7.1996025362907057</v>
      </c>
      <c r="BD269" s="736">
        <f>IF(ABS(BC269-AB269)&gt;0.99,AB269-BC269,"")</f>
        <v>-1.0768514798145778</v>
      </c>
    </row>
    <row r="270" spans="1:56" s="1044" customFormat="1" ht="12.75">
      <c r="A270" s="1036"/>
      <c r="B270" s="1036"/>
      <c r="C270" s="1045"/>
      <c r="D270" s="1053"/>
      <c r="E270" s="1054" t="s">
        <v>1619</v>
      </c>
      <c r="F270" s="1053" t="s">
        <v>976</v>
      </c>
      <c r="G270" s="1055"/>
      <c r="H270" s="1055">
        <f t="shared" si="395"/>
        <v>6.0011247715306748</v>
      </c>
      <c r="I270" s="1055">
        <f t="shared" si="397"/>
        <v>6.8005806541939329</v>
      </c>
      <c r="J270" s="1055">
        <f t="shared" si="397"/>
        <v>-28.732285528984814</v>
      </c>
      <c r="K270" s="1055">
        <f t="shared" si="397"/>
        <v>8.5532557554166111</v>
      </c>
      <c r="L270" s="1055">
        <f t="shared" si="397"/>
        <v>32.162955167708574</v>
      </c>
      <c r="M270" s="1055">
        <f t="shared" si="397"/>
        <v>14.121449731093861</v>
      </c>
      <c r="N270" s="1055">
        <f t="shared" si="397"/>
        <v>4.6966650898770723</v>
      </c>
      <c r="O270" s="1055">
        <f t="shared" si="397"/>
        <v>9.0544043645482297</v>
      </c>
      <c r="P270" s="1055">
        <f t="shared" si="397"/>
        <v>7.1182578523525386</v>
      </c>
      <c r="Q270" s="1055">
        <f t="shared" si="397"/>
        <v>2.0494101721136193</v>
      </c>
      <c r="R270" s="1055">
        <f t="shared" si="397"/>
        <v>1.3900009001369007</v>
      </c>
      <c r="S270" s="1055">
        <f t="shared" si="397"/>
        <v>13.187049384850557</v>
      </c>
      <c r="T270" s="1055">
        <f t="shared" si="397"/>
        <v>1.8556360558960927</v>
      </c>
      <c r="U270" s="1055">
        <f t="shared" si="397"/>
        <v>-0.25979815993194544</v>
      </c>
      <c r="V270" s="1055">
        <f t="shared" si="397"/>
        <v>3.0456460873911961</v>
      </c>
      <c r="W270" s="1055">
        <f t="shared" si="397"/>
        <v>6.8158874376932799</v>
      </c>
      <c r="X270" s="1055">
        <f t="shared" si="407"/>
        <v>5.3258413692277795</v>
      </c>
      <c r="Y270" s="1055">
        <f t="shared" si="408"/>
        <v>4.3330739517830175</v>
      </c>
      <c r="Z270" s="1055">
        <f t="shared" si="409"/>
        <v>4.1205283951944116</v>
      </c>
      <c r="AA270" s="1055">
        <f t="shared" si="410"/>
        <v>4.9822374088881682</v>
      </c>
      <c r="AB270" s="1055">
        <f t="shared" si="411"/>
        <v>5.0632833582285874</v>
      </c>
      <c r="AC270" s="1055">
        <f t="shared" si="412"/>
        <v>3.4522402555612564</v>
      </c>
      <c r="AD270" s="2356">
        <f t="shared" si="413"/>
        <v>4.1378488180252804</v>
      </c>
      <c r="AE270" s="2356">
        <f t="shared" si="413"/>
        <v>2.9386376061422803</v>
      </c>
      <c r="AF270" s="2356">
        <f t="shared" si="413"/>
        <v>2.616309457403343</v>
      </c>
      <c r="AG270" s="2940"/>
      <c r="AH270" s="2939"/>
      <c r="AI270" s="2939"/>
      <c r="AJ270" s="2939"/>
      <c r="AK270" s="2939"/>
      <c r="AL270" s="2939"/>
      <c r="AM270" s="2939"/>
      <c r="AN270" s="2939"/>
      <c r="AO270" s="2939"/>
      <c r="AP270" s="2939"/>
      <c r="AQ270" s="2939"/>
      <c r="AR270" s="2945"/>
      <c r="AS270" s="2945"/>
      <c r="AT270" s="2945"/>
      <c r="AU270" s="2945"/>
      <c r="BC270" s="3538">
        <v>5.0537555092480924</v>
      </c>
      <c r="BD270" s="736" t="str">
        <f>IF(ABS(BC270-AB270)&gt;0.99,AB270-BC270,"")</f>
        <v/>
      </c>
    </row>
    <row r="271" spans="1:56" s="1044" customFormat="1" ht="12.75">
      <c r="A271" s="1036"/>
      <c r="B271" s="1036"/>
      <c r="C271" s="1045"/>
      <c r="D271" s="1053"/>
      <c r="E271" s="1054" t="str">
        <f>+E259</f>
        <v>Implicit employees' social contributions</v>
      </c>
      <c r="F271" s="1053" t="s">
        <v>1280</v>
      </c>
      <c r="G271" s="1055"/>
      <c r="H271" s="1055">
        <f t="shared" si="395"/>
        <v>11.209903985675229</v>
      </c>
      <c r="I271" s="1055">
        <f t="shared" si="397"/>
        <v>11.132085947476501</v>
      </c>
      <c r="J271" s="1055">
        <f t="shared" si="397"/>
        <v>15.532573940847328</v>
      </c>
      <c r="K271" s="1055">
        <f t="shared" si="397"/>
        <v>0.12540540540535439</v>
      </c>
      <c r="L271" s="1055">
        <f t="shared" si="397"/>
        <v>7.3810140796407131</v>
      </c>
      <c r="M271" s="1055">
        <f t="shared" si="397"/>
        <v>-23.117684913324943</v>
      </c>
      <c r="N271" s="1055">
        <f t="shared" si="397"/>
        <v>-27.645466316161261</v>
      </c>
      <c r="O271" s="1055">
        <f t="shared" si="397"/>
        <v>-7.6044321529924686</v>
      </c>
      <c r="P271" s="1055">
        <f t="shared" si="397"/>
        <v>-12.381641756006189</v>
      </c>
      <c r="Q271" s="1055">
        <f t="shared" si="397"/>
        <v>-12.39422153749935</v>
      </c>
      <c r="R271" s="1055">
        <f t="shared" si="397"/>
        <v>10.816597002752637</v>
      </c>
      <c r="S271" s="1055">
        <f t="shared" si="397"/>
        <v>13.525758969640744</v>
      </c>
      <c r="T271" s="1055">
        <f t="shared" si="397"/>
        <v>33.376552338891273</v>
      </c>
      <c r="U271" s="1055">
        <f t="shared" si="397"/>
        <v>-41.182635640075191</v>
      </c>
      <c r="V271" s="1055">
        <f t="shared" si="397"/>
        <v>108.42393409601469</v>
      </c>
      <c r="W271" s="1055">
        <f t="shared" si="397"/>
        <v>1.3877186895969951</v>
      </c>
      <c r="X271" s="1055">
        <f t="shared" si="407"/>
        <v>-19.664418047612042</v>
      </c>
      <c r="Y271" s="1055">
        <f t="shared" si="408"/>
        <v>10.216468655399735</v>
      </c>
      <c r="Z271" s="1055">
        <f t="shared" si="409"/>
        <v>34.249789518722707</v>
      </c>
      <c r="AA271" s="1055">
        <f t="shared" si="410"/>
        <v>-17.758152732656384</v>
      </c>
      <c r="AB271" s="1055">
        <f t="shared" si="411"/>
        <v>10.431901993874938</v>
      </c>
      <c r="AC271" s="1055">
        <f t="shared" si="412"/>
        <v>-11.390083767263226</v>
      </c>
      <c r="AD271" s="2356">
        <f t="shared" si="413"/>
        <v>3.0004441091431078</v>
      </c>
      <c r="AE271" s="2356">
        <f t="shared" si="413"/>
        <v>7.5215985728642298</v>
      </c>
      <c r="AF271" s="2356">
        <f t="shared" si="413"/>
        <v>10.428297787578767</v>
      </c>
      <c r="AG271" s="2945"/>
      <c r="AH271" s="2939"/>
      <c r="AI271" s="2939"/>
      <c r="AJ271" s="2939"/>
      <c r="AK271" s="2939"/>
      <c r="AL271" s="2939"/>
      <c r="AM271" s="2939"/>
      <c r="AN271" s="2939"/>
      <c r="AO271" s="2939"/>
      <c r="AP271" s="2939"/>
      <c r="AQ271" s="2939"/>
      <c r="AR271" s="2945"/>
      <c r="AS271" s="2945"/>
      <c r="AT271" s="2945"/>
      <c r="BB271" s="3538">
        <v>15.79614854215956</v>
      </c>
      <c r="BC271" s="736">
        <f t="shared" si="381"/>
        <v>-5.3642465482846227</v>
      </c>
    </row>
    <row r="272" spans="1:56" ht="12.75" customHeight="1">
      <c r="A272" s="701"/>
      <c r="B272" s="701"/>
      <c r="C272" s="811"/>
      <c r="D272" s="736"/>
      <c r="R272" s="880"/>
      <c r="S272" s="880"/>
      <c r="T272" s="880"/>
      <c r="U272" s="880"/>
      <c r="V272" s="880"/>
      <c r="W272" s="880"/>
      <c r="BC272" s="736" t="str">
        <f t="shared" si="381"/>
        <v/>
      </c>
    </row>
    <row r="273" spans="1:55" ht="12.75" customHeight="1">
      <c r="A273" s="701"/>
      <c r="B273" s="701"/>
      <c r="C273" s="811"/>
      <c r="D273" s="855"/>
      <c r="E273" s="852" t="s">
        <v>1765</v>
      </c>
      <c r="F273" s="853"/>
      <c r="G273" s="854">
        <f>+InputY!$G$3</f>
        <v>1995</v>
      </c>
      <c r="H273" s="854">
        <f>+G273+1</f>
        <v>1996</v>
      </c>
      <c r="I273" s="854">
        <f t="shared" ref="I273:O273" si="414">+H273+1</f>
        <v>1997</v>
      </c>
      <c r="J273" s="854">
        <f t="shared" si="414"/>
        <v>1998</v>
      </c>
      <c r="K273" s="854">
        <f t="shared" si="414"/>
        <v>1999</v>
      </c>
      <c r="L273" s="854">
        <f t="shared" si="414"/>
        <v>2000</v>
      </c>
      <c r="M273" s="854">
        <f t="shared" si="414"/>
        <v>2001</v>
      </c>
      <c r="N273" s="854">
        <f t="shared" si="414"/>
        <v>2002</v>
      </c>
      <c r="O273" s="854">
        <f t="shared" si="414"/>
        <v>2003</v>
      </c>
      <c r="P273" s="854">
        <f>+O273+1</f>
        <v>2004</v>
      </c>
      <c r="Q273" s="854">
        <f>+P273+1</f>
        <v>2005</v>
      </c>
      <c r="R273" s="854">
        <f>+Q273+1</f>
        <v>2006</v>
      </c>
      <c r="S273" s="854">
        <f t="shared" ref="S273:Y273" si="415">+R273+1</f>
        <v>2007</v>
      </c>
      <c r="T273" s="854">
        <f t="shared" si="415"/>
        <v>2008</v>
      </c>
      <c r="U273" s="854">
        <f t="shared" si="415"/>
        <v>2009</v>
      </c>
      <c r="V273" s="854">
        <f>+U273+1</f>
        <v>2010</v>
      </c>
      <c r="W273" s="854">
        <f>+V273+1</f>
        <v>2011</v>
      </c>
      <c r="X273" s="854">
        <f t="shared" si="415"/>
        <v>2012</v>
      </c>
      <c r="Y273" s="854">
        <f t="shared" si="415"/>
        <v>2013</v>
      </c>
      <c r="Z273" s="854">
        <f t="shared" ref="Z273:AF273" si="416">+Y273+1</f>
        <v>2014</v>
      </c>
      <c r="AA273" s="854">
        <f t="shared" si="416"/>
        <v>2015</v>
      </c>
      <c r="AB273" s="854">
        <f t="shared" si="416"/>
        <v>2016</v>
      </c>
      <c r="AC273" s="854">
        <f t="shared" si="416"/>
        <v>2017</v>
      </c>
      <c r="AD273" s="854">
        <f t="shared" si="416"/>
        <v>2018</v>
      </c>
      <c r="AE273" s="854">
        <f t="shared" si="416"/>
        <v>2019</v>
      </c>
      <c r="AF273" s="854">
        <f t="shared" si="416"/>
        <v>2020</v>
      </c>
      <c r="BB273" s="3512">
        <v>2016</v>
      </c>
      <c r="BC273" s="736" t="str">
        <f t="shared" si="381"/>
        <v/>
      </c>
    </row>
    <row r="274" spans="1:55" ht="12.75" customHeight="1">
      <c r="A274" s="701"/>
      <c r="B274" s="701"/>
      <c r="C274" s="847" t="s">
        <v>1791</v>
      </c>
      <c r="D274" s="848" t="s">
        <v>666</v>
      </c>
      <c r="E274" s="1557" t="s">
        <v>821</v>
      </c>
      <c r="F274" s="1558" t="s">
        <v>1766</v>
      </c>
      <c r="G274" s="1559"/>
      <c r="H274" s="1559">
        <f>+$F$287*Labour1!H223</f>
        <v>5.7409605738568237</v>
      </c>
      <c r="I274" s="1559">
        <f>+$F$287*Labour1!I223</f>
        <v>4.3155562526068323</v>
      </c>
      <c r="J274" s="1559">
        <f>+$F$287*Labour1!J223</f>
        <v>0.10864602312505633</v>
      </c>
      <c r="K274" s="1559">
        <f>+$F$287*Labour1!K223</f>
        <v>5.751867697519871</v>
      </c>
      <c r="L274" s="1559">
        <f>+$F$287*Labour1!L223</f>
        <v>9.1967362836062811</v>
      </c>
      <c r="M274" s="1559">
        <f>+$F$287*Labour1!M223</f>
        <v>6.5000401408476849</v>
      </c>
      <c r="N274" s="1559">
        <f>+$F$287*Labour1!N223</f>
        <v>3.2892829589270165</v>
      </c>
      <c r="O274" s="1559">
        <f>+$F$287*Labour1!O223</f>
        <v>3.3353263224031315</v>
      </c>
      <c r="P274" s="1559">
        <f>+$F$287*Labour1!P223</f>
        <v>3.1413612351873588</v>
      </c>
      <c r="Q274" s="1559">
        <f>+$F$287*Labour1!Q223</f>
        <v>3.2064645695656999</v>
      </c>
      <c r="R274" s="1559">
        <f>+$F$287*Labour1!R223</f>
        <v>4.5843299630632872</v>
      </c>
      <c r="S274" s="1559">
        <f>+$F$287*Labour1!S223</f>
        <v>7.4015094427625909</v>
      </c>
      <c r="T274" s="1559">
        <f>+$F$287*Labour1!T223</f>
        <v>4.6845885381875574</v>
      </c>
      <c r="U274" s="1559">
        <f>+$F$287*Labour1!U223</f>
        <v>1.4996749361956274E-2</v>
      </c>
      <c r="V274" s="1559">
        <f>+$F$287*Labour1!V223</f>
        <v>2.9594014616221185</v>
      </c>
      <c r="W274" s="1559">
        <f>+$F$287*Labour1!W223</f>
        <v>5.4726687379693724</v>
      </c>
      <c r="X274" s="1559">
        <f>+$F$287*Labour1!X223</f>
        <v>3.7911128780624548</v>
      </c>
      <c r="Y274" s="1559">
        <f>+$F$287*Labour1!Y223</f>
        <v>2.8570215347629988</v>
      </c>
      <c r="Z274" s="1559">
        <f>+$F$287*Labour1!Z223</f>
        <v>3.6501546348543923</v>
      </c>
      <c r="AA274" s="1559">
        <f>+$F$287*Labour1!AA223</f>
        <v>4.2431183403293478</v>
      </c>
      <c r="AB274" s="1559">
        <f>+$F$287*Labour1!AB223</f>
        <v>4.6208157480283036</v>
      </c>
      <c r="AC274" s="1559">
        <f>+$F$287*Labour1!AC223</f>
        <v>4.3505730437468015</v>
      </c>
      <c r="AD274" s="3101">
        <f>+$F$287*Labour1!AD223</f>
        <v>4.2570922215734051</v>
      </c>
      <c r="AE274" s="3101">
        <f>+$F$287*Labour1!AE223</f>
        <v>3.4090511651816233</v>
      </c>
      <c r="AF274" s="3101">
        <f>+$F$287*Labour1!AF223</f>
        <v>3.0028079011061171</v>
      </c>
      <c r="BB274" s="3463">
        <v>4.7259056326185434</v>
      </c>
      <c r="BC274" s="736" t="str">
        <f t="shared" si="381"/>
        <v/>
      </c>
    </row>
    <row r="275" spans="1:55" ht="12.75" customHeight="1">
      <c r="A275" s="701"/>
      <c r="B275" s="701"/>
      <c r="C275" s="811"/>
      <c r="E275" s="823"/>
      <c r="F275" s="824"/>
      <c r="G275" s="740"/>
      <c r="H275" s="825"/>
      <c r="I275" s="740"/>
      <c r="J275" s="740"/>
      <c r="K275" s="740"/>
      <c r="L275" s="740"/>
      <c r="M275" s="740"/>
      <c r="N275" s="740"/>
      <c r="O275" s="740"/>
      <c r="P275" s="740"/>
      <c r="Q275" s="740"/>
      <c r="R275" s="740"/>
      <c r="S275" s="740"/>
      <c r="T275" s="740"/>
      <c r="U275" s="740"/>
      <c r="V275" s="740"/>
      <c r="W275" s="740"/>
      <c r="X275" s="882"/>
      <c r="Y275" s="882"/>
      <c r="Z275" s="882"/>
      <c r="AA275" s="882"/>
      <c r="AB275" s="882"/>
      <c r="AC275" s="882"/>
      <c r="AD275" s="882"/>
      <c r="AE275" s="882"/>
      <c r="AF275" s="882"/>
      <c r="BB275" s="3515"/>
      <c r="BC275" s="736" t="str">
        <f t="shared" si="381"/>
        <v/>
      </c>
    </row>
    <row r="276" spans="1:55" ht="12.75" customHeight="1">
      <c r="A276" s="701"/>
      <c r="B276" s="701"/>
      <c r="C276" s="811"/>
      <c r="D276" s="855"/>
      <c r="E276" s="856" t="s">
        <v>1884</v>
      </c>
      <c r="F276" s="857"/>
      <c r="G276" s="858">
        <f>+InputY!$G$3</f>
        <v>1995</v>
      </c>
      <c r="H276" s="858">
        <f>+G276+1</f>
        <v>1996</v>
      </c>
      <c r="I276" s="858">
        <f t="shared" ref="I276:O276" si="417">+H276+1</f>
        <v>1997</v>
      </c>
      <c r="J276" s="858">
        <f t="shared" si="417"/>
        <v>1998</v>
      </c>
      <c r="K276" s="858">
        <f t="shared" si="417"/>
        <v>1999</v>
      </c>
      <c r="L276" s="858">
        <f t="shared" si="417"/>
        <v>2000</v>
      </c>
      <c r="M276" s="858">
        <f t="shared" si="417"/>
        <v>2001</v>
      </c>
      <c r="N276" s="858">
        <f t="shared" si="417"/>
        <v>2002</v>
      </c>
      <c r="O276" s="858">
        <f t="shared" si="417"/>
        <v>2003</v>
      </c>
      <c r="P276" s="858">
        <f>+O276+1</f>
        <v>2004</v>
      </c>
      <c r="Q276" s="858">
        <f>+P276+1</f>
        <v>2005</v>
      </c>
      <c r="R276" s="858">
        <f>+Q276+1</f>
        <v>2006</v>
      </c>
      <c r="S276" s="858">
        <f t="shared" ref="S276:Y276" si="418">+R276+1</f>
        <v>2007</v>
      </c>
      <c r="T276" s="858">
        <f t="shared" si="418"/>
        <v>2008</v>
      </c>
      <c r="U276" s="858">
        <f t="shared" si="418"/>
        <v>2009</v>
      </c>
      <c r="V276" s="858">
        <f>+U276+1</f>
        <v>2010</v>
      </c>
      <c r="W276" s="858">
        <f>+V276+1</f>
        <v>2011</v>
      </c>
      <c r="X276" s="858">
        <f t="shared" si="418"/>
        <v>2012</v>
      </c>
      <c r="Y276" s="858">
        <f t="shared" si="418"/>
        <v>2013</v>
      </c>
      <c r="Z276" s="858">
        <f t="shared" ref="Z276:AF276" si="419">+Y276+1</f>
        <v>2014</v>
      </c>
      <c r="AA276" s="858">
        <f t="shared" si="419"/>
        <v>2015</v>
      </c>
      <c r="AB276" s="858">
        <f t="shared" si="419"/>
        <v>2016</v>
      </c>
      <c r="AC276" s="858">
        <f t="shared" si="419"/>
        <v>2017</v>
      </c>
      <c r="AD276" s="858">
        <f t="shared" si="419"/>
        <v>2018</v>
      </c>
      <c r="AE276" s="858">
        <f t="shared" si="419"/>
        <v>2019</v>
      </c>
      <c r="AF276" s="858">
        <f t="shared" si="419"/>
        <v>2020</v>
      </c>
      <c r="BB276" s="3480">
        <v>2016</v>
      </c>
      <c r="BC276" s="736" t="str">
        <f t="shared" si="381"/>
        <v/>
      </c>
    </row>
    <row r="277" spans="1:55" ht="12.75" customHeight="1">
      <c r="A277" s="701"/>
      <c r="B277" s="701"/>
      <c r="C277" s="859" t="s">
        <v>1791</v>
      </c>
      <c r="D277" s="860" t="s">
        <v>666</v>
      </c>
      <c r="E277" s="861" t="s">
        <v>2034</v>
      </c>
      <c r="F277" s="862" t="s">
        <v>450</v>
      </c>
      <c r="G277" s="875">
        <f>+G251/'VVP2'!G$341</f>
        <v>5.3952275292101178E-2</v>
      </c>
      <c r="H277" s="875">
        <f>+H251/'VVP2'!H$341</f>
        <v>5.9262977556609933E-2</v>
      </c>
      <c r="I277" s="875">
        <f>+I251/'VVP2'!I$341</f>
        <v>6.2670315898590387E-2</v>
      </c>
      <c r="J277" s="875">
        <f>+J251/'VVP2'!J$341</f>
        <v>4.6174789564706553E-2</v>
      </c>
      <c r="K277" s="875">
        <f>+K251/'VVP2'!K$341</f>
        <v>4.3774962922431007E-2</v>
      </c>
      <c r="L277" s="875">
        <f>+L251/'VVP2'!L$341</f>
        <v>5.0082940864044946E-2</v>
      </c>
      <c r="M277" s="875">
        <f>+M251/'VVP2'!M$341</f>
        <v>4.54556076837411E-2</v>
      </c>
      <c r="N277" s="875">
        <f>+N251/'VVP2'!N$341</f>
        <v>3.8295481785063402E-2</v>
      </c>
      <c r="O277" s="875">
        <f>+O251/'VVP2'!O$341</f>
        <v>3.7917640700028316E-2</v>
      </c>
      <c r="P277" s="875">
        <f>+P251/'VVP2'!P$341</f>
        <v>3.7098308184402309E-2</v>
      </c>
      <c r="Q277" s="875">
        <f>+Q251/'VVP2'!Q$341</f>
        <v>3.3886548277500504E-2</v>
      </c>
      <c r="R277" s="875">
        <f>+R251/'VVP2'!R$341</f>
        <v>3.0289728680296786E-2</v>
      </c>
      <c r="S277" s="875">
        <f>+S251/'VVP2'!S$341</f>
        <v>3.0826272052900606E-2</v>
      </c>
      <c r="T277" s="875">
        <f>+T251/'VVP2'!T$341</f>
        <v>3.1684878383314942E-2</v>
      </c>
      <c r="U277" s="875">
        <f>+U251/'VVP2'!U$341</f>
        <v>3.2537274351315565E-2</v>
      </c>
      <c r="V277" s="875">
        <f>+V251/'VVP2'!V$341</f>
        <v>3.0991332143716598E-2</v>
      </c>
      <c r="W277" s="875">
        <f>+W251/'VVP2'!W$341</f>
        <v>3.2345427245732979E-2</v>
      </c>
      <c r="X277" s="875">
        <f>+X251/'VVP2'!X$341</f>
        <v>3.2297686744806202E-2</v>
      </c>
      <c r="Y277" s="875">
        <f>+Y251/'VVP2'!Y$341</f>
        <v>3.2469523222288438E-2</v>
      </c>
      <c r="Z277" s="875">
        <f>+Z251/'VVP2'!Z$341</f>
        <v>3.199731027614075E-2</v>
      </c>
      <c r="AA277" s="875">
        <f>+AA251/'VVP2'!AA$341</f>
        <v>3.1528655067911956E-2</v>
      </c>
      <c r="AB277" s="875">
        <f>+AB251/'VVP2'!AB$341</f>
        <v>3.1593226491775046E-2</v>
      </c>
      <c r="AC277" s="875">
        <f>+AC251/'VVP2'!AC$341</f>
        <v>3.1778818445220125E-2</v>
      </c>
      <c r="AD277" s="3002">
        <f ca="1">+AD251/'VVP2'!AD$341</f>
        <v>3.1668903499678193E-2</v>
      </c>
      <c r="AE277" s="3002">
        <f ca="1">+AE251/'VVP2'!AE$341</f>
        <v>3.1783449512992633E-2</v>
      </c>
      <c r="AF277" s="3002">
        <f ca="1">+AF251/'VVP2'!AF$341</f>
        <v>3.1850712647595786E-2</v>
      </c>
      <c r="BB277" s="3539">
        <v>3.5181652954025686E-2</v>
      </c>
      <c r="BC277" s="736" t="str">
        <f t="shared" si="381"/>
        <v/>
      </c>
    </row>
    <row r="278" spans="1:55" ht="12.75" customHeight="1">
      <c r="A278" s="701"/>
      <c r="B278" s="701"/>
      <c r="C278" s="863" t="s">
        <v>1791</v>
      </c>
      <c r="D278" s="711" t="s">
        <v>666</v>
      </c>
      <c r="E278" s="820" t="s">
        <v>2035</v>
      </c>
      <c r="F278" s="741" t="s">
        <v>1548</v>
      </c>
      <c r="G278" s="876">
        <f>+G252/'VVP2'!G$341</f>
        <v>5.4607222556914128E-3</v>
      </c>
      <c r="H278" s="876">
        <f>+H252/'VVP2'!H$341</f>
        <v>5.4937556155001772E-3</v>
      </c>
      <c r="I278" s="876">
        <f>+I252/'VVP2'!I$341</f>
        <v>4.9654348365808128E-3</v>
      </c>
      <c r="J278" s="876">
        <f>+J252/'VVP2'!J$341</f>
        <v>1.1212546001093955E-3</v>
      </c>
      <c r="K278" s="876">
        <f>+K252/'VVP2'!K$341</f>
        <v>1.1813942237097386E-3</v>
      </c>
      <c r="L278" s="876">
        <f>+L252/'VVP2'!L$341</f>
        <v>1.1067172450711647E-3</v>
      </c>
      <c r="M278" s="876">
        <f>+M252/'VVP2'!M$341</f>
        <v>1.1450830729162469E-3</v>
      </c>
      <c r="N278" s="876">
        <f>+N252/'VVP2'!N$341</f>
        <v>1.1923266843022753E-3</v>
      </c>
      <c r="O278" s="876">
        <f>+O252/'VVP2'!O$341</f>
        <v>1.2119231754849093E-3</v>
      </c>
      <c r="P278" s="876">
        <f>+P252/'VVP2'!P$341</f>
        <v>1.2099403112729905E-3</v>
      </c>
      <c r="Q278" s="876">
        <f>+Q252/'VVP2'!Q$341</f>
        <v>1.2656823158001061E-3</v>
      </c>
      <c r="R278" s="876">
        <f>+R252/'VVP2'!R$341</f>
        <v>1.2195302745812377E-3</v>
      </c>
      <c r="S278" s="876">
        <f>+S252/'VVP2'!S$341</f>
        <v>1.1957044310740165E-3</v>
      </c>
      <c r="T278" s="876">
        <f>+T252/'VVP2'!T$341</f>
        <v>1.2459898203869997E-3</v>
      </c>
      <c r="U278" s="876">
        <f>+U252/'VVP2'!U$341</f>
        <v>1.3763631873424404E-3</v>
      </c>
      <c r="V278" s="876">
        <f>+V252/'VVP2'!V$341</f>
        <v>1.3360485654221096E-3</v>
      </c>
      <c r="W278" s="876">
        <f>+W252/'VVP2'!W$341</f>
        <v>1.3813003562099654E-3</v>
      </c>
      <c r="X278" s="876">
        <f>+X252/'VVP2'!X$341</f>
        <v>1.4635914348861752E-3</v>
      </c>
      <c r="Y278" s="876">
        <f>+Y252/'VVP2'!Y$341</f>
        <v>1.4586881239998844E-3</v>
      </c>
      <c r="Z278" s="876">
        <f>+Z252/'VVP2'!Z$341</f>
        <v>1.5186789903385628E-3</v>
      </c>
      <c r="AA278" s="876">
        <f>+AA252/'VVP2'!AA$341</f>
        <v>1.5929861957856911E-3</v>
      </c>
      <c r="AB278" s="876">
        <f>+AB252/'VVP2'!AB$341</f>
        <v>1.6258134482819164E-3</v>
      </c>
      <c r="AC278" s="876">
        <f>+AC252/'VVP2'!AC$341</f>
        <v>1.637511550265686E-3</v>
      </c>
      <c r="AD278" s="3003">
        <f ca="1">+AD252/'VVP2'!AD$341</f>
        <v>1.6250537962761442E-3</v>
      </c>
      <c r="AE278" s="3003">
        <f ca="1">+AE252/'VVP2'!AE$341</f>
        <v>1.6244074951744674E-3</v>
      </c>
      <c r="AF278" s="3003">
        <f ca="1">+AF252/'VVP2'!AF$341</f>
        <v>1.6274640627811073E-3</v>
      </c>
      <c r="BB278" s="3462">
        <v>1.6808409108141817E-3</v>
      </c>
      <c r="BC278" s="736" t="str">
        <f t="shared" si="381"/>
        <v/>
      </c>
    </row>
    <row r="279" spans="1:55" ht="12.75" customHeight="1">
      <c r="A279" s="701"/>
      <c r="B279" s="701"/>
      <c r="C279" s="863" t="s">
        <v>1793</v>
      </c>
      <c r="D279" s="3727" t="s">
        <v>666</v>
      </c>
      <c r="E279" s="3728" t="s">
        <v>821</v>
      </c>
      <c r="F279" s="3729" t="s">
        <v>153</v>
      </c>
      <c r="G279" s="3728">
        <f>+G253/'VVP2'!G$341</f>
        <v>5.9412997547792591E-2</v>
      </c>
      <c r="H279" s="3728">
        <f>+H253/'VVP2'!H$341</f>
        <v>6.4756733172110101E-2</v>
      </c>
      <c r="I279" s="3728">
        <f>+I253/'VVP2'!I$341</f>
        <v>6.763575073517121E-2</v>
      </c>
      <c r="J279" s="3728">
        <f>+J253/'VVP2'!J$341</f>
        <v>4.7296044164815955E-2</v>
      </c>
      <c r="K279" s="3728">
        <f>+K253/'VVP2'!K$341</f>
        <v>4.4956357146140748E-2</v>
      </c>
      <c r="L279" s="3728">
        <f>+L253/'VVP2'!L$341</f>
        <v>5.1189658109116111E-2</v>
      </c>
      <c r="M279" s="3728">
        <f>+M253/'VVP2'!M$341</f>
        <v>4.6600690756657348E-2</v>
      </c>
      <c r="N279" s="3728">
        <f>+N253/'VVP2'!N$341</f>
        <v>3.9487808469365678E-2</v>
      </c>
      <c r="O279" s="3728">
        <f>+O253/'VVP2'!O$341</f>
        <v>3.9129563875513224E-2</v>
      </c>
      <c r="P279" s="3728">
        <f>+P253/'VVP2'!P$341</f>
        <v>3.8308248495675302E-2</v>
      </c>
      <c r="Q279" s="3728">
        <f>+Q253/'VVP2'!Q$341</f>
        <v>3.515223059330061E-2</v>
      </c>
      <c r="R279" s="3728">
        <f>+R253/'VVP2'!R$341</f>
        <v>3.1509258954878029E-2</v>
      </c>
      <c r="S279" s="3728">
        <f>+S253/'VVP2'!S$341</f>
        <v>3.2021976483974625E-2</v>
      </c>
      <c r="T279" s="3728">
        <f>+T253/'VVP2'!T$341</f>
        <v>3.2930868203701939E-2</v>
      </c>
      <c r="U279" s="3728">
        <f>+U253/'VVP2'!U$341</f>
        <v>3.3913637538658004E-2</v>
      </c>
      <c r="V279" s="3728">
        <f>+V253/'VVP2'!V$341</f>
        <v>3.2327380709138709E-2</v>
      </c>
      <c r="W279" s="3728">
        <f>+W253/'VVP2'!W$341</f>
        <v>3.3726727601942945E-2</v>
      </c>
      <c r="X279" s="3728">
        <f>+X253/'VVP2'!X$341</f>
        <v>3.3761278179692378E-2</v>
      </c>
      <c r="Y279" s="3728">
        <f>+Y253/'VVP2'!Y$341</f>
        <v>3.3928211346288324E-2</v>
      </c>
      <c r="Z279" s="3728">
        <f>+Z253/'VVP2'!Z$341</f>
        <v>3.3515989266479314E-2</v>
      </c>
      <c r="AA279" s="3728">
        <f>+AA253/'VVP2'!AA$341</f>
        <v>3.3121641263697647E-2</v>
      </c>
      <c r="AB279" s="3728">
        <f>+AB253/'VVP2'!AB$341</f>
        <v>3.3219039940056962E-2</v>
      </c>
      <c r="AC279" s="3728">
        <f>+AC253/'VVP2'!AC$341</f>
        <v>3.3416329995485806E-2</v>
      </c>
      <c r="AD279" s="3730">
        <f ca="1">+AD253/'VVP2'!AD$341</f>
        <v>3.3293957295954336E-2</v>
      </c>
      <c r="AE279" s="3730">
        <f ca="1">+AE253/'VVP2'!AE$341</f>
        <v>3.3407857008167098E-2</v>
      </c>
      <c r="AF279" s="3730">
        <f ca="1">+AF253/'VVP2'!AF$341</f>
        <v>3.3478176710376888E-2</v>
      </c>
      <c r="BB279" s="3540">
        <v>3.686249386483987E-2</v>
      </c>
      <c r="BC279" s="736" t="str">
        <f t="shared" si="381"/>
        <v/>
      </c>
    </row>
    <row r="280" spans="1:55" ht="12.75" customHeight="1">
      <c r="A280" s="701"/>
      <c r="B280" s="701"/>
      <c r="C280" s="863" t="s">
        <v>1791</v>
      </c>
      <c r="D280" s="711" t="s">
        <v>664</v>
      </c>
      <c r="E280" s="820" t="s">
        <v>821</v>
      </c>
      <c r="F280" s="741" t="s">
        <v>1277</v>
      </c>
      <c r="G280" s="876">
        <f>+G254/'VVP2'!G$341</f>
        <v>0</v>
      </c>
      <c r="H280" s="876">
        <f>+H254/'VVP2'!H$341</f>
        <v>0</v>
      </c>
      <c r="I280" s="876">
        <f>+I254/'VVP2'!I$341</f>
        <v>0</v>
      </c>
      <c r="J280" s="876">
        <f>+J254/'VVP2'!J$341</f>
        <v>0</v>
      </c>
      <c r="K280" s="876">
        <f>+K254/'VVP2'!K$341</f>
        <v>0</v>
      </c>
      <c r="L280" s="876">
        <f>+L254/'VVP2'!L$341</f>
        <v>0</v>
      </c>
      <c r="M280" s="876">
        <f>+M254/'VVP2'!M$341</f>
        <v>0</v>
      </c>
      <c r="N280" s="876">
        <f>+N254/'VVP2'!N$341</f>
        <v>0</v>
      </c>
      <c r="O280" s="876">
        <f>+O254/'VVP2'!O$341</f>
        <v>0</v>
      </c>
      <c r="P280" s="876">
        <f>+P254/'VVP2'!P$341</f>
        <v>0</v>
      </c>
      <c r="Q280" s="876">
        <f>+Q254/'VVP2'!Q$341</f>
        <v>0</v>
      </c>
      <c r="R280" s="876">
        <f>+R254/'VVP2'!R$341</f>
        <v>0</v>
      </c>
      <c r="S280" s="876">
        <f>+S254/'VVP2'!S$341</f>
        <v>0</v>
      </c>
      <c r="T280" s="876">
        <f>+T254/'VVP2'!T$341</f>
        <v>0</v>
      </c>
      <c r="U280" s="876">
        <f>+U254/'VVP2'!U$341</f>
        <v>0</v>
      </c>
      <c r="V280" s="876">
        <f>+V254/'VVP2'!V$341</f>
        <v>0</v>
      </c>
      <c r="W280" s="876">
        <f>+W254/'VVP2'!W$341</f>
        <v>0</v>
      </c>
      <c r="X280" s="876">
        <f>+X254/'VVP2'!X$341</f>
        <v>0</v>
      </c>
      <c r="Y280" s="876">
        <f>+Y254/'VVP2'!Y$341</f>
        <v>0</v>
      </c>
      <c r="Z280" s="876">
        <f>+Z254/'VVP2'!Z$341</f>
        <v>0</v>
      </c>
      <c r="AA280" s="876">
        <f>+AA254/'VVP2'!AA$341</f>
        <v>0</v>
      </c>
      <c r="AB280" s="876">
        <f>+AB254/'VVP2'!AB$341</f>
        <v>0</v>
      </c>
      <c r="AC280" s="876">
        <f>+AC254/'VVP2'!AC$341</f>
        <v>0</v>
      </c>
      <c r="AD280" s="3003">
        <f ca="1">+AD254/'VVP2'!AD$341</f>
        <v>0</v>
      </c>
      <c r="AE280" s="3003">
        <f ca="1">+AE254/'VVP2'!AE$341</f>
        <v>0</v>
      </c>
      <c r="AF280" s="3003">
        <f ca="1">+AF254/'VVP2'!AF$341</f>
        <v>0</v>
      </c>
      <c r="AN280" s="2942"/>
      <c r="AO280" s="2942"/>
      <c r="AP280" s="2942"/>
      <c r="AQ280" s="2942"/>
      <c r="BB280" s="3462">
        <v>0</v>
      </c>
      <c r="BC280" s="736" t="str">
        <f t="shared" si="381"/>
        <v/>
      </c>
    </row>
    <row r="281" spans="1:55" ht="12.75" customHeight="1">
      <c r="A281" s="701"/>
      <c r="B281" s="701"/>
      <c r="C281" s="863" t="s">
        <v>1791</v>
      </c>
      <c r="D281" s="711" t="s">
        <v>665</v>
      </c>
      <c r="E281" s="820" t="s">
        <v>821</v>
      </c>
      <c r="F281" s="741" t="s">
        <v>741</v>
      </c>
      <c r="G281" s="876">
        <f>+G255/'VVP2'!G$341</f>
        <v>4.2802792461795629E-2</v>
      </c>
      <c r="H281" s="876">
        <f>+H255/'VVP2'!H$341</f>
        <v>4.262041855314732E-2</v>
      </c>
      <c r="I281" s="876">
        <f>+I255/'VVP2'!I$341</f>
        <v>4.3586527647679646E-2</v>
      </c>
      <c r="J281" s="876">
        <f>+J255/'VVP2'!J$341</f>
        <v>4.4778634592446076E-2</v>
      </c>
      <c r="K281" s="876">
        <f>+K255/'VVP2'!K$341</f>
        <v>4.6303780327621551E-2</v>
      </c>
      <c r="L281" s="876">
        <f>+L255/'VVP2'!L$341</f>
        <v>5.2575781603321992E-2</v>
      </c>
      <c r="M281" s="876">
        <f>+M255/'VVP2'!M$341</f>
        <v>5.2175416089827377E-2</v>
      </c>
      <c r="N281" s="876">
        <f>+N255/'VVP2'!N$341</f>
        <v>5.0597154033922072E-2</v>
      </c>
      <c r="O281" s="876">
        <f>+O255/'VVP2'!O$341</f>
        <v>5.1808316948684062E-2</v>
      </c>
      <c r="P281" s="876">
        <f>+P255/'VVP2'!P$341</f>
        <v>5.1148998202893245E-2</v>
      </c>
      <c r="Q281" s="876">
        <f>+Q255/'VVP2'!Q$341</f>
        <v>5.0683293233924821E-2</v>
      </c>
      <c r="R281" s="876">
        <f>+R255/'VVP2'!R$341</f>
        <v>5.1293752743459695E-2</v>
      </c>
      <c r="S281" s="876">
        <f>+S255/'VVP2'!S$341</f>
        <v>5.605421173026337E-2</v>
      </c>
      <c r="T281" s="876">
        <f>+T255/'VVP2'!T$341</f>
        <v>5.8874935467103186E-2</v>
      </c>
      <c r="U281" s="876">
        <f>+U255/'VVP2'!U$341</f>
        <v>5.2186066319988796E-2</v>
      </c>
      <c r="V281" s="876">
        <f>+V255/'VVP2'!V$341</f>
        <v>6.2138744727318958E-2</v>
      </c>
      <c r="W281" s="876">
        <f>+W255/'VVP2'!W$341</f>
        <v>6.2239640452188078E-2</v>
      </c>
      <c r="X281" s="876">
        <f>+X255/'VVP2'!X$341</f>
        <v>6.101135008516155E-2</v>
      </c>
      <c r="Y281" s="876">
        <f>+Y255/'VVP2'!Y$341</f>
        <v>6.3773155845921192E-2</v>
      </c>
      <c r="Z281" s="876">
        <f>+Z255/'VVP2'!Z$341</f>
        <v>6.9432937698636732E-2</v>
      </c>
      <c r="AA281" s="876">
        <f>+AA255/'VVP2'!AA$341</f>
        <v>6.3080634900083143E-2</v>
      </c>
      <c r="AB281" s="876">
        <f>+AB255/'VVP2'!AB$341</f>
        <v>6.4713303874110506E-2</v>
      </c>
      <c r="AC281" s="876">
        <f>+AC255/'VVP2'!AC$341</f>
        <v>6.0793216884670299E-2</v>
      </c>
      <c r="AD281" s="3003">
        <f ca="1">+AD255/'VVP2'!AD$341</f>
        <v>6.0064799267600694E-2</v>
      </c>
      <c r="AE281" s="3003">
        <f ca="1">+AE255/'VVP2'!AE$341</f>
        <v>5.994885002797614E-2</v>
      </c>
      <c r="AF281" s="3003">
        <f ca="1">+AF255/'VVP2'!AF$341</f>
        <v>6.0367333647021473E-2</v>
      </c>
      <c r="AH281" s="2942"/>
      <c r="AI281" s="2942"/>
      <c r="AJ281" s="2942"/>
      <c r="AK281" s="2942"/>
      <c r="AL281" s="2942"/>
      <c r="AM281" s="2942"/>
      <c r="AN281" s="2942"/>
      <c r="AO281" s="2942"/>
      <c r="AP281" s="2942"/>
      <c r="AQ281" s="2942"/>
      <c r="BB281" s="3482">
        <v>6.567016380253253E-2</v>
      </c>
      <c r="BC281" s="736" t="str">
        <f t="shared" si="381"/>
        <v/>
      </c>
    </row>
    <row r="282" spans="1:55" ht="12.75" customHeight="1">
      <c r="A282" s="701"/>
      <c r="B282" s="701"/>
      <c r="C282" s="864" t="s">
        <v>1791</v>
      </c>
      <c r="D282" s="865" t="s">
        <v>667</v>
      </c>
      <c r="E282" s="866" t="s">
        <v>230</v>
      </c>
      <c r="F282" s="867" t="s">
        <v>231</v>
      </c>
      <c r="G282" s="877">
        <f>+G256/'VVP2'!G$341</f>
        <v>3.4470908674365529E-5</v>
      </c>
      <c r="H282" s="877">
        <f>+H256/'VVP2'!H$341</f>
        <v>2.3263291869531189E-5</v>
      </c>
      <c r="I282" s="877">
        <f>+I256/'VVP2'!I$341</f>
        <v>5.5885870172672502E-5</v>
      </c>
      <c r="J282" s="877">
        <f>+J256/'VVP2'!J$341</f>
        <v>8.9436764912168397E-5</v>
      </c>
      <c r="K282" s="877">
        <f>+K256/'VVP2'!K$341</f>
        <v>1.2050488870480901E-4</v>
      </c>
      <c r="L282" s="877">
        <f>+L256/'VVP2'!L$341</f>
        <v>1.2879537309963893E-4</v>
      </c>
      <c r="M282" s="877">
        <f>+M256/'VVP2'!M$341</f>
        <v>1.7204450110317994E-4</v>
      </c>
      <c r="N282" s="877">
        <f>+N256/'VVP2'!N$341</f>
        <v>1.9852686076196242E-4</v>
      </c>
      <c r="O282" s="877">
        <f>+O256/'VVP2'!O$341</f>
        <v>1.5629295491787534E-4</v>
      </c>
      <c r="P282" s="877">
        <f>+P256/'VVP2'!P$341</f>
        <v>1.4064932988605981E-4</v>
      </c>
      <c r="Q282" s="877">
        <f>+Q256/'VVP2'!Q$341</f>
        <v>1.6319193811212008E-4</v>
      </c>
      <c r="R282" s="877">
        <f>+R256/'VVP2'!R$341</f>
        <v>1.8338074160589962E-4</v>
      </c>
      <c r="S282" s="877">
        <f>+S256/'VVP2'!S$341</f>
        <v>2.5992257457854218E-4</v>
      </c>
      <c r="T282" s="877">
        <f>+T256/'VVP2'!T$341</f>
        <v>3.5085846811654749E-4</v>
      </c>
      <c r="U282" s="877">
        <f>+U256/'VVP2'!U$341</f>
        <v>4.1646301696016016E-4</v>
      </c>
      <c r="V282" s="877">
        <f>+V256/'VVP2'!V$341</f>
        <v>4.0013349134349497E-4</v>
      </c>
      <c r="W282" s="877">
        <f>+W256/'VVP2'!W$341</f>
        <v>3.7120569192986805E-4</v>
      </c>
      <c r="X282" s="877">
        <f>+X256/'VVP2'!X$341</f>
        <v>3.8683922533479757E-4</v>
      </c>
      <c r="Y282" s="877">
        <f>+Y256/'VVP2'!Y$341</f>
        <v>3.683154391207701E-4</v>
      </c>
      <c r="Z282" s="877">
        <f>+Z256/'VVP2'!Z$341</f>
        <v>3.7427761248945364E-4</v>
      </c>
      <c r="AA282" s="877">
        <f>+AA256/'VVP2'!AA$341</f>
        <v>2.7585103853512867E-4</v>
      </c>
      <c r="AB282" s="877">
        <f>+AB256/'VVP2'!AB$341</f>
        <v>1.5824888262379382E-4</v>
      </c>
      <c r="AC282" s="877">
        <f>+AC256/'VVP2'!AC$341</f>
        <v>1.1771388711565816E-4</v>
      </c>
      <c r="AD282" s="3004">
        <f ca="1">+AD256/'VVP2'!AD$341</f>
        <v>9.9557721833882525E-5</v>
      </c>
      <c r="AE282" s="3004">
        <f ca="1">+AE256/'VVP2'!AE$341</f>
        <v>8.4057679636991378E-5</v>
      </c>
      <c r="AF282" s="3004">
        <f ca="1">+AF256/'VVP2'!AF$341</f>
        <v>6.9117078590538072E-5</v>
      </c>
      <c r="AH282" s="2942"/>
      <c r="AI282" s="2942"/>
      <c r="AJ282" s="2942"/>
      <c r="AK282" s="2942"/>
      <c r="AL282" s="2942"/>
      <c r="AM282" s="2942"/>
      <c r="AN282" s="2942"/>
      <c r="AO282" s="2942"/>
      <c r="AP282" s="2942"/>
      <c r="AQ282" s="2942"/>
      <c r="BB282" s="3465">
        <v>2.329204179491289E-4</v>
      </c>
      <c r="BC282" s="736" t="str">
        <f t="shared" si="381"/>
        <v/>
      </c>
    </row>
    <row r="283" spans="1:55" ht="12.75" customHeight="1">
      <c r="A283" s="701"/>
      <c r="B283" s="701"/>
      <c r="C283" s="811" t="s">
        <v>1793</v>
      </c>
      <c r="D283" s="843" t="s">
        <v>664</v>
      </c>
      <c r="E283" s="844" t="s">
        <v>1667</v>
      </c>
      <c r="F283" s="845" t="s">
        <v>658</v>
      </c>
      <c r="G283" s="878">
        <f>+G257/'VVP2'!G$341</f>
        <v>0.10225026091826259</v>
      </c>
      <c r="H283" s="878">
        <f>+H257/'VVP2'!H$341</f>
        <v>0.10740041501712695</v>
      </c>
      <c r="I283" s="878">
        <f>+I257/'VVP2'!I$341</f>
        <v>0.11127816425302353</v>
      </c>
      <c r="J283" s="878">
        <f>+J257/'VVP2'!J$341</f>
        <v>9.2164115522174211E-2</v>
      </c>
      <c r="K283" s="878">
        <f>+K257/'VVP2'!K$341</f>
        <v>9.138064236246711E-2</v>
      </c>
      <c r="L283" s="878">
        <f>+L257/'VVP2'!L$341</f>
        <v>0.10389423508553775</v>
      </c>
      <c r="M283" s="878">
        <f>+M257/'VVP2'!M$341</f>
        <v>9.8948151347587901E-2</v>
      </c>
      <c r="N283" s="878">
        <f>+N257/'VVP2'!N$341</f>
        <v>9.0283489364049702E-2</v>
      </c>
      <c r="O283" s="878">
        <f>+O257/'VVP2'!O$341</f>
        <v>9.1094173779115162E-2</v>
      </c>
      <c r="P283" s="878">
        <f>+P257/'VVP2'!P$341</f>
        <v>8.959789602845461E-2</v>
      </c>
      <c r="Q283" s="878">
        <f>+Q257/'VVP2'!Q$341</f>
        <v>8.5998715765337547E-2</v>
      </c>
      <c r="R283" s="878">
        <f>+R257/'VVP2'!R$341</f>
        <v>8.2986392439943615E-2</v>
      </c>
      <c r="S283" s="878">
        <f>+S257/'VVP2'!S$341</f>
        <v>8.8336110788816535E-2</v>
      </c>
      <c r="T283" s="878">
        <f>+T257/'VVP2'!T$341</f>
        <v>9.2156662138921666E-2</v>
      </c>
      <c r="U283" s="878">
        <f>+U257/'VVP2'!U$341</f>
        <v>8.6516166875606967E-2</v>
      </c>
      <c r="V283" s="878">
        <f>+V257/'VVP2'!V$341</f>
        <v>9.486625892780115E-2</v>
      </c>
      <c r="W283" s="878">
        <f>+W257/'VVP2'!W$341</f>
        <v>9.6337573746060889E-2</v>
      </c>
      <c r="X283" s="878">
        <f>+X257/'VVP2'!X$341</f>
        <v>9.5159467490188734E-2</v>
      </c>
      <c r="Y283" s="878">
        <f>+Y257/'VVP2'!Y$341</f>
        <v>9.8069682631330285E-2</v>
      </c>
      <c r="Z283" s="878">
        <f>+Z257/'VVP2'!Z$341</f>
        <v>0.10332320457760551</v>
      </c>
      <c r="AA283" s="878">
        <f>+AA257/'VVP2'!AA$341</f>
        <v>9.6478127202315925E-2</v>
      </c>
      <c r="AB283" s="878">
        <f>+AB257/'VVP2'!AB$341</f>
        <v>9.8090592696791254E-2</v>
      </c>
      <c r="AC283" s="878">
        <f>+AC257/'VVP2'!AC$341</f>
        <v>9.4327260767271784E-2</v>
      </c>
      <c r="AD283" s="3005">
        <f ca="1">+AD257/'VVP2'!AD$341</f>
        <v>9.3458314285388908E-2</v>
      </c>
      <c r="AE283" s="3005">
        <f ca="1">+AE257/'VVP2'!AE$341</f>
        <v>9.3440764715780236E-2</v>
      </c>
      <c r="AF283" s="3005">
        <f ca="1">+AF257/'VVP2'!AF$341</f>
        <v>9.3914627435988898E-2</v>
      </c>
      <c r="AH283" s="2942"/>
      <c r="AI283" s="2942"/>
      <c r="AJ283" s="2942"/>
      <c r="AK283" s="2942"/>
      <c r="AL283" s="2942"/>
      <c r="AM283" s="2942"/>
      <c r="AN283" s="2942"/>
      <c r="AO283" s="2942"/>
      <c r="AP283" s="2942"/>
      <c r="AQ283" s="2942"/>
      <c r="BB283" s="3507">
        <v>9.89457740381363E-2</v>
      </c>
      <c r="BC283" s="736" t="str">
        <f t="shared" si="381"/>
        <v/>
      </c>
    </row>
    <row r="284" spans="1:55" ht="12.75" customHeight="1" thickBot="1">
      <c r="A284" s="701"/>
      <c r="B284" s="701"/>
      <c r="C284" s="811"/>
      <c r="R284" s="880"/>
      <c r="S284" s="880"/>
      <c r="T284" s="880"/>
      <c r="U284" s="880"/>
      <c r="V284" s="880"/>
      <c r="W284" s="880"/>
      <c r="X284" s="880"/>
      <c r="Y284" s="880"/>
      <c r="Z284" s="880"/>
      <c r="AA284" s="880"/>
      <c r="AB284" s="880"/>
      <c r="AC284" s="880"/>
      <c r="AD284" s="880"/>
      <c r="AE284" s="880"/>
      <c r="AF284" s="880"/>
      <c r="AH284" s="2942"/>
      <c r="AI284" s="2942"/>
      <c r="AJ284" s="2942"/>
      <c r="AK284" s="2942"/>
      <c r="AL284" s="2942"/>
      <c r="AM284" s="2942"/>
      <c r="BB284" s="3467"/>
      <c r="BC284" s="736" t="str">
        <f t="shared" si="381"/>
        <v/>
      </c>
    </row>
    <row r="285" spans="1:55" ht="12.75" customHeight="1" thickBot="1">
      <c r="A285" s="701"/>
      <c r="B285" s="701"/>
      <c r="C285" s="811"/>
      <c r="R285" s="880"/>
      <c r="S285" s="880"/>
      <c r="T285" s="880"/>
      <c r="U285" s="880"/>
      <c r="V285" s="880"/>
      <c r="W285" s="880"/>
      <c r="AH285" s="2839" t="s">
        <v>1134</v>
      </c>
      <c r="AI285" s="2840"/>
      <c r="AJ285" s="2847"/>
      <c r="AK285" s="2848"/>
      <c r="AL285" s="3829">
        <f>+AL211</f>
        <v>2018</v>
      </c>
      <c r="AM285" s="3830"/>
      <c r="AN285" s="3829">
        <f>+AN211</f>
        <v>2019</v>
      </c>
      <c r="AO285" s="3830"/>
      <c r="AP285" s="3829">
        <f>+AP211</f>
        <v>2020</v>
      </c>
      <c r="AQ285" s="3831"/>
      <c r="BC285" s="736" t="str">
        <f t="shared" si="381"/>
        <v/>
      </c>
    </row>
    <row r="286" spans="1:55" ht="12.75" customHeight="1" thickBot="1">
      <c r="A286" s="701"/>
      <c r="B286" s="701"/>
      <c r="C286" s="811"/>
      <c r="D286" s="855" t="s">
        <v>666</v>
      </c>
      <c r="E286" s="1092" t="s">
        <v>821</v>
      </c>
      <c r="F286" s="857"/>
      <c r="G286" s="858">
        <f>+InputY!$G$3</f>
        <v>1995</v>
      </c>
      <c r="H286" s="858">
        <f t="shared" ref="H286:O286" si="420">+G286+1</f>
        <v>1996</v>
      </c>
      <c r="I286" s="858">
        <f t="shared" si="420"/>
        <v>1997</v>
      </c>
      <c r="J286" s="858">
        <f t="shared" si="420"/>
        <v>1998</v>
      </c>
      <c r="K286" s="858">
        <f t="shared" si="420"/>
        <v>1999</v>
      </c>
      <c r="L286" s="858">
        <f t="shared" si="420"/>
        <v>2000</v>
      </c>
      <c r="M286" s="858">
        <f t="shared" si="420"/>
        <v>2001</v>
      </c>
      <c r="N286" s="858">
        <f t="shared" si="420"/>
        <v>2002</v>
      </c>
      <c r="O286" s="858">
        <f t="shared" si="420"/>
        <v>2003</v>
      </c>
      <c r="P286" s="858">
        <f>+O286+1</f>
        <v>2004</v>
      </c>
      <c r="Q286" s="858">
        <f>+P286+1</f>
        <v>2005</v>
      </c>
      <c r="R286" s="858">
        <f>+Q286+1</f>
        <v>2006</v>
      </c>
      <c r="S286" s="858">
        <f>+R286+1</f>
        <v>2007</v>
      </c>
      <c r="T286" s="858">
        <f t="shared" ref="T286:AF286" si="421">+S286+1</f>
        <v>2008</v>
      </c>
      <c r="U286" s="858">
        <f t="shared" si="421"/>
        <v>2009</v>
      </c>
      <c r="V286" s="858">
        <f t="shared" si="421"/>
        <v>2010</v>
      </c>
      <c r="W286" s="858">
        <f t="shared" si="421"/>
        <v>2011</v>
      </c>
      <c r="X286" s="2323">
        <f t="shared" si="421"/>
        <v>2012</v>
      </c>
      <c r="Y286" s="2323">
        <f t="shared" si="421"/>
        <v>2013</v>
      </c>
      <c r="Z286" s="2323">
        <f t="shared" si="421"/>
        <v>2014</v>
      </c>
      <c r="AA286" s="2323">
        <f t="shared" si="421"/>
        <v>2015</v>
      </c>
      <c r="AB286" s="2323">
        <f t="shared" si="421"/>
        <v>2016</v>
      </c>
      <c r="AC286" s="2323">
        <f t="shared" si="421"/>
        <v>2017</v>
      </c>
      <c r="AD286" s="2323">
        <f t="shared" si="421"/>
        <v>2018</v>
      </c>
      <c r="AE286" s="2323">
        <f t="shared" si="421"/>
        <v>2019</v>
      </c>
      <c r="AF286" s="2323">
        <f t="shared" si="421"/>
        <v>2020</v>
      </c>
      <c r="AH286" s="1721" t="s">
        <v>1562</v>
      </c>
      <c r="AI286" s="2420"/>
      <c r="AJ286" s="2845"/>
      <c r="AK286" s="2759"/>
      <c r="AL286" s="3840">
        <f>+Sector1!$F$287</f>
        <v>0.95</v>
      </c>
      <c r="AM286" s="3841"/>
      <c r="AN286" s="3841"/>
      <c r="AO286" s="3841"/>
      <c r="AP286" s="3841"/>
      <c r="AQ286" s="3842"/>
      <c r="BB286" s="3486">
        <v>2016</v>
      </c>
      <c r="BC286" s="736" t="str">
        <f t="shared" si="381"/>
        <v/>
      </c>
    </row>
    <row r="287" spans="1:55" s="921" customFormat="1" ht="12.75" customHeight="1" thickBot="1">
      <c r="A287" s="701"/>
      <c r="B287" s="701"/>
      <c r="C287" s="859"/>
      <c r="D287" s="1085"/>
      <c r="E287" s="1086" t="s">
        <v>147</v>
      </c>
      <c r="F287" s="1555">
        <v>0.95</v>
      </c>
      <c r="G287" s="1088"/>
      <c r="H287" s="1088">
        <f>+H265/Labour1!H223</f>
        <v>1.9544404573898395</v>
      </c>
      <c r="I287" s="1088">
        <f>+I265/Labour1!I223</f>
        <v>2.0199087031129919</v>
      </c>
      <c r="J287" s="1088">
        <f>+J265/Labour1!J223</f>
        <v>-231.97877425178564</v>
      </c>
      <c r="K287" s="1088">
        <f>+K265/Labour1!K223</f>
        <v>4.1424084673432143E-2</v>
      </c>
      <c r="L287" s="1088">
        <f>+L265/Labour1!L223</f>
        <v>2.1832070398466854</v>
      </c>
      <c r="M287" s="1088">
        <f>+M265/Labour1!M223</f>
        <v>-0.76156635166247799</v>
      </c>
      <c r="N287" s="1088">
        <f>+N265/Labour1!N223</f>
        <v>-3.5007409353908305</v>
      </c>
      <c r="O287" s="1088">
        <f>+O265/Labour1!O223</f>
        <v>0.91384263655498776</v>
      </c>
      <c r="P287" s="1088">
        <f>+P265/Labour1!P223</f>
        <v>0.77376415749300431</v>
      </c>
      <c r="Q287" s="1088">
        <f>+Q265/Labour1!Q223</f>
        <v>-1.4507453991105466</v>
      </c>
      <c r="R287" s="1088">
        <f>+R265/Labour1!R223</f>
        <v>-0.92133140553607606</v>
      </c>
      <c r="S287" s="1088">
        <f>+S265/Labour1!S223</f>
        <v>1.0418572921965854</v>
      </c>
      <c r="T287" s="1088">
        <f>+T265/Labour1!T223</f>
        <v>1.1486031155937233</v>
      </c>
      <c r="U287" s="1088">
        <f>+U265/Labour1!U223</f>
        <v>-2.6656685655514516</v>
      </c>
      <c r="V287" s="1088">
        <f>+V265/Labour1!V223</f>
        <v>0.65326991827846914</v>
      </c>
      <c r="W287" s="1088">
        <f>+W265/Labour1!W223</f>
        <v>1.4566398231923436</v>
      </c>
      <c r="X287" s="1088">
        <f>+X265/Labour1!X223</f>
        <v>0.21633912043537021</v>
      </c>
      <c r="Y287" s="1088">
        <f>+Y265/Labour1!Y223</f>
        <v>0.93500489514238017</v>
      </c>
      <c r="Z287" s="1088">
        <f>+Z265/Labour1!Z223</f>
        <v>0.82138232180651194</v>
      </c>
      <c r="AA287" s="1088">
        <f>+AA265/Labour1!AA223</f>
        <v>1.1997722332364267</v>
      </c>
      <c r="AB287" s="1088">
        <f>+AB265/Labour1!AB223</f>
        <v>0.96323418601536237</v>
      </c>
      <c r="AC287" s="1088">
        <f>+AC265/Labour1!AC223</f>
        <v>1.0983903438279907</v>
      </c>
      <c r="AD287" s="2325">
        <f>+AD265/Labour1!AD223</f>
        <v>1.0073069554486449</v>
      </c>
      <c r="AE287" s="2325">
        <f>+AE265/Labour1!AE223</f>
        <v>1.1526662819755189</v>
      </c>
      <c r="AF287" s="2325">
        <f>+AF265/Labour1!AF223</f>
        <v>1.1905387280772146</v>
      </c>
      <c r="AG287" s="2942"/>
      <c r="AH287" s="1721" t="s">
        <v>409</v>
      </c>
      <c r="AI287" s="2420"/>
      <c r="AJ287" s="2845"/>
      <c r="AK287" s="2759"/>
      <c r="AL287" s="3843">
        <f ca="1">((Transfer!E215-Transfer!D215)/Transfer!D215)/((Transfer!E161-Transfer!D161)/Transfer!D161)</f>
        <v>1.0073069554486453</v>
      </c>
      <c r="AM287" s="3844"/>
      <c r="AN287" s="3843">
        <f ca="1">((Transfer!F215-Transfer!E215)/Transfer!E215)/((Transfer!F161-Transfer!E161)/Transfer!E161)</f>
        <v>1.1526662819755178</v>
      </c>
      <c r="AO287" s="3844"/>
      <c r="AP287" s="3843">
        <f ca="1">((Transfer!G215-Transfer!F215)/Transfer!F215)/((Transfer!G161-Transfer!F161)/Transfer!F161)</f>
        <v>1.1905387280772137</v>
      </c>
      <c r="AQ287" s="3845"/>
      <c r="AR287" s="2942"/>
      <c r="AS287" s="2942"/>
      <c r="AT287" s="2942"/>
      <c r="BB287" s="3464">
        <v>0.9560446577309164</v>
      </c>
      <c r="BC287" s="736" t="str">
        <f t="shared" si="381"/>
        <v/>
      </c>
    </row>
    <row r="288" spans="1:55" s="921" customFormat="1" ht="12.75" customHeight="1">
      <c r="A288" s="701"/>
      <c r="B288" s="701"/>
      <c r="C288" s="863"/>
      <c r="D288" s="843"/>
      <c r="E288" s="844" t="s">
        <v>1759</v>
      </c>
      <c r="F288" s="845"/>
      <c r="G288" s="846"/>
      <c r="H288" s="846"/>
      <c r="I288" s="846"/>
      <c r="J288" s="846"/>
      <c r="K288" s="846">
        <f t="shared" ref="K288:W288" si="422">AVERAGE(H287:K287)</f>
        <v>-56.990750251652344</v>
      </c>
      <c r="L288" s="846">
        <f t="shared" si="422"/>
        <v>-56.933558606038133</v>
      </c>
      <c r="M288" s="846">
        <f t="shared" si="422"/>
        <v>-57.628927369732004</v>
      </c>
      <c r="N288" s="846">
        <f t="shared" si="422"/>
        <v>-0.50941904063329779</v>
      </c>
      <c r="O288" s="846">
        <f t="shared" si="422"/>
        <v>-0.29131440266290887</v>
      </c>
      <c r="P288" s="846">
        <f t="shared" si="422"/>
        <v>-0.64367512325132925</v>
      </c>
      <c r="Q288" s="846">
        <f t="shared" si="422"/>
        <v>-0.81596988511334634</v>
      </c>
      <c r="R288" s="846">
        <f t="shared" si="422"/>
        <v>-0.17111750264965767</v>
      </c>
      <c r="S288" s="846">
        <f t="shared" si="422"/>
        <v>-0.1391138387392582</v>
      </c>
      <c r="T288" s="846">
        <f t="shared" si="422"/>
        <v>-4.5404099214078453E-2</v>
      </c>
      <c r="U288" s="846">
        <f t="shared" si="422"/>
        <v>-0.34913489082430471</v>
      </c>
      <c r="V288" s="846">
        <f t="shared" si="422"/>
        <v>4.4515440129331618E-2</v>
      </c>
      <c r="W288" s="846">
        <f t="shared" si="422"/>
        <v>0.14821107287827112</v>
      </c>
      <c r="X288" s="846">
        <f t="shared" ref="X288" si="423">AVERAGE(U287:X287)</f>
        <v>-8.4854925911317158E-2</v>
      </c>
      <c r="Y288" s="846">
        <f t="shared" ref="Y288" si="424">AVERAGE(V287:Y287)</f>
        <v>0.81531343926214084</v>
      </c>
      <c r="Z288" s="846">
        <f t="shared" ref="Z288" si="425">AVERAGE(W287:Z287)</f>
        <v>0.85734154014415154</v>
      </c>
      <c r="AA288" s="846">
        <f t="shared" ref="AA288" si="426">AVERAGE(X287:AA287)</f>
        <v>0.79312464265517224</v>
      </c>
      <c r="AB288" s="846">
        <f t="shared" ref="AB288" si="427">AVERAGE(Y287:AB287)</f>
        <v>0.97984840905017023</v>
      </c>
      <c r="AC288" s="846">
        <f t="shared" ref="AC288" si="428">AVERAGE(Z287:AC287)</f>
        <v>1.020694771221573</v>
      </c>
      <c r="AD288" s="3103">
        <f t="shared" ref="AD288:AF288" si="429">AVERAGE(AA287:AD287)</f>
        <v>1.0671759296321062</v>
      </c>
      <c r="AE288" s="3103">
        <f t="shared" si="429"/>
        <v>1.0553994418168793</v>
      </c>
      <c r="AF288" s="3103">
        <f t="shared" si="429"/>
        <v>1.1122255773323424</v>
      </c>
      <c r="AG288" s="2942"/>
      <c r="AH288" s="1721" t="s">
        <v>410</v>
      </c>
      <c r="AI288" s="2420"/>
      <c r="AJ288" s="2845"/>
      <c r="AK288" s="2446"/>
      <c r="AL288" s="3837">
        <f ca="1">+Transfer!C260</f>
        <v>7.0611507842217787</v>
      </c>
      <c r="AM288" s="3838"/>
      <c r="AN288" s="3838"/>
      <c r="AO288" s="3838"/>
      <c r="AP288" s="3838"/>
      <c r="AQ288" s="3839"/>
      <c r="AR288" s="2942"/>
      <c r="AS288" s="2942"/>
      <c r="AT288" s="2942"/>
      <c r="BB288" s="3533">
        <v>1.0010290769173555</v>
      </c>
      <c r="BC288" s="736" t="str">
        <f t="shared" si="381"/>
        <v/>
      </c>
    </row>
    <row r="289" spans="1:55" s="921" customFormat="1" ht="12.75" customHeight="1">
      <c r="A289" s="701"/>
      <c r="B289" s="701"/>
      <c r="C289" s="863"/>
      <c r="D289" s="1081"/>
      <c r="E289" s="1082" t="s">
        <v>148</v>
      </c>
      <c r="F289" s="1084"/>
      <c r="G289" s="1552">
        <f>+G253/Labour1!G213</f>
        <v>0.13501833073416938</v>
      </c>
      <c r="H289" s="1552">
        <f>+H253/Labour1!H213</f>
        <v>0.14236211738419383</v>
      </c>
      <c r="I289" s="1552">
        <f>+I253/Labour1!I213</f>
        <v>0.14867133110402797</v>
      </c>
      <c r="J289" s="1552">
        <f>+J253/Labour1!J213</f>
        <v>0.10910393953872215</v>
      </c>
      <c r="K289" s="1552">
        <f>+K253/Labour1!K213</f>
        <v>0.10313327422139129</v>
      </c>
      <c r="L289" s="1552">
        <f>+L253/Labour1!L213</f>
        <v>0.11390385613520185</v>
      </c>
      <c r="M289" s="1552">
        <f>+M253/Labour1!M213</f>
        <v>0.10105432568851827</v>
      </c>
      <c r="N289" s="1552">
        <f>+N253/Labour1!N213</f>
        <v>8.5833647904701341E-2</v>
      </c>
      <c r="O289" s="1552">
        <f>+O253/Labour1!O213</f>
        <v>8.5582818332007593E-2</v>
      </c>
      <c r="P289" s="1552">
        <f>+P253/Labour1!P213</f>
        <v>8.4963072238157203E-2</v>
      </c>
      <c r="Q289" s="1552">
        <f>+Q253/Labour1!Q213</f>
        <v>7.8164546083063724E-2</v>
      </c>
      <c r="R289" s="1552">
        <f>+R253/Labour1!R213</f>
        <v>7.1251062192365044E-2</v>
      </c>
      <c r="S289" s="1552">
        <f>+S253/Labour1!S213</f>
        <v>7.1466626280874176E-2</v>
      </c>
      <c r="T289" s="1552">
        <f>+T253/Labour1!T213</f>
        <v>7.1965711406485694E-2</v>
      </c>
      <c r="U289" s="1552">
        <f>+U253/Labour1!U213</f>
        <v>7.1924073988177142E-2</v>
      </c>
      <c r="V289" s="1552">
        <f>+V253/Labour1!V213</f>
        <v>7.1170677550897996E-2</v>
      </c>
      <c r="W289" s="1552">
        <f>+W253/Labour1!W213</f>
        <v>7.2940892918220548E-2</v>
      </c>
      <c r="X289" s="1552">
        <f>+X253/Labour1!X213</f>
        <v>7.0747340179269841E-2</v>
      </c>
      <c r="Y289" s="1552">
        <f>+Y253/Labour1!Y213</f>
        <v>7.0613090799998238E-2</v>
      </c>
      <c r="Z289" s="1552">
        <f>+Z253/Labour1!Z213</f>
        <v>7.0146406539435449E-2</v>
      </c>
      <c r="AA289" s="1552">
        <f>+AA253/Labour1!AA213</f>
        <v>7.0745542373001985E-2</v>
      </c>
      <c r="AB289" s="1552">
        <f>+AB253/Labour1!AB213</f>
        <v>7.0624896679541013E-2</v>
      </c>
      <c r="AC289" s="1552">
        <f>+AC253/Labour1!AC213</f>
        <v>7.0929185776892681E-2</v>
      </c>
      <c r="AD289" s="3105">
        <f>+AD253/Labour1!AD213</f>
        <v>7.0951414419539033E-2</v>
      </c>
      <c r="AE289" s="3105">
        <f>+AE253/Labour1!AE213</f>
        <v>7.1326648832971906E-2</v>
      </c>
      <c r="AF289" s="3105">
        <f>+AF253/Labour1!AF213</f>
        <v>7.1743061673204614E-2</v>
      </c>
      <c r="AG289" s="2942"/>
      <c r="AH289" s="1721" t="s">
        <v>1381</v>
      </c>
      <c r="AI289" s="2420"/>
      <c r="AJ289" s="2845"/>
      <c r="AK289" s="2759"/>
      <c r="AL289" s="3826">
        <f ca="1">100*Transfer!E215/Transfer!E161</f>
        <v>7.0951414419539045</v>
      </c>
      <c r="AM289" s="3827"/>
      <c r="AN289" s="3826">
        <f ca="1">100*Transfer!F215/Transfer!F161</f>
        <v>7.1326648832971919</v>
      </c>
      <c r="AO289" s="3827"/>
      <c r="AP289" s="3826">
        <f ca="1">100*Transfer!G215/Transfer!G161</f>
        <v>7.1743061673204611</v>
      </c>
      <c r="AQ289" s="3828"/>
      <c r="AR289" s="2942"/>
      <c r="AS289" s="2942"/>
      <c r="AT289" s="2942"/>
      <c r="BB289" s="3462">
        <v>7.8635481151204431E-2</v>
      </c>
      <c r="BC289" s="736" t="str">
        <f t="shared" si="381"/>
        <v/>
      </c>
    </row>
    <row r="290" spans="1:55" s="921" customFormat="1" ht="12.75" customHeight="1" thickBot="1">
      <c r="A290" s="701"/>
      <c r="B290" s="701">
        <v>160</v>
      </c>
      <c r="C290" s="864"/>
      <c r="D290" s="1089"/>
      <c r="E290" s="1090" t="s">
        <v>1759</v>
      </c>
      <c r="F290" s="1091"/>
      <c r="G290" s="1550"/>
      <c r="H290" s="1551"/>
      <c r="I290" s="1551"/>
      <c r="J290" s="1551">
        <f t="shared" ref="J290:W290" si="430">AVERAGE(G289:J289)</f>
        <v>0.13378892969027834</v>
      </c>
      <c r="K290" s="1551">
        <f t="shared" si="430"/>
        <v>0.12581766556208379</v>
      </c>
      <c r="L290" s="1551">
        <f t="shared" si="430"/>
        <v>0.11870310024983582</v>
      </c>
      <c r="M290" s="1551">
        <f t="shared" si="430"/>
        <v>0.10679884889595839</v>
      </c>
      <c r="N290" s="1551">
        <f t="shared" si="430"/>
        <v>0.10098127598745318</v>
      </c>
      <c r="O290" s="1551">
        <f t="shared" si="430"/>
        <v>9.6593662015107259E-2</v>
      </c>
      <c r="P290" s="1551">
        <f t="shared" si="430"/>
        <v>8.9358466040846102E-2</v>
      </c>
      <c r="Q290" s="1551">
        <f t="shared" si="430"/>
        <v>8.3636021139482458E-2</v>
      </c>
      <c r="R290" s="1551">
        <f t="shared" si="430"/>
        <v>7.9990374711398388E-2</v>
      </c>
      <c r="S290" s="1551">
        <f t="shared" si="430"/>
        <v>7.6461326698615037E-2</v>
      </c>
      <c r="T290" s="1551">
        <f t="shared" si="430"/>
        <v>7.3211986490697156E-2</v>
      </c>
      <c r="U290" s="1551">
        <f t="shared" si="430"/>
        <v>7.1651868466975521E-2</v>
      </c>
      <c r="V290" s="1551">
        <f t="shared" si="430"/>
        <v>7.1631772306608749E-2</v>
      </c>
      <c r="W290" s="1551">
        <f t="shared" si="430"/>
        <v>7.2000338965945349E-2</v>
      </c>
      <c r="X290" s="1551">
        <f t="shared" ref="X290" si="431">AVERAGE(U289:X289)</f>
        <v>7.1695746159141371E-2</v>
      </c>
      <c r="Y290" s="1551">
        <f t="shared" ref="Y290" si="432">AVERAGE(V289:Y289)</f>
        <v>7.1368000362096659E-2</v>
      </c>
      <c r="Z290" s="1551">
        <f t="shared" ref="Z290" si="433">AVERAGE(W289:Z289)</f>
        <v>7.1111932609231016E-2</v>
      </c>
      <c r="AA290" s="1551">
        <f t="shared" ref="AA290" si="434">AVERAGE(X289:AA289)</f>
        <v>7.0563094972926371E-2</v>
      </c>
      <c r="AB290" s="1551">
        <f t="shared" ref="AB290" si="435">AVERAGE(Y289:AB289)</f>
        <v>7.0532484097994175E-2</v>
      </c>
      <c r="AC290" s="1551">
        <f t="shared" ref="AC290" si="436">AVERAGE(Z289:AC289)</f>
        <v>7.0611507842217786E-2</v>
      </c>
      <c r="AD290" s="3106">
        <f t="shared" ref="AD290:AF290" si="437">AVERAGE(AA289:AD289)</f>
        <v>7.0812759812243664E-2</v>
      </c>
      <c r="AE290" s="3106">
        <f t="shared" si="437"/>
        <v>7.0958036427236165E-2</v>
      </c>
      <c r="AF290" s="3106">
        <f t="shared" si="437"/>
        <v>7.1237577675652058E-2</v>
      </c>
      <c r="AG290" s="2942"/>
      <c r="AH290" s="2464" t="s">
        <v>1382</v>
      </c>
      <c r="AI290" s="2803"/>
      <c r="AJ290" s="2849"/>
      <c r="AK290" s="2805"/>
      <c r="AL290" s="3832">
        <f ca="1">100*(((Transfer!E215/Transfer!D215)-1)-(Sector1!$F$287*((Transfer!E161/Transfer!D161)-1)))*(Transfer!D215/Transfer!E147)</f>
        <v>8.1806569558697095E-3</v>
      </c>
      <c r="AM290" s="3833"/>
      <c r="AN290" s="3834">
        <f ca="1">100*(((Transfer!F215/Transfer!E215)-1)-(Sector1!$F$287*((Transfer!F161/Transfer!E161)-1)))*(Transfer!E215/Transfer!F147)</f>
        <v>2.3331240529265711E-2</v>
      </c>
      <c r="AO290" s="3835"/>
      <c r="AP290" s="3834">
        <f ca="1">100*(((Transfer!G215/Transfer!F215)-1)-(Sector1!$F$287*((Transfer!G161/Transfer!F161)-1)))*(Transfer!F215/Transfer!G147)</f>
        <v>2.4530576339337626E-2</v>
      </c>
      <c r="AQ290" s="3836"/>
      <c r="AR290" s="2942"/>
      <c r="AS290" s="2942"/>
      <c r="AT290" s="2942"/>
      <c r="BB290" s="3534">
        <v>7.8465473848342557E-2</v>
      </c>
      <c r="BC290" s="736" t="str">
        <f t="shared" si="381"/>
        <v/>
      </c>
    </row>
    <row r="291" spans="1:55" ht="30" customHeight="1">
      <c r="A291" s="701"/>
      <c r="B291" s="701"/>
      <c r="C291" s="811"/>
      <c r="BC291" s="736" t="str">
        <f t="shared" si="381"/>
        <v/>
      </c>
    </row>
    <row r="292" spans="1:55" ht="30" customHeight="1">
      <c r="BC292" s="736" t="str">
        <f t="shared" si="381"/>
        <v/>
      </c>
    </row>
    <row r="293" spans="1:55" ht="22.5" customHeight="1">
      <c r="A293" s="590"/>
      <c r="B293" s="590"/>
      <c r="C293" s="3816" t="s">
        <v>313</v>
      </c>
      <c r="D293" s="3816"/>
      <c r="E293" s="3816"/>
      <c r="F293" s="3816"/>
      <c r="Y293" s="2373">
        <f t="shared" ref="Y293:AA293" si="438">Y294-X294</f>
        <v>3.0762820477237274E-3</v>
      </c>
      <c r="Z293" s="2373">
        <f t="shared" si="438"/>
        <v>-4.6369182287084865E-3</v>
      </c>
      <c r="AA293" s="2373">
        <f t="shared" si="438"/>
        <v>-4.757621179775795E-3</v>
      </c>
      <c r="AB293" s="2373">
        <f>AB294-AA294</f>
        <v>-1.7445832510627757E-3</v>
      </c>
      <c r="AC293" s="2373">
        <f t="shared" ref="AC293:AF293" si="439">AC294-AB294</f>
        <v>-2.6255496216132934E-3</v>
      </c>
      <c r="AD293" s="2373">
        <f t="shared" ca="1" si="439"/>
        <v>-1.6599272368993112E-3</v>
      </c>
      <c r="AE293" s="2373">
        <f t="shared" ca="1" si="439"/>
        <v>-2.8028259924183924E-3</v>
      </c>
      <c r="AF293" s="2373">
        <f t="shared" ca="1" si="439"/>
        <v>-1.8609270986354592E-3</v>
      </c>
      <c r="BC293" s="736" t="str">
        <f t="shared" si="381"/>
        <v/>
      </c>
    </row>
    <row r="294" spans="1:55" ht="12.75" customHeight="1">
      <c r="A294" s="701"/>
      <c r="B294" s="701"/>
      <c r="C294" s="811"/>
      <c r="X294" s="2339">
        <f>X298/'VVP2'!X341</f>
        <v>0.13985634086960483</v>
      </c>
      <c r="Y294" s="2339">
        <f>Y298/'VVP2'!Y341</f>
        <v>0.14293262291732856</v>
      </c>
      <c r="Z294" s="2339">
        <f>Z298/'VVP2'!Z341</f>
        <v>0.13829570468862007</v>
      </c>
      <c r="AA294" s="2339">
        <f>AA298/'VVP2'!AA341</f>
        <v>0.13353808350884427</v>
      </c>
      <c r="AB294" s="2339">
        <f>AB298/'VVP2'!AB341</f>
        <v>0.1317935002577815</v>
      </c>
      <c r="AC294" s="2339">
        <f>AC298/'VVP2'!AC341</f>
        <v>0.12916795063616821</v>
      </c>
      <c r="AD294" s="2339">
        <f ca="1">AD298/'VVP2'!AD341</f>
        <v>0.12750802339926889</v>
      </c>
      <c r="AE294" s="2339">
        <f ca="1">AE298/'VVP2'!AE341</f>
        <v>0.1247051974068505</v>
      </c>
      <c r="AF294" s="2339">
        <f ca="1">AF298/'VVP2'!AF341</f>
        <v>0.12284427030821504</v>
      </c>
      <c r="AN294" s="2940"/>
      <c r="AO294" s="2940"/>
      <c r="AP294" s="2940"/>
      <c r="AQ294" s="2940"/>
      <c r="BC294" s="736" t="str">
        <f t="shared" si="381"/>
        <v/>
      </c>
    </row>
    <row r="295" spans="1:55" ht="12.75" customHeight="1">
      <c r="A295" s="701"/>
      <c r="B295" s="701"/>
      <c r="C295" s="811"/>
      <c r="D295" s="812"/>
      <c r="E295" s="813" t="s">
        <v>1882</v>
      </c>
      <c r="F295" s="814"/>
      <c r="G295" s="815">
        <f>+InputY!$G$3</f>
        <v>1995</v>
      </c>
      <c r="H295" s="815">
        <f>+G295+1</f>
        <v>1996</v>
      </c>
      <c r="I295" s="815">
        <f t="shared" ref="I295:O295" si="440">+H295+1</f>
        <v>1997</v>
      </c>
      <c r="J295" s="815">
        <f t="shared" si="440"/>
        <v>1998</v>
      </c>
      <c r="K295" s="815">
        <f t="shared" si="440"/>
        <v>1999</v>
      </c>
      <c r="L295" s="815">
        <f t="shared" si="440"/>
        <v>2000</v>
      </c>
      <c r="M295" s="815">
        <f t="shared" si="440"/>
        <v>2001</v>
      </c>
      <c r="N295" s="815">
        <f t="shared" si="440"/>
        <v>2002</v>
      </c>
      <c r="O295" s="815">
        <f t="shared" si="440"/>
        <v>2003</v>
      </c>
      <c r="P295" s="815">
        <f>+O295+1</f>
        <v>2004</v>
      </c>
      <c r="Q295" s="815">
        <f>+P295+1</f>
        <v>2005</v>
      </c>
      <c r="R295" s="815">
        <f>+Q295+1</f>
        <v>2006</v>
      </c>
      <c r="S295" s="815">
        <f>+R295+1</f>
        <v>2007</v>
      </c>
      <c r="T295" s="815">
        <f t="shared" ref="T295:AF295" si="441">+S295+1</f>
        <v>2008</v>
      </c>
      <c r="U295" s="815">
        <f t="shared" si="441"/>
        <v>2009</v>
      </c>
      <c r="V295" s="815">
        <f t="shared" si="441"/>
        <v>2010</v>
      </c>
      <c r="W295" s="815">
        <f t="shared" si="441"/>
        <v>2011</v>
      </c>
      <c r="X295" s="2285">
        <f t="shared" si="441"/>
        <v>2012</v>
      </c>
      <c r="Y295" s="2285">
        <f t="shared" si="441"/>
        <v>2013</v>
      </c>
      <c r="Z295" s="2285">
        <f t="shared" si="441"/>
        <v>2014</v>
      </c>
      <c r="AA295" s="2285">
        <f t="shared" si="441"/>
        <v>2015</v>
      </c>
      <c r="AB295" s="2285">
        <f t="shared" si="441"/>
        <v>2016</v>
      </c>
      <c r="AC295" s="2285">
        <f t="shared" si="441"/>
        <v>2017</v>
      </c>
      <c r="AD295" s="2285">
        <f t="shared" si="441"/>
        <v>2018</v>
      </c>
      <c r="AE295" s="2285">
        <f t="shared" si="441"/>
        <v>2019</v>
      </c>
      <c r="AF295" s="2285">
        <f t="shared" si="441"/>
        <v>2020</v>
      </c>
      <c r="AH295" s="2940"/>
      <c r="AI295" s="2940"/>
      <c r="AJ295" s="2940"/>
      <c r="AK295" s="2940"/>
      <c r="AL295" s="2940"/>
      <c r="AM295" s="2940"/>
      <c r="BB295" s="3470">
        <v>2016</v>
      </c>
      <c r="BC295" s="736" t="str">
        <f t="shared" si="381"/>
        <v/>
      </c>
    </row>
    <row r="296" spans="1:55" ht="12.75" customHeight="1">
      <c r="A296" s="701">
        <f>+ROW(InputY!A195)</f>
        <v>195</v>
      </c>
      <c r="B296" s="701" t="s">
        <v>953</v>
      </c>
      <c r="C296" s="816" t="s">
        <v>1791</v>
      </c>
      <c r="D296" s="705" t="s">
        <v>664</v>
      </c>
      <c r="E296" s="737" t="s">
        <v>1668</v>
      </c>
      <c r="F296" s="738" t="str">
        <f>+InputY!B195</f>
        <v>$HTaxSoc(2)</v>
      </c>
      <c r="G296" s="817">
        <f>+InputY!G195/1000</f>
        <v>40.308</v>
      </c>
      <c r="H296" s="817">
        <f>+InputY!H195/1000</f>
        <v>39.244999999999997</v>
      </c>
      <c r="I296" s="817">
        <f>+InputY!I195/1000</f>
        <v>37.164000000000001</v>
      </c>
      <c r="J296" s="817">
        <f>+InputY!J195/1000</f>
        <v>35.168999999999997</v>
      </c>
      <c r="K296" s="817">
        <f>+InputY!K195/1000</f>
        <v>32.468000000000004</v>
      </c>
      <c r="L296" s="817">
        <f>+InputY!L195/1000</f>
        <v>31.707999999999998</v>
      </c>
      <c r="M296" s="817">
        <f>+InputY!M195/1000</f>
        <v>23.864000000000001</v>
      </c>
      <c r="N296" s="817">
        <f>+InputY!N195/1000</f>
        <v>22.780999999999999</v>
      </c>
      <c r="O296" s="817">
        <f>+InputY!O195/1000</f>
        <v>28.256</v>
      </c>
      <c r="P296" s="817">
        <f>+InputY!P195/1000</f>
        <v>32.533999999999999</v>
      </c>
      <c r="Q296" s="817">
        <f>+InputY!Q195/1000</f>
        <v>31.113</v>
      </c>
      <c r="R296" s="2965">
        <f>+InputY!R195/1000</f>
        <v>27.167000000000002</v>
      </c>
      <c r="S296" s="2965">
        <f>+InputY!S195/1000</f>
        <v>19.777999999999999</v>
      </c>
      <c r="T296" s="2965">
        <f>+InputY!T195/1000</f>
        <v>13.577999999999999</v>
      </c>
      <c r="U296" s="2965">
        <f>+InputY!U195/1000</f>
        <v>19.327000000000002</v>
      </c>
      <c r="V296" s="2965">
        <f>+InputY!V195/1000</f>
        <v>17.646000000000001</v>
      </c>
      <c r="W296" s="2965">
        <f>+InputY!W195/1000</f>
        <v>13.112</v>
      </c>
      <c r="X296" s="2965">
        <f>+InputY!X195/1000</f>
        <v>13.71</v>
      </c>
      <c r="Y296" s="2965">
        <f>+InputY!Y195/1000</f>
        <v>14.632999999999999</v>
      </c>
      <c r="Z296" s="2965">
        <f>+InputY!Z195/1000</f>
        <v>13.385</v>
      </c>
      <c r="AA296" s="2965">
        <f>+InputY!AA195/1000</f>
        <v>12.738</v>
      </c>
      <c r="AB296" s="2965">
        <f>+InputY!AB195/1000</f>
        <v>12.516</v>
      </c>
      <c r="AC296" s="2965">
        <f>+InputY!AC195/1000</f>
        <v>12.244999999999999</v>
      </c>
      <c r="AD296" s="2966">
        <f t="shared" ref="AD296:AF299" si="442">+AC296*(1+AD304/100)</f>
        <v>12.122549999999999</v>
      </c>
      <c r="AE296" s="2966">
        <f t="shared" si="442"/>
        <v>12.001324499999999</v>
      </c>
      <c r="AF296" s="2966">
        <f t="shared" si="442"/>
        <v>11.881311254999998</v>
      </c>
      <c r="BB296" s="3516">
        <v>12.516</v>
      </c>
      <c r="BC296" s="736" t="str">
        <f t="shared" si="381"/>
        <v/>
      </c>
    </row>
    <row r="297" spans="1:55" ht="12.75" customHeight="1">
      <c r="A297" s="701">
        <f>+ROW(InputY!A123)</f>
        <v>123</v>
      </c>
      <c r="B297" s="701" t="s">
        <v>954</v>
      </c>
      <c r="C297" s="819" t="s">
        <v>1791</v>
      </c>
      <c r="D297" s="711" t="s">
        <v>665</v>
      </c>
      <c r="E297" s="820" t="s">
        <v>1668</v>
      </c>
      <c r="F297" s="741" t="str">
        <f>+InputY!B123</f>
        <v>$ETSoc</v>
      </c>
      <c r="G297" s="743">
        <f>+InputY!G123/1000</f>
        <v>28.404</v>
      </c>
      <c r="H297" s="743">
        <f>+InputY!H123/1000</f>
        <v>27.81</v>
      </c>
      <c r="I297" s="743">
        <f>+InputY!I123/1000</f>
        <v>31.445</v>
      </c>
      <c r="J297" s="743">
        <f>+InputY!J123/1000</f>
        <v>30.323</v>
      </c>
      <c r="K297" s="743">
        <f>+InputY!K123/1000</f>
        <v>31.167000000000002</v>
      </c>
      <c r="L297" s="743">
        <f>+InputY!L123/1000</f>
        <v>31.995000000000001</v>
      </c>
      <c r="M297" s="743">
        <f>+InputY!M123/1000</f>
        <v>33.801000000000002</v>
      </c>
      <c r="N297" s="743">
        <f>+InputY!N123/1000</f>
        <v>39.265000000000001</v>
      </c>
      <c r="O297" s="743">
        <f>+InputY!O123/1000</f>
        <v>40.701999999999998</v>
      </c>
      <c r="P297" s="743">
        <f>+InputY!P123/1000</f>
        <v>42.103000000000002</v>
      </c>
      <c r="Q297" s="743">
        <f>+InputY!Q123/1000</f>
        <v>49.561</v>
      </c>
      <c r="R297" s="1616">
        <f>+InputY!R123/1000</f>
        <v>51.844999999999999</v>
      </c>
      <c r="S297" s="1616">
        <f>+InputY!S123/1000</f>
        <v>55.982999999999997</v>
      </c>
      <c r="T297" s="1616">
        <f>+InputY!T123/1000</f>
        <v>69.492000000000004</v>
      </c>
      <c r="U297" s="1616">
        <f>+InputY!U123/1000</f>
        <v>74.902000000000001</v>
      </c>
      <c r="V297" s="1616">
        <f>+InputY!V123/1000</f>
        <v>79.320999999999998</v>
      </c>
      <c r="W297" s="1616">
        <f>+InputY!W123/1000</f>
        <v>92.878</v>
      </c>
      <c r="X297" s="1616">
        <f>+InputY!X123/1000</f>
        <v>94.954999999999998</v>
      </c>
      <c r="Y297" s="1616">
        <f>+InputY!Y123/1000</f>
        <v>103.65</v>
      </c>
      <c r="Z297" s="1616">
        <f>+InputY!Z123/1000</f>
        <v>108.697</v>
      </c>
      <c r="AA297" s="1616">
        <f>+InputY!AA123/1000</f>
        <v>117.974</v>
      </c>
      <c r="AB297" s="1616">
        <f>+InputY!AB123/1000</f>
        <v>121.541</v>
      </c>
      <c r="AC297" s="1616">
        <f>+InputY!AC123/1000</f>
        <v>129.874</v>
      </c>
      <c r="AD297" s="2343">
        <f t="shared" si="442"/>
        <v>134.289716</v>
      </c>
      <c r="AE297" s="2343">
        <f t="shared" si="442"/>
        <v>138.85556634400001</v>
      </c>
      <c r="AF297" s="2343">
        <f t="shared" si="442"/>
        <v>143.57665559969601</v>
      </c>
      <c r="BB297" s="3517">
        <v>121.03400000000001</v>
      </c>
      <c r="BC297" s="736" t="str">
        <f t="shared" si="381"/>
        <v/>
      </c>
    </row>
    <row r="298" spans="1:55" s="3752" customFormat="1" ht="12.75" customHeight="1">
      <c r="A298" s="3748">
        <f>+ROW(InputY!A160)</f>
        <v>160</v>
      </c>
      <c r="B298" s="3748">
        <v>121</v>
      </c>
      <c r="C298" s="3749" t="s">
        <v>1791</v>
      </c>
      <c r="D298" s="3720" t="s">
        <v>666</v>
      </c>
      <c r="E298" s="3715" t="s">
        <v>1668</v>
      </c>
      <c r="F298" s="3716" t="str">
        <f>+InputY!B160</f>
        <v>$ATToH</v>
      </c>
      <c r="G298" s="3717">
        <f>+InputY!G160/1000</f>
        <v>324.35199999999998</v>
      </c>
      <c r="H298" s="3717">
        <f>+InputY!H160/1000</f>
        <v>317.47399999999999</v>
      </c>
      <c r="I298" s="3717">
        <f>+InputY!I160/1000</f>
        <v>320.11200000000002</v>
      </c>
      <c r="J298" s="3717">
        <f>+InputY!J160/1000</f>
        <v>332.70299999999997</v>
      </c>
      <c r="K298" s="3717">
        <f>+InputY!K160/1000</f>
        <v>345.29</v>
      </c>
      <c r="L298" s="3717">
        <f>+InputY!L160/1000</f>
        <v>352.71600000000001</v>
      </c>
      <c r="M298" s="3717">
        <f>+InputY!M160/1000</f>
        <v>369.43599999999998</v>
      </c>
      <c r="N298" s="3717">
        <f>+InputY!N160/1000</f>
        <v>387.928</v>
      </c>
      <c r="O298" s="3717">
        <f>+InputY!O160/1000</f>
        <v>416.36700000000002</v>
      </c>
      <c r="P298" s="3717">
        <f>+InputY!P160/1000</f>
        <v>426.30599999999998</v>
      </c>
      <c r="Q298" s="3717">
        <f>+InputY!Q160/1000</f>
        <v>435.13799999999998</v>
      </c>
      <c r="R298" s="3718">
        <f>+InputY!R160/1000</f>
        <v>446.697</v>
      </c>
      <c r="S298" s="3718">
        <f>+InputY!S160/1000</f>
        <v>448.86200000000002</v>
      </c>
      <c r="T298" s="3718">
        <f>+InputY!T160/1000</f>
        <v>462.101</v>
      </c>
      <c r="U298" s="3718">
        <f>+InputY!U160/1000</f>
        <v>488.28699999999998</v>
      </c>
      <c r="V298" s="3718">
        <f>+InputY!V160/1000</f>
        <v>491.79</v>
      </c>
      <c r="W298" s="3718">
        <f>+InputY!W160/1000</f>
        <v>491.85300000000001</v>
      </c>
      <c r="X298" s="3718">
        <f>+InputY!X160/1000</f>
        <v>515.91200000000003</v>
      </c>
      <c r="Y298" s="3718">
        <f>+InputY!Y160/1000</f>
        <v>539.41899999999998</v>
      </c>
      <c r="Z298" s="3718">
        <f>+InputY!Z160/1000</f>
        <v>545.01300000000003</v>
      </c>
      <c r="AA298" s="3718">
        <f>+InputY!AA160/1000</f>
        <v>561.06600000000003</v>
      </c>
      <c r="AB298" s="3718">
        <f>+InputY!AB160/1000</f>
        <v>577.98</v>
      </c>
      <c r="AC298" s="3718">
        <f>+InputY!AC160/1000</f>
        <v>591.447</v>
      </c>
      <c r="AD298" s="3723">
        <f>+AC298*(1+AD306/100)</f>
        <v>612.44336850000002</v>
      </c>
      <c r="AE298" s="3723">
        <f>+AD298*(1+AE306/100)</f>
        <v>621.6300190275</v>
      </c>
      <c r="AF298" s="3723">
        <f>+AE298*(1+AF306/100)</f>
        <v>634.06261940804995</v>
      </c>
      <c r="AG298" s="3750"/>
      <c r="AH298" s="3751"/>
      <c r="AI298" s="3751"/>
      <c r="AJ298" s="3751"/>
      <c r="AK298" s="3750"/>
      <c r="AL298" s="3750"/>
      <c r="AM298" s="3750"/>
      <c r="AN298" s="3750"/>
      <c r="AO298" s="3750"/>
      <c r="AP298" s="3750"/>
      <c r="AQ298" s="3750"/>
      <c r="AR298" s="3750"/>
      <c r="AS298" s="3750"/>
      <c r="AT298" s="3750"/>
      <c r="BB298" s="3753">
        <v>577.96400000000006</v>
      </c>
      <c r="BC298" s="3752" t="str">
        <f t="shared" si="381"/>
        <v/>
      </c>
    </row>
    <row r="299" spans="1:55" ht="12.75" customHeight="1">
      <c r="A299" s="2014">
        <f>ROW(InputY!A250)</f>
        <v>250</v>
      </c>
      <c r="B299" s="701" t="s">
        <v>950</v>
      </c>
      <c r="C299" s="819" t="s">
        <v>301</v>
      </c>
      <c r="D299" s="711" t="s">
        <v>667</v>
      </c>
      <c r="E299" s="820" t="s">
        <v>313</v>
      </c>
      <c r="F299" s="741" t="s">
        <v>232</v>
      </c>
      <c r="G299" s="743">
        <f>+InputY!G250/1000</f>
        <v>0</v>
      </c>
      <c r="H299" s="743">
        <f>+InputY!H250/1000</f>
        <v>0</v>
      </c>
      <c r="I299" s="743">
        <f>+InputY!I250/1000</f>
        <v>0</v>
      </c>
      <c r="J299" s="743">
        <f>+InputY!J250/1000</f>
        <v>-5.0000000000000001E-3</v>
      </c>
      <c r="K299" s="743">
        <f>+InputY!K250/1000</f>
        <v>-1.2E-2</v>
      </c>
      <c r="L299" s="743">
        <f>+InputY!L250/1000</f>
        <v>-1.7000000000000001E-2</v>
      </c>
      <c r="M299" s="743">
        <f>+InputY!M250/1000</f>
        <v>-1.7000000000000001E-2</v>
      </c>
      <c r="N299" s="743">
        <f>+InputY!N250/1000</f>
        <v>-1.7999999999999999E-2</v>
      </c>
      <c r="O299" s="743">
        <f>+InputY!O250/1000</f>
        <v>2.444</v>
      </c>
      <c r="P299" s="743">
        <f>+InputY!P250/1000</f>
        <v>2.6669999999999998</v>
      </c>
      <c r="Q299" s="743">
        <f>+InputY!Q250/1000</f>
        <v>2.9550000000000001</v>
      </c>
      <c r="R299" s="743">
        <f>+InputY!R250/1000</f>
        <v>3.1110000000000002</v>
      </c>
      <c r="S299" s="743">
        <f>+InputY!S250/1000</f>
        <v>3.25</v>
      </c>
      <c r="T299" s="743">
        <f>+InputY!T250/1000</f>
        <v>3.399</v>
      </c>
      <c r="U299" s="743">
        <f>+InputY!U250/1000</f>
        <v>3.59</v>
      </c>
      <c r="V299" s="743">
        <f>+InputY!V250/1000</f>
        <v>3.5680000000000001</v>
      </c>
      <c r="W299" s="743">
        <f>+InputY!W250/1000</f>
        <v>3.5569999999999999</v>
      </c>
      <c r="X299" s="743">
        <f>+InputY!X250/1000</f>
        <v>3.9929999999999999</v>
      </c>
      <c r="Y299" s="743">
        <f>+InputY!Y250/1000</f>
        <v>4.1230000000000002</v>
      </c>
      <c r="Z299" s="3376">
        <f>-Z300+Z298+Z297+Z296</f>
        <v>5.2180000000000835</v>
      </c>
      <c r="AA299" s="3376">
        <f>-AA300+AA298+AA297+AA296</f>
        <v>5.8690000000000424</v>
      </c>
      <c r="AB299" s="3376">
        <f>-AB300+AB298+AB297+AB296</f>
        <v>6.7670000000000332</v>
      </c>
      <c r="AC299" s="3376">
        <f>-AC300+AC298+AC297+AC296</f>
        <v>6.1180000000000181</v>
      </c>
      <c r="AD299" s="2343">
        <f t="shared" si="442"/>
        <v>6.2403600000000186</v>
      </c>
      <c r="AE299" s="2343">
        <f t="shared" si="442"/>
        <v>6.3651672000000188</v>
      </c>
      <c r="AF299" s="2343">
        <f t="shared" si="442"/>
        <v>6.4924705440000192</v>
      </c>
      <c r="BB299" s="3541">
        <v>6.7990000000000297</v>
      </c>
      <c r="BC299" s="736" t="str">
        <f t="shared" si="381"/>
        <v/>
      </c>
    </row>
    <row r="300" spans="1:55" ht="12.75" customHeight="1">
      <c r="A300" s="701">
        <f>+ROW(InputY!A193)</f>
        <v>193</v>
      </c>
      <c r="B300" s="701" t="s">
        <v>959</v>
      </c>
      <c r="C300" s="821" t="s">
        <v>1793</v>
      </c>
      <c r="D300" s="789" t="s">
        <v>664</v>
      </c>
      <c r="E300" s="790" t="s">
        <v>1663</v>
      </c>
      <c r="F300" s="791" t="str">
        <f>+InputY!B193</f>
        <v>YHTSoc(2)</v>
      </c>
      <c r="G300" s="822">
        <f>+InputY!G193/1000</f>
        <v>393.06400000000002</v>
      </c>
      <c r="H300" s="822">
        <f>+InputY!H193/1000</f>
        <v>384.529</v>
      </c>
      <c r="I300" s="822">
        <f>+InputY!I193/1000</f>
        <v>388.721</v>
      </c>
      <c r="J300" s="822">
        <f>+InputY!J193/1000</f>
        <v>398.2</v>
      </c>
      <c r="K300" s="822">
        <f>+InputY!K193/1000</f>
        <v>408.93700000000001</v>
      </c>
      <c r="L300" s="822">
        <f>+InputY!L193/1000</f>
        <v>416.43599999999998</v>
      </c>
      <c r="M300" s="822">
        <f>+InputY!M193/1000</f>
        <v>427.11799999999999</v>
      </c>
      <c r="N300" s="822">
        <f>+InputY!N193/1000</f>
        <v>449.99200000000002</v>
      </c>
      <c r="O300" s="822">
        <f>+InputY!O193/1000</f>
        <v>482.87299999999999</v>
      </c>
      <c r="P300" s="822">
        <f>+InputY!P193/1000</f>
        <v>498.27</v>
      </c>
      <c r="Q300" s="822">
        <f>+InputY!Q193/1000</f>
        <v>512.846</v>
      </c>
      <c r="R300" s="2967">
        <f>+InputY!R193/1000</f>
        <v>522.58900000000006</v>
      </c>
      <c r="S300" s="2967">
        <f>+InputY!S193/1000</f>
        <v>521.36300000000006</v>
      </c>
      <c r="T300" s="2967">
        <f>+InputY!T193/1000</f>
        <v>541.76199999999994</v>
      </c>
      <c r="U300" s="2967">
        <f>+InputY!U193/1000</f>
        <v>578.91399999999999</v>
      </c>
      <c r="V300" s="2967">
        <f>+InputY!V193/1000</f>
        <v>585.17700000000002</v>
      </c>
      <c r="W300" s="2967">
        <f>+InputY!W193/1000</f>
        <v>594.27599999999995</v>
      </c>
      <c r="X300" s="2967">
        <f>+InputY!X193/1000</f>
        <v>620.572</v>
      </c>
      <c r="Y300" s="2967">
        <f>+InputY!Y193/1000</f>
        <v>653.56299999999999</v>
      </c>
      <c r="Z300" s="2967">
        <f>+InputY!Z193/1000</f>
        <v>661.87699999999995</v>
      </c>
      <c r="AA300" s="2967">
        <f>+InputY!AA193/1000</f>
        <v>685.90899999999999</v>
      </c>
      <c r="AB300" s="2967">
        <f>+InputY!AB193/1000</f>
        <v>705.27</v>
      </c>
      <c r="AC300" s="2967">
        <f>+InputY!AC193/1000</f>
        <v>727.44799999999998</v>
      </c>
      <c r="AD300" s="2966">
        <f>+AD296+AD297+AD298-AD299</f>
        <v>752.61527449999994</v>
      </c>
      <c r="AE300" s="2966">
        <f>+AE296+AE297+AE298-AE299</f>
        <v>766.1217426715001</v>
      </c>
      <c r="AF300" s="2966">
        <f>+AF296+AF297+AF298-AF299</f>
        <v>783.02811571874588</v>
      </c>
      <c r="BB300" s="3518">
        <v>704.71500000000003</v>
      </c>
      <c r="BC300" s="736" t="str">
        <f t="shared" si="381"/>
        <v/>
      </c>
    </row>
    <row r="301" spans="1:55" s="2032" customFormat="1" ht="12.75" customHeight="1">
      <c r="A301" s="1036"/>
      <c r="B301" s="1036"/>
      <c r="C301" s="1647"/>
      <c r="D301" s="1051"/>
      <c r="E301" s="2033" t="s">
        <v>90</v>
      </c>
      <c r="F301" s="2034"/>
      <c r="G301" s="1040">
        <f>ABS(+G296+G297+G298-G299-G300)</f>
        <v>5.6843418860808015E-14</v>
      </c>
      <c r="H301" s="1040">
        <f t="shared" ref="H301:X301" si="443">ABS(+H296+H297+H298-H299-H300)</f>
        <v>0</v>
      </c>
      <c r="I301" s="1040">
        <f t="shared" si="443"/>
        <v>0</v>
      </c>
      <c r="J301" s="1040">
        <f t="shared" si="443"/>
        <v>5.6843418860808015E-14</v>
      </c>
      <c r="K301" s="1040">
        <f t="shared" si="443"/>
        <v>0</v>
      </c>
      <c r="L301" s="1040">
        <f t="shared" si="443"/>
        <v>0</v>
      </c>
      <c r="M301" s="1040">
        <f t="shared" si="443"/>
        <v>0</v>
      </c>
      <c r="N301" s="1040">
        <f t="shared" si="443"/>
        <v>5.6843418860808015E-14</v>
      </c>
      <c r="O301" s="1040">
        <f t="shared" si="443"/>
        <v>8.0000000000381988E-3</v>
      </c>
      <c r="P301" s="1040">
        <f t="shared" si="443"/>
        <v>6.0000000000286491E-3</v>
      </c>
      <c r="Q301" s="1040">
        <f t="shared" si="443"/>
        <v>1.0999999999967258E-2</v>
      </c>
      <c r="R301" s="1040">
        <f t="shared" si="443"/>
        <v>9.0000000000145519E-3</v>
      </c>
      <c r="S301" s="1040">
        <f t="shared" si="443"/>
        <v>9.9999999999909051E-3</v>
      </c>
      <c r="T301" s="1040">
        <f t="shared" si="443"/>
        <v>1.0000000000104592E-2</v>
      </c>
      <c r="U301" s="1040">
        <f t="shared" si="443"/>
        <v>1.1999999999943611E-2</v>
      </c>
      <c r="V301" s="1040">
        <f t="shared" si="443"/>
        <v>1.2000000000057298E-2</v>
      </c>
      <c r="W301" s="1040">
        <f>ABS(+W296+W297+W298-W299-W300)</f>
        <v>9.9999999999909051E-3</v>
      </c>
      <c r="X301" s="2999">
        <f t="shared" si="443"/>
        <v>1.1999999999943611E-2</v>
      </c>
      <c r="Y301" s="2999">
        <f t="shared" ref="Y301:AD301" si="444">ABS(+Y296+Y297+Y298-Y299-Y300)</f>
        <v>1.5999999999962711E-2</v>
      </c>
      <c r="Z301" s="2999">
        <f t="shared" si="444"/>
        <v>0</v>
      </c>
      <c r="AA301" s="2999">
        <f t="shared" si="444"/>
        <v>0</v>
      </c>
      <c r="AB301" s="2999">
        <f t="shared" ref="AB301:AC301" si="445">ABS(+AB296+AB297+AB298-AB299-AB300)</f>
        <v>0</v>
      </c>
      <c r="AC301" s="2999">
        <f t="shared" si="445"/>
        <v>0</v>
      </c>
      <c r="AD301" s="2999">
        <f t="shared" si="444"/>
        <v>0</v>
      </c>
      <c r="AE301" s="2999">
        <f t="shared" ref="AE301:AF301" si="446">ABS(+AE296+AE297+AE298-AE299-AE300)</f>
        <v>0</v>
      </c>
      <c r="AF301" s="2999">
        <f t="shared" si="446"/>
        <v>0</v>
      </c>
      <c r="AG301" s="2940"/>
      <c r="AH301" s="2939"/>
      <c r="AI301" s="2939"/>
      <c r="AJ301" s="2939"/>
      <c r="AK301" s="2939"/>
      <c r="AL301" s="2939"/>
      <c r="AM301" s="2939"/>
      <c r="AN301" s="2939"/>
      <c r="AO301" s="2939"/>
      <c r="AP301" s="2939"/>
      <c r="AQ301" s="2939"/>
      <c r="AR301" s="2940"/>
      <c r="AS301" s="2940"/>
      <c r="AT301" s="2940"/>
      <c r="BB301" s="3496">
        <v>1.1368683772161603E-13</v>
      </c>
      <c r="BC301" s="736" t="str">
        <f t="shared" si="381"/>
        <v/>
      </c>
    </row>
    <row r="302" spans="1:55">
      <c r="A302" s="701"/>
      <c r="B302" s="701"/>
      <c r="Q302" s="882"/>
      <c r="R302" s="882"/>
      <c r="S302" s="882"/>
      <c r="T302" s="882"/>
      <c r="U302" s="882"/>
      <c r="V302" s="882"/>
      <c r="W302" s="882"/>
      <c r="Z302" s="3238"/>
      <c r="AA302" s="3238"/>
      <c r="AB302" s="3238"/>
      <c r="AC302" s="3238"/>
      <c r="AD302" s="3238"/>
      <c r="AE302" s="3238"/>
      <c r="AF302" s="3238"/>
      <c r="BB302" s="3542"/>
      <c r="BC302" s="736" t="str">
        <f t="shared" si="381"/>
        <v/>
      </c>
    </row>
    <row r="303" spans="1:55" ht="12.75" customHeight="1">
      <c r="A303" s="701"/>
      <c r="B303" s="701"/>
      <c r="C303" s="811"/>
      <c r="D303" s="779"/>
      <c r="E303" s="780" t="s">
        <v>1883</v>
      </c>
      <c r="F303" s="781"/>
      <c r="G303" s="782">
        <f>+InputY!$G$3</f>
        <v>1995</v>
      </c>
      <c r="H303" s="782">
        <f>+G303+1</f>
        <v>1996</v>
      </c>
      <c r="I303" s="782">
        <f t="shared" ref="I303:O303" si="447">+H303+1</f>
        <v>1997</v>
      </c>
      <c r="J303" s="782">
        <f t="shared" si="447"/>
        <v>1998</v>
      </c>
      <c r="K303" s="782">
        <f t="shared" si="447"/>
        <v>1999</v>
      </c>
      <c r="L303" s="782">
        <f t="shared" si="447"/>
        <v>2000</v>
      </c>
      <c r="M303" s="782">
        <f t="shared" si="447"/>
        <v>2001</v>
      </c>
      <c r="N303" s="782">
        <f t="shared" si="447"/>
        <v>2002</v>
      </c>
      <c r="O303" s="782">
        <f t="shared" si="447"/>
        <v>2003</v>
      </c>
      <c r="P303" s="782">
        <f>+O303+1</f>
        <v>2004</v>
      </c>
      <c r="Q303" s="782">
        <f>+P303+1</f>
        <v>2005</v>
      </c>
      <c r="R303" s="782">
        <f>+Q303+1</f>
        <v>2006</v>
      </c>
      <c r="S303" s="782">
        <f>+R303+1</f>
        <v>2007</v>
      </c>
      <c r="T303" s="782">
        <f t="shared" ref="T303:AF303" si="448">+S303+1</f>
        <v>2008</v>
      </c>
      <c r="U303" s="782">
        <f t="shared" si="448"/>
        <v>2009</v>
      </c>
      <c r="V303" s="782">
        <f t="shared" si="448"/>
        <v>2010</v>
      </c>
      <c r="W303" s="782">
        <f t="shared" si="448"/>
        <v>2011</v>
      </c>
      <c r="X303" s="2272">
        <f t="shared" si="448"/>
        <v>2012</v>
      </c>
      <c r="Y303" s="2272">
        <f t="shared" si="448"/>
        <v>2013</v>
      </c>
      <c r="Z303" s="2272">
        <f t="shared" si="448"/>
        <v>2014</v>
      </c>
      <c r="AA303" s="2272">
        <f t="shared" si="448"/>
        <v>2015</v>
      </c>
      <c r="AB303" s="2272">
        <f t="shared" si="448"/>
        <v>2016</v>
      </c>
      <c r="AC303" s="2272">
        <f t="shared" si="448"/>
        <v>2017</v>
      </c>
      <c r="AD303" s="2272">
        <f t="shared" si="448"/>
        <v>2018</v>
      </c>
      <c r="AE303" s="2272">
        <f t="shared" si="448"/>
        <v>2019</v>
      </c>
      <c r="AF303" s="2272">
        <f t="shared" si="448"/>
        <v>2020</v>
      </c>
      <c r="BB303" s="3476">
        <v>2016</v>
      </c>
      <c r="BC303" s="736" t="str">
        <f t="shared" si="381"/>
        <v/>
      </c>
    </row>
    <row r="304" spans="1:55" ht="12.75" customHeight="1">
      <c r="A304" s="701"/>
      <c r="B304" s="701"/>
      <c r="C304" s="831" t="s">
        <v>1791</v>
      </c>
      <c r="D304" s="726" t="s">
        <v>664</v>
      </c>
      <c r="E304" s="775" t="s">
        <v>1668</v>
      </c>
      <c r="F304" s="770" t="s">
        <v>659</v>
      </c>
      <c r="G304" s="776"/>
      <c r="H304" s="776">
        <f t="shared" ref="H304:AC304" si="449">(H296/G296-1)*100</f>
        <v>-2.6371936092090986</v>
      </c>
      <c r="I304" s="776">
        <f t="shared" si="449"/>
        <v>-5.302586316728231</v>
      </c>
      <c r="J304" s="776">
        <f t="shared" si="449"/>
        <v>-5.3680981595092163</v>
      </c>
      <c r="K304" s="776">
        <f t="shared" si="449"/>
        <v>-7.6800591429952325</v>
      </c>
      <c r="L304" s="776">
        <f t="shared" si="449"/>
        <v>-2.3407662929654016</v>
      </c>
      <c r="M304" s="776">
        <f t="shared" si="449"/>
        <v>-24.73823640721584</v>
      </c>
      <c r="N304" s="776">
        <f t="shared" si="449"/>
        <v>-4.538216560509567</v>
      </c>
      <c r="O304" s="776">
        <f t="shared" si="449"/>
        <v>24.033185549361313</v>
      </c>
      <c r="P304" s="776">
        <f t="shared" si="449"/>
        <v>15.14014722536805</v>
      </c>
      <c r="Q304" s="776">
        <f t="shared" si="449"/>
        <v>-4.3677383660170932</v>
      </c>
      <c r="R304" s="776">
        <f t="shared" si="449"/>
        <v>-12.682801401343479</v>
      </c>
      <c r="S304" s="776">
        <f t="shared" si="449"/>
        <v>-27.19843928295359</v>
      </c>
      <c r="T304" s="776">
        <f t="shared" si="449"/>
        <v>-31.347962382445139</v>
      </c>
      <c r="U304" s="776">
        <f t="shared" si="449"/>
        <v>42.340550891147458</v>
      </c>
      <c r="V304" s="776">
        <f t="shared" si="449"/>
        <v>-8.6976768251668659</v>
      </c>
      <c r="W304" s="776">
        <f t="shared" si="449"/>
        <v>-25.694208319165824</v>
      </c>
      <c r="X304" s="776">
        <f t="shared" si="449"/>
        <v>4.5607077486272241</v>
      </c>
      <c r="Y304" s="776">
        <f t="shared" si="449"/>
        <v>6.7323121808898545</v>
      </c>
      <c r="Z304" s="776">
        <f t="shared" si="449"/>
        <v>-8.5286680789995124</v>
      </c>
      <c r="AA304" s="776">
        <f t="shared" si="449"/>
        <v>-4.8337691445648145</v>
      </c>
      <c r="AB304" s="776">
        <f t="shared" si="449"/>
        <v>-1.7428167687234986</v>
      </c>
      <c r="AC304" s="776">
        <f t="shared" si="449"/>
        <v>-2.1652285075103972</v>
      </c>
      <c r="AD304" s="2276">
        <v>-1</v>
      </c>
      <c r="AE304" s="2276">
        <v>-1</v>
      </c>
      <c r="AF304" s="2276">
        <v>-1</v>
      </c>
      <c r="AG304" s="3634" t="s">
        <v>2576</v>
      </c>
      <c r="BB304" s="3477">
        <v>-1.7428167687234986</v>
      </c>
      <c r="BC304" s="736" t="str">
        <f t="shared" si="381"/>
        <v/>
      </c>
    </row>
    <row r="305" spans="1:55" ht="12.75" customHeight="1">
      <c r="A305" s="701"/>
      <c r="B305" s="701"/>
      <c r="C305" s="832" t="s">
        <v>1791</v>
      </c>
      <c r="D305" s="711" t="s">
        <v>665</v>
      </c>
      <c r="E305" s="820" t="s">
        <v>1668</v>
      </c>
      <c r="F305" s="741" t="s">
        <v>742</v>
      </c>
      <c r="G305" s="743"/>
      <c r="H305" s="743">
        <f t="shared" ref="H305:AC305" si="450">(H297/G297-1)*100</f>
        <v>-2.0912547528517123</v>
      </c>
      <c r="I305" s="743">
        <f t="shared" si="450"/>
        <v>13.070837828119398</v>
      </c>
      <c r="J305" s="743">
        <f t="shared" si="450"/>
        <v>-3.5681348386070955</v>
      </c>
      <c r="K305" s="743">
        <f t="shared" si="450"/>
        <v>2.7833657619628749</v>
      </c>
      <c r="L305" s="743">
        <f t="shared" si="450"/>
        <v>2.6566560785446169</v>
      </c>
      <c r="M305" s="743">
        <f t="shared" si="450"/>
        <v>5.644631973745895</v>
      </c>
      <c r="N305" s="743">
        <f t="shared" si="450"/>
        <v>16.165202212952281</v>
      </c>
      <c r="O305" s="743">
        <f t="shared" si="450"/>
        <v>3.6597478670571615</v>
      </c>
      <c r="P305" s="743">
        <f t="shared" si="450"/>
        <v>3.4420912977249252</v>
      </c>
      <c r="Q305" s="743">
        <f t="shared" si="450"/>
        <v>17.713702111488484</v>
      </c>
      <c r="R305" s="743">
        <f t="shared" si="450"/>
        <v>4.6084622989850832</v>
      </c>
      <c r="S305" s="743">
        <f t="shared" si="450"/>
        <v>7.9814832674317548</v>
      </c>
      <c r="T305" s="743">
        <f t="shared" si="450"/>
        <v>24.13053962810141</v>
      </c>
      <c r="U305" s="743">
        <f t="shared" si="450"/>
        <v>7.7850687848960876</v>
      </c>
      <c r="V305" s="743">
        <f t="shared" si="450"/>
        <v>5.8997089530319569</v>
      </c>
      <c r="W305" s="743">
        <f t="shared" si="450"/>
        <v>17.091312514970824</v>
      </c>
      <c r="X305" s="743">
        <f t="shared" si="450"/>
        <v>2.2362669308124694</v>
      </c>
      <c r="Y305" s="743">
        <f t="shared" si="450"/>
        <v>9.1569690906218923</v>
      </c>
      <c r="Z305" s="743">
        <f t="shared" si="450"/>
        <v>4.8692715870718661</v>
      </c>
      <c r="AA305" s="743">
        <f t="shared" si="450"/>
        <v>8.5347341692963106</v>
      </c>
      <c r="AB305" s="743">
        <f t="shared" si="450"/>
        <v>3.0235475613270557</v>
      </c>
      <c r="AC305" s="743">
        <f t="shared" si="450"/>
        <v>6.8561226252869423</v>
      </c>
      <c r="AD305" s="2276">
        <v>3.4</v>
      </c>
      <c r="AE305" s="2276">
        <v>3.4</v>
      </c>
      <c r="AF305" s="2276">
        <v>3.4</v>
      </c>
      <c r="AG305" s="3634" t="s">
        <v>2576</v>
      </c>
      <c r="BB305" s="3472">
        <v>2.6320698719579427</v>
      </c>
      <c r="BC305" s="736" t="str">
        <f t="shared" si="381"/>
        <v/>
      </c>
    </row>
    <row r="306" spans="1:55" ht="12.75" customHeight="1">
      <c r="A306" s="701"/>
      <c r="B306" s="701"/>
      <c r="C306" s="832" t="s">
        <v>1791</v>
      </c>
      <c r="D306" s="3660" t="s">
        <v>666</v>
      </c>
      <c r="E306" s="3661" t="s">
        <v>1668</v>
      </c>
      <c r="F306" s="741" t="s">
        <v>1152</v>
      </c>
      <c r="G306" s="743"/>
      <c r="H306" s="743">
        <f>(H298/G298-1)*100</f>
        <v>-2.1205357142857095</v>
      </c>
      <c r="I306" s="743">
        <f t="shared" ref="I306:AC306" si="451">(I298/H298-1)*100</f>
        <v>0.83093418673656494</v>
      </c>
      <c r="J306" s="743">
        <f t="shared" si="451"/>
        <v>3.9333108412055617</v>
      </c>
      <c r="K306" s="743">
        <f t="shared" si="451"/>
        <v>3.7832541335665937</v>
      </c>
      <c r="L306" s="743">
        <f t="shared" si="451"/>
        <v>2.1506559703437622</v>
      </c>
      <c r="M306" s="743">
        <f t="shared" si="451"/>
        <v>4.7403576815341353</v>
      </c>
      <c r="N306" s="743">
        <f t="shared" si="451"/>
        <v>5.0054677941510972</v>
      </c>
      <c r="O306" s="743">
        <f t="shared" si="451"/>
        <v>7.3309995669299521</v>
      </c>
      <c r="P306" s="743">
        <f t="shared" si="451"/>
        <v>2.3870767856242203</v>
      </c>
      <c r="Q306" s="743">
        <f t="shared" si="451"/>
        <v>2.0717512772515434</v>
      </c>
      <c r="R306" s="743">
        <f t="shared" si="451"/>
        <v>2.6563986597355482</v>
      </c>
      <c r="S306" s="743">
        <f t="shared" si="451"/>
        <v>0.48466857847713207</v>
      </c>
      <c r="T306" s="743">
        <f t="shared" si="451"/>
        <v>2.949458853723419</v>
      </c>
      <c r="U306" s="743">
        <f t="shared" si="451"/>
        <v>5.6667265381377563</v>
      </c>
      <c r="V306" s="743">
        <f t="shared" si="451"/>
        <v>0.71740595182752109</v>
      </c>
      <c r="W306" s="743">
        <f t="shared" si="451"/>
        <v>1.2810345879343821E-2</v>
      </c>
      <c r="X306" s="743">
        <f t="shared" si="451"/>
        <v>4.8915021358007404</v>
      </c>
      <c r="Y306" s="743">
        <f t="shared" si="451"/>
        <v>4.5563972150289178</v>
      </c>
      <c r="Z306" s="743">
        <f t="shared" si="451"/>
        <v>1.0370417059836656</v>
      </c>
      <c r="AA306" s="743">
        <f t="shared" si="451"/>
        <v>2.9454343290894025</v>
      </c>
      <c r="AB306" s="743">
        <f t="shared" si="451"/>
        <v>3.0146186010201914</v>
      </c>
      <c r="AC306" s="743">
        <f t="shared" si="451"/>
        <v>2.3300114190802468</v>
      </c>
      <c r="AD306" s="3662">
        <v>3.55</v>
      </c>
      <c r="AE306" s="3662">
        <v>1.5</v>
      </c>
      <c r="AF306" s="3662">
        <v>2</v>
      </c>
      <c r="AG306" s="3634" t="s">
        <v>2576</v>
      </c>
      <c r="BB306" s="3472">
        <v>3.0277425714688055</v>
      </c>
      <c r="BC306" s="736" t="str">
        <f t="shared" si="381"/>
        <v/>
      </c>
    </row>
    <row r="307" spans="1:55" ht="12.75" customHeight="1">
      <c r="A307" s="701"/>
      <c r="B307" s="701"/>
      <c r="C307" s="833" t="s">
        <v>1791</v>
      </c>
      <c r="D307" s="728" t="s">
        <v>667</v>
      </c>
      <c r="E307" s="834" t="s">
        <v>1668</v>
      </c>
      <c r="F307" s="773" t="s">
        <v>232</v>
      </c>
      <c r="G307" s="778"/>
      <c r="H307" s="778" t="e">
        <f>(H299/G299-1)*100</f>
        <v>#DIV/0!</v>
      </c>
      <c r="I307" s="778" t="e">
        <f t="shared" ref="I307:AC308" si="452">(I299/H299-1)*100</f>
        <v>#DIV/0!</v>
      </c>
      <c r="J307" s="778" t="e">
        <f t="shared" si="452"/>
        <v>#DIV/0!</v>
      </c>
      <c r="K307" s="778">
        <f t="shared" si="452"/>
        <v>140</v>
      </c>
      <c r="L307" s="778">
        <f t="shared" si="452"/>
        <v>41.666666666666671</v>
      </c>
      <c r="M307" s="778">
        <f t="shared" si="452"/>
        <v>0</v>
      </c>
      <c r="N307" s="778">
        <f t="shared" si="452"/>
        <v>5.8823529411764497</v>
      </c>
      <c r="O307" s="778">
        <f t="shared" si="452"/>
        <v>-13677.777777777777</v>
      </c>
      <c r="P307" s="778">
        <f t="shared" si="452"/>
        <v>9.124386252045813</v>
      </c>
      <c r="Q307" s="778">
        <f t="shared" si="452"/>
        <v>10.798650168728919</v>
      </c>
      <c r="R307" s="778">
        <f t="shared" si="452"/>
        <v>5.2791878172588902</v>
      </c>
      <c r="S307" s="778">
        <f t="shared" si="452"/>
        <v>4.4680167148826611</v>
      </c>
      <c r="T307" s="778">
        <f t="shared" si="452"/>
        <v>4.584615384615387</v>
      </c>
      <c r="U307" s="778">
        <f t="shared" si="452"/>
        <v>5.6192997940570644</v>
      </c>
      <c r="V307" s="778">
        <f t="shared" si="452"/>
        <v>-0.61281337047353057</v>
      </c>
      <c r="W307" s="778">
        <f t="shared" si="452"/>
        <v>-0.30829596412556004</v>
      </c>
      <c r="X307" s="778">
        <f t="shared" si="452"/>
        <v>12.257520382344666</v>
      </c>
      <c r="Y307" s="778">
        <f t="shared" si="452"/>
        <v>3.2556974705735042</v>
      </c>
      <c r="Z307" s="778">
        <f t="shared" si="452"/>
        <v>26.558331312153371</v>
      </c>
      <c r="AA307" s="778">
        <f t="shared" si="452"/>
        <v>12.476044461478498</v>
      </c>
      <c r="AB307" s="778">
        <f t="shared" si="452"/>
        <v>15.300732663145066</v>
      </c>
      <c r="AC307" s="778">
        <f t="shared" si="452"/>
        <v>-9.5906605585933455</v>
      </c>
      <c r="AD307" s="2275">
        <v>2</v>
      </c>
      <c r="AE307" s="2275">
        <v>2</v>
      </c>
      <c r="AF307" s="2275">
        <v>2</v>
      </c>
      <c r="AG307" s="3634" t="s">
        <v>2576</v>
      </c>
      <c r="BB307" s="3492">
        <v>17.589069526115253</v>
      </c>
      <c r="BC307" s="736">
        <f t="shared" si="381"/>
        <v>-2.288336862970187</v>
      </c>
    </row>
    <row r="308" spans="1:55" ht="12.75" customHeight="1">
      <c r="A308" s="701"/>
      <c r="B308" s="701"/>
      <c r="C308" s="811" t="s">
        <v>1793</v>
      </c>
      <c r="D308" s="754" t="s">
        <v>664</v>
      </c>
      <c r="E308" s="759" t="s">
        <v>1663</v>
      </c>
      <c r="F308" s="760" t="s">
        <v>1278</v>
      </c>
      <c r="G308" s="758"/>
      <c r="H308" s="758">
        <f>(H300/G300-1)*100</f>
        <v>-2.1714021126330585</v>
      </c>
      <c r="I308" s="758">
        <f t="shared" si="452"/>
        <v>1.0901648510255324</v>
      </c>
      <c r="J308" s="758">
        <f t="shared" si="452"/>
        <v>2.4385098824092344</v>
      </c>
      <c r="K308" s="758">
        <f t="shared" si="452"/>
        <v>2.6963837267704793</v>
      </c>
      <c r="L308" s="758">
        <f t="shared" si="452"/>
        <v>1.8337787972230402</v>
      </c>
      <c r="M308" s="758">
        <f t="shared" si="452"/>
        <v>2.5651000393817958</v>
      </c>
      <c r="N308" s="758">
        <f t="shared" si="452"/>
        <v>5.3554287105671117</v>
      </c>
      <c r="O308" s="758">
        <f t="shared" si="452"/>
        <v>7.3070187914451745</v>
      </c>
      <c r="P308" s="758">
        <f t="shared" si="452"/>
        <v>3.1886230955137318</v>
      </c>
      <c r="Q308" s="758">
        <f t="shared" si="452"/>
        <v>2.9253216127802295</v>
      </c>
      <c r="R308" s="758">
        <f t="shared" si="452"/>
        <v>1.8997905804081672</v>
      </c>
      <c r="S308" s="758">
        <f t="shared" si="452"/>
        <v>-0.23460118754891068</v>
      </c>
      <c r="T308" s="758">
        <f t="shared" si="452"/>
        <v>3.9126290127991181</v>
      </c>
      <c r="U308" s="758">
        <f t="shared" si="452"/>
        <v>6.8576238274371537</v>
      </c>
      <c r="V308" s="758">
        <f t="shared" si="452"/>
        <v>1.0818532631790001</v>
      </c>
      <c r="W308" s="758">
        <f t="shared" si="452"/>
        <v>1.5549141541789879</v>
      </c>
      <c r="X308" s="2282">
        <f t="shared" ref="X308:AF308" si="453">(X300/W300-1)*100</f>
        <v>4.4248800220772821</v>
      </c>
      <c r="Y308" s="2282">
        <f t="shared" si="453"/>
        <v>5.3162243865337189</v>
      </c>
      <c r="Z308" s="2282">
        <f t="shared" si="453"/>
        <v>1.2721038369675197</v>
      </c>
      <c r="AA308" s="2282">
        <f t="shared" si="453"/>
        <v>3.6308861011940419</v>
      </c>
      <c r="AB308" s="2282">
        <f t="shared" si="453"/>
        <v>2.822677643827376</v>
      </c>
      <c r="AC308" s="2282">
        <f t="shared" si="453"/>
        <v>3.1446112836218676</v>
      </c>
      <c r="AD308" s="2282">
        <f t="shared" si="453"/>
        <v>3.4596664641321384</v>
      </c>
      <c r="AE308" s="2282">
        <f t="shared" si="453"/>
        <v>1.7946045780791842</v>
      </c>
      <c r="AF308" s="2282">
        <f t="shared" si="453"/>
        <v>2.2067475840448658</v>
      </c>
      <c r="BB308" s="3537">
        <v>2.7483542679682005</v>
      </c>
      <c r="BC308" s="736" t="str">
        <f t="shared" si="381"/>
        <v/>
      </c>
    </row>
    <row r="309" spans="1:55" ht="12.75" customHeight="1">
      <c r="A309" s="701"/>
      <c r="B309" s="701"/>
      <c r="C309" s="811"/>
      <c r="E309" s="823"/>
      <c r="F309" s="824"/>
      <c r="G309" s="740"/>
      <c r="H309" s="825"/>
      <c r="I309" s="740"/>
      <c r="J309" s="740"/>
      <c r="K309" s="740"/>
      <c r="L309" s="740"/>
      <c r="M309" s="740"/>
      <c r="N309" s="740"/>
      <c r="O309" s="740"/>
      <c r="P309" s="740"/>
      <c r="Q309" s="882"/>
      <c r="R309" s="882"/>
      <c r="S309" s="882"/>
      <c r="T309" s="882"/>
      <c r="U309" s="882"/>
      <c r="V309" s="882"/>
      <c r="W309" s="882"/>
      <c r="X309" s="2322"/>
      <c r="Y309" s="2322"/>
      <c r="Z309" s="2322"/>
      <c r="AA309" s="2322"/>
      <c r="AB309" s="2322"/>
      <c r="AC309" s="2322"/>
      <c r="AD309" s="2322"/>
      <c r="AE309" s="2322">
        <f ca="1">Tables!K433</f>
        <v>0.94511676569394043</v>
      </c>
      <c r="AF309" s="2322">
        <f ca="1">Tables!M433</f>
        <v>0.83901290941847817</v>
      </c>
      <c r="BB309" s="3475"/>
      <c r="BC309" s="736" t="str">
        <f t="shared" si="381"/>
        <v/>
      </c>
    </row>
    <row r="310" spans="1:55" ht="12.75" customHeight="1">
      <c r="A310" s="701"/>
      <c r="B310" s="701"/>
      <c r="C310" s="811"/>
      <c r="D310" s="855"/>
      <c r="E310" s="856" t="s">
        <v>1884</v>
      </c>
      <c r="F310" s="857"/>
      <c r="G310" s="858">
        <f>+InputY!$G$3</f>
        <v>1995</v>
      </c>
      <c r="H310" s="858">
        <f>+G310+1</f>
        <v>1996</v>
      </c>
      <c r="I310" s="858">
        <f t="shared" ref="I310:O310" si="454">+H310+1</f>
        <v>1997</v>
      </c>
      <c r="J310" s="858">
        <f t="shared" si="454"/>
        <v>1998</v>
      </c>
      <c r="K310" s="858">
        <f t="shared" si="454"/>
        <v>1999</v>
      </c>
      <c r="L310" s="858">
        <f t="shared" si="454"/>
        <v>2000</v>
      </c>
      <c r="M310" s="858">
        <f t="shared" si="454"/>
        <v>2001</v>
      </c>
      <c r="N310" s="858">
        <f t="shared" si="454"/>
        <v>2002</v>
      </c>
      <c r="O310" s="858">
        <f t="shared" si="454"/>
        <v>2003</v>
      </c>
      <c r="P310" s="858">
        <f>+O310+1</f>
        <v>2004</v>
      </c>
      <c r="Q310" s="858">
        <f>+P310+1</f>
        <v>2005</v>
      </c>
      <c r="R310" s="858">
        <f>+Q310+1</f>
        <v>2006</v>
      </c>
      <c r="S310" s="858">
        <f t="shared" ref="S310:Y310" si="455">+R310+1</f>
        <v>2007</v>
      </c>
      <c r="T310" s="858">
        <f t="shared" si="455"/>
        <v>2008</v>
      </c>
      <c r="U310" s="858">
        <f t="shared" si="455"/>
        <v>2009</v>
      </c>
      <c r="V310" s="858">
        <f>+U310+1</f>
        <v>2010</v>
      </c>
      <c r="W310" s="858">
        <f>+V310+1</f>
        <v>2011</v>
      </c>
      <c r="X310" s="858">
        <f t="shared" si="455"/>
        <v>2012</v>
      </c>
      <c r="Y310" s="858">
        <f t="shared" si="455"/>
        <v>2013</v>
      </c>
      <c r="Z310" s="858">
        <f t="shared" ref="Z310:AF310" si="456">+Y310+1</f>
        <v>2014</v>
      </c>
      <c r="AA310" s="858">
        <f t="shared" si="456"/>
        <v>2015</v>
      </c>
      <c r="AB310" s="858">
        <f t="shared" si="456"/>
        <v>2016</v>
      </c>
      <c r="AC310" s="858">
        <f t="shared" si="456"/>
        <v>2017</v>
      </c>
      <c r="AD310" s="858">
        <f t="shared" si="456"/>
        <v>2018</v>
      </c>
      <c r="AE310" s="858">
        <f t="shared" si="456"/>
        <v>2019</v>
      </c>
      <c r="AF310" s="858">
        <f t="shared" si="456"/>
        <v>2020</v>
      </c>
      <c r="BB310" s="3480">
        <v>2016</v>
      </c>
      <c r="BC310" s="736" t="str">
        <f t="shared" si="381"/>
        <v/>
      </c>
    </row>
    <row r="311" spans="1:55" ht="12.75" customHeight="1">
      <c r="A311" s="701"/>
      <c r="B311" s="701"/>
      <c r="C311" s="859" t="s">
        <v>1791</v>
      </c>
      <c r="D311" s="860" t="s">
        <v>664</v>
      </c>
      <c r="E311" s="861" t="s">
        <v>1668</v>
      </c>
      <c r="F311" s="862" t="s">
        <v>659</v>
      </c>
      <c r="G311" s="875">
        <f>+G296/'VVP2'!G$341</f>
        <v>2.137620595148193E-2</v>
      </c>
      <c r="H311" s="875">
        <f>+H296/'VVP2'!H$341</f>
        <v>2.028817532043892E-2</v>
      </c>
      <c r="I311" s="875">
        <f>+I296/'VVP2'!I$341</f>
        <v>1.8380021938913284E-2</v>
      </c>
      <c r="J311" s="875">
        <f>+J296/'VVP2'!J$341</f>
        <v>1.6554745185242369E-2</v>
      </c>
      <c r="K311" s="875">
        <f>+K296/'VVP2'!K$341</f>
        <v>1.4490936023954589E-2</v>
      </c>
      <c r="L311" s="875">
        <f>+L296/'VVP2'!L$341</f>
        <v>1.3302422443789418E-2</v>
      </c>
      <c r="M311" s="875">
        <f>+M296/'VVP2'!M$341</f>
        <v>9.6151521646985639E-3</v>
      </c>
      <c r="N311" s="875">
        <f>+N296/'VVP2'!N$341</f>
        <v>8.8505683268459215E-3</v>
      </c>
      <c r="O311" s="875">
        <f>+O296/'VVP2'!O$341</f>
        <v>1.0539889580332902E-2</v>
      </c>
      <c r="P311" s="875">
        <f>+P296/'VVP2'!P$341</f>
        <v>1.1584519743071063E-2</v>
      </c>
      <c r="Q311" s="875">
        <f>+Q296/'VVP2'!Q$341</f>
        <v>1.0689243727331351E-2</v>
      </c>
      <c r="R311" s="875">
        <f>+R296/'VVP2'!R$341</f>
        <v>8.7555441251449487E-3</v>
      </c>
      <c r="S311" s="875">
        <f>+S296/'VVP2'!S$341</f>
        <v>5.9915485781053693E-3</v>
      </c>
      <c r="T311" s="875">
        <f>+T296/'VVP2'!T$341</f>
        <v>4.0033246051146909E-3</v>
      </c>
      <c r="U311" s="875">
        <f>+U296/'VVP2'!U$341</f>
        <v>5.8708830990437761E-3</v>
      </c>
      <c r="V311" s="875">
        <f>+V296/'VVP2'!V$341</f>
        <v>5.0076280767711442E-3</v>
      </c>
      <c r="W311" s="875">
        <f>+W296/'VVP2'!W$341</f>
        <v>3.5814930335426268E-3</v>
      </c>
      <c r="X311" s="3199">
        <f>+X296/'VVP2'!X$341</f>
        <v>3.7165842882551331E-3</v>
      </c>
      <c r="Y311" s="3199">
        <f>+Y296/'VVP2'!Y$341</f>
        <v>3.877381165938294E-3</v>
      </c>
      <c r="Z311" s="3199">
        <f>+Z296/'VVP2'!Z$341</f>
        <v>3.3964107411331092E-3</v>
      </c>
      <c r="AA311" s="3199">
        <f>+AA296/'VVP2'!AA$341</f>
        <v>3.0317433381022163E-3</v>
      </c>
      <c r="AB311" s="3199">
        <f>+AB296/'VVP2'!AB$341</f>
        <v>2.8539524710654231E-3</v>
      </c>
      <c r="AC311" s="3199">
        <f>+AC296/'VVP2'!AC$341</f>
        <v>2.6742236507072987E-3</v>
      </c>
      <c r="AD311" s="3196">
        <f ca="1">+AD296/'VVP2'!AD$341</f>
        <v>2.5238617455269367E-3</v>
      </c>
      <c r="AE311" s="3196">
        <f ca="1">+AE296/'VVP2'!AE$341</f>
        <v>2.4075856942326374E-3</v>
      </c>
      <c r="AF311" s="3196">
        <f ca="1">+AF296/'VVP2'!AF$341</f>
        <v>2.3019035766339126E-3</v>
      </c>
      <c r="BB311" s="3481">
        <v>2.8413566774379115E-3</v>
      </c>
      <c r="BC311" s="736" t="str">
        <f t="shared" si="381"/>
        <v/>
      </c>
    </row>
    <row r="312" spans="1:55" ht="12.75" customHeight="1">
      <c r="A312" s="701"/>
      <c r="B312" s="701"/>
      <c r="C312" s="863" t="s">
        <v>1791</v>
      </c>
      <c r="D312" s="711" t="s">
        <v>665</v>
      </c>
      <c r="E312" s="820" t="s">
        <v>1668</v>
      </c>
      <c r="F312" s="741" t="s">
        <v>742</v>
      </c>
      <c r="G312" s="876">
        <f>+G297/'VVP2'!G$341</f>
        <v>1.5063256769025821E-2</v>
      </c>
      <c r="H312" s="876">
        <f>+H297/'VVP2'!H$341</f>
        <v>1.4376714375370274E-2</v>
      </c>
      <c r="I312" s="876">
        <f>+I297/'VVP2'!I$341</f>
        <v>1.5551603429908733E-2</v>
      </c>
      <c r="J312" s="876">
        <f>+J297/'VVP2'!J$341</f>
        <v>1.4273636960166747E-2</v>
      </c>
      <c r="K312" s="876">
        <f>+K297/'VVP2'!K$341</f>
        <v>1.3910280986158452E-2</v>
      </c>
      <c r="L312" s="876">
        <f>+L297/'VVP2'!L$341</f>
        <v>1.3422827238836964E-2</v>
      </c>
      <c r="M312" s="876">
        <f>+M297/'VVP2'!M$341</f>
        <v>1.361891377468053E-2</v>
      </c>
      <c r="N312" s="876">
        <f>+N297/'VVP2'!N$341</f>
        <v>1.5254710739370753E-2</v>
      </c>
      <c r="O312" s="876">
        <f>+O297/'VVP2'!O$341</f>
        <v>1.5182424465554562E-2</v>
      </c>
      <c r="P312" s="876">
        <f>+P297/'VVP2'!P$341</f>
        <v>1.4991794268842472E-2</v>
      </c>
      <c r="Q312" s="876">
        <f>+Q297/'VVP2'!Q$341</f>
        <v>1.7027275041631124E-2</v>
      </c>
      <c r="R312" s="876">
        <f>+R297/'VVP2'!R$341</f>
        <v>1.6708918363019097E-2</v>
      </c>
      <c r="S312" s="876">
        <f>+S297/'VVP2'!S$341</f>
        <v>1.695949358115446E-2</v>
      </c>
      <c r="T312" s="876">
        <f>+T297/'VVP2'!T$341</f>
        <v>2.0488955181811028E-2</v>
      </c>
      <c r="U312" s="876">
        <f>+U297/'VVP2'!U$341</f>
        <v>2.2752671696827074E-2</v>
      </c>
      <c r="V312" s="876">
        <f>+V297/'VVP2'!V$341</f>
        <v>2.2509921040324374E-2</v>
      </c>
      <c r="W312" s="876">
        <f>+W297/'VVP2'!W$341</f>
        <v>2.5369273182532955E-2</v>
      </c>
      <c r="X312" s="876">
        <f>+X297/'VVP2'!X$341</f>
        <v>2.574093808105515E-2</v>
      </c>
      <c r="Y312" s="876">
        <f>+Y297/'VVP2'!Y$341</f>
        <v>2.7464672852422895E-2</v>
      </c>
      <c r="Z312" s="876">
        <f>+Z297/'VVP2'!Z$341</f>
        <v>2.7581595691366874E-2</v>
      </c>
      <c r="AA312" s="876">
        <f>+AA297/'VVP2'!AA$341</f>
        <v>2.8078732027733623E-2</v>
      </c>
      <c r="AB312" s="876">
        <f>+AB297/'VVP2'!AB$341</f>
        <v>2.7714304672879719E-2</v>
      </c>
      <c r="AC312" s="876">
        <f>+AC297/'VVP2'!AC$341</f>
        <v>2.8363586967085314E-2</v>
      </c>
      <c r="AD312" s="3003">
        <f ca="1">+AD297/'VVP2'!AD$341</f>
        <v>2.7958529932240048E-2</v>
      </c>
      <c r="AE312" s="3003">
        <f ca="1">+AE297/'VVP2'!AE$341</f>
        <v>2.7855815005617533E-2</v>
      </c>
      <c r="AF312" s="3003">
        <f ca="1">+AF297/'VVP2'!AF$341</f>
        <v>2.7816762809491413E-2</v>
      </c>
      <c r="BB312" s="3462">
        <v>2.7476890707655816E-2</v>
      </c>
      <c r="BC312" s="736" t="str">
        <f t="shared" si="381"/>
        <v/>
      </c>
    </row>
    <row r="313" spans="1:55" ht="12.75" customHeight="1">
      <c r="A313" s="701"/>
      <c r="B313" s="701"/>
      <c r="C313" s="863" t="s">
        <v>1791</v>
      </c>
      <c r="D313" s="711" t="s">
        <v>666</v>
      </c>
      <c r="E313" s="820" t="s">
        <v>1668</v>
      </c>
      <c r="F313" s="741" t="s">
        <v>1152</v>
      </c>
      <c r="G313" s="876">
        <f>+G298/'VVP2'!G$341</f>
        <v>0.17201089492842778</v>
      </c>
      <c r="H313" s="876">
        <f>+H298/'VVP2'!H$341</f>
        <v>0.16412200717750097</v>
      </c>
      <c r="I313" s="876">
        <f>+I298/'VVP2'!I$341</f>
        <v>0.15831626259039416</v>
      </c>
      <c r="J313" s="876">
        <f>+J298/'VVP2'!J$341</f>
        <v>0.1566098947188061</v>
      </c>
      <c r="K313" s="876">
        <f>+K298/'VVP2'!K$341</f>
        <v>0.15410790007734632</v>
      </c>
      <c r="L313" s="876">
        <f>+L298/'VVP2'!L$341</f>
        <v>0.14797455641111482</v>
      </c>
      <c r="M313" s="876">
        <f>+M298/'VVP2'!M$341</f>
        <v>0.14885112953057233</v>
      </c>
      <c r="N313" s="876">
        <f>+N298/'VVP2'!N$341</f>
        <v>0.15071257933789933</v>
      </c>
      <c r="O313" s="876">
        <f>+O298/'VVP2'!O$341</f>
        <v>0.15531080849711457</v>
      </c>
      <c r="P313" s="876">
        <f>+P298/'VVP2'!P$341</f>
        <v>0.15179659044659902</v>
      </c>
      <c r="Q313" s="876">
        <f>+Q298/'VVP2'!Q$341</f>
        <v>0.14949687066575096</v>
      </c>
      <c r="R313" s="876">
        <f>+R298/'VVP2'!R$341</f>
        <v>0.14396419531305898</v>
      </c>
      <c r="S313" s="876">
        <f>+S298/'VVP2'!S$341</f>
        <v>0.13597828283271982</v>
      </c>
      <c r="T313" s="876">
        <f>+T298/'VVP2'!T$341</f>
        <v>0.13624541930682749</v>
      </c>
      <c r="U313" s="876">
        <f>+U298/'VVP2'!U$341</f>
        <v>0.14832492863780142</v>
      </c>
      <c r="V313" s="876">
        <f>+V298/'VVP2'!V$341</f>
        <v>0.13956145369348752</v>
      </c>
      <c r="W313" s="876">
        <f>+W298/'VVP2'!W$341</f>
        <v>0.13434778012713863</v>
      </c>
      <c r="X313" s="876">
        <f>+X298/'VVP2'!X$341</f>
        <v>0.13985634086960483</v>
      </c>
      <c r="Y313" s="876">
        <f>+Y298/'VVP2'!Y$341</f>
        <v>0.14293262291732856</v>
      </c>
      <c r="Z313" s="876">
        <f>+Z298/'VVP2'!Z$341</f>
        <v>0.13829570468862007</v>
      </c>
      <c r="AA313" s="876">
        <f>+AA298/'VVP2'!AA$341</f>
        <v>0.13353808350884427</v>
      </c>
      <c r="AB313" s="876">
        <f>+AB298/'VVP2'!AB$341</f>
        <v>0.1317935002577815</v>
      </c>
      <c r="AC313" s="876">
        <f>+AC298/'VVP2'!AC$341</f>
        <v>0.12916795063616821</v>
      </c>
      <c r="AD313" s="3003">
        <f ca="1">+AD298/'VVP2'!AD$341</f>
        <v>0.12750802339926889</v>
      </c>
      <c r="AE313" s="3003">
        <f ca="1">+AE298/'VVP2'!AE$341</f>
        <v>0.1247051974068505</v>
      </c>
      <c r="AF313" s="3003">
        <f ca="1">+AF298/'VVP2'!AF$341</f>
        <v>0.12284427030821504</v>
      </c>
      <c r="BB313" s="3462">
        <v>0.13120820315745649</v>
      </c>
      <c r="BC313" s="736" t="str">
        <f t="shared" si="381"/>
        <v/>
      </c>
    </row>
    <row r="314" spans="1:55" ht="12.75" customHeight="1">
      <c r="A314" s="701"/>
      <c r="B314" s="701"/>
      <c r="C314" s="864" t="s">
        <v>1791</v>
      </c>
      <c r="D314" s="865" t="s">
        <v>667</v>
      </c>
      <c r="E314" s="866" t="s">
        <v>1668</v>
      </c>
      <c r="F314" s="867" t="s">
        <v>232</v>
      </c>
      <c r="G314" s="877">
        <f>+G299/'VVP2'!G$341</f>
        <v>0</v>
      </c>
      <c r="H314" s="877">
        <f>+H299/'VVP2'!H$341</f>
        <v>0</v>
      </c>
      <c r="I314" s="877">
        <f>+I299/'VVP2'!I$341</f>
        <v>0</v>
      </c>
      <c r="J314" s="877">
        <f>+J299/'VVP2'!J$341</f>
        <v>-2.3535990766360102E-6</v>
      </c>
      <c r="K314" s="877">
        <f>+K299/'VVP2'!K$341</f>
        <v>-5.3557728313248446E-6</v>
      </c>
      <c r="L314" s="877">
        <f>+L299/'VVP2'!L$341</f>
        <v>-7.1319913442796814E-6</v>
      </c>
      <c r="M314" s="877">
        <f>+M299/'VVP2'!M$341</f>
        <v>-6.8495468823280083E-6</v>
      </c>
      <c r="N314" s="877">
        <f>+N299/'VVP2'!N$341</f>
        <v>-6.9931183830045463E-6</v>
      </c>
      <c r="O314" s="877">
        <f>+O299/'VVP2'!O$341</f>
        <v>9.1164673465223705E-4</v>
      </c>
      <c r="P314" s="877">
        <f>+P299/'VVP2'!P$341</f>
        <v>9.4965003242056072E-4</v>
      </c>
      <c r="Q314" s="877">
        <f>+Q299/'VVP2'!Q$341</f>
        <v>1.0152256360448733E-3</v>
      </c>
      <c r="R314" s="877">
        <f>+R299/'VVP2'!R$341</f>
        <v>1.0026317875851561E-3</v>
      </c>
      <c r="S314" s="877">
        <f>+S299/'VVP2'!S$341</f>
        <v>9.8455520673690236E-4</v>
      </c>
      <c r="T314" s="877">
        <f>+T299/'VVP2'!T$341</f>
        <v>1.0021579269984412E-3</v>
      </c>
      <c r="U314" s="877">
        <f>+U299/'VVP2'!U$341</f>
        <v>1.090519497364679E-3</v>
      </c>
      <c r="V314" s="877">
        <f>+V299/'VVP2'!V$341</f>
        <v>1.0125363809316242E-3</v>
      </c>
      <c r="W314" s="877">
        <f>+W299/'VVP2'!W$341</f>
        <v>9.7158104944410648E-4</v>
      </c>
      <c r="X314" s="877">
        <f>+X299/'VVP2'!X$341</f>
        <v>1.0824450082423593E-3</v>
      </c>
      <c r="Y314" s="877">
        <f>+Y299/'VVP2'!Y$341</f>
        <v>1.0924924859675794E-3</v>
      </c>
      <c r="Z314" s="877">
        <f>+Z299/'VVP2'!Z$341</f>
        <v>1.3240546318440678E-3</v>
      </c>
      <c r="AA314" s="877">
        <f>+AA299/'VVP2'!AA$341</f>
        <v>1.3968677697693544E-3</v>
      </c>
      <c r="AB314" s="877">
        <f>+AB299/'VVP2'!AB$341</f>
        <v>1.543040617745271E-3</v>
      </c>
      <c r="AC314" s="877">
        <f>+AC299/'VVP2'!AC$341</f>
        <v>1.33612905635176E-3</v>
      </c>
      <c r="AD314" s="3004">
        <f ca="1">+AD299/'VVP2'!AD$341</f>
        <v>1.2992155843709881E-3</v>
      </c>
      <c r="AE314" s="3004">
        <f ca="1">+AE299/'VVP2'!AE$341</f>
        <v>1.27691618471935E-3</v>
      </c>
      <c r="AF314" s="3004">
        <f ca="1">+AF299/'VVP2'!AF$341</f>
        <v>1.2578612617470705E-3</v>
      </c>
      <c r="BB314" s="3465">
        <v>1.5434950503276164E-3</v>
      </c>
      <c r="BC314" s="736" t="str">
        <f t="shared" si="381"/>
        <v/>
      </c>
    </row>
    <row r="315" spans="1:55" ht="12.75" customHeight="1">
      <c r="A315" s="701"/>
      <c r="B315" s="701"/>
      <c r="C315" s="811" t="s">
        <v>1793</v>
      </c>
      <c r="D315" s="843" t="s">
        <v>664</v>
      </c>
      <c r="E315" s="844" t="s">
        <v>1663</v>
      </c>
      <c r="F315" s="845" t="s">
        <v>1278</v>
      </c>
      <c r="G315" s="878">
        <f>+G300/'VVP2'!G$341</f>
        <v>0.20845035764893555</v>
      </c>
      <c r="H315" s="878">
        <f>+H300/'VVP2'!H$341</f>
        <v>0.19878689687331019</v>
      </c>
      <c r="I315" s="878">
        <f>+I300/'VVP2'!I$341</f>
        <v>0.19224788795921616</v>
      </c>
      <c r="J315" s="878">
        <f>+J300/'VVP2'!J$341</f>
        <v>0.18744063046329185</v>
      </c>
      <c r="K315" s="878">
        <f>+K300/'VVP2'!K$341</f>
        <v>0.18251447286029066</v>
      </c>
      <c r="L315" s="878">
        <f>+L300/'VVP2'!L$341</f>
        <v>0.17470693808508547</v>
      </c>
      <c r="M315" s="878">
        <f>+M300/'VVP2'!M$341</f>
        <v>0.17209204501683376</v>
      </c>
      <c r="N315" s="878">
        <f>+N300/'VVP2'!N$341</f>
        <v>0.17482485152249902</v>
      </c>
      <c r="O315" s="878">
        <f>+O300/'VVP2'!O$341</f>
        <v>0.18011849169465208</v>
      </c>
      <c r="P315" s="878">
        <f>+P300/'VVP2'!P$341</f>
        <v>0.17742111798057472</v>
      </c>
      <c r="Q315" s="878">
        <f>+Q300/'VVP2'!Q$341</f>
        <v>0.17619438461694387</v>
      </c>
      <c r="R315" s="878">
        <f>+R300/'VVP2'!R$341</f>
        <v>0.16842312543951757</v>
      </c>
      <c r="S315" s="878">
        <f>+S300/'VVP2'!S$341</f>
        <v>0.15794174038460665</v>
      </c>
      <c r="T315" s="878">
        <f>+T300/'VVP2'!T$341</f>
        <v>0.15973259277626639</v>
      </c>
      <c r="U315" s="878">
        <f>+U300/'VVP2'!U$341</f>
        <v>0.17585431874578714</v>
      </c>
      <c r="V315" s="878">
        <f>+V300/'VVP2'!V$341</f>
        <v>0.16606306103823573</v>
      </c>
      <c r="W315" s="878">
        <f>+W300/'VVP2'!W$341</f>
        <v>0.16232423383172498</v>
      </c>
      <c r="X315" s="878">
        <f>+X300/'VVP2'!X$341</f>
        <v>0.16822816520284933</v>
      </c>
      <c r="Y315" s="878">
        <f>+Y300/'VVP2'!Y$341</f>
        <v>0.17317794484754523</v>
      </c>
      <c r="Z315" s="878">
        <f>+Z300/'VVP2'!Z$341</f>
        <v>0.16794965648927598</v>
      </c>
      <c r="AA315" s="878">
        <f>+AA300/'VVP2'!AA$341</f>
        <v>0.16325169110491075</v>
      </c>
      <c r="AB315" s="878">
        <f>+AB300/'VVP2'!AB$341</f>
        <v>0.16081871678398138</v>
      </c>
      <c r="AC315" s="878">
        <f>+AC300/'VVP2'!AC$341</f>
        <v>0.15886963219760905</v>
      </c>
      <c r="AD315" s="3005">
        <f ca="1">+AD300/'VVP2'!AD$341</f>
        <v>0.15669119949266488</v>
      </c>
      <c r="AE315" s="3005">
        <f ca="1">+AE300/'VVP2'!AE$341</f>
        <v>0.15369168192198135</v>
      </c>
      <c r="AF315" s="3005">
        <f ca="1">+AF300/'VVP2'!AF$341</f>
        <v>0.15170507543259329</v>
      </c>
      <c r="BB315" s="3507">
        <v>0.15998295549222261</v>
      </c>
      <c r="BC315" s="736" t="str">
        <f t="shared" si="381"/>
        <v/>
      </c>
    </row>
    <row r="316" spans="1:55" ht="30" customHeight="1">
      <c r="A316" s="701"/>
      <c r="B316" s="701"/>
      <c r="C316" s="811"/>
      <c r="AD316" s="3620"/>
      <c r="AE316" s="3620"/>
      <c r="AF316" s="3620"/>
      <c r="AG316" s="3621"/>
      <c r="BC316" s="736" t="str">
        <f t="shared" si="381"/>
        <v/>
      </c>
    </row>
    <row r="317" spans="1:55" ht="30" customHeight="1">
      <c r="AD317" s="3620"/>
      <c r="AE317" s="3620"/>
      <c r="AF317" s="3620"/>
      <c r="AG317" s="3621"/>
      <c r="BC317" s="736" t="str">
        <f t="shared" si="381"/>
        <v/>
      </c>
    </row>
    <row r="318" spans="1:55" ht="22.5" customHeight="1">
      <c r="A318" s="590"/>
      <c r="B318" s="590"/>
      <c r="C318" s="3816" t="s">
        <v>233</v>
      </c>
      <c r="D318" s="3816"/>
      <c r="E318" s="3816"/>
      <c r="F318" s="3816"/>
      <c r="AD318" s="3622"/>
      <c r="AE318" s="3622"/>
      <c r="AF318" s="3622"/>
      <c r="AG318" s="3623"/>
      <c r="BC318" s="736" t="str">
        <f t="shared" si="381"/>
        <v/>
      </c>
    </row>
    <row r="319" spans="1:55" ht="12.75" customHeight="1">
      <c r="A319" s="701"/>
      <c r="B319" s="701"/>
      <c r="C319" s="811"/>
      <c r="O319" s="885"/>
      <c r="P319" s="885"/>
      <c r="Q319" s="885"/>
      <c r="R319" s="2342"/>
      <c r="S319" s="2342"/>
      <c r="T319" s="2342"/>
      <c r="U319" s="2342"/>
      <c r="V319" s="2342"/>
      <c r="W319" s="2342"/>
      <c r="X319" s="2342"/>
      <c r="Y319" s="2342"/>
      <c r="Z319" s="2342"/>
      <c r="AA319" s="3674">
        <f>100*AA327/'VVP2'!AA341</f>
        <v>1.382872911213809</v>
      </c>
      <c r="AB319" s="3674">
        <f>100*AB327/'VVP2'!AB341</f>
        <v>1.1123254673301564</v>
      </c>
      <c r="AC319" s="3674">
        <f>100*AC327/'VVP2'!AC341</f>
        <v>1.3297519774950266</v>
      </c>
      <c r="AD319" s="3674">
        <f ca="1">100*AD327/'VVP2'!AD341</f>
        <v>1.3010068994374111</v>
      </c>
      <c r="AE319" s="3674">
        <f ca="1">100*AE327/'VVP2'!AE341</f>
        <v>1.307977274800538</v>
      </c>
      <c r="AF319" s="3674">
        <f ca="1">100*AF327/'VVP2'!AF341</f>
        <v>1.2964336534679701</v>
      </c>
      <c r="AG319" s="3621"/>
      <c r="AI319" s="740"/>
      <c r="BB319" s="3543"/>
      <c r="BC319" s="736">
        <f t="shared" si="381"/>
        <v>1.1123254673301564</v>
      </c>
    </row>
    <row r="320" spans="1:55" ht="12.75" customHeight="1">
      <c r="A320" s="701"/>
      <c r="B320" s="701"/>
      <c r="C320" s="811"/>
      <c r="D320" s="812"/>
      <c r="E320" s="813" t="s">
        <v>1882</v>
      </c>
      <c r="F320" s="814"/>
      <c r="G320" s="815">
        <f>+InputY!$G$3</f>
        <v>1995</v>
      </c>
      <c r="H320" s="815">
        <f>+G320+1</f>
        <v>1996</v>
      </c>
      <c r="I320" s="815">
        <f t="shared" ref="I320:O320" si="457">+H320+1</f>
        <v>1997</v>
      </c>
      <c r="J320" s="815">
        <f t="shared" si="457"/>
        <v>1998</v>
      </c>
      <c r="K320" s="815">
        <f t="shared" si="457"/>
        <v>1999</v>
      </c>
      <c r="L320" s="815">
        <f t="shared" si="457"/>
        <v>2000</v>
      </c>
      <c r="M320" s="815">
        <f t="shared" si="457"/>
        <v>2001</v>
      </c>
      <c r="N320" s="815">
        <f t="shared" si="457"/>
        <v>2002</v>
      </c>
      <c r="O320" s="815">
        <f t="shared" si="457"/>
        <v>2003</v>
      </c>
      <c r="P320" s="815">
        <f>+O320+1</f>
        <v>2004</v>
      </c>
      <c r="Q320" s="815">
        <f>+P320+1</f>
        <v>2005</v>
      </c>
      <c r="R320" s="815">
        <f>+Q320+1</f>
        <v>2006</v>
      </c>
      <c r="S320" s="815">
        <f>+R320+1</f>
        <v>2007</v>
      </c>
      <c r="T320" s="815">
        <f t="shared" ref="T320:AF320" si="458">+S320+1</f>
        <v>2008</v>
      </c>
      <c r="U320" s="815">
        <f t="shared" si="458"/>
        <v>2009</v>
      </c>
      <c r="V320" s="815">
        <f t="shared" si="458"/>
        <v>2010</v>
      </c>
      <c r="W320" s="815">
        <f t="shared" si="458"/>
        <v>2011</v>
      </c>
      <c r="X320" s="2285">
        <f t="shared" si="458"/>
        <v>2012</v>
      </c>
      <c r="Y320" s="2285">
        <f t="shared" si="458"/>
        <v>2013</v>
      </c>
      <c r="Z320" s="2285">
        <f t="shared" si="458"/>
        <v>2014</v>
      </c>
      <c r="AA320" s="2285">
        <f t="shared" si="458"/>
        <v>2015</v>
      </c>
      <c r="AB320" s="2285">
        <f t="shared" si="458"/>
        <v>2016</v>
      </c>
      <c r="AC320" s="2285">
        <f t="shared" si="458"/>
        <v>2017</v>
      </c>
      <c r="AD320" s="2285">
        <f t="shared" si="458"/>
        <v>2018</v>
      </c>
      <c r="AE320" s="2285">
        <f t="shared" si="458"/>
        <v>2019</v>
      </c>
      <c r="AF320" s="2285">
        <f t="shared" si="458"/>
        <v>2020</v>
      </c>
      <c r="BB320" s="3470">
        <v>2016</v>
      </c>
      <c r="BC320" s="736" t="str">
        <f t="shared" si="381"/>
        <v/>
      </c>
    </row>
    <row r="321" spans="1:56" ht="12.75" customHeight="1">
      <c r="A321" s="701">
        <f>+ROW(InputY!A198)</f>
        <v>198</v>
      </c>
      <c r="B321" s="701" t="s">
        <v>953</v>
      </c>
      <c r="C321" s="816" t="s">
        <v>1791</v>
      </c>
      <c r="D321" s="705" t="s">
        <v>664</v>
      </c>
      <c r="E321" s="737" t="s">
        <v>1669</v>
      </c>
      <c r="F321" s="738" t="str">
        <f>+InputY!B198</f>
        <v>$HTO</v>
      </c>
      <c r="G321" s="817">
        <f>+InputY!G198/1000</f>
        <v>42.713999999999999</v>
      </c>
      <c r="H321" s="817">
        <f>+InputY!H198/1000</f>
        <v>41.875</v>
      </c>
      <c r="I321" s="817">
        <f>+InputY!I198/1000</f>
        <v>43.436</v>
      </c>
      <c r="J321" s="817">
        <f>+InputY!J198/1000</f>
        <v>46.268999999999998</v>
      </c>
      <c r="K321" s="817">
        <f>+InputY!K198/1000</f>
        <v>46.421999999999997</v>
      </c>
      <c r="L321" s="817">
        <f>+InputY!L198/1000</f>
        <v>63.505000000000003</v>
      </c>
      <c r="M321" s="817">
        <f>+InputY!M198/1000</f>
        <v>66.406999999999996</v>
      </c>
      <c r="N321" s="817">
        <f>+InputY!N198/1000</f>
        <v>68.53</v>
      </c>
      <c r="O321" s="817">
        <f>+InputY!O198/1000</f>
        <v>72.89</v>
      </c>
      <c r="P321" s="817">
        <f>+InputY!P198/1000</f>
        <v>77.358000000000004</v>
      </c>
      <c r="Q321" s="817">
        <f>+InputY!Q198/1000</f>
        <v>83.991</v>
      </c>
      <c r="R321" s="817">
        <f>+InputY!R198/1000</f>
        <v>86.442999999999998</v>
      </c>
      <c r="S321" s="817">
        <f>+InputY!S198/1000</f>
        <v>102.998</v>
      </c>
      <c r="T321" s="817">
        <f>+InputY!T198/1000</f>
        <v>105.783</v>
      </c>
      <c r="U321" s="817">
        <f>+InputY!U198/1000</f>
        <v>102.11199999999999</v>
      </c>
      <c r="V321" s="817">
        <f>+InputY!V198/1000</f>
        <v>101.1</v>
      </c>
      <c r="W321" s="817">
        <f>+InputY!W198/1000</f>
        <v>94.881</v>
      </c>
      <c r="X321" s="817">
        <f>+InputY!X198/1000</f>
        <v>99.748000000000005</v>
      </c>
      <c r="Y321" s="817">
        <f>+InputY!Y198/1000</f>
        <v>101.337</v>
      </c>
      <c r="Z321" s="817">
        <f>+InputY!Z198/1000</f>
        <v>96.942999999999998</v>
      </c>
      <c r="AA321" s="817">
        <f>+InputY!AA198/1000</f>
        <v>99.444000000000003</v>
      </c>
      <c r="AB321" s="817">
        <f>+InputY!AB198/1000</f>
        <v>101.645</v>
      </c>
      <c r="AC321" s="817">
        <f>+InputY!AC198/1000</f>
        <v>106.818</v>
      </c>
      <c r="AD321" s="2296">
        <f t="shared" ref="AD321:AF325" si="459">+AC321*(1+AD331/100)</f>
        <v>111.09072</v>
      </c>
      <c r="AE321" s="2296">
        <f t="shared" si="459"/>
        <v>113.3125344</v>
      </c>
      <c r="AF321" s="2296">
        <f t="shared" si="459"/>
        <v>115.578785088</v>
      </c>
      <c r="AN321" s="2940"/>
      <c r="AO321" s="2940"/>
      <c r="AP321" s="2940"/>
      <c r="AQ321" s="2940"/>
      <c r="BB321" s="3471">
        <v>104.014</v>
      </c>
      <c r="BC321" s="736">
        <f t="shared" si="381"/>
        <v>-2.3689999999999998</v>
      </c>
    </row>
    <row r="322" spans="1:56" ht="12.75" customHeight="1">
      <c r="A322" s="701">
        <f>+ROW(InputY!A197)</f>
        <v>197</v>
      </c>
      <c r="B322" s="701" t="s">
        <v>959</v>
      </c>
      <c r="C322" s="819" t="s">
        <v>301</v>
      </c>
      <c r="D322" s="711" t="s">
        <v>664</v>
      </c>
      <c r="E322" s="820" t="s">
        <v>1664</v>
      </c>
      <c r="F322" s="741" t="str">
        <f>+InputY!B197</f>
        <v>YHTO</v>
      </c>
      <c r="G322" s="743">
        <f>+InputY!G197/1000</f>
        <v>102.539</v>
      </c>
      <c r="H322" s="743">
        <f>+InputY!H197/1000</f>
        <v>97.631</v>
      </c>
      <c r="I322" s="743">
        <f>+InputY!I197/1000</f>
        <v>100.682</v>
      </c>
      <c r="J322" s="743">
        <f>+InputY!J197/1000</f>
        <v>97.370999999999995</v>
      </c>
      <c r="K322" s="743">
        <f>+InputY!K197/1000</f>
        <v>109.09099999999999</v>
      </c>
      <c r="L322" s="743">
        <f>+InputY!L197/1000</f>
        <v>125.325</v>
      </c>
      <c r="M322" s="743">
        <f>+InputY!M197/1000</f>
        <v>130.386</v>
      </c>
      <c r="N322" s="743">
        <f>+InputY!N197/1000</f>
        <v>115.483</v>
      </c>
      <c r="O322" s="743">
        <f>+InputY!O197/1000</f>
        <v>130.25899999999999</v>
      </c>
      <c r="P322" s="743">
        <f>+InputY!P197/1000</f>
        <v>138.995</v>
      </c>
      <c r="Q322" s="743">
        <f>+InputY!Q197/1000</f>
        <v>143.76599999999999</v>
      </c>
      <c r="R322" s="743">
        <f>+InputY!R197/1000</f>
        <v>143.327</v>
      </c>
      <c r="S322" s="743">
        <f>+InputY!S197/1000</f>
        <v>144.01599999999999</v>
      </c>
      <c r="T322" s="743">
        <f>+InputY!T197/1000</f>
        <v>146.232</v>
      </c>
      <c r="U322" s="743">
        <f>+InputY!U197/1000</f>
        <v>148.62100000000001</v>
      </c>
      <c r="V322" s="743">
        <f>+InputY!V197/1000</f>
        <v>148.78800000000001</v>
      </c>
      <c r="W322" s="743">
        <f>+InputY!W197/1000</f>
        <v>147.50299999999999</v>
      </c>
      <c r="X322" s="743">
        <f>+InputY!X197/1000</f>
        <v>153.268</v>
      </c>
      <c r="Y322" s="743">
        <f>+InputY!Y197/1000</f>
        <v>158.09399999999999</v>
      </c>
      <c r="Z322" s="743">
        <f>+InputY!Z197/1000</f>
        <v>159.96299999999999</v>
      </c>
      <c r="AA322" s="743">
        <f>+InputY!AA197/1000</f>
        <v>165.22900000000001</v>
      </c>
      <c r="AB322" s="743">
        <f>+InputY!AB197/1000</f>
        <v>175.31700000000001</v>
      </c>
      <c r="AC322" s="743">
        <f>+InputY!AC197/1000</f>
        <v>180.054</v>
      </c>
      <c r="AD322" s="2279">
        <f t="shared" si="459"/>
        <v>189.05670000000001</v>
      </c>
      <c r="AE322" s="2279">
        <f t="shared" si="459"/>
        <v>193.7831175</v>
      </c>
      <c r="AF322" s="2279">
        <f t="shared" si="459"/>
        <v>198.62769543749999</v>
      </c>
      <c r="AH322" s="2940"/>
      <c r="AI322" s="2940"/>
      <c r="AJ322" s="2940"/>
      <c r="AK322" s="2940"/>
      <c r="AL322" s="2940"/>
      <c r="AM322" s="2940"/>
      <c r="BB322" s="3472">
        <v>172.22300000000001</v>
      </c>
      <c r="BC322" s="736">
        <f t="shared" ref="BC322:BC385" si="460">IF(ABS(BB322-AB322)&gt;0.99,AB322-BB322,"")</f>
        <v>3.0939999999999941</v>
      </c>
    </row>
    <row r="323" spans="1:56" ht="12.75" customHeight="1">
      <c r="A323" s="701">
        <f>+ROW(InputY!A125)</f>
        <v>125</v>
      </c>
      <c r="B323" s="701" t="s">
        <v>954</v>
      </c>
      <c r="C323" s="819" t="s">
        <v>1791</v>
      </c>
      <c r="D323" s="711" t="s">
        <v>665</v>
      </c>
      <c r="E323" s="820" t="s">
        <v>1669</v>
      </c>
      <c r="F323" s="741" t="str">
        <f>+InputY!B125</f>
        <v>$ETO</v>
      </c>
      <c r="G323" s="743">
        <f>+InputY!G125/1000</f>
        <v>90.004000000000005</v>
      </c>
      <c r="H323" s="743">
        <f>+InputY!H125/1000</f>
        <v>91.201999999999998</v>
      </c>
      <c r="I323" s="743">
        <f>+InputY!I125/1000</f>
        <v>91.411000000000001</v>
      </c>
      <c r="J323" s="743">
        <f>+InputY!J125/1000</f>
        <v>83.802999999999997</v>
      </c>
      <c r="K323" s="743">
        <f>+InputY!K125/1000</f>
        <v>99.587999999999994</v>
      </c>
      <c r="L323" s="743">
        <f>+InputY!L125/1000</f>
        <v>106.98699999999999</v>
      </c>
      <c r="M323" s="743">
        <f>+InputY!M125/1000</f>
        <v>114.76300000000001</v>
      </c>
      <c r="N323" s="743">
        <f>+InputY!N125/1000</f>
        <v>103.261</v>
      </c>
      <c r="O323" s="743">
        <f>+InputY!O125/1000</f>
        <v>87.085999999999999</v>
      </c>
      <c r="P323" s="743">
        <f>+InputY!P125/1000</f>
        <v>93.61</v>
      </c>
      <c r="Q323" s="743">
        <f>+InputY!Q125/1000</f>
        <v>92.813999999999993</v>
      </c>
      <c r="R323" s="743">
        <f>+InputY!R125/1000</f>
        <v>99.849000000000004</v>
      </c>
      <c r="S323" s="743">
        <f>+InputY!S125/1000</f>
        <v>97.953000000000003</v>
      </c>
      <c r="T323" s="743">
        <f>+InputY!T125/1000</f>
        <v>94.198999999999998</v>
      </c>
      <c r="U323" s="743">
        <f>+InputY!U125/1000</f>
        <v>98.557000000000002</v>
      </c>
      <c r="V323" s="743">
        <f>+InputY!V125/1000</f>
        <v>96.384</v>
      </c>
      <c r="W323" s="743">
        <f>+InputY!W125/1000</f>
        <v>109.40300000000001</v>
      </c>
      <c r="X323" s="743">
        <f>+InputY!X125/1000</f>
        <v>100.727</v>
      </c>
      <c r="Y323" s="743">
        <f>+InputY!Y125/1000</f>
        <v>104.82299999999999</v>
      </c>
      <c r="Z323" s="743">
        <f>+InputY!Z125/1000</f>
        <v>112.90600000000001</v>
      </c>
      <c r="AA323" s="743">
        <f>+InputY!AA125/1000</f>
        <v>110.32899999999999</v>
      </c>
      <c r="AB323" s="743">
        <f>+InputY!AB125/1000</f>
        <v>113.286</v>
      </c>
      <c r="AC323" s="743">
        <f>+InputY!AC125/1000</f>
        <v>127.21899999999999</v>
      </c>
      <c r="AD323" s="2279">
        <f t="shared" si="459"/>
        <v>129.76337999999998</v>
      </c>
      <c r="AE323" s="2279">
        <f t="shared" si="459"/>
        <v>131.70983069999997</v>
      </c>
      <c r="AF323" s="2279">
        <f t="shared" si="459"/>
        <v>133.68547816049997</v>
      </c>
      <c r="BB323" s="3472">
        <v>113.163</v>
      </c>
      <c r="BC323" s="736" t="str">
        <f t="shared" si="460"/>
        <v/>
      </c>
    </row>
    <row r="324" spans="1:56" ht="12.75" customHeight="1">
      <c r="A324" s="701">
        <f>+ROW(InputY!A124)</f>
        <v>124</v>
      </c>
      <c r="B324" s="701" t="s">
        <v>954</v>
      </c>
      <c r="C324" s="819" t="s">
        <v>301</v>
      </c>
      <c r="D324" s="711" t="s">
        <v>665</v>
      </c>
      <c r="E324" s="820" t="s">
        <v>1664</v>
      </c>
      <c r="F324" s="741" t="str">
        <f>+InputY!B124</f>
        <v>YETO</v>
      </c>
      <c r="G324" s="743">
        <f>+InputY!G124/1000</f>
        <v>77.447000000000003</v>
      </c>
      <c r="H324" s="743">
        <f>+InputY!H124/1000</f>
        <v>79.944000000000003</v>
      </c>
      <c r="I324" s="743">
        <f>+InputY!I124/1000</f>
        <v>72.350999999999999</v>
      </c>
      <c r="J324" s="743">
        <f>+InputY!J124/1000</f>
        <v>71.884</v>
      </c>
      <c r="K324" s="743">
        <f>+InputY!K124/1000</f>
        <v>77.661000000000001</v>
      </c>
      <c r="L324" s="743">
        <f>+InputY!L124/1000</f>
        <v>88.879000000000005</v>
      </c>
      <c r="M324" s="743">
        <f>+InputY!M124/1000</f>
        <v>87.59</v>
      </c>
      <c r="N324" s="743">
        <f>+InputY!N124/1000</f>
        <v>89.097999999999999</v>
      </c>
      <c r="O324" s="743">
        <f>+InputY!O124/1000</f>
        <v>70.971999999999994</v>
      </c>
      <c r="P324" s="743">
        <f>+InputY!P124/1000</f>
        <v>77.784000000000006</v>
      </c>
      <c r="Q324" s="743">
        <f>+InputY!Q124/1000</f>
        <v>79.251999999999995</v>
      </c>
      <c r="R324" s="743">
        <f>+InputY!R124/1000</f>
        <v>84.22</v>
      </c>
      <c r="S324" s="743">
        <f>+InputY!S124/1000</f>
        <v>82.07</v>
      </c>
      <c r="T324" s="743">
        <f>+InputY!T124/1000</f>
        <v>75.296000000000006</v>
      </c>
      <c r="U324" s="743">
        <f>+InputY!U124/1000</f>
        <v>81.533000000000001</v>
      </c>
      <c r="V324" s="743">
        <f>+InputY!V124/1000</f>
        <v>76.001999999999995</v>
      </c>
      <c r="W324" s="743">
        <f>+InputY!W124/1000</f>
        <v>80.510000000000005</v>
      </c>
      <c r="X324" s="743">
        <f>+InputY!X124/1000</f>
        <v>69.853999999999999</v>
      </c>
      <c r="Y324" s="743">
        <f>+InputY!Y124/1000</f>
        <v>75.548000000000002</v>
      </c>
      <c r="Z324" s="743">
        <f>+InputY!Z124/1000</f>
        <v>77.938999999999993</v>
      </c>
      <c r="AA324" s="743">
        <f>+InputY!AA124/1000</f>
        <v>74.897000000000006</v>
      </c>
      <c r="AB324" s="743">
        <f>+InputY!AB124/1000</f>
        <v>70.489999999999995</v>
      </c>
      <c r="AC324" s="743">
        <f>+InputY!AC124/1000</f>
        <v>81.120999999999995</v>
      </c>
      <c r="AD324" s="2279">
        <f t="shared" si="459"/>
        <v>82.74342</v>
      </c>
      <c r="AE324" s="2279">
        <f t="shared" si="459"/>
        <v>83.984571299999999</v>
      </c>
      <c r="AF324" s="2279">
        <f t="shared" si="459"/>
        <v>85.244339869499996</v>
      </c>
      <c r="BB324" s="3472">
        <v>75.86</v>
      </c>
      <c r="BC324" s="736">
        <f t="shared" si="460"/>
        <v>-5.3700000000000045</v>
      </c>
    </row>
    <row r="325" spans="1:56" ht="12.75" customHeight="1">
      <c r="A325" s="701">
        <f>+ROW(InputY!A163)</f>
        <v>163</v>
      </c>
      <c r="B325" s="701" t="s">
        <v>963</v>
      </c>
      <c r="C325" s="819" t="s">
        <v>1791</v>
      </c>
      <c r="D325" s="711" t="s">
        <v>666</v>
      </c>
      <c r="E325" s="820" t="s">
        <v>1669</v>
      </c>
      <c r="F325" s="741" t="str">
        <f>+InputY!B163</f>
        <v>$ATO</v>
      </c>
      <c r="G325" s="743">
        <f>+InputY!G163/1000</f>
        <v>83.353999999999999</v>
      </c>
      <c r="H325" s="743">
        <f>+InputY!H163/1000</f>
        <v>77.816000000000003</v>
      </c>
      <c r="I325" s="743">
        <f>+InputY!I163/1000</f>
        <v>77.951999999999998</v>
      </c>
      <c r="J325" s="743">
        <f>+InputY!J163/1000</f>
        <v>79.744</v>
      </c>
      <c r="K325" s="743">
        <f>+InputY!K163/1000</f>
        <v>81.289000000000001</v>
      </c>
      <c r="L325" s="743">
        <f>+InputY!L163/1000</f>
        <v>86.813999999999993</v>
      </c>
      <c r="M325" s="743">
        <f>+InputY!M163/1000</f>
        <v>80.388999999999996</v>
      </c>
      <c r="N325" s="743">
        <f>+InputY!N163/1000</f>
        <v>75.332999999999998</v>
      </c>
      <c r="O325" s="743">
        <f>+InputY!O163/1000</f>
        <v>85.620999999999995</v>
      </c>
      <c r="P325" s="743">
        <f>+InputY!P163/1000</f>
        <v>94.5</v>
      </c>
      <c r="Q325" s="743">
        <f>+InputY!Q163/1000</f>
        <v>97.947999999999993</v>
      </c>
      <c r="R325" s="743">
        <f>+InputY!R163/1000</f>
        <v>98.804000000000002</v>
      </c>
      <c r="S325" s="743">
        <f>+InputY!S163/1000</f>
        <v>90.623999999999995</v>
      </c>
      <c r="T325" s="743">
        <f>+InputY!T163/1000</f>
        <v>93.447000000000003</v>
      </c>
      <c r="U325" s="743">
        <f>+InputY!U163/1000</f>
        <v>93.222999999999999</v>
      </c>
      <c r="V325" s="743">
        <f>+InputY!V163/1000</f>
        <v>101.063</v>
      </c>
      <c r="W325" s="743">
        <f>+InputY!W163/1000</f>
        <v>96.658000000000001</v>
      </c>
      <c r="X325" s="743">
        <f>+InputY!X163/1000</f>
        <v>98.603999999999999</v>
      </c>
      <c r="Y325" s="743">
        <f>+InputY!Y163/1000</f>
        <v>106.947</v>
      </c>
      <c r="Z325" s="743">
        <f>+InputY!Z163/1000</f>
        <v>108.02800000000001</v>
      </c>
      <c r="AA325" s="743">
        <f>+InputY!AA163/1000</f>
        <v>110.38</v>
      </c>
      <c r="AB325" s="743">
        <f>+InputY!AB163/1000</f>
        <v>103.102</v>
      </c>
      <c r="AC325" s="743">
        <f>+InputY!AC163/1000</f>
        <v>113.235</v>
      </c>
      <c r="AD325" s="2279">
        <f t="shared" si="459"/>
        <v>118.89675000000001</v>
      </c>
      <c r="AE325" s="2279">
        <f t="shared" si="459"/>
        <v>123.53372325000001</v>
      </c>
      <c r="AF325" s="2279">
        <f t="shared" si="459"/>
        <v>127.23973494750001</v>
      </c>
      <c r="AH325" s="3675">
        <f ca="1">Tables!$K$433</f>
        <v>0.94511676569394043</v>
      </c>
      <c r="AI325" s="3675">
        <f ca="1">Tables!$M$433</f>
        <v>0.83901290941847817</v>
      </c>
      <c r="AJ325" s="3675">
        <f ca="1">Tables!$M$433</f>
        <v>0.83901290941847817</v>
      </c>
      <c r="AK325" s="3641" t="s">
        <v>2574</v>
      </c>
      <c r="BB325" s="3472">
        <v>102.57299999999999</v>
      </c>
      <c r="BC325" s="736" t="str">
        <f t="shared" si="460"/>
        <v/>
      </c>
    </row>
    <row r="326" spans="1:56" ht="12.75" customHeight="1">
      <c r="A326" s="701">
        <f>+ROW(InputY!A161)</f>
        <v>161</v>
      </c>
      <c r="B326" s="701" t="s">
        <v>2032</v>
      </c>
      <c r="C326" s="819" t="s">
        <v>301</v>
      </c>
      <c r="D326" s="711" t="s">
        <v>666</v>
      </c>
      <c r="E326" s="820" t="s">
        <v>1664</v>
      </c>
      <c r="F326" s="741" t="str">
        <f>+InputY!B161</f>
        <v>YATO</v>
      </c>
      <c r="G326" s="743">
        <f>+InputY!G161/1000</f>
        <v>12.303000000000001</v>
      </c>
      <c r="H326" s="743">
        <f>+InputY!H161/1000</f>
        <v>10.952</v>
      </c>
      <c r="I326" s="743">
        <f>+InputY!I161/1000</f>
        <v>8.9190000000000005</v>
      </c>
      <c r="J326" s="743">
        <f>+InputY!J161/1000</f>
        <v>11.776</v>
      </c>
      <c r="K326" s="743">
        <f>+InputY!K161/1000</f>
        <v>11.147</v>
      </c>
      <c r="L326" s="743">
        <f>+InputY!L161/1000</f>
        <v>12.624000000000001</v>
      </c>
      <c r="M326" s="743">
        <f>+InputY!M161/1000</f>
        <v>12.324</v>
      </c>
      <c r="N326" s="743">
        <f>+InputY!N161/1000</f>
        <v>12.85</v>
      </c>
      <c r="O326" s="743">
        <f>+InputY!O161/1000</f>
        <v>12.042999999999999</v>
      </c>
      <c r="P326" s="743">
        <f>+InputY!P161/1000</f>
        <v>12.339</v>
      </c>
      <c r="Q326" s="743">
        <f>+InputY!Q161/1000</f>
        <v>13.215</v>
      </c>
      <c r="R326" s="743">
        <f>+InputY!R161/1000</f>
        <v>14.192</v>
      </c>
      <c r="S326" s="743">
        <f>+InputY!S161/1000</f>
        <v>21.385999999999999</v>
      </c>
      <c r="T326" s="743">
        <f>+InputY!T161/1000</f>
        <v>20.922999999999998</v>
      </c>
      <c r="U326" s="743">
        <f>+InputY!U161/1000</f>
        <v>23.388999999999999</v>
      </c>
      <c r="V326" s="743">
        <f>+InputY!V161/1000</f>
        <v>24.440999999999999</v>
      </c>
      <c r="W326" s="743">
        <f>+InputY!W161/1000</f>
        <v>21.911999999999999</v>
      </c>
      <c r="X326" s="743">
        <f>+InputY!X161/1000</f>
        <v>24.327000000000002</v>
      </c>
      <c r="Y326" s="743">
        <f>+InputY!Y161/1000</f>
        <v>23.655000000000001</v>
      </c>
      <c r="Z326" s="743">
        <f>+InputY!Z161/1000</f>
        <v>22.021999999999998</v>
      </c>
      <c r="AA326" s="743">
        <f>+InputY!AA161/1000</f>
        <v>21.925000000000001</v>
      </c>
      <c r="AB326" s="743">
        <f>+InputY!AB161/1000</f>
        <v>23.445</v>
      </c>
      <c r="AC326" s="743">
        <f>+InputY!AC161/1000</f>
        <v>25.209</v>
      </c>
      <c r="AD326" s="2279">
        <f>+AC326*(1+AD336/100)</f>
        <v>25.461089999999999</v>
      </c>
      <c r="AE326" s="2279">
        <f>+AD326*(1+AE336/100)</f>
        <v>25.588395449999997</v>
      </c>
      <c r="AF326" s="2279">
        <f>+AE326*(1+AF336/100)</f>
        <v>25.716337427249993</v>
      </c>
      <c r="BB326" s="3472">
        <v>24.841000000000001</v>
      </c>
      <c r="BC326" s="736">
        <f t="shared" si="460"/>
        <v>-1.3960000000000008</v>
      </c>
    </row>
    <row r="327" spans="1:56" ht="12.75" customHeight="1">
      <c r="A327" s="2014">
        <f>ROW(InputY!A254)</f>
        <v>254</v>
      </c>
      <c r="B327" s="701" t="s">
        <v>950</v>
      </c>
      <c r="C327" s="821" t="s">
        <v>1793</v>
      </c>
      <c r="D327" s="789" t="s">
        <v>667</v>
      </c>
      <c r="E327" s="790" t="s">
        <v>1185</v>
      </c>
      <c r="F327" s="791" t="s">
        <v>1186</v>
      </c>
      <c r="G327" s="822">
        <f>+InputY!G254/1000</f>
        <v>23.783000000000001</v>
      </c>
      <c r="H327" s="822">
        <f>+InputY!H254/1000</f>
        <v>22.366</v>
      </c>
      <c r="I327" s="822">
        <f>+InputY!I254/1000</f>
        <v>30.847000000000001</v>
      </c>
      <c r="J327" s="822">
        <f>+InputY!J254/1000</f>
        <v>28.785</v>
      </c>
      <c r="K327" s="822">
        <f>+InputY!K254/1000</f>
        <v>29.4</v>
      </c>
      <c r="L327" s="822">
        <f>+InputY!L254/1000</f>
        <v>30.478000000000002</v>
      </c>
      <c r="M327" s="822">
        <f>+InputY!M254/1000</f>
        <v>31.259</v>
      </c>
      <c r="N327" s="822">
        <f>+InputY!N254/1000</f>
        <v>29.693000000000001</v>
      </c>
      <c r="O327" s="822">
        <f>+InputY!O254/1000</f>
        <v>32.323</v>
      </c>
      <c r="P327" s="822">
        <f>+InputY!P254/1000</f>
        <v>36.35</v>
      </c>
      <c r="Q327" s="822">
        <f>+InputY!Q254/1000</f>
        <v>38.520000000000003</v>
      </c>
      <c r="R327" s="822">
        <f>+InputY!R254/1000</f>
        <v>43.356999999999999</v>
      </c>
      <c r="S327" s="822">
        <f>+InputY!S254/1000</f>
        <v>44.103000000000002</v>
      </c>
      <c r="T327" s="822">
        <f>+InputY!T254/1000</f>
        <v>50.978000000000002</v>
      </c>
      <c r="U327" s="822">
        <f>+InputY!U254/1000</f>
        <v>40.348999999999997</v>
      </c>
      <c r="V327" s="822">
        <f>+InputY!V254/1000</f>
        <v>49.316000000000003</v>
      </c>
      <c r="W327" s="822">
        <f>+InputY!W254/1000</f>
        <v>51.017000000000003</v>
      </c>
      <c r="X327" s="822">
        <f>+InputY!X254/1000</f>
        <v>51.63</v>
      </c>
      <c r="Y327" s="822">
        <f>+InputY!Y254/1000</f>
        <v>55.81</v>
      </c>
      <c r="Z327" s="822">
        <f>+InputY!Z254/1000</f>
        <v>57.953000000000003</v>
      </c>
      <c r="AA327" s="822">
        <f>+InputY!AA254/1000</f>
        <v>58.101999999999997</v>
      </c>
      <c r="AB327" s="822">
        <f>+InputY!AB254/1000</f>
        <v>48.780999999999999</v>
      </c>
      <c r="AC327" s="822">
        <f>+InputY!AC254/1000</f>
        <v>60.887999999999998</v>
      </c>
      <c r="AD327" s="2296">
        <f>+AD321-AD322+AD323-AD324+AD325-AD326</f>
        <v>62.489639999999994</v>
      </c>
      <c r="AE327" s="2296">
        <f>+AE321-AE322+AE323-AE324+AE325-AE326</f>
        <v>65.200004099999987</v>
      </c>
      <c r="AF327" s="2296">
        <f>+AF321-AF322+AF323-AF324+AF325-AF326</f>
        <v>66.915625461749997</v>
      </c>
      <c r="BB327" s="3473">
        <v>48.412999999999997</v>
      </c>
      <c r="BC327" s="736" t="str">
        <f t="shared" si="460"/>
        <v/>
      </c>
    </row>
    <row r="328" spans="1:56" s="2032" customFormat="1" ht="12.75" customHeight="1">
      <c r="A328" s="1036"/>
      <c r="B328" s="1036"/>
      <c r="C328" s="1647"/>
      <c r="D328" s="1051"/>
      <c r="E328" s="2033" t="s">
        <v>90</v>
      </c>
      <c r="F328" s="2034"/>
      <c r="G328" s="1040">
        <f>ABS(+G321-G322+G323-G324+G325-G326-G327)</f>
        <v>3.5527136788005009E-15</v>
      </c>
      <c r="H328" s="1040">
        <f t="shared" ref="H328:X328" si="461">ABS(+H321-H322+H323-H324+H325-H326-H327)</f>
        <v>0</v>
      </c>
      <c r="I328" s="1040">
        <f t="shared" si="461"/>
        <v>3.5527136788005009E-15</v>
      </c>
      <c r="J328" s="1040">
        <f t="shared" si="461"/>
        <v>0</v>
      </c>
      <c r="K328" s="1040">
        <f t="shared" si="461"/>
        <v>0</v>
      </c>
      <c r="L328" s="1040">
        <f t="shared" si="461"/>
        <v>2.1316282072803006E-14</v>
      </c>
      <c r="M328" s="1040">
        <f t="shared" si="461"/>
        <v>0</v>
      </c>
      <c r="N328" s="1040">
        <f t="shared" si="461"/>
        <v>1.0658141036401503E-14</v>
      </c>
      <c r="O328" s="1040">
        <f t="shared" si="461"/>
        <v>1.4210854715202004E-14</v>
      </c>
      <c r="P328" s="1040">
        <f t="shared" si="461"/>
        <v>7.1054273576010019E-15</v>
      </c>
      <c r="Q328" s="1040">
        <f t="shared" si="461"/>
        <v>7.1054273576010019E-15</v>
      </c>
      <c r="R328" s="1040">
        <f t="shared" si="461"/>
        <v>7.1054273576010019E-15</v>
      </c>
      <c r="S328" s="1040">
        <f t="shared" si="461"/>
        <v>2.1316282072803006E-14</v>
      </c>
      <c r="T328" s="1040">
        <f t="shared" si="461"/>
        <v>7.1054273576010019E-15</v>
      </c>
      <c r="U328" s="1040">
        <f t="shared" si="461"/>
        <v>7.1054273576010019E-15</v>
      </c>
      <c r="V328" s="1040">
        <f t="shared" si="461"/>
        <v>1.4210854715202004E-14</v>
      </c>
      <c r="W328" s="1040">
        <f>ABS(+W321-W322+W323-W324+W325-W326-W327)</f>
        <v>1.4210854715202004E-14</v>
      </c>
      <c r="X328" s="2999">
        <f t="shared" si="461"/>
        <v>7.1054273576010019E-15</v>
      </c>
      <c r="Y328" s="2999">
        <f>ABS(+Y321-Y322+Y323-Y324+Y325-Y326-Y327)</f>
        <v>0</v>
      </c>
      <c r="Z328" s="2999">
        <f>ABS(+Z321-Z322+Z323-Z324+Z325-Z326-Z327)</f>
        <v>2.1316282072803006E-14</v>
      </c>
      <c r="AA328" s="2999">
        <f>+AA321-AA322+AA323-AA324+AA325-AA326-AA327</f>
        <v>0</v>
      </c>
      <c r="AB328" s="2999">
        <f>+AB321-AB322+AB323-AB324+AB325-AB326-AB327</f>
        <v>0</v>
      </c>
      <c r="AC328" s="2999">
        <f>+AC321-AC322+AC323-AC324+AC325-AC326-AC327</f>
        <v>0</v>
      </c>
      <c r="AD328" s="2999">
        <f>ABS(+AD321-AD322+AD323-AD324+AD325-AD326-AD327)</f>
        <v>0</v>
      </c>
      <c r="AE328" s="2999">
        <f>ABS(+AE321-AE322+AE323-AE324+AE325-AE326-AE327)</f>
        <v>0</v>
      </c>
      <c r="AF328" s="2999">
        <f>ABS(+AF321-AF322+AF323-AF324+AF325-AF326-AF327)</f>
        <v>0</v>
      </c>
      <c r="AG328" s="2940"/>
      <c r="AH328" s="2939"/>
      <c r="AI328" s="2939"/>
      <c r="AJ328" s="2939"/>
      <c r="AK328" s="2939"/>
      <c r="AL328" s="2939"/>
      <c r="AM328" s="2939"/>
      <c r="AN328" s="2939"/>
      <c r="AO328" s="2939"/>
      <c r="AP328" s="2939"/>
      <c r="AQ328" s="2939"/>
      <c r="AR328" s="2940"/>
      <c r="AS328" s="2940"/>
      <c r="AT328" s="2940"/>
      <c r="BB328" s="3496">
        <v>-1.5870000000000246</v>
      </c>
      <c r="BC328" s="736">
        <f t="shared" si="460"/>
        <v>1.5870000000000246</v>
      </c>
    </row>
    <row r="329" spans="1:56">
      <c r="A329" s="701"/>
      <c r="B329" s="701"/>
      <c r="P329" s="1928"/>
      <c r="Q329" s="1933"/>
      <c r="R329" s="2970"/>
      <c r="S329" s="2970"/>
      <c r="T329" s="2970"/>
      <c r="U329" s="2970"/>
      <c r="V329" s="2970"/>
      <c r="W329" s="2970"/>
      <c r="X329" s="2970"/>
      <c r="Y329" s="2970"/>
      <c r="Z329" s="2970"/>
      <c r="AA329" s="2970"/>
      <c r="AB329" s="2970"/>
      <c r="AC329" s="2970"/>
      <c r="AD329" s="2970"/>
      <c r="AE329" s="2970"/>
      <c r="AF329" s="2970"/>
      <c r="BB329" s="3544"/>
      <c r="BC329" s="736" t="str">
        <f t="shared" si="460"/>
        <v/>
      </c>
    </row>
    <row r="330" spans="1:56" ht="12.75" customHeight="1">
      <c r="A330" s="701"/>
      <c r="B330" s="701"/>
      <c r="C330" s="811"/>
      <c r="D330" s="779"/>
      <c r="E330" s="780" t="s">
        <v>1883</v>
      </c>
      <c r="F330" s="781"/>
      <c r="G330" s="782">
        <f>+InputY!$G$3</f>
        <v>1995</v>
      </c>
      <c r="H330" s="782">
        <f>+G330+1</f>
        <v>1996</v>
      </c>
      <c r="I330" s="782">
        <f t="shared" ref="I330:O330" si="462">+H330+1</f>
        <v>1997</v>
      </c>
      <c r="J330" s="782">
        <f t="shared" si="462"/>
        <v>1998</v>
      </c>
      <c r="K330" s="782">
        <f t="shared" si="462"/>
        <v>1999</v>
      </c>
      <c r="L330" s="782">
        <f t="shared" si="462"/>
        <v>2000</v>
      </c>
      <c r="M330" s="782">
        <f t="shared" si="462"/>
        <v>2001</v>
      </c>
      <c r="N330" s="782">
        <f t="shared" si="462"/>
        <v>2002</v>
      </c>
      <c r="O330" s="782">
        <f t="shared" si="462"/>
        <v>2003</v>
      </c>
      <c r="P330" s="782">
        <f>+O330+1</f>
        <v>2004</v>
      </c>
      <c r="Q330" s="782">
        <f>+P330+1</f>
        <v>2005</v>
      </c>
      <c r="R330" s="782">
        <f>+Q330+1</f>
        <v>2006</v>
      </c>
      <c r="S330" s="782">
        <f>+R330+1</f>
        <v>2007</v>
      </c>
      <c r="T330" s="782">
        <f t="shared" ref="T330:AF330" si="463">+S330+1</f>
        <v>2008</v>
      </c>
      <c r="U330" s="782">
        <f t="shared" si="463"/>
        <v>2009</v>
      </c>
      <c r="V330" s="782">
        <f t="shared" si="463"/>
        <v>2010</v>
      </c>
      <c r="W330" s="782">
        <f t="shared" si="463"/>
        <v>2011</v>
      </c>
      <c r="X330" s="2272">
        <f t="shared" si="463"/>
        <v>2012</v>
      </c>
      <c r="Y330" s="2272">
        <f t="shared" si="463"/>
        <v>2013</v>
      </c>
      <c r="Z330" s="2272">
        <f t="shared" si="463"/>
        <v>2014</v>
      </c>
      <c r="AA330" s="2272">
        <f t="shared" si="463"/>
        <v>2015</v>
      </c>
      <c r="AB330" s="2272">
        <f t="shared" si="463"/>
        <v>2016</v>
      </c>
      <c r="AC330" s="2272">
        <f t="shared" si="463"/>
        <v>2017</v>
      </c>
      <c r="AD330" s="2272">
        <f t="shared" si="463"/>
        <v>2018</v>
      </c>
      <c r="AE330" s="2272">
        <f t="shared" si="463"/>
        <v>2019</v>
      </c>
      <c r="AF330" s="2272">
        <f t="shared" si="463"/>
        <v>2020</v>
      </c>
      <c r="BB330" s="3476">
        <v>2016</v>
      </c>
      <c r="BC330" s="736" t="str">
        <f t="shared" si="460"/>
        <v/>
      </c>
    </row>
    <row r="331" spans="1:56" ht="12.75" customHeight="1">
      <c r="A331" s="701"/>
      <c r="B331" s="701"/>
      <c r="C331" s="831" t="s">
        <v>1791</v>
      </c>
      <c r="D331" s="726" t="s">
        <v>664</v>
      </c>
      <c r="E331" s="775" t="s">
        <v>1669</v>
      </c>
      <c r="F331" s="770" t="s">
        <v>1281</v>
      </c>
      <c r="G331" s="776"/>
      <c r="H331" s="776">
        <f t="shared" ref="H331:AC331" si="464">(H321/G321-1)*100</f>
        <v>-1.9642271854661164</v>
      </c>
      <c r="I331" s="776">
        <f t="shared" si="464"/>
        <v>3.7277611940298438</v>
      </c>
      <c r="J331" s="776">
        <f t="shared" si="464"/>
        <v>6.5222396169076324</v>
      </c>
      <c r="K331" s="776">
        <f t="shared" si="464"/>
        <v>0.33067496595993173</v>
      </c>
      <c r="L331" s="776">
        <f t="shared" si="464"/>
        <v>36.79936237128949</v>
      </c>
      <c r="M331" s="776">
        <f t="shared" si="464"/>
        <v>4.5697189197700938</v>
      </c>
      <c r="N331" s="776">
        <f t="shared" si="464"/>
        <v>3.1969521285406755</v>
      </c>
      <c r="O331" s="776">
        <f t="shared" si="464"/>
        <v>6.3621771486940037</v>
      </c>
      <c r="P331" s="776">
        <f t="shared" si="464"/>
        <v>6.1297846069419792</v>
      </c>
      <c r="Q331" s="776">
        <f t="shared" si="464"/>
        <v>8.5744202280307</v>
      </c>
      <c r="R331" s="776">
        <f t="shared" si="464"/>
        <v>2.9193604076627189</v>
      </c>
      <c r="S331" s="776">
        <f t="shared" si="464"/>
        <v>19.151348287310732</v>
      </c>
      <c r="T331" s="776">
        <f t="shared" si="464"/>
        <v>2.7039359987572453</v>
      </c>
      <c r="U331" s="776">
        <f t="shared" si="464"/>
        <v>-3.4703118648554132</v>
      </c>
      <c r="V331" s="776">
        <f t="shared" si="464"/>
        <v>-0.9910686305233507</v>
      </c>
      <c r="W331" s="776">
        <f t="shared" si="464"/>
        <v>-6.1513353115726925</v>
      </c>
      <c r="X331" s="776">
        <f t="shared" si="464"/>
        <v>5.1295833728565388</v>
      </c>
      <c r="Y331" s="776">
        <f t="shared" si="464"/>
        <v>1.5930143962786136</v>
      </c>
      <c r="Z331" s="776">
        <f t="shared" si="464"/>
        <v>-4.3360273148011164</v>
      </c>
      <c r="AA331" s="776">
        <f t="shared" si="464"/>
        <v>2.5798665195011505</v>
      </c>
      <c r="AB331" s="776">
        <f t="shared" si="464"/>
        <v>2.2133059812557754</v>
      </c>
      <c r="AC331" s="776">
        <f t="shared" si="464"/>
        <v>5.0892813222489952</v>
      </c>
      <c r="AD331" s="2274">
        <v>4</v>
      </c>
      <c r="AE331" s="2276">
        <v>2</v>
      </c>
      <c r="AF331" s="2276">
        <v>2</v>
      </c>
      <c r="AG331" s="3634" t="s">
        <v>2576</v>
      </c>
      <c r="AU331" s="2939"/>
      <c r="BB331" s="736"/>
      <c r="BC331" s="3477">
        <v>4.5955512650335706</v>
      </c>
      <c r="BD331" s="736">
        <f>IF(ABS(BC331-AB331)&gt;0.99,AB331-BC331,"")</f>
        <v>-2.3822452837777952</v>
      </c>
    </row>
    <row r="332" spans="1:56" ht="12.75" customHeight="1">
      <c r="A332" s="701"/>
      <c r="B332" s="701"/>
      <c r="C332" s="832" t="s">
        <v>301</v>
      </c>
      <c r="D332" s="711" t="s">
        <v>664</v>
      </c>
      <c r="E332" s="820" t="s">
        <v>1664</v>
      </c>
      <c r="F332" s="741" t="s">
        <v>1279</v>
      </c>
      <c r="G332" s="743"/>
      <c r="H332" s="743">
        <f t="shared" ref="H332:AC332" si="465">(H322/G322-1)*100</f>
        <v>-4.786471488896904</v>
      </c>
      <c r="I332" s="743">
        <f t="shared" si="465"/>
        <v>3.1250320082760519</v>
      </c>
      <c r="J332" s="743">
        <f t="shared" si="465"/>
        <v>-3.2885719393734747</v>
      </c>
      <c r="K332" s="743">
        <f t="shared" si="465"/>
        <v>12.036437953805557</v>
      </c>
      <c r="L332" s="743">
        <f t="shared" si="465"/>
        <v>14.881154265704776</v>
      </c>
      <c r="M332" s="743">
        <f t="shared" si="465"/>
        <v>4.0383004189108229</v>
      </c>
      <c r="N332" s="743">
        <f t="shared" si="465"/>
        <v>-11.429908118969824</v>
      </c>
      <c r="O332" s="743">
        <f t="shared" si="465"/>
        <v>12.794956833473314</v>
      </c>
      <c r="P332" s="743">
        <f t="shared" si="465"/>
        <v>6.7066383128997042</v>
      </c>
      <c r="Q332" s="743">
        <f t="shared" si="465"/>
        <v>3.4324975718550865</v>
      </c>
      <c r="R332" s="743">
        <f t="shared" si="465"/>
        <v>-0.30535731675083166</v>
      </c>
      <c r="S332" s="743">
        <f t="shared" si="465"/>
        <v>0.48071891548695511</v>
      </c>
      <c r="T332" s="743">
        <f t="shared" si="465"/>
        <v>1.5387179202310808</v>
      </c>
      <c r="U332" s="743">
        <f t="shared" si="465"/>
        <v>1.6337053449313466</v>
      </c>
      <c r="V332" s="743">
        <f t="shared" si="465"/>
        <v>0.11236635468743206</v>
      </c>
      <c r="W332" s="743">
        <f t="shared" si="465"/>
        <v>-0.86364491760090312</v>
      </c>
      <c r="X332" s="743">
        <f t="shared" si="465"/>
        <v>3.9083950834898351</v>
      </c>
      <c r="Y332" s="743">
        <f t="shared" si="465"/>
        <v>3.1487329383824258</v>
      </c>
      <c r="Z332" s="743">
        <f t="shared" si="465"/>
        <v>1.182208053436562</v>
      </c>
      <c r="AA332" s="743">
        <f t="shared" si="465"/>
        <v>3.2920112776079646</v>
      </c>
      <c r="AB332" s="743">
        <f t="shared" si="465"/>
        <v>6.1054657475382523</v>
      </c>
      <c r="AC332" s="743">
        <f t="shared" si="465"/>
        <v>2.7019627303684235</v>
      </c>
      <c r="AD332" s="2276">
        <v>5</v>
      </c>
      <c r="AE332" s="2276">
        <v>2.5</v>
      </c>
      <c r="AF332" s="2276">
        <v>2.5</v>
      </c>
      <c r="AG332" s="3634" t="s">
        <v>2576</v>
      </c>
      <c r="BB332" s="3472">
        <v>4.2329131084736904</v>
      </c>
      <c r="BC332" s="736">
        <f t="shared" si="460"/>
        <v>1.8725526390645619</v>
      </c>
    </row>
    <row r="333" spans="1:56" ht="12.75" customHeight="1">
      <c r="A333" s="701"/>
      <c r="B333" s="701"/>
      <c r="C333" s="832" t="s">
        <v>1791</v>
      </c>
      <c r="D333" s="711" t="s">
        <v>665</v>
      </c>
      <c r="E333" s="820" t="s">
        <v>1669</v>
      </c>
      <c r="F333" s="741" t="s">
        <v>740</v>
      </c>
      <c r="G333" s="743"/>
      <c r="H333" s="743">
        <f t="shared" ref="H333:AC333" si="466">(H323/G323-1)*100</f>
        <v>1.3310519532465204</v>
      </c>
      <c r="I333" s="743">
        <f t="shared" si="466"/>
        <v>0.22916164119208826</v>
      </c>
      <c r="J333" s="743">
        <f t="shared" si="466"/>
        <v>-8.3228495476474365</v>
      </c>
      <c r="K333" s="743">
        <f t="shared" si="466"/>
        <v>18.835841199002413</v>
      </c>
      <c r="L333" s="743">
        <f t="shared" si="466"/>
        <v>7.4296099931718595</v>
      </c>
      <c r="M333" s="743">
        <f t="shared" si="466"/>
        <v>7.2681727686541464</v>
      </c>
      <c r="N333" s="743">
        <f t="shared" si="466"/>
        <v>-10.022393977152921</v>
      </c>
      <c r="O333" s="743">
        <f t="shared" si="466"/>
        <v>-15.664190739969586</v>
      </c>
      <c r="P333" s="743">
        <f t="shared" si="466"/>
        <v>7.4914452380405505</v>
      </c>
      <c r="Q333" s="743">
        <f t="shared" si="466"/>
        <v>-0.85033650251041815</v>
      </c>
      <c r="R333" s="743">
        <f t="shared" si="466"/>
        <v>7.5796754799922539</v>
      </c>
      <c r="S333" s="743">
        <f t="shared" si="466"/>
        <v>-1.8988672896073089</v>
      </c>
      <c r="T333" s="743">
        <f t="shared" si="466"/>
        <v>-3.8324502567557928</v>
      </c>
      <c r="U333" s="743">
        <f t="shared" si="466"/>
        <v>4.6263760761791506</v>
      </c>
      <c r="V333" s="743">
        <f t="shared" si="466"/>
        <v>-2.2048154874844017</v>
      </c>
      <c r="W333" s="743">
        <f t="shared" si="466"/>
        <v>13.507428618857897</v>
      </c>
      <c r="X333" s="743">
        <f t="shared" si="466"/>
        <v>-7.9303126970924005</v>
      </c>
      <c r="Y333" s="743">
        <f t="shared" si="466"/>
        <v>4.0664370029882546</v>
      </c>
      <c r="Z333" s="743">
        <f t="shared" si="466"/>
        <v>7.7110939393072231</v>
      </c>
      <c r="AA333" s="743">
        <f t="shared" si="466"/>
        <v>-2.2824296317290549</v>
      </c>
      <c r="AB333" s="743">
        <f t="shared" si="466"/>
        <v>2.6801656862656342</v>
      </c>
      <c r="AC333" s="743">
        <f t="shared" si="466"/>
        <v>12.298960153946648</v>
      </c>
      <c r="AD333" s="2276">
        <v>2</v>
      </c>
      <c r="AE333" s="2276">
        <v>1.5</v>
      </c>
      <c r="AF333" s="2276">
        <v>1.5</v>
      </c>
      <c r="AG333" s="3634" t="s">
        <v>2576</v>
      </c>
      <c r="BB333" s="3472">
        <v>2.5686809451730852</v>
      </c>
      <c r="BC333" s="736" t="str">
        <f t="shared" si="460"/>
        <v/>
      </c>
    </row>
    <row r="334" spans="1:56" ht="12.75" customHeight="1">
      <c r="A334" s="701"/>
      <c r="B334" s="701"/>
      <c r="C334" s="832" t="s">
        <v>301</v>
      </c>
      <c r="D334" s="711" t="s">
        <v>665</v>
      </c>
      <c r="E334" s="820" t="s">
        <v>1664</v>
      </c>
      <c r="F334" s="741" t="s">
        <v>739</v>
      </c>
      <c r="G334" s="743"/>
      <c r="H334" s="743">
        <f t="shared" ref="H334:AC334" si="467">(H324/G324-1)*100</f>
        <v>3.2241403798726864</v>
      </c>
      <c r="I334" s="743">
        <f t="shared" si="467"/>
        <v>-9.4978985289702837</v>
      </c>
      <c r="J334" s="743">
        <f t="shared" si="467"/>
        <v>-0.64546447181103028</v>
      </c>
      <c r="K334" s="743">
        <f t="shared" si="467"/>
        <v>8.0365589004507179</v>
      </c>
      <c r="L334" s="743">
        <f t="shared" si="467"/>
        <v>14.444830738723425</v>
      </c>
      <c r="M334" s="743">
        <f t="shared" si="467"/>
        <v>-1.4502863443558112</v>
      </c>
      <c r="N334" s="743">
        <f t="shared" si="467"/>
        <v>1.7216577234844044</v>
      </c>
      <c r="O334" s="743">
        <f t="shared" si="467"/>
        <v>-20.3438909964309</v>
      </c>
      <c r="P334" s="743">
        <f t="shared" si="467"/>
        <v>9.5981513836442822</v>
      </c>
      <c r="Q334" s="743">
        <f t="shared" si="467"/>
        <v>1.8872775892214255</v>
      </c>
      <c r="R334" s="743">
        <f t="shared" si="467"/>
        <v>6.2686115176904034</v>
      </c>
      <c r="S334" s="743">
        <f t="shared" si="467"/>
        <v>-2.5528378057468548</v>
      </c>
      <c r="T334" s="743">
        <f t="shared" si="467"/>
        <v>-8.2539295723162986</v>
      </c>
      <c r="U334" s="743">
        <f t="shared" si="467"/>
        <v>8.2833085422864272</v>
      </c>
      <c r="V334" s="743">
        <f t="shared" si="467"/>
        <v>-6.7837562704671779</v>
      </c>
      <c r="W334" s="743">
        <f t="shared" si="467"/>
        <v>5.9314228572932448</v>
      </c>
      <c r="X334" s="743">
        <f t="shared" si="467"/>
        <v>-13.235622903987087</v>
      </c>
      <c r="Y334" s="743">
        <f t="shared" si="467"/>
        <v>8.1512869699659429</v>
      </c>
      <c r="Z334" s="743">
        <f t="shared" si="467"/>
        <v>3.164875311060511</v>
      </c>
      <c r="AA334" s="743">
        <f t="shared" si="467"/>
        <v>-3.9030523871232514</v>
      </c>
      <c r="AB334" s="743">
        <f t="shared" si="467"/>
        <v>-5.8840808043045918</v>
      </c>
      <c r="AC334" s="743">
        <f t="shared" si="467"/>
        <v>15.081571854163723</v>
      </c>
      <c r="AD334" s="2276">
        <v>2</v>
      </c>
      <c r="AE334" s="2276">
        <v>1.5</v>
      </c>
      <c r="AF334" s="2276">
        <v>1.5</v>
      </c>
      <c r="AG334" s="3634" t="s">
        <v>2576</v>
      </c>
      <c r="BB334" s="3472">
        <v>2.5703430278938288</v>
      </c>
      <c r="BC334" s="736">
        <f t="shared" si="460"/>
        <v>-8.4544238321984206</v>
      </c>
    </row>
    <row r="335" spans="1:56" ht="12.75" customHeight="1">
      <c r="A335" s="701"/>
      <c r="B335" s="701"/>
      <c r="C335" s="832" t="s">
        <v>1791</v>
      </c>
      <c r="D335" s="711" t="s">
        <v>666</v>
      </c>
      <c r="E335" s="820" t="s">
        <v>1669</v>
      </c>
      <c r="F335" s="741" t="s">
        <v>1593</v>
      </c>
      <c r="G335" s="743"/>
      <c r="H335" s="743">
        <f t="shared" ref="H335:AC335" si="468">(H325/G325-1)*100</f>
        <v>-6.6439522998296363</v>
      </c>
      <c r="I335" s="743">
        <f t="shared" si="468"/>
        <v>0.17477125526883519</v>
      </c>
      <c r="J335" s="743">
        <f t="shared" si="468"/>
        <v>2.2988505747126409</v>
      </c>
      <c r="K335" s="743">
        <f t="shared" si="468"/>
        <v>1.9374498394863604</v>
      </c>
      <c r="L335" s="743">
        <f t="shared" si="468"/>
        <v>6.7967375659683249</v>
      </c>
      <c r="M335" s="743">
        <f t="shared" si="468"/>
        <v>-7.4008800423894687</v>
      </c>
      <c r="N335" s="743">
        <f t="shared" si="468"/>
        <v>-6.2894177064026113</v>
      </c>
      <c r="O335" s="743">
        <f t="shared" si="468"/>
        <v>13.656697596007049</v>
      </c>
      <c r="P335" s="743">
        <f t="shared" si="468"/>
        <v>10.370119480034102</v>
      </c>
      <c r="Q335" s="743">
        <f t="shared" si="468"/>
        <v>3.6486772486772345</v>
      </c>
      <c r="R335" s="743">
        <f t="shared" si="468"/>
        <v>0.8739331073631007</v>
      </c>
      <c r="S335" s="743">
        <f t="shared" si="468"/>
        <v>-8.2790170438443837</v>
      </c>
      <c r="T335" s="743">
        <f t="shared" si="468"/>
        <v>3.1150688559322015</v>
      </c>
      <c r="U335" s="743">
        <f t="shared" si="468"/>
        <v>-0.23970806981498116</v>
      </c>
      <c r="V335" s="743">
        <f t="shared" si="468"/>
        <v>8.4099417525717932</v>
      </c>
      <c r="W335" s="743">
        <f t="shared" si="468"/>
        <v>-4.358667365900482</v>
      </c>
      <c r="X335" s="743">
        <f t="shared" si="468"/>
        <v>2.0132839495954791</v>
      </c>
      <c r="Y335" s="743">
        <f t="shared" si="468"/>
        <v>8.4611171960569553</v>
      </c>
      <c r="Z335" s="743">
        <f t="shared" si="468"/>
        <v>1.010781041076414</v>
      </c>
      <c r="AA335" s="743">
        <f t="shared" si="468"/>
        <v>2.1772133150664619</v>
      </c>
      <c r="AB335" s="743">
        <f t="shared" si="468"/>
        <v>-6.5935857945279892</v>
      </c>
      <c r="AC335" s="743">
        <f t="shared" si="468"/>
        <v>9.8281313650559596</v>
      </c>
      <c r="AD335" s="3662">
        <v>5</v>
      </c>
      <c r="AE335" s="3662">
        <v>3.9</v>
      </c>
      <c r="AF335" s="3662">
        <v>3</v>
      </c>
      <c r="AG335" s="3634" t="s">
        <v>2576</v>
      </c>
      <c r="BB335" s="3472">
        <v>-6.1494684063169043</v>
      </c>
      <c r="BC335" s="736" t="str">
        <f t="shared" si="460"/>
        <v/>
      </c>
    </row>
    <row r="336" spans="1:56" ht="12.75" customHeight="1">
      <c r="A336" s="701"/>
      <c r="B336" s="701"/>
      <c r="C336" s="833" t="s">
        <v>301</v>
      </c>
      <c r="D336" s="728" t="s">
        <v>666</v>
      </c>
      <c r="E336" s="834" t="s">
        <v>1664</v>
      </c>
      <c r="F336" s="773" t="s">
        <v>1592</v>
      </c>
      <c r="G336" s="778"/>
      <c r="H336" s="778">
        <f t="shared" ref="H336:AC337" si="469">(H326/G326-1)*100</f>
        <v>-10.981061529708203</v>
      </c>
      <c r="I336" s="778">
        <f t="shared" si="469"/>
        <v>-18.562819576333091</v>
      </c>
      <c r="J336" s="778">
        <f t="shared" si="469"/>
        <v>32.032739096311232</v>
      </c>
      <c r="K336" s="778">
        <f t="shared" si="469"/>
        <v>-5.3413722826086918</v>
      </c>
      <c r="L336" s="778">
        <f t="shared" si="469"/>
        <v>13.250201848030873</v>
      </c>
      <c r="M336" s="778">
        <f t="shared" si="469"/>
        <v>-2.3764258555133089</v>
      </c>
      <c r="N336" s="778">
        <f t="shared" si="469"/>
        <v>4.2680947744238917</v>
      </c>
      <c r="O336" s="778">
        <f t="shared" si="469"/>
        <v>-6.2801556420233435</v>
      </c>
      <c r="P336" s="778">
        <f t="shared" si="469"/>
        <v>2.4578593373744129</v>
      </c>
      <c r="Q336" s="778">
        <f t="shared" si="469"/>
        <v>7.0994407974714235</v>
      </c>
      <c r="R336" s="778">
        <f t="shared" si="469"/>
        <v>7.3931138857359135</v>
      </c>
      <c r="S336" s="778">
        <f t="shared" si="469"/>
        <v>50.690529875986456</v>
      </c>
      <c r="T336" s="778">
        <f t="shared" si="469"/>
        <v>-2.1649677359020014</v>
      </c>
      <c r="U336" s="778">
        <f t="shared" si="469"/>
        <v>11.786072742914499</v>
      </c>
      <c r="V336" s="778">
        <f t="shared" si="469"/>
        <v>4.4978408653640667</v>
      </c>
      <c r="W336" s="778">
        <f t="shared" si="469"/>
        <v>-10.347367129004537</v>
      </c>
      <c r="X336" s="778">
        <f t="shared" si="469"/>
        <v>11.021358159912387</v>
      </c>
      <c r="Y336" s="778">
        <f t="shared" si="469"/>
        <v>-2.7623628067579231</v>
      </c>
      <c r="Z336" s="778">
        <f t="shared" si="469"/>
        <v>-6.9034030860283373</v>
      </c>
      <c r="AA336" s="778">
        <f t="shared" si="469"/>
        <v>-0.44046862228679373</v>
      </c>
      <c r="AB336" s="778">
        <f t="shared" si="469"/>
        <v>6.9327251995438877</v>
      </c>
      <c r="AC336" s="778">
        <f t="shared" si="469"/>
        <v>7.5239923224568184</v>
      </c>
      <c r="AD336" s="2275">
        <v>1</v>
      </c>
      <c r="AE336" s="2275">
        <v>0.5</v>
      </c>
      <c r="AF336" s="2275">
        <v>0.5</v>
      </c>
      <c r="AG336" s="3634" t="s">
        <v>2576</v>
      </c>
      <c r="BB336" s="3492">
        <v>7.4670127622755933</v>
      </c>
      <c r="BC336" s="736" t="str">
        <f t="shared" si="460"/>
        <v/>
      </c>
    </row>
    <row r="337" spans="1:55" ht="12.75" customHeight="1">
      <c r="A337" s="701"/>
      <c r="B337" s="701"/>
      <c r="C337" s="811" t="s">
        <v>1793</v>
      </c>
      <c r="D337" s="754" t="s">
        <v>667</v>
      </c>
      <c r="E337" s="759" t="s">
        <v>1185</v>
      </c>
      <c r="F337" s="760" t="s">
        <v>1186</v>
      </c>
      <c r="G337" s="758"/>
      <c r="H337" s="758">
        <f t="shared" ref="H337:Y337" si="470">(H327/G327-1)*100</f>
        <v>-5.9580372535004038</v>
      </c>
      <c r="I337" s="758">
        <f t="shared" si="470"/>
        <v>37.919163015291076</v>
      </c>
      <c r="J337" s="758">
        <f t="shared" si="470"/>
        <v>-6.6846046617175077</v>
      </c>
      <c r="K337" s="758">
        <f t="shared" si="470"/>
        <v>2.1365294424179115</v>
      </c>
      <c r="L337" s="758">
        <f t="shared" si="470"/>
        <v>3.6666666666666847</v>
      </c>
      <c r="M337" s="758">
        <f t="shared" si="470"/>
        <v>2.5625041013189742</v>
      </c>
      <c r="N337" s="758">
        <f t="shared" si="470"/>
        <v>-5.0097571899292976</v>
      </c>
      <c r="O337" s="758">
        <f t="shared" si="470"/>
        <v>8.8573064358602913</v>
      </c>
      <c r="P337" s="758">
        <f t="shared" si="470"/>
        <v>12.458620796336973</v>
      </c>
      <c r="Q337" s="758">
        <f t="shared" si="470"/>
        <v>5.969738651994505</v>
      </c>
      <c r="R337" s="758">
        <f t="shared" si="470"/>
        <v>12.557113187954293</v>
      </c>
      <c r="S337" s="758">
        <f t="shared" si="470"/>
        <v>1.7205987499135045</v>
      </c>
      <c r="T337" s="758">
        <f t="shared" si="470"/>
        <v>15.588508718227789</v>
      </c>
      <c r="U337" s="758">
        <f t="shared" si="470"/>
        <v>-20.85017066185414</v>
      </c>
      <c r="V337" s="758">
        <f t="shared" si="470"/>
        <v>22.223599097871084</v>
      </c>
      <c r="W337" s="758">
        <f t="shared" si="470"/>
        <v>3.4491848487306465</v>
      </c>
      <c r="X337" s="758">
        <f t="shared" si="470"/>
        <v>1.2015602642256429</v>
      </c>
      <c r="Y337" s="758">
        <f t="shared" si="470"/>
        <v>8.0960681774162389</v>
      </c>
      <c r="Z337" s="758">
        <f t="shared" si="469"/>
        <v>3.8398136534671279</v>
      </c>
      <c r="AA337" s="758">
        <f t="shared" si="469"/>
        <v>0.25710489534622738</v>
      </c>
      <c r="AB337" s="758">
        <f t="shared" si="469"/>
        <v>-16.042477023166157</v>
      </c>
      <c r="AC337" s="758">
        <f t="shared" si="469"/>
        <v>24.8190893995613</v>
      </c>
      <c r="AD337" s="2282">
        <f t="shared" ref="AD337:AF337" si="471">(AD327/AC327-1)*100</f>
        <v>2.6304690579424417</v>
      </c>
      <c r="AE337" s="2282">
        <f t="shared" si="471"/>
        <v>4.3373015110984792</v>
      </c>
      <c r="AF337" s="2282">
        <f t="shared" si="471"/>
        <v>2.6313209415120387</v>
      </c>
      <c r="BB337" s="3537">
        <v>-16.674411800141144</v>
      </c>
      <c r="BC337" s="736" t="str">
        <f t="shared" si="460"/>
        <v/>
      </c>
    </row>
    <row r="338" spans="1:55" ht="12.75" customHeight="1">
      <c r="A338" s="701"/>
      <c r="B338" s="701"/>
      <c r="C338" s="811"/>
      <c r="E338" s="823"/>
      <c r="F338" s="824"/>
      <c r="G338" s="740"/>
      <c r="H338" s="825"/>
      <c r="I338" s="740"/>
      <c r="J338" s="740"/>
      <c r="K338" s="740"/>
      <c r="L338" s="740"/>
      <c r="M338" s="740"/>
      <c r="N338" s="740"/>
      <c r="O338" s="740"/>
      <c r="P338" s="740"/>
      <c r="Q338" s="882"/>
      <c r="R338" s="882"/>
      <c r="S338" s="882"/>
      <c r="T338" s="882"/>
      <c r="U338" s="882"/>
      <c r="V338" s="882"/>
      <c r="W338" s="882"/>
      <c r="X338" s="2322"/>
      <c r="Y338" s="2322"/>
      <c r="Z338" s="2322"/>
      <c r="AA338" s="2322"/>
      <c r="AB338" s="2322"/>
      <c r="AC338" s="2322"/>
      <c r="AD338" s="2322"/>
      <c r="AE338" s="2322"/>
      <c r="AF338" s="2322"/>
      <c r="BB338" s="3475"/>
      <c r="BC338" s="736" t="str">
        <f t="shared" si="460"/>
        <v/>
      </c>
    </row>
    <row r="339" spans="1:55" ht="12.75" customHeight="1">
      <c r="A339" s="701"/>
      <c r="B339" s="701"/>
      <c r="C339" s="811"/>
      <c r="D339" s="855"/>
      <c r="E339" s="856" t="s">
        <v>1884</v>
      </c>
      <c r="F339" s="857"/>
      <c r="G339" s="858">
        <f>+InputY!$G$3</f>
        <v>1995</v>
      </c>
      <c r="H339" s="858">
        <f>+G339+1</f>
        <v>1996</v>
      </c>
      <c r="I339" s="858">
        <f t="shared" ref="I339:O339" si="472">+H339+1</f>
        <v>1997</v>
      </c>
      <c r="J339" s="858">
        <f t="shared" si="472"/>
        <v>1998</v>
      </c>
      <c r="K339" s="858">
        <f t="shared" si="472"/>
        <v>1999</v>
      </c>
      <c r="L339" s="858">
        <f t="shared" si="472"/>
        <v>2000</v>
      </c>
      <c r="M339" s="858">
        <f t="shared" si="472"/>
        <v>2001</v>
      </c>
      <c r="N339" s="858">
        <f t="shared" si="472"/>
        <v>2002</v>
      </c>
      <c r="O339" s="858">
        <f t="shared" si="472"/>
        <v>2003</v>
      </c>
      <c r="P339" s="858">
        <f>+O339+1</f>
        <v>2004</v>
      </c>
      <c r="Q339" s="858">
        <f>+P339+1</f>
        <v>2005</v>
      </c>
      <c r="R339" s="858">
        <f>+Q339+1</f>
        <v>2006</v>
      </c>
      <c r="S339" s="858">
        <f t="shared" ref="S339:Y339" si="473">+R339+1</f>
        <v>2007</v>
      </c>
      <c r="T339" s="858">
        <f t="shared" si="473"/>
        <v>2008</v>
      </c>
      <c r="U339" s="858">
        <f t="shared" si="473"/>
        <v>2009</v>
      </c>
      <c r="V339" s="858">
        <f>+U339+1</f>
        <v>2010</v>
      </c>
      <c r="W339" s="858">
        <f>+V339+1</f>
        <v>2011</v>
      </c>
      <c r="X339" s="858">
        <f t="shared" si="473"/>
        <v>2012</v>
      </c>
      <c r="Y339" s="858">
        <f t="shared" si="473"/>
        <v>2013</v>
      </c>
      <c r="Z339" s="858">
        <f t="shared" ref="Z339:AF339" si="474">+Y339+1</f>
        <v>2014</v>
      </c>
      <c r="AA339" s="858">
        <f t="shared" si="474"/>
        <v>2015</v>
      </c>
      <c r="AB339" s="858">
        <f t="shared" si="474"/>
        <v>2016</v>
      </c>
      <c r="AC339" s="858">
        <f t="shared" si="474"/>
        <v>2017</v>
      </c>
      <c r="AD339" s="858">
        <f t="shared" si="474"/>
        <v>2018</v>
      </c>
      <c r="AE339" s="858">
        <f t="shared" si="474"/>
        <v>2019</v>
      </c>
      <c r="AF339" s="858">
        <f t="shared" si="474"/>
        <v>2020</v>
      </c>
      <c r="BB339" s="3480">
        <v>2016</v>
      </c>
      <c r="BC339" s="736" t="str">
        <f t="shared" si="460"/>
        <v/>
      </c>
    </row>
    <row r="340" spans="1:55" ht="12.75" customHeight="1">
      <c r="A340" s="701"/>
      <c r="B340" s="701"/>
      <c r="C340" s="859" t="s">
        <v>1791</v>
      </c>
      <c r="D340" s="860" t="s">
        <v>664</v>
      </c>
      <c r="E340" s="861" t="s">
        <v>1669</v>
      </c>
      <c r="F340" s="862" t="s">
        <v>1281</v>
      </c>
      <c r="G340" s="875">
        <f>+G321/'VVP2'!G$341</f>
        <v>2.2652159894105368E-2</v>
      </c>
      <c r="H340" s="875">
        <f>+H321/'VVP2'!H$341</f>
        <v>2.1647785489702635E-2</v>
      </c>
      <c r="I340" s="875">
        <f>+I321/'VVP2'!I$341</f>
        <v>2.1481935016107987E-2</v>
      </c>
      <c r="J340" s="875">
        <f>+J321/'VVP2'!J$341</f>
        <v>2.177973513537431E-2</v>
      </c>
      <c r="K340" s="875">
        <f>+K321/'VVP2'!K$341</f>
        <v>2.0718807197980159E-2</v>
      </c>
      <c r="L340" s="875">
        <f>+L321/'VVP2'!L$341</f>
        <v>2.6642182959910655E-2</v>
      </c>
      <c r="M340" s="875">
        <f>+M321/'VVP2'!M$341</f>
        <v>2.6756344694985643E-2</v>
      </c>
      <c r="N340" s="875">
        <f>+N321/'VVP2'!N$341</f>
        <v>2.6624355710405646E-2</v>
      </c>
      <c r="O340" s="875">
        <f>+O321/'VVP2'!O$341</f>
        <v>2.7189005928314875E-2</v>
      </c>
      <c r="P340" s="875">
        <f>+P321/'VVP2'!P$341</f>
        <v>2.7545192053989406E-2</v>
      </c>
      <c r="Q340" s="875">
        <f>+Q321/'VVP2'!Q$341</f>
        <v>2.8856113839947531E-2</v>
      </c>
      <c r="R340" s="875">
        <f>+R321/'VVP2'!R$341</f>
        <v>2.7859369853495224E-2</v>
      </c>
      <c r="S340" s="875">
        <f>+S321/'VVP2'!S$341</f>
        <v>3.1202220671842296E-2</v>
      </c>
      <c r="T340" s="875">
        <f>+T321/'VVP2'!T$341</f>
        <v>3.1188959103170374E-2</v>
      </c>
      <c r="U340" s="875">
        <f>+U321/'VVP2'!U$341</f>
        <v>3.1018141201922592E-2</v>
      </c>
      <c r="V340" s="875">
        <f>+V321/'VVP2'!V$341</f>
        <v>2.8690422677182512E-2</v>
      </c>
      <c r="W340" s="875">
        <f>+W321/'VVP2'!W$341</f>
        <v>2.5916385030167632E-2</v>
      </c>
      <c r="X340" s="875">
        <f>+X321/'VVP2'!X$341</f>
        <v>2.7040251610858716E-2</v>
      </c>
      <c r="Y340" s="875">
        <f>+Y321/'VVP2'!Y$341</f>
        <v>2.6851785362720492E-2</v>
      </c>
      <c r="Z340" s="875">
        <f>+Z321/'VVP2'!Z$341</f>
        <v>2.4599047178010237E-2</v>
      </c>
      <c r="AA340" s="875">
        <f>+AA321/'VVP2'!AA$341</f>
        <v>2.3668447520351455E-2</v>
      </c>
      <c r="AB340" s="875">
        <f>+AB321/'VVP2'!AB$341</f>
        <v>2.3177532671895568E-2</v>
      </c>
      <c r="AC340" s="875">
        <f>+AC321/'VVP2'!AC$341</f>
        <v>2.3328315387607369E-2</v>
      </c>
      <c r="AD340" s="3002">
        <f ca="1">+AD321/'VVP2'!AD$341</f>
        <v>2.3128600706208199E-2</v>
      </c>
      <c r="AE340" s="3002">
        <f ca="1">+AE321/'VVP2'!AE$341</f>
        <v>2.2731627396516414E-2</v>
      </c>
      <c r="AF340" s="3002">
        <f ca="1">+AF321/'VVP2'!AF$341</f>
        <v>2.2392412172949978E-2</v>
      </c>
      <c r="BB340" s="3481">
        <v>2.3613045177934399E-2</v>
      </c>
      <c r="BC340" s="736" t="str">
        <f t="shared" si="460"/>
        <v/>
      </c>
    </row>
    <row r="341" spans="1:55" ht="12.75" customHeight="1">
      <c r="A341" s="701"/>
      <c r="B341" s="701"/>
      <c r="C341" s="863" t="s">
        <v>301</v>
      </c>
      <c r="D341" s="711" t="s">
        <v>664</v>
      </c>
      <c r="E341" s="820" t="s">
        <v>1664</v>
      </c>
      <c r="F341" s="741" t="s">
        <v>1279</v>
      </c>
      <c r="G341" s="876">
        <f>+G322/'VVP2'!G$341</f>
        <v>5.4378653916319485E-2</v>
      </c>
      <c r="H341" s="876">
        <f>+H322/'VVP2'!H$341</f>
        <v>5.0471521078093322E-2</v>
      </c>
      <c r="I341" s="876">
        <f>+I322/'VVP2'!I$341</f>
        <v>4.9793815758628429E-2</v>
      </c>
      <c r="J341" s="876">
        <f>+J322/'VVP2'!J$341</f>
        <v>4.5834459138224988E-2</v>
      </c>
      <c r="K341" s="876">
        <f>+K322/'VVP2'!K$341</f>
        <v>4.8688884495171551E-2</v>
      </c>
      <c r="L341" s="876">
        <f>+L322/'VVP2'!L$341</f>
        <v>5.2577459718932414E-2</v>
      </c>
      <c r="M341" s="876">
        <f>+M322/'VVP2'!M$341</f>
        <v>5.2534412929365858E-2</v>
      </c>
      <c r="N341" s="876">
        <f>+N322/'VVP2'!N$341</f>
        <v>4.4865905012473006E-2</v>
      </c>
      <c r="O341" s="876">
        <f>+O322/'VVP2'!O$341</f>
        <v>4.85884582688485E-2</v>
      </c>
      <c r="P341" s="876">
        <f>+P322/'VVP2'!P$341</f>
        <v>4.949254077851363E-2</v>
      </c>
      <c r="Q341" s="876">
        <f>+Q322/'VVP2'!Q$341</f>
        <v>4.9392530893951694E-2</v>
      </c>
      <c r="R341" s="876">
        <f>+R322/'VVP2'!R$341</f>
        <v>4.6192287437871314E-2</v>
      </c>
      <c r="S341" s="876">
        <f>+S322/'VVP2'!S$341</f>
        <v>4.3628216201052832E-2</v>
      </c>
      <c r="T341" s="876">
        <f>+T322/'VVP2'!T$341</f>
        <v>4.3114903789595781E-2</v>
      </c>
      <c r="U341" s="876">
        <f>+U322/'VVP2'!U$341</f>
        <v>4.5145988361514205E-2</v>
      </c>
      <c r="V341" s="876">
        <f>+V322/'VVP2'!V$341</f>
        <v>4.2223448163131873E-2</v>
      </c>
      <c r="W341" s="876">
        <f>+W322/'VVP2'!W$341</f>
        <v>4.0289884603922972E-2</v>
      </c>
      <c r="X341" s="876">
        <f>+X322/'VVP2'!X$341</f>
        <v>4.1548755703303263E-2</v>
      </c>
      <c r="Y341" s="876">
        <f>+Y322/'VVP2'!Y$341</f>
        <v>4.1890979159970525E-2</v>
      </c>
      <c r="Z341" s="876">
        <f>+Z322/'VVP2'!Z$341</f>
        <v>4.0590216763830823E-2</v>
      </c>
      <c r="AA341" s="876">
        <f>+AA322/'VVP2'!AA$341</f>
        <v>3.9325790548853129E-2</v>
      </c>
      <c r="AB341" s="876">
        <f>+AB322/'VVP2'!AB$341</f>
        <v>3.9976540857284817E-2</v>
      </c>
      <c r="AC341" s="876">
        <f>+AC322/'VVP2'!AC$341</f>
        <v>3.9322553303752714E-2</v>
      </c>
      <c r="AD341" s="3003">
        <f ca="1">+AD322/'VVP2'!AD$341</f>
        <v>3.9360775815778237E-2</v>
      </c>
      <c r="AE341" s="3003">
        <f ca="1">+AE322/'VVP2'!AE$341</f>
        <v>3.8874830980264077E-2</v>
      </c>
      <c r="AF341" s="3003">
        <f ca="1">+AF322/'VVP2'!AF$341</f>
        <v>3.848243621710698E-2</v>
      </c>
      <c r="BB341" s="3482">
        <v>3.9097712612527126E-2</v>
      </c>
      <c r="BC341" s="736" t="str">
        <f t="shared" si="460"/>
        <v/>
      </c>
    </row>
    <row r="342" spans="1:55" ht="12.75" customHeight="1">
      <c r="A342" s="701"/>
      <c r="B342" s="701"/>
      <c r="C342" s="863" t="s">
        <v>1791</v>
      </c>
      <c r="D342" s="711" t="s">
        <v>665</v>
      </c>
      <c r="E342" s="820" t="s">
        <v>1669</v>
      </c>
      <c r="F342" s="741" t="s">
        <v>740</v>
      </c>
      <c r="G342" s="876">
        <f>+G323/'VVP2'!G$341</f>
        <v>4.7731071758886072E-2</v>
      </c>
      <c r="H342" s="876">
        <f>+H323/'VVP2'!H$341</f>
        <v>4.7147972112999634E-2</v>
      </c>
      <c r="I342" s="876">
        <f>+I323/'VVP2'!I$341</f>
        <v>4.5208701578355451E-2</v>
      </c>
      <c r="J342" s="876">
        <f>+J323/'VVP2'!J$341</f>
        <v>3.9447732683865512E-2</v>
      </c>
      <c r="K342" s="876">
        <f>+K323/'VVP2'!K$341</f>
        <v>4.4447558727164882E-2</v>
      </c>
      <c r="L342" s="876">
        <f>+L323/'VVP2'!L$341</f>
        <v>4.488413870296766E-2</v>
      </c>
      <c r="M342" s="876">
        <f>+M323/'VVP2'!M$341</f>
        <v>4.6239679344506422E-2</v>
      </c>
      <c r="N342" s="876">
        <f>+N323/'VVP2'!N$341</f>
        <v>4.0117577630412918E-2</v>
      </c>
      <c r="O342" s="876">
        <f>+O323/'VVP2'!O$341</f>
        <v>3.2484315684911912E-2</v>
      </c>
      <c r="P342" s="876">
        <f>+P323/'VVP2'!P$341</f>
        <v>3.3332110811731791E-2</v>
      </c>
      <c r="Q342" s="876">
        <f>+Q323/'VVP2'!Q$341</f>
        <v>3.188736114513329E-2</v>
      </c>
      <c r="R342" s="876">
        <f>+R323/'VVP2'!R$341</f>
        <v>3.2179936148695035E-2</v>
      </c>
      <c r="S342" s="876">
        <f>+S323/'VVP2'!S$341</f>
        <v>2.9673888050923011E-2</v>
      </c>
      <c r="T342" s="876">
        <f>+T323/'VVP2'!T$341</f>
        <v>2.777354356143753E-2</v>
      </c>
      <c r="U342" s="876">
        <f>+U323/'VVP2'!U$341</f>
        <v>2.993825351024253E-2</v>
      </c>
      <c r="V342" s="876">
        <f>+V323/'VVP2'!V$341</f>
        <v>2.7352103850816611E-2</v>
      </c>
      <c r="W342" s="876">
        <f>+W323/'VVP2'!W$341</f>
        <v>2.9883014212070166E-2</v>
      </c>
      <c r="X342" s="876">
        <f>+X323/'VVP2'!X$341</f>
        <v>2.730564446411924E-2</v>
      </c>
      <c r="Y342" s="876">
        <f>+Y323/'VVP2'!Y$341</f>
        <v>2.7775488687019054E-2</v>
      </c>
      <c r="Z342" s="876">
        <f>+Z323/'VVP2'!Z$341</f>
        <v>2.8649619061514746E-2</v>
      </c>
      <c r="AA342" s="876">
        <f>+AA323/'VVP2'!AA$341</f>
        <v>2.6259162407715451E-2</v>
      </c>
      <c r="AB342" s="876">
        <f>+AB323/'VVP2'!AB$341</f>
        <v>2.5831963857232142E-2</v>
      </c>
      <c r="AC342" s="876">
        <f>+AC323/'VVP2'!AC$341</f>
        <v>2.7783753255968296E-2</v>
      </c>
      <c r="AD342" s="3003">
        <f ca="1">+AD323/'VVP2'!AD$341</f>
        <v>2.7016166627671173E-2</v>
      </c>
      <c r="AE342" s="3003">
        <f ca="1">+AE323/'VVP2'!AE$341</f>
        <v>2.6422308986239193E-2</v>
      </c>
      <c r="AF342" s="3003">
        <f ca="1">+AF323/'VVP2'!AF$341</f>
        <v>2.5900430829313353E-2</v>
      </c>
      <c r="BB342" s="3482">
        <v>2.5690032413623075E-2</v>
      </c>
      <c r="BC342" s="736" t="str">
        <f t="shared" si="460"/>
        <v/>
      </c>
    </row>
    <row r="343" spans="1:55" ht="12.75" customHeight="1">
      <c r="A343" s="701"/>
      <c r="B343" s="701"/>
      <c r="C343" s="863" t="s">
        <v>301</v>
      </c>
      <c r="D343" s="711" t="s">
        <v>665</v>
      </c>
      <c r="E343" s="820" t="s">
        <v>1664</v>
      </c>
      <c r="F343" s="741" t="s">
        <v>739</v>
      </c>
      <c r="G343" s="876">
        <f>+G324/'VVP2'!G$341</f>
        <v>4.1071822524670565E-2</v>
      </c>
      <c r="H343" s="876">
        <f>+H324/'VVP2'!H$341</f>
        <v>4.1328013449284474E-2</v>
      </c>
      <c r="I343" s="876">
        <f>+I324/'VVP2'!I$341</f>
        <v>3.5782288432416175E-2</v>
      </c>
      <c r="J343" s="876">
        <f>+J324/'VVP2'!J$341</f>
        <v>3.3837223204980595E-2</v>
      </c>
      <c r="K343" s="876">
        <f>+K324/'VVP2'!K$341</f>
        <v>3.4661222821126561E-2</v>
      </c>
      <c r="L343" s="876">
        <f>+L324/'VVP2'!L$341</f>
        <v>3.728730933460199E-2</v>
      </c>
      <c r="M343" s="876">
        <f>+M324/'VVP2'!M$341</f>
        <v>3.5291283024888834E-2</v>
      </c>
      <c r="N343" s="876">
        <f>+N324/'VVP2'!N$341</f>
        <v>3.4615158982718844E-2</v>
      </c>
      <c r="O343" s="876">
        <f>+O324/'VVP2'!O$341</f>
        <v>2.6473564669287464E-2</v>
      </c>
      <c r="P343" s="876">
        <f>+P324/'VVP2'!P$341</f>
        <v>2.7696879685714625E-2</v>
      </c>
      <c r="Q343" s="876">
        <f>+Q324/'VVP2'!Q$341</f>
        <v>2.7227973640551031E-2</v>
      </c>
      <c r="R343" s="876">
        <f>+R324/'VVP2'!R$341</f>
        <v>2.7142928045780085E-2</v>
      </c>
      <c r="S343" s="876">
        <f>+S324/'VVP2'!S$341</f>
        <v>2.4862291020583866E-2</v>
      </c>
      <c r="T343" s="876">
        <f>+T324/'VVP2'!T$341</f>
        <v>2.2200201021263501E-2</v>
      </c>
      <c r="U343" s="876">
        <f>+U324/'VVP2'!U$341</f>
        <v>2.4766943225246345E-2</v>
      </c>
      <c r="V343" s="876">
        <f>+V324/'VVP2'!V$341</f>
        <v>2.1568046531268301E-2</v>
      </c>
      <c r="W343" s="876">
        <f>+W324/'VVP2'!W$341</f>
        <v>2.1991000925146196E-2</v>
      </c>
      <c r="X343" s="876">
        <f>+X324/'VVP2'!X$341</f>
        <v>1.8936417131420427E-2</v>
      </c>
      <c r="Y343" s="876">
        <f>+Y324/'VVP2'!Y$341</f>
        <v>2.0018341578917943E-2</v>
      </c>
      <c r="Z343" s="876">
        <f>+Z324/'VVP2'!Z$341</f>
        <v>1.9776829043942727E-2</v>
      </c>
      <c r="AA343" s="876">
        <f>+AA324/'VVP2'!AA$341</f>
        <v>1.782607008901254E-2</v>
      </c>
      <c r="AB343" s="876">
        <f>+AB324/'VVP2'!AB$341</f>
        <v>1.6073434778315888E-2</v>
      </c>
      <c r="AC343" s="876">
        <f>+AC324/'VVP2'!AC$341</f>
        <v>1.7716267600573848E-2</v>
      </c>
      <c r="AD343" s="3003">
        <f ca="1">+AD324/'VVP2'!AD$341</f>
        <v>1.7226817165700983E-2</v>
      </c>
      <c r="AE343" s="3003">
        <f ca="1">+AE324/'VVP2'!AE$341</f>
        <v>1.6848144752534686E-2</v>
      </c>
      <c r="AF343" s="3003">
        <f ca="1">+AF324/'VVP2'!AF$341</f>
        <v>1.6515369947136267E-2</v>
      </c>
      <c r="BB343" s="3482">
        <v>1.722158177935762E-2</v>
      </c>
      <c r="BC343" s="736" t="str">
        <f t="shared" si="460"/>
        <v/>
      </c>
    </row>
    <row r="344" spans="1:55" ht="12.75" customHeight="1">
      <c r="A344" s="701"/>
      <c r="B344" s="701"/>
      <c r="C344" s="863" t="s">
        <v>1791</v>
      </c>
      <c r="D344" s="711" t="s">
        <v>666</v>
      </c>
      <c r="E344" s="820" t="s">
        <v>1669</v>
      </c>
      <c r="F344" s="741" t="s">
        <v>1593</v>
      </c>
      <c r="G344" s="876">
        <f>+G325/'VVP2'!G$341</f>
        <v>4.4204432640662525E-2</v>
      </c>
      <c r="H344" s="876">
        <f>+H325/'VVP2'!H$341</f>
        <v>4.0227918224876424E-2</v>
      </c>
      <c r="I344" s="876">
        <f>+I325/'VVP2'!I$341</f>
        <v>3.8552348245134219E-2</v>
      </c>
      <c r="J344" s="876">
        <f>+J325/'VVP2'!J$341</f>
        <v>3.7537080953452401E-2</v>
      </c>
      <c r="K344" s="876">
        <f>+K325/'VVP2'!K$341</f>
        <v>3.6280451473797104E-2</v>
      </c>
      <c r="L344" s="876">
        <f>+L325/'VVP2'!L$341</f>
        <v>3.6420982150723306E-2</v>
      </c>
      <c r="M344" s="876">
        <f>+M325/'VVP2'!M$341</f>
        <v>3.2389895548439185E-2</v>
      </c>
      <c r="N344" s="876">
        <f>+N325/'VVP2'!N$341</f>
        <v>2.926736595260453E-2</v>
      </c>
      <c r="O344" s="876">
        <f>+O325/'VVP2'!O$341</f>
        <v>3.1937849864017667E-2</v>
      </c>
      <c r="P344" s="876">
        <f>+P325/'VVP2'!P$341</f>
        <v>3.3649016896791527E-2</v>
      </c>
      <c r="Q344" s="876">
        <f>+Q325/'VVP2'!Q$341</f>
        <v>3.3651208324644077E-2</v>
      </c>
      <c r="R344" s="876">
        <f>+R325/'VVP2'!R$341</f>
        <v>3.1843147264726375E-2</v>
      </c>
      <c r="S344" s="876">
        <f>+S325/'VVP2'!S$341</f>
        <v>2.7453640324715391E-2</v>
      </c>
      <c r="T344" s="876">
        <f>+T325/'VVP2'!T$341</f>
        <v>2.755182459671178E-2</v>
      </c>
      <c r="U344" s="876">
        <f>+U325/'VVP2'!U$341</f>
        <v>2.8317966323907377E-2</v>
      </c>
      <c r="V344" s="876">
        <f>+V325/'VVP2'!V$341</f>
        <v>2.8679922720317472E-2</v>
      </c>
      <c r="W344" s="876">
        <f>+W325/'VVP2'!W$341</f>
        <v>2.6401765835582919E-2</v>
      </c>
      <c r="X344" s="876">
        <f>+X325/'VVP2'!X$341</f>
        <v>2.6730129625026192E-2</v>
      </c>
      <c r="Y344" s="876">
        <f>+Y325/'VVP2'!Y$341</f>
        <v>2.8338295876006475E-2</v>
      </c>
      <c r="Z344" s="876">
        <f>+Z325/'VVP2'!Z$341</f>
        <v>2.7411838591193692E-2</v>
      </c>
      <c r="AA344" s="876">
        <f>+AA325/'VVP2'!AA$341</f>
        <v>2.6271300805442193E-2</v>
      </c>
      <c r="AB344" s="876">
        <f>+AB325/'VVP2'!AB$341</f>
        <v>2.3509764115674917E-2</v>
      </c>
      <c r="AC344" s="876">
        <f>+AC325/'VVP2'!AC$341</f>
        <v>2.4729743984307141E-2</v>
      </c>
      <c r="AD344" s="3003">
        <f ca="1">+AD325/'VVP2'!AD$341</f>
        <v>2.4753781918200365E-2</v>
      </c>
      <c r="AE344" s="3003">
        <f ca="1">+AE325/'VVP2'!AE$341</f>
        <v>2.4782100080036482E-2</v>
      </c>
      <c r="AF344" s="3003">
        <f ca="1">+AF325/'VVP2'!AF$341</f>
        <v>2.4651622592779331E-2</v>
      </c>
      <c r="BB344" s="3482">
        <v>2.3285912310230018E-2</v>
      </c>
      <c r="BC344" s="736" t="str">
        <f t="shared" si="460"/>
        <v/>
      </c>
    </row>
    <row r="345" spans="1:55" ht="12.75" customHeight="1">
      <c r="A345" s="701"/>
      <c r="B345" s="701"/>
      <c r="C345" s="864" t="s">
        <v>301</v>
      </c>
      <c r="D345" s="865" t="s">
        <v>666</v>
      </c>
      <c r="E345" s="866" t="s">
        <v>1664</v>
      </c>
      <c r="F345" s="867" t="s">
        <v>1592</v>
      </c>
      <c r="G345" s="877">
        <f>+G326/'VVP2'!G$341</f>
        <v>6.5245475295495244E-3</v>
      </c>
      <c r="H345" s="877">
        <f>+H326/'VVP2'!H$341</f>
        <v>5.6617682790023466E-3</v>
      </c>
      <c r="I345" s="877">
        <f>+I326/'VVP2'!I$341</f>
        <v>4.4110272218589918E-3</v>
      </c>
      <c r="J345" s="877">
        <f>+J326/'VVP2'!J$341</f>
        <v>5.5431965452931312E-3</v>
      </c>
      <c r="K345" s="877">
        <f>+K326/'VVP2'!K$341</f>
        <v>4.9750666458981702E-3</v>
      </c>
      <c r="L345" s="877">
        <f>+L326/'VVP2'!L$341</f>
        <v>5.2961328664815699E-3</v>
      </c>
      <c r="M345" s="877">
        <f>+M326/'VVP2'!M$341</f>
        <v>4.965518575165315E-3</v>
      </c>
      <c r="N345" s="877">
        <f>+N326/'VVP2'!N$341</f>
        <v>4.9923095123115798E-3</v>
      </c>
      <c r="O345" s="877">
        <f>+O326/'VVP2'!O$341</f>
        <v>4.4922101576992182E-3</v>
      </c>
      <c r="P345" s="877">
        <f>+P326/'VVP2'!P$341</f>
        <v>4.393600206238208E-3</v>
      </c>
      <c r="Q345" s="877">
        <f>+Q326/'VVP2'!Q$341</f>
        <v>4.540171499266667E-3</v>
      </c>
      <c r="R345" s="877">
        <f>+R326/'VVP2'!R$341</f>
        <v>4.5738831017063759E-3</v>
      </c>
      <c r="S345" s="877">
        <f>+S326/'VVP2'!S$341</f>
        <v>6.4786762003924284E-3</v>
      </c>
      <c r="T345" s="877">
        <f>+T326/'VVP2'!T$341</f>
        <v>6.1689174188256498E-3</v>
      </c>
      <c r="U345" s="877">
        <f>+U326/'VVP2'!U$341</f>
        <v>7.1047800902123894E-3</v>
      </c>
      <c r="V345" s="877">
        <f>+V326/'VVP2'!V$341</f>
        <v>6.9359309659052211E-3</v>
      </c>
      <c r="W345" s="877">
        <f>+W326/'VVP2'!W$341</f>
        <v>5.9851796332356646E-3</v>
      </c>
      <c r="X345" s="877">
        <f>+X326/'VVP2'!X$341</f>
        <v>6.5947006550242607E-3</v>
      </c>
      <c r="Y345" s="877">
        <f>+Y326/'VVP2'!Y$341</f>
        <v>6.2679868434545446E-3</v>
      </c>
      <c r="Z345" s="877">
        <f>+Z326/'VVP2'!Z$341</f>
        <v>5.588028191351015E-3</v>
      </c>
      <c r="AA345" s="877">
        <f>+AA326/'VVP2'!AA$341</f>
        <v>5.218320983505346E-3</v>
      </c>
      <c r="AB345" s="877">
        <f>+AB326/'VVP2'!AB$341</f>
        <v>5.3460303359003552E-3</v>
      </c>
      <c r="AC345" s="877">
        <f>+AC326/'VVP2'!AC$341</f>
        <v>5.5054719486059851E-3</v>
      </c>
      <c r="AD345" s="3004">
        <f ca="1">+AD326/'VVP2'!AD$341</f>
        <v>5.300887276226407E-3</v>
      </c>
      <c r="AE345" s="3004">
        <f ca="1">+AE326/'VVP2'!AE$341</f>
        <v>5.133287981987947E-3</v>
      </c>
      <c r="AF345" s="3004">
        <f ca="1">+AF326/'VVP2'!AF$341</f>
        <v>4.9823228961197105E-3</v>
      </c>
      <c r="BB345" s="3484">
        <v>5.6393529261932855E-3</v>
      </c>
      <c r="BC345" s="736" t="str">
        <f t="shared" si="460"/>
        <v/>
      </c>
    </row>
    <row r="346" spans="1:55" ht="12.75" customHeight="1">
      <c r="A346" s="701"/>
      <c r="B346" s="701"/>
      <c r="C346" s="811" t="s">
        <v>1793</v>
      </c>
      <c r="D346" s="843" t="s">
        <v>667</v>
      </c>
      <c r="E346" s="844" t="s">
        <v>1185</v>
      </c>
      <c r="F346" s="845" t="s">
        <v>1186</v>
      </c>
      <c r="G346" s="878">
        <f>+G327/'VVP2'!G$341</f>
        <v>1.2612640323114389E-2</v>
      </c>
      <c r="H346" s="878">
        <f>+H327/'VVP2'!H$341</f>
        <v>1.1562373021198545E-2</v>
      </c>
      <c r="I346" s="878">
        <f>+I327/'VVP2'!I$341</f>
        <v>1.5255853426694058E-2</v>
      </c>
      <c r="J346" s="878">
        <f>+J327/'VVP2'!J$341</f>
        <v>1.3549669884193512E-2</v>
      </c>
      <c r="K346" s="878">
        <f>+K327/'VVP2'!K$341</f>
        <v>1.3121643436745867E-2</v>
      </c>
      <c r="L346" s="878">
        <f>+L327/'VVP2'!L$341</f>
        <v>1.2786401893585654E-2</v>
      </c>
      <c r="M346" s="878">
        <f>+M327/'VVP2'!M$341</f>
        <v>1.2594705058511246E-2</v>
      </c>
      <c r="N346" s="878">
        <f>+N327/'VVP2'!N$341</f>
        <v>1.1535925785919669E-2</v>
      </c>
      <c r="O346" s="878">
        <f>+O327/'VVP2'!O$341</f>
        <v>1.205693838140927E-2</v>
      </c>
      <c r="P346" s="878">
        <f>+P327/'VVP2'!P$341</f>
        <v>1.2943299092046265E-2</v>
      </c>
      <c r="Q346" s="878">
        <f>+Q327/'VVP2'!Q$341</f>
        <v>1.3234007275955507E-2</v>
      </c>
      <c r="R346" s="878">
        <f>+R327/'VVP2'!R$341</f>
        <v>1.397335468155886E-2</v>
      </c>
      <c r="S346" s="878">
        <f>+S327/'VVP2'!S$341</f>
        <v>1.336056562545157E-2</v>
      </c>
      <c r="T346" s="878">
        <f>+T327/'VVP2'!T$341</f>
        <v>1.5030305031634756E-2</v>
      </c>
      <c r="U346" s="878">
        <f>+U327/'VVP2'!U$341</f>
        <v>1.2256649359099564E-2</v>
      </c>
      <c r="V346" s="878">
        <f>+V327/'VVP2'!V$341</f>
        <v>1.3995023588011206E-2</v>
      </c>
      <c r="W346" s="878">
        <f>+W327/'VVP2'!W$341</f>
        <v>1.393509991551588E-2</v>
      </c>
      <c r="X346" s="878">
        <f>+X327/'VVP2'!X$341</f>
        <v>1.3996152210256201E-2</v>
      </c>
      <c r="Y346" s="878">
        <f>+Y327/'VVP2'!Y$341</f>
        <v>1.4788262343403007E-2</v>
      </c>
      <c r="Z346" s="878">
        <f>+Z327/'VVP2'!Z$341</f>
        <v>1.4705430831594106E-2</v>
      </c>
      <c r="AA346" s="878">
        <f>+AA327/'VVP2'!AA$341</f>
        <v>1.3828729112138088E-2</v>
      </c>
      <c r="AB346" s="878">
        <f>+AB327/'VVP2'!AB$341</f>
        <v>1.1123254673301565E-2</v>
      </c>
      <c r="AC346" s="878">
        <f>+AC327/'VVP2'!AC$341</f>
        <v>1.3297519774950264E-2</v>
      </c>
      <c r="AD346" s="3005">
        <f ca="1">+AD327/'VVP2'!AD$341</f>
        <v>1.301006899437411E-2</v>
      </c>
      <c r="AE346" s="3005">
        <f ca="1">+AE327/'VVP2'!AE$341</f>
        <v>1.307977274800538E-2</v>
      </c>
      <c r="AF346" s="3005">
        <f ca="1">+AF327/'VVP2'!AF$341</f>
        <v>1.2964336534679701E-2</v>
      </c>
      <c r="BB346" s="3507">
        <v>1.0990620072291596E-2</v>
      </c>
      <c r="BC346" s="736" t="str">
        <f t="shared" si="460"/>
        <v/>
      </c>
    </row>
    <row r="347" spans="1:55" ht="30" customHeight="1">
      <c r="A347" s="701"/>
      <c r="B347" s="701"/>
      <c r="C347" s="811"/>
      <c r="BC347" s="736" t="str">
        <f t="shared" si="460"/>
        <v/>
      </c>
    </row>
    <row r="348" spans="1:55" ht="30" customHeight="1">
      <c r="BC348" s="736" t="str">
        <f t="shared" si="460"/>
        <v/>
      </c>
    </row>
    <row r="349" spans="1:55" ht="22.5" customHeight="1">
      <c r="A349" s="590"/>
      <c r="B349" s="590"/>
      <c r="C349" s="3816" t="s">
        <v>1665</v>
      </c>
      <c r="D349" s="3816"/>
      <c r="E349" s="3816"/>
      <c r="F349" s="3816"/>
      <c r="BC349" s="736" t="str">
        <f t="shared" si="460"/>
        <v/>
      </c>
    </row>
    <row r="350" spans="1:55" ht="12.75" customHeight="1">
      <c r="A350" s="701"/>
      <c r="B350" s="701"/>
      <c r="C350" s="811"/>
      <c r="BC350" s="736" t="str">
        <f t="shared" si="460"/>
        <v/>
      </c>
    </row>
    <row r="351" spans="1:55" ht="12.75" customHeight="1">
      <c r="A351" s="701"/>
      <c r="B351" s="701"/>
      <c r="C351" s="811"/>
      <c r="D351" s="812"/>
      <c r="E351" s="813" t="s">
        <v>1882</v>
      </c>
      <c r="F351" s="814"/>
      <c r="G351" s="815">
        <f>+InputY!$G$3</f>
        <v>1995</v>
      </c>
      <c r="H351" s="815">
        <f>+G351+1</f>
        <v>1996</v>
      </c>
      <c r="I351" s="815">
        <f t="shared" ref="I351:O351" si="475">+H351+1</f>
        <v>1997</v>
      </c>
      <c r="J351" s="815">
        <f t="shared" si="475"/>
        <v>1998</v>
      </c>
      <c r="K351" s="815">
        <f t="shared" si="475"/>
        <v>1999</v>
      </c>
      <c r="L351" s="815">
        <f t="shared" si="475"/>
        <v>2000</v>
      </c>
      <c r="M351" s="815">
        <f t="shared" si="475"/>
        <v>2001</v>
      </c>
      <c r="N351" s="815">
        <f t="shared" si="475"/>
        <v>2002</v>
      </c>
      <c r="O351" s="815">
        <f t="shared" si="475"/>
        <v>2003</v>
      </c>
      <c r="P351" s="815">
        <f>+O351+1</f>
        <v>2004</v>
      </c>
      <c r="Q351" s="815">
        <f>+P351+1</f>
        <v>2005</v>
      </c>
      <c r="R351" s="815">
        <f>+Q351+1</f>
        <v>2006</v>
      </c>
      <c r="S351" s="815">
        <f>+R351+1</f>
        <v>2007</v>
      </c>
      <c r="T351" s="815">
        <f t="shared" ref="T351:AF351" si="476">+S351+1</f>
        <v>2008</v>
      </c>
      <c r="U351" s="815">
        <f t="shared" si="476"/>
        <v>2009</v>
      </c>
      <c r="V351" s="815">
        <f t="shared" si="476"/>
        <v>2010</v>
      </c>
      <c r="W351" s="815">
        <f t="shared" si="476"/>
        <v>2011</v>
      </c>
      <c r="X351" s="815">
        <f t="shared" si="476"/>
        <v>2012</v>
      </c>
      <c r="Y351" s="815">
        <f t="shared" si="476"/>
        <v>2013</v>
      </c>
      <c r="Z351" s="2285">
        <f t="shared" si="476"/>
        <v>2014</v>
      </c>
      <c r="AA351" s="2285">
        <f t="shared" si="476"/>
        <v>2015</v>
      </c>
      <c r="AB351" s="2285">
        <f t="shared" si="476"/>
        <v>2016</v>
      </c>
      <c r="AC351" s="2285">
        <f t="shared" si="476"/>
        <v>2017</v>
      </c>
      <c r="AD351" s="2285">
        <f t="shared" si="476"/>
        <v>2018</v>
      </c>
      <c r="AE351" s="2285">
        <f t="shared" si="476"/>
        <v>2019</v>
      </c>
      <c r="AF351" s="2285">
        <f t="shared" si="476"/>
        <v>2020</v>
      </c>
      <c r="BB351" s="3470">
        <v>2016</v>
      </c>
      <c r="BC351" s="736" t="str">
        <f t="shared" si="460"/>
        <v/>
      </c>
    </row>
    <row r="352" spans="1:55" ht="12.75" customHeight="1">
      <c r="A352" s="701"/>
      <c r="B352" s="701"/>
      <c r="C352" s="816" t="s">
        <v>1791</v>
      </c>
      <c r="D352" s="705" t="s">
        <v>664</v>
      </c>
      <c r="E352" s="737" t="s">
        <v>1665</v>
      </c>
      <c r="F352" s="738"/>
      <c r="G352" s="817">
        <f t="shared" ref="G352:Q352" si="477">+G178+G254+G300+G322</f>
        <v>1526.5920000000001</v>
      </c>
      <c r="H352" s="817">
        <f t="shared" si="477"/>
        <v>1568.373</v>
      </c>
      <c r="I352" s="817">
        <f t="shared" si="477"/>
        <v>1611.6130000000001</v>
      </c>
      <c r="J352" s="817">
        <f t="shared" si="477"/>
        <v>1625.68</v>
      </c>
      <c r="K352" s="817">
        <f t="shared" si="477"/>
        <v>1641.402</v>
      </c>
      <c r="L352" s="817">
        <f t="shared" si="477"/>
        <v>1870.905</v>
      </c>
      <c r="M352" s="817">
        <f t="shared" si="477"/>
        <v>1951.1689999999999</v>
      </c>
      <c r="N352" s="817">
        <f t="shared" si="477"/>
        <v>1992.3889999999999</v>
      </c>
      <c r="O352" s="817">
        <f t="shared" si="477"/>
        <v>2075.355</v>
      </c>
      <c r="P352" s="817">
        <f t="shared" si="477"/>
        <v>2142.7620000000002</v>
      </c>
      <c r="Q352" s="817">
        <f t="shared" si="477"/>
        <v>2229.5970000000002</v>
      </c>
      <c r="R352" s="817">
        <f t="shared" ref="R352:W352" si="478">+R178+R254+R300+R322</f>
        <v>2351.2669999999998</v>
      </c>
      <c r="S352" s="817">
        <f t="shared" si="478"/>
        <v>2493.596</v>
      </c>
      <c r="T352" s="817">
        <f t="shared" si="478"/>
        <v>2610.8379999999997</v>
      </c>
      <c r="U352" s="817">
        <f t="shared" si="478"/>
        <v>2627.491</v>
      </c>
      <c r="V352" s="817">
        <f t="shared" si="478"/>
        <v>2753.018</v>
      </c>
      <c r="W352" s="817">
        <f t="shared" si="478"/>
        <v>2853.3670000000002</v>
      </c>
      <c r="X352" s="817">
        <f t="shared" ref="X352:Z352" si="479">+X178+X254+X300+X322</f>
        <v>2947.2050000000004</v>
      </c>
      <c r="Y352" s="817">
        <f t="shared" si="479"/>
        <v>3045.8589999999999</v>
      </c>
      <c r="Z352" s="3390">
        <f t="shared" si="479"/>
        <v>3183.183</v>
      </c>
      <c r="AA352" s="3390">
        <f t="shared" ref="AA352:AC352" si="480">+AA178+AA254+AA300+AA322</f>
        <v>3303.69</v>
      </c>
      <c r="AB352" s="3390">
        <f t="shared" si="480"/>
        <v>3479.8929999999996</v>
      </c>
      <c r="AC352" s="3390">
        <f t="shared" si="480"/>
        <v>3603.4119999999998</v>
      </c>
      <c r="AD352" s="2335">
        <f t="shared" ref="AD352:AE352" ca="1" si="481">+AD178+AD254+AD300+AD322</f>
        <v>3754.652475198448</v>
      </c>
      <c r="AE352" s="2335">
        <f t="shared" ca="1" si="481"/>
        <v>3875.6572124981344</v>
      </c>
      <c r="AF352" s="2335">
        <f t="shared" ref="AF352" ca="1" si="482">+AF178+AF254+AF300+AF322</f>
        <v>3999.9738577931944</v>
      </c>
      <c r="BB352" s="3510">
        <v>3457.7349999999997</v>
      </c>
      <c r="BC352" s="736">
        <f t="shared" si="460"/>
        <v>22.157999999999902</v>
      </c>
    </row>
    <row r="353" spans="1:55" ht="12.75" customHeight="1">
      <c r="A353" s="701"/>
      <c r="B353" s="701"/>
      <c r="C353" s="819" t="s">
        <v>1791</v>
      </c>
      <c r="D353" s="711" t="s">
        <v>665</v>
      </c>
      <c r="E353" s="820" t="s">
        <v>1665</v>
      </c>
      <c r="F353" s="741"/>
      <c r="G353" s="743">
        <f t="shared" ref="G353:Q353" si="483">+G179+G255+G324</f>
        <v>599.875</v>
      </c>
      <c r="H353" s="743">
        <f t="shared" si="483"/>
        <v>567.78</v>
      </c>
      <c r="I353" s="743">
        <f t="shared" si="483"/>
        <v>609.55399999999986</v>
      </c>
      <c r="J353" s="743">
        <f t="shared" si="483"/>
        <v>630.3180000000001</v>
      </c>
      <c r="K353" s="743">
        <f t="shared" si="483"/>
        <v>679.31299999999987</v>
      </c>
      <c r="L353" s="743">
        <f t="shared" si="483"/>
        <v>710.1350000000001</v>
      </c>
      <c r="M353" s="743">
        <f t="shared" si="483"/>
        <v>707.31299999999999</v>
      </c>
      <c r="N353" s="743">
        <f t="shared" si="483"/>
        <v>755.14599999999996</v>
      </c>
      <c r="O353" s="743">
        <f t="shared" si="483"/>
        <v>814.06000000000006</v>
      </c>
      <c r="P353" s="743">
        <f t="shared" si="483"/>
        <v>851.68200000000013</v>
      </c>
      <c r="Q353" s="743">
        <f t="shared" si="483"/>
        <v>879.73299999999995</v>
      </c>
      <c r="R353" s="743">
        <f t="shared" ref="R353:W353" si="484">+R179+R255+R324</f>
        <v>985.03499999999985</v>
      </c>
      <c r="S353" s="743">
        <f t="shared" si="484"/>
        <v>1030.8009999999999</v>
      </c>
      <c r="T353" s="743">
        <f t="shared" si="484"/>
        <v>1018.6030000000001</v>
      </c>
      <c r="U353" s="743">
        <f t="shared" si="484"/>
        <v>886.88499999999988</v>
      </c>
      <c r="V353" s="743">
        <f t="shared" si="484"/>
        <v>1027.318</v>
      </c>
      <c r="W353" s="743">
        <f t="shared" si="484"/>
        <v>1037.6340000000002</v>
      </c>
      <c r="X353" s="743">
        <f t="shared" ref="X353:Z353" si="485">+X179+X255+X324</f>
        <v>979.76600000000008</v>
      </c>
      <c r="Y353" s="743">
        <f t="shared" si="485"/>
        <v>1003.5159999999998</v>
      </c>
      <c r="Z353" s="2281">
        <f t="shared" si="485"/>
        <v>1059.175</v>
      </c>
      <c r="AA353" s="2281">
        <f t="shared" ref="AA353:AC353" si="486">+AA179+AA255+AA324</f>
        <v>1120.2600000000002</v>
      </c>
      <c r="AB353" s="2281">
        <f t="shared" si="486"/>
        <v>1092.8370000000002</v>
      </c>
      <c r="AC353" s="2281">
        <f t="shared" si="486"/>
        <v>1163.3509999999999</v>
      </c>
      <c r="AD353" s="2333">
        <f t="shared" ref="AD353:AE353" ca="1" si="487">+AD179+AD255+AD324</f>
        <v>1235.5848795482045</v>
      </c>
      <c r="AE353" s="2333">
        <f t="shared" ca="1" si="487"/>
        <v>1286.9313830537508</v>
      </c>
      <c r="AF353" s="2333">
        <f t="shared" ref="AF353" ca="1" si="488">+AF179+AF255+AF324</f>
        <v>1340.7821298994152</v>
      </c>
      <c r="BB353" s="3475">
        <v>1160.5519999999999</v>
      </c>
      <c r="BC353" s="736">
        <f t="shared" si="460"/>
        <v>-67.714999999999691</v>
      </c>
    </row>
    <row r="354" spans="1:55" ht="12.75" customHeight="1">
      <c r="A354" s="701"/>
      <c r="B354" s="701"/>
      <c r="C354" s="819" t="s">
        <v>1791</v>
      </c>
      <c r="D354" s="3714" t="s">
        <v>666</v>
      </c>
      <c r="E354" s="3715" t="s">
        <v>1665</v>
      </c>
      <c r="F354" s="3716"/>
      <c r="G354" s="3717">
        <f t="shared" ref="G354:Q354" si="489">+G180+G203+G253+G326</f>
        <v>859.01600000000008</v>
      </c>
      <c r="H354" s="3717">
        <f t="shared" si="489"/>
        <v>928.49200000000008</v>
      </c>
      <c r="I354" s="3717">
        <f t="shared" si="489"/>
        <v>975.072</v>
      </c>
      <c r="J354" s="3717">
        <f t="shared" si="489"/>
        <v>1048.3889999999999</v>
      </c>
      <c r="K354" s="3717">
        <f t="shared" si="489"/>
        <v>1112.08</v>
      </c>
      <c r="L354" s="3717">
        <f t="shared" si="489"/>
        <v>1195.2270000000001</v>
      </c>
      <c r="M354" s="3717">
        <f t="shared" si="489"/>
        <v>1203.163</v>
      </c>
      <c r="N354" s="3717">
        <f t="shared" si="489"/>
        <v>1197.6410000000001</v>
      </c>
      <c r="O354" s="3717">
        <f t="shared" si="489"/>
        <v>1276.693</v>
      </c>
      <c r="P354" s="3717">
        <f t="shared" si="489"/>
        <v>1351.1489999999999</v>
      </c>
      <c r="Q354" s="3717">
        <f t="shared" si="489"/>
        <v>1437.192</v>
      </c>
      <c r="R354" s="3717">
        <f t="shared" ref="R354:W354" si="490">+R180+R203+R253+R326</f>
        <v>1508.9639999999999</v>
      </c>
      <c r="S354" s="3717">
        <f t="shared" si="490"/>
        <v>1587.5649999999998</v>
      </c>
      <c r="T354" s="3717">
        <f t="shared" si="490"/>
        <v>1607.0729999999999</v>
      </c>
      <c r="U354" s="3717">
        <f t="shared" si="490"/>
        <v>1574.7919999999999</v>
      </c>
      <c r="V354" s="3717">
        <f t="shared" si="490"/>
        <v>1644.309</v>
      </c>
      <c r="W354" s="3717">
        <f t="shared" si="490"/>
        <v>1679.8359999999998</v>
      </c>
      <c r="X354" s="3717">
        <f t="shared" ref="X354:Z354" si="491">+X180+X203+X253+X326</f>
        <v>1702.915</v>
      </c>
      <c r="Y354" s="3717">
        <f t="shared" si="491"/>
        <v>1758.0739999999998</v>
      </c>
      <c r="Z354" s="3738">
        <f t="shared" si="491"/>
        <v>1808.2450000000001</v>
      </c>
      <c r="AA354" s="3738">
        <f t="shared" ref="AA354:AC354" si="492">+AA180+AA203+AA253+AA326</f>
        <v>1953.1169999999997</v>
      </c>
      <c r="AB354" s="3738">
        <f t="shared" si="492"/>
        <v>2089.0450000000001</v>
      </c>
      <c r="AC354" s="3738">
        <f t="shared" si="492"/>
        <v>2189.7520000000004</v>
      </c>
      <c r="AD354" s="3725">
        <f t="shared" ref="AD354:AE354" ca="1" si="493">+AD180+AD203+AD253+AD326</f>
        <v>2270.9061620292209</v>
      </c>
      <c r="AE354" s="3725">
        <f t="shared" ca="1" si="493"/>
        <v>2345.2655626567052</v>
      </c>
      <c r="AF354" s="3725">
        <f t="shared" ref="AF354" ca="1" si="494">+AF180+AF203+AF253+AF326</f>
        <v>2412.8224522363562</v>
      </c>
      <c r="BB354" s="3475">
        <v>2089.4740000000002</v>
      </c>
      <c r="BC354" s="736" t="str">
        <f t="shared" si="460"/>
        <v/>
      </c>
    </row>
    <row r="355" spans="1:55" ht="12.75" customHeight="1">
      <c r="A355" s="701"/>
      <c r="B355" s="701"/>
      <c r="C355" s="821" t="s">
        <v>1793</v>
      </c>
      <c r="D355" s="789"/>
      <c r="E355" s="790" t="s">
        <v>1665</v>
      </c>
      <c r="F355" s="791"/>
      <c r="G355" s="822">
        <f t="shared" ref="G355:V355" si="495">+G352+G353+G354</f>
        <v>2985.4830000000002</v>
      </c>
      <c r="H355" s="822">
        <f t="shared" si="495"/>
        <v>3064.6450000000004</v>
      </c>
      <c r="I355" s="822">
        <f t="shared" si="495"/>
        <v>3196.239</v>
      </c>
      <c r="J355" s="822">
        <f t="shared" si="495"/>
        <v>3304.3869999999997</v>
      </c>
      <c r="K355" s="822">
        <f t="shared" si="495"/>
        <v>3432.7950000000001</v>
      </c>
      <c r="L355" s="822">
        <f t="shared" si="495"/>
        <v>3776.2669999999998</v>
      </c>
      <c r="M355" s="822">
        <f t="shared" si="495"/>
        <v>3861.645</v>
      </c>
      <c r="N355" s="822">
        <f t="shared" si="495"/>
        <v>3945.1759999999999</v>
      </c>
      <c r="O355" s="822">
        <f t="shared" si="495"/>
        <v>4166.1080000000002</v>
      </c>
      <c r="P355" s="822">
        <f t="shared" si="495"/>
        <v>4345.5930000000008</v>
      </c>
      <c r="Q355" s="822">
        <f t="shared" si="495"/>
        <v>4546.5219999999999</v>
      </c>
      <c r="R355" s="822">
        <f t="shared" si="495"/>
        <v>4845.2659999999996</v>
      </c>
      <c r="S355" s="822">
        <f t="shared" si="495"/>
        <v>5111.9619999999995</v>
      </c>
      <c r="T355" s="822">
        <f t="shared" si="495"/>
        <v>5236.5139999999992</v>
      </c>
      <c r="U355" s="822">
        <f t="shared" si="495"/>
        <v>5089.1679999999997</v>
      </c>
      <c r="V355" s="822">
        <f t="shared" si="495"/>
        <v>5424.6450000000004</v>
      </c>
      <c r="W355" s="822">
        <f t="shared" ref="W355:Z355" si="496">+W352+W353+W354</f>
        <v>5570.8369999999995</v>
      </c>
      <c r="X355" s="822">
        <f t="shared" si="496"/>
        <v>5629.8860000000004</v>
      </c>
      <c r="Y355" s="822">
        <f t="shared" si="496"/>
        <v>5807.4489999999996</v>
      </c>
      <c r="Z355" s="2320">
        <f t="shared" si="496"/>
        <v>6050.6030000000001</v>
      </c>
      <c r="AA355" s="2320">
        <f t="shared" ref="AA355:AC355" si="497">+AA352+AA353+AA354</f>
        <v>6377.0670000000009</v>
      </c>
      <c r="AB355" s="2320">
        <f t="shared" si="497"/>
        <v>6661.7749999999996</v>
      </c>
      <c r="AC355" s="2320">
        <f t="shared" si="497"/>
        <v>6956.5150000000003</v>
      </c>
      <c r="AD355" s="2341">
        <f ca="1">+AD352+AD353+AD354</f>
        <v>7261.1435167758736</v>
      </c>
      <c r="AE355" s="2341">
        <f ca="1">+AE352+AE353+AE354</f>
        <v>7507.8541582085909</v>
      </c>
      <c r="AF355" s="2341">
        <f ca="1">+AF352+AF353+AF354</f>
        <v>7753.578439928966</v>
      </c>
      <c r="BB355" s="3545">
        <v>6707.7609999999995</v>
      </c>
      <c r="BC355" s="736">
        <f t="shared" si="460"/>
        <v>-45.985999999999876</v>
      </c>
    </row>
    <row r="356" spans="1:55">
      <c r="A356" s="701"/>
      <c r="B356" s="701"/>
      <c r="Q356" s="736"/>
      <c r="R356" s="736"/>
      <c r="S356" s="736"/>
      <c r="T356" s="736"/>
      <c r="U356" s="736"/>
      <c r="V356" s="736"/>
      <c r="W356" s="736"/>
      <c r="X356" s="736"/>
      <c r="Y356" s="736"/>
      <c r="BC356" s="736" t="str">
        <f t="shared" si="460"/>
        <v/>
      </c>
    </row>
    <row r="357" spans="1:55" ht="12.75" customHeight="1">
      <c r="A357" s="701"/>
      <c r="B357" s="701"/>
      <c r="C357" s="811"/>
      <c r="D357" s="779"/>
      <c r="E357" s="780" t="s">
        <v>1883</v>
      </c>
      <c r="F357" s="781"/>
      <c r="G357" s="782">
        <f>+InputY!$G$3</f>
        <v>1995</v>
      </c>
      <c r="H357" s="782">
        <f>+G357+1</f>
        <v>1996</v>
      </c>
      <c r="I357" s="782">
        <f t="shared" ref="I357:O357" si="498">+H357+1</f>
        <v>1997</v>
      </c>
      <c r="J357" s="782">
        <f t="shared" si="498"/>
        <v>1998</v>
      </c>
      <c r="K357" s="782">
        <f t="shared" si="498"/>
        <v>1999</v>
      </c>
      <c r="L357" s="782">
        <f t="shared" si="498"/>
        <v>2000</v>
      </c>
      <c r="M357" s="782">
        <f t="shared" si="498"/>
        <v>2001</v>
      </c>
      <c r="N357" s="782">
        <f t="shared" si="498"/>
        <v>2002</v>
      </c>
      <c r="O357" s="782">
        <f t="shared" si="498"/>
        <v>2003</v>
      </c>
      <c r="P357" s="782">
        <f>+O357+1</f>
        <v>2004</v>
      </c>
      <c r="Q357" s="782">
        <f>+P357+1</f>
        <v>2005</v>
      </c>
      <c r="R357" s="782">
        <f>+Q357+1</f>
        <v>2006</v>
      </c>
      <c r="S357" s="782">
        <f>+R357+1</f>
        <v>2007</v>
      </c>
      <c r="T357" s="782">
        <f t="shared" ref="T357:AF357" si="499">+S357+1</f>
        <v>2008</v>
      </c>
      <c r="U357" s="782">
        <f t="shared" si="499"/>
        <v>2009</v>
      </c>
      <c r="V357" s="782">
        <f t="shared" si="499"/>
        <v>2010</v>
      </c>
      <c r="W357" s="782">
        <f t="shared" si="499"/>
        <v>2011</v>
      </c>
      <c r="X357" s="782">
        <f t="shared" si="499"/>
        <v>2012</v>
      </c>
      <c r="Y357" s="782">
        <f t="shared" si="499"/>
        <v>2013</v>
      </c>
      <c r="Z357" s="2272">
        <f t="shared" si="499"/>
        <v>2014</v>
      </c>
      <c r="AA357" s="2272">
        <f t="shared" si="499"/>
        <v>2015</v>
      </c>
      <c r="AB357" s="2272">
        <f t="shared" si="499"/>
        <v>2016</v>
      </c>
      <c r="AC357" s="2272">
        <f t="shared" si="499"/>
        <v>2017</v>
      </c>
      <c r="AD357" s="2272">
        <f t="shared" si="499"/>
        <v>2018</v>
      </c>
      <c r="AE357" s="2272">
        <f t="shared" si="499"/>
        <v>2019</v>
      </c>
      <c r="AF357" s="2272">
        <f t="shared" si="499"/>
        <v>2020</v>
      </c>
      <c r="BB357" s="3476">
        <v>2016</v>
      </c>
      <c r="BC357" s="736" t="str">
        <f t="shared" si="460"/>
        <v/>
      </c>
    </row>
    <row r="358" spans="1:55" ht="12.75" customHeight="1">
      <c r="A358" s="701"/>
      <c r="B358" s="701"/>
      <c r="C358" s="831" t="s">
        <v>1791</v>
      </c>
      <c r="D358" s="726" t="s">
        <v>664</v>
      </c>
      <c r="E358" s="775" t="s">
        <v>1665</v>
      </c>
      <c r="F358" s="770"/>
      <c r="G358" s="776"/>
      <c r="H358" s="776">
        <f t="shared" ref="H358:AF358" si="500">(H352/G352-1)*100</f>
        <v>2.7368805810589869</v>
      </c>
      <c r="I358" s="776">
        <f t="shared" si="500"/>
        <v>2.75699721941145</v>
      </c>
      <c r="J358" s="776">
        <f t="shared" si="500"/>
        <v>0.87285222941240193</v>
      </c>
      <c r="K358" s="776">
        <f t="shared" si="500"/>
        <v>0.9671029968997491</v>
      </c>
      <c r="L358" s="776">
        <f t="shared" si="500"/>
        <v>13.982132347834341</v>
      </c>
      <c r="M358" s="776">
        <f t="shared" si="500"/>
        <v>4.290116280623546</v>
      </c>
      <c r="N358" s="776">
        <f t="shared" si="500"/>
        <v>2.1125796894067017</v>
      </c>
      <c r="O358" s="776">
        <f t="shared" si="500"/>
        <v>4.1641466601150645</v>
      </c>
      <c r="P358" s="776">
        <f t="shared" si="500"/>
        <v>3.2479744429266377</v>
      </c>
      <c r="Q358" s="776">
        <f t="shared" si="500"/>
        <v>4.0524799301088876</v>
      </c>
      <c r="R358" s="776">
        <f t="shared" si="500"/>
        <v>5.4570399942231562</v>
      </c>
      <c r="S358" s="776">
        <f t="shared" si="500"/>
        <v>6.0532895668590658</v>
      </c>
      <c r="T358" s="776">
        <f t="shared" si="500"/>
        <v>4.7017239360345409</v>
      </c>
      <c r="U358" s="776">
        <f t="shared" si="500"/>
        <v>0.63784118355869612</v>
      </c>
      <c r="V358" s="776">
        <f t="shared" si="500"/>
        <v>4.7774473823126273</v>
      </c>
      <c r="W358" s="776">
        <f t="shared" si="500"/>
        <v>3.6450542640840133</v>
      </c>
      <c r="X358" s="776">
        <f t="shared" si="500"/>
        <v>3.2886761499659967</v>
      </c>
      <c r="Y358" s="776">
        <f t="shared" si="500"/>
        <v>3.3473748856967633</v>
      </c>
      <c r="Z358" s="2273">
        <f t="shared" si="500"/>
        <v>4.5085475066311442</v>
      </c>
      <c r="AA358" s="2273">
        <f t="shared" ref="AA358:AA361" si="501">(AA352/Z352-1)*100</f>
        <v>3.7857389914434769</v>
      </c>
      <c r="AB358" s="2273">
        <f t="shared" ref="AB358:AB361" si="502">(AB352/AA352-1)*100</f>
        <v>5.3335210022732005</v>
      </c>
      <c r="AC358" s="2273">
        <f t="shared" ref="AC358:AC361" si="503">(AC352/AB352-1)*100</f>
        <v>3.5495056888243504</v>
      </c>
      <c r="AD358" s="2336">
        <f t="shared" ca="1" si="500"/>
        <v>4.1971463490283245</v>
      </c>
      <c r="AE358" s="2336">
        <f t="shared" ca="1" si="500"/>
        <v>3.2227946021366805</v>
      </c>
      <c r="AF358" s="2336">
        <f t="shared" ca="1" si="500"/>
        <v>3.207627467521279</v>
      </c>
      <c r="BB358" s="3546">
        <v>4.5812708354379117</v>
      </c>
      <c r="BC358" s="736" t="str">
        <f t="shared" si="460"/>
        <v/>
      </c>
    </row>
    <row r="359" spans="1:55" ht="12.75" customHeight="1">
      <c r="A359" s="701"/>
      <c r="B359" s="701"/>
      <c r="C359" s="832" t="s">
        <v>1791</v>
      </c>
      <c r="D359" s="711" t="s">
        <v>665</v>
      </c>
      <c r="E359" s="820" t="s">
        <v>1665</v>
      </c>
      <c r="F359" s="741"/>
      <c r="G359" s="743"/>
      <c r="H359" s="743">
        <f t="shared" ref="H359:AF359" si="504">(H353/G353-1)*100</f>
        <v>-5.3502813086059646</v>
      </c>
      <c r="I359" s="743">
        <f t="shared" si="504"/>
        <v>7.3574271724963669</v>
      </c>
      <c r="J359" s="743">
        <f t="shared" si="504"/>
        <v>3.4064250255104955</v>
      </c>
      <c r="K359" s="743">
        <f t="shared" si="504"/>
        <v>7.7730605821188403</v>
      </c>
      <c r="L359" s="743">
        <f t="shared" si="504"/>
        <v>4.5372309966098534</v>
      </c>
      <c r="M359" s="743">
        <f t="shared" si="504"/>
        <v>-0.39738922880862004</v>
      </c>
      <c r="N359" s="743">
        <f t="shared" si="504"/>
        <v>6.7626354951768164</v>
      </c>
      <c r="O359" s="743">
        <f t="shared" si="504"/>
        <v>7.8016701406085742</v>
      </c>
      <c r="P359" s="743">
        <f t="shared" si="504"/>
        <v>4.6215266687959167</v>
      </c>
      <c r="Q359" s="743">
        <f t="shared" si="504"/>
        <v>3.2936001934994241</v>
      </c>
      <c r="R359" s="743">
        <f t="shared" si="504"/>
        <v>11.969768100094003</v>
      </c>
      <c r="S359" s="743">
        <f t="shared" si="504"/>
        <v>4.6461293253539315</v>
      </c>
      <c r="T359" s="743">
        <f t="shared" si="504"/>
        <v>-1.1833515877458289</v>
      </c>
      <c r="U359" s="743">
        <f t="shared" si="504"/>
        <v>-12.93124013968152</v>
      </c>
      <c r="V359" s="743">
        <f t="shared" si="504"/>
        <v>15.83440919623178</v>
      </c>
      <c r="W359" s="743">
        <f t="shared" si="504"/>
        <v>1.0041681348910814</v>
      </c>
      <c r="X359" s="743">
        <f t="shared" si="504"/>
        <v>-5.5769182582683481</v>
      </c>
      <c r="Y359" s="743">
        <f t="shared" si="504"/>
        <v>2.4240481910986711</v>
      </c>
      <c r="Z359" s="2281">
        <f t="shared" si="504"/>
        <v>5.5463988616026194</v>
      </c>
      <c r="AA359" s="2281">
        <f t="shared" si="501"/>
        <v>5.7672244907593484</v>
      </c>
      <c r="AB359" s="2281">
        <f t="shared" si="502"/>
        <v>-2.4479138771356657</v>
      </c>
      <c r="AC359" s="2281">
        <f t="shared" si="503"/>
        <v>6.4523803641347799</v>
      </c>
      <c r="AD359" s="2333">
        <f t="shared" ca="1" si="504"/>
        <v>6.2091217137566046</v>
      </c>
      <c r="AE359" s="2333">
        <f t="shared" ca="1" si="504"/>
        <v>4.1556435624496624</v>
      </c>
      <c r="AF359" s="2333">
        <f t="shared" ca="1" si="504"/>
        <v>4.1844303087770207</v>
      </c>
      <c r="BB359" s="3475">
        <v>3.0899849524679279</v>
      </c>
      <c r="BC359" s="736">
        <f t="shared" si="460"/>
        <v>-5.5378988296035931</v>
      </c>
    </row>
    <row r="360" spans="1:55" ht="12.75" customHeight="1">
      <c r="A360" s="701"/>
      <c r="B360" s="701"/>
      <c r="C360" s="833" t="s">
        <v>1791</v>
      </c>
      <c r="D360" s="3714" t="s">
        <v>666</v>
      </c>
      <c r="E360" s="3715" t="s">
        <v>1665</v>
      </c>
      <c r="F360" s="3716"/>
      <c r="G360" s="3717"/>
      <c r="H360" s="3717">
        <f t="shared" ref="H360:AF360" si="505">(H354/G354-1)*100</f>
        <v>8.0878586661948138</v>
      </c>
      <c r="I360" s="3717">
        <f t="shared" si="505"/>
        <v>5.0167368162568948</v>
      </c>
      <c r="J360" s="3717">
        <f t="shared" si="505"/>
        <v>7.5191370483410402</v>
      </c>
      <c r="K360" s="3717">
        <f t="shared" si="505"/>
        <v>6.0751305097630715</v>
      </c>
      <c r="L360" s="3717">
        <f t="shared" si="505"/>
        <v>7.476710308610901</v>
      </c>
      <c r="M360" s="3717">
        <f t="shared" si="505"/>
        <v>0.66397429107607486</v>
      </c>
      <c r="N360" s="3717">
        <f t="shared" si="505"/>
        <v>-0.45895693268492854</v>
      </c>
      <c r="O360" s="3717">
        <f t="shared" si="505"/>
        <v>6.6006424295761423</v>
      </c>
      <c r="P360" s="3717">
        <f t="shared" si="505"/>
        <v>5.8319423698571127</v>
      </c>
      <c r="Q360" s="3717">
        <f t="shared" si="505"/>
        <v>6.3681355646194593</v>
      </c>
      <c r="R360" s="3717">
        <f t="shared" si="505"/>
        <v>4.9939047809895998</v>
      </c>
      <c r="S360" s="3717">
        <f t="shared" si="505"/>
        <v>5.2089380528627549</v>
      </c>
      <c r="T360" s="3717">
        <f t="shared" si="505"/>
        <v>1.2288000806266242</v>
      </c>
      <c r="U360" s="3717">
        <f t="shared" si="505"/>
        <v>-2.0086828663041456</v>
      </c>
      <c r="V360" s="3717">
        <f t="shared" si="505"/>
        <v>4.4143607536741403</v>
      </c>
      <c r="W360" s="3717">
        <f t="shared" si="505"/>
        <v>2.1606036335019674</v>
      </c>
      <c r="X360" s="3717">
        <f t="shared" si="505"/>
        <v>1.3738841172590721</v>
      </c>
      <c r="Y360" s="3717">
        <f t="shared" si="505"/>
        <v>3.2390929670594204</v>
      </c>
      <c r="Z360" s="3738">
        <f t="shared" si="505"/>
        <v>2.8537479082223038</v>
      </c>
      <c r="AA360" s="3738">
        <f t="shared" si="501"/>
        <v>8.011746195897107</v>
      </c>
      <c r="AB360" s="3738">
        <f t="shared" si="502"/>
        <v>6.9595421062844887</v>
      </c>
      <c r="AC360" s="3738">
        <f t="shared" si="503"/>
        <v>4.8207195153766591</v>
      </c>
      <c r="AD360" s="3722">
        <f t="shared" ca="1" si="505"/>
        <v>3.7060891840363874</v>
      </c>
      <c r="AE360" s="3722">
        <f t="shared" ca="1" si="505"/>
        <v>3.2744373973180307</v>
      </c>
      <c r="AF360" s="3722">
        <f t="shared" ca="1" si="505"/>
        <v>2.8805646002460827</v>
      </c>
      <c r="BB360" s="3547">
        <v>6.1233880675094277</v>
      </c>
      <c r="BC360" s="736" t="str">
        <f t="shared" si="460"/>
        <v/>
      </c>
    </row>
    <row r="361" spans="1:55" ht="12.75" customHeight="1">
      <c r="A361" s="701"/>
      <c r="B361" s="701"/>
      <c r="C361" s="811" t="s">
        <v>1793</v>
      </c>
      <c r="D361" s="754" t="s">
        <v>667</v>
      </c>
      <c r="E361" s="759" t="s">
        <v>1665</v>
      </c>
      <c r="F361" s="760"/>
      <c r="G361" s="758"/>
      <c r="H361" s="758">
        <f t="shared" ref="H361:AF361" si="506">(H355/G355-1)*100</f>
        <v>2.6515642527524141</v>
      </c>
      <c r="I361" s="758">
        <f t="shared" si="506"/>
        <v>4.2939394285471666</v>
      </c>
      <c r="J361" s="758">
        <f t="shared" si="506"/>
        <v>3.3836017894781856</v>
      </c>
      <c r="K361" s="758">
        <f t="shared" si="506"/>
        <v>3.8859855095665363</v>
      </c>
      <c r="L361" s="758">
        <f t="shared" si="506"/>
        <v>10.005607675378215</v>
      </c>
      <c r="M361" s="758">
        <f t="shared" si="506"/>
        <v>2.2609100468796273</v>
      </c>
      <c r="N361" s="758">
        <f t="shared" si="506"/>
        <v>2.1630937074744061</v>
      </c>
      <c r="O361" s="758">
        <f t="shared" si="506"/>
        <v>5.6000543448505358</v>
      </c>
      <c r="P361" s="758">
        <f t="shared" si="506"/>
        <v>4.3082176458219656</v>
      </c>
      <c r="Q361" s="758">
        <f t="shared" si="506"/>
        <v>4.6237418000258934</v>
      </c>
      <c r="R361" s="758">
        <f t="shared" si="506"/>
        <v>6.5708249074787117</v>
      </c>
      <c r="S361" s="758">
        <f t="shared" si="506"/>
        <v>5.5042592088855313</v>
      </c>
      <c r="T361" s="758">
        <f t="shared" si="506"/>
        <v>2.4364813353463743</v>
      </c>
      <c r="U361" s="758">
        <f t="shared" si="506"/>
        <v>-2.8138185059755294</v>
      </c>
      <c r="V361" s="758">
        <f t="shared" si="506"/>
        <v>6.5919812432995162</v>
      </c>
      <c r="W361" s="758">
        <f t="shared" si="506"/>
        <v>2.6949597623438848</v>
      </c>
      <c r="X361" s="758">
        <f t="shared" si="506"/>
        <v>1.0599663928418712</v>
      </c>
      <c r="Y361" s="758">
        <f t="shared" si="506"/>
        <v>3.1539359766787234</v>
      </c>
      <c r="Z361" s="3037">
        <f t="shared" si="506"/>
        <v>4.1869330234324931</v>
      </c>
      <c r="AA361" s="3037">
        <f t="shared" si="501"/>
        <v>5.3955614010702924</v>
      </c>
      <c r="AB361" s="3037">
        <f t="shared" si="502"/>
        <v>4.4645602751233193</v>
      </c>
      <c r="AC361" s="3037">
        <f t="shared" si="503"/>
        <v>4.4243463641447045</v>
      </c>
      <c r="AD361" s="2282">
        <f t="shared" ca="1" si="506"/>
        <v>4.3790391708473653</v>
      </c>
      <c r="AE361" s="2282">
        <f t="shared" ca="1" si="506"/>
        <v>3.3976830352233867</v>
      </c>
      <c r="AF361" s="2282">
        <f t="shared" ca="1" si="506"/>
        <v>3.2728963102155673</v>
      </c>
      <c r="BB361" s="3537">
        <v>4.7933413550693027</v>
      </c>
      <c r="BC361" s="736" t="str">
        <f t="shared" si="460"/>
        <v/>
      </c>
    </row>
    <row r="362" spans="1:55" ht="12.75" customHeight="1">
      <c r="A362" s="701"/>
      <c r="B362" s="701"/>
      <c r="C362" s="811"/>
      <c r="E362" s="823"/>
      <c r="F362" s="824"/>
      <c r="G362" s="740"/>
      <c r="H362" s="825"/>
      <c r="I362" s="740"/>
      <c r="J362" s="740"/>
      <c r="K362" s="740"/>
      <c r="L362" s="740"/>
      <c r="M362" s="740"/>
      <c r="N362" s="740"/>
      <c r="O362" s="740"/>
      <c r="P362" s="740"/>
      <c r="Q362" s="740"/>
      <c r="R362" s="740"/>
      <c r="S362" s="740"/>
      <c r="T362" s="740"/>
      <c r="U362" s="740"/>
      <c r="V362" s="740"/>
      <c r="W362" s="740"/>
      <c r="X362" s="740"/>
      <c r="Y362" s="740"/>
      <c r="Z362" s="2322"/>
      <c r="AA362" s="2322"/>
      <c r="AB362" s="2322"/>
      <c r="AC362" s="2322"/>
      <c r="AD362" s="2322"/>
      <c r="AE362" s="2322"/>
      <c r="AF362" s="2322"/>
      <c r="BB362" s="3475"/>
      <c r="BC362" s="736" t="str">
        <f t="shared" si="460"/>
        <v/>
      </c>
    </row>
    <row r="363" spans="1:55" ht="12.75" customHeight="1">
      <c r="A363" s="701"/>
      <c r="B363" s="701"/>
      <c r="C363" s="811"/>
      <c r="D363" s="855"/>
      <c r="E363" s="856" t="s">
        <v>1884</v>
      </c>
      <c r="F363" s="857"/>
      <c r="G363" s="858">
        <f>+InputY!$G$3</f>
        <v>1995</v>
      </c>
      <c r="H363" s="858">
        <f>+G363+1</f>
        <v>1996</v>
      </c>
      <c r="I363" s="858">
        <f t="shared" ref="I363:O363" si="507">+H363+1</f>
        <v>1997</v>
      </c>
      <c r="J363" s="858">
        <f t="shared" si="507"/>
        <v>1998</v>
      </c>
      <c r="K363" s="858">
        <f t="shared" si="507"/>
        <v>1999</v>
      </c>
      <c r="L363" s="858">
        <f t="shared" si="507"/>
        <v>2000</v>
      </c>
      <c r="M363" s="858">
        <f t="shared" si="507"/>
        <v>2001</v>
      </c>
      <c r="N363" s="858">
        <f t="shared" si="507"/>
        <v>2002</v>
      </c>
      <c r="O363" s="858">
        <f t="shared" si="507"/>
        <v>2003</v>
      </c>
      <c r="P363" s="858">
        <f t="shared" ref="P363:AF363" si="508">+O363+1</f>
        <v>2004</v>
      </c>
      <c r="Q363" s="858">
        <f t="shared" si="508"/>
        <v>2005</v>
      </c>
      <c r="R363" s="858">
        <f t="shared" si="508"/>
        <v>2006</v>
      </c>
      <c r="S363" s="858">
        <f t="shared" si="508"/>
        <v>2007</v>
      </c>
      <c r="T363" s="858">
        <f t="shared" si="508"/>
        <v>2008</v>
      </c>
      <c r="U363" s="858">
        <f t="shared" si="508"/>
        <v>2009</v>
      </c>
      <c r="V363" s="858">
        <f t="shared" si="508"/>
        <v>2010</v>
      </c>
      <c r="W363" s="858">
        <f t="shared" si="508"/>
        <v>2011</v>
      </c>
      <c r="X363" s="858">
        <f t="shared" si="508"/>
        <v>2012</v>
      </c>
      <c r="Y363" s="858">
        <f t="shared" si="508"/>
        <v>2013</v>
      </c>
      <c r="Z363" s="858">
        <f t="shared" si="508"/>
        <v>2014</v>
      </c>
      <c r="AA363" s="858">
        <f t="shared" ref="AA363" si="509">+Z363+1</f>
        <v>2015</v>
      </c>
      <c r="AB363" s="858">
        <f t="shared" ref="AB363" si="510">+AA363+1</f>
        <v>2016</v>
      </c>
      <c r="AC363" s="858">
        <f t="shared" ref="AC363" si="511">+AB363+1</f>
        <v>2017</v>
      </c>
      <c r="AD363" s="858">
        <f t="shared" si="508"/>
        <v>2018</v>
      </c>
      <c r="AE363" s="858">
        <f t="shared" si="508"/>
        <v>2019</v>
      </c>
      <c r="AF363" s="858">
        <f t="shared" si="508"/>
        <v>2020</v>
      </c>
      <c r="BB363" s="3480">
        <v>2016</v>
      </c>
      <c r="BC363" s="736" t="str">
        <f t="shared" si="460"/>
        <v/>
      </c>
    </row>
    <row r="364" spans="1:55" ht="12.75" customHeight="1">
      <c r="A364" s="701"/>
      <c r="B364" s="701"/>
      <c r="C364" s="859" t="s">
        <v>1791</v>
      </c>
      <c r="D364" s="860" t="s">
        <v>664</v>
      </c>
      <c r="E364" s="861" t="s">
        <v>1665</v>
      </c>
      <c r="F364" s="862"/>
      <c r="G364" s="875">
        <f>+G352/'VVP2'!G$341</f>
        <v>0.80958482176949265</v>
      </c>
      <c r="H364" s="875">
        <f>+H352/'VVP2'!H$341</f>
        <v>0.81078930798427196</v>
      </c>
      <c r="I364" s="875">
        <f>+I352/'VVP2'!I$341</f>
        <v>0.79704774235921461</v>
      </c>
      <c r="J364" s="875">
        <f>+J352/'VVP2'!J$341</f>
        <v>0.76523978938112591</v>
      </c>
      <c r="K364" s="875">
        <f>+K352/'VVP2'!K$341</f>
        <v>0.7325813530735219</v>
      </c>
      <c r="L364" s="875">
        <f>+L352/'VVP2'!L$341</f>
        <v>0.78489872152762208</v>
      </c>
      <c r="M364" s="875">
        <f>+M352/'VVP2'!M$341</f>
        <v>0.78615432593206203</v>
      </c>
      <c r="N364" s="875">
        <f>+N352/'VVP2'!N$341</f>
        <v>0.77405623011089142</v>
      </c>
      <c r="O364" s="875">
        <f>+O352/'VVP2'!O$341</f>
        <v>0.77413691039042287</v>
      </c>
      <c r="P364" s="875">
        <f>+P352/'VVP2'!P$341</f>
        <v>0.76298237824129955</v>
      </c>
      <c r="Q364" s="875">
        <f>+Q352/'VVP2'!Q$341</f>
        <v>0.76600474871361812</v>
      </c>
      <c r="R364" s="875">
        <f>+R352/'VVP2'!R$341</f>
        <v>0.75778046779170272</v>
      </c>
      <c r="S364" s="875">
        <f>+S352/'VVP2'!S$341</f>
        <v>0.75541013086101927</v>
      </c>
      <c r="T364" s="875">
        <f>+T352/'VVP2'!T$341</f>
        <v>0.76977699258863075</v>
      </c>
      <c r="U364" s="875">
        <f>+U352/'VVP2'!U$341</f>
        <v>0.79814210714490752</v>
      </c>
      <c r="V364" s="875">
        <f>+V352/'VVP2'!V$341</f>
        <v>0.78125865536984818</v>
      </c>
      <c r="W364" s="875">
        <f>+W352/'VVP2'!W$341</f>
        <v>0.77938636612571888</v>
      </c>
      <c r="X364" s="875">
        <f>+X352/'VVP2'!X$341</f>
        <v>0.79894498885973519</v>
      </c>
      <c r="Y364" s="875">
        <f>+Y352/'VVP2'!Y$341</f>
        <v>0.80707690293881273</v>
      </c>
      <c r="Z364" s="3391">
        <f>+Z352/'VVP2'!Z$341</f>
        <v>0.8077248361742484</v>
      </c>
      <c r="AA364" s="3391">
        <f>+AA352/'VVP2'!AA$341</f>
        <v>0.78630398403634105</v>
      </c>
      <c r="AB364" s="3391">
        <f>+AB352/'VVP2'!AB$341</f>
        <v>0.79350025778150102</v>
      </c>
      <c r="AC364" s="3391">
        <f>+AC352/'VVP2'!AC$341</f>
        <v>0.78696035881114645</v>
      </c>
      <c r="AD364" s="3002">
        <f ca="1">+AD352/'VVP2'!AD$341</f>
        <v>0.78170217898885874</v>
      </c>
      <c r="AE364" s="3002">
        <f ca="1">+AE352/'VVP2'!AE$341</f>
        <v>0.77749558897103821</v>
      </c>
      <c r="AF364" s="3002">
        <f ca="1">+AF352/'VVP2'!AF$341</f>
        <v>0.77496110758158099</v>
      </c>
      <c r="BB364" s="3539">
        <v>0.78496791555295431</v>
      </c>
      <c r="BC364" s="736" t="str">
        <f t="shared" si="460"/>
        <v/>
      </c>
    </row>
    <row r="365" spans="1:55" ht="12.75" customHeight="1">
      <c r="A365" s="701"/>
      <c r="B365" s="701"/>
      <c r="C365" s="863" t="s">
        <v>1791</v>
      </c>
      <c r="D365" s="711" t="s">
        <v>664</v>
      </c>
      <c r="E365" s="820" t="s">
        <v>1665</v>
      </c>
      <c r="F365" s="741"/>
      <c r="G365" s="876">
        <f>+G353/'VVP2'!G$341</f>
        <v>0.3181267129390003</v>
      </c>
      <c r="H365" s="876">
        <f>+H353/'VVP2'!H$341</f>
        <v>0.29352070794849816</v>
      </c>
      <c r="I365" s="876">
        <f>+I353/'VVP2'!I$341</f>
        <v>0.30146420979852395</v>
      </c>
      <c r="J365" s="876">
        <f>+J353/'VVP2'!J$341</f>
        <v>0.29670317255741141</v>
      </c>
      <c r="K365" s="876">
        <f>+K353/'VVP2'!K$341</f>
        <v>0.3031871757804811</v>
      </c>
      <c r="L365" s="876">
        <f>+L353/'VVP2'!L$341</f>
        <v>0.29792215725117954</v>
      </c>
      <c r="M365" s="876">
        <f>+M353/'VVP2'!M$341</f>
        <v>0.28498667964588648</v>
      </c>
      <c r="N365" s="876">
        <f>+N353/'VVP2'!N$341</f>
        <v>0.29337918746957509</v>
      </c>
      <c r="O365" s="876">
        <f>+O353/'VVP2'!O$341</f>
        <v>0.30365594959533559</v>
      </c>
      <c r="P365" s="876">
        <f>+P353/'VVP2'!P$341</f>
        <v>0.3032620318380233</v>
      </c>
      <c r="Q365" s="876">
        <f>+Q353/'VVP2'!Q$341</f>
        <v>0.3022428069288205</v>
      </c>
      <c r="R365" s="876">
        <f>+R353/'VVP2'!R$341</f>
        <v>0.31746300317709547</v>
      </c>
      <c r="S365" s="876">
        <f>+S353/'VVP2'!S$341</f>
        <v>0.31227092051064786</v>
      </c>
      <c r="T365" s="876">
        <f>+T353/'VVP2'!T$341</f>
        <v>0.30032393966295773</v>
      </c>
      <c r="U365" s="876">
        <f>+U353/'VVP2'!U$341</f>
        <v>0.26940539955996473</v>
      </c>
      <c r="V365" s="876">
        <f>+V353/'VVP2'!V$341</f>
        <v>0.29153499153192669</v>
      </c>
      <c r="W365" s="876">
        <f>+W353/'VVP2'!W$341</f>
        <v>0.28342578877112345</v>
      </c>
      <c r="X365" s="876">
        <f>+X353/'VVP2'!X$341</f>
        <v>0.26560050486991821</v>
      </c>
      <c r="Y365" s="876">
        <f>+Y353/'VVP2'!Y$341</f>
        <v>0.26590678863648826</v>
      </c>
      <c r="Z365" s="3392">
        <f>+Z353/'VVP2'!Z$341</f>
        <v>0.26876304420916408</v>
      </c>
      <c r="AA365" s="3392">
        <f>+AA353/'VVP2'!AA$341</f>
        <v>0.26663061641877767</v>
      </c>
      <c r="AB365" s="3392">
        <f>+AB353/'VVP2'!AB$341</f>
        <v>0.24919342095092076</v>
      </c>
      <c r="AC365" s="3392">
        <f>+AC353/'VVP2'!AC$341</f>
        <v>0.25406784469366978</v>
      </c>
      <c r="AD365" s="3003">
        <f ca="1">+AD353/'VVP2'!AD$341</f>
        <v>0.25724335315946079</v>
      </c>
      <c r="AE365" s="3003">
        <f ca="1">+AE353/'VVP2'!AE$341</f>
        <v>0.25817130328400278</v>
      </c>
      <c r="AF365" s="3003">
        <f ca="1">+AF353/'VVP2'!AF$341</f>
        <v>0.25976519881199756</v>
      </c>
      <c r="BB365" s="3462">
        <v>0.2634661373213425</v>
      </c>
      <c r="BC365" s="736" t="str">
        <f t="shared" si="460"/>
        <v/>
      </c>
    </row>
    <row r="366" spans="1:55" ht="12.75" customHeight="1">
      <c r="A366" s="701"/>
      <c r="B366" s="701"/>
      <c r="C366" s="3731" t="s">
        <v>1791</v>
      </c>
      <c r="D366" s="3732" t="s">
        <v>666</v>
      </c>
      <c r="E366" s="3733" t="s">
        <v>1665</v>
      </c>
      <c r="F366" s="3734"/>
      <c r="G366" s="3735">
        <f>+G354/'VVP2'!G$341</f>
        <v>0.45555480132028892</v>
      </c>
      <c r="H366" s="3735">
        <f>+H354/'VVP2'!H$341</f>
        <v>0.47999511987832788</v>
      </c>
      <c r="I366" s="3735">
        <f>+I354/'VVP2'!I$341</f>
        <v>0.48223670089387716</v>
      </c>
      <c r="J366" s="3735">
        <f>+J354/'VVP2'!J$341</f>
        <v>0.49349747647107001</v>
      </c>
      <c r="K366" s="3735">
        <f>+K354/'VVP2'!K$341</f>
        <v>0.49633732085497773</v>
      </c>
      <c r="L366" s="3735">
        <f>+L354/'VVP2'!L$341</f>
        <v>0.50143227167349236</v>
      </c>
      <c r="M366" s="3735">
        <f>+M354/'VVP2'!M$341</f>
        <v>0.48477184562249487</v>
      </c>
      <c r="N366" s="3735">
        <f>+N354/'VVP2'!N$341</f>
        <v>0.46529140518555273</v>
      </c>
      <c r="O366" s="3735">
        <f>+O354/'VVP2'!O$341</f>
        <v>0.47622463363476614</v>
      </c>
      <c r="P366" s="3735">
        <f>+P354/'VVP2'!P$341</f>
        <v>0.48110937069929066</v>
      </c>
      <c r="Q366" s="3735">
        <f>+Q354/'VVP2'!Q$341</f>
        <v>0.49376452193522963</v>
      </c>
      <c r="R366" s="3735">
        <f>+R354/'VVP2'!R$341</f>
        <v>0.48631799187452501</v>
      </c>
      <c r="S366" s="3735">
        <f>+S354/'VVP2'!S$341</f>
        <v>0.48093704208716004</v>
      </c>
      <c r="T366" s="3735">
        <f>+T354/'VVP2'!T$341</f>
        <v>0.47382787473232296</v>
      </c>
      <c r="U366" s="3735">
        <f>+U354/'VVP2'!U$341</f>
        <v>0.47836807250526953</v>
      </c>
      <c r="V366" s="3735">
        <f>+V354/'VVP2'!V$341</f>
        <v>0.46662631277839073</v>
      </c>
      <c r="W366" s="3735">
        <f>+W354/'VVP2'!W$341</f>
        <v>0.45884082760022205</v>
      </c>
      <c r="X366" s="3735">
        <f>+X354/'VVP2'!X$341</f>
        <v>0.46163582299299705</v>
      </c>
      <c r="Y366" s="3735">
        <f>+Y354/'VVP2'!Y$341</f>
        <v>0.46584589735022214</v>
      </c>
      <c r="Z366" s="3736">
        <f>+Z354/'VVP2'!Z$341</f>
        <v>0.4588377094210116</v>
      </c>
      <c r="AA366" s="3736">
        <f>+AA354/'VVP2'!AA$341</f>
        <v>0.46485707750700156</v>
      </c>
      <c r="AB366" s="3736">
        <f>+AB354/'VVP2'!AB$341</f>
        <v>0.4763530792519069</v>
      </c>
      <c r="AC366" s="3736">
        <f>+AC354/'VVP2'!AC$341</f>
        <v>0.4782267527630551</v>
      </c>
      <c r="AD366" s="3737">
        <f ca="1">+AD354/'VVP2'!AD$341</f>
        <v>0.47279270368255411</v>
      </c>
      <c r="AE366" s="3737">
        <f ca="1">+AE354/'VVP2'!AE$341</f>
        <v>0.47048372184492981</v>
      </c>
      <c r="AF366" s="3737">
        <f ca="1">+AF354/'VVP2'!AF$341</f>
        <v>0.46746394513048017</v>
      </c>
      <c r="BB366" s="3465">
        <v>0.47434810660218146</v>
      </c>
      <c r="BC366" s="736" t="str">
        <f t="shared" si="460"/>
        <v/>
      </c>
    </row>
    <row r="367" spans="1:55" ht="12.75" customHeight="1">
      <c r="A367" s="701"/>
      <c r="B367" s="701"/>
      <c r="C367" s="811" t="s">
        <v>1793</v>
      </c>
      <c r="D367" s="843" t="s">
        <v>667</v>
      </c>
      <c r="E367" s="844" t="s">
        <v>1665</v>
      </c>
      <c r="F367" s="845"/>
      <c r="G367" s="878">
        <f>+G355/'VVP2'!G$341</f>
        <v>1.5832663360287818</v>
      </c>
      <c r="H367" s="878">
        <f>+H355/'VVP2'!H$341</f>
        <v>1.5843051358110982</v>
      </c>
      <c r="I367" s="878">
        <f>+I355/'VVP2'!I$341</f>
        <v>1.5807486530516157</v>
      </c>
      <c r="J367" s="878">
        <f>+J355/'VVP2'!J$341</f>
        <v>1.5554404384096072</v>
      </c>
      <c r="K367" s="878">
        <f>+K355/'VVP2'!K$341</f>
        <v>1.5321058497089808</v>
      </c>
      <c r="L367" s="878">
        <f>+L355/'VVP2'!L$341</f>
        <v>1.5842531504522939</v>
      </c>
      <c r="M367" s="878">
        <f>+M355/'VVP2'!M$341</f>
        <v>1.5559128512004434</v>
      </c>
      <c r="N367" s="878">
        <f>+N355/'VVP2'!N$341</f>
        <v>1.5327268227660193</v>
      </c>
      <c r="O367" s="878">
        <f>+O355/'VVP2'!O$341</f>
        <v>1.5540174936205247</v>
      </c>
      <c r="P367" s="878">
        <f>+P355/'VVP2'!P$341</f>
        <v>1.5473537807786137</v>
      </c>
      <c r="Q367" s="878">
        <f>+Q355/'VVP2'!Q$341</f>
        <v>1.5620120775776682</v>
      </c>
      <c r="R367" s="878">
        <f>+R355/'VVP2'!R$341</f>
        <v>1.5615614628433232</v>
      </c>
      <c r="S367" s="878">
        <f>+S355/'VVP2'!S$341</f>
        <v>1.5486180934588269</v>
      </c>
      <c r="T367" s="878">
        <f>+T355/'VVP2'!T$341</f>
        <v>1.5439288069839112</v>
      </c>
      <c r="U367" s="878">
        <f>+U355/'VVP2'!U$341</f>
        <v>1.5459155792101418</v>
      </c>
      <c r="V367" s="878">
        <f>+V355/'VVP2'!V$341</f>
        <v>1.5394199596801657</v>
      </c>
      <c r="W367" s="878">
        <f>+W355/'VVP2'!W$341</f>
        <v>1.5216529824970642</v>
      </c>
      <c r="X367" s="878">
        <f>+X355/'VVP2'!X$341</f>
        <v>1.5261813167226503</v>
      </c>
      <c r="Y367" s="878">
        <f>+Y355/'VVP2'!Y$341</f>
        <v>1.5388295889255232</v>
      </c>
      <c r="Z367" s="3394">
        <f>+Z355/'VVP2'!Z$341</f>
        <v>1.535325589804424</v>
      </c>
      <c r="AA367" s="3394">
        <f>+AA355/'VVP2'!AA$341</f>
        <v>1.5177916779621206</v>
      </c>
      <c r="AB367" s="3394">
        <f>+AB355/'VVP2'!AB$341</f>
        <v>1.5190467579843285</v>
      </c>
      <c r="AC367" s="3394">
        <f>+AC355/'VVP2'!AC$341</f>
        <v>1.5192549562678714</v>
      </c>
      <c r="AD367" s="3005">
        <f ca="1">+AD355/'VVP2'!AD$341</f>
        <v>1.5117382358308737</v>
      </c>
      <c r="AE367" s="3005">
        <f ca="1">+AE355/'VVP2'!AE$341</f>
        <v>1.5061506140999708</v>
      </c>
      <c r="AF367" s="3005">
        <f ca="1">+AF355/'VVP2'!AF$341</f>
        <v>1.5021902515240588</v>
      </c>
      <c r="BB367" s="3507">
        <v>1.5227821594764783</v>
      </c>
      <c r="BC367" s="736" t="str">
        <f t="shared" si="460"/>
        <v/>
      </c>
    </row>
    <row r="368" spans="1:55" ht="30" customHeight="1">
      <c r="A368" s="701"/>
      <c r="B368" s="701"/>
      <c r="C368" s="811"/>
      <c r="BC368" s="736" t="str">
        <f t="shared" si="460"/>
        <v/>
      </c>
    </row>
    <row r="369" spans="1:55" ht="30" customHeight="1">
      <c r="BC369" s="736" t="str">
        <f t="shared" si="460"/>
        <v/>
      </c>
    </row>
    <row r="370" spans="1:55" ht="22.5" customHeight="1">
      <c r="A370" s="590"/>
      <c r="B370" s="590"/>
      <c r="C370" s="3816" t="s">
        <v>1670</v>
      </c>
      <c r="D370" s="3816"/>
      <c r="E370" s="3816"/>
      <c r="F370" s="3816"/>
      <c r="BC370" s="736" t="str">
        <f t="shared" si="460"/>
        <v/>
      </c>
    </row>
    <row r="371" spans="1:55" ht="12.75" customHeight="1">
      <c r="A371" s="701"/>
      <c r="B371" s="701"/>
      <c r="C371" s="811"/>
      <c r="BC371" s="736" t="str">
        <f t="shared" si="460"/>
        <v/>
      </c>
    </row>
    <row r="372" spans="1:55" ht="12.75" customHeight="1">
      <c r="A372" s="701"/>
      <c r="B372" s="701"/>
      <c r="C372" s="811"/>
      <c r="D372" s="812"/>
      <c r="E372" s="813" t="s">
        <v>1882</v>
      </c>
      <c r="F372" s="814"/>
      <c r="G372" s="815">
        <f>+InputY!$G$3</f>
        <v>1995</v>
      </c>
      <c r="H372" s="815">
        <f>+G372+1</f>
        <v>1996</v>
      </c>
      <c r="I372" s="815">
        <f t="shared" ref="I372:O372" si="512">+H372+1</f>
        <v>1997</v>
      </c>
      <c r="J372" s="815">
        <f t="shared" si="512"/>
        <v>1998</v>
      </c>
      <c r="K372" s="815">
        <f t="shared" si="512"/>
        <v>1999</v>
      </c>
      <c r="L372" s="815">
        <f t="shared" si="512"/>
        <v>2000</v>
      </c>
      <c r="M372" s="815">
        <f t="shared" si="512"/>
        <v>2001</v>
      </c>
      <c r="N372" s="815">
        <f t="shared" si="512"/>
        <v>2002</v>
      </c>
      <c r="O372" s="815">
        <f t="shared" si="512"/>
        <v>2003</v>
      </c>
      <c r="P372" s="815">
        <f t="shared" ref="P372:AF372" si="513">+O372+1</f>
        <v>2004</v>
      </c>
      <c r="Q372" s="815">
        <f t="shared" si="513"/>
        <v>2005</v>
      </c>
      <c r="R372" s="815">
        <f t="shared" si="513"/>
        <v>2006</v>
      </c>
      <c r="S372" s="815">
        <f t="shared" si="513"/>
        <v>2007</v>
      </c>
      <c r="T372" s="815">
        <f t="shared" si="513"/>
        <v>2008</v>
      </c>
      <c r="U372" s="815">
        <f t="shared" si="513"/>
        <v>2009</v>
      </c>
      <c r="V372" s="815">
        <f t="shared" si="513"/>
        <v>2010</v>
      </c>
      <c r="W372" s="815">
        <f t="shared" si="513"/>
        <v>2011</v>
      </c>
      <c r="X372" s="815">
        <f t="shared" si="513"/>
        <v>2012</v>
      </c>
      <c r="Y372" s="815">
        <f t="shared" si="513"/>
        <v>2013</v>
      </c>
      <c r="Z372" s="815">
        <f t="shared" si="513"/>
        <v>2014</v>
      </c>
      <c r="AA372" s="815">
        <f t="shared" si="513"/>
        <v>2015</v>
      </c>
      <c r="AB372" s="815">
        <f t="shared" si="513"/>
        <v>2016</v>
      </c>
      <c r="AC372" s="815">
        <f t="shared" si="513"/>
        <v>2017</v>
      </c>
      <c r="AD372" s="815">
        <f t="shared" si="513"/>
        <v>2018</v>
      </c>
      <c r="AE372" s="815">
        <f t="shared" si="513"/>
        <v>2019</v>
      </c>
      <c r="AF372" s="815">
        <f t="shared" si="513"/>
        <v>2020</v>
      </c>
      <c r="BB372" s="3514">
        <v>2016</v>
      </c>
      <c r="BC372" s="736" t="str">
        <f t="shared" si="460"/>
        <v/>
      </c>
    </row>
    <row r="373" spans="1:55" ht="12.75" customHeight="1">
      <c r="A373" s="701"/>
      <c r="B373" s="701"/>
      <c r="C373" s="816" t="s">
        <v>1791</v>
      </c>
      <c r="D373" s="705" t="s">
        <v>664</v>
      </c>
      <c r="E373" s="737" t="s">
        <v>1670</v>
      </c>
      <c r="F373" s="738" t="s">
        <v>967</v>
      </c>
      <c r="G373" s="817">
        <f t="shared" ref="G373:Q373" si="514">+G178-G199+G254-G257-G296+G300-G321+G322</f>
        <v>941.93500000000017</v>
      </c>
      <c r="H373" s="817">
        <f t="shared" si="514"/>
        <v>944.49099999999999</v>
      </c>
      <c r="I373" s="817">
        <f t="shared" si="514"/>
        <v>953.80399999999997</v>
      </c>
      <c r="J373" s="817">
        <f t="shared" si="514"/>
        <v>977.91399999999987</v>
      </c>
      <c r="K373" s="817">
        <f t="shared" si="514"/>
        <v>960.47199999999987</v>
      </c>
      <c r="L373" s="817">
        <f t="shared" si="514"/>
        <v>1103.171</v>
      </c>
      <c r="M373" s="817">
        <f t="shared" si="514"/>
        <v>1189.7660000000001</v>
      </c>
      <c r="N373" s="817">
        <f t="shared" si="514"/>
        <v>1242.336</v>
      </c>
      <c r="O373" s="817">
        <f t="shared" si="514"/>
        <v>1274.0369999999998</v>
      </c>
      <c r="P373" s="817">
        <f t="shared" si="514"/>
        <v>1303.1880000000001</v>
      </c>
      <c r="Q373" s="817">
        <f t="shared" si="514"/>
        <v>1352.9690000000001</v>
      </c>
      <c r="R373" s="817">
        <f t="shared" ref="R373:Y373" si="515">+R178-R199+R254-R257-R296+R300-R321+R322</f>
        <v>1430.2719999999999</v>
      </c>
      <c r="S373" s="817">
        <f t="shared" si="515"/>
        <v>1530.0980000000002</v>
      </c>
      <c r="T373" s="817">
        <f t="shared" si="515"/>
        <v>1629.4749999999999</v>
      </c>
      <c r="U373" s="817">
        <f t="shared" si="515"/>
        <v>1695.8760000000002</v>
      </c>
      <c r="V373" s="817">
        <f t="shared" si="515"/>
        <v>1766.5380000000005</v>
      </c>
      <c r="W373" s="817">
        <f t="shared" si="515"/>
        <v>1853.3989999999999</v>
      </c>
      <c r="X373" s="817">
        <f t="shared" si="515"/>
        <v>1928.3590000000004</v>
      </c>
      <c r="Y373" s="817">
        <f t="shared" si="515"/>
        <v>1986.2379999999998</v>
      </c>
      <c r="Z373" s="817">
        <f t="shared" ref="Z373:AC373" si="516">+Z178-Z199+Z254-Z257-Z296+Z300-Z321+Z322</f>
        <v>2063.7039999999997</v>
      </c>
      <c r="AA373" s="817">
        <f t="shared" si="516"/>
        <v>2135.4180000000001</v>
      </c>
      <c r="AB373" s="817">
        <f t="shared" si="516"/>
        <v>2235.0039999999995</v>
      </c>
      <c r="AC373" s="817">
        <f t="shared" si="516"/>
        <v>2317.3409999999999</v>
      </c>
      <c r="AD373" s="883">
        <f ca="1">+AD178-AD199+AD254-AD257-AD296+AD300-AD321+AD322</f>
        <v>2425.9626104514837</v>
      </c>
      <c r="AE373" s="883">
        <f ca="1">+AE178-AE199+AE254-AE257-AE296+AE300-AE321+AE322</f>
        <v>2503.6574994887287</v>
      </c>
      <c r="AF373" s="883">
        <f ca="1">+AF178-AF199+AF254-AF257-AF296+AF300-AF321+AF322</f>
        <v>2584.4160772485893</v>
      </c>
      <c r="BB373" s="3548">
        <v>2204.0630000000001</v>
      </c>
      <c r="BC373" s="736">
        <f t="shared" si="460"/>
        <v>30.940999999999349</v>
      </c>
    </row>
    <row r="374" spans="1:55" ht="12.75" customHeight="1">
      <c r="A374" s="701"/>
      <c r="B374" s="701"/>
      <c r="C374" s="819" t="s">
        <v>1791</v>
      </c>
      <c r="D374" s="711" t="s">
        <v>665</v>
      </c>
      <c r="E374" s="820" t="s">
        <v>1670</v>
      </c>
      <c r="F374" s="741" t="s">
        <v>1251</v>
      </c>
      <c r="G374" s="743">
        <f t="shared" ref="G374:Q374" si="517">+G179-G200+G255-G297-G323+G324</f>
        <v>435.14099999999996</v>
      </c>
      <c r="H374" s="743">
        <f t="shared" si="517"/>
        <v>402.73200000000003</v>
      </c>
      <c r="I374" s="743">
        <f t="shared" si="517"/>
        <v>433.15999999999985</v>
      </c>
      <c r="J374" s="743">
        <f t="shared" si="517"/>
        <v>466.65600000000006</v>
      </c>
      <c r="K374" s="743">
        <f t="shared" si="517"/>
        <v>486.07499999999987</v>
      </c>
      <c r="L374" s="743">
        <f t="shared" si="517"/>
        <v>489.17300000000012</v>
      </c>
      <c r="M374" s="743">
        <f t="shared" si="517"/>
        <v>499.95399999999984</v>
      </c>
      <c r="N374" s="743">
        <f t="shared" si="517"/>
        <v>565.46199999999999</v>
      </c>
      <c r="O374" s="743">
        <f t="shared" si="517"/>
        <v>631.25900000000001</v>
      </c>
      <c r="P374" s="743">
        <f t="shared" si="517"/>
        <v>637.85700000000008</v>
      </c>
      <c r="Q374" s="743">
        <f t="shared" si="517"/>
        <v>638.3549999999999</v>
      </c>
      <c r="R374" s="743">
        <f t="shared" ref="R374:Y374" si="518">+R179-R200+R255-R297-R323+R324</f>
        <v>726.25199999999984</v>
      </c>
      <c r="S374" s="743">
        <f t="shared" si="518"/>
        <v>759.68100000000004</v>
      </c>
      <c r="T374" s="743">
        <f t="shared" si="518"/>
        <v>765.0400000000003</v>
      </c>
      <c r="U374" s="743">
        <f t="shared" si="518"/>
        <v>623.52799999999979</v>
      </c>
      <c r="V374" s="743">
        <f t="shared" si="518"/>
        <v>738.51199999999994</v>
      </c>
      <c r="W374" s="743">
        <f t="shared" si="518"/>
        <v>725.78200000000004</v>
      </c>
      <c r="X374" s="743">
        <f t="shared" si="518"/>
        <v>690.57800000000009</v>
      </c>
      <c r="Y374" s="743">
        <f t="shared" si="518"/>
        <v>695.11899999999991</v>
      </c>
      <c r="Z374" s="743">
        <f t="shared" ref="Z374:AC374" si="519">+Z179-Z200+Z255-Z297-Z323+Z324</f>
        <v>735.44999999999993</v>
      </c>
      <c r="AA374" s="743">
        <f t="shared" si="519"/>
        <v>769.93700000000035</v>
      </c>
      <c r="AB374" s="743">
        <f t="shared" si="519"/>
        <v>734.44400000000019</v>
      </c>
      <c r="AC374" s="743">
        <f t="shared" si="519"/>
        <v>773.93799999999976</v>
      </c>
      <c r="AD374" s="829">
        <f ca="1">+AD179-AD200+AD255-AD297-AD323+AD324</f>
        <v>832.59578354820439</v>
      </c>
      <c r="AE374" s="829">
        <f ca="1">+AE179-AE200+AE255-AE297-AE323+AE324</f>
        <v>873.81765000975054</v>
      </c>
      <c r="AF374" s="829">
        <f ca="1">+AF179-AF200+AF255-AF297-AF323+AF324</f>
        <v>917.26540340321924</v>
      </c>
      <c r="BB374" s="3515">
        <v>802.34399999999994</v>
      </c>
      <c r="BC374" s="736">
        <f t="shared" si="460"/>
        <v>-67.89999999999975</v>
      </c>
    </row>
    <row r="375" spans="1:55" ht="12.75" customHeight="1">
      <c r="A375" s="701"/>
      <c r="B375" s="701"/>
      <c r="C375" s="819" t="s">
        <v>1791</v>
      </c>
      <c r="D375" s="711" t="s">
        <v>666</v>
      </c>
      <c r="E375" s="820" t="s">
        <v>1670</v>
      </c>
      <c r="F375" s="741" t="s">
        <v>824</v>
      </c>
      <c r="G375" s="743">
        <f t="shared" ref="G375:Q375" si="520">+G180-G201+G203+G253-G298-G325+G326</f>
        <v>451.29500000000002</v>
      </c>
      <c r="H375" s="743">
        <f t="shared" si="520"/>
        <v>533.19800000000009</v>
      </c>
      <c r="I375" s="743">
        <f t="shared" si="520"/>
        <v>577.00099999999986</v>
      </c>
      <c r="J375" s="743">
        <f t="shared" si="520"/>
        <v>635.93500000000017</v>
      </c>
      <c r="K375" s="743">
        <f t="shared" si="520"/>
        <v>685.49599999999998</v>
      </c>
      <c r="L375" s="743">
        <f t="shared" si="520"/>
        <v>755.58600000000024</v>
      </c>
      <c r="M375" s="743">
        <f t="shared" si="520"/>
        <v>753.33299999999986</v>
      </c>
      <c r="N375" s="743">
        <f t="shared" si="520"/>
        <v>734.36500000000035</v>
      </c>
      <c r="O375" s="743">
        <f t="shared" si="520"/>
        <v>774.68600000000015</v>
      </c>
      <c r="P375" s="743">
        <f t="shared" si="520"/>
        <v>830.33199999999999</v>
      </c>
      <c r="Q375" s="743">
        <f t="shared" si="520"/>
        <v>904.10100000000034</v>
      </c>
      <c r="R375" s="743">
        <f t="shared" ref="R375:Y375" si="521">+R180-R201+R203+R253-R298-R325+R326</f>
        <v>963.42099999999994</v>
      </c>
      <c r="S375" s="743">
        <f t="shared" si="521"/>
        <v>1048.0339999999999</v>
      </c>
      <c r="T375" s="743">
        <f t="shared" si="521"/>
        <v>1051.5040000000001</v>
      </c>
      <c r="U375" s="743">
        <f t="shared" si="521"/>
        <v>992.93400000000008</v>
      </c>
      <c r="V375" s="743">
        <f t="shared" si="521"/>
        <v>1051.4269999999999</v>
      </c>
      <c r="W375" s="743">
        <f t="shared" si="521"/>
        <v>1091.3139999999999</v>
      </c>
      <c r="X375" s="743">
        <f t="shared" si="521"/>
        <v>1088.2759999999998</v>
      </c>
      <c r="Y375" s="743">
        <f t="shared" si="521"/>
        <v>1111.646</v>
      </c>
      <c r="Z375" s="743">
        <f t="shared" ref="Z375:AC375" si="522">+Z180-Z201+Z203+Z253-Z298-Z325+Z326</f>
        <v>1155.1179999999997</v>
      </c>
      <c r="AA375" s="743">
        <f t="shared" si="522"/>
        <v>1281.6069999999997</v>
      </c>
      <c r="AB375" s="743">
        <f t="shared" si="522"/>
        <v>1407.7869999999998</v>
      </c>
      <c r="AC375" s="743">
        <f t="shared" si="522"/>
        <v>1484.9279999999999</v>
      </c>
      <c r="AD375" s="829">
        <f ca="1">+AD180-AD201+AD203+AD253-AD298-AD325+AD326</f>
        <v>1539.4240435292209</v>
      </c>
      <c r="AE375" s="829">
        <f ca="1">+AE180-AE201+AE203+AE253-AE298-AE325+AE326</f>
        <v>1599.9598203792048</v>
      </c>
      <c r="AF375" s="829">
        <f ca="1">+AF180-AF201+AF203+AF253-AF298-AF325+AF326</f>
        <v>1651.3780978808059</v>
      </c>
      <c r="BB375" s="3515">
        <v>1408.9370000000001</v>
      </c>
      <c r="BC375" s="736">
        <f t="shared" si="460"/>
        <v>-1.1500000000003183</v>
      </c>
    </row>
    <row r="376" spans="1:55" ht="12.75" customHeight="1">
      <c r="A376" s="701"/>
      <c r="B376" s="701"/>
      <c r="C376" s="821" t="s">
        <v>1793</v>
      </c>
      <c r="D376" s="789"/>
      <c r="E376" s="790" t="s">
        <v>1670</v>
      </c>
      <c r="F376" s="791" t="s">
        <v>1252</v>
      </c>
      <c r="G376" s="822">
        <f>+G373+G374+G375</f>
        <v>1828.3710000000001</v>
      </c>
      <c r="H376" s="822">
        <f t="shared" ref="H376:V376" si="523">+H373+H374+H375</f>
        <v>1880.421</v>
      </c>
      <c r="I376" s="822">
        <f t="shared" si="523"/>
        <v>1963.9649999999997</v>
      </c>
      <c r="J376" s="822">
        <f t="shared" si="523"/>
        <v>2080.5050000000001</v>
      </c>
      <c r="K376" s="822">
        <f t="shared" si="523"/>
        <v>2132.0429999999997</v>
      </c>
      <c r="L376" s="822">
        <f t="shared" si="523"/>
        <v>2347.9300000000003</v>
      </c>
      <c r="M376" s="822">
        <f t="shared" si="523"/>
        <v>2443.0529999999999</v>
      </c>
      <c r="N376" s="822">
        <f t="shared" si="523"/>
        <v>2542.1630000000005</v>
      </c>
      <c r="O376" s="822">
        <f t="shared" si="523"/>
        <v>2679.982</v>
      </c>
      <c r="P376" s="822">
        <f t="shared" si="523"/>
        <v>2771.377</v>
      </c>
      <c r="Q376" s="822">
        <f t="shared" si="523"/>
        <v>2895.4250000000002</v>
      </c>
      <c r="R376" s="822">
        <f t="shared" si="523"/>
        <v>3119.9449999999997</v>
      </c>
      <c r="S376" s="822">
        <f t="shared" si="523"/>
        <v>3337.8130000000001</v>
      </c>
      <c r="T376" s="822">
        <f t="shared" si="523"/>
        <v>3446.0190000000002</v>
      </c>
      <c r="U376" s="822">
        <f t="shared" si="523"/>
        <v>3312.3380000000002</v>
      </c>
      <c r="V376" s="822">
        <f t="shared" si="523"/>
        <v>3556.4769999999999</v>
      </c>
      <c r="W376" s="822">
        <f t="shared" ref="W376:Y376" si="524">+W373+W374+W375</f>
        <v>3670.4949999999999</v>
      </c>
      <c r="X376" s="822">
        <f t="shared" si="524"/>
        <v>3707.2130000000002</v>
      </c>
      <c r="Y376" s="822">
        <f t="shared" si="524"/>
        <v>3793.0029999999997</v>
      </c>
      <c r="Z376" s="822">
        <f t="shared" ref="Z376:AC376" si="525">+Z373+Z374+Z375</f>
        <v>3954.271999999999</v>
      </c>
      <c r="AA376" s="822">
        <f t="shared" si="525"/>
        <v>4186.9620000000004</v>
      </c>
      <c r="AB376" s="822">
        <f t="shared" si="525"/>
        <v>4377.2349999999988</v>
      </c>
      <c r="AC376" s="822">
        <f t="shared" si="525"/>
        <v>4576.2069999999994</v>
      </c>
      <c r="AD376" s="881">
        <f ca="1">+AD373+AD374+AD375</f>
        <v>4797.982437528909</v>
      </c>
      <c r="AE376" s="881">
        <f ca="1">+AE373+AE374+AE375</f>
        <v>4977.4349698776841</v>
      </c>
      <c r="AF376" s="881">
        <f ca="1">+AF373+AF374+AF375</f>
        <v>5153.059578532615</v>
      </c>
      <c r="BB376" s="3549">
        <v>4415.3440000000001</v>
      </c>
      <c r="BC376" s="736">
        <f t="shared" si="460"/>
        <v>-38.109000000001288</v>
      </c>
    </row>
    <row r="377" spans="1:55">
      <c r="A377" s="701"/>
      <c r="B377" s="701"/>
      <c r="Q377" s="736"/>
      <c r="R377" s="736"/>
      <c r="S377" s="736"/>
      <c r="T377" s="736"/>
      <c r="U377" s="736"/>
      <c r="V377" s="736"/>
      <c r="W377" s="736"/>
      <c r="X377" s="736"/>
      <c r="Y377" s="736"/>
      <c r="Z377" s="880"/>
      <c r="AA377" s="880"/>
      <c r="AB377" s="880"/>
      <c r="AC377" s="880"/>
      <c r="AD377" s="880"/>
      <c r="AE377" s="880"/>
      <c r="AF377" s="880"/>
      <c r="BB377" s="3467"/>
      <c r="BC377" s="736" t="str">
        <f t="shared" si="460"/>
        <v/>
      </c>
    </row>
    <row r="378" spans="1:55" ht="12.75" customHeight="1">
      <c r="A378" s="701"/>
      <c r="B378" s="701"/>
      <c r="C378" s="811"/>
      <c r="D378" s="779"/>
      <c r="E378" s="780" t="s">
        <v>1883</v>
      </c>
      <c r="F378" s="781"/>
      <c r="G378" s="782">
        <f>+InputY!$G$3</f>
        <v>1995</v>
      </c>
      <c r="H378" s="782">
        <f>+G378+1</f>
        <v>1996</v>
      </c>
      <c r="I378" s="782">
        <f t="shared" ref="I378:O378" si="526">+H378+1</f>
        <v>1997</v>
      </c>
      <c r="J378" s="782">
        <f t="shared" si="526"/>
        <v>1998</v>
      </c>
      <c r="K378" s="782">
        <f t="shared" si="526"/>
        <v>1999</v>
      </c>
      <c r="L378" s="782">
        <f t="shared" si="526"/>
        <v>2000</v>
      </c>
      <c r="M378" s="782">
        <f t="shared" si="526"/>
        <v>2001</v>
      </c>
      <c r="N378" s="782">
        <f t="shared" si="526"/>
        <v>2002</v>
      </c>
      <c r="O378" s="782">
        <f t="shared" si="526"/>
        <v>2003</v>
      </c>
      <c r="P378" s="782">
        <f t="shared" ref="P378:AF378" si="527">+O378+1</f>
        <v>2004</v>
      </c>
      <c r="Q378" s="782">
        <f t="shared" si="527"/>
        <v>2005</v>
      </c>
      <c r="R378" s="782">
        <f t="shared" si="527"/>
        <v>2006</v>
      </c>
      <c r="S378" s="782">
        <f t="shared" si="527"/>
        <v>2007</v>
      </c>
      <c r="T378" s="782">
        <f t="shared" si="527"/>
        <v>2008</v>
      </c>
      <c r="U378" s="782">
        <f t="shared" si="527"/>
        <v>2009</v>
      </c>
      <c r="V378" s="782">
        <f t="shared" si="527"/>
        <v>2010</v>
      </c>
      <c r="W378" s="782">
        <f t="shared" si="527"/>
        <v>2011</v>
      </c>
      <c r="X378" s="782">
        <f t="shared" si="527"/>
        <v>2012</v>
      </c>
      <c r="Y378" s="782">
        <f t="shared" si="527"/>
        <v>2013</v>
      </c>
      <c r="Z378" s="782">
        <f t="shared" si="527"/>
        <v>2014</v>
      </c>
      <c r="AA378" s="782">
        <f t="shared" si="527"/>
        <v>2015</v>
      </c>
      <c r="AB378" s="782">
        <f t="shared" si="527"/>
        <v>2016</v>
      </c>
      <c r="AC378" s="782">
        <f t="shared" si="527"/>
        <v>2017</v>
      </c>
      <c r="AD378" s="782">
        <f t="shared" si="527"/>
        <v>2018</v>
      </c>
      <c r="AE378" s="782">
        <f t="shared" si="527"/>
        <v>2019</v>
      </c>
      <c r="AF378" s="782">
        <f t="shared" si="527"/>
        <v>2020</v>
      </c>
      <c r="BB378" s="3497">
        <v>2016</v>
      </c>
      <c r="BC378" s="736" t="str">
        <f t="shared" si="460"/>
        <v/>
      </c>
    </row>
    <row r="379" spans="1:55" ht="12.75" customHeight="1">
      <c r="A379" s="701"/>
      <c r="B379" s="701"/>
      <c r="C379" s="831" t="s">
        <v>1791</v>
      </c>
      <c r="D379" s="726" t="s">
        <v>664</v>
      </c>
      <c r="E379" s="775" t="s">
        <v>1670</v>
      </c>
      <c r="F379" s="770" t="s">
        <v>967</v>
      </c>
      <c r="G379" s="776"/>
      <c r="H379" s="776">
        <f t="shared" ref="H379:Y379" si="528">(H373/G373-1)*100</f>
        <v>0.27135630377890241</v>
      </c>
      <c r="I379" s="776">
        <f t="shared" si="528"/>
        <v>0.98603374727763704</v>
      </c>
      <c r="J379" s="776">
        <f t="shared" si="528"/>
        <v>2.527773001581024</v>
      </c>
      <c r="K379" s="776">
        <f t="shared" si="528"/>
        <v>-1.7835924222375343</v>
      </c>
      <c r="L379" s="776">
        <f t="shared" si="528"/>
        <v>14.857174389258642</v>
      </c>
      <c r="M379" s="776">
        <f t="shared" si="528"/>
        <v>7.8496443434426855</v>
      </c>
      <c r="N379" s="776">
        <f t="shared" si="528"/>
        <v>4.4185159098511839</v>
      </c>
      <c r="O379" s="776">
        <f t="shared" si="528"/>
        <v>2.5517251371609539</v>
      </c>
      <c r="P379" s="776">
        <f t="shared" si="528"/>
        <v>2.2880811153836333</v>
      </c>
      <c r="Q379" s="776">
        <f t="shared" si="528"/>
        <v>3.8199400240026771</v>
      </c>
      <c r="R379" s="776">
        <f t="shared" si="528"/>
        <v>5.7135824989338113</v>
      </c>
      <c r="S379" s="776">
        <f t="shared" si="528"/>
        <v>6.9795115894039972</v>
      </c>
      <c r="T379" s="776">
        <f t="shared" si="528"/>
        <v>6.494812750555834</v>
      </c>
      <c r="U379" s="776">
        <f t="shared" si="528"/>
        <v>4.0749934794949372</v>
      </c>
      <c r="V379" s="776">
        <f t="shared" si="528"/>
        <v>4.1666961499543742</v>
      </c>
      <c r="W379" s="776">
        <f t="shared" si="528"/>
        <v>4.9170184847424414</v>
      </c>
      <c r="X379" s="776">
        <f t="shared" si="528"/>
        <v>4.0444610146007642</v>
      </c>
      <c r="Y379" s="776">
        <f t="shared" si="528"/>
        <v>3.0014639390279152</v>
      </c>
      <c r="Z379" s="776">
        <f t="shared" ref="Z379:Z382" si="529">(Z373/Y373-1)*100</f>
        <v>3.9001368416070825</v>
      </c>
      <c r="AA379" s="776">
        <f t="shared" ref="AA379:AA382" si="530">(AA373/Z373-1)*100</f>
        <v>3.4750138585766477</v>
      </c>
      <c r="AB379" s="776">
        <f t="shared" ref="AB379:AB382" si="531">(AB373/AA373-1)*100</f>
        <v>4.6635366003283441</v>
      </c>
      <c r="AC379" s="776">
        <f t="shared" ref="AC379:AC382" si="532">(AC373/AB373-1)*100</f>
        <v>3.6839755096635285</v>
      </c>
      <c r="AD379" s="3000">
        <f t="shared" ref="AD379:AF382" ca="1" si="533">(AD373/AC373-1)*100</f>
        <v>4.6873382230532279</v>
      </c>
      <c r="AE379" s="3000">
        <f t="shared" ca="1" si="533"/>
        <v>3.2026416525350099</v>
      </c>
      <c r="AF379" s="3000">
        <f t="shared" ca="1" si="533"/>
        <v>3.2256240231082867</v>
      </c>
      <c r="BB379" s="3550">
        <v>3.1480792495302667</v>
      </c>
      <c r="BC379" s="736">
        <f t="shared" si="460"/>
        <v>1.5154573507980773</v>
      </c>
    </row>
    <row r="380" spans="1:55" ht="12.75" customHeight="1">
      <c r="A380" s="701"/>
      <c r="B380" s="701"/>
      <c r="C380" s="832" t="s">
        <v>1791</v>
      </c>
      <c r="D380" s="711" t="s">
        <v>665</v>
      </c>
      <c r="E380" s="820" t="s">
        <v>1670</v>
      </c>
      <c r="F380" s="741" t="s">
        <v>1251</v>
      </c>
      <c r="G380" s="743"/>
      <c r="H380" s="743">
        <f t="shared" ref="H380:Y380" si="534">(H374/G374-1)*100</f>
        <v>-7.447930670748093</v>
      </c>
      <c r="I380" s="743">
        <f t="shared" si="534"/>
        <v>7.5553966409423134</v>
      </c>
      <c r="J380" s="743">
        <f t="shared" si="534"/>
        <v>7.7329393295780369</v>
      </c>
      <c r="K380" s="743">
        <f t="shared" si="534"/>
        <v>4.1613094013577046</v>
      </c>
      <c r="L380" s="743">
        <f t="shared" si="534"/>
        <v>0.63735020315800472</v>
      </c>
      <c r="M380" s="743">
        <f t="shared" si="534"/>
        <v>2.2039237652118349</v>
      </c>
      <c r="N380" s="743">
        <f t="shared" si="534"/>
        <v>13.102805458102186</v>
      </c>
      <c r="O380" s="743">
        <f t="shared" si="534"/>
        <v>11.635972001655293</v>
      </c>
      <c r="P380" s="743">
        <f t="shared" si="534"/>
        <v>1.0452128207281142</v>
      </c>
      <c r="Q380" s="743">
        <f t="shared" si="534"/>
        <v>7.8073925660415711E-2</v>
      </c>
      <c r="R380" s="743">
        <f t="shared" si="534"/>
        <v>13.769297647860501</v>
      </c>
      <c r="S380" s="743">
        <f t="shared" si="534"/>
        <v>4.6029477371491101</v>
      </c>
      <c r="T380" s="743">
        <f t="shared" si="534"/>
        <v>0.70542767293118036</v>
      </c>
      <c r="U380" s="743">
        <f t="shared" si="534"/>
        <v>-18.497333472759657</v>
      </c>
      <c r="V380" s="743">
        <f t="shared" si="534"/>
        <v>18.440871941596871</v>
      </c>
      <c r="W380" s="743">
        <f t="shared" si="534"/>
        <v>-1.7237363780141512</v>
      </c>
      <c r="X380" s="743">
        <f t="shared" si="534"/>
        <v>-4.8504922965849184</v>
      </c>
      <c r="Y380" s="743">
        <f t="shared" si="534"/>
        <v>0.65756511212344826</v>
      </c>
      <c r="Z380" s="743">
        <f t="shared" si="529"/>
        <v>5.8020281419440378</v>
      </c>
      <c r="AA380" s="743">
        <f t="shared" si="530"/>
        <v>4.6892378815691638</v>
      </c>
      <c r="AB380" s="743">
        <f t="shared" si="531"/>
        <v>-4.6098576896551506</v>
      </c>
      <c r="AC380" s="743">
        <f t="shared" si="532"/>
        <v>5.3774011360974594</v>
      </c>
      <c r="AD380" s="829">
        <f t="shared" ca="1" si="533"/>
        <v>7.5791321201704287</v>
      </c>
      <c r="AE380" s="829">
        <f t="shared" ca="1" si="533"/>
        <v>4.9510059114008964</v>
      </c>
      <c r="AF380" s="829">
        <f t="shared" ca="1" si="533"/>
        <v>4.9721762192585395</v>
      </c>
      <c r="BB380" s="3515">
        <v>3.4717824980687872</v>
      </c>
      <c r="BC380" s="736">
        <f t="shared" si="460"/>
        <v>-8.0816401877239379</v>
      </c>
    </row>
    <row r="381" spans="1:55" ht="12.75" customHeight="1">
      <c r="A381" s="701"/>
      <c r="B381" s="701"/>
      <c r="C381" s="833" t="s">
        <v>1791</v>
      </c>
      <c r="D381" s="728" t="s">
        <v>666</v>
      </c>
      <c r="E381" s="834" t="s">
        <v>1670</v>
      </c>
      <c r="F381" s="773" t="s">
        <v>824</v>
      </c>
      <c r="G381" s="778"/>
      <c r="H381" s="778">
        <f t="shared" ref="H381:Y381" si="535">(H375/G375-1)*100</f>
        <v>18.148439490798719</v>
      </c>
      <c r="I381" s="778">
        <f t="shared" si="535"/>
        <v>8.2151470935749593</v>
      </c>
      <c r="J381" s="778">
        <f t="shared" si="535"/>
        <v>10.213847116382869</v>
      </c>
      <c r="K381" s="778">
        <f t="shared" si="535"/>
        <v>7.7934065588463941</v>
      </c>
      <c r="L381" s="778">
        <f t="shared" si="535"/>
        <v>10.224713200368818</v>
      </c>
      <c r="M381" s="778">
        <f t="shared" si="535"/>
        <v>-0.29817916160441715</v>
      </c>
      <c r="N381" s="778">
        <f t="shared" si="535"/>
        <v>-2.5178772202995914</v>
      </c>
      <c r="O381" s="778">
        <f t="shared" si="535"/>
        <v>5.4905939144702876</v>
      </c>
      <c r="P381" s="778">
        <f t="shared" si="535"/>
        <v>7.1830393217380717</v>
      </c>
      <c r="Q381" s="778">
        <f t="shared" si="535"/>
        <v>8.8842776142555415</v>
      </c>
      <c r="R381" s="778">
        <f t="shared" si="535"/>
        <v>6.5612138466830006</v>
      </c>
      <c r="S381" s="778">
        <f t="shared" si="535"/>
        <v>8.7825571582931907</v>
      </c>
      <c r="T381" s="778">
        <f t="shared" si="535"/>
        <v>0.33109612856074833</v>
      </c>
      <c r="U381" s="778">
        <f t="shared" si="535"/>
        <v>-5.570116709018702</v>
      </c>
      <c r="V381" s="778">
        <f t="shared" si="535"/>
        <v>5.890925278014425</v>
      </c>
      <c r="W381" s="778">
        <f t="shared" si="535"/>
        <v>3.7936062132701398</v>
      </c>
      <c r="X381" s="778">
        <f t="shared" si="535"/>
        <v>-0.27838000795371576</v>
      </c>
      <c r="Y381" s="778">
        <f t="shared" si="535"/>
        <v>2.1474331879045572</v>
      </c>
      <c r="Z381" s="778">
        <f t="shared" si="529"/>
        <v>3.9105974383931263</v>
      </c>
      <c r="AA381" s="778">
        <f t="shared" si="530"/>
        <v>10.950309838475381</v>
      </c>
      <c r="AB381" s="778">
        <f t="shared" si="531"/>
        <v>9.8454518428816371</v>
      </c>
      <c r="AC381" s="778">
        <f t="shared" si="532"/>
        <v>5.4795931486794514</v>
      </c>
      <c r="AD381" s="3001">
        <f t="shared" ca="1" si="533"/>
        <v>3.6699451777608694</v>
      </c>
      <c r="AE381" s="3001">
        <f t="shared" ca="1" si="533"/>
        <v>3.9323652962572897</v>
      </c>
      <c r="AF381" s="3001">
        <f t="shared" ca="1" si="533"/>
        <v>3.2137230477084389</v>
      </c>
      <c r="BB381" s="3551">
        <v>8.4935205142006698</v>
      </c>
      <c r="BC381" s="736">
        <f t="shared" si="460"/>
        <v>1.3519313286809673</v>
      </c>
    </row>
    <row r="382" spans="1:55" ht="12.75" customHeight="1">
      <c r="A382" s="701"/>
      <c r="B382" s="701"/>
      <c r="C382" s="811" t="s">
        <v>1793</v>
      </c>
      <c r="D382" s="754" t="s">
        <v>667</v>
      </c>
      <c r="E382" s="759" t="s">
        <v>1670</v>
      </c>
      <c r="F382" s="760" t="s">
        <v>1252</v>
      </c>
      <c r="G382" s="758"/>
      <c r="H382" s="758">
        <f t="shared" ref="H382:Y382" si="536">(H376/G376-1)*100</f>
        <v>2.846796410575303</v>
      </c>
      <c r="I382" s="758">
        <f t="shared" si="536"/>
        <v>4.4428348758070557</v>
      </c>
      <c r="J382" s="758">
        <f t="shared" si="536"/>
        <v>5.9339143009167872</v>
      </c>
      <c r="K382" s="758">
        <f t="shared" si="536"/>
        <v>2.4771870291107057</v>
      </c>
      <c r="L382" s="758">
        <f t="shared" si="536"/>
        <v>10.125827668578946</v>
      </c>
      <c r="M382" s="758">
        <f t="shared" si="536"/>
        <v>4.0513558751751333</v>
      </c>
      <c r="N382" s="758">
        <f t="shared" si="536"/>
        <v>4.0568092464633665</v>
      </c>
      <c r="O382" s="758">
        <f t="shared" si="536"/>
        <v>5.4213282153819264</v>
      </c>
      <c r="P382" s="758">
        <f t="shared" si="536"/>
        <v>3.4102840989230554</v>
      </c>
      <c r="Q382" s="758">
        <f t="shared" si="536"/>
        <v>4.4760420541846146</v>
      </c>
      <c r="R382" s="758">
        <f t="shared" si="536"/>
        <v>7.7543020454682754</v>
      </c>
      <c r="S382" s="758">
        <f t="shared" si="536"/>
        <v>6.9830718169711536</v>
      </c>
      <c r="T382" s="758">
        <f t="shared" si="536"/>
        <v>3.2418233136487951</v>
      </c>
      <c r="U382" s="758">
        <f t="shared" si="536"/>
        <v>-3.8792879551737824</v>
      </c>
      <c r="V382" s="758">
        <f t="shared" si="536"/>
        <v>7.3705944260519241</v>
      </c>
      <c r="W382" s="758">
        <f t="shared" si="536"/>
        <v>3.2059254143918192</v>
      </c>
      <c r="X382" s="758">
        <f t="shared" si="536"/>
        <v>1.0003555378770512</v>
      </c>
      <c r="Y382" s="758">
        <f t="shared" si="536"/>
        <v>2.3141373317367986</v>
      </c>
      <c r="Z382" s="758">
        <f t="shared" si="529"/>
        <v>4.2517498667941744</v>
      </c>
      <c r="AA382" s="758">
        <f t="shared" si="530"/>
        <v>5.8845218538330579</v>
      </c>
      <c r="AB382" s="758">
        <f t="shared" si="531"/>
        <v>4.5444166916250639</v>
      </c>
      <c r="AC382" s="758">
        <f t="shared" si="532"/>
        <v>4.54560927160641</v>
      </c>
      <c r="AD382" s="838">
        <f t="shared" ca="1" si="533"/>
        <v>4.8462719787131459</v>
      </c>
      <c r="AE382" s="838">
        <f t="shared" ca="1" si="533"/>
        <v>3.7401665113471649</v>
      </c>
      <c r="AF382" s="838">
        <f t="shared" ca="1" si="533"/>
        <v>3.5284159354722178</v>
      </c>
      <c r="BB382" s="3552">
        <v>4.8562346601818573</v>
      </c>
      <c r="BC382" s="736" t="str">
        <f t="shared" si="460"/>
        <v/>
      </c>
    </row>
    <row r="383" spans="1:55" ht="12.75" customHeight="1">
      <c r="A383" s="701"/>
      <c r="B383" s="701"/>
      <c r="C383" s="811"/>
      <c r="E383" s="823"/>
      <c r="F383" s="824"/>
      <c r="G383" s="740"/>
      <c r="H383" s="825"/>
      <c r="I383" s="740"/>
      <c r="J383" s="740"/>
      <c r="K383" s="740"/>
      <c r="L383" s="740"/>
      <c r="M383" s="740"/>
      <c r="N383" s="740"/>
      <c r="O383" s="740"/>
      <c r="P383" s="740"/>
      <c r="Q383" s="740"/>
      <c r="R383" s="740"/>
      <c r="S383" s="740"/>
      <c r="T383" s="740"/>
      <c r="U383" s="740"/>
      <c r="V383" s="740"/>
      <c r="W383" s="740"/>
      <c r="X383" s="740"/>
      <c r="Y383" s="740"/>
      <c r="Z383" s="882"/>
      <c r="AA383" s="882"/>
      <c r="AB383" s="882"/>
      <c r="AC383" s="882"/>
      <c r="AD383" s="882"/>
      <c r="AE383" s="882"/>
      <c r="AF383" s="882"/>
      <c r="BB383" s="3515"/>
      <c r="BC383" s="736" t="str">
        <f t="shared" si="460"/>
        <v/>
      </c>
    </row>
    <row r="384" spans="1:55" ht="12.75" customHeight="1">
      <c r="A384" s="701"/>
      <c r="B384" s="701"/>
      <c r="C384" s="811"/>
      <c r="D384" s="855"/>
      <c r="E384" s="856" t="s">
        <v>1884</v>
      </c>
      <c r="F384" s="857"/>
      <c r="G384" s="858">
        <f>+InputY!$G$3</f>
        <v>1995</v>
      </c>
      <c r="H384" s="858">
        <f>+G384+1</f>
        <v>1996</v>
      </c>
      <c r="I384" s="858">
        <f t="shared" ref="I384:O384" si="537">+H384+1</f>
        <v>1997</v>
      </c>
      <c r="J384" s="858">
        <f t="shared" si="537"/>
        <v>1998</v>
      </c>
      <c r="K384" s="858">
        <f t="shared" si="537"/>
        <v>1999</v>
      </c>
      <c r="L384" s="858">
        <f t="shared" si="537"/>
        <v>2000</v>
      </c>
      <c r="M384" s="858">
        <f t="shared" si="537"/>
        <v>2001</v>
      </c>
      <c r="N384" s="858">
        <f t="shared" si="537"/>
        <v>2002</v>
      </c>
      <c r="O384" s="858">
        <f t="shared" si="537"/>
        <v>2003</v>
      </c>
      <c r="P384" s="858">
        <f t="shared" ref="P384:AF384" si="538">+O384+1</f>
        <v>2004</v>
      </c>
      <c r="Q384" s="858">
        <f t="shared" si="538"/>
        <v>2005</v>
      </c>
      <c r="R384" s="858">
        <f t="shared" si="538"/>
        <v>2006</v>
      </c>
      <c r="S384" s="858">
        <f t="shared" si="538"/>
        <v>2007</v>
      </c>
      <c r="T384" s="858">
        <f t="shared" si="538"/>
        <v>2008</v>
      </c>
      <c r="U384" s="858">
        <f t="shared" si="538"/>
        <v>2009</v>
      </c>
      <c r="V384" s="858">
        <f t="shared" si="538"/>
        <v>2010</v>
      </c>
      <c r="W384" s="858">
        <f t="shared" si="538"/>
        <v>2011</v>
      </c>
      <c r="X384" s="858">
        <f t="shared" si="538"/>
        <v>2012</v>
      </c>
      <c r="Y384" s="858">
        <f t="shared" si="538"/>
        <v>2013</v>
      </c>
      <c r="Z384" s="858">
        <f t="shared" si="538"/>
        <v>2014</v>
      </c>
      <c r="AA384" s="858">
        <f t="shared" si="538"/>
        <v>2015</v>
      </c>
      <c r="AB384" s="858">
        <f t="shared" si="538"/>
        <v>2016</v>
      </c>
      <c r="AC384" s="858">
        <f t="shared" si="538"/>
        <v>2017</v>
      </c>
      <c r="AD384" s="858">
        <f t="shared" si="538"/>
        <v>2018</v>
      </c>
      <c r="AE384" s="858">
        <f t="shared" si="538"/>
        <v>2019</v>
      </c>
      <c r="AF384" s="858">
        <f t="shared" si="538"/>
        <v>2020</v>
      </c>
      <c r="BB384" s="3480">
        <v>2016</v>
      </c>
      <c r="BC384" s="736" t="str">
        <f t="shared" si="460"/>
        <v/>
      </c>
    </row>
    <row r="385" spans="1:55" ht="12.75" customHeight="1">
      <c r="A385" s="701"/>
      <c r="B385" s="701"/>
      <c r="C385" s="859" t="s">
        <v>1791</v>
      </c>
      <c r="D385" s="860" t="s">
        <v>664</v>
      </c>
      <c r="E385" s="861" t="s">
        <v>1670</v>
      </c>
      <c r="F385" s="862" t="s">
        <v>967</v>
      </c>
      <c r="G385" s="875">
        <f>+G373/'VVP2'!G$341</f>
        <v>0.4995285440336692</v>
      </c>
      <c r="H385" s="875">
        <f>+H373/'VVP2'!H$341</f>
        <v>0.48826599558100847</v>
      </c>
      <c r="I385" s="875">
        <f>+I373/'VVP2'!I$341</f>
        <v>0.47171828773606833</v>
      </c>
      <c r="J385" s="875">
        <f>+J373/'VVP2'!J$341</f>
        <v>0.46032349748588541</v>
      </c>
      <c r="K385" s="875">
        <f>+K373/'VVP2'!K$341</f>
        <v>0.4286724869040196</v>
      </c>
      <c r="L385" s="875">
        <f>+L373/'VVP2'!L$341</f>
        <v>0.46281211901531533</v>
      </c>
      <c r="M385" s="875">
        <f>+M373/'VVP2'!M$341</f>
        <v>0.47937399976469791</v>
      </c>
      <c r="N385" s="875">
        <f>+N373/'VVP2'!N$341</f>
        <v>0.48265570663712987</v>
      </c>
      <c r="O385" s="875">
        <f>+O373/'VVP2'!O$341</f>
        <v>0.47523390788712438</v>
      </c>
      <c r="P385" s="875">
        <f>+P373/'VVP2'!P$341</f>
        <v>0.46403169345710005</v>
      </c>
      <c r="Q385" s="875">
        <f>+Q373/'VVP2'!Q$341</f>
        <v>0.4648287017170884</v>
      </c>
      <c r="R385" s="875">
        <f>+R373/'VVP2'!R$341</f>
        <v>0.46095666091063847</v>
      </c>
      <c r="S385" s="875">
        <f>+S373/'VVP2'!S$341</f>
        <v>0.46352798545160639</v>
      </c>
      <c r="T385" s="875">
        <f>+T373/'VVP2'!T$341</f>
        <v>0.48043285910437916</v>
      </c>
      <c r="U385" s="875">
        <f>+U373/'VVP2'!U$341</f>
        <v>0.51514925992000637</v>
      </c>
      <c r="V385" s="875">
        <f>+V373/'VVP2'!V$341</f>
        <v>0.50131277839074839</v>
      </c>
      <c r="W385" s="875">
        <f>+W373/'VVP2'!W$341</f>
        <v>0.50624890229369057</v>
      </c>
      <c r="X385" s="875">
        <f>+X373/'VVP2'!X$341</f>
        <v>0.52275045671155218</v>
      </c>
      <c r="Y385" s="875">
        <f>+Y373/'VVP2'!Y$341</f>
        <v>0.52630368429378427</v>
      </c>
      <c r="Z385" s="875">
        <f>+Z373/'VVP2'!Z$341</f>
        <v>0.52365980068131202</v>
      </c>
      <c r="AA385" s="875">
        <f>+AA373/'VVP2'!AA$341</f>
        <v>0.50824613719293132</v>
      </c>
      <c r="AB385" s="875">
        <f>+AB373/'VVP2'!AB$341</f>
        <v>0.50963528193041729</v>
      </c>
      <c r="AC385" s="875">
        <f>+AC373/'VVP2'!AC$341</f>
        <v>0.50609131147029007</v>
      </c>
      <c r="AD385" s="3002">
        <f ca="1">+AD373/'VVP2'!AD$341</f>
        <v>0.50507477623083974</v>
      </c>
      <c r="AE385" s="3002">
        <f ca="1">+AE373/'VVP2'!AE$341</f>
        <v>0.50225872811182803</v>
      </c>
      <c r="AF385" s="3002">
        <f ca="1">+AF373/'VVP2'!AF$341</f>
        <v>0.50070875882703358</v>
      </c>
      <c r="BB385" s="3539">
        <v>0.50036186661424065</v>
      </c>
      <c r="BC385" s="736" t="str">
        <f t="shared" si="460"/>
        <v/>
      </c>
    </row>
    <row r="386" spans="1:55" ht="12.75" customHeight="1">
      <c r="A386" s="701"/>
      <c r="B386" s="701"/>
      <c r="C386" s="863" t="s">
        <v>1791</v>
      </c>
      <c r="D386" s="711" t="s">
        <v>664</v>
      </c>
      <c r="E386" s="820" t="s">
        <v>1670</v>
      </c>
      <c r="F386" s="741" t="s">
        <v>1251</v>
      </c>
      <c r="G386" s="876">
        <f>+G374/'VVP2'!G$341</f>
        <v>0.23076470263803212</v>
      </c>
      <c r="H386" s="876">
        <f>+H374/'VVP2'!H$341</f>
        <v>0.20819715691555635</v>
      </c>
      <c r="I386" s="876">
        <f>+I374/'VVP2'!I$341</f>
        <v>0.21422587189375941</v>
      </c>
      <c r="J386" s="876">
        <f>+J374/'VVP2'!J$341</f>
        <v>0.21966422614133083</v>
      </c>
      <c r="K386" s="876">
        <f>+K374/'VVP2'!K$341</f>
        <v>0.21694227324885193</v>
      </c>
      <c r="L386" s="876">
        <f>+L374/'VVP2'!L$341</f>
        <v>0.20522221187384265</v>
      </c>
      <c r="M386" s="876">
        <f>+M374/'VVP2'!M$341</f>
        <v>0.20143872717690681</v>
      </c>
      <c r="N386" s="876">
        <f>+N374/'VVP2'!N$341</f>
        <v>0.21968570594947318</v>
      </c>
      <c r="O386" s="876">
        <f>+O374/'VVP2'!O$341</f>
        <v>0.23546857858831283</v>
      </c>
      <c r="P386" s="876">
        <f>+P374/'VVP2'!P$341</f>
        <v>0.22712445471679105</v>
      </c>
      <c r="Q386" s="876">
        <f>+Q374/'VVP2'!Q$341</f>
        <v>0.21931450453381557</v>
      </c>
      <c r="R386" s="876">
        <f>+R374/'VVP2'!R$341</f>
        <v>0.23406086177990826</v>
      </c>
      <c r="S386" s="876">
        <f>+S374/'VVP2'!S$341</f>
        <v>0.23013781046433743</v>
      </c>
      <c r="T386" s="876">
        <f>+T374/'VVP2'!T$341</f>
        <v>0.22556366592259128</v>
      </c>
      <c r="U386" s="876">
        <f>+U374/'VVP2'!U$341</f>
        <v>0.18940652956902601</v>
      </c>
      <c r="V386" s="876">
        <f>+V374/'VVP2'!V$341</f>
        <v>0.20957686876529585</v>
      </c>
      <c r="W386" s="876">
        <f>+W374/'VVP2'!W$341</f>
        <v>0.19824459860209237</v>
      </c>
      <c r="X386" s="876">
        <f>+X374/'VVP2'!X$341</f>
        <v>0.1872057873533664</v>
      </c>
      <c r="Y386" s="876">
        <f>+Y374/'VVP2'!Y$341</f>
        <v>0.18418925160157595</v>
      </c>
      <c r="Z386" s="876">
        <f>+Z374/'VVP2'!Z$341</f>
        <v>0.18661862380024991</v>
      </c>
      <c r="AA386" s="876">
        <f>+AA374/'VVP2'!AA$341</f>
        <v>0.18325101040260694</v>
      </c>
      <c r="AB386" s="876">
        <f>+AB374/'VVP2'!AB$341</f>
        <v>0.16747109848667099</v>
      </c>
      <c r="AC386" s="876">
        <f>+AC374/'VVP2'!AC$341</f>
        <v>0.16902272795272394</v>
      </c>
      <c r="AD386" s="3003">
        <f ca="1">+AD374/'VVP2'!AD$341</f>
        <v>0.17334279071518277</v>
      </c>
      <c r="AE386" s="3003">
        <f ca="1">+AE374/'VVP2'!AE$341</f>
        <v>0.17529655777005757</v>
      </c>
      <c r="AF386" s="3003">
        <f ca="1">+AF374/'VVP2'!AF$341</f>
        <v>0.17771241469058033</v>
      </c>
      <c r="BB386" s="3462">
        <v>0.18214649105163339</v>
      </c>
      <c r="BC386" s="736" t="str">
        <f t="shared" ref="BC386:BC449" si="539">IF(ABS(BB386-AB386)&gt;0.99,AB386-BB386,"")</f>
        <v/>
      </c>
    </row>
    <row r="387" spans="1:55" ht="12.75" customHeight="1">
      <c r="A387" s="701"/>
      <c r="B387" s="701"/>
      <c r="C387" s="864" t="s">
        <v>1791</v>
      </c>
      <c r="D387" s="865" t="s">
        <v>666</v>
      </c>
      <c r="E387" s="866" t="s">
        <v>1670</v>
      </c>
      <c r="F387" s="867" t="s">
        <v>824</v>
      </c>
      <c r="G387" s="877">
        <f>+G375/'VVP2'!G$341</f>
        <v>0.23933151892611984</v>
      </c>
      <c r="H387" s="877">
        <f>+H375/'VVP2'!H$341</f>
        <v>0.27564312662778429</v>
      </c>
      <c r="I387" s="877">
        <f>+I375/'VVP2'!I$341</f>
        <v>0.28536462810178936</v>
      </c>
      <c r="J387" s="877">
        <f>+J375/'VVP2'!J$341</f>
        <v>0.29934720576010432</v>
      </c>
      <c r="K387" s="877">
        <f>+K375/'VVP2'!K$341</f>
        <v>0.30594673773182129</v>
      </c>
      <c r="L387" s="877">
        <f>+L375/'VVP2'!L$341</f>
        <v>0.3169901654034652</v>
      </c>
      <c r="M387" s="877">
        <f>+M375/'VVP2'!M$341</f>
        <v>0.30352880597087084</v>
      </c>
      <c r="N387" s="877">
        <f>+N375/'VVP2'!N$341</f>
        <v>0.28530563229639649</v>
      </c>
      <c r="O387" s="877">
        <f>+O375/'VVP2'!O$341</f>
        <v>0.28896888800360188</v>
      </c>
      <c r="P387" s="877">
        <f>+P375/'VVP2'!P$341</f>
        <v>0.29565984653911853</v>
      </c>
      <c r="Q387" s="877">
        <f>+Q375/'VVP2'!Q$341</f>
        <v>0.31061472513495986</v>
      </c>
      <c r="R387" s="877">
        <f>+R375/'VVP2'!R$341</f>
        <v>0.31049711328417828</v>
      </c>
      <c r="S387" s="877">
        <f>+S375/'VVP2'!S$341</f>
        <v>0.31749148662686233</v>
      </c>
      <c r="T387" s="877">
        <f>+T375/'VVP2'!T$341</f>
        <v>0.31002443920875816</v>
      </c>
      <c r="U387" s="877">
        <f>+U375/'VVP2'!U$341</f>
        <v>0.30161946701846809</v>
      </c>
      <c r="V387" s="877">
        <f>+V375/'VVP2'!V$341</f>
        <v>0.29837670666866445</v>
      </c>
      <c r="W387" s="877">
        <f>+W375/'VVP2'!W$341</f>
        <v>0.29808827702925089</v>
      </c>
      <c r="X387" s="877">
        <f>+X375/'VVP2'!X$341</f>
        <v>0.29501600896317592</v>
      </c>
      <c r="Y387" s="877">
        <f>+Y375/'VVP2'!Y$341</f>
        <v>0.2945585500984515</v>
      </c>
      <c r="Z387" s="877">
        <f>+Z375/'VVP2'!Z$341</f>
        <v>0.2931083438532831</v>
      </c>
      <c r="AA387" s="877">
        <f>+AA375/'VVP2'!AA$341</f>
        <v>0.30503246069360707</v>
      </c>
      <c r="AB387" s="877">
        <f>+AB375/'VVP2'!AB$341</f>
        <v>0.3210096825969781</v>
      </c>
      <c r="AC387" s="877">
        <f>+AC375/'VVP2'!AC$341</f>
        <v>0.32429804632074211</v>
      </c>
      <c r="AD387" s="3004">
        <f ca="1">+AD375/'VVP2'!AD$341</f>
        <v>0.32050133458783792</v>
      </c>
      <c r="AE387" s="3004">
        <f ca="1">+AE375/'VVP2'!AE$341</f>
        <v>0.32096793773820498</v>
      </c>
      <c r="AF387" s="3004">
        <f ca="1">+AF375/'VVP2'!AF$341</f>
        <v>0.31994054093036506</v>
      </c>
      <c r="BB387" s="3465">
        <v>0.31985399113449497</v>
      </c>
      <c r="BC387" s="736" t="str">
        <f t="shared" si="539"/>
        <v/>
      </c>
    </row>
    <row r="388" spans="1:55" ht="12.75" customHeight="1">
      <c r="A388" s="701"/>
      <c r="B388" s="701"/>
      <c r="C388" s="811" t="s">
        <v>1793</v>
      </c>
      <c r="D388" s="843" t="s">
        <v>667</v>
      </c>
      <c r="E388" s="844" t="s">
        <v>1670</v>
      </c>
      <c r="F388" s="845" t="s">
        <v>1252</v>
      </c>
      <c r="G388" s="878">
        <f>+G376/'VVP2'!G$341</f>
        <v>0.96962476559782107</v>
      </c>
      <c r="H388" s="878">
        <f>+H376/'VVP2'!H$341</f>
        <v>0.9721062791243491</v>
      </c>
      <c r="I388" s="878">
        <f>+I376/'VVP2'!I$341</f>
        <v>0.97130878773161711</v>
      </c>
      <c r="J388" s="878">
        <f>+J376/'VVP2'!J$341</f>
        <v>0.97933492938732059</v>
      </c>
      <c r="K388" s="878">
        <f>+K376/'VVP2'!K$341</f>
        <v>0.9515614978846928</v>
      </c>
      <c r="L388" s="878">
        <f>+L376/'VVP2'!L$341</f>
        <v>0.98502449629262312</v>
      </c>
      <c r="M388" s="878">
        <f>+M376/'VVP2'!M$341</f>
        <v>0.98434153291247561</v>
      </c>
      <c r="N388" s="878">
        <f>+N376/'VVP2'!N$341</f>
        <v>0.98764704488299959</v>
      </c>
      <c r="O388" s="878">
        <f>+O376/'VVP2'!O$341</f>
        <v>0.99967137447903909</v>
      </c>
      <c r="P388" s="878">
        <f>+P376/'VVP2'!P$341</f>
        <v>0.98681599471300951</v>
      </c>
      <c r="Q388" s="878">
        <f>+Q376/'VVP2'!Q$341</f>
        <v>0.99475793138586377</v>
      </c>
      <c r="R388" s="878">
        <f>+R376/'VVP2'!R$341</f>
        <v>1.0055146359747249</v>
      </c>
      <c r="S388" s="878">
        <f>+S376/'VVP2'!S$341</f>
        <v>1.0111572825428061</v>
      </c>
      <c r="T388" s="878">
        <f>+T376/'VVP2'!T$341</f>
        <v>1.0160209642357285</v>
      </c>
      <c r="U388" s="878">
        <f>+U376/'VVP2'!U$341</f>
        <v>1.0061752565075004</v>
      </c>
      <c r="V388" s="878">
        <f>+V376/'VVP2'!V$341</f>
        <v>1.0092663538247086</v>
      </c>
      <c r="W388" s="878">
        <f>+W376/'VVP2'!W$341</f>
        <v>1.0025817779250339</v>
      </c>
      <c r="X388" s="878">
        <f>+X376/'VVP2'!X$341</f>
        <v>1.0049722530280945</v>
      </c>
      <c r="Y388" s="878">
        <f>+Y376/'VVP2'!Y$341</f>
        <v>1.0050514859938118</v>
      </c>
      <c r="Z388" s="878">
        <f>+Z376/'VVP2'!Z$341</f>
        <v>1.003386768334845</v>
      </c>
      <c r="AA388" s="878">
        <f>+AA376/'VVP2'!AA$341</f>
        <v>0.99652960828914539</v>
      </c>
      <c r="AB388" s="878">
        <f>+AB376/'VVP2'!AB$341</f>
        <v>0.99811606301406619</v>
      </c>
      <c r="AC388" s="878">
        <f>+AC376/'VVP2'!AC$341</f>
        <v>0.99941208574375606</v>
      </c>
      <c r="AD388" s="3005">
        <f ca="1">+AD376/'VVP2'!AD$341</f>
        <v>0.99891890153386043</v>
      </c>
      <c r="AE388" s="3005">
        <f ca="1">+AE376/'VVP2'!AE$341</f>
        <v>0.99852322362009061</v>
      </c>
      <c r="AF388" s="3005">
        <f ca="1">+AF376/'VVP2'!AF$341</f>
        <v>0.99836171444797905</v>
      </c>
      <c r="BB388" s="3507">
        <v>1.002362348800369</v>
      </c>
      <c r="BC388" s="736" t="str">
        <f t="shared" si="539"/>
        <v/>
      </c>
    </row>
    <row r="389" spans="1:55" ht="30" customHeight="1">
      <c r="A389" s="701"/>
      <c r="B389" s="701"/>
      <c r="C389" s="811"/>
      <c r="BC389" s="736" t="str">
        <f t="shared" si="539"/>
        <v/>
      </c>
    </row>
    <row r="390" spans="1:55" ht="30" customHeight="1">
      <c r="BC390" s="736" t="str">
        <f t="shared" si="539"/>
        <v/>
      </c>
    </row>
    <row r="391" spans="1:55" ht="22.5" customHeight="1">
      <c r="A391" s="590"/>
      <c r="B391" s="590"/>
      <c r="C391" s="3847" t="s">
        <v>1671</v>
      </c>
      <c r="D391" s="3847"/>
      <c r="E391" s="3847"/>
      <c r="F391" s="3847"/>
      <c r="BC391" s="736" t="str">
        <f t="shared" si="539"/>
        <v/>
      </c>
    </row>
    <row r="392" spans="1:55" ht="12.75" customHeight="1">
      <c r="A392" s="701"/>
      <c r="B392" s="701"/>
      <c r="C392" s="811"/>
      <c r="BC392" s="736" t="str">
        <f t="shared" si="539"/>
        <v/>
      </c>
    </row>
    <row r="393" spans="1:55" ht="12.75" customHeight="1">
      <c r="A393" s="701"/>
      <c r="B393" s="701"/>
      <c r="C393" s="811"/>
      <c r="D393" s="812"/>
      <c r="E393" s="813" t="s">
        <v>1882</v>
      </c>
      <c r="F393" s="814"/>
      <c r="G393" s="815">
        <f>+InputY!$G$3</f>
        <v>1995</v>
      </c>
      <c r="H393" s="815">
        <f>+G393+1</f>
        <v>1996</v>
      </c>
      <c r="I393" s="815">
        <f t="shared" ref="I393:O393" si="540">+H393+1</f>
        <v>1997</v>
      </c>
      <c r="J393" s="815">
        <f t="shared" si="540"/>
        <v>1998</v>
      </c>
      <c r="K393" s="815">
        <f t="shared" si="540"/>
        <v>1999</v>
      </c>
      <c r="L393" s="815">
        <f t="shared" si="540"/>
        <v>2000</v>
      </c>
      <c r="M393" s="815">
        <f t="shared" si="540"/>
        <v>2001</v>
      </c>
      <c r="N393" s="815">
        <f t="shared" si="540"/>
        <v>2002</v>
      </c>
      <c r="O393" s="815">
        <f t="shared" si="540"/>
        <v>2003</v>
      </c>
      <c r="P393" s="815">
        <f>+O393+1</f>
        <v>2004</v>
      </c>
      <c r="Q393" s="815">
        <f>+P393+1</f>
        <v>2005</v>
      </c>
      <c r="R393" s="815">
        <f>+Q393+1</f>
        <v>2006</v>
      </c>
      <c r="S393" s="815">
        <f>+R393+1</f>
        <v>2007</v>
      </c>
      <c r="T393" s="815">
        <f t="shared" ref="T393:AF393" si="541">+S393+1</f>
        <v>2008</v>
      </c>
      <c r="U393" s="815">
        <f t="shared" si="541"/>
        <v>2009</v>
      </c>
      <c r="V393" s="815">
        <f t="shared" si="541"/>
        <v>2010</v>
      </c>
      <c r="W393" s="815">
        <f t="shared" si="541"/>
        <v>2011</v>
      </c>
      <c r="X393" s="2285">
        <f t="shared" si="541"/>
        <v>2012</v>
      </c>
      <c r="Y393" s="2285">
        <f t="shared" si="541"/>
        <v>2013</v>
      </c>
      <c r="Z393" s="2285">
        <f t="shared" si="541"/>
        <v>2014</v>
      </c>
      <c r="AA393" s="2285">
        <f t="shared" si="541"/>
        <v>2015</v>
      </c>
      <c r="AB393" s="2285">
        <f t="shared" si="541"/>
        <v>2016</v>
      </c>
      <c r="AC393" s="2285">
        <f t="shared" si="541"/>
        <v>2017</v>
      </c>
      <c r="AD393" s="2285">
        <f t="shared" si="541"/>
        <v>2018</v>
      </c>
      <c r="AE393" s="2285">
        <f t="shared" si="541"/>
        <v>2019</v>
      </c>
      <c r="AF393" s="2285">
        <f t="shared" si="541"/>
        <v>2020</v>
      </c>
      <c r="BB393" s="3470">
        <v>2016</v>
      </c>
      <c r="BC393" s="736" t="str">
        <f t="shared" si="539"/>
        <v/>
      </c>
    </row>
    <row r="394" spans="1:55" ht="12.75" customHeight="1">
      <c r="A394" s="701">
        <f>+ROW(InputY!A200)</f>
        <v>200</v>
      </c>
      <c r="B394" s="701">
        <v>94</v>
      </c>
      <c r="C394" s="816" t="s">
        <v>1791</v>
      </c>
      <c r="D394" s="705" t="s">
        <v>664</v>
      </c>
      <c r="E394" s="737" t="s">
        <v>371</v>
      </c>
      <c r="F394" s="738" t="str">
        <f>InputY!B200</f>
        <v>HChEqPenR</v>
      </c>
      <c r="G394" s="817">
        <f>InputY!G200/1000</f>
        <v>52.307000000000002</v>
      </c>
      <c r="H394" s="817">
        <f>InputY!H200/1000</f>
        <v>54.634</v>
      </c>
      <c r="I394" s="817">
        <f>InputY!I200/1000</f>
        <v>56.686</v>
      </c>
      <c r="J394" s="817">
        <f>InputY!J200/1000</f>
        <v>66.046999999999997</v>
      </c>
      <c r="K394" s="817">
        <f>InputY!K200/1000</f>
        <v>73.248000000000005</v>
      </c>
      <c r="L394" s="817">
        <f>InputY!L200/1000</f>
        <v>97.132999999999996</v>
      </c>
      <c r="M394" s="817">
        <f>InputY!M200/1000</f>
        <v>100.05200000000001</v>
      </c>
      <c r="N394" s="817">
        <f>InputY!N200/1000</f>
        <v>96.21</v>
      </c>
      <c r="O394" s="817">
        <f>InputY!O200/1000</f>
        <v>105.44199999999999</v>
      </c>
      <c r="P394" s="817">
        <f>InputY!P200/1000</f>
        <v>108.31</v>
      </c>
      <c r="Q394" s="817">
        <f>InputY!Q200/1000</f>
        <v>105.84399999999999</v>
      </c>
      <c r="R394" s="817">
        <f>InputY!R200/1000</f>
        <v>114.54300000000001</v>
      </c>
      <c r="S394" s="817">
        <f>InputY!S200/1000</f>
        <v>137.95400000000001</v>
      </c>
      <c r="T394" s="817">
        <f>InputY!T200/1000</f>
        <v>139.14599999999999</v>
      </c>
      <c r="U394" s="817">
        <f>InputY!U200/1000</f>
        <v>105.899</v>
      </c>
      <c r="V394" s="817">
        <f>InputY!V200/1000</f>
        <v>148.172</v>
      </c>
      <c r="W394" s="817">
        <f>InputY!W200/1000</f>
        <v>144.63300000000001</v>
      </c>
      <c r="X394" s="817">
        <f>InputY!X200/1000</f>
        <v>137.23400000000001</v>
      </c>
      <c r="Y394" s="817">
        <f>InputY!Y200/1000</f>
        <v>145.17699999999999</v>
      </c>
      <c r="Z394" s="817">
        <f>InputY!Z200/1000</f>
        <v>173.27</v>
      </c>
      <c r="AA394" s="817">
        <f>InputY!AA200/1000</f>
        <v>155.70699999999999</v>
      </c>
      <c r="AB394" s="817">
        <f>InputY!AB200/1000</f>
        <v>172.18100000000001</v>
      </c>
      <c r="AC394" s="817">
        <f>InputY!AC200/1000</f>
        <v>159.636</v>
      </c>
      <c r="AD394" s="2335">
        <f>+AD395+AD396</f>
        <v>163.22351999999998</v>
      </c>
      <c r="AE394" s="2335">
        <f>+AE395+AE396</f>
        <v>166.95837599999999</v>
      </c>
      <c r="AF394" s="2335">
        <f>+AF395+AF396</f>
        <v>170.79615225599997</v>
      </c>
      <c r="BB394" s="3471">
        <v>178.185</v>
      </c>
      <c r="BC394" s="736">
        <f t="shared" si="539"/>
        <v>-6.0039999999999907</v>
      </c>
    </row>
    <row r="395" spans="1:55" ht="12.75" customHeight="1">
      <c r="A395" s="701">
        <f>+ROW(InputY!A127)</f>
        <v>127</v>
      </c>
      <c r="B395" s="701">
        <v>108</v>
      </c>
      <c r="C395" s="819" t="s">
        <v>301</v>
      </c>
      <c r="D395" s="711" t="s">
        <v>665</v>
      </c>
      <c r="E395" s="820" t="s">
        <v>372</v>
      </c>
      <c r="F395" s="741" t="str">
        <f>InputY!B127</f>
        <v>EChEqPenR</v>
      </c>
      <c r="G395" s="743">
        <f>InputY!G127/1000</f>
        <v>52.307000000000002</v>
      </c>
      <c r="H395" s="743">
        <f>InputY!H127/1000</f>
        <v>54.634</v>
      </c>
      <c r="I395" s="743">
        <f>InputY!I127/1000</f>
        <v>56.686</v>
      </c>
      <c r="J395" s="743">
        <f>InputY!J127/1000</f>
        <v>64.805000000000007</v>
      </c>
      <c r="K395" s="743">
        <f>InputY!K127/1000</f>
        <v>72.58</v>
      </c>
      <c r="L395" s="743">
        <f>InputY!L127/1000</f>
        <v>93.325999999999993</v>
      </c>
      <c r="M395" s="743">
        <f>InputY!M127/1000</f>
        <v>95.694000000000003</v>
      </c>
      <c r="N395" s="743">
        <f>InputY!N127/1000</f>
        <v>90.97</v>
      </c>
      <c r="O395" s="743">
        <f>InputY!O127/1000</f>
        <v>98.188999999999993</v>
      </c>
      <c r="P395" s="743">
        <f>InputY!P127/1000</f>
        <v>101.544</v>
      </c>
      <c r="Q395" s="743">
        <f>InputY!Q127/1000</f>
        <v>97.962000000000003</v>
      </c>
      <c r="R395" s="743">
        <f>InputY!R127/1000</f>
        <v>107.31100000000001</v>
      </c>
      <c r="S395" s="743">
        <f>InputY!S127/1000</f>
        <v>129.05099999999999</v>
      </c>
      <c r="T395" s="743">
        <f>InputY!T127/1000</f>
        <v>130.19300000000001</v>
      </c>
      <c r="U395" s="743">
        <f>InputY!U127/1000</f>
        <v>96.894999999999996</v>
      </c>
      <c r="V395" s="743">
        <f>InputY!V127/1000</f>
        <v>139.64500000000001</v>
      </c>
      <c r="W395" s="743">
        <f>InputY!W127/1000</f>
        <v>134.98400000000001</v>
      </c>
      <c r="X395" s="743">
        <f>InputY!X127/1000</f>
        <v>130.108</v>
      </c>
      <c r="Y395" s="743">
        <f>InputY!Y127/1000</f>
        <v>137.02600000000001</v>
      </c>
      <c r="Z395" s="743">
        <f>InputY!Z127/1000</f>
        <v>164.93299999999999</v>
      </c>
      <c r="AA395" s="743">
        <f>InputY!AA127/1000</f>
        <v>147.06200000000001</v>
      </c>
      <c r="AB395" s="743">
        <f>InputY!AB127/1000</f>
        <v>162.25899999999999</v>
      </c>
      <c r="AC395" s="743">
        <f>InputY!AC127/1000</f>
        <v>148.494</v>
      </c>
      <c r="AD395" s="2279">
        <f t="shared" ref="AD395:AF396" si="542">+AC395*(1+AD401/100)</f>
        <v>151.46387999999999</v>
      </c>
      <c r="AE395" s="2279">
        <f t="shared" si="542"/>
        <v>154.49315759999999</v>
      </c>
      <c r="AF395" s="2279">
        <f t="shared" si="542"/>
        <v>157.58302075199998</v>
      </c>
      <c r="BB395" s="3472">
        <v>168.239</v>
      </c>
      <c r="BC395" s="736">
        <f t="shared" si="539"/>
        <v>-5.9800000000000182</v>
      </c>
    </row>
    <row r="396" spans="1:55" ht="12.75" customHeight="1">
      <c r="A396" s="701">
        <f>+ROW(InputY!A165)</f>
        <v>165</v>
      </c>
      <c r="B396" s="701" t="s">
        <v>963</v>
      </c>
      <c r="C396" s="819" t="s">
        <v>301</v>
      </c>
      <c r="D396" s="711" t="s">
        <v>666</v>
      </c>
      <c r="E396" s="820" t="s">
        <v>372</v>
      </c>
      <c r="F396" s="741" t="str">
        <f>InputY!B165</f>
        <v>AChEqPenR</v>
      </c>
      <c r="G396" s="743">
        <f>InputY!G165/1000</f>
        <v>0</v>
      </c>
      <c r="H396" s="743">
        <f>InputY!H165/1000</f>
        <v>0</v>
      </c>
      <c r="I396" s="743">
        <f>InputY!I165/1000</f>
        <v>0</v>
      </c>
      <c r="J396" s="743">
        <f>InputY!J165/1000</f>
        <v>1.242</v>
      </c>
      <c r="K396" s="743">
        <f>InputY!K165/1000</f>
        <v>0.66800000000000004</v>
      </c>
      <c r="L396" s="743">
        <f>InputY!L165/1000</f>
        <v>3.8069999999999999</v>
      </c>
      <c r="M396" s="743">
        <f>InputY!M165/1000</f>
        <v>4.3579999999999997</v>
      </c>
      <c r="N396" s="743">
        <f>InputY!N165/1000</f>
        <v>5.24</v>
      </c>
      <c r="O396" s="743">
        <f>InputY!O165/1000</f>
        <v>7.2450000000000001</v>
      </c>
      <c r="P396" s="743">
        <f>InputY!P165/1000</f>
        <v>6.76</v>
      </c>
      <c r="Q396" s="743">
        <f>InputY!Q165/1000</f>
        <v>7.8710000000000004</v>
      </c>
      <c r="R396" s="743">
        <f>InputY!R165/1000</f>
        <v>7.2229999999999999</v>
      </c>
      <c r="S396" s="743">
        <f>InputY!S165/1000</f>
        <v>8.8930000000000007</v>
      </c>
      <c r="T396" s="743">
        <f>InputY!T165/1000</f>
        <v>8.9429999999999996</v>
      </c>
      <c r="U396" s="743">
        <f>InputY!U165/1000</f>
        <v>8.9920000000000009</v>
      </c>
      <c r="V396" s="743">
        <f>InputY!V165/1000</f>
        <v>8.5150000000000006</v>
      </c>
      <c r="W396" s="743">
        <f>InputY!W165/1000</f>
        <v>9.6389999999999993</v>
      </c>
      <c r="X396" s="743">
        <f>InputY!X165/1000</f>
        <v>7.1139999999999999</v>
      </c>
      <c r="Y396" s="743">
        <f>InputY!Y165/1000</f>
        <v>8.1349999999999998</v>
      </c>
      <c r="Z396" s="743">
        <f>InputY!Z165/1000</f>
        <v>8.3140000000000001</v>
      </c>
      <c r="AA396" s="743">
        <f>InputY!AA165/1000</f>
        <v>8.6150000000000002</v>
      </c>
      <c r="AB396" s="743">
        <f>InputY!AB165/1000</f>
        <v>9.8800000000000008</v>
      </c>
      <c r="AC396" s="743">
        <f>InputY!AC165/1000</f>
        <v>11.093999999999999</v>
      </c>
      <c r="AD396" s="2279">
        <f t="shared" si="542"/>
        <v>11.759639999999999</v>
      </c>
      <c r="AE396" s="2279">
        <f t="shared" si="542"/>
        <v>12.465218399999999</v>
      </c>
      <c r="AF396" s="2279">
        <f t="shared" si="542"/>
        <v>13.213131504</v>
      </c>
      <c r="BB396" s="3472">
        <v>26.591999999999999</v>
      </c>
      <c r="BC396" s="736">
        <f t="shared" si="539"/>
        <v>-16.711999999999996</v>
      </c>
    </row>
    <row r="397" spans="1:55" ht="12.75" customHeight="1">
      <c r="A397" s="701"/>
      <c r="B397" s="701" t="s">
        <v>768</v>
      </c>
      <c r="C397" s="821" t="s">
        <v>1793</v>
      </c>
      <c r="D397" s="789" t="s">
        <v>667</v>
      </c>
      <c r="E397" s="790" t="str">
        <f>+E396</f>
        <v>Adj. for change in net eq. of pens. fund res. (D.8p)</v>
      </c>
      <c r="F397" s="791" t="s">
        <v>374</v>
      </c>
      <c r="G397" s="822">
        <f>+G394-G395-G396</f>
        <v>0</v>
      </c>
      <c r="H397" s="822">
        <f>+H394-H395-H396</f>
        <v>0</v>
      </c>
      <c r="I397" s="822">
        <f t="shared" ref="I397:V397" si="543">+I394-I395-I396</f>
        <v>0</v>
      </c>
      <c r="J397" s="822">
        <f t="shared" si="543"/>
        <v>-9.7699626167013776E-15</v>
      </c>
      <c r="K397" s="822">
        <f t="shared" si="543"/>
        <v>6.3282712403633923E-15</v>
      </c>
      <c r="L397" s="822">
        <f t="shared" si="543"/>
        <v>0</v>
      </c>
      <c r="M397" s="822">
        <f t="shared" si="543"/>
        <v>0</v>
      </c>
      <c r="N397" s="822">
        <f t="shared" si="543"/>
        <v>0</v>
      </c>
      <c r="O397" s="822">
        <f t="shared" si="543"/>
        <v>8.0000000000000071E-3</v>
      </c>
      <c r="P397" s="822">
        <f t="shared" si="543"/>
        <v>6.0000000000055564E-3</v>
      </c>
      <c r="Q397" s="822">
        <f t="shared" si="543"/>
        <v>1.0999999999990351E-2</v>
      </c>
      <c r="R397" s="822">
        <f t="shared" si="543"/>
        <v>8.9999999999994529E-3</v>
      </c>
      <c r="S397" s="822">
        <f t="shared" si="543"/>
        <v>1.0000000000019327E-2</v>
      </c>
      <c r="T397" s="822">
        <f t="shared" si="543"/>
        <v>9.9999999999749178E-3</v>
      </c>
      <c r="U397" s="822">
        <f t="shared" si="543"/>
        <v>1.2000000000004007E-2</v>
      </c>
      <c r="V397" s="822">
        <f t="shared" si="543"/>
        <v>1.1999999999986244E-2</v>
      </c>
      <c r="W397" s="822">
        <f>+W394-W395-W396</f>
        <v>1.0000000000001563E-2</v>
      </c>
      <c r="X397" s="822">
        <f t="shared" ref="X397:AB397" si="544">+X394-X395-X396</f>
        <v>1.2000000000004896E-2</v>
      </c>
      <c r="Y397" s="822">
        <f t="shared" si="544"/>
        <v>1.5999999999982251E-2</v>
      </c>
      <c r="Z397" s="822">
        <f t="shared" si="544"/>
        <v>2.3000000000017451E-2</v>
      </c>
      <c r="AA397" s="822">
        <f t="shared" si="544"/>
        <v>2.9999999999981597E-2</v>
      </c>
      <c r="AB397" s="822">
        <f t="shared" si="544"/>
        <v>4.2000000000024684E-2</v>
      </c>
      <c r="AC397" s="2341">
        <f t="shared" ref="AC397:AD397" si="545">+AC394-AC395-AC396</f>
        <v>4.799999999999649E-2</v>
      </c>
      <c r="AD397" s="2341">
        <f t="shared" si="545"/>
        <v>0</v>
      </c>
      <c r="AE397" s="2341">
        <f t="shared" ref="AE397:AF397" si="546">+AE394-AE395-AE396</f>
        <v>0</v>
      </c>
      <c r="AF397" s="2341">
        <f t="shared" si="546"/>
        <v>0</v>
      </c>
      <c r="BB397" s="3473">
        <v>-16.646000000000001</v>
      </c>
      <c r="BC397" s="736">
        <f t="shared" si="539"/>
        <v>16.688000000000024</v>
      </c>
    </row>
    <row r="398" spans="1:55">
      <c r="A398" s="701"/>
      <c r="B398" s="701"/>
      <c r="G398" s="886"/>
      <c r="Q398" s="882"/>
      <c r="R398" s="882"/>
      <c r="S398" s="882"/>
      <c r="T398" s="882"/>
      <c r="U398" s="882"/>
      <c r="V398" s="882"/>
      <c r="W398" s="882"/>
      <c r="BC398" s="736" t="str">
        <f t="shared" si="539"/>
        <v/>
      </c>
    </row>
    <row r="399" spans="1:55" ht="12.75" customHeight="1">
      <c r="A399" s="701"/>
      <c r="B399" s="701"/>
      <c r="C399" s="811"/>
      <c r="D399" s="779"/>
      <c r="E399" s="780" t="s">
        <v>1883</v>
      </c>
      <c r="F399" s="781"/>
      <c r="G399" s="782">
        <f>+InputY!$G$3</f>
        <v>1995</v>
      </c>
      <c r="H399" s="782">
        <f>+G399+1</f>
        <v>1996</v>
      </c>
      <c r="I399" s="782">
        <f t="shared" ref="I399:O399" si="547">+H399+1</f>
        <v>1997</v>
      </c>
      <c r="J399" s="782">
        <f t="shared" si="547"/>
        <v>1998</v>
      </c>
      <c r="K399" s="782">
        <f t="shared" si="547"/>
        <v>1999</v>
      </c>
      <c r="L399" s="782">
        <f t="shared" si="547"/>
        <v>2000</v>
      </c>
      <c r="M399" s="782">
        <f t="shared" si="547"/>
        <v>2001</v>
      </c>
      <c r="N399" s="782">
        <f t="shared" si="547"/>
        <v>2002</v>
      </c>
      <c r="O399" s="782">
        <f t="shared" si="547"/>
        <v>2003</v>
      </c>
      <c r="P399" s="782">
        <f>+O399+1</f>
        <v>2004</v>
      </c>
      <c r="Q399" s="782">
        <f>+P399+1</f>
        <v>2005</v>
      </c>
      <c r="R399" s="782">
        <f>+Q399+1</f>
        <v>2006</v>
      </c>
      <c r="S399" s="782">
        <f>+R399+1</f>
        <v>2007</v>
      </c>
      <c r="T399" s="782">
        <f t="shared" ref="T399:AF399" si="548">+S399+1</f>
        <v>2008</v>
      </c>
      <c r="U399" s="782">
        <f t="shared" si="548"/>
        <v>2009</v>
      </c>
      <c r="V399" s="782">
        <f t="shared" si="548"/>
        <v>2010</v>
      </c>
      <c r="W399" s="782">
        <f t="shared" si="548"/>
        <v>2011</v>
      </c>
      <c r="X399" s="2272">
        <f t="shared" si="548"/>
        <v>2012</v>
      </c>
      <c r="Y399" s="2272">
        <f t="shared" si="548"/>
        <v>2013</v>
      </c>
      <c r="Z399" s="2272">
        <f t="shared" si="548"/>
        <v>2014</v>
      </c>
      <c r="AA399" s="2272">
        <f t="shared" si="548"/>
        <v>2015</v>
      </c>
      <c r="AB399" s="2272">
        <f t="shared" si="548"/>
        <v>2016</v>
      </c>
      <c r="AC399" s="2272">
        <f t="shared" si="548"/>
        <v>2017</v>
      </c>
      <c r="AD399" s="2272">
        <f t="shared" si="548"/>
        <v>2018</v>
      </c>
      <c r="AE399" s="2272">
        <f t="shared" si="548"/>
        <v>2019</v>
      </c>
      <c r="AF399" s="2272">
        <f t="shared" si="548"/>
        <v>2020</v>
      </c>
      <c r="BB399" s="3476">
        <v>2016</v>
      </c>
      <c r="BC399" s="736" t="str">
        <f t="shared" si="539"/>
        <v/>
      </c>
    </row>
    <row r="400" spans="1:55" ht="12.75" customHeight="1">
      <c r="A400" s="701"/>
      <c r="B400" s="701"/>
      <c r="C400" s="831" t="s">
        <v>1791</v>
      </c>
      <c r="D400" s="726" t="s">
        <v>664</v>
      </c>
      <c r="E400" s="775" t="s">
        <v>371</v>
      </c>
      <c r="F400" s="770" t="s">
        <v>1282</v>
      </c>
      <c r="G400" s="776"/>
      <c r="H400" s="776">
        <f t="shared" ref="H400:AF400" si="549">(H394/G394-1)*100</f>
        <v>4.448735350909061</v>
      </c>
      <c r="I400" s="776">
        <f t="shared" si="549"/>
        <v>3.7559029175971093</v>
      </c>
      <c r="J400" s="776">
        <f t="shared" si="549"/>
        <v>16.513777652330376</v>
      </c>
      <c r="K400" s="776">
        <f t="shared" si="549"/>
        <v>10.902841915605578</v>
      </c>
      <c r="L400" s="776">
        <f t="shared" si="549"/>
        <v>32.608398864132802</v>
      </c>
      <c r="M400" s="776">
        <f t="shared" si="549"/>
        <v>3.0051578763139242</v>
      </c>
      <c r="N400" s="776">
        <f t="shared" si="549"/>
        <v>-3.8400031983368721</v>
      </c>
      <c r="O400" s="776">
        <f t="shared" si="549"/>
        <v>9.5956761251429157</v>
      </c>
      <c r="P400" s="776">
        <f t="shared" si="549"/>
        <v>2.7199787560933997</v>
      </c>
      <c r="Q400" s="776">
        <f t="shared" si="549"/>
        <v>-2.276798079586384</v>
      </c>
      <c r="R400" s="776">
        <f t="shared" si="549"/>
        <v>8.2186992177166509</v>
      </c>
      <c r="S400" s="776">
        <f t="shared" si="549"/>
        <v>20.438612573444036</v>
      </c>
      <c r="T400" s="776">
        <f t="shared" si="549"/>
        <v>0.86405613465356801</v>
      </c>
      <c r="U400" s="776">
        <f t="shared" si="549"/>
        <v>-23.89360815258792</v>
      </c>
      <c r="V400" s="776">
        <f t="shared" si="549"/>
        <v>39.918223968120571</v>
      </c>
      <c r="W400" s="776">
        <f t="shared" si="549"/>
        <v>-2.3884404610857612</v>
      </c>
      <c r="X400" s="776">
        <f t="shared" si="549"/>
        <v>-5.1157066506260733</v>
      </c>
      <c r="Y400" s="776">
        <f t="shared" si="549"/>
        <v>5.7879242753253513</v>
      </c>
      <c r="Z400" s="776">
        <f t="shared" si="549"/>
        <v>19.350861362337014</v>
      </c>
      <c r="AA400" s="776">
        <f t="shared" si="549"/>
        <v>-10.136203612858552</v>
      </c>
      <c r="AB400" s="776">
        <f t="shared" si="549"/>
        <v>10.58012806103774</v>
      </c>
      <c r="AC400" s="776">
        <f t="shared" si="549"/>
        <v>-7.2859374727757498</v>
      </c>
      <c r="AD400" s="2336">
        <f t="shared" si="549"/>
        <v>2.2473126362474449</v>
      </c>
      <c r="AE400" s="2336">
        <f t="shared" si="549"/>
        <v>2.2881849380530506</v>
      </c>
      <c r="AF400" s="2336">
        <f t="shared" si="549"/>
        <v>2.2986425407012678</v>
      </c>
      <c r="BB400" s="3477">
        <v>13.513875086002592</v>
      </c>
      <c r="BC400" s="736">
        <f t="shared" si="539"/>
        <v>-2.9337470249648518</v>
      </c>
    </row>
    <row r="401" spans="1:55" ht="12.75" customHeight="1">
      <c r="A401" s="701"/>
      <c r="B401" s="701"/>
      <c r="C401" s="832" t="s">
        <v>301</v>
      </c>
      <c r="D401" s="711" t="s">
        <v>665</v>
      </c>
      <c r="E401" s="820" t="s">
        <v>372</v>
      </c>
      <c r="F401" s="741" t="s">
        <v>1842</v>
      </c>
      <c r="G401" s="743"/>
      <c r="H401" s="743">
        <f t="shared" ref="H401:AC401" si="550">(H395/G395-1)*100</f>
        <v>4.448735350909061</v>
      </c>
      <c r="I401" s="743">
        <f t="shared" si="550"/>
        <v>3.7559029175971093</v>
      </c>
      <c r="J401" s="743">
        <f t="shared" si="550"/>
        <v>14.322760469957331</v>
      </c>
      <c r="K401" s="743">
        <f t="shared" si="550"/>
        <v>11.997531054702559</v>
      </c>
      <c r="L401" s="743">
        <f t="shared" si="550"/>
        <v>28.583631854505363</v>
      </c>
      <c r="M401" s="743">
        <f t="shared" si="550"/>
        <v>2.5373422197458417</v>
      </c>
      <c r="N401" s="743">
        <f t="shared" si="550"/>
        <v>-4.9365686458921143</v>
      </c>
      <c r="O401" s="743">
        <f t="shared" si="550"/>
        <v>7.935583159283266</v>
      </c>
      <c r="P401" s="743">
        <f t="shared" si="550"/>
        <v>3.4168796912077859</v>
      </c>
      <c r="Q401" s="743">
        <f t="shared" si="550"/>
        <v>-3.5275348617348046</v>
      </c>
      <c r="R401" s="743">
        <f t="shared" si="550"/>
        <v>9.5434964578101855</v>
      </c>
      <c r="S401" s="743">
        <f t="shared" si="550"/>
        <v>20.258873740809413</v>
      </c>
      <c r="T401" s="743">
        <f t="shared" si="550"/>
        <v>0.88492146515719572</v>
      </c>
      <c r="U401" s="743">
        <f t="shared" si="550"/>
        <v>-25.575875815135994</v>
      </c>
      <c r="V401" s="743">
        <f t="shared" si="550"/>
        <v>44.119923628670236</v>
      </c>
      <c r="W401" s="743">
        <f t="shared" si="550"/>
        <v>-3.3377492928497232</v>
      </c>
      <c r="X401" s="743">
        <f t="shared" si="550"/>
        <v>-3.6122799739228384</v>
      </c>
      <c r="Y401" s="743">
        <f t="shared" si="550"/>
        <v>5.3171211608817437</v>
      </c>
      <c r="Z401" s="743">
        <f t="shared" si="550"/>
        <v>20.366207872958398</v>
      </c>
      <c r="AA401" s="743">
        <f t="shared" si="550"/>
        <v>-10.835308883000961</v>
      </c>
      <c r="AB401" s="743">
        <f t="shared" si="550"/>
        <v>10.333736791285286</v>
      </c>
      <c r="AC401" s="743">
        <f t="shared" si="550"/>
        <v>-8.4833506924115056</v>
      </c>
      <c r="AD401" s="2276">
        <v>2</v>
      </c>
      <c r="AE401" s="2276">
        <v>2</v>
      </c>
      <c r="AF401" s="2276">
        <v>2</v>
      </c>
      <c r="AG401" s="3634" t="s">
        <v>2576</v>
      </c>
      <c r="BB401" s="3472">
        <v>13.412159657011124</v>
      </c>
      <c r="BC401" s="736">
        <f t="shared" si="539"/>
        <v>-3.0784228657258375</v>
      </c>
    </row>
    <row r="402" spans="1:55" ht="12.75" customHeight="1">
      <c r="A402" s="701"/>
      <c r="B402" s="701"/>
      <c r="C402" s="833" t="s">
        <v>301</v>
      </c>
      <c r="D402" s="728" t="s">
        <v>666</v>
      </c>
      <c r="E402" s="834" t="s">
        <v>372</v>
      </c>
      <c r="F402" s="773" t="s">
        <v>1549</v>
      </c>
      <c r="G402" s="778"/>
      <c r="H402" s="778" t="e">
        <f>(H396/G396-1)*100</f>
        <v>#DIV/0!</v>
      </c>
      <c r="I402" s="778" t="e">
        <f t="shared" ref="I402:AC403" si="551">(I396/H396-1)*100</f>
        <v>#DIV/0!</v>
      </c>
      <c r="J402" s="778" t="e">
        <f t="shared" si="551"/>
        <v>#DIV/0!</v>
      </c>
      <c r="K402" s="778">
        <f t="shared" si="551"/>
        <v>-46.21578099838969</v>
      </c>
      <c r="L402" s="778">
        <f t="shared" si="551"/>
        <v>469.91017964071852</v>
      </c>
      <c r="M402" s="778">
        <f t="shared" si="551"/>
        <v>14.473338586813767</v>
      </c>
      <c r="N402" s="778">
        <f t="shared" si="551"/>
        <v>20.238641578705852</v>
      </c>
      <c r="O402" s="778">
        <f t="shared" si="551"/>
        <v>38.263358778625943</v>
      </c>
      <c r="P402" s="778">
        <f t="shared" si="551"/>
        <v>-6.6942719116632183</v>
      </c>
      <c r="Q402" s="778">
        <f t="shared" si="551"/>
        <v>16.434911242603569</v>
      </c>
      <c r="R402" s="778">
        <f t="shared" si="551"/>
        <v>-8.23275314445433</v>
      </c>
      <c r="S402" s="778">
        <f t="shared" si="551"/>
        <v>23.120587013706228</v>
      </c>
      <c r="T402" s="778">
        <f t="shared" si="551"/>
        <v>0.5622399640166309</v>
      </c>
      <c r="U402" s="778">
        <f t="shared" si="551"/>
        <v>0.54791457005480826</v>
      </c>
      <c r="V402" s="778">
        <f t="shared" si="551"/>
        <v>-5.3047153024911031</v>
      </c>
      <c r="W402" s="778">
        <f t="shared" si="551"/>
        <v>13.200234879624183</v>
      </c>
      <c r="X402" s="778">
        <f t="shared" si="551"/>
        <v>-26.195663450565409</v>
      </c>
      <c r="Y402" s="778">
        <f t="shared" si="551"/>
        <v>14.351982007309537</v>
      </c>
      <c r="Z402" s="778">
        <f t="shared" si="551"/>
        <v>2.2003687768899827</v>
      </c>
      <c r="AA402" s="778">
        <f t="shared" si="551"/>
        <v>3.6203993264373402</v>
      </c>
      <c r="AB402" s="778">
        <f t="shared" si="551"/>
        <v>14.683691236215912</v>
      </c>
      <c r="AC402" s="778">
        <f t="shared" si="551"/>
        <v>12.287449392712535</v>
      </c>
      <c r="AD402" s="2275">
        <v>6</v>
      </c>
      <c r="AE402" s="2275">
        <v>6</v>
      </c>
      <c r="AF402" s="2275">
        <v>6</v>
      </c>
      <c r="AG402" s="3634" t="s">
        <v>2576</v>
      </c>
      <c r="BB402" s="3492">
        <v>8.7384992843999143</v>
      </c>
      <c r="BC402" s="736">
        <f t="shared" si="539"/>
        <v>5.9451919518159979</v>
      </c>
    </row>
    <row r="403" spans="1:55" ht="12.75" customHeight="1">
      <c r="A403" s="701"/>
      <c r="B403" s="701"/>
      <c r="C403" s="811"/>
      <c r="D403" s="754" t="s">
        <v>667</v>
      </c>
      <c r="E403" s="759" t="s">
        <v>372</v>
      </c>
      <c r="F403" s="760" t="s">
        <v>374</v>
      </c>
      <c r="G403" s="758"/>
      <c r="H403" s="758" t="e">
        <f>(H397/G397-1)*100</f>
        <v>#DIV/0!</v>
      </c>
      <c r="I403" s="758" t="e">
        <f>(I397/H397-1)*100</f>
        <v>#DIV/0!</v>
      </c>
      <c r="J403" s="758" t="e">
        <f t="shared" si="551"/>
        <v>#DIV/0!</v>
      </c>
      <c r="K403" s="758">
        <f t="shared" si="551"/>
        <v>-164.77272727272728</v>
      </c>
      <c r="L403" s="758">
        <f t="shared" si="551"/>
        <v>-100</v>
      </c>
      <c r="M403" s="758" t="e">
        <f t="shared" si="551"/>
        <v>#DIV/0!</v>
      </c>
      <c r="N403" s="758" t="e">
        <f t="shared" si="551"/>
        <v>#DIV/0!</v>
      </c>
      <c r="O403" s="758" t="e">
        <f t="shared" si="551"/>
        <v>#DIV/0!</v>
      </c>
      <c r="P403" s="758">
        <f t="shared" si="551"/>
        <v>-24.999999999930612</v>
      </c>
      <c r="Q403" s="758">
        <f t="shared" si="551"/>
        <v>83.333333333002727</v>
      </c>
      <c r="R403" s="758">
        <f t="shared" si="551"/>
        <v>-18.181818181751385</v>
      </c>
      <c r="S403" s="758">
        <f t="shared" si="551"/>
        <v>11.111111111332605</v>
      </c>
      <c r="T403" s="758">
        <f t="shared" si="551"/>
        <v>-4.4408920985006262E-10</v>
      </c>
      <c r="U403" s="758">
        <f t="shared" si="551"/>
        <v>20.000000000341057</v>
      </c>
      <c r="V403" s="758">
        <f t="shared" si="551"/>
        <v>-1.4802603587327212E-10</v>
      </c>
      <c r="W403" s="758">
        <f t="shared" si="551"/>
        <v>-16.666666666558115</v>
      </c>
      <c r="X403" s="758">
        <f t="shared" ref="X403" si="552">(X397/W397-1)*100</f>
        <v>20.000000000030195</v>
      </c>
      <c r="Y403" s="758">
        <f t="shared" ref="Y403" si="553">(Y397/X397-1)*100</f>
        <v>33.333333333131023</v>
      </c>
      <c r="Z403" s="758">
        <f t="shared" ref="Z403" si="554">(Z397/Y397-1)*100</f>
        <v>43.750000000268543</v>
      </c>
      <c r="AA403" s="758">
        <f t="shared" ref="AA403" si="555">(AA397/Z397-1)*100</f>
        <v>30.434782608516663</v>
      </c>
      <c r="AB403" s="758">
        <f t="shared" ref="AB403" si="556">(AB397/AA397-1)*100</f>
        <v>40.000000000168171</v>
      </c>
      <c r="AC403" s="758">
        <f t="shared" ref="AC403" si="557">(AC397/AB397-1)*100</f>
        <v>14.285714285638761</v>
      </c>
      <c r="AD403" s="2328">
        <f t="shared" ref="AD403:AF403" si="558">(AD397/AC397-1)*100</f>
        <v>-100</v>
      </c>
      <c r="AE403" s="2328" t="e">
        <f t="shared" si="558"/>
        <v>#DIV/0!</v>
      </c>
      <c r="AF403" s="2328" t="e">
        <f t="shared" si="558"/>
        <v>#DIV/0!</v>
      </c>
      <c r="BB403" s="3493">
        <v>5.181347150259219</v>
      </c>
      <c r="BC403" s="736">
        <f t="shared" si="539"/>
        <v>34.81865284990895</v>
      </c>
    </row>
    <row r="404" spans="1:55" ht="12.75" customHeight="1">
      <c r="A404" s="701"/>
      <c r="B404" s="701"/>
      <c r="C404" s="811"/>
      <c r="E404" s="823"/>
      <c r="F404" s="824"/>
      <c r="G404" s="740"/>
      <c r="H404" s="825"/>
      <c r="I404" s="740"/>
      <c r="J404" s="740"/>
      <c r="K404" s="740"/>
      <c r="L404" s="740"/>
      <c r="M404" s="740"/>
      <c r="N404" s="740"/>
      <c r="O404" s="740"/>
      <c r="P404" s="740"/>
      <c r="Q404" s="882"/>
      <c r="R404" s="882"/>
      <c r="S404" s="882"/>
      <c r="T404" s="882"/>
      <c r="U404" s="882"/>
      <c r="V404" s="882"/>
      <c r="W404" s="882"/>
      <c r="X404" s="2322"/>
      <c r="Y404" s="2322"/>
      <c r="Z404" s="2322"/>
      <c r="AA404" s="2322"/>
      <c r="AB404" s="2322"/>
      <c r="AC404" s="2322"/>
      <c r="AD404" s="2322"/>
      <c r="AE404" s="2322"/>
      <c r="AF404" s="2322"/>
      <c r="BB404" s="3475"/>
      <c r="BC404" s="736" t="str">
        <f t="shared" si="539"/>
        <v/>
      </c>
    </row>
    <row r="405" spans="1:55" ht="12.75" customHeight="1">
      <c r="A405" s="701"/>
      <c r="B405" s="701"/>
      <c r="C405" s="811"/>
      <c r="D405" s="855"/>
      <c r="E405" s="856" t="s">
        <v>1884</v>
      </c>
      <c r="F405" s="857"/>
      <c r="G405" s="858">
        <f>+InputY!$G$3</f>
        <v>1995</v>
      </c>
      <c r="H405" s="858">
        <f>+G405+1</f>
        <v>1996</v>
      </c>
      <c r="I405" s="858">
        <f t="shared" ref="I405:O405" si="559">+H405+1</f>
        <v>1997</v>
      </c>
      <c r="J405" s="858">
        <f t="shared" si="559"/>
        <v>1998</v>
      </c>
      <c r="K405" s="858">
        <f t="shared" si="559"/>
        <v>1999</v>
      </c>
      <c r="L405" s="858">
        <f t="shared" si="559"/>
        <v>2000</v>
      </c>
      <c r="M405" s="858">
        <f t="shared" si="559"/>
        <v>2001</v>
      </c>
      <c r="N405" s="858">
        <f t="shared" si="559"/>
        <v>2002</v>
      </c>
      <c r="O405" s="858">
        <f t="shared" si="559"/>
        <v>2003</v>
      </c>
      <c r="P405" s="858">
        <f>+O405+1</f>
        <v>2004</v>
      </c>
      <c r="Q405" s="858">
        <f>+P405+1</f>
        <v>2005</v>
      </c>
      <c r="R405" s="858">
        <f>+Q405+1</f>
        <v>2006</v>
      </c>
      <c r="S405" s="858">
        <f>+R405+1</f>
        <v>2007</v>
      </c>
      <c r="T405" s="858">
        <f t="shared" ref="T405:AF405" si="560">+S405+1</f>
        <v>2008</v>
      </c>
      <c r="U405" s="858">
        <f t="shared" si="560"/>
        <v>2009</v>
      </c>
      <c r="V405" s="858">
        <f t="shared" si="560"/>
        <v>2010</v>
      </c>
      <c r="W405" s="858">
        <f t="shared" si="560"/>
        <v>2011</v>
      </c>
      <c r="X405" s="2323">
        <f t="shared" si="560"/>
        <v>2012</v>
      </c>
      <c r="Y405" s="2323">
        <f t="shared" si="560"/>
        <v>2013</v>
      </c>
      <c r="Z405" s="2323">
        <f t="shared" si="560"/>
        <v>2014</v>
      </c>
      <c r="AA405" s="2323">
        <f t="shared" si="560"/>
        <v>2015</v>
      </c>
      <c r="AB405" s="2323">
        <f t="shared" si="560"/>
        <v>2016</v>
      </c>
      <c r="AC405" s="2323">
        <f t="shared" si="560"/>
        <v>2017</v>
      </c>
      <c r="AD405" s="2323">
        <f t="shared" si="560"/>
        <v>2018</v>
      </c>
      <c r="AE405" s="2323">
        <f t="shared" si="560"/>
        <v>2019</v>
      </c>
      <c r="AF405" s="2323">
        <f t="shared" si="560"/>
        <v>2020</v>
      </c>
      <c r="BB405" s="3486">
        <v>2016</v>
      </c>
      <c r="BC405" s="736" t="str">
        <f t="shared" si="539"/>
        <v/>
      </c>
    </row>
    <row r="406" spans="1:55" ht="12.75" customHeight="1">
      <c r="A406" s="701"/>
      <c r="B406" s="701"/>
      <c r="C406" s="859" t="s">
        <v>1791</v>
      </c>
      <c r="D406" s="860" t="s">
        <v>664</v>
      </c>
      <c r="E406" s="861" t="s">
        <v>371</v>
      </c>
      <c r="F406" s="862" t="s">
        <v>1282</v>
      </c>
      <c r="G406" s="875">
        <f>+G394/'VVP2'!G$341</f>
        <v>2.7739535692769809E-2</v>
      </c>
      <c r="H406" s="875">
        <f>+H394/'VVP2'!H$341</f>
        <v>2.8243704177777045E-2</v>
      </c>
      <c r="I406" s="875">
        <f>+I394/'VVP2'!I$341</f>
        <v>2.8034924217770915E-2</v>
      </c>
      <c r="J406" s="875">
        <f>+J394/'VVP2'!J$341</f>
        <v>3.1089631642915713E-2</v>
      </c>
      <c r="K406" s="875">
        <f>+K394/'VVP2'!K$341</f>
        <v>3.269163736240685E-2</v>
      </c>
      <c r="L406" s="875">
        <f>+L394/'VVP2'!L$341</f>
        <v>4.0750100896701072E-2</v>
      </c>
      <c r="M406" s="875">
        <f>+M394/'VVP2'!M$341</f>
        <v>4.0312403804157758E-2</v>
      </c>
      <c r="N406" s="875">
        <f>+N394/'VVP2'!N$341</f>
        <v>3.7378217757159299E-2</v>
      </c>
      <c r="O406" s="875">
        <f>+O394/'VVP2'!O$341</f>
        <v>3.9331364564321264E-2</v>
      </c>
      <c r="P406" s="875">
        <f>+P394/'VVP2'!P$341</f>
        <v>3.8566402329010478E-2</v>
      </c>
      <c r="Q406" s="875">
        <f>+Q394/'VVP2'!Q$341</f>
        <v>3.6363973679029972E-2</v>
      </c>
      <c r="R406" s="875">
        <f>+R394/'VVP2'!R$341</f>
        <v>3.6915606829111713E-2</v>
      </c>
      <c r="S406" s="3199">
        <f>+S394/'VVP2'!S$341</f>
        <v>4.1791793535440803E-2</v>
      </c>
      <c r="T406" s="3199">
        <f>+T394/'VVP2'!T$341</f>
        <v>4.1025674289533708E-2</v>
      </c>
      <c r="U406" s="3199">
        <f>+U394/'VVP2'!U$341</f>
        <v>3.2168502576997812E-2</v>
      </c>
      <c r="V406" s="3199">
        <f>+V394/'VVP2'!V$341</f>
        <v>4.2048638070459818E-2</v>
      </c>
      <c r="W406" s="3199">
        <f>+W394/'VVP2'!W$341</f>
        <v>3.9505954996977635E-2</v>
      </c>
      <c r="X406" s="3199">
        <f>+X394/'VVP2'!X$341</f>
        <v>3.7202168359912829E-2</v>
      </c>
      <c r="Y406" s="3199">
        <f>+Y394/'VVP2'!Y$341</f>
        <v>3.8468295327507944E-2</v>
      </c>
      <c r="Z406" s="3199">
        <f>+Z394/'VVP2'!Z$341</f>
        <v>4.3966835197320427E-2</v>
      </c>
      <c r="AA406" s="3199">
        <f>+AA394/'VVP2'!AA$341</f>
        <v>3.7059480290931215E-2</v>
      </c>
      <c r="AB406" s="3199">
        <f>+AB394/'VVP2'!AB$341</f>
        <v>3.9261456569232633E-2</v>
      </c>
      <c r="AC406" s="3199">
        <f>+AC394/'VVP2'!AC$341</f>
        <v>3.4863402752495741E-2</v>
      </c>
      <c r="AD406" s="2329">
        <f ca="1">+AD394/'VVP2'!AD$341</f>
        <v>3.3982421033384135E-2</v>
      </c>
      <c r="AE406" s="2329">
        <f ca="1">+AE394/'VVP2'!AE$341</f>
        <v>3.3493519618598241E-2</v>
      </c>
      <c r="AF406" s="2329">
        <f ca="1">+AF394/'VVP2'!AF$341</f>
        <v>3.3090310094177955E-2</v>
      </c>
      <c r="BB406" s="3553">
        <v>4.0451193637685706E-2</v>
      </c>
      <c r="BC406" s="736" t="str">
        <f t="shared" si="539"/>
        <v/>
      </c>
    </row>
    <row r="407" spans="1:55" ht="12.75" customHeight="1">
      <c r="A407" s="701"/>
      <c r="B407" s="701"/>
      <c r="C407" s="863" t="s">
        <v>301</v>
      </c>
      <c r="D407" s="711" t="s">
        <v>665</v>
      </c>
      <c r="E407" s="820" t="s">
        <v>372</v>
      </c>
      <c r="F407" s="741" t="s">
        <v>1842</v>
      </c>
      <c r="G407" s="876">
        <f>+G395/'VVP2'!G$341</f>
        <v>2.7739535692769809E-2</v>
      </c>
      <c r="H407" s="876">
        <f>+H395/'VVP2'!H$341</f>
        <v>2.8243704177777045E-2</v>
      </c>
      <c r="I407" s="876">
        <f>+I395/'VVP2'!I$341</f>
        <v>2.8034924217770915E-2</v>
      </c>
      <c r="J407" s="876">
        <f>+J395/'VVP2'!J$341</f>
        <v>3.0504997632279332E-2</v>
      </c>
      <c r="K407" s="876">
        <f>+K395/'VVP2'!K$341</f>
        <v>3.23934993414631E-2</v>
      </c>
      <c r="L407" s="876">
        <f>+L395/'VVP2'!L$341</f>
        <v>3.9152954364485029E-2</v>
      </c>
      <c r="M407" s="876">
        <f>+M395/'VVP2'!M$341</f>
        <v>3.8556502315146846E-2</v>
      </c>
      <c r="N407" s="876">
        <f>+N395/'VVP2'!N$341</f>
        <v>3.5342443294551315E-2</v>
      </c>
      <c r="O407" s="876">
        <f>+O395/'VVP2'!O$341</f>
        <v>3.6625892483129502E-2</v>
      </c>
      <c r="P407" s="876">
        <f>+P395/'VVP2'!P$341</f>
        <v>3.615720393405078E-2</v>
      </c>
      <c r="Q407" s="876">
        <f>+Q395/'VVP2'!Q$341</f>
        <v>3.3656018192293698E-2</v>
      </c>
      <c r="R407" s="876">
        <f>+R395/'VVP2'!R$341</f>
        <v>3.4584834380440597E-2</v>
      </c>
      <c r="S407" s="3200">
        <f>+S395/'VVP2'!S$341</f>
        <v>3.9094718149108913E-2</v>
      </c>
      <c r="T407" s="3200">
        <f>+T395/'VVP2'!T$341</f>
        <v>3.8385980285292165E-2</v>
      </c>
      <c r="U407" s="3200">
        <f>+U395/'VVP2'!U$341</f>
        <v>2.9433394623161722E-2</v>
      </c>
      <c r="V407" s="3200">
        <f>+V395/'VVP2'!V$341</f>
        <v>3.9628823686994587E-2</v>
      </c>
      <c r="W407" s="3200">
        <f>+W395/'VVP2'!W$341</f>
        <v>3.6870367269655126E-2</v>
      </c>
      <c r="X407" s="3200">
        <f>+X395/'VVP2'!X$341</f>
        <v>3.5270412004106404E-2</v>
      </c>
      <c r="Y407" s="3200">
        <f>+Y395/'VVP2'!Y$341</f>
        <v>3.6308482993498307E-2</v>
      </c>
      <c r="Z407" s="3200">
        <f>+Z395/'VVP2'!Z$341</f>
        <v>4.1851342007269865E-2</v>
      </c>
      <c r="AA407" s="3200">
        <f>+AA395/'VVP2'!AA$341</f>
        <v>3.500190287234952E-2</v>
      </c>
      <c r="AB407" s="3200">
        <f>+AB395/'VVP2'!AB$341</f>
        <v>3.699899920123078E-2</v>
      </c>
      <c r="AC407" s="3200">
        <f>+AC395/'VVP2'!AC$341</f>
        <v>3.2430066703808054E-2</v>
      </c>
      <c r="AD407" s="2330">
        <f ca="1">+AD395/'VVP2'!AD$341</f>
        <v>3.1534115558284559E-2</v>
      </c>
      <c r="AE407" s="2330">
        <f ca="1">+AE395/'VVP2'!AE$341</f>
        <v>3.0992872169616634E-2</v>
      </c>
      <c r="AF407" s="2330">
        <f ca="1">+AF395/'VVP2'!AF$341</f>
        <v>3.0530377607366609E-2</v>
      </c>
      <c r="BB407" s="3554">
        <v>3.8193273094876704E-2</v>
      </c>
      <c r="BC407" s="736" t="str">
        <f t="shared" si="539"/>
        <v/>
      </c>
    </row>
    <row r="408" spans="1:55" ht="12.75" customHeight="1">
      <c r="A408" s="701"/>
      <c r="B408" s="701"/>
      <c r="C408" s="864" t="s">
        <v>301</v>
      </c>
      <c r="D408" s="865" t="s">
        <v>666</v>
      </c>
      <c r="E408" s="866" t="s">
        <v>372</v>
      </c>
      <c r="F408" s="867" t="s">
        <v>1549</v>
      </c>
      <c r="G408" s="877">
        <f>+G396/'VVP2'!G$341</f>
        <v>0</v>
      </c>
      <c r="H408" s="877">
        <f>+H396/'VVP2'!H$341</f>
        <v>0</v>
      </c>
      <c r="I408" s="877">
        <f>+I396/'VVP2'!I$341</f>
        <v>0</v>
      </c>
      <c r="J408" s="877">
        <f>+J396/'VVP2'!J$341</f>
        <v>5.84634010636385E-4</v>
      </c>
      <c r="K408" s="877">
        <f>+K396/'VVP2'!K$341</f>
        <v>2.981380209437497E-4</v>
      </c>
      <c r="L408" s="877">
        <f>+L396/'VVP2'!L$341</f>
        <v>1.5971465322160438E-3</v>
      </c>
      <c r="M408" s="877">
        <f>+M396/'VVP2'!M$341</f>
        <v>1.7559014890109091E-3</v>
      </c>
      <c r="N408" s="877">
        <f>+N396/'VVP2'!N$341</f>
        <v>2.0357744626079903E-3</v>
      </c>
      <c r="O408" s="877">
        <f>+O396/'VVP2'!O$341</f>
        <v>2.7024879674940497E-3</v>
      </c>
      <c r="P408" s="877">
        <f>+P396/'VVP2'!P$341</f>
        <v>2.4070619494424412E-3</v>
      </c>
      <c r="Q408" s="877">
        <f>+Q396/'VVP2'!Q$341</f>
        <v>2.7041763050115728E-3</v>
      </c>
      <c r="R408" s="877">
        <f>+R396/'VVP2'!R$341</f>
        <v>2.3278718745508142E-3</v>
      </c>
      <c r="S408" s="3201">
        <f>+S396/'VVP2'!S$341</f>
        <v>2.6940459856957762E-3</v>
      </c>
      <c r="T408" s="3201">
        <f>+T396/'VVP2'!T$341</f>
        <v>2.63674561375318E-3</v>
      </c>
      <c r="U408" s="3201">
        <f>+U396/'VVP2'!U$341</f>
        <v>2.7314627633156533E-3</v>
      </c>
      <c r="V408" s="3201">
        <f>+V396/'VVP2'!V$341</f>
        <v>2.4164089920495463E-3</v>
      </c>
      <c r="W408" s="3201">
        <f>+W396/'VVP2'!W$341</f>
        <v>2.6328562652774084E-3</v>
      </c>
      <c r="X408" s="3201">
        <f>+X396/'VVP2'!X$341</f>
        <v>1.928503327983006E-3</v>
      </c>
      <c r="Y408" s="3201">
        <f>+Y396/'VVP2'!Y$341</f>
        <v>2.1555727318327087E-3</v>
      </c>
      <c r="Z408" s="3201">
        <f>+Z396/'VVP2'!Z$341</f>
        <v>2.1096569967710625E-3</v>
      </c>
      <c r="AA408" s="3201">
        <f>+AA396/'VVP2'!AA$341</f>
        <v>2.0504371846247916E-3</v>
      </c>
      <c r="AB408" s="3201">
        <f>+AB396/'VVP2'!AB$341</f>
        <v>2.2528803462868634E-3</v>
      </c>
      <c r="AC408" s="3201">
        <f>+AC396/'VVP2'!AC$341</f>
        <v>2.4228531793341586E-3</v>
      </c>
      <c r="AD408" s="2331">
        <f ca="1">+AD396/'VVP2'!AD$341</f>
        <v>2.4483054750995777E-3</v>
      </c>
      <c r="AE408" s="2331">
        <f ca="1">+AE396/'VVP2'!AE$341</f>
        <v>2.5006474489816057E-3</v>
      </c>
      <c r="AF408" s="2331">
        <f ca="1">+AF396/'VVP2'!AF$341</f>
        <v>2.5599324868113499E-3</v>
      </c>
      <c r="BB408" s="3555">
        <v>6.0368613587750836E-3</v>
      </c>
      <c r="BC408" s="736" t="str">
        <f t="shared" si="539"/>
        <v/>
      </c>
    </row>
    <row r="409" spans="1:55" ht="12.75" customHeight="1">
      <c r="A409" s="701"/>
      <c r="B409" s="701"/>
      <c r="C409" s="811" t="s">
        <v>1793</v>
      </c>
      <c r="D409" s="843" t="s">
        <v>667</v>
      </c>
      <c r="E409" s="844" t="s">
        <v>372</v>
      </c>
      <c r="F409" s="845" t="s">
        <v>374</v>
      </c>
      <c r="G409" s="878">
        <f>+G397/'VVP2'!G$341</f>
        <v>0</v>
      </c>
      <c r="H409" s="878">
        <f>+H397/'VVP2'!H$341</f>
        <v>0</v>
      </c>
      <c r="I409" s="878">
        <f>+I397/'VVP2'!I$341</f>
        <v>0</v>
      </c>
      <c r="J409" s="878">
        <f>+J397/'VVP2'!J$341</f>
        <v>-4.5989149986873399E-18</v>
      </c>
      <c r="K409" s="878">
        <f>+K397/'VVP2'!K$341</f>
        <v>2.8243985981993858E-18</v>
      </c>
      <c r="L409" s="878">
        <f>+L397/'VVP2'!L$341</f>
        <v>0</v>
      </c>
      <c r="M409" s="878">
        <f>+M397/'VVP2'!M$341</f>
        <v>0</v>
      </c>
      <c r="N409" s="878">
        <f>+N397/'VVP2'!N$341</f>
        <v>0</v>
      </c>
      <c r="O409" s="878">
        <f>+O397/'VVP2'!O$341</f>
        <v>2.9841136977159995E-6</v>
      </c>
      <c r="P409" s="878">
        <f>+P397/'VVP2'!P$341</f>
        <v>2.1364455172585833E-6</v>
      </c>
      <c r="Q409" s="878">
        <f>+Q397/'VVP2'!Q$341</f>
        <v>3.7791817246984129E-6</v>
      </c>
      <c r="R409" s="878">
        <f>+R397/'VVP2'!R$341</f>
        <v>2.9005741203040361E-6</v>
      </c>
      <c r="S409" s="878">
        <f>+S397/'VVP2'!S$341</f>
        <v>3.0294006361194002E-6</v>
      </c>
      <c r="T409" s="878">
        <f>+T397/'VVP2'!T$341</f>
        <v>2.9483904883669535E-6</v>
      </c>
      <c r="U409" s="878">
        <f>+U397/'VVP2'!U$341</f>
        <v>3.6451905204402561E-6</v>
      </c>
      <c r="V409" s="878">
        <f>+V397/'VVP2'!V$341</f>
        <v>3.4053914156854156E-6</v>
      </c>
      <c r="W409" s="878">
        <f>+W397/'VVP2'!W$341</f>
        <v>2.7314620451061522E-6</v>
      </c>
      <c r="X409" s="878">
        <f>+X397/'VVP2'!X$341</f>
        <v>3.2530278234193866E-6</v>
      </c>
      <c r="Y409" s="878">
        <f>+Y397/'VVP2'!Y$341</f>
        <v>4.2396021769250247E-6</v>
      </c>
      <c r="Z409" s="878">
        <f>+Z397/'VVP2'!Z$341</f>
        <v>5.8361932795009929E-6</v>
      </c>
      <c r="AA409" s="878">
        <f>+AA397/'VVP2'!AA$341</f>
        <v>7.1402339569014529E-6</v>
      </c>
      <c r="AB409" s="878">
        <f>+AB397/'VVP2'!AB$341</f>
        <v>9.5770217149902693E-6</v>
      </c>
      <c r="AC409" s="878">
        <f>+AC397/'VVP2'!AC$341</f>
        <v>1.0482869353527232E-5</v>
      </c>
      <c r="AD409" s="2332">
        <f ca="1">+AD397/'VVP2'!AD$341</f>
        <v>0</v>
      </c>
      <c r="AE409" s="2332">
        <f ca="1">+AE397/'VVP2'!AE$341</f>
        <v>0</v>
      </c>
      <c r="AF409" s="2332">
        <f ca="1">+AF397/'VVP2'!AF$341</f>
        <v>0</v>
      </c>
      <c r="BB409" s="3556">
        <v>-3.7789408159660818E-3</v>
      </c>
      <c r="BC409" s="736" t="str">
        <f t="shared" si="539"/>
        <v/>
      </c>
    </row>
    <row r="410" spans="1:55" ht="30" customHeight="1">
      <c r="A410" s="701"/>
      <c r="B410" s="701"/>
      <c r="C410" s="811"/>
      <c r="BC410" s="736" t="str">
        <f t="shared" si="539"/>
        <v/>
      </c>
    </row>
    <row r="411" spans="1:55" ht="30" customHeight="1">
      <c r="R411" s="880"/>
      <c r="S411" s="880"/>
      <c r="T411" s="880"/>
      <c r="U411" s="880"/>
      <c r="V411" s="880"/>
      <c r="W411" s="880"/>
      <c r="BC411" s="736" t="str">
        <f t="shared" si="539"/>
        <v/>
      </c>
    </row>
    <row r="412" spans="1:55" ht="22.5" customHeight="1">
      <c r="A412" s="590"/>
      <c r="B412" s="590"/>
      <c r="C412" s="3846" t="s">
        <v>1998</v>
      </c>
      <c r="D412" s="3846"/>
      <c r="E412" s="3846"/>
      <c r="F412" s="3846"/>
      <c r="AN412" s="2945"/>
      <c r="AO412" s="2945"/>
      <c r="AP412" s="2945"/>
      <c r="AQ412" s="2945"/>
      <c r="BC412" s="736" t="str">
        <f t="shared" si="539"/>
        <v/>
      </c>
    </row>
    <row r="413" spans="1:55" ht="12.75" customHeight="1">
      <c r="A413" s="701"/>
      <c r="B413" s="701"/>
      <c r="C413" s="811"/>
      <c r="X413" s="2322"/>
      <c r="Y413" s="2322"/>
      <c r="Z413" s="2322"/>
      <c r="AA413" s="2322"/>
      <c r="AB413" s="2322"/>
      <c r="AC413" s="2322"/>
      <c r="AD413" s="2322"/>
      <c r="AE413" s="2322"/>
      <c r="AF413" s="2322"/>
      <c r="AH413" s="2945"/>
      <c r="AI413" s="2945"/>
      <c r="AJ413" s="2945"/>
      <c r="AK413" s="2945"/>
      <c r="AL413" s="2945"/>
      <c r="AM413" s="2945"/>
      <c r="BB413" s="3475"/>
      <c r="BC413" s="736" t="str">
        <f t="shared" si="539"/>
        <v/>
      </c>
    </row>
    <row r="414" spans="1:55" ht="12.75" customHeight="1">
      <c r="A414" s="701"/>
      <c r="B414" s="701"/>
      <c r="C414" s="811"/>
      <c r="V414" s="2339">
        <f>V417/'VVP2'!V341</f>
        <v>8.3718426345924205E-2</v>
      </c>
      <c r="W414" s="2339">
        <f>W417/'VVP2'!W341</f>
        <v>8.3578095094758512E-2</v>
      </c>
      <c r="X414" s="2339">
        <f>X417/'VVP2'!X341</f>
        <v>8.420869149395574E-2</v>
      </c>
      <c r="Y414" s="2339">
        <f>Y417/'VVP2'!Y341</f>
        <v>8.5032640962135322E-2</v>
      </c>
      <c r="Z414" s="2339">
        <f>Z417/'VVP2'!Z341</f>
        <v>8.3518463304934745E-2</v>
      </c>
      <c r="AA414" s="2339">
        <f>AA417/'VVP2'!AA341</f>
        <v>8.1066884237528933E-2</v>
      </c>
      <c r="AB414" s="2339">
        <f>AB417/'VVP2'!AB341</f>
        <v>8.0389292251254532E-2</v>
      </c>
      <c r="AC414" s="2339">
        <f>AC417/'VVP2'!AC341</f>
        <v>7.8354206982945027E-2</v>
      </c>
      <c r="AD414" s="2339">
        <f ca="1">AD417/'VVP2'!AD341</f>
        <v>7.8524405612057147E-2</v>
      </c>
      <c r="AE414" s="2339">
        <f ca="1">AE417/'VVP2'!AE341</f>
        <v>7.8259255849669765E-2</v>
      </c>
      <c r="AF414" s="2339">
        <f ca="1">AF417/'VVP2'!AF341</f>
        <v>7.8063931997680955E-2</v>
      </c>
      <c r="BB414" s="3475"/>
      <c r="BC414" s="736" t="str">
        <f t="shared" si="539"/>
        <v/>
      </c>
    </row>
    <row r="415" spans="1:55" ht="12.75" customHeight="1">
      <c r="A415" s="701"/>
      <c r="B415" s="701"/>
      <c r="C415" s="811"/>
      <c r="D415" s="812"/>
      <c r="E415" s="813" t="s">
        <v>1882</v>
      </c>
      <c r="F415" s="814"/>
      <c r="G415" s="815">
        <f>+InputY!$G$3</f>
        <v>1995</v>
      </c>
      <c r="H415" s="815">
        <f>+G415+1</f>
        <v>1996</v>
      </c>
      <c r="I415" s="815">
        <f t="shared" ref="I415:O415" si="561">+H415+1</f>
        <v>1997</v>
      </c>
      <c r="J415" s="815">
        <f t="shared" si="561"/>
        <v>1998</v>
      </c>
      <c r="K415" s="815">
        <f t="shared" si="561"/>
        <v>1999</v>
      </c>
      <c r="L415" s="815">
        <f t="shared" si="561"/>
        <v>2000</v>
      </c>
      <c r="M415" s="815">
        <f t="shared" si="561"/>
        <v>2001</v>
      </c>
      <c r="N415" s="815">
        <f t="shared" si="561"/>
        <v>2002</v>
      </c>
      <c r="O415" s="815">
        <f t="shared" si="561"/>
        <v>2003</v>
      </c>
      <c r="P415" s="815">
        <f t="shared" ref="P415:AF415" si="562">+O415+1</f>
        <v>2004</v>
      </c>
      <c r="Q415" s="815">
        <f t="shared" si="562"/>
        <v>2005</v>
      </c>
      <c r="R415" s="2285">
        <f t="shared" si="562"/>
        <v>2006</v>
      </c>
      <c r="S415" s="2285">
        <f t="shared" si="562"/>
        <v>2007</v>
      </c>
      <c r="T415" s="2285">
        <f t="shared" si="562"/>
        <v>2008</v>
      </c>
      <c r="U415" s="2285">
        <f t="shared" si="562"/>
        <v>2009</v>
      </c>
      <c r="V415" s="2285">
        <f t="shared" si="562"/>
        <v>2010</v>
      </c>
      <c r="W415" s="2285">
        <f t="shared" si="562"/>
        <v>2011</v>
      </c>
      <c r="X415" s="2285">
        <f t="shared" si="562"/>
        <v>2012</v>
      </c>
      <c r="Y415" s="2285">
        <f t="shared" si="562"/>
        <v>2013</v>
      </c>
      <c r="Z415" s="2285">
        <f t="shared" si="562"/>
        <v>2014</v>
      </c>
      <c r="AA415" s="2285">
        <f t="shared" si="562"/>
        <v>2015</v>
      </c>
      <c r="AB415" s="2285">
        <f t="shared" si="562"/>
        <v>2016</v>
      </c>
      <c r="AC415" s="2285">
        <f t="shared" si="562"/>
        <v>2017</v>
      </c>
      <c r="AD415" s="2285">
        <f t="shared" si="562"/>
        <v>2018</v>
      </c>
      <c r="AE415" s="2285">
        <f t="shared" si="562"/>
        <v>2019</v>
      </c>
      <c r="AF415" s="2285">
        <f t="shared" si="562"/>
        <v>2020</v>
      </c>
      <c r="BB415" s="3470">
        <v>2016</v>
      </c>
      <c r="BC415" s="736" t="str">
        <f t="shared" si="539"/>
        <v/>
      </c>
    </row>
    <row r="416" spans="1:55" ht="12.75" customHeight="1">
      <c r="A416" s="701"/>
      <c r="B416" s="701"/>
      <c r="C416" s="816" t="s">
        <v>1791</v>
      </c>
      <c r="D416" s="705" t="s">
        <v>666</v>
      </c>
      <c r="E416" s="737" t="str">
        <f>+Labour1!E210</f>
        <v>Compensation of employees (D.1p)</v>
      </c>
      <c r="F416" s="738" t="s">
        <v>1596</v>
      </c>
      <c r="G416" s="817">
        <f>+Labour1!G210</f>
        <v>254.196</v>
      </c>
      <c r="H416" s="817">
        <f>+Labour1!H210</f>
        <v>268.04500000000002</v>
      </c>
      <c r="I416" s="817">
        <f>+Labour1!I210</f>
        <v>274.49599999999998</v>
      </c>
      <c r="J416" s="817">
        <f>+Labour1!J210</f>
        <v>266.63799999999998</v>
      </c>
      <c r="K416" s="817">
        <f>+Labour1!K210</f>
        <v>280.95800000000003</v>
      </c>
      <c r="L416" s="817">
        <f>+Labour1!L210</f>
        <v>294.495</v>
      </c>
      <c r="M416" s="817">
        <f>+Labour1!M210</f>
        <v>311.065</v>
      </c>
      <c r="N416" s="817">
        <f>+Labour1!N210</f>
        <v>327.976</v>
      </c>
      <c r="O416" s="817">
        <f>+Labour1!O210</f>
        <v>350.36099999999999</v>
      </c>
      <c r="P416" s="817">
        <f>+Labour1!P210</f>
        <v>361.548</v>
      </c>
      <c r="Q416" s="817">
        <f>+Labour1!Q210</f>
        <v>371.09899999999999</v>
      </c>
      <c r="R416" s="817">
        <f>+Labour1!R210</f>
        <v>387.87700000000001</v>
      </c>
      <c r="S416" s="817">
        <f>+Labour1!S210</f>
        <v>406.66199999999998</v>
      </c>
      <c r="T416" s="817">
        <f>+Labour1!T210</f>
        <v>422.37099999999998</v>
      </c>
      <c r="U416" s="817">
        <f>+Labour1!U210</f>
        <v>423.75599999999997</v>
      </c>
      <c r="V416" s="817">
        <f>+Labour1!V210</f>
        <v>432.76</v>
      </c>
      <c r="W416" s="817">
        <f>+Labour1!W210</f>
        <v>445.54700000000003</v>
      </c>
      <c r="X416" s="817">
        <f>+Labour1!X210</f>
        <v>464.60700000000003</v>
      </c>
      <c r="Y416" s="817">
        <f>+Labour1!Y210</f>
        <v>481.25400000000002</v>
      </c>
      <c r="Z416" s="817">
        <f>+Labour1!Z210</f>
        <v>499.613</v>
      </c>
      <c r="AA416" s="817">
        <f>+Labour1!AA210</f>
        <v>522.40599999999995</v>
      </c>
      <c r="AB416" s="817">
        <f>+Labour1!AB210</f>
        <v>552.30999999999995</v>
      </c>
      <c r="AC416" s="817">
        <f>+Labour1!AC210</f>
        <v>580.47299999999996</v>
      </c>
      <c r="AD416" s="2335">
        <f>+Labour1!AD210</f>
        <v>609.1532079189999</v>
      </c>
      <c r="AE416" s="2335">
        <f>+Labour1!AE210</f>
        <v>634.15236677277699</v>
      </c>
      <c r="AF416" s="2335">
        <f>+Labour1!AF210</f>
        <v>658.52821828109757</v>
      </c>
      <c r="BB416" s="3471">
        <v>550.70500000000004</v>
      </c>
      <c r="BC416" s="736">
        <f t="shared" si="539"/>
        <v>1.6049999999999045</v>
      </c>
    </row>
    <row r="417" spans="1:55" ht="12.75" customHeight="1">
      <c r="A417" s="701">
        <f>+ROW(InputY!A142)</f>
        <v>142</v>
      </c>
      <c r="B417" s="701">
        <v>145</v>
      </c>
      <c r="C417" s="819" t="s">
        <v>1791</v>
      </c>
      <c r="D417" s="868" t="s">
        <v>666</v>
      </c>
      <c r="E417" s="869" t="s">
        <v>837</v>
      </c>
      <c r="F417" s="741"/>
      <c r="G417" s="740">
        <f>+InputY!G142/1000</f>
        <v>177.601</v>
      </c>
      <c r="H417" s="740">
        <f>+InputY!H142/1000</f>
        <v>173.92699999999999</v>
      </c>
      <c r="I417" s="740">
        <f>+InputY!I142/1000</f>
        <v>178.852</v>
      </c>
      <c r="J417" s="740">
        <f>+InputY!J142/1000</f>
        <v>194.63900000000001</v>
      </c>
      <c r="K417" s="740">
        <f>+InputY!K142/1000</f>
        <v>195.43899999999999</v>
      </c>
      <c r="L417" s="740">
        <f>+InputY!L142/1000</f>
        <v>195.14699999999999</v>
      </c>
      <c r="M417" s="740">
        <f>+InputY!M142/1000</f>
        <v>203.596</v>
      </c>
      <c r="N417" s="740">
        <f>+InputY!N142/1000</f>
        <v>214.55</v>
      </c>
      <c r="O417" s="740">
        <f>+InputY!O142/1000</f>
        <v>220.34899999999999</v>
      </c>
      <c r="P417" s="740">
        <f>+InputY!P142/1000</f>
        <v>223.28899999999999</v>
      </c>
      <c r="Q417" s="740">
        <f>+InputY!Q142/1000</f>
        <v>231.65100000000001</v>
      </c>
      <c r="R417" s="2358">
        <f>+InputY!R142/1000</f>
        <v>248.11699999999999</v>
      </c>
      <c r="S417" s="2358">
        <f>+InputY!S142/1000</f>
        <v>255.988</v>
      </c>
      <c r="T417" s="2358">
        <f>+InputY!T142/1000</f>
        <v>273.16000000000003</v>
      </c>
      <c r="U417" s="2358">
        <f>+InputY!U142/1000</f>
        <v>285.93</v>
      </c>
      <c r="V417" s="2358">
        <f>+InputY!V142/1000</f>
        <v>295.00900000000001</v>
      </c>
      <c r="W417" s="2358">
        <f>+InputY!W142/1000</f>
        <v>305.983</v>
      </c>
      <c r="X417" s="2358">
        <f>+InputY!X142/1000</f>
        <v>310.63499999999999</v>
      </c>
      <c r="Y417" s="2358">
        <f>+InputY!Y142/1000</f>
        <v>320.90800000000002</v>
      </c>
      <c r="Z417" s="2358">
        <f>+InputY!Z142/1000</f>
        <v>329.14</v>
      </c>
      <c r="AA417" s="2358">
        <f>+InputY!AA142/1000</f>
        <v>340.60599999999999</v>
      </c>
      <c r="AB417" s="2358">
        <f>+InputY!AB142/1000</f>
        <v>352.54700000000003</v>
      </c>
      <c r="AC417" s="2358">
        <f>+InputY!AC142/1000</f>
        <v>358.77600000000001</v>
      </c>
      <c r="AD417" s="2263">
        <f ca="1">+AD425-AD416-AD418-AD420-AD421-AD422+AD423+AD424</f>
        <v>377.16647313963722</v>
      </c>
      <c r="AE417" s="2263">
        <f ca="1">+AE425-AE416-AE418-AE420-AE421-AE422+AE423+AE424</f>
        <v>390.10645678377944</v>
      </c>
      <c r="AF417" s="2263">
        <f ca="1">+AF425-AF416-AF418-AF420-AF421-AF422+AF423+AF424</f>
        <v>402.92820397364028</v>
      </c>
      <c r="AG417" s="3634" t="s">
        <v>1097</v>
      </c>
      <c r="BB417" s="3521">
        <v>353.56799999999998</v>
      </c>
      <c r="BC417" s="736">
        <f t="shared" si="539"/>
        <v>-1.0209999999999582</v>
      </c>
    </row>
    <row r="418" spans="1:55" ht="12.75" customHeight="1">
      <c r="A418" s="701">
        <f>+ROW(InputY!A162)</f>
        <v>162</v>
      </c>
      <c r="B418" s="701">
        <v>146</v>
      </c>
      <c r="C418" s="819" t="s">
        <v>1791</v>
      </c>
      <c r="D418" s="711" t="s">
        <v>666</v>
      </c>
      <c r="E418" s="820" t="s">
        <v>838</v>
      </c>
      <c r="F418" s="741"/>
      <c r="G418" s="743">
        <f>+InputY!G162/1000</f>
        <v>37.601999999999997</v>
      </c>
      <c r="H418" s="743">
        <f>+InputY!H162/1000</f>
        <v>40.737000000000002</v>
      </c>
      <c r="I418" s="743">
        <f>+InputY!I162/1000</f>
        <v>38.177999999999997</v>
      </c>
      <c r="J418" s="743">
        <f>+InputY!J162/1000</f>
        <v>44.012</v>
      </c>
      <c r="K418" s="743">
        <f>+InputY!K162/1000</f>
        <v>48.652999999999999</v>
      </c>
      <c r="L418" s="743">
        <f>+InputY!L162/1000</f>
        <v>56.917999999999999</v>
      </c>
      <c r="M418" s="743">
        <f>+InputY!M162/1000</f>
        <v>61.926000000000002</v>
      </c>
      <c r="N418" s="743">
        <f>+InputY!N162/1000</f>
        <v>70.578000000000003</v>
      </c>
      <c r="O418" s="743">
        <f>+InputY!O162/1000</f>
        <v>74.308999999999997</v>
      </c>
      <c r="P418" s="743">
        <f>+InputY!P162/1000</f>
        <v>73.302999999999997</v>
      </c>
      <c r="Q418" s="743">
        <f>+InputY!Q162/1000</f>
        <v>76.137</v>
      </c>
      <c r="R418" s="2281">
        <f>+InputY!R162/1000</f>
        <v>80.751999999999995</v>
      </c>
      <c r="S418" s="2281">
        <f>+InputY!S162/1000</f>
        <v>86.093999999999994</v>
      </c>
      <c r="T418" s="2281">
        <f>+InputY!T162/1000</f>
        <v>92.944999999999993</v>
      </c>
      <c r="U418" s="2281">
        <f>+InputY!U162/1000</f>
        <v>103.485</v>
      </c>
      <c r="V418" s="2281">
        <f>+InputY!V162/1000</f>
        <v>113.26</v>
      </c>
      <c r="W418" s="2281">
        <f>+InputY!W162/1000</f>
        <v>120.366</v>
      </c>
      <c r="X418" s="2281">
        <f>+InputY!X162/1000</f>
        <v>124.613</v>
      </c>
      <c r="Y418" s="2281">
        <f>+InputY!Y162/1000</f>
        <v>132.017</v>
      </c>
      <c r="Z418" s="2281">
        <f>+InputY!Z162/1000</f>
        <v>141.18199999999999</v>
      </c>
      <c r="AA418" s="2281">
        <f>+InputY!AA162/1000</f>
        <v>153.696</v>
      </c>
      <c r="AB418" s="2281">
        <f>+InputY!AB162/1000</f>
        <v>171.90799999999999</v>
      </c>
      <c r="AC418" s="2281">
        <f>+InputY!AC162/1000</f>
        <v>172.83099999999999</v>
      </c>
      <c r="AD418" s="2279">
        <f>+AC418*(1+AD432/100)</f>
        <v>177.15177499999999</v>
      </c>
      <c r="AE418" s="2279">
        <f>+AD418*(1+AE432/100)</f>
        <v>181.58056937499998</v>
      </c>
      <c r="AF418" s="2279">
        <f>+AE418*(1+AF432/100)</f>
        <v>186.12008360937497</v>
      </c>
      <c r="BB418" s="3521">
        <v>165.15100000000001</v>
      </c>
      <c r="BC418" s="736">
        <f t="shared" si="539"/>
        <v>6.7569999999999766</v>
      </c>
    </row>
    <row r="419" spans="1:55" s="1044" customFormat="1" ht="12.75" customHeight="1">
      <c r="A419" s="1036"/>
      <c r="B419" s="1036"/>
      <c r="C419" s="2264"/>
      <c r="D419" s="1051"/>
      <c r="E419" s="2033" t="s">
        <v>839</v>
      </c>
      <c r="F419" s="2034"/>
      <c r="G419" s="2265">
        <f>G418/'VVP2'!G191</f>
        <v>0.11271109725611035</v>
      </c>
      <c r="H419" s="2265">
        <f>H418/'VVP2'!H191</f>
        <v>0.11613261873538971</v>
      </c>
      <c r="I419" s="2265">
        <f>I418/'VVP2'!I191</f>
        <v>0.10679041353383457</v>
      </c>
      <c r="J419" s="2265">
        <f>J418/'VVP2'!J191</f>
        <v>0.11561386042381942</v>
      </c>
      <c r="K419" s="2265">
        <f>K418/'VVP2'!K191</f>
        <v>0.12241842629682562</v>
      </c>
      <c r="L419" s="2265">
        <f>L418/'VVP2'!L191</f>
        <v>0.14053167876074948</v>
      </c>
      <c r="M419" s="2265">
        <f>M418/'VVP2'!M191</f>
        <v>0.14070189629239166</v>
      </c>
      <c r="N419" s="2265">
        <f>N418/'VVP2'!N191</f>
        <v>0.14913659761138018</v>
      </c>
      <c r="O419" s="2265">
        <f>O418/'VVP2'!O191</f>
        <v>0.14864683748647237</v>
      </c>
      <c r="P419" s="2265">
        <f>P418/'VVP2'!P191</f>
        <v>0.14420668910664367</v>
      </c>
      <c r="Q419" s="2265">
        <f>Q418/'VVP2'!Q191</f>
        <v>0.14467865972191871</v>
      </c>
      <c r="R419" s="2359">
        <f>R418/'VVP2'!R191</f>
        <v>0.14547996389664061</v>
      </c>
      <c r="S419" s="2359">
        <f>S418/'VVP2'!S191</f>
        <v>0.14820973914300911</v>
      </c>
      <c r="T419" s="2359">
        <f>T418/'VVP2'!T191</f>
        <v>0.15322970194848765</v>
      </c>
      <c r="U419" s="2359">
        <f>U418/'VVP2'!U191</f>
        <v>0.16641151895436609</v>
      </c>
      <c r="V419" s="2359">
        <f>V418/'VVP2'!V191</f>
        <v>0.17696819697438448</v>
      </c>
      <c r="W419" s="2359">
        <f>W418/'VVP2'!W191</f>
        <v>0.18140687310290363</v>
      </c>
      <c r="X419" s="2359">
        <f>X418/'VVP2'!X191</f>
        <v>0.18227415209673856</v>
      </c>
      <c r="Y419" s="2359">
        <f>Y418/'VVP2'!Y191</f>
        <v>0.18606103143462771</v>
      </c>
      <c r="Z419" s="3009">
        <f>Z418/'VVP2'!Z191</f>
        <v>0.19072050750010805</v>
      </c>
      <c r="AA419" s="3009">
        <f>AA418/'VVP2'!AA191</f>
        <v>0.1953411759921099</v>
      </c>
      <c r="AB419" s="3009">
        <f>AB418/'VVP2'!AB191</f>
        <v>0.20281210256458657</v>
      </c>
      <c r="AC419" s="3009">
        <f>AC418/'VVP2'!AC191</f>
        <v>0.19605109572678461</v>
      </c>
      <c r="AD419" s="3009">
        <f ca="1">AD418/'VVP2'!AD191</f>
        <v>0.19178567372745045</v>
      </c>
      <c r="AE419" s="3009">
        <f ca="1">AE418/'VVP2'!AE191</f>
        <v>0.18918253426329698</v>
      </c>
      <c r="AF419" s="3009">
        <f ca="1">AF418/'VVP2'!AF191</f>
        <v>0.1867172876951492</v>
      </c>
      <c r="AG419" s="2945"/>
      <c r="AH419" s="2939"/>
      <c r="AI419" s="2939"/>
      <c r="AJ419" s="2939"/>
      <c r="AK419" s="2939"/>
      <c r="AL419" s="2939"/>
      <c r="AM419" s="2939"/>
      <c r="AN419" s="2940"/>
      <c r="AO419" s="2940"/>
      <c r="AP419" s="2940"/>
      <c r="AQ419" s="2940"/>
      <c r="AR419" s="2945"/>
      <c r="AS419" s="2945"/>
      <c r="AT419" s="2945"/>
      <c r="BB419" s="3557">
        <v>0.19646589555905303</v>
      </c>
      <c r="BC419" s="736" t="str">
        <f t="shared" si="539"/>
        <v/>
      </c>
    </row>
    <row r="420" spans="1:55" ht="12.75" customHeight="1">
      <c r="A420" s="701">
        <f>+ROW(InputY!A144)</f>
        <v>144</v>
      </c>
      <c r="B420" s="701">
        <v>144</v>
      </c>
      <c r="C420" s="819" t="s">
        <v>1791</v>
      </c>
      <c r="D420" s="711" t="s">
        <v>666</v>
      </c>
      <c r="E420" s="820" t="str">
        <f>+E112</f>
        <v>Consumption of fixed capital (K.1)</v>
      </c>
      <c r="F420" s="741"/>
      <c r="G420" s="740">
        <f>+InputY!G144/1000</f>
        <v>63.676000000000002</v>
      </c>
      <c r="H420" s="740">
        <f>+InputY!H144/1000</f>
        <v>65.768000000000001</v>
      </c>
      <c r="I420" s="740">
        <f>+InputY!I144/1000</f>
        <v>67.626000000000005</v>
      </c>
      <c r="J420" s="740">
        <f>+InputY!J144/1000</f>
        <v>70.009</v>
      </c>
      <c r="K420" s="740">
        <f>+InputY!K144/1000</f>
        <v>73.400000000000006</v>
      </c>
      <c r="L420" s="740">
        <f>+InputY!L144/1000</f>
        <v>77.602999999999994</v>
      </c>
      <c r="M420" s="740">
        <f>+InputY!M144/1000</f>
        <v>82.168000000000006</v>
      </c>
      <c r="N420" s="740">
        <f>+InputY!N144/1000</f>
        <v>85.897999999999996</v>
      </c>
      <c r="O420" s="740">
        <f>+InputY!O144/1000</f>
        <v>87.983999999999995</v>
      </c>
      <c r="P420" s="740">
        <f>+InputY!P144/1000</f>
        <v>90.686000000000007</v>
      </c>
      <c r="Q420" s="740">
        <f>+InputY!Q144/1000</f>
        <v>94.22</v>
      </c>
      <c r="R420" s="740">
        <f>+InputY!R144/1000</f>
        <v>98.067999999999998</v>
      </c>
      <c r="S420" s="740">
        <f>+InputY!S144/1000</f>
        <v>102.696</v>
      </c>
      <c r="T420" s="740">
        <f>+InputY!T144/1000</f>
        <v>109.43899999999999</v>
      </c>
      <c r="U420" s="740">
        <f>+InputY!U144/1000</f>
        <v>113.994</v>
      </c>
      <c r="V420" s="740">
        <f>+InputY!V144/1000</f>
        <v>116.82299999999999</v>
      </c>
      <c r="W420" s="740">
        <f>+InputY!W144/1000</f>
        <v>120.574</v>
      </c>
      <c r="X420" s="740">
        <f>+InputY!X144/1000</f>
        <v>125.042</v>
      </c>
      <c r="Y420" s="740">
        <f>+InputY!Y144/1000</f>
        <v>127.065</v>
      </c>
      <c r="Z420" s="740">
        <f>+InputY!Z144/1000</f>
        <v>130.535</v>
      </c>
      <c r="AA420" s="740">
        <f>+InputY!AA144/1000</f>
        <v>134.07300000000001</v>
      </c>
      <c r="AB420" s="740">
        <f>+InputY!AB144/1000</f>
        <v>137.63200000000001</v>
      </c>
      <c r="AC420" s="740">
        <f>+InputY!AC144/1000</f>
        <v>143.655</v>
      </c>
      <c r="AD420" s="829">
        <f t="shared" ref="AD420:AF421" si="563">+AC420*(1+AD434/100)</f>
        <v>146.24079</v>
      </c>
      <c r="AE420" s="829">
        <f t="shared" si="563"/>
        <v>150.6280137</v>
      </c>
      <c r="AF420" s="829">
        <f t="shared" si="563"/>
        <v>155.14685411100001</v>
      </c>
      <c r="AH420" s="2940"/>
      <c r="AI420" s="2940"/>
      <c r="AJ420" s="2940"/>
      <c r="AK420" s="2940"/>
      <c r="AL420" s="2940"/>
      <c r="AM420" s="2940"/>
      <c r="BB420" s="3472">
        <v>137.14400000000001</v>
      </c>
      <c r="BC420" s="736" t="str">
        <f t="shared" si="539"/>
        <v/>
      </c>
    </row>
    <row r="421" spans="1:55" ht="12.75" customHeight="1">
      <c r="A421" s="701"/>
      <c r="B421" s="701"/>
      <c r="C421" s="819" t="s">
        <v>1791</v>
      </c>
      <c r="D421" s="711" t="s">
        <v>666</v>
      </c>
      <c r="E421" s="820" t="str">
        <f>+E113</f>
        <v>Net operating surplus (B.2n)</v>
      </c>
      <c r="F421" s="741"/>
      <c r="G421" s="743">
        <f t="shared" ref="G421:V421" si="564">+G109-G420</f>
        <v>1.8169999999999789</v>
      </c>
      <c r="H421" s="743">
        <f t="shared" si="564"/>
        <v>0.6910000000000025</v>
      </c>
      <c r="I421" s="743">
        <f t="shared" si="564"/>
        <v>0.62400000000000944</v>
      </c>
      <c r="J421" s="743">
        <f t="shared" si="564"/>
        <v>0.42600000000001614</v>
      </c>
      <c r="K421" s="743">
        <f t="shared" si="564"/>
        <v>-1.6840000000000401</v>
      </c>
      <c r="L421" s="743">
        <f t="shared" si="564"/>
        <v>-2.3869999999999862</v>
      </c>
      <c r="M421" s="743">
        <f t="shared" si="564"/>
        <v>-2.7479999999999762</v>
      </c>
      <c r="N421" s="743">
        <f t="shared" si="564"/>
        <v>-1.6949999999999648</v>
      </c>
      <c r="O421" s="743">
        <f t="shared" si="564"/>
        <v>-1.534000000000006</v>
      </c>
      <c r="P421" s="743">
        <f t="shared" si="564"/>
        <v>-1.2940000000000396</v>
      </c>
      <c r="Q421" s="743">
        <f t="shared" si="564"/>
        <v>-2.6499999999999346</v>
      </c>
      <c r="R421" s="743">
        <f t="shared" si="564"/>
        <v>-3.4060000000000343</v>
      </c>
      <c r="S421" s="743">
        <f t="shared" si="564"/>
        <v>-3.7659999999999343</v>
      </c>
      <c r="T421" s="743">
        <f t="shared" si="564"/>
        <v>-4.5449999999999307</v>
      </c>
      <c r="U421" s="743">
        <f t="shared" si="564"/>
        <v>-4.3969999999999487</v>
      </c>
      <c r="V421" s="743">
        <f t="shared" si="564"/>
        <v>-4.605000000000004</v>
      </c>
      <c r="W421" s="743">
        <f t="shared" ref="W421:AA421" si="565">+W109-W420</f>
        <v>-5.5460000000000633</v>
      </c>
      <c r="X421" s="743">
        <f t="shared" si="565"/>
        <v>-4.6220000000000709</v>
      </c>
      <c r="Y421" s="743">
        <f t="shared" si="565"/>
        <v>-4.0990000000000322</v>
      </c>
      <c r="Z421" s="743">
        <f t="shared" si="565"/>
        <v>-4.6200000000000472</v>
      </c>
      <c r="AA421" s="743">
        <f t="shared" si="565"/>
        <v>-3.2699999999999818</v>
      </c>
      <c r="AB421" s="743">
        <f t="shared" ref="AB421:AC421" si="566">+AB109-AB420</f>
        <v>-4.4939999999999145</v>
      </c>
      <c r="AC421" s="743">
        <f t="shared" si="566"/>
        <v>-4.7939999999999827</v>
      </c>
      <c r="AD421" s="829">
        <f t="shared" ca="1" si="563"/>
        <v>-4.5529187590370697</v>
      </c>
      <c r="AE421" s="829">
        <f t="shared" ca="1" si="563"/>
        <v>-4.3377898358318294</v>
      </c>
      <c r="AF421" s="829">
        <f t="shared" ca="1" si="563"/>
        <v>-4.142954899214204</v>
      </c>
      <c r="BB421" s="3472">
        <v>-3.2910000000000252</v>
      </c>
      <c r="BC421" s="736">
        <f t="shared" si="539"/>
        <v>-1.2029999999998893</v>
      </c>
    </row>
    <row r="422" spans="1:55" ht="12.75" customHeight="1">
      <c r="A422" s="701"/>
      <c r="B422" s="701"/>
      <c r="C422" s="819" t="s">
        <v>1791</v>
      </c>
      <c r="D422" s="711" t="s">
        <v>666</v>
      </c>
      <c r="E422" s="743" t="str">
        <f>+E11</f>
        <v>Other taxes on production (D.29p)</v>
      </c>
      <c r="F422" s="743" t="str">
        <f>+F11</f>
        <v>$ATaxProd</v>
      </c>
      <c r="G422" s="743">
        <f>+G11</f>
        <v>49.619</v>
      </c>
      <c r="H422" s="743">
        <f>+H11</f>
        <v>53.353999999999999</v>
      </c>
      <c r="I422" s="743">
        <f t="shared" ref="I422:P422" si="567">+I11</f>
        <v>54.43</v>
      </c>
      <c r="J422" s="743">
        <f t="shared" si="567"/>
        <v>71.531000000000006</v>
      </c>
      <c r="K422" s="743">
        <f t="shared" si="567"/>
        <v>74.123999999999995</v>
      </c>
      <c r="L422" s="743">
        <f t="shared" si="567"/>
        <v>66.454999999999998</v>
      </c>
      <c r="M422" s="743">
        <f t="shared" si="567"/>
        <v>68.649000000000001</v>
      </c>
      <c r="N422" s="743">
        <f t="shared" si="567"/>
        <v>72.352999999999994</v>
      </c>
      <c r="O422" s="743">
        <f t="shared" si="567"/>
        <v>76.141999999999996</v>
      </c>
      <c r="P422" s="743">
        <f t="shared" si="567"/>
        <v>78.478999999999999</v>
      </c>
      <c r="Q422" s="743">
        <f t="shared" ref="Q422:X422" si="568">+Q11</f>
        <v>80.483999999999995</v>
      </c>
      <c r="R422" s="2281">
        <f t="shared" si="568"/>
        <v>82.683999999999997</v>
      </c>
      <c r="S422" s="2281">
        <f t="shared" si="568"/>
        <v>85.826999999999998</v>
      </c>
      <c r="T422" s="2281">
        <f t="shared" si="568"/>
        <v>88.692999999999998</v>
      </c>
      <c r="U422" s="2281">
        <f t="shared" si="568"/>
        <v>87.156999999999996</v>
      </c>
      <c r="V422" s="2281">
        <f t="shared" si="568"/>
        <v>88.272000000000006</v>
      </c>
      <c r="W422" s="2281">
        <f t="shared" si="568"/>
        <v>91.540999999999997</v>
      </c>
      <c r="X422" s="2281">
        <f t="shared" si="568"/>
        <v>94.082999999999998</v>
      </c>
      <c r="Y422" s="2281">
        <f t="shared" ref="Y422:AD422" si="569">+Y11</f>
        <v>96.998000000000005</v>
      </c>
      <c r="Z422" s="2281">
        <f t="shared" si="569"/>
        <v>100.304</v>
      </c>
      <c r="AA422" s="2281">
        <f t="shared" si="569"/>
        <v>105.92</v>
      </c>
      <c r="AB422" s="2281">
        <f t="shared" ref="AB422:AC422" si="570">+AB11</f>
        <v>113.646</v>
      </c>
      <c r="AC422" s="2281">
        <f t="shared" si="570"/>
        <v>119.729</v>
      </c>
      <c r="AD422" s="2333">
        <f t="shared" si="569"/>
        <v>124.51816000000001</v>
      </c>
      <c r="AE422" s="2333">
        <f t="shared" ref="AE422:AF422" si="571">+AE11</f>
        <v>129.4988864</v>
      </c>
      <c r="AF422" s="2333">
        <f t="shared" si="571"/>
        <v>134.67884185600002</v>
      </c>
      <c r="BB422" s="3521">
        <v>114.117</v>
      </c>
      <c r="BC422" s="736" t="str">
        <f t="shared" si="539"/>
        <v/>
      </c>
    </row>
    <row r="423" spans="1:55" ht="12.75" customHeight="1">
      <c r="A423" s="701"/>
      <c r="B423" s="701"/>
      <c r="C423" s="819" t="s">
        <v>301</v>
      </c>
      <c r="D423" s="711" t="s">
        <v>666</v>
      </c>
      <c r="E423" s="743" t="str">
        <f>+E48</f>
        <v>Other subsidies on production (D.39r)</v>
      </c>
      <c r="F423" s="743" t="str">
        <f>+F48</f>
        <v>YASubProd</v>
      </c>
      <c r="G423" s="743">
        <f>+G48</f>
        <v>4.4779999999999998</v>
      </c>
      <c r="H423" s="743">
        <f>+H48</f>
        <v>3.883</v>
      </c>
      <c r="I423" s="743">
        <f t="shared" ref="I423:P423" si="572">+I48</f>
        <v>3.6110000000000002</v>
      </c>
      <c r="J423" s="743">
        <f t="shared" si="572"/>
        <v>4.234</v>
      </c>
      <c r="K423" s="743">
        <f t="shared" si="572"/>
        <v>4.766</v>
      </c>
      <c r="L423" s="743">
        <f t="shared" si="572"/>
        <v>3.133</v>
      </c>
      <c r="M423" s="743">
        <f t="shared" si="572"/>
        <v>2.9380000000000002</v>
      </c>
      <c r="N423" s="743">
        <f t="shared" si="572"/>
        <v>3.8359999999999999</v>
      </c>
      <c r="O423" s="743">
        <f t="shared" si="572"/>
        <v>3.5049999999999999</v>
      </c>
      <c r="P423" s="743">
        <f t="shared" si="572"/>
        <v>2.831</v>
      </c>
      <c r="Q423" s="743">
        <f t="shared" ref="Q423:AA423" si="573">+Q48</f>
        <v>2.4630000000000001</v>
      </c>
      <c r="R423" s="2281">
        <f t="shared" si="573"/>
        <v>2.847</v>
      </c>
      <c r="S423" s="2281">
        <f t="shared" si="573"/>
        <v>2.6949999999999998</v>
      </c>
      <c r="T423" s="2281">
        <f t="shared" si="573"/>
        <v>2.9740000000000002</v>
      </c>
      <c r="U423" s="2281">
        <f t="shared" si="573"/>
        <v>2.6789999999999998</v>
      </c>
      <c r="V423" s="2281">
        <f t="shared" si="573"/>
        <v>3.0859999999999999</v>
      </c>
      <c r="W423" s="2281">
        <f t="shared" si="573"/>
        <v>3.1190000000000002</v>
      </c>
      <c r="X423" s="2281">
        <f t="shared" si="573"/>
        <v>3.238</v>
      </c>
      <c r="Y423" s="2281">
        <f>+Y48</f>
        <v>3.4769999999999999</v>
      </c>
      <c r="Z423" s="2333">
        <f t="shared" si="573"/>
        <v>3.4790000000000001</v>
      </c>
      <c r="AA423" s="2333">
        <f t="shared" si="573"/>
        <v>3.34</v>
      </c>
      <c r="AB423" s="2333">
        <f t="shared" ref="AB423:AC423" si="574">+AB48</f>
        <v>3.327</v>
      </c>
      <c r="AC423" s="2333">
        <f t="shared" si="574"/>
        <v>4.1769999999999996</v>
      </c>
      <c r="AD423" s="2333">
        <f>+AD48</f>
        <v>4.3023099999999994</v>
      </c>
      <c r="AE423" s="2333">
        <f>+AE48</f>
        <v>4.4313792999999997</v>
      </c>
      <c r="AF423" s="2333">
        <f>+AF48</f>
        <v>4.5643206789999997</v>
      </c>
      <c r="BB423" s="3475">
        <v>3.3260000000000001</v>
      </c>
      <c r="BC423" s="736" t="str">
        <f t="shared" si="539"/>
        <v/>
      </c>
    </row>
    <row r="424" spans="1:55" ht="12.75" customHeight="1">
      <c r="A424" s="701">
        <f>+ROW(InputY!A140)</f>
        <v>140</v>
      </c>
      <c r="B424" s="701">
        <v>143</v>
      </c>
      <c r="C424" s="819" t="s">
        <v>301</v>
      </c>
      <c r="D424" s="711" t="s">
        <v>666</v>
      </c>
      <c r="E424" s="3661" t="s">
        <v>844</v>
      </c>
      <c r="F424" s="741"/>
      <c r="G424" s="743">
        <f>+InputY!G140/1000</f>
        <v>99.341999999999999</v>
      </c>
      <c r="H424" s="743">
        <f>+InputY!H140/1000</f>
        <v>98.44</v>
      </c>
      <c r="I424" s="743">
        <f>+InputY!I140/1000</f>
        <v>97.498000000000005</v>
      </c>
      <c r="J424" s="743">
        <f>+InputY!J140/1000</f>
        <v>102.124</v>
      </c>
      <c r="K424" s="743">
        <f>+InputY!K140/1000</f>
        <v>97.052000000000007</v>
      </c>
      <c r="L424" s="743">
        <f>+InputY!L140/1000</f>
        <v>101.024</v>
      </c>
      <c r="M424" s="743">
        <f>+InputY!M140/1000</f>
        <v>109.07899999999999</v>
      </c>
      <c r="N424" s="743">
        <f>+InputY!N140/1000</f>
        <v>111.166</v>
      </c>
      <c r="O424" s="743">
        <f>+InputY!O140/1000</f>
        <v>115.682</v>
      </c>
      <c r="P424" s="743">
        <f>+InputY!P140/1000</f>
        <v>122.16</v>
      </c>
      <c r="Q424" s="743">
        <f>+InputY!Q140/1000</f>
        <v>125.836</v>
      </c>
      <c r="R424" s="743">
        <f>+InputY!R140/1000</f>
        <v>129.69</v>
      </c>
      <c r="S424" s="743">
        <f>+InputY!S140/1000</f>
        <v>137.34700000000001</v>
      </c>
      <c r="T424" s="743">
        <f>+InputY!T140/1000</f>
        <v>145.72399999999999</v>
      </c>
      <c r="U424" s="743">
        <f>+InputY!U140/1000</f>
        <v>146.678</v>
      </c>
      <c r="V424" s="743">
        <f>+InputY!V140/1000</f>
        <v>152.06100000000001</v>
      </c>
      <c r="W424" s="743">
        <f>+InputY!W140/1000</f>
        <v>154.52799999999999</v>
      </c>
      <c r="X424" s="743">
        <f>+InputY!X140/1000</f>
        <v>156.209</v>
      </c>
      <c r="Y424" s="743">
        <f>+InputY!Y140/1000</f>
        <v>158.035</v>
      </c>
      <c r="Z424" s="743">
        <f>+InputY!Z140/1000</f>
        <v>161.166</v>
      </c>
      <c r="AA424" s="743">
        <f>+InputY!AA140/1000</f>
        <v>163.46100000000001</v>
      </c>
      <c r="AB424" s="743">
        <f>+InputY!AB140/1000</f>
        <v>166.69399999999999</v>
      </c>
      <c r="AC424" s="743">
        <f>+InputY!AC140/1000</f>
        <v>170.84399999999999</v>
      </c>
      <c r="AD424" s="2343">
        <f>+AC424*(1+AD438/100)</f>
        <v>175.96932000000001</v>
      </c>
      <c r="AE424" s="2343">
        <f>+AD424*(1+AE438/100)</f>
        <v>181.24839960000003</v>
      </c>
      <c r="AF424" s="2343">
        <f>+AE424*(1+AF438/100)</f>
        <v>186.68585158800002</v>
      </c>
      <c r="BB424" s="3472">
        <v>170.26599999999999</v>
      </c>
      <c r="BC424" s="736">
        <f t="shared" si="539"/>
        <v>-3.5720000000000027</v>
      </c>
    </row>
    <row r="425" spans="1:55" ht="12.75" customHeight="1">
      <c r="A425" s="701"/>
      <c r="B425" s="701"/>
      <c r="C425" s="821" t="s">
        <v>1793</v>
      </c>
      <c r="D425" s="789" t="s">
        <v>666</v>
      </c>
      <c r="E425" s="790" t="s">
        <v>377</v>
      </c>
      <c r="F425" s="791"/>
      <c r="G425" s="822">
        <f>+'VVP2'!G193</f>
        <v>480.69099999999997</v>
      </c>
      <c r="H425" s="822">
        <f>+'VVP2'!H193</f>
        <v>500.19900000000001</v>
      </c>
      <c r="I425" s="822">
        <f>+'VVP2'!I193</f>
        <v>513.09699999999998</v>
      </c>
      <c r="J425" s="822">
        <f>+'VVP2'!J193</f>
        <v>540.89700000000005</v>
      </c>
      <c r="K425" s="822">
        <f>+'VVP2'!K193</f>
        <v>569.072</v>
      </c>
      <c r="L425" s="822">
        <f>+'VVP2'!L193</f>
        <v>584.07399999999996</v>
      </c>
      <c r="M425" s="822">
        <f>+'VVP2'!M193</f>
        <v>612.63900000000001</v>
      </c>
      <c r="N425" s="822">
        <f>+'VVP2'!N193</f>
        <v>654.65800000000002</v>
      </c>
      <c r="O425" s="822">
        <f>+'VVP2'!O193</f>
        <v>688.42399999999998</v>
      </c>
      <c r="P425" s="822">
        <f>+'VVP2'!P193</f>
        <v>701.02</v>
      </c>
      <c r="Q425" s="822">
        <f>+'VVP2'!Q193</f>
        <v>722.64200000000005</v>
      </c>
      <c r="R425" s="2320">
        <f>+'VVP2'!R193</f>
        <v>761.55499999999995</v>
      </c>
      <c r="S425" s="2320">
        <f>+'VVP2'!S193</f>
        <v>793.45899999999995</v>
      </c>
      <c r="T425" s="2320">
        <f>+'VVP2'!T193</f>
        <v>833.36500000000001</v>
      </c>
      <c r="U425" s="2320">
        <f>+'VVP2'!U193</f>
        <v>860.56799999999998</v>
      </c>
      <c r="V425" s="2320">
        <f>+'VVP2'!V193</f>
        <v>886.37199999999996</v>
      </c>
      <c r="W425" s="2320">
        <f>+'VVP2'!W193</f>
        <v>920.81799999999998</v>
      </c>
      <c r="X425" s="2320">
        <f>+'VVP2'!X193</f>
        <v>954.91099999999994</v>
      </c>
      <c r="Y425" s="2320">
        <f>+'VVP2'!Y193</f>
        <v>992.63099999999997</v>
      </c>
      <c r="Z425" s="2320">
        <f>+'VVP2'!Z193</f>
        <v>1031.509</v>
      </c>
      <c r="AA425" s="2320">
        <f>+'VVP2'!AA193</f>
        <v>1086.6300000000001</v>
      </c>
      <c r="AB425" s="2320">
        <f>+'VVP2'!AB193</f>
        <v>1153.528</v>
      </c>
      <c r="AC425" s="2320">
        <f>+'VVP2'!AC193</f>
        <v>1195.6489999999999</v>
      </c>
      <c r="AD425" s="2341">
        <f ca="1">+'VVP2'!AD193</f>
        <v>1249.4058572996</v>
      </c>
      <c r="AE425" s="2341">
        <f ca="1">+'VVP2'!AE193</f>
        <v>1295.9487242957246</v>
      </c>
      <c r="AF425" s="2341">
        <f ca="1">+'VVP2'!AF193</f>
        <v>1342.0090746648987</v>
      </c>
      <c r="BB425" s="3558">
        <v>1151.9839999999999</v>
      </c>
      <c r="BC425" s="736">
        <f t="shared" si="539"/>
        <v>1.5440000000000964</v>
      </c>
    </row>
    <row r="426" spans="1:55" s="2032" customFormat="1" ht="12.75" customHeight="1">
      <c r="A426" s="1036"/>
      <c r="B426" s="1036"/>
      <c r="C426" s="1647"/>
      <c r="D426" s="1051"/>
      <c r="E426" s="2033" t="s">
        <v>90</v>
      </c>
      <c r="F426" s="2034"/>
      <c r="G426" s="1040">
        <f>ABS(+G416+G417+G418+G420+G421+G422-G423-G424-G425)</f>
        <v>1.7053025658242404E-13</v>
      </c>
      <c r="H426" s="1040">
        <f>ABS(+H416+H417+H418+H420+H421+H422-H423-H424-H425)</f>
        <v>0</v>
      </c>
      <c r="I426" s="1040">
        <f t="shared" ref="I426:Q426" si="575">ABS(+I416+I417+I418+I420+I421+I422-I423-I424-I425)</f>
        <v>1.1368683772161603E-13</v>
      </c>
      <c r="J426" s="1040">
        <f t="shared" si="575"/>
        <v>0</v>
      </c>
      <c r="K426" s="1040">
        <f t="shared" si="575"/>
        <v>0</v>
      </c>
      <c r="L426" s="1040">
        <f t="shared" si="575"/>
        <v>0</v>
      </c>
      <c r="M426" s="1040">
        <f t="shared" si="575"/>
        <v>2.2737367544323206E-13</v>
      </c>
      <c r="N426" s="1040">
        <f t="shared" si="575"/>
        <v>1.1368683772161603E-13</v>
      </c>
      <c r="O426" s="1040">
        <f t="shared" si="575"/>
        <v>1.1368683772161603E-13</v>
      </c>
      <c r="P426" s="1040">
        <f t="shared" si="575"/>
        <v>0</v>
      </c>
      <c r="Q426" s="1040">
        <f t="shared" si="575"/>
        <v>0</v>
      </c>
      <c r="R426" s="2297">
        <f t="shared" ref="R426:AA426" si="576">ABS(+R416+R417+R418+R420+R421+R422-R423-R424-R425)</f>
        <v>1.1368683772161603E-13</v>
      </c>
      <c r="S426" s="2297">
        <f t="shared" si="576"/>
        <v>0</v>
      </c>
      <c r="T426" s="2297">
        <f t="shared" si="576"/>
        <v>2.2737367544323206E-13</v>
      </c>
      <c r="U426" s="2297">
        <f t="shared" si="576"/>
        <v>1.1368683772161603E-13</v>
      </c>
      <c r="V426" s="2297">
        <f t="shared" si="576"/>
        <v>0</v>
      </c>
      <c r="W426" s="2297">
        <f t="shared" si="576"/>
        <v>0</v>
      </c>
      <c r="X426" s="2297">
        <f t="shared" si="576"/>
        <v>1.1368683772161603E-13</v>
      </c>
      <c r="Y426" s="2297">
        <f t="shared" si="576"/>
        <v>2.2737367544323206E-13</v>
      </c>
      <c r="Z426" s="2999">
        <f t="shared" si="576"/>
        <v>0</v>
      </c>
      <c r="AA426" s="2999">
        <f t="shared" si="576"/>
        <v>0</v>
      </c>
      <c r="AB426" s="2999">
        <f t="shared" ref="AB426" si="577">ABS(+AB416+AB417+AB418+AB420+AB421+AB422-AB423-AB424-AB425)</f>
        <v>0</v>
      </c>
      <c r="AC426" s="2999">
        <f>ABS(+AC416+AC417+AC418+AC420+AC421+AC422-AC423-AC424-AC425)</f>
        <v>0</v>
      </c>
      <c r="AD426" s="2999">
        <f ca="1">ABS(+AD416+AD417+AD418+AD420+AD421+AD422-AD423-AD424-AD425)</f>
        <v>2.2737367544323206E-13</v>
      </c>
      <c r="AE426" s="2999">
        <f ca="1">ABS(+AE416+AE417+AE418+AE420+AE421+AE422-AE423-AE424-AE425)</f>
        <v>4.5474735088646412E-13</v>
      </c>
      <c r="AF426" s="2999">
        <f ca="1">ABS(+AF416+AF417+AF418+AF420+AF421+AF422-AF423-AF424-AF425)</f>
        <v>2.2737367544323206E-13</v>
      </c>
      <c r="AG426" s="2940"/>
      <c r="AH426" s="2939"/>
      <c r="AI426" s="2939"/>
      <c r="AJ426" s="2939"/>
      <c r="AK426" s="2939"/>
      <c r="AL426" s="2939"/>
      <c r="AM426" s="2939"/>
      <c r="AN426" s="2946"/>
      <c r="AO426" s="2946"/>
      <c r="AP426" s="2946"/>
      <c r="AQ426" s="2946"/>
      <c r="AR426" s="2940"/>
      <c r="AS426" s="2940"/>
      <c r="AT426" s="2940"/>
      <c r="BB426" s="3496">
        <v>8.1820000000000164</v>
      </c>
      <c r="BC426" s="736">
        <f t="shared" si="539"/>
        <v>-8.1820000000000164</v>
      </c>
    </row>
    <row r="427" spans="1:55">
      <c r="A427" s="701"/>
      <c r="B427" s="701"/>
      <c r="D427" s="1837"/>
      <c r="E427" s="2990" t="s">
        <v>1954</v>
      </c>
      <c r="F427" s="1837"/>
      <c r="G427" s="1837"/>
      <c r="H427" s="1837"/>
      <c r="I427" s="1837"/>
      <c r="J427" s="1837"/>
      <c r="K427" s="1837"/>
      <c r="L427" s="1837"/>
      <c r="M427" s="1837"/>
      <c r="N427" s="1837"/>
      <c r="O427" s="1837"/>
      <c r="P427" s="1837"/>
      <c r="Q427" s="1837"/>
      <c r="R427" s="1837"/>
      <c r="S427" s="1837"/>
      <c r="T427" s="1837"/>
      <c r="U427" s="1837"/>
      <c r="V427" s="1837"/>
      <c r="W427" s="1837"/>
      <c r="X427" s="3010"/>
      <c r="Y427" s="3010"/>
      <c r="Z427" s="3010"/>
      <c r="AA427" s="3010"/>
      <c r="AB427" s="3010"/>
      <c r="AC427" s="3010"/>
      <c r="AD427" s="3010"/>
      <c r="AE427" s="3010"/>
      <c r="AF427" s="3010"/>
      <c r="AH427" s="2946"/>
      <c r="AI427" s="2946"/>
      <c r="AJ427" s="2946"/>
      <c r="AK427" s="2946"/>
      <c r="AL427" s="2946"/>
      <c r="AM427" s="2946"/>
      <c r="BB427" s="3559"/>
      <c r="BC427" s="736" t="str">
        <f t="shared" si="539"/>
        <v/>
      </c>
    </row>
    <row r="428" spans="1:55">
      <c r="A428" s="701"/>
      <c r="B428" s="701"/>
      <c r="G428" s="886"/>
      <c r="P428" s="3616">
        <f>P421/'VVP2'!P341</f>
        <v>-4.6076008322168849E-4</v>
      </c>
      <c r="Q428" s="3616">
        <f>Q421/'VVP2'!Q341</f>
        <v>-9.104392336781211E-4</v>
      </c>
      <c r="R428" s="3616">
        <f>R421/'VVP2'!R341</f>
        <v>-1.097706161528472E-3</v>
      </c>
      <c r="S428" s="3616">
        <f>S421/'VVP2'!S341</f>
        <v>-1.1408722795603413E-3</v>
      </c>
      <c r="T428" s="3616">
        <f>T421/'VVP2'!T341</f>
        <v>-1.3400434769661211E-3</v>
      </c>
      <c r="U428" s="3616">
        <f>U421/'VVP2'!U341</f>
        <v>-1.3356585598641888E-3</v>
      </c>
      <c r="V428" s="3616">
        <f>V421/'VVP2'!V341</f>
        <v>-1.3068189557707774E-3</v>
      </c>
      <c r="W428" s="3616">
        <f>W421/'VVP2'!W341</f>
        <v>-1.5148688502156526E-3</v>
      </c>
      <c r="X428" s="3616">
        <f>X421/'VVP2'!X341</f>
        <v>-1.252957883319875E-3</v>
      </c>
      <c r="Y428" s="3616">
        <f>Y421/'VVP2'!Y341</f>
        <v>-1.0861330827021932E-3</v>
      </c>
      <c r="Z428" s="3616">
        <f>Z421/'VVP2'!Z341</f>
        <v>-1.172313606577148E-3</v>
      </c>
      <c r="AA428" s="3616">
        <f>AA421/'VVP2'!AA341</f>
        <v>-7.782855013027314E-4</v>
      </c>
      <c r="AB428" s="3616">
        <f>AB421/'VVP2'!AB341</f>
        <v>-1.024741323503337E-3</v>
      </c>
      <c r="AC428" s="3616">
        <f>AC421/'VVP2'!AC341</f>
        <v>-1.046976576683605E-3</v>
      </c>
      <c r="AD428" s="3616">
        <f ca="1">AD421/'VVP2'!AD341</f>
        <v>-9.4789771841944422E-4</v>
      </c>
      <c r="AE428" s="3616">
        <f ca="1">AE421/'VVP2'!AE341</f>
        <v>-8.7020401400999148E-4</v>
      </c>
      <c r="AF428" s="3616">
        <f ca="1">AF421/'VVP2'!AF341</f>
        <v>-8.0266247518099958E-4</v>
      </c>
      <c r="BC428" s="736" t="str">
        <f t="shared" si="539"/>
        <v/>
      </c>
    </row>
    <row r="429" spans="1:55" ht="12.75" customHeight="1">
      <c r="A429" s="701"/>
      <c r="B429" s="701"/>
      <c r="C429" s="811"/>
      <c r="D429" s="779"/>
      <c r="E429" s="780" t="s">
        <v>1883</v>
      </c>
      <c r="F429" s="781"/>
      <c r="G429" s="782">
        <f>+InputY!$G$3</f>
        <v>1995</v>
      </c>
      <c r="H429" s="782">
        <f>+G429+1</f>
        <v>1996</v>
      </c>
      <c r="I429" s="782">
        <f t="shared" ref="I429:O429" si="578">+H429+1</f>
        <v>1997</v>
      </c>
      <c r="J429" s="782">
        <f t="shared" si="578"/>
        <v>1998</v>
      </c>
      <c r="K429" s="782">
        <f t="shared" si="578"/>
        <v>1999</v>
      </c>
      <c r="L429" s="782">
        <f t="shared" si="578"/>
        <v>2000</v>
      </c>
      <c r="M429" s="782">
        <f t="shared" si="578"/>
        <v>2001</v>
      </c>
      <c r="N429" s="782">
        <f t="shared" si="578"/>
        <v>2002</v>
      </c>
      <c r="O429" s="782">
        <f t="shared" si="578"/>
        <v>2003</v>
      </c>
      <c r="P429" s="782">
        <f t="shared" ref="P429:AF429" si="579">+O429+1</f>
        <v>2004</v>
      </c>
      <c r="Q429" s="782">
        <f t="shared" si="579"/>
        <v>2005</v>
      </c>
      <c r="R429" s="2272">
        <f t="shared" si="579"/>
        <v>2006</v>
      </c>
      <c r="S429" s="2272">
        <f t="shared" si="579"/>
        <v>2007</v>
      </c>
      <c r="T429" s="2272">
        <f t="shared" si="579"/>
        <v>2008</v>
      </c>
      <c r="U429" s="2272">
        <f t="shared" si="579"/>
        <v>2009</v>
      </c>
      <c r="V429" s="2272">
        <f t="shared" si="579"/>
        <v>2010</v>
      </c>
      <c r="W429" s="2272">
        <f t="shared" si="579"/>
        <v>2011</v>
      </c>
      <c r="X429" s="2272">
        <f t="shared" si="579"/>
        <v>2012</v>
      </c>
      <c r="Y429" s="2272">
        <f t="shared" si="579"/>
        <v>2013</v>
      </c>
      <c r="Z429" s="2272">
        <f t="shared" si="579"/>
        <v>2014</v>
      </c>
      <c r="AA429" s="2272">
        <f t="shared" si="579"/>
        <v>2015</v>
      </c>
      <c r="AB429" s="2272">
        <f t="shared" si="579"/>
        <v>2016</v>
      </c>
      <c r="AC429" s="2272">
        <f t="shared" si="579"/>
        <v>2017</v>
      </c>
      <c r="AD429" s="2272">
        <f t="shared" si="579"/>
        <v>2018</v>
      </c>
      <c r="AE429" s="2272">
        <f t="shared" si="579"/>
        <v>2019</v>
      </c>
      <c r="AF429" s="2272">
        <f t="shared" si="579"/>
        <v>2020</v>
      </c>
      <c r="BB429" s="3476">
        <v>2016</v>
      </c>
      <c r="BC429" s="736" t="str">
        <f t="shared" si="539"/>
        <v/>
      </c>
    </row>
    <row r="430" spans="1:55" ht="12.75" customHeight="1">
      <c r="A430" s="701"/>
      <c r="B430" s="701"/>
      <c r="C430" s="831" t="s">
        <v>1791</v>
      </c>
      <c r="D430" s="726" t="s">
        <v>666</v>
      </c>
      <c r="E430" s="775" t="str">
        <f>+E416</f>
        <v>Compensation of employees (D.1p)</v>
      </c>
      <c r="F430" s="770" t="s">
        <v>1282</v>
      </c>
      <c r="G430" s="776"/>
      <c r="H430" s="776">
        <f t="shared" ref="H430:P430" si="580">(H416/G416-1)*100</f>
        <v>5.448158114211088</v>
      </c>
      <c r="I430" s="776">
        <f t="shared" si="580"/>
        <v>2.4066854446081587</v>
      </c>
      <c r="J430" s="776">
        <f t="shared" si="580"/>
        <v>-2.8627010958265364</v>
      </c>
      <c r="K430" s="776">
        <f t="shared" si="580"/>
        <v>5.3705773370637644</v>
      </c>
      <c r="L430" s="776">
        <f t="shared" si="580"/>
        <v>4.8181578741306463</v>
      </c>
      <c r="M430" s="776">
        <f t="shared" si="580"/>
        <v>5.6265810964532426</v>
      </c>
      <c r="N430" s="776">
        <f t="shared" si="580"/>
        <v>5.4364843360712456</v>
      </c>
      <c r="O430" s="776">
        <f t="shared" si="580"/>
        <v>6.8251945264287572</v>
      </c>
      <c r="P430" s="776">
        <f t="shared" si="580"/>
        <v>3.1929923707261887</v>
      </c>
      <c r="Q430" s="776">
        <f t="shared" ref="Q430:W432" si="581">(Q416/P416-1)*100</f>
        <v>2.6416962616305328</v>
      </c>
      <c r="R430" s="2273">
        <f t="shared" ref="R430:AF430" si="582">(R416/Q416-1)*100</f>
        <v>4.5211655110900306</v>
      </c>
      <c r="S430" s="2273">
        <f t="shared" si="582"/>
        <v>4.8430301358420191</v>
      </c>
      <c r="T430" s="2273">
        <f t="shared" si="582"/>
        <v>3.8629131809709394</v>
      </c>
      <c r="U430" s="2273">
        <f t="shared" si="582"/>
        <v>0.32791077038907268</v>
      </c>
      <c r="V430" s="2273">
        <f t="shared" si="582"/>
        <v>2.1248076723397569</v>
      </c>
      <c r="W430" s="2273">
        <f t="shared" si="582"/>
        <v>2.9547555226915767</v>
      </c>
      <c r="X430" s="2273">
        <f t="shared" ref="X430:X432" si="583">(X416/W416-1)*100</f>
        <v>4.2778876302612234</v>
      </c>
      <c r="Y430" s="2273">
        <f t="shared" ref="Y430:Y432" si="584">(Y416/X416-1)*100</f>
        <v>3.5830282367678379</v>
      </c>
      <c r="Z430" s="2273">
        <f t="shared" ref="Z430:Z432" si="585">(Z416/Y416-1)*100</f>
        <v>3.8148254352171618</v>
      </c>
      <c r="AA430" s="2273">
        <f t="shared" ref="AA430:AA432" si="586">(AA416/Z416-1)*100</f>
        <v>4.5621310894632394</v>
      </c>
      <c r="AB430" s="2273">
        <f t="shared" ref="AB430:AB432" si="587">(AB416/AA416-1)*100</f>
        <v>5.724283411752551</v>
      </c>
      <c r="AC430" s="2273">
        <f t="shared" ref="AC430:AC432" si="588">(AC416/AB416-1)*100</f>
        <v>5.0991291122739035</v>
      </c>
      <c r="AD430" s="2336">
        <f t="shared" si="582"/>
        <v>4.9408340989158805</v>
      </c>
      <c r="AE430" s="2336">
        <f t="shared" si="582"/>
        <v>4.1039197575893471</v>
      </c>
      <c r="AF430" s="2336">
        <f t="shared" si="582"/>
        <v>3.843847754187224</v>
      </c>
      <c r="BB430" s="3520">
        <v>5.3952621365169318</v>
      </c>
      <c r="BC430" s="736" t="str">
        <f t="shared" si="539"/>
        <v/>
      </c>
    </row>
    <row r="431" spans="1:55" ht="12.75" customHeight="1">
      <c r="A431" s="701"/>
      <c r="B431" s="701"/>
      <c r="C431" s="832" t="s">
        <v>1791</v>
      </c>
      <c r="D431" s="868" t="s">
        <v>666</v>
      </c>
      <c r="E431" s="869" t="str">
        <f>+E417</f>
        <v>Intermediate consumption (P.2)</v>
      </c>
      <c r="F431" s="741" t="s">
        <v>1842</v>
      </c>
      <c r="G431" s="743"/>
      <c r="H431" s="743">
        <f t="shared" ref="H431:P431" si="589">(H417/G417-1)*100</f>
        <v>-2.0686820457092026</v>
      </c>
      <c r="I431" s="743">
        <f t="shared" si="589"/>
        <v>2.831647760267253</v>
      </c>
      <c r="J431" s="743">
        <f t="shared" si="589"/>
        <v>8.8268512513139505</v>
      </c>
      <c r="K431" s="743">
        <f t="shared" si="589"/>
        <v>0.41101731924229057</v>
      </c>
      <c r="L431" s="743">
        <f t="shared" si="589"/>
        <v>-0.14940723192402583</v>
      </c>
      <c r="M431" s="743">
        <f t="shared" si="589"/>
        <v>4.3295566931595308</v>
      </c>
      <c r="N431" s="743">
        <f t="shared" si="589"/>
        <v>5.3802628735338587</v>
      </c>
      <c r="O431" s="743">
        <f t="shared" si="589"/>
        <v>2.7028664646935319</v>
      </c>
      <c r="P431" s="743">
        <f t="shared" si="589"/>
        <v>1.3342470353847835</v>
      </c>
      <c r="Q431" s="743">
        <f t="shared" si="581"/>
        <v>3.7449224995409702</v>
      </c>
      <c r="R431" s="2281">
        <f t="shared" si="581"/>
        <v>7.1081065913809915</v>
      </c>
      <c r="S431" s="2281">
        <f t="shared" si="581"/>
        <v>3.1722937162709464</v>
      </c>
      <c r="T431" s="2281">
        <f t="shared" si="581"/>
        <v>6.7081269434504875</v>
      </c>
      <c r="U431" s="2281">
        <f t="shared" si="581"/>
        <v>4.6749158002635793</v>
      </c>
      <c r="V431" s="2281">
        <f t="shared" si="581"/>
        <v>3.1752526842234063</v>
      </c>
      <c r="W431" s="2281">
        <f t="shared" si="581"/>
        <v>3.7198865119369096</v>
      </c>
      <c r="X431" s="2281">
        <f t="shared" si="583"/>
        <v>1.5203459015696863</v>
      </c>
      <c r="Y431" s="2281">
        <f t="shared" si="584"/>
        <v>3.3070967534244433</v>
      </c>
      <c r="Z431" s="2281">
        <f t="shared" si="585"/>
        <v>2.565221184887867</v>
      </c>
      <c r="AA431" s="2281">
        <f t="shared" si="586"/>
        <v>3.4836239897915844</v>
      </c>
      <c r="AB431" s="2281">
        <f t="shared" si="587"/>
        <v>3.5058102323505924</v>
      </c>
      <c r="AC431" s="2281">
        <f t="shared" si="588"/>
        <v>1.7668566176991973</v>
      </c>
      <c r="AD431" s="874">
        <f ca="1">100*(AD417/AC417-1)</f>
        <v>5.1258927965184942</v>
      </c>
      <c r="AE431" s="874">
        <f ca="1">100*(AE417/AD417-1)</f>
        <v>3.430841436256582</v>
      </c>
      <c r="AF431" s="874">
        <f ca="1">100*(AF417/AE417-1)</f>
        <v>3.2867303185826202</v>
      </c>
      <c r="AG431" s="3634" t="s">
        <v>2584</v>
      </c>
      <c r="BB431" s="3521">
        <v>3.7029650117468282</v>
      </c>
      <c r="BC431" s="736" t="str">
        <f t="shared" si="539"/>
        <v/>
      </c>
    </row>
    <row r="432" spans="1:55" ht="12.75" customHeight="1">
      <c r="A432" s="701"/>
      <c r="B432" s="701"/>
      <c r="C432" s="832" t="s">
        <v>1791</v>
      </c>
      <c r="D432" s="711" t="s">
        <v>666</v>
      </c>
      <c r="E432" s="3672" t="str">
        <f>+E418</f>
        <v>Social transfers in kind via market producers (D.6311+D.63121+D.63122)</v>
      </c>
      <c r="F432" s="741"/>
      <c r="G432" s="743"/>
      <c r="H432" s="743">
        <f t="shared" ref="H432:P432" si="590">(H418/G418-1)*100</f>
        <v>8.3373224828466661</v>
      </c>
      <c r="I432" s="743">
        <f t="shared" si="590"/>
        <v>-6.2817585978349078</v>
      </c>
      <c r="J432" s="743">
        <f t="shared" si="590"/>
        <v>15.281051914715293</v>
      </c>
      <c r="K432" s="743">
        <f t="shared" si="590"/>
        <v>10.544851404162504</v>
      </c>
      <c r="L432" s="743">
        <f t="shared" si="590"/>
        <v>16.987647215999012</v>
      </c>
      <c r="M432" s="743">
        <f t="shared" si="590"/>
        <v>8.7986225798517115</v>
      </c>
      <c r="N432" s="743">
        <f t="shared" si="590"/>
        <v>13.971514388140683</v>
      </c>
      <c r="O432" s="743">
        <f t="shared" si="590"/>
        <v>5.2863498540621556</v>
      </c>
      <c r="P432" s="743">
        <f t="shared" si="590"/>
        <v>-1.3538064029929076</v>
      </c>
      <c r="Q432" s="743">
        <f t="shared" si="581"/>
        <v>3.8661446325525706</v>
      </c>
      <c r="R432" s="2281">
        <f t="shared" si="581"/>
        <v>6.0614418745156717</v>
      </c>
      <c r="S432" s="2281">
        <f t="shared" si="581"/>
        <v>6.6153160293243474</v>
      </c>
      <c r="T432" s="2281">
        <f t="shared" si="581"/>
        <v>7.9575812484029118</v>
      </c>
      <c r="U432" s="2281">
        <f t="shared" si="581"/>
        <v>11.3400398084889</v>
      </c>
      <c r="V432" s="2281">
        <f t="shared" si="581"/>
        <v>9.4458134029086427</v>
      </c>
      <c r="W432" s="2281">
        <f t="shared" si="581"/>
        <v>6.2740596856789566</v>
      </c>
      <c r="X432" s="2281">
        <f t="shared" si="583"/>
        <v>3.5284050313211468</v>
      </c>
      <c r="Y432" s="2281">
        <f t="shared" si="584"/>
        <v>5.9415951786731647</v>
      </c>
      <c r="Z432" s="2281">
        <f t="shared" si="585"/>
        <v>6.9422877356704049</v>
      </c>
      <c r="AA432" s="2281">
        <f t="shared" si="586"/>
        <v>8.8637361703333362</v>
      </c>
      <c r="AB432" s="2281">
        <f t="shared" si="587"/>
        <v>11.849364980220688</v>
      </c>
      <c r="AC432" s="2281">
        <f t="shared" si="588"/>
        <v>0.53691509412010507</v>
      </c>
      <c r="AD432" s="3662">
        <v>2.5</v>
      </c>
      <c r="AE432" s="3662">
        <v>2.5</v>
      </c>
      <c r="AF432" s="3662">
        <v>2.5</v>
      </c>
      <c r="AG432" s="3634" t="s">
        <v>2576</v>
      </c>
      <c r="BB432" s="3521">
        <v>7.4607150990662729</v>
      </c>
      <c r="BC432" s="736">
        <f t="shared" si="539"/>
        <v>4.3886498811544152</v>
      </c>
    </row>
    <row r="433" spans="1:55" s="590" customFormat="1" ht="12.75" customHeight="1">
      <c r="A433" s="1036"/>
      <c r="B433" s="1036"/>
      <c r="C433" s="1037"/>
      <c r="D433" s="1038"/>
      <c r="E433" s="1042" t="s">
        <v>1977</v>
      </c>
      <c r="F433" s="1039"/>
      <c r="G433" s="1043"/>
      <c r="H433" s="1043">
        <f>+'VVP2'!H197</f>
        <v>5.145467516351232</v>
      </c>
      <c r="I433" s="1043">
        <f>+'VVP2'!I197</f>
        <v>1.9168709732596101</v>
      </c>
      <c r="J433" s="1043">
        <f>+'VVP2'!J197</f>
        <v>6.4830043859648967</v>
      </c>
      <c r="K433" s="1043">
        <f>+'VVP2'!K197</f>
        <v>4.4002721438684889</v>
      </c>
      <c r="L433" s="1043">
        <f>+'VVP2'!L197</f>
        <v>1.9090058173473645</v>
      </c>
      <c r="M433" s="1043">
        <f>+'VVP2'!M197</f>
        <v>8.6670008073695293</v>
      </c>
      <c r="N433" s="1043">
        <f>+'VVP2'!N197</f>
        <v>7.5256406178286994</v>
      </c>
      <c r="O433" s="1043">
        <f>+'VVP2'!O197</f>
        <v>5.6332462746490064</v>
      </c>
      <c r="P433" s="1043">
        <f>+'VVP2'!P197</f>
        <v>1.6835266041612007</v>
      </c>
      <c r="Q433" s="1043">
        <f>+'VVP2'!Q197</f>
        <v>3.527312573403707</v>
      </c>
      <c r="R433" s="2360">
        <f>+'VVP2'!R197</f>
        <v>5.4772550636675632</v>
      </c>
      <c r="S433" s="2360">
        <f>+'VVP2'!S197</f>
        <v>4.6516404148643664</v>
      </c>
      <c r="T433" s="2360">
        <f>+'VVP2'!T197</f>
        <v>4.4207797305183538</v>
      </c>
      <c r="U433" s="2360">
        <f>+'VVP2'!U197</f>
        <v>2.5205539976226987</v>
      </c>
      <c r="V433" s="2360">
        <f>+'VVP2'!V197</f>
        <v>2.9170459040751773</v>
      </c>
      <c r="W433" s="2360">
        <f>+'VVP2'!W197</f>
        <v>3.6737385195671379</v>
      </c>
      <c r="X433" s="2360">
        <f>+'VVP2'!X197</f>
        <v>3.0358063281257008</v>
      </c>
      <c r="Y433" s="2360">
        <f>+'VVP2'!Y197</f>
        <v>3.7853777552193435</v>
      </c>
      <c r="Z433" s="2360">
        <f>+'VVP2'!Z197</f>
        <v>4.3295900419429101</v>
      </c>
      <c r="AA433" s="2360">
        <f>+'VVP2'!AA197</f>
        <v>6.2886352829291559</v>
      </c>
      <c r="AB433" s="2360">
        <f>+'VVP2'!AB197</f>
        <v>7.7292045835832823</v>
      </c>
      <c r="AC433" s="2360">
        <f>+'VVP2'!AC197</f>
        <v>4.0040253792374525</v>
      </c>
      <c r="AD433" s="3011">
        <f ca="1">+'VVP2'!AD197</f>
        <v>4.7796580497095391</v>
      </c>
      <c r="AE433" s="3011">
        <f ca="1">+'VVP2'!AE197</f>
        <v>3.9103933860214539</v>
      </c>
      <c r="AF433" s="3011">
        <f ca="1">+'VVP2'!AF197</f>
        <v>3.8533175013108831</v>
      </c>
      <c r="AG433" s="2946"/>
      <c r="AH433" s="2939"/>
      <c r="AI433" s="2939"/>
      <c r="AJ433" s="2939"/>
      <c r="AK433" s="2939"/>
      <c r="AL433" s="2939"/>
      <c r="AM433" s="2939"/>
      <c r="AN433" s="2939"/>
      <c r="AO433" s="2939"/>
      <c r="AP433" s="2939"/>
      <c r="AQ433" s="2939"/>
      <c r="AR433" s="2946"/>
      <c r="AS433" s="2946"/>
      <c r="AT433" s="2946"/>
      <c r="BB433" s="3560">
        <v>6.8378816687171495</v>
      </c>
      <c r="BC433" s="736" t="str">
        <f t="shared" si="539"/>
        <v/>
      </c>
    </row>
    <row r="434" spans="1:55" ht="12.75" customHeight="1">
      <c r="A434" s="701"/>
      <c r="B434" s="701"/>
      <c r="C434" s="832" t="s">
        <v>1791</v>
      </c>
      <c r="D434" s="711" t="s">
        <v>666</v>
      </c>
      <c r="E434" s="820" t="str">
        <f t="shared" ref="E434:E439" si="591">+E420</f>
        <v>Consumption of fixed capital (K.1)</v>
      </c>
      <c r="F434" s="741"/>
      <c r="G434" s="743"/>
      <c r="H434" s="743">
        <f t="shared" ref="H434:W437" si="592">(H420/G420-1)*100</f>
        <v>3.285382247628621</v>
      </c>
      <c r="I434" s="743">
        <f t="shared" si="592"/>
        <v>2.825082106799659</v>
      </c>
      <c r="J434" s="743">
        <f t="shared" si="592"/>
        <v>3.5237926241386441</v>
      </c>
      <c r="K434" s="743">
        <f t="shared" si="592"/>
        <v>4.8436629576197321</v>
      </c>
      <c r="L434" s="743">
        <f t="shared" si="592"/>
        <v>5.7261580381471333</v>
      </c>
      <c r="M434" s="743">
        <f t="shared" si="592"/>
        <v>5.8825045423501754</v>
      </c>
      <c r="N434" s="743">
        <f t="shared" si="592"/>
        <v>4.5394800895725673</v>
      </c>
      <c r="O434" s="743">
        <f t="shared" si="592"/>
        <v>2.4284616638338585</v>
      </c>
      <c r="P434" s="743">
        <f t="shared" si="592"/>
        <v>3.0710129114384532</v>
      </c>
      <c r="Q434" s="743">
        <f t="shared" si="592"/>
        <v>3.8969631475641142</v>
      </c>
      <c r="R434" s="2281">
        <f t="shared" ref="R434:W434" si="593">(R420/Q420-1)*100</f>
        <v>4.0840585862874201</v>
      </c>
      <c r="S434" s="2281">
        <f t="shared" si="593"/>
        <v>4.7191744503813693</v>
      </c>
      <c r="T434" s="2281">
        <f t="shared" si="593"/>
        <v>6.5659811482433605</v>
      </c>
      <c r="U434" s="2281">
        <f t="shared" si="593"/>
        <v>4.1621359844296935</v>
      </c>
      <c r="V434" s="2281">
        <f t="shared" si="593"/>
        <v>2.4817095636612496</v>
      </c>
      <c r="W434" s="2281">
        <f t="shared" si="593"/>
        <v>3.2108403310991962</v>
      </c>
      <c r="X434" s="2281">
        <f t="shared" ref="X434:X439" si="594">(X420/W420-1)*100</f>
        <v>3.7056081742332436</v>
      </c>
      <c r="Y434" s="2281">
        <f t="shared" ref="Y434:Y439" si="595">(Y420/X420-1)*100</f>
        <v>1.6178564002495177</v>
      </c>
      <c r="Z434" s="2281">
        <f t="shared" ref="Z434:Z439" si="596">(Z420/Y420-1)*100</f>
        <v>2.7308857671270559</v>
      </c>
      <c r="AA434" s="2281">
        <f t="shared" ref="AA434:AA439" si="597">(AA420/Z420-1)*100</f>
        <v>2.7103841881487734</v>
      </c>
      <c r="AB434" s="2281">
        <f t="shared" ref="AB434:AB439" si="598">(AB420/AA420-1)*100</f>
        <v>2.6545240279549187</v>
      </c>
      <c r="AC434" s="2281">
        <f t="shared" ref="AC434:AC439" si="599">(AC420/AB420-1)*100</f>
        <v>4.3761625203440957</v>
      </c>
      <c r="AD434" s="3676">
        <v>1.8</v>
      </c>
      <c r="AE434" s="3676">
        <v>3</v>
      </c>
      <c r="AF434" s="3676">
        <v>3</v>
      </c>
      <c r="AG434" s="3634" t="s">
        <v>2576</v>
      </c>
      <c r="BB434" s="3521">
        <v>3.1716417910447881</v>
      </c>
      <c r="BC434" s="736" t="str">
        <f t="shared" si="539"/>
        <v/>
      </c>
    </row>
    <row r="435" spans="1:55" ht="12.75" customHeight="1">
      <c r="A435" s="701"/>
      <c r="B435" s="701"/>
      <c r="C435" s="832" t="s">
        <v>1791</v>
      </c>
      <c r="D435" s="711" t="s">
        <v>666</v>
      </c>
      <c r="E435" s="820" t="str">
        <f t="shared" si="591"/>
        <v>Net operating surplus (B.2n)</v>
      </c>
      <c r="F435" s="741"/>
      <c r="G435" s="743"/>
      <c r="H435" s="743">
        <f t="shared" si="592"/>
        <v>-61.970280682443011</v>
      </c>
      <c r="I435" s="743">
        <f t="shared" si="592"/>
        <v>-9.6960926193911501</v>
      </c>
      <c r="J435" s="743">
        <f t="shared" si="592"/>
        <v>-31.730769230767674</v>
      </c>
      <c r="K435" s="743">
        <f t="shared" si="592"/>
        <v>-495.30516431924332</v>
      </c>
      <c r="L435" s="743">
        <f t="shared" si="592"/>
        <v>41.745843230399601</v>
      </c>
      <c r="M435" s="743">
        <f t="shared" si="592"/>
        <v>15.12358609132769</v>
      </c>
      <c r="N435" s="743">
        <f t="shared" si="592"/>
        <v>-38.318777292577167</v>
      </c>
      <c r="O435" s="743">
        <f t="shared" si="592"/>
        <v>-9.4985250737440801</v>
      </c>
      <c r="P435" s="743">
        <f t="shared" si="592"/>
        <v>-15.645371577572719</v>
      </c>
      <c r="Q435" s="743">
        <f t="shared" si="592"/>
        <v>104.79134466768576</v>
      </c>
      <c r="R435" s="2281">
        <f t="shared" si="592"/>
        <v>28.528301886796914</v>
      </c>
      <c r="S435" s="2281">
        <f t="shared" si="592"/>
        <v>10.569583088664025</v>
      </c>
      <c r="T435" s="2281">
        <f t="shared" si="592"/>
        <v>20.685077004779863</v>
      </c>
      <c r="U435" s="2281">
        <f t="shared" si="592"/>
        <v>-3.2563256325629064</v>
      </c>
      <c r="V435" s="2281">
        <f t="shared" si="592"/>
        <v>4.7304980668650742</v>
      </c>
      <c r="W435" s="2281">
        <f t="shared" si="592"/>
        <v>20.434310532031663</v>
      </c>
      <c r="X435" s="2281">
        <f t="shared" si="594"/>
        <v>-16.660656328885359</v>
      </c>
      <c r="Y435" s="2281">
        <f t="shared" si="595"/>
        <v>-11.31544785807076</v>
      </c>
      <c r="Z435" s="2281">
        <f t="shared" si="596"/>
        <v>12.710417174920984</v>
      </c>
      <c r="AA435" s="2281">
        <f t="shared" si="597"/>
        <v>-29.220779220780337</v>
      </c>
      <c r="AB435" s="2281">
        <f t="shared" si="598"/>
        <v>37.431192660548618</v>
      </c>
      <c r="AC435" s="2281">
        <f t="shared" si="599"/>
        <v>6.675567423232609</v>
      </c>
      <c r="AD435" s="2327">
        <f ca="1">(AC428)*('VVP2'!AD341)</f>
        <v>-5.0288118682293232</v>
      </c>
      <c r="AE435" s="2327">
        <f ca="1">(AD428)*('VVP2'!AE341)</f>
        <v>-4.7250771338327064</v>
      </c>
      <c r="AF435" s="2327">
        <f ca="1">(AE428)*('VVP2'!AF341)</f>
        <v>-4.4915716065405791</v>
      </c>
      <c r="AG435" s="3634" t="s">
        <v>2583</v>
      </c>
      <c r="BB435" s="3521">
        <v>8.7574355584924888</v>
      </c>
      <c r="BC435" s="736">
        <f t="shared" si="539"/>
        <v>28.673757102056129</v>
      </c>
    </row>
    <row r="436" spans="1:55" ht="12.75" customHeight="1">
      <c r="A436" s="701"/>
      <c r="B436" s="701"/>
      <c r="C436" s="832" t="s">
        <v>1791</v>
      </c>
      <c r="D436" s="711" t="s">
        <v>666</v>
      </c>
      <c r="E436" s="820" t="str">
        <f t="shared" si="591"/>
        <v>Other taxes on production (D.29p)</v>
      </c>
      <c r="F436" s="741" t="s">
        <v>364</v>
      </c>
      <c r="G436" s="743"/>
      <c r="H436" s="743">
        <f t="shared" si="592"/>
        <v>7.527358471553236</v>
      </c>
      <c r="I436" s="743">
        <f t="shared" si="592"/>
        <v>2.0167185215729022</v>
      </c>
      <c r="J436" s="743">
        <f t="shared" si="592"/>
        <v>31.418335476759161</v>
      </c>
      <c r="K436" s="743">
        <f t="shared" si="592"/>
        <v>3.6250017474940721</v>
      </c>
      <c r="L436" s="743">
        <f t="shared" si="592"/>
        <v>-10.34617667691975</v>
      </c>
      <c r="M436" s="743">
        <f t="shared" si="592"/>
        <v>3.3014822060040583</v>
      </c>
      <c r="N436" s="743">
        <f t="shared" si="592"/>
        <v>5.3955629360951995</v>
      </c>
      <c r="O436" s="743">
        <f t="shared" si="592"/>
        <v>5.2368250107113656</v>
      </c>
      <c r="P436" s="743">
        <f t="shared" si="592"/>
        <v>3.0692653200598885</v>
      </c>
      <c r="Q436" s="743">
        <f t="shared" si="592"/>
        <v>2.5548235833789956</v>
      </c>
      <c r="R436" s="2281">
        <f t="shared" ref="R436:AF437" si="600">(R422/Q422-1)*100</f>
        <v>2.7334625515630373</v>
      </c>
      <c r="S436" s="2281">
        <f t="shared" si="600"/>
        <v>3.8012190992211314</v>
      </c>
      <c r="T436" s="2281">
        <f t="shared" si="600"/>
        <v>3.3392755193587087</v>
      </c>
      <c r="U436" s="2281">
        <f t="shared" si="600"/>
        <v>-1.7318164905911426</v>
      </c>
      <c r="V436" s="2281">
        <f t="shared" si="600"/>
        <v>1.279300572530051</v>
      </c>
      <c r="W436" s="2281">
        <f t="shared" si="600"/>
        <v>3.7033260830161119</v>
      </c>
      <c r="X436" s="2281">
        <f t="shared" si="594"/>
        <v>2.7768977835068487</v>
      </c>
      <c r="Y436" s="2281">
        <f t="shared" si="595"/>
        <v>3.0983280720215278</v>
      </c>
      <c r="Z436" s="2281">
        <f t="shared" si="596"/>
        <v>3.4083176972721008</v>
      </c>
      <c r="AA436" s="2281">
        <f t="shared" si="597"/>
        <v>5.5989791035252923</v>
      </c>
      <c r="AB436" s="2281">
        <f t="shared" si="598"/>
        <v>7.2941842900302145</v>
      </c>
      <c r="AC436" s="2281">
        <f t="shared" si="599"/>
        <v>5.3525861006986641</v>
      </c>
      <c r="AD436" s="2333">
        <f t="shared" si="600"/>
        <v>4.0000000000000036</v>
      </c>
      <c r="AE436" s="2333">
        <f t="shared" si="600"/>
        <v>4.0000000000000036</v>
      </c>
      <c r="AF436" s="2333">
        <f t="shared" si="600"/>
        <v>4.0000000000000036</v>
      </c>
      <c r="BB436" s="3475">
        <v>7.7185199169341301</v>
      </c>
      <c r="BC436" s="736" t="str">
        <f t="shared" si="539"/>
        <v/>
      </c>
    </row>
    <row r="437" spans="1:55" ht="12.75" customHeight="1">
      <c r="A437" s="701"/>
      <c r="B437" s="701"/>
      <c r="C437" s="832" t="s">
        <v>301</v>
      </c>
      <c r="D437" s="711" t="s">
        <v>666</v>
      </c>
      <c r="E437" s="820" t="str">
        <f t="shared" si="591"/>
        <v>Other subsidies on production (D.39r)</v>
      </c>
      <c r="F437" s="741" t="s">
        <v>367</v>
      </c>
      <c r="G437" s="743"/>
      <c r="H437" s="743">
        <f t="shared" si="592"/>
        <v>-13.287181777579271</v>
      </c>
      <c r="I437" s="743">
        <f t="shared" si="592"/>
        <v>-7.0048931238732903</v>
      </c>
      <c r="J437" s="743">
        <f t="shared" si="592"/>
        <v>17.252838548878422</v>
      </c>
      <c r="K437" s="743">
        <f t="shared" si="592"/>
        <v>12.564950401511577</v>
      </c>
      <c r="L437" s="743">
        <f t="shared" si="592"/>
        <v>-34.263533361309271</v>
      </c>
      <c r="M437" s="743">
        <f t="shared" si="592"/>
        <v>-6.2240663900414939</v>
      </c>
      <c r="N437" s="743">
        <f t="shared" si="592"/>
        <v>30.565010211027889</v>
      </c>
      <c r="O437" s="743">
        <f t="shared" si="592"/>
        <v>-8.6287799791449409</v>
      </c>
      <c r="P437" s="743">
        <f t="shared" si="592"/>
        <v>-19.229671897289581</v>
      </c>
      <c r="Q437" s="743">
        <f t="shared" si="592"/>
        <v>-12.998940303779582</v>
      </c>
      <c r="R437" s="2281">
        <f t="shared" si="600"/>
        <v>15.590742996345908</v>
      </c>
      <c r="S437" s="2281">
        <f t="shared" si="600"/>
        <v>-5.338953284158765</v>
      </c>
      <c r="T437" s="2281">
        <f t="shared" si="600"/>
        <v>10.352504638218928</v>
      </c>
      <c r="U437" s="2281">
        <f t="shared" si="600"/>
        <v>-9.9193006052454731</v>
      </c>
      <c r="V437" s="2281">
        <f t="shared" si="600"/>
        <v>15.192235908921248</v>
      </c>
      <c r="W437" s="2281">
        <f t="shared" si="600"/>
        <v>1.0693454309786299</v>
      </c>
      <c r="X437" s="2281">
        <f t="shared" si="594"/>
        <v>3.815325424815641</v>
      </c>
      <c r="Y437" s="2281">
        <f t="shared" si="595"/>
        <v>7.3810994441013023</v>
      </c>
      <c r="Z437" s="2281">
        <f t="shared" si="596"/>
        <v>5.7520851308612286E-2</v>
      </c>
      <c r="AA437" s="2281">
        <f t="shared" si="597"/>
        <v>-3.9954009772923293</v>
      </c>
      <c r="AB437" s="2281">
        <f t="shared" si="598"/>
        <v>-0.38922155688622118</v>
      </c>
      <c r="AC437" s="2281">
        <f t="shared" si="599"/>
        <v>25.548542230237437</v>
      </c>
      <c r="AD437" s="2333">
        <f t="shared" si="600"/>
        <v>3.0000000000000027</v>
      </c>
      <c r="AE437" s="2333">
        <f t="shared" si="600"/>
        <v>3.0000000000000027</v>
      </c>
      <c r="AF437" s="2333">
        <f t="shared" si="600"/>
        <v>3.0000000000000027</v>
      </c>
      <c r="BB437" s="3475">
        <v>-0.41916167664669546</v>
      </c>
      <c r="BC437" s="736" t="str">
        <f t="shared" si="539"/>
        <v/>
      </c>
    </row>
    <row r="438" spans="1:55" ht="12.75" customHeight="1">
      <c r="A438" s="701"/>
      <c r="B438" s="701"/>
      <c r="C438" s="833" t="s">
        <v>301</v>
      </c>
      <c r="D438" s="728" t="s">
        <v>666</v>
      </c>
      <c r="E438" s="3671" t="str">
        <f t="shared" si="591"/>
        <v>Sales (P.11 + P.12 + P.131)</v>
      </c>
      <c r="F438" s="773"/>
      <c r="G438" s="778"/>
      <c r="H438" s="778">
        <f>(H424/G424-1)*100</f>
        <v>-0.90797447202592974</v>
      </c>
      <c r="I438" s="778">
        <f t="shared" ref="I438:Q438" si="601">(I424/H424-1)*100</f>
        <v>-0.95692807801706081</v>
      </c>
      <c r="J438" s="778">
        <f t="shared" si="601"/>
        <v>4.7447127120556321</v>
      </c>
      <c r="K438" s="778">
        <f t="shared" si="601"/>
        <v>-4.966511299988241</v>
      </c>
      <c r="L438" s="778">
        <f t="shared" si="601"/>
        <v>4.0926513621563743</v>
      </c>
      <c r="M438" s="778">
        <f t="shared" si="601"/>
        <v>7.9733528666455333</v>
      </c>
      <c r="N438" s="778">
        <f t="shared" si="601"/>
        <v>1.9132922010652864</v>
      </c>
      <c r="O438" s="778">
        <f t="shared" si="601"/>
        <v>4.062393177770196</v>
      </c>
      <c r="P438" s="778">
        <f t="shared" si="601"/>
        <v>5.5998340277657599</v>
      </c>
      <c r="Q438" s="778">
        <f t="shared" si="601"/>
        <v>3.0091683038637962</v>
      </c>
      <c r="R438" s="2334">
        <f t="shared" ref="R438:W439" si="602">(R424/Q424-1)*100</f>
        <v>3.0627165517022048</v>
      </c>
      <c r="S438" s="2334">
        <f t="shared" si="602"/>
        <v>5.9040789575140806</v>
      </c>
      <c r="T438" s="2334">
        <f t="shared" si="602"/>
        <v>6.0991503272732395</v>
      </c>
      <c r="U438" s="2334">
        <f t="shared" si="602"/>
        <v>0.65466223820374037</v>
      </c>
      <c r="V438" s="2334">
        <f t="shared" si="602"/>
        <v>3.6699436861697077</v>
      </c>
      <c r="W438" s="2334">
        <f t="shared" si="602"/>
        <v>1.622375230992823</v>
      </c>
      <c r="X438" s="2334">
        <f t="shared" si="594"/>
        <v>1.0878287430109879</v>
      </c>
      <c r="Y438" s="2334">
        <f t="shared" si="595"/>
        <v>1.1689467316223778</v>
      </c>
      <c r="Z438" s="2334">
        <f t="shared" si="596"/>
        <v>1.9812066947195284</v>
      </c>
      <c r="AA438" s="2334">
        <f t="shared" si="597"/>
        <v>1.4239976173634705</v>
      </c>
      <c r="AB438" s="2334">
        <f t="shared" si="598"/>
        <v>1.9778418093612471</v>
      </c>
      <c r="AC438" s="2334">
        <f t="shared" si="599"/>
        <v>2.4895917069600593</v>
      </c>
      <c r="AD438" s="3669">
        <v>3</v>
      </c>
      <c r="AE438" s="3670">
        <v>3</v>
      </c>
      <c r="AF438" s="3670">
        <v>3</v>
      </c>
      <c r="BB438" s="3522">
        <v>4.2759853996717334</v>
      </c>
      <c r="BC438" s="736">
        <f t="shared" si="539"/>
        <v>-2.2981435903104863</v>
      </c>
    </row>
    <row r="439" spans="1:55" ht="12.75" customHeight="1">
      <c r="A439" s="701"/>
      <c r="B439" s="701"/>
      <c r="C439" s="811"/>
      <c r="D439" s="754" t="s">
        <v>666</v>
      </c>
      <c r="E439" s="759" t="str">
        <f t="shared" si="591"/>
        <v>Final consumption expenditure</v>
      </c>
      <c r="F439" s="760" t="s">
        <v>374</v>
      </c>
      <c r="G439" s="758"/>
      <c r="H439" s="758">
        <f>(H425/G425-1)*100</f>
        <v>4.0583243705415883</v>
      </c>
      <c r="I439" s="758">
        <f t="shared" ref="I439:Q439" si="603">(I425/H425-1)*100</f>
        <v>2.5785737276563969</v>
      </c>
      <c r="J439" s="758">
        <f t="shared" si="603"/>
        <v>5.4180788427919291</v>
      </c>
      <c r="K439" s="758">
        <f t="shared" si="603"/>
        <v>5.2089399645403711</v>
      </c>
      <c r="L439" s="758">
        <f t="shared" si="603"/>
        <v>2.636221778615</v>
      </c>
      <c r="M439" s="758">
        <f t="shared" si="603"/>
        <v>4.8906474179641668</v>
      </c>
      <c r="N439" s="758">
        <f t="shared" si="603"/>
        <v>6.8586883956130773</v>
      </c>
      <c r="O439" s="758">
        <f t="shared" si="603"/>
        <v>5.1578075880841512</v>
      </c>
      <c r="P439" s="758">
        <f t="shared" si="603"/>
        <v>1.8296863560828713</v>
      </c>
      <c r="Q439" s="758">
        <f t="shared" si="603"/>
        <v>3.0843627856552036</v>
      </c>
      <c r="R439" s="2340">
        <f t="shared" si="602"/>
        <v>5.3848240207460707</v>
      </c>
      <c r="S439" s="2340">
        <f t="shared" si="602"/>
        <v>4.1893231611636716</v>
      </c>
      <c r="T439" s="2340">
        <f t="shared" si="602"/>
        <v>5.0293713978920129</v>
      </c>
      <c r="U439" s="2340">
        <f t="shared" si="602"/>
        <v>3.2642359590335568</v>
      </c>
      <c r="V439" s="2340">
        <f t="shared" si="602"/>
        <v>2.9984847217186861</v>
      </c>
      <c r="W439" s="2340">
        <f t="shared" si="602"/>
        <v>3.8861787150316074</v>
      </c>
      <c r="X439" s="2340">
        <f t="shared" si="594"/>
        <v>3.7024688917896897</v>
      </c>
      <c r="Y439" s="2340">
        <f t="shared" si="595"/>
        <v>3.9501063449892238</v>
      </c>
      <c r="Z439" s="2340">
        <f t="shared" si="596"/>
        <v>3.916661881404071</v>
      </c>
      <c r="AA439" s="2340">
        <f t="shared" si="597"/>
        <v>5.3437245821413182</v>
      </c>
      <c r="AB439" s="2340">
        <f t="shared" si="598"/>
        <v>6.1564654022068233</v>
      </c>
      <c r="AC439" s="2340">
        <f t="shared" si="599"/>
        <v>3.6514935051424668</v>
      </c>
      <c r="AD439" s="2328">
        <f t="shared" ref="AD439:AF439" ca="1" si="604">(AD425/AC425-1)*100</f>
        <v>4.4960400000000122</v>
      </c>
      <c r="AE439" s="2328">
        <f t="shared" ca="1" si="604"/>
        <v>3.7251999999999841</v>
      </c>
      <c r="AF439" s="2328">
        <f t="shared" ca="1" si="604"/>
        <v>3.554180000000029</v>
      </c>
      <c r="BB439" s="3493">
        <v>6.0143747181653273</v>
      </c>
      <c r="BC439" s="736" t="str">
        <f t="shared" si="539"/>
        <v/>
      </c>
    </row>
    <row r="440" spans="1:55" ht="12.75" customHeight="1">
      <c r="A440" s="701"/>
      <c r="B440" s="701"/>
      <c r="C440" s="811"/>
      <c r="E440" s="823"/>
      <c r="F440" s="824"/>
      <c r="G440" s="740"/>
      <c r="H440" s="825"/>
      <c r="I440" s="740"/>
      <c r="J440" s="740"/>
      <c r="K440" s="740"/>
      <c r="L440" s="740"/>
      <c r="M440" s="740"/>
      <c r="N440" s="740"/>
      <c r="O440" s="740"/>
      <c r="P440" s="740"/>
      <c r="Q440" s="882"/>
      <c r="R440" s="2322"/>
      <c r="S440" s="2322"/>
      <c r="T440" s="2322"/>
      <c r="U440" s="2322"/>
      <c r="V440" s="2322"/>
      <c r="W440" s="2322"/>
      <c r="X440" s="2322"/>
      <c r="Y440" s="2322"/>
      <c r="Z440" s="2322"/>
      <c r="AA440" s="2322"/>
      <c r="AB440" s="2322"/>
      <c r="AC440" s="2322"/>
      <c r="AD440" s="2322">
        <f ca="1">Tables!K431</f>
        <v>0.94511676569394043</v>
      </c>
      <c r="AE440" s="2322">
        <f ca="1">Tables!M431</f>
        <v>0.83901290941847817</v>
      </c>
      <c r="AF440" s="2322">
        <f>Tables!N431</f>
        <v>0</v>
      </c>
      <c r="BB440" s="3475"/>
      <c r="BC440" s="736" t="str">
        <f t="shared" si="539"/>
        <v/>
      </c>
    </row>
    <row r="441" spans="1:55" ht="12.75" customHeight="1">
      <c r="A441" s="701"/>
      <c r="B441" s="701"/>
      <c r="C441" s="811"/>
      <c r="D441" s="855"/>
      <c r="E441" s="856" t="s">
        <v>1884</v>
      </c>
      <c r="F441" s="857"/>
      <c r="G441" s="858">
        <f>+InputY!$G$3</f>
        <v>1995</v>
      </c>
      <c r="H441" s="858">
        <f>+G441+1</f>
        <v>1996</v>
      </c>
      <c r="I441" s="858">
        <f t="shared" ref="I441:O441" si="605">+H441+1</f>
        <v>1997</v>
      </c>
      <c r="J441" s="858">
        <f t="shared" si="605"/>
        <v>1998</v>
      </c>
      <c r="K441" s="858">
        <f t="shared" si="605"/>
        <v>1999</v>
      </c>
      <c r="L441" s="858">
        <f t="shared" si="605"/>
        <v>2000</v>
      </c>
      <c r="M441" s="858">
        <f t="shared" si="605"/>
        <v>2001</v>
      </c>
      <c r="N441" s="858">
        <f t="shared" si="605"/>
        <v>2002</v>
      </c>
      <c r="O441" s="858">
        <f t="shared" si="605"/>
        <v>2003</v>
      </c>
      <c r="P441" s="858">
        <f t="shared" ref="P441:AF441" si="606">+O441+1</f>
        <v>2004</v>
      </c>
      <c r="Q441" s="858">
        <f t="shared" si="606"/>
        <v>2005</v>
      </c>
      <c r="R441" s="2323">
        <f t="shared" si="606"/>
        <v>2006</v>
      </c>
      <c r="S441" s="2323">
        <f t="shared" si="606"/>
        <v>2007</v>
      </c>
      <c r="T441" s="2323">
        <f t="shared" si="606"/>
        <v>2008</v>
      </c>
      <c r="U441" s="2323">
        <f t="shared" si="606"/>
        <v>2009</v>
      </c>
      <c r="V441" s="2323">
        <f t="shared" si="606"/>
        <v>2010</v>
      </c>
      <c r="W441" s="2323">
        <f t="shared" si="606"/>
        <v>2011</v>
      </c>
      <c r="X441" s="2323">
        <f t="shared" si="606"/>
        <v>2012</v>
      </c>
      <c r="Y441" s="2323">
        <f t="shared" si="606"/>
        <v>2013</v>
      </c>
      <c r="Z441" s="2323">
        <f t="shared" si="606"/>
        <v>2014</v>
      </c>
      <c r="AA441" s="2323">
        <f t="shared" si="606"/>
        <v>2015</v>
      </c>
      <c r="AB441" s="2323">
        <f t="shared" si="606"/>
        <v>2016</v>
      </c>
      <c r="AC441" s="2323">
        <f t="shared" si="606"/>
        <v>2017</v>
      </c>
      <c r="AD441" s="2323">
        <f t="shared" si="606"/>
        <v>2018</v>
      </c>
      <c r="AE441" s="2323">
        <f t="shared" si="606"/>
        <v>2019</v>
      </c>
      <c r="AF441" s="2323">
        <f t="shared" si="606"/>
        <v>2020</v>
      </c>
      <c r="BB441" s="3486">
        <v>2016</v>
      </c>
      <c r="BC441" s="736" t="str">
        <f t="shared" si="539"/>
        <v/>
      </c>
    </row>
    <row r="442" spans="1:55" ht="12.75" customHeight="1">
      <c r="A442" s="701"/>
      <c r="B442" s="701"/>
      <c r="C442" s="3740" t="s">
        <v>1791</v>
      </c>
      <c r="D442" s="3741" t="s">
        <v>666</v>
      </c>
      <c r="E442" s="3742" t="s">
        <v>1868</v>
      </c>
      <c r="F442" s="3743" t="s">
        <v>1282</v>
      </c>
      <c r="G442" s="3744">
        <f>+G416/'VVP2'!G$341</f>
        <v>0.1348056477136772</v>
      </c>
      <c r="H442" s="3744">
        <f>+H416/'VVP2'!H$341</f>
        <v>0.13856909042596641</v>
      </c>
      <c r="I442" s="3744">
        <f>+I416/'VVP2'!I$341</f>
        <v>0.13575617538865406</v>
      </c>
      <c r="J442" s="3744">
        <f>+J416/'VVP2'!J$341</f>
        <v>0.12551179011921448</v>
      </c>
      <c r="K442" s="3744">
        <f>+K416/'VVP2'!K$341</f>
        <v>0.12539560192861382</v>
      </c>
      <c r="L442" s="3744">
        <f>+L416/'VVP2'!L$341</f>
        <v>0.12354916417256734</v>
      </c>
      <c r="M442" s="3744">
        <f>+M416/'VVP2'!M$341</f>
        <v>0.12533260593831538</v>
      </c>
      <c r="N442" s="3744">
        <f>+N416/'VVP2'!N$341</f>
        <v>0.12742083304357218</v>
      </c>
      <c r="O442" s="3744">
        <f>+O416/'VVP2'!O$341</f>
        <v>0.13068963240568429</v>
      </c>
      <c r="P442" s="3744">
        <f>+P416/'VVP2'!P$341</f>
        <v>0.1287379339788485</v>
      </c>
      <c r="Q442" s="3744">
        <f>+Q416/'VVP2'!Q$341</f>
        <v>0.12749550535046242</v>
      </c>
      <c r="R442" s="3745">
        <f>+R416/'VVP2'!R$341</f>
        <v>0.12500733200680411</v>
      </c>
      <c r="S442" s="3745">
        <f>+S416/'VVP2'!S$341</f>
        <v>0.12319421214832066</v>
      </c>
      <c r="T442" s="3745">
        <f>+T416/'VVP2'!T$341</f>
        <v>0.1245314638965162</v>
      </c>
      <c r="U442" s="3745">
        <f>+U416/'VVP2'!U$341</f>
        <v>0.12872261284826378</v>
      </c>
      <c r="V442" s="3745">
        <f>+V416/'VVP2'!V$341</f>
        <v>0.12280976575447582</v>
      </c>
      <c r="W442" s="3745">
        <f>+W416/'VVP2'!W$341</f>
        <v>0.12169947198107206</v>
      </c>
      <c r="X442" s="3745">
        <f>+X416/'VVP2'!X$341</f>
        <v>0.12594829149623285</v>
      </c>
      <c r="Y442" s="3745">
        <f>+Y416/'VVP2'!Y$341</f>
        <v>0.12752034412850871</v>
      </c>
      <c r="Z442" s="3745">
        <f>+Z416/'VVP2'!Z$341</f>
        <v>0.12677556664996162</v>
      </c>
      <c r="AA442" s="3745">
        <f>+AA416/'VVP2'!AA$341</f>
        <v>0.12433670201637827</v>
      </c>
      <c r="AB442" s="3745">
        <f>+AB416/'VVP2'!AB$341</f>
        <v>0.12594011579531347</v>
      </c>
      <c r="AC442" s="3745">
        <f>+AC416/'VVP2'!AC$341</f>
        <v>0.12677130463021785</v>
      </c>
      <c r="AD442" s="3746">
        <f ca="1">+AD416/'VVP2'!AD$341</f>
        <v>0.12682302639558346</v>
      </c>
      <c r="AE442" s="3746">
        <f ca="1">+AE416/'VVP2'!AE$341</f>
        <v>0.12721730557372285</v>
      </c>
      <c r="AF442" s="3746">
        <f ca="1">+AF416/'VVP2'!AF$341</f>
        <v>0.12758427318682483</v>
      </c>
      <c r="BB442" s="3553">
        <v>0.12501992082521934</v>
      </c>
      <c r="BC442" s="736" t="str">
        <f t="shared" si="539"/>
        <v/>
      </c>
    </row>
    <row r="443" spans="1:55" ht="12.75" customHeight="1">
      <c r="A443" s="701"/>
      <c r="B443" s="701"/>
      <c r="C443" s="863" t="s">
        <v>1791</v>
      </c>
      <c r="D443" s="711" t="s">
        <v>666</v>
      </c>
      <c r="E443" s="820" t="s">
        <v>837</v>
      </c>
      <c r="F443" s="741" t="s">
        <v>1842</v>
      </c>
      <c r="G443" s="876">
        <f>+G417/'VVP2'!G$341</f>
        <v>9.4185659253476786E-2</v>
      </c>
      <c r="H443" s="876">
        <f>+H417/'VVP2'!H$341</f>
        <v>8.9913656999821137E-2</v>
      </c>
      <c r="I443" s="876">
        <f>+I417/'VVP2'!I$341</f>
        <v>8.8453979222325854E-2</v>
      </c>
      <c r="J443" s="876">
        <f>+J417/'VVP2'!J$341</f>
        <v>9.1620434135471288E-2</v>
      </c>
      <c r="K443" s="876">
        <f>+K417/'VVP2'!K$341</f>
        <v>8.7227240531774691E-2</v>
      </c>
      <c r="L443" s="876">
        <f>+L417/'VVP2'!L$341</f>
        <v>8.1869806756596872E-2</v>
      </c>
      <c r="M443" s="876">
        <f>+M417/'VVP2'!M$341</f>
        <v>8.2031785120850173E-2</v>
      </c>
      <c r="N443" s="876">
        <f>+N417/'VVP2'!N$341</f>
        <v>8.3354086059645865E-2</v>
      </c>
      <c r="O443" s="876">
        <f>+O417/'VVP2'!O$341</f>
        <v>8.2193308647252772E-2</v>
      </c>
      <c r="P443" s="876">
        <f>+P417/'VVP2'!P$341</f>
        <v>7.9507463850451668E-2</v>
      </c>
      <c r="Q443" s="876">
        <f>+Q417/'VVP2'!Q$341</f>
        <v>7.9586475064443635E-2</v>
      </c>
      <c r="R443" s="2348">
        <f>+R417/'VVP2'!R$341</f>
        <v>7.9964638778613359E-2</v>
      </c>
      <c r="S443" s="2348">
        <f>+S417/'VVP2'!S$341</f>
        <v>7.7549021003743432E-2</v>
      </c>
      <c r="T443" s="2348">
        <f>+T417/'VVP2'!T$341</f>
        <v>8.0538234580433715E-2</v>
      </c>
      <c r="U443" s="2348">
        <f>+U417/'VVP2'!U$341</f>
        <v>8.6855777125761202E-2</v>
      </c>
      <c r="V443" s="2348">
        <f>+V417/'VVP2'!V$341</f>
        <v>8.3718426345924205E-2</v>
      </c>
      <c r="W443" s="2348">
        <f>+W417/'VVP2'!W$341</f>
        <v>8.3578095094758512E-2</v>
      </c>
      <c r="X443" s="2348">
        <f>+X417/'VVP2'!X$341</f>
        <v>8.420869149395574E-2</v>
      </c>
      <c r="Y443" s="2348">
        <f>+Y417/'VVP2'!Y$341</f>
        <v>8.5032640962135322E-2</v>
      </c>
      <c r="Z443" s="2348">
        <f>+Z417/'VVP2'!Z$341</f>
        <v>8.3518463304934745E-2</v>
      </c>
      <c r="AA443" s="2348">
        <f>+AA417/'VVP2'!AA$341</f>
        <v>8.1066884237528933E-2</v>
      </c>
      <c r="AB443" s="2348">
        <f>+AB417/'VVP2'!AB$341</f>
        <v>8.0389292251254532E-2</v>
      </c>
      <c r="AC443" s="2348">
        <f>+AC417/'VVP2'!AC$341</f>
        <v>7.8354206982945027E-2</v>
      </c>
      <c r="AD443" s="2280">
        <f ca="1">+AD417/'VVP2'!AD$341</f>
        <v>7.8524405612057147E-2</v>
      </c>
      <c r="AE443" s="2280">
        <f ca="1">+AE417/'VVP2'!AE$341</f>
        <v>7.8259255849669765E-2</v>
      </c>
      <c r="AF443" s="2280">
        <f ca="1">+AF417/'VVP2'!AF$341</f>
        <v>7.8063931997680955E-2</v>
      </c>
      <c r="BB443" s="3554">
        <v>8.0266282976060047E-2</v>
      </c>
      <c r="BC443" s="736" t="str">
        <f t="shared" si="539"/>
        <v/>
      </c>
    </row>
    <row r="444" spans="1:55" ht="12.75" customHeight="1">
      <c r="A444" s="701"/>
      <c r="B444" s="701"/>
      <c r="C444" s="863" t="s">
        <v>1791</v>
      </c>
      <c r="D444" s="711" t="s">
        <v>666</v>
      </c>
      <c r="E444" s="820" t="s">
        <v>838</v>
      </c>
      <c r="F444" s="741"/>
      <c r="G444" s="876">
        <f>+G418/'VVP2'!G$341</f>
        <v>1.9941155507284498E-2</v>
      </c>
      <c r="H444" s="876">
        <f>+H418/'VVP2'!H$341</f>
        <v>2.1059482686424269E-2</v>
      </c>
      <c r="I444" s="876">
        <f>+I418/'VVP2'!I$341</f>
        <v>1.8881511074799032E-2</v>
      </c>
      <c r="J444" s="876">
        <f>+J418/'VVP2'!J$341</f>
        <v>2.0717320512180816E-2</v>
      </c>
      <c r="K444" s="876">
        <f>+K418/'VVP2'!K$341</f>
        <v>2.1714534630203969E-2</v>
      </c>
      <c r="L444" s="876">
        <f>+L418/'VVP2'!L$341</f>
        <v>2.387874607845358E-2</v>
      </c>
      <c r="M444" s="876">
        <f>+M418/'VVP2'!M$341</f>
        <v>2.4950884719708483E-2</v>
      </c>
      <c r="N444" s="876">
        <f>+N418/'VVP2'!N$341</f>
        <v>2.7420017179760829E-2</v>
      </c>
      <c r="O444" s="876">
        <f>+O418/'VVP2'!O$341</f>
        <v>2.7718313095447252E-2</v>
      </c>
      <c r="P444" s="876">
        <f>+P418/'VVP2'!P$341</f>
        <v>2.6101310958576814E-2</v>
      </c>
      <c r="Q444" s="876">
        <f>+Q418/'VVP2'!Q$341</f>
        <v>2.6157778088510497E-2</v>
      </c>
      <c r="R444" s="2348">
        <f>+R418/'VVP2'!R$341</f>
        <v>2.6025240151422862E-2</v>
      </c>
      <c r="S444" s="2348">
        <f>+S418/'VVP2'!S$341</f>
        <v>2.6081321836555958E-2</v>
      </c>
      <c r="T444" s="2348">
        <f>+T418/'VVP2'!T$341</f>
        <v>2.7403815394195383E-2</v>
      </c>
      <c r="U444" s="2348">
        <f>+U418/'VVP2'!U$341</f>
        <v>3.1435211750636162E-2</v>
      </c>
      <c r="V444" s="2348">
        <f>+V418/'VVP2'!V$341</f>
        <v>3.2141219311747696E-2</v>
      </c>
      <c r="W444" s="2348">
        <f>+W418/'VVP2'!W$341</f>
        <v>3.2877516052119575E-2</v>
      </c>
      <c r="X444" s="2348">
        <f>+X418/'VVP2'!X$341</f>
        <v>3.3780796346632884E-2</v>
      </c>
      <c r="Y444" s="2348">
        <f>+Y418/'VVP2'!Y$341</f>
        <v>3.4981222536983242E-2</v>
      </c>
      <c r="Z444" s="2348">
        <f>+Z418/'VVP2'!Z$341</f>
        <v>3.5824584329821038E-2</v>
      </c>
      <c r="AA444" s="2348">
        <f>+AA418/'VVP2'!AA$341</f>
        <v>3.6580846608019961E-2</v>
      </c>
      <c r="AB444" s="2348">
        <f>+AB418/'VVP2'!AB$341</f>
        <v>3.9199205928085228E-2</v>
      </c>
      <c r="AC444" s="2348">
        <f>+AC418/'VVP2'!AC$341</f>
        <v>3.7745099859158276E-2</v>
      </c>
      <c r="AD444" s="2280">
        <f ca="1">+AD418/'VVP2'!AD$341</f>
        <v>3.6882222640838368E-2</v>
      </c>
      <c r="AE444" s="2280">
        <f ca="1">+AE418/'VVP2'!AE$341</f>
        <v>3.64268778148501E-2</v>
      </c>
      <c r="AF444" s="2280">
        <f ca="1">+AF418/'VVP2'!AF$341</f>
        <v>3.6059192200989361E-2</v>
      </c>
      <c r="BB444" s="3554">
        <v>3.7492241661517142E-2</v>
      </c>
      <c r="BC444" s="736" t="str">
        <f t="shared" si="539"/>
        <v/>
      </c>
    </row>
    <row r="445" spans="1:55" ht="12.75" customHeight="1">
      <c r="A445" s="701"/>
      <c r="B445" s="701"/>
      <c r="C445" s="863" t="s">
        <v>1791</v>
      </c>
      <c r="D445" s="711" t="s">
        <v>666</v>
      </c>
      <c r="E445" s="820" t="s">
        <v>2020</v>
      </c>
      <c r="F445" s="741"/>
      <c r="G445" s="876">
        <f>+G420/'VVP2'!G$341</f>
        <v>3.3768762780752297E-2</v>
      </c>
      <c r="H445" s="876">
        <f>+H420/'VVP2'!H$341</f>
        <v>3.3999559548340608E-2</v>
      </c>
      <c r="I445" s="876">
        <f>+I420/'VVP2'!I$341</f>
        <v>3.3445467754842043E-2</v>
      </c>
      <c r="J445" s="876">
        <f>+J420/'VVP2'!J$341</f>
        <v>3.2954623551242089E-2</v>
      </c>
      <c r="K445" s="876">
        <f>+K420/'VVP2'!K$341</f>
        <v>3.2759477151603635E-2</v>
      </c>
      <c r="L445" s="876">
        <f>+L420/'VVP2'!L$341</f>
        <v>3.2556701428831533E-2</v>
      </c>
      <c r="M445" s="876">
        <f>+M420/'VVP2'!M$341</f>
        <v>3.3106680483948693E-2</v>
      </c>
      <c r="N445" s="876">
        <f>+N420/'VVP2'!N$341</f>
        <v>3.3371937936851365E-2</v>
      </c>
      <c r="O445" s="876">
        <f>+O420/'VVP2'!O$341</f>
        <v>3.281928244748053E-2</v>
      </c>
      <c r="P445" s="876">
        <f>+P420/'VVP2'!P$341</f>
        <v>3.2290949696322076E-2</v>
      </c>
      <c r="Q445" s="876">
        <f>+Q420/'VVP2'!Q$341</f>
        <v>3.2370409281945164E-2</v>
      </c>
      <c r="R445" s="2348">
        <f>+R420/'VVP2'!R$341</f>
        <v>3.1605944758888165E-2</v>
      </c>
      <c r="S445" s="2348">
        <f>+S420/'VVP2'!S$341</f>
        <v>3.1110732772631666E-2</v>
      </c>
      <c r="T445" s="2348">
        <f>+T420/'VVP2'!T$341</f>
        <v>3.2266890665720034E-2</v>
      </c>
      <c r="U445" s="2348">
        <f>+U420/'VVP2'!U$341</f>
        <v>3.4627487348910649E-2</v>
      </c>
      <c r="V445" s="2348">
        <f>+V420/'VVP2'!V$341</f>
        <v>3.3152336779589446E-2</v>
      </c>
      <c r="W445" s="2348">
        <f>+W420/'VVP2'!W$341</f>
        <v>3.2934330462657771E-2</v>
      </c>
      <c r="X445" s="2348">
        <f>+X420/'VVP2'!X$341</f>
        <v>3.389709209132008E-2</v>
      </c>
      <c r="Y445" s="2348">
        <f>+Y420/'VVP2'!Y$341</f>
        <v>3.3669065663223495E-2</v>
      </c>
      <c r="Z445" s="2348">
        <f>+Z420/'VVP2'!Z$341</f>
        <v>3.3122934336481911E-2</v>
      </c>
      <c r="AA445" s="2348">
        <f>+AA420/'VVP2'!AA$341</f>
        <v>3.1910419576807861E-2</v>
      </c>
      <c r="AB445" s="2348">
        <f>+AB420/'VVP2'!AB$341</f>
        <v>3.1383444111351577E-2</v>
      </c>
      <c r="AC445" s="2348">
        <f>+AC420/'VVP2'!AC$341</f>
        <v>3.137326243710551E-2</v>
      </c>
      <c r="AD445" s="2280">
        <f ca="1">+AD420/'VVP2'!AD$341</f>
        <v>3.0446691126589556E-2</v>
      </c>
      <c r="AE445" s="2280">
        <f ca="1">+AE420/'VVP2'!AE$341</f>
        <v>3.0217485656253835E-2</v>
      </c>
      <c r="AF445" s="2280">
        <f ca="1">+AF420/'VVP2'!AF$341</f>
        <v>3.0058390923082573E-2</v>
      </c>
      <c r="BB445" s="3554">
        <v>3.1134149901769333E-2</v>
      </c>
      <c r="BC445" s="736" t="str">
        <f t="shared" si="539"/>
        <v/>
      </c>
    </row>
    <row r="446" spans="1:55" ht="12.75" customHeight="1">
      <c r="A446" s="701"/>
      <c r="B446" s="701"/>
      <c r="C446" s="863" t="s">
        <v>1791</v>
      </c>
      <c r="D446" s="711" t="s">
        <v>666</v>
      </c>
      <c r="E446" s="820" t="s">
        <v>836</v>
      </c>
      <c r="F446" s="741"/>
      <c r="G446" s="876">
        <f>+G421/'VVP2'!G$341</f>
        <v>9.6359447786648349E-4</v>
      </c>
      <c r="H446" s="876">
        <f>+H421/'VVP2'!H$341</f>
        <v>3.5722077070769135E-4</v>
      </c>
      <c r="I446" s="876">
        <f>+I421/'VVP2'!I$341</f>
        <v>3.0860869900662096E-4</v>
      </c>
      <c r="J446" s="876">
        <f>+J421/'VVP2'!J$341</f>
        <v>2.0052664132939567E-4</v>
      </c>
      <c r="K446" s="876">
        <f>+K421/'VVP2'!K$341</f>
        <v>-7.5159345399593779E-4</v>
      </c>
      <c r="L446" s="876">
        <f>+L421/'VVP2'!L$341</f>
        <v>-1.0014154905173824E-3</v>
      </c>
      <c r="M446" s="876">
        <f>+M421/'VVP2'!M$341</f>
        <v>-1.1072091078021882E-3</v>
      </c>
      <c r="N446" s="876">
        <f>+N421/'VVP2'!N$341</f>
        <v>-6.5851864773291448E-4</v>
      </c>
      <c r="O446" s="876">
        <f>+O421/'VVP2'!O$341</f>
        <v>-5.7220380153704461E-4</v>
      </c>
      <c r="P446" s="876">
        <f>+P421/'VVP2'!P$341</f>
        <v>-4.6076008322168849E-4</v>
      </c>
      <c r="Q446" s="876">
        <f>+Q421/'VVP2'!Q$341</f>
        <v>-9.104392336781211E-4</v>
      </c>
      <c r="R446" s="2348">
        <f>+R421/'VVP2'!R$341</f>
        <v>-1.097706161528472E-3</v>
      </c>
      <c r="S446" s="2348">
        <f>+S421/'VVP2'!S$341</f>
        <v>-1.1408722795603413E-3</v>
      </c>
      <c r="T446" s="2348">
        <f>+T421/'VVP2'!T$341</f>
        <v>-1.3400434769661211E-3</v>
      </c>
      <c r="U446" s="2348">
        <f>+U421/'VVP2'!U$341</f>
        <v>-1.3356585598641888E-3</v>
      </c>
      <c r="V446" s="2348">
        <f>+V421/'VVP2'!V$341</f>
        <v>-1.3068189557707774E-3</v>
      </c>
      <c r="W446" s="2348">
        <f>+W421/'VVP2'!W$341</f>
        <v>-1.5148688502156526E-3</v>
      </c>
      <c r="X446" s="2348">
        <f>+X421/'VVP2'!X$341</f>
        <v>-1.252957883319875E-3</v>
      </c>
      <c r="Y446" s="2348">
        <f>+Y421/'VVP2'!Y$341</f>
        <v>-1.0861330827021932E-3</v>
      </c>
      <c r="Z446" s="2348">
        <f>+Z421/'VVP2'!Z$341</f>
        <v>-1.172313606577148E-3</v>
      </c>
      <c r="AA446" s="2348">
        <f>+AA421/'VVP2'!AA$341</f>
        <v>-7.782855013027314E-4</v>
      </c>
      <c r="AB446" s="2348">
        <f>+AB421/'VVP2'!AB$341</f>
        <v>-1.024741323503337E-3</v>
      </c>
      <c r="AC446" s="2348">
        <f>+AC421/'VVP2'!AC$341</f>
        <v>-1.046976576683605E-3</v>
      </c>
      <c r="AD446" s="2280">
        <f ca="1">+AD421/'VVP2'!AD$341</f>
        <v>-9.4789771841944422E-4</v>
      </c>
      <c r="AE446" s="2280">
        <f ca="1">+AE421/'VVP2'!AE$341</f>
        <v>-8.7020401400999148E-4</v>
      </c>
      <c r="AF446" s="2280">
        <f ca="1">+AF421/'VVP2'!AF$341</f>
        <v>-8.0266247518099958E-4</v>
      </c>
      <c r="BB446" s="3554">
        <v>-7.4711607745671447E-4</v>
      </c>
      <c r="BC446" s="736" t="str">
        <f t="shared" si="539"/>
        <v/>
      </c>
    </row>
    <row r="447" spans="1:55" ht="12.75" customHeight="1">
      <c r="A447" s="701"/>
      <c r="B447" s="701"/>
      <c r="C447" s="863" t="s">
        <v>1791</v>
      </c>
      <c r="D447" s="711" t="s">
        <v>666</v>
      </c>
      <c r="E447" s="820" t="s">
        <v>843</v>
      </c>
      <c r="F447" s="741" t="s">
        <v>364</v>
      </c>
      <c r="G447" s="876">
        <f>+G422/'VVP2'!G$341</f>
        <v>2.6314031038666814E-2</v>
      </c>
      <c r="H447" s="876">
        <f>+H422/'VVP2'!H$341</f>
        <v>2.7581992764599265E-2</v>
      </c>
      <c r="I447" s="876">
        <f>+I422/'VVP2'!I$341</f>
        <v>2.6919185075208532E-2</v>
      </c>
      <c r="J447" s="876">
        <f>+J422/'VVP2'!J$341</f>
        <v>3.3671059110170092E-2</v>
      </c>
      <c r="K447" s="876">
        <f>+K422/'VVP2'!K$341</f>
        <v>3.308260877909356E-2</v>
      </c>
      <c r="L447" s="876">
        <f>+L422/'VVP2'!L$341</f>
        <v>2.7879793222594481E-2</v>
      </c>
      <c r="M447" s="876">
        <f>+M422/'VVP2'!M$341</f>
        <v>2.7659679054407964E-2</v>
      </c>
      <c r="N447" s="876">
        <f>+N422/'VVP2'!N$341</f>
        <v>2.8109616353640444E-2</v>
      </c>
      <c r="O447" s="876">
        <f>+O422/'VVP2'!O$341</f>
        <v>2.8402048146436428E-2</v>
      </c>
      <c r="P447" s="876">
        <f>+P422/'VVP2'!P$341</f>
        <v>2.7944351291463512E-2</v>
      </c>
      <c r="Q447" s="876">
        <f>+Q422/'VVP2'!Q$341</f>
        <v>2.7651241993717626E-2</v>
      </c>
      <c r="R447" s="2348">
        <f>+R422/'VVP2'!R$341</f>
        <v>2.6647896729248166E-2</v>
      </c>
      <c r="S447" s="2348">
        <f>+S422/'VVP2'!S$341</f>
        <v>2.6000436839571726E-2</v>
      </c>
      <c r="T447" s="2348">
        <f>+T422/'VVP2'!T$341</f>
        <v>2.6150159758538613E-2</v>
      </c>
      <c r="U447" s="2348">
        <f>+U422/'VVP2'!U$341</f>
        <v>2.647532251582544E-2</v>
      </c>
      <c r="V447" s="2348">
        <f>+V422/'VVP2'!V$341</f>
        <v>2.5050059253810635E-2</v>
      </c>
      <c r="W447" s="2348">
        <f>+W422/'VVP2'!W$341</f>
        <v>2.5004076707102318E-2</v>
      </c>
      <c r="X447" s="2348">
        <f>+X422/'VVP2'!X$341</f>
        <v>2.5504551392553438E-2</v>
      </c>
      <c r="Y447" s="2348">
        <f>+Y422/'VVP2'!Y$341</f>
        <v>2.5702058247364361E-2</v>
      </c>
      <c r="Z447" s="2348">
        <f>+Z422/'VVP2'!Z$341</f>
        <v>2.5451892639418411E-2</v>
      </c>
      <c r="AA447" s="2348">
        <f>+AA422/'VVP2'!AA$341</f>
        <v>2.5209786023848858E-2</v>
      </c>
      <c r="AB447" s="2348">
        <f>+AB422/'VVP2'!AB$341</f>
        <v>2.5914052614789154E-2</v>
      </c>
      <c r="AC447" s="2348">
        <f>+AC422/'VVP2'!AC$341</f>
        <v>2.6147988850594869E-2</v>
      </c>
      <c r="AD447" s="2280">
        <f ca="1">+AD422/'VVP2'!AD$341</f>
        <v>2.5924134827029169E-2</v>
      </c>
      <c r="AE447" s="2280">
        <f ca="1">+AE422/'VVP2'!AE$341</f>
        <v>2.5978771452742362E-2</v>
      </c>
      <c r="AF447" s="2280">
        <f ca="1">+AF422/'VVP2'!AF$341</f>
        <v>2.6092886644542297E-2</v>
      </c>
      <c r="BB447" s="3554">
        <v>2.5906607539084546E-2</v>
      </c>
      <c r="BC447" s="736" t="str">
        <f t="shared" si="539"/>
        <v/>
      </c>
    </row>
    <row r="448" spans="1:55" ht="12.75" customHeight="1">
      <c r="A448" s="701"/>
      <c r="B448" s="701"/>
      <c r="C448" s="863" t="s">
        <v>301</v>
      </c>
      <c r="D448" s="711" t="s">
        <v>666</v>
      </c>
      <c r="E448" s="820" t="s">
        <v>842</v>
      </c>
      <c r="F448" s="741" t="s">
        <v>367</v>
      </c>
      <c r="G448" s="876">
        <f>+G423/'VVP2'!G$341</f>
        <v>2.3747804468278277E-3</v>
      </c>
      <c r="H448" s="876">
        <f>+H423/'VVP2'!H$341</f>
        <v>2.007363607319769E-3</v>
      </c>
      <c r="I448" s="876">
        <f>+I423/'VVP2'!I$341</f>
        <v>1.7858750194116851E-3</v>
      </c>
      <c r="J448" s="876">
        <f>+J423/'VVP2'!J$341</f>
        <v>1.9930276980953737E-3</v>
      </c>
      <c r="K448" s="876">
        <f>+K423/'VVP2'!K$341</f>
        <v>2.127134442841184E-3</v>
      </c>
      <c r="L448" s="876">
        <f>+L423/'VVP2'!L$341</f>
        <v>1.3143840518604847E-3</v>
      </c>
      <c r="M448" s="876">
        <f>+M423/'VVP2'!M$341</f>
        <v>1.1837628670752756E-3</v>
      </c>
      <c r="N448" s="876">
        <f>+N423/'VVP2'!N$341</f>
        <v>1.4903112287336356E-3</v>
      </c>
      <c r="O448" s="876">
        <f>+O423/'VVP2'!O$341</f>
        <v>1.3074148138118211E-3</v>
      </c>
      <c r="P448" s="876">
        <f>+P423/'VVP2'!P$341</f>
        <v>1.0080462098922412E-3</v>
      </c>
      <c r="Q448" s="876">
        <f>+Q423/'VVP2'!Q$341</f>
        <v>8.4619314435821426E-4</v>
      </c>
      <c r="R448" s="2348">
        <f>+R423/'VVP2'!R$341</f>
        <v>9.1754828005623245E-4</v>
      </c>
      <c r="S448" s="2348">
        <f>+S423/'VVP2'!S$341</f>
        <v>8.1642347143260046E-4</v>
      </c>
      <c r="T448" s="2348">
        <f>+T423/'VVP2'!T$341</f>
        <v>8.7685133124253145E-4</v>
      </c>
      <c r="U448" s="2348">
        <f>+U423/'VVP2'!U$341</f>
        <v>8.1378878368801538E-4</v>
      </c>
      <c r="V448" s="2348">
        <f>+V423/'VVP2'!V$341</f>
        <v>8.7575315906810326E-4</v>
      </c>
      <c r="W448" s="2348">
        <f>+W423/'VVP2'!W$341</f>
        <v>8.5194301186847579E-4</v>
      </c>
      <c r="X448" s="2348">
        <f>+X423/'VVP2'!X$341</f>
        <v>8.7777534101897295E-4</v>
      </c>
      <c r="Y448" s="2348">
        <f>+Y423/'VVP2'!Y$341</f>
        <v>9.2131854807404152E-4</v>
      </c>
      <c r="Z448" s="2348">
        <f>+Z423/'VVP2'!Z$341</f>
        <v>8.8278767040732818E-4</v>
      </c>
      <c r="AA448" s="2348">
        <f>+AA423/'VVP2'!AA$341</f>
        <v>7.9494604720218263E-4</v>
      </c>
      <c r="AB448" s="2348">
        <f>+AB423/'VVP2'!AB$341</f>
        <v>7.5863693442271187E-4</v>
      </c>
      <c r="AC448" s="2348">
        <f>+AC423/'VVP2'!AC$341</f>
        <v>9.1222802686846758E-4</v>
      </c>
      <c r="AD448" s="2280">
        <f ca="1">+AD423/'VVP2'!AD$341</f>
        <v>8.957220738539329E-4</v>
      </c>
      <c r="AE448" s="2280">
        <f ca="1">+AE423/'VVP2'!AE$341</f>
        <v>8.8897899630983553E-4</v>
      </c>
      <c r="AF448" s="2280">
        <f ca="1">+AF423/'VVP2'!AF$341</f>
        <v>8.8429853156761094E-4</v>
      </c>
      <c r="BB448" s="3554">
        <v>7.5506170574932043E-4</v>
      </c>
      <c r="BC448" s="736" t="str">
        <f t="shared" si="539"/>
        <v/>
      </c>
    </row>
    <row r="449" spans="1:55" ht="12.75" customHeight="1">
      <c r="A449" s="701"/>
      <c r="B449" s="701"/>
      <c r="C449" s="864" t="s">
        <v>301</v>
      </c>
      <c r="D449" s="865" t="s">
        <v>666</v>
      </c>
      <c r="E449" s="866" t="s">
        <v>844</v>
      </c>
      <c r="F449" s="867"/>
      <c r="G449" s="877">
        <f>+G424/'VVP2'!G$341</f>
        <v>5.2683215531212614E-2</v>
      </c>
      <c r="H449" s="877">
        <f>+H424/'VVP2'!H$341</f>
        <v>5.0889743369703339E-2</v>
      </c>
      <c r="I449" s="877">
        <f>+I424/'VVP2'!I$341</f>
        <v>4.8219120089338263E-2</v>
      </c>
      <c r="J449" s="877">
        <f>+J424/'VVP2'!J$341</f>
        <v>4.8071790420475179E-2</v>
      </c>
      <c r="K449" s="877">
        <f>+K424/'VVP2'!K$341</f>
        <v>4.3315705402144904E-2</v>
      </c>
      <c r="L449" s="877">
        <f>+L424/'VVP2'!L$341</f>
        <v>4.2382487856735908E-2</v>
      </c>
      <c r="M449" s="877">
        <f>+M424/'VVP2'!M$341</f>
        <v>4.394951319867392E-2</v>
      </c>
      <c r="N449" s="877">
        <f>+N424/'VVP2'!N$341</f>
        <v>4.3188722120282415E-2</v>
      </c>
      <c r="O449" s="877">
        <f>+O424/'VVP2'!O$341</f>
        <v>4.3151030097397743E-2</v>
      </c>
      <c r="P449" s="877">
        <f>+P424/'VVP2'!P$341</f>
        <v>4.3498030731344471E-2</v>
      </c>
      <c r="Q449" s="877">
        <f>+Q424/'VVP2'!Q$341</f>
        <v>4.3232464682687877E-2</v>
      </c>
      <c r="R449" s="2349">
        <f>+R424/'VVP2'!R$341</f>
        <v>4.1797273073583698E-2</v>
      </c>
      <c r="S449" s="2349">
        <f>+S424/'VVP2'!S$341</f>
        <v>4.1607908916828716E-2</v>
      </c>
      <c r="T449" s="2349">
        <f>+T424/'VVP2'!T$341</f>
        <v>4.2965125552786358E-2</v>
      </c>
      <c r="U449" s="2349">
        <f>+U424/'VVP2'!U$341</f>
        <v>4.4555771263079781E-2</v>
      </c>
      <c r="V449" s="2349">
        <f>+V424/'VVP2'!V$341</f>
        <v>4.3152268671761133E-2</v>
      </c>
      <c r="W449" s="2349">
        <f>+W424/'VVP2'!W$341</f>
        <v>4.2208736690609747E-2</v>
      </c>
      <c r="X449" s="2349">
        <f>+X424/'VVP2'!X$341</f>
        <v>4.2346018605692634E-2</v>
      </c>
      <c r="Y449" s="2349">
        <f>+Y424/'VVP2'!Y$341</f>
        <v>4.1875345626943096E-2</v>
      </c>
      <c r="Z449" s="2349">
        <f>+Z424/'VVP2'!Z$341</f>
        <v>4.0895475047101885E-2</v>
      </c>
      <c r="AA449" s="2349">
        <f>+AA424/'VVP2'!AA$341</f>
        <v>3.890499276099281E-2</v>
      </c>
      <c r="AB449" s="2349">
        <f>+AB424/'VVP2'!AB$341</f>
        <v>3.8010287089467847E-2</v>
      </c>
      <c r="AC449" s="2349">
        <f>+AC424/'VVP2'!AC$341</f>
        <v>3.7311152746544528E-2</v>
      </c>
      <c r="AD449" s="2301">
        <f ca="1">+AD424/'VVP2'!AD$341</f>
        <v>3.6636040695595243E-2</v>
      </c>
      <c r="AE449" s="2301">
        <f ca="1">+AE424/'VVP2'!AE$341</f>
        <v>3.6360241236666882E-2</v>
      </c>
      <c r="AF449" s="2301">
        <f ca="1">+AF424/'VVP2'!AF$341</f>
        <v>3.6168804962206598E-2</v>
      </c>
      <c r="BB449" s="3555">
        <v>3.8653438481994519E-2</v>
      </c>
      <c r="BC449" s="736" t="str">
        <f t="shared" si="539"/>
        <v/>
      </c>
    </row>
    <row r="450" spans="1:55" ht="12.75" customHeight="1">
      <c r="A450" s="701"/>
      <c r="B450" s="701"/>
      <c r="C450" s="811"/>
      <c r="D450" s="843" t="s">
        <v>666</v>
      </c>
      <c r="E450" s="844" t="s">
        <v>377</v>
      </c>
      <c r="F450" s="845" t="s">
        <v>374</v>
      </c>
      <c r="G450" s="878">
        <f>+G425/'VVP2'!G$341</f>
        <v>0.25492085479368365</v>
      </c>
      <c r="H450" s="878">
        <f>+H425/'VVP2'!H$341</f>
        <v>0.25858389621883626</v>
      </c>
      <c r="I450" s="878">
        <f>+I425/'VVP2'!I$341</f>
        <v>0.25375993210608622</v>
      </c>
      <c r="J450" s="878">
        <f>+J425/'VVP2'!J$341</f>
        <v>0.25461093595103762</v>
      </c>
      <c r="K450" s="878">
        <f>+K425/'VVP2'!K$341</f>
        <v>0.25398502972230763</v>
      </c>
      <c r="L450" s="878">
        <f>+L425/'VVP2'!L$341</f>
        <v>0.24503592425993001</v>
      </c>
      <c r="M450" s="878">
        <f>+M425/'VVP2'!M$341</f>
        <v>0.2468411501436793</v>
      </c>
      <c r="N450" s="878">
        <f>+N425/'VVP2'!N$341</f>
        <v>0.25433893857672174</v>
      </c>
      <c r="O450" s="878">
        <f>+O425/'VVP2'!O$341</f>
        <v>0.25679193602955469</v>
      </c>
      <c r="P450" s="878">
        <f>+P425/'VVP2'!P$341</f>
        <v>0.24961517275120418</v>
      </c>
      <c r="Q450" s="878">
        <f>+Q425/'VVP2'!Q$341</f>
        <v>0.24827231271835512</v>
      </c>
      <c r="R450" s="2361">
        <f>+R425/'VVP2'!R$341</f>
        <v>0.24543852490980825</v>
      </c>
      <c r="S450" s="2350">
        <f>+S425/'VVP2'!S$341</f>
        <v>0.24037051993300174</v>
      </c>
      <c r="T450" s="2350">
        <f>+T425/'VVP2'!T$341</f>
        <v>0.24570854393440891</v>
      </c>
      <c r="U450" s="2350">
        <f>+U425/'VVP2'!U$341</f>
        <v>0.26141119298276522</v>
      </c>
      <c r="V450" s="2350">
        <f>+V425/'VVP2'!V$341</f>
        <v>0.25153696665894776</v>
      </c>
      <c r="W450" s="2350">
        <f>+W425/'VVP2'!W$341</f>
        <v>0.25151794174501635</v>
      </c>
      <c r="X450" s="2350">
        <f>+X425/'VVP2'!X$341</f>
        <v>0.25886267099066351</v>
      </c>
      <c r="Y450" s="2350">
        <f>+Y425/'VVP2'!Y$341</f>
        <v>0.26302253428049577</v>
      </c>
      <c r="Z450" s="2350">
        <f>+Z425/'VVP2'!Z$341</f>
        <v>0.26174286493653137</v>
      </c>
      <c r="AA450" s="2350">
        <f>+AA425/'VVP2'!AA$341</f>
        <v>0.25862641415308618</v>
      </c>
      <c r="AB450" s="2350">
        <f>+AB425/'VVP2'!AB$341</f>
        <v>0.26303244535340009</v>
      </c>
      <c r="AC450" s="2350">
        <f>+AC425/'VVP2'!AC$341</f>
        <v>0.2611215054099249</v>
      </c>
      <c r="AD450" s="2300">
        <f ca="1">+AD425/'VVP2'!AD$341</f>
        <v>0.26012082011422905</v>
      </c>
      <c r="AE450" s="2300">
        <f ca="1">+AE425/'VVP2'!AE$341</f>
        <v>0.25998027210025221</v>
      </c>
      <c r="AF450" s="2300">
        <f ca="1">+AF425/'VVP2'!AF$341</f>
        <v>0.26000290898416484</v>
      </c>
      <c r="BB450" s="3556">
        <v>0.26152104751531119</v>
      </c>
      <c r="BC450" s="736" t="str">
        <f t="shared" ref="BC450:BC513" si="607">IF(ABS(BB450-AB450)&gt;0.99,AB450-BB450,"")</f>
        <v/>
      </c>
    </row>
    <row r="451" spans="1:55" ht="30" customHeight="1">
      <c r="A451" s="701"/>
      <c r="B451" s="701"/>
      <c r="C451" s="811"/>
      <c r="AH451" s="3645"/>
      <c r="AI451" s="3645"/>
      <c r="AJ451" s="3645"/>
      <c r="AK451" s="3645"/>
      <c r="AL451" s="3645"/>
      <c r="AM451" s="3645"/>
      <c r="AN451" s="3645"/>
      <c r="AO451" s="3645"/>
      <c r="AP451" s="3645"/>
      <c r="AQ451" s="3645"/>
      <c r="BC451" s="736" t="str">
        <f t="shared" si="607"/>
        <v/>
      </c>
    </row>
    <row r="452" spans="1:55" ht="30" customHeight="1">
      <c r="BC452" s="736" t="str">
        <f t="shared" si="607"/>
        <v/>
      </c>
    </row>
    <row r="453" spans="1:55" ht="22.5" customHeight="1">
      <c r="A453" s="590"/>
      <c r="B453" s="590"/>
      <c r="C453" s="3816" t="s">
        <v>1660</v>
      </c>
      <c r="D453" s="3816"/>
      <c r="E453" s="3816"/>
      <c r="F453" s="3816"/>
      <c r="BC453" s="736" t="str">
        <f t="shared" si="607"/>
        <v/>
      </c>
    </row>
    <row r="454" spans="1:55" ht="12.75" customHeight="1">
      <c r="A454" s="701"/>
      <c r="B454" s="701"/>
      <c r="C454" s="811"/>
      <c r="AC454" s="2342">
        <f ca="1">AC458-Tables!F423</f>
        <v>-4.5474735088646412E-13</v>
      </c>
      <c r="BC454" s="736" t="str">
        <f t="shared" si="607"/>
        <v/>
      </c>
    </row>
    <row r="455" spans="1:55" ht="12.75" customHeight="1">
      <c r="A455" s="701"/>
      <c r="B455" s="701"/>
      <c r="C455" s="811"/>
      <c r="D455" s="812"/>
      <c r="E455" s="813" t="s">
        <v>1882</v>
      </c>
      <c r="F455" s="814"/>
      <c r="G455" s="815">
        <f>+InputY!$G$3</f>
        <v>1995</v>
      </c>
      <c r="H455" s="815">
        <f>+G455+1</f>
        <v>1996</v>
      </c>
      <c r="I455" s="815">
        <f t="shared" ref="I455:O455" si="608">+H455+1</f>
        <v>1997</v>
      </c>
      <c r="J455" s="815">
        <f t="shared" si="608"/>
        <v>1998</v>
      </c>
      <c r="K455" s="815">
        <f t="shared" si="608"/>
        <v>1999</v>
      </c>
      <c r="L455" s="815">
        <f t="shared" si="608"/>
        <v>2000</v>
      </c>
      <c r="M455" s="815">
        <f t="shared" si="608"/>
        <v>2001</v>
      </c>
      <c r="N455" s="815">
        <f t="shared" si="608"/>
        <v>2002</v>
      </c>
      <c r="O455" s="815">
        <f t="shared" si="608"/>
        <v>2003</v>
      </c>
      <c r="P455" s="815">
        <f>+O455+1</f>
        <v>2004</v>
      </c>
      <c r="Q455" s="815">
        <f>+P455+1</f>
        <v>2005</v>
      </c>
      <c r="R455" s="815">
        <f>+Q455+1</f>
        <v>2006</v>
      </c>
      <c r="S455" s="815">
        <f t="shared" ref="S455:Y455" si="609">+R455+1</f>
        <v>2007</v>
      </c>
      <c r="T455" s="815">
        <f t="shared" si="609"/>
        <v>2008</v>
      </c>
      <c r="U455" s="815">
        <f t="shared" si="609"/>
        <v>2009</v>
      </c>
      <c r="V455" s="815">
        <f>+U455+1</f>
        <v>2010</v>
      </c>
      <c r="W455" s="815">
        <f>+V455+1</f>
        <v>2011</v>
      </c>
      <c r="X455" s="815">
        <f t="shared" si="609"/>
        <v>2012</v>
      </c>
      <c r="Y455" s="815">
        <f t="shared" si="609"/>
        <v>2013</v>
      </c>
      <c r="Z455" s="815">
        <f t="shared" ref="Z455:AF455" si="610">+Y455+1</f>
        <v>2014</v>
      </c>
      <c r="AA455" s="815">
        <f t="shared" si="610"/>
        <v>2015</v>
      </c>
      <c r="AB455" s="815">
        <f t="shared" si="610"/>
        <v>2016</v>
      </c>
      <c r="AC455" s="815">
        <f t="shared" si="610"/>
        <v>2017</v>
      </c>
      <c r="AD455" s="815">
        <f t="shared" si="610"/>
        <v>2018</v>
      </c>
      <c r="AE455" s="815">
        <f t="shared" si="610"/>
        <v>2019</v>
      </c>
      <c r="AF455" s="815">
        <f t="shared" si="610"/>
        <v>2020</v>
      </c>
      <c r="BB455" s="3514">
        <v>2016</v>
      </c>
      <c r="BC455" s="736" t="str">
        <f t="shared" si="607"/>
        <v/>
      </c>
    </row>
    <row r="456" spans="1:55" ht="12.75" customHeight="1">
      <c r="A456" s="701"/>
      <c r="B456" s="701"/>
      <c r="C456" s="816" t="s">
        <v>1791</v>
      </c>
      <c r="D456" s="705" t="s">
        <v>664</v>
      </c>
      <c r="E456" s="737" t="s">
        <v>1660</v>
      </c>
      <c r="F456" s="738" t="s">
        <v>1960</v>
      </c>
      <c r="G456" s="817">
        <f>+G373+G394-'VVP2'!G185</f>
        <v>100.53900000000021</v>
      </c>
      <c r="H456" s="817">
        <f>+H373+H394-'VVP2'!H185</f>
        <v>80.894000000000005</v>
      </c>
      <c r="I456" s="817">
        <f>+I373+I394-'VVP2'!I185</f>
        <v>52.879000000000019</v>
      </c>
      <c r="J456" s="817">
        <f>+J373+J394-'VVP2'!J185</f>
        <v>50.226999999999748</v>
      </c>
      <c r="K456" s="817">
        <f>+K373+K394-'VVP2'!K185</f>
        <v>-15.314000000000306</v>
      </c>
      <c r="L456" s="817">
        <f>+L373+L394-'VVP2'!L185</f>
        <v>85.342000000000098</v>
      </c>
      <c r="M456" s="817">
        <f>+M373+M394-'VVP2'!M185</f>
        <v>142.53500000000008</v>
      </c>
      <c r="N456" s="817">
        <f>+N373+N394-'VVP2'!N185</f>
        <v>144.37200000000007</v>
      </c>
      <c r="O456" s="817">
        <f>+O373+O394-'VVP2'!O185</f>
        <v>137.85599999999977</v>
      </c>
      <c r="P456" s="817">
        <f>+P373+P394-'VVP2'!P185</f>
        <v>125.30799999999999</v>
      </c>
      <c r="Q456" s="817">
        <f>+Q373+Q394-'VVP2'!Q185</f>
        <v>122.36400000000003</v>
      </c>
      <c r="R456" s="817">
        <f>+R373+R394-'VVP2'!R185</f>
        <v>156.13900000000012</v>
      </c>
      <c r="S456" s="817">
        <f>+S373+S394-'VVP2'!S185</f>
        <v>205.83900000000017</v>
      </c>
      <c r="T456" s="817">
        <f>+T373+T394-'VVP2'!T185</f>
        <v>257.31799999999976</v>
      </c>
      <c r="U456" s="817">
        <f>+U373+U394-'VVP2'!U185</f>
        <v>251.38800000000015</v>
      </c>
      <c r="V456" s="817">
        <f>+V373+V394-'VVP2'!V185</f>
        <v>280.07000000000039</v>
      </c>
      <c r="W456" s="817">
        <f>+W373+W394-'VVP2'!W185</f>
        <v>305.13699999999994</v>
      </c>
      <c r="X456" s="817">
        <f>+X373+X394-'VVP2'!X185</f>
        <v>350.56500000000028</v>
      </c>
      <c r="Y456" s="817">
        <f>+Y373+Y394-'VVP2'!Y185</f>
        <v>372.10799999999995</v>
      </c>
      <c r="Z456" s="3395">
        <f>+Z373+Z394-'VVP2'!Z185</f>
        <v>420.79499999999962</v>
      </c>
      <c r="AA456" s="3395">
        <f>+AA373+AA394-'VVP2'!AA185</f>
        <v>402.02399999999989</v>
      </c>
      <c r="AB456" s="3395">
        <f>+AB373+AB394-'VVP2'!AB185</f>
        <v>444.57499999999959</v>
      </c>
      <c r="AC456" s="3395">
        <f>+AC373+AC394-'VVP2'!AC185</f>
        <v>436.17499999999995</v>
      </c>
      <c r="AD456" s="883">
        <f ca="1">+AD373+AD394-'VVP2'!AD185</f>
        <v>463.87860123548398</v>
      </c>
      <c r="AE456" s="883">
        <f ca="1">+AE373+AE394-'VVP2'!AE185</f>
        <v>458.81661853300193</v>
      </c>
      <c r="AF456" s="883">
        <f ca="1">+AF373+AF394-'VVP2'!AF185</f>
        <v>456.31674140846008</v>
      </c>
      <c r="BB456" s="3548">
        <v>432.49500000000012</v>
      </c>
      <c r="BC456" s="736">
        <f t="shared" si="607"/>
        <v>12.079999999999472</v>
      </c>
    </row>
    <row r="457" spans="1:55" ht="12.75" customHeight="1">
      <c r="A457" s="701"/>
      <c r="B457" s="701"/>
      <c r="C457" s="819" t="s">
        <v>1791</v>
      </c>
      <c r="D457" s="711" t="s">
        <v>665</v>
      </c>
      <c r="E457" s="820" t="s">
        <v>1660</v>
      </c>
      <c r="F457" s="741" t="s">
        <v>1961</v>
      </c>
      <c r="G457" s="743">
        <f>+G374-G395</f>
        <v>382.83399999999995</v>
      </c>
      <c r="H457" s="743">
        <f t="shared" ref="H457:O457" si="611">+H374-H395</f>
        <v>348.09800000000001</v>
      </c>
      <c r="I457" s="743">
        <f t="shared" si="611"/>
        <v>376.47399999999988</v>
      </c>
      <c r="J457" s="743">
        <f t="shared" si="611"/>
        <v>401.85100000000006</v>
      </c>
      <c r="K457" s="743">
        <f t="shared" si="611"/>
        <v>413.49499999999989</v>
      </c>
      <c r="L457" s="743">
        <f t="shared" si="611"/>
        <v>395.84700000000009</v>
      </c>
      <c r="M457" s="743">
        <f t="shared" si="611"/>
        <v>404.25999999999982</v>
      </c>
      <c r="N457" s="743">
        <f t="shared" si="611"/>
        <v>474.49199999999996</v>
      </c>
      <c r="O457" s="743">
        <f t="shared" si="611"/>
        <v>533.07000000000005</v>
      </c>
      <c r="P457" s="743">
        <f t="shared" ref="P457:Z457" si="612">+P374-P395</f>
        <v>536.3130000000001</v>
      </c>
      <c r="Q457" s="743">
        <f t="shared" si="612"/>
        <v>540.39299999999992</v>
      </c>
      <c r="R457" s="743">
        <f t="shared" si="612"/>
        <v>618.9409999999998</v>
      </c>
      <c r="S457" s="743">
        <f t="shared" si="612"/>
        <v>630.63000000000011</v>
      </c>
      <c r="T457" s="743">
        <f t="shared" si="612"/>
        <v>634.84700000000032</v>
      </c>
      <c r="U457" s="743">
        <f t="shared" si="612"/>
        <v>526.63299999999981</v>
      </c>
      <c r="V457" s="743">
        <f t="shared" si="612"/>
        <v>598.86699999999996</v>
      </c>
      <c r="W457" s="743">
        <f t="shared" si="612"/>
        <v>590.798</v>
      </c>
      <c r="X457" s="743">
        <f t="shared" si="612"/>
        <v>560.47</v>
      </c>
      <c r="Y457" s="743">
        <f>+Y374-Y395</f>
        <v>558.09299999999985</v>
      </c>
      <c r="Z457" s="3396">
        <f t="shared" si="612"/>
        <v>570.51699999999994</v>
      </c>
      <c r="AA457" s="3396">
        <f t="shared" ref="AA457:AC457" si="613">+AA374-AA395</f>
        <v>622.87500000000034</v>
      </c>
      <c r="AB457" s="3396">
        <f t="shared" si="613"/>
        <v>572.18500000000017</v>
      </c>
      <c r="AC457" s="3396">
        <f t="shared" si="613"/>
        <v>625.44399999999973</v>
      </c>
      <c r="AD457" s="829">
        <f ca="1">+AD374-AD395</f>
        <v>681.13190354820438</v>
      </c>
      <c r="AE457" s="829">
        <f ca="1">+AE374-AE395</f>
        <v>719.32449240975052</v>
      </c>
      <c r="AF457" s="829">
        <f ca="1">+AF374-AF395</f>
        <v>759.68238265121931</v>
      </c>
      <c r="BB457" s="3515">
        <v>634.1049999999999</v>
      </c>
      <c r="BC457" s="736">
        <f t="shared" si="607"/>
        <v>-61.919999999999732</v>
      </c>
    </row>
    <row r="458" spans="1:55" s="3690" customFormat="1" ht="12.75" customHeight="1">
      <c r="A458" s="3685"/>
      <c r="B458" s="3685"/>
      <c r="C458" s="3686" t="s">
        <v>1791</v>
      </c>
      <c r="D458" s="3660" t="s">
        <v>666</v>
      </c>
      <c r="E458" s="3661" t="s">
        <v>1660</v>
      </c>
      <c r="F458" s="3687" t="s">
        <v>1962</v>
      </c>
      <c r="G458" s="3688">
        <f>+G375-G396-'VVP2'!G193</f>
        <v>-29.395999999999958</v>
      </c>
      <c r="H458" s="3688">
        <f>+H375-H396-'VVP2'!H193</f>
        <v>32.99900000000008</v>
      </c>
      <c r="I458" s="3688">
        <f>+I375-I396-'VVP2'!I193</f>
        <v>63.903999999999883</v>
      </c>
      <c r="J458" s="3688">
        <f>+J375-J396-'VVP2'!J193</f>
        <v>93.796000000000163</v>
      </c>
      <c r="K458" s="3688">
        <f>+K375-K396-'VVP2'!K193</f>
        <v>115.75599999999997</v>
      </c>
      <c r="L458" s="3688">
        <f>+L375-L396-'VVP2'!L193</f>
        <v>167.70500000000027</v>
      </c>
      <c r="M458" s="3688">
        <f>+M375-M396-'VVP2'!M193</f>
        <v>136.3359999999999</v>
      </c>
      <c r="N458" s="3688">
        <f>+N375-N396-'VVP2'!N193</f>
        <v>74.467000000000326</v>
      </c>
      <c r="O458" s="3688">
        <f>+O375-O396-'VVP2'!O193</f>
        <v>79.017000000000166</v>
      </c>
      <c r="P458" s="3688">
        <f>+P375-P396-'VVP2'!P193</f>
        <v>122.55200000000002</v>
      </c>
      <c r="Q458" s="3688">
        <f>+Q375-Q396-'VVP2'!Q193</f>
        <v>173.58800000000031</v>
      </c>
      <c r="R458" s="3688">
        <f>+R375-R396-'VVP2'!R193</f>
        <v>194.64300000000003</v>
      </c>
      <c r="S458" s="3688">
        <f>+S375-S396-'VVP2'!S193</f>
        <v>245.6819999999999</v>
      </c>
      <c r="T458" s="3688">
        <f>+T375-T396-'VVP2'!T193</f>
        <v>209.19600000000014</v>
      </c>
      <c r="U458" s="3688">
        <f>+U375-U396-'VVP2'!U193</f>
        <v>123.37400000000014</v>
      </c>
      <c r="V458" s="3688">
        <f>+V375-V396-'VVP2'!V193</f>
        <v>156.53999999999985</v>
      </c>
      <c r="W458" s="3688">
        <f>+W375-W396-'VVP2'!W193</f>
        <v>160.85699999999997</v>
      </c>
      <c r="X458" s="3688">
        <f>+X375-X396-'VVP2'!X193</f>
        <v>126.25099999999986</v>
      </c>
      <c r="Y458" s="3688">
        <f>+Y375-Y396-'VVP2'!Y193</f>
        <v>110.88</v>
      </c>
      <c r="Z458" s="3688">
        <f>+Z375-Z396-'VVP2'!Z193</f>
        <v>115.29499999999962</v>
      </c>
      <c r="AA458" s="3688">
        <f>+AA375-AA396-'VVP2'!AA193</f>
        <v>186.36199999999963</v>
      </c>
      <c r="AB458" s="3688">
        <f>+AB375-AB396-'VVP2'!AB193</f>
        <v>244.37899999999968</v>
      </c>
      <c r="AC458" s="3688">
        <f>+AC375-AC396-'VVP2'!AC193</f>
        <v>278.18499999999995</v>
      </c>
      <c r="AD458" s="3689">
        <f ca="1">+AD375-AD396-'VVP2'!AD193</f>
        <v>278.25854622962083</v>
      </c>
      <c r="AE458" s="3689">
        <f ca="1">+AE375-AE396-'VVP2'!AE193</f>
        <v>291.54587768348028</v>
      </c>
      <c r="AF458" s="3689">
        <f ca="1">+AF375-AF396-'VVP2'!AF193</f>
        <v>296.15589171190709</v>
      </c>
      <c r="AG458" s="3692"/>
      <c r="AH458" s="2939"/>
      <c r="AI458" s="2939"/>
      <c r="AJ458" s="2939"/>
      <c r="AK458" s="2939"/>
      <c r="AL458" s="2939"/>
      <c r="AM458" s="2939"/>
      <c r="AN458" s="2939"/>
      <c r="AO458" s="2939"/>
      <c r="AP458" s="2939"/>
      <c r="AQ458" s="2939"/>
      <c r="AR458" s="3645"/>
      <c r="AS458" s="3645"/>
      <c r="AT458" s="3645"/>
      <c r="BB458" s="3691">
        <v>230.3610000000001</v>
      </c>
      <c r="BC458" s="3690">
        <f t="shared" si="607"/>
        <v>14.017999999999574</v>
      </c>
    </row>
    <row r="459" spans="1:55" ht="12.75" customHeight="1">
      <c r="A459" s="701"/>
      <c r="B459" s="701"/>
      <c r="C459" s="821" t="s">
        <v>1793</v>
      </c>
      <c r="D459" s="789"/>
      <c r="E459" s="790" t="s">
        <v>1660</v>
      </c>
      <c r="F459" s="791" t="s">
        <v>1963</v>
      </c>
      <c r="G459" s="822">
        <f>+G456+G457+G458</f>
        <v>453.9770000000002</v>
      </c>
      <c r="H459" s="822">
        <f t="shared" ref="H459:Q459" si="614">+H456+H457+H458</f>
        <v>461.9910000000001</v>
      </c>
      <c r="I459" s="822">
        <f t="shared" si="614"/>
        <v>493.25699999999978</v>
      </c>
      <c r="J459" s="822">
        <f t="shared" si="614"/>
        <v>545.87400000000002</v>
      </c>
      <c r="K459" s="822">
        <f t="shared" si="614"/>
        <v>513.93699999999956</v>
      </c>
      <c r="L459" s="822">
        <f t="shared" si="614"/>
        <v>648.89400000000046</v>
      </c>
      <c r="M459" s="822">
        <f t="shared" si="614"/>
        <v>683.13099999999974</v>
      </c>
      <c r="N459" s="822">
        <f t="shared" si="614"/>
        <v>693.33100000000036</v>
      </c>
      <c r="O459" s="822">
        <f t="shared" si="614"/>
        <v>749.94299999999998</v>
      </c>
      <c r="P459" s="822">
        <f t="shared" si="614"/>
        <v>784.17300000000012</v>
      </c>
      <c r="Q459" s="822">
        <f t="shared" si="614"/>
        <v>836.34500000000025</v>
      </c>
      <c r="R459" s="822">
        <f t="shared" ref="R459:Z459" si="615">+R456+R457+R458</f>
        <v>969.72299999999996</v>
      </c>
      <c r="S459" s="822">
        <f t="shared" si="615"/>
        <v>1082.1510000000003</v>
      </c>
      <c r="T459" s="822">
        <f t="shared" si="615"/>
        <v>1101.3610000000003</v>
      </c>
      <c r="U459" s="822">
        <f t="shared" si="615"/>
        <v>901.3950000000001</v>
      </c>
      <c r="V459" s="822">
        <f t="shared" si="615"/>
        <v>1035.4770000000003</v>
      </c>
      <c r="W459" s="822">
        <f t="shared" si="615"/>
        <v>1056.7919999999999</v>
      </c>
      <c r="X459" s="822">
        <f t="shared" si="615"/>
        <v>1037.2860000000001</v>
      </c>
      <c r="Y459" s="822">
        <f t="shared" si="615"/>
        <v>1041.0809999999997</v>
      </c>
      <c r="Z459" s="3397">
        <f t="shared" si="615"/>
        <v>1106.6069999999991</v>
      </c>
      <c r="AA459" s="3397">
        <f t="shared" ref="AA459:AC459" si="616">+AA456+AA457+AA458</f>
        <v>1211.261</v>
      </c>
      <c r="AB459" s="3397">
        <f t="shared" si="616"/>
        <v>1261.1389999999994</v>
      </c>
      <c r="AC459" s="3397">
        <f t="shared" si="616"/>
        <v>1339.8039999999996</v>
      </c>
      <c r="AD459" s="881">
        <f ca="1">+AD456+AD457+AD458</f>
        <v>1423.2690510133091</v>
      </c>
      <c r="AE459" s="881">
        <f ca="1">+AE456+AE457+AE458</f>
        <v>1469.6869886262327</v>
      </c>
      <c r="AF459" s="881">
        <f ca="1">+AF456+AF457+AF458</f>
        <v>1512.1550157715865</v>
      </c>
      <c r="BB459" s="3549">
        <v>1296.961</v>
      </c>
      <c r="BC459" s="736">
        <f t="shared" si="607"/>
        <v>-35.822000000000571</v>
      </c>
    </row>
    <row r="460" spans="1:55">
      <c r="A460" s="701"/>
      <c r="B460" s="701"/>
      <c r="Q460" s="736"/>
      <c r="R460" s="736"/>
      <c r="S460" s="736"/>
      <c r="T460" s="736"/>
      <c r="U460" s="736"/>
      <c r="V460" s="736"/>
      <c r="W460" s="736"/>
      <c r="X460" s="736"/>
      <c r="Y460" s="736"/>
      <c r="Z460" s="880"/>
      <c r="AA460" s="880"/>
      <c r="AB460" s="880"/>
      <c r="AC460" s="880"/>
      <c r="AD460" s="880"/>
      <c r="AE460" s="880"/>
      <c r="AF460" s="880"/>
      <c r="BB460" s="3467"/>
      <c r="BC460" s="736" t="str">
        <f t="shared" si="607"/>
        <v/>
      </c>
    </row>
    <row r="461" spans="1:55" ht="12.75" customHeight="1">
      <c r="A461" s="701"/>
      <c r="B461" s="701"/>
      <c r="C461" s="811"/>
      <c r="D461" s="779"/>
      <c r="E461" s="780" t="s">
        <v>1883</v>
      </c>
      <c r="F461" s="781"/>
      <c r="G461" s="782">
        <f>+InputY!$G$3</f>
        <v>1995</v>
      </c>
      <c r="H461" s="782">
        <f>+G461+1</f>
        <v>1996</v>
      </c>
      <c r="I461" s="782">
        <f t="shared" ref="I461:O461" si="617">+H461+1</f>
        <v>1997</v>
      </c>
      <c r="J461" s="782">
        <f t="shared" si="617"/>
        <v>1998</v>
      </c>
      <c r="K461" s="782">
        <f t="shared" si="617"/>
        <v>1999</v>
      </c>
      <c r="L461" s="782">
        <f t="shared" si="617"/>
        <v>2000</v>
      </c>
      <c r="M461" s="782">
        <f t="shared" si="617"/>
        <v>2001</v>
      </c>
      <c r="N461" s="782">
        <f t="shared" si="617"/>
        <v>2002</v>
      </c>
      <c r="O461" s="782">
        <f t="shared" si="617"/>
        <v>2003</v>
      </c>
      <c r="P461" s="782">
        <f t="shared" ref="P461:AF461" si="618">+O461+1</f>
        <v>2004</v>
      </c>
      <c r="Q461" s="782">
        <f t="shared" si="618"/>
        <v>2005</v>
      </c>
      <c r="R461" s="782">
        <f t="shared" si="618"/>
        <v>2006</v>
      </c>
      <c r="S461" s="782">
        <f t="shared" si="618"/>
        <v>2007</v>
      </c>
      <c r="T461" s="782">
        <f t="shared" si="618"/>
        <v>2008</v>
      </c>
      <c r="U461" s="782">
        <f t="shared" si="618"/>
        <v>2009</v>
      </c>
      <c r="V461" s="782">
        <f t="shared" si="618"/>
        <v>2010</v>
      </c>
      <c r="W461" s="782">
        <f t="shared" si="618"/>
        <v>2011</v>
      </c>
      <c r="X461" s="782">
        <f t="shared" si="618"/>
        <v>2012</v>
      </c>
      <c r="Y461" s="782">
        <f t="shared" si="618"/>
        <v>2013</v>
      </c>
      <c r="Z461" s="782">
        <f t="shared" si="618"/>
        <v>2014</v>
      </c>
      <c r="AA461" s="782">
        <f t="shared" si="618"/>
        <v>2015</v>
      </c>
      <c r="AB461" s="782">
        <f t="shared" si="618"/>
        <v>2016</v>
      </c>
      <c r="AC461" s="782">
        <f t="shared" si="618"/>
        <v>2017</v>
      </c>
      <c r="AD461" s="782">
        <f t="shared" si="618"/>
        <v>2018</v>
      </c>
      <c r="AE461" s="782">
        <f t="shared" si="618"/>
        <v>2019</v>
      </c>
      <c r="AF461" s="782">
        <f t="shared" si="618"/>
        <v>2020</v>
      </c>
      <c r="BB461" s="3497">
        <v>2016</v>
      </c>
      <c r="BC461" s="736" t="str">
        <f t="shared" si="607"/>
        <v/>
      </c>
    </row>
    <row r="462" spans="1:55" ht="12.75" customHeight="1">
      <c r="A462" s="701"/>
      <c r="B462" s="701"/>
      <c r="C462" s="831" t="s">
        <v>1791</v>
      </c>
      <c r="D462" s="726" t="s">
        <v>664</v>
      </c>
      <c r="E462" s="775" t="s">
        <v>1660</v>
      </c>
      <c r="F462" s="770" t="s">
        <v>1960</v>
      </c>
      <c r="G462" s="776"/>
      <c r="H462" s="776">
        <f t="shared" ref="H462:Q462" si="619">(H456/G456-1)*100</f>
        <v>-19.539681118769991</v>
      </c>
      <c r="I462" s="776">
        <f t="shared" si="619"/>
        <v>-34.631740302123745</v>
      </c>
      <c r="J462" s="776">
        <f t="shared" si="619"/>
        <v>-5.0152234346342972</v>
      </c>
      <c r="K462" s="776">
        <f t="shared" si="619"/>
        <v>-130.48957731897261</v>
      </c>
      <c r="L462" s="776">
        <f t="shared" si="619"/>
        <v>-657.28091942012793</v>
      </c>
      <c r="M462" s="776">
        <f t="shared" si="619"/>
        <v>67.016240538070249</v>
      </c>
      <c r="N462" s="776">
        <f t="shared" si="619"/>
        <v>1.2888062581120296</v>
      </c>
      <c r="O462" s="776">
        <f t="shared" si="619"/>
        <v>-4.5133405369464308</v>
      </c>
      <c r="P462" s="776">
        <f t="shared" si="619"/>
        <v>-9.1022516248837846</v>
      </c>
      <c r="Q462" s="776">
        <f t="shared" si="619"/>
        <v>-2.3494110511698807</v>
      </c>
      <c r="R462" s="776">
        <f t="shared" ref="R462:AF465" si="620">(R456/Q456-1)*100</f>
        <v>27.602072504985188</v>
      </c>
      <c r="S462" s="776">
        <f t="shared" si="620"/>
        <v>31.830612467096621</v>
      </c>
      <c r="T462" s="776">
        <f t="shared" si="620"/>
        <v>25.00935196925731</v>
      </c>
      <c r="U462" s="776">
        <f t="shared" si="620"/>
        <v>-2.3045414623149574</v>
      </c>
      <c r="V462" s="776">
        <f t="shared" si="620"/>
        <v>11.409454707464239</v>
      </c>
      <c r="W462" s="776">
        <f t="shared" si="620"/>
        <v>8.9502624343912309</v>
      </c>
      <c r="X462" s="776">
        <f t="shared" si="620"/>
        <v>14.887738950045492</v>
      </c>
      <c r="Y462" s="776">
        <f t="shared" si="620"/>
        <v>6.1452227119078273</v>
      </c>
      <c r="Z462" s="3398">
        <f t="shared" si="620"/>
        <v>13.084104614789172</v>
      </c>
      <c r="AA462" s="3398">
        <f t="shared" ref="AA462:AA465" si="621">(AA456/Z456-1)*100</f>
        <v>-4.4608419776850372</v>
      </c>
      <c r="AB462" s="3398">
        <f t="shared" ref="AB462:AB465" si="622">(AB456/AA456-1)*100</f>
        <v>10.584193978468882</v>
      </c>
      <c r="AC462" s="3398">
        <f t="shared" ref="AC462:AC465" si="623">(AC456/AB456-1)*100</f>
        <v>-1.8894449755383569</v>
      </c>
      <c r="AD462" s="3000">
        <f t="shared" ca="1" si="620"/>
        <v>6.351487644978282</v>
      </c>
      <c r="AE462" s="3000">
        <f t="shared" ca="1" si="620"/>
        <v>-1.0912300522162632</v>
      </c>
      <c r="AF462" s="3000">
        <f t="shared" ca="1" si="620"/>
        <v>-0.54485322099596667</v>
      </c>
      <c r="BB462" s="3550">
        <v>6.877029451448835</v>
      </c>
      <c r="BC462" s="736">
        <f t="shared" si="607"/>
        <v>3.7071645270200468</v>
      </c>
    </row>
    <row r="463" spans="1:55" ht="12.75" customHeight="1">
      <c r="A463" s="701"/>
      <c r="B463" s="701"/>
      <c r="C463" s="832" t="s">
        <v>1791</v>
      </c>
      <c r="D463" s="711" t="s">
        <v>665</v>
      </c>
      <c r="E463" s="820" t="s">
        <v>1660</v>
      </c>
      <c r="F463" s="741" t="s">
        <v>1961</v>
      </c>
      <c r="G463" s="743"/>
      <c r="H463" s="743">
        <f t="shared" ref="H463:Q463" si="624">(H457/G457-1)*100</f>
        <v>-9.0733842866620904</v>
      </c>
      <c r="I463" s="743">
        <f t="shared" si="624"/>
        <v>8.151727387115093</v>
      </c>
      <c r="J463" s="743">
        <f t="shared" si="624"/>
        <v>6.7407045373651719</v>
      </c>
      <c r="K463" s="743">
        <f t="shared" si="624"/>
        <v>2.8975913958158239</v>
      </c>
      <c r="L463" s="743">
        <f t="shared" si="624"/>
        <v>-4.2680080774857743</v>
      </c>
      <c r="M463" s="743">
        <f t="shared" si="624"/>
        <v>2.1253160943495164</v>
      </c>
      <c r="N463" s="743">
        <f t="shared" si="624"/>
        <v>17.372977786573031</v>
      </c>
      <c r="O463" s="743">
        <f t="shared" si="624"/>
        <v>12.345413621304481</v>
      </c>
      <c r="P463" s="743">
        <f t="shared" si="624"/>
        <v>0.60836287917160892</v>
      </c>
      <c r="Q463" s="743">
        <f t="shared" si="624"/>
        <v>0.76074978603908328</v>
      </c>
      <c r="R463" s="743">
        <f t="shared" si="620"/>
        <v>14.535347423079115</v>
      </c>
      <c r="S463" s="743">
        <f t="shared" si="620"/>
        <v>1.8885483430569838</v>
      </c>
      <c r="T463" s="743">
        <f t="shared" si="620"/>
        <v>0.66869638298212575</v>
      </c>
      <c r="U463" s="743">
        <f t="shared" si="620"/>
        <v>-17.045681872955289</v>
      </c>
      <c r="V463" s="743">
        <f t="shared" si="620"/>
        <v>13.716193250328068</v>
      </c>
      <c r="W463" s="743">
        <f t="shared" si="620"/>
        <v>-1.3473776314273378</v>
      </c>
      <c r="X463" s="743">
        <f t="shared" si="620"/>
        <v>-5.1333958476501245</v>
      </c>
      <c r="Y463" s="743">
        <f t="shared" si="620"/>
        <v>-0.42410833764522371</v>
      </c>
      <c r="Z463" s="3396">
        <f t="shared" si="620"/>
        <v>2.2261522721123805</v>
      </c>
      <c r="AA463" s="3396">
        <f t="shared" si="621"/>
        <v>9.1772900719873984</v>
      </c>
      <c r="AB463" s="3396">
        <f t="shared" si="622"/>
        <v>-8.1380694360827057</v>
      </c>
      <c r="AC463" s="3396">
        <f t="shared" si="623"/>
        <v>9.3080035303266584</v>
      </c>
      <c r="AD463" s="829">
        <f t="shared" ca="1" si="620"/>
        <v>8.9037393512775953</v>
      </c>
      <c r="AE463" s="829">
        <f t="shared" ca="1" si="620"/>
        <v>5.6072236027398414</v>
      </c>
      <c r="AF463" s="829">
        <f t="shared" ca="1" si="620"/>
        <v>5.6105263573424491</v>
      </c>
      <c r="BB463" s="3515">
        <v>1.1202717356636915</v>
      </c>
      <c r="BC463" s="736">
        <f t="shared" si="607"/>
        <v>-9.2583411717463981</v>
      </c>
    </row>
    <row r="464" spans="1:55" ht="12.75" customHeight="1">
      <c r="A464" s="701"/>
      <c r="B464" s="701"/>
      <c r="C464" s="833" t="s">
        <v>1791</v>
      </c>
      <c r="D464" s="728" t="s">
        <v>666</v>
      </c>
      <c r="E464" s="834" t="s">
        <v>1660</v>
      </c>
      <c r="F464" s="773" t="s">
        <v>1962</v>
      </c>
      <c r="G464" s="778"/>
      <c r="H464" s="778">
        <f t="shared" ref="H464:Q464" si="625">(H458/G458-1)*100</f>
        <v>-212.25676962852131</v>
      </c>
      <c r="I464" s="778">
        <f t="shared" si="625"/>
        <v>93.654353162216225</v>
      </c>
      <c r="J464" s="778">
        <f t="shared" si="625"/>
        <v>46.776414621933426</v>
      </c>
      <c r="K464" s="778">
        <f t="shared" si="625"/>
        <v>23.41251226065053</v>
      </c>
      <c r="L464" s="778">
        <f t="shared" si="625"/>
        <v>44.87801928193813</v>
      </c>
      <c r="M464" s="778">
        <f t="shared" si="625"/>
        <v>-18.704868668197328</v>
      </c>
      <c r="N464" s="778">
        <f t="shared" si="625"/>
        <v>-45.379796972186085</v>
      </c>
      <c r="O464" s="778">
        <f t="shared" si="625"/>
        <v>6.1100890327256741</v>
      </c>
      <c r="P464" s="778">
        <f t="shared" si="625"/>
        <v>55.095738891630617</v>
      </c>
      <c r="Q464" s="778">
        <f t="shared" si="625"/>
        <v>41.644363209086976</v>
      </c>
      <c r="R464" s="778">
        <f t="shared" si="620"/>
        <v>12.129294651703848</v>
      </c>
      <c r="S464" s="778">
        <f t="shared" si="620"/>
        <v>26.22185231423677</v>
      </c>
      <c r="T464" s="778">
        <f t="shared" si="620"/>
        <v>-14.850904828192446</v>
      </c>
      <c r="U464" s="778">
        <f t="shared" si="620"/>
        <v>-41.024684984416503</v>
      </c>
      <c r="V464" s="778">
        <f t="shared" si="620"/>
        <v>26.882487396047527</v>
      </c>
      <c r="W464" s="778">
        <f t="shared" si="620"/>
        <v>2.7577615944807343</v>
      </c>
      <c r="X464" s="778">
        <f t="shared" si="620"/>
        <v>-21.51351821804467</v>
      </c>
      <c r="Y464" s="778">
        <f t="shared" si="620"/>
        <v>-12.174953069678562</v>
      </c>
      <c r="Z464" s="3399">
        <f t="shared" si="620"/>
        <v>3.9817821067817727</v>
      </c>
      <c r="AA464" s="3399">
        <f t="shared" si="621"/>
        <v>61.639273168827998</v>
      </c>
      <c r="AB464" s="3399">
        <f t="shared" si="622"/>
        <v>31.131346519140269</v>
      </c>
      <c r="AC464" s="3399">
        <f t="shared" si="623"/>
        <v>13.833430859443862</v>
      </c>
      <c r="AD464" s="3001">
        <f t="shared" ca="1" si="620"/>
        <v>2.6437884724517247E-2</v>
      </c>
      <c r="AE464" s="3001">
        <f t="shared" ca="1" si="620"/>
        <v>4.7751746114905069</v>
      </c>
      <c r="AF464" s="3001">
        <f t="shared" ca="1" si="620"/>
        <v>1.5812310793266393</v>
      </c>
      <c r="BB464" s="3551">
        <v>22.825136495478702</v>
      </c>
      <c r="BC464" s="736">
        <f t="shared" si="607"/>
        <v>8.306210023661567</v>
      </c>
    </row>
    <row r="465" spans="1:55" ht="12.75" customHeight="1">
      <c r="A465" s="701"/>
      <c r="B465" s="701"/>
      <c r="C465" s="811" t="s">
        <v>1793</v>
      </c>
      <c r="D465" s="754"/>
      <c r="E465" s="759" t="s">
        <v>1660</v>
      </c>
      <c r="F465" s="760" t="s">
        <v>1963</v>
      </c>
      <c r="G465" s="758"/>
      <c r="H465" s="758">
        <f t="shared" ref="H465:Q465" si="626">(H459/G459-1)*100</f>
        <v>1.7652876687585195</v>
      </c>
      <c r="I465" s="758">
        <f t="shared" si="626"/>
        <v>6.767664305148724</v>
      </c>
      <c r="J465" s="758">
        <f t="shared" si="626"/>
        <v>10.667258650156054</v>
      </c>
      <c r="K465" s="758">
        <f t="shared" si="626"/>
        <v>-5.850617541777126</v>
      </c>
      <c r="L465" s="758">
        <f t="shared" si="626"/>
        <v>26.259444250949237</v>
      </c>
      <c r="M465" s="758">
        <f t="shared" si="626"/>
        <v>5.2762084408238152</v>
      </c>
      <c r="N465" s="758">
        <f t="shared" si="626"/>
        <v>1.4931250375112004</v>
      </c>
      <c r="O465" s="758">
        <f t="shared" si="626"/>
        <v>8.1652197867972944</v>
      </c>
      <c r="P465" s="758">
        <f t="shared" si="626"/>
        <v>4.5643468903636908</v>
      </c>
      <c r="Q465" s="758">
        <f t="shared" si="626"/>
        <v>6.653123736726485</v>
      </c>
      <c r="R465" s="758">
        <f t="shared" si="620"/>
        <v>15.947724922131368</v>
      </c>
      <c r="S465" s="758">
        <f t="shared" si="620"/>
        <v>11.593826278225873</v>
      </c>
      <c r="T465" s="758">
        <f t="shared" si="620"/>
        <v>1.7751681604508018</v>
      </c>
      <c r="U465" s="758">
        <f t="shared" si="620"/>
        <v>-18.156263023658926</v>
      </c>
      <c r="V465" s="758">
        <f t="shared" si="620"/>
        <v>14.874943837052591</v>
      </c>
      <c r="W465" s="758">
        <f t="shared" si="620"/>
        <v>2.0584716029423689</v>
      </c>
      <c r="X465" s="758">
        <f t="shared" si="620"/>
        <v>-1.8457747598392027</v>
      </c>
      <c r="Y465" s="758">
        <f t="shared" si="620"/>
        <v>0.36585859637550122</v>
      </c>
      <c r="Z465" s="3400">
        <f t="shared" si="620"/>
        <v>6.2940347581023293</v>
      </c>
      <c r="AA465" s="3400">
        <f t="shared" si="621"/>
        <v>9.4571966380115882</v>
      </c>
      <c r="AB465" s="3400">
        <f t="shared" si="622"/>
        <v>4.1178573404080154</v>
      </c>
      <c r="AC465" s="3400">
        <f t="shared" si="623"/>
        <v>6.2376153619862817</v>
      </c>
      <c r="AD465" s="838">
        <f t="shared" ca="1" si="620"/>
        <v>6.2296463522507395</v>
      </c>
      <c r="AE465" s="838">
        <f t="shared" ca="1" si="620"/>
        <v>3.2613607089872376</v>
      </c>
      <c r="AF465" s="838">
        <f t="shared" ca="1" si="620"/>
        <v>2.8895967286918678</v>
      </c>
      <c r="BB465" s="3552">
        <v>6.3694847362990803</v>
      </c>
      <c r="BC465" s="736">
        <f t="shared" si="607"/>
        <v>-2.2516273958910649</v>
      </c>
    </row>
    <row r="466" spans="1:55" ht="12.75" customHeight="1">
      <c r="A466" s="701"/>
      <c r="B466" s="701"/>
      <c r="C466" s="811"/>
      <c r="E466" s="823"/>
      <c r="F466" s="824"/>
      <c r="G466" s="740"/>
      <c r="H466" s="825"/>
      <c r="I466" s="740"/>
      <c r="J466" s="740"/>
      <c r="K466" s="740"/>
      <c r="L466" s="740"/>
      <c r="M466" s="740"/>
      <c r="N466" s="740"/>
      <c r="O466" s="740"/>
      <c r="P466" s="740"/>
      <c r="Q466" s="740"/>
      <c r="R466" s="740"/>
      <c r="S466" s="740"/>
      <c r="T466" s="740"/>
      <c r="U466" s="740"/>
      <c r="V466" s="740"/>
      <c r="W466" s="740"/>
      <c r="X466" s="740"/>
      <c r="Y466" s="740"/>
      <c r="Z466" s="882"/>
      <c r="AA466" s="882"/>
      <c r="AB466" s="882"/>
      <c r="AC466" s="882"/>
      <c r="AD466" s="882"/>
      <c r="AE466" s="882"/>
      <c r="AF466" s="882"/>
      <c r="BB466" s="3515"/>
      <c r="BC466" s="736" t="str">
        <f t="shared" si="607"/>
        <v/>
      </c>
    </row>
    <row r="467" spans="1:55" ht="12.75" customHeight="1">
      <c r="A467" s="701"/>
      <c r="B467" s="701"/>
      <c r="C467" s="811"/>
      <c r="D467" s="855"/>
      <c r="E467" s="856" t="s">
        <v>1778</v>
      </c>
      <c r="F467" s="857"/>
      <c r="G467" s="858">
        <f>+InputY!$G$3</f>
        <v>1995</v>
      </c>
      <c r="H467" s="858">
        <f>+G467+1</f>
        <v>1996</v>
      </c>
      <c r="I467" s="858">
        <f t="shared" ref="I467:O467" si="627">+H467+1</f>
        <v>1997</v>
      </c>
      <c r="J467" s="858">
        <f t="shared" si="627"/>
        <v>1998</v>
      </c>
      <c r="K467" s="858">
        <f t="shared" si="627"/>
        <v>1999</v>
      </c>
      <c r="L467" s="858">
        <f t="shared" si="627"/>
        <v>2000</v>
      </c>
      <c r="M467" s="858">
        <f t="shared" si="627"/>
        <v>2001</v>
      </c>
      <c r="N467" s="858">
        <f t="shared" si="627"/>
        <v>2002</v>
      </c>
      <c r="O467" s="858">
        <f t="shared" si="627"/>
        <v>2003</v>
      </c>
      <c r="P467" s="858">
        <f t="shared" ref="P467:AF467" si="628">+O467+1</f>
        <v>2004</v>
      </c>
      <c r="Q467" s="858">
        <f t="shared" si="628"/>
        <v>2005</v>
      </c>
      <c r="R467" s="858">
        <f t="shared" si="628"/>
        <v>2006</v>
      </c>
      <c r="S467" s="858">
        <f t="shared" si="628"/>
        <v>2007</v>
      </c>
      <c r="T467" s="858">
        <f t="shared" si="628"/>
        <v>2008</v>
      </c>
      <c r="U467" s="858">
        <f t="shared" si="628"/>
        <v>2009</v>
      </c>
      <c r="V467" s="858">
        <f t="shared" si="628"/>
        <v>2010</v>
      </c>
      <c r="W467" s="858">
        <f t="shared" si="628"/>
        <v>2011</v>
      </c>
      <c r="X467" s="858">
        <f t="shared" si="628"/>
        <v>2012</v>
      </c>
      <c r="Y467" s="858">
        <f t="shared" si="628"/>
        <v>2013</v>
      </c>
      <c r="Z467" s="858">
        <f t="shared" si="628"/>
        <v>2014</v>
      </c>
      <c r="AA467" s="858">
        <f t="shared" si="628"/>
        <v>2015</v>
      </c>
      <c r="AB467" s="858">
        <f t="shared" si="628"/>
        <v>2016</v>
      </c>
      <c r="AC467" s="858">
        <f t="shared" si="628"/>
        <v>2017</v>
      </c>
      <c r="AD467" s="858">
        <f t="shared" si="628"/>
        <v>2018</v>
      </c>
      <c r="AE467" s="858">
        <f t="shared" si="628"/>
        <v>2019</v>
      </c>
      <c r="AF467" s="858">
        <f t="shared" si="628"/>
        <v>2020</v>
      </c>
      <c r="BB467" s="3480">
        <v>2016</v>
      </c>
      <c r="BC467" s="736" t="str">
        <f t="shared" si="607"/>
        <v/>
      </c>
    </row>
    <row r="468" spans="1:55" ht="12.75" customHeight="1">
      <c r="A468" s="701"/>
      <c r="B468" s="701"/>
      <c r="C468" s="859" t="s">
        <v>1791</v>
      </c>
      <c r="D468" s="860" t="s">
        <v>664</v>
      </c>
      <c r="E468" s="861" t="s">
        <v>1660</v>
      </c>
      <c r="F468" s="862" t="s">
        <v>1779</v>
      </c>
      <c r="G468" s="875">
        <f>+G456/'VVP2'!G$341</f>
        <v>5.3318010572492969E-2</v>
      </c>
      <c r="H468" s="875">
        <f>+H456/'VVP2'!H$341</f>
        <v>4.1819127388752361E-2</v>
      </c>
      <c r="I468" s="875">
        <f>+I456/'VVP2'!I$341</f>
        <v>2.6152114414696906E-2</v>
      </c>
      <c r="J468" s="875">
        <f>+J456/'VVP2'!J$341</f>
        <v>2.364284416443926E-2</v>
      </c>
      <c r="K468" s="875">
        <f>+K456/'VVP2'!K$341</f>
        <v>-6.8348587615758589E-3</v>
      </c>
      <c r="L468" s="875">
        <f>+L456/'VVP2'!L$341</f>
        <v>3.580343560608925E-2</v>
      </c>
      <c r="M468" s="875">
        <f>+M456/'VVP2'!M$341</f>
        <v>5.7429421463095473E-2</v>
      </c>
      <c r="N468" s="875">
        <f>+N456/'VVP2'!N$341</f>
        <v>5.6089471510618501E-2</v>
      </c>
      <c r="O468" s="875">
        <f>+O456/'VVP2'!O$341</f>
        <v>5.1422247239041971E-2</v>
      </c>
      <c r="P468" s="875">
        <f>+P456/'VVP2'!P$341</f>
        <v>4.4618952479398434E-2</v>
      </c>
      <c r="Q468" s="875">
        <f>+Q456/'VVP2'!Q$341</f>
        <v>4.2039617505582036E-2</v>
      </c>
      <c r="R468" s="875">
        <f>+R456/'VVP2'!R$341</f>
        <v>5.0321415841131083E-2</v>
      </c>
      <c r="S468" s="875">
        <f>+S456/'VVP2'!S$341</f>
        <v>6.2356879753697657E-2</v>
      </c>
      <c r="T468" s="875">
        <f>+T456/'VVP2'!T$341</f>
        <v>7.5867394368750993E-2</v>
      </c>
      <c r="U468" s="875">
        <f>+U456/'VVP2'!U$341</f>
        <v>7.6363096212677464E-2</v>
      </c>
      <c r="V468" s="875">
        <f>+V456/'VVP2'!V$341</f>
        <v>7.9478997816009075E-2</v>
      </c>
      <c r="W468" s="875">
        <f>+W456/'VVP2'!W$341</f>
        <v>8.3347013405742548E-2</v>
      </c>
      <c r="X468" s="875">
        <f>+X456/'VVP2'!X$341</f>
        <v>9.5033141576379404E-2</v>
      </c>
      <c r="Y468" s="875">
        <f>+Y456/'VVP2'!Y$341</f>
        <v>9.8599367928310436E-2</v>
      </c>
      <c r="Z468" s="875">
        <f>+Z456/'VVP2'!Z$341</f>
        <v>0.10677569352372847</v>
      </c>
      <c r="AA468" s="875">
        <f>+AA456/'VVP2'!AA$341</f>
        <v>9.5684847209703661E-2</v>
      </c>
      <c r="AB468" s="875">
        <f>+AB456/'VVP2'!AB$341</f>
        <v>0.10137391497474507</v>
      </c>
      <c r="AC468" s="875">
        <f>+AC456/'VVP2'!AC$341</f>
        <v>9.5257615422397371E-2</v>
      </c>
      <c r="AD468" s="3002">
        <f ca="1">+AD456/'VVP2'!AD$341</f>
        <v>9.6577490398206858E-2</v>
      </c>
      <c r="AE468" s="3002">
        <f ca="1">+AE456/'VVP2'!AE$341</f>
        <v>9.2043201319675069E-2</v>
      </c>
      <c r="AF468" s="3002">
        <f ca="1">+AF456/'VVP2'!AF$341</f>
        <v>8.8407509624329472E-2</v>
      </c>
      <c r="BB468" s="3539">
        <v>9.8184128811801691E-2</v>
      </c>
      <c r="BC468" s="736" t="str">
        <f t="shared" si="607"/>
        <v/>
      </c>
    </row>
    <row r="469" spans="1:55" ht="12.75" customHeight="1">
      <c r="A469" s="701"/>
      <c r="B469" s="701"/>
      <c r="C469" s="863" t="s">
        <v>1791</v>
      </c>
      <c r="D469" s="711" t="s">
        <v>665</v>
      </c>
      <c r="E469" s="820" t="s">
        <v>1660</v>
      </c>
      <c r="F469" s="741" t="s">
        <v>1961</v>
      </c>
      <c r="G469" s="876">
        <f>+G457/'VVP2'!G$341</f>
        <v>0.20302516694526229</v>
      </c>
      <c r="H469" s="876">
        <f>+H457/'VVP2'!H$341</f>
        <v>0.1799534527377793</v>
      </c>
      <c r="I469" s="876">
        <f>+I457/'VVP2'!I$341</f>
        <v>0.18619094767598848</v>
      </c>
      <c r="J469" s="876">
        <f>+J457/'VVP2'!J$341</f>
        <v>0.18915922850905151</v>
      </c>
      <c r="K469" s="876">
        <f>+K457/'VVP2'!K$341</f>
        <v>0.18454877390738883</v>
      </c>
      <c r="L469" s="876">
        <f>+L457/'VVP2'!L$341</f>
        <v>0.16606925750935761</v>
      </c>
      <c r="M469" s="876">
        <f>+M457/'VVP2'!M$341</f>
        <v>0.16288222486175993</v>
      </c>
      <c r="N469" s="876">
        <f>+N457/'VVP2'!N$341</f>
        <v>0.18434326265492185</v>
      </c>
      <c r="O469" s="876">
        <f>+O457/'VVP2'!O$341</f>
        <v>0.19884268610518332</v>
      </c>
      <c r="P469" s="876">
        <f>+P457/'VVP2'!P$341</f>
        <v>0.19096725078274027</v>
      </c>
      <c r="Q469" s="876">
        <f>+Q457/'VVP2'!Q$341</f>
        <v>0.18565848634152188</v>
      </c>
      <c r="R469" s="876">
        <f>+R457/'VVP2'!R$341</f>
        <v>0.19947602739946765</v>
      </c>
      <c r="S469" s="876">
        <f>+S457/'VVP2'!S$341</f>
        <v>0.19104309231522854</v>
      </c>
      <c r="T469" s="876">
        <f>+T457/'VVP2'!T$341</f>
        <v>0.18717768563729911</v>
      </c>
      <c r="U469" s="876">
        <f>+U457/'VVP2'!U$341</f>
        <v>0.15997313494586429</v>
      </c>
      <c r="V469" s="876">
        <f>+V457/'VVP2'!V$341</f>
        <v>0.16994804507830127</v>
      </c>
      <c r="W469" s="876">
        <f>+W457/'VVP2'!W$341</f>
        <v>0.16137423133243722</v>
      </c>
      <c r="X469" s="876">
        <f>+X457/'VVP2'!X$341</f>
        <v>0.15193537534925999</v>
      </c>
      <c r="Y469" s="876">
        <f>+Y457/'VVP2'!Y$341</f>
        <v>0.14788076860807764</v>
      </c>
      <c r="Z469" s="876">
        <f>+Z457/'VVP2'!Z$341</f>
        <v>0.14476728179298004</v>
      </c>
      <c r="AA469" s="876">
        <f>+AA457/'VVP2'!AA$341</f>
        <v>0.14824910753025744</v>
      </c>
      <c r="AB469" s="876">
        <f>+AB457/'VVP2'!AB$341</f>
        <v>0.13047209928544021</v>
      </c>
      <c r="AC469" s="876">
        <f>+AC457/'VVP2'!AC$341</f>
        <v>0.13659266124891589</v>
      </c>
      <c r="AD469" s="3003">
        <f ca="1">+AD457/'VVP2'!AD$341</f>
        <v>0.14180867515689821</v>
      </c>
      <c r="AE469" s="3003">
        <f ca="1">+AE457/'VVP2'!AE$341</f>
        <v>0.14430368560044093</v>
      </c>
      <c r="AF469" s="3003">
        <f ca="1">+AF457/'VVP2'!AF$341</f>
        <v>0.14718203708321373</v>
      </c>
      <c r="BB469" s="3462">
        <v>0.1439532179567567</v>
      </c>
      <c r="BC469" s="736" t="str">
        <f t="shared" si="607"/>
        <v/>
      </c>
    </row>
    <row r="470" spans="1:55" ht="12.75" customHeight="1">
      <c r="A470" s="701"/>
      <c r="B470" s="701"/>
      <c r="C470" s="864" t="s">
        <v>1791</v>
      </c>
      <c r="D470" s="865" t="s">
        <v>666</v>
      </c>
      <c r="E470" s="866" t="s">
        <v>1660</v>
      </c>
      <c r="F470" s="867" t="s">
        <v>1962</v>
      </c>
      <c r="G470" s="877">
        <f>+G458/'VVP2'!G$341</f>
        <v>-1.5589335867563808E-2</v>
      </c>
      <c r="H470" s="877">
        <f>+H458/'VVP2'!H$341</f>
        <v>1.7059230408948033E-2</v>
      </c>
      <c r="I470" s="877">
        <f>+I458/'VVP2'!I$341</f>
        <v>3.1604695995703161E-2</v>
      </c>
      <c r="J470" s="877">
        <f>+J458/'VVP2'!J$341</f>
        <v>4.4151635798430323E-2</v>
      </c>
      <c r="K470" s="877">
        <f>+K458/'VVP2'!K$341</f>
        <v>5.1663569988569878E-2</v>
      </c>
      <c r="L470" s="877">
        <f>+L458/'VVP2'!L$341</f>
        <v>7.0357094611319171E-2</v>
      </c>
      <c r="M470" s="877">
        <f>+M458/'VVP2'!M$341</f>
        <v>5.4931754338180622E-2</v>
      </c>
      <c r="N470" s="877">
        <f>+N458/'VVP2'!N$341</f>
        <v>2.893091925706677E-2</v>
      </c>
      <c r="O470" s="877">
        <f>+O458/'VVP2'!O$341</f>
        <v>2.9474464006553177E-2</v>
      </c>
      <c r="P470" s="877">
        <f>+P458/'VVP2'!P$341</f>
        <v>4.363761183847191E-2</v>
      </c>
      <c r="Q470" s="877">
        <f>+Q458/'VVP2'!Q$341</f>
        <v>5.9638236111593156E-2</v>
      </c>
      <c r="R470" s="877">
        <f>+R458/'VVP2'!R$341</f>
        <v>6.2730716499819206E-2</v>
      </c>
      <c r="S470" s="877">
        <f>+S458/'VVP2'!S$341</f>
        <v>7.442692070816477E-2</v>
      </c>
      <c r="T470" s="877">
        <f>+T458/'VVP2'!T$341</f>
        <v>6.1679149660596067E-2</v>
      </c>
      <c r="U470" s="877">
        <f>+U458/'VVP2'!U$341</f>
        <v>3.7476811272387209E-2</v>
      </c>
      <c r="V470" s="877">
        <f>+V458/'VVP2'!V$341</f>
        <v>4.4423331017667128E-2</v>
      </c>
      <c r="W470" s="877">
        <f>+W458/'VVP2'!W$341</f>
        <v>4.3937479018957157E-2</v>
      </c>
      <c r="X470" s="877">
        <f>+X458/'VVP2'!X$341</f>
        <v>3.4224834644529412E-2</v>
      </c>
      <c r="Y470" s="877">
        <f>+Y458/'VVP2'!Y$341</f>
        <v>2.9380443086123014E-2</v>
      </c>
      <c r="Z470" s="877">
        <f>+Z458/'VVP2'!Z$341</f>
        <v>2.9255821919980617E-2</v>
      </c>
      <c r="AA470" s="877">
        <f>+AA458/'VVP2'!AA$341</f>
        <v>4.4355609355896067E-2</v>
      </c>
      <c r="AB470" s="877">
        <f>+AB458/'VVP2'!AB$341</f>
        <v>5.5724356897291154E-2</v>
      </c>
      <c r="AC470" s="877">
        <f>+AC458/'VVP2'!AC$341</f>
        <v>6.0753687731483035E-2</v>
      </c>
      <c r="AD470" s="3004">
        <f ca="1">+AD458/'VVP2'!AD$341</f>
        <v>5.7932208998509281E-2</v>
      </c>
      <c r="AE470" s="3004">
        <f ca="1">+AE458/'VVP2'!AE$341</f>
        <v>5.8487018188971188E-2</v>
      </c>
      <c r="AF470" s="3004">
        <f ca="1">+AF458/'VVP2'!AF$341</f>
        <v>5.7377699459388899E-2</v>
      </c>
      <c r="BB470" s="3465">
        <v>5.2296082260408681E-2</v>
      </c>
      <c r="BC470" s="736" t="str">
        <f t="shared" si="607"/>
        <v/>
      </c>
    </row>
    <row r="471" spans="1:55" ht="12.75" customHeight="1">
      <c r="A471" s="701"/>
      <c r="B471" s="701"/>
      <c r="C471" s="811" t="s">
        <v>1793</v>
      </c>
      <c r="D471" s="843"/>
      <c r="E471" s="844" t="s">
        <v>1660</v>
      </c>
      <c r="F471" s="845" t="s">
        <v>1963</v>
      </c>
      <c r="G471" s="878">
        <f>+G459/'VVP2'!G$341</f>
        <v>0.24075384165019145</v>
      </c>
      <c r="H471" s="878">
        <f>+H459/'VVP2'!H$341</f>
        <v>0.23883181053547969</v>
      </c>
      <c r="I471" s="878">
        <f>+I459/'VVP2'!I$341</f>
        <v>0.24394775808638855</v>
      </c>
      <c r="J471" s="878">
        <f>+J459/'VVP2'!J$341</f>
        <v>0.25695370847192112</v>
      </c>
      <c r="K471" s="878">
        <f>+K459/'VVP2'!K$341</f>
        <v>0.22937748513438286</v>
      </c>
      <c r="L471" s="878">
        <f>+L459/'VVP2'!L$341</f>
        <v>0.27222978772676604</v>
      </c>
      <c r="M471" s="878">
        <f>+M459/'VVP2'!M$341</f>
        <v>0.27524340066303604</v>
      </c>
      <c r="N471" s="878">
        <f>+N459/'VVP2'!N$341</f>
        <v>0.2693636534226071</v>
      </c>
      <c r="O471" s="878">
        <f>+O459/'VVP2'!O$341</f>
        <v>0.27973939735077846</v>
      </c>
      <c r="P471" s="878">
        <f>+P459/'VVP2'!P$341</f>
        <v>0.27922381510061062</v>
      </c>
      <c r="Q471" s="878">
        <f>+Q459/'VVP2'!Q$341</f>
        <v>0.28733633995869706</v>
      </c>
      <c r="R471" s="878">
        <f>+R459/'VVP2'!R$341</f>
        <v>0.31252815974041798</v>
      </c>
      <c r="S471" s="878">
        <f>+S459/'VVP2'!S$341</f>
        <v>0.32782689277709104</v>
      </c>
      <c r="T471" s="878">
        <f>+T459/'VVP2'!T$341</f>
        <v>0.32472422966664621</v>
      </c>
      <c r="U471" s="878">
        <f>+U459/'VVP2'!U$341</f>
        <v>0.27381304243092897</v>
      </c>
      <c r="V471" s="878">
        <f>+V459/'VVP2'!V$341</f>
        <v>0.29385037391197755</v>
      </c>
      <c r="W471" s="878">
        <f>+W459/'VVP2'!W$341</f>
        <v>0.28865872375713691</v>
      </c>
      <c r="X471" s="878">
        <f>+X459/'VVP2'!X$341</f>
        <v>0.28119335157016878</v>
      </c>
      <c r="Y471" s="878">
        <f>+Y459/'VVP2'!Y$341</f>
        <v>0.27586057962251104</v>
      </c>
      <c r="Z471" s="878">
        <f>+Z459/'VVP2'!Z$341</f>
        <v>0.2807987972366891</v>
      </c>
      <c r="AA471" s="878">
        <f>+AA459/'VVP2'!AA$341</f>
        <v>0.28828956409585715</v>
      </c>
      <c r="AB471" s="878">
        <f>+AB459/'VVP2'!AB$341</f>
        <v>0.28757037115747641</v>
      </c>
      <c r="AC471" s="878">
        <f>+AC459/'VVP2'!AC$341</f>
        <v>0.29260396440279629</v>
      </c>
      <c r="AD471" s="3005">
        <f ca="1">+AD459/'VVP2'!AD$341</f>
        <v>0.29631837455361432</v>
      </c>
      <c r="AE471" s="3005">
        <f ca="1">+AE459/'VVP2'!AE$341</f>
        <v>0.29483390510908719</v>
      </c>
      <c r="AF471" s="3005">
        <f ca="1">+AF459/'VVP2'!AF$341</f>
        <v>0.29296724616693209</v>
      </c>
      <c r="BB471" s="3507">
        <v>0.29443342902896702</v>
      </c>
      <c r="BC471" s="736" t="str">
        <f t="shared" si="607"/>
        <v/>
      </c>
    </row>
    <row r="472" spans="1:55" ht="12.75" customHeight="1">
      <c r="A472" s="701"/>
      <c r="B472" s="701"/>
      <c r="C472" s="811"/>
      <c r="E472" s="823"/>
      <c r="F472" s="824"/>
      <c r="G472" s="740"/>
      <c r="H472" s="825"/>
      <c r="I472" s="740"/>
      <c r="J472" s="740"/>
      <c r="K472" s="740"/>
      <c r="L472" s="740"/>
      <c r="M472" s="740"/>
      <c r="N472" s="740"/>
      <c r="O472" s="740"/>
      <c r="P472" s="740"/>
      <c r="Q472" s="740"/>
      <c r="R472" s="740"/>
      <c r="S472" s="740"/>
      <c r="T472" s="740"/>
      <c r="U472" s="740"/>
      <c r="V472" s="740"/>
      <c r="W472" s="740"/>
      <c r="X472" s="740"/>
      <c r="Y472" s="740"/>
      <c r="Z472" s="740"/>
      <c r="AA472" s="740"/>
      <c r="AB472" s="740"/>
      <c r="AC472" s="740"/>
      <c r="AD472" s="882"/>
      <c r="AE472" s="882"/>
      <c r="AF472" s="882"/>
      <c r="BB472" s="3515"/>
      <c r="BC472" s="736" t="str">
        <f t="shared" si="607"/>
        <v/>
      </c>
    </row>
    <row r="473" spans="1:55" ht="12.75" customHeight="1">
      <c r="A473" s="701"/>
      <c r="B473" s="701"/>
      <c r="C473" s="811"/>
      <c r="D473" s="855"/>
      <c r="E473" s="852" t="s">
        <v>1780</v>
      </c>
      <c r="F473" s="853"/>
      <c r="G473" s="854">
        <f>+InputY!$G$3</f>
        <v>1995</v>
      </c>
      <c r="H473" s="854">
        <f>+G473+1</f>
        <v>1996</v>
      </c>
      <c r="I473" s="854">
        <f t="shared" ref="I473:O473" si="629">+H473+1</f>
        <v>1997</v>
      </c>
      <c r="J473" s="854">
        <f t="shared" si="629"/>
        <v>1998</v>
      </c>
      <c r="K473" s="854">
        <f t="shared" si="629"/>
        <v>1999</v>
      </c>
      <c r="L473" s="854">
        <f t="shared" si="629"/>
        <v>2000</v>
      </c>
      <c r="M473" s="854">
        <f t="shared" si="629"/>
        <v>2001</v>
      </c>
      <c r="N473" s="854">
        <f t="shared" si="629"/>
        <v>2002</v>
      </c>
      <c r="O473" s="854">
        <f t="shared" si="629"/>
        <v>2003</v>
      </c>
      <c r="P473" s="854">
        <f t="shared" ref="P473:AF473" si="630">+O473+1</f>
        <v>2004</v>
      </c>
      <c r="Q473" s="854">
        <f t="shared" si="630"/>
        <v>2005</v>
      </c>
      <c r="R473" s="854">
        <f t="shared" si="630"/>
        <v>2006</v>
      </c>
      <c r="S473" s="854">
        <f t="shared" si="630"/>
        <v>2007</v>
      </c>
      <c r="T473" s="854">
        <f t="shared" si="630"/>
        <v>2008</v>
      </c>
      <c r="U473" s="854">
        <f t="shared" si="630"/>
        <v>2009</v>
      </c>
      <c r="V473" s="854">
        <f t="shared" si="630"/>
        <v>2010</v>
      </c>
      <c r="W473" s="854">
        <f t="shared" si="630"/>
        <v>2011</v>
      </c>
      <c r="X473" s="854">
        <f t="shared" si="630"/>
        <v>2012</v>
      </c>
      <c r="Y473" s="854">
        <f t="shared" si="630"/>
        <v>2013</v>
      </c>
      <c r="Z473" s="854">
        <f t="shared" ref="Z473" si="631">+Y473+1</f>
        <v>2014</v>
      </c>
      <c r="AA473" s="854">
        <f t="shared" ref="AA473" si="632">+Z473+1</f>
        <v>2015</v>
      </c>
      <c r="AB473" s="854">
        <f t="shared" ref="AB473" si="633">+AA473+1</f>
        <v>2016</v>
      </c>
      <c r="AC473" s="854">
        <f t="shared" ref="AC473" si="634">+AB473+1</f>
        <v>2017</v>
      </c>
      <c r="AD473" s="854">
        <f t="shared" si="630"/>
        <v>2018</v>
      </c>
      <c r="AE473" s="854">
        <f t="shared" si="630"/>
        <v>2019</v>
      </c>
      <c r="AF473" s="854">
        <f t="shared" si="630"/>
        <v>2020</v>
      </c>
      <c r="BB473" s="3512">
        <v>2016</v>
      </c>
      <c r="BC473" s="736" t="str">
        <f t="shared" si="607"/>
        <v/>
      </c>
    </row>
    <row r="474" spans="1:55" ht="12.75" customHeight="1">
      <c r="A474" s="701"/>
      <c r="B474" s="701"/>
      <c r="C474" s="847" t="s">
        <v>1791</v>
      </c>
      <c r="D474" s="848" t="s">
        <v>664</v>
      </c>
      <c r="E474" s="1557" t="s">
        <v>804</v>
      </c>
      <c r="F474" s="1558" t="s">
        <v>456</v>
      </c>
      <c r="G474" s="1595">
        <f t="shared" ref="G474:Q474" si="635">+G456/(G373+G394)</f>
        <v>0.10112125619316041</v>
      </c>
      <c r="H474" s="1595">
        <f t="shared" si="635"/>
        <v>8.096484423870888E-2</v>
      </c>
      <c r="I474" s="1595">
        <f t="shared" si="635"/>
        <v>5.2330057694781759E-2</v>
      </c>
      <c r="J474" s="1595">
        <f t="shared" si="635"/>
        <v>4.8111950542213511E-2</v>
      </c>
      <c r="K474" s="1595">
        <f t="shared" si="635"/>
        <v>-1.4814456525945428E-2</v>
      </c>
      <c r="L474" s="1595">
        <f t="shared" si="635"/>
        <v>7.110032125194958E-2</v>
      </c>
      <c r="M474" s="1595">
        <f t="shared" si="635"/>
        <v>0.1105078390904764</v>
      </c>
      <c r="N474" s="1595">
        <f t="shared" si="635"/>
        <v>0.10785733176147855</v>
      </c>
      <c r="O474" s="1595">
        <f t="shared" si="635"/>
        <v>9.9933380645881364E-2</v>
      </c>
      <c r="P474" s="1595">
        <f t="shared" si="635"/>
        <v>8.8776604713573792E-2</v>
      </c>
      <c r="Q474" s="1595">
        <f t="shared" si="635"/>
        <v>8.3879153805182724E-2</v>
      </c>
      <c r="R474" s="1595">
        <f t="shared" ref="R474:Y474" si="636">+R456/(R373+R394)</f>
        <v>0.10107294400947694</v>
      </c>
      <c r="S474" s="1595">
        <f t="shared" si="636"/>
        <v>0.1234008292307435</v>
      </c>
      <c r="T474" s="1595">
        <f t="shared" si="636"/>
        <v>0.14549075239975087</v>
      </c>
      <c r="U474" s="1595">
        <f t="shared" si="636"/>
        <v>0.13952241539592908</v>
      </c>
      <c r="V474" s="1595">
        <f t="shared" si="636"/>
        <v>0.14627280371440077</v>
      </c>
      <c r="W474" s="1595">
        <f t="shared" si="636"/>
        <v>0.15271877527487046</v>
      </c>
      <c r="X474" s="1595">
        <f t="shared" si="636"/>
        <v>0.16971639621164492</v>
      </c>
      <c r="Y474" s="1595">
        <f t="shared" si="636"/>
        <v>0.17458261295899671</v>
      </c>
      <c r="Z474" s="1595">
        <f t="shared" ref="Z474:AC474" si="637">+Z456/(Z373+Z394)</f>
        <v>0.18810902585367539</v>
      </c>
      <c r="AA474" s="1595">
        <f t="shared" si="637"/>
        <v>0.17547012930328981</v>
      </c>
      <c r="AB474" s="1595">
        <f t="shared" si="637"/>
        <v>0.18468667759229129</v>
      </c>
      <c r="AC474" s="1595">
        <f t="shared" si="637"/>
        <v>0.17609166334608678</v>
      </c>
      <c r="AD474" s="3012">
        <f ca="1">+AD456/(AD373+AD394)</f>
        <v>0.17916000544719285</v>
      </c>
      <c r="AE474" s="3012">
        <f ca="1">+AE456/(AE373+AE394)</f>
        <v>0.17180180150357169</v>
      </c>
      <c r="AF474" s="3012">
        <f ca="1">+AF456/(AF373+AF394)</f>
        <v>0.16561945265846534</v>
      </c>
      <c r="BB474" s="3465">
        <v>0.18154910823726167</v>
      </c>
      <c r="BC474" s="736" t="str">
        <f t="shared" si="607"/>
        <v/>
      </c>
    </row>
    <row r="475" spans="1:55" ht="30" customHeight="1">
      <c r="A475" s="701"/>
      <c r="B475" s="701"/>
      <c r="C475" s="811"/>
      <c r="BC475" s="736" t="str">
        <f t="shared" si="607"/>
        <v/>
      </c>
    </row>
    <row r="476" spans="1:55" ht="30" customHeight="1">
      <c r="BC476" s="736" t="str">
        <f t="shared" si="607"/>
        <v/>
      </c>
    </row>
    <row r="477" spans="1:55" ht="22.5" customHeight="1">
      <c r="A477" s="590"/>
      <c r="B477" s="590"/>
      <c r="C477" s="3816" t="s">
        <v>1661</v>
      </c>
      <c r="D477" s="3816"/>
      <c r="E477" s="3816"/>
      <c r="F477" s="3816"/>
      <c r="R477" s="2322"/>
      <c r="S477" s="2322"/>
      <c r="T477" s="2322"/>
      <c r="U477" s="2322"/>
      <c r="V477" s="2322"/>
      <c r="W477" s="2322"/>
      <c r="X477" s="2322"/>
      <c r="Y477" s="2322"/>
      <c r="Z477" s="2322">
        <v>3.3358743899999999</v>
      </c>
      <c r="AA477" s="2322">
        <v>3.4025918777999999</v>
      </c>
      <c r="AB477" s="2322">
        <v>3.4025918777999999</v>
      </c>
      <c r="AC477" s="2322">
        <v>5.4025918777999999</v>
      </c>
      <c r="AD477" s="2322">
        <v>5.4025918777999999</v>
      </c>
      <c r="AE477" s="2322">
        <v>5.4025918777999999</v>
      </c>
      <c r="AF477" s="2322">
        <v>5.4025918777999999</v>
      </c>
      <c r="BB477" s="3475">
        <v>3.4025918777999999</v>
      </c>
      <c r="BC477" s="736" t="str">
        <f t="shared" si="607"/>
        <v/>
      </c>
    </row>
    <row r="478" spans="1:55" ht="12.75" customHeight="1">
      <c r="A478" s="701"/>
      <c r="B478" s="701"/>
      <c r="C478" s="811"/>
      <c r="R478" s="2338"/>
      <c r="S478" s="2322"/>
      <c r="T478" s="2322"/>
      <c r="U478" s="2322"/>
      <c r="V478" s="2322"/>
      <c r="W478" s="2322"/>
      <c r="BC478" s="736" t="str">
        <f t="shared" si="607"/>
        <v/>
      </c>
    </row>
    <row r="479" spans="1:55" ht="12.75" customHeight="1">
      <c r="A479" s="701"/>
      <c r="B479" s="701"/>
      <c r="C479" s="811"/>
      <c r="D479" s="812"/>
      <c r="E479" s="813" t="s">
        <v>1882</v>
      </c>
      <c r="F479" s="814"/>
      <c r="G479" s="815">
        <f>+InputY!$G$3</f>
        <v>1995</v>
      </c>
      <c r="H479" s="815">
        <f>+G479+1</f>
        <v>1996</v>
      </c>
      <c r="I479" s="815">
        <f t="shared" ref="I479:O479" si="638">+H479+1</f>
        <v>1997</v>
      </c>
      <c r="J479" s="815">
        <f t="shared" si="638"/>
        <v>1998</v>
      </c>
      <c r="K479" s="815">
        <f t="shared" si="638"/>
        <v>1999</v>
      </c>
      <c r="L479" s="815">
        <f t="shared" si="638"/>
        <v>2000</v>
      </c>
      <c r="M479" s="815">
        <f t="shared" si="638"/>
        <v>2001</v>
      </c>
      <c r="N479" s="815">
        <f t="shared" si="638"/>
        <v>2002</v>
      </c>
      <c r="O479" s="815">
        <f t="shared" si="638"/>
        <v>2003</v>
      </c>
      <c r="P479" s="815">
        <f>+O479+1</f>
        <v>2004</v>
      </c>
      <c r="Q479" s="815">
        <f>+P479+1</f>
        <v>2005</v>
      </c>
      <c r="R479" s="815">
        <f>+Q479+1</f>
        <v>2006</v>
      </c>
      <c r="S479" s="815">
        <f>+R479+1</f>
        <v>2007</v>
      </c>
      <c r="T479" s="815">
        <f t="shared" ref="T479:AF479" si="639">+S479+1</f>
        <v>2008</v>
      </c>
      <c r="U479" s="815">
        <f t="shared" si="639"/>
        <v>2009</v>
      </c>
      <c r="V479" s="815">
        <f t="shared" si="639"/>
        <v>2010</v>
      </c>
      <c r="W479" s="815">
        <f t="shared" si="639"/>
        <v>2011</v>
      </c>
      <c r="X479" s="2285">
        <f t="shared" si="639"/>
        <v>2012</v>
      </c>
      <c r="Y479" s="2285">
        <f t="shared" si="639"/>
        <v>2013</v>
      </c>
      <c r="Z479" s="2285">
        <f t="shared" si="639"/>
        <v>2014</v>
      </c>
      <c r="AA479" s="2285">
        <f t="shared" si="639"/>
        <v>2015</v>
      </c>
      <c r="AB479" s="2285">
        <f t="shared" si="639"/>
        <v>2016</v>
      </c>
      <c r="AC479" s="2285">
        <f t="shared" si="639"/>
        <v>2017</v>
      </c>
      <c r="AD479" s="2285">
        <f t="shared" si="639"/>
        <v>2018</v>
      </c>
      <c r="AE479" s="2285">
        <f t="shared" si="639"/>
        <v>2019</v>
      </c>
      <c r="AF479" s="2285">
        <f t="shared" si="639"/>
        <v>2020</v>
      </c>
      <c r="BB479" s="3470">
        <v>2016</v>
      </c>
      <c r="BC479" s="736" t="str">
        <f t="shared" si="607"/>
        <v/>
      </c>
    </row>
    <row r="480" spans="1:55" ht="12.75" customHeight="1">
      <c r="A480" s="701">
        <f>+ROW(InputY!A167)</f>
        <v>167</v>
      </c>
      <c r="B480" s="701">
        <v>130</v>
      </c>
      <c r="C480" s="816" t="s">
        <v>1791</v>
      </c>
      <c r="D480" s="705" t="s">
        <v>666</v>
      </c>
      <c r="E480" s="737" t="s">
        <v>1455</v>
      </c>
      <c r="F480" s="738" t="str">
        <f>+InputY!B167</f>
        <v>YACapTax</v>
      </c>
      <c r="G480" s="817">
        <f>+InputY!G167/1000</f>
        <v>2.173</v>
      </c>
      <c r="H480" s="817">
        <f>+InputY!H167/1000</f>
        <v>1.5529999999999999</v>
      </c>
      <c r="I480" s="817">
        <f>+InputY!I167/1000</f>
        <v>2.016</v>
      </c>
      <c r="J480" s="817">
        <f>+InputY!J167/1000</f>
        <v>2.149</v>
      </c>
      <c r="K480" s="817">
        <f>+InputY!K167/1000</f>
        <v>2.3809999999999998</v>
      </c>
      <c r="L480" s="817">
        <f>+InputY!L167/1000</f>
        <v>2.7869999999999999</v>
      </c>
      <c r="M480" s="817">
        <f>+InputY!M167/1000</f>
        <v>2.786</v>
      </c>
      <c r="N480" s="817">
        <f>+InputY!N167/1000</f>
        <v>2.9750000000000001</v>
      </c>
      <c r="O480" s="817">
        <f>+InputY!O167/1000</f>
        <v>2.4900000000000002</v>
      </c>
      <c r="P480" s="817">
        <f>+InputY!P167/1000</f>
        <v>2.5510000000000002</v>
      </c>
      <c r="Q480" s="817">
        <f>+InputY!Q167/1000</f>
        <v>1.0920000000000001</v>
      </c>
      <c r="R480" s="817">
        <f>+InputY!R167/1000</f>
        <v>0.12</v>
      </c>
      <c r="S480" s="817">
        <f>+InputY!S167/1000</f>
        <v>2.3E-2</v>
      </c>
      <c r="T480" s="817">
        <f>+InputY!T167/1000</f>
        <v>1.6E-2</v>
      </c>
      <c r="U480" s="817">
        <f>+InputY!U167/1000</f>
        <v>2E-3</v>
      </c>
      <c r="V480" s="817">
        <f>+InputY!V167/1000</f>
        <v>0.01</v>
      </c>
      <c r="W480" s="817">
        <f>+InputY!W167/1000</f>
        <v>3.0000000000000001E-3</v>
      </c>
      <c r="X480" s="817">
        <f>+InputY!X167/1000</f>
        <v>-4.0000000000000001E-3</v>
      </c>
      <c r="Y480" s="817">
        <f>+InputY!Y167/1000</f>
        <v>-4.0000000000000001E-3</v>
      </c>
      <c r="Z480" s="817">
        <f>+InputY!Z167/1000</f>
        <v>2E-3</v>
      </c>
      <c r="AA480" s="817">
        <f>+InputY!AA167/1000</f>
        <v>0</v>
      </c>
      <c r="AB480" s="817">
        <f>+InputY!AB167/1000</f>
        <v>0</v>
      </c>
      <c r="AC480" s="817">
        <f>+InputY!AC167/1000</f>
        <v>0</v>
      </c>
      <c r="AD480" s="2966">
        <f t="shared" ref="AD480:AF482" si="640">+AC480*(1+AD492/100)</f>
        <v>0</v>
      </c>
      <c r="AE480" s="2966">
        <f t="shared" si="640"/>
        <v>0</v>
      </c>
      <c r="AF480" s="2966">
        <f t="shared" si="640"/>
        <v>0</v>
      </c>
      <c r="BB480" s="3471">
        <v>0</v>
      </c>
      <c r="BC480" s="736" t="str">
        <f t="shared" si="607"/>
        <v/>
      </c>
    </row>
    <row r="481" spans="1:55" ht="12.75" customHeight="1">
      <c r="A481" s="701">
        <f>+ROW(InputY!A169)</f>
        <v>169</v>
      </c>
      <c r="B481" s="701">
        <v>148</v>
      </c>
      <c r="C481" s="819" t="s">
        <v>301</v>
      </c>
      <c r="D481" s="1081" t="s">
        <v>666</v>
      </c>
      <c r="E481" s="3389" t="s">
        <v>685</v>
      </c>
      <c r="F481" s="741"/>
      <c r="G481" s="743">
        <f>+InputY!G169/1000</f>
        <v>0</v>
      </c>
      <c r="H481" s="743">
        <f>+InputY!H169/1000</f>
        <v>0</v>
      </c>
      <c r="I481" s="743">
        <f>+InputY!I169/1000</f>
        <v>0</v>
      </c>
      <c r="J481" s="743">
        <f>+InputY!J169/1000</f>
        <v>0</v>
      </c>
      <c r="K481" s="743">
        <f>+InputY!K169/1000</f>
        <v>0</v>
      </c>
      <c r="L481" s="743">
        <f>+InputY!L169/1000</f>
        <v>0</v>
      </c>
      <c r="M481" s="743">
        <f>+InputY!M169/1000</f>
        <v>0</v>
      </c>
      <c r="N481" s="743">
        <f>+InputY!N169/1000</f>
        <v>0</v>
      </c>
      <c r="O481" s="743">
        <f>+InputY!O169/1000</f>
        <v>0</v>
      </c>
      <c r="P481" s="743">
        <f>+InputY!P169/1000</f>
        <v>0</v>
      </c>
      <c r="Q481" s="743">
        <f>+InputY!Q169/1000</f>
        <v>0</v>
      </c>
      <c r="R481" s="743">
        <f>+InputY!R169/1000</f>
        <v>0</v>
      </c>
      <c r="S481" s="743">
        <f>+InputY!S169/1000</f>
        <v>0</v>
      </c>
      <c r="T481" s="743">
        <f>+InputY!T169/1000</f>
        <v>0</v>
      </c>
      <c r="U481" s="743">
        <f>+InputY!U169/1000</f>
        <v>0</v>
      </c>
      <c r="V481" s="743">
        <f>+InputY!V169/1000</f>
        <v>0</v>
      </c>
      <c r="W481" s="743">
        <f>+InputY!W169/1000</f>
        <v>0</v>
      </c>
      <c r="X481" s="743">
        <f>+InputY!X169/1000</f>
        <v>0</v>
      </c>
      <c r="Y481" s="743">
        <f>+InputY!Y169/1000</f>
        <v>0</v>
      </c>
      <c r="Z481" s="743">
        <f>+InputY!Z169/1000</f>
        <v>0</v>
      </c>
      <c r="AA481" s="743">
        <f>+InputY!AA169/1000</f>
        <v>0</v>
      </c>
      <c r="AB481" s="743">
        <f>+InputY!AB169/1000</f>
        <v>0</v>
      </c>
      <c r="AC481" s="743">
        <f>+InputY!AC169/1000</f>
        <v>0</v>
      </c>
      <c r="AD481" s="2343">
        <f t="shared" si="640"/>
        <v>0</v>
      </c>
      <c r="AE481" s="2343">
        <f t="shared" si="640"/>
        <v>0</v>
      </c>
      <c r="AF481" s="2343">
        <f t="shared" si="640"/>
        <v>0</v>
      </c>
      <c r="BB481" s="3472">
        <v>0</v>
      </c>
      <c r="BC481" s="736" t="str">
        <f t="shared" si="607"/>
        <v/>
      </c>
    </row>
    <row r="482" spans="1:55" ht="12.75" customHeight="1">
      <c r="B482" s="701"/>
      <c r="C482" s="819" t="s">
        <v>1791</v>
      </c>
      <c r="D482" s="711" t="s">
        <v>666</v>
      </c>
      <c r="E482" s="820" t="s">
        <v>684</v>
      </c>
      <c r="F482" s="741" t="str">
        <f>+InputY!B166</f>
        <v>YACap</v>
      </c>
      <c r="G482" s="743">
        <f>+G483-G480+G481</f>
        <v>2.3529999999999998</v>
      </c>
      <c r="H482" s="743">
        <f t="shared" ref="H482:V482" si="641">+H483-H480+H481</f>
        <v>2.5940000000000003</v>
      </c>
      <c r="I482" s="743">
        <f t="shared" si="641"/>
        <v>2.5170000000000003</v>
      </c>
      <c r="J482" s="743">
        <f t="shared" si="641"/>
        <v>2.8390000000000004</v>
      </c>
      <c r="K482" s="743">
        <f t="shared" si="641"/>
        <v>2.2520000000000002</v>
      </c>
      <c r="L482" s="743">
        <f t="shared" si="641"/>
        <v>2.1719999999999997</v>
      </c>
      <c r="M482" s="743">
        <f t="shared" si="641"/>
        <v>2.48</v>
      </c>
      <c r="N482" s="743">
        <f t="shared" si="641"/>
        <v>2.7479999999999998</v>
      </c>
      <c r="O482" s="743">
        <f t="shared" si="641"/>
        <v>2.7770000000000001</v>
      </c>
      <c r="P482" s="743">
        <f t="shared" si="641"/>
        <v>2.8789999999999996</v>
      </c>
      <c r="Q482" s="743">
        <f t="shared" si="641"/>
        <v>5.3640000000000008</v>
      </c>
      <c r="R482" s="743">
        <f t="shared" si="641"/>
        <v>3.8420000000000001</v>
      </c>
      <c r="S482" s="743">
        <f t="shared" si="641"/>
        <v>3.5209999999999999</v>
      </c>
      <c r="T482" s="743">
        <f t="shared" si="641"/>
        <v>3.0859999999999999</v>
      </c>
      <c r="U482" s="743">
        <f t="shared" si="641"/>
        <v>3.3190000000000004</v>
      </c>
      <c r="V482" s="743">
        <f t="shared" si="641"/>
        <v>3.1440000000000001</v>
      </c>
      <c r="W482" s="743">
        <f t="shared" ref="W482:AB482" si="642">+W483-W480+W481</f>
        <v>3.7639999999999998</v>
      </c>
      <c r="X482" s="743">
        <f t="shared" si="642"/>
        <v>13.968999999999999</v>
      </c>
      <c r="Y482" s="743">
        <f t="shared" si="642"/>
        <v>13.603999999999999</v>
      </c>
      <c r="Z482" s="743">
        <f t="shared" si="642"/>
        <v>5.3360000000000003</v>
      </c>
      <c r="AA482" s="743">
        <f t="shared" si="642"/>
        <v>11.038</v>
      </c>
      <c r="AB482" s="743">
        <f t="shared" si="642"/>
        <v>6.883</v>
      </c>
      <c r="AC482" s="743">
        <f t="shared" ref="AC482" si="643">+AC483-AC480+AC481</f>
        <v>7.5030000000000001</v>
      </c>
      <c r="AD482" s="2343">
        <f t="shared" si="640"/>
        <v>6.0999999999999988</v>
      </c>
      <c r="AE482" s="2343">
        <f t="shared" si="640"/>
        <v>6.2219999999999986</v>
      </c>
      <c r="AF482" s="2343">
        <f t="shared" si="640"/>
        <v>6.3153299999999977</v>
      </c>
      <c r="AN482" s="2940"/>
      <c r="AO482" s="2940"/>
      <c r="AP482" s="2940"/>
      <c r="AQ482" s="2940"/>
      <c r="BB482" s="3472">
        <v>7.1280000000000001</v>
      </c>
      <c r="BC482" s="736" t="str">
        <f t="shared" si="607"/>
        <v/>
      </c>
    </row>
    <row r="483" spans="1:55" ht="12.75" customHeight="1">
      <c r="A483" s="701">
        <f>+ROW(InputY!A166)</f>
        <v>166</v>
      </c>
      <c r="B483" s="701">
        <v>125</v>
      </c>
      <c r="C483" s="819" t="s">
        <v>1793</v>
      </c>
      <c r="D483" s="3747" t="s">
        <v>666</v>
      </c>
      <c r="E483" s="3715" t="s">
        <v>1458</v>
      </c>
      <c r="F483" s="3716" t="s">
        <v>157</v>
      </c>
      <c r="G483" s="3717">
        <f>+InputY!G166/1000</f>
        <v>4.5259999999999998</v>
      </c>
      <c r="H483" s="3717">
        <f>+InputY!H166/1000</f>
        <v>4.1470000000000002</v>
      </c>
      <c r="I483" s="3717">
        <f>+InputY!I166/1000</f>
        <v>4.5330000000000004</v>
      </c>
      <c r="J483" s="3717">
        <f>+InputY!J166/1000</f>
        <v>4.9880000000000004</v>
      </c>
      <c r="K483" s="3717">
        <f>+InputY!K166/1000</f>
        <v>4.633</v>
      </c>
      <c r="L483" s="3717">
        <f>+InputY!L166/1000</f>
        <v>4.9589999999999996</v>
      </c>
      <c r="M483" s="3717">
        <f>+InputY!M166/1000</f>
        <v>5.266</v>
      </c>
      <c r="N483" s="3717">
        <f>+InputY!N166/1000</f>
        <v>5.7229999999999999</v>
      </c>
      <c r="O483" s="3717">
        <f>+InputY!O166/1000</f>
        <v>5.2670000000000003</v>
      </c>
      <c r="P483" s="3717">
        <f>+InputY!P166/1000</f>
        <v>5.43</v>
      </c>
      <c r="Q483" s="3717">
        <f>+InputY!Q166/1000</f>
        <v>6.4560000000000004</v>
      </c>
      <c r="R483" s="3717">
        <f>+InputY!R166/1000</f>
        <v>3.9620000000000002</v>
      </c>
      <c r="S483" s="3717">
        <f>+InputY!S166/1000</f>
        <v>3.544</v>
      </c>
      <c r="T483" s="3717">
        <f>+InputY!T166/1000</f>
        <v>3.1019999999999999</v>
      </c>
      <c r="U483" s="3717">
        <f>+InputY!U166/1000</f>
        <v>3.3210000000000002</v>
      </c>
      <c r="V483" s="3717">
        <f>+InputY!V166/1000</f>
        <v>3.1539999999999999</v>
      </c>
      <c r="W483" s="3717">
        <f>+InputY!W166/1000</f>
        <v>3.7669999999999999</v>
      </c>
      <c r="X483" s="3717">
        <f>+InputY!X166/1000</f>
        <v>13.965</v>
      </c>
      <c r="Y483" s="3717">
        <f>+InputY!Y166/1000</f>
        <v>13.6</v>
      </c>
      <c r="Z483" s="3717">
        <f>+InputY!Z166/1000</f>
        <v>5.3380000000000001</v>
      </c>
      <c r="AA483" s="3717">
        <f>+InputY!AA166/1000</f>
        <v>11.038</v>
      </c>
      <c r="AB483" s="3717">
        <f>+InputY!AB166/1000</f>
        <v>6.883</v>
      </c>
      <c r="AC483" s="3717">
        <f>+InputY!AC166/1000</f>
        <v>7.5030000000000001</v>
      </c>
      <c r="AD483" s="3719">
        <f>+AD480+AD482</f>
        <v>6.0999999999999988</v>
      </c>
      <c r="AE483" s="3719">
        <f>+AE480+AE482</f>
        <v>6.2219999999999986</v>
      </c>
      <c r="AF483" s="3719">
        <f>+AF480+AF482</f>
        <v>6.3153299999999977</v>
      </c>
      <c r="AH483" s="2940"/>
      <c r="AI483" s="2940"/>
      <c r="AJ483" s="2940"/>
      <c r="AK483" s="2940"/>
      <c r="AL483" s="2940"/>
      <c r="AM483" s="2940"/>
      <c r="BB483" s="3561">
        <v>7.1280000000000001</v>
      </c>
      <c r="BC483" s="736" t="str">
        <f t="shared" si="607"/>
        <v/>
      </c>
    </row>
    <row r="484" spans="1:55" ht="12.75" customHeight="1">
      <c r="A484" s="701">
        <f>+ROW(InputY!A168)</f>
        <v>168</v>
      </c>
      <c r="B484" s="701" t="s">
        <v>865</v>
      </c>
      <c r="C484" s="819" t="s">
        <v>301</v>
      </c>
      <c r="D484" s="711" t="s">
        <v>666</v>
      </c>
      <c r="E484" s="820" t="s">
        <v>1393</v>
      </c>
      <c r="F484" s="741" t="str">
        <f>+InputY!B168</f>
        <v>$ACapT</v>
      </c>
      <c r="G484" s="743">
        <f>+InputY!G168/1000</f>
        <v>13.041</v>
      </c>
      <c r="H484" s="743">
        <f>+InputY!H168/1000</f>
        <v>12.414999999999999</v>
      </c>
      <c r="I484" s="743">
        <f>+InputY!I168/1000</f>
        <v>11.1</v>
      </c>
      <c r="J484" s="743">
        <f>+InputY!J168/1000</f>
        <v>8.82</v>
      </c>
      <c r="K484" s="743">
        <f>+InputY!K168/1000</f>
        <v>12.167999999999999</v>
      </c>
      <c r="L484" s="743">
        <f>+InputY!L168/1000</f>
        <v>8.3190000000000008</v>
      </c>
      <c r="M484" s="743">
        <f>+InputY!M168/1000</f>
        <v>8.1790000000000003</v>
      </c>
      <c r="N484" s="743">
        <f>+InputY!N168/1000</f>
        <v>8.5850000000000009</v>
      </c>
      <c r="O484" s="743">
        <f>+InputY!O168/1000</f>
        <v>9.6069999999999993</v>
      </c>
      <c r="P484" s="743">
        <f>+InputY!P168/1000</f>
        <v>7.9950000000000001</v>
      </c>
      <c r="Q484" s="743">
        <f>+InputY!Q168/1000</f>
        <v>13.879</v>
      </c>
      <c r="R484" s="743">
        <f>+InputY!R168/1000</f>
        <v>8.2509999999999994</v>
      </c>
      <c r="S484" s="743">
        <f>+InputY!S168/1000</f>
        <v>9.282</v>
      </c>
      <c r="T484" s="743">
        <f>+InputY!T168/1000</f>
        <v>10.691000000000001</v>
      </c>
      <c r="U484" s="743">
        <f>+InputY!U168/1000</f>
        <v>9.125</v>
      </c>
      <c r="V484" s="743">
        <f>+InputY!V168/1000</f>
        <v>8.7119999999999997</v>
      </c>
      <c r="W484" s="743">
        <f>+InputY!W168/1000</f>
        <v>11.388</v>
      </c>
      <c r="X484" s="743">
        <f>+InputY!X168/1000</f>
        <v>10.596</v>
      </c>
      <c r="Y484" s="743">
        <f>+InputY!Y168/1000</f>
        <v>9.8610000000000007</v>
      </c>
      <c r="Z484" s="743">
        <f>+InputY!Z168/1000</f>
        <v>10.602</v>
      </c>
      <c r="AA484" s="743">
        <f>+InputY!AA168/1000</f>
        <v>12.733000000000001</v>
      </c>
      <c r="AB484" s="743">
        <f>+InputY!AB168/1000</f>
        <v>16.074000000000002</v>
      </c>
      <c r="AC484" s="743">
        <f>+InputY!AC168/1000</f>
        <v>10.021000000000001</v>
      </c>
      <c r="AD484" s="2343">
        <f>+AC484*(1+AD496/100)</f>
        <v>13.701130989099106</v>
      </c>
      <c r="AE484" s="2343">
        <f>+AD484*(1+AE496/100)</f>
        <v>19.2307550221798</v>
      </c>
      <c r="AF484" s="2343">
        <f>+AE484*(1+AF496/100)</f>
        <v>19.90383144795609</v>
      </c>
      <c r="BB484" s="3472">
        <v>13.742000000000001</v>
      </c>
      <c r="BC484" s="736">
        <f t="shared" si="607"/>
        <v>2.3320000000000007</v>
      </c>
    </row>
    <row r="485" spans="1:55" ht="12.75" customHeight="1">
      <c r="A485" s="701"/>
      <c r="B485" s="701"/>
      <c r="C485" s="819" t="s">
        <v>1793</v>
      </c>
      <c r="D485" s="783" t="s">
        <v>666</v>
      </c>
      <c r="E485" s="784" t="s">
        <v>1445</v>
      </c>
      <c r="F485" s="1060" t="s">
        <v>1441</v>
      </c>
      <c r="G485" s="836">
        <f t="shared" ref="G485:V485" si="644">+G483-G484</f>
        <v>-8.5150000000000006</v>
      </c>
      <c r="H485" s="836">
        <f t="shared" si="644"/>
        <v>-8.2679999999999989</v>
      </c>
      <c r="I485" s="836">
        <f t="shared" si="644"/>
        <v>-6.5669999999999993</v>
      </c>
      <c r="J485" s="836">
        <f t="shared" si="644"/>
        <v>-3.8319999999999999</v>
      </c>
      <c r="K485" s="836">
        <f t="shared" si="644"/>
        <v>-7.5349999999999993</v>
      </c>
      <c r="L485" s="836">
        <f t="shared" si="644"/>
        <v>-3.3600000000000012</v>
      </c>
      <c r="M485" s="836">
        <f t="shared" si="644"/>
        <v>-2.9130000000000003</v>
      </c>
      <c r="N485" s="836">
        <f t="shared" si="644"/>
        <v>-2.862000000000001</v>
      </c>
      <c r="O485" s="836">
        <f t="shared" si="644"/>
        <v>-4.339999999999999</v>
      </c>
      <c r="P485" s="836">
        <f t="shared" si="644"/>
        <v>-2.5650000000000004</v>
      </c>
      <c r="Q485" s="836">
        <f t="shared" si="644"/>
        <v>-7.4229999999999992</v>
      </c>
      <c r="R485" s="836">
        <f t="shared" si="644"/>
        <v>-4.2889999999999997</v>
      </c>
      <c r="S485" s="836">
        <f t="shared" si="644"/>
        <v>-5.7379999999999995</v>
      </c>
      <c r="T485" s="836">
        <f t="shared" si="644"/>
        <v>-7.5890000000000004</v>
      </c>
      <c r="U485" s="836">
        <f t="shared" si="644"/>
        <v>-5.8040000000000003</v>
      </c>
      <c r="V485" s="836">
        <f t="shared" si="644"/>
        <v>-5.5579999999999998</v>
      </c>
      <c r="W485" s="836">
        <f t="shared" ref="W485:AA485" si="645">+W483-W484</f>
        <v>-7.6210000000000004</v>
      </c>
      <c r="X485" s="836">
        <f t="shared" si="645"/>
        <v>3.3689999999999998</v>
      </c>
      <c r="Y485" s="836">
        <f t="shared" si="645"/>
        <v>3.738999999999999</v>
      </c>
      <c r="Z485" s="836">
        <f t="shared" si="645"/>
        <v>-5.2640000000000002</v>
      </c>
      <c r="AA485" s="836">
        <f t="shared" si="645"/>
        <v>-1.6950000000000003</v>
      </c>
      <c r="AB485" s="836">
        <f t="shared" ref="AB485:AC485" si="646">+AB483-AB484</f>
        <v>-9.1910000000000025</v>
      </c>
      <c r="AC485" s="836">
        <f t="shared" si="646"/>
        <v>-2.5180000000000007</v>
      </c>
      <c r="AD485" s="2969">
        <f>+AD483-AD484</f>
        <v>-7.601130989099107</v>
      </c>
      <c r="AE485" s="2969">
        <f>+AE483-AE484</f>
        <v>-13.008755022179802</v>
      </c>
      <c r="AF485" s="2969">
        <f>+AF483-AF484</f>
        <v>-13.588501447956093</v>
      </c>
      <c r="BB485" s="3561">
        <v>-6.6140000000000008</v>
      </c>
      <c r="BC485" s="736">
        <f t="shared" si="607"/>
        <v>-2.5770000000000017</v>
      </c>
    </row>
    <row r="486" spans="1:55" ht="12.75" customHeight="1">
      <c r="A486" s="701">
        <f>+ROW(InputY!A203)</f>
        <v>203</v>
      </c>
      <c r="B486" s="701" t="s">
        <v>829</v>
      </c>
      <c r="C486" s="819" t="s">
        <v>1791</v>
      </c>
      <c r="D486" s="711" t="s">
        <v>664</v>
      </c>
      <c r="E486" s="820" t="s">
        <v>1445</v>
      </c>
      <c r="F486" s="1061" t="s">
        <v>1442</v>
      </c>
      <c r="G486" s="743">
        <f>+InputY!G203/1000</f>
        <v>-1.1990000000000001</v>
      </c>
      <c r="H486" s="743">
        <f>+InputY!H203/1000</f>
        <v>-1.27</v>
      </c>
      <c r="I486" s="743">
        <f>+InputY!I203/1000</f>
        <v>-1.9119999999999999</v>
      </c>
      <c r="J486" s="743">
        <f>+InputY!J203/1000</f>
        <v>-1.667</v>
      </c>
      <c r="K486" s="743">
        <f>+InputY!K203/1000</f>
        <v>-1.454</v>
      </c>
      <c r="L486" s="743">
        <f>+InputY!L203/1000</f>
        <v>-2.254</v>
      </c>
      <c r="M486" s="743">
        <f>+InputY!M203/1000</f>
        <v>-1.657</v>
      </c>
      <c r="N486" s="743">
        <f>+InputY!N203/1000</f>
        <v>-1.9550000000000001</v>
      </c>
      <c r="O486" s="743">
        <f>+InputY!O203/1000</f>
        <v>-2.331</v>
      </c>
      <c r="P486" s="743">
        <f>+InputY!P203/1000</f>
        <v>-2.6819999999999999</v>
      </c>
      <c r="Q486" s="743">
        <f>+InputY!Q203/1000</f>
        <v>-1.194</v>
      </c>
      <c r="R486" s="743">
        <f>+InputY!R203/1000</f>
        <v>-0.40100000000000002</v>
      </c>
      <c r="S486" s="743">
        <f>+InputY!S203/1000</f>
        <v>0.128</v>
      </c>
      <c r="T486" s="743">
        <f>+InputY!T203/1000</f>
        <v>0.312</v>
      </c>
      <c r="U486" s="743">
        <f>+InputY!U203/1000</f>
        <v>0.71899999999999997</v>
      </c>
      <c r="V486" s="743">
        <f>+InputY!V203/1000</f>
        <v>0.52800000000000002</v>
      </c>
      <c r="W486" s="743">
        <f>+InputY!W203/1000</f>
        <v>0.81299999999999994</v>
      </c>
      <c r="X486" s="743">
        <f>+InputY!X203/1000</f>
        <v>0.60299999999999998</v>
      </c>
      <c r="Y486" s="743">
        <f>+InputY!Y203/1000</f>
        <v>0.44600000000000001</v>
      </c>
      <c r="Z486" s="743">
        <f>+InputY!Z203/1000</f>
        <v>0.39100000000000001</v>
      </c>
      <c r="AA486" s="743">
        <f>+InputY!AA203/1000</f>
        <v>0.59799999999999998</v>
      </c>
      <c r="AB486" s="743">
        <f>+InputY!AB203/1000</f>
        <v>0.65800000000000003</v>
      </c>
      <c r="AC486" s="743">
        <f>+InputY!AC203/1000</f>
        <v>0.41799999999999998</v>
      </c>
      <c r="AD486" s="2343">
        <f t="shared" ref="AD486:AF487" si="647">+AC486*(1+AD498/100)</f>
        <v>0.43053999999999998</v>
      </c>
      <c r="AE486" s="2343">
        <f t="shared" si="647"/>
        <v>0.44345619999999997</v>
      </c>
      <c r="AF486" s="2343">
        <f t="shared" si="647"/>
        <v>0.456759886</v>
      </c>
      <c r="BB486" s="3472">
        <v>0.69299999999999995</v>
      </c>
      <c r="BC486" s="736" t="str">
        <f t="shared" si="607"/>
        <v/>
      </c>
    </row>
    <row r="487" spans="1:55" ht="12.75" customHeight="1">
      <c r="A487" s="701">
        <f>+ROW(InputY!A130)</f>
        <v>130</v>
      </c>
      <c r="B487" s="701" t="s">
        <v>830</v>
      </c>
      <c r="C487" s="819" t="s">
        <v>1791</v>
      </c>
      <c r="D487" s="711" t="s">
        <v>665</v>
      </c>
      <c r="E487" s="820" t="s">
        <v>1445</v>
      </c>
      <c r="F487" s="1061" t="s">
        <v>1443</v>
      </c>
      <c r="G487" s="743">
        <f>+InputY!G130/1000</f>
        <v>6.2069999999999999</v>
      </c>
      <c r="H487" s="743">
        <f>+InputY!H130/1000</f>
        <v>0.62</v>
      </c>
      <c r="I487" s="743">
        <f>+InputY!I130/1000</f>
        <v>2.8319999999999999</v>
      </c>
      <c r="J487" s="743">
        <f>+InputY!J130/1000</f>
        <v>3.9369999999999998</v>
      </c>
      <c r="K487" s="743">
        <f>+InputY!K130/1000</f>
        <v>7.3710000000000004</v>
      </c>
      <c r="L487" s="743">
        <f>+InputY!L130/1000</f>
        <v>3.9129999999999998</v>
      </c>
      <c r="M487" s="743">
        <f>+InputY!M130/1000</f>
        <v>2.3940000000000001</v>
      </c>
      <c r="N487" s="743">
        <f>+InputY!N130/1000</f>
        <v>1.631</v>
      </c>
      <c r="O487" s="743">
        <f>+InputY!O130/1000</f>
        <v>5.2539999999999996</v>
      </c>
      <c r="P487" s="743">
        <f>+InputY!P130/1000</f>
        <v>3.117</v>
      </c>
      <c r="Q487" s="743">
        <f>+InputY!Q130/1000</f>
        <v>8.032</v>
      </c>
      <c r="R487" s="743">
        <f>+InputY!R130/1000</f>
        <v>2.5169999999999999</v>
      </c>
      <c r="S487" s="743">
        <f>+InputY!S130/1000</f>
        <v>2.4140000000000001</v>
      </c>
      <c r="T487" s="743">
        <f>+InputY!T130/1000</f>
        <v>3.9950000000000001</v>
      </c>
      <c r="U487" s="743">
        <f>+InputY!U130/1000</f>
        <v>1.75</v>
      </c>
      <c r="V487" s="743">
        <f>+InputY!V130/1000</f>
        <v>1.7030000000000001</v>
      </c>
      <c r="W487" s="743">
        <f>+InputY!W130/1000</f>
        <v>2.6549999999999998</v>
      </c>
      <c r="X487" s="743">
        <f>+InputY!X130/1000</f>
        <v>-8.3019999999999996</v>
      </c>
      <c r="Y487" s="743">
        <f>+InputY!Y130/1000</f>
        <v>-8.3670000000000009</v>
      </c>
      <c r="Z487" s="743">
        <f>+InputY!Z130/1000</f>
        <v>1.357</v>
      </c>
      <c r="AA487" s="743">
        <f>+InputY!AA130/1000</f>
        <v>-2.6890000000000001</v>
      </c>
      <c r="AB487" s="743">
        <f>+InputY!AB130/1000</f>
        <v>7.8070000000000004</v>
      </c>
      <c r="AC487" s="743">
        <f>+InputY!AC130/1000</f>
        <v>3.2829999999999999</v>
      </c>
      <c r="AD487" s="2343">
        <f t="shared" si="647"/>
        <v>3.4799800000000003</v>
      </c>
      <c r="AE487" s="2343">
        <f t="shared" si="647"/>
        <v>3.6887788000000006</v>
      </c>
      <c r="AF487" s="2343">
        <f t="shared" si="647"/>
        <v>3.9101055280000008</v>
      </c>
      <c r="BB487" s="3472">
        <v>8.1289999999999996</v>
      </c>
      <c r="BC487" s="736" t="str">
        <f t="shared" si="607"/>
        <v/>
      </c>
    </row>
    <row r="488" spans="1:55" ht="12.75" customHeight="1">
      <c r="A488" s="2014">
        <f>+ROW(InputY!A256)</f>
        <v>256</v>
      </c>
      <c r="B488" s="701" t="s">
        <v>768</v>
      </c>
      <c r="C488" s="821" t="s">
        <v>1793</v>
      </c>
      <c r="D488" s="789" t="s">
        <v>667</v>
      </c>
      <c r="E488" s="790" t="s">
        <v>1446</v>
      </c>
      <c r="F488" s="791" t="s">
        <v>1456</v>
      </c>
      <c r="G488" s="822">
        <f>+InputY!G256/1000</f>
        <v>-3.5070000000000001</v>
      </c>
      <c r="H488" s="822">
        <f>+InputY!H256/1000</f>
        <v>-8.9179999999999993</v>
      </c>
      <c r="I488" s="822">
        <f>+InputY!I256/1000</f>
        <v>-5.6470000000000002</v>
      </c>
      <c r="J488" s="822">
        <f>+InputY!J256/1000</f>
        <v>-1.5620000000000001</v>
      </c>
      <c r="K488" s="822">
        <f>+InputY!K256/1000</f>
        <v>-1.6180000000000001</v>
      </c>
      <c r="L488" s="822">
        <f>+InputY!L256/1000</f>
        <v>-1.7010000000000001</v>
      </c>
      <c r="M488" s="822">
        <f>+InputY!M256/1000</f>
        <v>-2.1760000000000002</v>
      </c>
      <c r="N488" s="822">
        <f>+InputY!N256/1000</f>
        <v>-3.1859999999999999</v>
      </c>
      <c r="O488" s="822">
        <f>+InputY!O256/1000</f>
        <v>-1.417</v>
      </c>
      <c r="P488" s="822">
        <f>+InputY!P256/1000</f>
        <v>-2.13</v>
      </c>
      <c r="Q488" s="822">
        <f>+InputY!Q256/1000</f>
        <v>-0.58499999999999996</v>
      </c>
      <c r="R488" s="822">
        <f>+InputY!R256/1000</f>
        <v>-2.173</v>
      </c>
      <c r="S488" s="822">
        <f>+InputY!S256/1000</f>
        <v>-3.1960000000000002</v>
      </c>
      <c r="T488" s="822">
        <f>+InputY!T256/1000</f>
        <v>-3.282</v>
      </c>
      <c r="U488" s="822">
        <f>+InputY!U256/1000</f>
        <v>-3.335</v>
      </c>
      <c r="V488" s="822">
        <f>+InputY!V256/1000</f>
        <v>-3.327</v>
      </c>
      <c r="W488" s="822">
        <f>+InputY!W256/1000</f>
        <v>-4.1529999999999996</v>
      </c>
      <c r="X488" s="822">
        <f>+InputY!X256/1000</f>
        <v>-4.33</v>
      </c>
      <c r="Y488" s="822">
        <f>+InputY!Y256/1000</f>
        <v>-4.1820000000000004</v>
      </c>
      <c r="Z488" s="822">
        <f>+InputY!Z256/1000</f>
        <v>-3.516</v>
      </c>
      <c r="AA488" s="822">
        <f>+InputY!AA256/1000</f>
        <v>-3.786</v>
      </c>
      <c r="AB488" s="822">
        <f>+InputY!AB256/1000</f>
        <v>-0.72599999999999998</v>
      </c>
      <c r="AC488" s="822">
        <f>+InputY!AC256/1000</f>
        <v>1.1830000000000001</v>
      </c>
      <c r="AD488" s="2968">
        <f>+AD485+AD486+AD487</f>
        <v>-3.690610989099107</v>
      </c>
      <c r="AE488" s="2968">
        <f>+AE485+AE486+AE487</f>
        <v>-8.8765200221798004</v>
      </c>
      <c r="AF488" s="2968">
        <f>+AF485+AF486+AF487</f>
        <v>-9.2216360339560914</v>
      </c>
      <c r="BB488" s="3562">
        <v>2.2079999999999984</v>
      </c>
      <c r="BC488" s="736">
        <f t="shared" si="607"/>
        <v>-2.9339999999999984</v>
      </c>
    </row>
    <row r="489" spans="1:55" s="2032" customFormat="1" ht="12.75" customHeight="1">
      <c r="A489" s="1036"/>
      <c r="B489" s="1036"/>
      <c r="C489" s="1647"/>
      <c r="D489" s="1051"/>
      <c r="E489" s="2033" t="s">
        <v>90</v>
      </c>
      <c r="F489" s="2034"/>
      <c r="G489" s="1040">
        <f>ABS(+G485+G486+G487-G488)</f>
        <v>4.4408920985006262E-16</v>
      </c>
      <c r="H489" s="1040">
        <f t="shared" ref="H489:X489" si="648">ABS(+H485+H486+H487-H488)</f>
        <v>0</v>
      </c>
      <c r="I489" s="1040">
        <f t="shared" si="648"/>
        <v>8.8817841970012523E-16</v>
      </c>
      <c r="J489" s="1040">
        <f t="shared" si="648"/>
        <v>2.2204460492503131E-16</v>
      </c>
      <c r="K489" s="1040">
        <f t="shared" si="648"/>
        <v>1.5543122344752192E-15</v>
      </c>
      <c r="L489" s="1040">
        <f t="shared" si="648"/>
        <v>8.8817841970012523E-16</v>
      </c>
      <c r="M489" s="1040">
        <f t="shared" si="648"/>
        <v>0</v>
      </c>
      <c r="N489" s="1040">
        <f t="shared" si="648"/>
        <v>8.8817841970012523E-16</v>
      </c>
      <c r="O489" s="1040">
        <f t="shared" si="648"/>
        <v>2.2204460492503131E-16</v>
      </c>
      <c r="P489" s="1040">
        <f t="shared" si="648"/>
        <v>0</v>
      </c>
      <c r="Q489" s="1040">
        <f t="shared" si="648"/>
        <v>8.8817841970012523E-16</v>
      </c>
      <c r="R489" s="1040">
        <f t="shared" si="648"/>
        <v>4.4408920985006262E-16</v>
      </c>
      <c r="S489" s="1040">
        <f t="shared" si="648"/>
        <v>8.8817841970012523E-16</v>
      </c>
      <c r="T489" s="1040">
        <f t="shared" si="648"/>
        <v>0</v>
      </c>
      <c r="U489" s="1040">
        <f t="shared" si="648"/>
        <v>0</v>
      </c>
      <c r="V489" s="1040">
        <f t="shared" si="648"/>
        <v>8.8817841970012523E-16</v>
      </c>
      <c r="W489" s="1040">
        <f>ABS(+W485+W486+W487-W488)</f>
        <v>8.8817841970012523E-16</v>
      </c>
      <c r="X489" s="2999">
        <f t="shared" si="648"/>
        <v>0</v>
      </c>
      <c r="Y489" s="2999">
        <f t="shared" ref="Y489:AD489" si="649">ABS(+Y485+Y486+Y487-Y488)</f>
        <v>1.7763568394002505E-15</v>
      </c>
      <c r="Z489" s="2999">
        <f t="shared" si="649"/>
        <v>0</v>
      </c>
      <c r="AA489" s="2999">
        <f t="shared" si="649"/>
        <v>4.4408920985006262E-16</v>
      </c>
      <c r="AB489" s="2999">
        <f t="shared" ref="AB489:AC489" si="650">ABS(+AB485+AB486+AB487-AB488)</f>
        <v>2.6645352591003757E-15</v>
      </c>
      <c r="AC489" s="3014">
        <f t="shared" si="650"/>
        <v>6.6613381477509392E-16</v>
      </c>
      <c r="AD489" s="2999">
        <f t="shared" si="649"/>
        <v>0</v>
      </c>
      <c r="AE489" s="2999">
        <f t="shared" ref="AE489:AF489" si="651">ABS(+AE485+AE486+AE487-AE488)</f>
        <v>0</v>
      </c>
      <c r="AF489" s="2999">
        <f t="shared" si="651"/>
        <v>0</v>
      </c>
      <c r="AG489" s="2940"/>
      <c r="AH489" s="2939"/>
      <c r="AI489" s="2939"/>
      <c r="AJ489" s="2939"/>
      <c r="AK489" s="2939"/>
      <c r="AL489" s="2939"/>
      <c r="AM489" s="2939"/>
      <c r="AN489" s="2939"/>
      <c r="AO489" s="2939"/>
      <c r="AP489" s="2939"/>
      <c r="AQ489" s="2939"/>
      <c r="AR489" s="2940"/>
      <c r="AS489" s="2940"/>
      <c r="AT489" s="2940"/>
      <c r="BB489" s="3496">
        <v>0</v>
      </c>
      <c r="BC489" s="736" t="str">
        <f t="shared" si="607"/>
        <v/>
      </c>
    </row>
    <row r="490" spans="1:55">
      <c r="A490" s="701"/>
      <c r="B490" s="701"/>
      <c r="P490" s="740"/>
      <c r="Q490" s="740"/>
      <c r="R490" s="740"/>
      <c r="S490" s="740"/>
      <c r="T490" s="740"/>
      <c r="U490" s="740"/>
      <c r="V490" s="740"/>
      <c r="W490" s="740"/>
      <c r="BC490" s="736" t="str">
        <f t="shared" si="607"/>
        <v/>
      </c>
    </row>
    <row r="491" spans="1:55" ht="12.75" customHeight="1">
      <c r="A491" s="701"/>
      <c r="B491" s="701"/>
      <c r="C491" s="811"/>
      <c r="D491" s="779"/>
      <c r="E491" s="780" t="s">
        <v>1883</v>
      </c>
      <c r="F491" s="781"/>
      <c r="G491" s="782">
        <f>+InputY!$G$3</f>
        <v>1995</v>
      </c>
      <c r="H491" s="782">
        <f>+G491+1</f>
        <v>1996</v>
      </c>
      <c r="I491" s="782">
        <f t="shared" ref="I491:Q491" si="652">+H491+1</f>
        <v>1997</v>
      </c>
      <c r="J491" s="782">
        <f t="shared" si="652"/>
        <v>1998</v>
      </c>
      <c r="K491" s="782">
        <f t="shared" si="652"/>
        <v>1999</v>
      </c>
      <c r="L491" s="782">
        <f t="shared" si="652"/>
        <v>2000</v>
      </c>
      <c r="M491" s="782">
        <f t="shared" si="652"/>
        <v>2001</v>
      </c>
      <c r="N491" s="782">
        <f t="shared" si="652"/>
        <v>2002</v>
      </c>
      <c r="O491" s="782">
        <f t="shared" si="652"/>
        <v>2003</v>
      </c>
      <c r="P491" s="782">
        <f>+O491+1</f>
        <v>2004</v>
      </c>
      <c r="Q491" s="782">
        <f t="shared" si="652"/>
        <v>2005</v>
      </c>
      <c r="R491" s="782">
        <f>+Q491+1</f>
        <v>2006</v>
      </c>
      <c r="S491" s="782">
        <f>+R491+1</f>
        <v>2007</v>
      </c>
      <c r="T491" s="782">
        <f t="shared" ref="T491:AF491" si="653">+S491+1</f>
        <v>2008</v>
      </c>
      <c r="U491" s="782">
        <f t="shared" si="653"/>
        <v>2009</v>
      </c>
      <c r="V491" s="782">
        <f t="shared" si="653"/>
        <v>2010</v>
      </c>
      <c r="W491" s="782">
        <f t="shared" si="653"/>
        <v>2011</v>
      </c>
      <c r="X491" s="2272">
        <f t="shared" si="653"/>
        <v>2012</v>
      </c>
      <c r="Y491" s="2272">
        <f t="shared" si="653"/>
        <v>2013</v>
      </c>
      <c r="Z491" s="2272">
        <f t="shared" si="653"/>
        <v>2014</v>
      </c>
      <c r="AA491" s="2272">
        <f t="shared" si="653"/>
        <v>2015</v>
      </c>
      <c r="AB491" s="2272">
        <f t="shared" si="653"/>
        <v>2016</v>
      </c>
      <c r="AC491" s="2272">
        <f t="shared" si="653"/>
        <v>2017</v>
      </c>
      <c r="AD491" s="2272">
        <f t="shared" si="653"/>
        <v>2018</v>
      </c>
      <c r="AE491" s="2272">
        <f t="shared" si="653"/>
        <v>2019</v>
      </c>
      <c r="AF491" s="2272">
        <f t="shared" si="653"/>
        <v>2020</v>
      </c>
      <c r="BB491" s="3476">
        <v>2016</v>
      </c>
      <c r="BC491" s="736" t="str">
        <f t="shared" si="607"/>
        <v/>
      </c>
    </row>
    <row r="492" spans="1:55" ht="12.75" customHeight="1">
      <c r="A492" s="701"/>
      <c r="B492" s="701"/>
      <c r="C492" s="831" t="s">
        <v>1791</v>
      </c>
      <c r="D492" s="726" t="s">
        <v>666</v>
      </c>
      <c r="E492" s="775" t="s">
        <v>1455</v>
      </c>
      <c r="F492" s="770" t="s">
        <v>1594</v>
      </c>
      <c r="G492" s="776"/>
      <c r="H492" s="776">
        <f>(H480/G480-1)*100</f>
        <v>-28.531983433041887</v>
      </c>
      <c r="I492" s="776">
        <f t="shared" ref="I492:AA492" si="654">(I480/H480-1)*100</f>
        <v>29.81326464906633</v>
      </c>
      <c r="J492" s="776">
        <f t="shared" si="654"/>
        <v>6.5972222222222321</v>
      </c>
      <c r="K492" s="776">
        <f t="shared" si="654"/>
        <v>10.795718939041411</v>
      </c>
      <c r="L492" s="776">
        <f t="shared" si="654"/>
        <v>17.051658966820682</v>
      </c>
      <c r="M492" s="776">
        <f t="shared" si="654"/>
        <v>-3.5880875493354836E-2</v>
      </c>
      <c r="N492" s="776">
        <f t="shared" si="654"/>
        <v>6.7839195979899625</v>
      </c>
      <c r="O492" s="776">
        <f t="shared" si="654"/>
        <v>-16.30252100840336</v>
      </c>
      <c r="P492" s="776">
        <f t="shared" si="654"/>
        <v>2.4497991967871391</v>
      </c>
      <c r="Q492" s="776">
        <f t="shared" si="654"/>
        <v>-57.193257546060373</v>
      </c>
      <c r="R492" s="776">
        <f t="shared" si="654"/>
        <v>-89.010989010989022</v>
      </c>
      <c r="S492" s="776">
        <f t="shared" si="654"/>
        <v>-80.833333333333329</v>
      </c>
      <c r="T492" s="776">
        <f t="shared" si="654"/>
        <v>-30.434782608695656</v>
      </c>
      <c r="U492" s="776">
        <f t="shared" si="654"/>
        <v>-87.5</v>
      </c>
      <c r="V492" s="776">
        <f t="shared" si="654"/>
        <v>400</v>
      </c>
      <c r="W492" s="776">
        <f t="shared" si="654"/>
        <v>-70</v>
      </c>
      <c r="X492" s="776">
        <f t="shared" si="654"/>
        <v>-233.33333333333331</v>
      </c>
      <c r="Y492" s="776">
        <f t="shared" si="654"/>
        <v>0</v>
      </c>
      <c r="Z492" s="776">
        <f t="shared" si="654"/>
        <v>-150</v>
      </c>
      <c r="AA492" s="776">
        <f t="shared" si="654"/>
        <v>-100</v>
      </c>
      <c r="AB492" s="776" t="e">
        <f t="shared" ref="AB492" si="655">(AB480/AA480-1)*100</f>
        <v>#DIV/0!</v>
      </c>
      <c r="AC492" s="776" t="e">
        <f t="shared" ref="AC492" si="656">(AC480/AB480-1)*100</f>
        <v>#DIV/0!</v>
      </c>
      <c r="AD492" s="2274">
        <v>2</v>
      </c>
      <c r="AE492" s="2274">
        <v>2</v>
      </c>
      <c r="AF492" s="2274">
        <v>2</v>
      </c>
      <c r="BB492" s="3477" t="e">
        <v>#DIV/0!</v>
      </c>
      <c r="BC492" s="736" t="e">
        <f t="shared" si="607"/>
        <v>#DIV/0!</v>
      </c>
    </row>
    <row r="493" spans="1:55" ht="12.75" customHeight="1">
      <c r="A493" s="701"/>
      <c r="B493" s="701"/>
      <c r="C493" s="832" t="s">
        <v>301</v>
      </c>
      <c r="D493" s="711" t="s">
        <v>666</v>
      </c>
      <c r="E493" s="820" t="s">
        <v>685</v>
      </c>
      <c r="F493" s="741" t="s">
        <v>1225</v>
      </c>
      <c r="G493" s="743"/>
      <c r="H493" s="743" t="e">
        <f>(H481/G481-1)*100</f>
        <v>#DIV/0!</v>
      </c>
      <c r="I493" s="743" t="e">
        <f t="shared" ref="I493:AC493" si="657">(I481/H481-1)*100</f>
        <v>#DIV/0!</v>
      </c>
      <c r="J493" s="743" t="e">
        <f t="shared" si="657"/>
        <v>#DIV/0!</v>
      </c>
      <c r="K493" s="743" t="e">
        <f t="shared" si="657"/>
        <v>#DIV/0!</v>
      </c>
      <c r="L493" s="743" t="e">
        <f t="shared" si="657"/>
        <v>#DIV/0!</v>
      </c>
      <c r="M493" s="743" t="e">
        <f t="shared" si="657"/>
        <v>#DIV/0!</v>
      </c>
      <c r="N493" s="743" t="e">
        <f t="shared" si="657"/>
        <v>#DIV/0!</v>
      </c>
      <c r="O493" s="743" t="e">
        <f t="shared" si="657"/>
        <v>#DIV/0!</v>
      </c>
      <c r="P493" s="743" t="e">
        <f t="shared" si="657"/>
        <v>#DIV/0!</v>
      </c>
      <c r="Q493" s="743" t="e">
        <f t="shared" si="657"/>
        <v>#DIV/0!</v>
      </c>
      <c r="R493" s="743" t="e">
        <f t="shared" si="657"/>
        <v>#DIV/0!</v>
      </c>
      <c r="S493" s="743" t="e">
        <f t="shared" si="657"/>
        <v>#DIV/0!</v>
      </c>
      <c r="T493" s="743" t="e">
        <f t="shared" si="657"/>
        <v>#DIV/0!</v>
      </c>
      <c r="U493" s="743" t="e">
        <f t="shared" si="657"/>
        <v>#DIV/0!</v>
      </c>
      <c r="V493" s="743" t="e">
        <f t="shared" si="657"/>
        <v>#DIV/0!</v>
      </c>
      <c r="W493" s="743" t="e">
        <f t="shared" si="657"/>
        <v>#DIV/0!</v>
      </c>
      <c r="X493" s="743" t="e">
        <f t="shared" si="657"/>
        <v>#DIV/0!</v>
      </c>
      <c r="Y493" s="743" t="e">
        <f t="shared" si="657"/>
        <v>#DIV/0!</v>
      </c>
      <c r="Z493" s="743" t="e">
        <f t="shared" si="657"/>
        <v>#DIV/0!</v>
      </c>
      <c r="AA493" s="743" t="e">
        <f t="shared" si="657"/>
        <v>#DIV/0!</v>
      </c>
      <c r="AB493" s="743" t="e">
        <f t="shared" si="657"/>
        <v>#DIV/0!</v>
      </c>
      <c r="AC493" s="743" t="e">
        <f t="shared" si="657"/>
        <v>#DIV/0!</v>
      </c>
      <c r="AD493" s="2276">
        <v>2</v>
      </c>
      <c r="AE493" s="2276">
        <v>2</v>
      </c>
      <c r="AF493" s="2276">
        <v>2</v>
      </c>
      <c r="BB493" s="3472" t="e">
        <v>#DIV/0!</v>
      </c>
      <c r="BC493" s="736" t="e">
        <f t="shared" si="607"/>
        <v>#DIV/0!</v>
      </c>
    </row>
    <row r="494" spans="1:55" ht="12.75" customHeight="1">
      <c r="A494" s="701"/>
      <c r="B494" s="701"/>
      <c r="C494" s="832" t="s">
        <v>1791</v>
      </c>
      <c r="D494" s="3660" t="s">
        <v>666</v>
      </c>
      <c r="E494" s="820" t="s">
        <v>1187</v>
      </c>
      <c r="F494" s="741" t="s">
        <v>1595</v>
      </c>
      <c r="G494" s="743"/>
      <c r="H494" s="743">
        <f>(H482/G482-1)*100</f>
        <v>10.24224394390143</v>
      </c>
      <c r="I494" s="743">
        <f t="shared" ref="I494:AC494" si="658">(I482/H482-1)*100</f>
        <v>-2.9683885890516515</v>
      </c>
      <c r="J494" s="743">
        <f t="shared" si="658"/>
        <v>12.793007548669056</v>
      </c>
      <c r="K494" s="743">
        <f t="shared" si="658"/>
        <v>-20.676294469883761</v>
      </c>
      <c r="L494" s="743">
        <f t="shared" si="658"/>
        <v>-3.5523978685612967</v>
      </c>
      <c r="M494" s="743">
        <f t="shared" si="658"/>
        <v>14.180478821362819</v>
      </c>
      <c r="N494" s="743">
        <f t="shared" si="658"/>
        <v>10.806451612903212</v>
      </c>
      <c r="O494" s="743">
        <f t="shared" si="658"/>
        <v>1.0553129548762863</v>
      </c>
      <c r="P494" s="743">
        <f t="shared" si="658"/>
        <v>3.6730284479653985</v>
      </c>
      <c r="Q494" s="743">
        <f t="shared" si="658"/>
        <v>86.314692601597827</v>
      </c>
      <c r="R494" s="743">
        <f t="shared" si="658"/>
        <v>-28.374347501864293</v>
      </c>
      <c r="S494" s="743">
        <f t="shared" si="658"/>
        <v>-8.3550234252993238</v>
      </c>
      <c r="T494" s="743">
        <f t="shared" si="658"/>
        <v>-12.354444760011363</v>
      </c>
      <c r="U494" s="743">
        <f t="shared" si="658"/>
        <v>7.550226830849005</v>
      </c>
      <c r="V494" s="743">
        <f t="shared" si="658"/>
        <v>-5.2726724917143812</v>
      </c>
      <c r="W494" s="743">
        <f t="shared" si="658"/>
        <v>19.720101781170474</v>
      </c>
      <c r="X494" s="743">
        <f t="shared" si="658"/>
        <v>271.12114771519657</v>
      </c>
      <c r="Y494" s="743">
        <f t="shared" si="658"/>
        <v>-2.6129286276755703</v>
      </c>
      <c r="Z494" s="743">
        <f t="shared" si="658"/>
        <v>-60.77624228168186</v>
      </c>
      <c r="AA494" s="743">
        <f t="shared" si="658"/>
        <v>106.85907046476761</v>
      </c>
      <c r="AB494" s="743">
        <f t="shared" si="658"/>
        <v>-37.642688892915388</v>
      </c>
      <c r="AC494" s="743">
        <f t="shared" si="658"/>
        <v>9.007700130756934</v>
      </c>
      <c r="AD494" s="2276">
        <v>-18.699186991869929</v>
      </c>
      <c r="AE494" s="2276">
        <v>2</v>
      </c>
      <c r="AF494" s="2276">
        <v>1.5</v>
      </c>
      <c r="BB494" s="3472">
        <v>-38.668043366029934</v>
      </c>
      <c r="BC494" s="736">
        <f t="shared" si="607"/>
        <v>1.0253544731145467</v>
      </c>
    </row>
    <row r="495" spans="1:55" ht="12.75" customHeight="1">
      <c r="A495" s="701"/>
      <c r="B495" s="701"/>
      <c r="C495" s="832" t="s">
        <v>1793</v>
      </c>
      <c r="D495" s="754" t="s">
        <v>666</v>
      </c>
      <c r="E495" s="759" t="s">
        <v>1458</v>
      </c>
      <c r="F495" s="760" t="s">
        <v>157</v>
      </c>
      <c r="G495" s="758"/>
      <c r="H495" s="758">
        <f>(H483/G483-1)*100</f>
        <v>-8.3738400353512983</v>
      </c>
      <c r="I495" s="758">
        <f t="shared" ref="I495:AC495" si="659">(I483/H483-1)*100</f>
        <v>9.3079334458644922</v>
      </c>
      <c r="J495" s="758">
        <f t="shared" si="659"/>
        <v>10.037502757555705</v>
      </c>
      <c r="K495" s="758">
        <f t="shared" si="659"/>
        <v>-7.1170809943865372</v>
      </c>
      <c r="L495" s="758">
        <f t="shared" si="659"/>
        <v>7.0364774444204636</v>
      </c>
      <c r="M495" s="758">
        <f t="shared" si="659"/>
        <v>6.1907642669893237</v>
      </c>
      <c r="N495" s="758">
        <f t="shared" si="659"/>
        <v>8.6783137105962851</v>
      </c>
      <c r="O495" s="758">
        <f t="shared" si="659"/>
        <v>-7.9678490302288907</v>
      </c>
      <c r="P495" s="758">
        <f t="shared" si="659"/>
        <v>3.094740839187371</v>
      </c>
      <c r="Q495" s="758">
        <f t="shared" si="659"/>
        <v>18.895027624309414</v>
      </c>
      <c r="R495" s="758">
        <f t="shared" si="659"/>
        <v>-38.630731102850056</v>
      </c>
      <c r="S495" s="758">
        <f t="shared" si="659"/>
        <v>-10.550227158001013</v>
      </c>
      <c r="T495" s="758">
        <f t="shared" si="659"/>
        <v>-12.47178329571107</v>
      </c>
      <c r="U495" s="758">
        <f t="shared" si="659"/>
        <v>7.059961315280483</v>
      </c>
      <c r="V495" s="758">
        <f t="shared" si="659"/>
        <v>-5.0286058416139756</v>
      </c>
      <c r="W495" s="758">
        <f t="shared" si="659"/>
        <v>19.435637285986051</v>
      </c>
      <c r="X495" s="758">
        <f t="shared" si="659"/>
        <v>270.71940536235729</v>
      </c>
      <c r="Y495" s="758">
        <f t="shared" si="659"/>
        <v>-2.6136770497672823</v>
      </c>
      <c r="Z495" s="758">
        <f t="shared" si="659"/>
        <v>-60.749999999999993</v>
      </c>
      <c r="AA495" s="758">
        <f t="shared" si="659"/>
        <v>106.78156612963656</v>
      </c>
      <c r="AB495" s="758">
        <f t="shared" si="659"/>
        <v>-37.642688892915388</v>
      </c>
      <c r="AC495" s="758">
        <f t="shared" si="659"/>
        <v>9.007700130756934</v>
      </c>
      <c r="AD495" s="2282">
        <v>2</v>
      </c>
      <c r="AE495" s="2282">
        <v>2</v>
      </c>
      <c r="AF495" s="2282">
        <v>2</v>
      </c>
      <c r="BB495" s="3498">
        <v>-38.668043366029934</v>
      </c>
      <c r="BC495" s="736">
        <f t="shared" si="607"/>
        <v>1.0253544731145467</v>
      </c>
    </row>
    <row r="496" spans="1:55" ht="12.75" customHeight="1">
      <c r="A496" s="701"/>
      <c r="B496" s="701"/>
      <c r="C496" s="832" t="s">
        <v>301</v>
      </c>
      <c r="D496" s="711" t="s">
        <v>666</v>
      </c>
      <c r="E496" s="820" t="s">
        <v>1393</v>
      </c>
      <c r="F496" s="741" t="s">
        <v>1225</v>
      </c>
      <c r="G496" s="743"/>
      <c r="H496" s="743">
        <f t="shared" ref="H496:P497" si="660">(H484/G484-1)*100</f>
        <v>-4.8002453799555367</v>
      </c>
      <c r="I496" s="743">
        <f t="shared" si="660"/>
        <v>-10.592025775271841</v>
      </c>
      <c r="J496" s="743">
        <f t="shared" si="660"/>
        <v>-20.54054054054053</v>
      </c>
      <c r="K496" s="743">
        <f t="shared" si="660"/>
        <v>37.959183673469376</v>
      </c>
      <c r="L496" s="743">
        <f t="shared" si="660"/>
        <v>-31.632149901380657</v>
      </c>
      <c r="M496" s="743">
        <f t="shared" si="660"/>
        <v>-1.6828945786753313</v>
      </c>
      <c r="N496" s="743">
        <f t="shared" si="660"/>
        <v>4.9639320210294713</v>
      </c>
      <c r="O496" s="743">
        <f t="shared" si="660"/>
        <v>11.904484566103646</v>
      </c>
      <c r="P496" s="743">
        <f t="shared" si="660"/>
        <v>-16.779431664411359</v>
      </c>
      <c r="Q496" s="743">
        <f t="shared" ref="Q496:AC497" si="661">(Q484/P484-1)*100</f>
        <v>73.595997498436503</v>
      </c>
      <c r="R496" s="743">
        <f t="shared" si="661"/>
        <v>-40.550471936018454</v>
      </c>
      <c r="S496" s="743">
        <f t="shared" si="661"/>
        <v>12.495455096351971</v>
      </c>
      <c r="T496" s="743">
        <f t="shared" si="661"/>
        <v>15.179918121094605</v>
      </c>
      <c r="U496" s="743">
        <f t="shared" si="661"/>
        <v>-14.647834627256573</v>
      </c>
      <c r="V496" s="743">
        <f t="shared" si="661"/>
        <v>-4.5260273972602789</v>
      </c>
      <c r="W496" s="743">
        <f t="shared" si="661"/>
        <v>30.716253443526178</v>
      </c>
      <c r="X496" s="743">
        <f t="shared" si="661"/>
        <v>-6.9546891464699723</v>
      </c>
      <c r="Y496" s="743">
        <f t="shared" si="661"/>
        <v>-6.9365798414495972</v>
      </c>
      <c r="Z496" s="743">
        <f t="shared" si="661"/>
        <v>7.5144508670520249</v>
      </c>
      <c r="AA496" s="743">
        <f t="shared" si="661"/>
        <v>20.099981135634781</v>
      </c>
      <c r="AB496" s="743">
        <f t="shared" si="661"/>
        <v>26.23890677766434</v>
      </c>
      <c r="AC496" s="743">
        <f t="shared" si="661"/>
        <v>-37.657085977354733</v>
      </c>
      <c r="AD496" s="2276">
        <v>36.72418909389387</v>
      </c>
      <c r="AE496" s="2276">
        <v>40.358887434038643</v>
      </c>
      <c r="AF496" s="2276">
        <v>3.5</v>
      </c>
      <c r="BB496" s="3472">
        <v>18.475730666436775</v>
      </c>
      <c r="BC496" s="736">
        <f t="shared" si="607"/>
        <v>7.7631761112275655</v>
      </c>
    </row>
    <row r="497" spans="1:55" ht="12.75" customHeight="1">
      <c r="A497" s="701"/>
      <c r="B497" s="701"/>
      <c r="C497" s="832" t="s">
        <v>1793</v>
      </c>
      <c r="D497" s="754" t="s">
        <v>666</v>
      </c>
      <c r="E497" s="759" t="s">
        <v>1444</v>
      </c>
      <c r="F497" s="760" t="s">
        <v>1441</v>
      </c>
      <c r="G497" s="758"/>
      <c r="H497" s="758">
        <f t="shared" si="660"/>
        <v>-2.9007633587786463</v>
      </c>
      <c r="I497" s="758">
        <f t="shared" si="660"/>
        <v>-20.573294629898399</v>
      </c>
      <c r="J497" s="758">
        <f t="shared" si="660"/>
        <v>-41.647632099893407</v>
      </c>
      <c r="K497" s="758">
        <f t="shared" si="660"/>
        <v>96.633611691022963</v>
      </c>
      <c r="L497" s="758">
        <f t="shared" si="660"/>
        <v>-55.40809555408093</v>
      </c>
      <c r="M497" s="758">
        <f t="shared" si="660"/>
        <v>-13.303571428571448</v>
      </c>
      <c r="N497" s="758">
        <f t="shared" si="660"/>
        <v>-1.7507723995880298</v>
      </c>
      <c r="O497" s="758">
        <f t="shared" si="660"/>
        <v>51.642208245981735</v>
      </c>
      <c r="P497" s="758">
        <f t="shared" si="660"/>
        <v>-40.898617511520719</v>
      </c>
      <c r="Q497" s="758">
        <f t="shared" si="661"/>
        <v>189.39571150097456</v>
      </c>
      <c r="R497" s="758">
        <f t="shared" si="661"/>
        <v>-42.220126633436614</v>
      </c>
      <c r="S497" s="758">
        <f t="shared" si="661"/>
        <v>33.784098857542546</v>
      </c>
      <c r="T497" s="758">
        <f t="shared" si="661"/>
        <v>32.258626699198345</v>
      </c>
      <c r="U497" s="758">
        <f t="shared" si="661"/>
        <v>-23.520885492159703</v>
      </c>
      <c r="V497" s="758">
        <f t="shared" si="661"/>
        <v>-4.2384562370778811</v>
      </c>
      <c r="W497" s="758">
        <f t="shared" si="661"/>
        <v>37.117668225980573</v>
      </c>
      <c r="X497" s="758">
        <f t="shared" si="661"/>
        <v>-144.20679700826662</v>
      </c>
      <c r="Y497" s="758">
        <f t="shared" si="661"/>
        <v>10.982487384980688</v>
      </c>
      <c r="Z497" s="758">
        <f t="shared" si="661"/>
        <v>-240.78630649906393</v>
      </c>
      <c r="AA497" s="758">
        <f t="shared" si="661"/>
        <v>-67.800151975683889</v>
      </c>
      <c r="AB497" s="758">
        <f t="shared" si="661"/>
        <v>442.24188790560481</v>
      </c>
      <c r="AC497" s="758">
        <f t="shared" si="661"/>
        <v>-72.603633989772604</v>
      </c>
      <c r="AD497" s="2282">
        <f>(AD485/AC485-1)*100</f>
        <v>201.87176287129088</v>
      </c>
      <c r="AE497" s="2282">
        <f>(AE485/AD485-1)*100</f>
        <v>71.142360799147482</v>
      </c>
      <c r="AF497" s="2282">
        <f>(AF485/AE485-1)*100</f>
        <v>4.4565865433535246</v>
      </c>
      <c r="BB497" s="3498">
        <v>-28856.521739130829</v>
      </c>
      <c r="BC497" s="736">
        <f t="shared" si="607"/>
        <v>29298.763627036435</v>
      </c>
    </row>
    <row r="498" spans="1:55" ht="12.75" customHeight="1">
      <c r="A498" s="701"/>
      <c r="B498" s="701"/>
      <c r="C498" s="832" t="s">
        <v>1791</v>
      </c>
      <c r="D498" s="711" t="s">
        <v>664</v>
      </c>
      <c r="E498" s="820" t="s">
        <v>1444</v>
      </c>
      <c r="F498" s="741" t="s">
        <v>1442</v>
      </c>
      <c r="G498" s="743"/>
      <c r="H498" s="743">
        <f t="shared" ref="H498:AC498" si="662">(H486/G486-1)*100</f>
        <v>5.92160133444537</v>
      </c>
      <c r="I498" s="743">
        <f t="shared" si="662"/>
        <v>50.551181102362186</v>
      </c>
      <c r="J498" s="743">
        <f t="shared" si="662"/>
        <v>-12.81380753138075</v>
      </c>
      <c r="K498" s="743">
        <f t="shared" si="662"/>
        <v>-12.77744451109778</v>
      </c>
      <c r="L498" s="743">
        <f t="shared" si="662"/>
        <v>55.020632737276486</v>
      </c>
      <c r="M498" s="743">
        <f t="shared" si="662"/>
        <v>-26.48624667258207</v>
      </c>
      <c r="N498" s="743">
        <f t="shared" si="662"/>
        <v>17.984308992154507</v>
      </c>
      <c r="O498" s="743">
        <f t="shared" si="662"/>
        <v>19.232736572890019</v>
      </c>
      <c r="P498" s="743">
        <f t="shared" si="662"/>
        <v>15.05791505791505</v>
      </c>
      <c r="Q498" s="743">
        <f t="shared" si="662"/>
        <v>-55.480984340044735</v>
      </c>
      <c r="R498" s="743">
        <f t="shared" si="662"/>
        <v>-66.415410385259619</v>
      </c>
      <c r="S498" s="743">
        <f t="shared" si="662"/>
        <v>-131.92019950124688</v>
      </c>
      <c r="T498" s="743">
        <f t="shared" si="662"/>
        <v>143.75</v>
      </c>
      <c r="U498" s="743">
        <f t="shared" si="662"/>
        <v>130.44871794871793</v>
      </c>
      <c r="V498" s="743">
        <f t="shared" si="662"/>
        <v>-26.564673157162723</v>
      </c>
      <c r="W498" s="743">
        <f t="shared" si="662"/>
        <v>53.977272727272705</v>
      </c>
      <c r="X498" s="743">
        <f t="shared" si="662"/>
        <v>-25.830258302583019</v>
      </c>
      <c r="Y498" s="743">
        <f t="shared" si="662"/>
        <v>-26.03648424543946</v>
      </c>
      <c r="Z498" s="743">
        <f t="shared" si="662"/>
        <v>-12.331838565022423</v>
      </c>
      <c r="AA498" s="743">
        <f t="shared" si="662"/>
        <v>52.941176470588225</v>
      </c>
      <c r="AB498" s="743">
        <f t="shared" si="662"/>
        <v>10.033444816053528</v>
      </c>
      <c r="AC498" s="743">
        <f t="shared" si="662"/>
        <v>-36.474164133738604</v>
      </c>
      <c r="AD498" s="2276">
        <v>3</v>
      </c>
      <c r="AE498" s="2276">
        <v>3</v>
      </c>
      <c r="AF498" s="2276">
        <v>3</v>
      </c>
      <c r="BB498" s="3472">
        <v>15.88628762541806</v>
      </c>
      <c r="BC498" s="736">
        <f t="shared" si="607"/>
        <v>-5.8528428093645317</v>
      </c>
    </row>
    <row r="499" spans="1:55" ht="12.75" customHeight="1">
      <c r="A499" s="701"/>
      <c r="B499" s="701"/>
      <c r="C499" s="833" t="s">
        <v>1791</v>
      </c>
      <c r="D499" s="728" t="s">
        <v>665</v>
      </c>
      <c r="E499" s="834" t="s">
        <v>1444</v>
      </c>
      <c r="F499" s="773" t="s">
        <v>1443</v>
      </c>
      <c r="G499" s="778"/>
      <c r="H499" s="778">
        <f t="shared" ref="H499:AC500" si="663">(H487/G487-1)*100</f>
        <v>-90.011277589817951</v>
      </c>
      <c r="I499" s="778">
        <f t="shared" si="663"/>
        <v>356.77419354838707</v>
      </c>
      <c r="J499" s="778">
        <f t="shared" si="663"/>
        <v>39.018361581920914</v>
      </c>
      <c r="K499" s="778">
        <f t="shared" si="663"/>
        <v>87.223774447548919</v>
      </c>
      <c r="L499" s="778">
        <f t="shared" si="663"/>
        <v>-46.91358024691359</v>
      </c>
      <c r="M499" s="778">
        <f t="shared" si="663"/>
        <v>-38.819320214669048</v>
      </c>
      <c r="N499" s="778">
        <f t="shared" si="663"/>
        <v>-31.871345029239773</v>
      </c>
      <c r="O499" s="778">
        <f t="shared" si="663"/>
        <v>222.1336603310852</v>
      </c>
      <c r="P499" s="778">
        <f t="shared" si="663"/>
        <v>-40.673772363913208</v>
      </c>
      <c r="Q499" s="778">
        <f t="shared" si="663"/>
        <v>157.68367019570098</v>
      </c>
      <c r="R499" s="778">
        <f t="shared" si="663"/>
        <v>-68.662848605577693</v>
      </c>
      <c r="S499" s="778">
        <f t="shared" si="663"/>
        <v>-4.0921732220897784</v>
      </c>
      <c r="T499" s="778">
        <f t="shared" si="663"/>
        <v>65.492957746478879</v>
      </c>
      <c r="U499" s="778">
        <f t="shared" si="663"/>
        <v>-56.195244055068841</v>
      </c>
      <c r="V499" s="778">
        <f t="shared" si="663"/>
        <v>-2.6857142857142802</v>
      </c>
      <c r="W499" s="778">
        <f t="shared" si="663"/>
        <v>55.901350557839095</v>
      </c>
      <c r="X499" s="778">
        <f t="shared" si="663"/>
        <v>-412.69303201506597</v>
      </c>
      <c r="Y499" s="778">
        <f t="shared" si="663"/>
        <v>0.7829438689472612</v>
      </c>
      <c r="Z499" s="778">
        <f t="shared" si="663"/>
        <v>-116.21847735149996</v>
      </c>
      <c r="AA499" s="778">
        <f t="shared" si="663"/>
        <v>-298.15770081061163</v>
      </c>
      <c r="AB499" s="778">
        <f t="shared" si="663"/>
        <v>-390.33097805875792</v>
      </c>
      <c r="AC499" s="778">
        <f t="shared" si="663"/>
        <v>-57.947995388753682</v>
      </c>
      <c r="AD499" s="2275">
        <v>6</v>
      </c>
      <c r="AE499" s="2275">
        <v>6</v>
      </c>
      <c r="AF499" s="2275">
        <v>6</v>
      </c>
      <c r="BB499" s="3492">
        <v>-402.30568984752699</v>
      </c>
      <c r="BC499" s="736">
        <f t="shared" si="607"/>
        <v>11.974711788769071</v>
      </c>
    </row>
    <row r="500" spans="1:55" ht="12.75" customHeight="1">
      <c r="A500" s="701"/>
      <c r="B500" s="701"/>
      <c r="C500" s="811" t="s">
        <v>1793</v>
      </c>
      <c r="D500" s="754" t="s">
        <v>667</v>
      </c>
      <c r="E500" s="759" t="s">
        <v>1447</v>
      </c>
      <c r="F500" s="760" t="s">
        <v>1456</v>
      </c>
      <c r="G500" s="758"/>
      <c r="H500" s="758">
        <f t="shared" ref="H500:Z500" si="664">(H488/G488-1)*100</f>
        <v>154.29141716566863</v>
      </c>
      <c r="I500" s="758">
        <f t="shared" si="664"/>
        <v>-36.678627494954021</v>
      </c>
      <c r="J500" s="758">
        <f t="shared" si="664"/>
        <v>-72.339295200991671</v>
      </c>
      <c r="K500" s="758">
        <f t="shared" si="664"/>
        <v>3.5851472471190915</v>
      </c>
      <c r="L500" s="758">
        <f t="shared" si="664"/>
        <v>5.1297898640296546</v>
      </c>
      <c r="M500" s="758">
        <f t="shared" si="664"/>
        <v>27.924750146972379</v>
      </c>
      <c r="N500" s="758">
        <f t="shared" si="664"/>
        <v>46.415441176470587</v>
      </c>
      <c r="O500" s="758">
        <f t="shared" si="664"/>
        <v>-55.524168236032637</v>
      </c>
      <c r="P500" s="758">
        <f t="shared" si="664"/>
        <v>50.317572335920957</v>
      </c>
      <c r="Q500" s="758">
        <f t="shared" si="664"/>
        <v>-72.535211267605632</v>
      </c>
      <c r="R500" s="758">
        <f t="shared" si="664"/>
        <v>271.45299145299145</v>
      </c>
      <c r="S500" s="758">
        <f t="shared" si="664"/>
        <v>47.077772664519117</v>
      </c>
      <c r="T500" s="758">
        <f t="shared" si="664"/>
        <v>2.6908635794743452</v>
      </c>
      <c r="U500" s="758">
        <f t="shared" si="664"/>
        <v>1.614868982327855</v>
      </c>
      <c r="V500" s="758">
        <f t="shared" si="664"/>
        <v>-0.23988005997001016</v>
      </c>
      <c r="W500" s="758">
        <f t="shared" si="664"/>
        <v>24.827171626089562</v>
      </c>
      <c r="X500" s="758">
        <f t="shared" si="664"/>
        <v>4.2619792920780331</v>
      </c>
      <c r="Y500" s="758">
        <f t="shared" si="664"/>
        <v>-3.4180138568129292</v>
      </c>
      <c r="Z500" s="758">
        <f t="shared" si="664"/>
        <v>-15.925394548063132</v>
      </c>
      <c r="AA500" s="758">
        <f t="shared" si="663"/>
        <v>7.6791808873720058</v>
      </c>
      <c r="AB500" s="758">
        <f t="shared" si="663"/>
        <v>-80.824088748019022</v>
      </c>
      <c r="AC500" s="758">
        <f t="shared" si="663"/>
        <v>-262.94765840220384</v>
      </c>
      <c r="AD500" s="2282">
        <f>(AD488/AC488-1)*100</f>
        <v>-411.97049781057535</v>
      </c>
      <c r="AE500" s="2282">
        <f>(AE488/AD488-1)*100</f>
        <v>140.51627354923676</v>
      </c>
      <c r="AF500" s="2282">
        <f>(AF488/AE488-1)*100</f>
        <v>3.887965226394452</v>
      </c>
      <c r="BB500" s="3537">
        <v>-206.769825918762</v>
      </c>
      <c r="BC500" s="736">
        <f t="shared" si="607"/>
        <v>125.94573717074297</v>
      </c>
    </row>
    <row r="501" spans="1:55" ht="12.75" customHeight="1">
      <c r="A501" s="701"/>
      <c r="B501" s="701"/>
      <c r="C501" s="811"/>
      <c r="E501" s="823"/>
      <c r="F501" s="824"/>
      <c r="G501" s="740"/>
      <c r="H501" s="825"/>
      <c r="I501" s="740"/>
      <c r="J501" s="740"/>
      <c r="K501" s="740"/>
      <c r="L501" s="740"/>
      <c r="M501" s="740"/>
      <c r="N501" s="740"/>
      <c r="O501" s="740"/>
      <c r="P501" s="740"/>
      <c r="Q501" s="882"/>
      <c r="R501" s="882"/>
      <c r="S501" s="882"/>
      <c r="T501" s="882"/>
      <c r="U501" s="882"/>
      <c r="V501" s="882"/>
      <c r="W501" s="882"/>
      <c r="X501" s="2322"/>
      <c r="Y501" s="2322"/>
      <c r="Z501" s="2322"/>
      <c r="AA501" s="2322"/>
      <c r="AB501" s="2322"/>
      <c r="AC501" s="2322"/>
      <c r="AD501" s="2322"/>
      <c r="AE501" s="2322"/>
      <c r="AF501" s="2322"/>
      <c r="BB501" s="3475"/>
      <c r="BC501" s="736" t="str">
        <f t="shared" si="607"/>
        <v/>
      </c>
    </row>
    <row r="502" spans="1:55" ht="12.75" customHeight="1">
      <c r="A502" s="701"/>
      <c r="B502" s="701"/>
      <c r="C502" s="811"/>
      <c r="D502" s="855"/>
      <c r="E502" s="856" t="s">
        <v>1884</v>
      </c>
      <c r="F502" s="857"/>
      <c r="G502" s="858">
        <f>+InputY!$G$3</f>
        <v>1995</v>
      </c>
      <c r="H502" s="858">
        <f>+G502+1</f>
        <v>1996</v>
      </c>
      <c r="I502" s="858">
        <f t="shared" ref="I502:O502" si="665">+H502+1</f>
        <v>1997</v>
      </c>
      <c r="J502" s="858">
        <f t="shared" si="665"/>
        <v>1998</v>
      </c>
      <c r="K502" s="858">
        <f t="shared" si="665"/>
        <v>1999</v>
      </c>
      <c r="L502" s="858">
        <f t="shared" si="665"/>
        <v>2000</v>
      </c>
      <c r="M502" s="858">
        <f t="shared" si="665"/>
        <v>2001</v>
      </c>
      <c r="N502" s="858">
        <f t="shared" si="665"/>
        <v>2002</v>
      </c>
      <c r="O502" s="858">
        <f t="shared" si="665"/>
        <v>2003</v>
      </c>
      <c r="P502" s="858">
        <f>+O502+1</f>
        <v>2004</v>
      </c>
      <c r="Q502" s="858">
        <f>+P502+1</f>
        <v>2005</v>
      </c>
      <c r="R502" s="858">
        <f>+Q502+1</f>
        <v>2006</v>
      </c>
      <c r="S502" s="858">
        <f t="shared" ref="S502:Y502" si="666">+R502+1</f>
        <v>2007</v>
      </c>
      <c r="T502" s="858">
        <f t="shared" si="666"/>
        <v>2008</v>
      </c>
      <c r="U502" s="858">
        <f t="shared" si="666"/>
        <v>2009</v>
      </c>
      <c r="V502" s="858">
        <f>+U502+1</f>
        <v>2010</v>
      </c>
      <c r="W502" s="858">
        <f>+V502+1</f>
        <v>2011</v>
      </c>
      <c r="X502" s="858">
        <f t="shared" si="666"/>
        <v>2012</v>
      </c>
      <c r="Y502" s="858">
        <f t="shared" si="666"/>
        <v>2013</v>
      </c>
      <c r="Z502" s="858">
        <f t="shared" ref="Z502:AF502" si="667">+Y502+1</f>
        <v>2014</v>
      </c>
      <c r="AA502" s="858">
        <f t="shared" si="667"/>
        <v>2015</v>
      </c>
      <c r="AB502" s="858">
        <f t="shared" si="667"/>
        <v>2016</v>
      </c>
      <c r="AC502" s="858">
        <f t="shared" si="667"/>
        <v>2017</v>
      </c>
      <c r="AD502" s="858">
        <f t="shared" si="667"/>
        <v>2018</v>
      </c>
      <c r="AE502" s="858">
        <f t="shared" si="667"/>
        <v>2019</v>
      </c>
      <c r="AF502" s="858">
        <f t="shared" si="667"/>
        <v>2020</v>
      </c>
      <c r="BB502" s="3480">
        <v>2016</v>
      </c>
      <c r="BC502" s="736" t="str">
        <f t="shared" si="607"/>
        <v/>
      </c>
    </row>
    <row r="503" spans="1:55" ht="12.75" customHeight="1">
      <c r="A503" s="701"/>
      <c r="B503" s="701"/>
      <c r="C503" s="859" t="s">
        <v>1791</v>
      </c>
      <c r="D503" s="860" t="s">
        <v>666</v>
      </c>
      <c r="E503" s="861" t="s">
        <v>1455</v>
      </c>
      <c r="F503" s="862" t="s">
        <v>1594</v>
      </c>
      <c r="G503" s="875">
        <f>+G480/'VVP2'!G$341</f>
        <v>1.1523889930676351E-3</v>
      </c>
      <c r="H503" s="875">
        <f>+H480/'VVP2'!H$341</f>
        <v>8.028420505195985E-4</v>
      </c>
      <c r="I503" s="875">
        <f>+I480/'VVP2'!I$341</f>
        <v>9.9704348909829873E-4</v>
      </c>
      <c r="J503" s="875">
        <f>+J480/'VVP2'!J$341</f>
        <v>1.0115768831381571E-3</v>
      </c>
      <c r="K503" s="875">
        <f>+K480/'VVP2'!K$341</f>
        <v>1.0626745926153711E-3</v>
      </c>
      <c r="L503" s="875">
        <f>+L480/'VVP2'!L$341</f>
        <v>1.1692270515592628E-3</v>
      </c>
      <c r="M503" s="875">
        <f>+M480/'VVP2'!M$341</f>
        <v>1.1225198596568134E-3</v>
      </c>
      <c r="N503" s="875">
        <f>+N480/'VVP2'!N$341</f>
        <v>1.1558070660799182E-3</v>
      </c>
      <c r="O503" s="875">
        <f>+O480/'VVP2'!O$341</f>
        <v>9.2880538841410415E-4</v>
      </c>
      <c r="P503" s="875">
        <f>+P480/'VVP2'!P$341</f>
        <v>9.083454190869332E-4</v>
      </c>
      <c r="Q503" s="875">
        <f>+Q480/'VVP2'!Q$341</f>
        <v>3.7516967667038976E-4</v>
      </c>
      <c r="R503" s="875">
        <f>+R480/'VVP2'!R$341</f>
        <v>3.8674321604056167E-5</v>
      </c>
      <c r="S503" s="875">
        <f>+S480/'VVP2'!S$341</f>
        <v>6.9676214630611545E-6</v>
      </c>
      <c r="T503" s="875">
        <f>+T480/'VVP2'!T$341</f>
        <v>4.7174247813989584E-6</v>
      </c>
      <c r="U503" s="875">
        <f>+U480/'VVP2'!U$341</f>
        <v>6.0753175340650646E-7</v>
      </c>
      <c r="V503" s="875">
        <f>+V480/'VVP2'!V$341</f>
        <v>2.8378261797410996E-6</v>
      </c>
      <c r="W503" s="875">
        <f>+W480/'VVP2'!W$341</f>
        <v>8.1943861353171756E-7</v>
      </c>
      <c r="X503" s="875">
        <f>+X480/'VVP2'!X$341</f>
        <v>-1.0843426078060198E-6</v>
      </c>
      <c r="Y503" s="875">
        <f>+Y480/'VVP2'!Y$341</f>
        <v>-1.0599005442324321E-6</v>
      </c>
      <c r="Z503" s="3391">
        <f>+Z480/'VVP2'!Z$341</f>
        <v>5.0749506778231001E-7</v>
      </c>
      <c r="AA503" s="3391">
        <f>+AA480/'VVP2'!AA$341</f>
        <v>0</v>
      </c>
      <c r="AB503" s="3391">
        <f>+AB480/'VVP2'!AB$341</f>
        <v>0</v>
      </c>
      <c r="AC503" s="3391">
        <f>+AC480/'VVP2'!AC$341</f>
        <v>0</v>
      </c>
      <c r="AD503" s="3002">
        <f ca="1">+AD480/'VVP2'!AD$341</f>
        <v>0</v>
      </c>
      <c r="AE503" s="3002">
        <f ca="1">+AE480/'VVP2'!AE$341</f>
        <v>0</v>
      </c>
      <c r="AF503" s="3002">
        <f ca="1">+AF480/'VVP2'!AF$341</f>
        <v>0</v>
      </c>
      <c r="BB503" s="3539">
        <v>0</v>
      </c>
      <c r="BC503" s="736" t="str">
        <f t="shared" si="607"/>
        <v/>
      </c>
    </row>
    <row r="504" spans="1:55" ht="12.75" customHeight="1">
      <c r="A504" s="701"/>
      <c r="B504" s="701"/>
      <c r="C504" s="863" t="s">
        <v>301</v>
      </c>
      <c r="D504" s="711" t="s">
        <v>666</v>
      </c>
      <c r="E504" s="820" t="s">
        <v>685</v>
      </c>
      <c r="F504" s="741" t="s">
        <v>1225</v>
      </c>
      <c r="G504" s="876">
        <f>+G481/'VVP2'!G$341</f>
        <v>0</v>
      </c>
      <c r="H504" s="876">
        <f>+H481/'VVP2'!H$341</f>
        <v>0</v>
      </c>
      <c r="I504" s="876">
        <f>+I481/'VVP2'!I$341</f>
        <v>0</v>
      </c>
      <c r="J504" s="876">
        <f>+J481/'VVP2'!J$341</f>
        <v>0</v>
      </c>
      <c r="K504" s="876">
        <f>+K481/'VVP2'!K$341</f>
        <v>0</v>
      </c>
      <c r="L504" s="876">
        <f>+L481/'VVP2'!L$341</f>
        <v>0</v>
      </c>
      <c r="M504" s="876">
        <f>+M481/'VVP2'!M$341</f>
        <v>0</v>
      </c>
      <c r="N504" s="876">
        <f>+N481/'VVP2'!N$341</f>
        <v>0</v>
      </c>
      <c r="O504" s="876">
        <f>+O481/'VVP2'!O$341</f>
        <v>0</v>
      </c>
      <c r="P504" s="876">
        <f>+P481/'VVP2'!P$341</f>
        <v>0</v>
      </c>
      <c r="Q504" s="876">
        <f>+Q481/'VVP2'!Q$341</f>
        <v>0</v>
      </c>
      <c r="R504" s="876">
        <f>+R481/'VVP2'!R$341</f>
        <v>0</v>
      </c>
      <c r="S504" s="876">
        <f>+S481/'VVP2'!S$341</f>
        <v>0</v>
      </c>
      <c r="T504" s="876">
        <f>+T481/'VVP2'!T$341</f>
        <v>0</v>
      </c>
      <c r="U504" s="876">
        <f>+U481/'VVP2'!U$341</f>
        <v>0</v>
      </c>
      <c r="V504" s="876">
        <f>+V481/'VVP2'!V$341</f>
        <v>0</v>
      </c>
      <c r="W504" s="876">
        <f>+W481/'VVP2'!W$341</f>
        <v>0</v>
      </c>
      <c r="X504" s="876">
        <f>+X481/'VVP2'!X$341</f>
        <v>0</v>
      </c>
      <c r="Y504" s="876">
        <f>+Y481/'VVP2'!Y$341</f>
        <v>0</v>
      </c>
      <c r="Z504" s="3392">
        <f>+Z481/'VVP2'!Z$341</f>
        <v>0</v>
      </c>
      <c r="AA504" s="3392">
        <f>+AA481/'VVP2'!AA$341</f>
        <v>0</v>
      </c>
      <c r="AB504" s="3392">
        <f>+AB481/'VVP2'!AB$341</f>
        <v>0</v>
      </c>
      <c r="AC504" s="3392">
        <f>+AC481/'VVP2'!AC$341</f>
        <v>0</v>
      </c>
      <c r="AD504" s="3003">
        <f ca="1">+AD481/'VVP2'!AD$341</f>
        <v>0</v>
      </c>
      <c r="AE504" s="3003">
        <f ca="1">+AE481/'VVP2'!AE$341</f>
        <v>0</v>
      </c>
      <c r="AF504" s="3003">
        <f ca="1">+AF481/'VVP2'!AF$341</f>
        <v>0</v>
      </c>
      <c r="BB504" s="3462">
        <v>0</v>
      </c>
      <c r="BC504" s="736" t="str">
        <f t="shared" si="607"/>
        <v/>
      </c>
    </row>
    <row r="505" spans="1:55" ht="12.75" customHeight="1">
      <c r="A505" s="701"/>
      <c r="B505" s="701"/>
      <c r="C505" s="863" t="s">
        <v>1791</v>
      </c>
      <c r="D505" s="711" t="s">
        <v>666</v>
      </c>
      <c r="E505" s="820" t="s">
        <v>1187</v>
      </c>
      <c r="F505" s="741" t="s">
        <v>1595</v>
      </c>
      <c r="G505" s="876">
        <f>+G482/'VVP2'!G$341</f>
        <v>1.2478468940120319E-3</v>
      </c>
      <c r="H505" s="876">
        <f>+H482/'VVP2'!H$341</f>
        <v>1.3409995357680869E-3</v>
      </c>
      <c r="I505" s="876">
        <f>+I482/'VVP2'!I$341</f>
        <v>1.2448206657045726E-3</v>
      </c>
      <c r="J505" s="876">
        <f>+J482/'VVP2'!J$341</f>
        <v>1.3363735557139268E-3</v>
      </c>
      <c r="K505" s="876">
        <f>+K482/'VVP2'!K$341</f>
        <v>1.0051000346786292E-3</v>
      </c>
      <c r="L505" s="876">
        <f>+L482/'VVP2'!L$341</f>
        <v>9.1121677645738023E-4</v>
      </c>
      <c r="M505" s="876">
        <f>+M482/'VVP2'!M$341</f>
        <v>9.9922801577490938E-4</v>
      </c>
      <c r="N505" s="876">
        <f>+N482/'VVP2'!N$341</f>
        <v>1.0676160731386941E-3</v>
      </c>
      <c r="O505" s="876">
        <f>+O482/'VVP2'!O$341</f>
        <v>1.0358604673196654E-3</v>
      </c>
      <c r="P505" s="876">
        <f>+P482/'VVP2'!P$341</f>
        <v>1.025137774030294E-3</v>
      </c>
      <c r="Q505" s="876">
        <f>+Q482/'VVP2'!Q$341</f>
        <v>1.8428664337545521E-3</v>
      </c>
      <c r="R505" s="876">
        <f>+R482/'VVP2'!R$341</f>
        <v>1.2382228633565316E-3</v>
      </c>
      <c r="S505" s="876">
        <f>+S482/'VVP2'!S$341</f>
        <v>1.0666519639755793E-3</v>
      </c>
      <c r="T505" s="876">
        <f>+T482/'VVP2'!T$341</f>
        <v>9.0987330471232401E-4</v>
      </c>
      <c r="U505" s="876">
        <f>+U482/'VVP2'!U$341</f>
        <v>1.0081989447780976E-3</v>
      </c>
      <c r="V505" s="876">
        <f>+V482/'VVP2'!V$341</f>
        <v>8.9221255091060173E-4</v>
      </c>
      <c r="W505" s="876">
        <f>+W482/'VVP2'!W$341</f>
        <v>1.028122313777795E-3</v>
      </c>
      <c r="X505" s="876">
        <f>+X482/'VVP2'!X$341</f>
        <v>3.7867954721105723E-3</v>
      </c>
      <c r="Y505" s="876">
        <f>+Y482/'VVP2'!Y$341</f>
        <v>3.6047217509345012E-3</v>
      </c>
      <c r="Z505" s="3392">
        <f>+Z482/'VVP2'!Z$341</f>
        <v>1.3539968408432031E-3</v>
      </c>
      <c r="AA505" s="3392">
        <f>+AA482/'VVP2'!AA$341</f>
        <v>2.6271300805442194E-3</v>
      </c>
      <c r="AB505" s="3392">
        <f>+AB482/'VVP2'!AB$341</f>
        <v>1.5694914396247449E-3</v>
      </c>
      <c r="AC505" s="3392">
        <f>+AC482/'VVP2'!AC$341</f>
        <v>1.6386035158233452E-3</v>
      </c>
      <c r="AD505" s="3003">
        <f ca="1">+AD482/'VVP2'!AD$341</f>
        <v>1.2699932479316902E-3</v>
      </c>
      <c r="AE505" s="3003">
        <f ca="1">+AE482/'VVP2'!AE$341</f>
        <v>1.2481954128909245E-3</v>
      </c>
      <c r="AF505" s="3003">
        <f ca="1">+AF482/'VVP2'!AF$341</f>
        <v>1.2235417794063542E-3</v>
      </c>
      <c r="BB505" s="3462">
        <v>1.6181839562781587E-3</v>
      </c>
      <c r="BC505" s="736" t="str">
        <f t="shared" si="607"/>
        <v/>
      </c>
    </row>
    <row r="506" spans="1:55" ht="12.75" customHeight="1">
      <c r="A506" s="701"/>
      <c r="B506" s="701"/>
      <c r="C506" s="863" t="s">
        <v>1793</v>
      </c>
      <c r="D506" s="843" t="s">
        <v>666</v>
      </c>
      <c r="E506" s="844" t="s">
        <v>1458</v>
      </c>
      <c r="F506" s="845" t="s">
        <v>157</v>
      </c>
      <c r="G506" s="878">
        <f>+G483/'VVP2'!G$341</f>
        <v>2.4002358870796672E-3</v>
      </c>
      <c r="H506" s="878">
        <f>+H483/'VVP2'!H$341</f>
        <v>2.1438415862876856E-3</v>
      </c>
      <c r="I506" s="878">
        <f>+I483/'VVP2'!I$341</f>
        <v>2.2418641548028711E-3</v>
      </c>
      <c r="J506" s="878">
        <f>+J483/'VVP2'!J$341</f>
        <v>2.3479504388520841E-3</v>
      </c>
      <c r="K506" s="878">
        <f>+K483/'VVP2'!K$341</f>
        <v>2.0677746272940003E-3</v>
      </c>
      <c r="L506" s="878">
        <f>+L483/'VVP2'!L$341</f>
        <v>2.0804438280166431E-3</v>
      </c>
      <c r="M506" s="878">
        <f>+M483/'VVP2'!M$341</f>
        <v>2.121747875431723E-3</v>
      </c>
      <c r="N506" s="878">
        <f>+N483/'VVP2'!N$341</f>
        <v>2.2234231392186123E-3</v>
      </c>
      <c r="O506" s="878">
        <f>+O483/'VVP2'!O$341</f>
        <v>1.9646658557337694E-3</v>
      </c>
      <c r="P506" s="878">
        <f>+P483/'VVP2'!P$341</f>
        <v>1.9334831931172272E-3</v>
      </c>
      <c r="Q506" s="878">
        <f>+Q483/'VVP2'!Q$341</f>
        <v>2.2180361104249418E-3</v>
      </c>
      <c r="R506" s="878">
        <f>+R483/'VVP2'!R$341</f>
        <v>1.2768971849605878E-3</v>
      </c>
      <c r="S506" s="878">
        <f>+S483/'VVP2'!S$341</f>
        <v>1.0736195854386405E-3</v>
      </c>
      <c r="T506" s="878">
        <f>+T483/'VVP2'!T$341</f>
        <v>9.1459072949372298E-4</v>
      </c>
      <c r="U506" s="878">
        <f>+U483/'VVP2'!U$341</f>
        <v>1.008806476531504E-3</v>
      </c>
      <c r="V506" s="878">
        <f>+V483/'VVP2'!V$341</f>
        <v>8.9505037709034277E-4</v>
      </c>
      <c r="W506" s="878">
        <f>+W483/'VVP2'!W$341</f>
        <v>1.0289417523913268E-3</v>
      </c>
      <c r="X506" s="878">
        <f>+X483/'VVP2'!X$341</f>
        <v>3.7857111295027663E-3</v>
      </c>
      <c r="Y506" s="878">
        <f>+Y483/'VVP2'!Y$341</f>
        <v>3.6036618503902688E-3</v>
      </c>
      <c r="Z506" s="3394">
        <f>+Z483/'VVP2'!Z$341</f>
        <v>1.3545043359109853E-3</v>
      </c>
      <c r="AA506" s="3394">
        <f>+AA483/'VVP2'!AA$341</f>
        <v>2.6271300805442194E-3</v>
      </c>
      <c r="AB506" s="3394">
        <f>+AB483/'VVP2'!AB$341</f>
        <v>1.5694914396247449E-3</v>
      </c>
      <c r="AC506" s="3394">
        <f>+AC483/'VVP2'!AC$341</f>
        <v>1.6386035158233452E-3</v>
      </c>
      <c r="AD506" s="3005">
        <f ca="1">+AD483/'VVP2'!AD$341</f>
        <v>1.2699932479316902E-3</v>
      </c>
      <c r="AE506" s="3005">
        <f ca="1">+AE483/'VVP2'!AE$341</f>
        <v>1.2481954128909245E-3</v>
      </c>
      <c r="AF506" s="3005">
        <f ca="1">+AF483/'VVP2'!AF$341</f>
        <v>1.2235417794063542E-3</v>
      </c>
      <c r="BB506" s="3507">
        <v>1.6181839562781587E-3</v>
      </c>
      <c r="BC506" s="736" t="str">
        <f t="shared" si="607"/>
        <v/>
      </c>
    </row>
    <row r="507" spans="1:55" ht="12.75" customHeight="1">
      <c r="A507" s="701"/>
      <c r="B507" s="701"/>
      <c r="C507" s="863" t="s">
        <v>301</v>
      </c>
      <c r="D507" s="711" t="s">
        <v>666</v>
      </c>
      <c r="E507" s="820" t="s">
        <v>1393</v>
      </c>
      <c r="F507" s="741" t="s">
        <v>1225</v>
      </c>
      <c r="G507" s="876">
        <f>+G484/'VVP2'!G$341</f>
        <v>6.9159249234215514E-3</v>
      </c>
      <c r="H507" s="876">
        <f>+H484/'VVP2'!H$341</f>
        <v>6.4180837457828823E-3</v>
      </c>
      <c r="I507" s="876">
        <f>+I484/'VVP2'!I$341</f>
        <v>5.4896739727138474E-3</v>
      </c>
      <c r="J507" s="876">
        <f>+J484/'VVP2'!J$341</f>
        <v>4.1517487711859227E-3</v>
      </c>
      <c r="K507" s="876">
        <f>+K484/'VVP2'!K$341</f>
        <v>5.4307536509633917E-3</v>
      </c>
      <c r="L507" s="876">
        <f>+L484/'VVP2'!L$341</f>
        <v>3.4900609407683926E-3</v>
      </c>
      <c r="M507" s="876">
        <f>+M484/'VVP2'!M$341</f>
        <v>3.2954378794447514E-3</v>
      </c>
      <c r="N507" s="876">
        <f>+N484/'VVP2'!N$341</f>
        <v>3.3353289621163356E-3</v>
      </c>
      <c r="O507" s="876">
        <f>+O484/'VVP2'!O$341</f>
        <v>3.5835475367446976E-3</v>
      </c>
      <c r="P507" s="876">
        <f>+P484/'VVP2'!P$341</f>
        <v>2.8468136517444259E-3</v>
      </c>
      <c r="Q507" s="876">
        <f>+Q484/'VVP2'!Q$341</f>
        <v>4.7682966506486617E-3</v>
      </c>
      <c r="R507" s="876">
        <f>+R484/'VVP2'!R$341</f>
        <v>2.6591818962922284E-3</v>
      </c>
      <c r="S507" s="876">
        <f>+S484/'VVP2'!S$341</f>
        <v>2.8118896704405929E-3</v>
      </c>
      <c r="T507" s="876">
        <f>+T484/'VVP2'!T$341</f>
        <v>3.1521242711210168E-3</v>
      </c>
      <c r="U507" s="876">
        <f>+U484/'VVP2'!U$341</f>
        <v>2.771863624917186E-3</v>
      </c>
      <c r="V507" s="876">
        <f>+V484/'VVP2'!V$341</f>
        <v>2.4723141677904458E-3</v>
      </c>
      <c r="W507" s="876">
        <f>+W484/'VVP2'!W$341</f>
        <v>3.1105889769663998E-3</v>
      </c>
      <c r="X507" s="876">
        <f>+X484/'VVP2'!X$341</f>
        <v>2.8724235680781464E-3</v>
      </c>
      <c r="Y507" s="876">
        <f>+Y484/'VVP2'!Y$341</f>
        <v>2.6129198166690033E-3</v>
      </c>
      <c r="Z507" s="3392">
        <f>+Z484/'VVP2'!Z$341</f>
        <v>2.6902313543140251E-3</v>
      </c>
      <c r="AA507" s="3392">
        <f>+AA484/'VVP2'!AA$341</f>
        <v>3.0305532991093988E-3</v>
      </c>
      <c r="AB507" s="3392">
        <f>+AB484/'VVP2'!AB$341</f>
        <v>3.6652630249205506E-3</v>
      </c>
      <c r="AC507" s="3392">
        <f>+AC484/'VVP2'!AC$341</f>
        <v>2.1885173706605015E-3</v>
      </c>
      <c r="AD507" s="3003">
        <f ca="1">+AD484/'VVP2'!AD$341</f>
        <v>2.8525153844563131E-3</v>
      </c>
      <c r="AE507" s="3003">
        <f ca="1">+AE484/'VVP2'!AE$341</f>
        <v>3.8578817430269911E-3</v>
      </c>
      <c r="AF507" s="3003">
        <f ca="1">+AF484/'VVP2'!AF$341</f>
        <v>3.8561990183943445E-3</v>
      </c>
      <c r="BB507" s="3462">
        <v>3.1196806856305355E-3</v>
      </c>
      <c r="BC507" s="736" t="str">
        <f t="shared" si="607"/>
        <v/>
      </c>
    </row>
    <row r="508" spans="1:55" ht="12.75" customHeight="1">
      <c r="A508" s="701"/>
      <c r="B508" s="701"/>
      <c r="C508" s="863" t="s">
        <v>1793</v>
      </c>
      <c r="D508" s="843" t="s">
        <v>666</v>
      </c>
      <c r="E508" s="844" t="s">
        <v>1444</v>
      </c>
      <c r="F508" s="845" t="s">
        <v>1441</v>
      </c>
      <c r="G508" s="878">
        <f>+G485/'VVP2'!G$341</f>
        <v>-4.5156890363418842E-3</v>
      </c>
      <c r="H508" s="878">
        <f>+H485/'VVP2'!H$341</f>
        <v>-4.2742421594951967E-3</v>
      </c>
      <c r="I508" s="878">
        <f>+I485/'VVP2'!I$341</f>
        <v>-3.2478098179109759E-3</v>
      </c>
      <c r="J508" s="878">
        <f>+J485/'VVP2'!J$341</f>
        <v>-1.8037983323338383E-3</v>
      </c>
      <c r="K508" s="878">
        <f>+K485/'VVP2'!K$341</f>
        <v>-3.3629790236693914E-3</v>
      </c>
      <c r="L508" s="878">
        <f>+L485/'VVP2'!L$341</f>
        <v>-1.4096171127517493E-3</v>
      </c>
      <c r="M508" s="878">
        <f>+M485/'VVP2'!M$341</f>
        <v>-1.1736900040130286E-3</v>
      </c>
      <c r="N508" s="878">
        <f>+N485/'VVP2'!N$341</f>
        <v>-1.1119058228977233E-3</v>
      </c>
      <c r="O508" s="878">
        <f>+O485/'VVP2'!O$341</f>
        <v>-1.618881681010928E-3</v>
      </c>
      <c r="P508" s="878">
        <f>+P485/'VVP2'!P$341</f>
        <v>-9.1333045862719868E-4</v>
      </c>
      <c r="Q508" s="878">
        <f>+Q485/'VVP2'!Q$341</f>
        <v>-2.5502605402237203E-3</v>
      </c>
      <c r="R508" s="878">
        <f>+R485/'VVP2'!R$341</f>
        <v>-1.3822847113316406E-3</v>
      </c>
      <c r="S508" s="878">
        <f>+S485/'VVP2'!S$341</f>
        <v>-1.7382700850019522E-3</v>
      </c>
      <c r="T508" s="878">
        <f>+T485/'VVP2'!T$341</f>
        <v>-2.2375335416272937E-3</v>
      </c>
      <c r="U508" s="878">
        <f>+U485/'VVP2'!U$341</f>
        <v>-1.7630571483856819E-3</v>
      </c>
      <c r="V508" s="878">
        <f>+V485/'VVP2'!V$341</f>
        <v>-1.577263790700103E-3</v>
      </c>
      <c r="W508" s="878">
        <f>+W485/'VVP2'!W$341</f>
        <v>-2.0816472245750732E-3</v>
      </c>
      <c r="X508" s="878">
        <f>+X485/'VVP2'!X$341</f>
        <v>9.1328756142462005E-4</v>
      </c>
      <c r="Y508" s="878">
        <f>+Y485/'VVP2'!Y$341</f>
        <v>9.9074203372126555E-4</v>
      </c>
      <c r="Z508" s="3394">
        <f>+Z485/'VVP2'!Z$341</f>
        <v>-1.3357270184030398E-3</v>
      </c>
      <c r="AA508" s="3394">
        <f>+AA485/'VVP2'!AA$341</f>
        <v>-4.034232185651796E-4</v>
      </c>
      <c r="AB508" s="3394">
        <f>+AB485/'VVP2'!AB$341</f>
        <v>-2.0957715852958059E-3</v>
      </c>
      <c r="AC508" s="3394">
        <f>+AC485/'VVP2'!AC$341</f>
        <v>-5.4991385483715643E-4</v>
      </c>
      <c r="AD508" s="3005">
        <f ca="1">+AD485/'VVP2'!AD$341</f>
        <v>-1.5825221365246226E-3</v>
      </c>
      <c r="AE508" s="3005">
        <f ca="1">+AE485/'VVP2'!AE$341</f>
        <v>-2.6096863301360669E-3</v>
      </c>
      <c r="AF508" s="3005">
        <f ca="1">+AF485/'VVP2'!AF$341</f>
        <v>-2.63265723898799E-3</v>
      </c>
      <c r="BB508" s="3507">
        <v>-1.5014967293523771E-3</v>
      </c>
      <c r="BC508" s="736" t="str">
        <f t="shared" si="607"/>
        <v/>
      </c>
    </row>
    <row r="509" spans="1:55" ht="12.75" customHeight="1">
      <c r="A509" s="701"/>
      <c r="B509" s="701"/>
      <c r="C509" s="863" t="s">
        <v>1791</v>
      </c>
      <c r="D509" s="711" t="s">
        <v>664</v>
      </c>
      <c r="E509" s="820" t="s">
        <v>1444</v>
      </c>
      <c r="F509" s="741" t="s">
        <v>1442</v>
      </c>
      <c r="G509" s="876">
        <f>+G486/'VVP2'!G$341</f>
        <v>-6.3585568462406561E-4</v>
      </c>
      <c r="H509" s="876">
        <f>+H486/'VVP2'!H$341</f>
        <v>-6.5654179276232471E-4</v>
      </c>
      <c r="I509" s="876">
        <f>+I486/'VVP2'!I$341</f>
        <v>-9.4560870593052933E-4</v>
      </c>
      <c r="J509" s="876">
        <f>+J486/'VVP2'!J$341</f>
        <v>-7.846899321504459E-4</v>
      </c>
      <c r="K509" s="876">
        <f>+K486/'VVP2'!K$341</f>
        <v>-6.4894114139552701E-4</v>
      </c>
      <c r="L509" s="876">
        <f>+L486/'VVP2'!L$341</f>
        <v>-9.4561814647096476E-4</v>
      </c>
      <c r="M509" s="876">
        <f>+M486/'VVP2'!M$341</f>
        <v>-6.6762936376573584E-4</v>
      </c>
      <c r="N509" s="876">
        <f>+N486/'VVP2'!N$341</f>
        <v>-7.5953035770966052E-4</v>
      </c>
      <c r="O509" s="876">
        <f>+O486/'VVP2'!O$341</f>
        <v>-8.694961286719986E-4</v>
      </c>
      <c r="P509" s="876">
        <f>+P486/'VVP2'!P$341</f>
        <v>-9.5499114621370226E-4</v>
      </c>
      <c r="Q509" s="876">
        <f>+Q486/'VVP2'!Q$341</f>
        <v>-4.1021299811762395E-4</v>
      </c>
      <c r="R509" s="876">
        <f>+R486/'VVP2'!R$341</f>
        <v>-1.2923669136022102E-4</v>
      </c>
      <c r="S509" s="876">
        <f>+S486/'VVP2'!S$341</f>
        <v>3.8776328142253383E-5</v>
      </c>
      <c r="T509" s="876">
        <f>+T486/'VVP2'!T$341</f>
        <v>9.1989783237279683E-5</v>
      </c>
      <c r="U509" s="876">
        <f>+U486/'VVP2'!U$341</f>
        <v>2.1840766534963907E-4</v>
      </c>
      <c r="V509" s="876">
        <f>+V486/'VVP2'!V$341</f>
        <v>1.4983722229033005E-4</v>
      </c>
      <c r="W509" s="876">
        <f>+W486/'VVP2'!W$341</f>
        <v>2.2206786426709544E-4</v>
      </c>
      <c r="X509" s="876">
        <f>+X486/'VVP2'!X$341</f>
        <v>1.6346464812675747E-4</v>
      </c>
      <c r="Y509" s="876">
        <f>+Y486/'VVP2'!Y$341</f>
        <v>1.1817891068191617E-4</v>
      </c>
      <c r="Z509" s="3392">
        <f>+Z486/'VVP2'!Z$341</f>
        <v>9.9215285751441597E-5</v>
      </c>
      <c r="AA509" s="3392">
        <f>+AA486/'VVP2'!AA$341</f>
        <v>1.4232866354098959E-4</v>
      </c>
      <c r="AB509" s="3392">
        <f>+AB486/'VVP2'!AB$341</f>
        <v>1.500400068680927E-4</v>
      </c>
      <c r="AC509" s="3392">
        <f>+AC486/'VVP2'!AC$341</f>
        <v>9.1288320620306316E-5</v>
      </c>
      <c r="AD509" s="3003">
        <f ca="1">+AD486/'VVP2'!AD$341</f>
        <v>8.9636539830247541E-5</v>
      </c>
      <c r="AE509" s="3003">
        <f ca="1">+AE486/'VVP2'!AE$341</f>
        <v>8.8961747775319913E-5</v>
      </c>
      <c r="AF509" s="3003">
        <f ca="1">+AF486/'VVP2'!AF$341</f>
        <v>8.8493365141312282E-5</v>
      </c>
      <c r="BB509" s="3462">
        <v>1.5732344019370986E-4</v>
      </c>
      <c r="BC509" s="736" t="str">
        <f t="shared" si="607"/>
        <v/>
      </c>
    </row>
    <row r="510" spans="1:55" ht="12.75" customHeight="1">
      <c r="A510" s="701"/>
      <c r="B510" s="701"/>
      <c r="C510" s="864" t="s">
        <v>1791</v>
      </c>
      <c r="D510" s="865" t="s">
        <v>665</v>
      </c>
      <c r="E510" s="866" t="s">
        <v>1444</v>
      </c>
      <c r="F510" s="867" t="s">
        <v>1443</v>
      </c>
      <c r="G510" s="877">
        <f>+G487/'VVP2'!G$341</f>
        <v>3.2917066175659508E-3</v>
      </c>
      <c r="H510" s="877">
        <f>+H487/'VVP2'!H$341</f>
        <v>3.2051646575798526E-4</v>
      </c>
      <c r="I510" s="877">
        <f>+I487/'VVP2'!I$341</f>
        <v>1.4006087108761815E-3</v>
      </c>
      <c r="J510" s="877">
        <f>+J487/'VVP2'!J$341</f>
        <v>1.8532239129431945E-3</v>
      </c>
      <c r="K510" s="877">
        <f>+K487/'VVP2'!K$341</f>
        <v>3.2897834616412861E-3</v>
      </c>
      <c r="L510" s="877">
        <f>+L487/'VVP2'!L$341</f>
        <v>1.6416165958921406E-3</v>
      </c>
      <c r="M510" s="877">
        <f>+M487/'VVP2'!M$341</f>
        <v>9.6457736684077942E-4</v>
      </c>
      <c r="N510" s="877">
        <f>+N487/'VVP2'!N$341</f>
        <v>6.3365422681557868E-4</v>
      </c>
      <c r="O510" s="877">
        <f>+O487/'VVP2'!O$341</f>
        <v>1.9598166709749809E-3</v>
      </c>
      <c r="P510" s="877">
        <f>+P487/'VVP2'!P$341</f>
        <v>1.1098834462148061E-3</v>
      </c>
      <c r="Q510" s="877">
        <f>+Q487/'VVP2'!Q$341</f>
        <v>2.7594897829822072E-3</v>
      </c>
      <c r="R510" s="877">
        <f>+R487/'VVP2'!R$341</f>
        <v>8.1119389564507805E-4</v>
      </c>
      <c r="S510" s="877">
        <f>+S487/'VVP2'!S$341</f>
        <v>7.3129731355780993E-4</v>
      </c>
      <c r="T510" s="877">
        <f>+T487/'VVP2'!T$341</f>
        <v>1.1778820001055524E-3</v>
      </c>
      <c r="U510" s="877">
        <f>+U487/'VVP2'!U$341</f>
        <v>5.3159028423069321E-4</v>
      </c>
      <c r="V510" s="877">
        <f>+V487/'VVP2'!V$341</f>
        <v>4.8328179840990927E-4</v>
      </c>
      <c r="W510" s="877">
        <f>+W487/'VVP2'!W$341</f>
        <v>7.2520317297556996E-4</v>
      </c>
      <c r="X510" s="877">
        <f>+X487/'VVP2'!X$341</f>
        <v>-2.2505530825013939E-3</v>
      </c>
      <c r="Y510" s="877">
        <f>+Y487/'VVP2'!Y$341</f>
        <v>-2.2170469633981896E-3</v>
      </c>
      <c r="Z510" s="3393">
        <f>+Z487/'VVP2'!Z$341</f>
        <v>3.443354034902973E-4</v>
      </c>
      <c r="AA510" s="3393">
        <f>+AA487/'VVP2'!AA$341</f>
        <v>-6.4000297033732609E-4</v>
      </c>
      <c r="AB510" s="3393">
        <f>+AB487/'VVP2'!AB$341</f>
        <v>1.7801859173544069E-3</v>
      </c>
      <c r="AC510" s="3393">
        <f>+AC487/'VVP2'!AC$341</f>
        <v>7.1698458515900864E-4</v>
      </c>
      <c r="AD510" s="3004">
        <f ca="1">+AD487/'VVP2'!AD$341</f>
        <v>7.2451657425202042E-4</v>
      </c>
      <c r="AE510" s="3004">
        <f ca="1">+AE487/'VVP2'!AE$341</f>
        <v>7.400059108533093E-4</v>
      </c>
      <c r="AF510" s="3004">
        <f ca="1">+AF487/'VVP2'!AF$341</f>
        <v>7.5754987869133437E-4</v>
      </c>
      <c r="AG510" s="2992"/>
      <c r="BB510" s="3465">
        <v>1.8454289254468507E-3</v>
      </c>
      <c r="BC510" s="736" t="str">
        <f t="shared" si="607"/>
        <v/>
      </c>
    </row>
    <row r="511" spans="1:55" ht="12.75" customHeight="1">
      <c r="A511" s="701"/>
      <c r="B511" s="701"/>
      <c r="C511" s="811" t="s">
        <v>1793</v>
      </c>
      <c r="D511" s="843" t="s">
        <v>667</v>
      </c>
      <c r="E511" s="844" t="s">
        <v>1447</v>
      </c>
      <c r="F511" s="845" t="s">
        <v>1456</v>
      </c>
      <c r="G511" s="878">
        <f>+G488/'VVP2'!G$341</f>
        <v>-1.8598381033999984E-3</v>
      </c>
      <c r="H511" s="878">
        <f>+H488/'VVP2'!H$341</f>
        <v>-4.6102674864995363E-3</v>
      </c>
      <c r="I511" s="878">
        <f>+I488/'VVP2'!I$341</f>
        <v>-2.7928098129653242E-3</v>
      </c>
      <c r="J511" s="878">
        <f>+J488/'VVP2'!J$341</f>
        <v>-7.3526435154108965E-4</v>
      </c>
      <c r="K511" s="878">
        <f>+K488/'VVP2'!K$341</f>
        <v>-7.2213670342363321E-4</v>
      </c>
      <c r="L511" s="878">
        <f>+L488/'VVP2'!L$341</f>
        <v>-7.1361866333057283E-4</v>
      </c>
      <c r="M511" s="878">
        <f>+M488/'VVP2'!M$341</f>
        <v>-8.7674200093798506E-4</v>
      </c>
      <c r="N511" s="878">
        <f>+N488/'VVP2'!N$341</f>
        <v>-1.2377819537918047E-3</v>
      </c>
      <c r="O511" s="878">
        <f>+O488/'VVP2'!O$341</f>
        <v>-5.2856113870794594E-4</v>
      </c>
      <c r="P511" s="878">
        <f>+P488/'VVP2'!P$341</f>
        <v>-7.5843815862609463E-4</v>
      </c>
      <c r="Q511" s="878">
        <f>+Q488/'VVP2'!Q$341</f>
        <v>-2.0098375535913734E-4</v>
      </c>
      <c r="R511" s="878">
        <f>+R488/'VVP2'!R$341</f>
        <v>-7.0032750704678373E-4</v>
      </c>
      <c r="S511" s="878">
        <f>+S488/'VVP2'!S$341</f>
        <v>-9.6819644330188917E-4</v>
      </c>
      <c r="T511" s="878">
        <f>+T488/'VVP2'!T$341</f>
        <v>-9.6766175828446135E-4</v>
      </c>
      <c r="U511" s="878">
        <f>+U488/'VVP2'!U$341</f>
        <v>-1.0130591988053495E-3</v>
      </c>
      <c r="V511" s="878">
        <f>+V488/'VVP2'!V$341</f>
        <v>-9.4414476999986373E-4</v>
      </c>
      <c r="W511" s="878">
        <f>+W488/'VVP2'!W$341</f>
        <v>-1.1343761873324075E-3</v>
      </c>
      <c r="X511" s="878">
        <f>+X488/'VVP2'!X$341</f>
        <v>-1.1738008729500163E-3</v>
      </c>
      <c r="Y511" s="878">
        <f>+Y488/'VVP2'!Y$341</f>
        <v>-1.1081260189950077E-3</v>
      </c>
      <c r="Z511" s="3394">
        <f>+Z488/'VVP2'!Z$341</f>
        <v>-8.9217632916130092E-4</v>
      </c>
      <c r="AA511" s="3394">
        <f>+AA488/'VVP2'!AA$341</f>
        <v>-9.0109752536151613E-4</v>
      </c>
      <c r="AB511" s="3394">
        <f>+AB488/'VVP2'!AB$341</f>
        <v>-1.6554566107330592E-4</v>
      </c>
      <c r="AC511" s="3394">
        <f>+AC488/'VVP2'!AC$341</f>
        <v>2.583590509421588E-4</v>
      </c>
      <c r="AD511" s="3005">
        <f ca="1">+AD488/'VVP2'!AD$341</f>
        <v>-7.683690224423547E-4</v>
      </c>
      <c r="AE511" s="3005">
        <f ca="1">+AE488/'VVP2'!AE$341</f>
        <v>-1.7807186715074377E-3</v>
      </c>
      <c r="AF511" s="3005">
        <f ca="1">+AF488/'VVP2'!AF$341</f>
        <v>-1.7866139951553434E-3</v>
      </c>
      <c r="BB511" s="3507">
        <v>5.0125563628818353E-4</v>
      </c>
      <c r="BC511" s="736" t="str">
        <f t="shared" si="607"/>
        <v/>
      </c>
    </row>
    <row r="512" spans="1:55" ht="30" customHeight="1">
      <c r="BC512" s="736" t="str">
        <f t="shared" si="607"/>
        <v/>
      </c>
    </row>
    <row r="513" spans="1:55" ht="30" customHeight="1">
      <c r="BC513" s="736" t="str">
        <f t="shared" si="607"/>
        <v/>
      </c>
    </row>
    <row r="514" spans="1:55" ht="22.5" customHeight="1">
      <c r="A514" s="590"/>
      <c r="B514" s="590"/>
      <c r="C514" s="3816" t="s">
        <v>1457</v>
      </c>
      <c r="D514" s="3816"/>
      <c r="E514" s="3816"/>
      <c r="F514" s="3816"/>
      <c r="AN514" s="2940"/>
      <c r="AO514" s="2940"/>
      <c r="AP514" s="2940"/>
      <c r="AQ514" s="2940"/>
      <c r="BC514" s="736" t="str">
        <f t="shared" ref="BC514:BC577" si="668">IF(ABS(BB514-AB514)&gt;0.99,AB514-BB514,"")</f>
        <v/>
      </c>
    </row>
    <row r="515" spans="1:55" ht="12.75" customHeight="1">
      <c r="A515" s="701"/>
      <c r="B515" s="701"/>
      <c r="C515" s="811"/>
      <c r="AH515" s="2940"/>
      <c r="AI515" s="2940"/>
      <c r="AJ515" s="2940"/>
      <c r="AK515" s="2940"/>
      <c r="AL515" s="2940"/>
      <c r="AM515" s="2940"/>
      <c r="BC515" s="736" t="str">
        <f t="shared" si="668"/>
        <v/>
      </c>
    </row>
    <row r="516" spans="1:55" ht="12.75" customHeight="1">
      <c r="A516" s="701"/>
      <c r="B516" s="701"/>
      <c r="C516" s="811"/>
      <c r="D516" s="812"/>
      <c r="E516" s="813" t="s">
        <v>1882</v>
      </c>
      <c r="F516" s="814"/>
      <c r="G516" s="815">
        <f>+InputY!$G$3</f>
        <v>1995</v>
      </c>
      <c r="H516" s="815">
        <f>+G516+1</f>
        <v>1996</v>
      </c>
      <c r="I516" s="815">
        <f t="shared" ref="I516:O516" si="669">+H516+1</f>
        <v>1997</v>
      </c>
      <c r="J516" s="815">
        <f t="shared" si="669"/>
        <v>1998</v>
      </c>
      <c r="K516" s="815">
        <f t="shared" si="669"/>
        <v>1999</v>
      </c>
      <c r="L516" s="815">
        <f t="shared" si="669"/>
        <v>2000</v>
      </c>
      <c r="M516" s="815">
        <f t="shared" si="669"/>
        <v>2001</v>
      </c>
      <c r="N516" s="815">
        <f t="shared" si="669"/>
        <v>2002</v>
      </c>
      <c r="O516" s="815">
        <f t="shared" si="669"/>
        <v>2003</v>
      </c>
      <c r="P516" s="815">
        <f>+O516+1</f>
        <v>2004</v>
      </c>
      <c r="Q516" s="815">
        <f>+P516+1</f>
        <v>2005</v>
      </c>
      <c r="R516" s="815">
        <f>+Q516+1</f>
        <v>2006</v>
      </c>
      <c r="S516" s="815">
        <f>+R516+1</f>
        <v>2007</v>
      </c>
      <c r="T516" s="815">
        <f t="shared" ref="T516:AF516" si="670">+S516+1</f>
        <v>2008</v>
      </c>
      <c r="U516" s="815">
        <f t="shared" si="670"/>
        <v>2009</v>
      </c>
      <c r="V516" s="815">
        <f t="shared" si="670"/>
        <v>2010</v>
      </c>
      <c r="W516" s="815">
        <f t="shared" si="670"/>
        <v>2011</v>
      </c>
      <c r="X516" s="2285">
        <f t="shared" si="670"/>
        <v>2012</v>
      </c>
      <c r="Y516" s="2285">
        <f t="shared" si="670"/>
        <v>2013</v>
      </c>
      <c r="Z516" s="2285">
        <f t="shared" si="670"/>
        <v>2014</v>
      </c>
      <c r="AA516" s="2285">
        <f t="shared" si="670"/>
        <v>2015</v>
      </c>
      <c r="AB516" s="2285">
        <f t="shared" si="670"/>
        <v>2016</v>
      </c>
      <c r="AC516" s="2285">
        <f t="shared" si="670"/>
        <v>2017</v>
      </c>
      <c r="AD516" s="2285">
        <f t="shared" si="670"/>
        <v>2018</v>
      </c>
      <c r="AE516" s="2285">
        <f t="shared" si="670"/>
        <v>2019</v>
      </c>
      <c r="AF516" s="2285">
        <f t="shared" si="670"/>
        <v>2020</v>
      </c>
      <c r="BB516" s="3470">
        <v>2016</v>
      </c>
      <c r="BC516" s="736" t="str">
        <f t="shared" si="668"/>
        <v/>
      </c>
    </row>
    <row r="517" spans="1:55" ht="12.75" customHeight="1">
      <c r="A517" s="701">
        <f>+ROW(InputY!A205)</f>
        <v>205</v>
      </c>
      <c r="B517" s="701" t="s">
        <v>829</v>
      </c>
      <c r="C517" s="816" t="s">
        <v>301</v>
      </c>
      <c r="D517" s="705" t="s">
        <v>664</v>
      </c>
      <c r="E517" s="737" t="s">
        <v>1340</v>
      </c>
      <c r="F517" s="738" t="str">
        <f>+InputY!B205</f>
        <v>HNonFinN</v>
      </c>
      <c r="G517" s="817">
        <f>+InputY!G205/1000</f>
        <v>0.85599999999999998</v>
      </c>
      <c r="H517" s="817">
        <f>+InputY!H205/1000</f>
        <v>0.91900000000000004</v>
      </c>
      <c r="I517" s="817">
        <f>+InputY!I205/1000</f>
        <v>0.873</v>
      </c>
      <c r="J517" s="817">
        <f>+InputY!J205/1000</f>
        <v>1.1679999999999999</v>
      </c>
      <c r="K517" s="817">
        <f>+InputY!K205/1000</f>
        <v>1.518</v>
      </c>
      <c r="L517" s="817">
        <f>+InputY!L205/1000</f>
        <v>2.173</v>
      </c>
      <c r="M517" s="817">
        <f>+InputY!M205/1000</f>
        <v>2.4300000000000002</v>
      </c>
      <c r="N517" s="817">
        <f>+InputY!N205/1000</f>
        <v>2.3239999999999998</v>
      </c>
      <c r="O517" s="817">
        <f>+InputY!O205/1000</f>
        <v>3.0089999999999999</v>
      </c>
      <c r="P517" s="817">
        <f>+InputY!P205/1000</f>
        <v>3.8319999999999999</v>
      </c>
      <c r="Q517" s="817">
        <f>+InputY!Q205/1000</f>
        <v>4.4770000000000003</v>
      </c>
      <c r="R517" s="817">
        <f>+InputY!R205/1000</f>
        <v>5.2759999999999998</v>
      </c>
      <c r="S517" s="817">
        <f>+InputY!S205/1000</f>
        <v>5.7519999999999998</v>
      </c>
      <c r="T517" s="817">
        <f>+InputY!T205/1000</f>
        <v>6.766</v>
      </c>
      <c r="U517" s="817">
        <f>+InputY!U205/1000</f>
        <v>4.7990000000000004</v>
      </c>
      <c r="V517" s="817">
        <f>+InputY!V205/1000</f>
        <v>5.556</v>
      </c>
      <c r="W517" s="817">
        <f>+InputY!W205/1000</f>
        <v>5.9740000000000002</v>
      </c>
      <c r="X517" s="817">
        <f>+InputY!X205/1000</f>
        <v>4.4080000000000004</v>
      </c>
      <c r="Y517" s="817">
        <f>+InputY!Y205/1000</f>
        <v>4.4329999999999998</v>
      </c>
      <c r="Z517" s="817">
        <f>+InputY!Z205/1000</f>
        <v>5.5880000000000001</v>
      </c>
      <c r="AA517" s="817">
        <f>+InputY!AA205/1000</f>
        <v>7.1740000000000004</v>
      </c>
      <c r="AB517" s="817">
        <f>+InputY!AB205/1000</f>
        <v>8.8140000000000001</v>
      </c>
      <c r="AC517" s="817">
        <f>+InputY!AC205/1000</f>
        <v>10.07</v>
      </c>
      <c r="AD517" s="2296">
        <f t="shared" ref="AD517:AF519" si="671">+AC517*(1+AD524/100)</f>
        <v>10.07</v>
      </c>
      <c r="AE517" s="2296">
        <f t="shared" si="671"/>
        <v>10.07</v>
      </c>
      <c r="AF517" s="2296">
        <f t="shared" si="671"/>
        <v>10.07</v>
      </c>
      <c r="BB517" s="3471">
        <v>9.4849999999999994</v>
      </c>
      <c r="BC517" s="736" t="str">
        <f t="shared" si="668"/>
        <v/>
      </c>
    </row>
    <row r="518" spans="1:55" ht="12.75" customHeight="1">
      <c r="A518" s="701">
        <f>+ROW(InputY!A132)</f>
        <v>132</v>
      </c>
      <c r="B518" s="701" t="s">
        <v>830</v>
      </c>
      <c r="C518" s="819" t="s">
        <v>301</v>
      </c>
      <c r="D518" s="711" t="s">
        <v>665</v>
      </c>
      <c r="E518" s="820" t="s">
        <v>1340</v>
      </c>
      <c r="F518" s="741" t="str">
        <f>+InputY!B132</f>
        <v>ENonFinN</v>
      </c>
      <c r="G518" s="743">
        <f>+InputY!G132/1000</f>
        <v>1.6E-2</v>
      </c>
      <c r="H518" s="743">
        <f>+InputY!H132/1000</f>
        <v>8.2230000000000008</v>
      </c>
      <c r="I518" s="743">
        <f>+InputY!I132/1000</f>
        <v>-2.66</v>
      </c>
      <c r="J518" s="743">
        <f>+InputY!J132/1000</f>
        <v>17.065999999999999</v>
      </c>
      <c r="K518" s="743">
        <f>+InputY!K132/1000</f>
        <v>27.065000000000001</v>
      </c>
      <c r="L518" s="743">
        <f>+InputY!L132/1000</f>
        <v>5.7629999999999999</v>
      </c>
      <c r="M518" s="743">
        <f>+InputY!M132/1000</f>
        <v>1.81</v>
      </c>
      <c r="N518" s="743">
        <f>+InputY!N132/1000</f>
        <v>-0.215</v>
      </c>
      <c r="O518" s="743">
        <f>+InputY!O132/1000</f>
        <v>0.43</v>
      </c>
      <c r="P518" s="743">
        <f>+InputY!P132/1000</f>
        <v>1.4390000000000001</v>
      </c>
      <c r="Q518" s="743">
        <f>+InputY!Q132/1000</f>
        <v>2.4990000000000001</v>
      </c>
      <c r="R518" s="743">
        <f>+InputY!R132/1000</f>
        <v>16.306000000000001</v>
      </c>
      <c r="S518" s="743">
        <f>+InputY!S132/1000</f>
        <v>-0.33</v>
      </c>
      <c r="T518" s="743">
        <f>+InputY!T132/1000</f>
        <v>2.6070000000000002</v>
      </c>
      <c r="U518" s="743">
        <f>+InputY!U132/1000</f>
        <v>2.8839999999999999</v>
      </c>
      <c r="V518" s="743">
        <f>+InputY!V132/1000</f>
        <v>2.8719999999999999</v>
      </c>
      <c r="W518" s="743">
        <f>+InputY!W132/1000</f>
        <v>-2.72</v>
      </c>
      <c r="X518" s="743">
        <f>+InputY!X132/1000</f>
        <v>4.8000000000000001E-2</v>
      </c>
      <c r="Y518" s="743">
        <f>+InputY!Y132/1000</f>
        <v>2.6539999999999999</v>
      </c>
      <c r="Z518" s="743">
        <f>+InputY!Z132/1000</f>
        <v>-0.61199999999999999</v>
      </c>
      <c r="AA518" s="743">
        <f>+InputY!AA132/1000</f>
        <v>-1.2809999999999999</v>
      </c>
      <c r="AB518" s="743">
        <f>+InputY!AB132/1000</f>
        <v>0.34499999999999997</v>
      </c>
      <c r="AC518" s="743">
        <f>+InputY!AC132/1000</f>
        <v>-0.188</v>
      </c>
      <c r="AD518" s="2279">
        <f t="shared" si="671"/>
        <v>-0.188</v>
      </c>
      <c r="AE518" s="2279">
        <f t="shared" si="671"/>
        <v>-0.188</v>
      </c>
      <c r="AF518" s="2279">
        <f t="shared" si="671"/>
        <v>-0.188</v>
      </c>
      <c r="BB518" s="3472">
        <v>-0.23599999999999999</v>
      </c>
      <c r="BC518" s="736" t="str">
        <f t="shared" si="668"/>
        <v/>
      </c>
    </row>
    <row r="519" spans="1:55" ht="12.75" customHeight="1">
      <c r="A519" s="701">
        <f>+ROW(InputY!A173)</f>
        <v>173</v>
      </c>
      <c r="B519" s="701" t="s">
        <v>865</v>
      </c>
      <c r="C519" s="819" t="s">
        <v>301</v>
      </c>
      <c r="D519" s="711" t="s">
        <v>666</v>
      </c>
      <c r="E519" s="820" t="s">
        <v>1340</v>
      </c>
      <c r="F519" s="741" t="str">
        <f>+InputY!B173</f>
        <v>ANonFinN</v>
      </c>
      <c r="G519" s="743">
        <f>+InputY!G173/1000</f>
        <v>-0.872</v>
      </c>
      <c r="H519" s="743">
        <f>+InputY!H173/1000</f>
        <v>-9.1419999999999995</v>
      </c>
      <c r="I519" s="743">
        <f>+InputY!I173/1000</f>
        <v>1.7869999999999999</v>
      </c>
      <c r="J519" s="743">
        <f>+InputY!J173/1000</f>
        <v>-19.821999999999999</v>
      </c>
      <c r="K519" s="743">
        <f>+InputY!K173/1000</f>
        <v>-5.2210000000000001</v>
      </c>
      <c r="L519" s="743">
        <f>+InputY!L173/1000</f>
        <v>-5.976</v>
      </c>
      <c r="M519" s="743">
        <f>+InputY!M173/1000</f>
        <v>-4.8609999999999998</v>
      </c>
      <c r="N519" s="743">
        <f>+InputY!N173/1000</f>
        <v>-2.6739999999999999</v>
      </c>
      <c r="O519" s="743">
        <f>+InputY!O173/1000</f>
        <v>-3.726</v>
      </c>
      <c r="P519" s="743">
        <f>+InputY!P173/1000</f>
        <v>-5.1680000000000001</v>
      </c>
      <c r="Q519" s="743">
        <f>+InputY!Q173/1000</f>
        <v>-6.7089999999999996</v>
      </c>
      <c r="R519" s="743">
        <f>+InputY!R173/1000</f>
        <v>-6.19</v>
      </c>
      <c r="S519" s="743">
        <f>+InputY!S173/1000</f>
        <v>-6.0949999999999998</v>
      </c>
      <c r="T519" s="743">
        <f>+InputY!T173/1000</f>
        <v>-7.524</v>
      </c>
      <c r="U519" s="743">
        <f>+InputY!U173/1000</f>
        <v>-6.8650000000000002</v>
      </c>
      <c r="V519" s="743">
        <f>+InputY!V173/1000</f>
        <v>-6.9390000000000001</v>
      </c>
      <c r="W519" s="743">
        <f>+InputY!W173/1000</f>
        <v>-1.401</v>
      </c>
      <c r="X519" s="743">
        <f>+InputY!X173/1000</f>
        <v>-3.012</v>
      </c>
      <c r="Y519" s="743">
        <f>+InputY!Y173/1000</f>
        <v>-2.1629999999999998</v>
      </c>
      <c r="Z519" s="743">
        <f>+InputY!Z173/1000</f>
        <v>-3.0680000000000001</v>
      </c>
      <c r="AA519" s="743">
        <f>+InputY!AA173/1000</f>
        <v>-1.577</v>
      </c>
      <c r="AB519" s="743">
        <f>+InputY!AB173/1000</f>
        <v>-7.1840000000000002</v>
      </c>
      <c r="AC519" s="743">
        <f>+InputY!AC173/1000</f>
        <v>-5.8159999999999998</v>
      </c>
      <c r="AD519" s="2279">
        <f t="shared" ca="1" si="671"/>
        <v>-6.1008698009223714</v>
      </c>
      <c r="AE519" s="2279">
        <f t="shared" ca="1" si="671"/>
        <v>-6.3315604601136446</v>
      </c>
      <c r="AF519" s="2279">
        <f t="shared" ca="1" si="671"/>
        <v>-6.5560246724788493</v>
      </c>
      <c r="BB519" s="3472">
        <v>-2.6419999999999999</v>
      </c>
      <c r="BC519" s="736">
        <f t="shared" si="668"/>
        <v>-4.5419999999999998</v>
      </c>
    </row>
    <row r="520" spans="1:55" ht="12.75" customHeight="1">
      <c r="A520" s="2014">
        <f>+ROW(InputY!A257)</f>
        <v>257</v>
      </c>
      <c r="B520" s="701" t="s">
        <v>768</v>
      </c>
      <c r="C520" s="821" t="s">
        <v>1793</v>
      </c>
      <c r="D520" s="789" t="s">
        <v>667</v>
      </c>
      <c r="E520" s="790" t="s">
        <v>1340</v>
      </c>
      <c r="F520" s="791" t="s">
        <v>1724</v>
      </c>
      <c r="G520" s="822">
        <f>+InputY!G257/1000</f>
        <v>0</v>
      </c>
      <c r="H520" s="822">
        <f>+InputY!H257/1000</f>
        <v>0</v>
      </c>
      <c r="I520" s="822">
        <f>+InputY!I257/1000</f>
        <v>0</v>
      </c>
      <c r="J520" s="822">
        <f>+InputY!J257/1000</f>
        <v>1.5880000000000001</v>
      </c>
      <c r="K520" s="822">
        <f>+InputY!K257/1000</f>
        <v>-23.361999999999998</v>
      </c>
      <c r="L520" s="822">
        <f>+InputY!L257/1000</f>
        <v>-1.96</v>
      </c>
      <c r="M520" s="822">
        <f>+InputY!M257/1000</f>
        <v>0.621</v>
      </c>
      <c r="N520" s="822">
        <f>+InputY!N257/1000</f>
        <v>0.56499999999999995</v>
      </c>
      <c r="O520" s="822">
        <f>+InputY!O257/1000</f>
        <v>0.28699999999999998</v>
      </c>
      <c r="P520" s="822">
        <f>+InputY!P257/1000</f>
        <v>-0.10299999999999999</v>
      </c>
      <c r="Q520" s="822">
        <f>+InputY!Q257/1000</f>
        <v>-0.26700000000000002</v>
      </c>
      <c r="R520" s="822">
        <f>+InputY!R257/1000</f>
        <v>-15.391999999999999</v>
      </c>
      <c r="S520" s="822">
        <f>+InputY!S257/1000</f>
        <v>0.67300000000000004</v>
      </c>
      <c r="T520" s="822">
        <f>+InputY!T257/1000</f>
        <v>-1.849</v>
      </c>
      <c r="U520" s="822">
        <f>+InputY!U257/1000</f>
        <v>-0.81799999999999995</v>
      </c>
      <c r="V520" s="822">
        <f>+InputY!V257/1000</f>
        <v>-1.4890000000000001</v>
      </c>
      <c r="W520" s="822">
        <f>+InputY!W257/1000</f>
        <v>-1.853</v>
      </c>
      <c r="X520" s="822">
        <f>+InputY!X257/1000</f>
        <v>-1.444</v>
      </c>
      <c r="Y520" s="822">
        <f>+InputY!Y257/1000</f>
        <v>-4.9240000000000004</v>
      </c>
      <c r="Z520" s="822">
        <f>+InputY!Z257/1000</f>
        <v>-1.9079999999999999</v>
      </c>
      <c r="AA520" s="822">
        <f>+InputY!AA257/1000</f>
        <v>-4.3159999999999998</v>
      </c>
      <c r="AB520" s="822">
        <f>+InputY!AB257/1000</f>
        <v>-1.9750000000000001</v>
      </c>
      <c r="AC520" s="822">
        <f>+InputY!AC257/1000</f>
        <v>-4.0659999999999998</v>
      </c>
      <c r="AD520" s="2341">
        <f t="shared" ref="AD520:AE520" ca="1" si="672">-AD517-AD518-AD519</f>
        <v>-3.7811301990776283</v>
      </c>
      <c r="AE520" s="2341">
        <f t="shared" ca="1" si="672"/>
        <v>-3.5504395398863551</v>
      </c>
      <c r="AF520" s="2341">
        <f t="shared" ref="AF520" ca="1" si="673">-AF517-AF518-AF519</f>
        <v>-3.3259753275211503</v>
      </c>
      <c r="BB520" s="3545">
        <v>-6.6069999999999993</v>
      </c>
      <c r="BC520" s="736">
        <f t="shared" si="668"/>
        <v>4.6319999999999997</v>
      </c>
    </row>
    <row r="521" spans="1:55" s="2032" customFormat="1" ht="12.75" customHeight="1">
      <c r="A521" s="1036"/>
      <c r="B521" s="1036"/>
      <c r="C521" s="1647"/>
      <c r="D521" s="1051"/>
      <c r="E521" s="2033" t="s">
        <v>90</v>
      </c>
      <c r="F521" s="2034"/>
      <c r="G521" s="1040">
        <f>ABS(-G517-G518-G519-G520)</f>
        <v>0</v>
      </c>
      <c r="H521" s="1040">
        <f t="shared" ref="H521:V521" si="674">ABS(-H517-H518-H519-H520)</f>
        <v>1.7763568394002505E-15</v>
      </c>
      <c r="I521" s="1040">
        <f t="shared" si="674"/>
        <v>2.2204460492503131E-16</v>
      </c>
      <c r="J521" s="1040">
        <f t="shared" si="674"/>
        <v>8.8817841970012523E-16</v>
      </c>
      <c r="K521" s="1040">
        <f t="shared" si="674"/>
        <v>3.5527136788005009E-15</v>
      </c>
      <c r="L521" s="1040">
        <f t="shared" si="674"/>
        <v>0</v>
      </c>
      <c r="M521" s="1040">
        <f t="shared" si="674"/>
        <v>4.4408920985006262E-16</v>
      </c>
      <c r="N521" s="1040">
        <f t="shared" si="674"/>
        <v>0</v>
      </c>
      <c r="O521" s="1040">
        <f t="shared" si="674"/>
        <v>5.5511151231257827E-17</v>
      </c>
      <c r="P521" s="1040">
        <f t="shared" si="674"/>
        <v>2.3592239273284576E-16</v>
      </c>
      <c r="Q521" s="1040">
        <f t="shared" si="674"/>
        <v>1.2212453270876722E-15</v>
      </c>
      <c r="R521" s="1040">
        <f t="shared" si="674"/>
        <v>0</v>
      </c>
      <c r="S521" s="1040">
        <f t="shared" si="674"/>
        <v>0</v>
      </c>
      <c r="T521" s="1040">
        <f t="shared" si="674"/>
        <v>1.1102230246251565E-15</v>
      </c>
      <c r="U521" s="1040">
        <f t="shared" si="674"/>
        <v>3.3306690738754696E-16</v>
      </c>
      <c r="V521" s="1040">
        <f t="shared" si="674"/>
        <v>6.6613381477509392E-16</v>
      </c>
      <c r="W521" s="1040">
        <f t="shared" ref="W521:AC521" si="675">ABS(-W517-W518-W519-W520)</f>
        <v>0</v>
      </c>
      <c r="X521" s="1040">
        <f t="shared" si="675"/>
        <v>4.4408920985006262E-16</v>
      </c>
      <c r="Y521" s="1040">
        <f t="shared" si="675"/>
        <v>8.8817841970012523E-16</v>
      </c>
      <c r="Z521" s="1040">
        <f t="shared" si="675"/>
        <v>0</v>
      </c>
      <c r="AA521" s="1040">
        <f t="shared" si="675"/>
        <v>8.8817841970012523E-16</v>
      </c>
      <c r="AB521" s="1040">
        <f t="shared" si="675"/>
        <v>4.4408920985006262E-16</v>
      </c>
      <c r="AC521" s="1040">
        <f t="shared" si="675"/>
        <v>0</v>
      </c>
      <c r="AD521" s="2999">
        <f ca="1">ABS(-AD517-AD518-AD519-AD520)</f>
        <v>0</v>
      </c>
      <c r="AE521" s="2999">
        <f ca="1">ABS(-AE517-AE518-AE519-AE520)</f>
        <v>0</v>
      </c>
      <c r="AF521" s="2999">
        <f ca="1">ABS(-AF517-AF518-AF519-AF520)</f>
        <v>0</v>
      </c>
      <c r="AG521" s="2940"/>
      <c r="AH521" s="2939"/>
      <c r="AI521" s="2939"/>
      <c r="AJ521" s="2939"/>
      <c r="AK521" s="2939"/>
      <c r="AL521" s="2939"/>
      <c r="AM521" s="2939"/>
      <c r="AN521" s="2939"/>
      <c r="AO521" s="2939"/>
      <c r="AP521" s="2939"/>
      <c r="AQ521" s="2939"/>
      <c r="AR521" s="2940"/>
      <c r="AS521" s="2940"/>
      <c r="AT521" s="2940"/>
      <c r="BB521" s="3496">
        <v>0</v>
      </c>
      <c r="BC521" s="736" t="str">
        <f t="shared" si="668"/>
        <v/>
      </c>
    </row>
    <row r="522" spans="1:55" ht="12.75" customHeight="1">
      <c r="A522" s="701"/>
      <c r="B522" s="701"/>
      <c r="C522" s="811"/>
      <c r="E522" s="823"/>
      <c r="F522" s="824"/>
      <c r="G522" s="740"/>
      <c r="H522" s="825"/>
      <c r="I522" s="740"/>
      <c r="J522" s="740"/>
      <c r="K522" s="740"/>
      <c r="L522" s="740"/>
      <c r="M522" s="740"/>
      <c r="N522" s="740"/>
      <c r="O522" s="740"/>
      <c r="P522" s="740"/>
      <c r="Q522" s="740"/>
      <c r="R522" s="740"/>
      <c r="S522" s="740"/>
      <c r="T522" s="740"/>
      <c r="U522" s="740"/>
      <c r="V522" s="740"/>
      <c r="W522" s="740"/>
      <c r="X522" s="740"/>
      <c r="Y522" s="740"/>
      <c r="Z522" s="2322"/>
      <c r="AA522" s="2322"/>
      <c r="AB522" s="2322"/>
      <c r="AC522" s="2322"/>
      <c r="AD522" s="2322"/>
      <c r="AE522" s="2322"/>
      <c r="AF522" s="2322"/>
      <c r="BB522" s="3475"/>
      <c r="BC522" s="736" t="str">
        <f t="shared" si="668"/>
        <v/>
      </c>
    </row>
    <row r="523" spans="1:55" ht="12.75" customHeight="1">
      <c r="A523" s="701"/>
      <c r="B523" s="701"/>
      <c r="C523" s="811"/>
      <c r="D523" s="779"/>
      <c r="E523" s="780" t="s">
        <v>1883</v>
      </c>
      <c r="F523" s="781"/>
      <c r="G523" s="782">
        <f>+G516</f>
        <v>1995</v>
      </c>
      <c r="H523" s="782">
        <f>+G523+1</f>
        <v>1996</v>
      </c>
      <c r="I523" s="782">
        <f t="shared" ref="I523:O523" si="676">+H523+1</f>
        <v>1997</v>
      </c>
      <c r="J523" s="782">
        <f t="shared" si="676"/>
        <v>1998</v>
      </c>
      <c r="K523" s="782">
        <f t="shared" si="676"/>
        <v>1999</v>
      </c>
      <c r="L523" s="782">
        <f t="shared" si="676"/>
        <v>2000</v>
      </c>
      <c r="M523" s="782">
        <f t="shared" si="676"/>
        <v>2001</v>
      </c>
      <c r="N523" s="782">
        <f t="shared" si="676"/>
        <v>2002</v>
      </c>
      <c r="O523" s="782">
        <f t="shared" si="676"/>
        <v>2003</v>
      </c>
      <c r="P523" s="782">
        <f>+O523+1</f>
        <v>2004</v>
      </c>
      <c r="Q523" s="782">
        <f>+P523+1</f>
        <v>2005</v>
      </c>
      <c r="R523" s="782">
        <f>+Q523+1</f>
        <v>2006</v>
      </c>
      <c r="S523" s="782">
        <f>+R523+1</f>
        <v>2007</v>
      </c>
      <c r="T523" s="782">
        <f t="shared" ref="T523:AF523" si="677">+S523+1</f>
        <v>2008</v>
      </c>
      <c r="U523" s="782">
        <f t="shared" si="677"/>
        <v>2009</v>
      </c>
      <c r="V523" s="782">
        <f t="shared" si="677"/>
        <v>2010</v>
      </c>
      <c r="W523" s="782">
        <f t="shared" si="677"/>
        <v>2011</v>
      </c>
      <c r="X523" s="782">
        <f t="shared" si="677"/>
        <v>2012</v>
      </c>
      <c r="Y523" s="782">
        <f t="shared" si="677"/>
        <v>2013</v>
      </c>
      <c r="Z523" s="2272">
        <f t="shared" si="677"/>
        <v>2014</v>
      </c>
      <c r="AA523" s="2272">
        <f t="shared" si="677"/>
        <v>2015</v>
      </c>
      <c r="AB523" s="2272">
        <f t="shared" si="677"/>
        <v>2016</v>
      </c>
      <c r="AC523" s="2272">
        <f t="shared" si="677"/>
        <v>2017</v>
      </c>
      <c r="AD523" s="2272">
        <f t="shared" si="677"/>
        <v>2018</v>
      </c>
      <c r="AE523" s="2272">
        <f t="shared" si="677"/>
        <v>2019</v>
      </c>
      <c r="AF523" s="2272">
        <f t="shared" si="677"/>
        <v>2020</v>
      </c>
      <c r="BB523" s="3476">
        <v>2016</v>
      </c>
      <c r="BC523" s="736" t="str">
        <f t="shared" si="668"/>
        <v/>
      </c>
    </row>
    <row r="524" spans="1:55" ht="12.75" customHeight="1">
      <c r="A524" s="701"/>
      <c r="B524" s="701"/>
      <c r="C524" s="831" t="s">
        <v>301</v>
      </c>
      <c r="D524" s="726" t="s">
        <v>664</v>
      </c>
      <c r="E524" s="775" t="s">
        <v>1340</v>
      </c>
      <c r="F524" s="770" t="s">
        <v>1285</v>
      </c>
      <c r="G524" s="776"/>
      <c r="H524" s="776">
        <f t="shared" ref="H524:AC524" si="678">(H517/G517-1)*100</f>
        <v>7.3598130841121545</v>
      </c>
      <c r="I524" s="776">
        <f t="shared" si="678"/>
        <v>-5.0054406964091473</v>
      </c>
      <c r="J524" s="776">
        <f t="shared" si="678"/>
        <v>33.791523482245125</v>
      </c>
      <c r="K524" s="776">
        <f t="shared" si="678"/>
        <v>29.965753424657549</v>
      </c>
      <c r="L524" s="776">
        <f t="shared" si="678"/>
        <v>43.148880105401858</v>
      </c>
      <c r="M524" s="776">
        <f t="shared" si="678"/>
        <v>11.826967326277039</v>
      </c>
      <c r="N524" s="776">
        <f t="shared" si="678"/>
        <v>-4.3621399176954849</v>
      </c>
      <c r="O524" s="776">
        <f t="shared" si="678"/>
        <v>29.475043029259894</v>
      </c>
      <c r="P524" s="776">
        <f t="shared" si="678"/>
        <v>27.351279494848789</v>
      </c>
      <c r="Q524" s="776">
        <f t="shared" si="678"/>
        <v>16.831941544885186</v>
      </c>
      <c r="R524" s="776">
        <f t="shared" si="678"/>
        <v>17.846772392226917</v>
      </c>
      <c r="S524" s="776">
        <f t="shared" si="678"/>
        <v>9.0219863532979616</v>
      </c>
      <c r="T524" s="776">
        <f t="shared" si="678"/>
        <v>17.628650904033382</v>
      </c>
      <c r="U524" s="776">
        <f t="shared" si="678"/>
        <v>-29.071829736919884</v>
      </c>
      <c r="V524" s="776">
        <f t="shared" si="678"/>
        <v>15.774119608251702</v>
      </c>
      <c r="W524" s="776">
        <f t="shared" si="678"/>
        <v>7.5233981281497497</v>
      </c>
      <c r="X524" s="776">
        <f t="shared" si="678"/>
        <v>-26.21359223300971</v>
      </c>
      <c r="Y524" s="776">
        <f t="shared" si="678"/>
        <v>0.5671506352086908</v>
      </c>
      <c r="Z524" s="776">
        <f t="shared" si="678"/>
        <v>26.054590570719615</v>
      </c>
      <c r="AA524" s="776">
        <f t="shared" si="678"/>
        <v>28.382247673586257</v>
      </c>
      <c r="AB524" s="776">
        <f t="shared" si="678"/>
        <v>22.86032896570951</v>
      </c>
      <c r="AC524" s="776">
        <f t="shared" si="678"/>
        <v>14.250056727932847</v>
      </c>
      <c r="AD524" s="2362">
        <v>0</v>
      </c>
      <c r="AE524" s="2362">
        <v>0</v>
      </c>
      <c r="AF524" s="2362">
        <v>0</v>
      </c>
      <c r="BB524" s="3477">
        <v>32.213548926679671</v>
      </c>
      <c r="BC524" s="736">
        <f t="shared" si="668"/>
        <v>-9.3532199609701614</v>
      </c>
    </row>
    <row r="525" spans="1:55" ht="12.75" customHeight="1">
      <c r="A525" s="701"/>
      <c r="B525" s="701"/>
      <c r="C525" s="832" t="s">
        <v>301</v>
      </c>
      <c r="D525" s="711" t="s">
        <v>665</v>
      </c>
      <c r="E525" s="820" t="s">
        <v>1340</v>
      </c>
      <c r="F525" s="741" t="s">
        <v>743</v>
      </c>
      <c r="G525" s="743"/>
      <c r="H525" s="743">
        <f t="shared" ref="H525:AC525" si="679">(H518/G518-1)*100</f>
        <v>51293.75</v>
      </c>
      <c r="I525" s="743">
        <f t="shared" si="679"/>
        <v>-132.34829137784263</v>
      </c>
      <c r="J525" s="743">
        <f t="shared" si="679"/>
        <v>-741.57894736842093</v>
      </c>
      <c r="K525" s="743">
        <f t="shared" si="679"/>
        <v>58.590179303879061</v>
      </c>
      <c r="L525" s="743">
        <f t="shared" si="679"/>
        <v>-78.706816922224277</v>
      </c>
      <c r="M525" s="743">
        <f t="shared" si="679"/>
        <v>-68.592746833246565</v>
      </c>
      <c r="N525" s="743">
        <f t="shared" si="679"/>
        <v>-111.87845303867402</v>
      </c>
      <c r="O525" s="743">
        <f t="shared" si="679"/>
        <v>-300</v>
      </c>
      <c r="P525" s="743">
        <f t="shared" si="679"/>
        <v>234.6511627906977</v>
      </c>
      <c r="Q525" s="743">
        <f t="shared" si="679"/>
        <v>73.662265462126484</v>
      </c>
      <c r="R525" s="743">
        <f t="shared" si="679"/>
        <v>552.50100040016014</v>
      </c>
      <c r="S525" s="743">
        <f t="shared" si="679"/>
        <v>-102.02379492211455</v>
      </c>
      <c r="T525" s="743">
        <f t="shared" si="679"/>
        <v>-890</v>
      </c>
      <c r="U525" s="743">
        <f t="shared" si="679"/>
        <v>10.625239739163783</v>
      </c>
      <c r="V525" s="743">
        <f t="shared" si="679"/>
        <v>-0.41608876560332853</v>
      </c>
      <c r="W525" s="743">
        <f t="shared" si="679"/>
        <v>-194.70752089136491</v>
      </c>
      <c r="X525" s="743">
        <f t="shared" si="679"/>
        <v>-101.76470588235293</v>
      </c>
      <c r="Y525" s="743">
        <f t="shared" si="679"/>
        <v>5429.1666666666661</v>
      </c>
      <c r="Z525" s="743">
        <f t="shared" si="679"/>
        <v>-123.05953278070835</v>
      </c>
      <c r="AA525" s="743">
        <f t="shared" si="679"/>
        <v>109.31372549019609</v>
      </c>
      <c r="AB525" s="743">
        <f t="shared" si="679"/>
        <v>-126.9320843091335</v>
      </c>
      <c r="AC525" s="743">
        <f t="shared" si="679"/>
        <v>-154.49275362318841</v>
      </c>
      <c r="AD525" s="2363">
        <v>0</v>
      </c>
      <c r="AE525" s="2363">
        <v>0</v>
      </c>
      <c r="AF525" s="2363">
        <v>0</v>
      </c>
      <c r="BB525" s="3472">
        <v>-81.576893052302893</v>
      </c>
      <c r="BC525" s="736">
        <f t="shared" si="668"/>
        <v>-45.355191256830608</v>
      </c>
    </row>
    <row r="526" spans="1:55" ht="12.75" customHeight="1">
      <c r="A526" s="701"/>
      <c r="B526" s="701"/>
      <c r="C526" s="833" t="s">
        <v>301</v>
      </c>
      <c r="D526" s="728" t="s">
        <v>666</v>
      </c>
      <c r="E526" s="834" t="s">
        <v>1340</v>
      </c>
      <c r="F526" s="773" t="s">
        <v>751</v>
      </c>
      <c r="G526" s="778"/>
      <c r="H526" s="778">
        <f>(H519/G519-1)*100</f>
        <v>948.39449541284398</v>
      </c>
      <c r="I526" s="778">
        <f t="shared" ref="I526:AC527" si="680">(I519/H519-1)*100</f>
        <v>-119.54714504484795</v>
      </c>
      <c r="J526" s="778">
        <f t="shared" si="680"/>
        <v>-1209.2333519865697</v>
      </c>
      <c r="K526" s="778">
        <f t="shared" si="680"/>
        <v>-73.660579154474831</v>
      </c>
      <c r="L526" s="778">
        <f t="shared" si="680"/>
        <v>14.460831258379624</v>
      </c>
      <c r="M526" s="778">
        <f t="shared" si="680"/>
        <v>-18.657965194109771</v>
      </c>
      <c r="N526" s="778">
        <f t="shared" si="680"/>
        <v>-44.990742645546177</v>
      </c>
      <c r="O526" s="778">
        <f t="shared" si="680"/>
        <v>39.34181002243831</v>
      </c>
      <c r="P526" s="778">
        <f t="shared" si="680"/>
        <v>38.701019860440141</v>
      </c>
      <c r="Q526" s="778">
        <f t="shared" si="680"/>
        <v>29.818111455108355</v>
      </c>
      <c r="R526" s="778">
        <f t="shared" si="680"/>
        <v>-7.7358771799075798</v>
      </c>
      <c r="S526" s="778">
        <f t="shared" si="680"/>
        <v>-1.5347334410339308</v>
      </c>
      <c r="T526" s="778">
        <f t="shared" si="680"/>
        <v>23.44544708777687</v>
      </c>
      <c r="U526" s="778">
        <f t="shared" si="680"/>
        <v>-8.7586390217969097</v>
      </c>
      <c r="V526" s="778">
        <f t="shared" si="680"/>
        <v>1.077931536780774</v>
      </c>
      <c r="W526" s="778">
        <f t="shared" si="680"/>
        <v>-79.809770860354519</v>
      </c>
      <c r="X526" s="778">
        <f t="shared" si="680"/>
        <v>114.98929336188435</v>
      </c>
      <c r="Y526" s="778">
        <f t="shared" si="680"/>
        <v>-28.187250996015944</v>
      </c>
      <c r="Z526" s="778">
        <f t="shared" si="680"/>
        <v>41.840036985668071</v>
      </c>
      <c r="AA526" s="778">
        <f t="shared" si="680"/>
        <v>-48.598435462842247</v>
      </c>
      <c r="AB526" s="778">
        <f t="shared" si="680"/>
        <v>355.54850982878889</v>
      </c>
      <c r="AC526" s="778">
        <f t="shared" si="680"/>
        <v>-19.042316258351899</v>
      </c>
      <c r="AD526" s="2964">
        <f ca="1">+'VVP2'!AD348</f>
        <v>4.8980364670283993</v>
      </c>
      <c r="AE526" s="2964">
        <f ca="1">+'VVP2'!AE348</f>
        <v>3.7812749119215061</v>
      </c>
      <c r="AF526" s="2964">
        <f ca="1">+'VVP2'!AF348</f>
        <v>3.5451641625984909</v>
      </c>
      <c r="BB526" s="3492">
        <v>67.533291058972722</v>
      </c>
      <c r="BC526" s="736">
        <f t="shared" si="668"/>
        <v>288.01521876981616</v>
      </c>
    </row>
    <row r="527" spans="1:55" ht="12.75" customHeight="1">
      <c r="A527" s="701"/>
      <c r="B527" s="701"/>
      <c r="C527" s="811" t="s">
        <v>1793</v>
      </c>
      <c r="D527" s="754" t="s">
        <v>667</v>
      </c>
      <c r="E527" s="759" t="s">
        <v>1340</v>
      </c>
      <c r="F527" s="760" t="s">
        <v>1724</v>
      </c>
      <c r="G527" s="758"/>
      <c r="H527" s="758" t="e">
        <f>(H520/G520-1)*100</f>
        <v>#DIV/0!</v>
      </c>
      <c r="I527" s="758" t="e">
        <f t="shared" ref="I527:AF527" si="681">(I520/H520-1)*100</f>
        <v>#DIV/0!</v>
      </c>
      <c r="J527" s="758" t="e">
        <f t="shared" si="681"/>
        <v>#DIV/0!</v>
      </c>
      <c r="K527" s="758">
        <f t="shared" si="681"/>
        <v>-1571.1586901763224</v>
      </c>
      <c r="L527" s="758">
        <f t="shared" si="681"/>
        <v>-91.610307336700629</v>
      </c>
      <c r="M527" s="758">
        <f t="shared" si="681"/>
        <v>-131.68367346938777</v>
      </c>
      <c r="N527" s="758">
        <f t="shared" si="681"/>
        <v>-9.0177133655394588</v>
      </c>
      <c r="O527" s="758">
        <f t="shared" si="681"/>
        <v>-49.203539823008846</v>
      </c>
      <c r="P527" s="758">
        <f t="shared" si="681"/>
        <v>-135.88850174216026</v>
      </c>
      <c r="Q527" s="758">
        <f t="shared" si="681"/>
        <v>159.22330097087379</v>
      </c>
      <c r="R527" s="758">
        <f t="shared" si="681"/>
        <v>5664.7940074906355</v>
      </c>
      <c r="S527" s="758">
        <f t="shared" si="681"/>
        <v>-104.37240124740126</v>
      </c>
      <c r="T527" s="758">
        <f t="shared" si="681"/>
        <v>-374.73997028231798</v>
      </c>
      <c r="U527" s="758">
        <f t="shared" si="681"/>
        <v>-55.759870200108175</v>
      </c>
      <c r="V527" s="758">
        <f t="shared" si="681"/>
        <v>82.029339853300769</v>
      </c>
      <c r="W527" s="758">
        <f t="shared" si="681"/>
        <v>24.445936870382788</v>
      </c>
      <c r="X527" s="758">
        <f t="shared" si="680"/>
        <v>-22.072315164597956</v>
      </c>
      <c r="Y527" s="758">
        <f t="shared" si="680"/>
        <v>240.99722991689757</v>
      </c>
      <c r="Z527" s="758">
        <f t="shared" si="680"/>
        <v>-61.251015434606018</v>
      </c>
      <c r="AA527" s="758">
        <f t="shared" si="680"/>
        <v>126.20545073375263</v>
      </c>
      <c r="AB527" s="758">
        <f t="shared" si="680"/>
        <v>-54.240037071362366</v>
      </c>
      <c r="AC527" s="758">
        <f t="shared" si="680"/>
        <v>105.87341772151899</v>
      </c>
      <c r="AD527" s="2328">
        <f t="shared" ca="1" si="681"/>
        <v>-7.0061436527882881</v>
      </c>
      <c r="AE527" s="2328">
        <f t="shared" ca="1" si="681"/>
        <v>-6.1011032957169249</v>
      </c>
      <c r="AF527" s="2328">
        <f t="shared" ca="1" si="681"/>
        <v>-6.322152788226032</v>
      </c>
      <c r="BB527" s="3493">
        <v>53.081556997219614</v>
      </c>
      <c r="BC527" s="736">
        <f t="shared" si="668"/>
        <v>-107.32159406858199</v>
      </c>
    </row>
    <row r="528" spans="1:55" ht="12.75" customHeight="1">
      <c r="A528" s="701"/>
      <c r="B528" s="701"/>
      <c r="C528" s="811"/>
      <c r="E528" s="823"/>
      <c r="F528" s="824"/>
      <c r="G528" s="740"/>
      <c r="H528" s="825"/>
      <c r="I528" s="825"/>
      <c r="J528" s="825"/>
      <c r="K528" s="825"/>
      <c r="L528" s="825"/>
      <c r="M528" s="825"/>
      <c r="N528" s="825"/>
      <c r="O528" s="825"/>
      <c r="P528" s="825"/>
      <c r="Q528" s="825"/>
      <c r="R528" s="825"/>
      <c r="S528" s="825"/>
      <c r="T528" s="825"/>
      <c r="U528" s="825"/>
      <c r="V528" s="825"/>
      <c r="W528" s="825"/>
      <c r="X528" s="2342"/>
      <c r="Y528" s="2342"/>
      <c r="Z528" s="2342"/>
      <c r="AA528" s="2342"/>
      <c r="AB528" s="2342"/>
      <c r="AC528" s="2342"/>
      <c r="AD528" s="2342"/>
      <c r="AE528" s="2342"/>
      <c r="AF528" s="2342"/>
      <c r="BB528" s="3543"/>
      <c r="BC528" s="736" t="str">
        <f t="shared" si="668"/>
        <v/>
      </c>
    </row>
    <row r="529" spans="1:55" ht="12.75" customHeight="1">
      <c r="A529" s="701"/>
      <c r="B529" s="701"/>
      <c r="C529" s="811"/>
      <c r="D529" s="855"/>
      <c r="E529" s="856" t="s">
        <v>1884</v>
      </c>
      <c r="F529" s="857"/>
      <c r="G529" s="858">
        <f>+InputY!$G$3</f>
        <v>1995</v>
      </c>
      <c r="H529" s="858">
        <f>+G529+1</f>
        <v>1996</v>
      </c>
      <c r="I529" s="858">
        <f t="shared" ref="I529:O529" si="682">+H529+1</f>
        <v>1997</v>
      </c>
      <c r="J529" s="858">
        <f t="shared" si="682"/>
        <v>1998</v>
      </c>
      <c r="K529" s="858">
        <f t="shared" si="682"/>
        <v>1999</v>
      </c>
      <c r="L529" s="858">
        <f t="shared" si="682"/>
        <v>2000</v>
      </c>
      <c r="M529" s="858">
        <f t="shared" si="682"/>
        <v>2001</v>
      </c>
      <c r="N529" s="858">
        <f t="shared" si="682"/>
        <v>2002</v>
      </c>
      <c r="O529" s="858">
        <f t="shared" si="682"/>
        <v>2003</v>
      </c>
      <c r="P529" s="858">
        <f>+O529+1</f>
        <v>2004</v>
      </c>
      <c r="Q529" s="858">
        <f>+P529+1</f>
        <v>2005</v>
      </c>
      <c r="R529" s="858">
        <f>+Q529+1</f>
        <v>2006</v>
      </c>
      <c r="S529" s="858">
        <f t="shared" ref="S529:Y529" si="683">+R529+1</f>
        <v>2007</v>
      </c>
      <c r="T529" s="858">
        <f t="shared" si="683"/>
        <v>2008</v>
      </c>
      <c r="U529" s="858">
        <f t="shared" si="683"/>
        <v>2009</v>
      </c>
      <c r="V529" s="858">
        <f>+U529+1</f>
        <v>2010</v>
      </c>
      <c r="W529" s="858">
        <f>+V529+1</f>
        <v>2011</v>
      </c>
      <c r="X529" s="858">
        <f t="shared" si="683"/>
        <v>2012</v>
      </c>
      <c r="Y529" s="858">
        <f t="shared" si="683"/>
        <v>2013</v>
      </c>
      <c r="Z529" s="858">
        <f t="shared" ref="Z529:AF529" si="684">+Y529+1</f>
        <v>2014</v>
      </c>
      <c r="AA529" s="858">
        <f t="shared" si="684"/>
        <v>2015</v>
      </c>
      <c r="AB529" s="858">
        <f t="shared" si="684"/>
        <v>2016</v>
      </c>
      <c r="AC529" s="858">
        <f t="shared" si="684"/>
        <v>2017</v>
      </c>
      <c r="AD529" s="858">
        <f t="shared" si="684"/>
        <v>2018</v>
      </c>
      <c r="AE529" s="858">
        <f t="shared" si="684"/>
        <v>2019</v>
      </c>
      <c r="AF529" s="858">
        <f t="shared" si="684"/>
        <v>2020</v>
      </c>
      <c r="BB529" s="3480">
        <v>2016</v>
      </c>
      <c r="BC529" s="736" t="str">
        <f t="shared" si="668"/>
        <v/>
      </c>
    </row>
    <row r="530" spans="1:55" ht="12.75" customHeight="1">
      <c r="A530" s="701"/>
      <c r="B530" s="701"/>
      <c r="C530" s="859" t="s">
        <v>301</v>
      </c>
      <c r="D530" s="860" t="s">
        <v>664</v>
      </c>
      <c r="E530" s="861" t="s">
        <v>1340</v>
      </c>
      <c r="F530" s="862" t="s">
        <v>1285</v>
      </c>
      <c r="G530" s="875">
        <f>+G517/'VVP2'!G$341</f>
        <v>4.5395535115779829E-4</v>
      </c>
      <c r="H530" s="875">
        <f>+H517/'VVP2'!H$341</f>
        <v>4.7508811617998141E-4</v>
      </c>
      <c r="I530" s="875">
        <f>+I517/'VVP2'!I$341</f>
        <v>4.3175543947560259E-4</v>
      </c>
      <c r="J530" s="875">
        <f>+J517/'VVP2'!J$341</f>
        <v>5.4980074430217201E-4</v>
      </c>
      <c r="K530" s="875">
        <f>+K517/'VVP2'!K$341</f>
        <v>6.7750526316259286E-4</v>
      </c>
      <c r="L530" s="875">
        <f>+L517/'VVP2'!L$341</f>
        <v>9.1163630535998508E-4</v>
      </c>
      <c r="M530" s="875">
        <f>+M517/'VVP2'!M$341</f>
        <v>9.7908228965041524E-4</v>
      </c>
      <c r="N530" s="875">
        <f>+N517/'VVP2'!N$341</f>
        <v>9.0288928456125372E-4</v>
      </c>
      <c r="O530" s="875">
        <f>+O517/'VVP2'!O$341</f>
        <v>1.1223997645534293E-3</v>
      </c>
      <c r="P530" s="3199">
        <f>+P517/'VVP2'!P$341</f>
        <v>1.3644765370212182E-3</v>
      </c>
      <c r="Q530" s="3199">
        <f>+Q517/'VVP2'!Q$341</f>
        <v>1.5381269619536035E-3</v>
      </c>
      <c r="R530" s="3199">
        <f>+R517/'VVP2'!R$341</f>
        <v>1.7003810065250027E-3</v>
      </c>
      <c r="S530" s="3199">
        <f>+S517/'VVP2'!S$341</f>
        <v>1.7425112458925112E-3</v>
      </c>
      <c r="T530" s="3199">
        <f>+T517/'VVP2'!T$341</f>
        <v>1.9948810044340846E-3</v>
      </c>
      <c r="U530" s="3199">
        <f>+U517/'VVP2'!U$341</f>
        <v>1.4577724422989123E-3</v>
      </c>
      <c r="V530" s="3199">
        <f>+V517/'VVP2'!V$341</f>
        <v>1.5766962254641548E-3</v>
      </c>
      <c r="W530" s="3199">
        <f>+W517/'VVP2'!W$341</f>
        <v>1.6317754257461604E-3</v>
      </c>
      <c r="X530" s="3199">
        <f>+X517/'VVP2'!X$341</f>
        <v>1.1949455538022339E-3</v>
      </c>
      <c r="Y530" s="3199">
        <f>+Y517/'VVP2'!Y$341</f>
        <v>1.1746347781455928E-3</v>
      </c>
      <c r="Z530" s="3199">
        <f>+Z517/'VVP2'!Z$341</f>
        <v>1.417941219383774E-3</v>
      </c>
      <c r="AA530" s="3199">
        <f>+AA517/'VVP2'!AA$341</f>
        <v>1.7074679468947482E-3</v>
      </c>
      <c r="AB530" s="3199">
        <f>+AB517/'VVP2'!AB$341</f>
        <v>2.009806414187491E-3</v>
      </c>
      <c r="AC530" s="3199">
        <f>+AC517/'VVP2'!AC$341</f>
        <v>2.1992186331255613E-3</v>
      </c>
      <c r="AD530" s="3196">
        <f ca="1">+AD517/'VVP2'!AD$341</f>
        <v>2.0965298371593646E-3</v>
      </c>
      <c r="AE530" s="3196">
        <f ca="1">+AE517/'VVP2'!AE$341</f>
        <v>2.0201426884943127E-3</v>
      </c>
      <c r="AF530" s="3196">
        <f ca="1">+AF517/'VVP2'!AF$341</f>
        <v>1.950977339049898E-3</v>
      </c>
      <c r="BB530" s="3481">
        <v>2.1532652672977461E-3</v>
      </c>
      <c r="BC530" s="736" t="str">
        <f t="shared" si="668"/>
        <v/>
      </c>
    </row>
    <row r="531" spans="1:55" ht="12.75" customHeight="1">
      <c r="A531" s="701"/>
      <c r="B531" s="701"/>
      <c r="C531" s="863" t="s">
        <v>301</v>
      </c>
      <c r="D531" s="711" t="s">
        <v>665</v>
      </c>
      <c r="E531" s="820" t="s">
        <v>1340</v>
      </c>
      <c r="F531" s="741" t="s">
        <v>743</v>
      </c>
      <c r="G531" s="876">
        <f>+G518/'VVP2'!G$341</f>
        <v>8.4851467506130526E-6</v>
      </c>
      <c r="H531" s="876">
        <f>+H518/'VVP2'!H$341</f>
        <v>4.2509788676256665E-3</v>
      </c>
      <c r="I531" s="876">
        <f>+I518/'VVP2'!I$341</f>
        <v>-1.3155434925602554E-3</v>
      </c>
      <c r="J531" s="876">
        <f>+J518/'VVP2'!J$341</f>
        <v>8.0333043683740307E-3</v>
      </c>
      <c r="K531" s="876">
        <f>+K518/'VVP2'!K$341</f>
        <v>1.2079499306650577E-2</v>
      </c>
      <c r="L531" s="876">
        <f>+L518/'VVP2'!L$341</f>
        <v>2.4177450657108116E-3</v>
      </c>
      <c r="M531" s="876">
        <f>+M518/'VVP2'!M$341</f>
        <v>7.2927528570668784E-4</v>
      </c>
      <c r="N531" s="876">
        <f>+N518/'VVP2'!N$341</f>
        <v>-8.3528914019220977E-5</v>
      </c>
      <c r="O531" s="876">
        <f>+O518/'VVP2'!O$341</f>
        <v>1.6039611125223484E-4</v>
      </c>
      <c r="P531" s="876">
        <f>+P518/'VVP2'!P$341</f>
        <v>5.1239084988870904E-4</v>
      </c>
      <c r="Q531" s="876">
        <f>+Q518/'VVP2'!Q$341</f>
        <v>8.5856137545723809E-4</v>
      </c>
      <c r="R531" s="876">
        <f>+R518/'VVP2'!R$341</f>
        <v>5.2551957339644993E-3</v>
      </c>
      <c r="S531" s="876">
        <f>+S518/'VVP2'!S$341</f>
        <v>-9.9970220991747003E-5</v>
      </c>
      <c r="T531" s="876">
        <f>+T518/'VVP2'!T$341</f>
        <v>7.6864540031919282E-4</v>
      </c>
      <c r="U531" s="876">
        <f>+U518/'VVP2'!U$341</f>
        <v>8.7606078841218234E-4</v>
      </c>
      <c r="V531" s="3200">
        <f>+V518/'VVP2'!V$341</f>
        <v>8.1502367882164376E-4</v>
      </c>
      <c r="W531" s="3200">
        <f>+W518/'VVP2'!W$341</f>
        <v>-7.4295767626875728E-4</v>
      </c>
      <c r="X531" s="3200">
        <f>+X518/'VVP2'!X$341</f>
        <v>1.3012111293672237E-5</v>
      </c>
      <c r="Y531" s="3200">
        <f>+Y518/'VVP2'!Y$341</f>
        <v>7.0324401109821859E-4</v>
      </c>
      <c r="Z531" s="3200">
        <f>+Z518/'VVP2'!Z$341</f>
        <v>-1.5529349074138685E-4</v>
      </c>
      <c r="AA531" s="3200">
        <f>+AA518/'VVP2'!AA$341</f>
        <v>-3.0488798995987904E-4</v>
      </c>
      <c r="AB531" s="3200">
        <f>+AB518/'VVP2'!AB$341</f>
        <v>7.8668392658802404E-5</v>
      </c>
      <c r="AC531" s="3200">
        <f>+AC518/'VVP2'!AC$341</f>
        <v>-4.1057904967984661E-5</v>
      </c>
      <c r="AD531" s="3197">
        <f ca="1">+AD518/'VVP2'!AD$341</f>
        <v>-3.9140775510025874E-5</v>
      </c>
      <c r="AE531" s="3197">
        <f ca="1">+AE518/'VVP2'!AE$341</f>
        <v>-3.7714679785196699E-5</v>
      </c>
      <c r="AF531" s="3197">
        <f ca="1">+AF518/'VVP2'!AF$341</f>
        <v>-3.642341010341418E-5</v>
      </c>
      <c r="BB531" s="3482">
        <v>-5.3576236487323996E-5</v>
      </c>
      <c r="BC531" s="736" t="str">
        <f t="shared" si="668"/>
        <v/>
      </c>
    </row>
    <row r="532" spans="1:55" ht="12.75" customHeight="1">
      <c r="A532" s="701"/>
      <c r="B532" s="701"/>
      <c r="C532" s="864" t="s">
        <v>301</v>
      </c>
      <c r="D532" s="865" t="s">
        <v>666</v>
      </c>
      <c r="E532" s="866" t="s">
        <v>1340</v>
      </c>
      <c r="F532" s="867" t="s">
        <v>751</v>
      </c>
      <c r="G532" s="877">
        <f>+G519/'VVP2'!G$341</f>
        <v>-4.6244049790841133E-4</v>
      </c>
      <c r="H532" s="877">
        <f>+H519/'VVP2'!H$341</f>
        <v>-4.7260669838056473E-3</v>
      </c>
      <c r="I532" s="877">
        <f>+I519/'VVP2'!I$341</f>
        <v>8.8378805308465271E-4</v>
      </c>
      <c r="J532" s="877">
        <f>+J519/'VVP2'!J$341</f>
        <v>-9.3306081794157988E-3</v>
      </c>
      <c r="K532" s="877">
        <f>+K519/'VVP2'!K$341</f>
        <v>-2.330207496028918E-3</v>
      </c>
      <c r="L532" s="877">
        <f>+L519/'VVP2'!L$341</f>
        <v>-2.5071047219656101E-3</v>
      </c>
      <c r="M532" s="877">
        <f>+M519/'VVP2'!M$341</f>
        <v>-1.9585674938233199E-3</v>
      </c>
      <c r="N532" s="877">
        <f>+N519/'VVP2'!N$341</f>
        <v>-1.0388665864530088E-3</v>
      </c>
      <c r="O532" s="877">
        <f>+O519/'VVP2'!O$341</f>
        <v>-1.3898509547112256E-3</v>
      </c>
      <c r="P532" s="877">
        <f>+P519/'VVP2'!P$341</f>
        <v>-1.8401917388636889E-3</v>
      </c>
      <c r="Q532" s="877">
        <f>+Q519/'VVP2'!Q$341</f>
        <v>-2.3049572900930813E-3</v>
      </c>
      <c r="R532" s="877">
        <f>+R519/'VVP2'!R$341</f>
        <v>-1.9949504227425642E-3</v>
      </c>
      <c r="S532" s="877">
        <f>+S519/'VVP2'!S$341</f>
        <v>-1.8464196877112059E-3</v>
      </c>
      <c r="T532" s="877">
        <f>+T519/'VVP2'!T$341</f>
        <v>-2.2183690034528599E-3</v>
      </c>
      <c r="U532" s="877">
        <f>+U519/'VVP2'!U$341</f>
        <v>-2.0853527435678336E-3</v>
      </c>
      <c r="V532" s="3201">
        <f>+V519/'VVP2'!V$341</f>
        <v>-1.969167586122349E-3</v>
      </c>
      <c r="W532" s="3201">
        <f>+W519/'VVP2'!W$341</f>
        <v>-3.8267783251931211E-4</v>
      </c>
      <c r="X532" s="3201">
        <f>+X519/'VVP2'!X$341</f>
        <v>-8.1650998367793293E-4</v>
      </c>
      <c r="Y532" s="3201">
        <f>+Y519/'VVP2'!Y$341</f>
        <v>-5.7314121929368759E-4</v>
      </c>
      <c r="Z532" s="3201">
        <f>+Z519/'VVP2'!Z$341</f>
        <v>-7.7849743397806351E-4</v>
      </c>
      <c r="AA532" s="3201">
        <f>+AA519/'VVP2'!AA$341</f>
        <v>-3.7533829833468325E-4</v>
      </c>
      <c r="AB532" s="3201">
        <f>+AB519/'VVP2'!AB$341</f>
        <v>-1.6381267619154682E-3</v>
      </c>
      <c r="AC532" s="3201">
        <f>+AC519/'VVP2'!AC$341</f>
        <v>-1.2701743366691424E-3</v>
      </c>
      <c r="AD532" s="3198">
        <f ca="1">+AD519/'VVP2'!AD$341</f>
        <v>-1.2701743366691424E-3</v>
      </c>
      <c r="AE532" s="3198">
        <f ca="1">+AE519/'VVP2'!AE$341</f>
        <v>-1.2701743366691424E-3</v>
      </c>
      <c r="AF532" s="3198">
        <f ca="1">+AF519/'VVP2'!AF$341</f>
        <v>-1.2701743366691424E-3</v>
      </c>
      <c r="BB532" s="3484">
        <v>-5.9978142711656778E-4</v>
      </c>
      <c r="BC532" s="736" t="str">
        <f t="shared" si="668"/>
        <v/>
      </c>
    </row>
    <row r="533" spans="1:55" ht="12.75" customHeight="1">
      <c r="A533" s="701"/>
      <c r="B533" s="701"/>
      <c r="C533" s="811" t="s">
        <v>1793</v>
      </c>
      <c r="D533" s="843" t="s">
        <v>667</v>
      </c>
      <c r="E533" s="844" t="s">
        <v>1340</v>
      </c>
      <c r="F533" s="845" t="s">
        <v>1724</v>
      </c>
      <c r="G533" s="878">
        <f>+G520/'VVP2'!G$341</f>
        <v>0</v>
      </c>
      <c r="H533" s="878">
        <f>+H520/'VVP2'!H$341</f>
        <v>0</v>
      </c>
      <c r="I533" s="878">
        <f>+I520/'VVP2'!I$341</f>
        <v>0</v>
      </c>
      <c r="J533" s="878">
        <f>+J520/'VVP2'!J$341</f>
        <v>7.4750306673959687E-4</v>
      </c>
      <c r="K533" s="878">
        <f>+K520/'VVP2'!K$341</f>
        <v>-1.0426797073784251E-2</v>
      </c>
      <c r="L533" s="878">
        <f>+L520/'VVP2'!L$341</f>
        <v>-8.2227664910518674E-4</v>
      </c>
      <c r="M533" s="878">
        <f>+M520/'VVP2'!M$341</f>
        <v>2.5020991846621719E-4</v>
      </c>
      <c r="N533" s="878">
        <f>+N520/'VVP2'!N$341</f>
        <v>2.1950621591097604E-4</v>
      </c>
      <c r="O533" s="878">
        <f>+O520/'VVP2'!O$341</f>
        <v>1.0705507890556138E-4</v>
      </c>
      <c r="P533" s="878">
        <f>+P520/'VVP2'!P$341</f>
        <v>-3.667564804623838E-5</v>
      </c>
      <c r="Q533" s="878">
        <f>+Q520/'VVP2'!Q$341</f>
        <v>-9.1731047317760136E-5</v>
      </c>
      <c r="R533" s="878">
        <f>+R520/'VVP2'!R$341</f>
        <v>-4.9606263177469374E-3</v>
      </c>
      <c r="S533" s="878">
        <f>+S520/'VVP2'!S$341</f>
        <v>2.0387866281044162E-4</v>
      </c>
      <c r="T533" s="878">
        <f>+T520/'VVP2'!T$341</f>
        <v>-5.4515740130041705E-4</v>
      </c>
      <c r="U533" s="878">
        <f>+U520/'VVP2'!U$341</f>
        <v>-2.4848048714326115E-4</v>
      </c>
      <c r="V533" s="878">
        <f>+V520/'VVP2'!V$341</f>
        <v>-4.2255231816344972E-4</v>
      </c>
      <c r="W533" s="878">
        <f>+W520/'VVP2'!W$341</f>
        <v>-5.0613991695809091E-4</v>
      </c>
      <c r="X533" s="878">
        <f>+X520/'VVP2'!X$341</f>
        <v>-3.9144768141797311E-4</v>
      </c>
      <c r="Y533" s="878">
        <f>+Y520/'VVP2'!Y$341</f>
        <v>-1.3047375699501238E-3</v>
      </c>
      <c r="Z533" s="878">
        <f>+Z520/'VVP2'!Z$341</f>
        <v>-4.8415029466432368E-4</v>
      </c>
      <c r="AA533" s="878">
        <f>+AA520/'VVP2'!AA$341</f>
        <v>-1.0272416586001858E-3</v>
      </c>
      <c r="AB533" s="878">
        <f>+AB520/'VVP2'!AB$341</f>
        <v>-4.5034804493082538E-4</v>
      </c>
      <c r="AC533" s="878">
        <f>+AC520/'VVP2'!AC$341</f>
        <v>-8.8798639148843412E-4</v>
      </c>
      <c r="AD533" s="3005">
        <f ca="1">+AD520/'VVP2'!AD$341</f>
        <v>-7.8721472498019616E-4</v>
      </c>
      <c r="AE533" s="3005">
        <f ca="1">+AE520/'VVP2'!AE$341</f>
        <v>-7.122536720399733E-4</v>
      </c>
      <c r="AF533" s="3005">
        <f ca="1">+AF520/'VVP2'!AF$341</f>
        <v>-6.4437959227734126E-4</v>
      </c>
      <c r="BB533" s="3507">
        <v>-1.4999076036938542E-3</v>
      </c>
      <c r="BC533" s="736" t="str">
        <f t="shared" si="668"/>
        <v/>
      </c>
    </row>
    <row r="534" spans="1:55" ht="30" customHeight="1">
      <c r="S534" s="880"/>
      <c r="T534" s="880"/>
      <c r="U534" s="880"/>
      <c r="V534" s="880"/>
      <c r="W534" s="880"/>
      <c r="BC534" s="736" t="str">
        <f t="shared" si="668"/>
        <v/>
      </c>
    </row>
    <row r="535" spans="1:55" ht="30" customHeight="1">
      <c r="BC535" s="736" t="str">
        <f t="shared" si="668"/>
        <v/>
      </c>
    </row>
    <row r="536" spans="1:55" ht="22.5" customHeight="1">
      <c r="A536" s="590"/>
      <c r="B536" s="590"/>
      <c r="C536" s="3816" t="s">
        <v>234</v>
      </c>
      <c r="D536" s="3816"/>
      <c r="E536" s="3816"/>
      <c r="F536" s="3816"/>
      <c r="AN536" s="2940"/>
      <c r="AO536" s="2940"/>
      <c r="AP536" s="2940"/>
      <c r="AQ536" s="2940"/>
      <c r="BC536" s="736" t="str">
        <f t="shared" si="668"/>
        <v/>
      </c>
    </row>
    <row r="537" spans="1:55" ht="12.75" customHeight="1">
      <c r="A537" s="701"/>
      <c r="B537" s="701"/>
      <c r="C537" s="811"/>
      <c r="AH537" s="2940"/>
      <c r="AI537" s="2940"/>
      <c r="AJ537" s="2940"/>
      <c r="AK537" s="2940"/>
      <c r="AL537" s="2940"/>
      <c r="AM537" s="2940"/>
      <c r="BC537" s="736" t="str">
        <f t="shared" si="668"/>
        <v/>
      </c>
    </row>
    <row r="538" spans="1:55" ht="12.75" customHeight="1">
      <c r="A538" s="701"/>
      <c r="B538" s="701"/>
      <c r="C538" s="811"/>
      <c r="D538" s="812"/>
      <c r="E538" s="813" t="s">
        <v>1882</v>
      </c>
      <c r="F538" s="814"/>
      <c r="G538" s="815">
        <f>+InputY!$G$3</f>
        <v>1995</v>
      </c>
      <c r="H538" s="815">
        <f>+G538+1</f>
        <v>1996</v>
      </c>
      <c r="I538" s="815">
        <f t="shared" ref="I538:O538" si="685">+H538+1</f>
        <v>1997</v>
      </c>
      <c r="J538" s="815">
        <f t="shared" si="685"/>
        <v>1998</v>
      </c>
      <c r="K538" s="815">
        <f t="shared" si="685"/>
        <v>1999</v>
      </c>
      <c r="L538" s="815">
        <f t="shared" si="685"/>
        <v>2000</v>
      </c>
      <c r="M538" s="815">
        <f t="shared" si="685"/>
        <v>2001</v>
      </c>
      <c r="N538" s="815">
        <f t="shared" si="685"/>
        <v>2002</v>
      </c>
      <c r="O538" s="815">
        <f t="shared" si="685"/>
        <v>2003</v>
      </c>
      <c r="P538" s="815">
        <f>+O538+1</f>
        <v>2004</v>
      </c>
      <c r="Q538" s="815">
        <f>+P538+1</f>
        <v>2005</v>
      </c>
      <c r="R538" s="815">
        <f>+Q538+1</f>
        <v>2006</v>
      </c>
      <c r="S538" s="815">
        <f>+R538+1</f>
        <v>2007</v>
      </c>
      <c r="T538" s="815">
        <f t="shared" ref="T538:AF538" si="686">+S538+1</f>
        <v>2008</v>
      </c>
      <c r="U538" s="815">
        <f t="shared" si="686"/>
        <v>2009</v>
      </c>
      <c r="V538" s="815">
        <f t="shared" si="686"/>
        <v>2010</v>
      </c>
      <c r="W538" s="815">
        <f t="shared" si="686"/>
        <v>2011</v>
      </c>
      <c r="X538" s="2285">
        <f t="shared" si="686"/>
        <v>2012</v>
      </c>
      <c r="Y538" s="2285">
        <f t="shared" si="686"/>
        <v>2013</v>
      </c>
      <c r="Z538" s="2285">
        <f t="shared" si="686"/>
        <v>2014</v>
      </c>
      <c r="AA538" s="2285">
        <f t="shared" si="686"/>
        <v>2015</v>
      </c>
      <c r="AB538" s="2285">
        <f t="shared" si="686"/>
        <v>2016</v>
      </c>
      <c r="AC538" s="2285">
        <f t="shared" si="686"/>
        <v>2017</v>
      </c>
      <c r="AD538" s="2285">
        <f t="shared" si="686"/>
        <v>2018</v>
      </c>
      <c r="AE538" s="2285">
        <f t="shared" si="686"/>
        <v>2019</v>
      </c>
      <c r="AF538" s="2285">
        <f t="shared" si="686"/>
        <v>2020</v>
      </c>
      <c r="BB538" s="3470">
        <v>2016</v>
      </c>
      <c r="BC538" s="736" t="str">
        <f t="shared" si="668"/>
        <v/>
      </c>
    </row>
    <row r="539" spans="1:55" ht="12.75" customHeight="1">
      <c r="A539" s="701">
        <f>+ROW(InputY!A209)</f>
        <v>209</v>
      </c>
      <c r="B539" s="701" t="s">
        <v>868</v>
      </c>
      <c r="C539" s="816" t="s">
        <v>1791</v>
      </c>
      <c r="D539" s="705" t="s">
        <v>664</v>
      </c>
      <c r="E539" s="737" t="s">
        <v>234</v>
      </c>
      <c r="F539" s="738" t="s">
        <v>1304</v>
      </c>
      <c r="G539" s="817">
        <f>+InputY!G209/1000</f>
        <v>2.097</v>
      </c>
      <c r="H539" s="817">
        <f>+InputY!H209/1000</f>
        <v>2.4409999999999998</v>
      </c>
      <c r="I539" s="817">
        <f>+InputY!I209/1000</f>
        <v>2.1859999999999999</v>
      </c>
      <c r="J539" s="817">
        <f>+InputY!J209/1000</f>
        <v>2.6629999999999998</v>
      </c>
      <c r="K539" s="817">
        <f>+InputY!K209/1000</f>
        <v>2.7290000000000001</v>
      </c>
      <c r="L539" s="817">
        <f>+InputY!L209/1000</f>
        <v>2.476</v>
      </c>
      <c r="M539" s="817">
        <f>+InputY!M209/1000</f>
        <v>2.4449999999999998</v>
      </c>
      <c r="N539" s="817">
        <f>+InputY!N209/1000</f>
        <v>2.2679999999999998</v>
      </c>
      <c r="O539" s="817">
        <f>+InputY!O209/1000</f>
        <v>2.6549999999999998</v>
      </c>
      <c r="P539" s="817">
        <f>+InputY!P209/1000</f>
        <v>2.4929999999999999</v>
      </c>
      <c r="Q539" s="817">
        <f>+InputY!Q209/1000</f>
        <v>-6.5000000000000002E-2</v>
      </c>
      <c r="R539" s="817">
        <f>+InputY!R209/1000</f>
        <v>1.627</v>
      </c>
      <c r="S539" s="817">
        <f>+InputY!S209/1000</f>
        <v>1.823</v>
      </c>
      <c r="T539" s="817">
        <f>+InputY!T209/1000</f>
        <v>2.879</v>
      </c>
      <c r="U539" s="817">
        <f>+InputY!U209/1000</f>
        <v>2.8290000000000002</v>
      </c>
      <c r="V539" s="817">
        <f>+InputY!V209/1000</f>
        <v>3.2829999999999999</v>
      </c>
      <c r="W539" s="817">
        <f>+InputY!W209/1000</f>
        <v>4.3810000000000002</v>
      </c>
      <c r="X539" s="817">
        <f>+InputY!X209/1000</f>
        <v>4.0060000000000002</v>
      </c>
      <c r="Y539" s="817">
        <f>+InputY!Y209/1000</f>
        <v>4.2119999999999997</v>
      </c>
      <c r="Z539" s="817">
        <f>+InputY!Z209/1000</f>
        <v>4.0620000000000003</v>
      </c>
      <c r="AA539" s="817">
        <f>+InputY!AA209/1000</f>
        <v>4.7110000000000003</v>
      </c>
      <c r="AB539" s="817">
        <f>+InputY!AB209/1000</f>
        <v>4.944</v>
      </c>
      <c r="AC539" s="817">
        <f>+InputY!AC209/1000</f>
        <v>4.0739999999999998</v>
      </c>
      <c r="AD539" s="2296">
        <f>+AC539*(1+AD546/100)</f>
        <v>4.1554799999999998</v>
      </c>
      <c r="AE539" s="2296">
        <f>+AD539*(1+AE546/100)</f>
        <v>4.2385896000000001</v>
      </c>
      <c r="AF539" s="2296">
        <f>+AE539*(1+AF546/100)</f>
        <v>4.3233613919999998</v>
      </c>
      <c r="BB539" s="3471">
        <v>5.444</v>
      </c>
      <c r="BC539" s="736" t="str">
        <f t="shared" si="668"/>
        <v/>
      </c>
    </row>
    <row r="540" spans="1:55" ht="12.75" customHeight="1">
      <c r="A540" s="701">
        <f>+ROW(InputY!A136)</f>
        <v>136</v>
      </c>
      <c r="B540" s="701" t="s">
        <v>869</v>
      </c>
      <c r="C540" s="819" t="s">
        <v>1791</v>
      </c>
      <c r="D540" s="868" t="s">
        <v>665</v>
      </c>
      <c r="E540" s="869" t="s">
        <v>234</v>
      </c>
      <c r="F540" s="741" t="s">
        <v>414</v>
      </c>
      <c r="G540" s="743">
        <f>+InputY!G136/1000</f>
        <v>20.655000000000001</v>
      </c>
      <c r="H540" s="743">
        <f>+InputY!H136/1000</f>
        <v>6.3559999999999999</v>
      </c>
      <c r="I540" s="743">
        <f>+InputY!I136/1000</f>
        <v>8.0559999999999992</v>
      </c>
      <c r="J540" s="743">
        <f>+InputY!J136/1000</f>
        <v>12.968</v>
      </c>
      <c r="K540" s="743">
        <f>+InputY!K136/1000</f>
        <v>3.7109999999999999</v>
      </c>
      <c r="L540" s="743">
        <f>+InputY!L136/1000</f>
        <v>13.295999999999999</v>
      </c>
      <c r="M540" s="743">
        <f>+InputY!M136/1000</f>
        <v>4.5510000000000002</v>
      </c>
      <c r="N540" s="743">
        <f>+InputY!N136/1000</f>
        <v>0.1</v>
      </c>
      <c r="O540" s="743">
        <f>+InputY!O136/1000</f>
        <v>5.5279999999999996</v>
      </c>
      <c r="P540" s="743">
        <f>+InputY!P136/1000</f>
        <v>-3.282</v>
      </c>
      <c r="Q540" s="743">
        <f>+InputY!Q136/1000</f>
        <v>-3.9670000000000001</v>
      </c>
      <c r="R540" s="743">
        <f>+InputY!R136/1000</f>
        <v>-0.84499999999999997</v>
      </c>
      <c r="S540" s="743">
        <f>+InputY!S136/1000</f>
        <v>21.675000000000001</v>
      </c>
      <c r="T540" s="743">
        <f>+InputY!T136/1000</f>
        <v>3.8130000000000002</v>
      </c>
      <c r="U540" s="743">
        <f>+InputY!U136/1000</f>
        <v>-48.816000000000003</v>
      </c>
      <c r="V540" s="743">
        <f>+InputY!V136/1000</f>
        <v>19.766999999999999</v>
      </c>
      <c r="W540" s="743">
        <f>+InputY!W136/1000</f>
        <v>36.887999999999998</v>
      </c>
      <c r="X540" s="743">
        <f>+InputY!X136/1000</f>
        <v>-5.3849999999999998</v>
      </c>
      <c r="Y540" s="743">
        <f>+InputY!Y136/1000</f>
        <v>1.492</v>
      </c>
      <c r="Z540" s="743">
        <f>+InputY!Z136/1000</f>
        <v>6.6289999999999996</v>
      </c>
      <c r="AA540" s="743">
        <f>+InputY!AA136/1000</f>
        <v>21.728000000000002</v>
      </c>
      <c r="AB540" s="743">
        <f>+InputY!AB136/1000</f>
        <v>19.678000000000001</v>
      </c>
      <c r="AC540" s="743">
        <f>+InputY!AC136/1000</f>
        <v>26.015999999999998</v>
      </c>
      <c r="AD540" s="874">
        <f ca="1">+AD542-AD539-AD541</f>
        <v>34.635248400000002</v>
      </c>
      <c r="AE540" s="874">
        <f ca="1">+AE542-AE539-AE541</f>
        <v>28.955800413731989</v>
      </c>
      <c r="AF540" s="874">
        <f ca="1">+AF542-AF539-AF541</f>
        <v>28.871028621731991</v>
      </c>
      <c r="BB540" s="3472">
        <v>24.614000000000001</v>
      </c>
      <c r="BC540" s="736">
        <f t="shared" si="668"/>
        <v>-4.9359999999999999</v>
      </c>
    </row>
    <row r="541" spans="1:55" ht="12.75" customHeight="1">
      <c r="A541" s="701">
        <f>+ROW(InputY!A172)</f>
        <v>172</v>
      </c>
      <c r="B541" s="701" t="s">
        <v>206</v>
      </c>
      <c r="C541" s="819" t="s">
        <v>1791</v>
      </c>
      <c r="D541" s="711" t="s">
        <v>666</v>
      </c>
      <c r="E541" s="820" t="s">
        <v>234</v>
      </c>
      <c r="F541" s="741" t="s">
        <v>1227</v>
      </c>
      <c r="G541" s="743">
        <f>+InputY!G172/1000</f>
        <v>-1.1830000000000001</v>
      </c>
      <c r="H541" s="743">
        <f>+InputY!H172/1000</f>
        <v>-1.452</v>
      </c>
      <c r="I541" s="743">
        <f>+InputY!I172/1000</f>
        <v>-0.60299999999999998</v>
      </c>
      <c r="J541" s="743">
        <f>+InputY!J172/1000</f>
        <v>-4.2999999999999997E-2</v>
      </c>
      <c r="K541" s="743">
        <f>+InputY!K172/1000</f>
        <v>-0.79900000000000004</v>
      </c>
      <c r="L541" s="743">
        <f>+InputY!L172/1000</f>
        <v>-0.114</v>
      </c>
      <c r="M541" s="743">
        <f>+InputY!M172/1000</f>
        <v>4.5999999999999999E-2</v>
      </c>
      <c r="N541" s="743">
        <f>+InputY!N172/1000</f>
        <v>-0.112</v>
      </c>
      <c r="O541" s="743">
        <f>+InputY!O172/1000</f>
        <v>-6.7000000000000004E-2</v>
      </c>
      <c r="P541" s="743">
        <f>+InputY!P172/1000</f>
        <v>-2.1000000000000001E-2</v>
      </c>
      <c r="Q541" s="743">
        <f>+InputY!Q172/1000</f>
        <v>0.14599999999999999</v>
      </c>
      <c r="R541" s="743">
        <f>+InputY!R172/1000</f>
        <v>4.5999999999999999E-2</v>
      </c>
      <c r="S541" s="743">
        <f>+InputY!S172/1000</f>
        <v>0.24299999999999999</v>
      </c>
      <c r="T541" s="743">
        <f>+InputY!T172/1000</f>
        <v>7.1999999999999995E-2</v>
      </c>
      <c r="U541" s="743">
        <f>+InputY!U172/1000</f>
        <v>0.17699999999999999</v>
      </c>
      <c r="V541" s="743">
        <f>+InputY!V172/1000</f>
        <v>0.16</v>
      </c>
      <c r="W541" s="743">
        <f>+InputY!W172/1000</f>
        <v>-0.155</v>
      </c>
      <c r="X541" s="743">
        <f>+InputY!X172/1000</f>
        <v>0.35299999999999998</v>
      </c>
      <c r="Y541" s="743">
        <f>+InputY!Y172/1000</f>
        <v>0.183</v>
      </c>
      <c r="Z541" s="743">
        <f>+InputY!Z172/1000</f>
        <v>1.1180000000000001</v>
      </c>
      <c r="AA541" s="743">
        <f>+InputY!AA172/1000</f>
        <v>3.7770000000000001</v>
      </c>
      <c r="AB541" s="743">
        <f>+InputY!AB172/1000</f>
        <v>0.81299999999999994</v>
      </c>
      <c r="AC541" s="743">
        <f>+InputY!AC172/1000</f>
        <v>0.66700000000000004</v>
      </c>
      <c r="AD541" s="2279">
        <f>+AC541*(1+AD548/100)</f>
        <v>0</v>
      </c>
      <c r="AE541" s="2279">
        <f>+AD541*(1+AE548/100)</f>
        <v>0</v>
      </c>
      <c r="AF541" s="2279">
        <f>+AE541*(1+AF548/100)</f>
        <v>0</v>
      </c>
      <c r="BB541" s="3472">
        <v>0.68</v>
      </c>
      <c r="BC541" s="736" t="str">
        <f t="shared" si="668"/>
        <v/>
      </c>
    </row>
    <row r="542" spans="1:55" ht="12.75" customHeight="1">
      <c r="A542" s="701">
        <f>+ROW(InputY!A78)</f>
        <v>78</v>
      </c>
      <c r="B542" s="701"/>
      <c r="C542" s="821" t="s">
        <v>1793</v>
      </c>
      <c r="D542" s="789"/>
      <c r="E542" s="790" t="s">
        <v>234</v>
      </c>
      <c r="F542" s="791" t="s">
        <v>596</v>
      </c>
      <c r="G542" s="822">
        <f>+InputY!G78/1000</f>
        <v>21.568999999999999</v>
      </c>
      <c r="H542" s="822">
        <f>+InputY!H78/1000</f>
        <v>7.3449999999999998</v>
      </c>
      <c r="I542" s="822">
        <f>+InputY!I78/1000</f>
        <v>9.6389999999999993</v>
      </c>
      <c r="J542" s="822">
        <f>+InputY!J78/1000</f>
        <v>15.587999999999999</v>
      </c>
      <c r="K542" s="822">
        <f>+InputY!K78/1000</f>
        <v>5.641</v>
      </c>
      <c r="L542" s="822">
        <f>+InputY!L78/1000</f>
        <v>15.657999999999999</v>
      </c>
      <c r="M542" s="822">
        <f>+InputY!M78/1000</f>
        <v>7.0419999999999998</v>
      </c>
      <c r="N542" s="822">
        <f>+InputY!N78/1000</f>
        <v>2.2559999999999998</v>
      </c>
      <c r="O542" s="822">
        <f>+InputY!O78/1000</f>
        <v>8.1159999999999997</v>
      </c>
      <c r="P542" s="822">
        <f>+InputY!P78/1000</f>
        <v>-0.81</v>
      </c>
      <c r="Q542" s="822">
        <f>+InputY!Q78/1000</f>
        <v>-3.8860000000000001</v>
      </c>
      <c r="R542" s="822">
        <f>+InputY!R78/1000</f>
        <v>0.82799999999999996</v>
      </c>
      <c r="S542" s="822">
        <f>+InputY!S78/1000</f>
        <v>23.741</v>
      </c>
      <c r="T542" s="822">
        <f>+InputY!T78/1000</f>
        <v>6.7640000000000002</v>
      </c>
      <c r="U542" s="822">
        <f>+InputY!U78/1000</f>
        <v>-45.81</v>
      </c>
      <c r="V542" s="822">
        <f>+InputY!V78/1000</f>
        <v>23.21</v>
      </c>
      <c r="W542" s="822">
        <f>+InputY!W78/1000</f>
        <v>41.113999999999997</v>
      </c>
      <c r="X542" s="822">
        <f>+InputY!X78/1000</f>
        <v>-1.026</v>
      </c>
      <c r="Y542" s="822">
        <f>+InputY!Y78/1000</f>
        <v>5.8869999999999996</v>
      </c>
      <c r="Z542" s="2341">
        <f>+'VVP2'!Z260</f>
        <v>11.808999999999999</v>
      </c>
      <c r="AA542" s="2341">
        <f>+'VVP2'!AA260</f>
        <v>30.216000000000001</v>
      </c>
      <c r="AB542" s="2341">
        <f>+'VVP2'!AB260</f>
        <v>25.434999999999999</v>
      </c>
      <c r="AC542" s="2341">
        <f>+'VVP2'!AC260</f>
        <v>30.757000000000001</v>
      </c>
      <c r="AD542" s="2341">
        <f ca="1">+'VVP2'!AD260</f>
        <v>38.790728399999999</v>
      </c>
      <c r="AE542" s="2341">
        <f ca="1">+'VVP2'!AE260</f>
        <v>33.19439001373199</v>
      </c>
      <c r="AF542" s="2341">
        <f ca="1">+'VVP2'!AF260</f>
        <v>33.19439001373199</v>
      </c>
      <c r="BB542" s="3545">
        <v>30.738</v>
      </c>
      <c r="BC542" s="736">
        <f t="shared" si="668"/>
        <v>-5.3030000000000008</v>
      </c>
    </row>
    <row r="543" spans="1:55" s="2032" customFormat="1" ht="12.75" customHeight="1">
      <c r="A543" s="1036"/>
      <c r="B543" s="1036"/>
      <c r="C543" s="1647"/>
      <c r="D543" s="1051"/>
      <c r="E543" s="2033" t="s">
        <v>90</v>
      </c>
      <c r="F543" s="2034"/>
      <c r="G543" s="1040">
        <f>ABS(+G539+G540+G541-G542)</f>
        <v>3.5527136788005009E-15</v>
      </c>
      <c r="H543" s="1040">
        <f t="shared" ref="H543:V543" si="687">ABS(+H539+H540+H541-H542)</f>
        <v>8.8817841970012523E-16</v>
      </c>
      <c r="I543" s="1040">
        <f t="shared" si="687"/>
        <v>0</v>
      </c>
      <c r="J543" s="1040">
        <f t="shared" si="687"/>
        <v>1.7763568394002505E-15</v>
      </c>
      <c r="K543" s="1040">
        <f t="shared" si="687"/>
        <v>8.8817841970012523E-16</v>
      </c>
      <c r="L543" s="1040">
        <f t="shared" si="687"/>
        <v>1.7763568394002505E-15</v>
      </c>
      <c r="M543" s="1040">
        <f t="shared" si="687"/>
        <v>8.8817841970012523E-16</v>
      </c>
      <c r="N543" s="1040">
        <f t="shared" si="687"/>
        <v>0</v>
      </c>
      <c r="O543" s="1040">
        <f t="shared" si="687"/>
        <v>0</v>
      </c>
      <c r="P543" s="1040">
        <f t="shared" si="687"/>
        <v>1.1102230246251565E-16</v>
      </c>
      <c r="Q543" s="1040">
        <f t="shared" si="687"/>
        <v>0</v>
      </c>
      <c r="R543" s="1040">
        <f t="shared" si="687"/>
        <v>1.1102230246251565E-16</v>
      </c>
      <c r="S543" s="1040">
        <f t="shared" si="687"/>
        <v>0</v>
      </c>
      <c r="T543" s="1040">
        <f t="shared" si="687"/>
        <v>0</v>
      </c>
      <c r="U543" s="1040">
        <f t="shared" si="687"/>
        <v>0</v>
      </c>
      <c r="V543" s="1040">
        <f t="shared" si="687"/>
        <v>0</v>
      </c>
      <c r="W543" s="1040">
        <f t="shared" ref="W543:AA543" si="688">ABS(+W539+W540+W541-W542)</f>
        <v>0</v>
      </c>
      <c r="X543" s="1040">
        <f t="shared" si="688"/>
        <v>4.4408920985006262E-16</v>
      </c>
      <c r="Y543" s="1040">
        <f t="shared" si="688"/>
        <v>0</v>
      </c>
      <c r="Z543" s="2999">
        <f t="shared" si="688"/>
        <v>0</v>
      </c>
      <c r="AA543" s="2999">
        <f t="shared" si="688"/>
        <v>0</v>
      </c>
      <c r="AB543" s="2999">
        <f t="shared" ref="AB543:AC543" si="689">ABS(+AB539+AB540+AB541-AB542)</f>
        <v>0</v>
      </c>
      <c r="AC543" s="2999">
        <f t="shared" si="689"/>
        <v>3.5527136788005009E-15</v>
      </c>
      <c r="AD543" s="2999">
        <f ca="1">ABS(+AD539+AD540+AD541-AD542)</f>
        <v>0</v>
      </c>
      <c r="AE543" s="2999">
        <f ca="1">ABS(+AE539+AE540+AE541-AE542)</f>
        <v>0</v>
      </c>
      <c r="AF543" s="2999">
        <f ca="1">ABS(+AF539+AF540+AF541-AF542)</f>
        <v>0</v>
      </c>
      <c r="AG543" s="2940"/>
      <c r="AH543" s="2939"/>
      <c r="AI543" s="2939"/>
      <c r="AJ543" s="2939"/>
      <c r="AK543" s="2939"/>
      <c r="AL543" s="2939"/>
      <c r="AM543" s="2939"/>
      <c r="AN543" s="2939"/>
      <c r="AO543" s="2939"/>
      <c r="AP543" s="2939"/>
      <c r="AQ543" s="2939"/>
      <c r="AR543" s="2940"/>
      <c r="AS543" s="2940"/>
      <c r="AT543" s="2940"/>
      <c r="BB543" s="3496">
        <v>0</v>
      </c>
      <c r="BC543" s="736" t="str">
        <f t="shared" si="668"/>
        <v/>
      </c>
    </row>
    <row r="544" spans="1:55" ht="12.75" customHeight="1">
      <c r="A544" s="701"/>
      <c r="B544" s="701"/>
      <c r="C544" s="811"/>
      <c r="E544" s="823"/>
      <c r="F544" s="824"/>
      <c r="G544" s="740"/>
      <c r="Q544" s="736"/>
      <c r="R544" s="736"/>
      <c r="S544" s="736"/>
      <c r="T544" s="736"/>
      <c r="U544" s="736"/>
      <c r="V544" s="736"/>
      <c r="W544" s="736"/>
      <c r="BC544" s="736" t="str">
        <f t="shared" si="668"/>
        <v/>
      </c>
    </row>
    <row r="545" spans="1:55" ht="12.75" customHeight="1">
      <c r="A545" s="701"/>
      <c r="B545" s="701"/>
      <c r="C545" s="811"/>
      <c r="D545" s="779"/>
      <c r="E545" s="780" t="s">
        <v>1883</v>
      </c>
      <c r="F545" s="781"/>
      <c r="G545" s="782">
        <f>+InputY!$G$3</f>
        <v>1995</v>
      </c>
      <c r="H545" s="782">
        <f>+G545+1</f>
        <v>1996</v>
      </c>
      <c r="I545" s="782">
        <f t="shared" ref="I545:O545" si="690">+H545+1</f>
        <v>1997</v>
      </c>
      <c r="J545" s="782">
        <f t="shared" si="690"/>
        <v>1998</v>
      </c>
      <c r="K545" s="782">
        <f t="shared" si="690"/>
        <v>1999</v>
      </c>
      <c r="L545" s="782">
        <f t="shared" si="690"/>
        <v>2000</v>
      </c>
      <c r="M545" s="782">
        <f t="shared" si="690"/>
        <v>2001</v>
      </c>
      <c r="N545" s="782">
        <f t="shared" si="690"/>
        <v>2002</v>
      </c>
      <c r="O545" s="782">
        <f t="shared" si="690"/>
        <v>2003</v>
      </c>
      <c r="P545" s="782">
        <f>+O545+1</f>
        <v>2004</v>
      </c>
      <c r="Q545" s="782">
        <f>+P545+1</f>
        <v>2005</v>
      </c>
      <c r="R545" s="782">
        <f>+Q545+1</f>
        <v>2006</v>
      </c>
      <c r="S545" s="782">
        <f>+R545+1</f>
        <v>2007</v>
      </c>
      <c r="T545" s="782">
        <f t="shared" ref="T545:AF545" si="691">+S545+1</f>
        <v>2008</v>
      </c>
      <c r="U545" s="782">
        <f t="shared" si="691"/>
        <v>2009</v>
      </c>
      <c r="V545" s="782">
        <f t="shared" si="691"/>
        <v>2010</v>
      </c>
      <c r="W545" s="782">
        <f t="shared" si="691"/>
        <v>2011</v>
      </c>
      <c r="X545" s="2272">
        <f t="shared" si="691"/>
        <v>2012</v>
      </c>
      <c r="Y545" s="2272">
        <f t="shared" si="691"/>
        <v>2013</v>
      </c>
      <c r="Z545" s="2272">
        <f t="shared" si="691"/>
        <v>2014</v>
      </c>
      <c r="AA545" s="2272">
        <f t="shared" si="691"/>
        <v>2015</v>
      </c>
      <c r="AB545" s="2272">
        <f t="shared" si="691"/>
        <v>2016</v>
      </c>
      <c r="AC545" s="2272">
        <f t="shared" si="691"/>
        <v>2017</v>
      </c>
      <c r="AD545" s="2272">
        <f t="shared" si="691"/>
        <v>2018</v>
      </c>
      <c r="AE545" s="2272">
        <f t="shared" si="691"/>
        <v>2019</v>
      </c>
      <c r="AF545" s="2272">
        <f t="shared" si="691"/>
        <v>2020</v>
      </c>
      <c r="BB545" s="3476">
        <v>2016</v>
      </c>
      <c r="BC545" s="736" t="str">
        <f t="shared" si="668"/>
        <v/>
      </c>
    </row>
    <row r="546" spans="1:55" ht="12.75" customHeight="1">
      <c r="A546" s="701"/>
      <c r="B546" s="701"/>
      <c r="C546" s="831" t="s">
        <v>1791</v>
      </c>
      <c r="D546" s="726" t="s">
        <v>664</v>
      </c>
      <c r="E546" s="775" t="s">
        <v>234</v>
      </c>
      <c r="F546" s="770" t="s">
        <v>1304</v>
      </c>
      <c r="G546" s="776"/>
      <c r="H546" s="776">
        <f t="shared" ref="H546:AC546" si="692">(H539/G539-1)*100</f>
        <v>16.404387219837858</v>
      </c>
      <c r="I546" s="776">
        <f t="shared" si="692"/>
        <v>-10.446538303973774</v>
      </c>
      <c r="J546" s="776">
        <f t="shared" si="692"/>
        <v>21.820677035681602</v>
      </c>
      <c r="K546" s="776">
        <f t="shared" si="692"/>
        <v>2.47840781073978</v>
      </c>
      <c r="L546" s="776">
        <f t="shared" si="692"/>
        <v>-9.2707951630633936</v>
      </c>
      <c r="M546" s="776">
        <f t="shared" si="692"/>
        <v>-1.2520193861066287</v>
      </c>
      <c r="N546" s="776">
        <f t="shared" si="692"/>
        <v>-7.2392638036809842</v>
      </c>
      <c r="O546" s="776">
        <f t="shared" si="692"/>
        <v>17.06349206349207</v>
      </c>
      <c r="P546" s="776">
        <f t="shared" si="692"/>
        <v>-6.1016949152542299</v>
      </c>
      <c r="Q546" s="776">
        <f t="shared" si="692"/>
        <v>-102.60730044123545</v>
      </c>
      <c r="R546" s="776">
        <f t="shared" si="692"/>
        <v>-2603.0769230769229</v>
      </c>
      <c r="S546" s="776">
        <f t="shared" si="692"/>
        <v>12.046711739397665</v>
      </c>
      <c r="T546" s="776">
        <f t="shared" si="692"/>
        <v>57.92649478880967</v>
      </c>
      <c r="U546" s="776">
        <f t="shared" si="692"/>
        <v>-1.7367141368530681</v>
      </c>
      <c r="V546" s="776">
        <f t="shared" si="692"/>
        <v>16.048073524213493</v>
      </c>
      <c r="W546" s="776">
        <f t="shared" si="692"/>
        <v>33.445019798964367</v>
      </c>
      <c r="X546" s="776">
        <f t="shared" si="692"/>
        <v>-8.5596895685916436</v>
      </c>
      <c r="Y546" s="776">
        <f t="shared" si="692"/>
        <v>5.1422865701447718</v>
      </c>
      <c r="Z546" s="776">
        <f t="shared" si="692"/>
        <v>-3.5612535612535523</v>
      </c>
      <c r="AA546" s="776">
        <f t="shared" si="692"/>
        <v>15.977351058591815</v>
      </c>
      <c r="AB546" s="776">
        <f t="shared" si="692"/>
        <v>4.9458713648906638</v>
      </c>
      <c r="AC546" s="776">
        <f t="shared" si="692"/>
        <v>-17.597087378640776</v>
      </c>
      <c r="AD546" s="2357">
        <v>2</v>
      </c>
      <c r="AE546" s="2357">
        <v>2</v>
      </c>
      <c r="AF546" s="2357">
        <v>2</v>
      </c>
      <c r="BB546" s="3477">
        <v>15.559329229462948</v>
      </c>
      <c r="BC546" s="736">
        <f t="shared" si="668"/>
        <v>-10.613457864572284</v>
      </c>
    </row>
    <row r="547" spans="1:55" ht="12.75" customHeight="1">
      <c r="A547" s="701"/>
      <c r="B547" s="701"/>
      <c r="C547" s="832" t="s">
        <v>1791</v>
      </c>
      <c r="D547" s="868" t="s">
        <v>665</v>
      </c>
      <c r="E547" s="869" t="s">
        <v>234</v>
      </c>
      <c r="F547" s="741" t="s">
        <v>414</v>
      </c>
      <c r="G547" s="743"/>
      <c r="H547" s="743">
        <f t="shared" ref="H547:AC547" si="693">(H540/G540-1)*100</f>
        <v>-69.227789881384652</v>
      </c>
      <c r="I547" s="743">
        <f t="shared" si="693"/>
        <v>26.746381371932017</v>
      </c>
      <c r="J547" s="743">
        <f t="shared" si="693"/>
        <v>60.973187686196638</v>
      </c>
      <c r="K547" s="743">
        <f t="shared" si="693"/>
        <v>-71.383405305367063</v>
      </c>
      <c r="L547" s="743">
        <f t="shared" si="693"/>
        <v>258.28617623282133</v>
      </c>
      <c r="M547" s="743">
        <f t="shared" si="693"/>
        <v>-65.771660649819495</v>
      </c>
      <c r="N547" s="743">
        <f t="shared" si="693"/>
        <v>-97.802680729510001</v>
      </c>
      <c r="O547" s="743">
        <f t="shared" si="693"/>
        <v>5427.9999999999991</v>
      </c>
      <c r="P547" s="743">
        <f t="shared" si="693"/>
        <v>-159.37047756874097</v>
      </c>
      <c r="Q547" s="743">
        <f t="shared" si="693"/>
        <v>20.871419865935415</v>
      </c>
      <c r="R547" s="743">
        <f t="shared" si="693"/>
        <v>-78.699268968994204</v>
      </c>
      <c r="S547" s="743">
        <f t="shared" si="693"/>
        <v>-2665.0887573964501</v>
      </c>
      <c r="T547" s="743">
        <f t="shared" si="693"/>
        <v>-82.408304498269899</v>
      </c>
      <c r="U547" s="743">
        <f t="shared" si="693"/>
        <v>-1380.2517702596381</v>
      </c>
      <c r="V547" s="743">
        <f t="shared" si="693"/>
        <v>-140.49287118977384</v>
      </c>
      <c r="W547" s="743">
        <f t="shared" si="693"/>
        <v>86.6140537259068</v>
      </c>
      <c r="X547" s="743">
        <f t="shared" si="693"/>
        <v>-114.59824333116461</v>
      </c>
      <c r="Y547" s="743">
        <f t="shared" si="693"/>
        <v>-127.70659238625812</v>
      </c>
      <c r="Z547" s="743">
        <f t="shared" si="693"/>
        <v>344.30294906166222</v>
      </c>
      <c r="AA547" s="743">
        <f t="shared" si="693"/>
        <v>227.77191129883846</v>
      </c>
      <c r="AB547" s="743">
        <f t="shared" si="693"/>
        <v>-9.4348306332842409</v>
      </c>
      <c r="AC547" s="743">
        <f t="shared" si="693"/>
        <v>32.208557780262211</v>
      </c>
      <c r="AD547" s="874">
        <f ca="1">(AD540/AC540-1)*100</f>
        <v>33.130567343173453</v>
      </c>
      <c r="AE547" s="874">
        <f ca="1">(AE540/AD540-1)*100</f>
        <v>-16.397884376853533</v>
      </c>
      <c r="AF547" s="874">
        <f ca="1">(AF540/AE540-1)*100</f>
        <v>-0.29276273074391179</v>
      </c>
      <c r="BB547" s="3472">
        <v>13.282400589101616</v>
      </c>
      <c r="BC547" s="736">
        <f t="shared" si="668"/>
        <v>-22.717231222385855</v>
      </c>
    </row>
    <row r="548" spans="1:55" ht="12.75" customHeight="1">
      <c r="A548" s="701"/>
      <c r="B548" s="701"/>
      <c r="C548" s="833" t="s">
        <v>1791</v>
      </c>
      <c r="D548" s="728" t="s">
        <v>666</v>
      </c>
      <c r="E548" s="834" t="s">
        <v>234</v>
      </c>
      <c r="F548" s="773" t="s">
        <v>1227</v>
      </c>
      <c r="G548" s="778"/>
      <c r="H548" s="778">
        <f t="shared" ref="H548:AC548" si="694">(H541/G541-1)*100</f>
        <v>22.738799661876573</v>
      </c>
      <c r="I548" s="778">
        <f t="shared" si="694"/>
        <v>-58.471074380165291</v>
      </c>
      <c r="J548" s="778">
        <f t="shared" si="694"/>
        <v>-92.868988391376448</v>
      </c>
      <c r="K548" s="778">
        <f t="shared" si="694"/>
        <v>1758.1395348837211</v>
      </c>
      <c r="L548" s="778">
        <f t="shared" si="694"/>
        <v>-85.732165206508142</v>
      </c>
      <c r="M548" s="778">
        <f t="shared" si="694"/>
        <v>-140.35087719298244</v>
      </c>
      <c r="N548" s="778">
        <f t="shared" si="694"/>
        <v>-343.47826086956525</v>
      </c>
      <c r="O548" s="778">
        <f t="shared" si="694"/>
        <v>-40.178571428571431</v>
      </c>
      <c r="P548" s="778">
        <f t="shared" si="694"/>
        <v>-68.656716417910445</v>
      </c>
      <c r="Q548" s="778">
        <f t="shared" si="694"/>
        <v>-795.23809523809518</v>
      </c>
      <c r="R548" s="778">
        <f t="shared" si="694"/>
        <v>-68.493150684931507</v>
      </c>
      <c r="S548" s="778">
        <f t="shared" si="694"/>
        <v>428.26086956521738</v>
      </c>
      <c r="T548" s="778">
        <f t="shared" si="694"/>
        <v>-70.370370370370367</v>
      </c>
      <c r="U548" s="778">
        <f t="shared" si="694"/>
        <v>145.83333333333334</v>
      </c>
      <c r="V548" s="778">
        <f t="shared" si="694"/>
        <v>-9.6045197740112886</v>
      </c>
      <c r="W548" s="778">
        <f t="shared" si="694"/>
        <v>-196.875</v>
      </c>
      <c r="X548" s="778">
        <f t="shared" si="694"/>
        <v>-327.74193548387098</v>
      </c>
      <c r="Y548" s="778">
        <f t="shared" si="694"/>
        <v>-48.15864022662889</v>
      </c>
      <c r="Z548" s="778">
        <f t="shared" si="694"/>
        <v>510.92896174863398</v>
      </c>
      <c r="AA548" s="778">
        <f t="shared" si="694"/>
        <v>237.8354203935599</v>
      </c>
      <c r="AB548" s="778">
        <f t="shared" si="694"/>
        <v>-78.474980142970608</v>
      </c>
      <c r="AC548" s="778">
        <f t="shared" si="694"/>
        <v>-17.958179581795807</v>
      </c>
      <c r="AD548" s="2303">
        <v>-100</v>
      </c>
      <c r="AE548" s="2303">
        <v>-100</v>
      </c>
      <c r="AF548" s="2303">
        <v>-100</v>
      </c>
      <c r="BB548" s="3492">
        <v>-79.923235901978146</v>
      </c>
      <c r="BC548" s="736">
        <f t="shared" si="668"/>
        <v>1.4482557590075373</v>
      </c>
    </row>
    <row r="549" spans="1:55" ht="12.75" customHeight="1">
      <c r="A549" s="701"/>
      <c r="B549" s="701"/>
      <c r="C549" s="811" t="s">
        <v>1793</v>
      </c>
      <c r="D549" s="754"/>
      <c r="E549" s="759" t="s">
        <v>234</v>
      </c>
      <c r="F549" s="760" t="s">
        <v>596</v>
      </c>
      <c r="G549" s="758"/>
      <c r="H549" s="758">
        <f t="shared" ref="H549:AC549" si="695">(H542/G542-1)*100</f>
        <v>-65.946497287774122</v>
      </c>
      <c r="I549" s="758">
        <f t="shared" si="695"/>
        <v>31.232130701157246</v>
      </c>
      <c r="J549" s="758">
        <f t="shared" si="695"/>
        <v>61.718020541549954</v>
      </c>
      <c r="K549" s="758">
        <f t="shared" si="695"/>
        <v>-63.811906594816527</v>
      </c>
      <c r="L549" s="758">
        <f t="shared" si="695"/>
        <v>177.57489806771849</v>
      </c>
      <c r="M549" s="758">
        <f t="shared" si="695"/>
        <v>-55.026184697917998</v>
      </c>
      <c r="N549" s="758">
        <f t="shared" si="695"/>
        <v>-67.963646691280886</v>
      </c>
      <c r="O549" s="758">
        <f t="shared" si="695"/>
        <v>259.75177304964541</v>
      </c>
      <c r="P549" s="758">
        <f t="shared" si="695"/>
        <v>-109.98028585510104</v>
      </c>
      <c r="Q549" s="758">
        <f t="shared" si="695"/>
        <v>379.75308641975306</v>
      </c>
      <c r="R549" s="758">
        <f t="shared" si="695"/>
        <v>-121.30725681935152</v>
      </c>
      <c r="S549" s="758">
        <f t="shared" si="695"/>
        <v>2767.2705314009663</v>
      </c>
      <c r="T549" s="758">
        <f t="shared" si="695"/>
        <v>-71.509203487637421</v>
      </c>
      <c r="U549" s="758">
        <f t="shared" si="695"/>
        <v>-777.26197516262573</v>
      </c>
      <c r="V549" s="758">
        <f t="shared" si="695"/>
        <v>-150.66579349487012</v>
      </c>
      <c r="W549" s="758">
        <f t="shared" si="695"/>
        <v>77.13916415338214</v>
      </c>
      <c r="X549" s="758">
        <f t="shared" si="695"/>
        <v>-102.49550031619398</v>
      </c>
      <c r="Y549" s="758">
        <f t="shared" si="695"/>
        <v>-673.78167641325535</v>
      </c>
      <c r="Z549" s="758">
        <f t="shared" si="695"/>
        <v>100.59453032104639</v>
      </c>
      <c r="AA549" s="758">
        <f t="shared" si="695"/>
        <v>155.87263951223647</v>
      </c>
      <c r="AB549" s="758">
        <f t="shared" si="695"/>
        <v>-15.822742917659527</v>
      </c>
      <c r="AC549" s="758">
        <f t="shared" si="695"/>
        <v>20.923923727147642</v>
      </c>
      <c r="AD549" s="2282">
        <f ca="1">(AD542/AC542-1)*100</f>
        <v>26.119999999999987</v>
      </c>
      <c r="AE549" s="2282">
        <f ca="1">(AE542/AD542-1)*100</f>
        <v>-14.427000000000023</v>
      </c>
      <c r="AF549" s="2282">
        <f ca="1">(AF542/AE542-1)*100</f>
        <v>0</v>
      </c>
      <c r="BB549" s="3498">
        <v>1.7275615567911018</v>
      </c>
      <c r="BC549" s="736">
        <f t="shared" si="668"/>
        <v>-17.550304474450627</v>
      </c>
    </row>
    <row r="550" spans="1:55" ht="12.75" customHeight="1">
      <c r="A550" s="701"/>
      <c r="B550" s="701"/>
      <c r="C550" s="811"/>
      <c r="E550" s="823"/>
      <c r="F550" s="824"/>
      <c r="G550" s="740"/>
      <c r="H550" s="825"/>
      <c r="I550" s="825"/>
      <c r="J550" s="825"/>
      <c r="K550" s="825"/>
      <c r="L550" s="825"/>
      <c r="M550" s="825"/>
      <c r="N550" s="825"/>
      <c r="O550" s="825"/>
      <c r="P550" s="825"/>
      <c r="Q550" s="825"/>
      <c r="R550" s="825"/>
      <c r="S550" s="825"/>
      <c r="T550" s="825"/>
      <c r="U550" s="825"/>
      <c r="V550" s="825"/>
      <c r="W550" s="825"/>
      <c r="X550" s="2342"/>
      <c r="Y550" s="2342"/>
      <c r="Z550" s="2342"/>
      <c r="AA550" s="2342"/>
      <c r="AB550" s="2342"/>
      <c r="AC550" s="2342"/>
      <c r="AD550" s="2342"/>
      <c r="AE550" s="2342"/>
      <c r="AF550" s="2342"/>
      <c r="BB550" s="3543"/>
      <c r="BC550" s="736" t="str">
        <f t="shared" si="668"/>
        <v/>
      </c>
    </row>
    <row r="551" spans="1:55" ht="12.75" customHeight="1">
      <c r="A551" s="701"/>
      <c r="B551" s="701"/>
      <c r="C551" s="811"/>
      <c r="D551" s="855"/>
      <c r="E551" s="856" t="s">
        <v>1884</v>
      </c>
      <c r="F551" s="857"/>
      <c r="G551" s="858">
        <f>+InputY!$G$3</f>
        <v>1995</v>
      </c>
      <c r="H551" s="858">
        <f>+G551+1</f>
        <v>1996</v>
      </c>
      <c r="I551" s="858">
        <f t="shared" ref="I551:O551" si="696">+H551+1</f>
        <v>1997</v>
      </c>
      <c r="J551" s="858">
        <f t="shared" si="696"/>
        <v>1998</v>
      </c>
      <c r="K551" s="858">
        <f t="shared" si="696"/>
        <v>1999</v>
      </c>
      <c r="L551" s="858">
        <f t="shared" si="696"/>
        <v>2000</v>
      </c>
      <c r="M551" s="858">
        <f t="shared" si="696"/>
        <v>2001</v>
      </c>
      <c r="N551" s="858">
        <f t="shared" si="696"/>
        <v>2002</v>
      </c>
      <c r="O551" s="858">
        <f t="shared" si="696"/>
        <v>2003</v>
      </c>
      <c r="P551" s="858">
        <f>+O551+1</f>
        <v>2004</v>
      </c>
      <c r="Q551" s="858">
        <f>+P551+1</f>
        <v>2005</v>
      </c>
      <c r="R551" s="858">
        <f>+Q551+1</f>
        <v>2006</v>
      </c>
      <c r="S551" s="858">
        <f t="shared" ref="S551:Y551" si="697">+R551+1</f>
        <v>2007</v>
      </c>
      <c r="T551" s="858">
        <f t="shared" si="697"/>
        <v>2008</v>
      </c>
      <c r="U551" s="858">
        <f t="shared" si="697"/>
        <v>2009</v>
      </c>
      <c r="V551" s="858">
        <f>+U551+1</f>
        <v>2010</v>
      </c>
      <c r="W551" s="858">
        <f>+V551+1</f>
        <v>2011</v>
      </c>
      <c r="X551" s="858">
        <f t="shared" si="697"/>
        <v>2012</v>
      </c>
      <c r="Y551" s="858">
        <f t="shared" si="697"/>
        <v>2013</v>
      </c>
      <c r="Z551" s="858">
        <f t="shared" ref="Z551:AF551" si="698">+Y551+1</f>
        <v>2014</v>
      </c>
      <c r="AA551" s="858">
        <f t="shared" si="698"/>
        <v>2015</v>
      </c>
      <c r="AB551" s="858">
        <f t="shared" si="698"/>
        <v>2016</v>
      </c>
      <c r="AC551" s="858">
        <f t="shared" si="698"/>
        <v>2017</v>
      </c>
      <c r="AD551" s="858">
        <f t="shared" si="698"/>
        <v>2018</v>
      </c>
      <c r="AE551" s="858">
        <f t="shared" si="698"/>
        <v>2019</v>
      </c>
      <c r="AF551" s="858">
        <f t="shared" si="698"/>
        <v>2020</v>
      </c>
      <c r="BB551" s="3480">
        <v>2016</v>
      </c>
      <c r="BC551" s="736" t="str">
        <f t="shared" si="668"/>
        <v/>
      </c>
    </row>
    <row r="552" spans="1:55" ht="12.75" customHeight="1">
      <c r="A552" s="701"/>
      <c r="B552" s="701"/>
      <c r="C552" s="859" t="s">
        <v>1791</v>
      </c>
      <c r="D552" s="860" t="s">
        <v>664</v>
      </c>
      <c r="E552" s="861" t="s">
        <v>234</v>
      </c>
      <c r="F552" s="862" t="s">
        <v>1304</v>
      </c>
      <c r="G552" s="875">
        <f>+G539/'VVP2'!G$341</f>
        <v>1.1120845460022232E-3</v>
      </c>
      <c r="H552" s="875">
        <f>+H539/'VVP2'!H$341</f>
        <v>1.2619043434116807E-3</v>
      </c>
      <c r="I552" s="875">
        <f>+I539/'VVP2'!I$341</f>
        <v>1.0811195769686909E-3</v>
      </c>
      <c r="J552" s="875">
        <f>+J539/'VVP2'!J$341</f>
        <v>1.2535268682163389E-3</v>
      </c>
      <c r="K552" s="875">
        <f>+K539/'VVP2'!K$341</f>
        <v>1.2179920047237917E-3</v>
      </c>
      <c r="L552" s="875">
        <f>+L539/'VVP2'!L$341</f>
        <v>1.0387535628492053E-3</v>
      </c>
      <c r="M552" s="875">
        <f>+M539/'VVP2'!M$341</f>
        <v>9.8512600748776346E-4</v>
      </c>
      <c r="N552" s="875">
        <f>+N539/'VVP2'!N$341</f>
        <v>8.8113291625857289E-4</v>
      </c>
      <c r="O552" s="875">
        <f>+O539/'VVP2'!O$341</f>
        <v>9.9035273342949629E-4</v>
      </c>
      <c r="P552" s="875">
        <f>+P539/'VVP2'!P$341</f>
        <v>8.8769311242011917E-4</v>
      </c>
      <c r="Q552" s="875">
        <f>+Q539/'VVP2'!Q$341</f>
        <v>-2.2331528373237483E-5</v>
      </c>
      <c r="R552" s="875">
        <f>+R539/'VVP2'!R$341</f>
        <v>5.2435934374832815E-4</v>
      </c>
      <c r="S552" s="3199">
        <f>+S539/'VVP2'!S$341</f>
        <v>5.5225973596349928E-4</v>
      </c>
      <c r="T552" s="3199">
        <f>+T539/'VVP2'!T$341</f>
        <v>8.4884162160297507E-4</v>
      </c>
      <c r="U552" s="3199">
        <f>+U539/'VVP2'!U$341</f>
        <v>8.5935366519350345E-4</v>
      </c>
      <c r="V552" s="3199">
        <f>+V539/'VVP2'!V$341</f>
        <v>9.3165833480900293E-4</v>
      </c>
      <c r="W552" s="3199">
        <f>+W539/'VVP2'!W$341</f>
        <v>1.1966535219608183E-3</v>
      </c>
      <c r="X552" s="3199">
        <f>+X539/'VVP2'!X$341</f>
        <v>1.0859691217177288E-3</v>
      </c>
      <c r="Y552" s="3199">
        <f>+Y539/'VVP2'!Y$341</f>
        <v>1.1160752730767509E-3</v>
      </c>
      <c r="Z552" s="3199">
        <f>+Z539/'VVP2'!Z$341</f>
        <v>1.0307224826658717E-3</v>
      </c>
      <c r="AA552" s="3199">
        <f>+AA539/'VVP2'!AA$341</f>
        <v>1.1212547390327793E-3</v>
      </c>
      <c r="AB552" s="3199">
        <f>+AB539/'VVP2'!AB$341</f>
        <v>1.1273522704496205E-3</v>
      </c>
      <c r="AC552" s="3199">
        <f>+AC539/'VVP2'!AC$341</f>
        <v>8.8973353638068875E-4</v>
      </c>
      <c r="AD552" s="3196">
        <f ca="1">+AD539/'VVP2'!AD$341</f>
        <v>8.6515271178937397E-4</v>
      </c>
      <c r="AE552" s="3196">
        <f ca="1">+AE539/'VVP2'!AE$341</f>
        <v>8.503034548131115E-4</v>
      </c>
      <c r="AF552" s="3196">
        <f ca="1">+AF539/'VVP2'!AF$341</f>
        <v>8.37614707479168E-4</v>
      </c>
      <c r="BB552" s="3481">
        <v>1.2358857264279314E-3</v>
      </c>
      <c r="BC552" s="736" t="str">
        <f t="shared" si="668"/>
        <v/>
      </c>
    </row>
    <row r="553" spans="1:55" ht="12.75" customHeight="1">
      <c r="A553" s="701"/>
      <c r="B553" s="701"/>
      <c r="C553" s="863" t="s">
        <v>1791</v>
      </c>
      <c r="D553" s="711" t="s">
        <v>665</v>
      </c>
      <c r="E553" s="820" t="s">
        <v>234</v>
      </c>
      <c r="F553" s="741" t="s">
        <v>414</v>
      </c>
      <c r="G553" s="876">
        <f>+G540/'VVP2'!G$341</f>
        <v>1.0953794133369537E-2</v>
      </c>
      <c r="H553" s="876">
        <f>+H540/'VVP2'!H$341</f>
        <v>3.2858107360608942E-3</v>
      </c>
      <c r="I553" s="876">
        <f>+I540/'VVP2'!I$341</f>
        <v>3.9842174346110589E-3</v>
      </c>
      <c r="J553" s="876">
        <f>+J540/'VVP2'!J$341</f>
        <v>6.1042945651631564E-3</v>
      </c>
      <c r="K553" s="876">
        <f>+K540/'VVP2'!K$341</f>
        <v>1.6562727480872081E-3</v>
      </c>
      <c r="L553" s="876">
        <f>+L540/'VVP2'!L$341</f>
        <v>5.5780562890319196E-3</v>
      </c>
      <c r="M553" s="876">
        <f>+M540/'VVP2'!M$341</f>
        <v>1.8336639918514566E-3</v>
      </c>
      <c r="N553" s="876">
        <f>+N540/'VVP2'!N$341</f>
        <v>3.8850657683358595E-5</v>
      </c>
      <c r="O553" s="876">
        <f>+O540/'VVP2'!O$341</f>
        <v>2.0620225651217538E-3</v>
      </c>
      <c r="P553" s="876">
        <f>+P540/'VVP2'!P$341</f>
        <v>-1.1686356979393629E-3</v>
      </c>
      <c r="Q553" s="876">
        <f>+Q540/'VVP2'!Q$341</f>
        <v>-1.3629103547174322E-3</v>
      </c>
      <c r="R553" s="876">
        <f>+R540/'VVP2'!R$341</f>
        <v>-2.7233168129522884E-4</v>
      </c>
      <c r="S553" s="3200">
        <f>+S540/'VVP2'!S$341</f>
        <v>6.5662258787761102E-3</v>
      </c>
      <c r="T553" s="3200">
        <f>+T540/'VVP2'!T$341</f>
        <v>1.1242212932171393E-3</v>
      </c>
      <c r="U553" s="3200">
        <f>+U540/'VVP2'!U$341</f>
        <v>-1.4828635037146012E-2</v>
      </c>
      <c r="V553" s="3200">
        <f>+V540/'VVP2'!V$341</f>
        <v>5.609531009494231E-3</v>
      </c>
      <c r="W553" s="3200">
        <f>+W540/'VVP2'!W$341</f>
        <v>1.0075817191985999E-2</v>
      </c>
      <c r="X553" s="3200">
        <f>+X540/'VVP2'!X$341</f>
        <v>-1.459796235758854E-3</v>
      </c>
      <c r="Y553" s="3200">
        <f>+Y540/'VVP2'!Y$341</f>
        <v>3.9534290299869711E-4</v>
      </c>
      <c r="Z553" s="3200">
        <f>+Z540/'VVP2'!Z$341</f>
        <v>1.6820924021644663E-3</v>
      </c>
      <c r="AA553" s="3200">
        <f>+AA540/'VVP2'!AA$341</f>
        <v>5.1714334471883311E-3</v>
      </c>
      <c r="AB553" s="3200">
        <f>+AB540/'VVP2'!AB$341</f>
        <v>4.4870626977968515E-3</v>
      </c>
      <c r="AC553" s="3200">
        <f>+AC540/'VVP2'!AC$341</f>
        <v>5.6817151896121744E-3</v>
      </c>
      <c r="AD553" s="3197">
        <f ca="1">+AD540/'VVP2'!AD$341</f>
        <v>7.2109068210552277E-3</v>
      </c>
      <c r="AE553" s="3197">
        <f ca="1">+AE540/'VVP2'!AE$341</f>
        <v>5.8088230879147235E-3</v>
      </c>
      <c r="AF553" s="3197">
        <f ca="1">+AF540/'VVP2'!AF$341</f>
        <v>5.5935176361529412E-3</v>
      </c>
      <c r="BB553" s="3482">
        <v>5.5878198512669189E-3</v>
      </c>
      <c r="BC553" s="736" t="str">
        <f t="shared" si="668"/>
        <v/>
      </c>
    </row>
    <row r="554" spans="1:55" ht="12.75" customHeight="1">
      <c r="A554" s="701"/>
      <c r="B554" s="701"/>
      <c r="C554" s="864" t="s">
        <v>1791</v>
      </c>
      <c r="D554" s="865" t="s">
        <v>666</v>
      </c>
      <c r="E554" s="866" t="s">
        <v>234</v>
      </c>
      <c r="F554" s="867" t="s">
        <v>1227</v>
      </c>
      <c r="G554" s="877">
        <f>+G541/'VVP2'!G$341</f>
        <v>-6.2737053787345262E-4</v>
      </c>
      <c r="H554" s="877">
        <f>+H541/'VVP2'!H$341</f>
        <v>-7.5062888432353967E-4</v>
      </c>
      <c r="I554" s="877">
        <f>+I541/'VVP2'!I$341</f>
        <v>-2.9822282932850898E-4</v>
      </c>
      <c r="J554" s="877">
        <f>+J541/'VVP2'!J$341</f>
        <v>-2.0240952059069686E-5</v>
      </c>
      <c r="K554" s="877">
        <f>+K541/'VVP2'!K$341</f>
        <v>-3.5660520768571256E-4</v>
      </c>
      <c r="L554" s="877">
        <f>+L541/'VVP2'!L$341</f>
        <v>-4.7826294896934331E-5</v>
      </c>
      <c r="M554" s="877">
        <f>+M541/'VVP2'!M$341</f>
        <v>1.8534068034534609E-5</v>
      </c>
      <c r="N554" s="877">
        <f>+N541/'VVP2'!N$341</f>
        <v>-4.3512736605361626E-5</v>
      </c>
      <c r="O554" s="877">
        <f>+O541/'VVP2'!O$341</f>
        <v>-2.4991952218371476E-5</v>
      </c>
      <c r="P554" s="877">
        <f>+P541/'VVP2'!P$341</f>
        <v>-7.4775593103981167E-6</v>
      </c>
      <c r="Q554" s="877">
        <f>+Q541/'VVP2'!Q$341</f>
        <v>5.0160048346041113E-5</v>
      </c>
      <c r="R554" s="877">
        <f>+R541/'VVP2'!R$341</f>
        <v>1.4825156614888196E-5</v>
      </c>
      <c r="S554" s="3201">
        <f>+S541/'VVP2'!S$341</f>
        <v>7.3614435457559148E-5</v>
      </c>
      <c r="T554" s="3201">
        <f>+T541/'VVP2'!T$341</f>
        <v>2.1228411516295311E-5</v>
      </c>
      <c r="U554" s="3201">
        <f>+U541/'VVP2'!U$341</f>
        <v>5.3766560176475823E-5</v>
      </c>
      <c r="V554" s="3201">
        <f>+V541/'VVP2'!V$341</f>
        <v>4.5405218875857593E-5</v>
      </c>
      <c r="W554" s="3201">
        <f>+W541/'VVP2'!W$341</f>
        <v>-4.2337661699138738E-5</v>
      </c>
      <c r="X554" s="3201">
        <f>+X541/'VVP2'!X$341</f>
        <v>9.5693235138881233E-5</v>
      </c>
      <c r="Y554" s="3201">
        <f>+Y541/'VVP2'!Y$341</f>
        <v>4.8490449898633761E-5</v>
      </c>
      <c r="Z554" s="3201">
        <f>+Z541/'VVP2'!Z$341</f>
        <v>2.8368974289031128E-4</v>
      </c>
      <c r="AA554" s="3201">
        <f>+AA541/'VVP2'!AA$341</f>
        <v>8.9895545517444436E-4</v>
      </c>
      <c r="AB554" s="3201">
        <f>+AB541/'VVP2'!AB$341</f>
        <v>1.8538377748291695E-4</v>
      </c>
      <c r="AC554" s="3201">
        <f>+AC541/'VVP2'!AC$341</f>
        <v>1.4566820539173281E-4</v>
      </c>
      <c r="AD554" s="3198">
        <f ca="1">+AD541/'VVP2'!AD$341</f>
        <v>0</v>
      </c>
      <c r="AE554" s="3198">
        <f ca="1">+AE541/'VVP2'!AE$341</f>
        <v>0</v>
      </c>
      <c r="AF554" s="3198">
        <f ca="1">+AF541/'VVP2'!AF$341</f>
        <v>0</v>
      </c>
      <c r="BB554" s="3484">
        <v>1.5437220682788271E-4</v>
      </c>
      <c r="BC554" s="736" t="str">
        <f t="shared" si="668"/>
        <v/>
      </c>
    </row>
    <row r="555" spans="1:55" ht="12.75" customHeight="1">
      <c r="A555" s="701"/>
      <c r="B555" s="701"/>
      <c r="C555" s="811" t="s">
        <v>1793</v>
      </c>
      <c r="D555" s="843"/>
      <c r="E555" s="844" t="s">
        <v>234</v>
      </c>
      <c r="F555" s="845" t="s">
        <v>596</v>
      </c>
      <c r="G555" s="878">
        <f>+G542/'VVP2'!G$341</f>
        <v>1.1438508141498308E-2</v>
      </c>
      <c r="H555" s="878">
        <f>+H542/'VVP2'!H$341</f>
        <v>3.7970861951490348E-3</v>
      </c>
      <c r="I555" s="878">
        <f>+I542/'VVP2'!I$341</f>
        <v>4.7671141822512404E-3</v>
      </c>
      <c r="J555" s="878">
        <f>+J542/'VVP2'!J$341</f>
        <v>7.3375804813204252E-3</v>
      </c>
      <c r="K555" s="878">
        <f>+K542/'VVP2'!K$341</f>
        <v>2.5176595451252871E-3</v>
      </c>
      <c r="L555" s="878">
        <f>+L542/'VVP2'!L$341</f>
        <v>6.5689835569841901E-3</v>
      </c>
      <c r="M555" s="878">
        <f>+M542/'VVP2'!M$341</f>
        <v>2.8373240673737546E-3</v>
      </c>
      <c r="N555" s="878">
        <f>+N542/'VVP2'!N$341</f>
        <v>8.7647083733656983E-4</v>
      </c>
      <c r="O555" s="878">
        <f>+O542/'VVP2'!O$341</f>
        <v>3.0273833463328789E-3</v>
      </c>
      <c r="P555" s="878">
        <f>+P542/'VVP2'!P$341</f>
        <v>-2.8842014482964167E-4</v>
      </c>
      <c r="Q555" s="878">
        <f>+Q542/'VVP2'!Q$341</f>
        <v>-1.3350818347446288E-3</v>
      </c>
      <c r="R555" s="878">
        <f>+R542/'VVP2'!R$341</f>
        <v>2.6685281906798752E-4</v>
      </c>
      <c r="S555" s="878">
        <f>+S542/'VVP2'!S$341</f>
        <v>7.1921000501971684E-3</v>
      </c>
      <c r="T555" s="878">
        <f>+T542/'VVP2'!T$341</f>
        <v>1.9942913263364098E-3</v>
      </c>
      <c r="U555" s="878">
        <f>+U542/'VVP2'!U$341</f>
        <v>-1.3915514811776032E-2</v>
      </c>
      <c r="V555" s="878">
        <f>+V542/'VVP2'!V$341</f>
        <v>6.5865945631790922E-3</v>
      </c>
      <c r="W555" s="878">
        <f>+W542/'VVP2'!W$341</f>
        <v>1.1230133052247678E-2</v>
      </c>
      <c r="X555" s="878">
        <f>+X542/'VVP2'!X$341</f>
        <v>-2.7813387890224408E-4</v>
      </c>
      <c r="Y555" s="878">
        <f>+Y542/'VVP2'!Y$341</f>
        <v>1.5599086259740816E-3</v>
      </c>
      <c r="Z555" s="878">
        <f>+Z542/'VVP2'!Z$341</f>
        <v>2.996504627720649E-3</v>
      </c>
      <c r="AA555" s="878">
        <f>+AA542/'VVP2'!AA$341</f>
        <v>7.1916436413955549E-3</v>
      </c>
      <c r="AB555" s="878">
        <f>+AB542/'VVP2'!AB$341</f>
        <v>5.7997987457293889E-3</v>
      </c>
      <c r="AC555" s="878">
        <f>+AC542/'VVP2'!AC$341</f>
        <v>6.7171169313845966E-3</v>
      </c>
      <c r="AD555" s="3005">
        <f ca="1">+AD542/'VVP2'!AD$341</f>
        <v>8.0760595328446018E-3</v>
      </c>
      <c r="AE555" s="3005">
        <f ca="1">+AE542/'VVP2'!AE$341</f>
        <v>6.6591265427278354E-3</v>
      </c>
      <c r="AF555" s="3005">
        <f ca="1">+AF542/'VVP2'!AF$341</f>
        <v>6.4311323436321089E-3</v>
      </c>
      <c r="BB555" s="3507">
        <v>6.9780777845227333E-3</v>
      </c>
      <c r="BC555" s="736" t="str">
        <f t="shared" si="668"/>
        <v/>
      </c>
    </row>
    <row r="556" spans="1:55" ht="30" customHeight="1">
      <c r="A556" s="701"/>
      <c r="B556" s="701"/>
      <c r="C556" s="811"/>
      <c r="S556" s="880"/>
      <c r="T556" s="880"/>
      <c r="U556" s="880"/>
      <c r="V556" s="880"/>
      <c r="W556" s="880"/>
      <c r="BC556" s="736" t="str">
        <f t="shared" si="668"/>
        <v/>
      </c>
    </row>
    <row r="557" spans="1:55" ht="30" customHeight="1">
      <c r="BC557" s="736" t="str">
        <f t="shared" si="668"/>
        <v/>
      </c>
    </row>
    <row r="558" spans="1:55" ht="22.5" customHeight="1">
      <c r="A558" s="590"/>
      <c r="B558" s="590"/>
      <c r="C558" s="3816" t="s">
        <v>235</v>
      </c>
      <c r="D558" s="3816"/>
      <c r="E558" s="3816"/>
      <c r="F558" s="3816"/>
      <c r="R558" s="2338"/>
      <c r="AN558" s="2947"/>
      <c r="AO558" s="2947"/>
      <c r="AP558" s="2947"/>
      <c r="AQ558" s="2947"/>
      <c r="BC558" s="736" t="str">
        <f t="shared" si="668"/>
        <v/>
      </c>
    </row>
    <row r="559" spans="1:55" ht="12.75" customHeight="1">
      <c r="A559" s="701"/>
      <c r="B559" s="701"/>
      <c r="C559" s="811"/>
      <c r="P559" s="740"/>
      <c r="R559" s="2963"/>
      <c r="AH559" s="2947"/>
      <c r="AI559" s="2947"/>
      <c r="AJ559" s="2947"/>
      <c r="AK559" s="2947"/>
      <c r="AL559" s="2947"/>
      <c r="AM559" s="2947"/>
      <c r="BC559" s="736" t="str">
        <f t="shared" si="668"/>
        <v/>
      </c>
    </row>
    <row r="560" spans="1:55" ht="12.75" customHeight="1">
      <c r="A560" s="701"/>
      <c r="B560" s="701"/>
      <c r="C560" s="811"/>
      <c r="D560" s="812"/>
      <c r="E560" s="813" t="s">
        <v>1882</v>
      </c>
      <c r="F560" s="814"/>
      <c r="G560" s="815">
        <f>+InputY!$G$3</f>
        <v>1995</v>
      </c>
      <c r="H560" s="815">
        <f>+G560+1</f>
        <v>1996</v>
      </c>
      <c r="I560" s="815">
        <f t="shared" ref="I560:O560" si="699">+H560+1</f>
        <v>1997</v>
      </c>
      <c r="J560" s="815">
        <f t="shared" si="699"/>
        <v>1998</v>
      </c>
      <c r="K560" s="815">
        <f t="shared" si="699"/>
        <v>1999</v>
      </c>
      <c r="L560" s="815">
        <f t="shared" si="699"/>
        <v>2000</v>
      </c>
      <c r="M560" s="815">
        <f t="shared" si="699"/>
        <v>2001</v>
      </c>
      <c r="N560" s="815">
        <f t="shared" si="699"/>
        <v>2002</v>
      </c>
      <c r="O560" s="815">
        <f t="shared" si="699"/>
        <v>2003</v>
      </c>
      <c r="P560" s="815">
        <f>+O560+1</f>
        <v>2004</v>
      </c>
      <c r="Q560" s="815">
        <f>+P560+1</f>
        <v>2005</v>
      </c>
      <c r="R560" s="815">
        <f>+Q560+1</f>
        <v>2006</v>
      </c>
      <c r="S560" s="815">
        <f>+R560+1</f>
        <v>2007</v>
      </c>
      <c r="T560" s="815">
        <f t="shared" ref="T560:AF560" si="700">+S560+1</f>
        <v>2008</v>
      </c>
      <c r="U560" s="815">
        <f t="shared" si="700"/>
        <v>2009</v>
      </c>
      <c r="V560" s="815">
        <f t="shared" si="700"/>
        <v>2010</v>
      </c>
      <c r="W560" s="815">
        <f t="shared" si="700"/>
        <v>2011</v>
      </c>
      <c r="X560" s="2285">
        <f t="shared" si="700"/>
        <v>2012</v>
      </c>
      <c r="Y560" s="2285">
        <f t="shared" si="700"/>
        <v>2013</v>
      </c>
      <c r="Z560" s="2285">
        <f t="shared" si="700"/>
        <v>2014</v>
      </c>
      <c r="AA560" s="2285">
        <f t="shared" si="700"/>
        <v>2015</v>
      </c>
      <c r="AB560" s="2285">
        <f t="shared" si="700"/>
        <v>2016</v>
      </c>
      <c r="AC560" s="2285">
        <f t="shared" si="700"/>
        <v>2017</v>
      </c>
      <c r="AD560" s="2285">
        <f t="shared" si="700"/>
        <v>2018</v>
      </c>
      <c r="AE560" s="2285">
        <f t="shared" si="700"/>
        <v>2019</v>
      </c>
      <c r="AF560" s="2285">
        <f t="shared" si="700"/>
        <v>2020</v>
      </c>
      <c r="AN560" s="2940"/>
      <c r="AO560" s="2940"/>
      <c r="AP560" s="2940"/>
      <c r="AQ560" s="2940"/>
      <c r="BB560" s="3470">
        <v>2016</v>
      </c>
      <c r="BC560" s="736" t="str">
        <f t="shared" si="668"/>
        <v/>
      </c>
    </row>
    <row r="561" spans="1:55" ht="12.75" customHeight="1">
      <c r="A561" s="701"/>
      <c r="B561" s="701"/>
      <c r="C561" s="816" t="s">
        <v>301</v>
      </c>
      <c r="D561" s="705" t="s">
        <v>664</v>
      </c>
      <c r="E561" s="737" t="s">
        <v>235</v>
      </c>
      <c r="F561" s="738" t="s">
        <v>873</v>
      </c>
      <c r="G561" s="817">
        <f>+G456+G486-G517-G539-'VVP2'!G228</f>
        <v>67.049000000000234</v>
      </c>
      <c r="H561" s="817">
        <f>+H456+H486-H517-H539-'VVP2'!H228</f>
        <v>45.310000000000009</v>
      </c>
      <c r="I561" s="817">
        <f>+I456+I486-I517-I539-'VVP2'!I228</f>
        <v>14.824000000000019</v>
      </c>
      <c r="J561" s="817">
        <f>+J456+J486-J517-J539-'VVP2'!J228</f>
        <v>6.2429999999997534</v>
      </c>
      <c r="K561" s="817">
        <f>+K456+K486-K517-K539-'VVP2'!K228</f>
        <v>-64.851000000000312</v>
      </c>
      <c r="L561" s="817">
        <f>+L456+L486-L517-L539-'VVP2'!L228</f>
        <v>28.961000000000091</v>
      </c>
      <c r="M561" s="817">
        <f>+M456+M486-M517-M539-'VVP2'!M228</f>
        <v>83.457000000000079</v>
      </c>
      <c r="N561" s="817">
        <f>+N456+N486-N517-N539-'VVP2'!N228</f>
        <v>78.393000000000043</v>
      </c>
      <c r="O561" s="817">
        <f>+O456+O486-O517-O539-'VVP2'!O228</f>
        <v>63.164999999999793</v>
      </c>
      <c r="P561" s="817">
        <f>+P456+P486-P517-P539-'VVP2'!P228</f>
        <v>38.710999999999999</v>
      </c>
      <c r="Q561" s="817">
        <f>+Q456+Q486-Q517-Q539-'VVP2'!Q228</f>
        <v>33.657000000000025</v>
      </c>
      <c r="R561" s="817">
        <f>+R456+R486-R517-R539-'VVP2'!R228</f>
        <v>53.409000000000091</v>
      </c>
      <c r="S561" s="817">
        <f>+S456+S486-S517-S539-'VVP2'!S228</f>
        <v>90.94300000000014</v>
      </c>
      <c r="T561" s="817">
        <f>+T456+T486-T517-T539-'VVP2'!T228</f>
        <v>144.37599999999981</v>
      </c>
      <c r="U561" s="817">
        <f>+U456+U486-U517-U539-'VVP2'!U228</f>
        <v>152.66300000000012</v>
      </c>
      <c r="V561" s="817">
        <f>+V456+V486-V517-V539-'VVP2'!V228</f>
        <v>165.91400000000041</v>
      </c>
      <c r="W561" s="817">
        <f>+W456+W486-W517-W539-'VVP2'!W228</f>
        <v>192.08899999999991</v>
      </c>
      <c r="X561" s="817">
        <f>+X456+X486-X517-X539-'VVP2'!X228</f>
        <v>253.03200000000027</v>
      </c>
      <c r="Y561" s="817">
        <f>+Y456+Y486-Y517-Y539-'VVP2'!Y228</f>
        <v>271.82600000000002</v>
      </c>
      <c r="Z561" s="817">
        <f>+Z456+Z486-Z517-Z539-'VVP2'!Z228</f>
        <v>315.24399999999957</v>
      </c>
      <c r="AA561" s="817">
        <f>+AA456+AA486-AA517-AA539-'VVP2'!AA228</f>
        <v>265.91599999999994</v>
      </c>
      <c r="AB561" s="817">
        <f>+AB456+AB486-AB517-AB539-'VVP2'!AB228</f>
        <v>290.15199999999959</v>
      </c>
      <c r="AC561" s="817">
        <f>+AC456+AC486-AC517-AC539-'VVP2'!AC228</f>
        <v>267.93499999999995</v>
      </c>
      <c r="AD561" s="2335">
        <f ca="1">+AD456+AD486-AD517-AD539-'VVP2'!AD228</f>
        <v>286.29882123548396</v>
      </c>
      <c r="AE561" s="2335">
        <f ca="1">+AE456+AE486-AE517-AE539-'VVP2'!AE228</f>
        <v>276.08931509300191</v>
      </c>
      <c r="AF561" s="2335">
        <f ca="1">+AF456+AF486-AF517-AF539-'VVP2'!AF228</f>
        <v>269.80300212158005</v>
      </c>
      <c r="AH561" s="2940"/>
      <c r="AI561" s="2940"/>
      <c r="AJ561" s="2940"/>
      <c r="AK561" s="2940"/>
      <c r="AL561" s="2940"/>
      <c r="AM561" s="2940"/>
      <c r="BB561" s="3510">
        <v>285.92100000000005</v>
      </c>
      <c r="BC561" s="736">
        <f t="shared" si="668"/>
        <v>4.2309999999995398</v>
      </c>
    </row>
    <row r="562" spans="1:55" ht="12.75" customHeight="1">
      <c r="A562" s="701"/>
      <c r="B562" s="701"/>
      <c r="C562" s="819" t="s">
        <v>301</v>
      </c>
      <c r="D562" s="711" t="s">
        <v>665</v>
      </c>
      <c r="E562" s="820" t="s">
        <v>235</v>
      </c>
      <c r="F562" s="741" t="s">
        <v>1964</v>
      </c>
      <c r="G562" s="743">
        <f>+G457+G487-G518-G540-'VVP2'!G230</f>
        <v>124.69699999999989</v>
      </c>
      <c r="H562" s="743">
        <f>+H457+H487-H518-H540-'VVP2'!H230</f>
        <v>71.283000000000015</v>
      </c>
      <c r="I562" s="743">
        <f>+I457+I487-I518-I540-'VVP2'!I230</f>
        <v>93.631999999999891</v>
      </c>
      <c r="J562" s="743">
        <f>+J457+J487-J518-J540-'VVP2'!J230</f>
        <v>65.943000000000097</v>
      </c>
      <c r="K562" s="743">
        <f>+K457+K487-K518-K540-'VVP2'!K230</f>
        <v>50.122999999999877</v>
      </c>
      <c r="L562" s="743">
        <f>+L457+L487-L518-L540-'VVP2'!L230</f>
        <v>-5.3929999999998586</v>
      </c>
      <c r="M562" s="743">
        <f>+M457+M487-M518-M540-'VVP2'!M230</f>
        <v>-4.7260000000001696</v>
      </c>
      <c r="N562" s="743">
        <f>+N457+N487-N518-N540-'VVP2'!N230</f>
        <v>86.850999999999885</v>
      </c>
      <c r="O562" s="743">
        <f>+O457+O487-O518-O540-'VVP2'!O230</f>
        <v>138.58100000000007</v>
      </c>
      <c r="P562" s="743">
        <f>+P457+P487-P518-P540-'VVP2'!P230</f>
        <v>125.24400000000014</v>
      </c>
      <c r="Q562" s="743">
        <f>+Q457+Q487-Q518-Q540-'VVP2'!Q230</f>
        <v>105.44199999999989</v>
      </c>
      <c r="R562" s="743">
        <f>+R457+R487-R518-R540-'VVP2'!R230</f>
        <v>112.83599999999984</v>
      </c>
      <c r="S562" s="743">
        <f>+S457+S487-S518-S540-'VVP2'!S230</f>
        <v>62.673000000000229</v>
      </c>
      <c r="T562" s="743">
        <f>+T457+T487-T518-T540-'VVP2'!T230</f>
        <v>52.562000000000353</v>
      </c>
      <c r="U562" s="743">
        <f>+U457+U487-U518-U540-'VVP2'!U230</f>
        <v>76.536999999999807</v>
      </c>
      <c r="V562" s="743">
        <f>+V457+V487-V518-V540-'VVP2'!V230</f>
        <v>55.521999999999935</v>
      </c>
      <c r="W562" s="743">
        <f>+W457+W487-W518-W540-'VVP2'!W230</f>
        <v>-9.2060000000000173</v>
      </c>
      <c r="X562" s="743">
        <f>+X457+X487-X518-X540-'VVP2'!X230</f>
        <v>-23.155999999999949</v>
      </c>
      <c r="Y562" s="743">
        <f>+Y457+Y487-Y518-Y540-'VVP2'!Y230</f>
        <v>-40.323000000000093</v>
      </c>
      <c r="Z562" s="743">
        <f>+Z457+Z487-Z518-Z540-'VVP2'!Z230</f>
        <v>-76.222000000000094</v>
      </c>
      <c r="AA562" s="743">
        <f>+AA457+AA487-AA518-AA540-'VVP2'!AA230</f>
        <v>-91.083999999999605</v>
      </c>
      <c r="AB562" s="743">
        <f>+AB457+AB487-AB518-AB540-'VVP2'!AB230</f>
        <v>-155.70199999999988</v>
      </c>
      <c r="AC562" s="743">
        <f>+AC457+AC487-AC518-AC540-'VVP2'!AC230</f>
        <v>-175.46300000000019</v>
      </c>
      <c r="AD562" s="2333">
        <f ca="1">+AD457+AD487-AD518-AD540-'VVP2'!AD230</f>
        <v>-191.72712986469571</v>
      </c>
      <c r="AE562" s="2333">
        <f ca="1">+AE457+AE487-AE518-AE540-'VVP2'!AE230</f>
        <v>-184.82603674955931</v>
      </c>
      <c r="AF562" s="2333">
        <f ca="1">+AF457+AF487-AF518-AF540-'VVP2'!AF230</f>
        <v>-177.48162221338555</v>
      </c>
      <c r="BB562" s="3475">
        <v>-115.92600000000016</v>
      </c>
      <c r="BC562" s="736">
        <f t="shared" si="668"/>
        <v>-39.775999999999726</v>
      </c>
    </row>
    <row r="563" spans="1:55" ht="12.75" customHeight="1">
      <c r="A563" s="701"/>
      <c r="B563" s="701"/>
      <c r="C563" s="819" t="s">
        <v>301</v>
      </c>
      <c r="D563" s="711" t="s">
        <v>666</v>
      </c>
      <c r="E563" s="820" t="s">
        <v>235</v>
      </c>
      <c r="F563" s="741" t="s">
        <v>725</v>
      </c>
      <c r="G563" s="743">
        <f>+G458+G485-G519-G541-'VVP2'!G229</f>
        <v>-132.38399999999996</v>
      </c>
      <c r="H563" s="743">
        <f>+H458+H485-H519-H541-'VVP2'!H229</f>
        <v>-60.107999999999933</v>
      </c>
      <c r="I563" s="743">
        <f>+I458+I485-I519-I541-'VVP2'!I229</f>
        <v>-31.794000000000118</v>
      </c>
      <c r="J563" s="743">
        <f>+J458+J485-J519-J541-'VVP2'!J229</f>
        <v>17.792000000000172</v>
      </c>
      <c r="K563" s="743">
        <f>+K458+K485-K519-K541-'VVP2'!K229</f>
        <v>16.972999999999985</v>
      </c>
      <c r="L563" s="743">
        <f>+L458+L485-L519-L541-'VVP2'!L229</f>
        <v>76.766000000000261</v>
      </c>
      <c r="M563" s="743">
        <f>+M458+M485-M519-M541-'VVP2'!M229</f>
        <v>35.280999999999892</v>
      </c>
      <c r="N563" s="1503">
        <f>+N458+N485-N519-N541-'VVP2'!N229</f>
        <v>-37.333999999999662</v>
      </c>
      <c r="O563" s="743">
        <f>+O458+O485-O519-O541-'VVP2'!O229</f>
        <v>-33.985999999999848</v>
      </c>
      <c r="P563" s="743">
        <f>+P458+P485-P519-P541-'VVP2'!P229</f>
        <v>9.9810000000000372</v>
      </c>
      <c r="Q563" s="743">
        <f>+Q458+Q485-Q519-Q541-'VVP2'!Q229</f>
        <v>53.333000000000325</v>
      </c>
      <c r="R563" s="743">
        <f>+R458+R485-R519-R541-'VVP2'!R229</f>
        <v>68.546000000000049</v>
      </c>
      <c r="S563" s="743">
        <f>+S458+S485-S519-S541-'VVP2'!S229</f>
        <v>110.71499999999992</v>
      </c>
      <c r="T563" s="743">
        <f>+T458+T485-T519-T541-'VVP2'!T229</f>
        <v>64.582000000000136</v>
      </c>
      <c r="U563" s="743">
        <f>+U458+U485-U519-U541-'VVP2'!U229</f>
        <v>-23.550999999999874</v>
      </c>
      <c r="V563" s="743">
        <f>+V458+V485-V519-V541-'VVP2'!V229</f>
        <v>-1.1300000000001376</v>
      </c>
      <c r="W563" s="743">
        <f>+W458+W485-W519-W541-'VVP2'!W229</f>
        <v>-7.4120000000000346</v>
      </c>
      <c r="X563" s="743">
        <f>+X458+X485-X519-X541-'VVP2'!X229</f>
        <v>-35.589000000000141</v>
      </c>
      <c r="Y563" s="743">
        <f>+Y458+Y485-Y519-Y541-'VVP2'!Y229</f>
        <v>-51.593000000000018</v>
      </c>
      <c r="Z563" s="743">
        <f>+Z458+Z485-Z519-Z541-'VVP2'!Z229</f>
        <v>-61.176000000000386</v>
      </c>
      <c r="AA563" s="743">
        <f>+AA458+AA485-AA519-AA541-'VVP2'!AA229</f>
        <v>6.697999999999638</v>
      </c>
      <c r="AB563" s="743">
        <f>+AB458+AB485-AB519-AB541-'VVP2'!AB229</f>
        <v>48.751999999999697</v>
      </c>
      <c r="AC563" s="743">
        <f>+AC458+AC485-AC519-AC541-'VVP2'!AC229</f>
        <v>71.078999999999922</v>
      </c>
      <c r="AD563" s="2364">
        <f ca="1">+AD458+AD485-AD519-AD541-'VVP2'!AD229</f>
        <v>51.653645314444162</v>
      </c>
      <c r="AE563" s="2364">
        <f ca="1">+AE458+AE485-AE519-AE541-'VVP2'!AE229</f>
        <v>47.682227170986607</v>
      </c>
      <c r="AF563" s="2364">
        <f ca="1">+AF458+AF485-AF519-AF541-'VVP2'!AF229</f>
        <v>43.333020296400605</v>
      </c>
      <c r="AG563" s="740"/>
      <c r="BB563" s="3563">
        <v>32.615000000000094</v>
      </c>
      <c r="BC563" s="736">
        <f t="shared" si="668"/>
        <v>16.136999999999603</v>
      </c>
    </row>
    <row r="564" spans="1:55" ht="12.75" customHeight="1">
      <c r="A564" s="2014">
        <f>+ROW(InputY!A84)</f>
        <v>84</v>
      </c>
      <c r="B564" s="701"/>
      <c r="C564" s="821" t="s">
        <v>1793</v>
      </c>
      <c r="D564" s="789" t="s">
        <v>667</v>
      </c>
      <c r="E564" s="790" t="s">
        <v>235</v>
      </c>
      <c r="F564" s="791" t="s">
        <v>1965</v>
      </c>
      <c r="G564" s="822">
        <f>-InputY!G84/1000</f>
        <v>-62.814999999999998</v>
      </c>
      <c r="H564" s="822">
        <f>-InputY!H84/1000</f>
        <v>-61.283000000000001</v>
      </c>
      <c r="I564" s="822">
        <f>-InputY!I84/1000</f>
        <v>-78.936000000000007</v>
      </c>
      <c r="J564" s="822">
        <f>-InputY!J84/1000</f>
        <v>-93.331000000000003</v>
      </c>
      <c r="K564" s="822">
        <f>-InputY!K84/1000</f>
        <v>-79.412000000000006</v>
      </c>
      <c r="L564" s="822">
        <f>-InputY!L84/1000</f>
        <v>-108.5</v>
      </c>
      <c r="M564" s="822">
        <f>-InputY!M84/1000</f>
        <v>-124.521</v>
      </c>
      <c r="N564" s="822">
        <f>-InputY!N84/1000</f>
        <v>-138.15899999999999</v>
      </c>
      <c r="O564" s="822">
        <f>-InputY!O84/1000</f>
        <v>-178.245</v>
      </c>
      <c r="P564" s="822">
        <f>-InputY!P84/1000</f>
        <v>-185.36099999999999</v>
      </c>
      <c r="Q564" s="822">
        <f>-InputY!Q84/1000</f>
        <v>-203.71</v>
      </c>
      <c r="R564" s="822">
        <f>-InputY!R84/1000</f>
        <v>-248.28100000000001</v>
      </c>
      <c r="S564" s="822">
        <f>-InputY!S84/1000</f>
        <v>-276.51799999999997</v>
      </c>
      <c r="T564" s="822">
        <f>-InputY!T84/1000</f>
        <v>-264.85500000000002</v>
      </c>
      <c r="U564" s="822">
        <f>-InputY!U84/1000</f>
        <v>-210.95699999999999</v>
      </c>
      <c r="V564" s="822">
        <f>-InputY!V84/1000</f>
        <v>-223.267</v>
      </c>
      <c r="W564" s="822">
        <f>-InputY!W84/1000</f>
        <v>-182.17599999999999</v>
      </c>
      <c r="X564" s="822">
        <f>-InputY!X84/1000</f>
        <v>-198.65899999999999</v>
      </c>
      <c r="Y564" s="822">
        <f>-InputY!Y84/1000</f>
        <v>-182.68299999999999</v>
      </c>
      <c r="Z564" s="822">
        <f>-InputY!Z84/1000</f>
        <v>-181.08500000000001</v>
      </c>
      <c r="AA564" s="822">
        <f>-InputY!AA84/1000</f>
        <v>-183.62700000000001</v>
      </c>
      <c r="AB564" s="822">
        <f>-InputY!AB84/1000</f>
        <v>-183.45699999999999</v>
      </c>
      <c r="AC564" s="822">
        <f>-InputY!AC84/1000</f>
        <v>-163.20099999999999</v>
      </c>
      <c r="AD564" s="2279">
        <f ca="1">-AD561-AD562-AD563</f>
        <v>-146.22533668523241</v>
      </c>
      <c r="AE564" s="2279">
        <f ca="1">-AE561-AE562-AE563</f>
        <v>-138.94550551442921</v>
      </c>
      <c r="AF564" s="2279">
        <f ca="1">-AF561-AF562-AF563</f>
        <v>-135.65440020459511</v>
      </c>
      <c r="BB564" s="3473">
        <v>-223.16900000000001</v>
      </c>
      <c r="BC564" s="736">
        <f t="shared" si="668"/>
        <v>39.712000000000018</v>
      </c>
    </row>
    <row r="565" spans="1:55" s="2036" customFormat="1" ht="12.75" customHeight="1">
      <c r="A565" s="1036"/>
      <c r="B565" s="1036"/>
      <c r="C565" s="1647"/>
      <c r="D565" s="2035"/>
      <c r="E565" s="2033" t="s">
        <v>90</v>
      </c>
      <c r="F565" s="2034"/>
      <c r="G565" s="1040">
        <f>ABS(-G561-G562-G563-G564)</f>
        <v>3.4529999999998324</v>
      </c>
      <c r="H565" s="1040">
        <f t="shared" ref="H565:X565" si="701">ABS(-H561-H562-H563-H564)</f>
        <v>4.7979999999999166</v>
      </c>
      <c r="I565" s="1040">
        <f t="shared" si="701"/>
        <v>2.2740000000002283</v>
      </c>
      <c r="J565" s="1040">
        <f t="shared" si="701"/>
        <v>3.3529999999999802</v>
      </c>
      <c r="K565" s="1040">
        <f t="shared" si="701"/>
        <v>77.167000000000456</v>
      </c>
      <c r="L565" s="1040">
        <f t="shared" si="701"/>
        <v>8.1659999999995136</v>
      </c>
      <c r="M565" s="1040">
        <f t="shared" si="701"/>
        <v>10.509000000000199</v>
      </c>
      <c r="N565" s="1040">
        <f t="shared" si="701"/>
        <v>10.248999999999739</v>
      </c>
      <c r="O565" s="1040">
        <f t="shared" si="701"/>
        <v>10.484999999999985</v>
      </c>
      <c r="P565" s="1040">
        <f t="shared" si="701"/>
        <v>11.424999999999784</v>
      </c>
      <c r="Q565" s="1040">
        <f t="shared" ref="Q565:V565" si="702">ABS(-Q561-Q562-Q563-Q564)</f>
        <v>11.277999999999764</v>
      </c>
      <c r="R565" s="1040">
        <f t="shared" si="702"/>
        <v>13.490000000000009</v>
      </c>
      <c r="S565" s="1040">
        <f t="shared" si="702"/>
        <v>12.186999999999671</v>
      </c>
      <c r="T565" s="1040">
        <f t="shared" si="702"/>
        <v>3.3349999999996953</v>
      </c>
      <c r="U565" s="1040">
        <f t="shared" si="702"/>
        <v>5.3079999999999359</v>
      </c>
      <c r="V565" s="1040">
        <f t="shared" si="702"/>
        <v>2.9609999999997854</v>
      </c>
      <c r="W565" s="1040">
        <f>ABS(-W561-W562-W563-W564)</f>
        <v>6.7050000000001262</v>
      </c>
      <c r="X565" s="3235">
        <f t="shared" si="701"/>
        <v>4.3719999999998151</v>
      </c>
      <c r="Y565" s="3235">
        <f t="shared" ref="Y565:AD565" si="703">ABS(-Y561-Y562-Y563-Y564)</f>
        <v>2.7730000000000814</v>
      </c>
      <c r="Z565" s="3235">
        <f t="shared" ref="Z565:AC565" si="704">ABS(-Z561-Z562-Z563-Z564)</f>
        <v>3.2390000000009138</v>
      </c>
      <c r="AA565" s="3235">
        <f t="shared" si="704"/>
        <v>2.0970000000000368</v>
      </c>
      <c r="AB565" s="3235">
        <f t="shared" si="704"/>
        <v>0.25500000000059231</v>
      </c>
      <c r="AC565" s="3235">
        <f t="shared" si="704"/>
        <v>0.34999999999968168</v>
      </c>
      <c r="AD565" s="2999">
        <f t="shared" ca="1" si="703"/>
        <v>0</v>
      </c>
      <c r="AE565" s="2999">
        <f t="shared" ref="AE565:AF565" ca="1" si="705">ABS(-AE561-AE562-AE563-AE564)</f>
        <v>0</v>
      </c>
      <c r="AF565" s="2999">
        <f t="shared" ca="1" si="705"/>
        <v>0</v>
      </c>
      <c r="AG565" s="2947"/>
      <c r="AH565" s="2939"/>
      <c r="AI565" s="2939"/>
      <c r="AJ565" s="2939"/>
      <c r="AK565" s="2939"/>
      <c r="AL565" s="2939"/>
      <c r="AM565" s="2939"/>
      <c r="AN565" s="2939"/>
      <c r="AO565" s="2939"/>
      <c r="AP565" s="2939"/>
      <c r="AQ565" s="2939"/>
      <c r="AR565" s="2947"/>
      <c r="AS565" s="2947"/>
      <c r="AT565" s="2947"/>
      <c r="BB565" s="3496">
        <v>20.559000000000026</v>
      </c>
      <c r="BC565" s="736">
        <f t="shared" si="668"/>
        <v>-20.303999999999434</v>
      </c>
    </row>
    <row r="566" spans="1:55" ht="12.75" customHeight="1">
      <c r="A566" s="1036"/>
      <c r="B566" s="701"/>
      <c r="C566" s="811" t="s">
        <v>1793</v>
      </c>
      <c r="D566" s="783" t="s">
        <v>667</v>
      </c>
      <c r="E566" s="784" t="s">
        <v>235</v>
      </c>
      <c r="F566" s="785" t="s">
        <v>1965</v>
      </c>
      <c r="G566" s="836">
        <f>-'VVP2'!G331-Labour1!G215+Sector1!G12-Sector1!G49-Sector1!G140+Sector1!G256+Sector1!G327-Sector1!G202+Sector1!G299-Sector1!G397-Sector1!G488-Sector1!G520</f>
        <v>-58.807999999999979</v>
      </c>
      <c r="H566" s="836">
        <f>-'VVP2'!H331-Labour1!H215+Sector1!H12-Sector1!H49-Sector1!H140+Sector1!H256+Sector1!H327-Sector1!H202+Sector1!H299-Sector1!H397-Sector1!H488-Sector1!H520</f>
        <v>-56.178000000000004</v>
      </c>
      <c r="I566" s="836">
        <f>-'VVP2'!I331-Labour1!I215+Sector1!I12-Sector1!I49-Sector1!I140+Sector1!I256+Sector1!I327-Sector1!I202+Sector1!I299-Sector1!I397-Sector1!I488-Sector1!I520</f>
        <v>-72.627999999999986</v>
      </c>
      <c r="J566" s="836">
        <f>-'VVP2'!J331-Labour1!J215+Sector1!J12-Sector1!J49-Sector1!J140+Sector1!J256+Sector1!J327-Sector1!J202+Sector1!J299-Sector1!J397-Sector1!J488-Sector1!J520</f>
        <v>-85.764999999999958</v>
      </c>
      <c r="K566" s="836">
        <f>-'VVP2'!K331-Labour1!K215+Sector1!K12-Sector1!K49-Sector1!K140+Sector1!K256+Sector1!K327-Sector1!K202+Sector1!K299-Sector1!K397-Sector1!K488-Sector1!K520</f>
        <v>-72.388000000000019</v>
      </c>
      <c r="L566" s="836">
        <f>-'VVP2'!L331-Labour1!L215+Sector1!L12-Sector1!L49-Sector1!L140+Sector1!L256+Sector1!L327-Sector1!L202+Sector1!L299-Sector1!L397-Sector1!L488-Sector1!L520</f>
        <v>-103.57700000000004</v>
      </c>
      <c r="M566" s="836">
        <f>-'VVP2'!M331-Labour1!M215+Sector1!M12-Sector1!M49-Sector1!M140+Sector1!M256+Sector1!M327-Sector1!M202+Sector1!M299-Sector1!M397-Sector1!M488-Sector1!M520</f>
        <v>-119.38999999999994</v>
      </c>
      <c r="N566" s="836">
        <f>-'VVP2'!N331-Labour1!N215+Sector1!N12-Sector1!N49-Sector1!N140+Sector1!N256+Sector1!N327-Sector1!N202+Sector1!N299-Sector1!N397-Sector1!N488-Sector1!N520</f>
        <v>-131.917</v>
      </c>
      <c r="O566" s="836">
        <f>-'VVP2'!O331-Labour1!O215+Sector1!O12-Sector1!O49-Sector1!O140+Sector1!O256+Sector1!O327-Sector1!O202+Sector1!O299-Sector1!O397-Sector1!O488-Sector1!O520</f>
        <v>-178.25300000000013</v>
      </c>
      <c r="P566" s="836">
        <f>-'VVP2'!P331-Labour1!P215+Sector1!P12-Sector1!P49-Sector1!P140+Sector1!P256+Sector1!P327-Sector1!P202+Sector1!P299-Sector1!P397-Sector1!P488-Sector1!P520</f>
        <v>-185.36700000000005</v>
      </c>
      <c r="Q566" s="836">
        <f>-'VVP2'!Q331-Labour1!Q215+Sector1!Q12-Sector1!Q49-Sector1!Q140+Sector1!Q256+Sector1!Q327-Sector1!Q202+Sector1!Q299-Sector1!Q397-Sector1!Q488-Sector1!Q520</f>
        <v>-203.72099999999995</v>
      </c>
      <c r="R566" s="836">
        <f>-'VVP2'!R331-Labour1!R215+Sector1!R12-Sector1!R49-Sector1!R140+Sector1!R256+Sector1!R327-Sector1!R202+Sector1!R299-Sector1!R397-Sector1!R488-Sector1!R520</f>
        <v>-248.28999999999991</v>
      </c>
      <c r="S566" s="836">
        <f>-'VVP2'!S331-Labour1!S215+Sector1!S12-Sector1!S49-Sector1!S140+Sector1!S256+Sector1!S327-Sector1!S202+Sector1!S299-Sector1!S397-Sector1!S488-Sector1!S520</f>
        <v>-276.52800000000013</v>
      </c>
      <c r="T566" s="836">
        <f>-'VVP2'!T331-Labour1!T215+Sector1!T12-Sector1!T49-Sector1!T140+Sector1!T256+Sector1!T327-Sector1!T202+Sector1!T299-Sector1!T397-Sector1!T488-Sector1!T520</f>
        <v>-264.86500000000018</v>
      </c>
      <c r="U566" s="836">
        <f>-'VVP2'!U331-Labour1!U215+Sector1!U12-Sector1!U49-Sector1!U140+Sector1!U256+Sector1!U327-Sector1!U202+Sector1!U299-Sector1!U397-Sector1!U488-Sector1!U520</f>
        <v>-210.96900000000002</v>
      </c>
      <c r="V566" s="836">
        <f>-'VVP2'!V331-Labour1!V215+Sector1!V12-Sector1!V49-Sector1!V140+Sector1!V256+Sector1!V327-Sector1!V202+Sector1!V299-Sector1!V397-Sector1!V488-Sector1!V520</f>
        <v>-223.2789999999998</v>
      </c>
      <c r="W566" s="836">
        <f>-'VVP2'!W331-Labour1!W215+Sector1!W12-Sector1!W49-Sector1!W140+Sector1!W256+Sector1!W327-Sector1!W202+Sector1!W299-Sector1!W397-Sector1!W488-Sector1!W520</f>
        <v>-182.18600000000012</v>
      </c>
      <c r="X566" s="836">
        <f>-'VVP2'!X331-Labour1!X215+Sector1!X12-Sector1!X49-Sector1!X140+Sector1!X256+Sector1!X327-Sector1!X202+Sector1!X299-Sector1!X397-Sector1!X488-Sector1!X520</f>
        <v>-198.67099999999991</v>
      </c>
      <c r="Y566" s="836">
        <f>-'VVP2'!Y331-Labour1!Y215+Sector1!Y12-Sector1!Y49-Sector1!Y140+Sector1!Y256+Sector1!Y327-Sector1!Y202+Sector1!Y299-Sector1!Y397-Sector1!Y488-Sector1!Y520</f>
        <v>-182.69900000000015</v>
      </c>
      <c r="Z566" s="836">
        <f>-'VVP2'!Z331-Labour1!Z215+Sector1!Z12-Sector1!Z49-Sector1!Z140+Sector1!Z256+Sector1!Z327-Sector1!Z202+Sector1!Z299-Sector1!Z397-Sector1!Z488-Sector1!Z520</f>
        <v>-181.08500000000004</v>
      </c>
      <c r="AA566" s="836">
        <f>-'VVP2'!AA331-Labour1!AA215+Sector1!AA12-Sector1!AA49-Sector1!AA140+Sector1!AA256+Sector1!AA327-Sector1!AA202+Sector1!AA299-Sector1!AA397-Sector1!AA488-Sector1!AA520</f>
        <v>-183.62699999999992</v>
      </c>
      <c r="AB566" s="836">
        <f>-'VVP2'!AB331-Labour1!AB215+Sector1!AB12-Sector1!AB49-Sector1!AB140+Sector1!AB256+Sector1!AB327-Sector1!AB202+Sector1!AB299-Sector1!AB397-Sector1!AB488-Sector1!AB520</f>
        <v>-183.45700000000008</v>
      </c>
      <c r="AC566" s="836">
        <f>-'VVP2'!AC331-Labour1!AC215+Sector1!AC12-Sector1!AC49-Sector1!AC140+Sector1!AC256+Sector1!AC327-Sector1!AC202+Sector1!AC299-Sector1!AC397-Sector1!AC488-Sector1!AC520</f>
        <v>-163.20099999999991</v>
      </c>
      <c r="AD566" s="836">
        <f ca="1">-'VVP2'!AD331-Labour1!AD215+Sector1!AD12-Sector1!AD49-Sector1!AD140+Sector1!AD256+Sector1!AD327-Sector1!AD202+Sector1!AD299-Sector1!AD397-Sector1!AD488-Sector1!AD520</f>
        <v>-146.57533668523271</v>
      </c>
      <c r="AE566" s="836">
        <f ca="1">-'VVP2'!AE331-Labour1!AE215+Sector1!AE12-Sector1!AE49-Sector1!AE140+Sector1!AE256+Sector1!AE327-Sector1!AE202+Sector1!AE299-Sector1!AE397-Sector1!AE488-Sector1!AE520</f>
        <v>-139.29550551442952</v>
      </c>
      <c r="AF566" s="836">
        <f ca="1">-'VVP2'!AF331-Labour1!AF215+Sector1!AF12-Sector1!AF49-Sector1!AF140+Sector1!AF256+Sector1!AF327-Sector1!AF202+Sector1!AF299-Sector1!AF397-Sector1!AF488-Sector1!AF520</f>
        <v>-136.00440020459689</v>
      </c>
      <c r="BB566" s="3561">
        <v>-204.04099999999977</v>
      </c>
      <c r="BC566" s="736">
        <f t="shared" si="668"/>
        <v>20.583999999999691</v>
      </c>
    </row>
    <row r="567" spans="1:55" s="2032" customFormat="1" ht="12.75" customHeight="1">
      <c r="A567" s="1036"/>
      <c r="B567" s="1036"/>
      <c r="C567" s="1647"/>
      <c r="D567" s="1051"/>
      <c r="E567" s="2033" t="s">
        <v>90</v>
      </c>
      <c r="F567" s="2034"/>
      <c r="G567" s="1040">
        <f>ABS(+G564-G566)</f>
        <v>4.0070000000000192</v>
      </c>
      <c r="H567" s="1040">
        <f t="shared" ref="H567:X567" si="706">ABS(+H564-H566)</f>
        <v>5.1049999999999969</v>
      </c>
      <c r="I567" s="1040">
        <f t="shared" si="706"/>
        <v>6.3080000000000211</v>
      </c>
      <c r="J567" s="1040">
        <f t="shared" si="706"/>
        <v>7.5660000000000451</v>
      </c>
      <c r="K567" s="1040">
        <f t="shared" si="706"/>
        <v>7.0239999999999867</v>
      </c>
      <c r="L567" s="1040">
        <f t="shared" si="706"/>
        <v>4.9229999999999592</v>
      </c>
      <c r="M567" s="1040">
        <f t="shared" si="706"/>
        <v>5.1310000000000571</v>
      </c>
      <c r="N567" s="1040">
        <f t="shared" si="706"/>
        <v>6.2419999999999902</v>
      </c>
      <c r="O567" s="1040">
        <f t="shared" si="706"/>
        <v>8.0000000001234639E-3</v>
      </c>
      <c r="P567" s="1040">
        <f t="shared" si="706"/>
        <v>6.0000000000570708E-3</v>
      </c>
      <c r="Q567" s="1040">
        <f t="shared" ref="Q567:V567" si="707">ABS(+Q564-Q566)</f>
        <v>1.0999999999938836E-2</v>
      </c>
      <c r="R567" s="1040">
        <f t="shared" si="707"/>
        <v>8.9999999999008651E-3</v>
      </c>
      <c r="S567" s="1040">
        <f t="shared" si="707"/>
        <v>1.0000000000161435E-2</v>
      </c>
      <c r="T567" s="1040">
        <f t="shared" si="707"/>
        <v>1.0000000000161435E-2</v>
      </c>
      <c r="U567" s="1040">
        <f t="shared" si="707"/>
        <v>1.2000000000028876E-2</v>
      </c>
      <c r="V567" s="1040">
        <f t="shared" si="707"/>
        <v>1.1999999999801503E-2</v>
      </c>
      <c r="W567" s="1040">
        <f>ABS(+W564-W566)</f>
        <v>1.0000000000133014E-2</v>
      </c>
      <c r="X567" s="2999">
        <f t="shared" si="706"/>
        <v>1.199999999991519E-2</v>
      </c>
      <c r="Y567" s="2999">
        <f t="shared" ref="Y567:AD567" si="708">ABS(+Y564-Y566)</f>
        <v>1.6000000000161663E-2</v>
      </c>
      <c r="Z567" s="2999">
        <f t="shared" ref="Z567:AC567" si="709">ABS(+Z564-Z566)</f>
        <v>2.8421709430404007E-14</v>
      </c>
      <c r="AA567" s="2999">
        <f t="shared" si="709"/>
        <v>8.5265128291212022E-14</v>
      </c>
      <c r="AB567" s="2999">
        <f t="shared" si="709"/>
        <v>8.5265128291212022E-14</v>
      </c>
      <c r="AC567" s="2999">
        <f t="shared" si="709"/>
        <v>8.5265128291212022E-14</v>
      </c>
      <c r="AD567" s="2999">
        <f t="shared" ca="1" si="708"/>
        <v>0.35000000000030695</v>
      </c>
      <c r="AE567" s="2999">
        <f t="shared" ref="AE567:AF567" ca="1" si="710">ABS(+AE564-AE566)</f>
        <v>0.35000000000030695</v>
      </c>
      <c r="AF567" s="2999">
        <f t="shared" ca="1" si="710"/>
        <v>0.35000000000178488</v>
      </c>
      <c r="AG567" s="2940"/>
      <c r="AH567" s="2939"/>
      <c r="AI567" s="2939"/>
      <c r="AJ567" s="2939"/>
      <c r="AK567" s="2939"/>
      <c r="AL567" s="2939"/>
      <c r="AM567" s="2939"/>
      <c r="AN567" s="2939"/>
      <c r="AO567" s="2939"/>
      <c r="AP567" s="2939"/>
      <c r="AQ567" s="2939"/>
      <c r="AR567" s="2940"/>
      <c r="AS567" s="2940"/>
      <c r="AT567" s="2940"/>
      <c r="BB567" s="3496">
        <v>19.128000000000242</v>
      </c>
      <c r="BC567" s="736">
        <f t="shared" si="668"/>
        <v>-19.128000000000156</v>
      </c>
    </row>
    <row r="568" spans="1:55">
      <c r="A568" s="701"/>
      <c r="B568" s="701"/>
      <c r="P568" s="740"/>
      <c r="Q568" s="740"/>
      <c r="R568" s="740"/>
      <c r="S568" s="740"/>
      <c r="T568" s="740"/>
      <c r="U568" s="740"/>
      <c r="V568" s="740"/>
      <c r="W568" s="740"/>
      <c r="X568" s="2322"/>
      <c r="Y568" s="2322"/>
      <c r="Z568" s="2322"/>
      <c r="AA568" s="2322"/>
      <c r="AB568" s="2322"/>
      <c r="AC568" s="2322"/>
      <c r="AD568" s="2322"/>
      <c r="AE568" s="2322"/>
      <c r="AF568" s="2322"/>
      <c r="BB568" s="3475"/>
      <c r="BC568" s="736" t="str">
        <f t="shared" si="668"/>
        <v/>
      </c>
    </row>
    <row r="569" spans="1:55" ht="12.75" customHeight="1">
      <c r="A569" s="701"/>
      <c r="B569" s="701"/>
      <c r="C569" s="811"/>
      <c r="D569" s="779"/>
      <c r="E569" s="780" t="s">
        <v>1883</v>
      </c>
      <c r="F569" s="781"/>
      <c r="G569" s="782">
        <f>+InputY!$G$3</f>
        <v>1995</v>
      </c>
      <c r="H569" s="782">
        <f>+G569+1</f>
        <v>1996</v>
      </c>
      <c r="I569" s="782">
        <f t="shared" ref="I569:O569" si="711">+H569+1</f>
        <v>1997</v>
      </c>
      <c r="J569" s="782">
        <f t="shared" si="711"/>
        <v>1998</v>
      </c>
      <c r="K569" s="782">
        <f t="shared" si="711"/>
        <v>1999</v>
      </c>
      <c r="L569" s="782">
        <f t="shared" si="711"/>
        <v>2000</v>
      </c>
      <c r="M569" s="782">
        <f t="shared" si="711"/>
        <v>2001</v>
      </c>
      <c r="N569" s="782">
        <f t="shared" si="711"/>
        <v>2002</v>
      </c>
      <c r="O569" s="782">
        <f t="shared" si="711"/>
        <v>2003</v>
      </c>
      <c r="P569" s="782">
        <f t="shared" ref="P569:AF569" si="712">+O569+1</f>
        <v>2004</v>
      </c>
      <c r="Q569" s="782">
        <f t="shared" si="712"/>
        <v>2005</v>
      </c>
      <c r="R569" s="782">
        <f t="shared" si="712"/>
        <v>2006</v>
      </c>
      <c r="S569" s="782">
        <f t="shared" si="712"/>
        <v>2007</v>
      </c>
      <c r="T569" s="782">
        <f t="shared" si="712"/>
        <v>2008</v>
      </c>
      <c r="U569" s="782">
        <f t="shared" si="712"/>
        <v>2009</v>
      </c>
      <c r="V569" s="782">
        <f t="shared" si="712"/>
        <v>2010</v>
      </c>
      <c r="W569" s="782">
        <f t="shared" si="712"/>
        <v>2011</v>
      </c>
      <c r="X569" s="782">
        <f t="shared" si="712"/>
        <v>2012</v>
      </c>
      <c r="Y569" s="782">
        <f t="shared" si="712"/>
        <v>2013</v>
      </c>
      <c r="Z569" s="782">
        <f t="shared" ref="Z569" si="713">+Y569+1</f>
        <v>2014</v>
      </c>
      <c r="AA569" s="782">
        <f t="shared" ref="AA569" si="714">+Z569+1</f>
        <v>2015</v>
      </c>
      <c r="AB569" s="782">
        <f t="shared" ref="AB569" si="715">+AA569+1</f>
        <v>2016</v>
      </c>
      <c r="AC569" s="782">
        <f t="shared" ref="AC569" si="716">+AB569+1</f>
        <v>2017</v>
      </c>
      <c r="AD569" s="782">
        <f t="shared" si="712"/>
        <v>2018</v>
      </c>
      <c r="AE569" s="782">
        <f t="shared" si="712"/>
        <v>2019</v>
      </c>
      <c r="AF569" s="782">
        <f t="shared" si="712"/>
        <v>2020</v>
      </c>
      <c r="BB569" s="3497">
        <v>2016</v>
      </c>
      <c r="BC569" s="736" t="str">
        <f t="shared" si="668"/>
        <v/>
      </c>
    </row>
    <row r="570" spans="1:55" ht="12.75" customHeight="1">
      <c r="A570" s="701"/>
      <c r="B570" s="701"/>
      <c r="C570" s="831" t="s">
        <v>301</v>
      </c>
      <c r="D570" s="726" t="s">
        <v>664</v>
      </c>
      <c r="E570" s="775" t="s">
        <v>235</v>
      </c>
      <c r="F570" s="770" t="s">
        <v>873</v>
      </c>
      <c r="G570" s="776"/>
      <c r="H570" s="776">
        <f t="shared" ref="H570:P570" si="717">(H561/G561-1)*100</f>
        <v>-32.422556637683108</v>
      </c>
      <c r="I570" s="776">
        <f t="shared" si="717"/>
        <v>-67.283160450231705</v>
      </c>
      <c r="J570" s="776">
        <f t="shared" si="717"/>
        <v>-57.885860766326601</v>
      </c>
      <c r="K570" s="776">
        <f t="shared" si="717"/>
        <v>-1138.7794329649666</v>
      </c>
      <c r="L570" s="776">
        <f t="shared" si="717"/>
        <v>-144.65775392823542</v>
      </c>
      <c r="M570" s="776">
        <f t="shared" si="717"/>
        <v>188.17029798694733</v>
      </c>
      <c r="N570" s="776">
        <f t="shared" si="717"/>
        <v>-6.0677953916388416</v>
      </c>
      <c r="O570" s="776">
        <f t="shared" si="717"/>
        <v>-19.425203780950142</v>
      </c>
      <c r="P570" s="776">
        <f t="shared" si="717"/>
        <v>-38.714477954563243</v>
      </c>
      <c r="Q570" s="776">
        <f>(Q561/P561-1)*100</f>
        <v>-13.055720596212893</v>
      </c>
      <c r="R570" s="776">
        <f t="shared" ref="R570:AF573" si="718">(R561/Q561-1)*100</f>
        <v>58.686157411534154</v>
      </c>
      <c r="S570" s="776">
        <f t="shared" si="718"/>
        <v>70.276545151566182</v>
      </c>
      <c r="T570" s="776">
        <f t="shared" si="718"/>
        <v>58.754384614538324</v>
      </c>
      <c r="U570" s="776">
        <f t="shared" si="718"/>
        <v>5.7398736632129577</v>
      </c>
      <c r="V570" s="776">
        <f t="shared" si="718"/>
        <v>8.6799027924253203</v>
      </c>
      <c r="W570" s="776">
        <f t="shared" si="718"/>
        <v>15.776245524789601</v>
      </c>
      <c r="X570" s="776">
        <f t="shared" si="718"/>
        <v>31.726439306779874</v>
      </c>
      <c r="Y570" s="776">
        <f t="shared" si="718"/>
        <v>7.4275190489739407</v>
      </c>
      <c r="Z570" s="776">
        <f t="shared" ref="Z570:Z573" si="719">(Z561/Y561-1)*100</f>
        <v>15.972717841560247</v>
      </c>
      <c r="AA570" s="776">
        <f t="shared" ref="AA570:AA573" si="720">(AA561/Z561-1)*100</f>
        <v>-15.647561888568761</v>
      </c>
      <c r="AB570" s="776">
        <f t="shared" ref="AB570:AB573" si="721">(AB561/AA561-1)*100</f>
        <v>9.1141563501254694</v>
      </c>
      <c r="AC570" s="776">
        <f t="shared" ref="AC570:AC573" si="722">(AC561/AB561-1)*100</f>
        <v>-7.657021147536347</v>
      </c>
      <c r="AD570" s="3000">
        <f t="shared" ca="1" si="718"/>
        <v>6.8538344133778795</v>
      </c>
      <c r="AE570" s="3000">
        <f t="shared" ca="1" si="718"/>
        <v>-3.5660314975885288</v>
      </c>
      <c r="AF570" s="3000">
        <f t="shared" ca="1" si="718"/>
        <v>-2.2769128060259436</v>
      </c>
      <c r="BB570" s="3550">
        <v>6.465270072014162</v>
      </c>
      <c r="BC570" s="736">
        <f t="shared" si="668"/>
        <v>2.6488862781113074</v>
      </c>
    </row>
    <row r="571" spans="1:55" ht="12.75" customHeight="1">
      <c r="A571" s="701"/>
      <c r="B571" s="701"/>
      <c r="C571" s="832" t="s">
        <v>301</v>
      </c>
      <c r="D571" s="711" t="s">
        <v>665</v>
      </c>
      <c r="E571" s="820" t="s">
        <v>235</v>
      </c>
      <c r="F571" s="741" t="s">
        <v>1964</v>
      </c>
      <c r="G571" s="743"/>
      <c r="H571" s="743">
        <f t="shared" ref="H571:P571" si="723">(H562/G562-1)*100</f>
        <v>-42.835032117853608</v>
      </c>
      <c r="I571" s="743">
        <f t="shared" si="723"/>
        <v>31.352496387637817</v>
      </c>
      <c r="J571" s="743">
        <f t="shared" si="723"/>
        <v>-29.572154818865158</v>
      </c>
      <c r="K571" s="743">
        <f t="shared" si="723"/>
        <v>-23.990415965303669</v>
      </c>
      <c r="L571" s="743">
        <f t="shared" si="723"/>
        <v>-110.75953155238089</v>
      </c>
      <c r="M571" s="743">
        <f t="shared" si="723"/>
        <v>-12.367884294450338</v>
      </c>
      <c r="N571" s="743">
        <f t="shared" si="723"/>
        <v>-1937.7274650866859</v>
      </c>
      <c r="O571" s="743">
        <f t="shared" si="723"/>
        <v>59.561778217867676</v>
      </c>
      <c r="P571" s="743">
        <f t="shared" si="723"/>
        <v>-9.6239744265086298</v>
      </c>
      <c r="Q571" s="743">
        <f>(Q562/P562-1)*100</f>
        <v>-15.810737440516299</v>
      </c>
      <c r="R571" s="743">
        <f t="shared" si="718"/>
        <v>7.0123859562602808</v>
      </c>
      <c r="S571" s="743">
        <f t="shared" si="718"/>
        <v>-44.456556418164141</v>
      </c>
      <c r="T571" s="743">
        <f t="shared" si="718"/>
        <v>-16.132944010977358</v>
      </c>
      <c r="U571" s="743">
        <f t="shared" si="718"/>
        <v>45.612800121759633</v>
      </c>
      <c r="V571" s="743">
        <f t="shared" si="718"/>
        <v>-27.457308230006305</v>
      </c>
      <c r="W571" s="743">
        <f t="shared" si="718"/>
        <v>-116.5808148121466</v>
      </c>
      <c r="X571" s="743">
        <f t="shared" si="718"/>
        <v>151.53160981968182</v>
      </c>
      <c r="Y571" s="743">
        <f t="shared" si="718"/>
        <v>74.136292969425568</v>
      </c>
      <c r="Z571" s="743">
        <f t="shared" si="719"/>
        <v>89.028594102621142</v>
      </c>
      <c r="AA571" s="743">
        <f t="shared" si="720"/>
        <v>19.498307575240069</v>
      </c>
      <c r="AB571" s="743">
        <f t="shared" si="721"/>
        <v>70.943305081024732</v>
      </c>
      <c r="AC571" s="743">
        <f t="shared" si="722"/>
        <v>12.691551810510028</v>
      </c>
      <c r="AD571" s="829">
        <f t="shared" ca="1" si="718"/>
        <v>9.2692646681610924</v>
      </c>
      <c r="AE571" s="829">
        <f t="shared" ca="1" si="718"/>
        <v>-3.5994348426362954</v>
      </c>
      <c r="AF571" s="829">
        <f t="shared" ca="1" si="718"/>
        <v>-3.9736904309242371</v>
      </c>
      <c r="BB571" s="3515">
        <v>36.069768533734312</v>
      </c>
      <c r="BC571" s="736">
        <f t="shared" si="668"/>
        <v>34.873536547290421</v>
      </c>
    </row>
    <row r="572" spans="1:55" ht="12.75" customHeight="1">
      <c r="A572" s="701"/>
      <c r="B572" s="701"/>
      <c r="C572" s="833" t="s">
        <v>301</v>
      </c>
      <c r="D572" s="728" t="s">
        <v>666</v>
      </c>
      <c r="E572" s="834" t="s">
        <v>235</v>
      </c>
      <c r="F572" s="773" t="s">
        <v>725</v>
      </c>
      <c r="G572" s="778"/>
      <c r="H572" s="778">
        <f t="shared" ref="H572:P572" si="724">(H563/G563-1)*100</f>
        <v>-54.595721537345931</v>
      </c>
      <c r="I572" s="778">
        <f t="shared" si="724"/>
        <v>-47.105210620882154</v>
      </c>
      <c r="J572" s="778">
        <f t="shared" si="724"/>
        <v>-155.96024407120873</v>
      </c>
      <c r="K572" s="778">
        <f t="shared" si="724"/>
        <v>-4.6031924460441687</v>
      </c>
      <c r="L572" s="778">
        <f t="shared" si="724"/>
        <v>352.28303776586534</v>
      </c>
      <c r="M572" s="778">
        <f t="shared" si="724"/>
        <v>-54.040851418597072</v>
      </c>
      <c r="N572" s="778">
        <f t="shared" si="724"/>
        <v>-205.8189960602017</v>
      </c>
      <c r="O572" s="778">
        <f t="shared" si="724"/>
        <v>-8.9676970054102014</v>
      </c>
      <c r="P572" s="778">
        <f t="shared" si="724"/>
        <v>-129.36797504854965</v>
      </c>
      <c r="Q572" s="778">
        <f>(Q563/P563-1)*100</f>
        <v>434.34525598637538</v>
      </c>
      <c r="R572" s="778">
        <f t="shared" si="718"/>
        <v>28.524553278457311</v>
      </c>
      <c r="S572" s="778">
        <f t="shared" si="718"/>
        <v>61.519271729932946</v>
      </c>
      <c r="T572" s="778">
        <f t="shared" si="718"/>
        <v>-41.668247301630146</v>
      </c>
      <c r="U572" s="778">
        <f t="shared" si="718"/>
        <v>-136.46681737945531</v>
      </c>
      <c r="V572" s="778">
        <f t="shared" si="718"/>
        <v>-95.201902254680732</v>
      </c>
      <c r="W572" s="778">
        <f t="shared" si="718"/>
        <v>555.92920353974614</v>
      </c>
      <c r="X572" s="778">
        <f t="shared" si="718"/>
        <v>380.15380464112212</v>
      </c>
      <c r="Y572" s="778">
        <f t="shared" si="718"/>
        <v>44.968951080389473</v>
      </c>
      <c r="Z572" s="778">
        <f t="shared" si="719"/>
        <v>18.574225185587888</v>
      </c>
      <c r="AA572" s="778">
        <f t="shared" si="720"/>
        <v>-110.94873806721523</v>
      </c>
      <c r="AB572" s="778">
        <f t="shared" si="721"/>
        <v>627.85906240672341</v>
      </c>
      <c r="AC572" s="778">
        <f t="shared" si="722"/>
        <v>45.797095503774955</v>
      </c>
      <c r="AD572" s="3001">
        <f t="shared" ca="1" si="718"/>
        <v>-27.329245889159637</v>
      </c>
      <c r="AE572" s="3001">
        <f t="shared" ca="1" si="718"/>
        <v>-7.6885534782324623</v>
      </c>
      <c r="AF572" s="3001">
        <f t="shared" ca="1" si="718"/>
        <v>-9.1212326533949728</v>
      </c>
      <c r="BB572" s="3551">
        <v>186.7252747252777</v>
      </c>
      <c r="BC572" s="736">
        <f t="shared" si="668"/>
        <v>441.13378768144571</v>
      </c>
    </row>
    <row r="573" spans="1:55" ht="12.75" customHeight="1">
      <c r="A573" s="701"/>
      <c r="B573" s="701"/>
      <c r="C573" s="811" t="s">
        <v>1793</v>
      </c>
      <c r="D573" s="754" t="s">
        <v>667</v>
      </c>
      <c r="E573" s="759" t="s">
        <v>235</v>
      </c>
      <c r="F573" s="760" t="s">
        <v>1965</v>
      </c>
      <c r="G573" s="758"/>
      <c r="H573" s="758">
        <f t="shared" ref="H573:P573" si="725">(H564/G564-1)*100</f>
        <v>-2.4389079041630124</v>
      </c>
      <c r="I573" s="758">
        <f t="shared" si="725"/>
        <v>28.805704681559341</v>
      </c>
      <c r="J573" s="758">
        <f t="shared" si="725"/>
        <v>18.236292692814416</v>
      </c>
      <c r="K573" s="758">
        <f t="shared" si="725"/>
        <v>-14.913587125392414</v>
      </c>
      <c r="L573" s="758">
        <f t="shared" si="725"/>
        <v>36.629224802296868</v>
      </c>
      <c r="M573" s="758">
        <f t="shared" si="725"/>
        <v>14.765898617511519</v>
      </c>
      <c r="N573" s="758">
        <f t="shared" si="725"/>
        <v>10.952369479846769</v>
      </c>
      <c r="O573" s="758">
        <f t="shared" si="725"/>
        <v>29.014396456256939</v>
      </c>
      <c r="P573" s="758">
        <f t="shared" si="725"/>
        <v>3.9922578473449377</v>
      </c>
      <c r="Q573" s="758">
        <f>(Q564/P564-1)*100</f>
        <v>9.8990618306979528</v>
      </c>
      <c r="R573" s="758">
        <f t="shared" si="718"/>
        <v>21.87963281134946</v>
      </c>
      <c r="S573" s="758">
        <f t="shared" si="718"/>
        <v>11.373000753178841</v>
      </c>
      <c r="T573" s="758">
        <f t="shared" si="718"/>
        <v>-4.217808605588047</v>
      </c>
      <c r="U573" s="758">
        <f t="shared" si="718"/>
        <v>-20.350002831738124</v>
      </c>
      <c r="V573" s="758">
        <f t="shared" si="718"/>
        <v>5.8353124096379938</v>
      </c>
      <c r="W573" s="758">
        <f t="shared" si="718"/>
        <v>-18.404421611792166</v>
      </c>
      <c r="X573" s="758">
        <f t="shared" si="718"/>
        <v>9.047843843316361</v>
      </c>
      <c r="Y573" s="758">
        <f t="shared" si="718"/>
        <v>-8.0419210808470805</v>
      </c>
      <c r="Z573" s="758">
        <f t="shared" si="719"/>
        <v>-0.87473930250761001</v>
      </c>
      <c r="AA573" s="758">
        <f t="shared" si="720"/>
        <v>1.4037606648811263</v>
      </c>
      <c r="AB573" s="758">
        <f t="shared" si="721"/>
        <v>-9.2578978037005655E-2</v>
      </c>
      <c r="AC573" s="758">
        <f t="shared" si="722"/>
        <v>-11.041279427876837</v>
      </c>
      <c r="AD573" s="838">
        <f t="shared" ca="1" si="718"/>
        <v>-10.401690746237824</v>
      </c>
      <c r="AE573" s="838">
        <f t="shared" ca="1" si="718"/>
        <v>-4.9785019038621865</v>
      </c>
      <c r="AF573" s="838">
        <f t="shared" ca="1" si="718"/>
        <v>-2.3686302753364918</v>
      </c>
      <c r="BB573" s="3552">
        <v>16.187258234978685</v>
      </c>
      <c r="BC573" s="736">
        <f t="shared" si="668"/>
        <v>-16.279837213015689</v>
      </c>
    </row>
    <row r="574" spans="1:55" ht="12.75" customHeight="1">
      <c r="A574" s="701"/>
      <c r="B574" s="701"/>
      <c r="C574" s="811"/>
      <c r="E574" s="823"/>
      <c r="F574" s="824"/>
      <c r="G574" s="740"/>
      <c r="H574" s="825"/>
      <c r="I574" s="740"/>
      <c r="J574" s="740"/>
      <c r="K574" s="740"/>
      <c r="L574" s="740"/>
      <c r="M574" s="740"/>
      <c r="N574" s="740"/>
      <c r="O574" s="740"/>
      <c r="P574" s="740"/>
      <c r="Q574" s="740"/>
      <c r="R574" s="740"/>
      <c r="S574" s="740"/>
      <c r="T574" s="740"/>
      <c r="U574" s="740"/>
      <c r="V574" s="740"/>
      <c r="W574" s="740"/>
      <c r="X574" s="740"/>
      <c r="Y574" s="740"/>
      <c r="Z574" s="740"/>
      <c r="AA574" s="740"/>
      <c r="AB574" s="740"/>
      <c r="AC574" s="740"/>
      <c r="AD574" s="2322"/>
      <c r="AE574" s="2322"/>
      <c r="AF574" s="2322"/>
      <c r="BB574" s="3475"/>
      <c r="BC574" s="736" t="str">
        <f t="shared" si="668"/>
        <v/>
      </c>
    </row>
    <row r="575" spans="1:55" ht="12.75" customHeight="1">
      <c r="A575" s="701"/>
      <c r="B575" s="701"/>
      <c r="C575" s="811"/>
      <c r="D575" s="855"/>
      <c r="E575" s="856" t="s">
        <v>1884</v>
      </c>
      <c r="F575" s="857"/>
      <c r="G575" s="858">
        <f>+InputY!$G$3</f>
        <v>1995</v>
      </c>
      <c r="H575" s="858">
        <f>+G575+1</f>
        <v>1996</v>
      </c>
      <c r="I575" s="858">
        <f t="shared" ref="I575:O575" si="726">+H575+1</f>
        <v>1997</v>
      </c>
      <c r="J575" s="858">
        <f t="shared" si="726"/>
        <v>1998</v>
      </c>
      <c r="K575" s="858">
        <f t="shared" si="726"/>
        <v>1999</v>
      </c>
      <c r="L575" s="858">
        <f t="shared" si="726"/>
        <v>2000</v>
      </c>
      <c r="M575" s="858">
        <f t="shared" si="726"/>
        <v>2001</v>
      </c>
      <c r="N575" s="858">
        <f t="shared" si="726"/>
        <v>2002</v>
      </c>
      <c r="O575" s="858">
        <f t="shared" si="726"/>
        <v>2003</v>
      </c>
      <c r="P575" s="858">
        <f t="shared" ref="P575:AF575" si="727">+O575+1</f>
        <v>2004</v>
      </c>
      <c r="Q575" s="858">
        <f t="shared" si="727"/>
        <v>2005</v>
      </c>
      <c r="R575" s="858">
        <f t="shared" si="727"/>
        <v>2006</v>
      </c>
      <c r="S575" s="858">
        <f t="shared" si="727"/>
        <v>2007</v>
      </c>
      <c r="T575" s="858">
        <f t="shared" si="727"/>
        <v>2008</v>
      </c>
      <c r="U575" s="858">
        <f t="shared" si="727"/>
        <v>2009</v>
      </c>
      <c r="V575" s="858">
        <f t="shared" si="727"/>
        <v>2010</v>
      </c>
      <c r="W575" s="858">
        <f t="shared" si="727"/>
        <v>2011</v>
      </c>
      <c r="X575" s="858">
        <f t="shared" si="727"/>
        <v>2012</v>
      </c>
      <c r="Y575" s="858">
        <f t="shared" si="727"/>
        <v>2013</v>
      </c>
      <c r="Z575" s="858">
        <f t="shared" ref="Z575" si="728">+Y575+1</f>
        <v>2014</v>
      </c>
      <c r="AA575" s="858">
        <f t="shared" ref="AA575" si="729">+Z575+1</f>
        <v>2015</v>
      </c>
      <c r="AB575" s="858">
        <f t="shared" ref="AB575" si="730">+AA575+1</f>
        <v>2016</v>
      </c>
      <c r="AC575" s="858">
        <f t="shared" ref="AC575" si="731">+AB575+1</f>
        <v>2017</v>
      </c>
      <c r="AD575" s="858">
        <f t="shared" si="727"/>
        <v>2018</v>
      </c>
      <c r="AE575" s="858">
        <f t="shared" si="727"/>
        <v>2019</v>
      </c>
      <c r="AF575" s="858">
        <f t="shared" si="727"/>
        <v>2020</v>
      </c>
      <c r="BB575" s="3480">
        <v>2016</v>
      </c>
      <c r="BC575" s="736" t="str">
        <f t="shared" si="668"/>
        <v/>
      </c>
    </row>
    <row r="576" spans="1:55" ht="12.75" customHeight="1">
      <c r="A576" s="701"/>
      <c r="B576" s="701"/>
      <c r="C576" s="859" t="s">
        <v>301</v>
      </c>
      <c r="D576" s="860" t="s">
        <v>664</v>
      </c>
      <c r="E576" s="861" t="s">
        <v>235</v>
      </c>
      <c r="F576" s="862" t="s">
        <v>873</v>
      </c>
      <c r="G576" s="875">
        <f>+G561/'VVP2'!G$341</f>
        <v>3.5557537780116034E-2</v>
      </c>
      <c r="H576" s="875">
        <f>+H561/'VVP2'!H$341</f>
        <v>2.3423550102410186E-2</v>
      </c>
      <c r="I576" s="875">
        <f>+I561/'VVP2'!I$341</f>
        <v>7.3314348622982141E-3</v>
      </c>
      <c r="J576" s="875">
        <f>+J561/'VVP2'!J$341</f>
        <v>2.9387038070876064E-3</v>
      </c>
      <c r="K576" s="875">
        <f>+K561/'VVP2'!K$341</f>
        <v>-2.8943935323687432E-2</v>
      </c>
      <c r="L576" s="875">
        <f>+L561/'VVP2'!L$341</f>
        <v>1.2149976548334381E-2</v>
      </c>
      <c r="M576" s="875">
        <f>+M561/'VVP2'!M$341</f>
        <v>3.3626037303438182E-2</v>
      </c>
      <c r="N576" s="875">
        <f>+N561/'VVP2'!N$341</f>
        <v>3.0456196077715322E-2</v>
      </c>
      <c r="O576" s="875">
        <f>+O561/'VVP2'!O$341</f>
        <v>2.3561442714528792E-2</v>
      </c>
      <c r="P576" s="875">
        <f>+P561/'VVP2'!P$341</f>
        <v>1.3783990403086737E-2</v>
      </c>
      <c r="Q576" s="875">
        <f>+Q561/'VVP2'!Q$341</f>
        <v>1.1563265391662378E-2</v>
      </c>
      <c r="R576" s="875">
        <f>+R561/'VVP2'!R$341</f>
        <v>1.7212973687925327E-2</v>
      </c>
      <c r="S576" s="875">
        <f>+S561/'VVP2'!S$341</f>
        <v>2.755027820500746E-2</v>
      </c>
      <c r="T576" s="875">
        <f>+T561/'VVP2'!T$341</f>
        <v>4.2567682514953444E-2</v>
      </c>
      <c r="U576" s="875">
        <f>+U561/'VVP2'!U$341</f>
        <v>4.6373810035148788E-2</v>
      </c>
      <c r="V576" s="875">
        <f>+V561/'VVP2'!V$341</f>
        <v>4.7083509278556597E-2</v>
      </c>
      <c r="W576" s="875">
        <f>+W561/'VVP2'!W$341</f>
        <v>5.2468381278231342E-2</v>
      </c>
      <c r="X576" s="875">
        <f>+X561/'VVP2'!X$341</f>
        <v>6.8593344684593271E-2</v>
      </c>
      <c r="Y576" s="875">
        <f>+Y561/'VVP2'!Y$341</f>
        <v>7.2027131334131272E-2</v>
      </c>
      <c r="Z576" s="875">
        <f>+Z561/'VVP2'!Z$341</f>
        <v>7.9992387573983151E-2</v>
      </c>
      <c r="AA576" s="875">
        <f>+AA561/'VVP2'!AA$341</f>
        <v>6.3290081762819028E-2</v>
      </c>
      <c r="AB576" s="875">
        <f>+AB561/'VVP2'!AB$341</f>
        <v>6.6161714396338556E-2</v>
      </c>
      <c r="AC576" s="875">
        <f>+AC561/'VVP2'!AC$341</f>
        <v>5.8515158338281741E-2</v>
      </c>
      <c r="AD576" s="3002">
        <f ca="1">+AD561/'VVP2'!AD$341</f>
        <v>5.9606158993420776E-2</v>
      </c>
      <c r="AE576" s="3002">
        <f ca="1">+AE561/'VVP2'!AE$341</f>
        <v>5.5386277185355534E-2</v>
      </c>
      <c r="AF576" s="3002">
        <f ca="1">+AF561/'VVP2'!AF$341</f>
        <v>5.2272049964928916E-2</v>
      </c>
      <c r="BB576" s="3539">
        <v>6.4909199630051553E-2</v>
      </c>
      <c r="BC576" s="736" t="str">
        <f t="shared" si="668"/>
        <v/>
      </c>
    </row>
    <row r="577" spans="1:55" ht="12.75" customHeight="1">
      <c r="A577" s="701"/>
      <c r="B577" s="701"/>
      <c r="C577" s="863" t="s">
        <v>301</v>
      </c>
      <c r="D577" s="711" t="s">
        <v>665</v>
      </c>
      <c r="E577" s="820" t="s">
        <v>235</v>
      </c>
      <c r="F577" s="741" t="s">
        <v>1964</v>
      </c>
      <c r="G577" s="876">
        <f>+G562/'VVP2'!G$341</f>
        <v>6.6129521522574675E-2</v>
      </c>
      <c r="H577" s="876">
        <f>+H562/'VVP2'!H$341</f>
        <v>3.6850605207462049E-2</v>
      </c>
      <c r="I577" s="876">
        <f>+I562/'VVP2'!I$341</f>
        <v>4.630713093812093E-2</v>
      </c>
      <c r="J577" s="876">
        <f>+J562/'VVP2'!J$341</f>
        <v>3.1040676782121732E-2</v>
      </c>
      <c r="K577" s="876">
        <f>+K562/'VVP2'!K$341</f>
        <v>2.2370616802041211E-2</v>
      </c>
      <c r="L577" s="876">
        <f>+L562/'VVP2'!L$341</f>
        <v>-2.2625193717470183E-3</v>
      </c>
      <c r="M577" s="876">
        <f>+M562/'VVP2'!M$341</f>
        <v>-1.9041740332872545E-3</v>
      </c>
      <c r="N577" s="876">
        <f>+N562/'VVP2'!N$341</f>
        <v>3.3742184704573727E-2</v>
      </c>
      <c r="O577" s="876">
        <f>+O562/'VVP2'!O$341</f>
        <v>5.1692682542897599E-2</v>
      </c>
      <c r="P577" s="876">
        <f>+P562/'VVP2'!P$341</f>
        <v>4.4596163727214415E-2</v>
      </c>
      <c r="Q577" s="876">
        <f>+Q562/'VVP2'!Q$341</f>
        <v>3.6225861765090836E-2</v>
      </c>
      <c r="R577" s="876">
        <f>+R562/'VVP2'!R$341</f>
        <v>3.6365464604293962E-2</v>
      </c>
      <c r="S577" s="876">
        <f>+S562/'VVP2'!S$341</f>
        <v>1.8986162606714492E-2</v>
      </c>
      <c r="T577" s="876">
        <f>+T562/'VVP2'!T$341</f>
        <v>1.5497330084993356E-2</v>
      </c>
      <c r="U577" s="876">
        <f>+U562/'VVP2'!U$341</f>
        <v>2.3249328905236833E-2</v>
      </c>
      <c r="V577" s="876">
        <f>+V562/'VVP2'!V$341</f>
        <v>1.5756178515158512E-2</v>
      </c>
      <c r="W577" s="876">
        <f>+W562/'VVP2'!W$341</f>
        <v>-2.5145839587243355E-3</v>
      </c>
      <c r="X577" s="876">
        <f>+X562/'VVP2'!X$341</f>
        <v>-6.2772593565890347E-3</v>
      </c>
      <c r="Y577" s="876">
        <f>+Y562/'VVP2'!Y$341</f>
        <v>-1.0684592411271114E-2</v>
      </c>
      <c r="Z577" s="876">
        <f>+Z562/'VVP2'!Z$341</f>
        <v>-1.9341144528251638E-2</v>
      </c>
      <c r="AA577" s="876">
        <f>+AA562/'VVP2'!AA$341</f>
        <v>-2.1678702324360269E-2</v>
      </c>
      <c r="AB577" s="876">
        <f>+AB562/'VVP2'!AB$341</f>
        <v>-3.5503843692060416E-2</v>
      </c>
      <c r="AC577" s="876">
        <f>+AC562/'VVP2'!AC$341</f>
        <v>-3.8319910528710109E-2</v>
      </c>
      <c r="AD577" s="3003">
        <f ca="1">+AD562/'VVP2'!AD$341</f>
        <v>-3.9916747602210804E-2</v>
      </c>
      <c r="AE577" s="3003">
        <f ca="1">+AE562/'VVP2'!AE$341</f>
        <v>-3.7077951021152265E-2</v>
      </c>
      <c r="AF577" s="3003">
        <f ca="1">+AF562/'VVP2'!AF$341</f>
        <v>-3.4385563360092374E-2</v>
      </c>
      <c r="BB577" s="3462">
        <v>-2.6317283012836992E-2</v>
      </c>
      <c r="BC577" s="736" t="str">
        <f t="shared" si="668"/>
        <v/>
      </c>
    </row>
    <row r="578" spans="1:55" ht="12.75" customHeight="1">
      <c r="A578" s="701"/>
      <c r="B578" s="701"/>
      <c r="C578" s="864" t="s">
        <v>301</v>
      </c>
      <c r="D578" s="865" t="s">
        <v>666</v>
      </c>
      <c r="E578" s="866" t="s">
        <v>235</v>
      </c>
      <c r="F578" s="867" t="s">
        <v>725</v>
      </c>
      <c r="G578" s="877">
        <f>+G563/'VVP2'!G$341</f>
        <v>-7.0206104214572365E-2</v>
      </c>
      <c r="H578" s="877">
        <f>+H563/'VVP2'!H$341</f>
        <v>-3.1073554393195091E-2</v>
      </c>
      <c r="I578" s="877">
        <f>+I563/'VVP2'!I$341</f>
        <v>-1.572420669265448E-2</v>
      </c>
      <c r="J578" s="877">
        <f>+J563/'VVP2'!J$341</f>
        <v>8.3750469543016608E-3</v>
      </c>
      <c r="K578" s="877">
        <f>+K563/'VVP2'!K$341</f>
        <v>7.575294355506375E-3</v>
      </c>
      <c r="L578" s="877">
        <f>+L563/'VVP2'!L$341</f>
        <v>3.2205555737351517E-2</v>
      </c>
      <c r="M578" s="877">
        <f>+M563/'VVP2'!M$341</f>
        <v>1.4215227267965511E-2</v>
      </c>
      <c r="N578" s="877">
        <f>+N563/'VVP2'!N$341</f>
        <v>-1.4504504539504966E-2</v>
      </c>
      <c r="O578" s="877">
        <f>+O563/'VVP2'!O$341</f>
        <v>-1.2677261016321927E-2</v>
      </c>
      <c r="P578" s="877">
        <f>+P563/'VVP2'!P$341</f>
        <v>3.553977117956375E-3</v>
      </c>
      <c r="Q578" s="877">
        <f>+Q563/'VVP2'!Q$341</f>
        <v>1.8323190811228955E-2</v>
      </c>
      <c r="R578" s="877">
        <f>+R563/'VVP2'!R$341</f>
        <v>2.2091417072263631E-2</v>
      </c>
      <c r="S578" s="877">
        <f>+S563/'VVP2'!S$341</f>
        <v>3.3540009142731093E-2</v>
      </c>
      <c r="T578" s="877">
        <f>+T563/'VVP2'!T$341</f>
        <v>1.9041295452019259E-2</v>
      </c>
      <c r="U578" s="877">
        <f>+U563/'VVP2'!U$341</f>
        <v>-7.1539901622382791E-3</v>
      </c>
      <c r="V578" s="877">
        <f>+V563/'VVP2'!V$341</f>
        <v>-3.2067435831078329E-4</v>
      </c>
      <c r="W578" s="877">
        <f>+W563/'VVP2'!W$341</f>
        <v>-2.0245596678323732E-3</v>
      </c>
      <c r="X578" s="877">
        <f>+X563/'VVP2'!X$341</f>
        <v>-9.6476672673021478E-3</v>
      </c>
      <c r="Y578" s="877">
        <f>+Y563/'VVP2'!Y$341</f>
        <v>-1.367086219464597E-2</v>
      </c>
      <c r="Z578" s="877">
        <f>+Z563/'VVP2'!Z$341</f>
        <v>-1.5523259133325395E-2</v>
      </c>
      <c r="AA578" s="877">
        <f>+AA563/'VVP2'!AA$341</f>
        <v>1.5941762347784227E-3</v>
      </c>
      <c r="AB578" s="877">
        <f>+AB563/'VVP2'!AB$341</f>
        <v>1.1116641967831626E-2</v>
      </c>
      <c r="AC578" s="877">
        <f>+AC563/'VVP2'!AC$341</f>
        <v>1.5523163974571161E-2</v>
      </c>
      <c r="AD578" s="3004">
        <f ca="1">+AD563/'VVP2'!AD$341</f>
        <v>1.0754062423016802E-2</v>
      </c>
      <c r="AE578" s="3004">
        <f ca="1">+AE563/'VVP2'!AE$341</f>
        <v>9.5655315382913043E-3</v>
      </c>
      <c r="AF578" s="3004">
        <f ca="1">+AF563/'VVP2'!AF$341</f>
        <v>8.3954062195498377E-3</v>
      </c>
      <c r="BB578" s="3465">
        <v>7.4041904789579546E-3</v>
      </c>
      <c r="BC578" s="736" t="str">
        <f t="shared" ref="BC578:BC641" si="732">IF(ABS(BB578-AB578)&gt;0.99,AB578-BB578,"")</f>
        <v/>
      </c>
    </row>
    <row r="579" spans="1:55" ht="12.75" customHeight="1">
      <c r="A579" s="701"/>
      <c r="B579" s="701"/>
      <c r="C579" s="811" t="s">
        <v>1793</v>
      </c>
      <c r="D579" s="843" t="s">
        <v>667</v>
      </c>
      <c r="E579" s="844" t="s">
        <v>235</v>
      </c>
      <c r="F579" s="845" t="s">
        <v>1965</v>
      </c>
      <c r="G579" s="878">
        <f>+G564/'VVP2'!G$341</f>
        <v>-3.331215582123493E-2</v>
      </c>
      <c r="H579" s="878">
        <f>+H564/'VVP2'!H$341</f>
        <v>-3.1680984792010661E-2</v>
      </c>
      <c r="I579" s="878">
        <f>+I564/'VVP2'!I$341</f>
        <v>-3.9039000424336966E-2</v>
      </c>
      <c r="J579" s="878">
        <f>+J564/'VVP2'!J$341</f>
        <v>-4.3932751084303098E-2</v>
      </c>
      <c r="K579" s="878">
        <f>+K564/'VVP2'!K$341</f>
        <v>-3.5442719340097378E-2</v>
      </c>
      <c r="L579" s="878">
        <f>+L564/'VVP2'!L$341</f>
        <v>-4.5518885932608548E-2</v>
      </c>
      <c r="M579" s="878">
        <f>+M564/'VVP2'!M$341</f>
        <v>-5.0171319254962696E-2</v>
      </c>
      <c r="N579" s="878">
        <f>+N564/'VVP2'!N$341</f>
        <v>-5.3675680148751397E-2</v>
      </c>
      <c r="O579" s="878">
        <f>+O564/'VVP2'!O$341</f>
        <v>-6.6487918256173478E-2</v>
      </c>
      <c r="P579" s="878">
        <f>+P564/'VVP2'!P$341</f>
        <v>-6.6002279587366916E-2</v>
      </c>
      <c r="Q579" s="878">
        <f>+Q564/'VVP2'!Q$341</f>
        <v>-6.9987009921726281E-2</v>
      </c>
      <c r="R579" s="878">
        <f>+R564/'VVP2'!R$341</f>
        <v>-8.0017493684805568E-2</v>
      </c>
      <c r="S579" s="878">
        <f>+S564/'VVP2'!S$341</f>
        <v>-8.376838050968452E-2</v>
      </c>
      <c r="T579" s="878">
        <f>+T564/'VVP2'!T$341</f>
        <v>-7.8089596279838816E-2</v>
      </c>
      <c r="U579" s="878">
        <f>+U564/'VVP2'!U$341</f>
        <v>-6.4081538051688189E-2</v>
      </c>
      <c r="V579" s="878">
        <f>+V564/'VVP2'!V$341</f>
        <v>-6.33592937672256E-2</v>
      </c>
      <c r="W579" s="878">
        <f>+W564/'VVP2'!W$341</f>
        <v>-4.9760682952918057E-2</v>
      </c>
      <c r="X579" s="878">
        <f>+X564/'VVP2'!X$341</f>
        <v>-5.3853604531034015E-2</v>
      </c>
      <c r="Y579" s="878">
        <f>+Y564/'VVP2'!Y$341</f>
        <v>-4.8406452780503338E-2</v>
      </c>
      <c r="Z579" s="878">
        <f>+Z564/'VVP2'!Z$341</f>
        <v>-4.5949872174679801E-2</v>
      </c>
      <c r="AA579" s="878">
        <f>+AA564/'VVP2'!AA$341</f>
        <v>-4.3704658026824911E-2</v>
      </c>
      <c r="AB579" s="878">
        <f>+AB564/'VVP2'!AB$341</f>
        <v>-4.1832658875379458E-2</v>
      </c>
      <c r="AC579" s="878">
        <f>+AC564/'VVP2'!AC$341</f>
        <v>-3.5641974195106722E-2</v>
      </c>
      <c r="AD579" s="3005">
        <f ca="1">+AD564/'VVP2'!AD$341</f>
        <v>-3.0443473814226768E-2</v>
      </c>
      <c r="AE579" s="3005">
        <f ca="1">+AE564/'VVP2'!AE$341</f>
        <v>-2.7873857702494575E-2</v>
      </c>
      <c r="AF579" s="3005">
        <f ca="1">+AF564/'VVP2'!AF$341</f>
        <v>-2.6281892824386383E-2</v>
      </c>
      <c r="BB579" s="3507">
        <v>-5.0663369155252581E-2</v>
      </c>
      <c r="BC579" s="736" t="str">
        <f t="shared" si="732"/>
        <v/>
      </c>
    </row>
    <row r="580" spans="1:55" ht="30" customHeight="1">
      <c r="AN580" s="740"/>
      <c r="AO580" s="740"/>
      <c r="AP580" s="740"/>
      <c r="AQ580" s="740"/>
      <c r="BC580" s="736" t="str">
        <f t="shared" si="732"/>
        <v/>
      </c>
    </row>
    <row r="581" spans="1:55" ht="30" customHeight="1">
      <c r="AH581" s="740"/>
      <c r="AI581" s="740"/>
      <c r="AJ581" s="740"/>
      <c r="AK581" s="740"/>
      <c r="AL581" s="740"/>
      <c r="AM581" s="740"/>
      <c r="BC581" s="736" t="str">
        <f t="shared" si="732"/>
        <v/>
      </c>
    </row>
    <row r="582" spans="1:55" ht="22.5" customHeight="1">
      <c r="A582" s="590"/>
      <c r="B582" s="590"/>
      <c r="C582" s="3816" t="s">
        <v>81</v>
      </c>
      <c r="D582" s="3816"/>
      <c r="E582" s="3816"/>
      <c r="F582" s="3816"/>
      <c r="BC582" s="736" t="str">
        <f t="shared" si="732"/>
        <v/>
      </c>
    </row>
    <row r="583" spans="1:55">
      <c r="Z583" s="2322"/>
      <c r="AA583" s="2322"/>
      <c r="AB583" s="2322"/>
      <c r="AC583" s="2322"/>
      <c r="AD583" s="2322"/>
      <c r="AE583" s="2322"/>
      <c r="AF583" s="2322"/>
      <c r="BB583" s="3475"/>
      <c r="BC583" s="736" t="str">
        <f t="shared" si="732"/>
        <v/>
      </c>
    </row>
    <row r="584" spans="1:55" ht="12.75" customHeight="1">
      <c r="A584" s="701"/>
      <c r="B584" s="701"/>
      <c r="C584" s="811"/>
      <c r="D584" s="732"/>
      <c r="E584" s="733" t="s">
        <v>793</v>
      </c>
      <c r="F584" s="734"/>
      <c r="G584" s="735">
        <f>+InputY!$G$3</f>
        <v>1995</v>
      </c>
      <c r="H584" s="735">
        <f>+G584+1</f>
        <v>1996</v>
      </c>
      <c r="I584" s="735">
        <f t="shared" ref="I584:O584" si="733">+H584+1</f>
        <v>1997</v>
      </c>
      <c r="J584" s="735">
        <f t="shared" si="733"/>
        <v>1998</v>
      </c>
      <c r="K584" s="735">
        <f t="shared" si="733"/>
        <v>1999</v>
      </c>
      <c r="L584" s="735">
        <f t="shared" si="733"/>
        <v>2000</v>
      </c>
      <c r="M584" s="735">
        <f t="shared" si="733"/>
        <v>2001</v>
      </c>
      <c r="N584" s="735">
        <f t="shared" si="733"/>
        <v>2002</v>
      </c>
      <c r="O584" s="735">
        <f t="shared" si="733"/>
        <v>2003</v>
      </c>
      <c r="P584" s="735">
        <f>+O584+1</f>
        <v>2004</v>
      </c>
      <c r="Q584" s="735">
        <f>+P584+1</f>
        <v>2005</v>
      </c>
      <c r="R584" s="735">
        <f>+Q584+1</f>
        <v>2006</v>
      </c>
      <c r="S584" s="735">
        <f>+R584+1</f>
        <v>2007</v>
      </c>
      <c r="T584" s="735">
        <f t="shared" ref="T584:AF584" si="734">+S584+1</f>
        <v>2008</v>
      </c>
      <c r="U584" s="735">
        <f t="shared" si="734"/>
        <v>2009</v>
      </c>
      <c r="V584" s="735">
        <f t="shared" si="734"/>
        <v>2010</v>
      </c>
      <c r="W584" s="735">
        <f t="shared" si="734"/>
        <v>2011</v>
      </c>
      <c r="X584" s="2271">
        <f t="shared" si="734"/>
        <v>2012</v>
      </c>
      <c r="Y584" s="2271">
        <f t="shared" si="734"/>
        <v>2013</v>
      </c>
      <c r="Z584" s="2271">
        <f t="shared" si="734"/>
        <v>2014</v>
      </c>
      <c r="AA584" s="2271">
        <f t="shared" si="734"/>
        <v>2015</v>
      </c>
      <c r="AB584" s="2271">
        <f t="shared" si="734"/>
        <v>2016</v>
      </c>
      <c r="AC584" s="2271">
        <f t="shared" si="734"/>
        <v>2017</v>
      </c>
      <c r="AD584" s="2271">
        <f t="shared" si="734"/>
        <v>2018</v>
      </c>
      <c r="AE584" s="2271">
        <f t="shared" si="734"/>
        <v>2019</v>
      </c>
      <c r="AF584" s="2271">
        <f t="shared" si="734"/>
        <v>2020</v>
      </c>
      <c r="BB584" s="3564">
        <v>2016</v>
      </c>
      <c r="BC584" s="736" t="str">
        <f t="shared" si="732"/>
        <v/>
      </c>
    </row>
    <row r="585" spans="1:55">
      <c r="C585" s="1361" t="s">
        <v>1791</v>
      </c>
      <c r="D585" s="1362" t="s">
        <v>666</v>
      </c>
      <c r="E585" s="1363" t="s">
        <v>720</v>
      </c>
      <c r="F585" s="1364" t="s">
        <v>1701</v>
      </c>
      <c r="G585" s="1365">
        <f t="shared" ref="G585:L585" si="735">+G563</f>
        <v>-132.38399999999996</v>
      </c>
      <c r="H585" s="1365">
        <f t="shared" si="735"/>
        <v>-60.107999999999933</v>
      </c>
      <c r="I585" s="1365">
        <f t="shared" si="735"/>
        <v>-31.794000000000118</v>
      </c>
      <c r="J585" s="1365">
        <f t="shared" si="735"/>
        <v>17.792000000000172</v>
      </c>
      <c r="K585" s="1365">
        <f t="shared" si="735"/>
        <v>16.972999999999985</v>
      </c>
      <c r="L585" s="1365">
        <f t="shared" si="735"/>
        <v>76.766000000000261</v>
      </c>
      <c r="M585" s="1365">
        <f t="shared" ref="M585:S585" si="736">+M563</f>
        <v>35.280999999999892</v>
      </c>
      <c r="N585" s="1365">
        <f t="shared" si="736"/>
        <v>-37.333999999999662</v>
      </c>
      <c r="O585" s="1365">
        <f t="shared" si="736"/>
        <v>-33.985999999999848</v>
      </c>
      <c r="P585" s="1365">
        <f t="shared" si="736"/>
        <v>9.9810000000000372</v>
      </c>
      <c r="Q585" s="1365">
        <f t="shared" si="736"/>
        <v>53.333000000000325</v>
      </c>
      <c r="R585" s="1365">
        <f t="shared" si="736"/>
        <v>68.546000000000049</v>
      </c>
      <c r="S585" s="1365">
        <f t="shared" si="736"/>
        <v>110.71499999999992</v>
      </c>
      <c r="T585" s="1365">
        <f t="shared" ref="T585:X585" si="737">+T563</f>
        <v>64.582000000000136</v>
      </c>
      <c r="U585" s="1365">
        <f t="shared" si="737"/>
        <v>-23.550999999999874</v>
      </c>
      <c r="V585" s="1365">
        <f t="shared" si="737"/>
        <v>-1.1300000000001376</v>
      </c>
      <c r="W585" s="1365">
        <f t="shared" si="737"/>
        <v>-7.4120000000000346</v>
      </c>
      <c r="X585" s="1365">
        <f t="shared" si="737"/>
        <v>-35.589000000000141</v>
      </c>
      <c r="Y585" s="1365">
        <f>+Y563</f>
        <v>-51.593000000000018</v>
      </c>
      <c r="Z585" s="1365">
        <f t="shared" ref="Z585:AC585" si="738">+Z563</f>
        <v>-61.176000000000386</v>
      </c>
      <c r="AA585" s="1365">
        <f t="shared" si="738"/>
        <v>6.697999999999638</v>
      </c>
      <c r="AB585" s="1365">
        <f t="shared" si="738"/>
        <v>48.751999999999697</v>
      </c>
      <c r="AC585" s="1365">
        <f t="shared" si="738"/>
        <v>71.078999999999922</v>
      </c>
      <c r="AD585" s="3354">
        <f ca="1">+AD563</f>
        <v>51.653645314444162</v>
      </c>
      <c r="AE585" s="3354">
        <f ca="1">+AE563</f>
        <v>47.682227170986607</v>
      </c>
      <c r="AF585" s="3354">
        <f ca="1">+AF563</f>
        <v>43.333020296400605</v>
      </c>
      <c r="BB585" s="3565">
        <v>32.615000000000094</v>
      </c>
      <c r="BC585" s="736">
        <f t="shared" si="732"/>
        <v>16.136999999999603</v>
      </c>
    </row>
    <row r="586" spans="1:55">
      <c r="C586" s="1366" t="s">
        <v>1791</v>
      </c>
      <c r="D586" s="1367" t="s">
        <v>666</v>
      </c>
      <c r="E586" s="1368" t="s">
        <v>1451</v>
      </c>
      <c r="F586" s="1369" t="s">
        <v>1452</v>
      </c>
      <c r="G586" s="1368">
        <f t="shared" ref="G586:O586" si="739">+G162</f>
        <v>0</v>
      </c>
      <c r="H586" s="1368">
        <f t="shared" si="739"/>
        <v>0</v>
      </c>
      <c r="I586" s="1368">
        <f t="shared" si="739"/>
        <v>0</v>
      </c>
      <c r="J586" s="1368">
        <f t="shared" si="739"/>
        <v>0</v>
      </c>
      <c r="K586" s="1368">
        <f t="shared" si="739"/>
        <v>0</v>
      </c>
      <c r="L586" s="1368">
        <f t="shared" si="739"/>
        <v>0</v>
      </c>
      <c r="M586" s="1368">
        <f t="shared" si="739"/>
        <v>0</v>
      </c>
      <c r="N586" s="1368">
        <f t="shared" si="739"/>
        <v>0</v>
      </c>
      <c r="O586" s="1368">
        <f t="shared" si="739"/>
        <v>0</v>
      </c>
      <c r="P586" s="1368">
        <f t="shared" ref="P586:Y586" si="740">+P162</f>
        <v>0</v>
      </c>
      <c r="Q586" s="1368">
        <f t="shared" si="740"/>
        <v>0</v>
      </c>
      <c r="R586" s="1368">
        <f t="shared" si="740"/>
        <v>0</v>
      </c>
      <c r="S586" s="1368">
        <f t="shared" si="740"/>
        <v>0</v>
      </c>
      <c r="T586" s="1368">
        <f t="shared" si="740"/>
        <v>0</v>
      </c>
      <c r="U586" s="1368">
        <f t="shared" si="740"/>
        <v>0</v>
      </c>
      <c r="V586" s="1368">
        <f t="shared" si="740"/>
        <v>0</v>
      </c>
      <c r="W586" s="1368">
        <f t="shared" si="740"/>
        <v>0</v>
      </c>
      <c r="X586" s="1368">
        <f t="shared" si="740"/>
        <v>0</v>
      </c>
      <c r="Y586" s="1368">
        <f t="shared" si="740"/>
        <v>0</v>
      </c>
      <c r="Z586" s="1368">
        <f t="shared" ref="Z586:AC586" si="741">+Z162</f>
        <v>0</v>
      </c>
      <c r="AA586" s="1368">
        <f t="shared" si="741"/>
        <v>0</v>
      </c>
      <c r="AB586" s="1368">
        <f t="shared" si="741"/>
        <v>0</v>
      </c>
      <c r="AC586" s="1368">
        <f t="shared" si="741"/>
        <v>0</v>
      </c>
      <c r="AD586" s="3355">
        <f>+AD162</f>
        <v>0</v>
      </c>
      <c r="AE586" s="3355">
        <f>+AE162</f>
        <v>0</v>
      </c>
      <c r="AF586" s="3355">
        <f>+AF162</f>
        <v>0</v>
      </c>
      <c r="BB586" s="3566">
        <v>0</v>
      </c>
      <c r="BC586" s="736" t="str">
        <f t="shared" si="732"/>
        <v/>
      </c>
    </row>
    <row r="587" spans="1:55" s="740" customFormat="1" ht="12.75">
      <c r="A587" s="3291"/>
      <c r="B587" s="3291">
        <v>137</v>
      </c>
      <c r="C587" s="3292" t="s">
        <v>1793</v>
      </c>
      <c r="D587" s="3293" t="s">
        <v>666</v>
      </c>
      <c r="E587" s="1359" t="s">
        <v>721</v>
      </c>
      <c r="F587" s="3294" t="s">
        <v>728</v>
      </c>
      <c r="G587" s="1359">
        <f>+G585</f>
        <v>-132.38399999999996</v>
      </c>
      <c r="H587" s="1359">
        <f t="shared" ref="H587:Y587" si="742">+H585</f>
        <v>-60.107999999999933</v>
      </c>
      <c r="I587" s="1359">
        <f t="shared" si="742"/>
        <v>-31.794000000000118</v>
      </c>
      <c r="J587" s="1359">
        <f t="shared" si="742"/>
        <v>17.792000000000172</v>
      </c>
      <c r="K587" s="1359">
        <f t="shared" si="742"/>
        <v>16.972999999999985</v>
      </c>
      <c r="L587" s="1359">
        <f t="shared" si="742"/>
        <v>76.766000000000261</v>
      </c>
      <c r="M587" s="1359">
        <f t="shared" si="742"/>
        <v>35.280999999999892</v>
      </c>
      <c r="N587" s="1359">
        <f t="shared" si="742"/>
        <v>-37.333999999999662</v>
      </c>
      <c r="O587" s="1359">
        <f t="shared" si="742"/>
        <v>-33.985999999999848</v>
      </c>
      <c r="P587" s="1359">
        <f t="shared" si="742"/>
        <v>9.9810000000000372</v>
      </c>
      <c r="Q587" s="1359">
        <f t="shared" si="742"/>
        <v>53.333000000000325</v>
      </c>
      <c r="R587" s="1359">
        <f t="shared" si="742"/>
        <v>68.546000000000049</v>
      </c>
      <c r="S587" s="1359">
        <f t="shared" si="742"/>
        <v>110.71499999999992</v>
      </c>
      <c r="T587" s="1359">
        <f t="shared" si="742"/>
        <v>64.582000000000136</v>
      </c>
      <c r="U587" s="1359">
        <f t="shared" si="742"/>
        <v>-23.550999999999874</v>
      </c>
      <c r="V587" s="1359">
        <f t="shared" si="742"/>
        <v>-1.1300000000001376</v>
      </c>
      <c r="W587" s="1359">
        <f t="shared" si="742"/>
        <v>-7.4120000000000346</v>
      </c>
      <c r="X587" s="1359">
        <f t="shared" si="742"/>
        <v>-35.589000000000141</v>
      </c>
      <c r="Y587" s="1359">
        <f t="shared" si="742"/>
        <v>-51.593000000000018</v>
      </c>
      <c r="Z587" s="1359">
        <f t="shared" ref="Z587:AC587" si="743">+Z585</f>
        <v>-61.176000000000386</v>
      </c>
      <c r="AA587" s="1359">
        <f t="shared" si="743"/>
        <v>6.697999999999638</v>
      </c>
      <c r="AB587" s="1359">
        <f t="shared" si="743"/>
        <v>48.751999999999697</v>
      </c>
      <c r="AC587" s="1359">
        <f t="shared" si="743"/>
        <v>71.078999999999922</v>
      </c>
      <c r="AD587" s="3356">
        <f ca="1">(+AD13+AD203+AD253+AD748+AD483+AD424)-(Labour1!AD210+AD298+AD139+AD50+AD756+'VVP2'!AD229+AD762+AD417+AD418)</f>
        <v>50.536864155406874</v>
      </c>
      <c r="AE587" s="3356">
        <f ca="1">(+AE13+AE203+AE253+AE748+AE483+AE424)-(Labour1!AE210+AE298+AE139+AE50+AE756+'VVP2'!AE229+AE762+AE417+AE418)</f>
        <v>47.112146506995487</v>
      </c>
      <c r="AF587" s="3356">
        <f ca="1">(+AF13+AF203+AF253+AF748+AF483+AF424)-(Labour1!AF210+AF298+AF139+AF50+AF756+'VVP2'!AF229+AF762+AF417+AF418)</f>
        <v>43.305782331426599</v>
      </c>
      <c r="AG587" s="886">
        <f>AC587-AC588</f>
        <v>-2.5579538487363607E-13</v>
      </c>
      <c r="AH587" s="2939"/>
      <c r="AI587" s="2939"/>
      <c r="AJ587" s="2939"/>
      <c r="AK587" s="2939"/>
      <c r="AL587" s="2939"/>
      <c r="AM587" s="2939"/>
      <c r="AN587" s="2939"/>
      <c r="AO587" s="2939"/>
      <c r="AP587" s="2939"/>
      <c r="AQ587" s="2939"/>
      <c r="BB587" s="3561">
        <v>32.615000000000094</v>
      </c>
      <c r="BC587" s="736">
        <f t="shared" si="732"/>
        <v>16.136999999999603</v>
      </c>
    </row>
    <row r="588" spans="1:55" ht="12.75">
      <c r="C588" s="3286" t="s">
        <v>1793</v>
      </c>
      <c r="D588" s="3287" t="s">
        <v>666</v>
      </c>
      <c r="E588" s="3288" t="s">
        <v>721</v>
      </c>
      <c r="F588" s="3286" t="s">
        <v>728</v>
      </c>
      <c r="G588" s="3289">
        <f>(+G13+G203+G253+G748+G483+G424)-(Labour1!G210+G298+G139+G50+G756+'VVP2'!G229+G762+G417+G418)</f>
        <v>-132.38400000000001</v>
      </c>
      <c r="H588" s="3289">
        <f>(+H13+H203+H253+H748+H483+H424)-(Labour1!H210+H298+H139+H50+H756+'VVP2'!H229+H762+H417+H418)</f>
        <v>-60.107999999999947</v>
      </c>
      <c r="I588" s="3289">
        <f>(+I13+I203+I253+I748+I483+I424)-(Labour1!I210+I298+I139+I50+I756+'VVP2'!I229+I762+I417+I418)</f>
        <v>-31.794000000000324</v>
      </c>
      <c r="J588" s="3289">
        <f>(+J13+J203+J253+J748+J483+J424)-(Labour1!J210+J298+J139+J50+J756+'VVP2'!J229+J762+J417+J418)</f>
        <v>17.792000000000144</v>
      </c>
      <c r="K588" s="3289">
        <f>(+K13+K203+K253+K748+K483+K424)-(Labour1!K210+K298+K139+K50+K756+'VVP2'!K229+K762+K417+K418)</f>
        <v>16.972999999999956</v>
      </c>
      <c r="L588" s="3289">
        <f>(+L13+L203+L253+L748+L483+L424)-(Labour1!L210+L298+L139+L50+L756+'VVP2'!L229+L762+L417+L418)</f>
        <v>76.766000000000531</v>
      </c>
      <c r="M588" s="3289">
        <f>(+M13+M203+M253+M748+M483+M424)-(Labour1!M210+M298+M139+M50+M756+'VVP2'!M229+M762+M417+M418)</f>
        <v>35.280999999999949</v>
      </c>
      <c r="N588" s="3289">
        <f>(+N13+N203+N253+N748+N483+N424)-(Labour1!N210+N298+N139+N50+N756+'VVP2'!N229+N762+N417+N418)</f>
        <v>-37.333999999999833</v>
      </c>
      <c r="O588" s="3289">
        <f>(+O13+O203+O253+O748+O483+O424)-(Labour1!O210+O298+O139+O50+O756+'VVP2'!O229+O762+O417+O418)</f>
        <v>-33.985999999999876</v>
      </c>
      <c r="P588" s="3289">
        <f>(+P13+P203+P253+P748+P483+P424)-(Labour1!P210+P298+P139+P50+P756+'VVP2'!P229+P762+P417+P418)</f>
        <v>9.9810000000004493</v>
      </c>
      <c r="Q588" s="3289">
        <f>(+Q13+Q203+Q253+Q748+Q483+Q424)-(Labour1!Q210+Q298+Q139+Q50+Q756+'VVP2'!Q229+Q762+Q417+Q418)</f>
        <v>53.333000000000084</v>
      </c>
      <c r="R588" s="3289">
        <f>(+R13+R203+R253+R748+R483+R424)-(Labour1!R210+R298+R139+R50+R756+'VVP2'!R229+R762+R417+R418)</f>
        <v>68.546000000000276</v>
      </c>
      <c r="S588" s="3289">
        <f>(+S13+S203+S253+S748+S483+S424)-(Labour1!S210+S298+S139+S50+S756+'VVP2'!S229+S762+S417+S418)</f>
        <v>110.71499999999992</v>
      </c>
      <c r="T588" s="3289">
        <f>(+T13+T203+T253+T748+T483+T424)-(Labour1!T210+T298+T139+T50+T756+'VVP2'!T229+T762+T417+T418)</f>
        <v>64.58199999999988</v>
      </c>
      <c r="U588" s="3289">
        <f>(+U13+U203+U253+U748+U483+U424)-(Labour1!U210+U298+U139+U50+U756+'VVP2'!U229+U762+U417+U418)</f>
        <v>-23.550999999999704</v>
      </c>
      <c r="V588" s="3289">
        <f>(+V13+V203+V253+V748+V483+V424)-(Labour1!V210+V298+V139+V50+V756+'VVP2'!V229+V762+V417+V418)</f>
        <v>-1.1300000000003365</v>
      </c>
      <c r="W588" s="3289">
        <f>(+W13+W203+W253+W748+W483+W424)-(Labour1!W210+W298+W139+W50+W756+'VVP2'!W229+W762+W417+W418)</f>
        <v>-7.4120000000000346</v>
      </c>
      <c r="X588" s="3289">
        <f>(+X13+X203+X253+X748+X483+X424)-(Labour1!X210+X298+X139+X50+X756+'VVP2'!X229+X762+X417+X418)</f>
        <v>-35.588999999999942</v>
      </c>
      <c r="Y588" s="3289">
        <f>(+Y13+Y203+Y253+Y748+Y483+Y424)-(Labour1!Y210+Y298+Y139+Y50+Y756+'VVP2'!Y229+Y762+Y417+Y418)</f>
        <v>-51.593000000000075</v>
      </c>
      <c r="Z588" s="3289">
        <f>(+Z13+Z203+Z253+Z748+Z483+Z424)-(Labour1!Z210+Z298+Z139+Z50+Z756+'VVP2'!Z229+Z762+Z417+Z418)</f>
        <v>-61.175999999999931</v>
      </c>
      <c r="AA588" s="3289">
        <f>(+AA13+AA203+AA253+AA748+AA483+AA424)-(Labour1!AA210+AA298+AA139+AA50+AA756+'VVP2'!AA229+AA762+AA417+AA418)</f>
        <v>6.6979999999998654</v>
      </c>
      <c r="AB588" s="3289">
        <f>(+AB13+AB203+AB253+AB748+AB483+AB424)-(Labour1!AB210+AB298+AB139+AB50+AB756+'VVP2'!AB229+AB762+AB417+AB418)</f>
        <v>48.751999999999498</v>
      </c>
      <c r="AC588" s="3289">
        <f>(+AC13+AC203+AC253+AC748+AC483+AC424)-(Labour1!AC210+AC298+AC139+AC50+AC756+'VVP2'!AC229+AC762+AC417+AC418)</f>
        <v>71.079000000000178</v>
      </c>
      <c r="AD588" s="3289">
        <f ca="1">(+AD13+AD203+AD253+AD748+AD483+AD424)-(Labour1!AD210+AD298+AD139+AD50+AD756+'VVP2'!AD229+AD762+AD417+AD418)</f>
        <v>50.536864155406874</v>
      </c>
      <c r="AE588" s="3289">
        <f ca="1">(+AE13+AE203+AE253+AE748+AE483+AE424)-(Labour1!AE210+AE298+AE139+AE50+AE756+'VVP2'!AE229+AE762+AE417+AE418)</f>
        <v>47.112146506995487</v>
      </c>
      <c r="AF588" s="3289">
        <f ca="1">(+AF13+AF203+AF253+AF748+AF483+AF424)-(Labour1!AF210+AF298+AF139+AF50+AF756+'VVP2'!AF229+AF762+AF417+AF418)</f>
        <v>43.305782331426599</v>
      </c>
      <c r="AG588" s="3693"/>
      <c r="BB588" s="3567">
        <v>40.79700000000048</v>
      </c>
      <c r="BC588" s="736">
        <f t="shared" si="732"/>
        <v>7.9549999999990177</v>
      </c>
    </row>
    <row r="589" spans="1:55" ht="12.75">
      <c r="C589" s="3286"/>
      <c r="D589" s="3287"/>
      <c r="E589" s="3288" t="s">
        <v>2347</v>
      </c>
      <c r="F589" s="3286"/>
      <c r="G589" s="3290">
        <f>+G587-G588</f>
        <v>0</v>
      </c>
      <c r="H589" s="3290">
        <f t="shared" ref="H589:Y589" si="744">+H587-H588</f>
        <v>0</v>
      </c>
      <c r="I589" s="3290">
        <f t="shared" si="744"/>
        <v>2.0605739337042905E-13</v>
      </c>
      <c r="J589" s="3290">
        <f t="shared" si="744"/>
        <v>2.8421709430404007E-14</v>
      </c>
      <c r="K589" s="3290">
        <f t="shared" si="744"/>
        <v>2.8421709430404007E-14</v>
      </c>
      <c r="L589" s="3290">
        <f t="shared" si="744"/>
        <v>-2.7000623958883807E-13</v>
      </c>
      <c r="M589" s="3290">
        <f t="shared" si="744"/>
        <v>-5.6843418860808015E-14</v>
      </c>
      <c r="N589" s="3290">
        <f t="shared" si="744"/>
        <v>1.7053025658242404E-13</v>
      </c>
      <c r="O589" s="3290">
        <f t="shared" si="744"/>
        <v>0</v>
      </c>
      <c r="P589" s="3290">
        <f t="shared" si="744"/>
        <v>-4.1211478674085811E-13</v>
      </c>
      <c r="Q589" s="3290">
        <f t="shared" si="744"/>
        <v>2.4158453015843406E-13</v>
      </c>
      <c r="R589" s="3290">
        <f t="shared" si="744"/>
        <v>-2.2737367544323206E-13</v>
      </c>
      <c r="S589" s="3290">
        <f t="shared" si="744"/>
        <v>0</v>
      </c>
      <c r="T589" s="3290">
        <f t="shared" si="744"/>
        <v>2.5579538487363607E-13</v>
      </c>
      <c r="U589" s="3290">
        <f t="shared" si="744"/>
        <v>-1.7053025658242404E-13</v>
      </c>
      <c r="V589" s="3290">
        <f t="shared" si="744"/>
        <v>1.9895196601282805E-13</v>
      </c>
      <c r="W589" s="3290">
        <f t="shared" si="744"/>
        <v>0</v>
      </c>
      <c r="X589" s="3290">
        <f t="shared" si="744"/>
        <v>-1.9895196601282805E-13</v>
      </c>
      <c r="Y589" s="3290">
        <f t="shared" si="744"/>
        <v>5.6843418860808015E-14</v>
      </c>
      <c r="Z589" s="3290">
        <f t="shared" ref="Z589:AC589" si="745">+Z587-Z588</f>
        <v>-4.5474735088646412E-13</v>
      </c>
      <c r="AA589" s="3290">
        <f t="shared" si="745"/>
        <v>-2.2737367544323206E-13</v>
      </c>
      <c r="AB589" s="3290">
        <f t="shared" si="745"/>
        <v>1.9895196601282805E-13</v>
      </c>
      <c r="AC589" s="3290">
        <f t="shared" si="745"/>
        <v>-2.5579538487363607E-13</v>
      </c>
      <c r="AD589" s="3290">
        <f ca="1">+AD587-AD588</f>
        <v>0</v>
      </c>
      <c r="AE589" s="3290">
        <f ca="1">+AE587-AE588</f>
        <v>0</v>
      </c>
      <c r="AF589" s="3290">
        <f ca="1">+AF587-AF588</f>
        <v>0</v>
      </c>
      <c r="AG589" s="3693"/>
      <c r="BB589" s="3568">
        <v>-8.1820000000003859</v>
      </c>
      <c r="BC589" s="736">
        <f t="shared" si="732"/>
        <v>8.1820000000005848</v>
      </c>
    </row>
    <row r="590" spans="1:55">
      <c r="Q590" s="736"/>
      <c r="R590" s="736"/>
      <c r="S590" s="736"/>
      <c r="T590" s="736"/>
      <c r="U590" s="736"/>
      <c r="V590" s="736"/>
      <c r="W590" s="736"/>
      <c r="X590" s="736"/>
      <c r="Y590" s="736"/>
      <c r="BC590" s="736" t="str">
        <f t="shared" si="732"/>
        <v/>
      </c>
    </row>
    <row r="591" spans="1:55" ht="12.75" customHeight="1">
      <c r="A591" s="701"/>
      <c r="B591" s="701"/>
      <c r="C591" s="811"/>
      <c r="D591" s="779"/>
      <c r="E591" s="780" t="s">
        <v>794</v>
      </c>
      <c r="F591" s="781"/>
      <c r="G591" s="782">
        <f>+InputY!$G$3</f>
        <v>1995</v>
      </c>
      <c r="H591" s="782">
        <f>+G591+1</f>
        <v>1996</v>
      </c>
      <c r="I591" s="782">
        <f t="shared" ref="I591:O591" si="746">+H591+1</f>
        <v>1997</v>
      </c>
      <c r="J591" s="782">
        <f t="shared" si="746"/>
        <v>1998</v>
      </c>
      <c r="K591" s="782">
        <f t="shared" si="746"/>
        <v>1999</v>
      </c>
      <c r="L591" s="782">
        <f t="shared" si="746"/>
        <v>2000</v>
      </c>
      <c r="M591" s="782">
        <f t="shared" si="746"/>
        <v>2001</v>
      </c>
      <c r="N591" s="782">
        <f t="shared" si="746"/>
        <v>2002</v>
      </c>
      <c r="O591" s="782">
        <f t="shared" si="746"/>
        <v>2003</v>
      </c>
      <c r="P591" s="782">
        <f>+O591+1</f>
        <v>2004</v>
      </c>
      <c r="Q591" s="782">
        <f>+P591+1</f>
        <v>2005</v>
      </c>
      <c r="R591" s="782">
        <f>+Q591+1</f>
        <v>2006</v>
      </c>
      <c r="S591" s="782">
        <f>+R591+1</f>
        <v>2007</v>
      </c>
      <c r="T591" s="782">
        <f t="shared" ref="T591:AF591" si="747">+S591+1</f>
        <v>2008</v>
      </c>
      <c r="U591" s="782">
        <f t="shared" si="747"/>
        <v>2009</v>
      </c>
      <c r="V591" s="782">
        <f t="shared" si="747"/>
        <v>2010</v>
      </c>
      <c r="W591" s="782">
        <f t="shared" si="747"/>
        <v>2011</v>
      </c>
      <c r="X591" s="782">
        <f t="shared" si="747"/>
        <v>2012</v>
      </c>
      <c r="Y591" s="782">
        <f t="shared" si="747"/>
        <v>2013</v>
      </c>
      <c r="Z591" s="2272">
        <f t="shared" si="747"/>
        <v>2014</v>
      </c>
      <c r="AA591" s="2272">
        <f t="shared" si="747"/>
        <v>2015</v>
      </c>
      <c r="AB591" s="2272">
        <f t="shared" si="747"/>
        <v>2016</v>
      </c>
      <c r="AC591" s="2272">
        <f t="shared" si="747"/>
        <v>2017</v>
      </c>
      <c r="AD591" s="2272">
        <f t="shared" si="747"/>
        <v>2018</v>
      </c>
      <c r="AE591" s="2272">
        <f t="shared" si="747"/>
        <v>2019</v>
      </c>
      <c r="AF591" s="2272">
        <f t="shared" si="747"/>
        <v>2020</v>
      </c>
      <c r="BB591" s="3476">
        <v>2016</v>
      </c>
      <c r="BC591" s="736" t="str">
        <f t="shared" si="732"/>
        <v/>
      </c>
    </row>
    <row r="592" spans="1:55" ht="12.75" customHeight="1">
      <c r="A592" s="701"/>
      <c r="B592" s="701"/>
      <c r="C592" s="831" t="s">
        <v>1791</v>
      </c>
      <c r="D592" s="726" t="s">
        <v>666</v>
      </c>
      <c r="E592" s="775" t="s">
        <v>720</v>
      </c>
      <c r="F592" s="770" t="s">
        <v>1701</v>
      </c>
      <c r="G592" s="776"/>
      <c r="H592" s="776">
        <f t="shared" ref="H592:AF592" si="748">(H585/G585-1)*100</f>
        <v>-54.595721537345931</v>
      </c>
      <c r="I592" s="776">
        <f t="shared" si="748"/>
        <v>-47.105210620882154</v>
      </c>
      <c r="J592" s="776">
        <f t="shared" si="748"/>
        <v>-155.96024407120873</v>
      </c>
      <c r="K592" s="776">
        <f t="shared" si="748"/>
        <v>-4.6031924460441687</v>
      </c>
      <c r="L592" s="776">
        <f t="shared" si="748"/>
        <v>352.28303776586534</v>
      </c>
      <c r="M592" s="776">
        <f t="shared" si="748"/>
        <v>-54.040851418597072</v>
      </c>
      <c r="N592" s="776">
        <f t="shared" si="748"/>
        <v>-205.8189960602017</v>
      </c>
      <c r="O592" s="776">
        <f t="shared" si="748"/>
        <v>-8.9676970054102014</v>
      </c>
      <c r="P592" s="776">
        <f t="shared" si="748"/>
        <v>-129.36797504854965</v>
      </c>
      <c r="Q592" s="776">
        <f t="shared" si="748"/>
        <v>434.34525598637538</v>
      </c>
      <c r="R592" s="776">
        <f t="shared" si="748"/>
        <v>28.524553278457311</v>
      </c>
      <c r="S592" s="776">
        <f t="shared" si="748"/>
        <v>61.519271729932946</v>
      </c>
      <c r="T592" s="776">
        <f t="shared" si="748"/>
        <v>-41.668247301630146</v>
      </c>
      <c r="U592" s="776">
        <f t="shared" si="748"/>
        <v>-136.46681737945531</v>
      </c>
      <c r="V592" s="776">
        <f t="shared" si="748"/>
        <v>-95.201902254680732</v>
      </c>
      <c r="W592" s="776">
        <f t="shared" si="748"/>
        <v>555.92920353974614</v>
      </c>
      <c r="X592" s="776">
        <f t="shared" si="748"/>
        <v>380.15380464112212</v>
      </c>
      <c r="Y592" s="776">
        <f t="shared" si="748"/>
        <v>44.968951080389473</v>
      </c>
      <c r="Z592" s="776">
        <f t="shared" ref="Z592:Z594" si="749">(Z585/Y585-1)*100</f>
        <v>18.574225185587888</v>
      </c>
      <c r="AA592" s="776">
        <f t="shared" ref="AA592:AA594" si="750">(AA585/Z585-1)*100</f>
        <v>-110.94873806721523</v>
      </c>
      <c r="AB592" s="776">
        <f t="shared" ref="AB592:AB594" si="751">(AB585/AA585-1)*100</f>
        <v>627.85906240672341</v>
      </c>
      <c r="AC592" s="776">
        <f t="shared" ref="AC592:AC594" si="752">(AC585/AB585-1)*100</f>
        <v>45.797095503774955</v>
      </c>
      <c r="AD592" s="2336">
        <f t="shared" ca="1" si="748"/>
        <v>-27.329245889159637</v>
      </c>
      <c r="AE592" s="2336">
        <f t="shared" ca="1" si="748"/>
        <v>-7.6885534782324623</v>
      </c>
      <c r="AF592" s="2336">
        <f t="shared" ca="1" si="748"/>
        <v>-9.1212326533949728</v>
      </c>
      <c r="BB592" s="3546">
        <v>186.7252747252777</v>
      </c>
      <c r="BC592" s="736">
        <f t="shared" si="732"/>
        <v>441.13378768144571</v>
      </c>
    </row>
    <row r="593" spans="1:55" ht="12.75" customHeight="1">
      <c r="A593" s="701"/>
      <c r="B593" s="701"/>
      <c r="C593" s="833" t="s">
        <v>1791</v>
      </c>
      <c r="D593" s="728" t="s">
        <v>666</v>
      </c>
      <c r="E593" s="834" t="s">
        <v>1451</v>
      </c>
      <c r="F593" s="773" t="s">
        <v>1452</v>
      </c>
      <c r="G593" s="778"/>
      <c r="H593" s="778" t="e">
        <f t="shared" ref="H593:AF593" si="753">(H586/G586-1)*100</f>
        <v>#DIV/0!</v>
      </c>
      <c r="I593" s="778" t="e">
        <f t="shared" si="753"/>
        <v>#DIV/0!</v>
      </c>
      <c r="J593" s="778" t="e">
        <f t="shared" si="753"/>
        <v>#DIV/0!</v>
      </c>
      <c r="K593" s="778" t="e">
        <f t="shared" si="753"/>
        <v>#DIV/0!</v>
      </c>
      <c r="L593" s="778" t="e">
        <f t="shared" si="753"/>
        <v>#DIV/0!</v>
      </c>
      <c r="M593" s="778" t="e">
        <f t="shared" si="753"/>
        <v>#DIV/0!</v>
      </c>
      <c r="N593" s="778" t="e">
        <f t="shared" si="753"/>
        <v>#DIV/0!</v>
      </c>
      <c r="O593" s="778" t="e">
        <f t="shared" si="753"/>
        <v>#DIV/0!</v>
      </c>
      <c r="P593" s="778" t="e">
        <f t="shared" si="753"/>
        <v>#DIV/0!</v>
      </c>
      <c r="Q593" s="778" t="e">
        <f t="shared" si="753"/>
        <v>#DIV/0!</v>
      </c>
      <c r="R593" s="778" t="e">
        <f t="shared" si="753"/>
        <v>#DIV/0!</v>
      </c>
      <c r="S593" s="778" t="e">
        <f t="shared" si="753"/>
        <v>#DIV/0!</v>
      </c>
      <c r="T593" s="778" t="e">
        <f t="shared" si="753"/>
        <v>#DIV/0!</v>
      </c>
      <c r="U593" s="778" t="e">
        <f t="shared" si="753"/>
        <v>#DIV/0!</v>
      </c>
      <c r="V593" s="778" t="e">
        <f t="shared" si="753"/>
        <v>#DIV/0!</v>
      </c>
      <c r="W593" s="778" t="e">
        <f t="shared" si="753"/>
        <v>#DIV/0!</v>
      </c>
      <c r="X593" s="778" t="e">
        <f t="shared" si="753"/>
        <v>#DIV/0!</v>
      </c>
      <c r="Y593" s="778" t="e">
        <f t="shared" si="753"/>
        <v>#DIV/0!</v>
      </c>
      <c r="Z593" s="778" t="e">
        <f t="shared" si="749"/>
        <v>#DIV/0!</v>
      </c>
      <c r="AA593" s="778" t="e">
        <f t="shared" si="750"/>
        <v>#DIV/0!</v>
      </c>
      <c r="AB593" s="778" t="e">
        <f t="shared" si="751"/>
        <v>#DIV/0!</v>
      </c>
      <c r="AC593" s="778" t="e">
        <f t="shared" si="752"/>
        <v>#DIV/0!</v>
      </c>
      <c r="AD593" s="2298" t="e">
        <f t="shared" si="753"/>
        <v>#DIV/0!</v>
      </c>
      <c r="AE593" s="2298" t="e">
        <f t="shared" si="753"/>
        <v>#DIV/0!</v>
      </c>
      <c r="AF593" s="2298" t="e">
        <f t="shared" si="753"/>
        <v>#DIV/0!</v>
      </c>
      <c r="BB593" s="3547" t="e">
        <v>#DIV/0!</v>
      </c>
      <c r="BC593" s="736" t="e">
        <f t="shared" si="732"/>
        <v>#DIV/0!</v>
      </c>
    </row>
    <row r="594" spans="1:55" ht="12.75" customHeight="1">
      <c r="A594" s="701"/>
      <c r="B594" s="701"/>
      <c r="C594" s="811" t="s">
        <v>1793</v>
      </c>
      <c r="D594" s="754" t="s">
        <v>666</v>
      </c>
      <c r="E594" s="759" t="s">
        <v>721</v>
      </c>
      <c r="F594" s="760" t="s">
        <v>728</v>
      </c>
      <c r="G594" s="758"/>
      <c r="H594" s="758">
        <f t="shared" ref="H594:AF594" si="754">(H587/G587-1)*100</f>
        <v>-54.595721537345931</v>
      </c>
      <c r="I594" s="758">
        <f t="shared" si="754"/>
        <v>-47.105210620882154</v>
      </c>
      <c r="J594" s="758">
        <f t="shared" si="754"/>
        <v>-155.96024407120873</v>
      </c>
      <c r="K594" s="758">
        <f t="shared" si="754"/>
        <v>-4.6031924460441687</v>
      </c>
      <c r="L594" s="758">
        <f t="shared" si="754"/>
        <v>352.28303776586534</v>
      </c>
      <c r="M594" s="758">
        <f t="shared" si="754"/>
        <v>-54.040851418597072</v>
      </c>
      <c r="N594" s="758">
        <f t="shared" si="754"/>
        <v>-205.8189960602017</v>
      </c>
      <c r="O594" s="758">
        <f t="shared" si="754"/>
        <v>-8.9676970054102014</v>
      </c>
      <c r="P594" s="758">
        <f t="shared" si="754"/>
        <v>-129.36797504854965</v>
      </c>
      <c r="Q594" s="758">
        <f t="shared" si="754"/>
        <v>434.34525598637538</v>
      </c>
      <c r="R594" s="758">
        <f t="shared" si="754"/>
        <v>28.524553278457311</v>
      </c>
      <c r="S594" s="758">
        <f t="shared" si="754"/>
        <v>61.519271729932946</v>
      </c>
      <c r="T594" s="758">
        <f t="shared" si="754"/>
        <v>-41.668247301630146</v>
      </c>
      <c r="U594" s="758">
        <f t="shared" si="754"/>
        <v>-136.46681737945531</v>
      </c>
      <c r="V594" s="758">
        <f t="shared" si="754"/>
        <v>-95.201902254680732</v>
      </c>
      <c r="W594" s="758">
        <f t="shared" si="754"/>
        <v>555.92920353974614</v>
      </c>
      <c r="X594" s="758">
        <f t="shared" si="754"/>
        <v>380.15380464112212</v>
      </c>
      <c r="Y594" s="758">
        <f t="shared" si="754"/>
        <v>44.968951080389473</v>
      </c>
      <c r="Z594" s="758">
        <f t="shared" si="749"/>
        <v>18.574225185587888</v>
      </c>
      <c r="AA594" s="758">
        <f t="shared" si="750"/>
        <v>-110.94873806721523</v>
      </c>
      <c r="AB594" s="758">
        <f t="shared" si="751"/>
        <v>627.85906240672341</v>
      </c>
      <c r="AC594" s="758">
        <f t="shared" si="752"/>
        <v>45.797095503774955</v>
      </c>
      <c r="AD594" s="2328">
        <f t="shared" ca="1" si="754"/>
        <v>-28.900428881375749</v>
      </c>
      <c r="AE594" s="2328">
        <f t="shared" ca="1" si="754"/>
        <v>-6.7766722483610593</v>
      </c>
      <c r="AF594" s="2328">
        <f t="shared" ca="1" si="754"/>
        <v>-8.0793690327900851</v>
      </c>
      <c r="BB594" s="3493">
        <v>186.7252747252777</v>
      </c>
      <c r="BC594" s="736">
        <f t="shared" si="732"/>
        <v>441.13378768144571</v>
      </c>
    </row>
    <row r="595" spans="1:55">
      <c r="Q595" s="736"/>
      <c r="R595" s="736"/>
      <c r="S595" s="736"/>
      <c r="T595" s="736"/>
      <c r="U595" s="736"/>
      <c r="V595" s="736"/>
      <c r="W595" s="736"/>
      <c r="X595" s="736"/>
      <c r="Y595" s="736"/>
      <c r="BC595" s="736" t="str">
        <f t="shared" si="732"/>
        <v/>
      </c>
    </row>
    <row r="596" spans="1:55" ht="12.75" customHeight="1">
      <c r="A596" s="701"/>
      <c r="B596" s="701"/>
      <c r="C596" s="811"/>
      <c r="D596" s="855"/>
      <c r="E596" s="856" t="s">
        <v>795</v>
      </c>
      <c r="F596" s="857"/>
      <c r="G596" s="858">
        <f>+InputY!$G$3</f>
        <v>1995</v>
      </c>
      <c r="H596" s="858">
        <f>+G596+1</f>
        <v>1996</v>
      </c>
      <c r="I596" s="858">
        <f t="shared" ref="I596:O596" si="755">+H596+1</f>
        <v>1997</v>
      </c>
      <c r="J596" s="858">
        <f t="shared" si="755"/>
        <v>1998</v>
      </c>
      <c r="K596" s="858">
        <f t="shared" si="755"/>
        <v>1999</v>
      </c>
      <c r="L596" s="858">
        <f t="shared" si="755"/>
        <v>2000</v>
      </c>
      <c r="M596" s="858">
        <f t="shared" si="755"/>
        <v>2001</v>
      </c>
      <c r="N596" s="858">
        <f t="shared" si="755"/>
        <v>2002</v>
      </c>
      <c r="O596" s="858">
        <f t="shared" si="755"/>
        <v>2003</v>
      </c>
      <c r="P596" s="858">
        <f>+O596+1</f>
        <v>2004</v>
      </c>
      <c r="Q596" s="858">
        <f>+P596+1</f>
        <v>2005</v>
      </c>
      <c r="R596" s="858">
        <f>+Q596+1</f>
        <v>2006</v>
      </c>
      <c r="S596" s="858">
        <f>+R596+1</f>
        <v>2007</v>
      </c>
      <c r="T596" s="858">
        <f t="shared" ref="T596:AF596" si="756">+S596+1</f>
        <v>2008</v>
      </c>
      <c r="U596" s="858">
        <f t="shared" si="756"/>
        <v>2009</v>
      </c>
      <c r="V596" s="858">
        <f t="shared" si="756"/>
        <v>2010</v>
      </c>
      <c r="W596" s="858">
        <f t="shared" si="756"/>
        <v>2011</v>
      </c>
      <c r="X596" s="858">
        <f t="shared" si="756"/>
        <v>2012</v>
      </c>
      <c r="Y596" s="858">
        <f t="shared" si="756"/>
        <v>2013</v>
      </c>
      <c r="Z596" s="2323">
        <f t="shared" si="756"/>
        <v>2014</v>
      </c>
      <c r="AA596" s="2323">
        <f t="shared" si="756"/>
        <v>2015</v>
      </c>
      <c r="AB596" s="2323">
        <f t="shared" si="756"/>
        <v>2016</v>
      </c>
      <c r="AC596" s="2323">
        <f t="shared" si="756"/>
        <v>2017</v>
      </c>
      <c r="AD596" s="2323">
        <f t="shared" si="756"/>
        <v>2018</v>
      </c>
      <c r="AE596" s="2323">
        <f t="shared" si="756"/>
        <v>2019</v>
      </c>
      <c r="AF596" s="2323">
        <f t="shared" si="756"/>
        <v>2020</v>
      </c>
      <c r="BB596" s="3486">
        <v>2016</v>
      </c>
      <c r="BC596" s="736" t="str">
        <f t="shared" si="732"/>
        <v/>
      </c>
    </row>
    <row r="597" spans="1:55" ht="12.75" customHeight="1">
      <c r="A597" s="701"/>
      <c r="B597" s="701"/>
      <c r="C597" s="859" t="s">
        <v>1791</v>
      </c>
      <c r="D597" s="860" t="s">
        <v>666</v>
      </c>
      <c r="E597" s="861" t="s">
        <v>720</v>
      </c>
      <c r="F597" s="862" t="s">
        <v>1701</v>
      </c>
      <c r="G597" s="875">
        <f>+G585/'VVP2'!G$341</f>
        <v>-7.0206104214572365E-2</v>
      </c>
      <c r="H597" s="875">
        <f>+H585/'VVP2'!H$341</f>
        <v>-3.1073554393195091E-2</v>
      </c>
      <c r="I597" s="875">
        <f>+I585/'VVP2'!I$341</f>
        <v>-1.572420669265448E-2</v>
      </c>
      <c r="J597" s="875">
        <f>+J585/'VVP2'!J$341</f>
        <v>8.3750469543016608E-3</v>
      </c>
      <c r="K597" s="875">
        <f>+K585/'VVP2'!K$341</f>
        <v>7.575294355506375E-3</v>
      </c>
      <c r="L597" s="875">
        <f>+L585/'VVP2'!L$341</f>
        <v>3.2205555737351517E-2</v>
      </c>
      <c r="M597" s="875">
        <f>+M585/'VVP2'!M$341</f>
        <v>1.4215227267965511E-2</v>
      </c>
      <c r="N597" s="875">
        <f>+N585/'VVP2'!N$341</f>
        <v>-1.4504504539504966E-2</v>
      </c>
      <c r="O597" s="875">
        <f>+O585/'VVP2'!O$341</f>
        <v>-1.2677261016321927E-2</v>
      </c>
      <c r="P597" s="875">
        <f>+P585/'VVP2'!P$341</f>
        <v>3.553977117956375E-3</v>
      </c>
      <c r="Q597" s="875">
        <f>+Q585/'VVP2'!Q$341</f>
        <v>1.8323190811228955E-2</v>
      </c>
      <c r="R597" s="875">
        <f>+R585/'VVP2'!R$341</f>
        <v>2.2091417072263631E-2</v>
      </c>
      <c r="S597" s="875">
        <f>+S585/'VVP2'!S$341</f>
        <v>3.3540009142731093E-2</v>
      </c>
      <c r="T597" s="875">
        <f>+T585/'VVP2'!T$341</f>
        <v>1.9041295452019259E-2</v>
      </c>
      <c r="U597" s="875">
        <f>+U585/'VVP2'!U$341</f>
        <v>-7.1539901622382791E-3</v>
      </c>
      <c r="V597" s="875">
        <f>+V585/'VVP2'!V$341</f>
        <v>-3.2067435831078329E-4</v>
      </c>
      <c r="W597" s="875">
        <f>+W585/'VVP2'!W$341</f>
        <v>-2.0245596678323732E-3</v>
      </c>
      <c r="X597" s="875">
        <f>+X585/'VVP2'!X$341</f>
        <v>-9.6476672673021478E-3</v>
      </c>
      <c r="Y597" s="875">
        <f>+Y585/'VVP2'!Y$341</f>
        <v>-1.367086219464597E-2</v>
      </c>
      <c r="Z597" s="875">
        <f>+Z585/'VVP2'!Z$341</f>
        <v>-1.5523259133325395E-2</v>
      </c>
      <c r="AA597" s="875">
        <f>+AA585/'VVP2'!AA$341</f>
        <v>1.5941762347784227E-3</v>
      </c>
      <c r="AB597" s="875">
        <f>+AB585/'VVP2'!AB$341</f>
        <v>1.1116641967831626E-2</v>
      </c>
      <c r="AC597" s="875">
        <f>+AC585/'VVP2'!AC$341</f>
        <v>1.5523163974571161E-2</v>
      </c>
      <c r="AD597" s="2329">
        <f ca="1">+AD585/'VVP2'!AD$341</f>
        <v>1.0754062423016802E-2</v>
      </c>
      <c r="AE597" s="2329">
        <f ca="1">+AE585/'VVP2'!AE$341</f>
        <v>9.5655315382913043E-3</v>
      </c>
      <c r="AF597" s="2329">
        <f ca="1">+AF585/'VVP2'!AF$341</f>
        <v>8.3954062195498377E-3</v>
      </c>
      <c r="BB597" s="3553">
        <v>7.4041904789579546E-3</v>
      </c>
      <c r="BC597" s="736" t="str">
        <f t="shared" si="732"/>
        <v/>
      </c>
    </row>
    <row r="598" spans="1:55" ht="12.75" customHeight="1" thickBot="1">
      <c r="A598" s="701"/>
      <c r="B598" s="701"/>
      <c r="C598" s="864" t="s">
        <v>1791</v>
      </c>
      <c r="D598" s="865" t="s">
        <v>666</v>
      </c>
      <c r="E598" s="866" t="s">
        <v>1451</v>
      </c>
      <c r="F598" s="867" t="s">
        <v>1452</v>
      </c>
      <c r="G598" s="877">
        <f>+G586/'VVP2'!G$341</f>
        <v>0</v>
      </c>
      <c r="H598" s="877">
        <f>+H586/'VVP2'!H$341</f>
        <v>0</v>
      </c>
      <c r="I598" s="877">
        <f>+I586/'VVP2'!I$341</f>
        <v>0</v>
      </c>
      <c r="J598" s="877">
        <f>+J586/'VVP2'!J$341</f>
        <v>0</v>
      </c>
      <c r="K598" s="877">
        <f>+K586/'VVP2'!K$341</f>
        <v>0</v>
      </c>
      <c r="L598" s="877">
        <f>+L586/'VVP2'!L$341</f>
        <v>0</v>
      </c>
      <c r="M598" s="877">
        <f>+M586/'VVP2'!M$341</f>
        <v>0</v>
      </c>
      <c r="N598" s="877">
        <f>+N586/'VVP2'!N$341</f>
        <v>0</v>
      </c>
      <c r="O598" s="877">
        <f>+O586/'VVP2'!O$341</f>
        <v>0</v>
      </c>
      <c r="P598" s="877">
        <f>+P586/'VVP2'!P$341</f>
        <v>0</v>
      </c>
      <c r="Q598" s="877">
        <f>+Q586/'VVP2'!Q$341</f>
        <v>0</v>
      </c>
      <c r="R598" s="877">
        <f>+R586/'VVP2'!R$341</f>
        <v>0</v>
      </c>
      <c r="S598" s="877">
        <f>+S586/'VVP2'!S$341</f>
        <v>0</v>
      </c>
      <c r="T598" s="877">
        <f>+T586/'VVP2'!T$341</f>
        <v>0</v>
      </c>
      <c r="U598" s="877">
        <f>+U586/'VVP2'!U$341</f>
        <v>0</v>
      </c>
      <c r="V598" s="877">
        <f>+V586/'VVP2'!V$341</f>
        <v>0</v>
      </c>
      <c r="W598" s="877">
        <f>+W586/'VVP2'!W$341</f>
        <v>0</v>
      </c>
      <c r="X598" s="877">
        <f>+X586/'VVP2'!X$341</f>
        <v>0</v>
      </c>
      <c r="Y598" s="877">
        <f>+Y586/'VVP2'!Y$341</f>
        <v>0</v>
      </c>
      <c r="Z598" s="877">
        <f>+Z586/'VVP2'!Z$341</f>
        <v>0</v>
      </c>
      <c r="AA598" s="877">
        <f>+AA586/'VVP2'!AA$341</f>
        <v>0</v>
      </c>
      <c r="AB598" s="877">
        <f>+AB586/'VVP2'!AB$341</f>
        <v>0</v>
      </c>
      <c r="AC598" s="877">
        <f>+AC586/'VVP2'!AC$341</f>
        <v>0</v>
      </c>
      <c r="AD598" s="2330">
        <f ca="1">+AD586/'VVP2'!AD$341</f>
        <v>0</v>
      </c>
      <c r="AE598" s="2330">
        <f ca="1">+AE586/'VVP2'!AE$341</f>
        <v>0</v>
      </c>
      <c r="AF598" s="2330">
        <f ca="1">+AF586/'VVP2'!AF$341</f>
        <v>0</v>
      </c>
      <c r="BB598" s="3554">
        <v>0</v>
      </c>
      <c r="BC598" s="736" t="str">
        <f t="shared" si="732"/>
        <v/>
      </c>
    </row>
    <row r="599" spans="1:55" ht="12.75" customHeight="1" thickBot="1">
      <c r="A599" s="701"/>
      <c r="B599" s="701"/>
      <c r="C599" s="811" t="s">
        <v>1793</v>
      </c>
      <c r="D599" s="843" t="s">
        <v>666</v>
      </c>
      <c r="E599" s="844" t="s">
        <v>721</v>
      </c>
      <c r="F599" s="845" t="s">
        <v>728</v>
      </c>
      <c r="G599" s="878">
        <f>+G587/'VVP2'!G$341</f>
        <v>-7.0206104214572365E-2</v>
      </c>
      <c r="H599" s="878">
        <f>+H587/'VVP2'!H$341</f>
        <v>-3.1073554393195091E-2</v>
      </c>
      <c r="I599" s="878">
        <f>+I587/'VVP2'!I$341</f>
        <v>-1.572420669265448E-2</v>
      </c>
      <c r="J599" s="878">
        <f>+J587/'VVP2'!J$341</f>
        <v>8.3750469543016608E-3</v>
      </c>
      <c r="K599" s="878">
        <f>+K587/'VVP2'!K$341</f>
        <v>7.575294355506375E-3</v>
      </c>
      <c r="L599" s="878">
        <f>+L587/'VVP2'!L$341</f>
        <v>3.2205555737351517E-2</v>
      </c>
      <c r="M599" s="878">
        <f>+M587/'VVP2'!M$341</f>
        <v>1.4215227267965511E-2</v>
      </c>
      <c r="N599" s="878">
        <f>+N587/'VVP2'!N$341</f>
        <v>-1.4504504539504966E-2</v>
      </c>
      <c r="O599" s="878">
        <f>+O587/'VVP2'!O$341</f>
        <v>-1.2677261016321927E-2</v>
      </c>
      <c r="P599" s="878">
        <f>+P587/'VVP2'!P$341</f>
        <v>3.553977117956375E-3</v>
      </c>
      <c r="Q599" s="878">
        <f>+Q587/'VVP2'!Q$341</f>
        <v>1.8323190811228955E-2</v>
      </c>
      <c r="R599" s="878">
        <f>+R587/'VVP2'!R$341</f>
        <v>2.2091417072263631E-2</v>
      </c>
      <c r="S599" s="878">
        <f>+S587/'VVP2'!S$341</f>
        <v>3.3540009142731093E-2</v>
      </c>
      <c r="T599" s="878">
        <f>+T587/'VVP2'!T$341</f>
        <v>1.9041295452019259E-2</v>
      </c>
      <c r="U599" s="878">
        <f>+U587/'VVP2'!U$341</f>
        <v>-7.1539901622382791E-3</v>
      </c>
      <c r="V599" s="878">
        <f>+V587/'VVP2'!V$341</f>
        <v>-3.2067435831078329E-4</v>
      </c>
      <c r="W599" s="878">
        <f>+W587/'VVP2'!W$341</f>
        <v>-2.0245596678323732E-3</v>
      </c>
      <c r="X599" s="878">
        <f>+X587/'VVP2'!X$341</f>
        <v>-9.6476672673021478E-3</v>
      </c>
      <c r="Y599" s="878">
        <f>+Y587/'VVP2'!Y$341</f>
        <v>-1.367086219464597E-2</v>
      </c>
      <c r="Z599" s="878">
        <f>+Z587/'VVP2'!Z$341</f>
        <v>-1.5523259133325395E-2</v>
      </c>
      <c r="AA599" s="878">
        <f>+AA587/'VVP2'!AA$341</f>
        <v>1.5941762347784227E-3</v>
      </c>
      <c r="AB599" s="878">
        <f>+AB587/'VVP2'!AB$341</f>
        <v>1.1116641967831626E-2</v>
      </c>
      <c r="AC599" s="878">
        <f>+AC587/'VVP2'!AC$341</f>
        <v>1.5523163974571161E-2</v>
      </c>
      <c r="AD599" s="2367">
        <f ca="1">+AD587/'VVP2'!AD$341</f>
        <v>1.0521553483443902E-2</v>
      </c>
      <c r="AE599" s="2367">
        <f ca="1">+AE587/'VVP2'!AE$341</f>
        <v>9.4511676569394038E-3</v>
      </c>
      <c r="AF599" s="2367">
        <f ca="1">+AF587/'VVP2'!AF$341</f>
        <v>8.3901290941847811E-3</v>
      </c>
      <c r="BB599" s="3569">
        <v>7.4041904789579546E-3</v>
      </c>
      <c r="BC599" s="736" t="str">
        <f t="shared" si="732"/>
        <v/>
      </c>
    </row>
    <row r="600" spans="1:55" ht="30" customHeight="1">
      <c r="BC600" s="736" t="str">
        <f t="shared" si="732"/>
        <v/>
      </c>
    </row>
    <row r="601" spans="1:55" ht="12.75" customHeight="1">
      <c r="A601" s="701"/>
      <c r="B601" s="701"/>
      <c r="C601" s="811"/>
      <c r="D601" s="732"/>
      <c r="E601" s="733" t="s">
        <v>535</v>
      </c>
      <c r="F601" s="734"/>
      <c r="G601" s="735">
        <f>+InputY!$G$3</f>
        <v>1995</v>
      </c>
      <c r="H601" s="735">
        <f>+G601+1</f>
        <v>1996</v>
      </c>
      <c r="I601" s="735">
        <f t="shared" ref="I601:R601" si="757">+H601+1</f>
        <v>1997</v>
      </c>
      <c r="J601" s="735">
        <f t="shared" si="757"/>
        <v>1998</v>
      </c>
      <c r="K601" s="735">
        <f t="shared" si="757"/>
        <v>1999</v>
      </c>
      <c r="L601" s="735">
        <f t="shared" si="757"/>
        <v>2000</v>
      </c>
      <c r="M601" s="735">
        <f t="shared" si="757"/>
        <v>2001</v>
      </c>
      <c r="N601" s="735">
        <f t="shared" si="757"/>
        <v>2002</v>
      </c>
      <c r="O601" s="735">
        <f t="shared" si="757"/>
        <v>2003</v>
      </c>
      <c r="P601" s="735">
        <f>+O601+1</f>
        <v>2004</v>
      </c>
      <c r="Q601" s="735">
        <f t="shared" si="757"/>
        <v>2005</v>
      </c>
      <c r="R601" s="2271">
        <f t="shared" si="757"/>
        <v>2006</v>
      </c>
      <c r="S601" s="2271">
        <f t="shared" ref="S601:Y601" si="758">+R601+1</f>
        <v>2007</v>
      </c>
      <c r="T601" s="2271">
        <f t="shared" si="758"/>
        <v>2008</v>
      </c>
      <c r="U601" s="2271">
        <f t="shared" si="758"/>
        <v>2009</v>
      </c>
      <c r="V601" s="2271">
        <f>+U601+1</f>
        <v>2010</v>
      </c>
      <c r="W601" s="2271">
        <f>+V601+1</f>
        <v>2011</v>
      </c>
      <c r="X601" s="2271">
        <f t="shared" si="758"/>
        <v>2012</v>
      </c>
      <c r="Y601" s="2271">
        <f t="shared" si="758"/>
        <v>2013</v>
      </c>
      <c r="Z601" s="2271">
        <f t="shared" ref="Z601:AF601" si="759">+Y601+1</f>
        <v>2014</v>
      </c>
      <c r="AA601" s="2271">
        <f t="shared" si="759"/>
        <v>2015</v>
      </c>
      <c r="AB601" s="2271">
        <f t="shared" si="759"/>
        <v>2016</v>
      </c>
      <c r="AC601" s="2271">
        <f t="shared" si="759"/>
        <v>2017</v>
      </c>
      <c r="AD601" s="2271">
        <f t="shared" si="759"/>
        <v>2018</v>
      </c>
      <c r="AE601" s="2271">
        <f t="shared" si="759"/>
        <v>2019</v>
      </c>
      <c r="AF601" s="2271">
        <f t="shared" si="759"/>
        <v>2020</v>
      </c>
      <c r="BB601" s="3564">
        <v>2016</v>
      </c>
      <c r="BC601" s="736" t="str">
        <f t="shared" si="732"/>
        <v/>
      </c>
    </row>
    <row r="602" spans="1:55">
      <c r="C602" s="1119"/>
      <c r="D602" s="705" t="s">
        <v>666</v>
      </c>
      <c r="E602" s="1370" t="s">
        <v>722</v>
      </c>
      <c r="F602" s="1371" t="s">
        <v>519</v>
      </c>
      <c r="G602" s="1094"/>
      <c r="H602" s="817">
        <f>+G605</f>
        <v>1309.923</v>
      </c>
      <c r="I602" s="817">
        <f t="shared" ref="I602:P602" si="760">+H605</f>
        <v>1357.2090000000001</v>
      </c>
      <c r="J602" s="817">
        <f t="shared" si="760"/>
        <v>1370.6669999999999</v>
      </c>
      <c r="K602" s="817">
        <f t="shared" si="760"/>
        <v>1417.0409999999999</v>
      </c>
      <c r="L602" s="817">
        <f t="shared" si="760"/>
        <v>1376.377</v>
      </c>
      <c r="M602" s="817">
        <f t="shared" si="760"/>
        <v>1209.595</v>
      </c>
      <c r="N602" s="817">
        <f t="shared" si="760"/>
        <v>1296.008</v>
      </c>
      <c r="O602" s="817">
        <f t="shared" si="760"/>
        <v>1293.116</v>
      </c>
      <c r="P602" s="817">
        <f t="shared" si="760"/>
        <v>1332.0630000000001</v>
      </c>
      <c r="Q602" s="817">
        <f t="shared" ref="Q602:AF602" si="761">+P605</f>
        <v>1371.971</v>
      </c>
      <c r="R602" s="817">
        <f t="shared" si="761"/>
        <v>1429.434</v>
      </c>
      <c r="S602" s="817">
        <f t="shared" si="761"/>
        <v>1363.126</v>
      </c>
      <c r="T602" s="817">
        <f t="shared" si="761"/>
        <v>1294.1420000000001</v>
      </c>
      <c r="U602" s="817">
        <f t="shared" si="761"/>
        <v>1279.954</v>
      </c>
      <c r="V602" s="817">
        <f t="shared" si="761"/>
        <v>1361.16</v>
      </c>
      <c r="W602" s="817">
        <f t="shared" si="761"/>
        <v>1360.3050000000001</v>
      </c>
      <c r="X602" s="817">
        <f t="shared" ref="X602" si="762">+W605</f>
        <v>1384.883</v>
      </c>
      <c r="Y602" s="817">
        <f t="shared" ref="Y602" si="763">+X605</f>
        <v>1404.2349999999999</v>
      </c>
      <c r="Z602" s="817">
        <f t="shared" ref="Z602" si="764">+Y605</f>
        <v>1535.8530000000001</v>
      </c>
      <c r="AA602" s="817">
        <f t="shared" ref="AA602" si="765">+Z605</f>
        <v>1791.624</v>
      </c>
      <c r="AB602" s="817">
        <f t="shared" ref="AB602:AC602" si="766">+AA605</f>
        <v>1856.3240000000001</v>
      </c>
      <c r="AC602" s="817">
        <f t="shared" si="766"/>
        <v>1857.761</v>
      </c>
      <c r="AD602" s="2335">
        <f t="shared" si="761"/>
        <v>1869.5070000000001</v>
      </c>
      <c r="AE602" s="2335">
        <f t="shared" ca="1" si="761"/>
        <v>1817.8533546855558</v>
      </c>
      <c r="AF602" s="2335">
        <f t="shared" ca="1" si="761"/>
        <v>1770.1711275145692</v>
      </c>
      <c r="BB602" s="3510">
        <v>1836.94</v>
      </c>
      <c r="BC602" s="736">
        <f t="shared" si="732"/>
        <v>19.384000000000015</v>
      </c>
    </row>
    <row r="603" spans="1:55">
      <c r="C603" s="1120" t="s">
        <v>301</v>
      </c>
      <c r="D603" s="711" t="s">
        <v>666</v>
      </c>
      <c r="E603" s="1372" t="str">
        <f>+E585</f>
        <v>Net-lending</v>
      </c>
      <c r="F603" s="1373" t="s">
        <v>725</v>
      </c>
      <c r="G603" s="743">
        <f t="shared" ref="G603:W603" si="767">+G563</f>
        <v>-132.38399999999996</v>
      </c>
      <c r="H603" s="743">
        <f t="shared" si="767"/>
        <v>-60.107999999999933</v>
      </c>
      <c r="I603" s="743">
        <f t="shared" si="767"/>
        <v>-31.794000000000118</v>
      </c>
      <c r="J603" s="743">
        <f t="shared" si="767"/>
        <v>17.792000000000172</v>
      </c>
      <c r="K603" s="743">
        <f t="shared" si="767"/>
        <v>16.972999999999985</v>
      </c>
      <c r="L603" s="743">
        <f t="shared" si="767"/>
        <v>76.766000000000261</v>
      </c>
      <c r="M603" s="743">
        <f t="shared" si="767"/>
        <v>35.280999999999892</v>
      </c>
      <c r="N603" s="743">
        <f t="shared" si="767"/>
        <v>-37.333999999999662</v>
      </c>
      <c r="O603" s="743">
        <f t="shared" si="767"/>
        <v>-33.985999999999848</v>
      </c>
      <c r="P603" s="743">
        <f t="shared" si="767"/>
        <v>9.9810000000000372</v>
      </c>
      <c r="Q603" s="743">
        <f t="shared" si="767"/>
        <v>53.333000000000325</v>
      </c>
      <c r="R603" s="743">
        <f t="shared" si="767"/>
        <v>68.546000000000049</v>
      </c>
      <c r="S603" s="743">
        <f t="shared" si="767"/>
        <v>110.71499999999992</v>
      </c>
      <c r="T603" s="743">
        <f t="shared" si="767"/>
        <v>64.582000000000136</v>
      </c>
      <c r="U603" s="743">
        <f t="shared" si="767"/>
        <v>-23.550999999999874</v>
      </c>
      <c r="V603" s="743">
        <f t="shared" si="767"/>
        <v>-1.1300000000001376</v>
      </c>
      <c r="W603" s="743">
        <f t="shared" si="767"/>
        <v>-7.4120000000000346</v>
      </c>
      <c r="X603" s="743">
        <f t="shared" ref="X603:AB603" si="768">+X563</f>
        <v>-35.589000000000141</v>
      </c>
      <c r="Y603" s="743">
        <f t="shared" si="768"/>
        <v>-51.593000000000018</v>
      </c>
      <c r="Z603" s="743">
        <f t="shared" si="768"/>
        <v>-61.176000000000386</v>
      </c>
      <c r="AA603" s="743">
        <f t="shared" si="768"/>
        <v>6.697999999999638</v>
      </c>
      <c r="AB603" s="743">
        <f t="shared" si="768"/>
        <v>48.751999999999697</v>
      </c>
      <c r="AC603" s="743">
        <f t="shared" ref="AC603" si="769">+AC563</f>
        <v>71.078999999999922</v>
      </c>
      <c r="AD603" s="2333">
        <f ca="1">+AD563</f>
        <v>51.653645314444162</v>
      </c>
      <c r="AE603" s="2333">
        <f ca="1">+AE563</f>
        <v>47.682227170986607</v>
      </c>
      <c r="AF603" s="2333">
        <f ca="1">+AF563</f>
        <v>43.333020296400605</v>
      </c>
      <c r="BB603" s="3475">
        <v>32.615000000000094</v>
      </c>
      <c r="BC603" s="736">
        <f t="shared" si="732"/>
        <v>16.136999999999603</v>
      </c>
    </row>
    <row r="604" spans="1:55">
      <c r="C604" s="1121" t="s">
        <v>1791</v>
      </c>
      <c r="D604" s="713" t="s">
        <v>666</v>
      </c>
      <c r="E604" s="1374" t="s">
        <v>723</v>
      </c>
      <c r="F604" s="1375" t="s">
        <v>726</v>
      </c>
      <c r="G604" s="1269"/>
      <c r="H604" s="1173">
        <f t="shared" ref="H604:V604" si="770">H605-H602+H603</f>
        <v>-12.821999999999875</v>
      </c>
      <c r="I604" s="1173">
        <f t="shared" si="770"/>
        <v>-18.336000000000261</v>
      </c>
      <c r="J604" s="1173">
        <f t="shared" si="770"/>
        <v>64.166000000000196</v>
      </c>
      <c r="K604" s="1173">
        <f t="shared" si="770"/>
        <v>-23.691000000000003</v>
      </c>
      <c r="L604" s="1173">
        <f t="shared" si="770"/>
        <v>-90.015999999999664</v>
      </c>
      <c r="M604" s="1173">
        <f t="shared" si="770"/>
        <v>121.6939999999999</v>
      </c>
      <c r="N604" s="1173">
        <f t="shared" si="770"/>
        <v>-40.225999999999715</v>
      </c>
      <c r="O604" s="1173">
        <f t="shared" si="770"/>
        <v>4.9610000000002685</v>
      </c>
      <c r="P604" s="1173">
        <f t="shared" si="770"/>
        <v>49.888999999999939</v>
      </c>
      <c r="Q604" s="1173">
        <f t="shared" si="770"/>
        <v>110.79600000000029</v>
      </c>
      <c r="R604" s="1173">
        <f t="shared" si="770"/>
        <v>2.2380000000000564</v>
      </c>
      <c r="S604" s="1173">
        <f t="shared" si="770"/>
        <v>41.730999999999995</v>
      </c>
      <c r="T604" s="1173">
        <f t="shared" si="770"/>
        <v>50.394000000000034</v>
      </c>
      <c r="U604" s="1173">
        <f t="shared" si="770"/>
        <v>57.655000000000257</v>
      </c>
      <c r="V604" s="1173">
        <f t="shared" si="770"/>
        <v>-1.9850000000001558</v>
      </c>
      <c r="W604" s="1173">
        <f t="shared" ref="W604" si="771">W605-W602+W603</f>
        <v>17.16599999999994</v>
      </c>
      <c r="X604" s="1173">
        <f t="shared" ref="X604:AB604" si="772">X605-X602+X603</f>
        <v>-16.237000000000279</v>
      </c>
      <c r="Y604" s="1173">
        <f t="shared" si="772"/>
        <v>80.025000000000148</v>
      </c>
      <c r="Z604" s="1173">
        <f t="shared" si="772"/>
        <v>194.59499999999957</v>
      </c>
      <c r="AA604" s="1173">
        <f t="shared" si="772"/>
        <v>71.397999999999683</v>
      </c>
      <c r="AB604" s="1173">
        <f t="shared" si="772"/>
        <v>50.188999999999595</v>
      </c>
      <c r="AC604" s="2934">
        <v>0</v>
      </c>
      <c r="AD604" s="2934">
        <v>0</v>
      </c>
      <c r="AE604" s="2934">
        <v>0</v>
      </c>
      <c r="AF604" s="2934">
        <v>0</v>
      </c>
      <c r="BB604" s="3570">
        <v>15.992000000000047</v>
      </c>
      <c r="BC604" s="736">
        <f t="shared" si="732"/>
        <v>34.196999999999548</v>
      </c>
    </row>
    <row r="605" spans="1:55">
      <c r="A605" s="701">
        <f>+ROW(InputY!A175)</f>
        <v>175</v>
      </c>
      <c r="B605" s="700">
        <v>128</v>
      </c>
      <c r="C605" s="731" t="s">
        <v>1793</v>
      </c>
      <c r="D605" s="806" t="s">
        <v>666</v>
      </c>
      <c r="E605" s="1358" t="s">
        <v>724</v>
      </c>
      <c r="F605" s="1360" t="s">
        <v>727</v>
      </c>
      <c r="G605" s="1359">
        <f>+InputY!G175/1000</f>
        <v>1309.923</v>
      </c>
      <c r="H605" s="1359">
        <f>+InputY!H175/1000</f>
        <v>1357.2090000000001</v>
      </c>
      <c r="I605" s="1359">
        <f>+InputY!I175/1000</f>
        <v>1370.6669999999999</v>
      </c>
      <c r="J605" s="1359">
        <f>+InputY!J175/1000</f>
        <v>1417.0409999999999</v>
      </c>
      <c r="K605" s="1359">
        <f>+InputY!K175/1000</f>
        <v>1376.377</v>
      </c>
      <c r="L605" s="1359">
        <f>+InputY!L175/1000</f>
        <v>1209.595</v>
      </c>
      <c r="M605" s="1359">
        <f>+InputY!M175/1000</f>
        <v>1296.008</v>
      </c>
      <c r="N605" s="1359">
        <f>+InputY!N175/1000</f>
        <v>1293.116</v>
      </c>
      <c r="O605" s="1359">
        <f>+InputY!O175/1000</f>
        <v>1332.0630000000001</v>
      </c>
      <c r="P605" s="1359">
        <f>+InputY!P175/1000</f>
        <v>1371.971</v>
      </c>
      <c r="Q605" s="1359">
        <f>+InputY!Q175/1000</f>
        <v>1429.434</v>
      </c>
      <c r="R605" s="1359">
        <f>+InputY!R175/1000</f>
        <v>1363.126</v>
      </c>
      <c r="S605" s="1359">
        <f>+InputY!S175/1000</f>
        <v>1294.1420000000001</v>
      </c>
      <c r="T605" s="1359">
        <f>+InputY!T175/1000</f>
        <v>1279.954</v>
      </c>
      <c r="U605" s="1359">
        <f>+InputY!U175/1000</f>
        <v>1361.16</v>
      </c>
      <c r="V605" s="1359">
        <f>+InputY!V175/1000</f>
        <v>1360.3050000000001</v>
      </c>
      <c r="W605" s="1359">
        <f>+InputY!W175/1000</f>
        <v>1384.883</v>
      </c>
      <c r="X605" s="1359">
        <f>+InputY!X175/1000</f>
        <v>1404.2349999999999</v>
      </c>
      <c r="Y605" s="1359">
        <f>+InputY!Y175/1000</f>
        <v>1535.8530000000001</v>
      </c>
      <c r="Z605" s="1359">
        <f>+InputY!Z175/1000</f>
        <v>1791.624</v>
      </c>
      <c r="AA605" s="1359">
        <f>+InputY!AA175/1000</f>
        <v>1856.3240000000001</v>
      </c>
      <c r="AB605" s="1359">
        <f>+InputY!AB175/1000</f>
        <v>1857.761</v>
      </c>
      <c r="AC605" s="1359">
        <f>+InputY!AC175/1000</f>
        <v>1869.5070000000001</v>
      </c>
      <c r="AD605" s="2365">
        <f ca="1">+AD602-AD603+AD604</f>
        <v>1817.8533546855558</v>
      </c>
      <c r="AE605" s="2365">
        <f ca="1">+AE602-AE603+AE604</f>
        <v>1770.1711275145692</v>
      </c>
      <c r="AF605" s="2365">
        <f ca="1">+AF602-AF603+AF604</f>
        <v>1726.8381072181687</v>
      </c>
      <c r="BB605" s="3561">
        <v>1820.317</v>
      </c>
      <c r="BC605" s="736">
        <f t="shared" si="732"/>
        <v>37.44399999999996</v>
      </c>
    </row>
    <row r="606" spans="1:55" ht="13.5" thickBot="1">
      <c r="D606" s="1378"/>
      <c r="E606" s="1379" t="s">
        <v>797</v>
      </c>
      <c r="F606" s="1380"/>
      <c r="G606" s="1379"/>
      <c r="H606" s="1390">
        <f>(H605/G605-1)*100</f>
        <v>3.6098305014874876</v>
      </c>
      <c r="I606" s="1390">
        <f t="shared" ref="I606:AF606" si="773">(I605/H605-1)*100</f>
        <v>0.99159377811375293</v>
      </c>
      <c r="J606" s="1390">
        <f t="shared" si="773"/>
        <v>3.38331629783164</v>
      </c>
      <c r="K606" s="1390">
        <f t="shared" si="773"/>
        <v>-2.8696417393709872</v>
      </c>
      <c r="L606" s="1390">
        <f t="shared" si="773"/>
        <v>-12.117464909686804</v>
      </c>
      <c r="M606" s="1390">
        <f t="shared" si="773"/>
        <v>7.1439614085706316</v>
      </c>
      <c r="N606" s="1390">
        <f t="shared" si="773"/>
        <v>-0.2231467706989454</v>
      </c>
      <c r="O606" s="1390">
        <f t="shared" si="773"/>
        <v>3.0118720980948366</v>
      </c>
      <c r="P606" s="1390">
        <f t="shared" si="773"/>
        <v>2.9959543955503598</v>
      </c>
      <c r="Q606" s="1390">
        <f t="shared" si="773"/>
        <v>4.1883538354673622</v>
      </c>
      <c r="R606" s="1390">
        <f t="shared" si="773"/>
        <v>-4.638759117245006</v>
      </c>
      <c r="S606" s="1390">
        <f t="shared" si="773"/>
        <v>-5.0607207257436171</v>
      </c>
      <c r="T606" s="1390">
        <f t="shared" si="773"/>
        <v>-1.0963248237055967</v>
      </c>
      <c r="U606" s="1390">
        <f t="shared" si="773"/>
        <v>6.3444467535552107</v>
      </c>
      <c r="V606" s="1390">
        <f t="shared" si="773"/>
        <v>-6.2814070351757678E-2</v>
      </c>
      <c r="W606" s="1390">
        <f t="shared" si="773"/>
        <v>1.8068006807296921</v>
      </c>
      <c r="X606" s="1390">
        <f t="shared" ref="X606" si="774">(X605/W605-1)*100</f>
        <v>1.3973743630328217</v>
      </c>
      <c r="Y606" s="1390">
        <f t="shared" ref="Y606" si="775">(Y605/X605-1)*100</f>
        <v>9.3729325931913188</v>
      </c>
      <c r="Z606" s="1390">
        <f t="shared" ref="Z606" si="776">(Z605/Y605-1)*100</f>
        <v>16.653351590288914</v>
      </c>
      <c r="AA606" s="1390">
        <f t="shared" ref="AA606" si="777">(AA605/Z605-1)*100</f>
        <v>3.6112487888083633</v>
      </c>
      <c r="AB606" s="1390">
        <f t="shared" ref="AB606:AC606" si="778">(AB605/AA605-1)*100</f>
        <v>7.7411055397647033E-2</v>
      </c>
      <c r="AC606" s="1390">
        <f t="shared" si="778"/>
        <v>0.63226647561231974</v>
      </c>
      <c r="AD606" s="2366">
        <f t="shared" ca="1" si="773"/>
        <v>-2.7629554376872756</v>
      </c>
      <c r="AE606" s="2366">
        <f t="shared" ca="1" si="773"/>
        <v>-2.6229963516080423</v>
      </c>
      <c r="AF606" s="2366">
        <f t="shared" ca="1" si="773"/>
        <v>-2.4479565632302913</v>
      </c>
      <c r="AN606" s="2941"/>
      <c r="AO606" s="2941"/>
      <c r="AP606" s="2941"/>
      <c r="AQ606" s="2941"/>
      <c r="BB606" s="3493">
        <v>-0.90492884906421267</v>
      </c>
      <c r="BC606" s="736" t="str">
        <f t="shared" si="732"/>
        <v/>
      </c>
    </row>
    <row r="607" spans="1:55" ht="13.5" thickBot="1">
      <c r="D607" s="1381" t="s">
        <v>666</v>
      </c>
      <c r="E607" s="1382" t="s">
        <v>796</v>
      </c>
      <c r="F607" s="1383"/>
      <c r="G607" s="1482">
        <f>+G605/'VVP2'!G$341</f>
        <v>0.69468055543770635</v>
      </c>
      <c r="H607" s="1482">
        <f>+H605/'VVP2'!H$341</f>
        <v>0.70162553544343453</v>
      </c>
      <c r="I607" s="1482">
        <f>+I605/'VVP2'!I$341</f>
        <v>0.6778842301943937</v>
      </c>
      <c r="J607" s="1482">
        <f>+J605/'VVP2'!J$341</f>
        <v>0.66702927783107369</v>
      </c>
      <c r="K607" s="1482">
        <f>+K605/'VVP2'!K$341</f>
        <v>0.61429687852169956</v>
      </c>
      <c r="L607" s="1482">
        <f>+L605/'VVP2'!L$341</f>
        <v>0.50746006294611656</v>
      </c>
      <c r="M607" s="1482">
        <f>+M605/'VVP2'!M$341</f>
        <v>0.52218044446306799</v>
      </c>
      <c r="N607" s="1482">
        <f>+N605/'VVP2'!N$341</f>
        <v>0.50238407060873935</v>
      </c>
      <c r="O607" s="1482">
        <f>+O605/'VVP2'!O$341</f>
        <v>0.49687843056508302</v>
      </c>
      <c r="P607" s="1482">
        <f>+P605/'VVP2'!P$341</f>
        <v>0.4885235487926769</v>
      </c>
      <c r="Q607" s="1482">
        <f>+Q605/'VVP2'!Q$341</f>
        <v>0.49109916813339</v>
      </c>
      <c r="R607" s="1482">
        <f>+R605/'VVP2'!R$341</f>
        <v>0.43931644425708888</v>
      </c>
      <c r="S607" s="1482">
        <f>+S605/'VVP2'!S$341</f>
        <v>0.39204745980212563</v>
      </c>
      <c r="T607" s="1482">
        <f>+T605/'VVP2'!T$341</f>
        <v>0.37738041991567012</v>
      </c>
      <c r="U607" s="1482">
        <f>+U605/'VVP2'!U$341</f>
        <v>0.4134739607334002</v>
      </c>
      <c r="V607" s="1482">
        <f>+V605/'VVP2'!V$341</f>
        <v>0.38603091414327162</v>
      </c>
      <c r="W607" s="1482">
        <f>+W605/'VVP2'!W$341</f>
        <v>0.3782755351412152</v>
      </c>
      <c r="X607" s="1482">
        <f>+X605/'VVP2'!X$341</f>
        <v>0.38066796046812151</v>
      </c>
      <c r="Y607" s="1482">
        <f>+Y605/'VVP2'!Y$341</f>
        <v>0.40696285764025336</v>
      </c>
      <c r="Z607" s="1482">
        <f>+Z605/'VVP2'!Z$341</f>
        <v>0.45462017166020668</v>
      </c>
      <c r="AA607" s="1482">
        <f>+AA605/'VVP2'!AA$341</f>
        <v>0.44181958866064208</v>
      </c>
      <c r="AB607" s="1482">
        <f>+AB605/'VVP2'!AB$341</f>
        <v>0.42361470091075193</v>
      </c>
      <c r="AC607" s="1482">
        <f>+AC605/'VVP2'!AC$341</f>
        <v>0.40828745076054307</v>
      </c>
      <c r="AD607" s="2367">
        <f ca="1">+AD605/'VVP2'!AD$341</f>
        <v>0.37846909609518498</v>
      </c>
      <c r="AE607" s="2367">
        <f ca="1">+AE605/'VVP2'!AE$341</f>
        <v>0.35511402786815199</v>
      </c>
      <c r="AF607" s="2367">
        <f ca="1">+AF605/'VVP2'!AF$341</f>
        <v>0.33456027958197271</v>
      </c>
      <c r="AH607" s="2941"/>
      <c r="AI607" s="2941"/>
      <c r="AJ607" s="2941"/>
      <c r="AK607" s="2941"/>
      <c r="AL607" s="2941"/>
      <c r="AM607" s="2941"/>
      <c r="BB607" s="3485">
        <v>0.41324463590633964</v>
      </c>
      <c r="BC607" s="736" t="str">
        <f t="shared" si="732"/>
        <v/>
      </c>
    </row>
    <row r="608" spans="1:55" ht="30" customHeight="1">
      <c r="V608" s="2322"/>
      <c r="W608" s="2322"/>
      <c r="X608" s="2322"/>
      <c r="Y608" s="2322"/>
      <c r="Z608" s="2322"/>
      <c r="AN608" s="2948"/>
      <c r="AO608" s="2948"/>
      <c r="AP608" s="2948"/>
      <c r="AQ608" s="2948"/>
      <c r="BC608" s="736" t="str">
        <f t="shared" si="732"/>
        <v/>
      </c>
    </row>
    <row r="609" spans="1:55" ht="12.75" customHeight="1">
      <c r="A609" s="701"/>
      <c r="B609" s="701"/>
      <c r="C609" s="811"/>
      <c r="D609" s="851"/>
      <c r="E609" s="852" t="s">
        <v>535</v>
      </c>
      <c r="F609" s="853"/>
      <c r="G609" s="854">
        <f>+InputY!$G$3</f>
        <v>1995</v>
      </c>
      <c r="H609" s="854">
        <f>+G609+1</f>
        <v>1996</v>
      </c>
      <c r="I609" s="854">
        <f t="shared" ref="I609:R609" si="779">+H609+1</f>
        <v>1997</v>
      </c>
      <c r="J609" s="854">
        <f t="shared" si="779"/>
        <v>1998</v>
      </c>
      <c r="K609" s="854">
        <f t="shared" si="779"/>
        <v>1999</v>
      </c>
      <c r="L609" s="854">
        <f t="shared" si="779"/>
        <v>2000</v>
      </c>
      <c r="M609" s="854">
        <f t="shared" si="779"/>
        <v>2001</v>
      </c>
      <c r="N609" s="854">
        <f t="shared" si="779"/>
        <v>2002</v>
      </c>
      <c r="O609" s="854">
        <f t="shared" si="779"/>
        <v>2003</v>
      </c>
      <c r="P609" s="854">
        <f>+O609+1</f>
        <v>2004</v>
      </c>
      <c r="Q609" s="854">
        <f t="shared" si="779"/>
        <v>2005</v>
      </c>
      <c r="R609" s="2294">
        <f t="shared" si="779"/>
        <v>2006</v>
      </c>
      <c r="S609" s="2294">
        <f t="shared" ref="S609:Y609" si="780">+R609+1</f>
        <v>2007</v>
      </c>
      <c r="T609" s="2294">
        <f t="shared" si="780"/>
        <v>2008</v>
      </c>
      <c r="U609" s="2294">
        <f t="shared" si="780"/>
        <v>2009</v>
      </c>
      <c r="V609" s="2294">
        <f>+U609+1</f>
        <v>2010</v>
      </c>
      <c r="W609" s="2294">
        <f>+V609+1</f>
        <v>2011</v>
      </c>
      <c r="X609" s="2294">
        <f t="shared" si="780"/>
        <v>2012</v>
      </c>
      <c r="Y609" s="2294">
        <f t="shared" si="780"/>
        <v>2013</v>
      </c>
      <c r="Z609" s="2294">
        <f t="shared" ref="Z609:AF609" si="781">+Y609+1</f>
        <v>2014</v>
      </c>
      <c r="AA609" s="2294">
        <f t="shared" si="781"/>
        <v>2015</v>
      </c>
      <c r="AB609" s="2294">
        <f t="shared" si="781"/>
        <v>2016</v>
      </c>
      <c r="AC609" s="2294">
        <f t="shared" si="781"/>
        <v>2017</v>
      </c>
      <c r="AD609" s="2294">
        <f t="shared" si="781"/>
        <v>2018</v>
      </c>
      <c r="AE609" s="2294">
        <f t="shared" si="781"/>
        <v>2019</v>
      </c>
      <c r="AF609" s="2294">
        <f t="shared" si="781"/>
        <v>2020</v>
      </c>
      <c r="AH609" s="2948"/>
      <c r="AI609" s="2948"/>
      <c r="AJ609" s="2948"/>
      <c r="AK609" s="2948"/>
      <c r="AL609" s="2948"/>
      <c r="AM609" s="2948"/>
      <c r="AN609" s="2948"/>
      <c r="AO609" s="2948"/>
      <c r="AP609" s="2948"/>
      <c r="AQ609" s="2948"/>
      <c r="BB609" s="3524">
        <v>2016</v>
      </c>
      <c r="BC609" s="736" t="str">
        <f t="shared" si="732"/>
        <v/>
      </c>
    </row>
    <row r="610" spans="1:55">
      <c r="C610" s="1584"/>
      <c r="D610" s="860" t="s">
        <v>666</v>
      </c>
      <c r="E610" s="1585" t="s">
        <v>389</v>
      </c>
      <c r="F610" s="1586"/>
      <c r="G610" s="1084"/>
      <c r="H610" s="875">
        <f t="shared" ref="H610:R610" si="782">+H613-H612-H611</f>
        <v>-1.7500087090775218E-2</v>
      </c>
      <c r="I610" s="875">
        <f t="shared" si="782"/>
        <v>-3.0397164017039228E-2</v>
      </c>
      <c r="J610" s="875">
        <f t="shared" si="782"/>
        <v>-3.2684113079303689E-2</v>
      </c>
      <c r="K610" s="875">
        <f t="shared" si="782"/>
        <v>-3.4583470441624672E-2</v>
      </c>
      <c r="L610" s="875">
        <f t="shared" si="782"/>
        <v>-3.6866946141368116E-2</v>
      </c>
      <c r="M610" s="875">
        <f t="shared" si="782"/>
        <v>-2.0096671114966814E-2</v>
      </c>
      <c r="N610" s="875">
        <f t="shared" si="782"/>
        <v>-1.867281283412589E-2</v>
      </c>
      <c r="O610" s="875">
        <f t="shared" si="782"/>
        <v>-2.0033424566774496E-2</v>
      </c>
      <c r="P610" s="875">
        <f>+P613-P612-P611</f>
        <v>-2.2565093056185516E-2</v>
      </c>
      <c r="Q610" s="875">
        <f t="shared" si="782"/>
        <v>-1.7166482427153747E-2</v>
      </c>
      <c r="R610" s="2347">
        <f t="shared" si="782"/>
        <v>-3.0412582901953155E-2</v>
      </c>
      <c r="S610" s="2347">
        <f t="shared" ref="S610:U610" si="783">+S613-S612-S611</f>
        <v>-2.6370967106797587E-2</v>
      </c>
      <c r="T610" s="2347">
        <f t="shared" si="783"/>
        <v>-1.0483863461549957E-2</v>
      </c>
      <c r="U610" s="2347">
        <f t="shared" si="783"/>
        <v>1.1425929034165663E-2</v>
      </c>
      <c r="V610" s="2347">
        <f>+V613-V612-V611</f>
        <v>-2.7200412451760716E-2</v>
      </c>
      <c r="W610" s="2347">
        <f>+W613-W612-W611</f>
        <v>-1.4468766416517261E-2</v>
      </c>
      <c r="X610" s="2347">
        <f t="shared" ref="X610:AC610" si="784">+X613-X612-X611</f>
        <v>-2.8536242096591754E-3</v>
      </c>
      <c r="Y610" s="2347">
        <f t="shared" si="784"/>
        <v>-8.5806002855642553E-3</v>
      </c>
      <c r="Z610" s="2347">
        <f t="shared" si="784"/>
        <v>-1.724394647092127E-2</v>
      </c>
      <c r="AA610" s="2347">
        <f t="shared" si="784"/>
        <v>-2.8199687566624859E-2</v>
      </c>
      <c r="AB610" s="2347">
        <f t="shared" si="784"/>
        <v>-1.8532558707138533E-2</v>
      </c>
      <c r="AC610" s="2347">
        <f t="shared" si="784"/>
        <v>1.9591382436230133E-4</v>
      </c>
      <c r="AD610" s="2299">
        <f t="shared" ref="AD610" ca="1" si="785">+AD613-AD612-AD611</f>
        <v>-1.9064292242341289E-2</v>
      </c>
      <c r="AE610" s="2299">
        <f t="shared" ref="AE610:AF610" ca="1" si="786">+AE613-AE612-AE611</f>
        <v>-1.3789536688741678E-2</v>
      </c>
      <c r="AF610" s="2299">
        <f t="shared" ca="1" si="786"/>
        <v>-1.2158342066629448E-2</v>
      </c>
      <c r="AH610" s="2948"/>
      <c r="AI610" s="2948"/>
      <c r="AJ610" s="2948"/>
      <c r="AK610" s="2948"/>
      <c r="AL610" s="2948"/>
      <c r="AM610" s="2948"/>
      <c r="AN610" s="2948"/>
      <c r="AO610" s="2948"/>
      <c r="AP610" s="2948"/>
      <c r="AQ610" s="2948"/>
      <c r="BB610" s="3571">
        <v>-2.0362890732107043E-2</v>
      </c>
      <c r="BC610" s="736" t="str">
        <f t="shared" si="732"/>
        <v/>
      </c>
    </row>
    <row r="611" spans="1:55">
      <c r="C611" s="1587" t="s">
        <v>1791</v>
      </c>
      <c r="D611" s="711" t="s">
        <v>666</v>
      </c>
      <c r="E611" s="1372" t="s">
        <v>390</v>
      </c>
      <c r="F611" s="1583" t="s">
        <v>391</v>
      </c>
      <c r="G611" s="1084"/>
      <c r="H611" s="876">
        <f>-H603/'VVP2'!H$341</f>
        <v>3.1073554393195091E-2</v>
      </c>
      <c r="I611" s="876">
        <f>-I603/'VVP2'!I$341</f>
        <v>1.572420669265448E-2</v>
      </c>
      <c r="J611" s="876">
        <f>-J603/'VVP2'!J$341</f>
        <v>-8.3750469543016608E-3</v>
      </c>
      <c r="K611" s="876">
        <f>-K603/'VVP2'!K$341</f>
        <v>-7.575294355506375E-3</v>
      </c>
      <c r="L611" s="876">
        <f>-L603/'VVP2'!L$341</f>
        <v>-3.2205555737351517E-2</v>
      </c>
      <c r="M611" s="876">
        <f>-M603/'VVP2'!M$341</f>
        <v>-1.4215227267965511E-2</v>
      </c>
      <c r="N611" s="876">
        <f>-N603/'VVP2'!N$341</f>
        <v>1.4504504539504966E-2</v>
      </c>
      <c r="O611" s="876">
        <f>-O603/'VVP2'!O$341</f>
        <v>1.2677261016321927E-2</v>
      </c>
      <c r="P611" s="876">
        <f>-P603/'VVP2'!P$341</f>
        <v>-3.553977117956375E-3</v>
      </c>
      <c r="Q611" s="876">
        <f>-Q603/'VVP2'!Q$341</f>
        <v>-1.8323190811228955E-2</v>
      </c>
      <c r="R611" s="2348">
        <f>-R603/'VVP2'!R$341</f>
        <v>-2.2091417072263631E-2</v>
      </c>
      <c r="S611" s="2348">
        <f>-S603/'VVP2'!S$341</f>
        <v>-3.3540009142731093E-2</v>
      </c>
      <c r="T611" s="2348">
        <f>-T603/'VVP2'!T$341</f>
        <v>-1.9041295452019259E-2</v>
      </c>
      <c r="U611" s="2348">
        <f>-U603/'VVP2'!U$341</f>
        <v>7.1539901622382791E-3</v>
      </c>
      <c r="V611" s="2348">
        <f>-V603/'VVP2'!V$341</f>
        <v>3.2067435831078329E-4</v>
      </c>
      <c r="W611" s="2348">
        <f>-W603/'VVP2'!W$341</f>
        <v>2.0245596678323732E-3</v>
      </c>
      <c r="X611" s="2348">
        <f>-X603/'VVP2'!X$341</f>
        <v>9.6476672673021478E-3</v>
      </c>
      <c r="Y611" s="2348">
        <f>-Y603/'VVP2'!Y$341</f>
        <v>1.367086219464597E-2</v>
      </c>
      <c r="Z611" s="2348">
        <f>-Z603/'VVP2'!Z$341</f>
        <v>1.5523259133325395E-2</v>
      </c>
      <c r="AA611" s="2348">
        <f>-AA603/'VVP2'!AA$341</f>
        <v>-1.5941762347784227E-3</v>
      </c>
      <c r="AB611" s="2348">
        <f>-AB603/'VVP2'!AB$341</f>
        <v>-1.1116641967831626E-2</v>
      </c>
      <c r="AC611" s="2348">
        <f>-AC603/'VVP2'!AC$341</f>
        <v>-1.5523163974571161E-2</v>
      </c>
      <c r="AD611" s="2280">
        <f ca="1">-AD603/'VVP2'!AD$341</f>
        <v>-1.0754062423016802E-2</v>
      </c>
      <c r="AE611" s="2280">
        <f ca="1">-AE603/'VVP2'!AE$341</f>
        <v>-9.5655315382913043E-3</v>
      </c>
      <c r="AF611" s="2280">
        <f ca="1">-AF603/'VVP2'!AF$341</f>
        <v>-8.3954062195498377E-3</v>
      </c>
      <c r="AH611" s="2948"/>
      <c r="AI611" s="2948"/>
      <c r="AJ611" s="2948"/>
      <c r="AK611" s="2948"/>
      <c r="AL611" s="2948"/>
      <c r="AM611" s="2948"/>
      <c r="BB611" s="3490">
        <v>-7.4041904789579546E-3</v>
      </c>
      <c r="BC611" s="736" t="str">
        <f t="shared" si="732"/>
        <v/>
      </c>
    </row>
    <row r="612" spans="1:55">
      <c r="C612" s="1588" t="s">
        <v>1791</v>
      </c>
      <c r="D612" s="865" t="s">
        <v>666</v>
      </c>
      <c r="E612" s="1589" t="s">
        <v>388</v>
      </c>
      <c r="F612" s="1590" t="s">
        <v>726</v>
      </c>
      <c r="G612" s="1559"/>
      <c r="H612" s="877">
        <f>(H604)/'VVP2'!H$341</f>
        <v>-6.6284872966916883E-3</v>
      </c>
      <c r="I612" s="877">
        <f>(I604)/'VVP2'!I$341</f>
        <v>-9.0683479246560852E-3</v>
      </c>
      <c r="J612" s="877">
        <f>(J604)/'VVP2'!J$341</f>
        <v>3.0204207670285341E-2</v>
      </c>
      <c r="K612" s="877">
        <f>(K604)/'VVP2'!K$341</f>
        <v>-1.0573634512243075E-2</v>
      </c>
      <c r="L612" s="877">
        <f>(L604)/'VVP2'!L$341</f>
        <v>-3.7764313696863373E-2</v>
      </c>
      <c r="M612" s="877">
        <f>(M604)/'VVP2'!M$341</f>
        <v>4.9032279899883756E-2</v>
      </c>
      <c r="N612" s="877">
        <f>(N604)/'VVP2'!N$341</f>
        <v>-1.5628065559707718E-2</v>
      </c>
      <c r="O612" s="877">
        <f>(O604)/'VVP2'!O$341</f>
        <v>1.8505235067962328E-3</v>
      </c>
      <c r="P612" s="877">
        <f>(P604)/'VVP2'!P$341</f>
        <v>1.776418840173577E-2</v>
      </c>
      <c r="Q612" s="877">
        <f>(Q604)/'VVP2'!Q$341</f>
        <v>3.80652925790958E-2</v>
      </c>
      <c r="R612" s="2368">
        <f>(R604)/'VVP2'!R$341</f>
        <v>7.2127609791566567E-4</v>
      </c>
      <c r="S612" s="2368">
        <f>(S604)/'VVP2'!S$341</f>
        <v>1.2641991794565434E-2</v>
      </c>
      <c r="T612" s="2349">
        <f>(T604)/'VVP2'!T$341</f>
        <v>1.4858119027113703E-2</v>
      </c>
      <c r="U612" s="2349">
        <f>(U604)/'VVP2'!U$341</f>
        <v>1.7513621621326143E-2</v>
      </c>
      <c r="V612" s="2349">
        <f>(V604)/'VVP2'!V$341</f>
        <v>-5.6330849667865241E-4</v>
      </c>
      <c r="W612" s="2349">
        <f>(W604)/'VVP2'!W$341</f>
        <v>4.6888277466284713E-3</v>
      </c>
      <c r="X612" s="2349">
        <f>(X604)/'VVP2'!X$341</f>
        <v>-4.4016177307366613E-3</v>
      </c>
      <c r="Y612" s="2349">
        <f>(Y604)/'VVP2'!Y$341</f>
        <v>2.1204635263050133E-2</v>
      </c>
      <c r="Z612" s="2349">
        <f>(Z604)/'VVP2'!Z$341</f>
        <v>4.9378001357549196E-2</v>
      </c>
      <c r="AA612" s="2349">
        <f>(AA604)/'VVP2'!AA$341</f>
        <v>1.6993280801838678E-2</v>
      </c>
      <c r="AB612" s="2349">
        <f>(AB604)/'VVP2'!AB$341</f>
        <v>1.1444312925080006E-2</v>
      </c>
      <c r="AC612" s="2349">
        <f>(AC604)/'VVP2'!AC$341</f>
        <v>0</v>
      </c>
      <c r="AD612" s="2301">
        <f ca="1">(AD604)/'VVP2'!AD$341</f>
        <v>0</v>
      </c>
      <c r="AE612" s="2301">
        <f ca="1">(AE604)/'VVP2'!AE$341</f>
        <v>0</v>
      </c>
      <c r="AF612" s="2301">
        <f ca="1">(AF604)/'VVP2'!AF$341</f>
        <v>0</v>
      </c>
      <c r="BB612" s="3572">
        <v>3.6304710758698639E-3</v>
      </c>
      <c r="BC612" s="736" t="str">
        <f t="shared" si="732"/>
        <v/>
      </c>
    </row>
    <row r="613" spans="1:55" s="935" customFormat="1" ht="25.5">
      <c r="A613" s="701"/>
      <c r="B613" s="1580"/>
      <c r="C613" s="1581" t="s">
        <v>1793</v>
      </c>
      <c r="D613" s="1591" t="s">
        <v>666</v>
      </c>
      <c r="E613" s="1592" t="s">
        <v>387</v>
      </c>
      <c r="F613" s="1593" t="s">
        <v>392</v>
      </c>
      <c r="G613" s="1594"/>
      <c r="H613" s="1582">
        <f>+H607-G607</f>
        <v>6.9449800057281852E-3</v>
      </c>
      <c r="I613" s="1582">
        <f t="shared" ref="I613:AF613" si="787">+I607-H607</f>
        <v>-2.3741305249040834E-2</v>
      </c>
      <c r="J613" s="1582">
        <f t="shared" si="787"/>
        <v>-1.0854952363320014E-2</v>
      </c>
      <c r="K613" s="1582">
        <f t="shared" si="787"/>
        <v>-5.2732399309374123E-2</v>
      </c>
      <c r="L613" s="1582">
        <f t="shared" si="787"/>
        <v>-0.106836815575583</v>
      </c>
      <c r="M613" s="1582">
        <f t="shared" si="787"/>
        <v>1.4720381516951431E-2</v>
      </c>
      <c r="N613" s="1582">
        <f t="shared" si="787"/>
        <v>-1.9796373854328642E-2</v>
      </c>
      <c r="O613" s="1582">
        <f t="shared" si="787"/>
        <v>-5.5056400436563346E-3</v>
      </c>
      <c r="P613" s="1582">
        <f t="shared" si="787"/>
        <v>-8.3548817724061197E-3</v>
      </c>
      <c r="Q613" s="1582">
        <f t="shared" si="787"/>
        <v>2.5756193407130978E-3</v>
      </c>
      <c r="R613" s="2369">
        <f t="shared" si="787"/>
        <v>-5.1782723876301118E-2</v>
      </c>
      <c r="S613" s="2369">
        <f t="shared" si="787"/>
        <v>-4.7268984454963248E-2</v>
      </c>
      <c r="T613" s="2369">
        <f t="shared" si="787"/>
        <v>-1.4667039886455513E-2</v>
      </c>
      <c r="U613" s="2369">
        <f t="shared" si="787"/>
        <v>3.6093540817730085E-2</v>
      </c>
      <c r="V613" s="2369">
        <f t="shared" si="787"/>
        <v>-2.7443046590128584E-2</v>
      </c>
      <c r="W613" s="2369">
        <f t="shared" si="787"/>
        <v>-7.7553790020564173E-3</v>
      </c>
      <c r="X613" s="2369">
        <f t="shared" ref="X613" si="788">+X607-W607</f>
        <v>2.3924253269063112E-3</v>
      </c>
      <c r="Y613" s="2369">
        <f t="shared" ref="Y613" si="789">+Y607-X607</f>
        <v>2.6294897172131848E-2</v>
      </c>
      <c r="Z613" s="2369">
        <f t="shared" ref="Z613" si="790">+Z607-Y607</f>
        <v>4.7657314019953323E-2</v>
      </c>
      <c r="AA613" s="2369">
        <f t="shared" ref="AA613" si="791">+AA607-Z607</f>
        <v>-1.2800582999564603E-2</v>
      </c>
      <c r="AB613" s="2369">
        <f t="shared" ref="AB613" si="792">+AB607-AA607</f>
        <v>-1.8204887749890153E-2</v>
      </c>
      <c r="AC613" s="2369">
        <f t="shared" ref="AC613" si="793">+AC607-AB607</f>
        <v>-1.532725015020886E-2</v>
      </c>
      <c r="AD613" s="3013">
        <f t="shared" ca="1" si="787"/>
        <v>-2.9818354665358093E-2</v>
      </c>
      <c r="AE613" s="3013">
        <f t="shared" ca="1" si="787"/>
        <v>-2.3355068227032982E-2</v>
      </c>
      <c r="AF613" s="3013">
        <f t="shared" ca="1" si="787"/>
        <v>-2.0553748286179285E-2</v>
      </c>
      <c r="AG613" s="2941"/>
      <c r="AH613" s="2939"/>
      <c r="AI613" s="2939"/>
      <c r="AJ613" s="2939"/>
      <c r="AK613" s="2939"/>
      <c r="AL613" s="2939"/>
      <c r="AM613" s="2939"/>
      <c r="AN613" s="2950"/>
      <c r="AO613" s="2950"/>
      <c r="AP613" s="2950"/>
      <c r="AQ613" s="2950"/>
      <c r="AR613" s="2941"/>
      <c r="AS613" s="2941"/>
      <c r="AT613" s="2941"/>
      <c r="BB613" s="3573">
        <v>-2.4136610135195136E-2</v>
      </c>
      <c r="BC613" s="736" t="str">
        <f t="shared" si="732"/>
        <v/>
      </c>
    </row>
    <row r="614" spans="1:55" ht="30" customHeight="1">
      <c r="F614" s="1063"/>
      <c r="Q614" s="1967"/>
      <c r="AH614" s="2950"/>
      <c r="AI614" s="2950"/>
      <c r="AJ614" s="2950"/>
      <c r="AK614" s="2950"/>
      <c r="AL614" s="2950"/>
      <c r="AM614" s="2950"/>
      <c r="AN614" s="2948"/>
      <c r="AO614" s="2948"/>
      <c r="AP614" s="2948"/>
      <c r="AQ614" s="2948"/>
      <c r="BC614" s="736" t="str">
        <f t="shared" si="732"/>
        <v/>
      </c>
    </row>
    <row r="615" spans="1:55" customFormat="1">
      <c r="A615" s="1170"/>
      <c r="B615" s="1170"/>
      <c r="C615" s="731"/>
      <c r="D615" s="1114"/>
      <c r="E615" s="1115" t="s">
        <v>987</v>
      </c>
      <c r="F615" s="1116"/>
      <c r="G615" s="735">
        <f>+InputY!$G$3</f>
        <v>1995</v>
      </c>
      <c r="H615" s="735">
        <f>+G615+1</f>
        <v>1996</v>
      </c>
      <c r="I615" s="735">
        <f t="shared" ref="I615:R615" si="794">+H615+1</f>
        <v>1997</v>
      </c>
      <c r="J615" s="735">
        <f t="shared" si="794"/>
        <v>1998</v>
      </c>
      <c r="K615" s="735">
        <f t="shared" si="794"/>
        <v>1999</v>
      </c>
      <c r="L615" s="735">
        <f t="shared" si="794"/>
        <v>2000</v>
      </c>
      <c r="M615" s="735">
        <f t="shared" si="794"/>
        <v>2001</v>
      </c>
      <c r="N615" s="735">
        <f t="shared" si="794"/>
        <v>2002</v>
      </c>
      <c r="O615" s="735">
        <f t="shared" si="794"/>
        <v>2003</v>
      </c>
      <c r="P615" s="735">
        <f>+O615+1</f>
        <v>2004</v>
      </c>
      <c r="Q615" s="735">
        <f t="shared" si="794"/>
        <v>2005</v>
      </c>
      <c r="R615" s="2271">
        <f t="shared" si="794"/>
        <v>2006</v>
      </c>
      <c r="S615" s="2271">
        <f t="shared" ref="S615:Y615" si="795">+R615+1</f>
        <v>2007</v>
      </c>
      <c r="T615" s="2271">
        <f t="shared" si="795"/>
        <v>2008</v>
      </c>
      <c r="U615" s="2271">
        <f t="shared" si="795"/>
        <v>2009</v>
      </c>
      <c r="V615" s="2271">
        <f>+U615+1</f>
        <v>2010</v>
      </c>
      <c r="W615" s="2271">
        <f>+V615+1</f>
        <v>2011</v>
      </c>
      <c r="X615" s="2271">
        <f t="shared" si="795"/>
        <v>2012</v>
      </c>
      <c r="Y615" s="2271">
        <f t="shared" si="795"/>
        <v>2013</v>
      </c>
      <c r="Z615" s="2271">
        <f t="shared" ref="Z615:AF615" si="796">+Y615+1</f>
        <v>2014</v>
      </c>
      <c r="AA615" s="2271">
        <f t="shared" si="796"/>
        <v>2015</v>
      </c>
      <c r="AB615" s="2271">
        <f t="shared" si="796"/>
        <v>2016</v>
      </c>
      <c r="AC615" s="2271">
        <f t="shared" si="796"/>
        <v>2017</v>
      </c>
      <c r="AD615" s="2271">
        <f t="shared" si="796"/>
        <v>2018</v>
      </c>
      <c r="AE615" s="2271">
        <f t="shared" si="796"/>
        <v>2019</v>
      </c>
      <c r="AF615" s="2271">
        <f t="shared" si="796"/>
        <v>2020</v>
      </c>
      <c r="AG615" s="2948"/>
      <c r="AH615" s="2948"/>
      <c r="AI615" s="2948"/>
      <c r="AJ615" s="2948"/>
      <c r="AK615" s="2948"/>
      <c r="AL615" s="2948"/>
      <c r="AM615" s="2948"/>
      <c r="AN615" s="2939"/>
      <c r="AO615" s="2939"/>
      <c r="AP615" s="2939"/>
      <c r="AQ615" s="2939"/>
      <c r="AR615" s="2948"/>
      <c r="AS615" s="2948"/>
      <c r="AT615" s="2948"/>
      <c r="BB615" s="3564">
        <v>2016</v>
      </c>
      <c r="BC615" s="736" t="str">
        <f t="shared" si="732"/>
        <v/>
      </c>
    </row>
    <row r="616" spans="1:55" customFormat="1">
      <c r="A616" s="701">
        <f>+ROW(InputY!A276)</f>
        <v>276</v>
      </c>
      <c r="B616" s="1170">
        <v>138</v>
      </c>
      <c r="C616" s="1119"/>
      <c r="D616" s="1109" t="s">
        <v>666</v>
      </c>
      <c r="E616" s="1099" t="s">
        <v>1086</v>
      </c>
      <c r="F616" s="3095" t="s">
        <v>1088</v>
      </c>
      <c r="G616" s="3096"/>
      <c r="H616" s="3096"/>
      <c r="I616" s="3096"/>
      <c r="J616" s="3096"/>
      <c r="K616" s="3096"/>
      <c r="L616" s="3096"/>
      <c r="M616" s="3096"/>
      <c r="N616" s="3096"/>
      <c r="O616" s="1502">
        <f>+InputY!O276/1000</f>
        <v>0</v>
      </c>
      <c r="P616" s="1502">
        <f>+InputY!P276/1000</f>
        <v>0</v>
      </c>
      <c r="Q616" s="1502">
        <f>+InputY!Q276/1000</f>
        <v>0</v>
      </c>
      <c r="R616" s="1502">
        <f>+InputY!R276/1000</f>
        <v>0</v>
      </c>
      <c r="S616" s="1502">
        <f>+InputY!S276/1000</f>
        <v>0</v>
      </c>
      <c r="T616" s="1502">
        <f>+InputY!T276/1000</f>
        <v>0</v>
      </c>
      <c r="U616" s="1502">
        <f>+InputY!U276/1000</f>
        <v>0</v>
      </c>
      <c r="V616" s="1502">
        <f>+InputY!V276/1000</f>
        <v>0</v>
      </c>
      <c r="W616" s="1502">
        <f>+InputY!W276/1000</f>
        <v>0</v>
      </c>
      <c r="X616" s="1502">
        <f>+InputY!X276/1000</f>
        <v>0</v>
      </c>
      <c r="Y616" s="1502">
        <f>+InputY!Y276/1000</f>
        <v>0</v>
      </c>
      <c r="Z616" s="1502">
        <f>+InputY!Z276/1000</f>
        <v>0</v>
      </c>
      <c r="AA616" s="1502">
        <f>+InputY!AA276/1000</f>
        <v>0</v>
      </c>
      <c r="AB616" s="1502">
        <f>+InputY!AB276/1000</f>
        <v>0</v>
      </c>
      <c r="AC616" s="1502">
        <f>+InputY!AC276/1000</f>
        <v>0</v>
      </c>
      <c r="AD616" s="3097">
        <v>0</v>
      </c>
      <c r="AE616" s="3097">
        <v>0</v>
      </c>
      <c r="AF616" s="3097">
        <v>0</v>
      </c>
      <c r="AG616" s="2948"/>
      <c r="AH616" s="2939"/>
      <c r="AI616" s="2939"/>
      <c r="AJ616" s="2939"/>
      <c r="AK616" s="2939"/>
      <c r="AL616" s="2939"/>
      <c r="AM616" s="2939"/>
      <c r="AN616" s="2939"/>
      <c r="AO616" s="2939"/>
      <c r="AP616" s="2939"/>
      <c r="AQ616" s="2939"/>
      <c r="AR616" s="2948"/>
      <c r="AS616" s="2948"/>
      <c r="AT616" s="2948"/>
      <c r="BB616" s="3574">
        <v>0</v>
      </c>
      <c r="BC616" s="736" t="str">
        <f t="shared" si="732"/>
        <v/>
      </c>
    </row>
    <row r="617" spans="1:55" customFormat="1">
      <c r="A617" s="701"/>
      <c r="B617" s="1170"/>
      <c r="C617" s="1120"/>
      <c r="D617" s="874" t="s">
        <v>1583</v>
      </c>
      <c r="E617" s="1"/>
      <c r="F617" s="3157"/>
      <c r="G617" s="3158"/>
      <c r="H617" s="3158"/>
      <c r="I617" s="3158"/>
      <c r="J617" s="3158"/>
      <c r="K617" s="3158"/>
      <c r="L617" s="3158"/>
      <c r="M617" s="3158"/>
      <c r="N617" s="3158"/>
      <c r="O617" s="1745"/>
      <c r="P617" s="1745"/>
      <c r="Q617" s="1745"/>
      <c r="R617" s="1745"/>
      <c r="S617" s="1745"/>
      <c r="T617" s="1745"/>
      <c r="U617" s="1745"/>
      <c r="V617" s="1745"/>
      <c r="W617" s="1745"/>
      <c r="X617" s="1745"/>
      <c r="Y617" s="1745"/>
      <c r="Z617" s="1745"/>
      <c r="AA617" s="1745"/>
      <c r="AB617" s="1745"/>
      <c r="AC617" s="1745"/>
      <c r="AD617" s="1745"/>
      <c r="AE617" s="1745"/>
      <c r="AF617" s="1745"/>
      <c r="AG617" s="2948"/>
      <c r="AH617" s="2939"/>
      <c r="AI617" s="2939"/>
      <c r="AJ617" s="2939"/>
      <c r="AK617" s="2939"/>
      <c r="AL617" s="2939"/>
      <c r="AM617" s="2939"/>
      <c r="AN617" s="2939"/>
      <c r="AO617" s="2939"/>
      <c r="AP617" s="2939"/>
      <c r="AQ617" s="2939"/>
      <c r="AR617" s="2948"/>
      <c r="AS617" s="2948"/>
      <c r="AT617" s="2948"/>
      <c r="BB617" s="3466"/>
      <c r="BC617" s="736" t="str">
        <f t="shared" si="732"/>
        <v/>
      </c>
    </row>
    <row r="618" spans="1:55">
      <c r="A618" s="701">
        <f>+ROW(InputY!A277)</f>
        <v>277</v>
      </c>
      <c r="B618" s="1170">
        <v>139</v>
      </c>
      <c r="C618" s="1120"/>
      <c r="D618" s="711" t="s">
        <v>666</v>
      </c>
      <c r="E618" s="1" t="s">
        <v>1087</v>
      </c>
      <c r="F618" s="3157" t="s">
        <v>1089</v>
      </c>
      <c r="G618" s="3158"/>
      <c r="H618" s="3158"/>
      <c r="I618" s="3158"/>
      <c r="J618" s="3158"/>
      <c r="K618" s="3158"/>
      <c r="L618" s="3158"/>
      <c r="M618" s="3158"/>
      <c r="N618" s="3158"/>
      <c r="O618" s="1745">
        <f>+InputY!O277/1000</f>
        <v>0</v>
      </c>
      <c r="P618" s="1745">
        <f>+InputY!P277/1000</f>
        <v>0</v>
      </c>
      <c r="Q618" s="1745">
        <f>+InputY!Q277/1000</f>
        <v>0</v>
      </c>
      <c r="R618" s="1745">
        <f>+InputY!R277/1000</f>
        <v>0</v>
      </c>
      <c r="S618" s="1745">
        <f>+InputY!S277/1000</f>
        <v>0</v>
      </c>
      <c r="T618" s="1745">
        <f>+InputY!T277/1000</f>
        <v>0</v>
      </c>
      <c r="U618" s="1745">
        <f>+InputY!U277/1000</f>
        <v>0</v>
      </c>
      <c r="V618" s="1745">
        <f>+InputY!V277/1000</f>
        <v>0</v>
      </c>
      <c r="W618" s="1745">
        <f>+InputY!W277/1000</f>
        <v>0</v>
      </c>
      <c r="X618" s="1745">
        <f>+InputY!X277/1000</f>
        <v>0</v>
      </c>
      <c r="Y618" s="1745">
        <f>+InputY!Y277/1000</f>
        <v>0</v>
      </c>
      <c r="Z618" s="1745">
        <f>+InputY!Z277/1000</f>
        <v>0</v>
      </c>
      <c r="AA618" s="1745">
        <f>+InputY!AA277/1000</f>
        <v>0</v>
      </c>
      <c r="AB618" s="1745">
        <f>+InputY!AB277/1000</f>
        <v>0</v>
      </c>
      <c r="AC618" s="1745">
        <f>+InputY!AC277/1000</f>
        <v>0</v>
      </c>
      <c r="AD618" s="3159">
        <v>0</v>
      </c>
      <c r="AE618" s="3159">
        <v>0</v>
      </c>
      <c r="AF618" s="3159">
        <v>0</v>
      </c>
      <c r="BB618" s="3575">
        <v>0</v>
      </c>
      <c r="BC618" s="736" t="str">
        <f t="shared" si="732"/>
        <v/>
      </c>
    </row>
    <row r="619" spans="1:55">
      <c r="A619" s="701"/>
      <c r="B619" s="1170"/>
      <c r="C619" s="1121"/>
      <c r="D619" s="3160" t="s">
        <v>472</v>
      </c>
      <c r="E619" s="1374"/>
      <c r="F619" s="1375"/>
      <c r="G619" s="1269"/>
      <c r="H619" s="1269"/>
      <c r="I619" s="1269"/>
      <c r="J619" s="1269"/>
      <c r="K619" s="1269"/>
      <c r="L619" s="1269"/>
      <c r="M619" s="1269"/>
      <c r="N619" s="1269"/>
      <c r="O619" s="1173"/>
      <c r="P619" s="1173"/>
      <c r="Q619" s="1173"/>
      <c r="R619" s="1173"/>
      <c r="S619" s="1173"/>
      <c r="T619" s="1173"/>
      <c r="U619" s="1173"/>
      <c r="V619" s="1173"/>
      <c r="W619" s="1173"/>
      <c r="X619" s="1173"/>
      <c r="Y619" s="1173"/>
      <c r="Z619" s="1173"/>
      <c r="AA619" s="1173"/>
      <c r="AB619" s="1173"/>
      <c r="AC619" s="1173"/>
      <c r="AD619" s="1173"/>
      <c r="AE619" s="1173"/>
      <c r="AF619" s="1173"/>
      <c r="BB619" s="3570"/>
      <c r="BC619" s="736" t="str">
        <f t="shared" si="732"/>
        <v/>
      </c>
    </row>
    <row r="620" spans="1:55" s="1" customFormat="1" ht="12.75">
      <c r="A620" s="701"/>
      <c r="B620" s="2266"/>
      <c r="C620" s="747"/>
      <c r="D620" s="2267" t="s">
        <v>666</v>
      </c>
      <c r="E620" s="1100" t="s">
        <v>988</v>
      </c>
      <c r="F620" s="2268" t="s">
        <v>989</v>
      </c>
      <c r="G620" s="1101"/>
      <c r="H620" s="1101"/>
      <c r="I620" s="1101"/>
      <c r="J620" s="1101"/>
      <c r="K620" s="1101"/>
      <c r="L620" s="1101"/>
      <c r="M620" s="1101"/>
      <c r="N620" s="1101"/>
      <c r="O620" s="1101">
        <f t="shared" ref="O620:AA620" si="797">+O616+O618</f>
        <v>0</v>
      </c>
      <c r="P620" s="1101">
        <f t="shared" si="797"/>
        <v>0</v>
      </c>
      <c r="Q620" s="1101">
        <f t="shared" si="797"/>
        <v>0</v>
      </c>
      <c r="R620" s="1101">
        <f t="shared" si="797"/>
        <v>0</v>
      </c>
      <c r="S620" s="1101">
        <f t="shared" si="797"/>
        <v>0</v>
      </c>
      <c r="T620" s="1101">
        <f t="shared" si="797"/>
        <v>0</v>
      </c>
      <c r="U620" s="1101">
        <f t="shared" si="797"/>
        <v>0</v>
      </c>
      <c r="V620" s="1101">
        <f t="shared" si="797"/>
        <v>0</v>
      </c>
      <c r="W620" s="1101">
        <f t="shared" si="797"/>
        <v>0</v>
      </c>
      <c r="X620" s="1101">
        <f t="shared" si="797"/>
        <v>0</v>
      </c>
      <c r="Y620" s="1101">
        <f t="shared" si="797"/>
        <v>0</v>
      </c>
      <c r="Z620" s="1101">
        <f t="shared" si="797"/>
        <v>0</v>
      </c>
      <c r="AA620" s="1101">
        <f t="shared" si="797"/>
        <v>0</v>
      </c>
      <c r="AB620" s="1101">
        <f t="shared" ref="AB620" si="798">+AB616+AB618</f>
        <v>0</v>
      </c>
      <c r="AC620" s="1101">
        <f>+AC616+AC618</f>
        <v>0</v>
      </c>
      <c r="AD620" s="1101">
        <f>+AD616+AD618</f>
        <v>0</v>
      </c>
      <c r="AE620" s="1101">
        <f>+AE616+AE618</f>
        <v>0</v>
      </c>
      <c r="AF620" s="1101">
        <f>+AF616+AF618</f>
        <v>0</v>
      </c>
      <c r="AG620" s="2950"/>
      <c r="AH620" s="2939"/>
      <c r="AI620" s="2939"/>
      <c r="AJ620" s="2939"/>
      <c r="AK620" s="2939"/>
      <c r="AL620" s="2939"/>
      <c r="AM620" s="2939"/>
      <c r="AN620" s="2939"/>
      <c r="AO620" s="2939"/>
      <c r="AP620" s="2939"/>
      <c r="AQ620" s="2939"/>
      <c r="AR620" s="2950"/>
      <c r="AS620" s="2950"/>
      <c r="AT620" s="2950"/>
      <c r="BB620" s="3576">
        <v>0</v>
      </c>
      <c r="BC620" s="736" t="str">
        <f t="shared" si="732"/>
        <v/>
      </c>
    </row>
    <row r="621" spans="1:55" customFormat="1">
      <c r="A621" s="701"/>
      <c r="B621" s="1170"/>
      <c r="C621" s="747"/>
      <c r="D621" s="1493"/>
      <c r="E621" s="50" t="s">
        <v>236</v>
      </c>
      <c r="F621" s="1494"/>
      <c r="G621" s="1495"/>
      <c r="H621" s="1495"/>
      <c r="I621" s="1495"/>
      <c r="J621" s="1495"/>
      <c r="K621" s="1495"/>
      <c r="L621" s="1495"/>
      <c r="M621" s="1495"/>
      <c r="N621" s="1495"/>
      <c r="O621" s="1482">
        <f>+O620/'VVP2'!O$341</f>
        <v>0</v>
      </c>
      <c r="P621" s="1482">
        <f>+P620/'VVP2'!P$341</f>
        <v>0</v>
      </c>
      <c r="Q621" s="1482">
        <f>+Q620/'VVP2'!Q$341</f>
        <v>0</v>
      </c>
      <c r="R621" s="1482">
        <f>+R620/'VVP2'!R$341</f>
        <v>0</v>
      </c>
      <c r="S621" s="1482">
        <f>+S620/'VVP2'!S$341</f>
        <v>0</v>
      </c>
      <c r="T621" s="1482">
        <f>+T620/'VVP2'!T$341</f>
        <v>0</v>
      </c>
      <c r="U621" s="1482">
        <f>+U620/'VVP2'!U$341</f>
        <v>0</v>
      </c>
      <c r="V621" s="1482">
        <f>+V620/'VVP2'!V$341</f>
        <v>0</v>
      </c>
      <c r="W621" s="1482">
        <f>+W620/'VVP2'!W$341</f>
        <v>0</v>
      </c>
      <c r="X621" s="2370">
        <f>+X620/'VVP2'!X$341</f>
        <v>0</v>
      </c>
      <c r="Y621" s="2370">
        <f>+Y620/'VVP2'!Y$341</f>
        <v>0</v>
      </c>
      <c r="Z621" s="2370">
        <f>+Z620/'VVP2'!Z$341</f>
        <v>0</v>
      </c>
      <c r="AA621" s="2370">
        <f>+AA620/'VVP2'!AA$341</f>
        <v>0</v>
      </c>
      <c r="AB621" s="2370">
        <f>+AB620/'VVP2'!AB$341</f>
        <v>0</v>
      </c>
      <c r="AC621" s="2370">
        <f>+AC620/'VVP2'!AC$341</f>
        <v>0</v>
      </c>
      <c r="AD621" s="2370">
        <f ca="1">+AD620/'VVP2'!AD$341</f>
        <v>0</v>
      </c>
      <c r="AE621" s="2370">
        <f ca="1">+AE620/'VVP2'!AE$341</f>
        <v>0</v>
      </c>
      <c r="AF621" s="2370">
        <f ca="1">+AF620/'VVP2'!AF$341</f>
        <v>0</v>
      </c>
      <c r="AG621" s="2948"/>
      <c r="AH621" s="2939"/>
      <c r="AI621" s="2939"/>
      <c r="AJ621" s="2939"/>
      <c r="AK621" s="2939"/>
      <c r="AL621" s="2939"/>
      <c r="AM621" s="2939"/>
      <c r="AN621" s="2939"/>
      <c r="AO621" s="2939"/>
      <c r="AP621" s="2939"/>
      <c r="AQ621" s="2939"/>
      <c r="AR621" s="2948"/>
      <c r="AS621" s="2948"/>
      <c r="AT621" s="2948"/>
      <c r="BB621" s="3556">
        <v>0</v>
      </c>
      <c r="BC621" s="736" t="str">
        <f t="shared" si="732"/>
        <v/>
      </c>
    </row>
    <row r="622" spans="1:55" ht="30" customHeight="1">
      <c r="F622" s="1063"/>
      <c r="BC622" s="736" t="str">
        <f t="shared" si="732"/>
        <v/>
      </c>
    </row>
    <row r="623" spans="1:55" ht="12.75" customHeight="1">
      <c r="B623" s="701"/>
      <c r="C623" s="811"/>
      <c r="D623" s="812"/>
      <c r="E623" s="813" t="s">
        <v>1431</v>
      </c>
      <c r="F623" s="814"/>
      <c r="G623" s="815">
        <f>+InputY!$G$3</f>
        <v>1995</v>
      </c>
      <c r="H623" s="815">
        <f>+G623+1</f>
        <v>1996</v>
      </c>
      <c r="I623" s="815">
        <f t="shared" ref="I623:O623" si="799">+H623+1</f>
        <v>1997</v>
      </c>
      <c r="J623" s="815">
        <f t="shared" si="799"/>
        <v>1998</v>
      </c>
      <c r="K623" s="815">
        <f t="shared" si="799"/>
        <v>1999</v>
      </c>
      <c r="L623" s="815">
        <f t="shared" si="799"/>
        <v>2000</v>
      </c>
      <c r="M623" s="815">
        <f t="shared" si="799"/>
        <v>2001</v>
      </c>
      <c r="N623" s="815">
        <f t="shared" si="799"/>
        <v>2002</v>
      </c>
      <c r="O623" s="815">
        <f t="shared" si="799"/>
        <v>2003</v>
      </c>
      <c r="P623" s="815">
        <f>+O623+1</f>
        <v>2004</v>
      </c>
      <c r="Q623" s="815">
        <f>+P623+1</f>
        <v>2005</v>
      </c>
      <c r="R623" s="815">
        <f>+Q623+1</f>
        <v>2006</v>
      </c>
      <c r="S623" s="815">
        <f>+R623+1</f>
        <v>2007</v>
      </c>
      <c r="T623" s="815">
        <f t="shared" ref="T623:AF623" si="800">+S623+1</f>
        <v>2008</v>
      </c>
      <c r="U623" s="815">
        <f t="shared" si="800"/>
        <v>2009</v>
      </c>
      <c r="V623" s="815">
        <f t="shared" si="800"/>
        <v>2010</v>
      </c>
      <c r="W623" s="815">
        <f t="shared" si="800"/>
        <v>2011</v>
      </c>
      <c r="X623" s="2285">
        <f t="shared" si="800"/>
        <v>2012</v>
      </c>
      <c r="Y623" s="2285">
        <f t="shared" si="800"/>
        <v>2013</v>
      </c>
      <c r="Z623" s="2285">
        <f t="shared" si="800"/>
        <v>2014</v>
      </c>
      <c r="AA623" s="2285">
        <f t="shared" si="800"/>
        <v>2015</v>
      </c>
      <c r="AB623" s="2285">
        <f t="shared" si="800"/>
        <v>2016</v>
      </c>
      <c r="AC623" s="2285">
        <f t="shared" si="800"/>
        <v>2017</v>
      </c>
      <c r="AD623" s="2285">
        <f t="shared" si="800"/>
        <v>2018</v>
      </c>
      <c r="AE623" s="2285">
        <f t="shared" si="800"/>
        <v>2019</v>
      </c>
      <c r="AF623" s="2285">
        <f t="shared" si="800"/>
        <v>2020</v>
      </c>
      <c r="AN623" s="2942"/>
      <c r="AO623" s="2942"/>
      <c r="AP623" s="2942"/>
      <c r="AQ623" s="2942"/>
      <c r="BB623" s="3470">
        <v>2016</v>
      </c>
      <c r="BC623" s="736" t="str">
        <f t="shared" si="732"/>
        <v/>
      </c>
    </row>
    <row r="624" spans="1:55" ht="12.75" customHeight="1">
      <c r="B624" s="701"/>
      <c r="C624" s="816" t="s">
        <v>1791</v>
      </c>
      <c r="D624" s="705" t="s">
        <v>666</v>
      </c>
      <c r="E624" s="817" t="s">
        <v>1879</v>
      </c>
      <c r="F624" s="738" t="s">
        <v>149</v>
      </c>
      <c r="G624" s="817">
        <f t="shared" ref="G624:AA624" si="801">+G13</f>
        <v>404.96</v>
      </c>
      <c r="H624" s="817">
        <f t="shared" si="801"/>
        <v>431.98200000000003</v>
      </c>
      <c r="I624" s="817">
        <f t="shared" si="801"/>
        <v>443.03199999999998</v>
      </c>
      <c r="J624" s="817">
        <f t="shared" si="801"/>
        <v>516.15</v>
      </c>
      <c r="K624" s="817">
        <f t="shared" si="801"/>
        <v>539.94200000000001</v>
      </c>
      <c r="L624" s="817">
        <f t="shared" si="801"/>
        <v>539.38</v>
      </c>
      <c r="M624" s="817">
        <f t="shared" si="801"/>
        <v>564.16200000000003</v>
      </c>
      <c r="N624" s="817">
        <f t="shared" si="801"/>
        <v>590.83000000000004</v>
      </c>
      <c r="O624" s="817">
        <f t="shared" si="801"/>
        <v>610.88400000000001</v>
      </c>
      <c r="P624" s="817">
        <f t="shared" si="801"/>
        <v>626.78200000000004</v>
      </c>
      <c r="Q624" s="817">
        <f t="shared" si="801"/>
        <v>654.80100000000004</v>
      </c>
      <c r="R624" s="817">
        <f t="shared" si="801"/>
        <v>683.34</v>
      </c>
      <c r="S624" s="817">
        <f t="shared" si="801"/>
        <v>724.72799999999995</v>
      </c>
      <c r="T624" s="817">
        <f t="shared" si="801"/>
        <v>756.89200000000005</v>
      </c>
      <c r="U624" s="817">
        <f t="shared" si="801"/>
        <v>744.47500000000002</v>
      </c>
      <c r="V624" s="817">
        <f t="shared" si="801"/>
        <v>781.73199999999997</v>
      </c>
      <c r="W624" s="817">
        <f t="shared" si="801"/>
        <v>801.84299999999996</v>
      </c>
      <c r="X624" s="817">
        <f t="shared" si="801"/>
        <v>817.1</v>
      </c>
      <c r="Y624" s="817">
        <f t="shared" si="801"/>
        <v>835.00699999999995</v>
      </c>
      <c r="Z624" s="3390">
        <f t="shared" si="801"/>
        <v>859.7</v>
      </c>
      <c r="AA624" s="3390">
        <f t="shared" si="801"/>
        <v>915.92399999999998</v>
      </c>
      <c r="AB624" s="3390">
        <f t="shared" ref="AB624:AC624" si="802">+AB13</f>
        <v>987.44100000000003</v>
      </c>
      <c r="AC624" s="3390">
        <f t="shared" si="802"/>
        <v>1031.5340000000001</v>
      </c>
      <c r="AD624" s="2335">
        <f ca="1">+AD13</f>
        <v>1075.2026598248071</v>
      </c>
      <c r="AE624" s="2335">
        <f ca="1">+AE13</f>
        <v>1112.8032004969793</v>
      </c>
      <c r="AF624" s="2335">
        <f ca="1">+AF13</f>
        <v>1151.7498222449526</v>
      </c>
      <c r="AH624" s="2942"/>
      <c r="AI624" s="2942"/>
      <c r="AJ624" s="2942"/>
      <c r="AK624" s="2942"/>
      <c r="AL624" s="2942"/>
      <c r="AM624" s="2942"/>
      <c r="AN624" s="2950"/>
      <c r="AO624" s="2950"/>
      <c r="AP624" s="2950"/>
      <c r="AQ624" s="2950"/>
      <c r="BB624" s="3577">
        <v>988.40200000000004</v>
      </c>
      <c r="BC624" s="736" t="str">
        <f t="shared" si="732"/>
        <v/>
      </c>
    </row>
    <row r="625" spans="1:55" ht="12.75" customHeight="1">
      <c r="B625" s="701"/>
      <c r="C625" s="819" t="s">
        <v>1791</v>
      </c>
      <c r="D625" s="711" t="s">
        <v>666</v>
      </c>
      <c r="E625" s="743" t="s">
        <v>820</v>
      </c>
      <c r="F625" s="741" t="s">
        <v>151</v>
      </c>
      <c r="G625" s="743">
        <f t="shared" ref="G625:Z625" si="803">+G203</f>
        <v>355.3</v>
      </c>
      <c r="H625" s="743">
        <f t="shared" si="803"/>
        <v>381.87200000000001</v>
      </c>
      <c r="I625" s="743">
        <f t="shared" si="803"/>
        <v>406.327</v>
      </c>
      <c r="J625" s="743">
        <f t="shared" si="803"/>
        <v>422.63600000000002</v>
      </c>
      <c r="K625" s="743">
        <f t="shared" si="803"/>
        <v>461.70800000000003</v>
      </c>
      <c r="L625" s="743">
        <f t="shared" si="803"/>
        <v>508.77199999999999</v>
      </c>
      <c r="M625" s="743">
        <f t="shared" si="803"/>
        <v>485.786</v>
      </c>
      <c r="N625" s="743">
        <f t="shared" si="803"/>
        <v>474.77600000000001</v>
      </c>
      <c r="O625" s="743">
        <f t="shared" si="803"/>
        <v>510.32100000000003</v>
      </c>
      <c r="P625" s="743">
        <f t="shared" si="803"/>
        <v>554.11599999999999</v>
      </c>
      <c r="Q625" s="743">
        <f t="shared" si="803"/>
        <v>608.39700000000005</v>
      </c>
      <c r="R625" s="743">
        <f t="shared" si="803"/>
        <v>653.79200000000003</v>
      </c>
      <c r="S625" s="743">
        <f t="shared" si="803"/>
        <v>664.21500000000003</v>
      </c>
      <c r="T625" s="743">
        <f t="shared" si="803"/>
        <v>635.04</v>
      </c>
      <c r="U625" s="743">
        <f t="shared" si="803"/>
        <v>608.34299999999996</v>
      </c>
      <c r="V625" s="743">
        <f t="shared" si="803"/>
        <v>639.57100000000003</v>
      </c>
      <c r="W625" s="743">
        <f t="shared" si="803"/>
        <v>645.03899999999999</v>
      </c>
      <c r="X625" s="743">
        <f t="shared" si="803"/>
        <v>642.23</v>
      </c>
      <c r="Y625" s="743">
        <f t="shared" si="803"/>
        <v>670.59799999999996</v>
      </c>
      <c r="Z625" s="2281">
        <f t="shared" si="803"/>
        <v>701.28700000000003</v>
      </c>
      <c r="AA625" s="2281">
        <f t="shared" ref="AA625" si="804">+AA203</f>
        <v>771.37699999999995</v>
      </c>
      <c r="AB625" s="2281">
        <f t="shared" ref="AB625:AC625" si="805">+AB203</f>
        <v>824.66399999999999</v>
      </c>
      <c r="AC625" s="2281">
        <f t="shared" si="805"/>
        <v>867.20799999999997</v>
      </c>
      <c r="AD625" s="2333">
        <f>+AD203</f>
        <v>895.41504268260928</v>
      </c>
      <c r="AE625" s="2333">
        <f>+AE203</f>
        <v>923.42297259148313</v>
      </c>
      <c r="AF625" s="2333">
        <f>+AF203</f>
        <v>949.63343995066862</v>
      </c>
      <c r="AH625" s="2950"/>
      <c r="AI625" s="2950"/>
      <c r="AJ625" s="2950"/>
      <c r="AK625" s="2950"/>
      <c r="AL625" s="2950"/>
      <c r="AM625" s="2950"/>
      <c r="AN625" s="2947"/>
      <c r="AO625" s="2947"/>
      <c r="AP625" s="2947"/>
      <c r="AQ625" s="2947"/>
      <c r="BB625" s="3521">
        <v>808.34400000000005</v>
      </c>
      <c r="BC625" s="736">
        <f t="shared" si="732"/>
        <v>16.319999999999936</v>
      </c>
    </row>
    <row r="626" spans="1:55" ht="12.75" customHeight="1">
      <c r="B626" s="701"/>
      <c r="C626" s="819" t="s">
        <v>1791</v>
      </c>
      <c r="D626" s="711" t="s">
        <v>666</v>
      </c>
      <c r="E626" s="743" t="s">
        <v>821</v>
      </c>
      <c r="F626" s="741" t="s">
        <v>153</v>
      </c>
      <c r="G626" s="743">
        <f t="shared" ref="G626:Z626" si="806">+G253</f>
        <v>112.032</v>
      </c>
      <c r="H626" s="743">
        <f t="shared" si="806"/>
        <v>125.264</v>
      </c>
      <c r="I626" s="743">
        <f t="shared" si="806"/>
        <v>136.75800000000001</v>
      </c>
      <c r="J626" s="743">
        <f t="shared" si="806"/>
        <v>100.476</v>
      </c>
      <c r="K626" s="743">
        <f t="shared" si="806"/>
        <v>100.72800000000001</v>
      </c>
      <c r="L626" s="743">
        <f t="shared" si="806"/>
        <v>122.01700000000001</v>
      </c>
      <c r="M626" s="743">
        <f t="shared" si="806"/>
        <v>115.65899999999999</v>
      </c>
      <c r="N626" s="743">
        <f t="shared" si="806"/>
        <v>101.64</v>
      </c>
      <c r="O626" s="743">
        <f t="shared" si="806"/>
        <v>104.901</v>
      </c>
      <c r="P626" s="743">
        <f t="shared" si="806"/>
        <v>107.58499999999999</v>
      </c>
      <c r="Q626" s="743">
        <f t="shared" si="806"/>
        <v>102.31699999999999</v>
      </c>
      <c r="R626" s="743">
        <f t="shared" si="806"/>
        <v>97.768000000000001</v>
      </c>
      <c r="S626" s="743">
        <f t="shared" si="806"/>
        <v>105.70400000000001</v>
      </c>
      <c r="T626" s="743">
        <f t="shared" si="806"/>
        <v>111.691</v>
      </c>
      <c r="U626" s="743">
        <f t="shared" si="806"/>
        <v>111.64400000000001</v>
      </c>
      <c r="V626" s="743">
        <f t="shared" si="806"/>
        <v>113.916</v>
      </c>
      <c r="W626" s="743">
        <f t="shared" si="806"/>
        <v>123.47500000000001</v>
      </c>
      <c r="X626" s="743">
        <f t="shared" si="806"/>
        <v>124.541</v>
      </c>
      <c r="Y626" s="743">
        <f t="shared" si="806"/>
        <v>128.04300000000001</v>
      </c>
      <c r="Z626" s="2281">
        <f t="shared" si="806"/>
        <v>132.084</v>
      </c>
      <c r="AA626" s="2281">
        <f t="shared" ref="AA626" si="807">+AA253</f>
        <v>139.16200000000001</v>
      </c>
      <c r="AB626" s="2281">
        <f t="shared" ref="AB626:AC626" si="808">+AB253</f>
        <v>145.68199999999999</v>
      </c>
      <c r="AC626" s="2281">
        <f t="shared" si="808"/>
        <v>153.01</v>
      </c>
      <c r="AD626" s="2333">
        <f>+AD253</f>
        <v>159.91670808965222</v>
      </c>
      <c r="AE626" s="2333">
        <f>+AE253</f>
        <v>166.53136532795457</v>
      </c>
      <c r="AF626" s="2333">
        <f>+AF253</f>
        <v>172.79813185204455</v>
      </c>
      <c r="AH626" s="2947"/>
      <c r="AI626" s="2947"/>
      <c r="AJ626" s="2947"/>
      <c r="AK626" s="2947"/>
      <c r="AL626" s="2947"/>
      <c r="AM626" s="2947"/>
      <c r="BB626" s="3521">
        <v>162.37700000000001</v>
      </c>
      <c r="BC626" s="736">
        <f t="shared" si="732"/>
        <v>-16.695000000000022</v>
      </c>
    </row>
    <row r="627" spans="1:55" ht="12.75" customHeight="1">
      <c r="B627" s="701"/>
      <c r="C627" s="819" t="s">
        <v>1791</v>
      </c>
      <c r="D627" s="711" t="s">
        <v>666</v>
      </c>
      <c r="E627" s="743" t="s">
        <v>844</v>
      </c>
      <c r="F627" s="741"/>
      <c r="G627" s="743">
        <f t="shared" ref="G627:Z627" si="809">+G424</f>
        <v>99.341999999999999</v>
      </c>
      <c r="H627" s="743">
        <f t="shared" si="809"/>
        <v>98.44</v>
      </c>
      <c r="I627" s="743">
        <f t="shared" si="809"/>
        <v>97.498000000000005</v>
      </c>
      <c r="J627" s="743">
        <f t="shared" si="809"/>
        <v>102.124</v>
      </c>
      <c r="K627" s="743">
        <f t="shared" si="809"/>
        <v>97.052000000000007</v>
      </c>
      <c r="L627" s="743">
        <f t="shared" si="809"/>
        <v>101.024</v>
      </c>
      <c r="M627" s="743">
        <f t="shared" si="809"/>
        <v>109.07899999999999</v>
      </c>
      <c r="N627" s="743">
        <f t="shared" si="809"/>
        <v>111.166</v>
      </c>
      <c r="O627" s="743">
        <f t="shared" si="809"/>
        <v>115.682</v>
      </c>
      <c r="P627" s="743">
        <f t="shared" si="809"/>
        <v>122.16</v>
      </c>
      <c r="Q627" s="743">
        <f t="shared" si="809"/>
        <v>125.836</v>
      </c>
      <c r="R627" s="743">
        <f t="shared" si="809"/>
        <v>129.69</v>
      </c>
      <c r="S627" s="743">
        <f t="shared" si="809"/>
        <v>137.34700000000001</v>
      </c>
      <c r="T627" s="743">
        <f t="shared" si="809"/>
        <v>145.72399999999999</v>
      </c>
      <c r="U627" s="743">
        <f t="shared" si="809"/>
        <v>146.678</v>
      </c>
      <c r="V627" s="743">
        <f t="shared" si="809"/>
        <v>152.06100000000001</v>
      </c>
      <c r="W627" s="743">
        <f t="shared" si="809"/>
        <v>154.52799999999999</v>
      </c>
      <c r="X627" s="743">
        <f t="shared" si="809"/>
        <v>156.209</v>
      </c>
      <c r="Y627" s="743">
        <f t="shared" si="809"/>
        <v>158.035</v>
      </c>
      <c r="Z627" s="2281">
        <f t="shared" si="809"/>
        <v>161.166</v>
      </c>
      <c r="AA627" s="2281">
        <f t="shared" ref="AA627" si="810">+AA424</f>
        <v>163.46100000000001</v>
      </c>
      <c r="AB627" s="2281">
        <f t="shared" ref="AB627:AC627" si="811">+AB424</f>
        <v>166.69399999999999</v>
      </c>
      <c r="AC627" s="2281">
        <f t="shared" si="811"/>
        <v>170.84399999999999</v>
      </c>
      <c r="AD627" s="2333">
        <f>+AD424</f>
        <v>175.96932000000001</v>
      </c>
      <c r="AE627" s="2333">
        <f>+AE424</f>
        <v>181.24839960000003</v>
      </c>
      <c r="AF627" s="2333">
        <f>+AF424</f>
        <v>186.68585158800002</v>
      </c>
      <c r="BB627" s="3521">
        <v>170.26599999999999</v>
      </c>
      <c r="BC627" s="736">
        <f t="shared" si="732"/>
        <v>-3.5720000000000027</v>
      </c>
    </row>
    <row r="628" spans="1:55" ht="12.75" customHeight="1">
      <c r="B628" s="701"/>
      <c r="C628" s="819" t="s">
        <v>1791</v>
      </c>
      <c r="D628" s="711" t="s">
        <v>666</v>
      </c>
      <c r="E628" s="743" t="s">
        <v>1394</v>
      </c>
      <c r="F628" s="741" t="s">
        <v>452</v>
      </c>
      <c r="G628" s="743">
        <f>+G748</f>
        <v>88.454999999999998</v>
      </c>
      <c r="H628" s="743">
        <f t="shared" ref="H628:Q628" si="812">+H748</f>
        <v>85.831999999999994</v>
      </c>
      <c r="I628" s="743">
        <f t="shared" si="812"/>
        <v>77.025999999999996</v>
      </c>
      <c r="J628" s="743">
        <f t="shared" si="812"/>
        <v>80.839999999999989</v>
      </c>
      <c r="K628" s="743">
        <f t="shared" si="812"/>
        <v>73.117000000000004</v>
      </c>
      <c r="L628" s="743">
        <f>+L748</f>
        <v>70.709000000000003</v>
      </c>
      <c r="M628" s="743">
        <f>+M748</f>
        <v>63.176000000000002</v>
      </c>
      <c r="N628" s="743">
        <f t="shared" si="812"/>
        <v>64.686999999999998</v>
      </c>
      <c r="O628" s="743">
        <f t="shared" si="812"/>
        <v>65.953000000000003</v>
      </c>
      <c r="P628" s="743">
        <f t="shared" si="812"/>
        <v>64.932000000000002</v>
      </c>
      <c r="Q628" s="743">
        <f t="shared" si="812"/>
        <v>78.156000000000006</v>
      </c>
      <c r="R628" s="743">
        <f t="shared" ref="R628:W628" si="813">+R748</f>
        <v>81.650000000000006</v>
      </c>
      <c r="S628" s="743">
        <f t="shared" si="813"/>
        <v>101.85399999999998</v>
      </c>
      <c r="T628" s="743">
        <f t="shared" si="813"/>
        <v>108.235</v>
      </c>
      <c r="U628" s="743">
        <f t="shared" si="813"/>
        <v>96.896000000000001</v>
      </c>
      <c r="V628" s="743">
        <f t="shared" si="813"/>
        <v>97.058999999999997</v>
      </c>
      <c r="W628" s="743">
        <f t="shared" si="813"/>
        <v>103.709</v>
      </c>
      <c r="X628" s="743">
        <f t="shared" ref="X628:Z628" si="814">+X748</f>
        <v>102.892</v>
      </c>
      <c r="Y628" s="743">
        <f t="shared" si="814"/>
        <v>103.756</v>
      </c>
      <c r="Z628" s="2281">
        <f t="shared" si="814"/>
        <v>92.15</v>
      </c>
      <c r="AA628" s="2281">
        <f t="shared" ref="AA628" si="815">+AA748</f>
        <v>91.174999999999997</v>
      </c>
      <c r="AB628" s="2281">
        <f t="shared" ref="AB628:AC628" si="816">+AB748</f>
        <v>96.41</v>
      </c>
      <c r="AC628" s="2281">
        <f t="shared" si="816"/>
        <v>98.6</v>
      </c>
      <c r="AD628" s="2333">
        <f t="shared" ref="AD628:AE628" si="817">+AD748</f>
        <v>97.593119999999999</v>
      </c>
      <c r="AE628" s="2333">
        <f t="shared" si="817"/>
        <v>96.492900349999985</v>
      </c>
      <c r="AF628" s="2333">
        <f t="shared" ref="AF628" si="818">+AF748</f>
        <v>95.424321194249984</v>
      </c>
      <c r="BB628" s="3521">
        <v>97.645999999999987</v>
      </c>
      <c r="BC628" s="736">
        <f t="shared" si="732"/>
        <v>-1.23599999999999</v>
      </c>
    </row>
    <row r="629" spans="1:55" ht="12.75" customHeight="1">
      <c r="B629" s="701"/>
      <c r="C629" s="819" t="s">
        <v>1793</v>
      </c>
      <c r="D629" s="783" t="s">
        <v>666</v>
      </c>
      <c r="E629" s="836" t="s">
        <v>649</v>
      </c>
      <c r="F629" s="785" t="s">
        <v>1541</v>
      </c>
      <c r="G629" s="836">
        <f t="shared" ref="G629:V629" si="819">+G624+G625+G626+G627+G628</f>
        <v>1060.0889999999999</v>
      </c>
      <c r="H629" s="836">
        <f t="shared" si="819"/>
        <v>1123.3899999999999</v>
      </c>
      <c r="I629" s="836">
        <f t="shared" si="819"/>
        <v>1160.6410000000001</v>
      </c>
      <c r="J629" s="836">
        <f t="shared" si="819"/>
        <v>1222.2260000000001</v>
      </c>
      <c r="K629" s="836">
        <f t="shared" si="819"/>
        <v>1272.547</v>
      </c>
      <c r="L629" s="836">
        <f t="shared" si="819"/>
        <v>1341.9020000000003</v>
      </c>
      <c r="M629" s="836">
        <f t="shared" si="819"/>
        <v>1337.8619999999999</v>
      </c>
      <c r="N629" s="836">
        <f t="shared" si="819"/>
        <v>1343.0989999999999</v>
      </c>
      <c r="O629" s="836">
        <f t="shared" si="819"/>
        <v>1407.741</v>
      </c>
      <c r="P629" s="836">
        <f t="shared" si="819"/>
        <v>1475.5750000000003</v>
      </c>
      <c r="Q629" s="836">
        <f t="shared" si="819"/>
        <v>1569.5070000000001</v>
      </c>
      <c r="R629" s="836">
        <f t="shared" si="819"/>
        <v>1646.2400000000002</v>
      </c>
      <c r="S629" s="836">
        <f t="shared" si="819"/>
        <v>1733.848</v>
      </c>
      <c r="T629" s="836">
        <f t="shared" si="819"/>
        <v>1757.5819999999999</v>
      </c>
      <c r="U629" s="836">
        <f t="shared" si="819"/>
        <v>1708.0359999999998</v>
      </c>
      <c r="V629" s="836">
        <f t="shared" si="819"/>
        <v>1784.3389999999997</v>
      </c>
      <c r="W629" s="836">
        <f t="shared" ref="W629:AA629" si="820">+W624+W625+W626+W627+W628</f>
        <v>1828.5940000000001</v>
      </c>
      <c r="X629" s="836">
        <f t="shared" si="820"/>
        <v>1842.972</v>
      </c>
      <c r="Y629" s="836">
        <f t="shared" si="820"/>
        <v>1895.4390000000003</v>
      </c>
      <c r="Z629" s="3401">
        <f t="shared" si="820"/>
        <v>1946.3870000000002</v>
      </c>
      <c r="AA629" s="3401">
        <f t="shared" si="820"/>
        <v>2081.0990000000002</v>
      </c>
      <c r="AB629" s="3401">
        <f t="shared" ref="AB629:AC629" si="821">+AB624+AB625+AB626+AB627+AB628</f>
        <v>2220.8910000000001</v>
      </c>
      <c r="AC629" s="3401">
        <f t="shared" si="821"/>
        <v>2321.1960000000004</v>
      </c>
      <c r="AD629" s="2371">
        <f ca="1">+AD624+AD625+AD626+AD627+AD628</f>
        <v>2404.0968505970686</v>
      </c>
      <c r="AE629" s="2371">
        <f ca="1">+AE624+AE625+AE626+AE627+AE628</f>
        <v>2480.4988383664172</v>
      </c>
      <c r="AF629" s="2371">
        <f ca="1">+AF624+AF625+AF626+AF627+AF628</f>
        <v>2556.2915668299156</v>
      </c>
      <c r="BB629" s="3578">
        <v>2227.0350000000003</v>
      </c>
      <c r="BC629" s="736">
        <f t="shared" si="732"/>
        <v>-6.1440000000002328</v>
      </c>
    </row>
    <row r="630" spans="1:55" s="921" customFormat="1" ht="12.75" customHeight="1">
      <c r="A630" s="700"/>
      <c r="B630" s="701"/>
      <c r="C630" s="879" t="s">
        <v>1791</v>
      </c>
      <c r="D630" s="927" t="s">
        <v>666</v>
      </c>
      <c r="E630" s="1486" t="s">
        <v>1458</v>
      </c>
      <c r="F630" s="1487" t="s">
        <v>650</v>
      </c>
      <c r="G630" s="1486">
        <f t="shared" ref="G630:AA630" si="822">+G483</f>
        <v>4.5259999999999998</v>
      </c>
      <c r="H630" s="1486">
        <f t="shared" si="822"/>
        <v>4.1470000000000002</v>
      </c>
      <c r="I630" s="1486">
        <f t="shared" si="822"/>
        <v>4.5330000000000004</v>
      </c>
      <c r="J630" s="1486">
        <f t="shared" si="822"/>
        <v>4.9880000000000004</v>
      </c>
      <c r="K630" s="1486">
        <f t="shared" si="822"/>
        <v>4.633</v>
      </c>
      <c r="L630" s="1486">
        <f t="shared" si="822"/>
        <v>4.9589999999999996</v>
      </c>
      <c r="M630" s="1486">
        <f t="shared" si="822"/>
        <v>5.266</v>
      </c>
      <c r="N630" s="1486">
        <f t="shared" si="822"/>
        <v>5.7229999999999999</v>
      </c>
      <c r="O630" s="1486">
        <f t="shared" si="822"/>
        <v>5.2670000000000003</v>
      </c>
      <c r="P630" s="1486">
        <f t="shared" si="822"/>
        <v>5.43</v>
      </c>
      <c r="Q630" s="1486">
        <f t="shared" si="822"/>
        <v>6.4560000000000004</v>
      </c>
      <c r="R630" s="1486">
        <f t="shared" si="822"/>
        <v>3.9620000000000002</v>
      </c>
      <c r="S630" s="1486">
        <f t="shared" si="822"/>
        <v>3.544</v>
      </c>
      <c r="T630" s="1486">
        <f t="shared" si="822"/>
        <v>3.1019999999999999</v>
      </c>
      <c r="U630" s="1486">
        <f t="shared" si="822"/>
        <v>3.3210000000000002</v>
      </c>
      <c r="V630" s="1486">
        <f t="shared" si="822"/>
        <v>3.1539999999999999</v>
      </c>
      <c r="W630" s="1486">
        <f t="shared" si="822"/>
        <v>3.7669999999999999</v>
      </c>
      <c r="X630" s="1486">
        <f t="shared" si="822"/>
        <v>13.965</v>
      </c>
      <c r="Y630" s="1486">
        <f t="shared" si="822"/>
        <v>13.6</v>
      </c>
      <c r="Z630" s="3402">
        <f t="shared" si="822"/>
        <v>5.3380000000000001</v>
      </c>
      <c r="AA630" s="3402">
        <f t="shared" si="822"/>
        <v>11.038</v>
      </c>
      <c r="AB630" s="3402">
        <f t="shared" ref="AB630:AC630" si="823">+AB483</f>
        <v>6.883</v>
      </c>
      <c r="AC630" s="3402">
        <f t="shared" si="823"/>
        <v>7.5030000000000001</v>
      </c>
      <c r="AD630" s="2372">
        <f>+AD483</f>
        <v>6.0999999999999988</v>
      </c>
      <c r="AE630" s="2372">
        <f>+AE483</f>
        <v>6.2219999999999986</v>
      </c>
      <c r="AF630" s="2372">
        <f>+AF483</f>
        <v>6.3153299999999977</v>
      </c>
      <c r="AG630" s="2942"/>
      <c r="AH630" s="2939"/>
      <c r="AI630" s="2939"/>
      <c r="AJ630" s="2939"/>
      <c r="AK630" s="2939"/>
      <c r="AL630" s="2939"/>
      <c r="AM630" s="2939"/>
      <c r="AN630" s="2939"/>
      <c r="AO630" s="2939"/>
      <c r="AP630" s="2939"/>
      <c r="AQ630" s="2939"/>
      <c r="AR630" s="2942"/>
      <c r="AS630" s="2942"/>
      <c r="AT630" s="2942"/>
      <c r="BB630" s="3579">
        <v>7.1280000000000001</v>
      </c>
      <c r="BC630" s="736" t="str">
        <f t="shared" si="732"/>
        <v/>
      </c>
    </row>
    <row r="631" spans="1:55" s="3763" customFormat="1">
      <c r="A631" s="3685">
        <f>+ROW(InputY!A177)</f>
        <v>177</v>
      </c>
      <c r="B631" s="3756"/>
      <c r="C631" s="3757"/>
      <c r="D631" s="3747" t="s">
        <v>666</v>
      </c>
      <c r="E631" s="3758" t="s">
        <v>1979</v>
      </c>
      <c r="F631" s="3759" t="s">
        <v>1411</v>
      </c>
      <c r="G631" s="3760">
        <f>+InputY!G177/1000</f>
        <v>1064.615</v>
      </c>
      <c r="H631" s="3760">
        <f>+InputY!H177/1000</f>
        <v>1127.537</v>
      </c>
      <c r="I631" s="3760">
        <f>+InputY!I177/1000</f>
        <v>1165.174</v>
      </c>
      <c r="J631" s="3760">
        <f>+InputY!J177/1000</f>
        <v>1227.2139999999999</v>
      </c>
      <c r="K631" s="3760">
        <f>+InputY!K177/1000</f>
        <v>1277.18</v>
      </c>
      <c r="L631" s="3760">
        <f>+InputY!L177/1000</f>
        <v>1346.8610000000001</v>
      </c>
      <c r="M631" s="3760">
        <f>+InputY!M177/1000</f>
        <v>1343.1279999999999</v>
      </c>
      <c r="N631" s="3760">
        <f>+InputY!N177/1000</f>
        <v>1348.8219999999999</v>
      </c>
      <c r="O631" s="3760">
        <f>+InputY!O177/1000</f>
        <v>1413.008</v>
      </c>
      <c r="P631" s="3760">
        <f>+InputY!P177/1000</f>
        <v>1481.0050000000001</v>
      </c>
      <c r="Q631" s="3760">
        <f>+InputY!Q177/1000</f>
        <v>1575.963</v>
      </c>
      <c r="R631" s="3760">
        <f>+InputY!R177/1000</f>
        <v>1650.202</v>
      </c>
      <c r="S631" s="3760">
        <f>+InputY!S177/1000</f>
        <v>1737.3920000000001</v>
      </c>
      <c r="T631" s="3760">
        <f>+InputY!T177/1000</f>
        <v>1760.684</v>
      </c>
      <c r="U631" s="3760">
        <f>+InputY!U177/1000</f>
        <v>1711.357</v>
      </c>
      <c r="V631" s="3760">
        <f>+InputY!V177/1000</f>
        <v>1787.4929999999999</v>
      </c>
      <c r="W631" s="3760">
        <f>+InputY!W177/1000</f>
        <v>1832.3610000000001</v>
      </c>
      <c r="X631" s="3760">
        <f>+InputY!X177/1000</f>
        <v>1856.9369999999999</v>
      </c>
      <c r="Y631" s="3760">
        <f>+InputY!Y177/1000</f>
        <v>1909.039</v>
      </c>
      <c r="Z631" s="3760">
        <f>+InputY!Z177/1000</f>
        <v>1951.7249999999999</v>
      </c>
      <c r="AA631" s="3760">
        <f>+InputY!AA177/1000</f>
        <v>2092.1370000000002</v>
      </c>
      <c r="AB631" s="3760">
        <f>+InputY!AB177/1000</f>
        <v>2227.7739999999999</v>
      </c>
      <c r="AC631" s="3760">
        <f>+InputY!AC177/1000</f>
        <v>2328.6990000000001</v>
      </c>
      <c r="AD631" s="3761">
        <f ca="1">+AD629+AD630</f>
        <v>2410.1968505970685</v>
      </c>
      <c r="AE631" s="3761">
        <f ca="1">+AE629+AE630</f>
        <v>2486.7208383664174</v>
      </c>
      <c r="AF631" s="3761">
        <f ca="1">+AF629+AF630</f>
        <v>2562.6068968299155</v>
      </c>
      <c r="AG631" s="3762" t="s">
        <v>2611</v>
      </c>
      <c r="AH631" s="3645"/>
      <c r="AI631" s="3645"/>
      <c r="AJ631" s="3645"/>
      <c r="AK631" s="3645"/>
      <c r="AL631" s="3645"/>
      <c r="AM631" s="3645"/>
      <c r="AN631" s="3645"/>
      <c r="AO631" s="3645"/>
      <c r="AP631" s="3645"/>
      <c r="AQ631" s="3645"/>
      <c r="AR631" s="3762"/>
      <c r="AS631" s="3762"/>
      <c r="AT631" s="3762"/>
      <c r="BB631" s="3764">
        <v>2234.163</v>
      </c>
      <c r="BC631" s="3690">
        <f t="shared" si="732"/>
        <v>-6.3890000000001237</v>
      </c>
    </row>
    <row r="632" spans="1:55" s="2036" customFormat="1" ht="12.75" customHeight="1">
      <c r="A632" s="1036"/>
      <c r="B632" s="1036"/>
      <c r="C632" s="1647"/>
      <c r="D632" s="2035"/>
      <c r="E632" s="2033" t="s">
        <v>90</v>
      </c>
      <c r="F632" s="2034"/>
      <c r="G632" s="2269">
        <f t="shared" ref="G632:P632" si="824">ABS(G631-G630-G629)</f>
        <v>0</v>
      </c>
      <c r="H632" s="2269">
        <f t="shared" si="824"/>
        <v>2.2737367544323206E-13</v>
      </c>
      <c r="I632" s="2269">
        <f t="shared" si="824"/>
        <v>0</v>
      </c>
      <c r="J632" s="2269">
        <f t="shared" si="824"/>
        <v>2.2737367544323206E-13</v>
      </c>
      <c r="K632" s="2269">
        <f t="shared" si="824"/>
        <v>0</v>
      </c>
      <c r="L632" s="2269">
        <f t="shared" si="824"/>
        <v>2.2737367544323206E-13</v>
      </c>
      <c r="M632" s="2269">
        <f t="shared" si="824"/>
        <v>0</v>
      </c>
      <c r="N632" s="2269">
        <f t="shared" si="824"/>
        <v>0</v>
      </c>
      <c r="O632" s="2269">
        <f t="shared" si="824"/>
        <v>0</v>
      </c>
      <c r="P632" s="2269">
        <f t="shared" si="824"/>
        <v>2.2737367544323206E-13</v>
      </c>
      <c r="Q632" s="2269">
        <f t="shared" ref="Q632:V632" si="825">ABS(Q631-Q630-Q629)</f>
        <v>0</v>
      </c>
      <c r="R632" s="2269">
        <f t="shared" si="825"/>
        <v>2.2737367544323206E-13</v>
      </c>
      <c r="S632" s="2269">
        <f t="shared" si="825"/>
        <v>0</v>
      </c>
      <c r="T632" s="2269">
        <f t="shared" si="825"/>
        <v>0</v>
      </c>
      <c r="U632" s="2269">
        <f t="shared" si="825"/>
        <v>2.2737367544323206E-13</v>
      </c>
      <c r="V632" s="2269">
        <f t="shared" si="825"/>
        <v>2.2737367544323206E-13</v>
      </c>
      <c r="W632" s="2269">
        <f t="shared" ref="W632:AA632" si="826">ABS(W631-W630-W629)</f>
        <v>0</v>
      </c>
      <c r="X632" s="3014">
        <f t="shared" si="826"/>
        <v>0</v>
      </c>
      <c r="Y632" s="3014">
        <f t="shared" si="826"/>
        <v>2.2737367544323206E-13</v>
      </c>
      <c r="Z632" s="3014">
        <f t="shared" si="826"/>
        <v>2.2737367544323206E-13</v>
      </c>
      <c r="AA632" s="3014">
        <f t="shared" si="826"/>
        <v>0</v>
      </c>
      <c r="AB632" s="3014">
        <f t="shared" ref="AB632:AC632" si="827">ABS(AB631-AB630-AB629)</f>
        <v>0</v>
      </c>
      <c r="AC632" s="3014">
        <f t="shared" si="827"/>
        <v>4.5474735088646412E-13</v>
      </c>
      <c r="AD632" s="3014">
        <f ca="1">ABS(AD631-AD630-AD629)</f>
        <v>0</v>
      </c>
      <c r="AE632" s="3014">
        <f ca="1">ABS(AE631-AE630-AE629)</f>
        <v>0</v>
      </c>
      <c r="AF632" s="3014">
        <f ca="1">ABS(AF631-AF630-AF629)</f>
        <v>0</v>
      </c>
      <c r="AG632" s="2947"/>
      <c r="AH632" s="2939"/>
      <c r="AI632" s="2939"/>
      <c r="AJ632" s="2939"/>
      <c r="AK632" s="2939"/>
      <c r="AL632" s="2939"/>
      <c r="AM632" s="2939"/>
      <c r="AN632" s="2939"/>
      <c r="AO632" s="2939"/>
      <c r="AP632" s="2939"/>
      <c r="AQ632" s="2939"/>
      <c r="AR632" s="2947"/>
      <c r="AS632" s="2947"/>
      <c r="AT632" s="2947"/>
      <c r="BB632" s="3580">
        <v>4.5474735088646412E-13</v>
      </c>
      <c r="BC632" s="736" t="str">
        <f t="shared" si="732"/>
        <v/>
      </c>
    </row>
    <row r="633" spans="1:55">
      <c r="F633" s="1063"/>
      <c r="Q633" s="736"/>
      <c r="R633" s="736"/>
      <c r="S633" s="736"/>
      <c r="T633" s="736"/>
      <c r="U633" s="736"/>
      <c r="V633" s="736"/>
      <c r="W633" s="736"/>
      <c r="BC633" s="736" t="str">
        <f t="shared" si="732"/>
        <v/>
      </c>
    </row>
    <row r="634" spans="1:55" ht="12.75" customHeight="1">
      <c r="B634" s="701"/>
      <c r="C634" s="811"/>
      <c r="D634" s="895"/>
      <c r="E634" s="896" t="s">
        <v>1665</v>
      </c>
      <c r="F634" s="897"/>
      <c r="G634" s="898">
        <f>+InputY!$G$3</f>
        <v>1995</v>
      </c>
      <c r="H634" s="898">
        <f>+G634+1</f>
        <v>1996</v>
      </c>
      <c r="I634" s="898">
        <f t="shared" ref="I634:O634" si="828">+H634+1</f>
        <v>1997</v>
      </c>
      <c r="J634" s="898">
        <f t="shared" si="828"/>
        <v>1998</v>
      </c>
      <c r="K634" s="898">
        <f t="shared" si="828"/>
        <v>1999</v>
      </c>
      <c r="L634" s="898">
        <f t="shared" si="828"/>
        <v>2000</v>
      </c>
      <c r="M634" s="898">
        <f t="shared" si="828"/>
        <v>2001</v>
      </c>
      <c r="N634" s="898">
        <f t="shared" si="828"/>
        <v>2002</v>
      </c>
      <c r="O634" s="898">
        <f t="shared" si="828"/>
        <v>2003</v>
      </c>
      <c r="P634" s="898">
        <f t="shared" ref="P634:AF634" si="829">+O634+1</f>
        <v>2004</v>
      </c>
      <c r="Q634" s="898">
        <f t="shared" si="829"/>
        <v>2005</v>
      </c>
      <c r="R634" s="898">
        <f t="shared" si="829"/>
        <v>2006</v>
      </c>
      <c r="S634" s="898">
        <f t="shared" si="829"/>
        <v>2007</v>
      </c>
      <c r="T634" s="898">
        <f t="shared" si="829"/>
        <v>2008</v>
      </c>
      <c r="U634" s="898">
        <f t="shared" si="829"/>
        <v>2009</v>
      </c>
      <c r="V634" s="898">
        <f t="shared" si="829"/>
        <v>2010</v>
      </c>
      <c r="W634" s="898">
        <f t="shared" si="829"/>
        <v>2011</v>
      </c>
      <c r="X634" s="2277">
        <f t="shared" si="829"/>
        <v>2012</v>
      </c>
      <c r="Y634" s="2277">
        <f t="shared" si="829"/>
        <v>2013</v>
      </c>
      <c r="Z634" s="2277">
        <f t="shared" si="829"/>
        <v>2014</v>
      </c>
      <c r="AA634" s="2277">
        <f t="shared" si="829"/>
        <v>2015</v>
      </c>
      <c r="AB634" s="2277">
        <f t="shared" si="829"/>
        <v>2016</v>
      </c>
      <c r="AC634" s="2277">
        <f t="shared" si="829"/>
        <v>2017</v>
      </c>
      <c r="AD634" s="2277">
        <f t="shared" si="829"/>
        <v>2018</v>
      </c>
      <c r="AE634" s="2277">
        <f t="shared" si="829"/>
        <v>2019</v>
      </c>
      <c r="AF634" s="2277">
        <f t="shared" si="829"/>
        <v>2020</v>
      </c>
      <c r="AN634" s="2942"/>
      <c r="AO634" s="2942"/>
      <c r="AP634" s="2942"/>
      <c r="AQ634" s="2942"/>
      <c r="BB634" s="3581">
        <v>2016</v>
      </c>
      <c r="BC634" s="736" t="str">
        <f t="shared" si="732"/>
        <v/>
      </c>
    </row>
    <row r="635" spans="1:55" ht="12.75" customHeight="1">
      <c r="B635" s="701"/>
      <c r="C635" s="1934" t="s">
        <v>1791</v>
      </c>
      <c r="D635" s="900" t="s">
        <v>666</v>
      </c>
      <c r="E635" s="1949" t="s">
        <v>1879</v>
      </c>
      <c r="F635" s="902" t="s">
        <v>149</v>
      </c>
      <c r="G635" s="1953">
        <f>+G624/'VVP2'!G$341</f>
        <v>0.21475906425801633</v>
      </c>
      <c r="H635" s="1953">
        <f>+H624/'VVP2'!H$341</f>
        <v>0.22331829663075162</v>
      </c>
      <c r="I635" s="1953">
        <f>+I624/'VVP2'!I$341</f>
        <v>0.21910821977291542</v>
      </c>
      <c r="J635" s="1953">
        <f>+J624/'VVP2'!J$341</f>
        <v>0.24296203268113534</v>
      </c>
      <c r="K635" s="1953">
        <f>+K624/'VVP2'!K$341</f>
        <v>0.24098389117426661</v>
      </c>
      <c r="L635" s="1953">
        <f>+L624/'VVP2'!L$341</f>
        <v>0.22628549948691612</v>
      </c>
      <c r="M635" s="1953">
        <f>+M624/'VVP2'!M$341</f>
        <v>0.22730906283693728</v>
      </c>
      <c r="N635" s="1953">
        <f>+N624/'VVP2'!N$341</f>
        <v>0.22954134079058761</v>
      </c>
      <c r="O635" s="1953">
        <f>+O624/'VVP2'!O$341</f>
        <v>0.22786841401444238</v>
      </c>
      <c r="P635" s="1953">
        <f>+P624/'VVP2'!P$341</f>
        <v>0.22318093236618822</v>
      </c>
      <c r="Q635" s="1953">
        <f>+Q624/'VVP2'!Q$341</f>
        <v>0.22496472477421967</v>
      </c>
      <c r="R635" s="1953">
        <f>+R624/'VVP2'!R$341</f>
        <v>0.22023092437429784</v>
      </c>
      <c r="S635" s="1953">
        <f>+S624/'VVP2'!S$341</f>
        <v>0.21954914642092974</v>
      </c>
      <c r="T635" s="1953">
        <f>+T624/'VVP2'!T$341</f>
        <v>0.22316131735266378</v>
      </c>
      <c r="U635" s="1953">
        <f>+U624/'VVP2'!U$341</f>
        <v>0.22614610105865446</v>
      </c>
      <c r="V635" s="1953">
        <f>+V624/'VVP2'!V$341</f>
        <v>0.22184195351413691</v>
      </c>
      <c r="W635" s="1953">
        <f>+W624/'VVP2'!W$341</f>
        <v>0.21902037206337099</v>
      </c>
      <c r="X635" s="1953">
        <f>+X624/'VVP2'!X$341</f>
        <v>0.22150408620957468</v>
      </c>
      <c r="Y635" s="1953">
        <f>+Y624/'VVP2'!Y$341</f>
        <v>0.22125609343447258</v>
      </c>
      <c r="Z635" s="1953">
        <f>+Z624/'VVP2'!Z$341</f>
        <v>0.21814675488622595</v>
      </c>
      <c r="AA635" s="1953">
        <f>+AA624/'VVP2'!AA$341</f>
        <v>0.21799705489150059</v>
      </c>
      <c r="AB635" s="1953">
        <f>+AB624/'VVP2'!AB$341</f>
        <v>0.22516056903014639</v>
      </c>
      <c r="AC635" s="1953">
        <f>+AC624/'VVP2'!AC$341</f>
        <v>0.22527991991087815</v>
      </c>
      <c r="AD635" s="2958">
        <f ca="1">+AD624/'VVP2'!AD$341</f>
        <v>0.22385247838290154</v>
      </c>
      <c r="AE635" s="2958">
        <f ca="1">+AE624/'VVP2'!AE$341</f>
        <v>0.22323944878024263</v>
      </c>
      <c r="AF635" s="2958">
        <f ca="1">+AF624/'VVP2'!AF$341</f>
        <v>0.2231417878306505</v>
      </c>
      <c r="AH635" s="2942"/>
      <c r="AI635" s="2942"/>
      <c r="AJ635" s="2942"/>
      <c r="AK635" s="2942"/>
      <c r="AL635" s="2942"/>
      <c r="AM635" s="2942"/>
      <c r="BB635" s="3582">
        <v>0.2243849970192543</v>
      </c>
      <c r="BC635" s="736" t="str">
        <f t="shared" si="732"/>
        <v/>
      </c>
    </row>
    <row r="636" spans="1:55" ht="12.75" customHeight="1">
      <c r="B636" s="701"/>
      <c r="C636" s="1935" t="s">
        <v>1791</v>
      </c>
      <c r="D636" s="711" t="s">
        <v>666</v>
      </c>
      <c r="E636" s="743" t="s">
        <v>820</v>
      </c>
      <c r="F636" s="741" t="s">
        <v>151</v>
      </c>
      <c r="G636" s="876">
        <f>+G625/'VVP2'!G$341</f>
        <v>0.1884232900308011</v>
      </c>
      <c r="H636" s="876">
        <f>+H625/'VVP2'!H$341</f>
        <v>0.19741332872892475</v>
      </c>
      <c r="I636" s="876">
        <f>+I625/'VVP2'!I$341</f>
        <v>0.20095520327125221</v>
      </c>
      <c r="J636" s="876">
        <f>+J625/'VVP2'!J$341</f>
        <v>0.19894313987062739</v>
      </c>
      <c r="K636" s="876">
        <f>+K625/'VVP2'!K$341</f>
        <v>0.20606693020044428</v>
      </c>
      <c r="L636" s="876">
        <f>+L625/'VVP2'!L$341</f>
        <v>0.21344455883599187</v>
      </c>
      <c r="M636" s="876">
        <f>+M625/'VVP2'!M$341</f>
        <v>0.19573023422227021</v>
      </c>
      <c r="N636" s="876">
        <f>+N625/'VVP2'!N$341</f>
        <v>0.1844535985227426</v>
      </c>
      <c r="O636" s="876">
        <f>+O625/'VVP2'!O$341</f>
        <v>0.19035698579151566</v>
      </c>
      <c r="P636" s="876">
        <f>+P625/'VVP2'!P$341</f>
        <v>0.19730644070669345</v>
      </c>
      <c r="Q636" s="876">
        <f>+Q625/'VVP2'!Q$341</f>
        <v>0.20902207488757796</v>
      </c>
      <c r="R636" s="876">
        <f>+R625/'VVP2'!R$341</f>
        <v>0.21070801725132574</v>
      </c>
      <c r="S636" s="876">
        <f>+S625/'VVP2'!S$341</f>
        <v>0.20121733435161587</v>
      </c>
      <c r="T636" s="876">
        <f>+T625/'VVP2'!T$341</f>
        <v>0.18723458957372463</v>
      </c>
      <c r="U636" s="876">
        <f>+U625/'VVP2'!U$341</f>
        <v>0.18479384473128718</v>
      </c>
      <c r="V636" s="876">
        <f>+V625/'VVP2'!V$341</f>
        <v>0.18149913276031948</v>
      </c>
      <c r="W636" s="876">
        <f>+W625/'VVP2'!W$341</f>
        <v>0.17618995461129519</v>
      </c>
      <c r="X636" s="876">
        <f>+X625/'VVP2'!X$341</f>
        <v>0.17409933825281501</v>
      </c>
      <c r="Y636" s="876">
        <f>+Y625/'VVP2'!Y$341</f>
        <v>0.17769179629029511</v>
      </c>
      <c r="Z636" s="876">
        <f>+Z625/'VVP2'!Z$341</f>
        <v>0.17794984679992643</v>
      </c>
      <c r="AA636" s="876">
        <f>+AA625/'VVP2'!AA$341</f>
        <v>0.18359374163253833</v>
      </c>
      <c r="AB636" s="876">
        <f>+AB625/'VVP2'!AB$341</f>
        <v>0.18804345322776414</v>
      </c>
      <c r="AC636" s="876">
        <f>+AC625/'VVP2'!AC$341</f>
        <v>0.18939225346529809</v>
      </c>
      <c r="AD636" s="2330">
        <f ca="1">+AD625/'VVP2'!AD$341</f>
        <v>0.18642148496776725</v>
      </c>
      <c r="AE636" s="2330">
        <f ca="1">+AE625/'VVP2'!AE$341</f>
        <v>0.18524788147650134</v>
      </c>
      <c r="AF636" s="2330">
        <f ca="1">+AF625/'VVP2'!AF$341</f>
        <v>0.18398344803850611</v>
      </c>
      <c r="BB636" s="3554">
        <v>0.18350859875893827</v>
      </c>
      <c r="BC636" s="736" t="str">
        <f t="shared" si="732"/>
        <v/>
      </c>
    </row>
    <row r="637" spans="1:55" ht="12.75" customHeight="1">
      <c r="B637" s="701"/>
      <c r="C637" s="1935" t="s">
        <v>1791</v>
      </c>
      <c r="D637" s="711" t="s">
        <v>666</v>
      </c>
      <c r="E637" s="743" t="s">
        <v>821</v>
      </c>
      <c r="F637" s="741" t="s">
        <v>153</v>
      </c>
      <c r="G637" s="876">
        <f>+G626/'VVP2'!G$341</f>
        <v>5.9412997547792591E-2</v>
      </c>
      <c r="H637" s="876">
        <f>+H626/'VVP2'!H$341</f>
        <v>6.4756733172110101E-2</v>
      </c>
      <c r="I637" s="876">
        <f>+I626/'VVP2'!I$341</f>
        <v>6.763575073517121E-2</v>
      </c>
      <c r="J637" s="876">
        <f>+J626/'VVP2'!J$341</f>
        <v>4.7296044164815955E-2</v>
      </c>
      <c r="K637" s="876">
        <f>+K626/'VVP2'!K$341</f>
        <v>4.4956357146140748E-2</v>
      </c>
      <c r="L637" s="876">
        <f>+L626/'VVP2'!L$341</f>
        <v>5.1189658109116111E-2</v>
      </c>
      <c r="M637" s="876">
        <f>+M626/'VVP2'!M$341</f>
        <v>4.6600690756657348E-2</v>
      </c>
      <c r="N637" s="876">
        <f>+N626/'VVP2'!N$341</f>
        <v>3.9487808469365678E-2</v>
      </c>
      <c r="O637" s="876">
        <f>+O626/'VVP2'!O$341</f>
        <v>3.9129563875513224E-2</v>
      </c>
      <c r="P637" s="876">
        <f>+P626/'VVP2'!P$341</f>
        <v>3.8308248495675302E-2</v>
      </c>
      <c r="Q637" s="876">
        <f>+Q626/'VVP2'!Q$341</f>
        <v>3.515223059330061E-2</v>
      </c>
      <c r="R637" s="876">
        <f>+R626/'VVP2'!R$341</f>
        <v>3.1509258954878029E-2</v>
      </c>
      <c r="S637" s="876">
        <f>+S626/'VVP2'!S$341</f>
        <v>3.2021976483974625E-2</v>
      </c>
      <c r="T637" s="876">
        <f>+T626/'VVP2'!T$341</f>
        <v>3.2930868203701939E-2</v>
      </c>
      <c r="U637" s="876">
        <f>+U626/'VVP2'!U$341</f>
        <v>3.3913637538658004E-2</v>
      </c>
      <c r="V637" s="876">
        <f>+V626/'VVP2'!V$341</f>
        <v>3.2327380709138709E-2</v>
      </c>
      <c r="W637" s="876">
        <f>+W626/'VVP2'!W$341</f>
        <v>3.3726727601942945E-2</v>
      </c>
      <c r="X637" s="876">
        <f>+X626/'VVP2'!X$341</f>
        <v>3.3761278179692378E-2</v>
      </c>
      <c r="Y637" s="876">
        <f>+Y626/'VVP2'!Y$341</f>
        <v>3.3928211346288324E-2</v>
      </c>
      <c r="Z637" s="876">
        <f>+Z626/'VVP2'!Z$341</f>
        <v>3.3515989266479314E-2</v>
      </c>
      <c r="AA637" s="876">
        <f>+AA626/'VVP2'!AA$341</f>
        <v>3.3121641263697647E-2</v>
      </c>
      <c r="AB637" s="876">
        <f>+AB626/'VVP2'!AB$341</f>
        <v>3.3219039940056962E-2</v>
      </c>
      <c r="AC637" s="876">
        <f>+AC626/'VVP2'!AC$341</f>
        <v>3.3416329995485806E-2</v>
      </c>
      <c r="AD637" s="2330">
        <f ca="1">+AD626/'VVP2'!AD$341</f>
        <v>3.3293957295954336E-2</v>
      </c>
      <c r="AE637" s="2330">
        <f ca="1">+AE626/'VVP2'!AE$341</f>
        <v>3.3407857008167098E-2</v>
      </c>
      <c r="AF637" s="2330">
        <f ca="1">+AF626/'VVP2'!AF$341</f>
        <v>3.3478176710376888E-2</v>
      </c>
      <c r="BB637" s="3554">
        <v>3.686249386483987E-2</v>
      </c>
      <c r="BC637" s="736" t="str">
        <f t="shared" si="732"/>
        <v/>
      </c>
    </row>
    <row r="638" spans="1:55" ht="12.75" customHeight="1">
      <c r="B638" s="701"/>
      <c r="C638" s="1935" t="s">
        <v>1791</v>
      </c>
      <c r="D638" s="711" t="s">
        <v>666</v>
      </c>
      <c r="E638" s="743" t="s">
        <v>844</v>
      </c>
      <c r="F638" s="741"/>
      <c r="G638" s="876">
        <f>+G627/'VVP2'!G$341</f>
        <v>5.2683215531212614E-2</v>
      </c>
      <c r="H638" s="876">
        <f>+H627/'VVP2'!H$341</f>
        <v>5.0889743369703339E-2</v>
      </c>
      <c r="I638" s="876">
        <f>+I627/'VVP2'!I$341</f>
        <v>4.8219120089338263E-2</v>
      </c>
      <c r="J638" s="876">
        <f>+J627/'VVP2'!J$341</f>
        <v>4.8071790420475179E-2</v>
      </c>
      <c r="K638" s="876">
        <f>+K627/'VVP2'!K$341</f>
        <v>4.3315705402144904E-2</v>
      </c>
      <c r="L638" s="876">
        <f>+L627/'VVP2'!L$341</f>
        <v>4.2382487856735908E-2</v>
      </c>
      <c r="M638" s="876">
        <f>+M627/'VVP2'!M$341</f>
        <v>4.394951319867392E-2</v>
      </c>
      <c r="N638" s="876">
        <f>+N627/'VVP2'!N$341</f>
        <v>4.3188722120282415E-2</v>
      </c>
      <c r="O638" s="876">
        <f>+O627/'VVP2'!O$341</f>
        <v>4.3151030097397743E-2</v>
      </c>
      <c r="P638" s="876">
        <f>+P627/'VVP2'!P$341</f>
        <v>4.3498030731344471E-2</v>
      </c>
      <c r="Q638" s="876">
        <f>+Q627/'VVP2'!Q$341</f>
        <v>4.3232464682687877E-2</v>
      </c>
      <c r="R638" s="876">
        <f>+R627/'VVP2'!R$341</f>
        <v>4.1797273073583698E-2</v>
      </c>
      <c r="S638" s="876">
        <f>+S627/'VVP2'!S$341</f>
        <v>4.1607908916828716E-2</v>
      </c>
      <c r="T638" s="876">
        <f>+T627/'VVP2'!T$341</f>
        <v>4.2965125552786358E-2</v>
      </c>
      <c r="U638" s="876">
        <f>+U627/'VVP2'!U$341</f>
        <v>4.4555771263079781E-2</v>
      </c>
      <c r="V638" s="876">
        <f>+V627/'VVP2'!V$341</f>
        <v>4.3152268671761133E-2</v>
      </c>
      <c r="W638" s="876">
        <f>+W627/'VVP2'!W$341</f>
        <v>4.2208736690609747E-2</v>
      </c>
      <c r="X638" s="876">
        <f>+X627/'VVP2'!X$341</f>
        <v>4.2346018605692634E-2</v>
      </c>
      <c r="Y638" s="876">
        <f>+Y627/'VVP2'!Y$341</f>
        <v>4.1875345626943096E-2</v>
      </c>
      <c r="Z638" s="876">
        <f>+Z627/'VVP2'!Z$341</f>
        <v>4.0895475047101885E-2</v>
      </c>
      <c r="AA638" s="876">
        <f>+AA627/'VVP2'!AA$341</f>
        <v>3.890499276099281E-2</v>
      </c>
      <c r="AB638" s="876">
        <f>+AB627/'VVP2'!AB$341</f>
        <v>3.8010287089467847E-2</v>
      </c>
      <c r="AC638" s="876">
        <f>+AC627/'VVP2'!AC$341</f>
        <v>3.7311152746544528E-2</v>
      </c>
      <c r="AD638" s="2330">
        <f ca="1">+AD627/'VVP2'!AD$341</f>
        <v>3.6636040695595243E-2</v>
      </c>
      <c r="AE638" s="2330">
        <f ca="1">+AE627/'VVP2'!AE$341</f>
        <v>3.6360241236666882E-2</v>
      </c>
      <c r="AF638" s="2330">
        <f ca="1">+AF627/'VVP2'!AF$341</f>
        <v>3.6168804962206598E-2</v>
      </c>
      <c r="BB638" s="3554">
        <v>3.8653438481994519E-2</v>
      </c>
      <c r="BC638" s="736" t="str">
        <f t="shared" si="732"/>
        <v/>
      </c>
    </row>
    <row r="639" spans="1:55" ht="12.75" customHeight="1">
      <c r="B639" s="701"/>
      <c r="C639" s="1935" t="s">
        <v>1791</v>
      </c>
      <c r="D639" s="711" t="s">
        <v>666</v>
      </c>
      <c r="E639" s="743" t="s">
        <v>1976</v>
      </c>
      <c r="F639" s="741" t="s">
        <v>452</v>
      </c>
      <c r="G639" s="876">
        <f>+G628/'VVP2'!G$341</f>
        <v>4.6909603489092344E-2</v>
      </c>
      <c r="H639" s="876">
        <f>+H628/'VVP2'!H$341</f>
        <v>4.437188594990224E-2</v>
      </c>
      <c r="I639" s="876">
        <f>+I628/'VVP2'!I$341</f>
        <v>3.8094380848851965E-2</v>
      </c>
      <c r="J639" s="876">
        <f>+J628/'VVP2'!J$341</f>
        <v>3.8052989871051011E-2</v>
      </c>
      <c r="K639" s="876">
        <f>+K628/'VVP2'!K$341</f>
        <v>3.2633170175664888E-2</v>
      </c>
      <c r="L639" s="876">
        <f>+L628/'VVP2'!L$341</f>
        <v>2.9664469174274823E-2</v>
      </c>
      <c r="M639" s="876">
        <f>+M628/'VVP2'!M$341</f>
        <v>2.5454527872820838E-2</v>
      </c>
      <c r="N639" s="876">
        <f>+N628/'VVP2'!N$341</f>
        <v>2.5131324935634174E-2</v>
      </c>
      <c r="O639" s="876">
        <f>+O628/'VVP2'!O$341</f>
        <v>2.4601406338182894E-2</v>
      </c>
      <c r="P639" s="876">
        <f>+P628/'VVP2'!P$341</f>
        <v>2.3120613387750975E-2</v>
      </c>
      <c r="Q639" s="876">
        <f>+Q628/'VVP2'!Q$341</f>
        <v>2.6851429715980753E-2</v>
      </c>
      <c r="R639" s="876">
        <f>+R628/'VVP2'!R$341</f>
        <v>2.6314652991426549E-2</v>
      </c>
      <c r="S639" s="876">
        <f>+S628/'VVP2'!S$341</f>
        <v>3.08556572390709E-2</v>
      </c>
      <c r="T639" s="876">
        <f>+T628/'VVP2'!T$341</f>
        <v>3.1911904450919765E-2</v>
      </c>
      <c r="U639" s="876">
        <f>+U628/'VVP2'!U$341</f>
        <v>2.9433698389038428E-2</v>
      </c>
      <c r="V639" s="876">
        <f>+V628/'VVP2'!V$341</f>
        <v>2.7543657117949136E-2</v>
      </c>
      <c r="W639" s="876">
        <f>+W628/'VVP2'!W$341</f>
        <v>2.8327719723586966E-2</v>
      </c>
      <c r="X639" s="876">
        <f>+X628/'VVP2'!X$341</f>
        <v>2.7892544900594247E-2</v>
      </c>
      <c r="Y639" s="876">
        <f>+Y628/'VVP2'!Y$341</f>
        <v>2.7492760216845054E-2</v>
      </c>
      <c r="Z639" s="876">
        <f>+Z628/'VVP2'!Z$341</f>
        <v>2.3382835248069934E-2</v>
      </c>
      <c r="AA639" s="876">
        <f>+AA628/'VVP2'!AA$341</f>
        <v>2.1700361034029642E-2</v>
      </c>
      <c r="AB639" s="876">
        <f>+AB628/'VVP2'!AB$341</f>
        <v>2.1983825322420696E-2</v>
      </c>
      <c r="AC639" s="876">
        <f>+AC628/'VVP2'!AC$341</f>
        <v>2.1533560797038762E-2</v>
      </c>
      <c r="AD639" s="2330">
        <f ca="1">+AD628/'VVP2'!AD$341</f>
        <v>2.0318459581079872E-2</v>
      </c>
      <c r="AE639" s="2330">
        <f ca="1">+AE628/'VVP2'!AE$341</f>
        <v>1.9357440628963531E-2</v>
      </c>
      <c r="AF639" s="2330">
        <f ca="1">+AF628/'VVP2'!AF$341</f>
        <v>1.8487655237755769E-2</v>
      </c>
      <c r="AN639" s="2942"/>
      <c r="AO639" s="2942"/>
      <c r="AP639" s="2942"/>
      <c r="AQ639" s="2942"/>
      <c r="BB639" s="3554">
        <v>2.2167394864581517E-2</v>
      </c>
      <c r="BC639" s="736" t="str">
        <f t="shared" si="732"/>
        <v/>
      </c>
    </row>
    <row r="640" spans="1:55" ht="12.75" customHeight="1">
      <c r="B640" s="701"/>
      <c r="C640" s="1935" t="s">
        <v>1793</v>
      </c>
      <c r="D640" s="843" t="s">
        <v>666</v>
      </c>
      <c r="E640" s="846" t="s">
        <v>1539</v>
      </c>
      <c r="F640" s="845" t="s">
        <v>1541</v>
      </c>
      <c r="G640" s="878">
        <f>+G629/'VVP2'!G$341</f>
        <v>0.56218817085691497</v>
      </c>
      <c r="H640" s="878">
        <f>+H629/'VVP2'!H$341</f>
        <v>0.58074998785139198</v>
      </c>
      <c r="I640" s="878">
        <f>+I629/'VVP2'!I$341</f>
        <v>0.57401267471752915</v>
      </c>
      <c r="J640" s="878">
        <f>+J629/'VVP2'!J$341</f>
        <v>0.57532599700810494</v>
      </c>
      <c r="K640" s="878">
        <f>+K629/'VVP2'!K$341</f>
        <v>0.56795605409866146</v>
      </c>
      <c r="L640" s="878">
        <f>+L629/'VVP2'!L$341</f>
        <v>0.56296667346303497</v>
      </c>
      <c r="M640" s="878">
        <f>+M629/'VVP2'!M$341</f>
        <v>0.53904402888735947</v>
      </c>
      <c r="N640" s="878">
        <f>+N629/'VVP2'!N$341</f>
        <v>0.52180279483861247</v>
      </c>
      <c r="O640" s="878">
        <f>+O629/'VVP2'!O$341</f>
        <v>0.52510740011705193</v>
      </c>
      <c r="P640" s="878">
        <f>+P629/'VVP2'!P$341</f>
        <v>0.52541426568765248</v>
      </c>
      <c r="Q640" s="878">
        <f>+Q629/'VVP2'!Q$341</f>
        <v>0.53922292465376687</v>
      </c>
      <c r="R640" s="878">
        <f>+R629/'VVP2'!R$341</f>
        <v>0.53056012664551189</v>
      </c>
      <c r="S640" s="878">
        <f>+S629/'VVP2'!S$341</f>
        <v>0.52525202341241983</v>
      </c>
      <c r="T640" s="878">
        <f>+T629/'VVP2'!T$341</f>
        <v>0.51820380513379649</v>
      </c>
      <c r="U640" s="878">
        <f>+U629/'VVP2'!U$341</f>
        <v>0.51884305298071776</v>
      </c>
      <c r="V640" s="878">
        <f>+V629/'VVP2'!V$341</f>
        <v>0.50636439277330525</v>
      </c>
      <c r="W640" s="878">
        <f>+W629/'VVP2'!W$341</f>
        <v>0.49947351069080587</v>
      </c>
      <c r="X640" s="878">
        <f>+X629/'VVP2'!X$341</f>
        <v>0.49960326614836897</v>
      </c>
      <c r="Y640" s="878">
        <f>+Y629/'VVP2'!Y$341</f>
        <v>0.50224420691484428</v>
      </c>
      <c r="Z640" s="878">
        <f>+Z629/'VVP2'!Z$341</f>
        <v>0.49389090124780349</v>
      </c>
      <c r="AA640" s="878">
        <f>+AA629/'VVP2'!AA$341</f>
        <v>0.49531779158275907</v>
      </c>
      <c r="AB640" s="878">
        <f>+AB629/'VVP2'!AB$341</f>
        <v>0.50641717460985602</v>
      </c>
      <c r="AC640" s="878">
        <f>+AC629/'VVP2'!AC$341</f>
        <v>0.5069332169152454</v>
      </c>
      <c r="AD640" s="2332">
        <f ca="1">+AD629/'VVP2'!AD$341</f>
        <v>0.50052242092329824</v>
      </c>
      <c r="AE640" s="2332">
        <f ca="1">+AE629/'VVP2'!AE$341</f>
        <v>0.49761286913054154</v>
      </c>
      <c r="AF640" s="2332">
        <f ca="1">+AF629/'VVP2'!AF$341</f>
        <v>0.49525987277949579</v>
      </c>
      <c r="AH640" s="2942"/>
      <c r="AI640" s="2942"/>
      <c r="AJ640" s="2942"/>
      <c r="AK640" s="2942"/>
      <c r="AL640" s="2942"/>
      <c r="AM640" s="2942"/>
      <c r="BB640" s="3556">
        <v>0.50557692298960855</v>
      </c>
      <c r="BC640" s="736" t="str">
        <f t="shared" si="732"/>
        <v/>
      </c>
    </row>
    <row r="641" spans="1:55" s="921" customFormat="1" ht="12.75" customHeight="1">
      <c r="A641" s="700"/>
      <c r="B641" s="701"/>
      <c r="C641" s="1936" t="s">
        <v>1791</v>
      </c>
      <c r="D641" s="1950" t="s">
        <v>666</v>
      </c>
      <c r="E641" s="1951" t="s">
        <v>1458</v>
      </c>
      <c r="F641" s="1952" t="s">
        <v>1543</v>
      </c>
      <c r="G641" s="1939">
        <f>+G630/'VVP2'!G$341</f>
        <v>2.4002358870796672E-3</v>
      </c>
      <c r="H641" s="1939">
        <f>+H630/'VVP2'!H$341</f>
        <v>2.1438415862876856E-3</v>
      </c>
      <c r="I641" s="1939">
        <f>+I630/'VVP2'!I$341</f>
        <v>2.2418641548028711E-3</v>
      </c>
      <c r="J641" s="1939">
        <f>+J630/'VVP2'!J$341</f>
        <v>2.3479504388520841E-3</v>
      </c>
      <c r="K641" s="1939">
        <f>+K630/'VVP2'!K$341</f>
        <v>2.0677746272940003E-3</v>
      </c>
      <c r="L641" s="1939">
        <f>+L630/'VVP2'!L$341</f>
        <v>2.0804438280166431E-3</v>
      </c>
      <c r="M641" s="1939">
        <f>+M630/'VVP2'!M$341</f>
        <v>2.121747875431723E-3</v>
      </c>
      <c r="N641" s="1939">
        <f>+N630/'VVP2'!N$341</f>
        <v>2.2234231392186123E-3</v>
      </c>
      <c r="O641" s="1939">
        <f>+O630/'VVP2'!O$341</f>
        <v>1.9646658557337694E-3</v>
      </c>
      <c r="P641" s="1939">
        <f>+P630/'VVP2'!P$341</f>
        <v>1.9334831931172272E-3</v>
      </c>
      <c r="Q641" s="1939">
        <f>+Q630/'VVP2'!Q$341</f>
        <v>2.2180361104249418E-3</v>
      </c>
      <c r="R641" s="1939">
        <f>+R630/'VVP2'!R$341</f>
        <v>1.2768971849605878E-3</v>
      </c>
      <c r="S641" s="1939">
        <f>+S630/'VVP2'!S$341</f>
        <v>1.0736195854386405E-3</v>
      </c>
      <c r="T641" s="1939">
        <f>+T630/'VVP2'!T$341</f>
        <v>9.1459072949372298E-4</v>
      </c>
      <c r="U641" s="1939">
        <f>+U630/'VVP2'!U$341</f>
        <v>1.008806476531504E-3</v>
      </c>
      <c r="V641" s="1939">
        <f>+V630/'VVP2'!V$341</f>
        <v>8.9505037709034277E-4</v>
      </c>
      <c r="W641" s="1939">
        <f>+W630/'VVP2'!W$341</f>
        <v>1.0289417523913268E-3</v>
      </c>
      <c r="X641" s="1939">
        <f>+X630/'VVP2'!X$341</f>
        <v>3.7857111295027663E-3</v>
      </c>
      <c r="Y641" s="1939">
        <f>+Y630/'VVP2'!Y$341</f>
        <v>3.6036618503902688E-3</v>
      </c>
      <c r="Z641" s="1939">
        <f>+Z630/'VVP2'!Z$341</f>
        <v>1.3545043359109853E-3</v>
      </c>
      <c r="AA641" s="1939">
        <f>+AA630/'VVP2'!AA$341</f>
        <v>2.6271300805442194E-3</v>
      </c>
      <c r="AB641" s="1939">
        <f>+AB630/'VVP2'!AB$341</f>
        <v>1.5694914396247449E-3</v>
      </c>
      <c r="AC641" s="1939">
        <f>+AC630/'VVP2'!AC$341</f>
        <v>1.6386035158233452E-3</v>
      </c>
      <c r="AD641" s="2959">
        <f ca="1">+AD630/'VVP2'!AD$341</f>
        <v>1.2699932479316902E-3</v>
      </c>
      <c r="AE641" s="2959">
        <f ca="1">+AE630/'VVP2'!AE$341</f>
        <v>1.2481954128909245E-3</v>
      </c>
      <c r="AF641" s="2959">
        <f ca="1">+AF630/'VVP2'!AF$341</f>
        <v>1.2235417794063542E-3</v>
      </c>
      <c r="AG641" s="2942"/>
      <c r="AH641" s="2939"/>
      <c r="AI641" s="2939"/>
      <c r="AJ641" s="2939"/>
      <c r="AK641" s="2939"/>
      <c r="AL641" s="2939"/>
      <c r="AM641" s="2939"/>
      <c r="AN641" s="2939"/>
      <c r="AO641" s="2939"/>
      <c r="AP641" s="2939"/>
      <c r="AQ641" s="2939"/>
      <c r="AR641" s="2942"/>
      <c r="AS641" s="2942"/>
      <c r="AT641" s="2942"/>
      <c r="BB641" s="3583">
        <v>1.6181839562781587E-3</v>
      </c>
      <c r="BC641" s="736" t="str">
        <f t="shared" si="732"/>
        <v/>
      </c>
    </row>
    <row r="642" spans="1:55" ht="12.75" customHeight="1">
      <c r="B642" s="701"/>
      <c r="C642" s="811" t="s">
        <v>1793</v>
      </c>
      <c r="D642" s="843" t="s">
        <v>666</v>
      </c>
      <c r="E642" s="846" t="s">
        <v>1665</v>
      </c>
      <c r="F642" s="845"/>
      <c r="G642" s="878">
        <f>+G631/'VVP2'!G$341</f>
        <v>0.56458840674399469</v>
      </c>
      <c r="H642" s="878">
        <f>+H631/'VVP2'!H$341</f>
        <v>0.58289382943767976</v>
      </c>
      <c r="I642" s="878">
        <f>+I631/'VVP2'!I$341</f>
        <v>0.57625453887233191</v>
      </c>
      <c r="J642" s="878">
        <f>+J631/'VVP2'!J$341</f>
        <v>0.57767394744695688</v>
      </c>
      <c r="K642" s="878">
        <f>+K631/'VVP2'!K$341</f>
        <v>0.57002382872595547</v>
      </c>
      <c r="L642" s="878">
        <f>+L631/'VVP2'!L$341</f>
        <v>0.5650471172910515</v>
      </c>
      <c r="M642" s="878">
        <f>+M631/'VVP2'!M$341</f>
        <v>0.54116577676279132</v>
      </c>
      <c r="N642" s="878">
        <f>+N631/'VVP2'!N$341</f>
        <v>0.524026217977831</v>
      </c>
      <c r="O642" s="878">
        <f>+O631/'VVP2'!O$341</f>
        <v>0.52707206597278566</v>
      </c>
      <c r="P642" s="878">
        <f>+P631/'VVP2'!P$341</f>
        <v>0.52734774888076963</v>
      </c>
      <c r="Q642" s="878">
        <f>+Q631/'VVP2'!Q$341</f>
        <v>0.54144096076419179</v>
      </c>
      <c r="R642" s="878">
        <f>+R631/'VVP2'!R$341</f>
        <v>0.53183702383047238</v>
      </c>
      <c r="S642" s="878">
        <f>+S631/'VVP2'!S$341</f>
        <v>0.52632564299785856</v>
      </c>
      <c r="T642" s="878">
        <f>+T631/'VVP2'!T$341</f>
        <v>0.51911839586329023</v>
      </c>
      <c r="U642" s="878">
        <f>+U631/'VVP2'!U$341</f>
        <v>0.51985185945724932</v>
      </c>
      <c r="V642" s="878">
        <f>+V631/'VVP2'!V$341</f>
        <v>0.50725944315039573</v>
      </c>
      <c r="W642" s="878">
        <f>+W631/'VVP2'!W$341</f>
        <v>0.50050245244319724</v>
      </c>
      <c r="X642" s="878">
        <f>+X631/'VVP2'!X$341</f>
        <v>0.50338897727787169</v>
      </c>
      <c r="Y642" s="878">
        <f>+Y631/'VVP2'!Y$341</f>
        <v>0.50584786876523447</v>
      </c>
      <c r="Z642" s="878">
        <f>+Z631/'VVP2'!Z$341</f>
        <v>0.49524540558371444</v>
      </c>
      <c r="AA642" s="878">
        <f>+AA631/'VVP2'!AA$341</f>
        <v>0.49794492166330329</v>
      </c>
      <c r="AB642" s="878">
        <f>+AB631/'VVP2'!AB$341</f>
        <v>0.50798666604948073</v>
      </c>
      <c r="AC642" s="878">
        <f>+AC631/'VVP2'!AC$341</f>
        <v>0.50857182043106863</v>
      </c>
      <c r="AD642" s="2300">
        <f ca="1">+AD631/'VVP2'!AD$341</f>
        <v>0.50179241417122988</v>
      </c>
      <c r="AE642" s="2300">
        <f ca="1">+AE631/'VVP2'!AE$341</f>
        <v>0.49886106454343249</v>
      </c>
      <c r="AF642" s="2300">
        <f ca="1">+AF631/'VVP2'!AF$341</f>
        <v>0.49648341455890216</v>
      </c>
      <c r="BB642" s="3556">
        <v>0.50719510694588665</v>
      </c>
      <c r="BC642" s="736" t="str">
        <f t="shared" ref="BC642:BC705" si="830">IF(ABS(BB642-AB642)&gt;0.99,AB642-BB642,"")</f>
        <v/>
      </c>
    </row>
    <row r="643" spans="1:55">
      <c r="F643" s="1063"/>
      <c r="Q643" s="736"/>
      <c r="R643" s="736"/>
      <c r="S643" s="736"/>
      <c r="T643" s="736"/>
      <c r="U643" s="736"/>
      <c r="V643" s="736"/>
      <c r="W643" s="736"/>
      <c r="BC643" s="736" t="str">
        <f t="shared" si="830"/>
        <v/>
      </c>
    </row>
    <row r="644" spans="1:55" ht="12.75" customHeight="1">
      <c r="B644" s="701"/>
      <c r="C644" s="811"/>
      <c r="D644" s="812"/>
      <c r="E644" s="3381" t="s">
        <v>2450</v>
      </c>
      <c r="F644" s="814"/>
      <c r="G644" s="815">
        <f>+InputY!$G$3</f>
        <v>1995</v>
      </c>
      <c r="H644" s="815">
        <f>+G644+1</f>
        <v>1996</v>
      </c>
      <c r="I644" s="815">
        <f t="shared" ref="I644:S644" si="831">+H644+1</f>
        <v>1997</v>
      </c>
      <c r="J644" s="815">
        <f t="shared" si="831"/>
        <v>1998</v>
      </c>
      <c r="K644" s="815">
        <f t="shared" si="831"/>
        <v>1999</v>
      </c>
      <c r="L644" s="815">
        <f t="shared" si="831"/>
        <v>2000</v>
      </c>
      <c r="M644" s="815">
        <f t="shared" si="831"/>
        <v>2001</v>
      </c>
      <c r="N644" s="815">
        <f t="shared" si="831"/>
        <v>2002</v>
      </c>
      <c r="O644" s="815">
        <f t="shared" si="831"/>
        <v>2003</v>
      </c>
      <c r="P644" s="815">
        <f t="shared" si="831"/>
        <v>2004</v>
      </c>
      <c r="Q644" s="815">
        <f t="shared" si="831"/>
        <v>2005</v>
      </c>
      <c r="R644" s="815">
        <f t="shared" si="831"/>
        <v>2006</v>
      </c>
      <c r="S644" s="815">
        <f t="shared" si="831"/>
        <v>2007</v>
      </c>
      <c r="T644" s="815">
        <f t="shared" ref="T644:AF644" si="832">+S644+1</f>
        <v>2008</v>
      </c>
      <c r="U644" s="815">
        <f t="shared" si="832"/>
        <v>2009</v>
      </c>
      <c r="V644" s="815">
        <f t="shared" si="832"/>
        <v>2010</v>
      </c>
      <c r="W644" s="815">
        <f t="shared" si="832"/>
        <v>2011</v>
      </c>
      <c r="X644" s="2285">
        <f t="shared" si="832"/>
        <v>2012</v>
      </c>
      <c r="Y644" s="2285">
        <f t="shared" si="832"/>
        <v>2013</v>
      </c>
      <c r="Z644" s="2285">
        <f t="shared" si="832"/>
        <v>2014</v>
      </c>
      <c r="AA644" s="2285">
        <f t="shared" si="832"/>
        <v>2015</v>
      </c>
      <c r="AB644" s="2285">
        <f t="shared" si="832"/>
        <v>2016</v>
      </c>
      <c r="AC644" s="2285">
        <f t="shared" si="832"/>
        <v>2017</v>
      </c>
      <c r="AD644" s="2285">
        <f t="shared" si="832"/>
        <v>2018</v>
      </c>
      <c r="AE644" s="2285">
        <f t="shared" si="832"/>
        <v>2019</v>
      </c>
      <c r="AF644" s="2285">
        <f t="shared" si="832"/>
        <v>2020</v>
      </c>
      <c r="AN644" s="2942"/>
      <c r="AO644" s="2942"/>
      <c r="AP644" s="2942"/>
      <c r="AQ644" s="2942"/>
      <c r="BB644" s="3470">
        <v>2016</v>
      </c>
      <c r="BC644" s="736" t="str">
        <f t="shared" si="830"/>
        <v/>
      </c>
    </row>
    <row r="645" spans="1:55" ht="12.75" customHeight="1">
      <c r="B645" s="701"/>
      <c r="C645" s="816" t="s">
        <v>1791</v>
      </c>
      <c r="D645" s="705" t="s">
        <v>666</v>
      </c>
      <c r="E645" s="817" t="s">
        <v>1574</v>
      </c>
      <c r="F645" s="738"/>
      <c r="G645" s="817"/>
      <c r="H645" s="817"/>
      <c r="I645" s="817"/>
      <c r="J645" s="817"/>
      <c r="K645" s="817"/>
      <c r="L645" s="817"/>
      <c r="M645" s="817"/>
      <c r="N645" s="817"/>
      <c r="O645" s="817"/>
      <c r="P645" s="817"/>
      <c r="Q645" s="817"/>
      <c r="R645" s="817"/>
      <c r="S645" s="817"/>
      <c r="T645" s="3264">
        <v>-9.1999999999999993</v>
      </c>
      <c r="U645" s="3264">
        <v>-16.899999999999999</v>
      </c>
      <c r="V645" s="3265">
        <v>-8.6999999999999993</v>
      </c>
      <c r="W645" s="3262">
        <v>-4.8</v>
      </c>
      <c r="X645" s="3262">
        <v>-2.7</v>
      </c>
      <c r="Y645" s="3262">
        <v>-2.7</v>
      </c>
      <c r="Z645" s="3262">
        <v>-17.100000000000001</v>
      </c>
      <c r="AA645" s="3262">
        <v>14.85</v>
      </c>
      <c r="AB645" s="3262">
        <v>14.85</v>
      </c>
      <c r="AC645" s="3262">
        <v>14.85</v>
      </c>
      <c r="AD645" s="3260">
        <f>InputDFM!G6</f>
        <v>-2.44</v>
      </c>
      <c r="AE645" s="3260">
        <f>InputDFM!H6</f>
        <v>-1.66</v>
      </c>
      <c r="AF645" s="3260">
        <f>InputDFM!I6</f>
        <v>-1.1000000000000001</v>
      </c>
      <c r="AH645" s="2942"/>
      <c r="AI645" s="2942"/>
      <c r="AJ645" s="2942"/>
      <c r="AK645" s="2942"/>
      <c r="AL645" s="2942"/>
      <c r="AM645" s="2942"/>
      <c r="BB645" s="3584">
        <v>14.85</v>
      </c>
      <c r="BC645" s="736" t="str">
        <f t="shared" si="830"/>
        <v/>
      </c>
    </row>
    <row r="646" spans="1:55" s="921" customFormat="1" ht="12.75" customHeight="1">
      <c r="A646" s="700"/>
      <c r="B646" s="701"/>
      <c r="C646" s="879" t="s">
        <v>1791</v>
      </c>
      <c r="D646" s="927" t="s">
        <v>666</v>
      </c>
      <c r="E646" s="1486" t="s">
        <v>1575</v>
      </c>
      <c r="F646" s="1487"/>
      <c r="G646" s="1486"/>
      <c r="H646" s="1486"/>
      <c r="I646" s="1486"/>
      <c r="J646" s="1486"/>
      <c r="K646" s="1486"/>
      <c r="L646" s="1486"/>
      <c r="M646" s="1486"/>
      <c r="N646" s="1486"/>
      <c r="O646" s="1486"/>
      <c r="P646" s="1486"/>
      <c r="Q646" s="1486"/>
      <c r="R646" s="1486"/>
      <c r="S646" s="1486"/>
      <c r="T646" s="3267">
        <v>0</v>
      </c>
      <c r="U646" s="3267">
        <v>0</v>
      </c>
      <c r="V646" s="3263">
        <v>0</v>
      </c>
      <c r="W646" s="3263">
        <v>0</v>
      </c>
      <c r="X646" s="3263">
        <v>0</v>
      </c>
      <c r="Y646" s="3263">
        <v>0</v>
      </c>
      <c r="Z646" s="3263">
        <v>0</v>
      </c>
      <c r="AA646" s="3263">
        <v>0</v>
      </c>
      <c r="AB646" s="3263">
        <v>0</v>
      </c>
      <c r="AC646" s="3263">
        <v>0</v>
      </c>
      <c r="AD646" s="3156">
        <v>0</v>
      </c>
      <c r="AE646" s="3156">
        <v>0</v>
      </c>
      <c r="AF646" s="3156">
        <v>0</v>
      </c>
      <c r="AG646" s="2942"/>
      <c r="AH646" s="2939"/>
      <c r="AI646" s="2939"/>
      <c r="AJ646" s="2939"/>
      <c r="AK646" s="2939"/>
      <c r="AL646" s="2939"/>
      <c r="AM646" s="2939"/>
      <c r="AN646" s="2939"/>
      <c r="AO646" s="2939"/>
      <c r="AP646" s="2939"/>
      <c r="AQ646" s="2939"/>
      <c r="AR646" s="2942"/>
      <c r="AS646" s="2942"/>
      <c r="AT646" s="2942"/>
      <c r="BB646" s="3585">
        <v>0</v>
      </c>
      <c r="BC646" s="736" t="str">
        <f t="shared" si="830"/>
        <v/>
      </c>
    </row>
    <row r="647" spans="1:55">
      <c r="D647" s="874" t="s">
        <v>1424</v>
      </c>
      <c r="F647" s="1063"/>
      <c r="Q647" s="736"/>
      <c r="R647" s="736"/>
      <c r="S647" s="736"/>
      <c r="T647" s="736"/>
      <c r="U647" s="736"/>
      <c r="V647" s="736"/>
      <c r="W647" s="736"/>
      <c r="BC647" s="736" t="str">
        <f t="shared" si="830"/>
        <v/>
      </c>
    </row>
    <row r="648" spans="1:55">
      <c r="F648" s="1063"/>
      <c r="Q648" s="736"/>
      <c r="R648" s="736"/>
      <c r="S648" s="736"/>
      <c r="T648" s="736"/>
      <c r="U648" s="736"/>
      <c r="V648" s="736"/>
      <c r="W648" s="736"/>
      <c r="BC648" s="736" t="str">
        <f t="shared" si="830"/>
        <v/>
      </c>
    </row>
    <row r="649" spans="1:55" ht="12.75" customHeight="1">
      <c r="B649" s="701"/>
      <c r="C649" s="811"/>
      <c r="D649" s="895"/>
      <c r="E649" s="896" t="s">
        <v>1423</v>
      </c>
      <c r="F649" s="897"/>
      <c r="G649" s="898">
        <f>+InputY!$G$3</f>
        <v>1995</v>
      </c>
      <c r="H649" s="898">
        <f>+G649+1</f>
        <v>1996</v>
      </c>
      <c r="I649" s="898">
        <f t="shared" ref="I649:Q649" si="833">+H649+1</f>
        <v>1997</v>
      </c>
      <c r="J649" s="898">
        <f t="shared" si="833"/>
        <v>1998</v>
      </c>
      <c r="K649" s="898">
        <f t="shared" si="833"/>
        <v>1999</v>
      </c>
      <c r="L649" s="898">
        <f t="shared" si="833"/>
        <v>2000</v>
      </c>
      <c r="M649" s="898">
        <f t="shared" si="833"/>
        <v>2001</v>
      </c>
      <c r="N649" s="898">
        <f t="shared" si="833"/>
        <v>2002</v>
      </c>
      <c r="O649" s="898">
        <f t="shared" si="833"/>
        <v>2003</v>
      </c>
      <c r="P649" s="898">
        <f t="shared" si="833"/>
        <v>2004</v>
      </c>
      <c r="Q649" s="898">
        <f t="shared" si="833"/>
        <v>2005</v>
      </c>
      <c r="R649" s="898">
        <f>+Q649+1</f>
        <v>2006</v>
      </c>
      <c r="S649" s="898">
        <f>+R649+1</f>
        <v>2007</v>
      </c>
      <c r="T649" s="898">
        <f t="shared" ref="T649:AF649" si="834">+S649+1</f>
        <v>2008</v>
      </c>
      <c r="U649" s="898">
        <f t="shared" si="834"/>
        <v>2009</v>
      </c>
      <c r="V649" s="898">
        <f t="shared" si="834"/>
        <v>2010</v>
      </c>
      <c r="W649" s="898">
        <f t="shared" si="834"/>
        <v>2011</v>
      </c>
      <c r="X649" s="2277">
        <f t="shared" si="834"/>
        <v>2012</v>
      </c>
      <c r="Y649" s="2277">
        <f t="shared" si="834"/>
        <v>2013</v>
      </c>
      <c r="Z649" s="2277">
        <f t="shared" si="834"/>
        <v>2014</v>
      </c>
      <c r="AA649" s="2277">
        <f t="shared" si="834"/>
        <v>2015</v>
      </c>
      <c r="AB649" s="2277">
        <f t="shared" si="834"/>
        <v>2016</v>
      </c>
      <c r="AC649" s="2277">
        <f t="shared" si="834"/>
        <v>2017</v>
      </c>
      <c r="AD649" s="2277">
        <f t="shared" si="834"/>
        <v>2018</v>
      </c>
      <c r="AE649" s="2277">
        <f t="shared" si="834"/>
        <v>2019</v>
      </c>
      <c r="AF649" s="2277">
        <f t="shared" si="834"/>
        <v>2020</v>
      </c>
      <c r="BB649" s="3581">
        <v>2016</v>
      </c>
      <c r="BC649" s="736" t="str">
        <f t="shared" si="830"/>
        <v/>
      </c>
    </row>
    <row r="650" spans="1:55" ht="12.75" customHeight="1">
      <c r="B650" s="701"/>
      <c r="C650" s="1934" t="s">
        <v>1791</v>
      </c>
      <c r="D650" s="900" t="s">
        <v>666</v>
      </c>
      <c r="E650" s="1949" t="s">
        <v>1574</v>
      </c>
      <c r="F650" s="902"/>
      <c r="G650" s="1088"/>
      <c r="H650" s="1088"/>
      <c r="I650" s="1088"/>
      <c r="J650" s="1088"/>
      <c r="K650" s="1088"/>
      <c r="L650" s="1088"/>
      <c r="M650" s="1088"/>
      <c r="N650" s="1088"/>
      <c r="O650" s="1088"/>
      <c r="P650" s="1088"/>
      <c r="Q650" s="1088"/>
      <c r="R650" s="1088"/>
      <c r="S650" s="1088"/>
      <c r="T650" s="1088"/>
      <c r="U650" s="1088"/>
      <c r="V650" s="1088"/>
      <c r="W650" s="1088"/>
      <c r="X650" s="1088">
        <f>+X629-IF(Last_forecast_year-Sector1!X649=2,Sector1!X645,IF(Last_forecast_year-Sector1!X649=1,Sector1!X645+Sector1!W645,Sector1!X645+Sector1!W645+Sector1!V645))</f>
        <v>1859.172</v>
      </c>
      <c r="Y650" s="1088">
        <f>+Y629-IF(Last_forecast_year-Sector1!Y649=2,Sector1!Y645,IF(Last_forecast_year-Sector1!Y649=1,Sector1!Y645+Sector1!X645,Sector1!Y645+Sector1!X645+Sector1!W645))</f>
        <v>1905.6390000000004</v>
      </c>
      <c r="Z650" s="1088">
        <f>+Z629-IF(Last_forecast_year-Sector1!Z649=2,Sector1!Z645,IF(Last_forecast_year-Sector1!Z649=1,Sector1!Z645+Sector1!Y645,Sector1!Z645+Sector1!Y645+Sector1!X645))</f>
        <v>1968.8870000000002</v>
      </c>
      <c r="AA650" s="1088">
        <f>+AA629-IF(Last_forecast_year-Sector1!AA649=2,Sector1!AA645,IF(Last_forecast_year-Sector1!AA649=1,Sector1!AA645+Sector1!Z645,Sector1!AA645+Sector1!Z645+Sector1!Y645))</f>
        <v>2086.049</v>
      </c>
      <c r="AB650" s="1088">
        <f>+AB629-IF(Last_forecast_year-Sector1!AB649=2,Sector1!AB645,IF(Last_forecast_year-Sector1!AB649=1,Sector1!AB645+Sector1!AA645,Sector1!AB645+Sector1!AA645+Sector1!Z645))</f>
        <v>2208.2910000000002</v>
      </c>
      <c r="AC650" s="1088">
        <f>+AC629-IF(Last_forecast_year-Sector1!AC649=2,Sector1!AC645,IF(Last_forecast_year-Sector1!AC649=1,Sector1!AC645+Sector1!AB645,Sector1!AC645+Sector1!AB645+Sector1!AA645))</f>
        <v>2276.6460000000002</v>
      </c>
      <c r="AD650" s="1088">
        <f ca="1">+AD629-IF(Last_forecast_year-Sector1!AD649=2,Sector1!AD645,IF(Last_forecast_year-Sector1!AD649=1,Sector1!AD645+Sector1!AC645,Sector1!AD645+Sector1!AC645+Sector1!AB645))</f>
        <v>2406.5368505970687</v>
      </c>
      <c r="AE650" s="1088">
        <f ca="1">+AE629-IF(Last_forecast_year-Sector1!AE649=2,Sector1!AE645,IF(Last_forecast_year-Sector1!AE649=1,Sector1!AE645+Sector1!AD645,Sector1!AE645+Sector1!AD645+Sector1!AC645))</f>
        <v>2484.5988383664171</v>
      </c>
      <c r="AF650" s="1088">
        <f ca="1">+AF629-IF(Last_forecast_year-Sector1!AF649=2,Sector1!AF645,IF(Last_forecast_year-Sector1!AF649=1,Sector1!AF645+Sector1!AE645,Sector1!AF645+Sector1!AE645+Sector1!AD645))</f>
        <v>2561.4915668299154</v>
      </c>
      <c r="BB650" s="3464">
        <v>2214.4350000000004</v>
      </c>
      <c r="BC650" s="736">
        <f t="shared" si="830"/>
        <v>-6.1440000000002328</v>
      </c>
    </row>
    <row r="651" spans="1:55" s="921" customFormat="1" ht="12.75" customHeight="1">
      <c r="A651" s="700"/>
      <c r="B651" s="701"/>
      <c r="C651" s="1936" t="s">
        <v>1791</v>
      </c>
      <c r="D651" s="1950" t="s">
        <v>666</v>
      </c>
      <c r="E651" s="1951" t="s">
        <v>1575</v>
      </c>
      <c r="F651" s="1952"/>
      <c r="G651" s="1715"/>
      <c r="H651" s="1715"/>
      <c r="I651" s="1715"/>
      <c r="J651" s="1715"/>
      <c r="K651" s="1715"/>
      <c r="L651" s="1715"/>
      <c r="M651" s="1715"/>
      <c r="N651" s="1715"/>
      <c r="O651" s="1715"/>
      <c r="P651" s="1715"/>
      <c r="Q651" s="1715"/>
      <c r="R651" s="1715"/>
      <c r="S651" s="1715"/>
      <c r="T651" s="1715"/>
      <c r="U651" s="1715"/>
      <c r="V651" s="1715"/>
      <c r="W651" s="1715"/>
      <c r="X651" s="1715">
        <f>+X630-IF(Last_forecast_year-Sector1!X649=2,Sector1!X646,IF(Last_forecast_year-Sector1!X649=1,Sector1!X646+Sector1!W646,Sector1!X646+Sector1!W646+Sector1!V646))</f>
        <v>13.965</v>
      </c>
      <c r="Y651" s="1715">
        <f>+Y630-IF(Last_forecast_year-Sector1!Y649=2,Sector1!Y646,IF(Last_forecast_year-Sector1!Y649=1,Sector1!Y646+Sector1!X646,Sector1!Y646+Sector1!X646+Sector1!W646))</f>
        <v>13.6</v>
      </c>
      <c r="Z651" s="1715">
        <f>+Z630-IF(Last_forecast_year-Sector1!Z649=2,Sector1!Z646,IF(Last_forecast_year-Sector1!Z649=1,Sector1!Z646+Sector1!Y646,Sector1!Z646+Sector1!Y646+Sector1!X646))</f>
        <v>5.3380000000000001</v>
      </c>
      <c r="AA651" s="1715">
        <f>+AA630-IF(Last_forecast_year-Sector1!AA649=2,Sector1!AA646,IF(Last_forecast_year-Sector1!AA649=1,Sector1!AA646+Sector1!Z646,Sector1!AA646+Sector1!Z646+Sector1!Y646))</f>
        <v>11.038</v>
      </c>
      <c r="AB651" s="1715">
        <f>+AB630-IF(Last_forecast_year-Sector1!AB649=2,Sector1!AB646,IF(Last_forecast_year-Sector1!AB649=1,Sector1!AB646+Sector1!AA646,Sector1!AB646+Sector1!AA646+Sector1!Z646))</f>
        <v>6.883</v>
      </c>
      <c r="AC651" s="1715">
        <f>+AC630-IF(Last_forecast_year-Sector1!AC649=2,Sector1!AC646,IF(Last_forecast_year-Sector1!AC649=1,Sector1!AC646+Sector1!AB646,Sector1!AC646+Sector1!AB646+Sector1!AA646))</f>
        <v>7.5030000000000001</v>
      </c>
      <c r="AD651" s="1715">
        <f>+AD630-IF(Last_forecast_year-Sector1!AD649=2,Sector1!AD646,IF(Last_forecast_year-Sector1!AD649=1,Sector1!AD646+Sector1!AC646,Sector1!AD646+Sector1!AC646+Sector1!AB646))</f>
        <v>6.0999999999999988</v>
      </c>
      <c r="AE651" s="1715">
        <f>+AE630-IF(Last_forecast_year-Sector1!AE649=2,Sector1!AE646,IF(Last_forecast_year-Sector1!AE649=1,Sector1!AE646+Sector1!AD646,Sector1!AE646+Sector1!AD646+Sector1!AC646))</f>
        <v>6.2219999999999986</v>
      </c>
      <c r="AF651" s="1715">
        <f>+AF630-IF(Last_forecast_year-Sector1!AF649=2,Sector1!AF646,IF(Last_forecast_year-Sector1!AF649=1,Sector1!AF646+Sector1!AE646,Sector1!AF646+Sector1!AE646+Sector1!AD646))</f>
        <v>6.3153299999999977</v>
      </c>
      <c r="AG651" s="2942"/>
      <c r="AH651" s="2939"/>
      <c r="AI651" s="2939"/>
      <c r="AJ651" s="2939"/>
      <c r="AK651" s="2939"/>
      <c r="AL651" s="2939"/>
      <c r="AM651" s="2939"/>
      <c r="AN651" s="2939"/>
      <c r="AO651" s="2939"/>
      <c r="AP651" s="2939"/>
      <c r="AQ651" s="2939"/>
      <c r="AR651" s="2942"/>
      <c r="AS651" s="2942"/>
      <c r="AT651" s="2942"/>
      <c r="BB651" s="3586">
        <v>7.1280000000000001</v>
      </c>
      <c r="BC651" s="736" t="str">
        <f t="shared" si="830"/>
        <v/>
      </c>
    </row>
    <row r="652" spans="1:55" ht="30" customHeight="1">
      <c r="K652" s="886"/>
      <c r="L652" s="2376"/>
      <c r="M652" s="886"/>
      <c r="X652" s="2322"/>
      <c r="Y652" s="2322"/>
      <c r="Z652" s="2322"/>
      <c r="AA652" s="2322"/>
      <c r="AB652" s="2322"/>
      <c r="AC652" s="2322"/>
      <c r="AD652" s="2322"/>
      <c r="AE652" s="2322"/>
      <c r="AF652" s="2322"/>
      <c r="BB652" s="3475"/>
      <c r="BC652" s="736" t="str">
        <f t="shared" si="830"/>
        <v/>
      </c>
    </row>
    <row r="653" spans="1:55" ht="12.75" customHeight="1">
      <c r="B653" s="701"/>
      <c r="C653" s="811"/>
      <c r="D653" s="812"/>
      <c r="E653" s="813" t="s">
        <v>1432</v>
      </c>
      <c r="F653" s="814"/>
      <c r="G653" s="815">
        <f>+InputY!$G$3</f>
        <v>1995</v>
      </c>
      <c r="H653" s="815">
        <f>+G653+1</f>
        <v>1996</v>
      </c>
      <c r="I653" s="815">
        <f t="shared" ref="I653:O653" si="835">+H653+1</f>
        <v>1997</v>
      </c>
      <c r="J653" s="815">
        <f t="shared" si="835"/>
        <v>1998</v>
      </c>
      <c r="K653" s="815">
        <f t="shared" si="835"/>
        <v>1999</v>
      </c>
      <c r="L653" s="815">
        <f t="shared" si="835"/>
        <v>2000</v>
      </c>
      <c r="M653" s="815">
        <f t="shared" si="835"/>
        <v>2001</v>
      </c>
      <c r="N653" s="815">
        <f t="shared" si="835"/>
        <v>2002</v>
      </c>
      <c r="O653" s="815">
        <f t="shared" si="835"/>
        <v>2003</v>
      </c>
      <c r="P653" s="815">
        <f>+O653+1</f>
        <v>2004</v>
      </c>
      <c r="Q653" s="815">
        <f>+P653+1</f>
        <v>2005</v>
      </c>
      <c r="R653" s="815">
        <f>+Q653+1</f>
        <v>2006</v>
      </c>
      <c r="S653" s="815">
        <f>+R653+1</f>
        <v>2007</v>
      </c>
      <c r="T653" s="815">
        <f t="shared" ref="T653:AF653" si="836">+S653+1</f>
        <v>2008</v>
      </c>
      <c r="U653" s="815">
        <f t="shared" si="836"/>
        <v>2009</v>
      </c>
      <c r="V653" s="815">
        <f t="shared" si="836"/>
        <v>2010</v>
      </c>
      <c r="W653" s="815">
        <f t="shared" si="836"/>
        <v>2011</v>
      </c>
      <c r="X653" s="2285">
        <f t="shared" si="836"/>
        <v>2012</v>
      </c>
      <c r="Y653" s="2285">
        <f t="shared" si="836"/>
        <v>2013</v>
      </c>
      <c r="Z653" s="2285">
        <f t="shared" si="836"/>
        <v>2014</v>
      </c>
      <c r="AA653" s="2285">
        <f t="shared" si="836"/>
        <v>2015</v>
      </c>
      <c r="AB653" s="2285">
        <f t="shared" si="836"/>
        <v>2016</v>
      </c>
      <c r="AC653" s="2285">
        <f t="shared" si="836"/>
        <v>2017</v>
      </c>
      <c r="AD653" s="2285">
        <f t="shared" si="836"/>
        <v>2018</v>
      </c>
      <c r="AE653" s="2285">
        <f t="shared" si="836"/>
        <v>2019</v>
      </c>
      <c r="AF653" s="2285">
        <f t="shared" si="836"/>
        <v>2020</v>
      </c>
      <c r="BB653" s="3470">
        <v>2016</v>
      </c>
      <c r="BC653" s="736" t="str">
        <f t="shared" si="830"/>
        <v/>
      </c>
    </row>
    <row r="654" spans="1:55" ht="12.75" customHeight="1">
      <c r="B654" s="701"/>
      <c r="C654" s="816" t="s">
        <v>1791</v>
      </c>
      <c r="D654" s="705" t="s">
        <v>666</v>
      </c>
      <c r="E654" s="817" t="s">
        <v>1868</v>
      </c>
      <c r="F654" s="738" t="str">
        <f t="shared" ref="F654:Z654" si="837">+F416</f>
        <v>$AComp</v>
      </c>
      <c r="G654" s="817">
        <f t="shared" si="837"/>
        <v>254.196</v>
      </c>
      <c r="H654" s="817">
        <f t="shared" si="837"/>
        <v>268.04500000000002</v>
      </c>
      <c r="I654" s="817">
        <f t="shared" si="837"/>
        <v>274.49599999999998</v>
      </c>
      <c r="J654" s="817">
        <f t="shared" si="837"/>
        <v>266.63799999999998</v>
      </c>
      <c r="K654" s="817">
        <f t="shared" si="837"/>
        <v>280.95800000000003</v>
      </c>
      <c r="L654" s="1034">
        <f t="shared" si="837"/>
        <v>294.495</v>
      </c>
      <c r="M654" s="817">
        <f t="shared" si="837"/>
        <v>311.065</v>
      </c>
      <c r="N654" s="817">
        <f t="shared" si="837"/>
        <v>327.976</v>
      </c>
      <c r="O654" s="817">
        <f t="shared" si="837"/>
        <v>350.36099999999999</v>
      </c>
      <c r="P654" s="817">
        <f t="shared" si="837"/>
        <v>361.548</v>
      </c>
      <c r="Q654" s="817">
        <f t="shared" si="837"/>
        <v>371.09899999999999</v>
      </c>
      <c r="R654" s="817">
        <f t="shared" si="837"/>
        <v>387.87700000000001</v>
      </c>
      <c r="S654" s="817">
        <f t="shared" si="837"/>
        <v>406.66199999999998</v>
      </c>
      <c r="T654" s="817">
        <f t="shared" si="837"/>
        <v>422.37099999999998</v>
      </c>
      <c r="U654" s="817">
        <f t="shared" si="837"/>
        <v>423.75599999999997</v>
      </c>
      <c r="V654" s="817">
        <f t="shared" si="837"/>
        <v>432.76</v>
      </c>
      <c r="W654" s="817">
        <f t="shared" si="837"/>
        <v>445.54700000000003</v>
      </c>
      <c r="X654" s="817">
        <f t="shared" si="837"/>
        <v>464.60700000000003</v>
      </c>
      <c r="Y654" s="817">
        <f t="shared" si="837"/>
        <v>481.25400000000002</v>
      </c>
      <c r="Z654" s="3390">
        <f t="shared" si="837"/>
        <v>499.613</v>
      </c>
      <c r="AA654" s="3390">
        <f t="shared" ref="AA654" si="838">+AA416</f>
        <v>522.40599999999995</v>
      </c>
      <c r="AB654" s="3390">
        <f t="shared" ref="AB654:AC654" si="839">+AB416</f>
        <v>552.30999999999995</v>
      </c>
      <c r="AC654" s="3390">
        <f t="shared" si="839"/>
        <v>580.47299999999996</v>
      </c>
      <c r="AD654" s="2335">
        <f t="shared" ref="AD654:AE654" si="840">+AD416</f>
        <v>609.1532079189999</v>
      </c>
      <c r="AE654" s="2335">
        <f t="shared" si="840"/>
        <v>634.15236677277699</v>
      </c>
      <c r="AF654" s="2335">
        <f t="shared" ref="AF654" si="841">+AF416</f>
        <v>658.52821828109757</v>
      </c>
      <c r="BB654" s="3577">
        <v>550.70500000000004</v>
      </c>
      <c r="BC654" s="736">
        <f t="shared" si="830"/>
        <v>1.6049999999999045</v>
      </c>
    </row>
    <row r="655" spans="1:55" ht="12.75" customHeight="1">
      <c r="B655" s="701"/>
      <c r="C655" s="819" t="s">
        <v>1791</v>
      </c>
      <c r="D655" s="711" t="s">
        <v>666</v>
      </c>
      <c r="E655" s="743" t="s">
        <v>837</v>
      </c>
      <c r="F655" s="743"/>
      <c r="G655" s="743">
        <f t="shared" ref="G655:Z655" si="842">+G417</f>
        <v>177.601</v>
      </c>
      <c r="H655" s="743">
        <f t="shared" si="842"/>
        <v>173.92699999999999</v>
      </c>
      <c r="I655" s="743">
        <f t="shared" si="842"/>
        <v>178.852</v>
      </c>
      <c r="J655" s="743">
        <f t="shared" si="842"/>
        <v>194.63900000000001</v>
      </c>
      <c r="K655" s="743">
        <f t="shared" si="842"/>
        <v>195.43899999999999</v>
      </c>
      <c r="L655" s="1084">
        <f t="shared" si="842"/>
        <v>195.14699999999999</v>
      </c>
      <c r="M655" s="743">
        <f t="shared" si="842"/>
        <v>203.596</v>
      </c>
      <c r="N655" s="743">
        <f t="shared" si="842"/>
        <v>214.55</v>
      </c>
      <c r="O655" s="743">
        <f t="shared" si="842"/>
        <v>220.34899999999999</v>
      </c>
      <c r="P655" s="743">
        <f t="shared" si="842"/>
        <v>223.28899999999999</v>
      </c>
      <c r="Q655" s="743">
        <f t="shared" si="842"/>
        <v>231.65100000000001</v>
      </c>
      <c r="R655" s="743">
        <f t="shared" si="842"/>
        <v>248.11699999999999</v>
      </c>
      <c r="S655" s="743">
        <f t="shared" si="842"/>
        <v>255.988</v>
      </c>
      <c r="T655" s="743">
        <f t="shared" si="842"/>
        <v>273.16000000000003</v>
      </c>
      <c r="U655" s="743">
        <f t="shared" si="842"/>
        <v>285.93</v>
      </c>
      <c r="V655" s="743">
        <f t="shared" si="842"/>
        <v>295.00900000000001</v>
      </c>
      <c r="W655" s="743">
        <f t="shared" si="842"/>
        <v>305.983</v>
      </c>
      <c r="X655" s="743">
        <f t="shared" si="842"/>
        <v>310.63499999999999</v>
      </c>
      <c r="Y655" s="743">
        <f t="shared" si="842"/>
        <v>320.90800000000002</v>
      </c>
      <c r="Z655" s="2281">
        <f t="shared" si="842"/>
        <v>329.14</v>
      </c>
      <c r="AA655" s="2281">
        <f t="shared" ref="AA655" si="843">+AA417</f>
        <v>340.60599999999999</v>
      </c>
      <c r="AB655" s="2281">
        <f t="shared" ref="AB655:AC655" si="844">+AB417</f>
        <v>352.54700000000003</v>
      </c>
      <c r="AC655" s="2281">
        <f t="shared" si="844"/>
        <v>358.77600000000001</v>
      </c>
      <c r="AD655" s="2333">
        <f t="shared" ref="AD655:AE655" ca="1" si="845">+AD417</f>
        <v>377.16647313963722</v>
      </c>
      <c r="AE655" s="2333">
        <f t="shared" ca="1" si="845"/>
        <v>390.10645678377944</v>
      </c>
      <c r="AF655" s="2333">
        <f t="shared" ref="AF655" ca="1" si="846">+AF417</f>
        <v>402.92820397364028</v>
      </c>
      <c r="BB655" s="3521">
        <v>353.56799999999998</v>
      </c>
      <c r="BC655" s="736">
        <f t="shared" si="830"/>
        <v>-1.0209999999999582</v>
      </c>
    </row>
    <row r="656" spans="1:55" ht="12.75" customHeight="1">
      <c r="B656" s="701"/>
      <c r="C656" s="819" t="s">
        <v>1791</v>
      </c>
      <c r="D656" s="711" t="s">
        <v>666</v>
      </c>
      <c r="E656" s="743" t="s">
        <v>838</v>
      </c>
      <c r="F656" s="743"/>
      <c r="G656" s="743">
        <f t="shared" ref="G656:Z656" si="847">+G418</f>
        <v>37.601999999999997</v>
      </c>
      <c r="H656" s="743">
        <f t="shared" si="847"/>
        <v>40.737000000000002</v>
      </c>
      <c r="I656" s="743">
        <f t="shared" si="847"/>
        <v>38.177999999999997</v>
      </c>
      <c r="J656" s="743">
        <f t="shared" si="847"/>
        <v>44.012</v>
      </c>
      <c r="K656" s="743">
        <f t="shared" si="847"/>
        <v>48.652999999999999</v>
      </c>
      <c r="L656" s="1084">
        <f t="shared" si="847"/>
        <v>56.917999999999999</v>
      </c>
      <c r="M656" s="743">
        <f t="shared" si="847"/>
        <v>61.926000000000002</v>
      </c>
      <c r="N656" s="743">
        <f t="shared" si="847"/>
        <v>70.578000000000003</v>
      </c>
      <c r="O656" s="743">
        <f t="shared" si="847"/>
        <v>74.308999999999997</v>
      </c>
      <c r="P656" s="743">
        <f t="shared" si="847"/>
        <v>73.302999999999997</v>
      </c>
      <c r="Q656" s="743">
        <f t="shared" si="847"/>
        <v>76.137</v>
      </c>
      <c r="R656" s="743">
        <f t="shared" si="847"/>
        <v>80.751999999999995</v>
      </c>
      <c r="S656" s="743">
        <f t="shared" si="847"/>
        <v>86.093999999999994</v>
      </c>
      <c r="T656" s="743">
        <f t="shared" si="847"/>
        <v>92.944999999999993</v>
      </c>
      <c r="U656" s="743">
        <f t="shared" si="847"/>
        <v>103.485</v>
      </c>
      <c r="V656" s="743">
        <f t="shared" si="847"/>
        <v>113.26</v>
      </c>
      <c r="W656" s="743">
        <f t="shared" si="847"/>
        <v>120.366</v>
      </c>
      <c r="X656" s="743">
        <f t="shared" si="847"/>
        <v>124.613</v>
      </c>
      <c r="Y656" s="743">
        <f t="shared" si="847"/>
        <v>132.017</v>
      </c>
      <c r="Z656" s="2281">
        <f t="shared" si="847"/>
        <v>141.18199999999999</v>
      </c>
      <c r="AA656" s="2281">
        <f t="shared" ref="AA656" si="848">+AA418</f>
        <v>153.696</v>
      </c>
      <c r="AB656" s="2281">
        <f t="shared" ref="AB656:AC656" si="849">+AB418</f>
        <v>171.90799999999999</v>
      </c>
      <c r="AC656" s="2281">
        <f t="shared" si="849"/>
        <v>172.83099999999999</v>
      </c>
      <c r="AD656" s="2333">
        <f t="shared" ref="AD656:AE656" si="850">+AD418</f>
        <v>177.15177499999999</v>
      </c>
      <c r="AE656" s="2333">
        <f t="shared" si="850"/>
        <v>181.58056937499998</v>
      </c>
      <c r="AF656" s="2333">
        <f t="shared" ref="AF656" si="851">+AF418</f>
        <v>186.12008360937497</v>
      </c>
      <c r="AN656" s="2942"/>
      <c r="AO656" s="2942"/>
      <c r="AP656" s="2942"/>
      <c r="AQ656" s="2942"/>
      <c r="BB656" s="3521">
        <v>165.15100000000001</v>
      </c>
      <c r="BC656" s="736">
        <f t="shared" si="830"/>
        <v>6.7569999999999766</v>
      </c>
    </row>
    <row r="657" spans="1:55" ht="12.75" customHeight="1">
      <c r="B657" s="701"/>
      <c r="C657" s="819" t="s">
        <v>1791</v>
      </c>
      <c r="D657" s="711" t="s">
        <v>666</v>
      </c>
      <c r="E657" s="743" t="s">
        <v>1668</v>
      </c>
      <c r="F657" s="741" t="s">
        <v>1152</v>
      </c>
      <c r="G657" s="743">
        <f t="shared" ref="G657:Z657" si="852">+G298</f>
        <v>324.35199999999998</v>
      </c>
      <c r="H657" s="743">
        <f t="shared" si="852"/>
        <v>317.47399999999999</v>
      </c>
      <c r="I657" s="743">
        <f t="shared" si="852"/>
        <v>320.11200000000002</v>
      </c>
      <c r="J657" s="743">
        <f t="shared" si="852"/>
        <v>332.70299999999997</v>
      </c>
      <c r="K657" s="743">
        <f t="shared" si="852"/>
        <v>345.29</v>
      </c>
      <c r="L657" s="1084">
        <f t="shared" si="852"/>
        <v>352.71600000000001</v>
      </c>
      <c r="M657" s="743">
        <f t="shared" si="852"/>
        <v>369.43599999999998</v>
      </c>
      <c r="N657" s="743">
        <f t="shared" si="852"/>
        <v>387.928</v>
      </c>
      <c r="O657" s="743">
        <f t="shared" si="852"/>
        <v>416.36700000000002</v>
      </c>
      <c r="P657" s="743">
        <f t="shared" si="852"/>
        <v>426.30599999999998</v>
      </c>
      <c r="Q657" s="743">
        <f t="shared" si="852"/>
        <v>435.13799999999998</v>
      </c>
      <c r="R657" s="743">
        <f t="shared" si="852"/>
        <v>446.697</v>
      </c>
      <c r="S657" s="743">
        <f t="shared" si="852"/>
        <v>448.86200000000002</v>
      </c>
      <c r="T657" s="743">
        <f t="shared" si="852"/>
        <v>462.101</v>
      </c>
      <c r="U657" s="743">
        <f t="shared" si="852"/>
        <v>488.28699999999998</v>
      </c>
      <c r="V657" s="743">
        <f t="shared" si="852"/>
        <v>491.79</v>
      </c>
      <c r="W657" s="743">
        <f t="shared" si="852"/>
        <v>491.85300000000001</v>
      </c>
      <c r="X657" s="743">
        <f t="shared" si="852"/>
        <v>515.91200000000003</v>
      </c>
      <c r="Y657" s="743">
        <f t="shared" si="852"/>
        <v>539.41899999999998</v>
      </c>
      <c r="Z657" s="2281">
        <f t="shared" si="852"/>
        <v>545.01300000000003</v>
      </c>
      <c r="AA657" s="2281">
        <f t="shared" ref="AA657" si="853">+AA298</f>
        <v>561.06600000000003</v>
      </c>
      <c r="AB657" s="2281">
        <f t="shared" ref="AB657:AC657" si="854">+AB298</f>
        <v>577.98</v>
      </c>
      <c r="AC657" s="2281">
        <f t="shared" si="854"/>
        <v>591.447</v>
      </c>
      <c r="AD657" s="2333">
        <f>+AD298</f>
        <v>612.44336850000002</v>
      </c>
      <c r="AE657" s="2333">
        <f>+AE298</f>
        <v>621.6300190275</v>
      </c>
      <c r="AF657" s="2333">
        <f>+AF298</f>
        <v>634.06261940804995</v>
      </c>
      <c r="AH657" s="2942"/>
      <c r="AI657" s="2942"/>
      <c r="AJ657" s="2942"/>
      <c r="AK657" s="2942"/>
      <c r="AL657" s="2942"/>
      <c r="AM657" s="2942"/>
      <c r="AN657" s="2950"/>
      <c r="AO657" s="2950"/>
      <c r="AP657" s="2950"/>
      <c r="AQ657" s="2950"/>
      <c r="BB657" s="3521">
        <v>577.96400000000006</v>
      </c>
      <c r="BC657" s="736" t="str">
        <f t="shared" si="830"/>
        <v/>
      </c>
    </row>
    <row r="658" spans="1:55" ht="12.75" customHeight="1">
      <c r="B658" s="701"/>
      <c r="C658" s="819" t="s">
        <v>1791</v>
      </c>
      <c r="D658" s="711" t="s">
        <v>666</v>
      </c>
      <c r="E658" s="743" t="s">
        <v>1262</v>
      </c>
      <c r="F658" s="741" t="s">
        <v>1154</v>
      </c>
      <c r="G658" s="743">
        <f t="shared" ref="G658:Z658" si="855">+G139</f>
        <v>96.671999999999997</v>
      </c>
      <c r="H658" s="743">
        <f t="shared" si="855"/>
        <v>100.435</v>
      </c>
      <c r="I658" s="743">
        <f t="shared" si="855"/>
        <v>101.459</v>
      </c>
      <c r="J658" s="743">
        <f t="shared" si="855"/>
        <v>92.584999999999994</v>
      </c>
      <c r="K658" s="743">
        <f t="shared" si="855"/>
        <v>85.978999999999999</v>
      </c>
      <c r="L658" s="743">
        <f t="shared" si="855"/>
        <v>78.953999999999994</v>
      </c>
      <c r="M658" s="743">
        <f t="shared" si="855"/>
        <v>64.691999999999993</v>
      </c>
      <c r="N658" s="743">
        <f t="shared" si="855"/>
        <v>74.091999999999999</v>
      </c>
      <c r="O658" s="743">
        <f t="shared" si="855"/>
        <v>55.999000000000002</v>
      </c>
      <c r="P658" s="743">
        <f t="shared" si="855"/>
        <v>47.375</v>
      </c>
      <c r="Q658" s="743">
        <f t="shared" si="855"/>
        <v>50.914000000000001</v>
      </c>
      <c r="R658" s="743">
        <f t="shared" si="855"/>
        <v>50.259</v>
      </c>
      <c r="S658" s="743">
        <f t="shared" si="855"/>
        <v>54.591000000000001</v>
      </c>
      <c r="T658" s="743">
        <f t="shared" si="855"/>
        <v>53.036999999999999</v>
      </c>
      <c r="U658" s="743">
        <f t="shared" si="855"/>
        <v>38.298000000000002</v>
      </c>
      <c r="V658" s="743">
        <f t="shared" si="855"/>
        <v>36.905000000000001</v>
      </c>
      <c r="W658" s="743">
        <f t="shared" si="855"/>
        <v>41.17</v>
      </c>
      <c r="X658" s="743">
        <f t="shared" si="855"/>
        <v>33.578000000000003</v>
      </c>
      <c r="Y658" s="743">
        <f t="shared" si="855"/>
        <v>30.331</v>
      </c>
      <c r="Z658" s="2281">
        <f t="shared" si="855"/>
        <v>26.745000000000001</v>
      </c>
      <c r="AA658" s="2281">
        <f t="shared" ref="AA658" si="856">+AA139</f>
        <v>18.783000000000001</v>
      </c>
      <c r="AB658" s="2281">
        <f t="shared" ref="AB658:AC658" si="857">+AB139</f>
        <v>18.178000000000001</v>
      </c>
      <c r="AC658" s="2281">
        <f t="shared" si="857"/>
        <v>16.094000000000001</v>
      </c>
      <c r="AD658" s="2333">
        <f>+AD139</f>
        <v>14.162720000000002</v>
      </c>
      <c r="AE658" s="2333">
        <f>+AE139</f>
        <v>12.463193600000002</v>
      </c>
      <c r="AF658" s="2333">
        <f>+AF139</f>
        <v>16.825311360000004</v>
      </c>
      <c r="AH658" s="2950"/>
      <c r="AI658" s="2950"/>
      <c r="AJ658" s="2950"/>
      <c r="AK658" s="2950"/>
      <c r="AL658" s="2950"/>
      <c r="AM658" s="2950"/>
      <c r="AN658" s="2947"/>
      <c r="AO658" s="2947"/>
      <c r="AP658" s="2947"/>
      <c r="AQ658" s="2947"/>
      <c r="BB658" s="3521">
        <v>19.117000000000001</v>
      </c>
      <c r="BC658" s="736" t="str">
        <f t="shared" si="830"/>
        <v/>
      </c>
    </row>
    <row r="659" spans="1:55" ht="12.75" customHeight="1">
      <c r="B659" s="701"/>
      <c r="C659" s="819" t="s">
        <v>1791</v>
      </c>
      <c r="D659" s="711" t="s">
        <v>666</v>
      </c>
      <c r="E659" s="743" t="s">
        <v>1801</v>
      </c>
      <c r="F659" s="741" t="s">
        <v>2042</v>
      </c>
      <c r="G659" s="743">
        <f t="shared" ref="G659:Z659" si="858">+G50</f>
        <v>65.78</v>
      </c>
      <c r="H659" s="743">
        <f t="shared" si="858"/>
        <v>58.389000000000003</v>
      </c>
      <c r="I659" s="743">
        <f t="shared" si="858"/>
        <v>51.036999999999999</v>
      </c>
      <c r="J659" s="743">
        <f t="shared" si="858"/>
        <v>42.825000000000003</v>
      </c>
      <c r="K659" s="743">
        <f t="shared" si="858"/>
        <v>41.738999999999997</v>
      </c>
      <c r="L659" s="743">
        <f t="shared" si="858"/>
        <v>36.072000000000003</v>
      </c>
      <c r="M659" s="743">
        <f t="shared" si="858"/>
        <v>34.488</v>
      </c>
      <c r="N659" s="743">
        <f t="shared" si="858"/>
        <v>37.427999999999997</v>
      </c>
      <c r="O659" s="743">
        <f t="shared" si="858"/>
        <v>38.99</v>
      </c>
      <c r="P659" s="743">
        <f t="shared" si="858"/>
        <v>37.92</v>
      </c>
      <c r="Q659" s="743">
        <f t="shared" si="858"/>
        <v>40.715000000000003</v>
      </c>
      <c r="R659" s="743">
        <f t="shared" si="858"/>
        <v>45.210999999999999</v>
      </c>
      <c r="S659" s="743">
        <f t="shared" si="858"/>
        <v>46.545999999999999</v>
      </c>
      <c r="T659" s="743">
        <f t="shared" si="858"/>
        <v>49.337000000000003</v>
      </c>
      <c r="U659" s="743">
        <f t="shared" si="858"/>
        <v>50.597000000000001</v>
      </c>
      <c r="V659" s="743">
        <f t="shared" si="858"/>
        <v>55.411999999999999</v>
      </c>
      <c r="W659" s="743">
        <f t="shared" si="858"/>
        <v>59.75</v>
      </c>
      <c r="X659" s="743">
        <f t="shared" si="858"/>
        <v>61.973999999999997</v>
      </c>
      <c r="Y659" s="743">
        <f t="shared" si="858"/>
        <v>62.9</v>
      </c>
      <c r="Z659" s="2281">
        <f t="shared" si="858"/>
        <v>66.605000000000004</v>
      </c>
      <c r="AA659" s="2281">
        <f t="shared" ref="AA659" si="859">+AA50</f>
        <v>66.426000000000002</v>
      </c>
      <c r="AB659" s="2281">
        <f t="shared" ref="AB659:AC659" si="860">+AB50</f>
        <v>69.564999999999998</v>
      </c>
      <c r="AC659" s="2281">
        <f t="shared" si="860"/>
        <v>71.599999999999994</v>
      </c>
      <c r="AD659" s="2333">
        <f>+AD50</f>
        <v>73.599230000000006</v>
      </c>
      <c r="AE659" s="2333">
        <f>+AE50</f>
        <v>75.687790700000008</v>
      </c>
      <c r="AF659" s="2333">
        <f>+AF50</f>
        <v>77.869020677000009</v>
      </c>
      <c r="AH659" s="2947"/>
      <c r="AI659" s="2947"/>
      <c r="AJ659" s="2947"/>
      <c r="AK659" s="2947"/>
      <c r="AL659" s="2947"/>
      <c r="AM659" s="2947"/>
      <c r="BB659" s="3521">
        <v>71.22</v>
      </c>
      <c r="BC659" s="736">
        <f t="shared" si="830"/>
        <v>-1.6550000000000011</v>
      </c>
    </row>
    <row r="660" spans="1:55" ht="12.75" customHeight="1">
      <c r="B660" s="701"/>
      <c r="C660" s="819" t="s">
        <v>1791</v>
      </c>
      <c r="D660" s="711" t="s">
        <v>666</v>
      </c>
      <c r="E660" s="743" t="s">
        <v>1396</v>
      </c>
      <c r="F660" s="741" t="s">
        <v>1542</v>
      </c>
      <c r="G660" s="743">
        <f>+G756</f>
        <v>133.28199999999998</v>
      </c>
      <c r="H660" s="743">
        <f t="shared" ref="H660:Q660" si="861">+H756</f>
        <v>131.38400000000001</v>
      </c>
      <c r="I660" s="743">
        <f t="shared" si="861"/>
        <v>132.60300000000001</v>
      </c>
      <c r="J660" s="743">
        <f t="shared" si="861"/>
        <v>155.02799999999999</v>
      </c>
      <c r="K660" s="743">
        <f t="shared" si="861"/>
        <v>158.733</v>
      </c>
      <c r="L660" s="743">
        <f t="shared" si="861"/>
        <v>159.89499999999998</v>
      </c>
      <c r="M660" s="743">
        <f t="shared" si="861"/>
        <v>156.32299999999998</v>
      </c>
      <c r="N660" s="743">
        <f t="shared" si="861"/>
        <v>156.07999999999998</v>
      </c>
      <c r="O660" s="743">
        <f t="shared" si="861"/>
        <v>172.34899999999999</v>
      </c>
      <c r="P660" s="743">
        <f t="shared" si="861"/>
        <v>183.28199999999998</v>
      </c>
      <c r="Q660" s="743">
        <f t="shared" si="861"/>
        <v>190.26499999999999</v>
      </c>
      <c r="R660" s="743">
        <f t="shared" ref="R660:Z660" si="862">+R756</f>
        <v>192.68400000000003</v>
      </c>
      <c r="S660" s="743">
        <f t="shared" si="862"/>
        <v>189.423</v>
      </c>
      <c r="T660" s="743">
        <f t="shared" si="862"/>
        <v>195.43500000000003</v>
      </c>
      <c r="U660" s="743">
        <f t="shared" si="862"/>
        <v>194.309</v>
      </c>
      <c r="V660" s="743">
        <f t="shared" si="862"/>
        <v>202.66300000000001</v>
      </c>
      <c r="W660" s="743">
        <f t="shared" si="862"/>
        <v>203.06799999999998</v>
      </c>
      <c r="X660" s="743">
        <f t="shared" si="862"/>
        <v>205.40200000000002</v>
      </c>
      <c r="Y660" s="743">
        <f t="shared" si="862"/>
        <v>217.73</v>
      </c>
      <c r="Z660" s="2281">
        <f t="shared" si="862"/>
        <v>222.79400000000001</v>
      </c>
      <c r="AA660" s="2281">
        <f t="shared" ref="AA660" si="863">+AA756</f>
        <v>231.75400000000002</v>
      </c>
      <c r="AB660" s="2281">
        <f t="shared" ref="AB660:AC660" si="864">+AB756</f>
        <v>234.024</v>
      </c>
      <c r="AC660" s="2281">
        <f t="shared" si="864"/>
        <v>251.79</v>
      </c>
      <c r="AD660" s="2333">
        <f ca="1">+AD756</f>
        <v>263.27831096784746</v>
      </c>
      <c r="AE660" s="2333">
        <f ca="1">+AE756</f>
        <v>273.90264508787186</v>
      </c>
      <c r="AF660" s="2333">
        <f ca="1">+AF756</f>
        <v>283.82945577381952</v>
      </c>
      <c r="BB660" s="3521">
        <v>250.767</v>
      </c>
      <c r="BC660" s="736">
        <f t="shared" si="830"/>
        <v>-16.742999999999995</v>
      </c>
    </row>
    <row r="661" spans="1:55" ht="12.75" customHeight="1">
      <c r="B661" s="701"/>
      <c r="C661" s="819" t="s">
        <v>1793</v>
      </c>
      <c r="D661" s="783" t="s">
        <v>666</v>
      </c>
      <c r="E661" s="836" t="s">
        <v>1540</v>
      </c>
      <c r="F661" s="785" t="s">
        <v>651</v>
      </c>
      <c r="G661" s="836">
        <f>+G654+G655+G656+G657+G658+G659+G660</f>
        <v>1089.4849999999999</v>
      </c>
      <c r="H661" s="836">
        <f t="shared" ref="H661:V661" si="865">+H654+H655+H656+H657+H658+H659+H660</f>
        <v>1090.3910000000001</v>
      </c>
      <c r="I661" s="836">
        <f t="shared" si="865"/>
        <v>1096.7370000000001</v>
      </c>
      <c r="J661" s="836">
        <f t="shared" si="865"/>
        <v>1128.43</v>
      </c>
      <c r="K661" s="836">
        <f t="shared" si="865"/>
        <v>1156.7910000000002</v>
      </c>
      <c r="L661" s="836">
        <f t="shared" si="865"/>
        <v>1174.1969999999999</v>
      </c>
      <c r="M661" s="836">
        <f t="shared" si="865"/>
        <v>1201.5260000000003</v>
      </c>
      <c r="N661" s="836">
        <f t="shared" si="865"/>
        <v>1268.6320000000001</v>
      </c>
      <c r="O661" s="836">
        <f t="shared" si="865"/>
        <v>1328.7239999999999</v>
      </c>
      <c r="P661" s="836">
        <f t="shared" si="865"/>
        <v>1353.0229999999999</v>
      </c>
      <c r="Q661" s="836">
        <f t="shared" si="865"/>
        <v>1395.9189999999999</v>
      </c>
      <c r="R661" s="836">
        <f t="shared" si="865"/>
        <v>1451.597</v>
      </c>
      <c r="S661" s="836">
        <f t="shared" si="865"/>
        <v>1488.1659999999999</v>
      </c>
      <c r="T661" s="836">
        <f t="shared" si="865"/>
        <v>1548.3859999999997</v>
      </c>
      <c r="U661" s="836">
        <f t="shared" si="865"/>
        <v>1584.6619999999998</v>
      </c>
      <c r="V661" s="836">
        <f t="shared" si="865"/>
        <v>1627.799</v>
      </c>
      <c r="W661" s="836">
        <f t="shared" ref="W661:AA661" si="866">+W654+W655+W656+W657+W658+W659+W660</f>
        <v>1667.7370000000001</v>
      </c>
      <c r="X661" s="836">
        <f t="shared" si="866"/>
        <v>1716.721</v>
      </c>
      <c r="Y661" s="836">
        <f t="shared" si="866"/>
        <v>1784.559</v>
      </c>
      <c r="Z661" s="3401">
        <f t="shared" si="866"/>
        <v>1831.0919999999999</v>
      </c>
      <c r="AA661" s="3401">
        <f t="shared" si="866"/>
        <v>1894.7369999999996</v>
      </c>
      <c r="AB661" s="3401">
        <f t="shared" ref="AB661" si="867">+AB654+AB655+AB656+AB657+AB658+AB659+AB660</f>
        <v>1976.5120000000002</v>
      </c>
      <c r="AC661" s="3401">
        <f t="shared" ref="AC661" si="868">+AC654+AC655+AC656+AC657+AC658+AC659+AC660</f>
        <v>2043.011</v>
      </c>
      <c r="AD661" s="2371">
        <f ca="1">+AD654+AD655+AD656+AD657+AD658+AD659+AD660</f>
        <v>2126.9550855264847</v>
      </c>
      <c r="AE661" s="2371">
        <f ca="1">+AE654+AE655+AE656+AE657+AE658+AE659+AE660</f>
        <v>2189.523041346928</v>
      </c>
      <c r="AF661" s="2371">
        <f ca="1">+AF654+AF655+AF656+AF657+AF658+AF659+AF660</f>
        <v>2260.1629130829824</v>
      </c>
      <c r="BB661" s="3578">
        <v>1988.492</v>
      </c>
      <c r="BC661" s="736">
        <f t="shared" si="830"/>
        <v>-11.979999999999791</v>
      </c>
    </row>
    <row r="662" spans="1:55" ht="12.75" customHeight="1">
      <c r="B662" s="701"/>
      <c r="C662" s="819" t="s">
        <v>1791</v>
      </c>
      <c r="D662" s="711" t="s">
        <v>666</v>
      </c>
      <c r="E662" s="743" t="str">
        <f>+'VVP2'!E229</f>
        <v>Gross fixed capital formation (P.51)</v>
      </c>
      <c r="F662" s="741" t="str">
        <f>+'VVP2'!F229</f>
        <v>$AI</v>
      </c>
      <c r="G662" s="743">
        <f>+'VVP2'!G229</f>
        <v>96.528000000000006</v>
      </c>
      <c r="H662" s="743">
        <f>+'VVP2'!H229</f>
        <v>95.433000000000007</v>
      </c>
      <c r="I662" s="743">
        <f>+'VVP2'!I229</f>
        <v>87.947000000000003</v>
      </c>
      <c r="J662" s="743">
        <f>+'VVP2'!J229</f>
        <v>92.037000000000006</v>
      </c>
      <c r="K662" s="743">
        <f>+'VVP2'!K229</f>
        <v>97.268000000000001</v>
      </c>
      <c r="L662" s="1084">
        <f>+'VVP2'!L229</f>
        <v>93.668999999999997</v>
      </c>
      <c r="M662" s="743">
        <f>+'VVP2'!M229</f>
        <v>102.95699999999999</v>
      </c>
      <c r="N662" s="743">
        <f>+'VVP2'!N229</f>
        <v>111.72499999999999</v>
      </c>
      <c r="O662" s="743">
        <f>+'VVP2'!O229</f>
        <v>112.456</v>
      </c>
      <c r="P662" s="743">
        <f>+'VVP2'!P229</f>
        <v>115.19499999999999</v>
      </c>
      <c r="Q662" s="743">
        <f>+'VVP2'!Q229</f>
        <v>119.395</v>
      </c>
      <c r="R662" s="743">
        <f>+'VVP2'!R229</f>
        <v>127.952</v>
      </c>
      <c r="S662" s="743">
        <f>+'VVP2'!S229</f>
        <v>135.08099999999999</v>
      </c>
      <c r="T662" s="743">
        <f>+'VVP2'!T229</f>
        <v>144.477</v>
      </c>
      <c r="U662" s="743">
        <f>+'VVP2'!U229</f>
        <v>147.809</v>
      </c>
      <c r="V662" s="743">
        <f>+'VVP2'!V229</f>
        <v>158.89099999999999</v>
      </c>
      <c r="W662" s="743">
        <f>+'VVP2'!W229</f>
        <v>162.20400000000001</v>
      </c>
      <c r="X662" s="743">
        <f>+'VVP2'!X229</f>
        <v>167.86799999999999</v>
      </c>
      <c r="Y662" s="743">
        <f>+'VVP2'!Y229</f>
        <v>168.19200000000001</v>
      </c>
      <c r="Z662" s="2281">
        <f>+'VVP2'!Z229</f>
        <v>173.15700000000001</v>
      </c>
      <c r="AA662" s="2281">
        <f>+'VVP2'!AA229</f>
        <v>175.76900000000001</v>
      </c>
      <c r="AB662" s="2281">
        <f>+'VVP2'!AB229</f>
        <v>192.80699999999999</v>
      </c>
      <c r="AC662" s="2281">
        <f>+'VVP2'!AC229</f>
        <v>209.73699999999999</v>
      </c>
      <c r="AD662" s="2333">
        <f ca="1">+'VVP2'!AD229</f>
        <v>225.10463972699998</v>
      </c>
      <c r="AE662" s="2333">
        <f ca="1">+'VVP2'!AE229</f>
        <v>237.1864559504275</v>
      </c>
      <c r="AF662" s="2333">
        <f ca="1">+'VVP2'!AF229</f>
        <v>245.79039464002921</v>
      </c>
      <c r="BB662" s="3521">
        <v>193.09399999999999</v>
      </c>
      <c r="BC662" s="736" t="str">
        <f t="shared" si="830"/>
        <v/>
      </c>
    </row>
    <row r="663" spans="1:55" s="921" customFormat="1" ht="12.75" customHeight="1">
      <c r="A663" s="700"/>
      <c r="B663" s="701"/>
      <c r="C663" s="879" t="s">
        <v>1791</v>
      </c>
      <c r="D663" s="927" t="s">
        <v>666</v>
      </c>
      <c r="E663" s="1486" t="s">
        <v>1395</v>
      </c>
      <c r="F663" s="1487" t="s">
        <v>652</v>
      </c>
      <c r="G663" s="1486">
        <f>+G762</f>
        <v>10.986000000000001</v>
      </c>
      <c r="H663" s="1486">
        <f t="shared" ref="H663:O663" si="869">+H762</f>
        <v>1.8209999999999997</v>
      </c>
      <c r="I663" s="1486">
        <f t="shared" si="869"/>
        <v>12.283999999999999</v>
      </c>
      <c r="J663" s="1486">
        <f t="shared" si="869"/>
        <v>-11.044999999999998</v>
      </c>
      <c r="K663" s="1486">
        <f t="shared" si="869"/>
        <v>6.1479999999999997</v>
      </c>
      <c r="L663" s="1486">
        <f t="shared" si="869"/>
        <v>2.2290000000000001</v>
      </c>
      <c r="M663" s="1486">
        <f t="shared" si="869"/>
        <v>3.3639999999999999</v>
      </c>
      <c r="N663" s="1486">
        <f t="shared" si="869"/>
        <v>5.7990000000000013</v>
      </c>
      <c r="O663" s="1486">
        <f t="shared" si="869"/>
        <v>5.8139999999999992</v>
      </c>
      <c r="P663" s="1486">
        <f t="shared" ref="P663:Z663" si="870">+P762</f>
        <v>2.806</v>
      </c>
      <c r="Q663" s="1486">
        <f t="shared" si="870"/>
        <v>7.3160000000000007</v>
      </c>
      <c r="R663" s="1486">
        <f t="shared" si="870"/>
        <v>2.1069999999999984</v>
      </c>
      <c r="S663" s="1486">
        <f t="shared" si="870"/>
        <v>3.4300000000000006</v>
      </c>
      <c r="T663" s="1486">
        <f t="shared" si="870"/>
        <v>3.2389999999999999</v>
      </c>
      <c r="U663" s="1486">
        <f t="shared" si="870"/>
        <v>2.4369999999999994</v>
      </c>
      <c r="V663" s="1486">
        <f t="shared" si="870"/>
        <v>1.9329999999999998</v>
      </c>
      <c r="W663" s="1486">
        <f t="shared" si="870"/>
        <v>9.8320000000000007</v>
      </c>
      <c r="X663" s="1486">
        <f t="shared" si="870"/>
        <v>7.9369999999999994</v>
      </c>
      <c r="Y663" s="1486">
        <f t="shared" si="870"/>
        <v>7.8810000000000002</v>
      </c>
      <c r="Z663" s="3402">
        <f t="shared" si="870"/>
        <v>8.652000000000001</v>
      </c>
      <c r="AA663" s="3402">
        <f t="shared" ref="AA663" si="871">+AA762</f>
        <v>14.933000000000002</v>
      </c>
      <c r="AB663" s="3402">
        <f t="shared" ref="AB663:AC663" si="872">+AB762</f>
        <v>9.7029999999999994</v>
      </c>
      <c r="AC663" s="3402">
        <f t="shared" si="872"/>
        <v>4.8720000000000008</v>
      </c>
      <c r="AD663" s="2372">
        <f ca="1">+AD762</f>
        <v>7.6002611881767344</v>
      </c>
      <c r="AE663" s="2372">
        <f ca="1">+AE762</f>
        <v>12.899194562066155</v>
      </c>
      <c r="AF663" s="2372">
        <f ca="1">+AF762</f>
        <v>13.347806775477242</v>
      </c>
      <c r="AG663" s="2942"/>
      <c r="AH663" s="2939"/>
      <c r="AI663" s="2939"/>
      <c r="AJ663" s="2939"/>
      <c r="AK663" s="2939"/>
      <c r="AL663" s="2939"/>
      <c r="AM663" s="2939"/>
      <c r="AN663" s="2939"/>
      <c r="AO663" s="2939"/>
      <c r="AP663" s="2939"/>
      <c r="AQ663" s="2939"/>
      <c r="AR663" s="2942"/>
      <c r="AS663" s="2942"/>
      <c r="AT663" s="2942"/>
      <c r="BB663" s="3579">
        <v>11.780000000000001</v>
      </c>
      <c r="BC663" s="736">
        <f t="shared" si="830"/>
        <v>-2.0770000000000017</v>
      </c>
    </row>
    <row r="664" spans="1:55" s="1" customFormat="1">
      <c r="A664" s="701">
        <f>+ROW(InputY!A176)</f>
        <v>176</v>
      </c>
      <c r="B664" s="2266">
        <v>129</v>
      </c>
      <c r="C664" s="747"/>
      <c r="D664" s="2267" t="s">
        <v>666</v>
      </c>
      <c r="E664" s="1100" t="s">
        <v>1980</v>
      </c>
      <c r="F664" s="2268" t="s">
        <v>1411</v>
      </c>
      <c r="G664" s="1101">
        <f>+InputY!G176/1000</f>
        <v>1196.999</v>
      </c>
      <c r="H664" s="1101">
        <f>+InputY!H176/1000</f>
        <v>1187.645</v>
      </c>
      <c r="I664" s="1101">
        <f>+InputY!I176/1000</f>
        <v>1196.9680000000001</v>
      </c>
      <c r="J664" s="1101">
        <f>+InputY!J176/1000</f>
        <v>1209.422</v>
      </c>
      <c r="K664" s="1101">
        <f>+InputY!K176/1000</f>
        <v>1260.2070000000001</v>
      </c>
      <c r="L664" s="1101">
        <f>+InputY!L176/1000</f>
        <v>1270.095</v>
      </c>
      <c r="M664" s="1101">
        <f>+InputY!M176/1000</f>
        <v>1307.847</v>
      </c>
      <c r="N664" s="1101">
        <f>+InputY!N176/1000</f>
        <v>1386.1559999999999</v>
      </c>
      <c r="O664" s="1101">
        <f>+InputY!O176/1000</f>
        <v>1446.9939999999999</v>
      </c>
      <c r="P664" s="1101">
        <f>+InputY!P176/1000</f>
        <v>1471.0239999999999</v>
      </c>
      <c r="Q664" s="1101">
        <f>+InputY!Q176/1000</f>
        <v>1522.63</v>
      </c>
      <c r="R664" s="1101">
        <f>+InputY!R176/1000</f>
        <v>1581.6559999999999</v>
      </c>
      <c r="S664" s="1101">
        <f>+InputY!S176/1000</f>
        <v>1626.6769999999999</v>
      </c>
      <c r="T664" s="1101">
        <f>+InputY!T176/1000</f>
        <v>1696.1020000000001</v>
      </c>
      <c r="U664" s="1101">
        <f>+InputY!U176/1000</f>
        <v>1734.9079999999999</v>
      </c>
      <c r="V664" s="1101">
        <f>+InputY!V176/1000</f>
        <v>1788.623</v>
      </c>
      <c r="W664" s="1101">
        <f>+InputY!W176/1000</f>
        <v>1839.7729999999999</v>
      </c>
      <c r="X664" s="1101">
        <f>+InputY!X176/1000</f>
        <v>1892.5260000000001</v>
      </c>
      <c r="Y664" s="1101">
        <f>+InputY!Y176/1000</f>
        <v>1960.6320000000001</v>
      </c>
      <c r="Z664" s="1101">
        <f>+InputY!Z176/1000</f>
        <v>2012.9010000000001</v>
      </c>
      <c r="AA664" s="1101">
        <f>+InputY!AA176/1000</f>
        <v>2085.4389999999999</v>
      </c>
      <c r="AB664" s="1101">
        <f>+InputY!AB176/1000</f>
        <v>2179.0219999999999</v>
      </c>
      <c r="AC664" s="1101">
        <f>+InputY!AC176/1000</f>
        <v>2257.62</v>
      </c>
      <c r="AD664" s="2286">
        <f ca="1">+AD661+AD662+AD663</f>
        <v>2359.6599864416617</v>
      </c>
      <c r="AE664" s="2286">
        <f ca="1">+AE661+AE662+AE663</f>
        <v>2439.6086918594215</v>
      </c>
      <c r="AF664" s="2286">
        <f ca="1">+AF661+AF662+AF663</f>
        <v>2519.3011144984889</v>
      </c>
      <c r="AG664" s="2950"/>
      <c r="AH664" s="2939"/>
      <c r="AI664" s="2939"/>
      <c r="AJ664" s="2939"/>
      <c r="AK664" s="2939"/>
      <c r="AL664" s="2939"/>
      <c r="AM664" s="2939"/>
      <c r="AN664" s="2939"/>
      <c r="AO664" s="2939"/>
      <c r="AP664" s="2939"/>
      <c r="AQ664" s="2939"/>
      <c r="AR664" s="2950"/>
      <c r="AS664" s="2950"/>
      <c r="AT664" s="2950"/>
      <c r="BB664" s="3576">
        <v>2193.366</v>
      </c>
      <c r="BC664" s="736">
        <f t="shared" si="830"/>
        <v>-14.344000000000051</v>
      </c>
    </row>
    <row r="665" spans="1:55" s="2036" customFormat="1" ht="12.75" customHeight="1">
      <c r="A665" s="1036"/>
      <c r="B665" s="1036"/>
      <c r="C665" s="1647"/>
      <c r="D665" s="2035"/>
      <c r="E665" s="2033" t="s">
        <v>90</v>
      </c>
      <c r="F665" s="2034"/>
      <c r="G665" s="2269">
        <f>ABS(G664-G661-G662-G663)</f>
        <v>1.1723955140041653E-13</v>
      </c>
      <c r="H665" s="2269">
        <f t="shared" ref="H665:P665" si="873">ABS(H664-H661-H662-H663)</f>
        <v>1.0125233984581428E-13</v>
      </c>
      <c r="I665" s="2269">
        <f t="shared" si="873"/>
        <v>7.1054273576010019E-15</v>
      </c>
      <c r="J665" s="2269">
        <f t="shared" si="873"/>
        <v>4.6185277824406512E-14</v>
      </c>
      <c r="K665" s="2269">
        <f t="shared" si="873"/>
        <v>6.0396132539608516E-14</v>
      </c>
      <c r="L665" s="2269">
        <f t="shared" si="873"/>
        <v>1.4122036873231991E-13</v>
      </c>
      <c r="M665" s="2269">
        <f t="shared" si="873"/>
        <v>3.0819791163594346E-13</v>
      </c>
      <c r="N665" s="2269">
        <f t="shared" si="873"/>
        <v>1.0835776720341528E-13</v>
      </c>
      <c r="O665" s="2269">
        <f t="shared" si="873"/>
        <v>2.042810365310288E-14</v>
      </c>
      <c r="P665" s="2269">
        <f t="shared" si="873"/>
        <v>1.6875389974302379E-14</v>
      </c>
      <c r="Q665" s="2269">
        <f t="shared" ref="Q665:V665" si="874">ABS(Q664-Q661-Q662-Q663)</f>
        <v>2.4336088699783431E-13</v>
      </c>
      <c r="R665" s="2269">
        <f t="shared" si="874"/>
        <v>2.7533531010703882E-14</v>
      </c>
      <c r="S665" s="2269">
        <f t="shared" si="874"/>
        <v>2.2204460492503131E-14</v>
      </c>
      <c r="T665" s="2269">
        <f t="shared" si="874"/>
        <v>3.4550140526334872E-13</v>
      </c>
      <c r="U665" s="2269">
        <f t="shared" si="874"/>
        <v>9.7699626167013776E-14</v>
      </c>
      <c r="V665" s="2269">
        <f t="shared" si="874"/>
        <v>7.815970093361102E-14</v>
      </c>
      <c r="W665" s="2269">
        <f t="shared" ref="W665:AC665" si="875">ABS(W664-W661-W662-W663)</f>
        <v>1.7763568394002505E-13</v>
      </c>
      <c r="X665" s="2269">
        <f t="shared" si="875"/>
        <v>6.9277916736609768E-14</v>
      </c>
      <c r="Y665" s="2269">
        <f t="shared" si="875"/>
        <v>8.5265128291212022E-14</v>
      </c>
      <c r="Z665" s="2269">
        <f t="shared" si="875"/>
        <v>1.8474111129762605E-13</v>
      </c>
      <c r="AA665" s="2269">
        <f t="shared" si="875"/>
        <v>2.1849189124623081E-13</v>
      </c>
      <c r="AB665" s="2269">
        <f t="shared" si="875"/>
        <v>2.2382096176443156E-13</v>
      </c>
      <c r="AC665" s="2269">
        <f t="shared" si="875"/>
        <v>7.1942451995710144E-14</v>
      </c>
      <c r="AD665" s="3014">
        <f ca="1">ABS(AD664-AD661-AD662-AD663)</f>
        <v>2.3803181647963356E-13</v>
      </c>
      <c r="AE665" s="3014">
        <f ca="1">ABS(AE664-AE661-AE662-AE663)</f>
        <v>2.2559731860383181E-13</v>
      </c>
      <c r="AF665" s="3014">
        <f ca="1">ABS(AF664-AF661-AF662-AF663)</f>
        <v>5.3290705182007514E-14</v>
      </c>
      <c r="AG665" s="2947"/>
      <c r="AH665" s="2939"/>
      <c r="AI665" s="2939"/>
      <c r="AJ665" s="2939"/>
      <c r="AK665" s="2939"/>
      <c r="AL665" s="2939"/>
      <c r="AM665" s="2939"/>
      <c r="AN665" s="2939"/>
      <c r="AO665" s="2939"/>
      <c r="AP665" s="2939"/>
      <c r="AQ665" s="2939"/>
      <c r="AR665" s="2947"/>
      <c r="AS665" s="2947"/>
      <c r="AT665" s="2947"/>
      <c r="BB665" s="3580">
        <v>2.8421709430404007E-14</v>
      </c>
      <c r="BC665" s="736" t="str">
        <f t="shared" si="830"/>
        <v/>
      </c>
    </row>
    <row r="666" spans="1:55">
      <c r="L666" s="886"/>
      <c r="Q666" s="736"/>
      <c r="R666" s="736"/>
      <c r="S666" s="736"/>
      <c r="T666" s="736"/>
      <c r="U666" s="736"/>
      <c r="V666" s="736"/>
      <c r="W666" s="736"/>
      <c r="BC666" s="736" t="str">
        <f t="shared" si="830"/>
        <v/>
      </c>
    </row>
    <row r="667" spans="1:55" ht="12.75" customHeight="1">
      <c r="B667" s="701"/>
      <c r="C667" s="811"/>
      <c r="D667" s="1019"/>
      <c r="E667" s="1020" t="s">
        <v>532</v>
      </c>
      <c r="F667" s="1937"/>
      <c r="G667" s="1021">
        <f>+InputY!$G$3</f>
        <v>1995</v>
      </c>
      <c r="H667" s="1021">
        <f>+G667+1</f>
        <v>1996</v>
      </c>
      <c r="I667" s="1021">
        <f t="shared" ref="I667:O667" si="876">+H667+1</f>
        <v>1997</v>
      </c>
      <c r="J667" s="1021">
        <f t="shared" si="876"/>
        <v>1998</v>
      </c>
      <c r="K667" s="1021">
        <f t="shared" si="876"/>
        <v>1999</v>
      </c>
      <c r="L667" s="1021">
        <f t="shared" si="876"/>
        <v>2000</v>
      </c>
      <c r="M667" s="1021">
        <f t="shared" si="876"/>
        <v>2001</v>
      </c>
      <c r="N667" s="1021">
        <f t="shared" si="876"/>
        <v>2002</v>
      </c>
      <c r="O667" s="1021">
        <f t="shared" si="876"/>
        <v>2003</v>
      </c>
      <c r="P667" s="1021">
        <f t="shared" ref="P667:AF667" si="877">+O667+1</f>
        <v>2004</v>
      </c>
      <c r="Q667" s="1021">
        <f t="shared" si="877"/>
        <v>2005</v>
      </c>
      <c r="R667" s="1021">
        <f t="shared" si="877"/>
        <v>2006</v>
      </c>
      <c r="S667" s="1021">
        <f t="shared" si="877"/>
        <v>2007</v>
      </c>
      <c r="T667" s="1021">
        <f t="shared" si="877"/>
        <v>2008</v>
      </c>
      <c r="U667" s="1021">
        <f t="shared" si="877"/>
        <v>2009</v>
      </c>
      <c r="V667" s="1021">
        <f t="shared" si="877"/>
        <v>2010</v>
      </c>
      <c r="W667" s="1021">
        <f t="shared" si="877"/>
        <v>2011</v>
      </c>
      <c r="X667" s="2292">
        <f t="shared" si="877"/>
        <v>2012</v>
      </c>
      <c r="Y667" s="2292">
        <f t="shared" si="877"/>
        <v>2013</v>
      </c>
      <c r="Z667" s="2292">
        <f t="shared" si="877"/>
        <v>2014</v>
      </c>
      <c r="AA667" s="2292">
        <f t="shared" si="877"/>
        <v>2015</v>
      </c>
      <c r="AB667" s="2292">
        <f t="shared" si="877"/>
        <v>2016</v>
      </c>
      <c r="AC667" s="2292">
        <f t="shared" si="877"/>
        <v>2017</v>
      </c>
      <c r="AD667" s="2292">
        <f t="shared" si="877"/>
        <v>2018</v>
      </c>
      <c r="AE667" s="2292">
        <f t="shared" si="877"/>
        <v>2019</v>
      </c>
      <c r="AF667" s="2292">
        <f t="shared" si="877"/>
        <v>2020</v>
      </c>
      <c r="BB667" s="3587">
        <v>2016</v>
      </c>
      <c r="BC667" s="736" t="str">
        <f t="shared" si="830"/>
        <v/>
      </c>
    </row>
    <row r="668" spans="1:55" ht="12.75" customHeight="1">
      <c r="B668" s="701"/>
      <c r="C668" s="1934" t="s">
        <v>1791</v>
      </c>
      <c r="D668" s="711" t="s">
        <v>666</v>
      </c>
      <c r="E668" s="743" t="s">
        <v>1868</v>
      </c>
      <c r="F668" s="741" t="s">
        <v>1596</v>
      </c>
      <c r="G668" s="1954">
        <f>+G654/'VVP2'!G$341</f>
        <v>0.1348056477136772</v>
      </c>
      <c r="H668" s="1954">
        <f>+H654/'VVP2'!H$341</f>
        <v>0.13856909042596641</v>
      </c>
      <c r="I668" s="1954">
        <f>+I654/'VVP2'!I$341</f>
        <v>0.13575617538865406</v>
      </c>
      <c r="J668" s="1954">
        <f>+J654/'VVP2'!J$341</f>
        <v>0.12551179011921448</v>
      </c>
      <c r="K668" s="1954">
        <f>+K654/'VVP2'!K$341</f>
        <v>0.12539560192861382</v>
      </c>
      <c r="L668" s="1954">
        <f>+L654/'VVP2'!L$341</f>
        <v>0.12354916417256734</v>
      </c>
      <c r="M668" s="1954">
        <f>+M654/'VVP2'!M$341</f>
        <v>0.12533260593831538</v>
      </c>
      <c r="N668" s="1954">
        <f>+N654/'VVP2'!N$341</f>
        <v>0.12742083304357218</v>
      </c>
      <c r="O668" s="1954">
        <f>+O654/'VVP2'!O$341</f>
        <v>0.13068963240568429</v>
      </c>
      <c r="P668" s="1954">
        <f>+P654/'VVP2'!P$341</f>
        <v>0.1287379339788485</v>
      </c>
      <c r="Q668" s="1954">
        <f>+Q654/'VVP2'!Q$341</f>
        <v>0.12749550535046242</v>
      </c>
      <c r="R668" s="1954">
        <f>+R654/'VVP2'!R$341</f>
        <v>0.12500733200680411</v>
      </c>
      <c r="S668" s="1954">
        <f>+S654/'VVP2'!S$341</f>
        <v>0.12319421214832066</v>
      </c>
      <c r="T668" s="1954">
        <f>+T654/'VVP2'!T$341</f>
        <v>0.1245314638965162</v>
      </c>
      <c r="U668" s="1954">
        <f>+U654/'VVP2'!U$341</f>
        <v>0.12872261284826378</v>
      </c>
      <c r="V668" s="1954">
        <f>+V654/'VVP2'!V$341</f>
        <v>0.12280976575447582</v>
      </c>
      <c r="W668" s="1954">
        <f>+W654/'VVP2'!W$341</f>
        <v>0.12169947198107206</v>
      </c>
      <c r="X668" s="1954">
        <f>+X654/'VVP2'!X$341</f>
        <v>0.12594829149623285</v>
      </c>
      <c r="Y668" s="1954">
        <f>+Y654/'VVP2'!Y$341</f>
        <v>0.12752034412850871</v>
      </c>
      <c r="Z668" s="1954">
        <f>+Z654/'VVP2'!Z$341</f>
        <v>0.12677556664996162</v>
      </c>
      <c r="AA668" s="1954">
        <f>+AA654/'VVP2'!AA$341</f>
        <v>0.12433670201637827</v>
      </c>
      <c r="AB668" s="1954">
        <f>+AB654/'VVP2'!AB$341</f>
        <v>0.12594011579531347</v>
      </c>
      <c r="AC668" s="1954">
        <f>+AC654/'VVP2'!AC$341</f>
        <v>0.12677130463021785</v>
      </c>
      <c r="AD668" s="2960">
        <f ca="1">+AD654/'VVP2'!AD$341</f>
        <v>0.12682302639558346</v>
      </c>
      <c r="AE668" s="2960">
        <f ca="1">+AE654/'VVP2'!AE$341</f>
        <v>0.12721730557372285</v>
      </c>
      <c r="AF668" s="2960">
        <f ca="1">+AF654/'VVP2'!AF$341</f>
        <v>0.12758427318682483</v>
      </c>
      <c r="BB668" s="3588">
        <v>0.12501992082521934</v>
      </c>
      <c r="BC668" s="736" t="str">
        <f t="shared" si="830"/>
        <v/>
      </c>
    </row>
    <row r="669" spans="1:55" ht="12.75" customHeight="1">
      <c r="B669" s="701"/>
      <c r="C669" s="1935" t="s">
        <v>1791</v>
      </c>
      <c r="D669" s="711" t="s">
        <v>666</v>
      </c>
      <c r="E669" s="743" t="s">
        <v>837</v>
      </c>
      <c r="F669" s="741"/>
      <c r="G669" s="1954">
        <f>+G655/'VVP2'!G$341</f>
        <v>9.4185659253476786E-2</v>
      </c>
      <c r="H669" s="1954">
        <f>+H655/'VVP2'!H$341</f>
        <v>8.9913656999821137E-2</v>
      </c>
      <c r="I669" s="1954">
        <f>+I655/'VVP2'!I$341</f>
        <v>8.8453979222325854E-2</v>
      </c>
      <c r="J669" s="1954">
        <f>+J655/'VVP2'!J$341</f>
        <v>9.1620434135471288E-2</v>
      </c>
      <c r="K669" s="1954">
        <f>+K655/'VVP2'!K$341</f>
        <v>8.7227240531774691E-2</v>
      </c>
      <c r="L669" s="1954">
        <f>+L655/'VVP2'!L$341</f>
        <v>8.1869806756596872E-2</v>
      </c>
      <c r="M669" s="1954">
        <f>+M655/'VVP2'!M$341</f>
        <v>8.2031785120850173E-2</v>
      </c>
      <c r="N669" s="1954">
        <f>+N655/'VVP2'!N$341</f>
        <v>8.3354086059645865E-2</v>
      </c>
      <c r="O669" s="1954">
        <f>+O655/'VVP2'!O$341</f>
        <v>8.2193308647252772E-2</v>
      </c>
      <c r="P669" s="1954">
        <f>+P655/'VVP2'!P$341</f>
        <v>7.9507463850451668E-2</v>
      </c>
      <c r="Q669" s="1954">
        <f>+Q655/'VVP2'!Q$341</f>
        <v>7.9586475064443635E-2</v>
      </c>
      <c r="R669" s="1954">
        <f>+R655/'VVP2'!R$341</f>
        <v>7.9964638778613359E-2</v>
      </c>
      <c r="S669" s="1954">
        <f>+S655/'VVP2'!S$341</f>
        <v>7.7549021003743432E-2</v>
      </c>
      <c r="T669" s="1954">
        <f>+T655/'VVP2'!T$341</f>
        <v>8.0538234580433715E-2</v>
      </c>
      <c r="U669" s="1954">
        <f>+U655/'VVP2'!U$341</f>
        <v>8.6855777125761202E-2</v>
      </c>
      <c r="V669" s="1954">
        <f>+V655/'VVP2'!V$341</f>
        <v>8.3718426345924205E-2</v>
      </c>
      <c r="W669" s="1954">
        <f>+W655/'VVP2'!W$341</f>
        <v>8.3578095094758512E-2</v>
      </c>
      <c r="X669" s="1954">
        <f>+X655/'VVP2'!X$341</f>
        <v>8.420869149395574E-2</v>
      </c>
      <c r="Y669" s="1954">
        <f>+Y655/'VVP2'!Y$341</f>
        <v>8.5032640962135322E-2</v>
      </c>
      <c r="Z669" s="1954">
        <f>+Z655/'VVP2'!Z$341</f>
        <v>8.3518463304934745E-2</v>
      </c>
      <c r="AA669" s="1954">
        <f>+AA655/'VVP2'!AA$341</f>
        <v>8.1066884237528933E-2</v>
      </c>
      <c r="AB669" s="1954">
        <f>+AB655/'VVP2'!AB$341</f>
        <v>8.0389292251254532E-2</v>
      </c>
      <c r="AC669" s="1954">
        <f>+AC655/'VVP2'!AC$341</f>
        <v>7.8354206982945027E-2</v>
      </c>
      <c r="AD669" s="2960">
        <f ca="1">+AD655/'VVP2'!AD$341</f>
        <v>7.8524405612057147E-2</v>
      </c>
      <c r="AE669" s="2960">
        <f ca="1">+AE655/'VVP2'!AE$341</f>
        <v>7.8259255849669765E-2</v>
      </c>
      <c r="AF669" s="2960">
        <f ca="1">+AF655/'VVP2'!AF$341</f>
        <v>7.8063931997680955E-2</v>
      </c>
      <c r="BB669" s="3588">
        <v>8.0266282976060047E-2</v>
      </c>
      <c r="BC669" s="736" t="str">
        <f t="shared" si="830"/>
        <v/>
      </c>
    </row>
    <row r="670" spans="1:55" ht="12.75" customHeight="1">
      <c r="B670" s="701"/>
      <c r="C670" s="1935" t="s">
        <v>1791</v>
      </c>
      <c r="D670" s="711" t="s">
        <v>666</v>
      </c>
      <c r="E670" s="743" t="s">
        <v>838</v>
      </c>
      <c r="F670" s="741"/>
      <c r="G670" s="1954">
        <f>+G656/'VVP2'!G$341</f>
        <v>1.9941155507284498E-2</v>
      </c>
      <c r="H670" s="1954">
        <f>+H656/'VVP2'!H$341</f>
        <v>2.1059482686424269E-2</v>
      </c>
      <c r="I670" s="1954">
        <f>+I656/'VVP2'!I$341</f>
        <v>1.8881511074799032E-2</v>
      </c>
      <c r="J670" s="1954">
        <f>+J656/'VVP2'!J$341</f>
        <v>2.0717320512180816E-2</v>
      </c>
      <c r="K670" s="1954">
        <f>+K656/'VVP2'!K$341</f>
        <v>2.1714534630203969E-2</v>
      </c>
      <c r="L670" s="1954">
        <f>+L656/'VVP2'!L$341</f>
        <v>2.387874607845358E-2</v>
      </c>
      <c r="M670" s="1954">
        <f>+M656/'VVP2'!M$341</f>
        <v>2.4950884719708483E-2</v>
      </c>
      <c r="N670" s="1954">
        <f>+N656/'VVP2'!N$341</f>
        <v>2.7420017179760829E-2</v>
      </c>
      <c r="O670" s="1954">
        <f>+O656/'VVP2'!O$341</f>
        <v>2.7718313095447252E-2</v>
      </c>
      <c r="P670" s="1954">
        <f>+P656/'VVP2'!P$341</f>
        <v>2.6101310958576814E-2</v>
      </c>
      <c r="Q670" s="1954">
        <f>+Q656/'VVP2'!Q$341</f>
        <v>2.6157778088510497E-2</v>
      </c>
      <c r="R670" s="1954">
        <f>+R656/'VVP2'!R$341</f>
        <v>2.6025240151422862E-2</v>
      </c>
      <c r="S670" s="1954">
        <f>+S656/'VVP2'!S$341</f>
        <v>2.6081321836555958E-2</v>
      </c>
      <c r="T670" s="1954">
        <f>+T656/'VVP2'!T$341</f>
        <v>2.7403815394195383E-2</v>
      </c>
      <c r="U670" s="1954">
        <f>+U656/'VVP2'!U$341</f>
        <v>3.1435211750636162E-2</v>
      </c>
      <c r="V670" s="1954">
        <f>+V656/'VVP2'!V$341</f>
        <v>3.2141219311747696E-2</v>
      </c>
      <c r="W670" s="1954">
        <f>+W656/'VVP2'!W$341</f>
        <v>3.2877516052119575E-2</v>
      </c>
      <c r="X670" s="1954">
        <f>+X656/'VVP2'!X$341</f>
        <v>3.3780796346632884E-2</v>
      </c>
      <c r="Y670" s="1954">
        <f>+Y656/'VVP2'!Y$341</f>
        <v>3.4981222536983242E-2</v>
      </c>
      <c r="Z670" s="1954">
        <f>+Z656/'VVP2'!Z$341</f>
        <v>3.5824584329821038E-2</v>
      </c>
      <c r="AA670" s="1954">
        <f>+AA656/'VVP2'!AA$341</f>
        <v>3.6580846608019961E-2</v>
      </c>
      <c r="AB670" s="1954">
        <f>+AB656/'VVP2'!AB$341</f>
        <v>3.9199205928085228E-2</v>
      </c>
      <c r="AC670" s="1954">
        <f>+AC656/'VVP2'!AC$341</f>
        <v>3.7745099859158276E-2</v>
      </c>
      <c r="AD670" s="2960">
        <f ca="1">+AD656/'VVP2'!AD$341</f>
        <v>3.6882222640838368E-2</v>
      </c>
      <c r="AE670" s="2960">
        <f ca="1">+AE656/'VVP2'!AE$341</f>
        <v>3.64268778148501E-2</v>
      </c>
      <c r="AF670" s="2960">
        <f ca="1">+AF656/'VVP2'!AF$341</f>
        <v>3.6059192200989361E-2</v>
      </c>
      <c r="AN670" s="2942"/>
      <c r="AO670" s="2942"/>
      <c r="AP670" s="2942"/>
      <c r="AQ670" s="2942"/>
      <c r="BB670" s="3588">
        <v>3.7492241661517142E-2</v>
      </c>
      <c r="BC670" s="736" t="str">
        <f t="shared" si="830"/>
        <v/>
      </c>
    </row>
    <row r="671" spans="1:55" ht="12.75" customHeight="1">
      <c r="B671" s="701"/>
      <c r="C671" s="1935" t="s">
        <v>1791</v>
      </c>
      <c r="D671" s="711" t="s">
        <v>666</v>
      </c>
      <c r="E671" s="743" t="s">
        <v>1668</v>
      </c>
      <c r="F671" s="741" t="s">
        <v>1152</v>
      </c>
      <c r="G671" s="1954">
        <f>+G657/'VVP2'!G$341</f>
        <v>0.17201089492842778</v>
      </c>
      <c r="H671" s="1954">
        <f>+H657/'VVP2'!H$341</f>
        <v>0.16412200717750097</v>
      </c>
      <c r="I671" s="1954">
        <f>+I657/'VVP2'!I$341</f>
        <v>0.15831626259039416</v>
      </c>
      <c r="J671" s="1954">
        <f>+J657/'VVP2'!J$341</f>
        <v>0.1566098947188061</v>
      </c>
      <c r="K671" s="1954">
        <f>+K657/'VVP2'!K$341</f>
        <v>0.15410790007734632</v>
      </c>
      <c r="L671" s="1954">
        <f>+L657/'VVP2'!L$341</f>
        <v>0.14797455641111482</v>
      </c>
      <c r="M671" s="1954">
        <f>+M657/'VVP2'!M$341</f>
        <v>0.14885112953057233</v>
      </c>
      <c r="N671" s="1954">
        <f>+N657/'VVP2'!N$341</f>
        <v>0.15071257933789933</v>
      </c>
      <c r="O671" s="1954">
        <f>+O657/'VVP2'!O$341</f>
        <v>0.15531080849711457</v>
      </c>
      <c r="P671" s="1954">
        <f>+P657/'VVP2'!P$341</f>
        <v>0.15179659044659902</v>
      </c>
      <c r="Q671" s="1954">
        <f>+Q657/'VVP2'!Q$341</f>
        <v>0.14949687066575096</v>
      </c>
      <c r="R671" s="1954">
        <f>+R657/'VVP2'!R$341</f>
        <v>0.14396419531305898</v>
      </c>
      <c r="S671" s="1954">
        <f>+S657/'VVP2'!S$341</f>
        <v>0.13597828283271982</v>
      </c>
      <c r="T671" s="1954">
        <f>+T657/'VVP2'!T$341</f>
        <v>0.13624541930682749</v>
      </c>
      <c r="U671" s="1954">
        <f>+U657/'VVP2'!U$341</f>
        <v>0.14832492863780142</v>
      </c>
      <c r="V671" s="1954">
        <f>+V657/'VVP2'!V$341</f>
        <v>0.13956145369348752</v>
      </c>
      <c r="W671" s="1954">
        <f>+W657/'VVP2'!W$341</f>
        <v>0.13434778012713863</v>
      </c>
      <c r="X671" s="1954">
        <f>+X657/'VVP2'!X$341</f>
        <v>0.13985634086960483</v>
      </c>
      <c r="Y671" s="1954">
        <f>+Y657/'VVP2'!Y$341</f>
        <v>0.14293262291732856</v>
      </c>
      <c r="Z671" s="1954">
        <f>+Z657/'VVP2'!Z$341</f>
        <v>0.13829570468862007</v>
      </c>
      <c r="AA671" s="1954">
        <f>+AA657/'VVP2'!AA$341</f>
        <v>0.13353808350884427</v>
      </c>
      <c r="AB671" s="1954">
        <f>+AB657/'VVP2'!AB$341</f>
        <v>0.1317935002577815</v>
      </c>
      <c r="AC671" s="1954">
        <f>+AC657/'VVP2'!AC$341</f>
        <v>0.12916795063616821</v>
      </c>
      <c r="AD671" s="2960">
        <f ca="1">+AD657/'VVP2'!AD$341</f>
        <v>0.12750802339926889</v>
      </c>
      <c r="AE671" s="2960">
        <f ca="1">+AE657/'VVP2'!AE$341</f>
        <v>0.1247051974068505</v>
      </c>
      <c r="AF671" s="2960">
        <f ca="1">+AF657/'VVP2'!AF$341</f>
        <v>0.12284427030821504</v>
      </c>
      <c r="AH671" s="2942"/>
      <c r="AI671" s="2942"/>
      <c r="AJ671" s="2942"/>
      <c r="AK671" s="2942"/>
      <c r="AL671" s="2942"/>
      <c r="AM671" s="2942"/>
      <c r="BB671" s="3588">
        <v>0.13120820315745649</v>
      </c>
      <c r="BC671" s="736" t="str">
        <f t="shared" si="830"/>
        <v/>
      </c>
    </row>
    <row r="672" spans="1:55" ht="12.75" customHeight="1">
      <c r="B672" s="701"/>
      <c r="C672" s="1935" t="s">
        <v>1791</v>
      </c>
      <c r="D672" s="711" t="s">
        <v>666</v>
      </c>
      <c r="E672" s="743" t="s">
        <v>1262</v>
      </c>
      <c r="F672" s="741" t="s">
        <v>1154</v>
      </c>
      <c r="G672" s="1954">
        <f>+G658/'VVP2'!G$341</f>
        <v>5.126725666720406E-2</v>
      </c>
      <c r="H672" s="1954">
        <f>+H658/'VVP2'!H$341</f>
        <v>5.1921082642585888E-2</v>
      </c>
      <c r="I672" s="1954">
        <f>+I658/'VVP2'!I$341</f>
        <v>5.0178092936718405E-2</v>
      </c>
      <c r="J672" s="1954">
        <f>+J658/'VVP2'!J$341</f>
        <v>4.3581594102069E-2</v>
      </c>
      <c r="K672" s="1954">
        <f>+K658/'VVP2'!K$341</f>
        <v>3.8373666022039898E-2</v>
      </c>
      <c r="L672" s="1954">
        <f>+L658/'VVP2'!L$341</f>
        <v>3.3123484976250464E-2</v>
      </c>
      <c r="M672" s="1954">
        <f>+M658/'VVP2'!M$341</f>
        <v>2.6065346288915495E-2</v>
      </c>
      <c r="N672" s="1954">
        <f>+N658/'VVP2'!N$341</f>
        <v>2.8785229290754048E-2</v>
      </c>
      <c r="O672" s="1954">
        <f>+O658/'VVP2'!O$341</f>
        <v>2.0888422869799764E-2</v>
      </c>
      <c r="P672" s="1954">
        <f>+P658/'VVP2'!P$341</f>
        <v>1.6869017730005275E-2</v>
      </c>
      <c r="Q672" s="1954">
        <f>+Q658/'VVP2'!Q$341</f>
        <v>1.7492114393769437E-2</v>
      </c>
      <c r="R672" s="1954">
        <f>+R658/'VVP2'!R$341</f>
        <v>1.6197772745818823E-2</v>
      </c>
      <c r="S672" s="1954">
        <f>+S658/'VVP2'!S$341</f>
        <v>1.6537801012607455E-2</v>
      </c>
      <c r="T672" s="1954">
        <f>+T658/'VVP2'!T$341</f>
        <v>1.5637378633191035E-2</v>
      </c>
      <c r="U672" s="1954">
        <f>+U658/'VVP2'!U$341</f>
        <v>1.1633625545981192E-2</v>
      </c>
      <c r="V672" s="1954">
        <f>+V658/'VVP2'!V$341</f>
        <v>1.0472997516334528E-2</v>
      </c>
      <c r="W672" s="1954">
        <f>+W658/'VVP2'!W$341</f>
        <v>1.1245429239700271E-2</v>
      </c>
      <c r="X672" s="1954">
        <f>+X658/'VVP2'!X$341</f>
        <v>9.1025140212276333E-3</v>
      </c>
      <c r="Y672" s="1954">
        <f>+Y658/'VVP2'!Y$341</f>
        <v>8.0369608517784734E-3</v>
      </c>
      <c r="Z672" s="1954">
        <f>+Z658/'VVP2'!Z$341</f>
        <v>6.7864777939189401E-3</v>
      </c>
      <c r="AA672" s="1954">
        <f>+AA658/'VVP2'!AA$341</f>
        <v>4.4705004804187418E-3</v>
      </c>
      <c r="AB672" s="1954">
        <f>+AB658/'VVP2'!AB$341</f>
        <v>4.145026207975972E-3</v>
      </c>
      <c r="AC672" s="1954">
        <f>+AC658/'VVP2'!AC$341</f>
        <v>3.5148187369933252E-3</v>
      </c>
      <c r="AD672" s="2960">
        <f ca="1">+AD658/'VVP2'!AD$341</f>
        <v>2.9486161921880513E-3</v>
      </c>
      <c r="AE672" s="2960">
        <f ca="1">+AE658/'VVP2'!AE$341</f>
        <v>2.5002412538559201E-3</v>
      </c>
      <c r="AF672" s="2960">
        <f ca="1">+AF658/'VVP2'!AF$341</f>
        <v>3.2597617860793274E-3</v>
      </c>
      <c r="BB672" s="3588">
        <v>4.3399021734244611E-3</v>
      </c>
      <c r="BC672" s="736" t="str">
        <f t="shared" si="830"/>
        <v/>
      </c>
    </row>
    <row r="673" spans="1:55" ht="12.75" customHeight="1">
      <c r="B673" s="701"/>
      <c r="C673" s="1935" t="s">
        <v>1791</v>
      </c>
      <c r="D673" s="711" t="s">
        <v>666</v>
      </c>
      <c r="E673" s="743" t="s">
        <v>1801</v>
      </c>
      <c r="F673" s="741" t="s">
        <v>2042</v>
      </c>
      <c r="G673" s="1954">
        <f>+G659/'VVP2'!G$341</f>
        <v>3.4884559578457909E-2</v>
      </c>
      <c r="H673" s="1954">
        <f>+H659/'VVP2'!H$341</f>
        <v>3.0184896643779036E-2</v>
      </c>
      <c r="I673" s="1954">
        <f>+I659/'VVP2'!I$341</f>
        <v>2.5241125274360055E-2</v>
      </c>
      <c r="J673" s="1954">
        <f>+J659/'VVP2'!J$341</f>
        <v>2.015857609138743E-2</v>
      </c>
      <c r="K673" s="1954">
        <f>+K659/'VVP2'!K$341</f>
        <v>1.862871685055564E-2</v>
      </c>
      <c r="L673" s="1954">
        <f>+L659/'VVP2'!L$341</f>
        <v>1.5133246574756275E-2</v>
      </c>
      <c r="M673" s="1954">
        <f>+M659/'VVP2'!M$341</f>
        <v>1.3895716051631077E-2</v>
      </c>
      <c r="N673" s="1954">
        <f>+N659/'VVP2'!N$341</f>
        <v>1.4541024157727454E-2</v>
      </c>
      <c r="O673" s="1954">
        <f>+O659/'VVP2'!O$341</f>
        <v>1.4543824134243341E-2</v>
      </c>
      <c r="P673" s="1954">
        <f>+P659/'VVP2'!P$341</f>
        <v>1.3502335669061742E-2</v>
      </c>
      <c r="Q673" s="1954">
        <f>+Q659/'VVP2'!Q$341</f>
        <v>1.3988125811020989E-2</v>
      </c>
      <c r="R673" s="1954">
        <f>+R659/'VVP2'!R$341</f>
        <v>1.4570872950341526E-2</v>
      </c>
      <c r="S673" s="1954">
        <f>+S659/'VVP2'!S$341</f>
        <v>1.4100648200854108E-2</v>
      </c>
      <c r="T673" s="1954">
        <f>+T659/'VVP2'!T$341</f>
        <v>1.4546474152492526E-2</v>
      </c>
      <c r="U673" s="1954">
        <f>+U659/'VVP2'!U$341</f>
        <v>1.5369642063554505E-2</v>
      </c>
      <c r="V673" s="1954">
        <f>+V659/'VVP2'!V$341</f>
        <v>1.5724962427181379E-2</v>
      </c>
      <c r="W673" s="1954">
        <f>+W659/'VVP2'!W$341</f>
        <v>1.6320485719506707E-2</v>
      </c>
      <c r="X673" s="1954">
        <f>+X659/'VVP2'!X$341</f>
        <v>1.6800262194042567E-2</v>
      </c>
      <c r="Y673" s="1954">
        <f>+Y659/'VVP2'!Y$341</f>
        <v>1.6666936058054992E-2</v>
      </c>
      <c r="Z673" s="1954">
        <f>+Z659/'VVP2'!Z$341</f>
        <v>1.6900854494820379E-2</v>
      </c>
      <c r="AA673" s="1954">
        <f>+AA659/'VVP2'!AA$341</f>
        <v>1.5809906027380895E-2</v>
      </c>
      <c r="AB673" s="1954">
        <f>+AB659/'VVP2'!AB$341</f>
        <v>1.5862512276259681E-2</v>
      </c>
      <c r="AC673" s="1954">
        <f>+AC659/'VVP2'!AC$341</f>
        <v>1.5636946785679263E-2</v>
      </c>
      <c r="AD673" s="2960">
        <f ca="1">+AD659/'VVP2'!AD$341</f>
        <v>1.53230369103232E-2</v>
      </c>
      <c r="AE673" s="2960">
        <f ca="1">+AE659/'VVP2'!AE$341</f>
        <v>1.5183727605848345E-2</v>
      </c>
      <c r="AF673" s="2960">
        <f ca="1">+AF659/'VVP2'!AF$341</f>
        <v>1.508646422590218E-2</v>
      </c>
      <c r="BB673" s="3588">
        <v>1.6168218485708537E-2</v>
      </c>
      <c r="BC673" s="736" t="str">
        <f t="shared" si="830"/>
        <v/>
      </c>
    </row>
    <row r="674" spans="1:55" ht="12.75" customHeight="1">
      <c r="B674" s="701"/>
      <c r="C674" s="1935" t="s">
        <v>1791</v>
      </c>
      <c r="D674" s="711" t="s">
        <v>666</v>
      </c>
      <c r="E674" s="743" t="s">
        <v>79</v>
      </c>
      <c r="F674" s="741" t="s">
        <v>1542</v>
      </c>
      <c r="G674" s="1954">
        <f>+G660/'VVP2'!G$341</f>
        <v>7.0682333075950537E-2</v>
      </c>
      <c r="H674" s="1954">
        <f>+H660/'VVP2'!H$341</f>
        <v>6.7920540866366355E-2</v>
      </c>
      <c r="I674" s="1954">
        <f>+I660/'VVP2'!I$341</f>
        <v>6.5580832234574268E-2</v>
      </c>
      <c r="J674" s="1954">
        <f>+J660/'VVP2'!J$341</f>
        <v>7.2974751530545473E-2</v>
      </c>
      <c r="K674" s="1954">
        <f>+K660/'VVP2'!K$341</f>
        <v>7.0844824069557208E-2</v>
      </c>
      <c r="L674" s="1954">
        <f>+L660/'VVP2'!L$341</f>
        <v>6.7080573881976441E-2</v>
      </c>
      <c r="M674" s="1954">
        <f>+M660/'VVP2'!M$341</f>
        <v>6.2984806899185938E-2</v>
      </c>
      <c r="N674" s="1954">
        <f>+N660/'VVP2'!N$341</f>
        <v>6.0638106512186089E-2</v>
      </c>
      <c r="O674" s="1954">
        <f>+O660/'VVP2'!O$341</f>
        <v>6.4288626460956788E-2</v>
      </c>
      <c r="P674" s="1954">
        <f>+P660/'VVP2'!P$341</f>
        <v>6.5262001215637494E-2</v>
      </c>
      <c r="Q674" s="1954">
        <f>+Q660/'VVP2'!Q$341</f>
        <v>6.5367819168215838E-2</v>
      </c>
      <c r="R674" s="1954">
        <f>+R660/'VVP2'!R$341</f>
        <v>6.2099358199632991E-2</v>
      </c>
      <c r="S674" s="1954">
        <f>+S660/'VVP2'!S$341</f>
        <v>5.7383815669453608E-2</v>
      </c>
      <c r="T674" s="1954">
        <f>+T660/'VVP2'!T$341</f>
        <v>5.7621869509544094E-2</v>
      </c>
      <c r="U674" s="1954">
        <f>+U660/'VVP2'!U$341</f>
        <v>5.9024443736332435E-2</v>
      </c>
      <c r="V674" s="1954">
        <f>+V660/'VVP2'!V$341</f>
        <v>5.7512236706487044E-2</v>
      </c>
      <c r="W674" s="1954">
        <f>+W660/'VVP2'!W$341</f>
        <v>5.5467253457552934E-2</v>
      </c>
      <c r="X674" s="1954">
        <f>+X660/'VVP2'!X$341</f>
        <v>5.5681535082143019E-2</v>
      </c>
      <c r="Y674" s="1954">
        <f>+Y660/'VVP2'!Y$341</f>
        <v>5.7693036373931854E-2</v>
      </c>
      <c r="Z674" s="1954">
        <f>+Z660/'VVP2'!Z$341</f>
        <v>5.6533428065745989E-2</v>
      </c>
      <c r="AA674" s="1954">
        <f>+AA660/'VVP2'!AA$341</f>
        <v>5.5159259348291814E-2</v>
      </c>
      <c r="AB674" s="1954">
        <f>+AB660/'VVP2'!AB$341</f>
        <v>5.336316499589442E-2</v>
      </c>
      <c r="AC674" s="1954">
        <f>+AC660/'VVP2'!AC$341</f>
        <v>5.49892015526003E-2</v>
      </c>
      <c r="AD674" s="2960">
        <f ca="1">+AD660/'VVP2'!AD$341</f>
        <v>5.4813389714102656E-2</v>
      </c>
      <c r="AE674" s="2960">
        <f ca="1">+AE660/'VVP2'!AE$341</f>
        <v>5.494760931812482E-2</v>
      </c>
      <c r="AF674" s="2960">
        <f ca="1">+AF660/'VVP2'!AF$341</f>
        <v>5.4989556739780246E-2</v>
      </c>
      <c r="BB674" s="3588">
        <v>5.692861057295244E-2</v>
      </c>
      <c r="BC674" s="736" t="str">
        <f t="shared" si="830"/>
        <v/>
      </c>
    </row>
    <row r="675" spans="1:55" ht="12.75" customHeight="1">
      <c r="B675" s="701"/>
      <c r="C675" s="1935" t="s">
        <v>1793</v>
      </c>
      <c r="D675" s="843" t="s">
        <v>666</v>
      </c>
      <c r="E675" s="846" t="s">
        <v>1540</v>
      </c>
      <c r="F675" s="845" t="s">
        <v>651</v>
      </c>
      <c r="G675" s="1955">
        <f>+G661/'VVP2'!G$341</f>
        <v>0.57777750672447881</v>
      </c>
      <c r="H675" s="1955">
        <f>+H661/'VVP2'!H$341</f>
        <v>0.56369075744244412</v>
      </c>
      <c r="I675" s="1955">
        <f>+I661/'VVP2'!I$341</f>
        <v>0.54240797872182589</v>
      </c>
      <c r="J675" s="1955">
        <f>+J661/'VVP2'!J$341</f>
        <v>0.53117436120967465</v>
      </c>
      <c r="K675" s="1955">
        <f>+K661/'VVP2'!K$341</f>
        <v>0.51629248411009154</v>
      </c>
      <c r="L675" s="1955">
        <f>+L661/'VVP2'!L$341</f>
        <v>0.49260957885171575</v>
      </c>
      <c r="M675" s="1955">
        <f>+M661/'VVP2'!M$341</f>
        <v>0.48411227454917904</v>
      </c>
      <c r="N675" s="1955">
        <f>+N661/'VVP2'!N$341</f>
        <v>0.49287187558154583</v>
      </c>
      <c r="O675" s="1955">
        <f>+O661/'VVP2'!O$341</f>
        <v>0.49563293611049875</v>
      </c>
      <c r="P675" s="1955">
        <f>+P661/'VVP2'!P$341</f>
        <v>0.4817766538491805</v>
      </c>
      <c r="Q675" s="1955">
        <f>+Q661/'VVP2'!Q$341</f>
        <v>0.47958468854217373</v>
      </c>
      <c r="R675" s="1955">
        <f>+R661/'VVP2'!R$341</f>
        <v>0.46782941014569263</v>
      </c>
      <c r="S675" s="1955">
        <f>+S661/'VVP2'!S$341</f>
        <v>0.45082510270425502</v>
      </c>
      <c r="T675" s="1955">
        <f>+T661/'VVP2'!T$341</f>
        <v>0.45652465547320037</v>
      </c>
      <c r="U675" s="1955">
        <f>+U661/'VVP2'!U$341</f>
        <v>0.48136624170833064</v>
      </c>
      <c r="V675" s="1955">
        <f>+V661/'VVP2'!V$341</f>
        <v>0.4619410617556382</v>
      </c>
      <c r="W675" s="1955">
        <f>+W661/'VVP2'!W$341</f>
        <v>0.4555360316718487</v>
      </c>
      <c r="X675" s="1955">
        <f>+X661/'VVP2'!X$341</f>
        <v>0.46537843150383951</v>
      </c>
      <c r="Y675" s="1955">
        <f>+Y661/'VVP2'!Y$341</f>
        <v>0.47286376382872114</v>
      </c>
      <c r="Z675" s="1955">
        <f>+Z661/'VVP2'!Z$341</f>
        <v>0.46463507932782272</v>
      </c>
      <c r="AA675" s="1955">
        <f>+AA661/'VVP2'!AA$341</f>
        <v>0.4509621822268628</v>
      </c>
      <c r="AB675" s="1955">
        <f>+AB661/'VVP2'!AB$341</f>
        <v>0.45069281771256486</v>
      </c>
      <c r="AC675" s="1955">
        <f>+AC661/'VVP2'!AC$341</f>
        <v>0.44617952918376225</v>
      </c>
      <c r="AD675" s="2332">
        <f ca="1">+AD661/'VVP2'!AD$341</f>
        <v>0.44282272086436181</v>
      </c>
      <c r="AE675" s="2332">
        <f ca="1">+AE661/'VVP2'!AE$341</f>
        <v>0.43924021482292225</v>
      </c>
      <c r="AF675" s="2332">
        <f ca="1">+AF661/'VVP2'!AF$341</f>
        <v>0.43788745044547195</v>
      </c>
      <c r="AN675" s="2942"/>
      <c r="AO675" s="2942"/>
      <c r="AP675" s="2942"/>
      <c r="AQ675" s="2942"/>
      <c r="BB675" s="3556">
        <v>0.45142337985233844</v>
      </c>
      <c r="BC675" s="736" t="str">
        <f t="shared" si="830"/>
        <v/>
      </c>
    </row>
    <row r="676" spans="1:55" ht="12.75" customHeight="1">
      <c r="B676" s="701"/>
      <c r="C676" s="1935" t="s">
        <v>1791</v>
      </c>
      <c r="D676" s="711" t="s">
        <v>666</v>
      </c>
      <c r="E676" s="743" t="str">
        <f>+'VVP2'!E241</f>
        <v>Gross fixed capital formation (P.51)</v>
      </c>
      <c r="F676" s="741" t="s">
        <v>1226</v>
      </c>
      <c r="G676" s="1954">
        <f>+G662/'VVP2'!G$341</f>
        <v>5.1190890346448546E-2</v>
      </c>
      <c r="H676" s="1954">
        <f>+H662/'VVP2'!H$341</f>
        <v>4.9335238510777112E-2</v>
      </c>
      <c r="I676" s="1954">
        <f>+I662/'VVP2'!I$341</f>
        <v>4.349552764669052E-2</v>
      </c>
      <c r="J676" s="1954">
        <f>+J662/'VVP2'!J$341</f>
        <v>4.3323639643269699E-2</v>
      </c>
      <c r="K676" s="1954">
        <f>+K662/'VVP2'!K$341</f>
        <v>4.3412109313108745E-2</v>
      </c>
      <c r="L676" s="1954">
        <f>+L662/'VVP2'!L$341</f>
        <v>3.9296852778078435E-2</v>
      </c>
      <c r="M676" s="1954">
        <f>+M662/'VVP2'!M$341</f>
        <v>4.1482870491990863E-2</v>
      </c>
      <c r="N676" s="1954">
        <f>+N662/'VVP2'!N$341</f>
        <v>4.3405897296732388E-2</v>
      </c>
      <c r="O676" s="1954">
        <f>+O662/'VVP2'!O$341</f>
        <v>4.1947686248793768E-2</v>
      </c>
      <c r="P676" s="1954">
        <f>+P662/'VVP2'!P$341</f>
        <v>4.1017973560062426E-2</v>
      </c>
      <c r="Q676" s="1954">
        <f>+Q662/'VVP2'!Q$341</f>
        <v>4.1019582001887531E-2</v>
      </c>
      <c r="R676" s="1954">
        <f>+R662/'VVP2'!R$341</f>
        <v>4.1237139982351623E-2</v>
      </c>
      <c r="S676" s="1954">
        <f>+S662/'VVP2'!S$341</f>
        <v>4.0921446732685378E-2</v>
      </c>
      <c r="T676" s="1954">
        <f>+T662/'VVP2'!T$341</f>
        <v>4.2597461258886082E-2</v>
      </c>
      <c r="U676" s="1954">
        <f>+U662/'VVP2'!U$341</f>
        <v>4.4899330469631155E-2</v>
      </c>
      <c r="V676" s="1954">
        <f>+V662/'VVP2'!V$341</f>
        <v>4.50905039525243E-2</v>
      </c>
      <c r="W676" s="1954">
        <f>+W662/'VVP2'!W$341</f>
        <v>4.4305406956432911E-2</v>
      </c>
      <c r="X676" s="1954">
        <f>+X662/'VVP2'!X$341</f>
        <v>4.5506606221795233E-2</v>
      </c>
      <c r="Y676" s="1954">
        <f>+Y662/'VVP2'!Y$341</f>
        <v>4.4566698083885303E-2</v>
      </c>
      <c r="Z676" s="1954">
        <f>+Z662/'VVP2'!Z$341</f>
        <v>4.3938161725990729E-2</v>
      </c>
      <c r="AA676" s="1954">
        <f>+AA662/'VVP2'!AA$341</f>
        <v>4.1834392745712712E-2</v>
      </c>
      <c r="AB676" s="1954">
        <f>+AB662/'VVP2'!AB$341</f>
        <v>4.3964686328596271E-2</v>
      </c>
      <c r="AC676" s="1954">
        <f>+AC662/'VVP2'!AC$341</f>
        <v>4.580511603335212E-2</v>
      </c>
      <c r="AD676" s="2330">
        <f ca="1">+AD662/'VVP2'!AD$341</f>
        <v>4.6865798775637006E-2</v>
      </c>
      <c r="AE676" s="2330">
        <f ca="1">+AE662/'VVP2'!AE$341</f>
        <v>4.7581974657212957E-2</v>
      </c>
      <c r="AF676" s="2330">
        <f ca="1">+AF662/'VVP2'!AF$341</f>
        <v>4.7619810337520205E-2</v>
      </c>
      <c r="AH676" s="2942"/>
      <c r="AI676" s="2942"/>
      <c r="AJ676" s="2942"/>
      <c r="AK676" s="2942"/>
      <c r="AL676" s="2942"/>
      <c r="AM676" s="2942"/>
      <c r="BB676" s="3554">
        <v>4.3835804272387036E-2</v>
      </c>
      <c r="BC676" s="736" t="str">
        <f t="shared" si="830"/>
        <v/>
      </c>
    </row>
    <row r="677" spans="1:55" s="921" customFormat="1" ht="12.75" customHeight="1">
      <c r="A677" s="700"/>
      <c r="B677" s="701"/>
      <c r="C677" s="1936" t="s">
        <v>1791</v>
      </c>
      <c r="D677" s="1950" t="s">
        <v>666</v>
      </c>
      <c r="E677" s="1951" t="s">
        <v>1439</v>
      </c>
      <c r="F677" s="1952" t="s">
        <v>652</v>
      </c>
      <c r="G677" s="1956">
        <f>+G663/'VVP2'!G$341</f>
        <v>5.8261138876396874E-3</v>
      </c>
      <c r="H677" s="1956">
        <f>+H663/'VVP2'!H$341</f>
        <v>9.4138787765369529E-4</v>
      </c>
      <c r="I677" s="1956">
        <f>+I663/'VVP2'!I$341</f>
        <v>6.075239196469991E-3</v>
      </c>
      <c r="J677" s="1956">
        <f>+J663/'VVP2'!J$341</f>
        <v>-5.1991003602889461E-3</v>
      </c>
      <c r="K677" s="1956">
        <f>+K663/'VVP2'!K$341</f>
        <v>2.7439409472487619E-3</v>
      </c>
      <c r="L677" s="1956">
        <f>+L663/'VVP2'!L$341</f>
        <v>9.3512992390584759E-4</v>
      </c>
      <c r="M677" s="1956">
        <f>+M663/'VVP2'!M$341</f>
        <v>1.3554044536559656E-3</v>
      </c>
      <c r="N677" s="1956">
        <f>+N663/'VVP2'!N$341</f>
        <v>2.2529496390579656E-3</v>
      </c>
      <c r="O677" s="1956">
        <f>+O663/'VVP2'!O$341</f>
        <v>2.1687046298151003E-3</v>
      </c>
      <c r="P677" s="1956">
        <f>+P663/'VVP2'!P$341</f>
        <v>9.9914435357033879E-4</v>
      </c>
      <c r="Q677" s="1956">
        <f>+Q663/'VVP2'!Q$341</f>
        <v>2.5134994089016224E-3</v>
      </c>
      <c r="R677" s="1956">
        <f>+R663/'VVP2'!R$341</f>
        <v>6.7905663016455231E-4</v>
      </c>
      <c r="S677" s="1956">
        <f>+S663/'VVP2'!S$341</f>
        <v>1.0390844181869462E-3</v>
      </c>
      <c r="T677" s="1956">
        <f>+T663/'VVP2'!T$341</f>
        <v>9.5498367918445159E-4</v>
      </c>
      <c r="U677" s="1956">
        <f>+U663/'VVP2'!U$341</f>
        <v>7.4027744152582796E-4</v>
      </c>
      <c r="V677" s="1956">
        <f>+V663/'VVP2'!V$341</f>
        <v>5.4855180054395446E-4</v>
      </c>
      <c r="W677" s="1956">
        <f>+W663/'VVP2'!W$341</f>
        <v>2.6855734827479494E-3</v>
      </c>
      <c r="X677" s="1956">
        <f>+X663/'VVP2'!X$341</f>
        <v>2.1516068195390945E-3</v>
      </c>
      <c r="Y677" s="1956">
        <f>+Y663/'VVP2'!Y$341</f>
        <v>2.0882690472739493E-3</v>
      </c>
      <c r="Z677" s="1956">
        <f>+Z663/'VVP2'!Z$341</f>
        <v>2.1954236632262731E-3</v>
      </c>
      <c r="AA677" s="1956">
        <f>+AA663/'VVP2'!AA$341</f>
        <v>3.5541704559491601E-3</v>
      </c>
      <c r="AB677" s="1956">
        <f>+AB663/'VVP2'!AB$341</f>
        <v>2.2125200404879992E-3</v>
      </c>
      <c r="AC677" s="1956">
        <f>+AC663/'VVP2'!AC$341</f>
        <v>1.064011239383092E-3</v>
      </c>
      <c r="AD677" s="2959">
        <f ca="1">+AD663/'VVP2'!AD$341</f>
        <v>1.5823410477871704E-3</v>
      </c>
      <c r="AE677" s="2959">
        <f ca="1">+AE663/'VVP2'!AE$341</f>
        <v>2.5877074063578487E-3</v>
      </c>
      <c r="AF677" s="2959">
        <f ca="1">+AF663/'VVP2'!AF$341</f>
        <v>2.586024681725202E-3</v>
      </c>
      <c r="AG677" s="2942"/>
      <c r="AH677" s="2939"/>
      <c r="AI677" s="2939"/>
      <c r="AJ677" s="2939"/>
      <c r="AK677" s="2939"/>
      <c r="AL677" s="2939"/>
      <c r="AM677" s="2939"/>
      <c r="AN677" s="2939"/>
      <c r="AO677" s="2939"/>
      <c r="AP677" s="2939"/>
      <c r="AQ677" s="2939"/>
      <c r="AR677" s="2942"/>
      <c r="AS677" s="2942"/>
      <c r="AT677" s="2942"/>
      <c r="BB677" s="3583">
        <v>2.6742714653418508E-3</v>
      </c>
      <c r="BC677" s="736" t="str">
        <f t="shared" si="830"/>
        <v/>
      </c>
    </row>
    <row r="678" spans="1:55" ht="12.75" customHeight="1">
      <c r="B678" s="701"/>
      <c r="C678" s="811" t="s">
        <v>1793</v>
      </c>
      <c r="D678" s="843" t="s">
        <v>666</v>
      </c>
      <c r="E678" s="846" t="s">
        <v>532</v>
      </c>
      <c r="F678" s="845" t="s">
        <v>1411</v>
      </c>
      <c r="G678" s="878">
        <f>G664/'VVP2'!G$341</f>
        <v>0.63479451095856709</v>
      </c>
      <c r="H678" s="878">
        <f>H664/'VVP2'!H$341</f>
        <v>0.6139673838308749</v>
      </c>
      <c r="I678" s="878">
        <f>I664/'VVP2'!I$341</f>
        <v>0.59197874556498642</v>
      </c>
      <c r="J678" s="878">
        <f>J664/'VVP2'!J$341</f>
        <v>0.56929890049265541</v>
      </c>
      <c r="K678" s="878">
        <f>K664/'VVP2'!K$341</f>
        <v>0.56244853437044906</v>
      </c>
      <c r="L678" s="878">
        <f>L664/'VVP2'!L$341</f>
        <v>0.5328415615537001</v>
      </c>
      <c r="M678" s="878">
        <f>M664/'VVP2'!M$341</f>
        <v>0.52695054949482578</v>
      </c>
      <c r="N678" s="878">
        <f>N664/'VVP2'!N$341</f>
        <v>0.53853072251733614</v>
      </c>
      <c r="O678" s="878">
        <f>O664/'VVP2'!O$341</f>
        <v>0.5397493269891076</v>
      </c>
      <c r="P678" s="878">
        <f>P664/'VVP2'!P$341</f>
        <v>0.52379377176281328</v>
      </c>
      <c r="Q678" s="878">
        <f>Q664/'VVP2'!Q$341</f>
        <v>0.523117769952963</v>
      </c>
      <c r="R678" s="878">
        <f>R664/'VVP2'!R$341</f>
        <v>0.50974560675820879</v>
      </c>
      <c r="S678" s="878">
        <f>S664/'VVP2'!S$341</f>
        <v>0.49278563385512736</v>
      </c>
      <c r="T678" s="878">
        <f>T664/'VVP2'!T$341</f>
        <v>0.50007710041127096</v>
      </c>
      <c r="U678" s="878">
        <f>U664/'VVP2'!U$341</f>
        <v>0.5270058496194876</v>
      </c>
      <c r="V678" s="878">
        <f>V664/'VVP2'!V$341</f>
        <v>0.50758011750870646</v>
      </c>
      <c r="W678" s="878">
        <f>W664/'VVP2'!W$341</f>
        <v>0.50252701211102957</v>
      </c>
      <c r="X678" s="878">
        <f>X664/'VVP2'!X$341</f>
        <v>0.51303664454517384</v>
      </c>
      <c r="Y678" s="878">
        <f>Y664/'VVP2'!Y$341</f>
        <v>0.51951873095988044</v>
      </c>
      <c r="Z678" s="878">
        <f>Z664/'VVP2'!Z$341</f>
        <v>0.51076866471703974</v>
      </c>
      <c r="AA678" s="878">
        <f>AA664/'VVP2'!AA$341</f>
        <v>0.4963507454285247</v>
      </c>
      <c r="AB678" s="878">
        <f>AB664/'VVP2'!AB$341</f>
        <v>0.4968700240816491</v>
      </c>
      <c r="AC678" s="878">
        <f>AC664/'VVP2'!AC$341</f>
        <v>0.49304865645649743</v>
      </c>
      <c r="AD678" s="2332">
        <f ca="1">AD664/'VVP2'!AD$341</f>
        <v>0.49127086068778603</v>
      </c>
      <c r="AE678" s="2332">
        <f ca="1">AE664/'VVP2'!AE$341</f>
        <v>0.489409896886493</v>
      </c>
      <c r="AF678" s="2332">
        <f ca="1">AF664/'VVP2'!AF$341</f>
        <v>0.48809328546471736</v>
      </c>
      <c r="BB678" s="3556">
        <v>0.4979334555900673</v>
      </c>
      <c r="BC678" s="736" t="str">
        <f t="shared" si="830"/>
        <v/>
      </c>
    </row>
    <row r="679" spans="1:55">
      <c r="F679" s="1063"/>
      <c r="Q679" s="736"/>
      <c r="R679" s="736"/>
      <c r="S679" s="736"/>
      <c r="T679" s="736"/>
      <c r="U679" s="736"/>
      <c r="V679" s="736"/>
      <c r="W679" s="736"/>
      <c r="BC679" s="736" t="str">
        <f t="shared" si="830"/>
        <v/>
      </c>
    </row>
    <row r="680" spans="1:55" ht="12.75" customHeight="1">
      <c r="B680" s="701"/>
      <c r="C680" s="811"/>
      <c r="D680" s="812"/>
      <c r="E680" s="813" t="s">
        <v>1576</v>
      </c>
      <c r="F680" s="814"/>
      <c r="G680" s="815">
        <f>+InputY!$G$3</f>
        <v>1995</v>
      </c>
      <c r="H680" s="815">
        <f>+G680+1</f>
        <v>1996</v>
      </c>
      <c r="I680" s="815">
        <f t="shared" ref="I680:S680" si="878">+H680+1</f>
        <v>1997</v>
      </c>
      <c r="J680" s="815">
        <f t="shared" si="878"/>
        <v>1998</v>
      </c>
      <c r="K680" s="815">
        <f t="shared" si="878"/>
        <v>1999</v>
      </c>
      <c r="L680" s="815">
        <f t="shared" si="878"/>
        <v>2000</v>
      </c>
      <c r="M680" s="815">
        <f t="shared" si="878"/>
        <v>2001</v>
      </c>
      <c r="N680" s="815">
        <f t="shared" si="878"/>
        <v>2002</v>
      </c>
      <c r="O680" s="815">
        <f t="shared" si="878"/>
        <v>2003</v>
      </c>
      <c r="P680" s="815">
        <f t="shared" si="878"/>
        <v>2004</v>
      </c>
      <c r="Q680" s="815">
        <f t="shared" si="878"/>
        <v>2005</v>
      </c>
      <c r="R680" s="815">
        <f t="shared" si="878"/>
        <v>2006</v>
      </c>
      <c r="S680" s="815">
        <f t="shared" si="878"/>
        <v>2007</v>
      </c>
      <c r="T680" s="815">
        <f t="shared" ref="T680:AF680" si="879">+S680+1</f>
        <v>2008</v>
      </c>
      <c r="U680" s="815">
        <f t="shared" si="879"/>
        <v>2009</v>
      </c>
      <c r="V680" s="815">
        <f t="shared" si="879"/>
        <v>2010</v>
      </c>
      <c r="W680" s="815">
        <f t="shared" si="879"/>
        <v>2011</v>
      </c>
      <c r="X680" s="2285">
        <f t="shared" si="879"/>
        <v>2012</v>
      </c>
      <c r="Y680" s="2285">
        <f t="shared" si="879"/>
        <v>2013</v>
      </c>
      <c r="Z680" s="2285">
        <f t="shared" si="879"/>
        <v>2014</v>
      </c>
      <c r="AA680" s="2285">
        <f t="shared" si="879"/>
        <v>2015</v>
      </c>
      <c r="AB680" s="2285">
        <f t="shared" si="879"/>
        <v>2016</v>
      </c>
      <c r="AC680" s="2285">
        <f t="shared" si="879"/>
        <v>2017</v>
      </c>
      <c r="AD680" s="2285">
        <f t="shared" si="879"/>
        <v>2018</v>
      </c>
      <c r="AE680" s="2285">
        <f t="shared" si="879"/>
        <v>2019</v>
      </c>
      <c r="AF680" s="2285">
        <f t="shared" si="879"/>
        <v>2020</v>
      </c>
      <c r="AN680" s="2942"/>
      <c r="AO680" s="2942"/>
      <c r="AP680" s="2942"/>
      <c r="AQ680" s="2942"/>
      <c r="BB680" s="3470">
        <v>2016</v>
      </c>
      <c r="BC680" s="736" t="str">
        <f t="shared" si="830"/>
        <v/>
      </c>
    </row>
    <row r="681" spans="1:55" ht="12.75" customHeight="1">
      <c r="B681" s="701"/>
      <c r="C681" s="816" t="s">
        <v>1791</v>
      </c>
      <c r="D681" s="705" t="s">
        <v>666</v>
      </c>
      <c r="E681" s="817" t="s">
        <v>1577</v>
      </c>
      <c r="F681" s="738"/>
      <c r="G681" s="817"/>
      <c r="H681" s="817"/>
      <c r="I681" s="817"/>
      <c r="J681" s="817"/>
      <c r="K681" s="817"/>
      <c r="L681" s="817"/>
      <c r="M681" s="817"/>
      <c r="N681" s="817"/>
      <c r="O681" s="817"/>
      <c r="P681" s="817"/>
      <c r="Q681" s="817"/>
      <c r="R681" s="817"/>
      <c r="S681" s="817"/>
      <c r="T681" s="3264">
        <v>-4</v>
      </c>
      <c r="U681" s="3264">
        <v>-1.2</v>
      </c>
      <c r="V681" s="3265">
        <v>12.9</v>
      </c>
      <c r="W681" s="3262">
        <v>-8.3000000000000007</v>
      </c>
      <c r="X681" s="3262">
        <v>0.6</v>
      </c>
      <c r="Y681" s="3262">
        <v>0.6</v>
      </c>
      <c r="Z681" s="3262">
        <v>2.9</v>
      </c>
      <c r="AA681" s="3262">
        <v>11.98</v>
      </c>
      <c r="AB681" s="3262">
        <v>11.98</v>
      </c>
      <c r="AC681" s="3262">
        <v>11.98</v>
      </c>
      <c r="AD681" s="3597">
        <f>InputDFM!G5</f>
        <v>21.77</v>
      </c>
      <c r="AE681" s="3597">
        <f>InputDFM!H5</f>
        <v>14.4</v>
      </c>
      <c r="AF681" s="3597">
        <f>InputDFM!I5</f>
        <v>11.57</v>
      </c>
      <c r="AH681" s="2942"/>
      <c r="AI681" s="2942"/>
      <c r="AJ681" s="2942"/>
      <c r="AK681" s="2942"/>
      <c r="AL681" s="2942"/>
      <c r="AM681" s="2942"/>
      <c r="BB681" s="3584">
        <v>11.98</v>
      </c>
      <c r="BC681" s="736" t="str">
        <f t="shared" si="830"/>
        <v/>
      </c>
    </row>
    <row r="682" spans="1:55" s="921" customFormat="1" ht="12.75" customHeight="1">
      <c r="A682" s="700"/>
      <c r="B682" s="701"/>
      <c r="C682" s="879" t="s">
        <v>1791</v>
      </c>
      <c r="D682" s="927" t="s">
        <v>666</v>
      </c>
      <c r="E682" s="1486" t="s">
        <v>1578</v>
      </c>
      <c r="F682" s="1487"/>
      <c r="G682" s="1486"/>
      <c r="H682" s="1486"/>
      <c r="I682" s="1486"/>
      <c r="J682" s="1486"/>
      <c r="K682" s="1486"/>
      <c r="L682" s="1486"/>
      <c r="M682" s="1486"/>
      <c r="N682" s="1486"/>
      <c r="O682" s="1486"/>
      <c r="P682" s="1486"/>
      <c r="Q682" s="1486"/>
      <c r="R682" s="1486"/>
      <c r="S682" s="1486"/>
      <c r="T682" s="3266">
        <v>0</v>
      </c>
      <c r="U682" s="3266">
        <v>5</v>
      </c>
      <c r="V682" s="3268">
        <v>1</v>
      </c>
      <c r="W682" s="3268">
        <v>-6</v>
      </c>
      <c r="X682" s="3268">
        <v>2.8</v>
      </c>
      <c r="Y682" s="3268">
        <v>2.8</v>
      </c>
      <c r="Z682" s="3268">
        <v>2.9</v>
      </c>
      <c r="AA682" s="3268">
        <v>0.62</v>
      </c>
      <c r="AB682" s="3268">
        <v>0.62</v>
      </c>
      <c r="AC682" s="3268">
        <v>0.62</v>
      </c>
      <c r="AD682" s="3261">
        <v>0</v>
      </c>
      <c r="AE682" s="3261">
        <v>0</v>
      </c>
      <c r="AF682" s="3261">
        <v>0</v>
      </c>
      <c r="AG682" s="2942"/>
      <c r="AH682" s="2939"/>
      <c r="AI682" s="2939"/>
      <c r="AJ682" s="2939"/>
      <c r="AK682" s="2939"/>
      <c r="AL682" s="2939"/>
      <c r="AM682" s="2939"/>
      <c r="AN682" s="2939"/>
      <c r="AO682" s="2939"/>
      <c r="AP682" s="2939"/>
      <c r="AQ682" s="2939"/>
      <c r="AR682" s="2942"/>
      <c r="AS682" s="2942"/>
      <c r="AT682" s="2942"/>
      <c r="BB682" s="3589">
        <v>0.62</v>
      </c>
      <c r="BC682" s="736" t="str">
        <f t="shared" si="830"/>
        <v/>
      </c>
    </row>
    <row r="683" spans="1:55">
      <c r="D683" s="874" t="s">
        <v>347</v>
      </c>
      <c r="F683" s="1063"/>
      <c r="Q683" s="736"/>
      <c r="R683" s="736"/>
      <c r="S683" s="736"/>
      <c r="T683" s="736"/>
      <c r="U683" s="736"/>
      <c r="V683" s="736"/>
      <c r="W683" s="736"/>
      <c r="BC683" s="736" t="str">
        <f t="shared" si="830"/>
        <v/>
      </c>
    </row>
    <row r="684" spans="1:55">
      <c r="F684" s="1063"/>
      <c r="Q684" s="736"/>
      <c r="R684" s="736"/>
      <c r="S684" s="736"/>
      <c r="T684" s="736"/>
      <c r="U684" s="736"/>
      <c r="V684" s="736"/>
      <c r="W684" s="736"/>
      <c r="BC684" s="736" t="str">
        <f t="shared" si="830"/>
        <v/>
      </c>
    </row>
    <row r="685" spans="1:55" ht="12.75" customHeight="1">
      <c r="B685" s="701"/>
      <c r="C685" s="811"/>
      <c r="D685" s="895"/>
      <c r="E685" s="896" t="s">
        <v>1423</v>
      </c>
      <c r="F685" s="897"/>
      <c r="G685" s="898">
        <f>+InputY!$G$3</f>
        <v>1995</v>
      </c>
      <c r="H685" s="898">
        <f>+G685+1</f>
        <v>1996</v>
      </c>
      <c r="I685" s="898">
        <f t="shared" ref="I685:Q685" si="880">+H685+1</f>
        <v>1997</v>
      </c>
      <c r="J685" s="898">
        <f t="shared" si="880"/>
        <v>1998</v>
      </c>
      <c r="K685" s="898">
        <f t="shared" si="880"/>
        <v>1999</v>
      </c>
      <c r="L685" s="898">
        <f t="shared" si="880"/>
        <v>2000</v>
      </c>
      <c r="M685" s="898">
        <f t="shared" si="880"/>
        <v>2001</v>
      </c>
      <c r="N685" s="898">
        <f t="shared" si="880"/>
        <v>2002</v>
      </c>
      <c r="O685" s="898">
        <f t="shared" si="880"/>
        <v>2003</v>
      </c>
      <c r="P685" s="898">
        <f t="shared" si="880"/>
        <v>2004</v>
      </c>
      <c r="Q685" s="898">
        <f t="shared" si="880"/>
        <v>2005</v>
      </c>
      <c r="R685" s="898">
        <f>+Q685+1</f>
        <v>2006</v>
      </c>
      <c r="S685" s="898">
        <f>+R685+1</f>
        <v>2007</v>
      </c>
      <c r="T685" s="898">
        <f t="shared" ref="T685:AF685" si="881">+S685+1</f>
        <v>2008</v>
      </c>
      <c r="U685" s="898">
        <f t="shared" si="881"/>
        <v>2009</v>
      </c>
      <c r="V685" s="898">
        <f t="shared" si="881"/>
        <v>2010</v>
      </c>
      <c r="W685" s="898">
        <f t="shared" si="881"/>
        <v>2011</v>
      </c>
      <c r="X685" s="2277">
        <f t="shared" si="881"/>
        <v>2012</v>
      </c>
      <c r="Y685" s="2277">
        <f t="shared" si="881"/>
        <v>2013</v>
      </c>
      <c r="Z685" s="2277">
        <f t="shared" si="881"/>
        <v>2014</v>
      </c>
      <c r="AA685" s="2277">
        <f t="shared" si="881"/>
        <v>2015</v>
      </c>
      <c r="AB685" s="2277">
        <f t="shared" si="881"/>
        <v>2016</v>
      </c>
      <c r="AC685" s="2277">
        <f t="shared" si="881"/>
        <v>2017</v>
      </c>
      <c r="AD685" s="2277">
        <f t="shared" si="881"/>
        <v>2018</v>
      </c>
      <c r="AE685" s="2277">
        <f t="shared" si="881"/>
        <v>2019</v>
      </c>
      <c r="AF685" s="2277">
        <f t="shared" si="881"/>
        <v>2020</v>
      </c>
      <c r="BB685" s="3581">
        <v>2016</v>
      </c>
      <c r="BC685" s="736" t="str">
        <f t="shared" si="830"/>
        <v/>
      </c>
    </row>
    <row r="686" spans="1:55" ht="12.75" customHeight="1">
      <c r="B686" s="701"/>
      <c r="C686" s="1934" t="s">
        <v>1791</v>
      </c>
      <c r="D686" s="900" t="s">
        <v>666</v>
      </c>
      <c r="E686" s="1949" t="s">
        <v>1577</v>
      </c>
      <c r="F686" s="902"/>
      <c r="G686" s="1088"/>
      <c r="H686" s="1088"/>
      <c r="I686" s="1088"/>
      <c r="J686" s="1088"/>
      <c r="K686" s="1088"/>
      <c r="L686" s="1088"/>
      <c r="M686" s="1088"/>
      <c r="N686" s="1088"/>
      <c r="O686" s="1088"/>
      <c r="P686" s="1088"/>
      <c r="Q686" s="1088"/>
      <c r="R686" s="1088"/>
      <c r="S686" s="1088"/>
      <c r="T686" s="1088"/>
      <c r="U686" s="1088"/>
      <c r="V686" s="1088"/>
      <c r="W686" s="1088"/>
      <c r="X686" s="1088">
        <f>+X661-IF(Last_forecast_year-Sector1!X685=2,Sector1!X681,IF(Last_forecast_year-Sector1!X685=1,Sector1!X681+Sector1!W681,Sector1!X681+Sector1!W681+Sector1!V681))</f>
        <v>1711.521</v>
      </c>
      <c r="Y686" s="1088">
        <f>+Y661-IF(Last_forecast_year-Sector1!Y685=2,Sector1!Y681,IF(Last_forecast_year-Sector1!Y685=1,Sector1!Y681+Sector1!X681,Sector1!Y681+Sector1!X681+Sector1!W681))</f>
        <v>1791.6589999999999</v>
      </c>
      <c r="Z686" s="1088">
        <f>+Z661-IF(Last_forecast_year-Sector1!Z685=2,Sector1!Z681,IF(Last_forecast_year-Sector1!Z685=1,Sector1!Z681+Sector1!Y681,Sector1!Z681+Sector1!Y681+Sector1!X681))</f>
        <v>1826.992</v>
      </c>
      <c r="AA686" s="1088">
        <f>+AA661-IF(Last_forecast_year-Sector1!AA685=2,Sector1!AA681,IF(Last_forecast_year-Sector1!AA685=1,Sector1!AA681+Sector1!Z681,Sector1!AA681+Sector1!Z681+Sector1!Y681))</f>
        <v>1879.2569999999996</v>
      </c>
      <c r="AB686" s="1088">
        <f>+AB661-IF(Last_forecast_year-Sector1!AB685=2,Sector1!AB681,IF(Last_forecast_year-Sector1!AB685=1,Sector1!AB681+Sector1!AA681,Sector1!AB681+Sector1!AA681+Sector1!Z681))</f>
        <v>1949.6520000000003</v>
      </c>
      <c r="AC686" s="1088">
        <f>+AC661-IF(Last_forecast_year-Sector1!AC685=2,Sector1!AC681,IF(Last_forecast_year-Sector1!AC685=1,Sector1!AC681+Sector1!AB681,Sector1!AC681+Sector1!AB681+Sector1!AA681))</f>
        <v>2007.0709999999999</v>
      </c>
      <c r="AD686" s="1088">
        <f ca="1">+AD661-IF(Last_forecast_year-Sector1!AD685=2,Sector1!AD681,IF(Last_forecast_year-Sector1!AD685=1,Sector1!AD681+Sector1!AC681,Sector1!AD681+Sector1!AC681+Sector1!AB681))</f>
        <v>2105.1850855264847</v>
      </c>
      <c r="AE686" s="1088">
        <f ca="1">+AE661-IF(Last_forecast_year-Sector1!AE685=2,Sector1!AE681,IF(Last_forecast_year-Sector1!AE685=1,Sector1!AE681+Sector1!AD681,Sector1!AE681+Sector1!AD681+Sector1!AC681))</f>
        <v>2153.353041346928</v>
      </c>
      <c r="AF686" s="1088">
        <f ca="1">+AF661-IF(Last_forecast_year-Sector1!AF685=2,Sector1!AF681,IF(Last_forecast_year-Sector1!AF685=1,Sector1!AF681+Sector1!AE681,Sector1!AF681+Sector1!AE681+Sector1!AD681))</f>
        <v>2212.4229130829826</v>
      </c>
      <c r="BB686" s="3464">
        <v>1961.6320000000001</v>
      </c>
      <c r="BC686" s="736">
        <f t="shared" si="830"/>
        <v>-11.979999999999791</v>
      </c>
    </row>
    <row r="687" spans="1:55" s="921" customFormat="1" ht="12.75" customHeight="1">
      <c r="A687" s="700"/>
      <c r="B687" s="701"/>
      <c r="C687" s="1936" t="s">
        <v>1791</v>
      </c>
      <c r="D687" s="1950" t="s">
        <v>666</v>
      </c>
      <c r="E687" s="1951" t="s">
        <v>1578</v>
      </c>
      <c r="F687" s="1952"/>
      <c r="G687" s="1715"/>
      <c r="H687" s="1715"/>
      <c r="I687" s="1715"/>
      <c r="J687" s="1715"/>
      <c r="K687" s="1715"/>
      <c r="L687" s="1715"/>
      <c r="M687" s="1715"/>
      <c r="N687" s="1715"/>
      <c r="O687" s="1715"/>
      <c r="P687" s="1715"/>
      <c r="Q687" s="1715"/>
      <c r="R687" s="1715"/>
      <c r="S687" s="1715"/>
      <c r="T687" s="1715"/>
      <c r="U687" s="1715"/>
      <c r="V687" s="1715"/>
      <c r="W687" s="1715"/>
      <c r="X687" s="1715">
        <f>+X664-IF(Last_forecast_year-Sector1!X685=2,Sector1!X682,IF(Last_forecast_year-Sector1!X685=1,Sector1!X682+Sector1!W682,Sector1!X682+Sector1!W682+Sector1!V682))</f>
        <v>1894.7260000000001</v>
      </c>
      <c r="Y687" s="1715">
        <f>+Y664-IF(Last_forecast_year-Sector1!Y685=2,Sector1!Y682,IF(Last_forecast_year-Sector1!Y685=1,Sector1!Y682+Sector1!X682,Sector1!Y682+Sector1!X682+Sector1!W682))</f>
        <v>1961.0320000000002</v>
      </c>
      <c r="Z687" s="1715">
        <f>+Z664-IF(Last_forecast_year-Sector1!Z685=2,Sector1!Z682,IF(Last_forecast_year-Sector1!Z685=1,Sector1!Z682+Sector1!Y682,Sector1!Z682+Sector1!Y682+Sector1!X682))</f>
        <v>2004.4010000000001</v>
      </c>
      <c r="AA687" s="1715">
        <f>+AA664-IF(Last_forecast_year-Sector1!AA685=2,Sector1!AA682,IF(Last_forecast_year-Sector1!AA685=1,Sector1!AA682+Sector1!Z682,Sector1!AA682+Sector1!Z682+Sector1!Y682))</f>
        <v>2079.1189999999997</v>
      </c>
      <c r="AB687" s="1715">
        <f>+AB664-IF(Last_forecast_year-Sector1!AB685=2,Sector1!AB682,IF(Last_forecast_year-Sector1!AB685=1,Sector1!AB682+Sector1!AA682,Sector1!AB682+Sector1!AA682+Sector1!Z682))</f>
        <v>2174.8820000000001</v>
      </c>
      <c r="AC687" s="1715">
        <f>+AC664-IF(Last_forecast_year-Sector1!AC685=2,Sector1!AC682,IF(Last_forecast_year-Sector1!AC685=1,Sector1!AC682+Sector1!AB682,Sector1!AC682+Sector1!AB682+Sector1!AA682))</f>
        <v>2255.7599999999998</v>
      </c>
      <c r="AD687" s="1715">
        <f ca="1">+AD664-IF(Last_forecast_year-Sector1!AD685=2,Sector1!AD682,IF(Last_forecast_year-Sector1!AD685=1,Sector1!AD682+Sector1!AC682,Sector1!AD682+Sector1!AC682+Sector1!AB682))</f>
        <v>2359.6599864416617</v>
      </c>
      <c r="AE687" s="1715">
        <f ca="1">+AE664-IF(Last_forecast_year-Sector1!AE685=2,Sector1!AE682,IF(Last_forecast_year-Sector1!AE685=1,Sector1!AE682+Sector1!AD682,Sector1!AE682+Sector1!AD682+Sector1!AC682))</f>
        <v>2439.6086918594215</v>
      </c>
      <c r="AF687" s="1715">
        <f ca="1">+AF664-IF(Last_forecast_year-Sector1!AF685=2,Sector1!AF682,IF(Last_forecast_year-Sector1!AF685=1,Sector1!AF682+Sector1!AE682,Sector1!AF682+Sector1!AE682+Sector1!AD682))</f>
        <v>2519.3011144984889</v>
      </c>
      <c r="AG687" s="2942"/>
      <c r="AH687" s="2939"/>
      <c r="AI687" s="2939"/>
      <c r="AJ687" s="2939"/>
      <c r="AK687" s="2939"/>
      <c r="AL687" s="2939"/>
      <c r="AM687" s="2939"/>
      <c r="AN687" s="2939"/>
      <c r="AO687" s="2939"/>
      <c r="AP687" s="2939"/>
      <c r="AQ687" s="2939"/>
      <c r="AR687" s="2942"/>
      <c r="AS687" s="2942"/>
      <c r="AT687" s="2942"/>
      <c r="BB687" s="3586">
        <v>2189.2260000000001</v>
      </c>
      <c r="BC687" s="736">
        <f t="shared" si="830"/>
        <v>-14.344000000000051</v>
      </c>
    </row>
    <row r="688" spans="1:55" ht="30" customHeight="1">
      <c r="Q688" s="1957"/>
      <c r="R688" s="2373"/>
      <c r="S688" s="2373"/>
      <c r="T688" s="2373"/>
      <c r="U688" s="2373"/>
      <c r="V688" s="2373"/>
      <c r="W688" s="2373"/>
      <c r="X688" s="2373"/>
      <c r="Y688" s="2373"/>
      <c r="Z688" s="2373"/>
      <c r="AA688" s="2373"/>
      <c r="AB688" s="2373"/>
      <c r="AC688" s="2373"/>
      <c r="AD688" s="2373"/>
      <c r="AE688" s="2373"/>
      <c r="AF688" s="2373"/>
      <c r="BB688" s="3590"/>
      <c r="BC688" s="736" t="str">
        <f t="shared" si="830"/>
        <v/>
      </c>
    </row>
    <row r="689" spans="1:55" ht="30" customHeight="1">
      <c r="F689" s="1063"/>
      <c r="BC689" s="736" t="str">
        <f t="shared" si="830"/>
        <v/>
      </c>
    </row>
    <row r="690" spans="1:55" ht="12.75" customHeight="1">
      <c r="A690" s="701"/>
      <c r="B690" s="701"/>
      <c r="C690" s="811"/>
      <c r="D690" s="812"/>
      <c r="E690" s="813" t="s">
        <v>729</v>
      </c>
      <c r="F690" s="814"/>
      <c r="G690" s="815">
        <f>+InputY!$G$3</f>
        <v>1995</v>
      </c>
      <c r="H690" s="815">
        <f>+G690+1</f>
        <v>1996</v>
      </c>
      <c r="I690" s="815">
        <f t="shared" ref="I690:O690" si="882">+H690+1</f>
        <v>1997</v>
      </c>
      <c r="J690" s="815">
        <f t="shared" si="882"/>
        <v>1998</v>
      </c>
      <c r="K690" s="815">
        <f t="shared" si="882"/>
        <v>1999</v>
      </c>
      <c r="L690" s="815">
        <f t="shared" si="882"/>
        <v>2000</v>
      </c>
      <c r="M690" s="815">
        <f t="shared" si="882"/>
        <v>2001</v>
      </c>
      <c r="N690" s="815">
        <f t="shared" si="882"/>
        <v>2002</v>
      </c>
      <c r="O690" s="815">
        <f t="shared" si="882"/>
        <v>2003</v>
      </c>
      <c r="P690" s="815">
        <f>+O690+1</f>
        <v>2004</v>
      </c>
      <c r="Q690" s="815">
        <f>+P690+1</f>
        <v>2005</v>
      </c>
      <c r="R690" s="815">
        <f>+Q690+1</f>
        <v>2006</v>
      </c>
      <c r="S690" s="815">
        <f>+R690+1</f>
        <v>2007</v>
      </c>
      <c r="T690" s="815">
        <f t="shared" ref="T690:AF690" si="883">+S690+1</f>
        <v>2008</v>
      </c>
      <c r="U690" s="815">
        <f t="shared" si="883"/>
        <v>2009</v>
      </c>
      <c r="V690" s="815">
        <f t="shared" si="883"/>
        <v>2010</v>
      </c>
      <c r="W690" s="815">
        <f t="shared" si="883"/>
        <v>2011</v>
      </c>
      <c r="X690" s="2285">
        <f t="shared" si="883"/>
        <v>2012</v>
      </c>
      <c r="Y690" s="2285">
        <f t="shared" si="883"/>
        <v>2013</v>
      </c>
      <c r="Z690" s="2285">
        <f t="shared" si="883"/>
        <v>2014</v>
      </c>
      <c r="AA690" s="2285">
        <f t="shared" si="883"/>
        <v>2015</v>
      </c>
      <c r="AB690" s="2285">
        <f t="shared" si="883"/>
        <v>2016</v>
      </c>
      <c r="AC690" s="2285">
        <f t="shared" si="883"/>
        <v>2017</v>
      </c>
      <c r="AD690" s="2285">
        <f t="shared" si="883"/>
        <v>2018</v>
      </c>
      <c r="AE690" s="2285">
        <f t="shared" si="883"/>
        <v>2019</v>
      </c>
      <c r="AF690" s="2285">
        <f t="shared" si="883"/>
        <v>2020</v>
      </c>
      <c r="BB690" s="3470">
        <v>2016</v>
      </c>
      <c r="BC690" s="736" t="str">
        <f t="shared" si="830"/>
        <v/>
      </c>
    </row>
    <row r="691" spans="1:55" ht="12.75" customHeight="1">
      <c r="A691" s="701"/>
      <c r="B691" s="701"/>
      <c r="C691" s="816" t="s">
        <v>1791</v>
      </c>
      <c r="D691" s="705"/>
      <c r="E691" s="817" t="str">
        <f t="shared" ref="E691:Y691" si="884">+E13</f>
        <v>Taxes on production and imports (D.2r = D.21r+D.29r)</v>
      </c>
      <c r="F691" s="738" t="str">
        <f t="shared" si="884"/>
        <v>YATaxIndir</v>
      </c>
      <c r="G691" s="817">
        <f t="shared" si="884"/>
        <v>404.96</v>
      </c>
      <c r="H691" s="817">
        <f t="shared" si="884"/>
        <v>431.98200000000003</v>
      </c>
      <c r="I691" s="817">
        <f t="shared" si="884"/>
        <v>443.03199999999998</v>
      </c>
      <c r="J691" s="817">
        <f t="shared" si="884"/>
        <v>516.15</v>
      </c>
      <c r="K691" s="817">
        <f t="shared" si="884"/>
        <v>539.94200000000001</v>
      </c>
      <c r="L691" s="817">
        <f t="shared" si="884"/>
        <v>539.38</v>
      </c>
      <c r="M691" s="817">
        <f t="shared" si="884"/>
        <v>564.16200000000003</v>
      </c>
      <c r="N691" s="817">
        <f t="shared" si="884"/>
        <v>590.83000000000004</v>
      </c>
      <c r="O691" s="817">
        <f t="shared" si="884"/>
        <v>610.88400000000001</v>
      </c>
      <c r="P691" s="817">
        <f t="shared" si="884"/>
        <v>626.78200000000004</v>
      </c>
      <c r="Q691" s="817">
        <f t="shared" si="884"/>
        <v>654.80100000000004</v>
      </c>
      <c r="R691" s="817">
        <f t="shared" si="884"/>
        <v>683.34</v>
      </c>
      <c r="S691" s="817">
        <f t="shared" si="884"/>
        <v>724.72799999999995</v>
      </c>
      <c r="T691" s="817">
        <f t="shared" si="884"/>
        <v>756.89200000000005</v>
      </c>
      <c r="U691" s="817">
        <f t="shared" si="884"/>
        <v>744.47500000000002</v>
      </c>
      <c r="V691" s="817">
        <f t="shared" si="884"/>
        <v>781.73199999999997</v>
      </c>
      <c r="W691" s="817">
        <f t="shared" si="884"/>
        <v>801.84299999999996</v>
      </c>
      <c r="X691" s="817">
        <f t="shared" si="884"/>
        <v>817.1</v>
      </c>
      <c r="Y691" s="817">
        <f t="shared" si="884"/>
        <v>835.00699999999995</v>
      </c>
      <c r="Z691" s="817">
        <f t="shared" ref="Z691:AA691" si="885">+Z13</f>
        <v>859.7</v>
      </c>
      <c r="AA691" s="817">
        <f t="shared" si="885"/>
        <v>915.92399999999998</v>
      </c>
      <c r="AB691" s="817">
        <f t="shared" ref="AB691:AC691" si="886">+AB13</f>
        <v>987.44100000000003</v>
      </c>
      <c r="AC691" s="817">
        <f t="shared" si="886"/>
        <v>1031.5340000000001</v>
      </c>
      <c r="AD691" s="2335">
        <f ca="1">+AD13</f>
        <v>1075.2026598248071</v>
      </c>
      <c r="AE691" s="2335">
        <f ca="1">+AE13</f>
        <v>1112.8032004969793</v>
      </c>
      <c r="AF691" s="2335">
        <f ca="1">+AF13</f>
        <v>1151.7498222449526</v>
      </c>
      <c r="BB691" s="3471">
        <v>988.40200000000004</v>
      </c>
      <c r="BC691" s="736" t="str">
        <f t="shared" si="830"/>
        <v/>
      </c>
    </row>
    <row r="692" spans="1:55" ht="12.75" customHeight="1">
      <c r="A692" s="701"/>
      <c r="B692" s="701"/>
      <c r="C692" s="819" t="s">
        <v>1791</v>
      </c>
      <c r="D692" s="711"/>
      <c r="E692" s="743" t="str">
        <f t="shared" ref="E692:Y692" si="887">+E12</f>
        <v>Taxes on products (D.2r) (Taxes paid to RoW)</v>
      </c>
      <c r="F692" s="741" t="str">
        <f t="shared" si="887"/>
        <v>TaxToRow</v>
      </c>
      <c r="G692" s="743">
        <f t="shared" si="887"/>
        <v>4.5739999999999998</v>
      </c>
      <c r="H692" s="743">
        <f t="shared" si="887"/>
        <v>3.3679999999999999</v>
      </c>
      <c r="I692" s="743">
        <f t="shared" si="887"/>
        <v>3.8380000000000001</v>
      </c>
      <c r="J692" s="743">
        <f t="shared" si="887"/>
        <v>3.6949999999999998</v>
      </c>
      <c r="K692" s="743">
        <f t="shared" si="887"/>
        <v>3.5779999999999998</v>
      </c>
      <c r="L692" s="743">
        <f t="shared" si="887"/>
        <v>3.7959999999999998</v>
      </c>
      <c r="M692" s="743">
        <f t="shared" si="887"/>
        <v>3.6179999999999999</v>
      </c>
      <c r="N692" s="743">
        <f t="shared" si="887"/>
        <v>3.3980000000000001</v>
      </c>
      <c r="O692" s="743">
        <f t="shared" si="887"/>
        <v>3.4790000000000001</v>
      </c>
      <c r="P692" s="743">
        <f t="shared" si="887"/>
        <v>3.863</v>
      </c>
      <c r="Q692" s="743">
        <f t="shared" si="887"/>
        <v>4.665</v>
      </c>
      <c r="R692" s="743">
        <f t="shared" si="887"/>
        <v>5.16</v>
      </c>
      <c r="S692" s="743">
        <f t="shared" si="887"/>
        <v>5.883</v>
      </c>
      <c r="T692" s="743">
        <f t="shared" si="887"/>
        <v>5.8739999999999997</v>
      </c>
      <c r="U692" s="743">
        <f t="shared" si="887"/>
        <v>5.1509999999999998</v>
      </c>
      <c r="V692" s="743">
        <f t="shared" si="887"/>
        <v>5.6740000000000004</v>
      </c>
      <c r="W692" s="743">
        <f t="shared" si="887"/>
        <v>5.66</v>
      </c>
      <c r="X692" s="743">
        <f t="shared" si="887"/>
        <v>5.2549999999999999</v>
      </c>
      <c r="Y692" s="743">
        <f t="shared" si="887"/>
        <v>5.2220000000000004</v>
      </c>
      <c r="Z692" s="743">
        <f t="shared" ref="Z692:AA692" si="888">+Z12</f>
        <v>5.806</v>
      </c>
      <c r="AA692" s="743">
        <f t="shared" si="888"/>
        <v>6.2750000000000004</v>
      </c>
      <c r="AB692" s="743">
        <f t="shared" ref="AB692:AC692" si="889">+AB12</f>
        <v>6.0759999999999996</v>
      </c>
      <c r="AC692" s="743">
        <f t="shared" si="889"/>
        <v>6.258</v>
      </c>
      <c r="AD692" s="2333">
        <f ca="1">+AD12</f>
        <v>6.5185621047026192</v>
      </c>
      <c r="AE692" s="2333">
        <f ca="1">+AE12</f>
        <v>6.5476973625771908</v>
      </c>
      <c r="AF692" s="2333">
        <f ca="1">+AF12</f>
        <v>6.4818148674120462</v>
      </c>
      <c r="BB692" s="3472">
        <v>6.0759999999999996</v>
      </c>
      <c r="BC692" s="736" t="str">
        <f t="shared" si="830"/>
        <v/>
      </c>
    </row>
    <row r="693" spans="1:55" ht="12.75" customHeight="1">
      <c r="A693" s="701"/>
      <c r="B693" s="701"/>
      <c r="C693" s="819" t="s">
        <v>1791</v>
      </c>
      <c r="D693" s="711"/>
      <c r="E693" s="743" t="str">
        <f t="shared" ref="E693:Y693" si="890">+E203</f>
        <v xml:space="preserve">Current taxes on income and wealth (D.5r)  </v>
      </c>
      <c r="F693" s="741" t="str">
        <f t="shared" si="890"/>
        <v>YATaxDir</v>
      </c>
      <c r="G693" s="743">
        <f t="shared" si="890"/>
        <v>355.3</v>
      </c>
      <c r="H693" s="743">
        <f t="shared" si="890"/>
        <v>381.87200000000001</v>
      </c>
      <c r="I693" s="743">
        <f t="shared" si="890"/>
        <v>406.327</v>
      </c>
      <c r="J693" s="743">
        <f t="shared" si="890"/>
        <v>422.63600000000002</v>
      </c>
      <c r="K693" s="743">
        <f t="shared" si="890"/>
        <v>461.70800000000003</v>
      </c>
      <c r="L693" s="743">
        <f t="shared" si="890"/>
        <v>508.77199999999999</v>
      </c>
      <c r="M693" s="743">
        <f t="shared" si="890"/>
        <v>485.786</v>
      </c>
      <c r="N693" s="743">
        <f t="shared" si="890"/>
        <v>474.77600000000001</v>
      </c>
      <c r="O693" s="743">
        <f t="shared" si="890"/>
        <v>510.32100000000003</v>
      </c>
      <c r="P693" s="743">
        <f t="shared" si="890"/>
        <v>554.11599999999999</v>
      </c>
      <c r="Q693" s="743">
        <f t="shared" si="890"/>
        <v>608.39700000000005</v>
      </c>
      <c r="R693" s="743">
        <f t="shared" si="890"/>
        <v>653.79200000000003</v>
      </c>
      <c r="S693" s="743">
        <f t="shared" si="890"/>
        <v>664.21500000000003</v>
      </c>
      <c r="T693" s="743">
        <f t="shared" si="890"/>
        <v>635.04</v>
      </c>
      <c r="U693" s="743">
        <f t="shared" si="890"/>
        <v>608.34299999999996</v>
      </c>
      <c r="V693" s="743">
        <f t="shared" si="890"/>
        <v>639.57100000000003</v>
      </c>
      <c r="W693" s="743">
        <f t="shared" si="890"/>
        <v>645.03899999999999</v>
      </c>
      <c r="X693" s="743">
        <f t="shared" si="890"/>
        <v>642.23</v>
      </c>
      <c r="Y693" s="743">
        <f t="shared" si="890"/>
        <v>670.59799999999996</v>
      </c>
      <c r="Z693" s="743">
        <f t="shared" ref="Z693:AA693" si="891">+Z203</f>
        <v>701.28700000000003</v>
      </c>
      <c r="AA693" s="743">
        <f t="shared" si="891"/>
        <v>771.37699999999995</v>
      </c>
      <c r="AB693" s="743">
        <f t="shared" ref="AB693:AC693" si="892">+AB203</f>
        <v>824.66399999999999</v>
      </c>
      <c r="AC693" s="743">
        <f t="shared" si="892"/>
        <v>867.20799999999997</v>
      </c>
      <c r="AD693" s="2333">
        <f>+AD203</f>
        <v>895.41504268260928</v>
      </c>
      <c r="AE693" s="2333">
        <f>+AE203</f>
        <v>923.42297259148313</v>
      </c>
      <c r="AF693" s="2333">
        <f>+AF203</f>
        <v>949.63343995066862</v>
      </c>
      <c r="BB693" s="3472">
        <v>808.34400000000005</v>
      </c>
      <c r="BC693" s="736">
        <f t="shared" si="830"/>
        <v>16.319999999999936</v>
      </c>
    </row>
    <row r="694" spans="1:55" ht="12.75" customHeight="1">
      <c r="A694" s="701"/>
      <c r="B694" s="701"/>
      <c r="C694" s="819" t="s">
        <v>1791</v>
      </c>
      <c r="D694" s="711"/>
      <c r="E694" s="743" t="str">
        <f t="shared" ref="E694:Y694" si="893">+E251</f>
        <v>Actual social contributions (D.611r)</v>
      </c>
      <c r="F694" s="741" t="str">
        <f t="shared" si="893"/>
        <v>YATaxActSoc</v>
      </c>
      <c r="G694" s="743">
        <f t="shared" si="893"/>
        <v>101.735</v>
      </c>
      <c r="H694" s="743">
        <f t="shared" si="893"/>
        <v>114.637</v>
      </c>
      <c r="I694" s="743">
        <f t="shared" si="893"/>
        <v>126.718</v>
      </c>
      <c r="J694" s="743">
        <f t="shared" si="893"/>
        <v>98.093999999999994</v>
      </c>
      <c r="K694" s="743">
        <f t="shared" si="893"/>
        <v>98.081000000000003</v>
      </c>
      <c r="L694" s="743">
        <f t="shared" si="893"/>
        <v>119.379</v>
      </c>
      <c r="M694" s="743">
        <f t="shared" si="893"/>
        <v>112.81699999999999</v>
      </c>
      <c r="N694" s="743">
        <f t="shared" si="893"/>
        <v>98.570999999999998</v>
      </c>
      <c r="O694" s="743">
        <f t="shared" si="893"/>
        <v>101.652</v>
      </c>
      <c r="P694" s="743">
        <f t="shared" si="893"/>
        <v>104.187</v>
      </c>
      <c r="Q694" s="743">
        <f t="shared" si="893"/>
        <v>98.632999999999996</v>
      </c>
      <c r="R694" s="743">
        <f t="shared" si="893"/>
        <v>93.983999999999995</v>
      </c>
      <c r="S694" s="743">
        <f t="shared" si="893"/>
        <v>101.75700000000001</v>
      </c>
      <c r="T694" s="743">
        <f t="shared" si="893"/>
        <v>107.465</v>
      </c>
      <c r="U694" s="743">
        <f t="shared" si="893"/>
        <v>107.113</v>
      </c>
      <c r="V694" s="743">
        <f t="shared" si="893"/>
        <v>109.208</v>
      </c>
      <c r="W694" s="743">
        <f t="shared" si="893"/>
        <v>118.41800000000001</v>
      </c>
      <c r="X694" s="743">
        <f t="shared" si="893"/>
        <v>119.142</v>
      </c>
      <c r="Y694" s="743">
        <f t="shared" si="893"/>
        <v>122.538</v>
      </c>
      <c r="Z694" s="743">
        <f t="shared" ref="Z694:AA694" si="894">+Z251</f>
        <v>126.099</v>
      </c>
      <c r="AA694" s="743">
        <f t="shared" si="894"/>
        <v>132.46899999999999</v>
      </c>
      <c r="AB694" s="743">
        <f t="shared" ref="AB694:AC694" si="895">+AB251</f>
        <v>138.55199999999999</v>
      </c>
      <c r="AC694" s="743">
        <f t="shared" si="895"/>
        <v>145.512</v>
      </c>
      <c r="AD694" s="2333">
        <f>+AD251</f>
        <v>152.11129008965221</v>
      </c>
      <c r="AE694" s="2333">
        <f>+AE251</f>
        <v>158.43402469475458</v>
      </c>
      <c r="AF694" s="2333">
        <f>+AF251</f>
        <v>164.39795067916288</v>
      </c>
      <c r="BB694" s="3472">
        <v>154.97300000000001</v>
      </c>
      <c r="BC694" s="736">
        <f t="shared" si="830"/>
        <v>-16.421000000000021</v>
      </c>
    </row>
    <row r="695" spans="1:55" ht="12.75" customHeight="1">
      <c r="A695" s="701"/>
      <c r="B695" s="701"/>
      <c r="C695" s="819" t="s">
        <v>1791</v>
      </c>
      <c r="D695" s="711"/>
      <c r="E695" s="743" t="str">
        <f t="shared" ref="E695:Y695" si="896">+E480</f>
        <v>Capital taxes (D.91r)</v>
      </c>
      <c r="F695" s="741" t="str">
        <f t="shared" si="896"/>
        <v>YACapTax</v>
      </c>
      <c r="G695" s="743">
        <f t="shared" si="896"/>
        <v>2.173</v>
      </c>
      <c r="H695" s="743">
        <f t="shared" si="896"/>
        <v>1.5529999999999999</v>
      </c>
      <c r="I695" s="743">
        <f t="shared" si="896"/>
        <v>2.016</v>
      </c>
      <c r="J695" s="743">
        <f t="shared" si="896"/>
        <v>2.149</v>
      </c>
      <c r="K695" s="743">
        <f t="shared" si="896"/>
        <v>2.3809999999999998</v>
      </c>
      <c r="L695" s="743">
        <f t="shared" si="896"/>
        <v>2.7869999999999999</v>
      </c>
      <c r="M695" s="743">
        <f t="shared" si="896"/>
        <v>2.786</v>
      </c>
      <c r="N695" s="743">
        <f t="shared" si="896"/>
        <v>2.9750000000000001</v>
      </c>
      <c r="O695" s="743">
        <f t="shared" si="896"/>
        <v>2.4900000000000002</v>
      </c>
      <c r="P695" s="743">
        <f t="shared" si="896"/>
        <v>2.5510000000000002</v>
      </c>
      <c r="Q695" s="743">
        <f t="shared" si="896"/>
        <v>1.0920000000000001</v>
      </c>
      <c r="R695" s="743">
        <f t="shared" si="896"/>
        <v>0.12</v>
      </c>
      <c r="S695" s="743">
        <f t="shared" si="896"/>
        <v>2.3E-2</v>
      </c>
      <c r="T695" s="743">
        <f t="shared" si="896"/>
        <v>1.6E-2</v>
      </c>
      <c r="U695" s="743">
        <f t="shared" si="896"/>
        <v>2E-3</v>
      </c>
      <c r="V695" s="743">
        <f t="shared" si="896"/>
        <v>0.01</v>
      </c>
      <c r="W695" s="743">
        <f t="shared" si="896"/>
        <v>3.0000000000000001E-3</v>
      </c>
      <c r="X695" s="743">
        <f t="shared" si="896"/>
        <v>-4.0000000000000001E-3</v>
      </c>
      <c r="Y695" s="743">
        <f t="shared" si="896"/>
        <v>-4.0000000000000001E-3</v>
      </c>
      <c r="Z695" s="743">
        <f t="shared" ref="Z695:AA695" si="897">+Z480</f>
        <v>2E-3</v>
      </c>
      <c r="AA695" s="743">
        <f t="shared" si="897"/>
        <v>0</v>
      </c>
      <c r="AB695" s="743">
        <f t="shared" ref="AB695:AC695" si="898">+AB480</f>
        <v>0</v>
      </c>
      <c r="AC695" s="743">
        <f t="shared" si="898"/>
        <v>0</v>
      </c>
      <c r="AD695" s="2333">
        <f t="shared" ref="AD695:AD696" si="899">+AD480</f>
        <v>0</v>
      </c>
      <c r="AE695" s="2333">
        <f t="shared" ref="AE695:AF695" si="900">+AE480</f>
        <v>0</v>
      </c>
      <c r="AF695" s="2333">
        <f t="shared" si="900"/>
        <v>0</v>
      </c>
      <c r="BB695" s="3472">
        <v>0</v>
      </c>
      <c r="BC695" s="736" t="str">
        <f t="shared" si="830"/>
        <v/>
      </c>
    </row>
    <row r="696" spans="1:55" ht="12.75" customHeight="1">
      <c r="A696" s="701"/>
      <c r="B696" s="701"/>
      <c r="C696" s="819" t="s">
        <v>301</v>
      </c>
      <c r="D696" s="711"/>
      <c r="E696" s="743" t="str">
        <f>+E481</f>
        <v>Unpaid taxes (D.995)</v>
      </c>
      <c r="F696" s="741"/>
      <c r="G696" s="743">
        <f t="shared" ref="G696:Y696" si="901">+G481</f>
        <v>0</v>
      </c>
      <c r="H696" s="743">
        <f t="shared" si="901"/>
        <v>0</v>
      </c>
      <c r="I696" s="743">
        <f t="shared" si="901"/>
        <v>0</v>
      </c>
      <c r="J696" s="743">
        <f t="shared" si="901"/>
        <v>0</v>
      </c>
      <c r="K696" s="743">
        <f t="shared" si="901"/>
        <v>0</v>
      </c>
      <c r="L696" s="743">
        <f t="shared" si="901"/>
        <v>0</v>
      </c>
      <c r="M696" s="743">
        <f t="shared" si="901"/>
        <v>0</v>
      </c>
      <c r="N696" s="743">
        <f t="shared" si="901"/>
        <v>0</v>
      </c>
      <c r="O696" s="743">
        <f t="shared" si="901"/>
        <v>0</v>
      </c>
      <c r="P696" s="743">
        <f t="shared" si="901"/>
        <v>0</v>
      </c>
      <c r="Q696" s="743">
        <f t="shared" si="901"/>
        <v>0</v>
      </c>
      <c r="R696" s="743">
        <f t="shared" si="901"/>
        <v>0</v>
      </c>
      <c r="S696" s="743">
        <f t="shared" si="901"/>
        <v>0</v>
      </c>
      <c r="T696" s="743">
        <f t="shared" si="901"/>
        <v>0</v>
      </c>
      <c r="U696" s="743">
        <f t="shared" si="901"/>
        <v>0</v>
      </c>
      <c r="V696" s="743">
        <f t="shared" si="901"/>
        <v>0</v>
      </c>
      <c r="W696" s="743">
        <f t="shared" si="901"/>
        <v>0</v>
      </c>
      <c r="X696" s="743">
        <f t="shared" si="901"/>
        <v>0</v>
      </c>
      <c r="Y696" s="743">
        <f t="shared" si="901"/>
        <v>0</v>
      </c>
      <c r="Z696" s="743">
        <f t="shared" ref="Z696:AA696" si="902">+Z481</f>
        <v>0</v>
      </c>
      <c r="AA696" s="743">
        <f t="shared" si="902"/>
        <v>0</v>
      </c>
      <c r="AB696" s="743">
        <f t="shared" ref="AB696:AC696" si="903">+AB481</f>
        <v>0</v>
      </c>
      <c r="AC696" s="743">
        <f t="shared" si="903"/>
        <v>0</v>
      </c>
      <c r="AD696" s="2333">
        <f t="shared" si="899"/>
        <v>0</v>
      </c>
      <c r="AE696" s="2333">
        <f t="shared" ref="AE696:AF696" si="904">+AE481</f>
        <v>0</v>
      </c>
      <c r="AF696" s="2333">
        <f t="shared" si="904"/>
        <v>0</v>
      </c>
      <c r="BB696" s="3472">
        <v>0</v>
      </c>
      <c r="BC696" s="736" t="str">
        <f t="shared" si="830"/>
        <v/>
      </c>
    </row>
    <row r="697" spans="1:55" ht="12.75" customHeight="1">
      <c r="A697" s="701"/>
      <c r="B697" s="701"/>
      <c r="C697" s="819" t="s">
        <v>1793</v>
      </c>
      <c r="D697" s="783"/>
      <c r="E697" s="836" t="s">
        <v>729</v>
      </c>
      <c r="F697" s="785"/>
      <c r="G697" s="836">
        <f>+G691+G692+G693+G694+G695-G696</f>
        <v>868.74200000000008</v>
      </c>
      <c r="H697" s="836">
        <f t="shared" ref="H697:V697" si="905">+H691+H692+H693+H694+H695-H696</f>
        <v>933.41199999999992</v>
      </c>
      <c r="I697" s="836">
        <f t="shared" si="905"/>
        <v>981.93099999999993</v>
      </c>
      <c r="J697" s="836">
        <f t="shared" si="905"/>
        <v>1042.7239999999999</v>
      </c>
      <c r="K697" s="836">
        <f t="shared" si="905"/>
        <v>1105.69</v>
      </c>
      <c r="L697" s="836">
        <f t="shared" si="905"/>
        <v>1174.114</v>
      </c>
      <c r="M697" s="836">
        <f t="shared" si="905"/>
        <v>1169.1690000000001</v>
      </c>
      <c r="N697" s="836">
        <f t="shared" si="905"/>
        <v>1170.55</v>
      </c>
      <c r="O697" s="836">
        <f t="shared" si="905"/>
        <v>1228.8260000000002</v>
      </c>
      <c r="P697" s="836">
        <f t="shared" si="905"/>
        <v>1291.4989999999998</v>
      </c>
      <c r="Q697" s="836">
        <f t="shared" si="905"/>
        <v>1367.5880000000002</v>
      </c>
      <c r="R697" s="836">
        <f t="shared" si="905"/>
        <v>1436.3959999999997</v>
      </c>
      <c r="S697" s="836">
        <f t="shared" si="905"/>
        <v>1496.606</v>
      </c>
      <c r="T697" s="836">
        <f t="shared" si="905"/>
        <v>1505.287</v>
      </c>
      <c r="U697" s="836">
        <f t="shared" si="905"/>
        <v>1465.0840000000001</v>
      </c>
      <c r="V697" s="836">
        <f t="shared" si="905"/>
        <v>1536.1949999999999</v>
      </c>
      <c r="W697" s="836">
        <f t="shared" ref="W697:AA697" si="906">+W691+W692+W693+W694+W695-W696</f>
        <v>1570.963</v>
      </c>
      <c r="X697" s="836">
        <f t="shared" si="906"/>
        <v>1583.7230000000002</v>
      </c>
      <c r="Y697" s="836">
        <f t="shared" si="906"/>
        <v>1633.3609999999999</v>
      </c>
      <c r="Z697" s="836">
        <f t="shared" si="906"/>
        <v>1692.894</v>
      </c>
      <c r="AA697" s="836">
        <f t="shared" si="906"/>
        <v>1826.0450000000001</v>
      </c>
      <c r="AB697" s="836">
        <f t="shared" ref="AB697:AC697" si="907">+AB691+AB692+AB693+AB694+AB695-AB696</f>
        <v>1956.7329999999999</v>
      </c>
      <c r="AC697" s="836">
        <f t="shared" si="907"/>
        <v>2050.5120000000002</v>
      </c>
      <c r="AD697" s="2371">
        <f ca="1">+AD691+AD692+AD693+AD694+AD695-AD696</f>
        <v>2129.2475547017712</v>
      </c>
      <c r="AE697" s="2371">
        <f ca="1">+AE691+AE692+AE693+AE694+AE695-AE696</f>
        <v>2201.2078951457943</v>
      </c>
      <c r="AF697" s="2371">
        <f ca="1">+AF691+AF692+AF693+AF694+AF695-AF696</f>
        <v>2272.2630277421963</v>
      </c>
      <c r="BB697" s="3561">
        <v>1957.7950000000001</v>
      </c>
      <c r="BC697" s="736">
        <f t="shared" si="830"/>
        <v>-1.0620000000001255</v>
      </c>
    </row>
    <row r="698" spans="1:55" ht="12.75" customHeight="1">
      <c r="A698" s="701"/>
      <c r="B698" s="701"/>
      <c r="C698" s="1064" t="s">
        <v>1358</v>
      </c>
      <c r="D698" s="711"/>
      <c r="E698" s="743" t="str">
        <f>+'VVP2'!E341</f>
        <v>GDP</v>
      </c>
      <c r="F698" s="741" t="str">
        <f>+'VVP2'!F341</f>
        <v>$GDP</v>
      </c>
      <c r="G698" s="743">
        <f>+'VVP2'!G341</f>
        <v>1885.6479999999999</v>
      </c>
      <c r="H698" s="743">
        <f>+'VVP2'!H341</f>
        <v>1934.3779999999999</v>
      </c>
      <c r="I698" s="743">
        <f>+'VVP2'!I341</f>
        <v>2021.9780000000001</v>
      </c>
      <c r="J698" s="743">
        <f>+'VVP2'!J341</f>
        <v>2124.4059999999999</v>
      </c>
      <c r="K698" s="743">
        <f>+'VVP2'!K341</f>
        <v>2240.5729999999999</v>
      </c>
      <c r="L698" s="743">
        <f>+'VVP2'!L341</f>
        <v>2383.6260000000002</v>
      </c>
      <c r="M698" s="743">
        <f>+'VVP2'!M341</f>
        <v>2481.9160000000002</v>
      </c>
      <c r="N698" s="743">
        <f>+'VVP2'!N341</f>
        <v>2573.9589999999998</v>
      </c>
      <c r="O698" s="743">
        <f>+'VVP2'!O341</f>
        <v>2680.8629999999998</v>
      </c>
      <c r="P698" s="743">
        <f>+'VVP2'!P341</f>
        <v>2808.4029999999998</v>
      </c>
      <c r="Q698" s="743">
        <f>+'VVP2'!Q341</f>
        <v>2910.683</v>
      </c>
      <c r="R698" s="743">
        <f>+'VVP2'!R341</f>
        <v>3102.8339999999998</v>
      </c>
      <c r="S698" s="743">
        <f>+'VVP2'!S341</f>
        <v>3300.9830000000002</v>
      </c>
      <c r="T698" s="743">
        <f>+'VVP2'!T341</f>
        <v>3391.681</v>
      </c>
      <c r="U698" s="743">
        <f>+'VVP2'!U341</f>
        <v>3292.009</v>
      </c>
      <c r="V698" s="743">
        <f>+'VVP2'!V341</f>
        <v>3523.8240000000001</v>
      </c>
      <c r="W698" s="743">
        <f>+'VVP2'!W341</f>
        <v>3661.0430000000001</v>
      </c>
      <c r="X698" s="743">
        <f>+'VVP2'!X341</f>
        <v>3688.8710000000001</v>
      </c>
      <c r="Y698" s="743">
        <f>+'VVP2'!Y341</f>
        <v>3773.9389999999999</v>
      </c>
      <c r="Z698" s="743">
        <f>+'VVP2'!Z341</f>
        <v>3940.9250000000002</v>
      </c>
      <c r="AA698" s="743">
        <f>+'VVP2'!AA341</f>
        <v>4201.5429999999997</v>
      </c>
      <c r="AB698" s="743">
        <f>+'VVP2'!AB341</f>
        <v>4385.4970000000003</v>
      </c>
      <c r="AC698" s="743">
        <f>+'VVP2'!AC341</f>
        <v>4578.8990000000003</v>
      </c>
      <c r="AD698" s="2333">
        <f ca="1">+'VVP2'!AD341</f>
        <v>4803.175142808399</v>
      </c>
      <c r="AE698" s="2333">
        <f ca="1">+'VVP2'!AE341</f>
        <v>4984.7963994590627</v>
      </c>
      <c r="AF698" s="2333">
        <f ca="1">+'VVP2'!AF341</f>
        <v>5161.5156149911854</v>
      </c>
      <c r="BB698" s="3472">
        <v>4404.9380000000001</v>
      </c>
      <c r="BC698" s="736">
        <f t="shared" si="830"/>
        <v>-19.440999999999804</v>
      </c>
    </row>
    <row r="699" spans="1:55" ht="12.75" customHeight="1">
      <c r="A699" s="701"/>
      <c r="B699" s="701"/>
      <c r="C699" s="821" t="s">
        <v>1793</v>
      </c>
      <c r="D699" s="1376"/>
      <c r="E699" s="1377" t="s">
        <v>77</v>
      </c>
      <c r="F699" s="1578"/>
      <c r="G699" s="1377">
        <f t="shared" ref="G699:V699" si="908">+G697/G698</f>
        <v>0.4607127099013178</v>
      </c>
      <c r="H699" s="1377">
        <f t="shared" si="908"/>
        <v>0.48253857312272985</v>
      </c>
      <c r="I699" s="1377">
        <f t="shared" si="908"/>
        <v>0.48562892375683608</v>
      </c>
      <c r="J699" s="1377">
        <f t="shared" si="908"/>
        <v>0.49083084871724142</v>
      </c>
      <c r="K699" s="1377">
        <f t="shared" si="908"/>
        <v>0.49348537182229729</v>
      </c>
      <c r="L699" s="1377">
        <f t="shared" si="908"/>
        <v>0.49257475795279959</v>
      </c>
      <c r="M699" s="1377">
        <f t="shared" si="908"/>
        <v>0.47107516934497379</v>
      </c>
      <c r="N699" s="1377">
        <f t="shared" si="908"/>
        <v>0.454766373512554</v>
      </c>
      <c r="O699" s="1377">
        <f t="shared" si="908"/>
        <v>0.4583695623386948</v>
      </c>
      <c r="P699" s="1377">
        <f t="shared" si="908"/>
        <v>0.45986954151523124</v>
      </c>
      <c r="Q699" s="1377">
        <f t="shared" si="908"/>
        <v>0.46985123422921704</v>
      </c>
      <c r="R699" s="1377">
        <f t="shared" si="908"/>
        <v>0.46293034045649872</v>
      </c>
      <c r="S699" s="1377">
        <f t="shared" si="908"/>
        <v>0.45338191684113488</v>
      </c>
      <c r="T699" s="1377">
        <f t="shared" si="908"/>
        <v>0.44381738730735587</v>
      </c>
      <c r="U699" s="1377">
        <f t="shared" si="908"/>
        <v>0.44504252570390906</v>
      </c>
      <c r="V699" s="1377">
        <f t="shared" si="908"/>
        <v>0.43594543881873782</v>
      </c>
      <c r="W699" s="1377">
        <f t="shared" ref="W699:AA699" si="909">+W697/W698</f>
        <v>0.42910258087654252</v>
      </c>
      <c r="X699" s="1377">
        <f t="shared" si="909"/>
        <v>0.42932458196559331</v>
      </c>
      <c r="Y699" s="1377">
        <f t="shared" si="909"/>
        <v>0.43280005320700732</v>
      </c>
      <c r="Z699" s="1377">
        <f t="shared" si="909"/>
        <v>0.42956767763913295</v>
      </c>
      <c r="AA699" s="1377">
        <f t="shared" si="909"/>
        <v>0.43461295052793703</v>
      </c>
      <c r="AB699" s="1377">
        <f t="shared" ref="AB699:AC699" si="910">+AB697/AB698</f>
        <v>0.44618272455778668</v>
      </c>
      <c r="AC699" s="1377">
        <f t="shared" si="910"/>
        <v>0.44781769591336257</v>
      </c>
      <c r="AD699" s="2374">
        <f ca="1">+AD697/AD698</f>
        <v>0.44330000289283805</v>
      </c>
      <c r="AE699" s="2374">
        <f ca="1">+AE697/AE698</f>
        <v>0.44158431333016201</v>
      </c>
      <c r="AF699" s="2374">
        <f ca="1">+AF697/AF698</f>
        <v>0.44023174533127452</v>
      </c>
      <c r="BB699" s="3591">
        <v>0.44445460980381563</v>
      </c>
      <c r="BC699" s="736" t="str">
        <f t="shared" si="830"/>
        <v/>
      </c>
    </row>
    <row r="700" spans="1:55" ht="30" customHeight="1">
      <c r="BC700" s="736" t="str">
        <f t="shared" si="830"/>
        <v/>
      </c>
    </row>
    <row r="701" spans="1:55">
      <c r="A701" s="1483" t="s">
        <v>860</v>
      </c>
      <c r="BC701" s="736" t="str">
        <f t="shared" si="830"/>
        <v/>
      </c>
    </row>
    <row r="702" spans="1:55" ht="30" customHeight="1">
      <c r="BC702" s="736" t="str">
        <f t="shared" si="830"/>
        <v/>
      </c>
    </row>
    <row r="703" spans="1:55" ht="22.5" customHeight="1">
      <c r="A703" s="590"/>
      <c r="B703" s="590"/>
      <c r="C703" s="3816" t="s">
        <v>80</v>
      </c>
      <c r="D703" s="3816"/>
      <c r="E703" s="3816"/>
      <c r="F703" s="3816"/>
      <c r="BC703" s="736" t="str">
        <f t="shared" si="830"/>
        <v/>
      </c>
    </row>
    <row r="704" spans="1:55">
      <c r="BC704" s="736" t="str">
        <f t="shared" si="830"/>
        <v/>
      </c>
    </row>
    <row r="705" spans="1:55" ht="12.75" customHeight="1">
      <c r="A705" s="701"/>
      <c r="B705" s="701"/>
      <c r="C705" s="811"/>
      <c r="D705" s="812"/>
      <c r="E705" s="813" t="s">
        <v>1882</v>
      </c>
      <c r="F705" s="814"/>
      <c r="G705" s="815">
        <f>+InputY!$G$3</f>
        <v>1995</v>
      </c>
      <c r="H705" s="815">
        <f>+G705+1</f>
        <v>1996</v>
      </c>
      <c r="I705" s="815">
        <f t="shared" ref="I705:O705" si="911">+H705+1</f>
        <v>1997</v>
      </c>
      <c r="J705" s="815">
        <f t="shared" si="911"/>
        <v>1998</v>
      </c>
      <c r="K705" s="815">
        <f t="shared" si="911"/>
        <v>1999</v>
      </c>
      <c r="L705" s="815">
        <f t="shared" si="911"/>
        <v>2000</v>
      </c>
      <c r="M705" s="815">
        <f t="shared" si="911"/>
        <v>2001</v>
      </c>
      <c r="N705" s="815">
        <f t="shared" si="911"/>
        <v>2002</v>
      </c>
      <c r="O705" s="815">
        <f t="shared" si="911"/>
        <v>2003</v>
      </c>
      <c r="P705" s="815">
        <f t="shared" ref="P705:AF705" si="912">+O705+1</f>
        <v>2004</v>
      </c>
      <c r="Q705" s="815">
        <f t="shared" si="912"/>
        <v>2005</v>
      </c>
      <c r="R705" s="815">
        <f t="shared" si="912"/>
        <v>2006</v>
      </c>
      <c r="S705" s="815">
        <f t="shared" si="912"/>
        <v>2007</v>
      </c>
      <c r="T705" s="815">
        <f t="shared" si="912"/>
        <v>2008</v>
      </c>
      <c r="U705" s="815">
        <f t="shared" si="912"/>
        <v>2009</v>
      </c>
      <c r="V705" s="815">
        <f t="shared" si="912"/>
        <v>2010</v>
      </c>
      <c r="W705" s="815">
        <f t="shared" si="912"/>
        <v>2011</v>
      </c>
      <c r="X705" s="815">
        <f t="shared" si="912"/>
        <v>2012</v>
      </c>
      <c r="Y705" s="815">
        <f t="shared" si="912"/>
        <v>2013</v>
      </c>
      <c r="Z705" s="815">
        <f t="shared" si="912"/>
        <v>2014</v>
      </c>
      <c r="AA705" s="815">
        <f t="shared" si="912"/>
        <v>2015</v>
      </c>
      <c r="AB705" s="815">
        <f t="shared" si="912"/>
        <v>2016</v>
      </c>
      <c r="AC705" s="815">
        <f t="shared" si="912"/>
        <v>2017</v>
      </c>
      <c r="AD705" s="815">
        <f t="shared" si="912"/>
        <v>2018</v>
      </c>
      <c r="AE705" s="815">
        <f t="shared" si="912"/>
        <v>2019</v>
      </c>
      <c r="AF705" s="815">
        <f t="shared" si="912"/>
        <v>2020</v>
      </c>
      <c r="BB705" s="3514">
        <v>2016</v>
      </c>
      <c r="BC705" s="736" t="str">
        <f t="shared" si="830"/>
        <v/>
      </c>
    </row>
    <row r="706" spans="1:55" ht="12.75" customHeight="1">
      <c r="A706" s="701"/>
      <c r="B706" s="701"/>
      <c r="C706" s="816" t="s">
        <v>1791</v>
      </c>
      <c r="D706" s="705" t="s">
        <v>664</v>
      </c>
      <c r="E706" s="737" t="str">
        <f t="shared" ref="E706:Y706" si="913">+E254</f>
        <v>Social contributions (D.61r)</v>
      </c>
      <c r="F706" s="1056" t="str">
        <f t="shared" si="913"/>
        <v>YHTSoc(1)</v>
      </c>
      <c r="G706" s="1058">
        <f t="shared" si="913"/>
        <v>0</v>
      </c>
      <c r="H706" s="1058">
        <f t="shared" si="913"/>
        <v>0</v>
      </c>
      <c r="I706" s="1058">
        <f t="shared" si="913"/>
        <v>0</v>
      </c>
      <c r="J706" s="1058">
        <f t="shared" si="913"/>
        <v>0</v>
      </c>
      <c r="K706" s="1058">
        <f t="shared" si="913"/>
        <v>0</v>
      </c>
      <c r="L706" s="1058">
        <f t="shared" si="913"/>
        <v>0</v>
      </c>
      <c r="M706" s="1058">
        <f t="shared" si="913"/>
        <v>0</v>
      </c>
      <c r="N706" s="1058">
        <f t="shared" si="913"/>
        <v>0</v>
      </c>
      <c r="O706" s="1058">
        <f t="shared" si="913"/>
        <v>0</v>
      </c>
      <c r="P706" s="1058">
        <f t="shared" si="913"/>
        <v>0</v>
      </c>
      <c r="Q706" s="1058">
        <f t="shared" si="913"/>
        <v>0</v>
      </c>
      <c r="R706" s="1058">
        <f t="shared" si="913"/>
        <v>0</v>
      </c>
      <c r="S706" s="1058">
        <f t="shared" si="913"/>
        <v>0</v>
      </c>
      <c r="T706" s="1058">
        <f t="shared" si="913"/>
        <v>0</v>
      </c>
      <c r="U706" s="1058">
        <f t="shared" si="913"/>
        <v>0</v>
      </c>
      <c r="V706" s="1058">
        <f t="shared" si="913"/>
        <v>0</v>
      </c>
      <c r="W706" s="1058">
        <f t="shared" si="913"/>
        <v>0</v>
      </c>
      <c r="X706" s="1058">
        <f t="shared" si="913"/>
        <v>0</v>
      </c>
      <c r="Y706" s="1058">
        <f t="shared" si="913"/>
        <v>0</v>
      </c>
      <c r="Z706" s="1058">
        <f t="shared" ref="Z706:AA706" si="914">+Z254</f>
        <v>0</v>
      </c>
      <c r="AA706" s="1058">
        <f t="shared" si="914"/>
        <v>0</v>
      </c>
      <c r="AB706" s="1058">
        <f t="shared" ref="AB706:AC706" si="915">+AB254</f>
        <v>0</v>
      </c>
      <c r="AC706" s="1058">
        <f t="shared" si="915"/>
        <v>0</v>
      </c>
      <c r="AD706" s="3107">
        <f>+AD254</f>
        <v>0</v>
      </c>
      <c r="AE706" s="3107">
        <f>+AE254</f>
        <v>0</v>
      </c>
      <c r="AF706" s="3107">
        <f>+AF254</f>
        <v>0</v>
      </c>
      <c r="BB706" s="3592">
        <v>0</v>
      </c>
      <c r="BC706" s="736" t="str">
        <f t="shared" ref="BC706:BC769" si="916">IF(ABS(BB706-AB706)&gt;0.99,AB706-BB706,"")</f>
        <v/>
      </c>
    </row>
    <row r="707" spans="1:55" ht="12.75" customHeight="1">
      <c r="A707" s="701"/>
      <c r="B707" s="701"/>
      <c r="C707" s="819" t="s">
        <v>1791</v>
      </c>
      <c r="D707" s="711" t="s">
        <v>664</v>
      </c>
      <c r="E707" s="820" t="str">
        <f t="shared" ref="E707:Y707" si="917">+E300</f>
        <v>Social benefits (D.62r)</v>
      </c>
      <c r="F707" s="1057" t="str">
        <f t="shared" si="917"/>
        <v>YHTSoc(2)</v>
      </c>
      <c r="G707" s="1059">
        <f t="shared" si="917"/>
        <v>393.06400000000002</v>
      </c>
      <c r="H707" s="1059">
        <f t="shared" si="917"/>
        <v>384.529</v>
      </c>
      <c r="I707" s="1059">
        <f t="shared" si="917"/>
        <v>388.721</v>
      </c>
      <c r="J707" s="1059">
        <f t="shared" si="917"/>
        <v>398.2</v>
      </c>
      <c r="K707" s="1059">
        <f t="shared" si="917"/>
        <v>408.93700000000001</v>
      </c>
      <c r="L707" s="1059">
        <f t="shared" si="917"/>
        <v>416.43599999999998</v>
      </c>
      <c r="M707" s="1059">
        <f t="shared" si="917"/>
        <v>427.11799999999999</v>
      </c>
      <c r="N707" s="1059">
        <f t="shared" si="917"/>
        <v>449.99200000000002</v>
      </c>
      <c r="O707" s="1059">
        <f t="shared" si="917"/>
        <v>482.87299999999999</v>
      </c>
      <c r="P707" s="1059">
        <f t="shared" si="917"/>
        <v>498.27</v>
      </c>
      <c r="Q707" s="1059">
        <f t="shared" si="917"/>
        <v>512.846</v>
      </c>
      <c r="R707" s="1059">
        <f t="shared" si="917"/>
        <v>522.58900000000006</v>
      </c>
      <c r="S707" s="1059">
        <f t="shared" si="917"/>
        <v>521.36300000000006</v>
      </c>
      <c r="T707" s="1059">
        <f t="shared" si="917"/>
        <v>541.76199999999994</v>
      </c>
      <c r="U707" s="1059">
        <f t="shared" si="917"/>
        <v>578.91399999999999</v>
      </c>
      <c r="V707" s="1059">
        <f t="shared" si="917"/>
        <v>585.17700000000002</v>
      </c>
      <c r="W707" s="1059">
        <f t="shared" si="917"/>
        <v>594.27599999999995</v>
      </c>
      <c r="X707" s="1059">
        <f t="shared" si="917"/>
        <v>620.572</v>
      </c>
      <c r="Y707" s="1059">
        <f t="shared" si="917"/>
        <v>653.56299999999999</v>
      </c>
      <c r="Z707" s="1059">
        <f t="shared" ref="Z707:AA707" si="918">+Z300</f>
        <v>661.87699999999995</v>
      </c>
      <c r="AA707" s="1059">
        <f t="shared" si="918"/>
        <v>685.90899999999999</v>
      </c>
      <c r="AB707" s="1059">
        <f t="shared" ref="AB707:AC707" si="919">+AB300</f>
        <v>705.27</v>
      </c>
      <c r="AC707" s="1059">
        <f t="shared" si="919"/>
        <v>727.44799999999998</v>
      </c>
      <c r="AD707" s="3108">
        <f>+AD300</f>
        <v>752.61527449999994</v>
      </c>
      <c r="AE707" s="3108">
        <f>+AE300</f>
        <v>766.1217426715001</v>
      </c>
      <c r="AF707" s="3108">
        <f>+AF300</f>
        <v>783.02811571874588</v>
      </c>
      <c r="BB707" s="3593">
        <v>704.71500000000003</v>
      </c>
      <c r="BC707" s="736" t="str">
        <f t="shared" si="916"/>
        <v/>
      </c>
    </row>
    <row r="708" spans="1:55" ht="12.75" customHeight="1">
      <c r="A708" s="701"/>
      <c r="B708" s="701"/>
      <c r="C708" s="819" t="s">
        <v>1791</v>
      </c>
      <c r="D708" s="711" t="s">
        <v>664</v>
      </c>
      <c r="E708" s="820" t="str">
        <f t="shared" ref="E708:Y708" si="920">+E322</f>
        <v>Other current transfers (D.7r)</v>
      </c>
      <c r="F708" s="1057" t="str">
        <f t="shared" si="920"/>
        <v>YHTO</v>
      </c>
      <c r="G708" s="1059">
        <f t="shared" si="920"/>
        <v>102.539</v>
      </c>
      <c r="H708" s="1059">
        <f t="shared" si="920"/>
        <v>97.631</v>
      </c>
      <c r="I708" s="1059">
        <f t="shared" si="920"/>
        <v>100.682</v>
      </c>
      <c r="J708" s="1059">
        <f t="shared" si="920"/>
        <v>97.370999999999995</v>
      </c>
      <c r="K708" s="1059">
        <f t="shared" si="920"/>
        <v>109.09099999999999</v>
      </c>
      <c r="L708" s="1059">
        <f t="shared" si="920"/>
        <v>125.325</v>
      </c>
      <c r="M708" s="1059">
        <f t="shared" si="920"/>
        <v>130.386</v>
      </c>
      <c r="N708" s="1059">
        <f t="shared" si="920"/>
        <v>115.483</v>
      </c>
      <c r="O708" s="1059">
        <f t="shared" si="920"/>
        <v>130.25899999999999</v>
      </c>
      <c r="P708" s="1059">
        <f t="shared" si="920"/>
        <v>138.995</v>
      </c>
      <c r="Q708" s="1059">
        <f t="shared" si="920"/>
        <v>143.76599999999999</v>
      </c>
      <c r="R708" s="1059">
        <f t="shared" si="920"/>
        <v>143.327</v>
      </c>
      <c r="S708" s="1059">
        <f t="shared" si="920"/>
        <v>144.01599999999999</v>
      </c>
      <c r="T708" s="1059">
        <f t="shared" si="920"/>
        <v>146.232</v>
      </c>
      <c r="U708" s="1059">
        <f t="shared" si="920"/>
        <v>148.62100000000001</v>
      </c>
      <c r="V708" s="1059">
        <f t="shared" si="920"/>
        <v>148.78800000000001</v>
      </c>
      <c r="W708" s="1059">
        <f t="shared" si="920"/>
        <v>147.50299999999999</v>
      </c>
      <c r="X708" s="1059">
        <f t="shared" si="920"/>
        <v>153.268</v>
      </c>
      <c r="Y708" s="1059">
        <f t="shared" si="920"/>
        <v>158.09399999999999</v>
      </c>
      <c r="Z708" s="1059">
        <f t="shared" ref="Z708:AA708" si="921">+Z322</f>
        <v>159.96299999999999</v>
      </c>
      <c r="AA708" s="1059">
        <f t="shared" si="921"/>
        <v>165.22900000000001</v>
      </c>
      <c r="AB708" s="1059">
        <f t="shared" ref="AB708:AC708" si="922">+AB322</f>
        <v>175.31700000000001</v>
      </c>
      <c r="AC708" s="1059">
        <f t="shared" si="922"/>
        <v>180.054</v>
      </c>
      <c r="AD708" s="3108">
        <f>+AD322</f>
        <v>189.05670000000001</v>
      </c>
      <c r="AE708" s="3108">
        <f>+AE322</f>
        <v>193.7831175</v>
      </c>
      <c r="AF708" s="3108">
        <f>+AF322</f>
        <v>198.62769543749999</v>
      </c>
      <c r="BB708" s="3593">
        <v>172.22300000000001</v>
      </c>
      <c r="BC708" s="736">
        <f t="shared" si="916"/>
        <v>3.0939999999999941</v>
      </c>
    </row>
    <row r="709" spans="1:55" ht="12.75" customHeight="1">
      <c r="A709" s="701"/>
      <c r="B709" s="701">
        <v>91</v>
      </c>
      <c r="C709" s="821" t="s">
        <v>1793</v>
      </c>
      <c r="D709" s="789" t="s">
        <v>664</v>
      </c>
      <c r="E709" s="790" t="s">
        <v>1437</v>
      </c>
      <c r="F709" s="791" t="s">
        <v>619</v>
      </c>
      <c r="G709" s="822">
        <f t="shared" ref="G709:Q709" si="923">+G706+G707+G708</f>
        <v>495.60300000000001</v>
      </c>
      <c r="H709" s="822">
        <f t="shared" si="923"/>
        <v>482.15999999999997</v>
      </c>
      <c r="I709" s="822">
        <f t="shared" si="923"/>
        <v>489.40300000000002</v>
      </c>
      <c r="J709" s="822">
        <f t="shared" si="923"/>
        <v>495.57099999999997</v>
      </c>
      <c r="K709" s="822">
        <f t="shared" si="923"/>
        <v>518.02800000000002</v>
      </c>
      <c r="L709" s="822">
        <f t="shared" si="923"/>
        <v>541.76099999999997</v>
      </c>
      <c r="M709" s="822">
        <f t="shared" si="923"/>
        <v>557.50400000000002</v>
      </c>
      <c r="N709" s="822">
        <f t="shared" si="923"/>
        <v>565.47500000000002</v>
      </c>
      <c r="O709" s="822">
        <f t="shared" si="923"/>
        <v>613.13199999999995</v>
      </c>
      <c r="P709" s="822">
        <f t="shared" si="923"/>
        <v>637.26499999999999</v>
      </c>
      <c r="Q709" s="822">
        <f t="shared" si="923"/>
        <v>656.61199999999997</v>
      </c>
      <c r="R709" s="822">
        <f t="shared" ref="R709:Y709" si="924">+R706+R707+R708</f>
        <v>665.91600000000005</v>
      </c>
      <c r="S709" s="822">
        <f t="shared" si="924"/>
        <v>665.37900000000002</v>
      </c>
      <c r="T709" s="822">
        <f t="shared" si="924"/>
        <v>687.99399999999991</v>
      </c>
      <c r="U709" s="822">
        <f t="shared" si="924"/>
        <v>727.53499999999997</v>
      </c>
      <c r="V709" s="822">
        <f t="shared" si="924"/>
        <v>733.96500000000003</v>
      </c>
      <c r="W709" s="822">
        <f t="shared" si="924"/>
        <v>741.779</v>
      </c>
      <c r="X709" s="822">
        <f t="shared" si="924"/>
        <v>773.84</v>
      </c>
      <c r="Y709" s="822">
        <f t="shared" si="924"/>
        <v>811.65699999999993</v>
      </c>
      <c r="Z709" s="822">
        <f t="shared" ref="Z709:AA709" si="925">+Z706+Z707+Z708</f>
        <v>821.83999999999992</v>
      </c>
      <c r="AA709" s="822">
        <f t="shared" si="925"/>
        <v>851.13800000000003</v>
      </c>
      <c r="AB709" s="822">
        <f t="shared" ref="AB709:AC709" si="926">+AB706+AB707+AB708</f>
        <v>880.58699999999999</v>
      </c>
      <c r="AC709" s="822">
        <f t="shared" si="926"/>
        <v>907.50199999999995</v>
      </c>
      <c r="AD709" s="881">
        <f>+AD706+AD707+AD708</f>
        <v>941.67197449999992</v>
      </c>
      <c r="AE709" s="881">
        <f>+AE706+AE707+AE708</f>
        <v>959.9048601715001</v>
      </c>
      <c r="AF709" s="881">
        <f>+AF706+AF707+AF708</f>
        <v>981.65581115624582</v>
      </c>
      <c r="BB709" s="3473">
        <v>876.9380000000001</v>
      </c>
      <c r="BC709" s="736">
        <f t="shared" si="916"/>
        <v>3.6489999999998872</v>
      </c>
    </row>
    <row r="710" spans="1:55">
      <c r="Q710" s="736"/>
      <c r="R710" s="736"/>
      <c r="S710" s="736"/>
      <c r="T710" s="736"/>
      <c r="U710" s="736"/>
      <c r="V710" s="736"/>
      <c r="W710" s="736"/>
      <c r="X710" s="736"/>
      <c r="Y710" s="736"/>
      <c r="Z710" s="736"/>
      <c r="AA710" s="736"/>
      <c r="AB710" s="736"/>
      <c r="AC710" s="880"/>
      <c r="AD710" s="880"/>
      <c r="AE710" s="880"/>
      <c r="AF710" s="880"/>
      <c r="BB710" s="3594"/>
      <c r="BC710" s="736" t="str">
        <f t="shared" si="916"/>
        <v/>
      </c>
    </row>
    <row r="711" spans="1:55" ht="12.75" customHeight="1">
      <c r="A711" s="701"/>
      <c r="B711" s="701"/>
      <c r="C711" s="811"/>
      <c r="D711" s="812"/>
      <c r="E711" s="813" t="s">
        <v>1882</v>
      </c>
      <c r="F711" s="814"/>
      <c r="G711" s="815">
        <f>+InputY!$G$3</f>
        <v>1995</v>
      </c>
      <c r="H711" s="815">
        <f>+G711+1</f>
        <v>1996</v>
      </c>
      <c r="I711" s="815">
        <f t="shared" ref="I711:O711" si="927">+H711+1</f>
        <v>1997</v>
      </c>
      <c r="J711" s="815">
        <f t="shared" si="927"/>
        <v>1998</v>
      </c>
      <c r="K711" s="815">
        <f t="shared" si="927"/>
        <v>1999</v>
      </c>
      <c r="L711" s="815">
        <f t="shared" si="927"/>
        <v>2000</v>
      </c>
      <c r="M711" s="815">
        <f t="shared" si="927"/>
        <v>2001</v>
      </c>
      <c r="N711" s="815">
        <f t="shared" si="927"/>
        <v>2002</v>
      </c>
      <c r="O711" s="815">
        <f t="shared" si="927"/>
        <v>2003</v>
      </c>
      <c r="P711" s="815">
        <f t="shared" ref="P711:AF711" si="928">+O711+1</f>
        <v>2004</v>
      </c>
      <c r="Q711" s="815">
        <f t="shared" si="928"/>
        <v>2005</v>
      </c>
      <c r="R711" s="815">
        <f t="shared" si="928"/>
        <v>2006</v>
      </c>
      <c r="S711" s="815">
        <f t="shared" si="928"/>
        <v>2007</v>
      </c>
      <c r="T711" s="815">
        <f t="shared" si="928"/>
        <v>2008</v>
      </c>
      <c r="U711" s="815">
        <f t="shared" si="928"/>
        <v>2009</v>
      </c>
      <c r="V711" s="815">
        <f t="shared" si="928"/>
        <v>2010</v>
      </c>
      <c r="W711" s="815">
        <f t="shared" si="928"/>
        <v>2011</v>
      </c>
      <c r="X711" s="815">
        <f t="shared" si="928"/>
        <v>2012</v>
      </c>
      <c r="Y711" s="815">
        <f t="shared" si="928"/>
        <v>2013</v>
      </c>
      <c r="Z711" s="815">
        <f t="shared" si="928"/>
        <v>2014</v>
      </c>
      <c r="AA711" s="815">
        <f t="shared" si="928"/>
        <v>2015</v>
      </c>
      <c r="AB711" s="815">
        <f t="shared" si="928"/>
        <v>2016</v>
      </c>
      <c r="AC711" s="815">
        <f t="shared" si="928"/>
        <v>2017</v>
      </c>
      <c r="AD711" s="815">
        <f t="shared" si="928"/>
        <v>2018</v>
      </c>
      <c r="AE711" s="815">
        <f t="shared" si="928"/>
        <v>2019</v>
      </c>
      <c r="AF711" s="815">
        <f t="shared" si="928"/>
        <v>2020</v>
      </c>
      <c r="BB711" s="3514">
        <v>2016</v>
      </c>
      <c r="BC711" s="736" t="str">
        <f t="shared" si="916"/>
        <v/>
      </c>
    </row>
    <row r="712" spans="1:55" ht="12.75" customHeight="1">
      <c r="A712" s="701"/>
      <c r="B712" s="701"/>
      <c r="C712" s="816" t="s">
        <v>1791</v>
      </c>
      <c r="D712" s="705" t="s">
        <v>664</v>
      </c>
      <c r="E712" s="737" t="str">
        <f t="shared" ref="E712:Y712" si="929">+E257</f>
        <v>Social contributions (D.61p)</v>
      </c>
      <c r="F712" s="1056" t="str">
        <f t="shared" si="929"/>
        <v>$HTaxSoc(1)</v>
      </c>
      <c r="G712" s="817">
        <f t="shared" si="929"/>
        <v>192.80799999999999</v>
      </c>
      <c r="H712" s="817">
        <f t="shared" si="929"/>
        <v>207.75299999999999</v>
      </c>
      <c r="I712" s="817">
        <f t="shared" si="929"/>
        <v>225.00200000000001</v>
      </c>
      <c r="J712" s="817">
        <f t="shared" si="929"/>
        <v>195.79400000000001</v>
      </c>
      <c r="K712" s="817">
        <f t="shared" si="929"/>
        <v>204.745</v>
      </c>
      <c r="L712" s="817">
        <f t="shared" si="929"/>
        <v>247.64500000000001</v>
      </c>
      <c r="M712" s="817">
        <f t="shared" si="929"/>
        <v>245.58099999999999</v>
      </c>
      <c r="N712" s="817">
        <f t="shared" si="929"/>
        <v>232.386</v>
      </c>
      <c r="O712" s="817">
        <f t="shared" si="929"/>
        <v>244.21100000000001</v>
      </c>
      <c r="P712" s="817">
        <f t="shared" si="929"/>
        <v>251.62700000000001</v>
      </c>
      <c r="Q712" s="817">
        <f t="shared" si="929"/>
        <v>250.315</v>
      </c>
      <c r="R712" s="817">
        <f t="shared" si="929"/>
        <v>257.49299999999999</v>
      </c>
      <c r="S712" s="817">
        <f t="shared" si="929"/>
        <v>291.596</v>
      </c>
      <c r="T712" s="817">
        <f t="shared" si="929"/>
        <v>312.56599999999997</v>
      </c>
      <c r="U712" s="817">
        <f t="shared" si="929"/>
        <v>284.81200000000001</v>
      </c>
      <c r="V712" s="817">
        <f t="shared" si="929"/>
        <v>334.29199999999997</v>
      </c>
      <c r="W712" s="817">
        <f t="shared" si="929"/>
        <v>352.69600000000003</v>
      </c>
      <c r="X712" s="817">
        <f t="shared" si="929"/>
        <v>351.03100000000001</v>
      </c>
      <c r="Y712" s="817">
        <f t="shared" si="929"/>
        <v>370.10899999999998</v>
      </c>
      <c r="Z712" s="817">
        <f t="shared" ref="Z712:AA712" si="930">+Z257</f>
        <v>407.18900000000002</v>
      </c>
      <c r="AA712" s="817">
        <f t="shared" si="930"/>
        <v>405.35700000000003</v>
      </c>
      <c r="AB712" s="817">
        <f t="shared" ref="AB712:AC712" si="931">+AB257</f>
        <v>430.17599999999999</v>
      </c>
      <c r="AC712" s="817">
        <f t="shared" si="931"/>
        <v>431.91500000000002</v>
      </c>
      <c r="AD712" s="883">
        <f>+AD257</f>
        <v>448.89665206435512</v>
      </c>
      <c r="AE712" s="883">
        <f>+AE257</f>
        <v>465.78318751792273</v>
      </c>
      <c r="AF712" s="883">
        <f>+AF257</f>
        <v>484.74181598693627</v>
      </c>
      <c r="BB712" s="3471">
        <v>435.85</v>
      </c>
      <c r="BC712" s="736">
        <f t="shared" si="916"/>
        <v>-5.674000000000035</v>
      </c>
    </row>
    <row r="713" spans="1:55" ht="12.75" customHeight="1">
      <c r="A713" s="701"/>
      <c r="B713" s="701"/>
      <c r="C713" s="819" t="s">
        <v>1791</v>
      </c>
      <c r="D713" s="711" t="s">
        <v>664</v>
      </c>
      <c r="E713" s="820" t="str">
        <f t="shared" ref="E713:Y713" si="932">+E296</f>
        <v>Social benefits (D.62p)</v>
      </c>
      <c r="F713" s="1057" t="str">
        <f t="shared" si="932"/>
        <v>$HTaxSoc(2)</v>
      </c>
      <c r="G713" s="743">
        <f t="shared" si="932"/>
        <v>40.308</v>
      </c>
      <c r="H713" s="743">
        <f t="shared" si="932"/>
        <v>39.244999999999997</v>
      </c>
      <c r="I713" s="743">
        <f t="shared" si="932"/>
        <v>37.164000000000001</v>
      </c>
      <c r="J713" s="743">
        <f t="shared" si="932"/>
        <v>35.168999999999997</v>
      </c>
      <c r="K713" s="743">
        <f t="shared" si="932"/>
        <v>32.468000000000004</v>
      </c>
      <c r="L713" s="743">
        <f t="shared" si="932"/>
        <v>31.707999999999998</v>
      </c>
      <c r="M713" s="743">
        <f t="shared" si="932"/>
        <v>23.864000000000001</v>
      </c>
      <c r="N713" s="743">
        <f t="shared" si="932"/>
        <v>22.780999999999999</v>
      </c>
      <c r="O713" s="743">
        <f t="shared" si="932"/>
        <v>28.256</v>
      </c>
      <c r="P713" s="743">
        <f t="shared" si="932"/>
        <v>32.533999999999999</v>
      </c>
      <c r="Q713" s="743">
        <f t="shared" si="932"/>
        <v>31.113</v>
      </c>
      <c r="R713" s="743">
        <f t="shared" si="932"/>
        <v>27.167000000000002</v>
      </c>
      <c r="S713" s="743">
        <f t="shared" si="932"/>
        <v>19.777999999999999</v>
      </c>
      <c r="T713" s="743">
        <f t="shared" si="932"/>
        <v>13.577999999999999</v>
      </c>
      <c r="U713" s="743">
        <f t="shared" si="932"/>
        <v>19.327000000000002</v>
      </c>
      <c r="V713" s="743">
        <f t="shared" si="932"/>
        <v>17.646000000000001</v>
      </c>
      <c r="W713" s="743">
        <f t="shared" si="932"/>
        <v>13.112</v>
      </c>
      <c r="X713" s="743">
        <f t="shared" si="932"/>
        <v>13.71</v>
      </c>
      <c r="Y713" s="743">
        <f t="shared" si="932"/>
        <v>14.632999999999999</v>
      </c>
      <c r="Z713" s="743">
        <f t="shared" ref="Z713:AA713" si="933">+Z296</f>
        <v>13.385</v>
      </c>
      <c r="AA713" s="743">
        <f t="shared" si="933"/>
        <v>12.738</v>
      </c>
      <c r="AB713" s="743">
        <f t="shared" ref="AB713:AC713" si="934">+AB296</f>
        <v>12.516</v>
      </c>
      <c r="AC713" s="743">
        <f t="shared" si="934"/>
        <v>12.244999999999999</v>
      </c>
      <c r="AD713" s="829">
        <f>+AD296</f>
        <v>12.122549999999999</v>
      </c>
      <c r="AE713" s="829">
        <f>+AE296</f>
        <v>12.001324499999999</v>
      </c>
      <c r="AF713" s="829">
        <f>+AF296</f>
        <v>11.881311254999998</v>
      </c>
      <c r="BB713" s="3472">
        <v>12.516</v>
      </c>
      <c r="BC713" s="736" t="str">
        <f t="shared" si="916"/>
        <v/>
      </c>
    </row>
    <row r="714" spans="1:55" ht="12.75" customHeight="1">
      <c r="A714" s="701"/>
      <c r="B714" s="701"/>
      <c r="C714" s="819" t="s">
        <v>1791</v>
      </c>
      <c r="D714" s="711" t="s">
        <v>664</v>
      </c>
      <c r="E714" s="820" t="str">
        <f t="shared" ref="E714:Y714" si="935">+E321</f>
        <v>Other current transfers (D.7p)</v>
      </c>
      <c r="F714" s="1057" t="str">
        <f t="shared" si="935"/>
        <v>$HTO</v>
      </c>
      <c r="G714" s="743">
        <f t="shared" si="935"/>
        <v>42.713999999999999</v>
      </c>
      <c r="H714" s="743">
        <f t="shared" si="935"/>
        <v>41.875</v>
      </c>
      <c r="I714" s="743">
        <f t="shared" si="935"/>
        <v>43.436</v>
      </c>
      <c r="J714" s="743">
        <f t="shared" si="935"/>
        <v>46.268999999999998</v>
      </c>
      <c r="K714" s="743">
        <f t="shared" si="935"/>
        <v>46.421999999999997</v>
      </c>
      <c r="L714" s="743">
        <f t="shared" si="935"/>
        <v>63.505000000000003</v>
      </c>
      <c r="M714" s="743">
        <f t="shared" si="935"/>
        <v>66.406999999999996</v>
      </c>
      <c r="N714" s="743">
        <f t="shared" si="935"/>
        <v>68.53</v>
      </c>
      <c r="O714" s="743">
        <f t="shared" si="935"/>
        <v>72.89</v>
      </c>
      <c r="P714" s="743">
        <f t="shared" si="935"/>
        <v>77.358000000000004</v>
      </c>
      <c r="Q714" s="743">
        <f t="shared" si="935"/>
        <v>83.991</v>
      </c>
      <c r="R714" s="743">
        <f t="shared" si="935"/>
        <v>86.442999999999998</v>
      </c>
      <c r="S714" s="743">
        <f t="shared" si="935"/>
        <v>102.998</v>
      </c>
      <c r="T714" s="743">
        <f t="shared" si="935"/>
        <v>105.783</v>
      </c>
      <c r="U714" s="743">
        <f t="shared" si="935"/>
        <v>102.11199999999999</v>
      </c>
      <c r="V714" s="743">
        <f t="shared" si="935"/>
        <v>101.1</v>
      </c>
      <c r="W714" s="743">
        <f t="shared" si="935"/>
        <v>94.881</v>
      </c>
      <c r="X714" s="743">
        <f t="shared" si="935"/>
        <v>99.748000000000005</v>
      </c>
      <c r="Y714" s="743">
        <f t="shared" si="935"/>
        <v>101.337</v>
      </c>
      <c r="Z714" s="743">
        <f t="shared" ref="Z714:AA714" si="936">+Z321</f>
        <v>96.942999999999998</v>
      </c>
      <c r="AA714" s="743">
        <f t="shared" si="936"/>
        <v>99.444000000000003</v>
      </c>
      <c r="AB714" s="743">
        <f t="shared" ref="AB714:AC714" si="937">+AB321</f>
        <v>101.645</v>
      </c>
      <c r="AC714" s="743">
        <f t="shared" si="937"/>
        <v>106.818</v>
      </c>
      <c r="AD714" s="829">
        <f>+AD321</f>
        <v>111.09072</v>
      </c>
      <c r="AE714" s="829">
        <f>+AE321</f>
        <v>113.3125344</v>
      </c>
      <c r="AF714" s="829">
        <f>+AF321</f>
        <v>115.578785088</v>
      </c>
      <c r="BB714" s="3472">
        <v>104.014</v>
      </c>
      <c r="BC714" s="736">
        <f t="shared" si="916"/>
        <v>-2.3689999999999998</v>
      </c>
    </row>
    <row r="715" spans="1:55" ht="12.75" customHeight="1">
      <c r="A715" s="701"/>
      <c r="B715" s="701">
        <v>93</v>
      </c>
      <c r="C715" s="821" t="s">
        <v>1793</v>
      </c>
      <c r="D715" s="789" t="s">
        <v>664</v>
      </c>
      <c r="E715" s="790" t="s">
        <v>1438</v>
      </c>
      <c r="F715" s="791" t="s">
        <v>1567</v>
      </c>
      <c r="G715" s="822">
        <f t="shared" ref="G715:Q715" si="938">+G712+G713+G714</f>
        <v>275.83</v>
      </c>
      <c r="H715" s="822">
        <f t="shared" si="938"/>
        <v>288.87299999999999</v>
      </c>
      <c r="I715" s="822">
        <f t="shared" si="938"/>
        <v>305.60199999999998</v>
      </c>
      <c r="J715" s="822">
        <f t="shared" si="938"/>
        <v>277.23200000000003</v>
      </c>
      <c r="K715" s="822">
        <f t="shared" si="938"/>
        <v>283.63499999999999</v>
      </c>
      <c r="L715" s="822">
        <f t="shared" si="938"/>
        <v>342.858</v>
      </c>
      <c r="M715" s="822">
        <f t="shared" si="938"/>
        <v>335.85199999999998</v>
      </c>
      <c r="N715" s="822">
        <f t="shared" si="938"/>
        <v>323.697</v>
      </c>
      <c r="O715" s="822">
        <f t="shared" si="938"/>
        <v>345.35699999999997</v>
      </c>
      <c r="P715" s="822">
        <f t="shared" si="938"/>
        <v>361.51900000000001</v>
      </c>
      <c r="Q715" s="822">
        <f t="shared" si="938"/>
        <v>365.41899999999998</v>
      </c>
      <c r="R715" s="822">
        <f t="shared" ref="R715:Y715" si="939">+R712+R713+R714</f>
        <v>371.10299999999995</v>
      </c>
      <c r="S715" s="822">
        <f t="shared" si="939"/>
        <v>414.37200000000001</v>
      </c>
      <c r="T715" s="822">
        <f t="shared" si="939"/>
        <v>431.92699999999996</v>
      </c>
      <c r="U715" s="822">
        <f t="shared" si="939"/>
        <v>406.25099999999998</v>
      </c>
      <c r="V715" s="822">
        <f t="shared" si="939"/>
        <v>453.03800000000001</v>
      </c>
      <c r="W715" s="822">
        <f t="shared" si="939"/>
        <v>460.68900000000008</v>
      </c>
      <c r="X715" s="822">
        <f t="shared" si="939"/>
        <v>464.48899999999998</v>
      </c>
      <c r="Y715" s="822">
        <f t="shared" si="939"/>
        <v>486.07899999999995</v>
      </c>
      <c r="Z715" s="822">
        <f t="shared" ref="Z715:AA715" si="940">+Z712+Z713+Z714</f>
        <v>517.51700000000005</v>
      </c>
      <c r="AA715" s="822">
        <f t="shared" si="940"/>
        <v>517.53899999999999</v>
      </c>
      <c r="AB715" s="822">
        <f t="shared" ref="AB715:AC715" si="941">+AB712+AB713+AB714</f>
        <v>544.33699999999999</v>
      </c>
      <c r="AC715" s="822">
        <f t="shared" si="941"/>
        <v>550.97800000000007</v>
      </c>
      <c r="AD715" s="881">
        <f>+AD712+AD713+AD714</f>
        <v>572.10992206435515</v>
      </c>
      <c r="AE715" s="881">
        <f>+AE712+AE713+AE714</f>
        <v>591.09704641792268</v>
      </c>
      <c r="AF715" s="881">
        <f>+AF712+AF713+AF714</f>
        <v>612.20191232993625</v>
      </c>
      <c r="BB715" s="3473">
        <v>552.38</v>
      </c>
      <c r="BC715" s="736">
        <f t="shared" si="916"/>
        <v>-8.0430000000000064</v>
      </c>
    </row>
    <row r="716" spans="1:55">
      <c r="Q716" s="736"/>
      <c r="R716" s="736"/>
      <c r="S716" s="736"/>
      <c r="T716" s="736"/>
      <c r="U716" s="736"/>
      <c r="V716" s="736"/>
      <c r="W716" s="736"/>
      <c r="X716" s="736"/>
      <c r="Y716" s="736"/>
      <c r="Z716" s="736"/>
      <c r="AA716" s="736"/>
      <c r="AB716" s="736"/>
      <c r="AC716" s="880"/>
      <c r="AD716" s="880"/>
      <c r="AE716" s="880"/>
      <c r="AF716" s="880"/>
      <c r="BB716" s="3594"/>
      <c r="BC716" s="736" t="str">
        <f t="shared" si="916"/>
        <v/>
      </c>
    </row>
    <row r="717" spans="1:55" ht="12.75" customHeight="1">
      <c r="A717" s="701"/>
      <c r="B717" s="701"/>
      <c r="C717" s="811"/>
      <c r="D717" s="812"/>
      <c r="E717" s="813" t="s">
        <v>1882</v>
      </c>
      <c r="F717" s="814"/>
      <c r="G717" s="815">
        <f>+InputY!$G$3</f>
        <v>1995</v>
      </c>
      <c r="H717" s="815">
        <f>+G717+1</f>
        <v>1996</v>
      </c>
      <c r="I717" s="815">
        <f t="shared" ref="I717:O717" si="942">+H717+1</f>
        <v>1997</v>
      </c>
      <c r="J717" s="815">
        <f t="shared" si="942"/>
        <v>1998</v>
      </c>
      <c r="K717" s="815">
        <f t="shared" si="942"/>
        <v>1999</v>
      </c>
      <c r="L717" s="815">
        <f t="shared" si="942"/>
        <v>2000</v>
      </c>
      <c r="M717" s="815">
        <f t="shared" si="942"/>
        <v>2001</v>
      </c>
      <c r="N717" s="815">
        <f t="shared" si="942"/>
        <v>2002</v>
      </c>
      <c r="O717" s="815">
        <f t="shared" si="942"/>
        <v>2003</v>
      </c>
      <c r="P717" s="815">
        <f t="shared" ref="P717:AF717" si="943">+O717+1</f>
        <v>2004</v>
      </c>
      <c r="Q717" s="815">
        <f t="shared" si="943"/>
        <v>2005</v>
      </c>
      <c r="R717" s="815">
        <f t="shared" si="943"/>
        <v>2006</v>
      </c>
      <c r="S717" s="815">
        <f t="shared" si="943"/>
        <v>2007</v>
      </c>
      <c r="T717" s="815">
        <f t="shared" si="943"/>
        <v>2008</v>
      </c>
      <c r="U717" s="815">
        <f t="shared" si="943"/>
        <v>2009</v>
      </c>
      <c r="V717" s="815">
        <f t="shared" si="943"/>
        <v>2010</v>
      </c>
      <c r="W717" s="815">
        <f t="shared" si="943"/>
        <v>2011</v>
      </c>
      <c r="X717" s="815">
        <f t="shared" si="943"/>
        <v>2012</v>
      </c>
      <c r="Y717" s="815">
        <f t="shared" si="943"/>
        <v>2013</v>
      </c>
      <c r="Z717" s="815">
        <f t="shared" si="943"/>
        <v>2014</v>
      </c>
      <c r="AA717" s="815">
        <f t="shared" si="943"/>
        <v>2015</v>
      </c>
      <c r="AB717" s="815">
        <f t="shared" si="943"/>
        <v>2016</v>
      </c>
      <c r="AC717" s="815">
        <f t="shared" si="943"/>
        <v>2017</v>
      </c>
      <c r="AD717" s="815">
        <f t="shared" si="943"/>
        <v>2018</v>
      </c>
      <c r="AE717" s="815">
        <f t="shared" si="943"/>
        <v>2019</v>
      </c>
      <c r="AF717" s="815">
        <f t="shared" si="943"/>
        <v>2020</v>
      </c>
      <c r="BB717" s="3514">
        <v>2016</v>
      </c>
      <c r="BC717" s="736" t="str">
        <f t="shared" si="916"/>
        <v/>
      </c>
    </row>
    <row r="718" spans="1:55" ht="12.75" customHeight="1">
      <c r="A718" s="701"/>
      <c r="B718" s="701"/>
      <c r="C718" s="816" t="s">
        <v>1791</v>
      </c>
      <c r="D718" s="705" t="s">
        <v>664</v>
      </c>
      <c r="E718" s="737" t="s">
        <v>1341</v>
      </c>
      <c r="F718" s="1056" t="s">
        <v>1571</v>
      </c>
      <c r="G718" s="817">
        <f>+'VVP2'!G228</f>
        <v>29.338000000000001</v>
      </c>
      <c r="H718" s="817">
        <f>+'VVP2'!H228</f>
        <v>30.954000000000001</v>
      </c>
      <c r="I718" s="817">
        <f>+'VVP2'!I228</f>
        <v>33.084000000000003</v>
      </c>
      <c r="J718" s="817">
        <f>+'VVP2'!J228</f>
        <v>38.485999999999997</v>
      </c>
      <c r="K718" s="817">
        <f>+'VVP2'!K228</f>
        <v>43.835999999999999</v>
      </c>
      <c r="L718" s="817">
        <f>+'VVP2'!L228</f>
        <v>49.478000000000002</v>
      </c>
      <c r="M718" s="817">
        <f>+'VVP2'!M228</f>
        <v>52.545999999999999</v>
      </c>
      <c r="N718" s="817">
        <f>+'VVP2'!N228</f>
        <v>59.432000000000002</v>
      </c>
      <c r="O718" s="817">
        <f>+'VVP2'!O228</f>
        <v>66.695999999999998</v>
      </c>
      <c r="P718" s="817">
        <f>+'VVP2'!P228</f>
        <v>77.59</v>
      </c>
      <c r="Q718" s="817">
        <f>+'VVP2'!Q228</f>
        <v>83.100999999999999</v>
      </c>
      <c r="R718" s="817">
        <f>+'VVP2'!R228</f>
        <v>95.426000000000002</v>
      </c>
      <c r="S718" s="817">
        <f>+'VVP2'!S228</f>
        <v>107.449</v>
      </c>
      <c r="T718" s="817">
        <f>+'VVP2'!T228</f>
        <v>103.60899999999999</v>
      </c>
      <c r="U718" s="817">
        <f>+'VVP2'!U228</f>
        <v>91.816000000000003</v>
      </c>
      <c r="V718" s="817">
        <f>+'VVP2'!V228</f>
        <v>105.845</v>
      </c>
      <c r="W718" s="817">
        <f>+'VVP2'!W228</f>
        <v>103.506</v>
      </c>
      <c r="X718" s="817">
        <f>+'VVP2'!X228</f>
        <v>89.721999999999994</v>
      </c>
      <c r="Y718" s="817">
        <f>+'VVP2'!Y228</f>
        <v>92.082999999999998</v>
      </c>
      <c r="Z718" s="817">
        <f>+'VVP2'!Z228</f>
        <v>96.292000000000002</v>
      </c>
      <c r="AA718" s="817">
        <f>+'VVP2'!AA228</f>
        <v>124.821</v>
      </c>
      <c r="AB718" s="817">
        <f>+'VVP2'!AB228</f>
        <v>141.32300000000001</v>
      </c>
      <c r="AC718" s="817">
        <f>+'VVP2'!AC228</f>
        <v>154.51400000000001</v>
      </c>
      <c r="AD718" s="883">
        <f ca="1">+'VVP2'!AD228</f>
        <v>163.78484000000003</v>
      </c>
      <c r="AE718" s="883">
        <f ca="1">+'VVP2'!AE228</f>
        <v>168.86217004000002</v>
      </c>
      <c r="AF718" s="883">
        <f ca="1">+'VVP2'!AF228</f>
        <v>172.57713778088004</v>
      </c>
      <c r="BB718" s="3471">
        <v>132.33799999999999</v>
      </c>
      <c r="BC718" s="736">
        <f t="shared" si="916"/>
        <v>8.9850000000000136</v>
      </c>
    </row>
    <row r="719" spans="1:55" ht="12.75" customHeight="1">
      <c r="A719" s="701"/>
      <c r="B719" s="701"/>
      <c r="C719" s="819" t="s">
        <v>1791</v>
      </c>
      <c r="D719" s="711" t="s">
        <v>664</v>
      </c>
      <c r="E719" s="820" t="s">
        <v>234</v>
      </c>
      <c r="F719" s="1057" t="s">
        <v>1304</v>
      </c>
      <c r="G719" s="743">
        <f t="shared" ref="G719:Y719" si="944">+G539</f>
        <v>2.097</v>
      </c>
      <c r="H719" s="743">
        <f t="shared" si="944"/>
        <v>2.4409999999999998</v>
      </c>
      <c r="I719" s="743">
        <f t="shared" si="944"/>
        <v>2.1859999999999999</v>
      </c>
      <c r="J719" s="743">
        <f t="shared" si="944"/>
        <v>2.6629999999999998</v>
      </c>
      <c r="K719" s="743">
        <f t="shared" si="944"/>
        <v>2.7290000000000001</v>
      </c>
      <c r="L719" s="743">
        <f t="shared" si="944"/>
        <v>2.476</v>
      </c>
      <c r="M719" s="743">
        <f t="shared" si="944"/>
        <v>2.4449999999999998</v>
      </c>
      <c r="N719" s="743">
        <f t="shared" si="944"/>
        <v>2.2679999999999998</v>
      </c>
      <c r="O719" s="743">
        <f t="shared" si="944"/>
        <v>2.6549999999999998</v>
      </c>
      <c r="P719" s="743">
        <f t="shared" si="944"/>
        <v>2.4929999999999999</v>
      </c>
      <c r="Q719" s="743">
        <f t="shared" si="944"/>
        <v>-6.5000000000000002E-2</v>
      </c>
      <c r="R719" s="743">
        <f t="shared" si="944"/>
        <v>1.627</v>
      </c>
      <c r="S719" s="743">
        <f t="shared" si="944"/>
        <v>1.823</v>
      </c>
      <c r="T719" s="743">
        <f t="shared" si="944"/>
        <v>2.879</v>
      </c>
      <c r="U719" s="743">
        <f t="shared" si="944"/>
        <v>2.8290000000000002</v>
      </c>
      <c r="V719" s="743">
        <f t="shared" si="944"/>
        <v>3.2829999999999999</v>
      </c>
      <c r="W719" s="743">
        <f t="shared" si="944"/>
        <v>4.3810000000000002</v>
      </c>
      <c r="X719" s="743">
        <f t="shared" si="944"/>
        <v>4.0060000000000002</v>
      </c>
      <c r="Y719" s="743">
        <f t="shared" si="944"/>
        <v>4.2119999999999997</v>
      </c>
      <c r="Z719" s="743">
        <f t="shared" ref="Z719:AA719" si="945">+Z539</f>
        <v>4.0620000000000003</v>
      </c>
      <c r="AA719" s="743">
        <f t="shared" si="945"/>
        <v>4.7110000000000003</v>
      </c>
      <c r="AB719" s="743">
        <f t="shared" ref="AB719:AC719" si="946">+AB539</f>
        <v>4.944</v>
      </c>
      <c r="AC719" s="743">
        <f t="shared" si="946"/>
        <v>4.0739999999999998</v>
      </c>
      <c r="AD719" s="829">
        <f>+AD539</f>
        <v>4.1554799999999998</v>
      </c>
      <c r="AE719" s="829">
        <f>+AE539</f>
        <v>4.2385896000000001</v>
      </c>
      <c r="AF719" s="829">
        <f>+AF539</f>
        <v>4.3233613919999998</v>
      </c>
      <c r="BB719" s="3472">
        <v>5.444</v>
      </c>
      <c r="BC719" s="736" t="str">
        <f t="shared" si="916"/>
        <v/>
      </c>
    </row>
    <row r="720" spans="1:55" ht="12.75" customHeight="1">
      <c r="A720" s="701"/>
      <c r="B720" s="701">
        <v>96</v>
      </c>
      <c r="C720" s="821" t="s">
        <v>1793</v>
      </c>
      <c r="D720" s="789" t="s">
        <v>664</v>
      </c>
      <c r="E720" s="790" t="s">
        <v>803</v>
      </c>
      <c r="F720" s="791"/>
      <c r="G720" s="822">
        <f t="shared" ref="G720:Q720" si="947">+G718+G719</f>
        <v>31.435000000000002</v>
      </c>
      <c r="H720" s="822">
        <f t="shared" si="947"/>
        <v>33.395000000000003</v>
      </c>
      <c r="I720" s="822">
        <f t="shared" si="947"/>
        <v>35.270000000000003</v>
      </c>
      <c r="J720" s="822">
        <f t="shared" si="947"/>
        <v>41.148999999999994</v>
      </c>
      <c r="K720" s="822">
        <f t="shared" si="947"/>
        <v>46.564999999999998</v>
      </c>
      <c r="L720" s="822">
        <f t="shared" si="947"/>
        <v>51.954000000000001</v>
      </c>
      <c r="M720" s="822">
        <f t="shared" si="947"/>
        <v>54.991</v>
      </c>
      <c r="N720" s="822">
        <f t="shared" si="947"/>
        <v>61.7</v>
      </c>
      <c r="O720" s="822">
        <f t="shared" si="947"/>
        <v>69.350999999999999</v>
      </c>
      <c r="P720" s="822">
        <f t="shared" si="947"/>
        <v>80.082999999999998</v>
      </c>
      <c r="Q720" s="822">
        <f t="shared" si="947"/>
        <v>83.036000000000001</v>
      </c>
      <c r="R720" s="822">
        <f t="shared" ref="R720:Y720" si="948">+R718+R719</f>
        <v>97.052999999999997</v>
      </c>
      <c r="S720" s="822">
        <f t="shared" si="948"/>
        <v>109.27199999999999</v>
      </c>
      <c r="T720" s="822">
        <f t="shared" si="948"/>
        <v>106.488</v>
      </c>
      <c r="U720" s="822">
        <f t="shared" si="948"/>
        <v>94.644999999999996</v>
      </c>
      <c r="V720" s="822">
        <f t="shared" si="948"/>
        <v>109.128</v>
      </c>
      <c r="W720" s="822">
        <f t="shared" si="948"/>
        <v>107.887</v>
      </c>
      <c r="X720" s="822">
        <f t="shared" si="948"/>
        <v>93.727999999999994</v>
      </c>
      <c r="Y720" s="822">
        <f t="shared" si="948"/>
        <v>96.295000000000002</v>
      </c>
      <c r="Z720" s="822">
        <f t="shared" ref="Z720:AA720" si="949">+Z718+Z719</f>
        <v>100.354</v>
      </c>
      <c r="AA720" s="822">
        <f t="shared" si="949"/>
        <v>129.53200000000001</v>
      </c>
      <c r="AB720" s="822">
        <f t="shared" ref="AB720:AC720" si="950">+AB718+AB719</f>
        <v>146.267</v>
      </c>
      <c r="AC720" s="822">
        <f t="shared" si="950"/>
        <v>158.58800000000002</v>
      </c>
      <c r="AD720" s="881">
        <f ca="1">+AD718+AD719</f>
        <v>167.94032000000004</v>
      </c>
      <c r="AE720" s="881">
        <f ca="1">+AE718+AE719</f>
        <v>173.10075964000004</v>
      </c>
      <c r="AF720" s="881">
        <f ca="1">+AF718+AF719</f>
        <v>176.90049917288005</v>
      </c>
      <c r="BB720" s="3473">
        <v>137.78199999999998</v>
      </c>
      <c r="BC720" s="736">
        <f t="shared" si="916"/>
        <v>8.4850000000000136</v>
      </c>
    </row>
    <row r="721" spans="1:55">
      <c r="Q721" s="736"/>
      <c r="R721" s="736"/>
      <c r="S721" s="736"/>
      <c r="T721" s="736"/>
      <c r="U721" s="736"/>
      <c r="V721" s="736"/>
      <c r="W721" s="736"/>
      <c r="X721" s="736"/>
      <c r="Y721" s="736"/>
      <c r="Z721" s="736"/>
      <c r="AA721" s="736"/>
      <c r="AB721" s="736"/>
      <c r="AC721" s="880"/>
      <c r="AD721" s="880"/>
      <c r="AE721" s="880"/>
      <c r="AF721" s="880"/>
      <c r="BB721" s="3594"/>
      <c r="BC721" s="736" t="str">
        <f t="shared" si="916"/>
        <v/>
      </c>
    </row>
    <row r="722" spans="1:55" ht="12.75" customHeight="1">
      <c r="A722" s="701"/>
      <c r="B722" s="701"/>
      <c r="C722" s="811"/>
      <c r="D722" s="812"/>
      <c r="E722" s="813" t="s">
        <v>1882</v>
      </c>
      <c r="F722" s="814"/>
      <c r="G722" s="815">
        <f>+InputY!$G$3</f>
        <v>1995</v>
      </c>
      <c r="H722" s="815">
        <f>+G722+1</f>
        <v>1996</v>
      </c>
      <c r="I722" s="815">
        <f t="shared" ref="I722:O722" si="951">+H722+1</f>
        <v>1997</v>
      </c>
      <c r="J722" s="815">
        <f t="shared" si="951"/>
        <v>1998</v>
      </c>
      <c r="K722" s="815">
        <f t="shared" si="951"/>
        <v>1999</v>
      </c>
      <c r="L722" s="815">
        <f t="shared" si="951"/>
        <v>2000</v>
      </c>
      <c r="M722" s="815">
        <f t="shared" si="951"/>
        <v>2001</v>
      </c>
      <c r="N722" s="815">
        <f t="shared" si="951"/>
        <v>2002</v>
      </c>
      <c r="O722" s="815">
        <f t="shared" si="951"/>
        <v>2003</v>
      </c>
      <c r="P722" s="815">
        <f t="shared" ref="P722:AF722" si="952">+O722+1</f>
        <v>2004</v>
      </c>
      <c r="Q722" s="815">
        <f t="shared" si="952"/>
        <v>2005</v>
      </c>
      <c r="R722" s="815">
        <f t="shared" si="952"/>
        <v>2006</v>
      </c>
      <c r="S722" s="815">
        <f t="shared" si="952"/>
        <v>2007</v>
      </c>
      <c r="T722" s="815">
        <f t="shared" si="952"/>
        <v>2008</v>
      </c>
      <c r="U722" s="815">
        <f t="shared" si="952"/>
        <v>2009</v>
      </c>
      <c r="V722" s="815">
        <f t="shared" si="952"/>
        <v>2010</v>
      </c>
      <c r="W722" s="815">
        <f t="shared" si="952"/>
        <v>2011</v>
      </c>
      <c r="X722" s="815">
        <f t="shared" si="952"/>
        <v>2012</v>
      </c>
      <c r="Y722" s="815">
        <f t="shared" si="952"/>
        <v>2013</v>
      </c>
      <c r="Z722" s="815">
        <f t="shared" si="952"/>
        <v>2014</v>
      </c>
      <c r="AA722" s="815">
        <f t="shared" si="952"/>
        <v>2015</v>
      </c>
      <c r="AB722" s="815">
        <f t="shared" si="952"/>
        <v>2016</v>
      </c>
      <c r="AC722" s="815">
        <f t="shared" si="952"/>
        <v>2017</v>
      </c>
      <c r="AD722" s="815">
        <f t="shared" si="952"/>
        <v>2018</v>
      </c>
      <c r="AE722" s="815">
        <f t="shared" si="952"/>
        <v>2019</v>
      </c>
      <c r="AF722" s="815">
        <f t="shared" si="952"/>
        <v>2020</v>
      </c>
      <c r="BB722" s="3514">
        <v>2016</v>
      </c>
      <c r="BC722" s="736" t="str">
        <f t="shared" si="916"/>
        <v/>
      </c>
    </row>
    <row r="723" spans="1:55" ht="12.75" customHeight="1">
      <c r="A723" s="701"/>
      <c r="B723" s="701"/>
      <c r="C723" s="816" t="s">
        <v>1791</v>
      </c>
      <c r="D723" s="705" t="s">
        <v>664</v>
      </c>
      <c r="E723" s="737" t="s">
        <v>1661</v>
      </c>
      <c r="F723" s="1056" t="s">
        <v>657</v>
      </c>
      <c r="G723" s="1058">
        <f t="shared" ref="G723:Y723" si="953">-G486</f>
        <v>1.1990000000000001</v>
      </c>
      <c r="H723" s="1058">
        <f t="shared" si="953"/>
        <v>1.27</v>
      </c>
      <c r="I723" s="1058">
        <f t="shared" si="953"/>
        <v>1.9119999999999999</v>
      </c>
      <c r="J723" s="1058">
        <f t="shared" si="953"/>
        <v>1.667</v>
      </c>
      <c r="K723" s="1058">
        <f t="shared" si="953"/>
        <v>1.454</v>
      </c>
      <c r="L723" s="1058">
        <f t="shared" si="953"/>
        <v>2.254</v>
      </c>
      <c r="M723" s="1058">
        <f t="shared" si="953"/>
        <v>1.657</v>
      </c>
      <c r="N723" s="1058">
        <f t="shared" si="953"/>
        <v>1.9550000000000001</v>
      </c>
      <c r="O723" s="1058">
        <f t="shared" si="953"/>
        <v>2.331</v>
      </c>
      <c r="P723" s="1058">
        <f t="shared" si="953"/>
        <v>2.6819999999999999</v>
      </c>
      <c r="Q723" s="1058">
        <f t="shared" si="953"/>
        <v>1.194</v>
      </c>
      <c r="R723" s="1058">
        <f t="shared" si="953"/>
        <v>0.40100000000000002</v>
      </c>
      <c r="S723" s="1058">
        <f t="shared" si="953"/>
        <v>-0.128</v>
      </c>
      <c r="T723" s="1058">
        <f t="shared" si="953"/>
        <v>-0.312</v>
      </c>
      <c r="U723" s="1058">
        <f t="shared" si="953"/>
        <v>-0.71899999999999997</v>
      </c>
      <c r="V723" s="1058">
        <f t="shared" si="953"/>
        <v>-0.52800000000000002</v>
      </c>
      <c r="W723" s="1058">
        <f t="shared" si="953"/>
        <v>-0.81299999999999994</v>
      </c>
      <c r="X723" s="1058">
        <f t="shared" si="953"/>
        <v>-0.60299999999999998</v>
      </c>
      <c r="Y723" s="1058">
        <f t="shared" si="953"/>
        <v>-0.44600000000000001</v>
      </c>
      <c r="Z723" s="1058">
        <f t="shared" ref="Z723:AA723" si="954">-Z486</f>
        <v>-0.39100000000000001</v>
      </c>
      <c r="AA723" s="1058">
        <f t="shared" si="954"/>
        <v>-0.59799999999999998</v>
      </c>
      <c r="AB723" s="1058">
        <f t="shared" ref="AB723:AC723" si="955">-AB486</f>
        <v>-0.65800000000000003</v>
      </c>
      <c r="AC723" s="1058">
        <f t="shared" si="955"/>
        <v>-0.41799999999999998</v>
      </c>
      <c r="AD723" s="3107">
        <f>-AD486</f>
        <v>-0.43053999999999998</v>
      </c>
      <c r="AE723" s="3107">
        <f>-AE486</f>
        <v>-0.44345619999999997</v>
      </c>
      <c r="AF723" s="3107">
        <f>-AF486</f>
        <v>-0.456759886</v>
      </c>
      <c r="BB723" s="3592">
        <v>-0.69299999999999995</v>
      </c>
      <c r="BC723" s="736" t="str">
        <f t="shared" si="916"/>
        <v/>
      </c>
    </row>
    <row r="724" spans="1:55" ht="12.75" customHeight="1">
      <c r="A724" s="701"/>
      <c r="B724" s="701"/>
      <c r="C724" s="819" t="s">
        <v>1791</v>
      </c>
      <c r="D724" s="711" t="s">
        <v>664</v>
      </c>
      <c r="E724" s="820" t="s">
        <v>1340</v>
      </c>
      <c r="F724" s="1057" t="s">
        <v>1285</v>
      </c>
      <c r="G724" s="1059">
        <f t="shared" ref="G724:Y724" si="956">+G517</f>
        <v>0.85599999999999998</v>
      </c>
      <c r="H724" s="1059">
        <f t="shared" si="956"/>
        <v>0.91900000000000004</v>
      </c>
      <c r="I724" s="1059">
        <f t="shared" si="956"/>
        <v>0.873</v>
      </c>
      <c r="J724" s="1059">
        <f t="shared" si="956"/>
        <v>1.1679999999999999</v>
      </c>
      <c r="K724" s="1059">
        <f t="shared" si="956"/>
        <v>1.518</v>
      </c>
      <c r="L724" s="1059">
        <f t="shared" si="956"/>
        <v>2.173</v>
      </c>
      <c r="M724" s="1059">
        <f t="shared" si="956"/>
        <v>2.4300000000000002</v>
      </c>
      <c r="N724" s="1059">
        <f t="shared" si="956"/>
        <v>2.3239999999999998</v>
      </c>
      <c r="O724" s="1059">
        <f t="shared" si="956"/>
        <v>3.0089999999999999</v>
      </c>
      <c r="P724" s="1059">
        <f t="shared" si="956"/>
        <v>3.8319999999999999</v>
      </c>
      <c r="Q724" s="1059">
        <f t="shared" si="956"/>
        <v>4.4770000000000003</v>
      </c>
      <c r="R724" s="1059">
        <f t="shared" si="956"/>
        <v>5.2759999999999998</v>
      </c>
      <c r="S724" s="1059">
        <f t="shared" si="956"/>
        <v>5.7519999999999998</v>
      </c>
      <c r="T724" s="1059">
        <f t="shared" si="956"/>
        <v>6.766</v>
      </c>
      <c r="U724" s="1059">
        <f t="shared" si="956"/>
        <v>4.7990000000000004</v>
      </c>
      <c r="V724" s="1059">
        <f t="shared" si="956"/>
        <v>5.556</v>
      </c>
      <c r="W724" s="1059">
        <f t="shared" si="956"/>
        <v>5.9740000000000002</v>
      </c>
      <c r="X724" s="1059">
        <f t="shared" si="956"/>
        <v>4.4080000000000004</v>
      </c>
      <c r="Y724" s="1059">
        <f t="shared" si="956"/>
        <v>4.4329999999999998</v>
      </c>
      <c r="Z724" s="1059">
        <f t="shared" ref="Z724:AA724" si="957">+Z517</f>
        <v>5.5880000000000001</v>
      </c>
      <c r="AA724" s="1059">
        <f t="shared" si="957"/>
        <v>7.1740000000000004</v>
      </c>
      <c r="AB724" s="1059">
        <f t="shared" ref="AB724:AC724" si="958">+AB517</f>
        <v>8.8140000000000001</v>
      </c>
      <c r="AC724" s="1059">
        <f t="shared" si="958"/>
        <v>10.07</v>
      </c>
      <c r="AD724" s="3108">
        <f>+AD517</f>
        <v>10.07</v>
      </c>
      <c r="AE724" s="3108">
        <f>+AE517</f>
        <v>10.07</v>
      </c>
      <c r="AF724" s="3108">
        <f>+AF517</f>
        <v>10.07</v>
      </c>
      <c r="BB724" s="3593">
        <v>9.4849999999999994</v>
      </c>
      <c r="BC724" s="736" t="str">
        <f t="shared" si="916"/>
        <v/>
      </c>
    </row>
    <row r="725" spans="1:55" ht="12.75" customHeight="1">
      <c r="A725" s="701"/>
      <c r="B725" s="701">
        <v>97</v>
      </c>
      <c r="C725" s="821" t="s">
        <v>1793</v>
      </c>
      <c r="D725" s="789" t="s">
        <v>664</v>
      </c>
      <c r="E725" s="790" t="s">
        <v>1439</v>
      </c>
      <c r="F725" s="791" t="s">
        <v>1440</v>
      </c>
      <c r="G725" s="822">
        <f t="shared" ref="G725:Q725" si="959">+G723+G724</f>
        <v>2.0550000000000002</v>
      </c>
      <c r="H725" s="822">
        <f t="shared" si="959"/>
        <v>2.1890000000000001</v>
      </c>
      <c r="I725" s="822">
        <f t="shared" si="959"/>
        <v>2.7850000000000001</v>
      </c>
      <c r="J725" s="822">
        <f t="shared" si="959"/>
        <v>2.835</v>
      </c>
      <c r="K725" s="822">
        <f t="shared" si="959"/>
        <v>2.972</v>
      </c>
      <c r="L725" s="822">
        <f t="shared" si="959"/>
        <v>4.4269999999999996</v>
      </c>
      <c r="M725" s="822">
        <f t="shared" si="959"/>
        <v>4.0869999999999997</v>
      </c>
      <c r="N725" s="822">
        <f t="shared" si="959"/>
        <v>4.2789999999999999</v>
      </c>
      <c r="O725" s="822">
        <f t="shared" si="959"/>
        <v>5.34</v>
      </c>
      <c r="P725" s="822">
        <f t="shared" si="959"/>
        <v>6.5139999999999993</v>
      </c>
      <c r="Q725" s="822">
        <f t="shared" si="959"/>
        <v>5.6710000000000003</v>
      </c>
      <c r="R725" s="822">
        <f t="shared" ref="R725:Y725" si="960">+R723+R724</f>
        <v>5.6769999999999996</v>
      </c>
      <c r="S725" s="822">
        <f t="shared" si="960"/>
        <v>5.6239999999999997</v>
      </c>
      <c r="T725" s="822">
        <f t="shared" si="960"/>
        <v>6.4539999999999997</v>
      </c>
      <c r="U725" s="822">
        <f t="shared" si="960"/>
        <v>4.08</v>
      </c>
      <c r="V725" s="822">
        <f t="shared" si="960"/>
        <v>5.0280000000000005</v>
      </c>
      <c r="W725" s="822">
        <f t="shared" si="960"/>
        <v>5.1610000000000005</v>
      </c>
      <c r="X725" s="822">
        <f t="shared" si="960"/>
        <v>3.8050000000000006</v>
      </c>
      <c r="Y725" s="822">
        <f t="shared" si="960"/>
        <v>3.9869999999999997</v>
      </c>
      <c r="Z725" s="822">
        <f t="shared" ref="Z725:AA725" si="961">+Z723+Z724</f>
        <v>5.1970000000000001</v>
      </c>
      <c r="AA725" s="822">
        <f t="shared" si="961"/>
        <v>6.5760000000000005</v>
      </c>
      <c r="AB725" s="822">
        <f t="shared" ref="AB725:AC725" si="962">+AB723+AB724</f>
        <v>8.1560000000000006</v>
      </c>
      <c r="AC725" s="822">
        <f t="shared" si="962"/>
        <v>9.652000000000001</v>
      </c>
      <c r="AD725" s="881">
        <f>+AD723+AD724</f>
        <v>9.6394599999999997</v>
      </c>
      <c r="AE725" s="881">
        <f>+AE723+AE724</f>
        <v>9.6265438000000003</v>
      </c>
      <c r="AF725" s="881">
        <f>+AF723+AF724</f>
        <v>9.6132401139999999</v>
      </c>
      <c r="BB725" s="3473">
        <v>8.7919999999999998</v>
      </c>
      <c r="BC725" s="736" t="str">
        <f t="shared" si="916"/>
        <v/>
      </c>
    </row>
    <row r="726" spans="1:55">
      <c r="Q726" s="736"/>
      <c r="R726" s="736"/>
      <c r="S726" s="736"/>
      <c r="T726" s="736"/>
      <c r="U726" s="736"/>
      <c r="V726" s="736"/>
      <c r="W726" s="736"/>
      <c r="X726" s="736"/>
      <c r="Y726" s="736"/>
      <c r="Z726" s="736"/>
      <c r="AA726" s="736"/>
      <c r="AB726" s="736"/>
      <c r="AC726" s="880"/>
      <c r="AD726" s="880"/>
      <c r="AE726" s="880"/>
      <c r="AF726" s="880"/>
      <c r="BB726" s="3594"/>
      <c r="BC726" s="736" t="str">
        <f t="shared" si="916"/>
        <v/>
      </c>
    </row>
    <row r="727" spans="1:55" ht="12.75" customHeight="1">
      <c r="A727" s="701"/>
      <c r="B727" s="701"/>
      <c r="C727" s="811"/>
      <c r="D727" s="812"/>
      <c r="E727" s="813" t="s">
        <v>1882</v>
      </c>
      <c r="F727" s="814"/>
      <c r="G727" s="815">
        <f>+InputY!$G$3</f>
        <v>1995</v>
      </c>
      <c r="H727" s="815">
        <f>+G727+1</f>
        <v>1996</v>
      </c>
      <c r="I727" s="815">
        <f t="shared" ref="I727:O727" si="963">+H727+1</f>
        <v>1997</v>
      </c>
      <c r="J727" s="815">
        <f t="shared" si="963"/>
        <v>1998</v>
      </c>
      <c r="K727" s="815">
        <f t="shared" si="963"/>
        <v>1999</v>
      </c>
      <c r="L727" s="815">
        <f t="shared" si="963"/>
        <v>2000</v>
      </c>
      <c r="M727" s="815">
        <f t="shared" si="963"/>
        <v>2001</v>
      </c>
      <c r="N727" s="815">
        <f t="shared" si="963"/>
        <v>2002</v>
      </c>
      <c r="O727" s="815">
        <f t="shared" si="963"/>
        <v>2003</v>
      </c>
      <c r="P727" s="815">
        <f t="shared" ref="P727:AF727" si="964">+O727+1</f>
        <v>2004</v>
      </c>
      <c r="Q727" s="815">
        <f t="shared" si="964"/>
        <v>2005</v>
      </c>
      <c r="R727" s="815">
        <f t="shared" si="964"/>
        <v>2006</v>
      </c>
      <c r="S727" s="815">
        <f t="shared" si="964"/>
        <v>2007</v>
      </c>
      <c r="T727" s="815">
        <f t="shared" si="964"/>
        <v>2008</v>
      </c>
      <c r="U727" s="815">
        <f t="shared" si="964"/>
        <v>2009</v>
      </c>
      <c r="V727" s="815">
        <f t="shared" si="964"/>
        <v>2010</v>
      </c>
      <c r="W727" s="815">
        <f t="shared" si="964"/>
        <v>2011</v>
      </c>
      <c r="X727" s="815">
        <f t="shared" si="964"/>
        <v>2012</v>
      </c>
      <c r="Y727" s="815">
        <f t="shared" si="964"/>
        <v>2013</v>
      </c>
      <c r="Z727" s="815">
        <f t="shared" si="964"/>
        <v>2014</v>
      </c>
      <c r="AA727" s="815">
        <f t="shared" si="964"/>
        <v>2015</v>
      </c>
      <c r="AB727" s="815">
        <f t="shared" si="964"/>
        <v>2016</v>
      </c>
      <c r="AC727" s="815">
        <f t="shared" si="964"/>
        <v>2017</v>
      </c>
      <c r="AD727" s="815">
        <f t="shared" si="964"/>
        <v>2018</v>
      </c>
      <c r="AE727" s="815">
        <f t="shared" si="964"/>
        <v>2019</v>
      </c>
      <c r="AF727" s="815">
        <f t="shared" si="964"/>
        <v>2020</v>
      </c>
      <c r="BB727" s="3514">
        <v>2016</v>
      </c>
      <c r="BC727" s="736" t="str">
        <f t="shared" si="916"/>
        <v/>
      </c>
    </row>
    <row r="728" spans="1:55" ht="12.75" customHeight="1">
      <c r="A728" s="701"/>
      <c r="B728" s="701"/>
      <c r="C728" s="816" t="s">
        <v>1791</v>
      </c>
      <c r="D728" s="705" t="s">
        <v>665</v>
      </c>
      <c r="E728" s="737" t="str">
        <f t="shared" ref="E728:Y728" si="965">+E255</f>
        <v>Social contributions (D.61r)</v>
      </c>
      <c r="F728" s="1056" t="str">
        <f t="shared" si="965"/>
        <v>YESoc</v>
      </c>
      <c r="G728" s="1058">
        <f t="shared" si="965"/>
        <v>80.710999999999999</v>
      </c>
      <c r="H728" s="1058">
        <f t="shared" si="965"/>
        <v>82.444000000000003</v>
      </c>
      <c r="I728" s="1058">
        <f t="shared" si="965"/>
        <v>88.131</v>
      </c>
      <c r="J728" s="1058">
        <f t="shared" si="965"/>
        <v>95.128</v>
      </c>
      <c r="K728" s="1058">
        <f t="shared" si="965"/>
        <v>103.747</v>
      </c>
      <c r="L728" s="1058">
        <f t="shared" si="965"/>
        <v>125.321</v>
      </c>
      <c r="M728" s="1058">
        <f t="shared" si="965"/>
        <v>129.495</v>
      </c>
      <c r="N728" s="1058">
        <f t="shared" si="965"/>
        <v>130.23500000000001</v>
      </c>
      <c r="O728" s="1058">
        <f t="shared" si="965"/>
        <v>138.89099999999999</v>
      </c>
      <c r="P728" s="1058">
        <f t="shared" si="965"/>
        <v>143.64699999999999</v>
      </c>
      <c r="Q728" s="1058">
        <f t="shared" si="965"/>
        <v>147.523</v>
      </c>
      <c r="R728" s="1058">
        <f t="shared" si="965"/>
        <v>159.15600000000001</v>
      </c>
      <c r="S728" s="1058">
        <f t="shared" si="965"/>
        <v>185.03399999999999</v>
      </c>
      <c r="T728" s="1058">
        <f t="shared" si="965"/>
        <v>199.685</v>
      </c>
      <c r="U728" s="1058">
        <f t="shared" si="965"/>
        <v>171.797</v>
      </c>
      <c r="V728" s="1058">
        <f t="shared" si="965"/>
        <v>218.96600000000001</v>
      </c>
      <c r="W728" s="1058">
        <f t="shared" si="965"/>
        <v>227.86199999999999</v>
      </c>
      <c r="X728" s="1058">
        <f t="shared" si="965"/>
        <v>225.06299999999999</v>
      </c>
      <c r="Y728" s="1058">
        <f t="shared" si="965"/>
        <v>240.67599999999999</v>
      </c>
      <c r="Z728" s="1058">
        <f t="shared" ref="Z728:AA728" si="966">+Z255</f>
        <v>273.63</v>
      </c>
      <c r="AA728" s="1058">
        <f t="shared" si="966"/>
        <v>265.036</v>
      </c>
      <c r="AB728" s="1058">
        <f t="shared" ref="AB728:AC728" si="967">+AB255</f>
        <v>283.8</v>
      </c>
      <c r="AC728" s="1058">
        <f t="shared" si="967"/>
        <v>278.36599999999999</v>
      </c>
      <c r="AD728" s="3107">
        <f>+AD255</f>
        <v>288.50175079991578</v>
      </c>
      <c r="AE728" s="3107">
        <f>+AE255</f>
        <v>298.8328117711668</v>
      </c>
      <c r="AF728" s="3107">
        <f>+AF255</f>
        <v>311.5869352544841</v>
      </c>
      <c r="BB728" s="3592">
        <v>289.27300000000002</v>
      </c>
      <c r="BC728" s="736">
        <f t="shared" si="916"/>
        <v>-5.4730000000000132</v>
      </c>
    </row>
    <row r="729" spans="1:55" ht="12.75" customHeight="1">
      <c r="A729" s="701"/>
      <c r="B729" s="701"/>
      <c r="C729" s="819" t="s">
        <v>1791</v>
      </c>
      <c r="D729" s="711" t="s">
        <v>665</v>
      </c>
      <c r="E729" s="820" t="str">
        <f t="shared" ref="E729:Y729" si="968">+E324</f>
        <v>Other current transfers (D.7r)</v>
      </c>
      <c r="F729" s="1057" t="str">
        <f t="shared" si="968"/>
        <v>YETO</v>
      </c>
      <c r="G729" s="1059">
        <f t="shared" si="968"/>
        <v>77.447000000000003</v>
      </c>
      <c r="H729" s="1059">
        <f t="shared" si="968"/>
        <v>79.944000000000003</v>
      </c>
      <c r="I729" s="1059">
        <f t="shared" si="968"/>
        <v>72.350999999999999</v>
      </c>
      <c r="J729" s="1059">
        <f t="shared" si="968"/>
        <v>71.884</v>
      </c>
      <c r="K729" s="1059">
        <f t="shared" si="968"/>
        <v>77.661000000000001</v>
      </c>
      <c r="L729" s="1059">
        <f t="shared" si="968"/>
        <v>88.879000000000005</v>
      </c>
      <c r="M729" s="1059">
        <f t="shared" si="968"/>
        <v>87.59</v>
      </c>
      <c r="N729" s="1059">
        <f t="shared" si="968"/>
        <v>89.097999999999999</v>
      </c>
      <c r="O729" s="1059">
        <f t="shared" si="968"/>
        <v>70.971999999999994</v>
      </c>
      <c r="P729" s="1059">
        <f t="shared" si="968"/>
        <v>77.784000000000006</v>
      </c>
      <c r="Q729" s="1059">
        <f t="shared" si="968"/>
        <v>79.251999999999995</v>
      </c>
      <c r="R729" s="1059">
        <f t="shared" si="968"/>
        <v>84.22</v>
      </c>
      <c r="S729" s="1059">
        <f t="shared" si="968"/>
        <v>82.07</v>
      </c>
      <c r="T729" s="1059">
        <f t="shared" si="968"/>
        <v>75.296000000000006</v>
      </c>
      <c r="U729" s="1059">
        <f t="shared" si="968"/>
        <v>81.533000000000001</v>
      </c>
      <c r="V729" s="1059">
        <f t="shared" si="968"/>
        <v>76.001999999999995</v>
      </c>
      <c r="W729" s="1059">
        <f t="shared" si="968"/>
        <v>80.510000000000005</v>
      </c>
      <c r="X729" s="1059">
        <f t="shared" si="968"/>
        <v>69.853999999999999</v>
      </c>
      <c r="Y729" s="1059">
        <f t="shared" si="968"/>
        <v>75.548000000000002</v>
      </c>
      <c r="Z729" s="1059">
        <f t="shared" ref="Z729:AA729" si="969">+Z324</f>
        <v>77.938999999999993</v>
      </c>
      <c r="AA729" s="1059">
        <f t="shared" si="969"/>
        <v>74.897000000000006</v>
      </c>
      <c r="AB729" s="1059">
        <f t="shared" ref="AB729:AC729" si="970">+AB324</f>
        <v>70.489999999999995</v>
      </c>
      <c r="AC729" s="1059">
        <f t="shared" si="970"/>
        <v>81.120999999999995</v>
      </c>
      <c r="AD729" s="3108">
        <f>+AD324</f>
        <v>82.74342</v>
      </c>
      <c r="AE729" s="3108">
        <f>+AE324</f>
        <v>83.984571299999999</v>
      </c>
      <c r="AF729" s="3108">
        <f>+AF324</f>
        <v>85.244339869499996</v>
      </c>
      <c r="BB729" s="3593">
        <v>75.86</v>
      </c>
      <c r="BC729" s="736">
        <f t="shared" si="916"/>
        <v>-5.3700000000000045</v>
      </c>
    </row>
    <row r="730" spans="1:55" ht="12.75" customHeight="1">
      <c r="A730" s="701"/>
      <c r="B730" s="701"/>
      <c r="C730" s="819" t="s">
        <v>301</v>
      </c>
      <c r="D730" s="711" t="s">
        <v>665</v>
      </c>
      <c r="E730" s="820" t="str">
        <f t="shared" ref="E730:Y730" si="971">+E297</f>
        <v>Social benefits (D.62p)</v>
      </c>
      <c r="F730" s="1057" t="str">
        <f t="shared" si="971"/>
        <v>$ETSoc</v>
      </c>
      <c r="G730" s="1059">
        <f t="shared" si="971"/>
        <v>28.404</v>
      </c>
      <c r="H730" s="1059">
        <f t="shared" si="971"/>
        <v>27.81</v>
      </c>
      <c r="I730" s="1059">
        <f t="shared" si="971"/>
        <v>31.445</v>
      </c>
      <c r="J730" s="1059">
        <f t="shared" si="971"/>
        <v>30.323</v>
      </c>
      <c r="K730" s="1059">
        <f t="shared" si="971"/>
        <v>31.167000000000002</v>
      </c>
      <c r="L730" s="1059">
        <f t="shared" si="971"/>
        <v>31.995000000000001</v>
      </c>
      <c r="M730" s="1059">
        <f t="shared" si="971"/>
        <v>33.801000000000002</v>
      </c>
      <c r="N730" s="1059">
        <f t="shared" si="971"/>
        <v>39.265000000000001</v>
      </c>
      <c r="O730" s="1059">
        <f t="shared" si="971"/>
        <v>40.701999999999998</v>
      </c>
      <c r="P730" s="1059">
        <f t="shared" si="971"/>
        <v>42.103000000000002</v>
      </c>
      <c r="Q730" s="1059">
        <f t="shared" si="971"/>
        <v>49.561</v>
      </c>
      <c r="R730" s="1059">
        <f t="shared" si="971"/>
        <v>51.844999999999999</v>
      </c>
      <c r="S730" s="1059">
        <f t="shared" si="971"/>
        <v>55.982999999999997</v>
      </c>
      <c r="T730" s="1059">
        <f t="shared" si="971"/>
        <v>69.492000000000004</v>
      </c>
      <c r="U730" s="1059">
        <f t="shared" si="971"/>
        <v>74.902000000000001</v>
      </c>
      <c r="V730" s="1059">
        <f t="shared" si="971"/>
        <v>79.320999999999998</v>
      </c>
      <c r="W730" s="1059">
        <f t="shared" si="971"/>
        <v>92.878</v>
      </c>
      <c r="X730" s="1059">
        <f t="shared" si="971"/>
        <v>94.954999999999998</v>
      </c>
      <c r="Y730" s="1059">
        <f t="shared" si="971"/>
        <v>103.65</v>
      </c>
      <c r="Z730" s="1059">
        <f t="shared" ref="Z730:AA730" si="972">+Z297</f>
        <v>108.697</v>
      </c>
      <c r="AA730" s="1059">
        <f t="shared" si="972"/>
        <v>117.974</v>
      </c>
      <c r="AB730" s="1059">
        <f t="shared" ref="AB730:AC730" si="973">+AB297</f>
        <v>121.541</v>
      </c>
      <c r="AC730" s="1059">
        <f t="shared" si="973"/>
        <v>129.874</v>
      </c>
      <c r="AD730" s="3108">
        <f>+AD297</f>
        <v>134.289716</v>
      </c>
      <c r="AE730" s="3108">
        <f>+AE297</f>
        <v>138.85556634400001</v>
      </c>
      <c r="AF730" s="3108">
        <f>+AF297</f>
        <v>143.57665559969601</v>
      </c>
      <c r="BB730" s="3593">
        <v>121.03400000000001</v>
      </c>
      <c r="BC730" s="736" t="str">
        <f t="shared" si="916"/>
        <v/>
      </c>
    </row>
    <row r="731" spans="1:55" ht="12.75" customHeight="1">
      <c r="A731" s="701"/>
      <c r="B731" s="701"/>
      <c r="C731" s="819" t="s">
        <v>301</v>
      </c>
      <c r="D731" s="711" t="s">
        <v>665</v>
      </c>
      <c r="E731" s="820" t="str">
        <f t="shared" ref="E731:Y731" si="974">+E323</f>
        <v>Other current transfers (D.7p)</v>
      </c>
      <c r="F731" s="1057" t="str">
        <f t="shared" si="974"/>
        <v>$ETO</v>
      </c>
      <c r="G731" s="1059">
        <f t="shared" si="974"/>
        <v>90.004000000000005</v>
      </c>
      <c r="H731" s="1059">
        <f t="shared" si="974"/>
        <v>91.201999999999998</v>
      </c>
      <c r="I731" s="1059">
        <f t="shared" si="974"/>
        <v>91.411000000000001</v>
      </c>
      <c r="J731" s="1059">
        <f t="shared" si="974"/>
        <v>83.802999999999997</v>
      </c>
      <c r="K731" s="1059">
        <f t="shared" si="974"/>
        <v>99.587999999999994</v>
      </c>
      <c r="L731" s="1059">
        <f t="shared" si="974"/>
        <v>106.98699999999999</v>
      </c>
      <c r="M731" s="1059">
        <f t="shared" si="974"/>
        <v>114.76300000000001</v>
      </c>
      <c r="N731" s="1059">
        <f t="shared" si="974"/>
        <v>103.261</v>
      </c>
      <c r="O731" s="1059">
        <f t="shared" si="974"/>
        <v>87.085999999999999</v>
      </c>
      <c r="P731" s="1059">
        <f t="shared" si="974"/>
        <v>93.61</v>
      </c>
      <c r="Q731" s="1059">
        <f t="shared" si="974"/>
        <v>92.813999999999993</v>
      </c>
      <c r="R731" s="1059">
        <f t="shared" si="974"/>
        <v>99.849000000000004</v>
      </c>
      <c r="S731" s="1059">
        <f t="shared" si="974"/>
        <v>97.953000000000003</v>
      </c>
      <c r="T731" s="1059">
        <f t="shared" si="974"/>
        <v>94.198999999999998</v>
      </c>
      <c r="U731" s="1059">
        <f t="shared" si="974"/>
        <v>98.557000000000002</v>
      </c>
      <c r="V731" s="1059">
        <f t="shared" si="974"/>
        <v>96.384</v>
      </c>
      <c r="W731" s="1059">
        <f t="shared" si="974"/>
        <v>109.40300000000001</v>
      </c>
      <c r="X731" s="1059">
        <f t="shared" si="974"/>
        <v>100.727</v>
      </c>
      <c r="Y731" s="1059">
        <f t="shared" si="974"/>
        <v>104.82299999999999</v>
      </c>
      <c r="Z731" s="1059">
        <f t="shared" ref="Z731:AA731" si="975">+Z323</f>
        <v>112.90600000000001</v>
      </c>
      <c r="AA731" s="1059">
        <f t="shared" si="975"/>
        <v>110.32899999999999</v>
      </c>
      <c r="AB731" s="1059">
        <f t="shared" ref="AB731:AC731" si="976">+AB323</f>
        <v>113.286</v>
      </c>
      <c r="AC731" s="1059">
        <f t="shared" si="976"/>
        <v>127.21899999999999</v>
      </c>
      <c r="AD731" s="3108">
        <f>+AD323</f>
        <v>129.76337999999998</v>
      </c>
      <c r="AE731" s="3108">
        <f>+AE323</f>
        <v>131.70983069999997</v>
      </c>
      <c r="AF731" s="3108">
        <f>+AF323</f>
        <v>133.68547816049997</v>
      </c>
      <c r="BB731" s="3593">
        <v>113.163</v>
      </c>
      <c r="BC731" s="736" t="str">
        <f t="shared" si="916"/>
        <v/>
      </c>
    </row>
    <row r="732" spans="1:55" ht="12.75" customHeight="1">
      <c r="A732" s="701"/>
      <c r="B732" s="701">
        <v>106</v>
      </c>
      <c r="C732" s="821" t="s">
        <v>1793</v>
      </c>
      <c r="D732" s="789" t="s">
        <v>665</v>
      </c>
      <c r="E732" s="790" t="s">
        <v>1449</v>
      </c>
      <c r="F732" s="1062" t="s">
        <v>1450</v>
      </c>
      <c r="G732" s="822">
        <f t="shared" ref="G732:Q732" si="977">+G728+G729-G730-G731</f>
        <v>39.750000000000014</v>
      </c>
      <c r="H732" s="822">
        <f t="shared" si="977"/>
        <v>43.376000000000005</v>
      </c>
      <c r="I732" s="822">
        <f t="shared" si="977"/>
        <v>37.626000000000005</v>
      </c>
      <c r="J732" s="822">
        <f t="shared" si="977"/>
        <v>52.885999999999996</v>
      </c>
      <c r="K732" s="822">
        <f t="shared" si="977"/>
        <v>50.65300000000002</v>
      </c>
      <c r="L732" s="822">
        <f t="shared" si="977"/>
        <v>75.217999999999989</v>
      </c>
      <c r="M732" s="822">
        <f t="shared" si="977"/>
        <v>68.520999999999987</v>
      </c>
      <c r="N732" s="822">
        <f t="shared" si="977"/>
        <v>76.807000000000045</v>
      </c>
      <c r="O732" s="822">
        <f t="shared" si="977"/>
        <v>82.075000000000003</v>
      </c>
      <c r="P732" s="822">
        <f t="shared" si="977"/>
        <v>85.717999999999975</v>
      </c>
      <c r="Q732" s="822">
        <f t="shared" si="977"/>
        <v>84.399999999999977</v>
      </c>
      <c r="R732" s="822">
        <f t="shared" ref="R732:Y732" si="978">+R728+R729-R730-R731</f>
        <v>91.682000000000002</v>
      </c>
      <c r="S732" s="822">
        <f t="shared" si="978"/>
        <v>113.16799999999998</v>
      </c>
      <c r="T732" s="822">
        <f t="shared" si="978"/>
        <v>111.28999999999998</v>
      </c>
      <c r="U732" s="822">
        <f t="shared" si="978"/>
        <v>79.870999999999995</v>
      </c>
      <c r="V732" s="822">
        <f t="shared" si="978"/>
        <v>119.26300000000002</v>
      </c>
      <c r="W732" s="822">
        <f t="shared" si="978"/>
        <v>106.09100000000002</v>
      </c>
      <c r="X732" s="822">
        <f t="shared" si="978"/>
        <v>99.234999999999985</v>
      </c>
      <c r="Y732" s="822">
        <f t="shared" si="978"/>
        <v>107.75099999999999</v>
      </c>
      <c r="Z732" s="822">
        <f t="shared" ref="Z732:AA732" si="979">+Z728+Z729-Z730-Z731</f>
        <v>129.96599999999995</v>
      </c>
      <c r="AA732" s="822">
        <f t="shared" si="979"/>
        <v>111.63000000000001</v>
      </c>
      <c r="AB732" s="822">
        <f t="shared" ref="AB732:AC732" si="980">+AB728+AB729-AB730-AB731</f>
        <v>119.46300000000002</v>
      </c>
      <c r="AC732" s="822">
        <f t="shared" si="980"/>
        <v>102.39399999999998</v>
      </c>
      <c r="AD732" s="881">
        <f>+AD728+AD729-AD730-AD731</f>
        <v>107.19207479991582</v>
      </c>
      <c r="AE732" s="881">
        <f>+AE728+AE729-AE730-AE731</f>
        <v>112.25198602716679</v>
      </c>
      <c r="AF732" s="881">
        <f>+AF728+AF729-AF730-AF731</f>
        <v>119.56914136378811</v>
      </c>
      <c r="BB732" s="3473">
        <v>130.93600000000004</v>
      </c>
      <c r="BC732" s="736">
        <f t="shared" si="916"/>
        <v>-11.473000000000013</v>
      </c>
    </row>
    <row r="733" spans="1:55">
      <c r="Q733" s="736"/>
      <c r="BC733" s="736" t="str">
        <f t="shared" si="916"/>
        <v/>
      </c>
    </row>
    <row r="734" spans="1:55" ht="12.75" customHeight="1">
      <c r="A734" s="701"/>
      <c r="B734" s="701"/>
      <c r="C734" s="811"/>
      <c r="D734" s="812"/>
      <c r="E734" s="813" t="s">
        <v>1882</v>
      </c>
      <c r="F734" s="814"/>
      <c r="G734" s="815">
        <f>+InputY!$G$3</f>
        <v>1995</v>
      </c>
      <c r="H734" s="815">
        <f>+G734+1</f>
        <v>1996</v>
      </c>
      <c r="I734" s="815">
        <f t="shared" ref="I734:O734" si="981">+H734+1</f>
        <v>1997</v>
      </c>
      <c r="J734" s="815">
        <f t="shared" si="981"/>
        <v>1998</v>
      </c>
      <c r="K734" s="815">
        <f t="shared" si="981"/>
        <v>1999</v>
      </c>
      <c r="L734" s="815">
        <f t="shared" si="981"/>
        <v>2000</v>
      </c>
      <c r="M734" s="815">
        <f t="shared" si="981"/>
        <v>2001</v>
      </c>
      <c r="N734" s="815">
        <f t="shared" si="981"/>
        <v>2002</v>
      </c>
      <c r="O734" s="815">
        <f t="shared" si="981"/>
        <v>2003</v>
      </c>
      <c r="P734" s="815">
        <f t="shared" ref="P734:AF734" si="982">+O734+1</f>
        <v>2004</v>
      </c>
      <c r="Q734" s="815">
        <f t="shared" si="982"/>
        <v>2005</v>
      </c>
      <c r="R734" s="815">
        <f t="shared" si="982"/>
        <v>2006</v>
      </c>
      <c r="S734" s="815">
        <f t="shared" si="982"/>
        <v>2007</v>
      </c>
      <c r="T734" s="815">
        <f t="shared" si="982"/>
        <v>2008</v>
      </c>
      <c r="U734" s="815">
        <f t="shared" si="982"/>
        <v>2009</v>
      </c>
      <c r="V734" s="815">
        <f t="shared" si="982"/>
        <v>2010</v>
      </c>
      <c r="W734" s="815">
        <f t="shared" si="982"/>
        <v>2011</v>
      </c>
      <c r="X734" s="815">
        <f t="shared" si="982"/>
        <v>2012</v>
      </c>
      <c r="Y734" s="815">
        <f t="shared" si="982"/>
        <v>2013</v>
      </c>
      <c r="Z734" s="815">
        <f t="shared" si="982"/>
        <v>2014</v>
      </c>
      <c r="AA734" s="815">
        <f t="shared" si="982"/>
        <v>2015</v>
      </c>
      <c r="AB734" s="815">
        <f t="shared" si="982"/>
        <v>2016</v>
      </c>
      <c r="AC734" s="815">
        <f t="shared" si="982"/>
        <v>2017</v>
      </c>
      <c r="AD734" s="815">
        <f t="shared" si="982"/>
        <v>2018</v>
      </c>
      <c r="AE734" s="815">
        <f t="shared" si="982"/>
        <v>2019</v>
      </c>
      <c r="AF734" s="815">
        <f t="shared" si="982"/>
        <v>2020</v>
      </c>
      <c r="BB734" s="3514">
        <v>2016</v>
      </c>
      <c r="BC734" s="736" t="str">
        <f t="shared" si="916"/>
        <v/>
      </c>
    </row>
    <row r="735" spans="1:55" ht="12.75" customHeight="1">
      <c r="A735" s="701"/>
      <c r="B735" s="701"/>
      <c r="C735" s="816" t="s">
        <v>1791</v>
      </c>
      <c r="D735" s="705" t="s">
        <v>665</v>
      </c>
      <c r="E735" s="737" t="s">
        <v>1341</v>
      </c>
      <c r="F735" s="1056" t="s">
        <v>744</v>
      </c>
      <c r="G735" s="817">
        <f>+'VVP2'!G230</f>
        <v>243.673</v>
      </c>
      <c r="H735" s="817">
        <f>+'VVP2'!H230</f>
        <v>262.85599999999999</v>
      </c>
      <c r="I735" s="817">
        <f>+'VVP2'!I230</f>
        <v>280.27800000000002</v>
      </c>
      <c r="J735" s="817">
        <f>+'VVP2'!J230</f>
        <v>309.81099999999998</v>
      </c>
      <c r="K735" s="817">
        <f>+'VVP2'!K230</f>
        <v>339.96699999999998</v>
      </c>
      <c r="L735" s="817">
        <f>+'VVP2'!L230</f>
        <v>386.09399999999999</v>
      </c>
      <c r="M735" s="817">
        <f>+'VVP2'!M230</f>
        <v>405.01900000000001</v>
      </c>
      <c r="N735" s="817">
        <f>+'VVP2'!N230</f>
        <v>389.387</v>
      </c>
      <c r="O735" s="817">
        <f>+'VVP2'!O230</f>
        <v>393.78500000000003</v>
      </c>
      <c r="P735" s="817">
        <f>+'VVP2'!P230</f>
        <v>416.029</v>
      </c>
      <c r="Q735" s="817">
        <f>+'VVP2'!Q230</f>
        <v>444.45100000000002</v>
      </c>
      <c r="R735" s="817">
        <f>+'VVP2'!R230</f>
        <v>493.161</v>
      </c>
      <c r="S735" s="817">
        <f>+'VVP2'!S230</f>
        <v>549.02599999999995</v>
      </c>
      <c r="T735" s="817">
        <f>+'VVP2'!T230</f>
        <v>579.86</v>
      </c>
      <c r="U735" s="817">
        <f>+'VVP2'!U230</f>
        <v>497.77800000000002</v>
      </c>
      <c r="V735" s="817">
        <f>+'VVP2'!V230</f>
        <v>522.40899999999999</v>
      </c>
      <c r="W735" s="817">
        <f>+'VVP2'!W230</f>
        <v>568.49099999999999</v>
      </c>
      <c r="X735" s="817">
        <f>+'VVP2'!X230</f>
        <v>580.66099999999994</v>
      </c>
      <c r="Y735" s="817">
        <f>+'VVP2'!Y230</f>
        <v>585.90300000000002</v>
      </c>
      <c r="Z735" s="817">
        <f>+'VVP2'!Z230</f>
        <v>642.07899999999995</v>
      </c>
      <c r="AA735" s="817">
        <f>+'VVP2'!AA230</f>
        <v>690.82299999999998</v>
      </c>
      <c r="AB735" s="817">
        <f>+'VVP2'!AB230</f>
        <v>715.67100000000005</v>
      </c>
      <c r="AC735" s="817">
        <f>+'VVP2'!AC230</f>
        <v>778.36199999999997</v>
      </c>
      <c r="AD735" s="883">
        <f ca="1">+'VVP2'!AD230</f>
        <v>841.89176501290001</v>
      </c>
      <c r="AE735" s="883">
        <f ca="1">+'VVP2'!AE230</f>
        <v>879.0715075455779</v>
      </c>
      <c r="AF735" s="883">
        <f ca="1">+'VVP2'!AF230</f>
        <v>912.39108177087292</v>
      </c>
      <c r="BB735" s="3471">
        <v>733.78200000000004</v>
      </c>
      <c r="BC735" s="736">
        <f t="shared" si="916"/>
        <v>-18.11099999999999</v>
      </c>
    </row>
    <row r="736" spans="1:55" ht="12.75" customHeight="1">
      <c r="A736" s="701"/>
      <c r="B736" s="701"/>
      <c r="C736" s="819" t="s">
        <v>1791</v>
      </c>
      <c r="D736" s="711" t="s">
        <v>665</v>
      </c>
      <c r="E736" s="820" t="s">
        <v>234</v>
      </c>
      <c r="F736" s="1057" t="s">
        <v>414</v>
      </c>
      <c r="G736" s="743">
        <f t="shared" ref="G736:Y736" si="983">+G540</f>
        <v>20.655000000000001</v>
      </c>
      <c r="H736" s="743">
        <f t="shared" si="983"/>
        <v>6.3559999999999999</v>
      </c>
      <c r="I736" s="743">
        <f t="shared" si="983"/>
        <v>8.0559999999999992</v>
      </c>
      <c r="J736" s="743">
        <f t="shared" si="983"/>
        <v>12.968</v>
      </c>
      <c r="K736" s="743">
        <f t="shared" si="983"/>
        <v>3.7109999999999999</v>
      </c>
      <c r="L736" s="743">
        <f t="shared" si="983"/>
        <v>13.295999999999999</v>
      </c>
      <c r="M736" s="743">
        <f t="shared" si="983"/>
        <v>4.5510000000000002</v>
      </c>
      <c r="N736" s="743">
        <f t="shared" si="983"/>
        <v>0.1</v>
      </c>
      <c r="O736" s="743">
        <f t="shared" si="983"/>
        <v>5.5279999999999996</v>
      </c>
      <c r="P736" s="743">
        <f t="shared" si="983"/>
        <v>-3.282</v>
      </c>
      <c r="Q736" s="743">
        <f t="shared" si="983"/>
        <v>-3.9670000000000001</v>
      </c>
      <c r="R736" s="743">
        <f t="shared" si="983"/>
        <v>-0.84499999999999997</v>
      </c>
      <c r="S736" s="743">
        <f t="shared" si="983"/>
        <v>21.675000000000001</v>
      </c>
      <c r="T736" s="743">
        <f t="shared" si="983"/>
        <v>3.8130000000000002</v>
      </c>
      <c r="U736" s="743">
        <f t="shared" si="983"/>
        <v>-48.816000000000003</v>
      </c>
      <c r="V736" s="743">
        <f t="shared" si="983"/>
        <v>19.766999999999999</v>
      </c>
      <c r="W736" s="743">
        <f t="shared" si="983"/>
        <v>36.887999999999998</v>
      </c>
      <c r="X736" s="743">
        <f t="shared" si="983"/>
        <v>-5.3849999999999998</v>
      </c>
      <c r="Y736" s="743">
        <f t="shared" si="983"/>
        <v>1.492</v>
      </c>
      <c r="Z736" s="743">
        <f t="shared" ref="Z736:AA736" si="984">+Z540</f>
        <v>6.6289999999999996</v>
      </c>
      <c r="AA736" s="743">
        <f t="shared" si="984"/>
        <v>21.728000000000002</v>
      </c>
      <c r="AB736" s="743">
        <f t="shared" ref="AB736:AC736" si="985">+AB540</f>
        <v>19.678000000000001</v>
      </c>
      <c r="AC736" s="743">
        <f t="shared" si="985"/>
        <v>26.015999999999998</v>
      </c>
      <c r="AD736" s="829">
        <f ca="1">+AD540</f>
        <v>34.635248400000002</v>
      </c>
      <c r="AE736" s="829">
        <f ca="1">+AE540</f>
        <v>28.955800413731989</v>
      </c>
      <c r="AF736" s="829">
        <f ca="1">+AF540</f>
        <v>28.871028621731991</v>
      </c>
      <c r="BB736" s="3472">
        <v>24.614000000000001</v>
      </c>
      <c r="BC736" s="736">
        <f t="shared" si="916"/>
        <v>-4.9359999999999999</v>
      </c>
    </row>
    <row r="737" spans="1:55" ht="12.75" customHeight="1">
      <c r="A737" s="701"/>
      <c r="B737" s="701">
        <v>109</v>
      </c>
      <c r="C737" s="821" t="s">
        <v>1793</v>
      </c>
      <c r="D737" s="789" t="s">
        <v>665</v>
      </c>
      <c r="E737" s="790" t="s">
        <v>803</v>
      </c>
      <c r="F737" s="791"/>
      <c r="G737" s="822">
        <f t="shared" ref="G737:Q737" si="986">+G735+G736</f>
        <v>264.32799999999997</v>
      </c>
      <c r="H737" s="822">
        <f t="shared" si="986"/>
        <v>269.21199999999999</v>
      </c>
      <c r="I737" s="822">
        <f t="shared" si="986"/>
        <v>288.334</v>
      </c>
      <c r="J737" s="822">
        <f t="shared" si="986"/>
        <v>322.779</v>
      </c>
      <c r="K737" s="822">
        <f t="shared" si="986"/>
        <v>343.678</v>
      </c>
      <c r="L737" s="822">
        <f t="shared" si="986"/>
        <v>399.39</v>
      </c>
      <c r="M737" s="822">
        <f t="shared" si="986"/>
        <v>409.57</v>
      </c>
      <c r="N737" s="822">
        <f t="shared" si="986"/>
        <v>389.48700000000002</v>
      </c>
      <c r="O737" s="822">
        <f t="shared" si="986"/>
        <v>399.31300000000005</v>
      </c>
      <c r="P737" s="822">
        <f t="shared" si="986"/>
        <v>412.74700000000001</v>
      </c>
      <c r="Q737" s="822">
        <f t="shared" si="986"/>
        <v>440.48400000000004</v>
      </c>
      <c r="R737" s="822">
        <f t="shared" ref="R737:Y737" si="987">+R735+R736</f>
        <v>492.31599999999997</v>
      </c>
      <c r="S737" s="822">
        <f t="shared" si="987"/>
        <v>570.70099999999991</v>
      </c>
      <c r="T737" s="822">
        <f t="shared" si="987"/>
        <v>583.673</v>
      </c>
      <c r="U737" s="822">
        <f t="shared" si="987"/>
        <v>448.96199999999999</v>
      </c>
      <c r="V737" s="822">
        <f t="shared" si="987"/>
        <v>542.17600000000004</v>
      </c>
      <c r="W737" s="822">
        <f t="shared" si="987"/>
        <v>605.37900000000002</v>
      </c>
      <c r="X737" s="822">
        <f t="shared" si="987"/>
        <v>575.27599999999995</v>
      </c>
      <c r="Y737" s="822">
        <f t="shared" si="987"/>
        <v>587.39499999999998</v>
      </c>
      <c r="Z737" s="822">
        <f t="shared" ref="Z737:AA737" si="988">+Z735+Z736</f>
        <v>648.70799999999997</v>
      </c>
      <c r="AA737" s="822">
        <f t="shared" si="988"/>
        <v>712.55099999999993</v>
      </c>
      <c r="AB737" s="822">
        <f t="shared" ref="AB737:AC737" si="989">+AB735+AB736</f>
        <v>735.34900000000005</v>
      </c>
      <c r="AC737" s="822">
        <f t="shared" si="989"/>
        <v>804.37799999999993</v>
      </c>
      <c r="AD737" s="881">
        <f ca="1">+AD735+AD736</f>
        <v>876.52701341290003</v>
      </c>
      <c r="AE737" s="881">
        <f ca="1">+AE735+AE736</f>
        <v>908.02730795930984</v>
      </c>
      <c r="AF737" s="881">
        <f ca="1">+AF735+AF736</f>
        <v>941.26211039260488</v>
      </c>
      <c r="BB737" s="3473">
        <v>758.39600000000007</v>
      </c>
      <c r="BC737" s="736">
        <f t="shared" si="916"/>
        <v>-23.047000000000025</v>
      </c>
    </row>
    <row r="738" spans="1:55">
      <c r="Q738" s="736"/>
      <c r="R738" s="736"/>
      <c r="S738" s="736"/>
      <c r="T738" s="736"/>
      <c r="U738" s="736"/>
      <c r="V738" s="736"/>
      <c r="W738" s="736"/>
      <c r="X738" s="736"/>
      <c r="Y738" s="736"/>
      <c r="Z738" s="736"/>
      <c r="AA738" s="736"/>
      <c r="AB738" s="736"/>
      <c r="AC738" s="880"/>
      <c r="AD738" s="880"/>
      <c r="AE738" s="880"/>
      <c r="AF738" s="880"/>
      <c r="BB738" s="3594"/>
      <c r="BC738" s="736" t="str">
        <f t="shared" si="916"/>
        <v/>
      </c>
    </row>
    <row r="739" spans="1:55" ht="12.75" customHeight="1">
      <c r="A739" s="701"/>
      <c r="B739" s="701"/>
      <c r="C739" s="811"/>
      <c r="D739" s="812"/>
      <c r="E739" s="813" t="s">
        <v>1882</v>
      </c>
      <c r="F739" s="814"/>
      <c r="G739" s="815">
        <f>+InputY!$G$3</f>
        <v>1995</v>
      </c>
      <c r="H739" s="815">
        <f>+G739+1</f>
        <v>1996</v>
      </c>
      <c r="I739" s="815">
        <f t="shared" ref="I739:O739" si="990">+H739+1</f>
        <v>1997</v>
      </c>
      <c r="J739" s="815">
        <f t="shared" si="990"/>
        <v>1998</v>
      </c>
      <c r="K739" s="815">
        <f t="shared" si="990"/>
        <v>1999</v>
      </c>
      <c r="L739" s="815">
        <f t="shared" si="990"/>
        <v>2000</v>
      </c>
      <c r="M739" s="815">
        <f t="shared" si="990"/>
        <v>2001</v>
      </c>
      <c r="N739" s="815">
        <f t="shared" si="990"/>
        <v>2002</v>
      </c>
      <c r="O739" s="815">
        <f t="shared" si="990"/>
        <v>2003</v>
      </c>
      <c r="P739" s="815">
        <f t="shared" ref="P739:AF739" si="991">+O739+1</f>
        <v>2004</v>
      </c>
      <c r="Q739" s="815">
        <f t="shared" si="991"/>
        <v>2005</v>
      </c>
      <c r="R739" s="815">
        <f t="shared" si="991"/>
        <v>2006</v>
      </c>
      <c r="S739" s="815">
        <f t="shared" si="991"/>
        <v>2007</v>
      </c>
      <c r="T739" s="815">
        <f t="shared" si="991"/>
        <v>2008</v>
      </c>
      <c r="U739" s="815">
        <f t="shared" si="991"/>
        <v>2009</v>
      </c>
      <c r="V739" s="815">
        <f t="shared" si="991"/>
        <v>2010</v>
      </c>
      <c r="W739" s="815">
        <f t="shared" si="991"/>
        <v>2011</v>
      </c>
      <c r="X739" s="815">
        <f t="shared" si="991"/>
        <v>2012</v>
      </c>
      <c r="Y739" s="815">
        <f t="shared" si="991"/>
        <v>2013</v>
      </c>
      <c r="Z739" s="815">
        <f t="shared" si="991"/>
        <v>2014</v>
      </c>
      <c r="AA739" s="815">
        <f t="shared" si="991"/>
        <v>2015</v>
      </c>
      <c r="AB739" s="815">
        <f t="shared" si="991"/>
        <v>2016</v>
      </c>
      <c r="AC739" s="815">
        <f t="shared" si="991"/>
        <v>2017</v>
      </c>
      <c r="AD739" s="815">
        <f t="shared" si="991"/>
        <v>2018</v>
      </c>
      <c r="AE739" s="815">
        <f t="shared" si="991"/>
        <v>2019</v>
      </c>
      <c r="AF739" s="815">
        <f t="shared" si="991"/>
        <v>2020</v>
      </c>
      <c r="BB739" s="3514">
        <v>2016</v>
      </c>
      <c r="BC739" s="736" t="str">
        <f t="shared" si="916"/>
        <v/>
      </c>
    </row>
    <row r="740" spans="1:55" ht="12.75" customHeight="1">
      <c r="A740" s="701"/>
      <c r="B740" s="701"/>
      <c r="C740" s="816" t="s">
        <v>1791</v>
      </c>
      <c r="D740" s="705" t="s">
        <v>665</v>
      </c>
      <c r="E740" s="737" t="s">
        <v>1661</v>
      </c>
      <c r="F740" s="1056" t="s">
        <v>1301</v>
      </c>
      <c r="G740" s="1058">
        <f t="shared" ref="G740:Y740" si="992">-G487</f>
        <v>-6.2069999999999999</v>
      </c>
      <c r="H740" s="1058">
        <f t="shared" si="992"/>
        <v>-0.62</v>
      </c>
      <c r="I740" s="1058">
        <f t="shared" si="992"/>
        <v>-2.8319999999999999</v>
      </c>
      <c r="J740" s="1058">
        <f t="shared" si="992"/>
        <v>-3.9369999999999998</v>
      </c>
      <c r="K740" s="1058">
        <f t="shared" si="992"/>
        <v>-7.3710000000000004</v>
      </c>
      <c r="L740" s="1058">
        <f t="shared" si="992"/>
        <v>-3.9129999999999998</v>
      </c>
      <c r="M740" s="1058">
        <f t="shared" si="992"/>
        <v>-2.3940000000000001</v>
      </c>
      <c r="N740" s="1058">
        <f t="shared" si="992"/>
        <v>-1.631</v>
      </c>
      <c r="O740" s="1058">
        <f t="shared" si="992"/>
        <v>-5.2539999999999996</v>
      </c>
      <c r="P740" s="1058">
        <f t="shared" si="992"/>
        <v>-3.117</v>
      </c>
      <c r="Q740" s="1058">
        <f t="shared" si="992"/>
        <v>-8.032</v>
      </c>
      <c r="R740" s="1058">
        <f t="shared" si="992"/>
        <v>-2.5169999999999999</v>
      </c>
      <c r="S740" s="1058">
        <f t="shared" si="992"/>
        <v>-2.4140000000000001</v>
      </c>
      <c r="T740" s="1058">
        <f t="shared" si="992"/>
        <v>-3.9950000000000001</v>
      </c>
      <c r="U740" s="1058">
        <f t="shared" si="992"/>
        <v>-1.75</v>
      </c>
      <c r="V740" s="1058">
        <f t="shared" si="992"/>
        <v>-1.7030000000000001</v>
      </c>
      <c r="W740" s="1058">
        <f t="shared" si="992"/>
        <v>-2.6549999999999998</v>
      </c>
      <c r="X740" s="1058">
        <f t="shared" si="992"/>
        <v>8.3019999999999996</v>
      </c>
      <c r="Y740" s="1058">
        <f t="shared" si="992"/>
        <v>8.3670000000000009</v>
      </c>
      <c r="Z740" s="1058">
        <f t="shared" ref="Z740:AA740" si="993">-Z487</f>
        <v>-1.357</v>
      </c>
      <c r="AA740" s="1058">
        <f t="shared" si="993"/>
        <v>2.6890000000000001</v>
      </c>
      <c r="AB740" s="1058">
        <f t="shared" ref="AB740:AC740" si="994">-AB487</f>
        <v>-7.8070000000000004</v>
      </c>
      <c r="AC740" s="1058">
        <f t="shared" si="994"/>
        <v>-3.2829999999999999</v>
      </c>
      <c r="AD740" s="3107">
        <f>-AD487</f>
        <v>-3.4799800000000003</v>
      </c>
      <c r="AE740" s="3107">
        <f>-AE487</f>
        <v>-3.6887788000000006</v>
      </c>
      <c r="AF740" s="3107">
        <f>-AF487</f>
        <v>-3.9101055280000008</v>
      </c>
      <c r="BB740" s="3592">
        <v>-8.1289999999999996</v>
      </c>
      <c r="BC740" s="736" t="str">
        <f t="shared" si="916"/>
        <v/>
      </c>
    </row>
    <row r="741" spans="1:55" ht="12.75" customHeight="1">
      <c r="A741" s="701"/>
      <c r="B741" s="701"/>
      <c r="C741" s="819" t="s">
        <v>1791</v>
      </c>
      <c r="D741" s="711" t="s">
        <v>665</v>
      </c>
      <c r="E741" s="820" t="s">
        <v>1340</v>
      </c>
      <c r="F741" s="1057" t="s">
        <v>743</v>
      </c>
      <c r="G741" s="1059">
        <f t="shared" ref="G741:Y741" si="995">+G518</f>
        <v>1.6E-2</v>
      </c>
      <c r="H741" s="1059">
        <f t="shared" si="995"/>
        <v>8.2230000000000008</v>
      </c>
      <c r="I741" s="1059">
        <f t="shared" si="995"/>
        <v>-2.66</v>
      </c>
      <c r="J741" s="1059">
        <f t="shared" si="995"/>
        <v>17.065999999999999</v>
      </c>
      <c r="K741" s="1059">
        <f t="shared" si="995"/>
        <v>27.065000000000001</v>
      </c>
      <c r="L741" s="1059">
        <f t="shared" si="995"/>
        <v>5.7629999999999999</v>
      </c>
      <c r="M741" s="1059">
        <f t="shared" si="995"/>
        <v>1.81</v>
      </c>
      <c r="N741" s="1059">
        <f t="shared" si="995"/>
        <v>-0.215</v>
      </c>
      <c r="O741" s="1059">
        <f t="shared" si="995"/>
        <v>0.43</v>
      </c>
      <c r="P741" s="1059">
        <f t="shared" si="995"/>
        <v>1.4390000000000001</v>
      </c>
      <c r="Q741" s="1059">
        <f t="shared" si="995"/>
        <v>2.4990000000000001</v>
      </c>
      <c r="R741" s="1059">
        <f t="shared" si="995"/>
        <v>16.306000000000001</v>
      </c>
      <c r="S741" s="1059">
        <f t="shared" si="995"/>
        <v>-0.33</v>
      </c>
      <c r="T741" s="1059">
        <f t="shared" si="995"/>
        <v>2.6070000000000002</v>
      </c>
      <c r="U741" s="1059">
        <f t="shared" si="995"/>
        <v>2.8839999999999999</v>
      </c>
      <c r="V741" s="1059">
        <f t="shared" si="995"/>
        <v>2.8719999999999999</v>
      </c>
      <c r="W741" s="1059">
        <f t="shared" si="995"/>
        <v>-2.72</v>
      </c>
      <c r="X741" s="1059">
        <f t="shared" si="995"/>
        <v>4.8000000000000001E-2</v>
      </c>
      <c r="Y741" s="1059">
        <f t="shared" si="995"/>
        <v>2.6539999999999999</v>
      </c>
      <c r="Z741" s="1059">
        <f t="shared" ref="Z741:AA741" si="996">+Z518</f>
        <v>-0.61199999999999999</v>
      </c>
      <c r="AA741" s="1059">
        <f t="shared" si="996"/>
        <v>-1.2809999999999999</v>
      </c>
      <c r="AB741" s="1059">
        <f t="shared" ref="AB741:AC741" si="997">+AB518</f>
        <v>0.34499999999999997</v>
      </c>
      <c r="AC741" s="1059">
        <f t="shared" si="997"/>
        <v>-0.188</v>
      </c>
      <c r="AD741" s="3108">
        <f>+AD518</f>
        <v>-0.188</v>
      </c>
      <c r="AE741" s="3108">
        <f>+AE518</f>
        <v>-0.188</v>
      </c>
      <c r="AF741" s="3108">
        <f>+AF518</f>
        <v>-0.188</v>
      </c>
      <c r="BB741" s="3593">
        <v>-0.23599999999999999</v>
      </c>
      <c r="BC741" s="736" t="str">
        <f t="shared" si="916"/>
        <v/>
      </c>
    </row>
    <row r="742" spans="1:55" ht="12.75" customHeight="1">
      <c r="A742" s="701"/>
      <c r="B742" s="701">
        <v>110</v>
      </c>
      <c r="C742" s="821" t="s">
        <v>1793</v>
      </c>
      <c r="D742" s="789" t="s">
        <v>665</v>
      </c>
      <c r="E742" s="790" t="s">
        <v>1439</v>
      </c>
      <c r="F742" s="791" t="s">
        <v>1448</v>
      </c>
      <c r="G742" s="822">
        <f t="shared" ref="G742:Q742" si="998">+G740+G741</f>
        <v>-6.1909999999999998</v>
      </c>
      <c r="H742" s="822">
        <f t="shared" si="998"/>
        <v>7.6030000000000006</v>
      </c>
      <c r="I742" s="822">
        <f t="shared" si="998"/>
        <v>-5.492</v>
      </c>
      <c r="J742" s="822">
        <f t="shared" si="998"/>
        <v>13.129</v>
      </c>
      <c r="K742" s="822">
        <f t="shared" si="998"/>
        <v>19.694000000000003</v>
      </c>
      <c r="L742" s="822">
        <f t="shared" si="998"/>
        <v>1.85</v>
      </c>
      <c r="M742" s="822">
        <f t="shared" si="998"/>
        <v>-0.58400000000000007</v>
      </c>
      <c r="N742" s="822">
        <f t="shared" si="998"/>
        <v>-1.8460000000000001</v>
      </c>
      <c r="O742" s="822">
        <f t="shared" si="998"/>
        <v>-4.8239999999999998</v>
      </c>
      <c r="P742" s="822">
        <f t="shared" si="998"/>
        <v>-1.6779999999999999</v>
      </c>
      <c r="Q742" s="822">
        <f t="shared" si="998"/>
        <v>-5.5329999999999995</v>
      </c>
      <c r="R742" s="822">
        <f t="shared" ref="R742:Y742" si="999">+R740+R741</f>
        <v>13.789000000000001</v>
      </c>
      <c r="S742" s="822">
        <f t="shared" si="999"/>
        <v>-2.7440000000000002</v>
      </c>
      <c r="T742" s="822">
        <f t="shared" si="999"/>
        <v>-1.3879999999999999</v>
      </c>
      <c r="U742" s="822">
        <f t="shared" si="999"/>
        <v>1.1339999999999999</v>
      </c>
      <c r="V742" s="822">
        <f t="shared" si="999"/>
        <v>1.1689999999999998</v>
      </c>
      <c r="W742" s="822">
        <f t="shared" si="999"/>
        <v>-5.375</v>
      </c>
      <c r="X742" s="822">
        <f t="shared" si="999"/>
        <v>8.35</v>
      </c>
      <c r="Y742" s="822">
        <f t="shared" si="999"/>
        <v>11.021000000000001</v>
      </c>
      <c r="Z742" s="822">
        <f t="shared" ref="Z742:AA742" si="1000">+Z740+Z741</f>
        <v>-1.9689999999999999</v>
      </c>
      <c r="AA742" s="822">
        <f t="shared" si="1000"/>
        <v>1.4080000000000001</v>
      </c>
      <c r="AB742" s="822">
        <f t="shared" ref="AB742:AC742" si="1001">+AB740+AB741</f>
        <v>-7.4620000000000006</v>
      </c>
      <c r="AC742" s="822">
        <f t="shared" si="1001"/>
        <v>-3.4710000000000001</v>
      </c>
      <c r="AD742" s="881">
        <f>+AD740+AD741</f>
        <v>-3.6679800000000005</v>
      </c>
      <c r="AE742" s="881">
        <f>+AE740+AE741</f>
        <v>-3.8767788000000007</v>
      </c>
      <c r="AF742" s="881">
        <f>+AF740+AF741</f>
        <v>-4.0981055280000005</v>
      </c>
      <c r="BB742" s="3473">
        <v>-8.3650000000000002</v>
      </c>
      <c r="BC742" s="736" t="str">
        <f t="shared" si="916"/>
        <v/>
      </c>
    </row>
    <row r="743" spans="1:55">
      <c r="Q743" s="736"/>
      <c r="R743" s="736"/>
      <c r="S743" s="736"/>
      <c r="T743" s="736"/>
      <c r="U743" s="736"/>
      <c r="V743" s="736"/>
      <c r="W743" s="736"/>
      <c r="X743" s="736"/>
      <c r="Y743" s="736"/>
      <c r="Z743" s="736"/>
      <c r="AA743" s="736"/>
      <c r="AB743" s="736"/>
      <c r="AC743" s="880"/>
      <c r="AD743" s="880"/>
      <c r="AE743" s="880"/>
      <c r="AF743" s="880"/>
      <c r="BB743" s="3594"/>
      <c r="BC743" s="736" t="str">
        <f t="shared" si="916"/>
        <v/>
      </c>
    </row>
    <row r="744" spans="1:55" ht="12.75" customHeight="1">
      <c r="A744" s="701"/>
      <c r="B744" s="701"/>
      <c r="C744" s="811"/>
      <c r="D744" s="812"/>
      <c r="E744" s="813" t="s">
        <v>1882</v>
      </c>
      <c r="F744" s="814"/>
      <c r="G744" s="815">
        <f>+InputY!$G$3</f>
        <v>1995</v>
      </c>
      <c r="H744" s="815">
        <f>+G744+1</f>
        <v>1996</v>
      </c>
      <c r="I744" s="815">
        <f t="shared" ref="I744:O744" si="1002">+H744+1</f>
        <v>1997</v>
      </c>
      <c r="J744" s="815">
        <f t="shared" si="1002"/>
        <v>1998</v>
      </c>
      <c r="K744" s="815">
        <f t="shared" si="1002"/>
        <v>1999</v>
      </c>
      <c r="L744" s="815">
        <f t="shared" si="1002"/>
        <v>2000</v>
      </c>
      <c r="M744" s="815">
        <f t="shared" si="1002"/>
        <v>2001</v>
      </c>
      <c r="N744" s="815">
        <f t="shared" si="1002"/>
        <v>2002</v>
      </c>
      <c r="O744" s="815">
        <f t="shared" si="1002"/>
        <v>2003</v>
      </c>
      <c r="P744" s="815">
        <f t="shared" ref="P744:AF744" si="1003">+O744+1</f>
        <v>2004</v>
      </c>
      <c r="Q744" s="815">
        <f t="shared" si="1003"/>
        <v>2005</v>
      </c>
      <c r="R744" s="815">
        <f t="shared" si="1003"/>
        <v>2006</v>
      </c>
      <c r="S744" s="815">
        <f t="shared" si="1003"/>
        <v>2007</v>
      </c>
      <c r="T744" s="815">
        <f t="shared" si="1003"/>
        <v>2008</v>
      </c>
      <c r="U744" s="815">
        <f t="shared" si="1003"/>
        <v>2009</v>
      </c>
      <c r="V744" s="815">
        <f t="shared" si="1003"/>
        <v>2010</v>
      </c>
      <c r="W744" s="815">
        <f t="shared" si="1003"/>
        <v>2011</v>
      </c>
      <c r="X744" s="815">
        <f t="shared" si="1003"/>
        <v>2012</v>
      </c>
      <c r="Y744" s="815">
        <f t="shared" si="1003"/>
        <v>2013</v>
      </c>
      <c r="Z744" s="815">
        <f t="shared" si="1003"/>
        <v>2014</v>
      </c>
      <c r="AA744" s="815">
        <f t="shared" si="1003"/>
        <v>2015</v>
      </c>
      <c r="AB744" s="815">
        <f t="shared" si="1003"/>
        <v>2016</v>
      </c>
      <c r="AC744" s="815">
        <f t="shared" si="1003"/>
        <v>2017</v>
      </c>
      <c r="AD744" s="815">
        <f t="shared" si="1003"/>
        <v>2018</v>
      </c>
      <c r="AE744" s="815">
        <f t="shared" si="1003"/>
        <v>2019</v>
      </c>
      <c r="AF744" s="815">
        <f t="shared" si="1003"/>
        <v>2020</v>
      </c>
      <c r="BB744" s="3514">
        <v>2016</v>
      </c>
      <c r="BC744" s="736" t="str">
        <f t="shared" si="916"/>
        <v/>
      </c>
    </row>
    <row r="745" spans="1:55" ht="12.75" customHeight="1">
      <c r="A745" s="701"/>
      <c r="B745" s="701"/>
      <c r="C745" s="816" t="s">
        <v>1791</v>
      </c>
      <c r="D745" s="705" t="s">
        <v>666</v>
      </c>
      <c r="E745" s="817" t="s">
        <v>1867</v>
      </c>
      <c r="F745" s="738" t="s">
        <v>367</v>
      </c>
      <c r="G745" s="817">
        <f t="shared" ref="G745:Y745" si="1004">+G48</f>
        <v>4.4779999999999998</v>
      </c>
      <c r="H745" s="817">
        <f t="shared" si="1004"/>
        <v>3.883</v>
      </c>
      <c r="I745" s="817">
        <f t="shared" si="1004"/>
        <v>3.6110000000000002</v>
      </c>
      <c r="J745" s="817">
        <f t="shared" si="1004"/>
        <v>4.234</v>
      </c>
      <c r="K745" s="817">
        <f t="shared" si="1004"/>
        <v>4.766</v>
      </c>
      <c r="L745" s="817">
        <f t="shared" si="1004"/>
        <v>3.133</v>
      </c>
      <c r="M745" s="817">
        <f t="shared" si="1004"/>
        <v>2.9380000000000002</v>
      </c>
      <c r="N745" s="817">
        <f t="shared" si="1004"/>
        <v>3.8359999999999999</v>
      </c>
      <c r="O745" s="817">
        <f t="shared" si="1004"/>
        <v>3.5049999999999999</v>
      </c>
      <c r="P745" s="817">
        <f t="shared" si="1004"/>
        <v>2.831</v>
      </c>
      <c r="Q745" s="817">
        <f t="shared" si="1004"/>
        <v>2.4630000000000001</v>
      </c>
      <c r="R745" s="817">
        <f t="shared" si="1004"/>
        <v>2.847</v>
      </c>
      <c r="S745" s="817">
        <f t="shared" si="1004"/>
        <v>2.6949999999999998</v>
      </c>
      <c r="T745" s="817">
        <f t="shared" si="1004"/>
        <v>2.9740000000000002</v>
      </c>
      <c r="U745" s="817">
        <f t="shared" si="1004"/>
        <v>2.6789999999999998</v>
      </c>
      <c r="V745" s="817">
        <f t="shared" si="1004"/>
        <v>3.0859999999999999</v>
      </c>
      <c r="W745" s="817">
        <f t="shared" si="1004"/>
        <v>3.1190000000000002</v>
      </c>
      <c r="X745" s="817">
        <f t="shared" si="1004"/>
        <v>3.238</v>
      </c>
      <c r="Y745" s="817">
        <f t="shared" si="1004"/>
        <v>3.4769999999999999</v>
      </c>
      <c r="Z745" s="817">
        <f t="shared" ref="Z745:AA745" si="1005">+Z48</f>
        <v>3.4790000000000001</v>
      </c>
      <c r="AA745" s="817">
        <f t="shared" si="1005"/>
        <v>3.34</v>
      </c>
      <c r="AB745" s="817">
        <f t="shared" ref="AB745:AC745" si="1006">+AB48</f>
        <v>3.327</v>
      </c>
      <c r="AC745" s="817">
        <f t="shared" si="1006"/>
        <v>4.1769999999999996</v>
      </c>
      <c r="AD745" s="883">
        <f>+AD48</f>
        <v>4.3023099999999994</v>
      </c>
      <c r="AE745" s="883">
        <f>+AE48</f>
        <v>4.4313792999999997</v>
      </c>
      <c r="AF745" s="883">
        <f>+AF48</f>
        <v>4.5643206789999997</v>
      </c>
      <c r="BB745" s="3471">
        <v>3.3260000000000001</v>
      </c>
      <c r="BC745" s="736" t="str">
        <f t="shared" si="916"/>
        <v/>
      </c>
    </row>
    <row r="746" spans="1:55" ht="12.75" customHeight="1">
      <c r="A746" s="701"/>
      <c r="B746" s="701"/>
      <c r="C746" s="819" t="s">
        <v>1791</v>
      </c>
      <c r="D746" s="1081" t="s">
        <v>666</v>
      </c>
      <c r="E746" s="1084" t="s">
        <v>1982</v>
      </c>
      <c r="F746" s="741" t="s">
        <v>760</v>
      </c>
      <c r="G746" s="743">
        <f t="shared" ref="G746:Y746" si="1007">+G137</f>
        <v>71.674000000000007</v>
      </c>
      <c r="H746" s="743">
        <f t="shared" si="1007"/>
        <v>70.997</v>
      </c>
      <c r="I746" s="743">
        <f t="shared" si="1007"/>
        <v>64.495999999999995</v>
      </c>
      <c r="J746" s="743">
        <f t="shared" si="1007"/>
        <v>64.83</v>
      </c>
      <c r="K746" s="743">
        <f t="shared" si="1007"/>
        <v>57.204000000000001</v>
      </c>
      <c r="L746" s="743">
        <f t="shared" si="1007"/>
        <v>54.951999999999998</v>
      </c>
      <c r="M746" s="743">
        <f t="shared" si="1007"/>
        <v>47.914000000000001</v>
      </c>
      <c r="N746" s="743">
        <f t="shared" si="1007"/>
        <v>48.000999999999998</v>
      </c>
      <c r="O746" s="743">
        <f t="shared" si="1007"/>
        <v>50.405000000000001</v>
      </c>
      <c r="P746" s="743">
        <f t="shared" si="1007"/>
        <v>49.762</v>
      </c>
      <c r="Q746" s="743">
        <f t="shared" si="1007"/>
        <v>62.478000000000002</v>
      </c>
      <c r="R746" s="743">
        <f t="shared" si="1007"/>
        <v>64.611000000000004</v>
      </c>
      <c r="S746" s="743">
        <f t="shared" si="1007"/>
        <v>77.772999999999996</v>
      </c>
      <c r="T746" s="743">
        <f t="shared" si="1007"/>
        <v>84.337999999999994</v>
      </c>
      <c r="U746" s="743">
        <f t="shared" si="1007"/>
        <v>70.828000000000003</v>
      </c>
      <c r="V746" s="743">
        <f t="shared" si="1007"/>
        <v>69.531999999999996</v>
      </c>
      <c r="W746" s="743">
        <f t="shared" si="1007"/>
        <v>78.677999999999997</v>
      </c>
      <c r="X746" s="743">
        <f t="shared" si="1007"/>
        <v>75.326999999999998</v>
      </c>
      <c r="Y746" s="743">
        <f t="shared" si="1007"/>
        <v>76.623999999999995</v>
      </c>
      <c r="Z746" s="743">
        <f t="shared" ref="Z746:AA746" si="1008">+Z137</f>
        <v>66.649000000000001</v>
      </c>
      <c r="AA746" s="743">
        <f t="shared" si="1008"/>
        <v>65.91</v>
      </c>
      <c r="AB746" s="743">
        <f t="shared" ref="AB746:AC746" si="1009">+AB137</f>
        <v>69.638000000000005</v>
      </c>
      <c r="AC746" s="743">
        <f t="shared" si="1009"/>
        <v>69.213999999999999</v>
      </c>
      <c r="AD746" s="829">
        <f>+AD137</f>
        <v>67.829719999999995</v>
      </c>
      <c r="AE746" s="829">
        <f>+AE137</f>
        <v>66.473125599999989</v>
      </c>
      <c r="AF746" s="829">
        <f>+AF137</f>
        <v>65.143663087999983</v>
      </c>
      <c r="BB746" s="3472">
        <v>69.478999999999999</v>
      </c>
      <c r="BC746" s="736" t="str">
        <f t="shared" si="916"/>
        <v/>
      </c>
    </row>
    <row r="747" spans="1:55" ht="12.75" customHeight="1">
      <c r="A747" s="701"/>
      <c r="B747" s="701"/>
      <c r="C747" s="819" t="s">
        <v>1791</v>
      </c>
      <c r="D747" s="711" t="s">
        <v>666</v>
      </c>
      <c r="E747" s="743" t="s">
        <v>1664</v>
      </c>
      <c r="F747" s="741" t="s">
        <v>1592</v>
      </c>
      <c r="G747" s="743">
        <f t="shared" ref="G747:Y747" si="1010">+G326</f>
        <v>12.303000000000001</v>
      </c>
      <c r="H747" s="743">
        <f t="shared" si="1010"/>
        <v>10.952</v>
      </c>
      <c r="I747" s="743">
        <f t="shared" si="1010"/>
        <v>8.9190000000000005</v>
      </c>
      <c r="J747" s="743">
        <f t="shared" si="1010"/>
        <v>11.776</v>
      </c>
      <c r="K747" s="743">
        <f t="shared" si="1010"/>
        <v>11.147</v>
      </c>
      <c r="L747" s="743">
        <f t="shared" si="1010"/>
        <v>12.624000000000001</v>
      </c>
      <c r="M747" s="743">
        <f t="shared" si="1010"/>
        <v>12.324</v>
      </c>
      <c r="N747" s="743">
        <f t="shared" si="1010"/>
        <v>12.85</v>
      </c>
      <c r="O747" s="743">
        <f t="shared" si="1010"/>
        <v>12.042999999999999</v>
      </c>
      <c r="P747" s="743">
        <f t="shared" si="1010"/>
        <v>12.339</v>
      </c>
      <c r="Q747" s="743">
        <f t="shared" si="1010"/>
        <v>13.215</v>
      </c>
      <c r="R747" s="743">
        <f t="shared" si="1010"/>
        <v>14.192</v>
      </c>
      <c r="S747" s="743">
        <f t="shared" si="1010"/>
        <v>21.385999999999999</v>
      </c>
      <c r="T747" s="743">
        <f t="shared" si="1010"/>
        <v>20.922999999999998</v>
      </c>
      <c r="U747" s="743">
        <f t="shared" si="1010"/>
        <v>23.388999999999999</v>
      </c>
      <c r="V747" s="743">
        <f t="shared" si="1010"/>
        <v>24.440999999999999</v>
      </c>
      <c r="W747" s="743">
        <f t="shared" si="1010"/>
        <v>21.911999999999999</v>
      </c>
      <c r="X747" s="743">
        <f t="shared" si="1010"/>
        <v>24.327000000000002</v>
      </c>
      <c r="Y747" s="743">
        <f t="shared" si="1010"/>
        <v>23.655000000000001</v>
      </c>
      <c r="Z747" s="743">
        <f t="shared" ref="Z747:AA747" si="1011">+Z326</f>
        <v>22.021999999999998</v>
      </c>
      <c r="AA747" s="743">
        <f t="shared" si="1011"/>
        <v>21.925000000000001</v>
      </c>
      <c r="AB747" s="743">
        <f t="shared" ref="AB747:AC747" si="1012">+AB326</f>
        <v>23.445</v>
      </c>
      <c r="AC747" s="743">
        <f t="shared" si="1012"/>
        <v>25.209</v>
      </c>
      <c r="AD747" s="829">
        <f>+AD326</f>
        <v>25.461089999999999</v>
      </c>
      <c r="AE747" s="829">
        <f>+AE326</f>
        <v>25.588395449999997</v>
      </c>
      <c r="AF747" s="829">
        <f>+AF326</f>
        <v>25.716337427249993</v>
      </c>
      <c r="BB747" s="3472">
        <v>24.841000000000001</v>
      </c>
      <c r="BC747" s="736">
        <f t="shared" si="916"/>
        <v>-1.3960000000000008</v>
      </c>
    </row>
    <row r="748" spans="1:55" ht="12.75" customHeight="1">
      <c r="A748" s="701"/>
      <c r="B748" s="701">
        <v>117</v>
      </c>
      <c r="C748" s="821" t="s">
        <v>1793</v>
      </c>
      <c r="D748" s="789" t="s">
        <v>666</v>
      </c>
      <c r="E748" s="822" t="s">
        <v>78</v>
      </c>
      <c r="F748" s="791" t="s">
        <v>452</v>
      </c>
      <c r="G748" s="822">
        <f t="shared" ref="G748:Q748" si="1013">+G745+G746+G747</f>
        <v>88.454999999999998</v>
      </c>
      <c r="H748" s="822">
        <f t="shared" si="1013"/>
        <v>85.831999999999994</v>
      </c>
      <c r="I748" s="822">
        <f t="shared" si="1013"/>
        <v>77.025999999999996</v>
      </c>
      <c r="J748" s="822">
        <f t="shared" si="1013"/>
        <v>80.839999999999989</v>
      </c>
      <c r="K748" s="822">
        <f t="shared" si="1013"/>
        <v>73.117000000000004</v>
      </c>
      <c r="L748" s="822">
        <f t="shared" si="1013"/>
        <v>70.709000000000003</v>
      </c>
      <c r="M748" s="822">
        <f t="shared" si="1013"/>
        <v>63.176000000000002</v>
      </c>
      <c r="N748" s="822">
        <f t="shared" si="1013"/>
        <v>64.686999999999998</v>
      </c>
      <c r="O748" s="822">
        <f t="shared" si="1013"/>
        <v>65.953000000000003</v>
      </c>
      <c r="P748" s="822">
        <f t="shared" si="1013"/>
        <v>64.932000000000002</v>
      </c>
      <c r="Q748" s="822">
        <f t="shared" si="1013"/>
        <v>78.156000000000006</v>
      </c>
      <c r="R748" s="822">
        <f t="shared" ref="R748:Y748" si="1014">+R745+R746+R747</f>
        <v>81.650000000000006</v>
      </c>
      <c r="S748" s="822">
        <f t="shared" si="1014"/>
        <v>101.85399999999998</v>
      </c>
      <c r="T748" s="822">
        <f t="shared" si="1014"/>
        <v>108.235</v>
      </c>
      <c r="U748" s="822">
        <f t="shared" si="1014"/>
        <v>96.896000000000001</v>
      </c>
      <c r="V748" s="822">
        <f t="shared" si="1014"/>
        <v>97.058999999999997</v>
      </c>
      <c r="W748" s="822">
        <f t="shared" si="1014"/>
        <v>103.709</v>
      </c>
      <c r="X748" s="822">
        <f t="shared" si="1014"/>
        <v>102.892</v>
      </c>
      <c r="Y748" s="822">
        <f t="shared" si="1014"/>
        <v>103.756</v>
      </c>
      <c r="Z748" s="822">
        <f t="shared" ref="Z748:AA748" si="1015">+Z745+Z746+Z747</f>
        <v>92.15</v>
      </c>
      <c r="AA748" s="822">
        <f t="shared" si="1015"/>
        <v>91.174999999999997</v>
      </c>
      <c r="AB748" s="822">
        <f t="shared" ref="AB748:AC748" si="1016">+AB745+AB746+AB747</f>
        <v>96.41</v>
      </c>
      <c r="AC748" s="822">
        <f t="shared" si="1016"/>
        <v>98.6</v>
      </c>
      <c r="AD748" s="881">
        <f>+AD745+AD746+AD747</f>
        <v>97.593119999999999</v>
      </c>
      <c r="AE748" s="881">
        <f>+AE745+AE746+AE747</f>
        <v>96.492900349999985</v>
      </c>
      <c r="AF748" s="881">
        <f>+AF745+AF746+AF747</f>
        <v>95.424321194249984</v>
      </c>
      <c r="BB748" s="3473">
        <v>97.645999999999987</v>
      </c>
      <c r="BC748" s="736">
        <f t="shared" si="916"/>
        <v>-1.23599999999999</v>
      </c>
    </row>
    <row r="749" spans="1:55">
      <c r="G749" s="740"/>
      <c r="Q749" s="736"/>
      <c r="R749" s="736"/>
      <c r="S749" s="736"/>
      <c r="T749" s="736"/>
      <c r="U749" s="736"/>
      <c r="V749" s="736"/>
      <c r="W749" s="736"/>
      <c r="X749" s="736"/>
      <c r="Y749" s="736"/>
      <c r="Z749" s="880"/>
      <c r="AA749" s="880"/>
      <c r="AB749" s="880"/>
      <c r="AC749" s="880"/>
      <c r="AD749" s="880"/>
      <c r="AE749" s="880"/>
      <c r="AF749" s="880"/>
      <c r="BB749" s="3467"/>
      <c r="BC749" s="736" t="str">
        <f t="shared" si="916"/>
        <v/>
      </c>
    </row>
    <row r="750" spans="1:55" ht="12.75" customHeight="1">
      <c r="A750" s="701"/>
      <c r="B750" s="701"/>
      <c r="C750" s="811"/>
      <c r="D750" s="812"/>
      <c r="E750" s="813" t="s">
        <v>1882</v>
      </c>
      <c r="F750" s="814"/>
      <c r="G750" s="815">
        <f>+InputY!$G$3</f>
        <v>1995</v>
      </c>
      <c r="H750" s="815">
        <f>+G750+1</f>
        <v>1996</v>
      </c>
      <c r="I750" s="815">
        <f t="shared" ref="I750:O750" si="1017">+H750+1</f>
        <v>1997</v>
      </c>
      <c r="J750" s="815">
        <f t="shared" si="1017"/>
        <v>1998</v>
      </c>
      <c r="K750" s="815">
        <f t="shared" si="1017"/>
        <v>1999</v>
      </c>
      <c r="L750" s="815">
        <f t="shared" si="1017"/>
        <v>2000</v>
      </c>
      <c r="M750" s="815">
        <f t="shared" si="1017"/>
        <v>2001</v>
      </c>
      <c r="N750" s="815">
        <f t="shared" si="1017"/>
        <v>2002</v>
      </c>
      <c r="O750" s="815">
        <f t="shared" si="1017"/>
        <v>2003</v>
      </c>
      <c r="P750" s="815">
        <f t="shared" ref="P750:AF750" si="1018">+O750+1</f>
        <v>2004</v>
      </c>
      <c r="Q750" s="815">
        <f t="shared" si="1018"/>
        <v>2005</v>
      </c>
      <c r="R750" s="815">
        <f t="shared" si="1018"/>
        <v>2006</v>
      </c>
      <c r="S750" s="815">
        <f t="shared" si="1018"/>
        <v>2007</v>
      </c>
      <c r="T750" s="815">
        <f t="shared" si="1018"/>
        <v>2008</v>
      </c>
      <c r="U750" s="815">
        <f t="shared" si="1018"/>
        <v>2009</v>
      </c>
      <c r="V750" s="815">
        <f t="shared" si="1018"/>
        <v>2010</v>
      </c>
      <c r="W750" s="815">
        <f t="shared" si="1018"/>
        <v>2011</v>
      </c>
      <c r="X750" s="815">
        <f t="shared" si="1018"/>
        <v>2012</v>
      </c>
      <c r="Y750" s="815">
        <f t="shared" si="1018"/>
        <v>2013</v>
      </c>
      <c r="Z750" s="815">
        <f t="shared" si="1018"/>
        <v>2014</v>
      </c>
      <c r="AA750" s="815">
        <f t="shared" si="1018"/>
        <v>2015</v>
      </c>
      <c r="AB750" s="815">
        <f t="shared" si="1018"/>
        <v>2016</v>
      </c>
      <c r="AC750" s="815">
        <f t="shared" si="1018"/>
        <v>2017</v>
      </c>
      <c r="AD750" s="815">
        <f t="shared" si="1018"/>
        <v>2018</v>
      </c>
      <c r="AE750" s="815">
        <f t="shared" si="1018"/>
        <v>2019</v>
      </c>
      <c r="AF750" s="815">
        <f t="shared" si="1018"/>
        <v>2020</v>
      </c>
      <c r="BB750" s="3514">
        <v>2016</v>
      </c>
      <c r="BC750" s="736" t="str">
        <f t="shared" si="916"/>
        <v/>
      </c>
    </row>
    <row r="751" spans="1:55" ht="12.75" customHeight="1">
      <c r="A751" s="701"/>
      <c r="B751" s="701"/>
      <c r="C751" s="816" t="s">
        <v>1791</v>
      </c>
      <c r="D751" s="705" t="s">
        <v>666</v>
      </c>
      <c r="E751" s="817" t="s">
        <v>1767</v>
      </c>
      <c r="F751" s="738" t="s">
        <v>364</v>
      </c>
      <c r="G751" s="817">
        <f t="shared" ref="G751:Y751" si="1019">+G11</f>
        <v>49.619</v>
      </c>
      <c r="H751" s="817">
        <f t="shared" si="1019"/>
        <v>53.353999999999999</v>
      </c>
      <c r="I751" s="817">
        <f t="shared" si="1019"/>
        <v>54.43</v>
      </c>
      <c r="J751" s="817">
        <f t="shared" si="1019"/>
        <v>71.531000000000006</v>
      </c>
      <c r="K751" s="817">
        <f t="shared" si="1019"/>
        <v>74.123999999999995</v>
      </c>
      <c r="L751" s="817">
        <f t="shared" si="1019"/>
        <v>66.454999999999998</v>
      </c>
      <c r="M751" s="817">
        <f t="shared" si="1019"/>
        <v>68.649000000000001</v>
      </c>
      <c r="N751" s="817">
        <f t="shared" si="1019"/>
        <v>72.352999999999994</v>
      </c>
      <c r="O751" s="817">
        <f t="shared" si="1019"/>
        <v>76.141999999999996</v>
      </c>
      <c r="P751" s="817">
        <f t="shared" si="1019"/>
        <v>78.478999999999999</v>
      </c>
      <c r="Q751" s="817">
        <f t="shared" si="1019"/>
        <v>80.483999999999995</v>
      </c>
      <c r="R751" s="817">
        <f t="shared" si="1019"/>
        <v>82.683999999999997</v>
      </c>
      <c r="S751" s="817">
        <f t="shared" si="1019"/>
        <v>85.826999999999998</v>
      </c>
      <c r="T751" s="817">
        <f t="shared" si="1019"/>
        <v>88.692999999999998</v>
      </c>
      <c r="U751" s="817">
        <f t="shared" si="1019"/>
        <v>87.156999999999996</v>
      </c>
      <c r="V751" s="817">
        <f t="shared" si="1019"/>
        <v>88.272000000000006</v>
      </c>
      <c r="W751" s="817">
        <f t="shared" si="1019"/>
        <v>91.540999999999997</v>
      </c>
      <c r="X751" s="817">
        <f t="shared" si="1019"/>
        <v>94.082999999999998</v>
      </c>
      <c r="Y751" s="817">
        <f t="shared" si="1019"/>
        <v>96.998000000000005</v>
      </c>
      <c r="Z751" s="817">
        <f t="shared" ref="Z751:AA751" si="1020">+Z11</f>
        <v>100.304</v>
      </c>
      <c r="AA751" s="817">
        <f t="shared" si="1020"/>
        <v>105.92</v>
      </c>
      <c r="AB751" s="817">
        <f t="shared" ref="AB751:AC751" si="1021">+AB11</f>
        <v>113.646</v>
      </c>
      <c r="AC751" s="817">
        <f t="shared" si="1021"/>
        <v>119.729</v>
      </c>
      <c r="AD751" s="3415">
        <f>+AD11</f>
        <v>124.51816000000001</v>
      </c>
      <c r="AE751" s="3415">
        <f>+AE11</f>
        <v>129.4988864</v>
      </c>
      <c r="AF751" s="3415">
        <f>+AF11</f>
        <v>134.67884185600002</v>
      </c>
      <c r="AG751" s="3750"/>
      <c r="BB751" s="3471">
        <v>114.117</v>
      </c>
      <c r="BC751" s="736" t="str">
        <f t="shared" si="916"/>
        <v/>
      </c>
    </row>
    <row r="752" spans="1:55" ht="12.75" customHeight="1">
      <c r="A752" s="701"/>
      <c r="B752" s="701"/>
      <c r="C752" s="819" t="s">
        <v>1791</v>
      </c>
      <c r="D752" s="711" t="s">
        <v>666</v>
      </c>
      <c r="E752" s="743" t="s">
        <v>1981</v>
      </c>
      <c r="F752" s="1018" t="str">
        <f t="shared" ref="F752:Y752" si="1022">+F138</f>
        <v>$AProp - $AInt</v>
      </c>
      <c r="G752" s="743">
        <f t="shared" si="1022"/>
        <v>0.29399999999999998</v>
      </c>
      <c r="H752" s="743">
        <f t="shared" si="1022"/>
        <v>0.21</v>
      </c>
      <c r="I752" s="743">
        <f t="shared" si="1022"/>
        <v>0.214</v>
      </c>
      <c r="J752" s="743">
        <f t="shared" si="1022"/>
        <v>2.504</v>
      </c>
      <c r="K752" s="743">
        <f t="shared" si="1022"/>
        <v>2.6469999999999998</v>
      </c>
      <c r="L752" s="743">
        <f t="shared" si="1022"/>
        <v>2.7080000000000002</v>
      </c>
      <c r="M752" s="743">
        <f t="shared" si="1022"/>
        <v>2.9220000000000002</v>
      </c>
      <c r="N752" s="743">
        <f t="shared" si="1022"/>
        <v>3.1389999999999998</v>
      </c>
      <c r="O752" s="743">
        <f t="shared" si="1022"/>
        <v>3.3220000000000001</v>
      </c>
      <c r="P752" s="743">
        <f t="shared" si="1022"/>
        <v>3.532</v>
      </c>
      <c r="Q752" s="743">
        <f t="shared" si="1022"/>
        <v>3.9569999999999999</v>
      </c>
      <c r="R752" s="743">
        <f t="shared" si="1022"/>
        <v>3.931</v>
      </c>
      <c r="S752" s="743">
        <f t="shared" si="1022"/>
        <v>4.0339999999999998</v>
      </c>
      <c r="T752" s="743">
        <f t="shared" si="1022"/>
        <v>4.3310000000000004</v>
      </c>
      <c r="U752" s="743">
        <f t="shared" si="1022"/>
        <v>4.5890000000000004</v>
      </c>
      <c r="V752" s="743">
        <f t="shared" si="1022"/>
        <v>4.7839999999999998</v>
      </c>
      <c r="W752" s="743">
        <f t="shared" si="1022"/>
        <v>5.2190000000000003</v>
      </c>
      <c r="X752" s="743">
        <f t="shared" si="1022"/>
        <v>5.4779999999999998</v>
      </c>
      <c r="Y752" s="743">
        <f t="shared" si="1022"/>
        <v>5.5880000000000001</v>
      </c>
      <c r="Z752" s="743">
        <f t="shared" ref="Z752:AA752" si="1023">+Z138</f>
        <v>6.0620000000000003</v>
      </c>
      <c r="AA752" s="743">
        <f t="shared" si="1023"/>
        <v>6.7750000000000004</v>
      </c>
      <c r="AB752" s="743">
        <f t="shared" ref="AB752:AC752" si="1024">+AB138</f>
        <v>7.22</v>
      </c>
      <c r="AC752" s="743">
        <f t="shared" si="1024"/>
        <v>7.59</v>
      </c>
      <c r="AD752" s="3416">
        <f ca="1">+AD138</f>
        <v>7.9617609678474555</v>
      </c>
      <c r="AE752" s="3416">
        <f ca="1">+AE138</f>
        <v>8.2628170378718302</v>
      </c>
      <c r="AF752" s="3416">
        <f ca="1">+AF138</f>
        <v>8.555747466319545</v>
      </c>
      <c r="BB752" s="3472">
        <v>7.4850000000000003</v>
      </c>
      <c r="BC752" s="736" t="str">
        <f t="shared" si="916"/>
        <v/>
      </c>
    </row>
    <row r="753" spans="1:55" ht="12.75" customHeight="1">
      <c r="A753" s="701"/>
      <c r="B753" s="701"/>
      <c r="C753" s="819" t="s">
        <v>1791</v>
      </c>
      <c r="D753" s="711" t="s">
        <v>666</v>
      </c>
      <c r="E753" s="743" t="s">
        <v>105</v>
      </c>
      <c r="F753" s="741" t="s">
        <v>1547</v>
      </c>
      <c r="G753" s="743">
        <f t="shared" ref="G753:Y753" si="1025">+G201</f>
        <v>1.4999999999999999E-2</v>
      </c>
      <c r="H753" s="743">
        <f t="shared" si="1025"/>
        <v>4.0000000000000001E-3</v>
      </c>
      <c r="I753" s="743">
        <f t="shared" si="1025"/>
        <v>7.0000000000000001E-3</v>
      </c>
      <c r="J753" s="743">
        <f t="shared" si="1025"/>
        <v>7.0000000000000001E-3</v>
      </c>
      <c r="K753" s="743">
        <f t="shared" si="1025"/>
        <v>5.0000000000000001E-3</v>
      </c>
      <c r="L753" s="743">
        <f t="shared" si="1025"/>
        <v>0.111</v>
      </c>
      <c r="M753" s="743">
        <f t="shared" si="1025"/>
        <v>5.0000000000000001E-3</v>
      </c>
      <c r="N753" s="743">
        <f t="shared" si="1025"/>
        <v>1.4999999999999999E-2</v>
      </c>
      <c r="O753" s="743">
        <f t="shared" si="1025"/>
        <v>1.9E-2</v>
      </c>
      <c r="P753" s="743">
        <f t="shared" si="1025"/>
        <v>1.0999999999999999E-2</v>
      </c>
      <c r="Q753" s="743">
        <f t="shared" si="1025"/>
        <v>5.0000000000000001E-3</v>
      </c>
      <c r="R753" s="743">
        <f t="shared" si="1025"/>
        <v>4.2000000000000003E-2</v>
      </c>
      <c r="S753" s="743">
        <f t="shared" si="1025"/>
        <v>4.4999999999999998E-2</v>
      </c>
      <c r="T753" s="743">
        <f t="shared" si="1025"/>
        <v>2.1000000000000001E-2</v>
      </c>
      <c r="U753" s="743">
        <f t="shared" si="1025"/>
        <v>0.34799999999999998</v>
      </c>
      <c r="V753" s="743">
        <f t="shared" si="1025"/>
        <v>2.9000000000000001E-2</v>
      </c>
      <c r="W753" s="743">
        <f t="shared" si="1025"/>
        <v>1.0999999999999999E-2</v>
      </c>
      <c r="X753" s="743">
        <f t="shared" si="1025"/>
        <v>0.123</v>
      </c>
      <c r="Y753" s="743">
        <f t="shared" si="1025"/>
        <v>6.2E-2</v>
      </c>
      <c r="Z753" s="743">
        <f t="shared" ref="Z753:AA753" si="1026">+Z201</f>
        <v>8.5999999999999993E-2</v>
      </c>
      <c r="AA753" s="743">
        <f t="shared" si="1026"/>
        <v>6.4000000000000001E-2</v>
      </c>
      <c r="AB753" s="743">
        <f t="shared" ref="AB753:AC753" si="1027">+AB201</f>
        <v>0.17599999999999999</v>
      </c>
      <c r="AC753" s="743">
        <f t="shared" si="1027"/>
        <v>0.14199999999999999</v>
      </c>
      <c r="AD753" s="3416">
        <f>+AD201</f>
        <v>0.14199999999999999</v>
      </c>
      <c r="AE753" s="3416">
        <f>+AE201</f>
        <v>0.14199999999999999</v>
      </c>
      <c r="AF753" s="3416">
        <f>+AF201</f>
        <v>0.14199999999999999</v>
      </c>
      <c r="BB753" s="3472">
        <v>0</v>
      </c>
      <c r="BC753" s="736" t="str">
        <f t="shared" si="916"/>
        <v/>
      </c>
    </row>
    <row r="754" spans="1:55" ht="12.75" customHeight="1">
      <c r="A754" s="701"/>
      <c r="B754" s="701"/>
      <c r="C754" s="819" t="s">
        <v>1791</v>
      </c>
      <c r="D754" s="711" t="s">
        <v>666</v>
      </c>
      <c r="E754" s="743" t="s">
        <v>1669</v>
      </c>
      <c r="F754" s="741" t="s">
        <v>1593</v>
      </c>
      <c r="G754" s="743">
        <f t="shared" ref="G754:Y754" si="1028">+G325</f>
        <v>83.353999999999999</v>
      </c>
      <c r="H754" s="743">
        <f t="shared" si="1028"/>
        <v>77.816000000000003</v>
      </c>
      <c r="I754" s="743">
        <f t="shared" si="1028"/>
        <v>77.951999999999998</v>
      </c>
      <c r="J754" s="743">
        <f t="shared" si="1028"/>
        <v>79.744</v>
      </c>
      <c r="K754" s="743">
        <f t="shared" si="1028"/>
        <v>81.289000000000001</v>
      </c>
      <c r="L754" s="743">
        <f t="shared" si="1028"/>
        <v>86.813999999999993</v>
      </c>
      <c r="M754" s="743">
        <f t="shared" si="1028"/>
        <v>80.388999999999996</v>
      </c>
      <c r="N754" s="743">
        <f t="shared" si="1028"/>
        <v>75.332999999999998</v>
      </c>
      <c r="O754" s="743">
        <f t="shared" si="1028"/>
        <v>85.620999999999995</v>
      </c>
      <c r="P754" s="743">
        <f t="shared" si="1028"/>
        <v>94.5</v>
      </c>
      <c r="Q754" s="743">
        <f t="shared" si="1028"/>
        <v>97.947999999999993</v>
      </c>
      <c r="R754" s="743">
        <f t="shared" si="1028"/>
        <v>98.804000000000002</v>
      </c>
      <c r="S754" s="743">
        <f t="shared" si="1028"/>
        <v>90.623999999999995</v>
      </c>
      <c r="T754" s="743">
        <f t="shared" si="1028"/>
        <v>93.447000000000003</v>
      </c>
      <c r="U754" s="743">
        <f t="shared" si="1028"/>
        <v>93.222999999999999</v>
      </c>
      <c r="V754" s="743">
        <f t="shared" si="1028"/>
        <v>101.063</v>
      </c>
      <c r="W754" s="743">
        <f t="shared" si="1028"/>
        <v>96.658000000000001</v>
      </c>
      <c r="X754" s="743">
        <f t="shared" si="1028"/>
        <v>98.603999999999999</v>
      </c>
      <c r="Y754" s="743">
        <f t="shared" si="1028"/>
        <v>106.947</v>
      </c>
      <c r="Z754" s="743">
        <f t="shared" ref="Z754:AA754" si="1029">+Z325</f>
        <v>108.02800000000001</v>
      </c>
      <c r="AA754" s="743">
        <f t="shared" si="1029"/>
        <v>110.38</v>
      </c>
      <c r="AB754" s="743">
        <f t="shared" ref="AB754:AC754" si="1030">+AB325</f>
        <v>103.102</v>
      </c>
      <c r="AC754" s="743">
        <f t="shared" si="1030"/>
        <v>113.235</v>
      </c>
      <c r="AD754" s="3416">
        <f>+AD325</f>
        <v>118.89675000000001</v>
      </c>
      <c r="AE754" s="3416">
        <f>+AE325</f>
        <v>123.53372325000001</v>
      </c>
      <c r="AF754" s="3416">
        <f>+AF325</f>
        <v>127.23973494750001</v>
      </c>
      <c r="AG754" s="3750"/>
      <c r="BB754" s="3472">
        <v>102.57299999999999</v>
      </c>
      <c r="BC754" s="736" t="str">
        <f t="shared" si="916"/>
        <v/>
      </c>
    </row>
    <row r="755" spans="1:55" ht="12.75" customHeight="1">
      <c r="A755" s="701"/>
      <c r="B755" s="701"/>
      <c r="C755" s="819" t="s">
        <v>1791</v>
      </c>
      <c r="D755" s="711" t="s">
        <v>666</v>
      </c>
      <c r="E755" s="743" t="s">
        <v>372</v>
      </c>
      <c r="F755" s="741" t="s">
        <v>1549</v>
      </c>
      <c r="G755" s="1059">
        <f t="shared" ref="G755:Y755" si="1031">+G396</f>
        <v>0</v>
      </c>
      <c r="H755" s="1059">
        <f t="shared" si="1031"/>
        <v>0</v>
      </c>
      <c r="I755" s="1059">
        <f t="shared" si="1031"/>
        <v>0</v>
      </c>
      <c r="J755" s="1059">
        <f t="shared" si="1031"/>
        <v>1.242</v>
      </c>
      <c r="K755" s="1059">
        <f t="shared" si="1031"/>
        <v>0.66800000000000004</v>
      </c>
      <c r="L755" s="1059">
        <f t="shared" si="1031"/>
        <v>3.8069999999999999</v>
      </c>
      <c r="M755" s="1059">
        <f t="shared" si="1031"/>
        <v>4.3579999999999997</v>
      </c>
      <c r="N755" s="1059">
        <f t="shared" si="1031"/>
        <v>5.24</v>
      </c>
      <c r="O755" s="1059">
        <f t="shared" si="1031"/>
        <v>7.2450000000000001</v>
      </c>
      <c r="P755" s="1059">
        <f t="shared" si="1031"/>
        <v>6.76</v>
      </c>
      <c r="Q755" s="1059">
        <f t="shared" si="1031"/>
        <v>7.8710000000000004</v>
      </c>
      <c r="R755" s="1059">
        <f t="shared" si="1031"/>
        <v>7.2229999999999999</v>
      </c>
      <c r="S755" s="1059">
        <f t="shared" si="1031"/>
        <v>8.8930000000000007</v>
      </c>
      <c r="T755" s="1059">
        <f t="shared" si="1031"/>
        <v>8.9429999999999996</v>
      </c>
      <c r="U755" s="1059">
        <f t="shared" si="1031"/>
        <v>8.9920000000000009</v>
      </c>
      <c r="V755" s="1059">
        <f t="shared" si="1031"/>
        <v>8.5150000000000006</v>
      </c>
      <c r="W755" s="1059">
        <f t="shared" si="1031"/>
        <v>9.6389999999999993</v>
      </c>
      <c r="X755" s="1059">
        <f t="shared" si="1031"/>
        <v>7.1139999999999999</v>
      </c>
      <c r="Y755" s="1059">
        <f t="shared" si="1031"/>
        <v>8.1349999999999998</v>
      </c>
      <c r="Z755" s="1059">
        <f t="shared" ref="Z755:AA755" si="1032">+Z396</f>
        <v>8.3140000000000001</v>
      </c>
      <c r="AA755" s="1059">
        <f t="shared" si="1032"/>
        <v>8.6150000000000002</v>
      </c>
      <c r="AB755" s="1059">
        <f t="shared" ref="AB755:AC755" si="1033">+AB396</f>
        <v>9.8800000000000008</v>
      </c>
      <c r="AC755" s="1059">
        <f t="shared" si="1033"/>
        <v>11.093999999999999</v>
      </c>
      <c r="AD755" s="3417">
        <f>+AD396</f>
        <v>11.759639999999999</v>
      </c>
      <c r="AE755" s="3417">
        <f>+AE396</f>
        <v>12.465218399999999</v>
      </c>
      <c r="AF755" s="3417">
        <f>+AF396</f>
        <v>13.213131504</v>
      </c>
      <c r="BB755" s="3593">
        <v>26.591999999999999</v>
      </c>
      <c r="BC755" s="736">
        <f t="shared" si="916"/>
        <v>-16.711999999999996</v>
      </c>
    </row>
    <row r="756" spans="1:55" ht="12.75" customHeight="1">
      <c r="A756" s="701"/>
      <c r="B756" s="701">
        <v>124</v>
      </c>
      <c r="C756" s="821" t="s">
        <v>1793</v>
      </c>
      <c r="D756" s="789" t="s">
        <v>666</v>
      </c>
      <c r="E756" s="3673" t="s">
        <v>79</v>
      </c>
      <c r="F756" s="791" t="s">
        <v>1542</v>
      </c>
      <c r="G756" s="822">
        <f>+G751+G752+G753+G754+G755</f>
        <v>133.28199999999998</v>
      </c>
      <c r="H756" s="822">
        <f t="shared" ref="H756:Q756" si="1034">+H751+H752+H753+H754+H755</f>
        <v>131.38400000000001</v>
      </c>
      <c r="I756" s="822">
        <f t="shared" si="1034"/>
        <v>132.60300000000001</v>
      </c>
      <c r="J756" s="822">
        <f t="shared" si="1034"/>
        <v>155.02799999999999</v>
      </c>
      <c r="K756" s="822">
        <f t="shared" si="1034"/>
        <v>158.733</v>
      </c>
      <c r="L756" s="822">
        <f t="shared" si="1034"/>
        <v>159.89499999999998</v>
      </c>
      <c r="M756" s="822">
        <f t="shared" si="1034"/>
        <v>156.32299999999998</v>
      </c>
      <c r="N756" s="822">
        <f t="shared" si="1034"/>
        <v>156.07999999999998</v>
      </c>
      <c r="O756" s="822">
        <f t="shared" si="1034"/>
        <v>172.34899999999999</v>
      </c>
      <c r="P756" s="822">
        <f t="shared" si="1034"/>
        <v>183.28199999999998</v>
      </c>
      <c r="Q756" s="822">
        <f t="shared" si="1034"/>
        <v>190.26499999999999</v>
      </c>
      <c r="R756" s="822">
        <f t="shared" ref="R756:AA756" si="1035">+R751+R752+R753+R754+R755</f>
        <v>192.68400000000003</v>
      </c>
      <c r="S756" s="822">
        <f t="shared" si="1035"/>
        <v>189.423</v>
      </c>
      <c r="T756" s="822">
        <f t="shared" si="1035"/>
        <v>195.43500000000003</v>
      </c>
      <c r="U756" s="822">
        <f t="shared" si="1035"/>
        <v>194.309</v>
      </c>
      <c r="V756" s="822">
        <f t="shared" si="1035"/>
        <v>202.66300000000001</v>
      </c>
      <c r="W756" s="822">
        <f t="shared" si="1035"/>
        <v>203.06799999999998</v>
      </c>
      <c r="X756" s="822">
        <f t="shared" si="1035"/>
        <v>205.40200000000002</v>
      </c>
      <c r="Y756" s="822">
        <f t="shared" si="1035"/>
        <v>217.73</v>
      </c>
      <c r="Z756" s="822">
        <f t="shared" si="1035"/>
        <v>222.79400000000001</v>
      </c>
      <c r="AA756" s="822">
        <f t="shared" si="1035"/>
        <v>231.75400000000002</v>
      </c>
      <c r="AB756" s="822">
        <f t="shared" ref="AB756:AC756" si="1036">+AB751+AB752+AB753+AB754+AB755</f>
        <v>234.024</v>
      </c>
      <c r="AC756" s="822">
        <f t="shared" si="1036"/>
        <v>251.79</v>
      </c>
      <c r="AD756" s="3754">
        <f ca="1">+AD751+AD752+AD753+AD754+AD755</f>
        <v>263.27831096784746</v>
      </c>
      <c r="AE756" s="3754">
        <f ca="1">+AE751+AE752+AE753+AE754+AE755</f>
        <v>273.90264508787186</v>
      </c>
      <c r="AF756" s="3754">
        <f ca="1">+AF751+AF752+AF753+AF754+AF755</f>
        <v>283.82945577381952</v>
      </c>
      <c r="BB756" s="3473">
        <v>250.767</v>
      </c>
      <c r="BC756" s="736">
        <f t="shared" si="916"/>
        <v>-16.742999999999995</v>
      </c>
    </row>
    <row r="757" spans="1:55">
      <c r="Q757" s="736"/>
      <c r="BC757" s="736" t="str">
        <f t="shared" si="916"/>
        <v/>
      </c>
    </row>
    <row r="758" spans="1:55" ht="12.75" customHeight="1">
      <c r="A758" s="701"/>
      <c r="B758" s="701"/>
      <c r="C758" s="811"/>
      <c r="D758" s="812"/>
      <c r="E758" s="813" t="s">
        <v>1882</v>
      </c>
      <c r="F758" s="814"/>
      <c r="G758" s="815">
        <f>+InputY!$G$3</f>
        <v>1995</v>
      </c>
      <c r="H758" s="815">
        <f>+G758+1</f>
        <v>1996</v>
      </c>
      <c r="I758" s="815">
        <f t="shared" ref="I758:R758" si="1037">+H758+1</f>
        <v>1997</v>
      </c>
      <c r="J758" s="815">
        <f t="shared" si="1037"/>
        <v>1998</v>
      </c>
      <c r="K758" s="815">
        <f t="shared" si="1037"/>
        <v>1999</v>
      </c>
      <c r="L758" s="815">
        <f t="shared" si="1037"/>
        <v>2000</v>
      </c>
      <c r="M758" s="815">
        <f t="shared" si="1037"/>
        <v>2001</v>
      </c>
      <c r="N758" s="815">
        <f t="shared" si="1037"/>
        <v>2002</v>
      </c>
      <c r="O758" s="815">
        <f t="shared" si="1037"/>
        <v>2003</v>
      </c>
      <c r="P758" s="815">
        <f>+O758+1</f>
        <v>2004</v>
      </c>
      <c r="Q758" s="815">
        <f>+P758+1</f>
        <v>2005</v>
      </c>
      <c r="R758" s="2285">
        <f t="shared" si="1037"/>
        <v>2006</v>
      </c>
      <c r="S758" s="2285">
        <f t="shared" ref="S758:AF758" si="1038">+R758+1</f>
        <v>2007</v>
      </c>
      <c r="T758" s="2285">
        <f t="shared" si="1038"/>
        <v>2008</v>
      </c>
      <c r="U758" s="2285">
        <f t="shared" si="1038"/>
        <v>2009</v>
      </c>
      <c r="V758" s="2285">
        <f t="shared" si="1038"/>
        <v>2010</v>
      </c>
      <c r="W758" s="2285">
        <f t="shared" si="1038"/>
        <v>2011</v>
      </c>
      <c r="X758" s="2285">
        <f t="shared" si="1038"/>
        <v>2012</v>
      </c>
      <c r="Y758" s="2285">
        <f t="shared" si="1038"/>
        <v>2013</v>
      </c>
      <c r="Z758" s="2285">
        <f t="shared" si="1038"/>
        <v>2014</v>
      </c>
      <c r="AA758" s="2285">
        <f t="shared" si="1038"/>
        <v>2015</v>
      </c>
      <c r="AB758" s="2285">
        <f t="shared" si="1038"/>
        <v>2016</v>
      </c>
      <c r="AC758" s="2285">
        <f t="shared" si="1038"/>
        <v>2017</v>
      </c>
      <c r="AD758" s="2285">
        <f t="shared" si="1038"/>
        <v>2018</v>
      </c>
      <c r="AE758" s="2285">
        <f t="shared" si="1038"/>
        <v>2019</v>
      </c>
      <c r="AF758" s="2285">
        <f t="shared" si="1038"/>
        <v>2020</v>
      </c>
      <c r="BB758" s="3470">
        <v>2016</v>
      </c>
      <c r="BC758" s="736" t="str">
        <f t="shared" si="916"/>
        <v/>
      </c>
    </row>
    <row r="759" spans="1:55" ht="12.75" customHeight="1">
      <c r="A759" s="701"/>
      <c r="B759" s="701"/>
      <c r="C759" s="816" t="s">
        <v>1791</v>
      </c>
      <c r="D759" s="705" t="s">
        <v>666</v>
      </c>
      <c r="E759" s="817" t="str">
        <f t="shared" ref="E759:Y759" si="1039">+E484</f>
        <v>Capital transfers (D.9p)</v>
      </c>
      <c r="F759" s="738" t="str">
        <f t="shared" si="1039"/>
        <v>$ACapT</v>
      </c>
      <c r="G759" s="817">
        <f t="shared" si="1039"/>
        <v>13.041</v>
      </c>
      <c r="H759" s="817">
        <f t="shared" si="1039"/>
        <v>12.414999999999999</v>
      </c>
      <c r="I759" s="817">
        <f t="shared" si="1039"/>
        <v>11.1</v>
      </c>
      <c r="J759" s="817">
        <f t="shared" si="1039"/>
        <v>8.82</v>
      </c>
      <c r="K759" s="817">
        <f t="shared" si="1039"/>
        <v>12.167999999999999</v>
      </c>
      <c r="L759" s="817">
        <f t="shared" si="1039"/>
        <v>8.3190000000000008</v>
      </c>
      <c r="M759" s="817">
        <f t="shared" si="1039"/>
        <v>8.1790000000000003</v>
      </c>
      <c r="N759" s="817">
        <f t="shared" si="1039"/>
        <v>8.5850000000000009</v>
      </c>
      <c r="O759" s="817">
        <f t="shared" si="1039"/>
        <v>9.6069999999999993</v>
      </c>
      <c r="P759" s="817">
        <f t="shared" si="1039"/>
        <v>7.9950000000000001</v>
      </c>
      <c r="Q759" s="817">
        <f t="shared" si="1039"/>
        <v>13.879</v>
      </c>
      <c r="R759" s="817">
        <f t="shared" si="1039"/>
        <v>8.2509999999999994</v>
      </c>
      <c r="S759" s="817">
        <f t="shared" si="1039"/>
        <v>9.282</v>
      </c>
      <c r="T759" s="817">
        <f t="shared" si="1039"/>
        <v>10.691000000000001</v>
      </c>
      <c r="U759" s="817">
        <f t="shared" si="1039"/>
        <v>9.125</v>
      </c>
      <c r="V759" s="817">
        <f t="shared" si="1039"/>
        <v>8.7119999999999997</v>
      </c>
      <c r="W759" s="817">
        <f t="shared" si="1039"/>
        <v>11.388</v>
      </c>
      <c r="X759" s="817">
        <f t="shared" si="1039"/>
        <v>10.596</v>
      </c>
      <c r="Y759" s="817">
        <f t="shared" si="1039"/>
        <v>9.8610000000000007</v>
      </c>
      <c r="Z759" s="817">
        <f t="shared" ref="Z759:AA759" si="1040">+Z484</f>
        <v>10.602</v>
      </c>
      <c r="AA759" s="817">
        <f t="shared" si="1040"/>
        <v>12.733000000000001</v>
      </c>
      <c r="AB759" s="817">
        <f t="shared" ref="AB759:AC759" si="1041">+AB484</f>
        <v>16.074000000000002</v>
      </c>
      <c r="AC759" s="817">
        <f t="shared" si="1041"/>
        <v>10.021000000000001</v>
      </c>
      <c r="AD759" s="883">
        <f>+AD484</f>
        <v>13.701130989099106</v>
      </c>
      <c r="AE759" s="883">
        <f>+AE484</f>
        <v>19.2307550221798</v>
      </c>
      <c r="AF759" s="883">
        <f>+AF484</f>
        <v>19.90383144795609</v>
      </c>
      <c r="BB759" s="3471">
        <v>13.742000000000001</v>
      </c>
      <c r="BC759" s="736">
        <f t="shared" si="916"/>
        <v>2.3320000000000007</v>
      </c>
    </row>
    <row r="760" spans="1:55" ht="12.75" customHeight="1">
      <c r="A760" s="701"/>
      <c r="B760" s="701"/>
      <c r="C760" s="819" t="s">
        <v>1791</v>
      </c>
      <c r="D760" s="711" t="s">
        <v>666</v>
      </c>
      <c r="E760" s="743" t="str">
        <f t="shared" ref="E760:Y760" si="1042">+E541</f>
        <v>Changes in inventories / valuables (P.52 + P.53)</v>
      </c>
      <c r="F760" s="741" t="str">
        <f t="shared" si="1042"/>
        <v>$AIny</v>
      </c>
      <c r="G760" s="743">
        <f t="shared" si="1042"/>
        <v>-1.1830000000000001</v>
      </c>
      <c r="H760" s="743">
        <f t="shared" si="1042"/>
        <v>-1.452</v>
      </c>
      <c r="I760" s="743">
        <f t="shared" si="1042"/>
        <v>-0.60299999999999998</v>
      </c>
      <c r="J760" s="743">
        <f t="shared" si="1042"/>
        <v>-4.2999999999999997E-2</v>
      </c>
      <c r="K760" s="743">
        <f t="shared" si="1042"/>
        <v>-0.79900000000000004</v>
      </c>
      <c r="L760" s="743">
        <f t="shared" si="1042"/>
        <v>-0.114</v>
      </c>
      <c r="M760" s="743">
        <f t="shared" si="1042"/>
        <v>4.5999999999999999E-2</v>
      </c>
      <c r="N760" s="743">
        <f t="shared" si="1042"/>
        <v>-0.112</v>
      </c>
      <c r="O760" s="743">
        <f t="shared" si="1042"/>
        <v>-6.7000000000000004E-2</v>
      </c>
      <c r="P760" s="743">
        <f t="shared" si="1042"/>
        <v>-2.1000000000000001E-2</v>
      </c>
      <c r="Q760" s="743">
        <f t="shared" si="1042"/>
        <v>0.14599999999999999</v>
      </c>
      <c r="R760" s="743">
        <f t="shared" si="1042"/>
        <v>4.5999999999999999E-2</v>
      </c>
      <c r="S760" s="743">
        <f t="shared" si="1042"/>
        <v>0.24299999999999999</v>
      </c>
      <c r="T760" s="743">
        <f t="shared" si="1042"/>
        <v>7.1999999999999995E-2</v>
      </c>
      <c r="U760" s="743">
        <f t="shared" si="1042"/>
        <v>0.17699999999999999</v>
      </c>
      <c r="V760" s="743">
        <f t="shared" si="1042"/>
        <v>0.16</v>
      </c>
      <c r="W760" s="743">
        <f t="shared" si="1042"/>
        <v>-0.155</v>
      </c>
      <c r="X760" s="743">
        <f t="shared" si="1042"/>
        <v>0.35299999999999998</v>
      </c>
      <c r="Y760" s="743">
        <f t="shared" si="1042"/>
        <v>0.183</v>
      </c>
      <c r="Z760" s="743">
        <f t="shared" ref="Z760:AA760" si="1043">+Z541</f>
        <v>1.1180000000000001</v>
      </c>
      <c r="AA760" s="743">
        <f t="shared" si="1043"/>
        <v>3.7770000000000001</v>
      </c>
      <c r="AB760" s="743">
        <f t="shared" ref="AB760:AC760" si="1044">+AB541</f>
        <v>0.81299999999999994</v>
      </c>
      <c r="AC760" s="743">
        <f t="shared" si="1044"/>
        <v>0.66700000000000004</v>
      </c>
      <c r="AD760" s="829">
        <f>+AD541</f>
        <v>0</v>
      </c>
      <c r="AE760" s="829">
        <f>+AE541</f>
        <v>0</v>
      </c>
      <c r="AF760" s="829">
        <f>+AF541</f>
        <v>0</v>
      </c>
      <c r="BB760" s="3472">
        <v>0.68</v>
      </c>
      <c r="BC760" s="736" t="str">
        <f t="shared" si="916"/>
        <v/>
      </c>
    </row>
    <row r="761" spans="1:55" ht="12.75" customHeight="1">
      <c r="A761" s="701"/>
      <c r="B761" s="701"/>
      <c r="C761" s="819" t="s">
        <v>1791</v>
      </c>
      <c r="D761" s="711" t="s">
        <v>666</v>
      </c>
      <c r="E761" s="743" t="str">
        <f t="shared" ref="E761:Y761" si="1045">+E519</f>
        <v>Acq. less disp. of non-fin. non-prod. assets (K.2)</v>
      </c>
      <c r="F761" s="741" t="str">
        <f t="shared" si="1045"/>
        <v>ANonFinN</v>
      </c>
      <c r="G761" s="743">
        <f t="shared" si="1045"/>
        <v>-0.872</v>
      </c>
      <c r="H761" s="743">
        <f t="shared" si="1045"/>
        <v>-9.1419999999999995</v>
      </c>
      <c r="I761" s="743">
        <f t="shared" si="1045"/>
        <v>1.7869999999999999</v>
      </c>
      <c r="J761" s="743">
        <f t="shared" si="1045"/>
        <v>-19.821999999999999</v>
      </c>
      <c r="K761" s="743">
        <f t="shared" si="1045"/>
        <v>-5.2210000000000001</v>
      </c>
      <c r="L761" s="743">
        <f t="shared" si="1045"/>
        <v>-5.976</v>
      </c>
      <c r="M761" s="743">
        <f t="shared" si="1045"/>
        <v>-4.8609999999999998</v>
      </c>
      <c r="N761" s="743">
        <f t="shared" si="1045"/>
        <v>-2.6739999999999999</v>
      </c>
      <c r="O761" s="743">
        <f t="shared" si="1045"/>
        <v>-3.726</v>
      </c>
      <c r="P761" s="743">
        <f t="shared" si="1045"/>
        <v>-5.1680000000000001</v>
      </c>
      <c r="Q761" s="743">
        <f t="shared" si="1045"/>
        <v>-6.7089999999999996</v>
      </c>
      <c r="R761" s="743">
        <f t="shared" si="1045"/>
        <v>-6.19</v>
      </c>
      <c r="S761" s="743">
        <f t="shared" si="1045"/>
        <v>-6.0949999999999998</v>
      </c>
      <c r="T761" s="743">
        <f t="shared" si="1045"/>
        <v>-7.524</v>
      </c>
      <c r="U761" s="743">
        <f t="shared" si="1045"/>
        <v>-6.8650000000000002</v>
      </c>
      <c r="V761" s="743">
        <f t="shared" si="1045"/>
        <v>-6.9390000000000001</v>
      </c>
      <c r="W761" s="743">
        <f t="shared" si="1045"/>
        <v>-1.401</v>
      </c>
      <c r="X761" s="743">
        <f t="shared" si="1045"/>
        <v>-3.012</v>
      </c>
      <c r="Y761" s="743">
        <f t="shared" si="1045"/>
        <v>-2.1629999999999998</v>
      </c>
      <c r="Z761" s="743">
        <f t="shared" ref="Z761:AA761" si="1046">+Z519</f>
        <v>-3.0680000000000001</v>
      </c>
      <c r="AA761" s="743">
        <f t="shared" si="1046"/>
        <v>-1.577</v>
      </c>
      <c r="AB761" s="743">
        <f t="shared" ref="AB761:AC761" si="1047">+AB519</f>
        <v>-7.1840000000000002</v>
      </c>
      <c r="AC761" s="743">
        <f t="shared" si="1047"/>
        <v>-5.8159999999999998</v>
      </c>
      <c r="AD761" s="829">
        <f ca="1">+AD519</f>
        <v>-6.1008698009223714</v>
      </c>
      <c r="AE761" s="829">
        <f ca="1">+AE519</f>
        <v>-6.3315604601136446</v>
      </c>
      <c r="AF761" s="829">
        <f ca="1">+AF519</f>
        <v>-6.5560246724788493</v>
      </c>
      <c r="BB761" s="3472">
        <v>-2.6419999999999999</v>
      </c>
      <c r="BC761" s="736">
        <f t="shared" si="916"/>
        <v>-4.5419999999999998</v>
      </c>
    </row>
    <row r="762" spans="1:55" ht="12.75" customHeight="1">
      <c r="A762" s="701"/>
      <c r="B762" s="701">
        <v>127</v>
      </c>
      <c r="C762" s="819" t="s">
        <v>1793</v>
      </c>
      <c r="D762" s="783" t="s">
        <v>666</v>
      </c>
      <c r="E762" s="836" t="s">
        <v>1439</v>
      </c>
      <c r="F762" s="785"/>
      <c r="G762" s="836">
        <f t="shared" ref="G762:Q762" si="1048">+G759+G760+G761</f>
        <v>10.986000000000001</v>
      </c>
      <c r="H762" s="836">
        <f t="shared" si="1048"/>
        <v>1.8209999999999997</v>
      </c>
      <c r="I762" s="836">
        <f t="shared" si="1048"/>
        <v>12.283999999999999</v>
      </c>
      <c r="J762" s="836">
        <f t="shared" si="1048"/>
        <v>-11.044999999999998</v>
      </c>
      <c r="K762" s="836">
        <f t="shared" si="1048"/>
        <v>6.1479999999999997</v>
      </c>
      <c r="L762" s="836">
        <f t="shared" si="1048"/>
        <v>2.2290000000000001</v>
      </c>
      <c r="M762" s="836">
        <f t="shared" si="1048"/>
        <v>3.3639999999999999</v>
      </c>
      <c r="N762" s="836">
        <f t="shared" si="1048"/>
        <v>5.7990000000000013</v>
      </c>
      <c r="O762" s="836">
        <f t="shared" si="1048"/>
        <v>5.8139999999999992</v>
      </c>
      <c r="P762" s="836">
        <f t="shared" si="1048"/>
        <v>2.806</v>
      </c>
      <c r="Q762" s="836">
        <f t="shared" si="1048"/>
        <v>7.3160000000000007</v>
      </c>
      <c r="R762" s="836">
        <f t="shared" ref="R762:Y762" si="1049">+R759+R760+R761</f>
        <v>2.1069999999999984</v>
      </c>
      <c r="S762" s="836">
        <f t="shared" si="1049"/>
        <v>3.4300000000000006</v>
      </c>
      <c r="T762" s="836">
        <f t="shared" si="1049"/>
        <v>3.2389999999999999</v>
      </c>
      <c r="U762" s="836">
        <f t="shared" si="1049"/>
        <v>2.4369999999999994</v>
      </c>
      <c r="V762" s="836">
        <f t="shared" si="1049"/>
        <v>1.9329999999999998</v>
      </c>
      <c r="W762" s="836">
        <f t="shared" si="1049"/>
        <v>9.8320000000000007</v>
      </c>
      <c r="X762" s="836">
        <f t="shared" si="1049"/>
        <v>7.9369999999999994</v>
      </c>
      <c r="Y762" s="836">
        <f t="shared" si="1049"/>
        <v>7.8810000000000002</v>
      </c>
      <c r="Z762" s="836">
        <f t="shared" ref="Z762:AA762" si="1050">+Z759+Z760+Z761</f>
        <v>8.652000000000001</v>
      </c>
      <c r="AA762" s="836">
        <f t="shared" si="1050"/>
        <v>14.933000000000002</v>
      </c>
      <c r="AB762" s="836">
        <f t="shared" ref="AB762:AC762" si="1051">+AB759+AB760+AB761</f>
        <v>9.7029999999999994</v>
      </c>
      <c r="AC762" s="836">
        <f t="shared" si="1051"/>
        <v>4.8720000000000008</v>
      </c>
      <c r="AD762" s="837">
        <f ca="1">+AD759+AD760+AD761</f>
        <v>7.6002611881767344</v>
      </c>
      <c r="AE762" s="837">
        <f ca="1">+AE759+AE760+AE761</f>
        <v>12.899194562066155</v>
      </c>
      <c r="AF762" s="837">
        <f ca="1">+AF759+AF760+AF761</f>
        <v>13.347806775477242</v>
      </c>
      <c r="BB762" s="3561">
        <v>11.780000000000001</v>
      </c>
      <c r="BC762" s="736">
        <f t="shared" si="916"/>
        <v>-2.0770000000000017</v>
      </c>
    </row>
    <row r="763" spans="1:55" ht="12.75" customHeight="1">
      <c r="A763" s="701"/>
      <c r="B763" s="701"/>
      <c r="C763" s="879"/>
      <c r="D763" s="713" t="s">
        <v>666</v>
      </c>
      <c r="E763" s="1173" t="s">
        <v>1341</v>
      </c>
      <c r="F763" s="1270" t="str">
        <f>+'VVP2'!F229</f>
        <v>$AI</v>
      </c>
      <c r="G763" s="1579">
        <f>+'VVP2'!G229</f>
        <v>96.528000000000006</v>
      </c>
      <c r="H763" s="1579">
        <f>+'VVP2'!H229</f>
        <v>95.433000000000007</v>
      </c>
      <c r="I763" s="1579">
        <f>+'VVP2'!I229</f>
        <v>87.947000000000003</v>
      </c>
      <c r="J763" s="1579">
        <f>+'VVP2'!J229</f>
        <v>92.037000000000006</v>
      </c>
      <c r="K763" s="1579">
        <f>+'VVP2'!K229</f>
        <v>97.268000000000001</v>
      </c>
      <c r="L763" s="1579">
        <f>+'VVP2'!L229</f>
        <v>93.668999999999997</v>
      </c>
      <c r="M763" s="1579">
        <f>+'VVP2'!M229</f>
        <v>102.95699999999999</v>
      </c>
      <c r="N763" s="1579">
        <f>+'VVP2'!N229</f>
        <v>111.72499999999999</v>
      </c>
      <c r="O763" s="1579">
        <f>+'VVP2'!O229</f>
        <v>112.456</v>
      </c>
      <c r="P763" s="1579">
        <f>+'VVP2'!P229</f>
        <v>115.19499999999999</v>
      </c>
      <c r="Q763" s="1579">
        <f>+'VVP2'!Q229</f>
        <v>119.395</v>
      </c>
      <c r="R763" s="1579">
        <f>+'VVP2'!R229</f>
        <v>127.952</v>
      </c>
      <c r="S763" s="1579">
        <f>+'VVP2'!S229</f>
        <v>135.08099999999999</v>
      </c>
      <c r="T763" s="1579">
        <f>+'VVP2'!T229</f>
        <v>144.477</v>
      </c>
      <c r="U763" s="1579">
        <f>+'VVP2'!U229</f>
        <v>147.809</v>
      </c>
      <c r="V763" s="1579">
        <f>+'VVP2'!V229</f>
        <v>158.89099999999999</v>
      </c>
      <c r="W763" s="1579">
        <f>+'VVP2'!W229</f>
        <v>162.20400000000001</v>
      </c>
      <c r="X763" s="1579">
        <f>+'VVP2'!X229</f>
        <v>167.86799999999999</v>
      </c>
      <c r="Y763" s="1579">
        <f>+'VVP2'!Y229</f>
        <v>168.19200000000001</v>
      </c>
      <c r="Z763" s="1579">
        <f>+'VVP2'!Z229</f>
        <v>173.15700000000001</v>
      </c>
      <c r="AA763" s="1579">
        <f>+'VVP2'!AA229</f>
        <v>175.76900000000001</v>
      </c>
      <c r="AB763" s="1579">
        <f>+'VVP2'!AB229</f>
        <v>192.80699999999999</v>
      </c>
      <c r="AC763" s="1579">
        <f>+'VVP2'!AC229</f>
        <v>209.73699999999999</v>
      </c>
      <c r="AD763" s="3109">
        <f ca="1">+'VVP2'!AD229</f>
        <v>225.10463972699998</v>
      </c>
      <c r="AE763" s="3109">
        <f ca="1">+'VVP2'!AE229</f>
        <v>237.1864559504275</v>
      </c>
      <c r="AF763" s="3109">
        <f ca="1">+'VVP2'!AF229</f>
        <v>245.79039464002921</v>
      </c>
      <c r="BB763" s="3595">
        <v>193.09399999999999</v>
      </c>
      <c r="BC763" s="736" t="str">
        <f t="shared" si="916"/>
        <v/>
      </c>
    </row>
    <row r="764" spans="1:55" ht="12.75" customHeight="1">
      <c r="A764" s="701"/>
      <c r="B764" s="701"/>
      <c r="C764" s="821"/>
      <c r="D764" s="789" t="s">
        <v>666</v>
      </c>
      <c r="E764" s="822" t="s">
        <v>533</v>
      </c>
      <c r="F764" s="791"/>
      <c r="G764" s="822">
        <f>+G762+G763</f>
        <v>107.51400000000001</v>
      </c>
      <c r="H764" s="822">
        <f t="shared" ref="H764:Q764" si="1052">+H762+H763</f>
        <v>97.254000000000005</v>
      </c>
      <c r="I764" s="822">
        <f t="shared" si="1052"/>
        <v>100.23099999999999</v>
      </c>
      <c r="J764" s="822">
        <f t="shared" si="1052"/>
        <v>80.992000000000004</v>
      </c>
      <c r="K764" s="822">
        <f t="shared" si="1052"/>
        <v>103.416</v>
      </c>
      <c r="L764" s="822">
        <f t="shared" si="1052"/>
        <v>95.897999999999996</v>
      </c>
      <c r="M764" s="822">
        <f t="shared" si="1052"/>
        <v>106.321</v>
      </c>
      <c r="N764" s="822">
        <f t="shared" si="1052"/>
        <v>117.524</v>
      </c>
      <c r="O764" s="822">
        <f t="shared" si="1052"/>
        <v>118.27</v>
      </c>
      <c r="P764" s="822">
        <f t="shared" si="1052"/>
        <v>118.00099999999999</v>
      </c>
      <c r="Q764" s="822">
        <f t="shared" si="1052"/>
        <v>126.711</v>
      </c>
      <c r="R764" s="822">
        <f t="shared" ref="R764:Y764" si="1053">+R762+R763</f>
        <v>130.059</v>
      </c>
      <c r="S764" s="822">
        <f t="shared" si="1053"/>
        <v>138.511</v>
      </c>
      <c r="T764" s="822">
        <f t="shared" si="1053"/>
        <v>147.71600000000001</v>
      </c>
      <c r="U764" s="822">
        <f t="shared" si="1053"/>
        <v>150.24600000000001</v>
      </c>
      <c r="V764" s="822">
        <f t="shared" si="1053"/>
        <v>160.82399999999998</v>
      </c>
      <c r="W764" s="822">
        <f t="shared" si="1053"/>
        <v>172.036</v>
      </c>
      <c r="X764" s="822">
        <f t="shared" si="1053"/>
        <v>175.80500000000001</v>
      </c>
      <c r="Y764" s="822">
        <f t="shared" si="1053"/>
        <v>176.07300000000001</v>
      </c>
      <c r="Z764" s="822">
        <f t="shared" ref="Z764:AA764" si="1054">+Z762+Z763</f>
        <v>181.80900000000003</v>
      </c>
      <c r="AA764" s="822">
        <f t="shared" si="1054"/>
        <v>190.702</v>
      </c>
      <c r="AB764" s="822">
        <f t="shared" ref="AB764:AC764" si="1055">+AB762+AB763</f>
        <v>202.51</v>
      </c>
      <c r="AC764" s="822">
        <f t="shared" si="1055"/>
        <v>214.60900000000001</v>
      </c>
      <c r="AD764" s="881">
        <f ca="1">+AD762+AD763</f>
        <v>232.70490091517672</v>
      </c>
      <c r="AE764" s="881">
        <f ca="1">+AE762+AE763</f>
        <v>250.08565051249366</v>
      </c>
      <c r="AF764" s="881">
        <f ca="1">+AF762+AF763</f>
        <v>259.13820141550644</v>
      </c>
      <c r="BB764" s="3473">
        <v>204.874</v>
      </c>
      <c r="BC764" s="736">
        <f t="shared" si="916"/>
        <v>-2.3640000000000043</v>
      </c>
    </row>
    <row r="765" spans="1:55" ht="12.75" customHeight="1">
      <c r="A765" s="701"/>
      <c r="B765" s="701"/>
      <c r="C765" s="811"/>
      <c r="D765" s="843"/>
      <c r="E765" s="846" t="s">
        <v>236</v>
      </c>
      <c r="F765" s="845"/>
      <c r="G765" s="878">
        <f>+G764/'VVP2'!G$341</f>
        <v>5.7017004234088238E-2</v>
      </c>
      <c r="H765" s="878">
        <f>+H764/'VVP2'!H$341</f>
        <v>5.0276626388430806E-2</v>
      </c>
      <c r="I765" s="878">
        <f>+I764/'VVP2'!I$341</f>
        <v>4.9570766843160502E-2</v>
      </c>
      <c r="J765" s="878">
        <f>+J764/'VVP2'!J$341</f>
        <v>3.8124539282980749E-2</v>
      </c>
      <c r="K765" s="878">
        <f>+K764/'VVP2'!K$341</f>
        <v>4.615605026035751E-2</v>
      </c>
      <c r="L765" s="878">
        <f>+L764/'VVP2'!L$341</f>
        <v>4.0231982701984283E-2</v>
      </c>
      <c r="M765" s="878">
        <f>+M764/'VVP2'!M$341</f>
        <v>4.2838274945646827E-2</v>
      </c>
      <c r="N765" s="878">
        <f>+N764/'VVP2'!N$341</f>
        <v>4.5658846935790358E-2</v>
      </c>
      <c r="O765" s="878">
        <f>+O764/'VVP2'!O$341</f>
        <v>4.4116390878608865E-2</v>
      </c>
      <c r="P765" s="878">
        <f>+P764/'VVP2'!P$341</f>
        <v>4.2017117913632766E-2</v>
      </c>
      <c r="Q765" s="878">
        <f>+Q764/'VVP2'!Q$341</f>
        <v>4.3533081410789154E-2</v>
      </c>
      <c r="R765" s="878">
        <f>+R764/'VVP2'!R$341</f>
        <v>4.1916196612516173E-2</v>
      </c>
      <c r="S765" s="878">
        <f>+S764/'VVP2'!S$341</f>
        <v>4.1960531150872331E-2</v>
      </c>
      <c r="T765" s="878">
        <f>+T764/'VVP2'!T$341</f>
        <v>4.3552444938070534E-2</v>
      </c>
      <c r="U765" s="878">
        <f>+U764/'VVP2'!U$341</f>
        <v>4.5639607911156989E-2</v>
      </c>
      <c r="V765" s="878">
        <f>+V764/'VVP2'!V$341</f>
        <v>4.5639055753068251E-2</v>
      </c>
      <c r="W765" s="878">
        <f>+W764/'VVP2'!W$341</f>
        <v>4.6990980439180853E-2</v>
      </c>
      <c r="X765" s="878">
        <f>+X764/'VVP2'!X$341</f>
        <v>4.765821304133433E-2</v>
      </c>
      <c r="Y765" s="878">
        <f>+Y764/'VVP2'!Y$341</f>
        <v>4.6654967131159249E-2</v>
      </c>
      <c r="Z765" s="878">
        <f>+Z764/'VVP2'!Z$341</f>
        <v>4.6133585389217004E-2</v>
      </c>
      <c r="AA765" s="878">
        <f>+AA764/'VVP2'!AA$341</f>
        <v>4.5388563201661868E-2</v>
      </c>
      <c r="AB765" s="878">
        <f>+AB764/'VVP2'!AB$341</f>
        <v>4.6177206369084275E-2</v>
      </c>
      <c r="AC765" s="878">
        <f>+AC764/'VVP2'!AC$341</f>
        <v>4.6869127272735213E-2</v>
      </c>
      <c r="AD765" s="3005">
        <f ca="1">+AD764/'VVP2'!AD$341</f>
        <v>4.8448139823424184E-2</v>
      </c>
      <c r="AE765" s="3005">
        <f ca="1">+AE764/'VVP2'!AE$341</f>
        <v>5.0169682063570802E-2</v>
      </c>
      <c r="AF765" s="3005">
        <f ca="1">+AF764/'VVP2'!AF$341</f>
        <v>5.0205835019245408E-2</v>
      </c>
      <c r="BB765" s="3485">
        <v>4.6510075737728883E-2</v>
      </c>
      <c r="BC765" s="736" t="str">
        <f t="shared" si="916"/>
        <v/>
      </c>
    </row>
    <row r="766" spans="1:55">
      <c r="Q766" s="2376"/>
      <c r="R766" s="736"/>
      <c r="S766" s="736"/>
      <c r="T766" s="736"/>
      <c r="U766" s="736"/>
      <c r="V766" s="736"/>
      <c r="W766" s="736"/>
      <c r="X766" s="736"/>
      <c r="Y766" s="736"/>
      <c r="Z766" s="880"/>
      <c r="AA766" s="880"/>
      <c r="AB766" s="880"/>
      <c r="AC766" s="880"/>
      <c r="AD766" s="880"/>
      <c r="AE766" s="880"/>
      <c r="AF766" s="880"/>
      <c r="AN766" s="2947"/>
      <c r="AO766" s="2947"/>
      <c r="AP766" s="2947"/>
      <c r="AQ766" s="2947"/>
      <c r="BB766" s="3467"/>
      <c r="BC766" s="736" t="str">
        <f t="shared" si="916"/>
        <v/>
      </c>
    </row>
    <row r="767" spans="1:55" ht="12.75" customHeight="1">
      <c r="A767" s="701"/>
      <c r="B767" s="701"/>
      <c r="C767" s="811"/>
      <c r="D767" s="812"/>
      <c r="E767" s="813" t="s">
        <v>1882</v>
      </c>
      <c r="F767" s="814"/>
      <c r="G767" s="815">
        <f>+InputY!$G$3</f>
        <v>1995</v>
      </c>
      <c r="H767" s="815">
        <f>+G767+1</f>
        <v>1996</v>
      </c>
      <c r="I767" s="815">
        <f t="shared" ref="I767:O767" si="1056">+H767+1</f>
        <v>1997</v>
      </c>
      <c r="J767" s="815">
        <f t="shared" si="1056"/>
        <v>1998</v>
      </c>
      <c r="K767" s="815">
        <f t="shared" si="1056"/>
        <v>1999</v>
      </c>
      <c r="L767" s="815">
        <f t="shared" si="1056"/>
        <v>2000</v>
      </c>
      <c r="M767" s="815">
        <f t="shared" si="1056"/>
        <v>2001</v>
      </c>
      <c r="N767" s="815">
        <f t="shared" si="1056"/>
        <v>2002</v>
      </c>
      <c r="O767" s="815">
        <f t="shared" si="1056"/>
        <v>2003</v>
      </c>
      <c r="P767" s="815">
        <f t="shared" ref="P767:AF767" si="1057">+O767+1</f>
        <v>2004</v>
      </c>
      <c r="Q767" s="815">
        <f t="shared" si="1057"/>
        <v>2005</v>
      </c>
      <c r="R767" s="815">
        <f t="shared" si="1057"/>
        <v>2006</v>
      </c>
      <c r="S767" s="815">
        <f t="shared" si="1057"/>
        <v>2007</v>
      </c>
      <c r="T767" s="815">
        <f t="shared" si="1057"/>
        <v>2008</v>
      </c>
      <c r="U767" s="815">
        <f t="shared" si="1057"/>
        <v>2009</v>
      </c>
      <c r="V767" s="815">
        <f t="shared" si="1057"/>
        <v>2010</v>
      </c>
      <c r="W767" s="815">
        <f t="shared" si="1057"/>
        <v>2011</v>
      </c>
      <c r="X767" s="815">
        <f t="shared" si="1057"/>
        <v>2012</v>
      </c>
      <c r="Y767" s="815">
        <f t="shared" si="1057"/>
        <v>2013</v>
      </c>
      <c r="Z767" s="815">
        <f t="shared" si="1057"/>
        <v>2014</v>
      </c>
      <c r="AA767" s="815">
        <f t="shared" si="1057"/>
        <v>2015</v>
      </c>
      <c r="AB767" s="815">
        <f t="shared" si="1057"/>
        <v>2016</v>
      </c>
      <c r="AC767" s="815">
        <f t="shared" si="1057"/>
        <v>2017</v>
      </c>
      <c r="AD767" s="815">
        <f t="shared" si="1057"/>
        <v>2018</v>
      </c>
      <c r="AE767" s="815">
        <f t="shared" si="1057"/>
        <v>2019</v>
      </c>
      <c r="AF767" s="815">
        <f t="shared" si="1057"/>
        <v>2020</v>
      </c>
      <c r="AK767" s="2947"/>
      <c r="AL767" s="2947"/>
      <c r="AM767" s="2947"/>
      <c r="AN767" s="2947"/>
      <c r="AO767" s="2947"/>
      <c r="AP767" s="2947"/>
      <c r="AQ767" s="2947"/>
      <c r="BB767" s="3514">
        <v>2016</v>
      </c>
      <c r="BC767" s="736" t="str">
        <f t="shared" si="916"/>
        <v/>
      </c>
    </row>
    <row r="768" spans="1:55" ht="12.75" customHeight="1">
      <c r="A768" s="701"/>
      <c r="B768" s="701"/>
      <c r="C768" s="816" t="s">
        <v>1791</v>
      </c>
      <c r="D768" s="705" t="s">
        <v>667</v>
      </c>
      <c r="E768" s="817" t="str">
        <f>+Labour1!E215</f>
        <v>Compensation of employees (Net) (D.1)</v>
      </c>
      <c r="F768" s="738" t="s">
        <v>1215</v>
      </c>
      <c r="G768" s="817">
        <f>+Labour1!G215</f>
        <v>0.81100000000000005</v>
      </c>
      <c r="H768" s="817">
        <f>+Labour1!H215</f>
        <v>0.50800000000000001</v>
      </c>
      <c r="I768" s="817">
        <f>+Labour1!I215</f>
        <v>1.427</v>
      </c>
      <c r="J768" s="817">
        <f>+Labour1!J215</f>
        <v>1.615</v>
      </c>
      <c r="K768" s="817">
        <f>+Labour1!K215</f>
        <v>2.3660000000000001</v>
      </c>
      <c r="L768" s="817">
        <f>+Labour1!L215</f>
        <v>2.9279999999999999</v>
      </c>
      <c r="M768" s="817">
        <f>+Labour1!M215</f>
        <v>4.3559999999999999</v>
      </c>
      <c r="N768" s="817">
        <f>+Labour1!N215</f>
        <v>5.36</v>
      </c>
      <c r="O768" s="817">
        <f>+Labour1!O215</f>
        <v>4.8440000000000003</v>
      </c>
      <c r="P768" s="817">
        <f>+Labour1!P215</f>
        <v>5.444</v>
      </c>
      <c r="Q768" s="817">
        <f>+Labour1!Q215</f>
        <v>6.782</v>
      </c>
      <c r="R768" s="817">
        <f>+Labour1!R215</f>
        <v>8.484</v>
      </c>
      <c r="S768" s="817">
        <f>+Labour1!S215</f>
        <v>13.335000000000001</v>
      </c>
      <c r="T768" s="817">
        <f>+Labour1!T215</f>
        <v>17.818000000000001</v>
      </c>
      <c r="U768" s="817">
        <f>+Labour1!U215</f>
        <v>21.146999999999998</v>
      </c>
      <c r="V768" s="817">
        <f>+Labour1!V215</f>
        <v>20.047000000000001</v>
      </c>
      <c r="W768" s="817">
        <f>+Labour1!W215</f>
        <v>18.667000000000002</v>
      </c>
      <c r="X768" s="817">
        <f>+Labour1!X215</f>
        <v>19.036999999999999</v>
      </c>
      <c r="Y768" s="817">
        <f>+Labour1!Y215</f>
        <v>18.651</v>
      </c>
      <c r="Z768" s="817">
        <f>+Labour1!Z215</f>
        <v>19.681999999999999</v>
      </c>
      <c r="AA768" s="817">
        <f>+Labour1!AA215</f>
        <v>15.632</v>
      </c>
      <c r="AB768" s="817">
        <f>+Labour1!AB215</f>
        <v>9.49</v>
      </c>
      <c r="AC768" s="817">
        <f>+Labour1!AC215</f>
        <v>7.4569999999999999</v>
      </c>
      <c r="AD768" s="883">
        <f>+Labour1!AD215</f>
        <v>6.9179999999998927</v>
      </c>
      <c r="AE768" s="883">
        <f>+Labour1!AE215</f>
        <v>6.9179999999998927</v>
      </c>
      <c r="AF768" s="883">
        <f>+Labour1!AF215</f>
        <v>6.9179999999998927</v>
      </c>
      <c r="AK768" s="2947"/>
      <c r="AL768" s="2947"/>
      <c r="AM768" s="2947"/>
      <c r="BB768" s="3471">
        <v>13.7</v>
      </c>
      <c r="BC768" s="736">
        <f t="shared" si="916"/>
        <v>-4.2099999999999991</v>
      </c>
    </row>
    <row r="769" spans="1:55" ht="12.75" customHeight="1">
      <c r="A769" s="701"/>
      <c r="B769" s="701"/>
      <c r="C769" s="819" t="s">
        <v>1791</v>
      </c>
      <c r="D769" s="711" t="s">
        <v>667</v>
      </c>
      <c r="E769" s="743" t="s">
        <v>28</v>
      </c>
      <c r="F769" s="741" t="s">
        <v>2043</v>
      </c>
      <c r="G769" s="743">
        <f t="shared" ref="G769:Y769" si="1058">+G49</f>
        <v>0.85199999999999998</v>
      </c>
      <c r="H769" s="743">
        <f t="shared" si="1058"/>
        <v>1.0589999999999999</v>
      </c>
      <c r="I769" s="743">
        <f t="shared" si="1058"/>
        <v>1.3959999999999999</v>
      </c>
      <c r="J769" s="743">
        <f t="shared" si="1058"/>
        <v>1.2170000000000001</v>
      </c>
      <c r="K769" s="743">
        <f t="shared" si="1058"/>
        <v>1.389</v>
      </c>
      <c r="L769" s="743">
        <f t="shared" si="1058"/>
        <v>4.76</v>
      </c>
      <c r="M769" s="743">
        <f t="shared" si="1058"/>
        <v>5.2679999999999998</v>
      </c>
      <c r="N769" s="743">
        <f t="shared" si="1058"/>
        <v>5.3250000000000002</v>
      </c>
      <c r="O769" s="743">
        <f t="shared" si="1058"/>
        <v>11.249000000000002</v>
      </c>
      <c r="P769" s="743">
        <f t="shared" si="1058"/>
        <v>11.008000000000003</v>
      </c>
      <c r="Q769" s="743">
        <f t="shared" si="1058"/>
        <v>12.613999999999997</v>
      </c>
      <c r="R769" s="743">
        <f t="shared" si="1058"/>
        <v>12.619000000000007</v>
      </c>
      <c r="S769" s="743">
        <f t="shared" si="1058"/>
        <v>11.883000000000003</v>
      </c>
      <c r="T769" s="743">
        <f t="shared" si="1058"/>
        <v>11.307000000000002</v>
      </c>
      <c r="U769" s="743">
        <f t="shared" si="1058"/>
        <v>11.439</v>
      </c>
      <c r="V769" s="743">
        <f t="shared" si="1058"/>
        <v>10.863999999999997</v>
      </c>
      <c r="W769" s="743">
        <f t="shared" si="1058"/>
        <v>11.072000000000003</v>
      </c>
      <c r="X769" s="743">
        <f t="shared" si="1058"/>
        <v>10.577999999999996</v>
      </c>
      <c r="Y769" s="743">
        <f t="shared" si="1058"/>
        <v>10.308000000000014</v>
      </c>
      <c r="Z769" s="743">
        <f t="shared" ref="Z769:AA769" si="1059">+Z49</f>
        <v>10.335999999999999</v>
      </c>
      <c r="AA769" s="743">
        <f t="shared" si="1059"/>
        <v>7.8160000000000025</v>
      </c>
      <c r="AB769" s="743">
        <f t="shared" ref="AB769:AC769" si="1060">+AB49</f>
        <v>8.0550000000000068</v>
      </c>
      <c r="AC769" s="743">
        <f t="shared" si="1060"/>
        <v>7.8559999999999945</v>
      </c>
      <c r="AD769" s="829">
        <f>+AD49</f>
        <v>7.8559999999999945</v>
      </c>
      <c r="AE769" s="829">
        <f>+AE49</f>
        <v>7.8559999999999945</v>
      </c>
      <c r="AF769" s="829">
        <f>+AF49</f>
        <v>7.8559999999999945</v>
      </c>
      <c r="BB769" s="3472">
        <v>5.8489999999999895</v>
      </c>
      <c r="BC769" s="736">
        <f t="shared" si="916"/>
        <v>2.2060000000000173</v>
      </c>
    </row>
    <row r="770" spans="1:55" ht="12.75" customHeight="1">
      <c r="A770" s="701"/>
      <c r="B770" s="701"/>
      <c r="C770" s="819" t="s">
        <v>301</v>
      </c>
      <c r="D770" s="711" t="s">
        <v>667</v>
      </c>
      <c r="E770" s="743" t="s">
        <v>29</v>
      </c>
      <c r="F770" s="741" t="s">
        <v>2040</v>
      </c>
      <c r="G770" s="743">
        <f t="shared" ref="G770:Y770" si="1061">+G12</f>
        <v>4.5739999999999998</v>
      </c>
      <c r="H770" s="743">
        <f t="shared" si="1061"/>
        <v>3.3679999999999999</v>
      </c>
      <c r="I770" s="743">
        <f t="shared" si="1061"/>
        <v>3.8380000000000001</v>
      </c>
      <c r="J770" s="743">
        <f t="shared" si="1061"/>
        <v>3.6949999999999998</v>
      </c>
      <c r="K770" s="743">
        <f t="shared" si="1061"/>
        <v>3.5779999999999998</v>
      </c>
      <c r="L770" s="743">
        <f t="shared" si="1061"/>
        <v>3.7959999999999998</v>
      </c>
      <c r="M770" s="743">
        <f t="shared" si="1061"/>
        <v>3.6179999999999999</v>
      </c>
      <c r="N770" s="743">
        <f t="shared" si="1061"/>
        <v>3.3980000000000001</v>
      </c>
      <c r="O770" s="743">
        <f t="shared" si="1061"/>
        <v>3.4790000000000001</v>
      </c>
      <c r="P770" s="743">
        <f t="shared" si="1061"/>
        <v>3.863</v>
      </c>
      <c r="Q770" s="743">
        <f t="shared" si="1061"/>
        <v>4.665</v>
      </c>
      <c r="R770" s="743">
        <f t="shared" si="1061"/>
        <v>5.16</v>
      </c>
      <c r="S770" s="743">
        <f t="shared" si="1061"/>
        <v>5.883</v>
      </c>
      <c r="T770" s="743">
        <f t="shared" si="1061"/>
        <v>5.8739999999999997</v>
      </c>
      <c r="U770" s="743">
        <f t="shared" si="1061"/>
        <v>5.1509999999999998</v>
      </c>
      <c r="V770" s="743">
        <f t="shared" si="1061"/>
        <v>5.6740000000000004</v>
      </c>
      <c r="W770" s="743">
        <f t="shared" si="1061"/>
        <v>5.66</v>
      </c>
      <c r="X770" s="743">
        <f t="shared" si="1061"/>
        <v>5.2549999999999999</v>
      </c>
      <c r="Y770" s="743">
        <f t="shared" si="1061"/>
        <v>5.2220000000000004</v>
      </c>
      <c r="Z770" s="743">
        <f t="shared" ref="Z770:AA770" si="1062">+Z12</f>
        <v>5.806</v>
      </c>
      <c r="AA770" s="743">
        <f t="shared" si="1062"/>
        <v>6.2750000000000004</v>
      </c>
      <c r="AB770" s="743">
        <f t="shared" ref="AB770:AC770" si="1063">+AB12</f>
        <v>6.0759999999999996</v>
      </c>
      <c r="AC770" s="743">
        <f t="shared" si="1063"/>
        <v>6.258</v>
      </c>
      <c r="AD770" s="829">
        <f ca="1">+AD12</f>
        <v>6.5185621047026192</v>
      </c>
      <c r="AE770" s="829">
        <f ca="1">+AE12</f>
        <v>6.5476973625771908</v>
      </c>
      <c r="AF770" s="829">
        <f ca="1">+AF12</f>
        <v>6.4818148674120462</v>
      </c>
      <c r="BB770" s="3472">
        <v>6.0759999999999996</v>
      </c>
      <c r="BC770" s="736" t="str">
        <f t="shared" ref="BC770:BC807" si="1064">IF(ABS(BB770-AB770)&gt;0.99,AB770-BB770,"")</f>
        <v/>
      </c>
    </row>
    <row r="771" spans="1:55" ht="12.75" customHeight="1">
      <c r="A771" s="701"/>
      <c r="B771" s="701"/>
      <c r="C771" s="819" t="s">
        <v>301</v>
      </c>
      <c r="D771" s="711" t="s">
        <v>667</v>
      </c>
      <c r="E771" s="743" t="str">
        <f>+E140</f>
        <v>Property income (net - negative means paid) (D.4)</v>
      </c>
      <c r="F771" s="741" t="s">
        <v>1722</v>
      </c>
      <c r="G771" s="743">
        <f t="shared" ref="G771:AC771" si="1065">+G140</f>
        <v>-31.204000000000001</v>
      </c>
      <c r="H771" s="743">
        <f t="shared" si="1065"/>
        <v>-30.875</v>
      </c>
      <c r="I771" s="743">
        <f t="shared" si="1065"/>
        <v>-30.646999999999998</v>
      </c>
      <c r="J771" s="743">
        <f t="shared" si="1065"/>
        <v>-20.84</v>
      </c>
      <c r="K771" s="743">
        <f t="shared" si="1065"/>
        <v>-10.831</v>
      </c>
      <c r="L771" s="743">
        <f t="shared" si="1065"/>
        <v>-7.3819999999999997</v>
      </c>
      <c r="M771" s="743">
        <f t="shared" si="1065"/>
        <v>-9.2569999999999997</v>
      </c>
      <c r="N771" s="743">
        <f t="shared" si="1065"/>
        <v>-6.1369999999999996</v>
      </c>
      <c r="O771" s="743">
        <f t="shared" si="1065"/>
        <v>32.856000000000002</v>
      </c>
      <c r="P771" s="743">
        <f t="shared" si="1065"/>
        <v>3.29</v>
      </c>
      <c r="Q771" s="743">
        <f t="shared" si="1065"/>
        <v>25.07</v>
      </c>
      <c r="R771" s="743">
        <f t="shared" si="1065"/>
        <v>64.935000000000002</v>
      </c>
      <c r="S771" s="743">
        <f t="shared" si="1065"/>
        <v>80.043000000000006</v>
      </c>
      <c r="T771" s="743">
        <f t="shared" si="1065"/>
        <v>94.287999999999997</v>
      </c>
      <c r="U771" s="743">
        <f t="shared" si="1065"/>
        <v>50.790999999999997</v>
      </c>
      <c r="V771" s="743">
        <f t="shared" si="1065"/>
        <v>71.683999999999997</v>
      </c>
      <c r="W771" s="743">
        <f t="shared" si="1065"/>
        <v>51.843000000000004</v>
      </c>
      <c r="X771" s="743">
        <f t="shared" si="1065"/>
        <v>61.171999999999997</v>
      </c>
      <c r="Y771" s="743">
        <f t="shared" si="1065"/>
        <v>62.369</v>
      </c>
      <c r="Z771" s="743">
        <f t="shared" ref="Z771:AA771" si="1066">+Z140</f>
        <v>59.902999999999999</v>
      </c>
      <c r="AA771" s="743">
        <f t="shared" si="1066"/>
        <v>36.912999999999997</v>
      </c>
      <c r="AB771" s="743">
        <f t="shared" ref="AB771" si="1067">+AB140</f>
        <v>36.396000000000001</v>
      </c>
      <c r="AC771" s="743">
        <f t="shared" si="1065"/>
        <v>55.795000000000002</v>
      </c>
      <c r="AD771" s="743">
        <f t="shared" ref="AD771:AE771" si="1068">+AD140</f>
        <v>56.35295</v>
      </c>
      <c r="AE771" s="743">
        <f t="shared" si="1068"/>
        <v>56.916479500000001</v>
      </c>
      <c r="AF771" s="743">
        <f t="shared" ref="AF771" si="1069">+AF140</f>
        <v>57.485644295</v>
      </c>
      <c r="BB771" s="3472">
        <v>55.078000000000003</v>
      </c>
      <c r="BC771" s="736">
        <f t="shared" si="1064"/>
        <v>-18.682000000000002</v>
      </c>
    </row>
    <row r="772" spans="1:55" ht="12.75" customHeight="1">
      <c r="A772" s="701"/>
      <c r="B772" s="701">
        <v>140</v>
      </c>
      <c r="C772" s="821" t="s">
        <v>1793</v>
      </c>
      <c r="D772" s="789" t="s">
        <v>667</v>
      </c>
      <c r="E772" s="822" t="s">
        <v>31</v>
      </c>
      <c r="F772" s="791" t="s">
        <v>30</v>
      </c>
      <c r="G772" s="881">
        <f t="shared" ref="G772" si="1070">+G768+G769-G770+G771</f>
        <v>-34.115000000000002</v>
      </c>
      <c r="H772" s="881">
        <f t="shared" ref="H772" si="1071">+H768+H769-H770+H771</f>
        <v>-32.676000000000002</v>
      </c>
      <c r="I772" s="881">
        <f t="shared" ref="I772:J772" si="1072">+I768+I769-I770+I771</f>
        <v>-31.661999999999999</v>
      </c>
      <c r="J772" s="881">
        <f t="shared" si="1072"/>
        <v>-21.702999999999999</v>
      </c>
      <c r="K772" s="881">
        <f t="shared" ref="K772" si="1073">+K768+K769-K770+K771</f>
        <v>-10.654</v>
      </c>
      <c r="L772" s="881">
        <f t="shared" ref="L772" si="1074">+L768+L769-L770+L771</f>
        <v>-3.4899999999999998</v>
      </c>
      <c r="M772" s="881">
        <f t="shared" ref="M772:N772" si="1075">+M768+M769-M770+M771</f>
        <v>-3.2510000000000012</v>
      </c>
      <c r="N772" s="881">
        <f t="shared" si="1075"/>
        <v>1.1500000000000012</v>
      </c>
      <c r="O772" s="881">
        <f t="shared" ref="O772" si="1076">+O768+O769-O770+O771</f>
        <v>45.470000000000006</v>
      </c>
      <c r="P772" s="881">
        <f t="shared" ref="P772" si="1077">+P768+P769-P770+P771</f>
        <v>15.879000000000001</v>
      </c>
      <c r="Q772" s="881">
        <f t="shared" ref="Q772:R772" si="1078">+Q768+Q769-Q770+Q771</f>
        <v>39.801000000000002</v>
      </c>
      <c r="R772" s="881">
        <f t="shared" si="1078"/>
        <v>80.878000000000014</v>
      </c>
      <c r="S772" s="881">
        <f t="shared" ref="S772" si="1079">+S768+S769-S770+S771</f>
        <v>99.378000000000014</v>
      </c>
      <c r="T772" s="881">
        <f t="shared" ref="T772" si="1080">+T768+T769-T770+T771</f>
        <v>117.539</v>
      </c>
      <c r="U772" s="881">
        <f t="shared" ref="U772:V772" si="1081">+U768+U769-U770+U771</f>
        <v>78.225999999999999</v>
      </c>
      <c r="V772" s="881">
        <f t="shared" si="1081"/>
        <v>96.920999999999992</v>
      </c>
      <c r="W772" s="881">
        <f t="shared" ref="W772" si="1082">+W768+W769-W770+W771</f>
        <v>75.922000000000011</v>
      </c>
      <c r="X772" s="881">
        <f t="shared" ref="X772" si="1083">+X768+X769-X770+X771</f>
        <v>85.531999999999996</v>
      </c>
      <c r="Y772" s="881">
        <f t="shared" ref="Y772:AA772" si="1084">+Y768+Y769-Y770+Y771</f>
        <v>86.106000000000009</v>
      </c>
      <c r="Z772" s="881">
        <f t="shared" si="1084"/>
        <v>84.114999999999995</v>
      </c>
      <c r="AA772" s="881">
        <f t="shared" si="1084"/>
        <v>54.085999999999999</v>
      </c>
      <c r="AB772" s="881">
        <f t="shared" ref="AB772:AC772" si="1085">+AB768+AB769-AB770+AB771</f>
        <v>47.865000000000009</v>
      </c>
      <c r="AC772" s="881">
        <f t="shared" si="1085"/>
        <v>64.849999999999994</v>
      </c>
      <c r="AD772" s="3405">
        <f t="shared" ref="AD772:AE772" ca="1" si="1086">+AD768+AD769-AD770+AD771</f>
        <v>64.60838789529727</v>
      </c>
      <c r="AE772" s="3405">
        <f t="shared" ca="1" si="1086"/>
        <v>65.142782137422699</v>
      </c>
      <c r="AF772" s="3405">
        <f t="shared" ref="AF772" ca="1" si="1087">+AF768+AF769-AF770+AF771</f>
        <v>65.777829427587847</v>
      </c>
      <c r="BB772" s="3549">
        <v>68.550999999999988</v>
      </c>
      <c r="BC772" s="736">
        <f t="shared" si="1064"/>
        <v>-20.685999999999979</v>
      </c>
    </row>
    <row r="773" spans="1:55" s="2036" customFormat="1" ht="12.75" customHeight="1">
      <c r="A773" s="701">
        <f>+ROW(InputY!A93)</f>
        <v>93</v>
      </c>
      <c r="B773" s="1036"/>
      <c r="C773" s="1647"/>
      <c r="D773" s="2035" t="s">
        <v>667</v>
      </c>
      <c r="E773" s="2033" t="s">
        <v>31</v>
      </c>
      <c r="F773" s="2034" t="s">
        <v>30</v>
      </c>
      <c r="G773" s="1040">
        <f>IF(+InputY!G93=":",G772,+InputY!G93/1000)</f>
        <v>-30.108000000000001</v>
      </c>
      <c r="H773" s="1040">
        <f>IF(+InputY!H93=":",H772,+InputY!H93/1000)</f>
        <v>-27.571000000000002</v>
      </c>
      <c r="I773" s="1040">
        <f>IF(+InputY!I93=":",I772,+InputY!I93/1000)</f>
        <v>-25.353999999999999</v>
      </c>
      <c r="J773" s="1040">
        <f>IF(+InputY!J93=":",J772,+InputY!J93/1000)</f>
        <v>-14.137</v>
      </c>
      <c r="K773" s="1040">
        <f>IF(+InputY!K93=":",K772,+InputY!K93/1000)</f>
        <v>-3.63</v>
      </c>
      <c r="L773" s="1040">
        <f>IF(+InputY!L93=":",L772,+InputY!L93/1000)</f>
        <v>1.4330000000000001</v>
      </c>
      <c r="M773" s="1040">
        <f>IF(+InputY!M93=":",M772,+InputY!M93/1000)</f>
        <v>1.88</v>
      </c>
      <c r="N773" s="1040">
        <f>IF(+InputY!N93=":",N772,+InputY!N93/1000)</f>
        <v>7.3920000000000003</v>
      </c>
      <c r="O773" s="1040">
        <f>IF(+InputY!O93=":",O772,+InputY!O93/1000)</f>
        <v>45.47</v>
      </c>
      <c r="P773" s="1040">
        <f>IF(+InputY!P93=":",P772,+InputY!P93/1000)</f>
        <v>15.879</v>
      </c>
      <c r="Q773" s="1040">
        <f>IF(+InputY!Q93=":",Q772,+InputY!Q93/1000)</f>
        <v>39.801000000000002</v>
      </c>
      <c r="R773" s="1040">
        <f>IF(+InputY!R93=":",R772,+InputY!R93/1000)</f>
        <v>80.878</v>
      </c>
      <c r="S773" s="1040">
        <f>IF(+InputY!S93=":",S772,+InputY!S93/1000)</f>
        <v>99.378</v>
      </c>
      <c r="T773" s="1040">
        <f>IF(+InputY!T93=":",T772,+InputY!T93/1000)</f>
        <v>117.539</v>
      </c>
      <c r="U773" s="1040">
        <f>IF(+InputY!U93=":",U772,+InputY!U93/1000)</f>
        <v>78.225999999999999</v>
      </c>
      <c r="V773" s="1040">
        <f>IF(+InputY!V93=":",V772,+InputY!V93/1000)</f>
        <v>96.921000000000006</v>
      </c>
      <c r="W773" s="1040">
        <f>IF(+InputY!W93=":",W772,+InputY!W93/1000)</f>
        <v>75.921999999999997</v>
      </c>
      <c r="X773" s="1040">
        <f>IF(+InputY!X93=":",X772,+InputY!X93/1000)</f>
        <v>85.531999999999996</v>
      </c>
      <c r="Y773" s="1040">
        <f>IF(+InputY!Y93=":",Y772,+InputY!Y93/1000)</f>
        <v>86.105999999999995</v>
      </c>
      <c r="Z773" s="1040">
        <f>IF(+InputY!Z93=":",Z772,+InputY!Z93/1000)</f>
        <v>84.114999999999995</v>
      </c>
      <c r="AA773" s="1040">
        <f>IF(+InputY!AA93=":",AA772,+InputY!AA93/1000)</f>
        <v>54.085999999999999</v>
      </c>
      <c r="AB773" s="1040">
        <f>IF(+InputY!AB93=":",AB772,+InputY!AB93/1000)</f>
        <v>47.865000000000002</v>
      </c>
      <c r="AC773" s="2997">
        <f>IF(+InputY!AC93=":",AC772,+InputY!AC93/1000)</f>
        <v>64.849999999999994</v>
      </c>
      <c r="AD773" s="2997">
        <f ca="1">IF(+InputY!AD93=":",AD772,+InputY!AD93/1000)</f>
        <v>64.60838789529727</v>
      </c>
      <c r="AE773" s="2997">
        <f ca="1">IF(+InputY!AE93=":",AE772,+InputY!AE93/1000)</f>
        <v>65.142782137422699</v>
      </c>
      <c r="AF773" s="2997">
        <f ca="1">IF(+InputY!AF93=":",AF772,+InputY!AF93/1000)</f>
        <v>65.777829427587847</v>
      </c>
      <c r="AG773" s="2939"/>
      <c r="AH773" s="2939"/>
      <c r="AI773" s="2939"/>
      <c r="AJ773" s="2939"/>
      <c r="AK773" s="2939"/>
      <c r="AL773" s="2939"/>
      <c r="AM773" s="2939"/>
      <c r="AN773" s="2939"/>
      <c r="AO773" s="2939"/>
      <c r="AP773" s="2939"/>
      <c r="AQ773" s="2939"/>
      <c r="AR773" s="2947"/>
      <c r="AS773" s="2947"/>
      <c r="AT773" s="2947"/>
      <c r="BB773" s="3596">
        <v>69.150999999999996</v>
      </c>
      <c r="BC773" s="736">
        <f t="shared" si="1064"/>
        <v>-21.285999999999994</v>
      </c>
    </row>
    <row r="774" spans="1:55" s="2036" customFormat="1" ht="12.75" customHeight="1">
      <c r="A774" s="1036"/>
      <c r="B774" s="1036"/>
      <c r="C774" s="1647"/>
      <c r="D774" s="2035"/>
      <c r="E774" s="2033" t="s">
        <v>90</v>
      </c>
      <c r="F774" s="2034"/>
      <c r="G774" s="1040">
        <f>ABS(G772-G773)</f>
        <v>4.0070000000000014</v>
      </c>
      <c r="H774" s="1040">
        <f t="shared" ref="H774:Q774" si="1088">ABS(H772-H773)</f>
        <v>5.1050000000000004</v>
      </c>
      <c r="I774" s="1040">
        <f t="shared" si="1088"/>
        <v>6.3079999999999998</v>
      </c>
      <c r="J774" s="1040">
        <f t="shared" si="1088"/>
        <v>7.5659999999999989</v>
      </c>
      <c r="K774" s="1040">
        <f t="shared" si="1088"/>
        <v>7.024</v>
      </c>
      <c r="L774" s="1040">
        <f t="shared" si="1088"/>
        <v>4.923</v>
      </c>
      <c r="M774" s="1040">
        <f t="shared" si="1088"/>
        <v>5.1310000000000011</v>
      </c>
      <c r="N774" s="1040">
        <f t="shared" si="1088"/>
        <v>6.2419999999999991</v>
      </c>
      <c r="O774" s="1040">
        <f t="shared" si="1088"/>
        <v>7.1054273576010019E-15</v>
      </c>
      <c r="P774" s="1040">
        <f t="shared" si="1088"/>
        <v>1.7763568394002505E-15</v>
      </c>
      <c r="Q774" s="1040">
        <f t="shared" si="1088"/>
        <v>0</v>
      </c>
      <c r="R774" s="1040">
        <f t="shared" ref="R774:Y774" si="1089">ABS(R772-R773)</f>
        <v>1.4210854715202004E-14</v>
      </c>
      <c r="S774" s="1040">
        <f t="shared" si="1089"/>
        <v>1.4210854715202004E-14</v>
      </c>
      <c r="T774" s="1040">
        <f t="shared" si="1089"/>
        <v>0</v>
      </c>
      <c r="U774" s="1040">
        <f t="shared" si="1089"/>
        <v>0</v>
      </c>
      <c r="V774" s="1040">
        <f t="shared" si="1089"/>
        <v>1.4210854715202004E-14</v>
      </c>
      <c r="W774" s="1040">
        <f t="shared" si="1089"/>
        <v>1.4210854715202004E-14</v>
      </c>
      <c r="X774" s="1040">
        <f t="shared" si="1089"/>
        <v>0</v>
      </c>
      <c r="Y774" s="1040">
        <f t="shared" si="1089"/>
        <v>1.4210854715202004E-14</v>
      </c>
      <c r="Z774" s="1040">
        <f t="shared" ref="Z774:AA774" si="1090">ABS(Z772-Z773)</f>
        <v>0</v>
      </c>
      <c r="AA774" s="1040">
        <f t="shared" si="1090"/>
        <v>0</v>
      </c>
      <c r="AB774" s="1040">
        <f t="shared" ref="AB774" si="1091">ABS(AB772-AB773)</f>
        <v>7.1054273576010019E-15</v>
      </c>
      <c r="AC774" s="2997">
        <f>ABS(AC772-AC773)</f>
        <v>0</v>
      </c>
      <c r="AD774" s="2997">
        <f ca="1">ABS(AD772-AD773)</f>
        <v>0</v>
      </c>
      <c r="AE774" s="2997">
        <f ca="1">ABS(AE772-AE773)</f>
        <v>0</v>
      </c>
      <c r="AF774" s="2997">
        <f ca="1">ABS(AF772-AF773)</f>
        <v>0</v>
      </c>
      <c r="AG774" s="2939"/>
      <c r="AH774" s="2939"/>
      <c r="AI774" s="2939"/>
      <c r="AJ774" s="2939"/>
      <c r="AK774" s="2939"/>
      <c r="AL774" s="2939"/>
      <c r="AM774" s="2939"/>
      <c r="AN774" s="2939"/>
      <c r="AO774" s="2939"/>
      <c r="AP774" s="2939"/>
      <c r="AQ774" s="2939"/>
      <c r="AR774" s="2947"/>
      <c r="AS774" s="2947"/>
      <c r="AT774" s="2947"/>
      <c r="BB774" s="3596">
        <v>0.60000000000000853</v>
      </c>
      <c r="BC774" s="736" t="str">
        <f t="shared" si="1064"/>
        <v/>
      </c>
    </row>
    <row r="775" spans="1:55" ht="12.75" customHeight="1">
      <c r="A775" s="701"/>
      <c r="B775" s="701"/>
      <c r="C775" s="811"/>
      <c r="D775" s="843"/>
      <c r="E775" s="846" t="s">
        <v>236</v>
      </c>
      <c r="F775" s="845"/>
      <c r="G775" s="3005">
        <f>+G772/'VVP2'!G$341</f>
        <v>-1.8091923837322769E-2</v>
      </c>
      <c r="H775" s="3005">
        <f>+H772/'VVP2'!H$341</f>
        <v>-1.6892251669528915E-2</v>
      </c>
      <c r="I775" s="3005">
        <f>+I772/'VVP2'!I$341</f>
        <v>-1.5658924083249173E-2</v>
      </c>
      <c r="J775" s="3005">
        <f>+J772/'VVP2'!J$341</f>
        <v>-1.0216032152046266E-2</v>
      </c>
      <c r="K775" s="3005">
        <f>+K772/'VVP2'!K$341</f>
        <v>-4.7550336454112406E-3</v>
      </c>
      <c r="L775" s="3005">
        <f>+L772/'VVP2'!L$341</f>
        <v>-1.4641558700903578E-3</v>
      </c>
      <c r="M775" s="3005">
        <f>+M772/'VVP2'!M$341</f>
        <v>-1.3098751126146095E-3</v>
      </c>
      <c r="N775" s="3005">
        <f>+N772/'VVP2'!N$341</f>
        <v>4.4678256335862435E-4</v>
      </c>
      <c r="O775" s="3005">
        <f>+O772/'VVP2'!O$341</f>
        <v>1.6960956229393299E-2</v>
      </c>
      <c r="P775" s="3005">
        <f>+P772/'VVP2'!P$341</f>
        <v>5.6541030614196052E-3</v>
      </c>
      <c r="Q775" s="3005">
        <f>+Q772/'VVP2'!Q$341</f>
        <v>1.3674110165895771E-2</v>
      </c>
      <c r="R775" s="3005">
        <f>+R772/'VVP2'!R$341</f>
        <v>2.6065848189107125E-2</v>
      </c>
      <c r="S775" s="3005">
        <f>+S772/'VVP2'!S$341</f>
        <v>3.0105577641569195E-2</v>
      </c>
      <c r="T775" s="3005">
        <f>+T772/'VVP2'!T$341</f>
        <v>3.4655086961303261E-2</v>
      </c>
      <c r="U775" s="3005">
        <f>+U772/'VVP2'!U$341</f>
        <v>2.3762389470988687E-2</v>
      </c>
      <c r="V775" s="3005">
        <f>+V772/'VVP2'!V$341</f>
        <v>2.7504495116668706E-2</v>
      </c>
      <c r="W775" s="3005">
        <f>+W772/'VVP2'!W$341</f>
        <v>2.0737806138851692E-2</v>
      </c>
      <c r="X775" s="3005">
        <f>+X772/'VVP2'!X$341</f>
        <v>2.3186497982716121E-2</v>
      </c>
      <c r="Y775" s="3005">
        <f>+Y772/'VVP2'!Y$341</f>
        <v>2.281594906541945E-2</v>
      </c>
      <c r="Z775" s="3005">
        <f>+Z772/'VVP2'!Z$341</f>
        <v>2.1343973813254501E-2</v>
      </c>
      <c r="AA775" s="3005">
        <f>+AA772/'VVP2'!AA$341</f>
        <v>1.2872889793106962E-2</v>
      </c>
      <c r="AB775" s="3005">
        <f>+AB772/'VVP2'!AB$341</f>
        <v>1.0914384390184283E-2</v>
      </c>
      <c r="AC775" s="3005">
        <f>+AC772/'VVP2'!AC$341</f>
        <v>1.4162793282839387E-2</v>
      </c>
      <c r="AD775" s="3005">
        <f ca="1">+AD772/'VVP2'!AD$341</f>
        <v>1.3451183014226082E-2</v>
      </c>
      <c r="AE775" s="3005">
        <f ca="1">+AE772/'VVP2'!AE$341</f>
        <v>1.3068293450158129E-2</v>
      </c>
      <c r="AF775" s="3005">
        <f ca="1">+AF772/'VVP2'!AF$341</f>
        <v>1.274389817528435E-2</v>
      </c>
      <c r="AN775" s="2949"/>
      <c r="AO775" s="2949"/>
      <c r="AP775" s="2949"/>
      <c r="AQ775" s="2949"/>
      <c r="BB775" s="3507">
        <v>1.5562307573909097E-2</v>
      </c>
      <c r="BC775" s="736" t="str">
        <f t="shared" si="1064"/>
        <v/>
      </c>
    </row>
    <row r="776" spans="1:55">
      <c r="Q776" s="736"/>
      <c r="AH776" s="2949"/>
      <c r="AI776" s="2949"/>
      <c r="AJ776" s="2949"/>
      <c r="AK776" s="2949"/>
      <c r="AL776" s="2949"/>
      <c r="AM776" s="2949"/>
      <c r="BC776" s="736" t="str">
        <f t="shared" si="1064"/>
        <v/>
      </c>
    </row>
    <row r="777" spans="1:55" ht="12.75" customHeight="1">
      <c r="A777" s="701"/>
      <c r="B777" s="701"/>
      <c r="C777" s="811"/>
      <c r="D777" s="812"/>
      <c r="E777" s="813" t="s">
        <v>1882</v>
      </c>
      <c r="F777" s="814"/>
      <c r="G777" s="815">
        <f>+InputY!$G$3</f>
        <v>1995</v>
      </c>
      <c r="H777" s="815">
        <f>+G777+1</f>
        <v>1996</v>
      </c>
      <c r="I777" s="815">
        <f t="shared" ref="I777:R777" si="1092">+H777+1</f>
        <v>1997</v>
      </c>
      <c r="J777" s="815">
        <f t="shared" si="1092"/>
        <v>1998</v>
      </c>
      <c r="K777" s="815">
        <f t="shared" si="1092"/>
        <v>1999</v>
      </c>
      <c r="L777" s="815">
        <f t="shared" si="1092"/>
        <v>2000</v>
      </c>
      <c r="M777" s="815">
        <f t="shared" si="1092"/>
        <v>2001</v>
      </c>
      <c r="N777" s="815">
        <f t="shared" si="1092"/>
        <v>2002</v>
      </c>
      <c r="O777" s="815">
        <f t="shared" si="1092"/>
        <v>2003</v>
      </c>
      <c r="P777" s="815">
        <f>+O777+1</f>
        <v>2004</v>
      </c>
      <c r="Q777" s="815">
        <f>+P777+1</f>
        <v>2005</v>
      </c>
      <c r="R777" s="2285">
        <f t="shared" si="1092"/>
        <v>2006</v>
      </c>
      <c r="S777" s="2285">
        <f t="shared" ref="S777:AF777" si="1093">+R777+1</f>
        <v>2007</v>
      </c>
      <c r="T777" s="2285">
        <f t="shared" si="1093"/>
        <v>2008</v>
      </c>
      <c r="U777" s="2285">
        <f t="shared" si="1093"/>
        <v>2009</v>
      </c>
      <c r="V777" s="2285">
        <f t="shared" si="1093"/>
        <v>2010</v>
      </c>
      <c r="W777" s="2285">
        <f t="shared" si="1093"/>
        <v>2011</v>
      </c>
      <c r="X777" s="2285">
        <f t="shared" si="1093"/>
        <v>2012</v>
      </c>
      <c r="Y777" s="2285">
        <f t="shared" si="1093"/>
        <v>2013</v>
      </c>
      <c r="Z777" s="2285">
        <f t="shared" si="1093"/>
        <v>2014</v>
      </c>
      <c r="AA777" s="2285">
        <f t="shared" si="1093"/>
        <v>2015</v>
      </c>
      <c r="AB777" s="2285">
        <f t="shared" si="1093"/>
        <v>2016</v>
      </c>
      <c r="AC777" s="2285">
        <f t="shared" si="1093"/>
        <v>2017</v>
      </c>
      <c r="AD777" s="2285">
        <f t="shared" si="1093"/>
        <v>2018</v>
      </c>
      <c r="AE777" s="2285">
        <f t="shared" si="1093"/>
        <v>2019</v>
      </c>
      <c r="AF777" s="2285">
        <f t="shared" si="1093"/>
        <v>2020</v>
      </c>
      <c r="AN777" s="2947"/>
      <c r="AO777" s="2947"/>
      <c r="AP777" s="2947"/>
      <c r="AQ777" s="2947"/>
      <c r="BB777" s="3470">
        <v>2016</v>
      </c>
      <c r="BC777" s="736" t="str">
        <f t="shared" si="1064"/>
        <v/>
      </c>
    </row>
    <row r="778" spans="1:55" ht="12.75" customHeight="1">
      <c r="A778" s="701"/>
      <c r="B778" s="701"/>
      <c r="C778" s="816" t="s">
        <v>1791</v>
      </c>
      <c r="D778" s="705" t="s">
        <v>667</v>
      </c>
      <c r="E778" s="817" t="s">
        <v>106</v>
      </c>
      <c r="F778" s="738" t="s">
        <v>107</v>
      </c>
      <c r="G778" s="817">
        <f t="shared" ref="G778:Y778" si="1094">+G202</f>
        <v>0.13200000000000001</v>
      </c>
      <c r="H778" s="817">
        <f t="shared" si="1094"/>
        <v>0.82299999999999995</v>
      </c>
      <c r="I778" s="817">
        <f t="shared" si="1094"/>
        <v>0.57499999999999996</v>
      </c>
      <c r="J778" s="817">
        <f t="shared" si="1094"/>
        <v>2.5590000000000002</v>
      </c>
      <c r="K778" s="817">
        <f t="shared" si="1094"/>
        <v>1.925</v>
      </c>
      <c r="L778" s="817">
        <f t="shared" si="1094"/>
        <v>1.8049999999999999</v>
      </c>
      <c r="M778" s="817">
        <f t="shared" si="1094"/>
        <v>1.4350000000000001</v>
      </c>
      <c r="N778" s="817">
        <f t="shared" si="1094"/>
        <v>1.2470000000000001</v>
      </c>
      <c r="O778" s="817">
        <f t="shared" si="1094"/>
        <v>-0.67200000000000004</v>
      </c>
      <c r="P778" s="817">
        <f t="shared" si="1094"/>
        <v>-2.0619999999999998</v>
      </c>
      <c r="Q778" s="817">
        <f t="shared" si="1094"/>
        <v>-1.82</v>
      </c>
      <c r="R778" s="817">
        <f t="shared" si="1094"/>
        <v>-3.2309999999999999</v>
      </c>
      <c r="S778" s="817">
        <f t="shared" si="1094"/>
        <v>-2.14</v>
      </c>
      <c r="T778" s="817">
        <f t="shared" si="1094"/>
        <v>-4.2889999999999997</v>
      </c>
      <c r="U778" s="817">
        <f t="shared" si="1094"/>
        <v>-7.2670000000000003</v>
      </c>
      <c r="V778" s="817">
        <f t="shared" si="1094"/>
        <v>-7.0010000000000003</v>
      </c>
      <c r="W778" s="817">
        <f t="shared" si="1094"/>
        <v>-3.8220000000000001</v>
      </c>
      <c r="X778" s="817">
        <f t="shared" si="1094"/>
        <v>-5.7560000000000002</v>
      </c>
      <c r="Y778" s="817">
        <f t="shared" si="1094"/>
        <v>-2.93</v>
      </c>
      <c r="Z778" s="817">
        <f t="shared" ref="Z778:AA778" si="1095">+Z202</f>
        <v>-2.883</v>
      </c>
      <c r="AA778" s="817">
        <f t="shared" si="1095"/>
        <v>-1.44</v>
      </c>
      <c r="AB778" s="817">
        <f t="shared" ref="AB778:AC778" si="1096">+AB202</f>
        <v>0.37</v>
      </c>
      <c r="AC778" s="817">
        <f t="shared" si="1096"/>
        <v>-0.34699999999999998</v>
      </c>
      <c r="AD778" s="883">
        <f>+AD202</f>
        <v>-0.24289999999999998</v>
      </c>
      <c r="AE778" s="883">
        <f>+AE202</f>
        <v>-0.17002999999999999</v>
      </c>
      <c r="AF778" s="883">
        <f>+AF202</f>
        <v>-0.11902099999999999</v>
      </c>
      <c r="AH778" s="2947"/>
      <c r="AI778" s="2947"/>
      <c r="AJ778" s="2947"/>
      <c r="AK778" s="2947"/>
      <c r="AL778" s="2947"/>
      <c r="AM778" s="2947"/>
      <c r="AN778" s="2947"/>
      <c r="AO778" s="2947"/>
      <c r="AP778" s="2947"/>
      <c r="AQ778" s="2947"/>
      <c r="BB778" s="3471">
        <v>-0.36799999999999999</v>
      </c>
      <c r="BC778" s="736" t="str">
        <f t="shared" si="1064"/>
        <v/>
      </c>
    </row>
    <row r="779" spans="1:55" ht="12.75" customHeight="1">
      <c r="A779" s="701"/>
      <c r="B779" s="701"/>
      <c r="C779" s="819" t="s">
        <v>301</v>
      </c>
      <c r="D779" s="711" t="s">
        <v>667</v>
      </c>
      <c r="E779" s="743" t="s">
        <v>1185</v>
      </c>
      <c r="F779" s="741" t="s">
        <v>1186</v>
      </c>
      <c r="G779" s="743">
        <f t="shared" ref="G779:W779" si="1097">+G327</f>
        <v>23.783000000000001</v>
      </c>
      <c r="H779" s="743">
        <f t="shared" si="1097"/>
        <v>22.366</v>
      </c>
      <c r="I779" s="743">
        <f t="shared" si="1097"/>
        <v>30.847000000000001</v>
      </c>
      <c r="J779" s="743">
        <f t="shared" si="1097"/>
        <v>28.785</v>
      </c>
      <c r="K779" s="743">
        <f t="shared" si="1097"/>
        <v>29.4</v>
      </c>
      <c r="L779" s="743">
        <f t="shared" si="1097"/>
        <v>30.478000000000002</v>
      </c>
      <c r="M779" s="743">
        <f t="shared" si="1097"/>
        <v>31.259</v>
      </c>
      <c r="N779" s="743">
        <f t="shared" si="1097"/>
        <v>29.693000000000001</v>
      </c>
      <c r="O779" s="743">
        <f t="shared" si="1097"/>
        <v>32.323</v>
      </c>
      <c r="P779" s="743">
        <f t="shared" si="1097"/>
        <v>36.35</v>
      </c>
      <c r="Q779" s="743">
        <f t="shared" si="1097"/>
        <v>38.520000000000003</v>
      </c>
      <c r="R779" s="743">
        <f t="shared" si="1097"/>
        <v>43.356999999999999</v>
      </c>
      <c r="S779" s="743">
        <f t="shared" si="1097"/>
        <v>44.103000000000002</v>
      </c>
      <c r="T779" s="743">
        <f t="shared" si="1097"/>
        <v>50.978000000000002</v>
      </c>
      <c r="U779" s="743">
        <f t="shared" si="1097"/>
        <v>40.348999999999997</v>
      </c>
      <c r="V779" s="743">
        <f t="shared" si="1097"/>
        <v>49.316000000000003</v>
      </c>
      <c r="W779" s="743">
        <f t="shared" si="1097"/>
        <v>51.017000000000003</v>
      </c>
      <c r="X779" s="743">
        <f>+X327</f>
        <v>51.63</v>
      </c>
      <c r="Y779" s="743">
        <f>+Y327</f>
        <v>55.81</v>
      </c>
      <c r="Z779" s="743">
        <f t="shared" ref="Z779:AA779" si="1098">+Z327</f>
        <v>57.953000000000003</v>
      </c>
      <c r="AA779" s="743">
        <f t="shared" si="1098"/>
        <v>58.101999999999997</v>
      </c>
      <c r="AB779" s="743">
        <f t="shared" ref="AB779:AC779" si="1099">+AB327</f>
        <v>48.780999999999999</v>
      </c>
      <c r="AC779" s="743">
        <f t="shared" si="1099"/>
        <v>60.887999999999998</v>
      </c>
      <c r="AD779" s="829">
        <f>+AD327</f>
        <v>62.489639999999994</v>
      </c>
      <c r="AE779" s="829">
        <f>+AE327</f>
        <v>65.200004099999987</v>
      </c>
      <c r="AF779" s="829">
        <f>+AF327</f>
        <v>66.915625461749997</v>
      </c>
      <c r="AH779" s="2947"/>
      <c r="AI779" s="2947"/>
      <c r="AJ779" s="2947"/>
      <c r="AK779" s="2947"/>
      <c r="AL779" s="2947"/>
      <c r="AM779" s="2947"/>
      <c r="BB779" s="3472">
        <v>48.412999999999997</v>
      </c>
      <c r="BC779" s="736" t="str">
        <f t="shared" si="1064"/>
        <v/>
      </c>
    </row>
    <row r="780" spans="1:55" ht="12.75" customHeight="1">
      <c r="A780" s="701"/>
      <c r="B780" s="701"/>
      <c r="C780" s="819" t="s">
        <v>301</v>
      </c>
      <c r="D780" s="711" t="s">
        <v>667</v>
      </c>
      <c r="E780" s="743" t="s">
        <v>230</v>
      </c>
      <c r="F780" s="741" t="s">
        <v>231</v>
      </c>
      <c r="G780" s="743">
        <f t="shared" ref="G780:Y780" si="1100">+G256</f>
        <v>6.5000000000000002E-2</v>
      </c>
      <c r="H780" s="743">
        <f t="shared" si="1100"/>
        <v>4.4999999999999998E-2</v>
      </c>
      <c r="I780" s="743">
        <f t="shared" si="1100"/>
        <v>0.113</v>
      </c>
      <c r="J780" s="743">
        <f t="shared" si="1100"/>
        <v>0.19</v>
      </c>
      <c r="K780" s="743">
        <f t="shared" si="1100"/>
        <v>0.27</v>
      </c>
      <c r="L780" s="743">
        <f t="shared" si="1100"/>
        <v>0.307</v>
      </c>
      <c r="M780" s="743">
        <f t="shared" si="1100"/>
        <v>0.42699999999999999</v>
      </c>
      <c r="N780" s="743">
        <f t="shared" si="1100"/>
        <v>0.51100000000000001</v>
      </c>
      <c r="O780" s="743">
        <f t="shared" si="1100"/>
        <v>0.41899999999999998</v>
      </c>
      <c r="P780" s="743">
        <f t="shared" si="1100"/>
        <v>0.39500000000000002</v>
      </c>
      <c r="Q780" s="743">
        <f t="shared" si="1100"/>
        <v>0.47499999999999998</v>
      </c>
      <c r="R780" s="743">
        <f t="shared" si="1100"/>
        <v>0.56899999999999995</v>
      </c>
      <c r="S780" s="743">
        <f t="shared" si="1100"/>
        <v>0.85799999999999998</v>
      </c>
      <c r="T780" s="743">
        <f t="shared" si="1100"/>
        <v>1.19</v>
      </c>
      <c r="U780" s="743">
        <f t="shared" si="1100"/>
        <v>1.371</v>
      </c>
      <c r="V780" s="743">
        <f t="shared" si="1100"/>
        <v>1.41</v>
      </c>
      <c r="W780" s="743">
        <f t="shared" si="1100"/>
        <v>1.359</v>
      </c>
      <c r="X780" s="743">
        <f t="shared" si="1100"/>
        <v>1.427</v>
      </c>
      <c r="Y780" s="743">
        <f t="shared" si="1100"/>
        <v>1.39</v>
      </c>
      <c r="Z780" s="743">
        <f t="shared" ref="Z780:AA780" si="1101">+Z256</f>
        <v>1.4750000000000001</v>
      </c>
      <c r="AA780" s="743">
        <f t="shared" si="1101"/>
        <v>1.159</v>
      </c>
      <c r="AB780" s="743">
        <f t="shared" ref="AB780:AC780" si="1102">+AB256</f>
        <v>0.69399999999999995</v>
      </c>
      <c r="AC780" s="743">
        <f t="shared" si="1102"/>
        <v>0.53900000000000003</v>
      </c>
      <c r="AD780" s="829">
        <f>+AD256</f>
        <v>0.47819317478713758</v>
      </c>
      <c r="AE780" s="829">
        <f>+AE256</f>
        <v>0.41901041880135798</v>
      </c>
      <c r="AF780" s="829">
        <f>+AF256</f>
        <v>0.35674888040763519</v>
      </c>
      <c r="BB780" s="3472">
        <v>1.026</v>
      </c>
      <c r="BC780" s="736" t="str">
        <f t="shared" si="1064"/>
        <v/>
      </c>
    </row>
    <row r="781" spans="1:55" ht="12.75" customHeight="1">
      <c r="A781" s="701"/>
      <c r="B781" s="701"/>
      <c r="C781" s="819" t="s">
        <v>301</v>
      </c>
      <c r="D781" s="711" t="s">
        <v>667</v>
      </c>
      <c r="E781" s="743" t="s">
        <v>313</v>
      </c>
      <c r="F781" s="741" t="s">
        <v>232</v>
      </c>
      <c r="G781" s="743">
        <f t="shared" ref="G781:Y781" si="1103">+G299</f>
        <v>0</v>
      </c>
      <c r="H781" s="743">
        <f t="shared" si="1103"/>
        <v>0</v>
      </c>
      <c r="I781" s="743">
        <f t="shared" si="1103"/>
        <v>0</v>
      </c>
      <c r="J781" s="743">
        <f t="shared" si="1103"/>
        <v>-5.0000000000000001E-3</v>
      </c>
      <c r="K781" s="743">
        <f t="shared" si="1103"/>
        <v>-1.2E-2</v>
      </c>
      <c r="L781" s="743">
        <f t="shared" si="1103"/>
        <v>-1.7000000000000001E-2</v>
      </c>
      <c r="M781" s="743">
        <f t="shared" si="1103"/>
        <v>-1.7000000000000001E-2</v>
      </c>
      <c r="N781" s="743">
        <f t="shared" si="1103"/>
        <v>-1.7999999999999999E-2</v>
      </c>
      <c r="O781" s="743">
        <f t="shared" si="1103"/>
        <v>2.444</v>
      </c>
      <c r="P781" s="743">
        <f t="shared" si="1103"/>
        <v>2.6669999999999998</v>
      </c>
      <c r="Q781" s="743">
        <f t="shared" si="1103"/>
        <v>2.9550000000000001</v>
      </c>
      <c r="R781" s="743">
        <f t="shared" si="1103"/>
        <v>3.1110000000000002</v>
      </c>
      <c r="S781" s="743">
        <f t="shared" si="1103"/>
        <v>3.25</v>
      </c>
      <c r="T781" s="743">
        <f t="shared" si="1103"/>
        <v>3.399</v>
      </c>
      <c r="U781" s="743">
        <f t="shared" si="1103"/>
        <v>3.59</v>
      </c>
      <c r="V781" s="743">
        <f t="shared" si="1103"/>
        <v>3.5680000000000001</v>
      </c>
      <c r="W781" s="743">
        <f t="shared" si="1103"/>
        <v>3.5569999999999999</v>
      </c>
      <c r="X781" s="743">
        <f t="shared" si="1103"/>
        <v>3.9929999999999999</v>
      </c>
      <c r="Y781" s="743">
        <f t="shared" si="1103"/>
        <v>4.1230000000000002</v>
      </c>
      <c r="Z781" s="743">
        <f t="shared" ref="Z781:AA781" si="1104">+Z299</f>
        <v>5.2180000000000835</v>
      </c>
      <c r="AA781" s="743">
        <f t="shared" si="1104"/>
        <v>5.8690000000000424</v>
      </c>
      <c r="AB781" s="743">
        <f t="shared" ref="AB781:AC781" si="1105">+AB299</f>
        <v>6.7670000000000332</v>
      </c>
      <c r="AC781" s="743">
        <f t="shared" si="1105"/>
        <v>6.1180000000000181</v>
      </c>
      <c r="AD781" s="829">
        <f>+AD299</f>
        <v>6.2403600000000186</v>
      </c>
      <c r="AE781" s="829">
        <f>+AE299</f>
        <v>6.3651672000000188</v>
      </c>
      <c r="AF781" s="829">
        <f>+AF299</f>
        <v>6.4924705440000192</v>
      </c>
      <c r="BB781" s="3472">
        <v>6.7990000000000297</v>
      </c>
      <c r="BC781" s="736" t="str">
        <f t="shared" si="1064"/>
        <v/>
      </c>
    </row>
    <row r="782" spans="1:55" s="1372" customFormat="1" ht="12.75" customHeight="1">
      <c r="A782" s="701"/>
      <c r="B782" s="701"/>
      <c r="C782" s="819" t="s">
        <v>1791</v>
      </c>
      <c r="D782" s="711" t="s">
        <v>667</v>
      </c>
      <c r="E782" s="1065" t="s">
        <v>372</v>
      </c>
      <c r="F782" s="741" t="s">
        <v>374</v>
      </c>
      <c r="G782" s="1059">
        <f t="shared" ref="G782:Y782" si="1106">+G397</f>
        <v>0</v>
      </c>
      <c r="H782" s="1059">
        <f t="shared" si="1106"/>
        <v>0</v>
      </c>
      <c r="I782" s="1059">
        <f t="shared" si="1106"/>
        <v>0</v>
      </c>
      <c r="J782" s="1059">
        <f t="shared" si="1106"/>
        <v>-9.7699626167013776E-15</v>
      </c>
      <c r="K782" s="1059">
        <f t="shared" si="1106"/>
        <v>6.3282712403633923E-15</v>
      </c>
      <c r="L782" s="1059">
        <f t="shared" si="1106"/>
        <v>0</v>
      </c>
      <c r="M782" s="1059">
        <f t="shared" si="1106"/>
        <v>0</v>
      </c>
      <c r="N782" s="1059">
        <f t="shared" si="1106"/>
        <v>0</v>
      </c>
      <c r="O782" s="1059">
        <f t="shared" si="1106"/>
        <v>8.0000000000000071E-3</v>
      </c>
      <c r="P782" s="1059">
        <f t="shared" si="1106"/>
        <v>6.0000000000055564E-3</v>
      </c>
      <c r="Q782" s="1059">
        <f t="shared" si="1106"/>
        <v>1.0999999999990351E-2</v>
      </c>
      <c r="R782" s="1059">
        <f t="shared" si="1106"/>
        <v>8.9999999999994529E-3</v>
      </c>
      <c r="S782" s="1059">
        <f t="shared" si="1106"/>
        <v>1.0000000000019327E-2</v>
      </c>
      <c r="T782" s="1059">
        <f t="shared" si="1106"/>
        <v>9.9999999999749178E-3</v>
      </c>
      <c r="U782" s="1059">
        <f t="shared" si="1106"/>
        <v>1.2000000000004007E-2</v>
      </c>
      <c r="V782" s="1059">
        <f t="shared" si="1106"/>
        <v>1.1999999999986244E-2</v>
      </c>
      <c r="W782" s="1059">
        <f t="shared" si="1106"/>
        <v>1.0000000000001563E-2</v>
      </c>
      <c r="X782" s="1059">
        <f t="shared" si="1106"/>
        <v>1.2000000000004896E-2</v>
      </c>
      <c r="Y782" s="1059">
        <f t="shared" si="1106"/>
        <v>1.5999999999982251E-2</v>
      </c>
      <c r="Z782" s="1059">
        <f t="shared" ref="Z782:AA782" si="1107">+Z397</f>
        <v>2.3000000000017451E-2</v>
      </c>
      <c r="AA782" s="1059">
        <f t="shared" si="1107"/>
        <v>2.9999999999981597E-2</v>
      </c>
      <c r="AB782" s="1059">
        <f t="shared" ref="AB782:AC782" si="1108">+AB397</f>
        <v>4.2000000000024684E-2</v>
      </c>
      <c r="AC782" s="1059">
        <f t="shared" si="1108"/>
        <v>4.799999999999649E-2</v>
      </c>
      <c r="AD782" s="3108">
        <f>+AD397</f>
        <v>0</v>
      </c>
      <c r="AE782" s="3108">
        <f>+AE397</f>
        <v>0</v>
      </c>
      <c r="AF782" s="3108">
        <f>+AF397</f>
        <v>0</v>
      </c>
      <c r="AG782" s="2949"/>
      <c r="AH782" s="2939"/>
      <c r="AI782" s="2939"/>
      <c r="AJ782" s="2939"/>
      <c r="AK782" s="2939"/>
      <c r="AL782" s="2939"/>
      <c r="AM782" s="2939"/>
      <c r="AN782" s="2939"/>
      <c r="AO782" s="2939"/>
      <c r="AP782" s="2939"/>
      <c r="AQ782" s="2939"/>
      <c r="AR782" s="2949"/>
      <c r="AS782" s="2949"/>
      <c r="AT782" s="2949"/>
      <c r="BB782" s="3593">
        <v>-16.646000000000001</v>
      </c>
      <c r="BC782" s="736">
        <f t="shared" si="1064"/>
        <v>16.688000000000024</v>
      </c>
    </row>
    <row r="783" spans="1:55" ht="12.75" customHeight="1">
      <c r="A783" s="701"/>
      <c r="B783" s="701">
        <v>141</v>
      </c>
      <c r="C783" s="821" t="s">
        <v>1793</v>
      </c>
      <c r="D783" s="789" t="s">
        <v>667</v>
      </c>
      <c r="E783" s="822" t="s">
        <v>1983</v>
      </c>
      <c r="F783" s="791" t="s">
        <v>1316</v>
      </c>
      <c r="G783" s="822">
        <f t="shared" ref="G783:Q783" si="1109">+G778-G779-G780-G781+G782</f>
        <v>-23.716000000000001</v>
      </c>
      <c r="H783" s="822">
        <f t="shared" si="1109"/>
        <v>-21.588000000000001</v>
      </c>
      <c r="I783" s="822">
        <f t="shared" si="1109"/>
        <v>-30.385000000000002</v>
      </c>
      <c r="J783" s="822">
        <f t="shared" si="1109"/>
        <v>-26.411000000000012</v>
      </c>
      <c r="K783" s="822">
        <f t="shared" si="1109"/>
        <v>-27.73299999999999</v>
      </c>
      <c r="L783" s="822">
        <f t="shared" si="1109"/>
        <v>-28.963000000000001</v>
      </c>
      <c r="M783" s="822">
        <f t="shared" si="1109"/>
        <v>-30.234000000000002</v>
      </c>
      <c r="N783" s="822">
        <f t="shared" si="1109"/>
        <v>-28.939</v>
      </c>
      <c r="O783" s="822">
        <f t="shared" si="1109"/>
        <v>-35.849999999999994</v>
      </c>
      <c r="P783" s="822">
        <f t="shared" si="1109"/>
        <v>-41.467999999999996</v>
      </c>
      <c r="Q783" s="822">
        <f t="shared" si="1109"/>
        <v>-43.759000000000015</v>
      </c>
      <c r="R783" s="822">
        <f t="shared" ref="R783:X783" si="1110">+R778-R779-R780-R781+R782</f>
        <v>-50.259</v>
      </c>
      <c r="S783" s="822">
        <f t="shared" si="1110"/>
        <v>-50.34099999999998</v>
      </c>
      <c r="T783" s="822">
        <f t="shared" si="1110"/>
        <v>-59.846000000000025</v>
      </c>
      <c r="U783" s="822">
        <f t="shared" si="1110"/>
        <v>-52.564999999999998</v>
      </c>
      <c r="V783" s="822">
        <f t="shared" si="1110"/>
        <v>-61.283000000000008</v>
      </c>
      <c r="W783" s="822">
        <f t="shared" si="1110"/>
        <v>-59.745000000000005</v>
      </c>
      <c r="X783" s="822">
        <f t="shared" si="1110"/>
        <v>-62.793999999999997</v>
      </c>
      <c r="Y783" s="822">
        <f>+Y778-Y779-Y780-Y781+Y782</f>
        <v>-64.237000000000023</v>
      </c>
      <c r="Z783" s="822">
        <f t="shared" ref="Z783:AA783" si="1111">+Z778-Z779-Z780-Z781+Z782</f>
        <v>-67.506000000000085</v>
      </c>
      <c r="AA783" s="822">
        <f t="shared" si="1111"/>
        <v>-66.540000000000049</v>
      </c>
      <c r="AB783" s="822">
        <f t="shared" ref="AB783:AC783" si="1112">+AB778-AB779-AB780-AB781+AB782</f>
        <v>-55.830000000000013</v>
      </c>
      <c r="AC783" s="822">
        <f t="shared" si="1112"/>
        <v>-67.844000000000023</v>
      </c>
      <c r="AD783" s="881">
        <f>+AD778-AD779-AD780-AD781+AD782</f>
        <v>-69.451093174787147</v>
      </c>
      <c r="AE783" s="881">
        <f>+AE778-AE779-AE780-AE781+AE782</f>
        <v>-72.154211718801363</v>
      </c>
      <c r="AF783" s="881">
        <f>+AF778-AF779-AF780-AF781+AF782</f>
        <v>-73.88386588615765</v>
      </c>
      <c r="BB783" s="3473">
        <v>-73.252000000000038</v>
      </c>
      <c r="BC783" s="736">
        <f t="shared" si="1064"/>
        <v>17.422000000000025</v>
      </c>
    </row>
    <row r="784" spans="1:55" s="2036" customFormat="1" ht="12.75" customHeight="1">
      <c r="A784" s="701">
        <f>+ROW(InputY!A94)</f>
        <v>94</v>
      </c>
      <c r="B784" s="1036"/>
      <c r="C784" s="1647"/>
      <c r="D784" s="2035" t="s">
        <v>667</v>
      </c>
      <c r="E784" s="2033" t="s">
        <v>31</v>
      </c>
      <c r="F784" s="2034" t="s">
        <v>30</v>
      </c>
      <c r="G784" s="1040">
        <f>IF(+InputY!G94=":",G783,+InputY!G94/1000)</f>
        <v>-23.716000000000001</v>
      </c>
      <c r="H784" s="1040">
        <f>IF(+InputY!H94=":",H783,+InputY!H94/1000)</f>
        <v>-21.588000000000001</v>
      </c>
      <c r="I784" s="1040">
        <f>IF(+InputY!I94=":",I783,+InputY!I94/1000)</f>
        <v>-30.385000000000002</v>
      </c>
      <c r="J784" s="1040">
        <f>IF(+InputY!J94=":",J783,+InputY!J94/1000)</f>
        <v>-26.411000000000001</v>
      </c>
      <c r="K784" s="1040">
        <f>IF(+InputY!K94=":",K783,+InputY!K94/1000)</f>
        <v>-27.733000000000001</v>
      </c>
      <c r="L784" s="1040">
        <f>IF(+InputY!L94=":",L783,+InputY!L94/1000)</f>
        <v>-28.963000000000001</v>
      </c>
      <c r="M784" s="1040">
        <f>IF(+InputY!M94=":",M783,+InputY!M94/1000)</f>
        <v>-30.234000000000002</v>
      </c>
      <c r="N784" s="1040">
        <f>IF(+InputY!N94=":",N783,+InputY!N94/1000)</f>
        <v>-28.939</v>
      </c>
      <c r="O784" s="1040">
        <f>IF(+InputY!O94=":",O783,+InputY!O94/1000)</f>
        <v>-35.857999999999997</v>
      </c>
      <c r="P784" s="1040">
        <f>IF(+InputY!P94=":",P783,+InputY!P94/1000)</f>
        <v>-41.473999999999997</v>
      </c>
      <c r="Q784" s="1040">
        <f>IF(+InputY!Q94=":",Q783,+InputY!Q94/1000)</f>
        <v>-43.77</v>
      </c>
      <c r="R784" s="1040">
        <f>IF(+InputY!R94=":",R783,+InputY!R94/1000)</f>
        <v>-50.268000000000001</v>
      </c>
      <c r="S784" s="1040">
        <f>IF(+InputY!S94=":",S783,+InputY!S94/1000)</f>
        <v>-50.350999999999999</v>
      </c>
      <c r="T784" s="1040">
        <f>IF(+InputY!T94=":",T783,+InputY!T94/1000)</f>
        <v>-59.856000000000002</v>
      </c>
      <c r="U784" s="1040">
        <f>IF(+InputY!U94=":",U783,+InputY!U94/1000)</f>
        <v>-52.576999999999998</v>
      </c>
      <c r="V784" s="1040">
        <f>IF(+InputY!V94=":",V783,+InputY!V94/1000)</f>
        <v>-61.295000000000002</v>
      </c>
      <c r="W784" s="1040">
        <f>IF(+InputY!W94=":",W783,+InputY!W94/1000)</f>
        <v>-59.755000000000003</v>
      </c>
      <c r="X784" s="1040">
        <f>IF(+InputY!X94=":",X783,+InputY!X94/1000)</f>
        <v>-62.805999999999997</v>
      </c>
      <c r="Y784" s="1040">
        <f>IF(+InputY!Y94=":",Y783,+InputY!Y94/1000)</f>
        <v>-64.253</v>
      </c>
      <c r="Z784" s="1040">
        <f>IF(+InputY!Z94=":",Z783,+InputY!Z94/1000)</f>
        <v>-67.506</v>
      </c>
      <c r="AA784" s="1040">
        <f>IF(+InputY!AA94=":",AA783,+InputY!AA94/1000)</f>
        <v>-66.540000000000006</v>
      </c>
      <c r="AB784" s="1040">
        <f>IF(+InputY!AB94=":",AB783,+InputY!AB94/1000)</f>
        <v>-55.83</v>
      </c>
      <c r="AC784" s="1040">
        <f>IF(+InputY!AC94=":",AC783,+InputY!AC94/1000)</f>
        <v>-67.843999999999994</v>
      </c>
      <c r="AD784" s="2997">
        <f>IF(+InputY!AD94=":",AD783,+InputY!AD94/1000)</f>
        <v>-69.451093174787147</v>
      </c>
      <c r="AE784" s="2997">
        <f>IF(+InputY!AE94=":",AE783,+InputY!AE94/1000)</f>
        <v>-72.154211718801363</v>
      </c>
      <c r="AF784" s="2997">
        <f>IF(+InputY!AF94=":",AF783,+InputY!AF94/1000)</f>
        <v>-73.88386588615765</v>
      </c>
      <c r="AG784" s="2947"/>
      <c r="AH784" s="2939"/>
      <c r="AI784" s="2939"/>
      <c r="AJ784" s="2939"/>
      <c r="AK784" s="2939"/>
      <c r="AL784" s="2939"/>
      <c r="AM784" s="2939"/>
      <c r="AN784" s="2939"/>
      <c r="AO784" s="2939"/>
      <c r="AP784" s="2939"/>
      <c r="AQ784" s="2939"/>
      <c r="AR784" s="2947"/>
      <c r="AS784" s="2947"/>
      <c r="AT784" s="2947"/>
      <c r="BB784" s="3474">
        <v>-56.335999999999999</v>
      </c>
      <c r="BC784" s="736" t="str">
        <f t="shared" si="1064"/>
        <v/>
      </c>
    </row>
    <row r="785" spans="1:55" s="2036" customFormat="1" ht="12.75" customHeight="1">
      <c r="A785" s="1036"/>
      <c r="B785" s="1036"/>
      <c r="C785" s="1647"/>
      <c r="D785" s="2035"/>
      <c r="E785" s="2033" t="s">
        <v>90</v>
      </c>
      <c r="F785" s="2034"/>
      <c r="G785" s="1040">
        <f t="shared" ref="G785:Q785" si="1113">ABS(G783-G784)</f>
        <v>0</v>
      </c>
      <c r="H785" s="1040">
        <f t="shared" si="1113"/>
        <v>0</v>
      </c>
      <c r="I785" s="1040">
        <f t="shared" si="1113"/>
        <v>0</v>
      </c>
      <c r="J785" s="1040">
        <f t="shared" si="1113"/>
        <v>1.0658141036401503E-14</v>
      </c>
      <c r="K785" s="1040">
        <f t="shared" si="1113"/>
        <v>1.0658141036401503E-14</v>
      </c>
      <c r="L785" s="1040">
        <f t="shared" si="1113"/>
        <v>0</v>
      </c>
      <c r="M785" s="1040">
        <f t="shared" si="1113"/>
        <v>0</v>
      </c>
      <c r="N785" s="1040">
        <f t="shared" si="1113"/>
        <v>0</v>
      </c>
      <c r="O785" s="1040">
        <f t="shared" si="1113"/>
        <v>8.0000000000026716E-3</v>
      </c>
      <c r="P785" s="1040">
        <f t="shared" si="1113"/>
        <v>6.0000000000002274E-3</v>
      </c>
      <c r="Q785" s="1040">
        <f t="shared" si="1113"/>
        <v>1.0999999999988574E-2</v>
      </c>
      <c r="R785" s="1040">
        <f t="shared" ref="R785:AA785" si="1114">ABS(R783-R784)</f>
        <v>9.0000000000003411E-3</v>
      </c>
      <c r="S785" s="1040">
        <f t="shared" si="1114"/>
        <v>1.0000000000019327E-2</v>
      </c>
      <c r="T785" s="1040">
        <f t="shared" si="1114"/>
        <v>9.9999999999766942E-3</v>
      </c>
      <c r="U785" s="1040">
        <f t="shared" si="1114"/>
        <v>1.2000000000000455E-2</v>
      </c>
      <c r="V785" s="1040">
        <f t="shared" si="1114"/>
        <v>1.1999999999993349E-2</v>
      </c>
      <c r="W785" s="1040">
        <f t="shared" si="1114"/>
        <v>9.9999999999980105E-3</v>
      </c>
      <c r="X785" s="1040">
        <f t="shared" si="1114"/>
        <v>1.2000000000000455E-2</v>
      </c>
      <c r="Y785" s="1040">
        <f t="shared" si="1114"/>
        <v>1.5999999999976922E-2</v>
      </c>
      <c r="Z785" s="2997">
        <f t="shared" si="1114"/>
        <v>8.5265128291212022E-14</v>
      </c>
      <c r="AA785" s="2997">
        <f t="shared" si="1114"/>
        <v>4.2632564145606011E-14</v>
      </c>
      <c r="AB785" s="2997">
        <f t="shared" ref="AB785:AC785" si="1115">ABS(AB783-AB784)</f>
        <v>1.4210854715202004E-14</v>
      </c>
      <c r="AC785" s="2997">
        <f t="shared" si="1115"/>
        <v>2.8421709430404007E-14</v>
      </c>
      <c r="AD785" s="2997">
        <f>ABS(AD783-AD784)</f>
        <v>0</v>
      </c>
      <c r="AE785" s="2997">
        <f>ABS(AE783-AE784)</f>
        <v>0</v>
      </c>
      <c r="AF785" s="2997">
        <f>ABS(AF783-AF784)</f>
        <v>0</v>
      </c>
      <c r="AG785" s="2947"/>
      <c r="AH785" s="2939"/>
      <c r="AI785" s="2939"/>
      <c r="AJ785" s="2939"/>
      <c r="AK785" s="2939"/>
      <c r="AL785" s="2939"/>
      <c r="AM785" s="2939"/>
      <c r="AN785" s="2947"/>
      <c r="AO785" s="2947"/>
      <c r="AP785" s="2947"/>
      <c r="AQ785" s="2947"/>
      <c r="AR785" s="2947"/>
      <c r="AS785" s="2947"/>
      <c r="AT785" s="2947"/>
      <c r="BB785" s="3474">
        <v>16.916000000000039</v>
      </c>
      <c r="BC785" s="736">
        <f t="shared" si="1064"/>
        <v>-16.916000000000025</v>
      </c>
    </row>
    <row r="786" spans="1:55" ht="12.75" customHeight="1">
      <c r="A786" s="701"/>
      <c r="B786" s="701"/>
      <c r="C786" s="811"/>
      <c r="D786" s="843"/>
      <c r="E786" s="846" t="s">
        <v>236</v>
      </c>
      <c r="F786" s="845"/>
      <c r="G786" s="3005">
        <f>+G783/'VVP2'!G$341</f>
        <v>-1.2577108771096197E-2</v>
      </c>
      <c r="H786" s="3005">
        <f>+H783/'VVP2'!H$341</f>
        <v>-1.1160176552876429E-2</v>
      </c>
      <c r="I786" s="3005">
        <f>+I783/'VVP2'!I$341</f>
        <v>-1.50273642937757E-2</v>
      </c>
      <c r="J786" s="3005">
        <f>+J783/'VVP2'!J$341</f>
        <v>-1.243218104260674E-2</v>
      </c>
      <c r="K786" s="3005">
        <f>+K783/'VVP2'!K$341</f>
        <v>-1.2377637327594322E-2</v>
      </c>
      <c r="L786" s="3005">
        <f>+L783/'VVP2'!L$341</f>
        <v>-1.2150815606139552E-2</v>
      </c>
      <c r="M786" s="3005">
        <f>+M783/'VVP2'!M$341</f>
        <v>-1.2181717672959117E-2</v>
      </c>
      <c r="N786" s="3005">
        <f>+N783/'VVP2'!N$341</f>
        <v>-1.1242991826987144E-2</v>
      </c>
      <c r="O786" s="3005">
        <f>+O783/'VVP2'!O$341</f>
        <v>-1.3372559507889809E-2</v>
      </c>
      <c r="P786" s="3005">
        <f>+P783/'VVP2'!P$341</f>
        <v>-1.4765687118266146E-2</v>
      </c>
      <c r="Q786" s="3005">
        <f>+Q783/'VVP2'!Q$341</f>
        <v>-1.5033928462838452E-2</v>
      </c>
      <c r="R786" s="3005">
        <f>+R783/'VVP2'!R$341</f>
        <v>-1.6197772745818823E-2</v>
      </c>
      <c r="S786" s="3005">
        <f>+S783/'VVP2'!S$341</f>
        <v>-1.5250305742259192E-2</v>
      </c>
      <c r="T786" s="3005">
        <f>+T783/'VVP2'!T$341</f>
        <v>-1.7644937716725137E-2</v>
      </c>
      <c r="U786" s="3005">
        <f>+U783/'VVP2'!U$341</f>
        <v>-1.5967453308906508E-2</v>
      </c>
      <c r="V786" s="3005">
        <f>+V783/'VVP2'!V$341</f>
        <v>-1.7391050177307382E-2</v>
      </c>
      <c r="W786" s="3005">
        <f>+W783/'VVP2'!W$341</f>
        <v>-1.6319119988484156E-2</v>
      </c>
      <c r="X786" s="3005">
        <f>+X783/'VVP2'!X$341</f>
        <v>-1.7022552428642802E-2</v>
      </c>
      <c r="Y786" s="3005">
        <f>+Y783/'VVP2'!Y$341</f>
        <v>-1.7021207814964689E-2</v>
      </c>
      <c r="Z786" s="3005">
        <f>+Z783/'VVP2'!Z$341</f>
        <v>-1.712948102285633E-2</v>
      </c>
      <c r="AA786" s="3005">
        <f>+AA783/'VVP2'!AA$341</f>
        <v>-1.5837038916417148E-2</v>
      </c>
      <c r="AB786" s="3005">
        <f>+AB783/'VVP2'!AB$341</f>
        <v>-1.2730598151133157E-2</v>
      </c>
      <c r="AC786" s="3005">
        <f>+AC783/'VVP2'!AC$341</f>
        <v>-1.4816662258765703E-2</v>
      </c>
      <c r="AD786" s="3005">
        <f ca="1">+AD783/'VVP2'!AD$341</f>
        <v>-1.4459413015320392E-2</v>
      </c>
      <c r="AE786" s="3005">
        <f ca="1">+AE783/'VVP2'!AE$341</f>
        <v>-1.447485633046745E-2</v>
      </c>
      <c r="AF786" s="3005">
        <f ca="1">+AF783/'VVP2'!AF$341</f>
        <v>-1.4314374187219005E-2</v>
      </c>
      <c r="AH786" s="2947"/>
      <c r="AI786" s="2947"/>
      <c r="AJ786" s="2947"/>
      <c r="AK786" s="2947"/>
      <c r="AL786" s="2947"/>
      <c r="AM786" s="2947"/>
      <c r="AN786" s="2947"/>
      <c r="AO786" s="2947"/>
      <c r="AP786" s="2947"/>
      <c r="AQ786" s="2947"/>
      <c r="BB786" s="3507">
        <v>-1.6629518962582454E-2</v>
      </c>
      <c r="BC786" s="736" t="str">
        <f t="shared" si="1064"/>
        <v/>
      </c>
    </row>
    <row r="787" spans="1:55">
      <c r="Q787" s="736"/>
      <c r="R787" s="736"/>
      <c r="S787" s="736"/>
      <c r="T787" s="736"/>
      <c r="U787" s="736"/>
      <c r="V787" s="736"/>
      <c r="W787" s="736"/>
      <c r="X787" s="736"/>
      <c r="Y787" s="736"/>
      <c r="Z787" s="880"/>
      <c r="AA787" s="880"/>
      <c r="AB787" s="880"/>
      <c r="AC787" s="880"/>
      <c r="AD787" s="880"/>
      <c r="AE787" s="880"/>
      <c r="AF787" s="880"/>
      <c r="AH787" s="2947"/>
      <c r="AI787" s="2947"/>
      <c r="AJ787" s="2947"/>
      <c r="AK787" s="2947"/>
      <c r="AL787" s="2947"/>
      <c r="AM787" s="2947"/>
      <c r="BB787" s="3467"/>
      <c r="BC787" s="736" t="str">
        <f t="shared" si="1064"/>
        <v/>
      </c>
    </row>
    <row r="788" spans="1:55" ht="12.75" customHeight="1">
      <c r="A788" s="701"/>
      <c r="B788" s="701"/>
      <c r="C788" s="811"/>
      <c r="D788" s="812"/>
      <c r="E788" s="813" t="s">
        <v>1882</v>
      </c>
      <c r="F788" s="814"/>
      <c r="G788" s="815">
        <f>+InputY!$G$3</f>
        <v>1995</v>
      </c>
      <c r="H788" s="815">
        <f>+G788+1</f>
        <v>1996</v>
      </c>
      <c r="I788" s="815">
        <f t="shared" ref="I788:O788" si="1116">+H788+1</f>
        <v>1997</v>
      </c>
      <c r="J788" s="815">
        <f t="shared" si="1116"/>
        <v>1998</v>
      </c>
      <c r="K788" s="815">
        <f t="shared" si="1116"/>
        <v>1999</v>
      </c>
      <c r="L788" s="815">
        <f t="shared" si="1116"/>
        <v>2000</v>
      </c>
      <c r="M788" s="815">
        <f t="shared" si="1116"/>
        <v>2001</v>
      </c>
      <c r="N788" s="815">
        <f t="shared" si="1116"/>
        <v>2002</v>
      </c>
      <c r="O788" s="815">
        <f t="shared" si="1116"/>
        <v>2003</v>
      </c>
      <c r="P788" s="815">
        <f t="shared" ref="P788:AF788" si="1117">+O788+1</f>
        <v>2004</v>
      </c>
      <c r="Q788" s="815">
        <f t="shared" si="1117"/>
        <v>2005</v>
      </c>
      <c r="R788" s="815">
        <f t="shared" si="1117"/>
        <v>2006</v>
      </c>
      <c r="S788" s="815">
        <f t="shared" si="1117"/>
        <v>2007</v>
      </c>
      <c r="T788" s="815">
        <f t="shared" si="1117"/>
        <v>2008</v>
      </c>
      <c r="U788" s="815">
        <f t="shared" si="1117"/>
        <v>2009</v>
      </c>
      <c r="V788" s="815">
        <f t="shared" si="1117"/>
        <v>2010</v>
      </c>
      <c r="W788" s="815">
        <f t="shared" si="1117"/>
        <v>2011</v>
      </c>
      <c r="X788" s="815">
        <f t="shared" si="1117"/>
        <v>2012</v>
      </c>
      <c r="Y788" s="815">
        <f t="shared" si="1117"/>
        <v>2013</v>
      </c>
      <c r="Z788" s="815">
        <f t="shared" si="1117"/>
        <v>2014</v>
      </c>
      <c r="AA788" s="815">
        <f t="shared" si="1117"/>
        <v>2015</v>
      </c>
      <c r="AB788" s="815">
        <f t="shared" si="1117"/>
        <v>2016</v>
      </c>
      <c r="AC788" s="815">
        <f t="shared" si="1117"/>
        <v>2017</v>
      </c>
      <c r="AD788" s="815">
        <f t="shared" si="1117"/>
        <v>2018</v>
      </c>
      <c r="AE788" s="815">
        <f t="shared" si="1117"/>
        <v>2019</v>
      </c>
      <c r="AF788" s="815">
        <f t="shared" si="1117"/>
        <v>2020</v>
      </c>
      <c r="BB788" s="3514">
        <v>2016</v>
      </c>
      <c r="BC788" s="736" t="str">
        <f t="shared" si="1064"/>
        <v/>
      </c>
    </row>
    <row r="789" spans="1:55" ht="12.75" customHeight="1">
      <c r="A789" s="701"/>
      <c r="B789" s="701"/>
      <c r="C789" s="816" t="s">
        <v>1791</v>
      </c>
      <c r="D789" s="705" t="s">
        <v>667</v>
      </c>
      <c r="E789" s="817" t="s">
        <v>1447</v>
      </c>
      <c r="F789" s="738" t="s">
        <v>1456</v>
      </c>
      <c r="G789" s="817">
        <f t="shared" ref="G789:Y789" si="1118">+G488</f>
        <v>-3.5070000000000001</v>
      </c>
      <c r="H789" s="817">
        <f t="shared" si="1118"/>
        <v>-8.9179999999999993</v>
      </c>
      <c r="I789" s="817">
        <f t="shared" si="1118"/>
        <v>-5.6470000000000002</v>
      </c>
      <c r="J789" s="817">
        <f t="shared" si="1118"/>
        <v>-1.5620000000000001</v>
      </c>
      <c r="K789" s="817">
        <f t="shared" si="1118"/>
        <v>-1.6180000000000001</v>
      </c>
      <c r="L789" s="817">
        <f t="shared" si="1118"/>
        <v>-1.7010000000000001</v>
      </c>
      <c r="M789" s="817">
        <f t="shared" si="1118"/>
        <v>-2.1760000000000002</v>
      </c>
      <c r="N789" s="817">
        <f t="shared" si="1118"/>
        <v>-3.1859999999999999</v>
      </c>
      <c r="O789" s="817">
        <f t="shared" si="1118"/>
        <v>-1.417</v>
      </c>
      <c r="P789" s="817">
        <f t="shared" si="1118"/>
        <v>-2.13</v>
      </c>
      <c r="Q789" s="817">
        <f t="shared" si="1118"/>
        <v>-0.58499999999999996</v>
      </c>
      <c r="R789" s="817">
        <f t="shared" si="1118"/>
        <v>-2.173</v>
      </c>
      <c r="S789" s="817">
        <f t="shared" si="1118"/>
        <v>-3.1960000000000002</v>
      </c>
      <c r="T789" s="817">
        <f t="shared" si="1118"/>
        <v>-3.282</v>
      </c>
      <c r="U789" s="817">
        <f t="shared" si="1118"/>
        <v>-3.335</v>
      </c>
      <c r="V789" s="817">
        <f t="shared" si="1118"/>
        <v>-3.327</v>
      </c>
      <c r="W789" s="817">
        <f t="shared" si="1118"/>
        <v>-4.1529999999999996</v>
      </c>
      <c r="X789" s="817">
        <f t="shared" si="1118"/>
        <v>-4.33</v>
      </c>
      <c r="Y789" s="817">
        <f t="shared" si="1118"/>
        <v>-4.1820000000000004</v>
      </c>
      <c r="Z789" s="817">
        <f t="shared" ref="Z789:AA789" si="1119">+Z488</f>
        <v>-3.516</v>
      </c>
      <c r="AA789" s="817">
        <f t="shared" si="1119"/>
        <v>-3.786</v>
      </c>
      <c r="AB789" s="817">
        <f t="shared" ref="AB789:AC789" si="1120">+AB488</f>
        <v>-0.72599999999999998</v>
      </c>
      <c r="AC789" s="817">
        <f t="shared" si="1120"/>
        <v>1.1830000000000001</v>
      </c>
      <c r="AD789" s="883">
        <f>+AD488</f>
        <v>-3.690610989099107</v>
      </c>
      <c r="AE789" s="883">
        <f>+AE488</f>
        <v>-8.8765200221798004</v>
      </c>
      <c r="AF789" s="883">
        <f>+AF488</f>
        <v>-9.2216360339560914</v>
      </c>
      <c r="BB789" s="3471">
        <v>2.2079999999999984</v>
      </c>
      <c r="BC789" s="736">
        <f t="shared" si="1064"/>
        <v>-2.9339999999999984</v>
      </c>
    </row>
    <row r="790" spans="1:55" ht="12.75" customHeight="1">
      <c r="A790" s="701"/>
      <c r="B790" s="701"/>
      <c r="C790" s="819" t="s">
        <v>1791</v>
      </c>
      <c r="D790" s="711" t="s">
        <v>667</v>
      </c>
      <c r="E790" s="1065" t="s">
        <v>1340</v>
      </c>
      <c r="F790" s="741" t="s">
        <v>1724</v>
      </c>
      <c r="G790" s="1059">
        <f t="shared" ref="G790:Y790" si="1121">+G520</f>
        <v>0</v>
      </c>
      <c r="H790" s="1059">
        <f t="shared" si="1121"/>
        <v>0</v>
      </c>
      <c r="I790" s="1059">
        <f t="shared" si="1121"/>
        <v>0</v>
      </c>
      <c r="J790" s="1059">
        <f t="shared" si="1121"/>
        <v>1.5880000000000001</v>
      </c>
      <c r="K790" s="1059">
        <f t="shared" si="1121"/>
        <v>-23.361999999999998</v>
      </c>
      <c r="L790" s="1059">
        <f t="shared" si="1121"/>
        <v>-1.96</v>
      </c>
      <c r="M790" s="1059">
        <f t="shared" si="1121"/>
        <v>0.621</v>
      </c>
      <c r="N790" s="1059">
        <f t="shared" si="1121"/>
        <v>0.56499999999999995</v>
      </c>
      <c r="O790" s="1059">
        <f t="shared" si="1121"/>
        <v>0.28699999999999998</v>
      </c>
      <c r="P790" s="1059">
        <f t="shared" si="1121"/>
        <v>-0.10299999999999999</v>
      </c>
      <c r="Q790" s="1059">
        <f t="shared" si="1121"/>
        <v>-0.26700000000000002</v>
      </c>
      <c r="R790" s="1059">
        <f t="shared" si="1121"/>
        <v>-15.391999999999999</v>
      </c>
      <c r="S790" s="1059">
        <f t="shared" si="1121"/>
        <v>0.67300000000000004</v>
      </c>
      <c r="T790" s="1059">
        <f t="shared" si="1121"/>
        <v>-1.849</v>
      </c>
      <c r="U790" s="1059">
        <f t="shared" si="1121"/>
        <v>-0.81799999999999995</v>
      </c>
      <c r="V790" s="1059">
        <f t="shared" si="1121"/>
        <v>-1.4890000000000001</v>
      </c>
      <c r="W790" s="1059">
        <f t="shared" si="1121"/>
        <v>-1.853</v>
      </c>
      <c r="X790" s="1059">
        <f t="shared" si="1121"/>
        <v>-1.444</v>
      </c>
      <c r="Y790" s="1059">
        <f t="shared" si="1121"/>
        <v>-4.9240000000000004</v>
      </c>
      <c r="Z790" s="1059">
        <f t="shared" ref="Z790:AA790" si="1122">+Z520</f>
        <v>-1.9079999999999999</v>
      </c>
      <c r="AA790" s="1059">
        <f t="shared" si="1122"/>
        <v>-4.3159999999999998</v>
      </c>
      <c r="AB790" s="1059">
        <f t="shared" ref="AB790:AC790" si="1123">+AB520</f>
        <v>-1.9750000000000001</v>
      </c>
      <c r="AC790" s="1059">
        <f t="shared" si="1123"/>
        <v>-4.0659999999999998</v>
      </c>
      <c r="AD790" s="3108">
        <f ca="1">+AD520</f>
        <v>-3.7811301990776283</v>
      </c>
      <c r="AE790" s="3108">
        <f ca="1">+AE520</f>
        <v>-3.5504395398863551</v>
      </c>
      <c r="AF790" s="3108">
        <f ca="1">+AF520</f>
        <v>-3.3259753275211503</v>
      </c>
      <c r="BB790" s="3593">
        <v>-6.6069999999999993</v>
      </c>
      <c r="BC790" s="736">
        <f t="shared" si="1064"/>
        <v>4.6319999999999997</v>
      </c>
    </row>
    <row r="791" spans="1:55" ht="12.75" customHeight="1">
      <c r="A791" s="701"/>
      <c r="B791" s="701">
        <v>142</v>
      </c>
      <c r="C791" s="821" t="s">
        <v>1793</v>
      </c>
      <c r="D791" s="789" t="s">
        <v>667</v>
      </c>
      <c r="E791" s="1066" t="s">
        <v>769</v>
      </c>
      <c r="F791" s="791" t="s">
        <v>1723</v>
      </c>
      <c r="G791" s="822">
        <f>+G789+G790</f>
        <v>-3.5070000000000001</v>
      </c>
      <c r="H791" s="822">
        <f t="shared" ref="H791:Q791" si="1124">+H789+H790</f>
        <v>-8.9179999999999993</v>
      </c>
      <c r="I791" s="822">
        <f t="shared" si="1124"/>
        <v>-5.6470000000000002</v>
      </c>
      <c r="J791" s="822">
        <f t="shared" si="1124"/>
        <v>2.6000000000000023E-2</v>
      </c>
      <c r="K791" s="822">
        <f t="shared" si="1124"/>
        <v>-24.979999999999997</v>
      </c>
      <c r="L791" s="822">
        <f t="shared" si="1124"/>
        <v>-3.661</v>
      </c>
      <c r="M791" s="822">
        <f t="shared" si="1124"/>
        <v>-1.5550000000000002</v>
      </c>
      <c r="N791" s="822">
        <f t="shared" si="1124"/>
        <v>-2.621</v>
      </c>
      <c r="O791" s="822">
        <f t="shared" si="1124"/>
        <v>-1.1300000000000001</v>
      </c>
      <c r="P791" s="822">
        <f t="shared" si="1124"/>
        <v>-2.2330000000000001</v>
      </c>
      <c r="Q791" s="822">
        <f t="shared" si="1124"/>
        <v>-0.85199999999999998</v>
      </c>
      <c r="R791" s="822">
        <f t="shared" ref="R791:Y791" si="1125">+R789+R790</f>
        <v>-17.564999999999998</v>
      </c>
      <c r="S791" s="822">
        <f t="shared" si="1125"/>
        <v>-2.5230000000000001</v>
      </c>
      <c r="T791" s="822">
        <f t="shared" si="1125"/>
        <v>-5.1310000000000002</v>
      </c>
      <c r="U791" s="822">
        <f t="shared" si="1125"/>
        <v>-4.1529999999999996</v>
      </c>
      <c r="V791" s="822">
        <f t="shared" si="1125"/>
        <v>-4.8159999999999998</v>
      </c>
      <c r="W791" s="822">
        <f t="shared" si="1125"/>
        <v>-6.0059999999999993</v>
      </c>
      <c r="X791" s="822">
        <f t="shared" si="1125"/>
        <v>-5.774</v>
      </c>
      <c r="Y791" s="822">
        <f t="shared" si="1125"/>
        <v>-9.1060000000000016</v>
      </c>
      <c r="Z791" s="822">
        <f t="shared" ref="Z791:AA791" si="1126">+Z789+Z790</f>
        <v>-5.4239999999999995</v>
      </c>
      <c r="AA791" s="822">
        <f t="shared" si="1126"/>
        <v>-8.1020000000000003</v>
      </c>
      <c r="AB791" s="822">
        <f t="shared" ref="AB791:AC791" si="1127">+AB789+AB790</f>
        <v>-2.7010000000000001</v>
      </c>
      <c r="AC791" s="822">
        <f t="shared" si="1127"/>
        <v>-2.883</v>
      </c>
      <c r="AD791" s="881">
        <f ca="1">+AD789+AD790</f>
        <v>-7.4717411881767353</v>
      </c>
      <c r="AE791" s="881">
        <f ca="1">+AE789+AE790</f>
        <v>-12.426959562066155</v>
      </c>
      <c r="AF791" s="881">
        <f ca="1">+AF789+AF790</f>
        <v>-12.547611361477241</v>
      </c>
      <c r="BB791" s="3473">
        <v>-4.3990000000000009</v>
      </c>
      <c r="BC791" s="736">
        <f t="shared" si="1064"/>
        <v>1.6980000000000008</v>
      </c>
    </row>
    <row r="792" spans="1:55" s="2036" customFormat="1" ht="12.75" customHeight="1">
      <c r="A792" s="701">
        <f>+ROW(InputY!A95)</f>
        <v>95</v>
      </c>
      <c r="B792" s="1036"/>
      <c r="C792" s="1647"/>
      <c r="D792" s="2035" t="s">
        <v>667</v>
      </c>
      <c r="E792" s="2033" t="s">
        <v>31</v>
      </c>
      <c r="F792" s="2034" t="s">
        <v>30</v>
      </c>
      <c r="G792" s="1040">
        <f>IF(+InputY!G95=":",G791,+InputY!G95/1000)</f>
        <v>-3.5070000000000001</v>
      </c>
      <c r="H792" s="1040">
        <f>IF(+InputY!H95=":",H791,+InputY!H95/1000)</f>
        <v>-8.9179999999999993</v>
      </c>
      <c r="I792" s="1040">
        <f>IF(+InputY!I95=":",I791,+InputY!I95/1000)</f>
        <v>-5.6470000000000002</v>
      </c>
      <c r="J792" s="1040">
        <f>IF(+InputY!J95=":",J791,+InputY!J95/1000)</f>
        <v>2.5999999999999999E-2</v>
      </c>
      <c r="K792" s="1040">
        <f>IF(+InputY!K95=":",K791,+InputY!K95/1000)</f>
        <v>-24.98</v>
      </c>
      <c r="L792" s="1040">
        <f>IF(+InputY!L95=":",L791,+InputY!L95/1000)</f>
        <v>-3.661</v>
      </c>
      <c r="M792" s="1040">
        <f>IF(+InputY!M95=":",M791,+InputY!M95/1000)</f>
        <v>-1.5549999999999999</v>
      </c>
      <c r="N792" s="1040">
        <f>IF(+InputY!N95=":",N791,+InputY!N95/1000)</f>
        <v>-2.621</v>
      </c>
      <c r="O792" s="1040">
        <f>IF(+InputY!O95=":",O791,+InputY!O95/1000)</f>
        <v>-1.1299999999999999</v>
      </c>
      <c r="P792" s="1040">
        <f>IF(+InputY!P95=":",P791,+InputY!P95/1000)</f>
        <v>-2.2330000000000001</v>
      </c>
      <c r="Q792" s="1040">
        <f>IF(+InputY!Q95=":",Q791,+InputY!Q95/1000)</f>
        <v>-0.85199999999999998</v>
      </c>
      <c r="R792" s="1040">
        <f>IF(+InputY!R95=":",R791,+InputY!R95/1000)</f>
        <v>-17.565000000000001</v>
      </c>
      <c r="S792" s="1040">
        <f>IF(+InputY!S95=":",S791,+InputY!S95/1000)</f>
        <v>-2.5230000000000001</v>
      </c>
      <c r="T792" s="1040">
        <f>IF(+InputY!T95=":",T791,+InputY!T95/1000)</f>
        <v>-5.1310000000000002</v>
      </c>
      <c r="U792" s="1040">
        <f>IF(+InputY!U95=":",U791,+InputY!U95/1000)</f>
        <v>-4.1529999999999996</v>
      </c>
      <c r="V792" s="1040">
        <f>IF(+InputY!V95=":",V791,+InputY!V95/1000)</f>
        <v>-4.8159999999999998</v>
      </c>
      <c r="W792" s="1040">
        <f>IF(+InputY!W95=":",W791,+InputY!W95/1000)</f>
        <v>-6.0060000000000002</v>
      </c>
      <c r="X792" s="1040">
        <f>IF(+InputY!X95=":",X791,+InputY!X95/1000)</f>
        <v>-5.774</v>
      </c>
      <c r="Y792" s="1040">
        <f>IF(+InputY!Y95=":",Y791,+InputY!Y95/1000)</f>
        <v>-9.1059999999999999</v>
      </c>
      <c r="Z792" s="1040">
        <f>IF(+InputY!Z95=":",Z791,+InputY!Z95/1000)</f>
        <v>-5.4240000000000004</v>
      </c>
      <c r="AA792" s="1040">
        <f>IF(+InputY!AA95=":",AA791,+InputY!AA95/1000)</f>
        <v>-8.1020000000000003</v>
      </c>
      <c r="AB792" s="1040">
        <f>IF(+InputY!AB95=":",AB791,+InputY!AB95/1000)</f>
        <v>-2.7010000000000001</v>
      </c>
      <c r="AC792" s="1040">
        <f>IF(+InputY!AC95=":",AC791,+InputY!AC95/1000)</f>
        <v>-2.883</v>
      </c>
      <c r="AD792" s="2997">
        <f ca="1">IF(+InputY!AD95=":",AD791,+InputY!AD95/1000)</f>
        <v>-7.4717411881767353</v>
      </c>
      <c r="AE792" s="2997">
        <f ca="1">IF(+InputY!AE95=":",AE791,+InputY!AE95/1000)</f>
        <v>-12.426959562066155</v>
      </c>
      <c r="AF792" s="2997">
        <f ca="1">IF(+InputY!AF95=":",AF791,+InputY!AF95/1000)</f>
        <v>-12.547611361477241</v>
      </c>
      <c r="AG792" s="2947"/>
      <c r="AH792" s="2939"/>
      <c r="AI792" s="2939"/>
      <c r="AJ792" s="2939"/>
      <c r="AK792" s="2939"/>
      <c r="AL792" s="2939"/>
      <c r="AM792" s="2939"/>
      <c r="AN792" s="2939"/>
      <c r="AO792" s="2939"/>
      <c r="AP792" s="2939"/>
      <c r="AQ792" s="2939"/>
      <c r="AR792" s="2947"/>
      <c r="AS792" s="2947"/>
      <c r="AT792" s="2947"/>
      <c r="BB792" s="3596">
        <v>-2.7869999999999999</v>
      </c>
      <c r="BC792" s="736" t="str">
        <f t="shared" si="1064"/>
        <v/>
      </c>
    </row>
    <row r="793" spans="1:55" s="2036" customFormat="1" ht="12.75" customHeight="1">
      <c r="A793" s="1036"/>
      <c r="B793" s="1036"/>
      <c r="C793" s="1647"/>
      <c r="D793" s="2035"/>
      <c r="E793" s="2033" t="s">
        <v>90</v>
      </c>
      <c r="F793" s="2034"/>
      <c r="G793" s="1040">
        <f t="shared" ref="G793:Q793" si="1128">ABS(G791-G792)</f>
        <v>0</v>
      </c>
      <c r="H793" s="1040">
        <f t="shared" si="1128"/>
        <v>0</v>
      </c>
      <c r="I793" s="1040">
        <f t="shared" si="1128"/>
        <v>0</v>
      </c>
      <c r="J793" s="1040">
        <f t="shared" si="1128"/>
        <v>2.4286128663675299E-17</v>
      </c>
      <c r="K793" s="1040">
        <f t="shared" si="1128"/>
        <v>3.5527136788005009E-15</v>
      </c>
      <c r="L793" s="1040">
        <f t="shared" si="1128"/>
        <v>0</v>
      </c>
      <c r="M793" s="1040">
        <f t="shared" si="1128"/>
        <v>2.2204460492503131E-16</v>
      </c>
      <c r="N793" s="1040">
        <f t="shared" si="1128"/>
        <v>0</v>
      </c>
      <c r="O793" s="1040">
        <f t="shared" si="1128"/>
        <v>2.2204460492503131E-16</v>
      </c>
      <c r="P793" s="1040">
        <f t="shared" si="1128"/>
        <v>0</v>
      </c>
      <c r="Q793" s="1040">
        <f t="shared" si="1128"/>
        <v>0</v>
      </c>
      <c r="R793" s="1040">
        <f t="shared" ref="R793:Y793" si="1129">ABS(R791-R792)</f>
        <v>3.5527136788005009E-15</v>
      </c>
      <c r="S793" s="1040">
        <f t="shared" si="1129"/>
        <v>0</v>
      </c>
      <c r="T793" s="1040">
        <f t="shared" si="1129"/>
        <v>0</v>
      </c>
      <c r="U793" s="1040">
        <f t="shared" si="1129"/>
        <v>0</v>
      </c>
      <c r="V793" s="1040">
        <f t="shared" si="1129"/>
        <v>0</v>
      </c>
      <c r="W793" s="1040">
        <f t="shared" si="1129"/>
        <v>8.8817841970012523E-16</v>
      </c>
      <c r="X793" s="1040">
        <f t="shared" si="1129"/>
        <v>0</v>
      </c>
      <c r="Y793" s="1040">
        <f t="shared" si="1129"/>
        <v>1.7763568394002505E-15</v>
      </c>
      <c r="Z793" s="1040">
        <f t="shared" ref="Z793:AA793" si="1130">ABS(Z791-Z792)</f>
        <v>8.8817841970012523E-16</v>
      </c>
      <c r="AA793" s="1040">
        <f t="shared" si="1130"/>
        <v>0</v>
      </c>
      <c r="AB793" s="1040">
        <f t="shared" ref="AB793:AC793" si="1131">ABS(AB791-AB792)</f>
        <v>0</v>
      </c>
      <c r="AC793" s="1040">
        <f t="shared" si="1131"/>
        <v>0</v>
      </c>
      <c r="AD793" s="2997">
        <f ca="1">ABS(AD791-AD792)</f>
        <v>0</v>
      </c>
      <c r="AE793" s="2997">
        <f ca="1">ABS(AE791-AE792)</f>
        <v>0</v>
      </c>
      <c r="AF793" s="2997">
        <f ca="1">ABS(AF791-AF792)</f>
        <v>0</v>
      </c>
      <c r="AG793" s="2947"/>
      <c r="AH793" s="2939"/>
      <c r="AI793" s="2939"/>
      <c r="AJ793" s="2939"/>
      <c r="AK793" s="2939"/>
      <c r="AL793" s="2939"/>
      <c r="AM793" s="2939"/>
      <c r="AN793" s="2939"/>
      <c r="AO793" s="2939"/>
      <c r="AP793" s="2939"/>
      <c r="AQ793" s="2939"/>
      <c r="AR793" s="2947"/>
      <c r="AS793" s="2947"/>
      <c r="AT793" s="2947"/>
      <c r="BB793" s="3596">
        <v>1.612000000000001</v>
      </c>
      <c r="BC793" s="736">
        <f t="shared" si="1064"/>
        <v>-1.612000000000001</v>
      </c>
    </row>
    <row r="794" spans="1:55">
      <c r="BC794" s="736" t="str">
        <f t="shared" si="1064"/>
        <v/>
      </c>
    </row>
    <row r="795" spans="1:55">
      <c r="BC795" s="736" t="str">
        <f t="shared" si="1064"/>
        <v/>
      </c>
    </row>
    <row r="796" spans="1:55" ht="12.75" customHeight="1">
      <c r="A796" s="701"/>
      <c r="B796" s="701"/>
      <c r="C796" s="811"/>
      <c r="D796" s="812"/>
      <c r="E796" s="813" t="s">
        <v>1882</v>
      </c>
      <c r="F796" s="814"/>
      <c r="G796" s="815">
        <f>+InputY!$G$3</f>
        <v>1995</v>
      </c>
      <c r="H796" s="815">
        <f>+G796+1</f>
        <v>1996</v>
      </c>
      <c r="I796" s="815">
        <f t="shared" ref="I796" si="1132">+H796+1</f>
        <v>1997</v>
      </c>
      <c r="J796" s="815">
        <f t="shared" ref="J796" si="1133">+I796+1</f>
        <v>1998</v>
      </c>
      <c r="K796" s="815">
        <f t="shared" ref="K796" si="1134">+J796+1</f>
        <v>1999</v>
      </c>
      <c r="L796" s="815">
        <f t="shared" ref="L796" si="1135">+K796+1</f>
        <v>2000</v>
      </c>
      <c r="M796" s="815">
        <f t="shared" ref="M796" si="1136">+L796+1</f>
        <v>2001</v>
      </c>
      <c r="N796" s="815">
        <f t="shared" ref="N796" si="1137">+M796+1</f>
        <v>2002</v>
      </c>
      <c r="O796" s="815">
        <f t="shared" ref="O796" si="1138">+N796+1</f>
        <v>2003</v>
      </c>
      <c r="P796" s="815">
        <f t="shared" ref="P796" si="1139">+O796+1</f>
        <v>2004</v>
      </c>
      <c r="Q796" s="815">
        <f t="shared" ref="Q796" si="1140">+P796+1</f>
        <v>2005</v>
      </c>
      <c r="R796" s="815">
        <f t="shared" ref="R796" si="1141">+Q796+1</f>
        <v>2006</v>
      </c>
      <c r="S796" s="815">
        <f t="shared" ref="S796" si="1142">+R796+1</f>
        <v>2007</v>
      </c>
      <c r="T796" s="815">
        <f t="shared" ref="T796" si="1143">+S796+1</f>
        <v>2008</v>
      </c>
      <c r="U796" s="815">
        <f t="shared" ref="U796" si="1144">+T796+1</f>
        <v>2009</v>
      </c>
      <c r="V796" s="815">
        <f t="shared" ref="V796" si="1145">+U796+1</f>
        <v>2010</v>
      </c>
      <c r="W796" s="815">
        <f t="shared" ref="W796" si="1146">+V796+1</f>
        <v>2011</v>
      </c>
      <c r="X796" s="815">
        <f t="shared" ref="X796" si="1147">+W796+1</f>
        <v>2012</v>
      </c>
      <c r="Y796" s="815">
        <f t="shared" ref="Y796" si="1148">+X796+1</f>
        <v>2013</v>
      </c>
      <c r="Z796" s="815">
        <f t="shared" ref="Z796" si="1149">+Y796+1</f>
        <v>2014</v>
      </c>
      <c r="AA796" s="815">
        <f t="shared" ref="AA796" si="1150">+Z796+1</f>
        <v>2015</v>
      </c>
      <c r="AB796" s="815">
        <f t="shared" ref="AB796" si="1151">+AA796+1</f>
        <v>2016</v>
      </c>
      <c r="AC796" s="815">
        <f t="shared" ref="AC796" si="1152">+AB796+1</f>
        <v>2017</v>
      </c>
      <c r="AD796" s="815">
        <f t="shared" ref="AD796:AF796" si="1153">+AC796+1</f>
        <v>2018</v>
      </c>
      <c r="AE796" s="815">
        <f t="shared" si="1153"/>
        <v>2019</v>
      </c>
      <c r="AF796" s="815">
        <f t="shared" si="1153"/>
        <v>2020</v>
      </c>
      <c r="BB796" s="3514">
        <v>2016</v>
      </c>
      <c r="BC796" s="736" t="str">
        <f t="shared" si="1064"/>
        <v/>
      </c>
    </row>
    <row r="797" spans="1:55">
      <c r="C797" s="711" t="s">
        <v>666</v>
      </c>
      <c r="E797" s="633" t="s">
        <v>2478</v>
      </c>
      <c r="G797" s="817">
        <v>4.5380000000000003</v>
      </c>
      <c r="H797" s="817">
        <v>3.75</v>
      </c>
      <c r="I797" s="817">
        <v>0.89200000000000002</v>
      </c>
      <c r="J797" s="817">
        <v>0.66200000000000003</v>
      </c>
      <c r="K797" s="817">
        <v>0.28299999999999997</v>
      </c>
      <c r="L797" s="817">
        <v>0.501</v>
      </c>
      <c r="M797" s="817">
        <v>0.7</v>
      </c>
      <c r="N797" s="817">
        <v>0.84699999999999998</v>
      </c>
      <c r="O797" s="817">
        <v>0.76800000000000002</v>
      </c>
      <c r="P797" s="817">
        <v>0.66500000000000004</v>
      </c>
      <c r="Q797" s="817">
        <v>0.747</v>
      </c>
      <c r="R797" s="817">
        <v>0.78</v>
      </c>
      <c r="S797" s="817">
        <v>0.60799999999999998</v>
      </c>
      <c r="T797" s="817">
        <v>0.70099999999999996</v>
      </c>
      <c r="U797" s="817">
        <v>1.3660000000000001</v>
      </c>
      <c r="V797" s="817">
        <v>1.6870000000000001</v>
      </c>
      <c r="W797" s="817">
        <v>1.8380000000000001</v>
      </c>
      <c r="X797" s="817">
        <v>2.399</v>
      </c>
      <c r="Y797" s="817">
        <v>2.1219999999999999</v>
      </c>
      <c r="Z797" s="817">
        <v>1.8029999999999999</v>
      </c>
      <c r="AA797" s="817">
        <v>1.3859999999999999</v>
      </c>
      <c r="AB797" s="817">
        <v>1.5069999999999999</v>
      </c>
      <c r="AC797" s="817">
        <v>1.9359999999999999</v>
      </c>
      <c r="AD797" s="2296">
        <f t="shared" ref="AD797:AF798" si="1154">+AC797*(1+AD801/100)</f>
        <v>1.9359999999999999</v>
      </c>
      <c r="AE797" s="2296">
        <f t="shared" si="1154"/>
        <v>1.9359999999999999</v>
      </c>
      <c r="AF797" s="2296">
        <f t="shared" si="1154"/>
        <v>1.9359999999999999</v>
      </c>
      <c r="BB797" s="3471">
        <v>1.3049999999999999</v>
      </c>
      <c r="BC797" s="736" t="str">
        <f t="shared" si="1064"/>
        <v/>
      </c>
    </row>
    <row r="798" spans="1:55">
      <c r="C798" s="711" t="s">
        <v>666</v>
      </c>
      <c r="E798" s="633" t="s">
        <v>2479</v>
      </c>
      <c r="G798" s="2965">
        <v>0</v>
      </c>
      <c r="H798" s="2965">
        <v>0</v>
      </c>
      <c r="I798" s="2965">
        <v>1.7999999999999999E-2</v>
      </c>
      <c r="J798" s="2965">
        <v>4.7E-2</v>
      </c>
      <c r="K798" s="2965">
        <v>5.6000000000000001E-2</v>
      </c>
      <c r="L798" s="2965">
        <v>2.9000000000000001E-2</v>
      </c>
      <c r="M798" s="2965">
        <v>5.0999999999999997E-2</v>
      </c>
      <c r="N798" s="2965">
        <v>8.2000000000000003E-2</v>
      </c>
      <c r="O798" s="2965">
        <v>9.8000000000000004E-2</v>
      </c>
      <c r="P798" s="2965">
        <v>0.13700000000000001</v>
      </c>
      <c r="Q798" s="2965">
        <v>0.122</v>
      </c>
      <c r="R798" s="2965">
        <v>0.182</v>
      </c>
      <c r="S798" s="2965">
        <v>0.161</v>
      </c>
      <c r="T798" s="2965">
        <v>6.9000000000000006E-2</v>
      </c>
      <c r="U798" s="2965">
        <v>2.9000000000000001E-2</v>
      </c>
      <c r="V798" s="2965">
        <v>4.4999999999999998E-2</v>
      </c>
      <c r="W798" s="2965">
        <v>4.1000000000000002E-2</v>
      </c>
      <c r="X798" s="2965">
        <v>3.5000000000000003E-2</v>
      </c>
      <c r="Y798" s="2965">
        <v>0.04</v>
      </c>
      <c r="Z798" s="2965">
        <v>4.5999999999999999E-2</v>
      </c>
      <c r="AA798" s="2965">
        <v>0.01</v>
      </c>
      <c r="AB798" s="2965">
        <v>2.5000000000000001E-2</v>
      </c>
      <c r="AC798" s="2965">
        <v>0.124</v>
      </c>
      <c r="AD798" s="2966">
        <f t="shared" si="1154"/>
        <v>0.124</v>
      </c>
      <c r="AE798" s="2966">
        <f t="shared" si="1154"/>
        <v>0.124</v>
      </c>
      <c r="AF798" s="2966">
        <f t="shared" si="1154"/>
        <v>0.124</v>
      </c>
      <c r="BB798" s="3516">
        <v>2.5000000000000001E-2</v>
      </c>
      <c r="BC798" s="736" t="str">
        <f t="shared" si="1064"/>
        <v/>
      </c>
    </row>
    <row r="799" spans="1:55">
      <c r="BC799" s="736" t="str">
        <f t="shared" si="1064"/>
        <v/>
      </c>
    </row>
    <row r="800" spans="1:55" ht="12.75" customHeight="1">
      <c r="A800" s="701"/>
      <c r="B800" s="701"/>
      <c r="D800" s="779"/>
      <c r="E800" s="780" t="s">
        <v>1883</v>
      </c>
      <c r="F800" s="781"/>
      <c r="G800" s="782">
        <f>+G796</f>
        <v>1995</v>
      </c>
      <c r="H800" s="782">
        <f>+G800+1</f>
        <v>1996</v>
      </c>
      <c r="I800" s="782">
        <f t="shared" ref="I800" si="1155">+H800+1</f>
        <v>1997</v>
      </c>
      <c r="J800" s="782">
        <f t="shared" ref="J800" si="1156">+I800+1</f>
        <v>1998</v>
      </c>
      <c r="K800" s="782">
        <f t="shared" ref="K800" si="1157">+J800+1</f>
        <v>1999</v>
      </c>
      <c r="L800" s="782">
        <f t="shared" ref="L800" si="1158">+K800+1</f>
        <v>2000</v>
      </c>
      <c r="M800" s="782">
        <f t="shared" ref="M800" si="1159">+L800+1</f>
        <v>2001</v>
      </c>
      <c r="N800" s="782">
        <f t="shared" ref="N800" si="1160">+M800+1</f>
        <v>2002</v>
      </c>
      <c r="O800" s="782">
        <f t="shared" ref="O800" si="1161">+N800+1</f>
        <v>2003</v>
      </c>
      <c r="P800" s="782">
        <f>+O800+1</f>
        <v>2004</v>
      </c>
      <c r="Q800" s="782">
        <f t="shared" ref="Q800" si="1162">+P800+1</f>
        <v>2005</v>
      </c>
      <c r="R800" s="782">
        <f>+Q800+1</f>
        <v>2006</v>
      </c>
      <c r="S800" s="782">
        <f>+R800+1</f>
        <v>2007</v>
      </c>
      <c r="T800" s="782">
        <f t="shared" ref="T800" si="1163">+S800+1</f>
        <v>2008</v>
      </c>
      <c r="U800" s="782">
        <f t="shared" ref="U800" si="1164">+T800+1</f>
        <v>2009</v>
      </c>
      <c r="V800" s="782">
        <f t="shared" ref="V800" si="1165">+U800+1</f>
        <v>2010</v>
      </c>
      <c r="W800" s="782">
        <f t="shared" ref="W800" si="1166">+V800+1</f>
        <v>2011</v>
      </c>
      <c r="X800" s="2272">
        <f t="shared" ref="X800" si="1167">+W800+1</f>
        <v>2012</v>
      </c>
      <c r="Y800" s="2272">
        <f t="shared" ref="Y800" si="1168">+X800+1</f>
        <v>2013</v>
      </c>
      <c r="Z800" s="2272">
        <f t="shared" ref="Z800" si="1169">+Y800+1</f>
        <v>2014</v>
      </c>
      <c r="AA800" s="2272">
        <f t="shared" ref="AA800" si="1170">+Z800+1</f>
        <v>2015</v>
      </c>
      <c r="AB800" s="2272">
        <f t="shared" ref="AB800:AC800" si="1171">+AA800+1</f>
        <v>2016</v>
      </c>
      <c r="AC800" s="2272">
        <f t="shared" si="1171"/>
        <v>2017</v>
      </c>
      <c r="AD800" s="2272">
        <f t="shared" ref="AD800:AF800" si="1172">+AC800+1</f>
        <v>2018</v>
      </c>
      <c r="AE800" s="2272">
        <f t="shared" si="1172"/>
        <v>2019</v>
      </c>
      <c r="AF800" s="2272">
        <f t="shared" si="1172"/>
        <v>2020</v>
      </c>
      <c r="BB800" s="3476">
        <v>2016</v>
      </c>
      <c r="BC800" s="736" t="str">
        <f t="shared" si="1064"/>
        <v/>
      </c>
    </row>
    <row r="801" spans="1:55" ht="12.75" customHeight="1">
      <c r="A801" s="701"/>
      <c r="B801" s="701"/>
      <c r="C801" s="711" t="s">
        <v>666</v>
      </c>
      <c r="E801" s="633" t="s">
        <v>2478</v>
      </c>
      <c r="F801" s="770"/>
      <c r="G801" s="776"/>
      <c r="H801" s="776">
        <f>(H797/G797-1)*100</f>
        <v>-17.364477743499339</v>
      </c>
      <c r="I801" s="776">
        <f t="shared" ref="I801:AC801" si="1173">(I797/H797-1)*100</f>
        <v>-76.213333333333338</v>
      </c>
      <c r="J801" s="776">
        <f t="shared" si="1173"/>
        <v>-25.784753363228695</v>
      </c>
      <c r="K801" s="776">
        <f t="shared" si="1173"/>
        <v>-57.250755287009071</v>
      </c>
      <c r="L801" s="776">
        <f t="shared" si="1173"/>
        <v>77.03180212014135</v>
      </c>
      <c r="M801" s="776">
        <f t="shared" si="1173"/>
        <v>39.720558882235515</v>
      </c>
      <c r="N801" s="776">
        <f t="shared" si="1173"/>
        <v>20.999999999999996</v>
      </c>
      <c r="O801" s="776">
        <f t="shared" si="1173"/>
        <v>-9.327036599763872</v>
      </c>
      <c r="P801" s="776">
        <f t="shared" si="1173"/>
        <v>-13.411458333333325</v>
      </c>
      <c r="Q801" s="776">
        <f t="shared" si="1173"/>
        <v>12.330827067669169</v>
      </c>
      <c r="R801" s="776">
        <f t="shared" si="1173"/>
        <v>4.4176706827309342</v>
      </c>
      <c r="S801" s="776">
        <f t="shared" si="1173"/>
        <v>-22.051282051282051</v>
      </c>
      <c r="T801" s="776">
        <f t="shared" si="1173"/>
        <v>15.296052631578938</v>
      </c>
      <c r="U801" s="776">
        <f t="shared" si="1173"/>
        <v>94.864479315263935</v>
      </c>
      <c r="V801" s="776">
        <f t="shared" si="1173"/>
        <v>23.499267935578327</v>
      </c>
      <c r="W801" s="776">
        <f t="shared" si="1173"/>
        <v>8.9508002371072806</v>
      </c>
      <c r="X801" s="776">
        <f t="shared" si="1173"/>
        <v>30.522306855277481</v>
      </c>
      <c r="Y801" s="776">
        <f t="shared" si="1173"/>
        <v>-11.546477699041269</v>
      </c>
      <c r="Z801" s="776">
        <f t="shared" si="1173"/>
        <v>-15.0329877474081</v>
      </c>
      <c r="AA801" s="776">
        <f t="shared" si="1173"/>
        <v>-23.128119800332779</v>
      </c>
      <c r="AB801" s="776">
        <f t="shared" si="1173"/>
        <v>8.7301587301587205</v>
      </c>
      <c r="AC801" s="776">
        <f t="shared" si="1173"/>
        <v>28.467153284671532</v>
      </c>
      <c r="AD801" s="2275">
        <v>0</v>
      </c>
      <c r="AE801" s="2275">
        <v>0</v>
      </c>
      <c r="AF801" s="2275">
        <v>0</v>
      </c>
      <c r="BB801" s="3477">
        <v>-5.844155844155841</v>
      </c>
      <c r="BC801" s="736">
        <f t="shared" si="1064"/>
        <v>14.574314574314561</v>
      </c>
    </row>
    <row r="802" spans="1:55" ht="12.75" customHeight="1">
      <c r="A802" s="701"/>
      <c r="B802" s="701"/>
      <c r="C802" s="711" t="s">
        <v>666</v>
      </c>
      <c r="E802" s="633" t="s">
        <v>2479</v>
      </c>
      <c r="F802" s="773"/>
      <c r="G802" s="778"/>
      <c r="H802" s="776" t="e">
        <f>(H798/G798-1)*100</f>
        <v>#DIV/0!</v>
      </c>
      <c r="I802" s="776" t="e">
        <f t="shared" ref="I802:AC802" si="1174">(I798/H798-1)*100</f>
        <v>#DIV/0!</v>
      </c>
      <c r="J802" s="776">
        <f t="shared" si="1174"/>
        <v>161.11111111111111</v>
      </c>
      <c r="K802" s="776">
        <f t="shared" si="1174"/>
        <v>19.14893617021276</v>
      </c>
      <c r="L802" s="776">
        <f t="shared" si="1174"/>
        <v>-48.214285714285708</v>
      </c>
      <c r="M802" s="776">
        <f t="shared" si="1174"/>
        <v>75.86206896551721</v>
      </c>
      <c r="N802" s="776">
        <f t="shared" si="1174"/>
        <v>60.7843137254902</v>
      </c>
      <c r="O802" s="776">
        <f t="shared" si="1174"/>
        <v>19.512195121951216</v>
      </c>
      <c r="P802" s="776">
        <f t="shared" si="1174"/>
        <v>39.79591836734695</v>
      </c>
      <c r="Q802" s="776">
        <f t="shared" si="1174"/>
        <v>-10.948905109489059</v>
      </c>
      <c r="R802" s="776">
        <f t="shared" si="1174"/>
        <v>49.180327868852473</v>
      </c>
      <c r="S802" s="776">
        <f t="shared" si="1174"/>
        <v>-11.538461538461531</v>
      </c>
      <c r="T802" s="776">
        <f t="shared" si="1174"/>
        <v>-57.142857142857139</v>
      </c>
      <c r="U802" s="776">
        <f t="shared" si="1174"/>
        <v>-57.971014492753625</v>
      </c>
      <c r="V802" s="776">
        <f t="shared" si="1174"/>
        <v>55.172413793103424</v>
      </c>
      <c r="W802" s="776">
        <f t="shared" si="1174"/>
        <v>-8.8888888888888786</v>
      </c>
      <c r="X802" s="776">
        <f t="shared" si="1174"/>
        <v>-14.634146341463406</v>
      </c>
      <c r="Y802" s="776">
        <f t="shared" si="1174"/>
        <v>14.285714285714279</v>
      </c>
      <c r="Z802" s="776">
        <f t="shared" si="1174"/>
        <v>14.999999999999991</v>
      </c>
      <c r="AA802" s="776">
        <f t="shared" si="1174"/>
        <v>-78.260869565217376</v>
      </c>
      <c r="AB802" s="776">
        <f t="shared" si="1174"/>
        <v>150</v>
      </c>
      <c r="AC802" s="776">
        <f t="shared" si="1174"/>
        <v>396</v>
      </c>
      <c r="AD802" s="2275">
        <v>0</v>
      </c>
      <c r="AE802" s="2275">
        <v>0</v>
      </c>
      <c r="AF802" s="2275">
        <v>0</v>
      </c>
      <c r="BB802" s="3477">
        <v>150</v>
      </c>
      <c r="BC802" s="736" t="str">
        <f t="shared" si="1064"/>
        <v/>
      </c>
    </row>
    <row r="803" spans="1:55">
      <c r="BC803" s="736" t="str">
        <f t="shared" si="1064"/>
        <v/>
      </c>
    </row>
    <row r="804" spans="1:55">
      <c r="BC804" s="736" t="str">
        <f t="shared" si="1064"/>
        <v/>
      </c>
    </row>
    <row r="805" spans="1:55">
      <c r="BC805" s="736" t="str">
        <f t="shared" si="1064"/>
        <v/>
      </c>
    </row>
    <row r="806" spans="1:55">
      <c r="BC806" s="736" t="str">
        <f t="shared" si="1064"/>
        <v/>
      </c>
    </row>
    <row r="807" spans="1:55">
      <c r="BC807" s="736" t="str">
        <f t="shared" si="1064"/>
        <v/>
      </c>
    </row>
  </sheetData>
  <mergeCells count="64">
    <mergeCell ref="AL28:AQ28"/>
    <mergeCell ref="AL25:AM25"/>
    <mergeCell ref="AN25:AO25"/>
    <mergeCell ref="AP25:AQ25"/>
    <mergeCell ref="AL26:AQ26"/>
    <mergeCell ref="AL27:AM27"/>
    <mergeCell ref="AN27:AO27"/>
    <mergeCell ref="AP27:AQ27"/>
    <mergeCell ref="C2:E2"/>
    <mergeCell ref="C196:F196"/>
    <mergeCell ref="C248:F248"/>
    <mergeCell ref="C5:F5"/>
    <mergeCell ref="C42:F42"/>
    <mergeCell ref="C70:F70"/>
    <mergeCell ref="C104:F104"/>
    <mergeCell ref="C133:F133"/>
    <mergeCell ref="C175:F175"/>
    <mergeCell ref="C536:F536"/>
    <mergeCell ref="C703:F703"/>
    <mergeCell ref="C582:F582"/>
    <mergeCell ref="C558:F558"/>
    <mergeCell ref="C349:F349"/>
    <mergeCell ref="C412:F412"/>
    <mergeCell ref="C391:F391"/>
    <mergeCell ref="C293:F293"/>
    <mergeCell ref="C477:F477"/>
    <mergeCell ref="C514:F514"/>
    <mergeCell ref="C453:F453"/>
    <mergeCell ref="C370:F370"/>
    <mergeCell ref="C318:F318"/>
    <mergeCell ref="AL290:AM290"/>
    <mergeCell ref="AN290:AO290"/>
    <mergeCell ref="AP290:AQ290"/>
    <mergeCell ref="AL289:AM289"/>
    <mergeCell ref="AN289:AO289"/>
    <mergeCell ref="AP289:AQ289"/>
    <mergeCell ref="AL288:AQ288"/>
    <mergeCell ref="AL286:AQ286"/>
    <mergeCell ref="AL287:AM287"/>
    <mergeCell ref="AN287:AO287"/>
    <mergeCell ref="AP287:AQ287"/>
    <mergeCell ref="AL285:AM285"/>
    <mergeCell ref="AN285:AO285"/>
    <mergeCell ref="AP285:AQ285"/>
    <mergeCell ref="AL216:AM216"/>
    <mergeCell ref="AN216:AO216"/>
    <mergeCell ref="AP216:AQ216"/>
    <mergeCell ref="AL215:AM215"/>
    <mergeCell ref="AN215:AO215"/>
    <mergeCell ref="AP215:AQ215"/>
    <mergeCell ref="AL214:AQ214"/>
    <mergeCell ref="AL212:AQ212"/>
    <mergeCell ref="AL213:AM213"/>
    <mergeCell ref="AN213:AO213"/>
    <mergeCell ref="AP213:AQ213"/>
    <mergeCell ref="AL29:AM29"/>
    <mergeCell ref="AN29:AO29"/>
    <mergeCell ref="AP29:AQ29"/>
    <mergeCell ref="AL211:AM211"/>
    <mergeCell ref="AN211:AO211"/>
    <mergeCell ref="AP211:AQ211"/>
    <mergeCell ref="AL30:AM30"/>
    <mergeCell ref="AN30:AO30"/>
    <mergeCell ref="AP30:AQ30"/>
  </mergeCells>
  <phoneticPr fontId="67" type="noConversion"/>
  <conditionalFormatting sqref="G14:V14 G51:V51 G89:V89 G328:V328 G115:V115 G260:V260 G204:V204 G301:V301 G426:V426 G565:V565 G543:V543 G521:V521 G489:V489 G632:V632 G567:V567 G665:V665 G774:V774 G793:V793 G785:V785 X567 X632 X489 X565 X301 X204 X328 X51 X14 Z785:AA785 AC774 Z543:AA543 Z115:AA115 Z89:AA89 Z14:AA14 Z51:AA51 Z328:AA328 Z204:AA204 Z301:AA301 Z489:AA489 Z632:AA632 Z426:AA426 AC426 AC204 AC51 AC14 AC89 AC115 G142:AC142">
    <cfRule type="cellIs" dxfId="51" priority="18" stopIfTrue="1" operator="notBetween">
      <formula>-0.001</formula>
      <formula>0.001</formula>
    </cfRule>
  </conditionalFormatting>
  <conditionalFormatting sqref="G2:V2 X2 Z2:AA2 AC2">
    <cfRule type="cellIs" dxfId="50" priority="19" stopIfTrue="1" operator="notEqual">
      <formula>"ok"</formula>
    </cfRule>
  </conditionalFormatting>
  <conditionalFormatting sqref="W14 W51 W328 W204 W301 W565 W489 W632 W567 W89:X89 W115:X115 W426:X426 W521:X521 W543:X543 W665:X665 W774:X774 W793:X793 W785:X785 W260:AC260">
    <cfRule type="cellIs" dxfId="49" priority="16" stopIfTrue="1" operator="notBetween">
      <formula>-0.001</formula>
      <formula>0.001</formula>
    </cfRule>
  </conditionalFormatting>
  <conditionalFormatting sqref="W2">
    <cfRule type="cellIs" dxfId="48" priority="17" stopIfTrue="1" operator="notEqual">
      <formula>"ok"</formula>
    </cfRule>
  </conditionalFormatting>
  <conditionalFormatting sqref="Y632 Y489 Y301 Y204 Y328 Y51 Y14 Y567:AC567 Y565:AC565">
    <cfRule type="cellIs" dxfId="47" priority="14" stopIfTrue="1" operator="notBetween">
      <formula>-0.001</formula>
      <formula>0.001</formula>
    </cfRule>
  </conditionalFormatting>
  <conditionalFormatting sqref="Y2">
    <cfRule type="cellIs" dxfId="46" priority="15" stopIfTrue="1" operator="notEqual">
      <formula>"ok"</formula>
    </cfRule>
  </conditionalFormatting>
  <conditionalFormatting sqref="Y89 Y115 Y426 Y543 Y785 Y774:AA774 Y793:AA793 Y665:AC665 Y521:AC521">
    <cfRule type="cellIs" dxfId="45" priority="13" stopIfTrue="1" operator="notBetween">
      <formula>-0.001</formula>
      <formula>0.001</formula>
    </cfRule>
  </conditionalFormatting>
  <conditionalFormatting sqref="AD785 AD793 AD774 AD665 AD521 AD543 AD115 AD89 AD14 AD51 AD328 AD260 AD204 AD301 AD565 AD489 AD632 AD567 AD426 AD142">
    <cfRule type="cellIs" dxfId="44" priority="11" stopIfTrue="1" operator="notBetween">
      <formula>-0.001</formula>
      <formula>0.001</formula>
    </cfRule>
  </conditionalFormatting>
  <conditionalFormatting sqref="AD2">
    <cfRule type="cellIs" dxfId="43" priority="12" stopIfTrue="1" operator="notEqual">
      <formula>"ok"</formula>
    </cfRule>
  </conditionalFormatting>
  <conditionalFormatting sqref="AB115 AB89 AB14 AB51 AB204 AB426 AB301:AC301 AB328:AC328 AB489:AC489 AB543:AC543 AB785:AC785 AB632:AC632">
    <cfRule type="cellIs" dxfId="42" priority="9" stopIfTrue="1" operator="notBetween">
      <formula>-0.001</formula>
      <formula>0.001</formula>
    </cfRule>
  </conditionalFormatting>
  <conditionalFormatting sqref="AB2">
    <cfRule type="cellIs" dxfId="41" priority="10" stopIfTrue="1" operator="notEqual">
      <formula>"ok"</formula>
    </cfRule>
  </conditionalFormatting>
  <conditionalFormatting sqref="AB774 AB793:AC793">
    <cfRule type="cellIs" dxfId="40" priority="8" stopIfTrue="1" operator="notBetween">
      <formula>-0.001</formula>
      <formula>0.001</formula>
    </cfRule>
  </conditionalFormatting>
  <conditionalFormatting sqref="AE785 AE793 AE774 AE665 AE521 AE543 AE115 AE89 AE14 AE51 AE328 AE260 AE204 AE301 AE565 AE489 AE632 AE567 AE426 AE142">
    <cfRule type="cellIs" dxfId="39" priority="6" stopIfTrue="1" operator="notBetween">
      <formula>-0.001</formula>
      <formula>0.001</formula>
    </cfRule>
  </conditionalFormatting>
  <conditionalFormatting sqref="AE2">
    <cfRule type="cellIs" dxfId="38" priority="7" stopIfTrue="1" operator="notEqual">
      <formula>"ok"</formula>
    </cfRule>
  </conditionalFormatting>
  <conditionalFormatting sqref="BB785 BB665 BB521 BB543 BB115 BB89 BB14 BB51 BB328 BB260 BC204 BB301 BB565 BB489 BB632 BB567 BB426 BB142">
    <cfRule type="cellIs" dxfId="37" priority="4" stopIfTrue="1" operator="notBetween">
      <formula>-0.001</formula>
      <formula>0.001</formula>
    </cfRule>
  </conditionalFormatting>
  <conditionalFormatting sqref="BB2">
    <cfRule type="cellIs" dxfId="36" priority="5" stopIfTrue="1" operator="notEqual">
      <formula>"ok"</formula>
    </cfRule>
  </conditionalFormatting>
  <conditionalFormatting sqref="BB774 BB793">
    <cfRule type="cellIs" dxfId="35" priority="3" stopIfTrue="1" operator="notBetween">
      <formula>-0.001</formula>
      <formula>0.001</formula>
    </cfRule>
  </conditionalFormatting>
  <conditionalFormatting sqref="AF785 AF793 AF774 AF665 AF521 AF543 AF115 AF89 AF14 AF51 AF328 AF260 AF204 AF301 AF565 AF489 AF632 AF567 AF426 AF142">
    <cfRule type="cellIs" dxfId="34" priority="1" stopIfTrue="1" operator="notBetween">
      <formula>-0.001</formula>
      <formula>0.001</formula>
    </cfRule>
  </conditionalFormatting>
  <conditionalFormatting sqref="AF2">
    <cfRule type="cellIs" dxfId="33" priority="2" stopIfTrue="1" operator="notEqual">
      <formula>"ok"</formula>
    </cfRule>
  </conditionalFormatting>
  <hyperlinks>
    <hyperlink ref="E427" location="VVP1!E47" display="Follow this link to the total consumption forecast in VVP1" xr:uid="{00000000-0004-0000-0D00-000000000000}"/>
    <hyperlink ref="E110" location="Sector1!E420" display="Follow this link to GVT final consumption expenditure (P.3)" xr:uid="{00000000-0004-0000-0D00-000001000000}"/>
  </hyperlinks>
  <pageMargins left="0.15748031496062992" right="0.15748031496062992" top="0.98425196850393704" bottom="0.98425196850393704" header="0.51181102362204722" footer="0.51181102362204722"/>
  <pageSetup scale="10" orientation="landscape" horizontalDpi="300" verticalDpi="300" r:id="rId1"/>
  <headerFooter alignWithMargins="0"/>
  <rowBreaks count="13" manualBreakCount="13">
    <brk id="4" max="16383" man="1"/>
    <brk id="41" max="16383" man="1"/>
    <brk id="69" max="16383" man="1"/>
    <brk id="103" max="16383" man="1"/>
    <brk id="132" max="16383" man="1"/>
    <brk id="174" max="16383" man="1"/>
    <brk id="195" max="16383" man="1"/>
    <brk id="247" max="16383" man="1"/>
    <brk id="292" max="16383" man="1"/>
    <brk id="317" max="16383" man="1"/>
    <brk id="390" max="16383" man="1"/>
    <brk id="476" max="16383" man="1"/>
    <brk id="513" max="16383" man="1"/>
  </rowBreaks>
  <ignoredErrors>
    <ignoredError sqref="H92:H95 I92:N95" evalError="1"/>
  </ignoredError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indexed="44"/>
  </sheetPr>
  <dimension ref="A1:FD147"/>
  <sheetViews>
    <sheetView workbookViewId="0"/>
  </sheetViews>
  <sheetFormatPr defaultRowHeight="12.75"/>
  <cols>
    <col min="1" max="1" width="2.1328125" customWidth="1"/>
    <col min="2" max="2" width="2.1328125" style="545" bestFit="1" customWidth="1"/>
    <col min="3" max="3" width="2.265625" style="546" customWidth="1"/>
    <col min="4" max="4" width="45.59765625" style="547" customWidth="1"/>
    <col min="5" max="9" width="6.73046875" style="217" customWidth="1"/>
    <col min="10" max="10" width="6.73046875" style="545" customWidth="1"/>
    <col min="11" max="21" width="6.73046875" customWidth="1"/>
    <col min="22" max="22" width="7.73046875" customWidth="1"/>
    <col min="23" max="70" width="6.73046875" customWidth="1"/>
    <col min="71" max="154" width="6.59765625" customWidth="1"/>
    <col min="155" max="160" width="8.73046875" bestFit="1" customWidth="1"/>
  </cols>
  <sheetData>
    <row r="1" spans="1:160" ht="13.15">
      <c r="A1" s="1227" t="s">
        <v>209</v>
      </c>
    </row>
    <row r="2" spans="1:160">
      <c r="E2" s="3820">
        <f ca="1">OFFSET(InputY!$G$3,0,(COLUMN()-5)/6)</f>
        <v>1995</v>
      </c>
      <c r="F2" s="3821"/>
      <c r="G2" s="3821"/>
      <c r="H2" s="3821"/>
      <c r="I2" s="3821"/>
      <c r="J2" s="3848"/>
      <c r="K2" s="3820">
        <f ca="1">OFFSET(InputY!$G$3,0,(COLUMN()-5)/6)</f>
        <v>1996</v>
      </c>
      <c r="L2" s="3821"/>
      <c r="M2" s="3821"/>
      <c r="N2" s="3821"/>
      <c r="O2" s="3821"/>
      <c r="P2" s="3848"/>
      <c r="Q2" s="3820">
        <f ca="1">OFFSET(InputY!$G$3,0,(COLUMN()-5)/6)</f>
        <v>1997</v>
      </c>
      <c r="R2" s="3821"/>
      <c r="S2" s="3821"/>
      <c r="T2" s="3821"/>
      <c r="U2" s="3821"/>
      <c r="V2" s="3848"/>
      <c r="W2" s="3820">
        <f ca="1">OFFSET(InputY!$G$3,0,(COLUMN()-5)/6)</f>
        <v>1998</v>
      </c>
      <c r="X2" s="3821"/>
      <c r="Y2" s="3821"/>
      <c r="Z2" s="3821"/>
      <c r="AA2" s="3821"/>
      <c r="AB2" s="3848"/>
      <c r="AC2" s="3820">
        <f ca="1">OFFSET(InputY!$G$3,0,(COLUMN()-5)/6)</f>
        <v>1999</v>
      </c>
      <c r="AD2" s="3821"/>
      <c r="AE2" s="3821"/>
      <c r="AF2" s="3821"/>
      <c r="AG2" s="3821"/>
      <c r="AH2" s="3848"/>
      <c r="AI2" s="3820">
        <f ca="1">OFFSET(InputY!$G$3,0,(COLUMN()-5)/6)</f>
        <v>2000</v>
      </c>
      <c r="AJ2" s="3821"/>
      <c r="AK2" s="3821"/>
      <c r="AL2" s="3821"/>
      <c r="AM2" s="3821"/>
      <c r="AN2" s="3848"/>
      <c r="AO2" s="3820">
        <f ca="1">OFFSET(InputY!$G$3,0,(COLUMN()-5)/6)</f>
        <v>2001</v>
      </c>
      <c r="AP2" s="3821"/>
      <c r="AQ2" s="3821"/>
      <c r="AR2" s="3821"/>
      <c r="AS2" s="3821"/>
      <c r="AT2" s="3848"/>
      <c r="AU2" s="3820">
        <f ca="1">OFFSET(InputY!$G$3,0,(COLUMN()-5)/6)</f>
        <v>2002</v>
      </c>
      <c r="AV2" s="3821"/>
      <c r="AW2" s="3821"/>
      <c r="AX2" s="3821"/>
      <c r="AY2" s="3821"/>
      <c r="AZ2" s="3848"/>
      <c r="BA2" s="3820">
        <f ca="1">OFFSET(InputY!$G$3,0,(COLUMN()-5)/6)</f>
        <v>2003</v>
      </c>
      <c r="BB2" s="3821"/>
      <c r="BC2" s="3821"/>
      <c r="BD2" s="3821"/>
      <c r="BE2" s="3821"/>
      <c r="BF2" s="3848"/>
      <c r="BG2" s="3820">
        <f ca="1">OFFSET(InputY!$G$3,0,(COLUMN()-5)/6)</f>
        <v>2004</v>
      </c>
      <c r="BH2" s="3821"/>
      <c r="BI2" s="3821"/>
      <c r="BJ2" s="3821"/>
      <c r="BK2" s="3821"/>
      <c r="BL2" s="3848"/>
      <c r="BM2" s="3820">
        <f ca="1">OFFSET(InputY!$G$3,0,(COLUMN()-5)/6)</f>
        <v>2005</v>
      </c>
      <c r="BN2" s="3821"/>
      <c r="BO2" s="3821"/>
      <c r="BP2" s="3821"/>
      <c r="BQ2" s="3821"/>
      <c r="BR2" s="3848"/>
      <c r="BS2" s="3820">
        <f ca="1">OFFSET(InputY!$G$3,0,(COLUMN()-5)/6)</f>
        <v>2006</v>
      </c>
      <c r="BT2" s="3821"/>
      <c r="BU2" s="3821"/>
      <c r="BV2" s="3821"/>
      <c r="BW2" s="3821"/>
      <c r="BX2" s="3848"/>
      <c r="BY2" s="3820">
        <f ca="1">OFFSET(InputY!$G$3,0,(COLUMN()-5)/6)</f>
        <v>2007</v>
      </c>
      <c r="BZ2" s="3821"/>
      <c r="CA2" s="3821"/>
      <c r="CB2" s="3821"/>
      <c r="CC2" s="3821"/>
      <c r="CD2" s="3848"/>
      <c r="CE2" s="3820">
        <f ca="1">OFFSET(InputY!$G$3,0,(COLUMN()-5)/6)</f>
        <v>2008</v>
      </c>
      <c r="CF2" s="3821"/>
      <c r="CG2" s="3821"/>
      <c r="CH2" s="3821"/>
      <c r="CI2" s="3821"/>
      <c r="CJ2" s="3848"/>
      <c r="CK2" s="3820">
        <f ca="1">OFFSET(InputY!$G$3,0,(COLUMN()-5)/6)</f>
        <v>2009</v>
      </c>
      <c r="CL2" s="3821"/>
      <c r="CM2" s="3821"/>
      <c r="CN2" s="3821"/>
      <c r="CO2" s="3821"/>
      <c r="CP2" s="3848"/>
      <c r="CQ2" s="3820">
        <f ca="1">OFFSET(InputY!$G$3,0,(COLUMN()-5)/6)</f>
        <v>2010</v>
      </c>
      <c r="CR2" s="3821"/>
      <c r="CS2" s="3821"/>
      <c r="CT2" s="3821"/>
      <c r="CU2" s="3821"/>
      <c r="CV2" s="3848"/>
      <c r="CW2" s="3820">
        <f ca="1">OFFSET(InputY!$G$3,0,(COLUMN()-5)/6)</f>
        <v>2011</v>
      </c>
      <c r="CX2" s="3821"/>
      <c r="CY2" s="3821"/>
      <c r="CZ2" s="3821"/>
      <c r="DA2" s="3821"/>
      <c r="DB2" s="3848"/>
      <c r="DC2" s="3820">
        <f ca="1">OFFSET(InputY!$G$3,0,(COLUMN()-5)/6)</f>
        <v>2012</v>
      </c>
      <c r="DD2" s="3821"/>
      <c r="DE2" s="3821"/>
      <c r="DF2" s="3821"/>
      <c r="DG2" s="3821"/>
      <c r="DH2" s="3848"/>
      <c r="DI2" s="3820">
        <f ca="1">OFFSET(InputY!$G$3,0,(COLUMN()-5)/6)</f>
        <v>2013</v>
      </c>
      <c r="DJ2" s="3821"/>
      <c r="DK2" s="3821"/>
      <c r="DL2" s="3821"/>
      <c r="DM2" s="3821"/>
      <c r="DN2" s="3848"/>
      <c r="DO2" s="3820">
        <f ca="1">OFFSET(InputY!$G$3,0,(COLUMN()-5)/6)</f>
        <v>2014</v>
      </c>
      <c r="DP2" s="3821"/>
      <c r="DQ2" s="3821"/>
      <c r="DR2" s="3821"/>
      <c r="DS2" s="3821"/>
      <c r="DT2" s="3848"/>
      <c r="DU2" s="3820">
        <f ca="1">OFFSET(InputY!$G$3,0,(COLUMN()-5)/6)</f>
        <v>2015</v>
      </c>
      <c r="DV2" s="3821"/>
      <c r="DW2" s="3821"/>
      <c r="DX2" s="3821"/>
      <c r="DY2" s="3821"/>
      <c r="DZ2" s="3848"/>
      <c r="EA2" s="3820">
        <f ca="1">OFFSET(InputY!$G$3,0,(COLUMN()-5)/6)</f>
        <v>2016</v>
      </c>
      <c r="EB2" s="3873"/>
      <c r="EC2" s="3873"/>
      <c r="ED2" s="3873"/>
      <c r="EE2" s="3873"/>
      <c r="EF2" s="3874"/>
      <c r="EG2" s="3820">
        <f ca="1">OFFSET(InputY!$G$3,0,(COLUMN()-5)/6)</f>
        <v>2017</v>
      </c>
      <c r="EH2" s="3821"/>
      <c r="EI2" s="3821"/>
      <c r="EJ2" s="3821"/>
      <c r="EK2" s="3821"/>
      <c r="EL2" s="3848"/>
      <c r="EM2" s="3820">
        <f ca="1">OFFSET(InputY!$G$3,0,(COLUMN()-5)/6)</f>
        <v>2018</v>
      </c>
      <c r="EN2" s="3821"/>
      <c r="EO2" s="3821"/>
      <c r="EP2" s="3821"/>
      <c r="EQ2" s="3821"/>
      <c r="ER2" s="3848"/>
      <c r="ES2" s="3820">
        <f ca="1">OFFSET(InputY!$G$3,0,(COLUMN()-5)/6)</f>
        <v>2019</v>
      </c>
      <c r="ET2" s="3821"/>
      <c r="EU2" s="3821"/>
      <c r="EV2" s="3821"/>
      <c r="EW2" s="3821"/>
      <c r="EX2" s="3848"/>
      <c r="EY2" s="3820">
        <f ca="1">OFFSET(InputY!$G$3,0,(COLUMN()-5)/6)</f>
        <v>2020</v>
      </c>
      <c r="EZ2" s="3821"/>
      <c r="FA2" s="3821"/>
      <c r="FB2" s="3821"/>
      <c r="FC2" s="3821"/>
      <c r="FD2" s="3848"/>
    </row>
    <row r="3" spans="1:160">
      <c r="D3" s="548"/>
      <c r="E3" s="3849"/>
      <c r="F3" s="3850"/>
      <c r="G3" s="3850"/>
      <c r="H3" s="3850"/>
      <c r="I3" s="3850"/>
      <c r="J3" s="3851"/>
      <c r="K3" s="3849"/>
      <c r="L3" s="3850"/>
      <c r="M3" s="3850"/>
      <c r="N3" s="3850"/>
      <c r="O3" s="3850"/>
      <c r="P3" s="3851"/>
      <c r="Q3" s="3849"/>
      <c r="R3" s="3850"/>
      <c r="S3" s="3850"/>
      <c r="T3" s="3850"/>
      <c r="U3" s="3850"/>
      <c r="V3" s="3851"/>
      <c r="W3" s="3849"/>
      <c r="X3" s="3850"/>
      <c r="Y3" s="3850"/>
      <c r="Z3" s="3850"/>
      <c r="AA3" s="3850"/>
      <c r="AB3" s="3851"/>
      <c r="AC3" s="3849"/>
      <c r="AD3" s="3850"/>
      <c r="AE3" s="3850"/>
      <c r="AF3" s="3850"/>
      <c r="AG3" s="3850"/>
      <c r="AH3" s="3851"/>
      <c r="AI3" s="3849"/>
      <c r="AJ3" s="3850"/>
      <c r="AK3" s="3850"/>
      <c r="AL3" s="3850"/>
      <c r="AM3" s="3850"/>
      <c r="AN3" s="3851"/>
      <c r="AO3" s="3849"/>
      <c r="AP3" s="3850"/>
      <c r="AQ3" s="3850"/>
      <c r="AR3" s="3850"/>
      <c r="AS3" s="3850"/>
      <c r="AT3" s="3851"/>
      <c r="AU3" s="3849"/>
      <c r="AV3" s="3850"/>
      <c r="AW3" s="3850"/>
      <c r="AX3" s="3850"/>
      <c r="AY3" s="3850"/>
      <c r="AZ3" s="3851"/>
      <c r="BA3" s="3849"/>
      <c r="BB3" s="3850"/>
      <c r="BC3" s="3850"/>
      <c r="BD3" s="3850"/>
      <c r="BE3" s="3850"/>
      <c r="BF3" s="3851"/>
      <c r="BG3" s="3849"/>
      <c r="BH3" s="3850"/>
      <c r="BI3" s="3850"/>
      <c r="BJ3" s="3850"/>
      <c r="BK3" s="3850"/>
      <c r="BL3" s="3851"/>
      <c r="BM3" s="3849"/>
      <c r="BN3" s="3850"/>
      <c r="BO3" s="3850"/>
      <c r="BP3" s="3850"/>
      <c r="BQ3" s="3850"/>
      <c r="BR3" s="3851"/>
      <c r="BS3" s="3849"/>
      <c r="BT3" s="3850"/>
      <c r="BU3" s="3850"/>
      <c r="BV3" s="3850"/>
      <c r="BW3" s="3850"/>
      <c r="BX3" s="3851"/>
      <c r="BY3" s="3849"/>
      <c r="BZ3" s="3850"/>
      <c r="CA3" s="3850"/>
      <c r="CB3" s="3850"/>
      <c r="CC3" s="3850"/>
      <c r="CD3" s="3851"/>
      <c r="CE3" s="3849"/>
      <c r="CF3" s="3850"/>
      <c r="CG3" s="3850"/>
      <c r="CH3" s="3850"/>
      <c r="CI3" s="3850"/>
      <c r="CJ3" s="3851"/>
      <c r="CK3" s="3849"/>
      <c r="CL3" s="3850"/>
      <c r="CM3" s="3850"/>
      <c r="CN3" s="3850"/>
      <c r="CO3" s="3850"/>
      <c r="CP3" s="3851"/>
      <c r="CQ3" s="3849"/>
      <c r="CR3" s="3850"/>
      <c r="CS3" s="3850"/>
      <c r="CT3" s="3850"/>
      <c r="CU3" s="3850"/>
      <c r="CV3" s="3851"/>
      <c r="CW3" s="3849"/>
      <c r="CX3" s="3850"/>
      <c r="CY3" s="3850"/>
      <c r="CZ3" s="3850"/>
      <c r="DA3" s="3850"/>
      <c r="DB3" s="3851"/>
      <c r="DC3" s="3849"/>
      <c r="DD3" s="3850"/>
      <c r="DE3" s="3850"/>
      <c r="DF3" s="3850"/>
      <c r="DG3" s="3850"/>
      <c r="DH3" s="3851"/>
      <c r="DI3" s="3849"/>
      <c r="DJ3" s="3850"/>
      <c r="DK3" s="3850"/>
      <c r="DL3" s="3850"/>
      <c r="DM3" s="3850"/>
      <c r="DN3" s="3851"/>
      <c r="DO3" s="3849"/>
      <c r="DP3" s="3850"/>
      <c r="DQ3" s="3850"/>
      <c r="DR3" s="3850"/>
      <c r="DS3" s="3850"/>
      <c r="DT3" s="3851"/>
      <c r="DU3" s="3849"/>
      <c r="DV3" s="3850"/>
      <c r="DW3" s="3850"/>
      <c r="DX3" s="3850"/>
      <c r="DY3" s="3850"/>
      <c r="DZ3" s="3851"/>
      <c r="EA3" s="3875"/>
      <c r="EB3" s="3876"/>
      <c r="EC3" s="3876"/>
      <c r="ED3" s="3876"/>
      <c r="EE3" s="3876"/>
      <c r="EF3" s="3877"/>
      <c r="EG3" s="3849"/>
      <c r="EH3" s="3850"/>
      <c r="EI3" s="3850"/>
      <c r="EJ3" s="3850"/>
      <c r="EK3" s="3850"/>
      <c r="EL3" s="3851"/>
      <c r="EM3" s="3849"/>
      <c r="EN3" s="3850"/>
      <c r="EO3" s="3850"/>
      <c r="EP3" s="3850"/>
      <c r="EQ3" s="3850"/>
      <c r="ER3" s="3851"/>
      <c r="ES3" s="3849"/>
      <c r="ET3" s="3850"/>
      <c r="EU3" s="3850"/>
      <c r="EV3" s="3850"/>
      <c r="EW3" s="3850"/>
      <c r="EX3" s="3851"/>
      <c r="EY3" s="3849"/>
      <c r="EZ3" s="3850"/>
      <c r="FA3" s="3850"/>
      <c r="FB3" s="3850"/>
      <c r="FC3" s="3850"/>
      <c r="FD3" s="3851"/>
    </row>
    <row r="4" spans="1:160" ht="13.15">
      <c r="E4" s="549" t="s">
        <v>663</v>
      </c>
      <c r="F4" s="549" t="s">
        <v>664</v>
      </c>
      <c r="G4" s="549" t="s">
        <v>665</v>
      </c>
      <c r="H4" s="549" t="s">
        <v>666</v>
      </c>
      <c r="I4" s="549" t="s">
        <v>667</v>
      </c>
      <c r="J4" s="549" t="s">
        <v>668</v>
      </c>
      <c r="K4" s="549" t="s">
        <v>663</v>
      </c>
      <c r="L4" s="549" t="s">
        <v>664</v>
      </c>
      <c r="M4" s="549" t="s">
        <v>665</v>
      </c>
      <c r="N4" s="549" t="s">
        <v>666</v>
      </c>
      <c r="O4" s="549" t="s">
        <v>667</v>
      </c>
      <c r="P4" s="549" t="s">
        <v>668</v>
      </c>
      <c r="Q4" s="549" t="s">
        <v>663</v>
      </c>
      <c r="R4" s="549" t="s">
        <v>664</v>
      </c>
      <c r="S4" s="549" t="s">
        <v>665</v>
      </c>
      <c r="T4" s="549" t="s">
        <v>666</v>
      </c>
      <c r="U4" s="549" t="s">
        <v>667</v>
      </c>
      <c r="V4" s="549" t="s">
        <v>668</v>
      </c>
      <c r="W4" s="549" t="s">
        <v>663</v>
      </c>
      <c r="X4" s="549" t="s">
        <v>664</v>
      </c>
      <c r="Y4" s="549" t="s">
        <v>665</v>
      </c>
      <c r="Z4" s="549" t="s">
        <v>666</v>
      </c>
      <c r="AA4" s="549" t="s">
        <v>667</v>
      </c>
      <c r="AB4" s="549" t="s">
        <v>668</v>
      </c>
      <c r="AC4" s="549" t="s">
        <v>663</v>
      </c>
      <c r="AD4" s="549" t="s">
        <v>664</v>
      </c>
      <c r="AE4" s="549" t="s">
        <v>665</v>
      </c>
      <c r="AF4" s="549" t="s">
        <v>666</v>
      </c>
      <c r="AG4" s="549" t="s">
        <v>667</v>
      </c>
      <c r="AH4" s="549" t="s">
        <v>668</v>
      </c>
      <c r="AI4" s="549" t="s">
        <v>663</v>
      </c>
      <c r="AJ4" s="549" t="s">
        <v>664</v>
      </c>
      <c r="AK4" s="549" t="s">
        <v>665</v>
      </c>
      <c r="AL4" s="549" t="s">
        <v>666</v>
      </c>
      <c r="AM4" s="549" t="s">
        <v>667</v>
      </c>
      <c r="AN4" s="549" t="s">
        <v>668</v>
      </c>
      <c r="AO4" s="549" t="s">
        <v>663</v>
      </c>
      <c r="AP4" s="549" t="s">
        <v>664</v>
      </c>
      <c r="AQ4" s="549" t="s">
        <v>665</v>
      </c>
      <c r="AR4" s="549" t="s">
        <v>666</v>
      </c>
      <c r="AS4" s="549" t="s">
        <v>667</v>
      </c>
      <c r="AT4" s="549" t="s">
        <v>668</v>
      </c>
      <c r="AU4" s="549" t="s">
        <v>663</v>
      </c>
      <c r="AV4" s="549" t="s">
        <v>664</v>
      </c>
      <c r="AW4" s="549" t="s">
        <v>665</v>
      </c>
      <c r="AX4" s="549" t="s">
        <v>666</v>
      </c>
      <c r="AY4" s="549" t="s">
        <v>667</v>
      </c>
      <c r="AZ4" s="549" t="s">
        <v>668</v>
      </c>
      <c r="BA4" s="549" t="s">
        <v>663</v>
      </c>
      <c r="BB4" s="549" t="s">
        <v>664</v>
      </c>
      <c r="BC4" s="549" t="s">
        <v>665</v>
      </c>
      <c r="BD4" s="549" t="s">
        <v>666</v>
      </c>
      <c r="BE4" s="549" t="s">
        <v>667</v>
      </c>
      <c r="BF4" s="549" t="s">
        <v>668</v>
      </c>
      <c r="BG4" s="549" t="s">
        <v>663</v>
      </c>
      <c r="BH4" s="549" t="s">
        <v>664</v>
      </c>
      <c r="BI4" s="549" t="s">
        <v>665</v>
      </c>
      <c r="BJ4" s="549" t="s">
        <v>666</v>
      </c>
      <c r="BK4" s="549" t="s">
        <v>667</v>
      </c>
      <c r="BL4" s="549" t="s">
        <v>668</v>
      </c>
      <c r="BM4" s="549" t="s">
        <v>663</v>
      </c>
      <c r="BN4" s="549" t="s">
        <v>664</v>
      </c>
      <c r="BO4" s="549" t="s">
        <v>665</v>
      </c>
      <c r="BP4" s="549" t="s">
        <v>666</v>
      </c>
      <c r="BQ4" s="549" t="s">
        <v>667</v>
      </c>
      <c r="BR4" s="549" t="s">
        <v>668</v>
      </c>
      <c r="BS4" s="549" t="s">
        <v>663</v>
      </c>
      <c r="BT4" s="549" t="s">
        <v>664</v>
      </c>
      <c r="BU4" s="549" t="s">
        <v>665</v>
      </c>
      <c r="BV4" s="549" t="s">
        <v>666</v>
      </c>
      <c r="BW4" s="549" t="s">
        <v>667</v>
      </c>
      <c r="BX4" s="549" t="s">
        <v>668</v>
      </c>
      <c r="BY4" s="549" t="s">
        <v>663</v>
      </c>
      <c r="BZ4" s="549" t="s">
        <v>664</v>
      </c>
      <c r="CA4" s="549" t="s">
        <v>665</v>
      </c>
      <c r="CB4" s="549" t="s">
        <v>666</v>
      </c>
      <c r="CC4" s="549" t="s">
        <v>667</v>
      </c>
      <c r="CD4" s="549" t="s">
        <v>668</v>
      </c>
      <c r="CE4" s="549" t="s">
        <v>663</v>
      </c>
      <c r="CF4" s="549" t="s">
        <v>664</v>
      </c>
      <c r="CG4" s="549" t="s">
        <v>665</v>
      </c>
      <c r="CH4" s="549" t="s">
        <v>666</v>
      </c>
      <c r="CI4" s="549" t="s">
        <v>667</v>
      </c>
      <c r="CJ4" s="549" t="s">
        <v>668</v>
      </c>
      <c r="CK4" s="549" t="s">
        <v>663</v>
      </c>
      <c r="CL4" s="549" t="s">
        <v>664</v>
      </c>
      <c r="CM4" s="549" t="s">
        <v>665</v>
      </c>
      <c r="CN4" s="549" t="s">
        <v>666</v>
      </c>
      <c r="CO4" s="549" t="s">
        <v>667</v>
      </c>
      <c r="CP4" s="549" t="s">
        <v>668</v>
      </c>
      <c r="CQ4" s="549" t="s">
        <v>663</v>
      </c>
      <c r="CR4" s="549" t="s">
        <v>664</v>
      </c>
      <c r="CS4" s="549" t="s">
        <v>665</v>
      </c>
      <c r="CT4" s="549" t="s">
        <v>666</v>
      </c>
      <c r="CU4" s="549" t="s">
        <v>667</v>
      </c>
      <c r="CV4" s="549" t="s">
        <v>668</v>
      </c>
      <c r="CW4" s="549" t="s">
        <v>663</v>
      </c>
      <c r="CX4" s="549" t="s">
        <v>664</v>
      </c>
      <c r="CY4" s="549" t="s">
        <v>665</v>
      </c>
      <c r="CZ4" s="549" t="s">
        <v>666</v>
      </c>
      <c r="DA4" s="549" t="s">
        <v>667</v>
      </c>
      <c r="DB4" s="549" t="s">
        <v>668</v>
      </c>
      <c r="DC4" s="549" t="s">
        <v>663</v>
      </c>
      <c r="DD4" s="549" t="s">
        <v>664</v>
      </c>
      <c r="DE4" s="549" t="s">
        <v>665</v>
      </c>
      <c r="DF4" s="549" t="s">
        <v>666</v>
      </c>
      <c r="DG4" s="549" t="s">
        <v>667</v>
      </c>
      <c r="DH4" s="549" t="s">
        <v>668</v>
      </c>
      <c r="DI4" s="549" t="s">
        <v>663</v>
      </c>
      <c r="DJ4" s="549" t="s">
        <v>664</v>
      </c>
      <c r="DK4" s="549" t="s">
        <v>665</v>
      </c>
      <c r="DL4" s="549" t="s">
        <v>666</v>
      </c>
      <c r="DM4" s="549" t="s">
        <v>667</v>
      </c>
      <c r="DN4" s="549" t="s">
        <v>668</v>
      </c>
      <c r="DO4" s="549" t="s">
        <v>663</v>
      </c>
      <c r="DP4" s="549" t="s">
        <v>664</v>
      </c>
      <c r="DQ4" s="549" t="s">
        <v>665</v>
      </c>
      <c r="DR4" s="549" t="s">
        <v>666</v>
      </c>
      <c r="DS4" s="549" t="s">
        <v>667</v>
      </c>
      <c r="DT4" s="549" t="s">
        <v>668</v>
      </c>
      <c r="DU4" s="549" t="s">
        <v>663</v>
      </c>
      <c r="DV4" s="549" t="s">
        <v>664</v>
      </c>
      <c r="DW4" s="549" t="s">
        <v>665</v>
      </c>
      <c r="DX4" s="549" t="s">
        <v>666</v>
      </c>
      <c r="DY4" s="549" t="s">
        <v>667</v>
      </c>
      <c r="DZ4" s="549" t="s">
        <v>668</v>
      </c>
      <c r="EA4" s="549" t="s">
        <v>663</v>
      </c>
      <c r="EB4" s="549" t="s">
        <v>664</v>
      </c>
      <c r="EC4" s="549" t="s">
        <v>665</v>
      </c>
      <c r="ED4" s="549" t="s">
        <v>666</v>
      </c>
      <c r="EE4" s="549" t="s">
        <v>667</v>
      </c>
      <c r="EF4" s="549" t="s">
        <v>668</v>
      </c>
      <c r="EG4" s="549" t="s">
        <v>663</v>
      </c>
      <c r="EH4" s="549" t="s">
        <v>664</v>
      </c>
      <c r="EI4" s="549" t="s">
        <v>665</v>
      </c>
      <c r="EJ4" s="549" t="s">
        <v>666</v>
      </c>
      <c r="EK4" s="549" t="s">
        <v>667</v>
      </c>
      <c r="EL4" s="549" t="s">
        <v>668</v>
      </c>
      <c r="EM4" s="549" t="s">
        <v>663</v>
      </c>
      <c r="EN4" s="549" t="s">
        <v>664</v>
      </c>
      <c r="EO4" s="549" t="s">
        <v>665</v>
      </c>
      <c r="EP4" s="549" t="s">
        <v>666</v>
      </c>
      <c r="EQ4" s="549" t="s">
        <v>667</v>
      </c>
      <c r="ER4" s="549" t="s">
        <v>668</v>
      </c>
      <c r="ES4" s="549" t="s">
        <v>663</v>
      </c>
      <c r="ET4" s="549" t="s">
        <v>664</v>
      </c>
      <c r="EU4" s="549" t="s">
        <v>665</v>
      </c>
      <c r="EV4" s="549" t="s">
        <v>666</v>
      </c>
      <c r="EW4" s="549" t="s">
        <v>667</v>
      </c>
      <c r="EX4" s="549" t="s">
        <v>668</v>
      </c>
      <c r="EY4" s="549" t="s">
        <v>663</v>
      </c>
      <c r="EZ4" s="549" t="s">
        <v>664</v>
      </c>
      <c r="FA4" s="549" t="s">
        <v>665</v>
      </c>
      <c r="FB4" s="549" t="s">
        <v>666</v>
      </c>
      <c r="FC4" s="549" t="s">
        <v>667</v>
      </c>
      <c r="FD4" s="549" t="s">
        <v>668</v>
      </c>
    </row>
    <row r="5" spans="1:160" ht="13.15">
      <c r="A5" s="550"/>
      <c r="B5" s="551"/>
      <c r="C5" s="3864" t="s">
        <v>1216</v>
      </c>
      <c r="D5" s="3865"/>
      <c r="E5" s="1228">
        <f ca="1">OFFSET('VVP2'!$G$341,0,(COLUMN()-5)/6)</f>
        <v>1885.6479999999999</v>
      </c>
      <c r="F5" s="552"/>
      <c r="G5" s="552"/>
      <c r="H5" s="552"/>
      <c r="I5" s="552"/>
      <c r="J5" s="553"/>
      <c r="K5" s="1228">
        <f ca="1">OFFSET('VVP2'!$G$341,0,(COLUMN()-5)/6)</f>
        <v>1934.3779999999999</v>
      </c>
      <c r="L5" s="552"/>
      <c r="M5" s="552"/>
      <c r="N5" s="552"/>
      <c r="O5" s="552"/>
      <c r="P5" s="553"/>
      <c r="Q5" s="1228">
        <f ca="1">OFFSET('VVP2'!$G$341,0,(COLUMN()-5)/6)</f>
        <v>2021.9780000000001</v>
      </c>
      <c r="R5" s="552"/>
      <c r="S5" s="552"/>
      <c r="T5" s="552"/>
      <c r="U5" s="552"/>
      <c r="V5" s="553"/>
      <c r="W5" s="1228">
        <f ca="1">OFFSET('VVP2'!$G$341,0,(COLUMN()-5)/6)</f>
        <v>2124.4059999999999</v>
      </c>
      <c r="X5" s="552"/>
      <c r="Y5" s="552"/>
      <c r="Z5" s="552"/>
      <c r="AA5" s="552"/>
      <c r="AB5" s="553"/>
      <c r="AC5" s="1228">
        <f ca="1">OFFSET('VVP2'!$G$341,0,(COLUMN()-5)/6)</f>
        <v>2240.5729999999999</v>
      </c>
      <c r="AD5" s="552"/>
      <c r="AE5" s="552"/>
      <c r="AF5" s="552"/>
      <c r="AG5" s="552"/>
      <c r="AH5" s="553"/>
      <c r="AI5" s="1228">
        <f ca="1">OFFSET('VVP2'!$G$341,0,(COLUMN()-5)/6)</f>
        <v>2383.6260000000002</v>
      </c>
      <c r="AJ5" s="552"/>
      <c r="AK5" s="552"/>
      <c r="AL5" s="552"/>
      <c r="AM5" s="552"/>
      <c r="AN5" s="553"/>
      <c r="AO5" s="1228">
        <f ca="1">OFFSET('VVP2'!$G$341,0,(COLUMN()-5)/6)</f>
        <v>2481.9160000000002</v>
      </c>
      <c r="AP5" s="552"/>
      <c r="AQ5" s="552"/>
      <c r="AR5" s="552"/>
      <c r="AS5" s="552"/>
      <c r="AT5" s="553"/>
      <c r="AU5" s="1228">
        <f ca="1">OFFSET('VVP2'!$G$341,0,(COLUMN()-5)/6)</f>
        <v>2573.9589999999998</v>
      </c>
      <c r="AV5" s="552"/>
      <c r="AW5" s="552"/>
      <c r="AX5" s="552"/>
      <c r="AY5" s="552"/>
      <c r="AZ5" s="553"/>
      <c r="BA5" s="1228">
        <f ca="1">OFFSET('VVP2'!$G$341,0,(COLUMN()-5)/6)</f>
        <v>2680.8629999999998</v>
      </c>
      <c r="BB5" s="552"/>
      <c r="BC5" s="552"/>
      <c r="BD5" s="552"/>
      <c r="BE5" s="552"/>
      <c r="BF5" s="553"/>
      <c r="BG5" s="1228">
        <f ca="1">OFFSET('VVP2'!$G$341,0,(COLUMN()-5)/6)</f>
        <v>2808.4029999999998</v>
      </c>
      <c r="BH5" s="552"/>
      <c r="BI5" s="552"/>
      <c r="BJ5" s="552"/>
      <c r="BK5" s="552"/>
      <c r="BL5" s="553"/>
      <c r="BM5" s="1228">
        <f ca="1">OFFSET('VVP2'!$G$341,0,(COLUMN()-5)/6)</f>
        <v>2910.683</v>
      </c>
      <c r="BN5" s="552"/>
      <c r="BO5" s="552"/>
      <c r="BP5" s="552"/>
      <c r="BQ5" s="552"/>
      <c r="BR5" s="553"/>
      <c r="BS5" s="1228">
        <f ca="1">OFFSET('VVP2'!$G$341,0,(COLUMN()-5)/6)</f>
        <v>3102.8339999999998</v>
      </c>
      <c r="BT5" s="552"/>
      <c r="BU5" s="552"/>
      <c r="BV5" s="552"/>
      <c r="BW5" s="552"/>
      <c r="BX5" s="553"/>
      <c r="BY5" s="1228">
        <f ca="1">OFFSET('VVP2'!$G$341,0,(COLUMN()-5)/6)</f>
        <v>3300.9830000000002</v>
      </c>
      <c r="BZ5" s="552"/>
      <c r="CA5" s="552"/>
      <c r="CB5" s="552"/>
      <c r="CC5" s="552"/>
      <c r="CD5" s="553"/>
      <c r="CE5" s="1228">
        <f ca="1">OFFSET('VVP2'!$G$341,0,(COLUMN()-5)/6)</f>
        <v>3391.681</v>
      </c>
      <c r="CF5" s="552"/>
      <c r="CG5" s="552"/>
      <c r="CH5" s="552"/>
      <c r="CI5" s="552"/>
      <c r="CJ5" s="553"/>
      <c r="CK5" s="1228">
        <f ca="1">OFFSET('VVP2'!$G$341,0,(COLUMN()-5)/6)</f>
        <v>3292.009</v>
      </c>
      <c r="CL5" s="552"/>
      <c r="CM5" s="552"/>
      <c r="CN5" s="552"/>
      <c r="CO5" s="552"/>
      <c r="CP5" s="553"/>
      <c r="CQ5" s="1228">
        <f ca="1">OFFSET('VVP2'!$G$341,0,(COLUMN()-5)/6)</f>
        <v>3523.8240000000001</v>
      </c>
      <c r="CR5" s="552"/>
      <c r="CS5" s="552"/>
      <c r="CT5" s="552"/>
      <c r="CU5" s="552"/>
      <c r="CV5" s="553"/>
      <c r="CW5" s="1228">
        <f ca="1">OFFSET('VVP2'!$G$341,0,(COLUMN()-5)/6)</f>
        <v>3661.0430000000001</v>
      </c>
      <c r="CX5" s="552"/>
      <c r="CY5" s="552"/>
      <c r="CZ5" s="552"/>
      <c r="DA5" s="552"/>
      <c r="DB5" s="553"/>
      <c r="DC5" s="1228">
        <f ca="1">OFFSET('VVP2'!$G$341,0,(COLUMN()-5)/6)</f>
        <v>3688.8710000000001</v>
      </c>
      <c r="DD5" s="552"/>
      <c r="DE5" s="552"/>
      <c r="DF5" s="552"/>
      <c r="DG5" s="552"/>
      <c r="DH5" s="553"/>
      <c r="DI5" s="1228">
        <f ca="1">OFFSET('VVP2'!$G$341,0,(COLUMN()-5)/6)</f>
        <v>3773.9389999999999</v>
      </c>
      <c r="DJ5" s="552"/>
      <c r="DK5" s="552"/>
      <c r="DL5" s="552"/>
      <c r="DM5" s="552"/>
      <c r="DN5" s="553"/>
      <c r="DO5" s="1228">
        <f ca="1">OFFSET('VVP2'!$G$341,0,(COLUMN()-5)/6)</f>
        <v>3940.9250000000002</v>
      </c>
      <c r="DP5" s="552"/>
      <c r="DQ5" s="552"/>
      <c r="DR5" s="552"/>
      <c r="DS5" s="552"/>
      <c r="DT5" s="553"/>
      <c r="DU5" s="1228">
        <f ca="1">OFFSET('VVP2'!$G$341,0,(COLUMN()-5)/6)</f>
        <v>4201.5429999999997</v>
      </c>
      <c r="DV5" s="552"/>
      <c r="DW5" s="552"/>
      <c r="DX5" s="552"/>
      <c r="DY5" s="552"/>
      <c r="DZ5" s="553"/>
      <c r="EA5" s="1228">
        <f ca="1">OFFSET('VVP2'!$G$341,0,(COLUMN()-5)/6)</f>
        <v>4385.4970000000003</v>
      </c>
      <c r="EB5" s="552"/>
      <c r="EC5" s="552"/>
      <c r="ED5" s="552"/>
      <c r="EE5" s="552"/>
      <c r="EF5" s="553"/>
      <c r="EG5" s="1228">
        <f ca="1">OFFSET('VVP2'!$G$341,0,(COLUMN()-5)/6)</f>
        <v>4578.8990000000003</v>
      </c>
      <c r="EH5" s="552"/>
      <c r="EI5" s="552"/>
      <c r="EJ5" s="552"/>
      <c r="EK5" s="552"/>
      <c r="EL5" s="553"/>
      <c r="EM5" s="1228">
        <f ca="1">OFFSET('VVP2'!$G$341,0,(COLUMN()-5)/6)</f>
        <v>4803.175142808399</v>
      </c>
      <c r="EN5" s="552"/>
      <c r="EO5" s="552"/>
      <c r="EP5" s="552"/>
      <c r="EQ5" s="552"/>
      <c r="ER5" s="553"/>
      <c r="ES5" s="1228">
        <f ca="1">OFFSET('VVP2'!$G$341,0,(COLUMN()-5)/6)</f>
        <v>4984.7963994590627</v>
      </c>
      <c r="ET5" s="552"/>
      <c r="EU5" s="552"/>
      <c r="EV5" s="552"/>
      <c r="EW5" s="552"/>
      <c r="EX5" s="553"/>
      <c r="EY5" s="1228">
        <f ca="1">OFFSET('VVP2'!$G$341,0,(COLUMN()-5)/6)</f>
        <v>5161.5156149911854</v>
      </c>
      <c r="EZ5" s="552"/>
      <c r="FA5" s="552"/>
      <c r="FB5" s="552"/>
      <c r="FC5" s="552"/>
      <c r="FD5" s="553"/>
    </row>
    <row r="6" spans="1:160" ht="13.15">
      <c r="A6" s="554"/>
      <c r="B6" s="555" t="s">
        <v>301</v>
      </c>
      <c r="C6" s="3855" t="s">
        <v>1790</v>
      </c>
      <c r="D6" s="3856"/>
      <c r="E6" s="556">
        <f ca="1">OFFSET(Sector1!$G$8,0,(COLUMN()-5)/6)</f>
        <v>246.97300000000001</v>
      </c>
      <c r="F6" s="557"/>
      <c r="G6" s="557"/>
      <c r="H6" s="557"/>
      <c r="I6" s="558"/>
      <c r="J6" s="553"/>
      <c r="K6" s="556">
        <f ca="1">OFFSET(Sector1!$G$8,0,(COLUMN()-5)/6)</f>
        <v>245.548</v>
      </c>
      <c r="L6" s="557"/>
      <c r="M6" s="557"/>
      <c r="N6" s="557"/>
      <c r="O6" s="558"/>
      <c r="P6" s="553"/>
      <c r="Q6" s="556">
        <f ca="1">OFFSET(Sector1!$G$8,0,(COLUMN()-5)/6)</f>
        <v>250.83</v>
      </c>
      <c r="R6" s="557"/>
      <c r="S6" s="557"/>
      <c r="T6" s="557"/>
      <c r="U6" s="558"/>
      <c r="V6" s="553"/>
      <c r="W6" s="556">
        <f ca="1">OFFSET(Sector1!$G$8,0,(COLUMN()-5)/6)</f>
        <v>265.70999999999998</v>
      </c>
      <c r="X6" s="557"/>
      <c r="Y6" s="557"/>
      <c r="Z6" s="557"/>
      <c r="AA6" s="558"/>
      <c r="AB6" s="553"/>
      <c r="AC6" s="556">
        <f ca="1">OFFSET(Sector1!$G$8,0,(COLUMN()-5)/6)</f>
        <v>279.92</v>
      </c>
      <c r="AD6" s="557"/>
      <c r="AE6" s="557"/>
      <c r="AF6" s="557"/>
      <c r="AG6" s="558"/>
      <c r="AH6" s="553"/>
      <c r="AI6" s="556">
        <f ca="1">OFFSET(Sector1!$G$8,0,(COLUMN()-5)/6)</f>
        <v>289.39800000000002</v>
      </c>
      <c r="AJ6" s="557"/>
      <c r="AK6" s="557"/>
      <c r="AL6" s="557"/>
      <c r="AM6" s="558"/>
      <c r="AN6" s="553"/>
      <c r="AO6" s="556">
        <f ca="1">OFFSET(Sector1!$G$8,0,(COLUMN()-5)/6)</f>
        <v>304.61599999999999</v>
      </c>
      <c r="AP6" s="557"/>
      <c r="AQ6" s="557"/>
      <c r="AR6" s="557"/>
      <c r="AS6" s="558"/>
      <c r="AT6" s="553"/>
      <c r="AU6" s="556">
        <f ca="1">OFFSET(Sector1!$G$8,0,(COLUMN()-5)/6)</f>
        <v>319.82799999999997</v>
      </c>
      <c r="AV6" s="557"/>
      <c r="AW6" s="557"/>
      <c r="AX6" s="557"/>
      <c r="AY6" s="558"/>
      <c r="AZ6" s="553"/>
      <c r="BA6" s="556">
        <f ca="1">OFFSET(Sector1!$G$8,0,(COLUMN()-5)/6)</f>
        <v>333.041</v>
      </c>
      <c r="BB6" s="557"/>
      <c r="BC6" s="557"/>
      <c r="BD6" s="557"/>
      <c r="BE6" s="558"/>
      <c r="BF6" s="553"/>
      <c r="BG6" s="556">
        <f ca="1">OFFSET(Sector1!$G$8,0,(COLUMN()-5)/6)</f>
        <v>344.54300000000001</v>
      </c>
      <c r="BH6" s="557"/>
      <c r="BI6" s="557"/>
      <c r="BJ6" s="557"/>
      <c r="BK6" s="558"/>
      <c r="BL6" s="553"/>
      <c r="BM6" s="556">
        <f ca="1">OFFSET(Sector1!$G$8,0,(COLUMN()-5)/6)</f>
        <v>362.31200000000001</v>
      </c>
      <c r="BN6" s="557"/>
      <c r="BO6" s="557"/>
      <c r="BP6" s="557"/>
      <c r="BQ6" s="558"/>
      <c r="BR6" s="553"/>
      <c r="BS6" s="556">
        <f ca="1">OFFSET(Sector1!$G$8,0,(COLUMN()-5)/6)</f>
        <v>382.39800000000002</v>
      </c>
      <c r="BT6" s="557"/>
      <c r="BU6" s="557"/>
      <c r="BV6" s="557"/>
      <c r="BW6" s="558"/>
      <c r="BX6" s="553"/>
      <c r="BY6" s="556">
        <f ca="1">OFFSET(Sector1!$G$8,0,(COLUMN()-5)/6)</f>
        <v>404.447</v>
      </c>
      <c r="BZ6" s="557"/>
      <c r="CA6" s="557"/>
      <c r="CB6" s="557"/>
      <c r="CC6" s="558"/>
      <c r="CD6" s="553"/>
      <c r="CE6" s="556">
        <f ca="1">OFFSET(Sector1!$G$8,0,(COLUMN()-5)/6)</f>
        <v>412.38499999999999</v>
      </c>
      <c r="CF6" s="557"/>
      <c r="CG6" s="557"/>
      <c r="CH6" s="557"/>
      <c r="CI6" s="558"/>
      <c r="CJ6" s="553"/>
      <c r="CK6" s="556">
        <f ca="1">OFFSET(Sector1!$G$8,0,(COLUMN()-5)/6)</f>
        <v>418.18099999999998</v>
      </c>
      <c r="CL6" s="557"/>
      <c r="CM6" s="557"/>
      <c r="CN6" s="557"/>
      <c r="CO6" s="558"/>
      <c r="CP6" s="553"/>
      <c r="CQ6" s="556">
        <f ca="1">OFFSET(Sector1!$G$8,0,(COLUMN()-5)/6)</f>
        <v>442.72</v>
      </c>
      <c r="CR6" s="557"/>
      <c r="CS6" s="557"/>
      <c r="CT6" s="557"/>
      <c r="CU6" s="558"/>
      <c r="CV6" s="553"/>
      <c r="CW6" s="556">
        <f ca="1">OFFSET(Sector1!$G$8,0,(COLUMN()-5)/6)</f>
        <v>452.01</v>
      </c>
      <c r="CX6" s="557"/>
      <c r="CY6" s="557"/>
      <c r="CZ6" s="557"/>
      <c r="DA6" s="558"/>
      <c r="DB6" s="553"/>
      <c r="DC6" s="556">
        <f ca="1">OFFSET(Sector1!$G$8,0,(COLUMN()-5)/6)</f>
        <v>449.36500000000001</v>
      </c>
      <c r="DD6" s="557"/>
      <c r="DE6" s="557"/>
      <c r="DF6" s="557"/>
      <c r="DG6" s="558"/>
      <c r="DH6" s="553"/>
      <c r="DI6" s="556">
        <f ca="1">OFFSET(Sector1!$G$8,0,(COLUMN()-5)/6)</f>
        <v>455.19499999999999</v>
      </c>
      <c r="DJ6" s="557"/>
      <c r="DK6" s="557"/>
      <c r="DL6" s="557"/>
      <c r="DM6" s="558"/>
      <c r="DN6" s="553"/>
      <c r="DO6" s="556">
        <f ca="1">OFFSET(Sector1!$G$8,0,(COLUMN()-5)/6)</f>
        <v>470.57299999999998</v>
      </c>
      <c r="DP6" s="557"/>
      <c r="DQ6" s="557"/>
      <c r="DR6" s="557"/>
      <c r="DS6" s="558"/>
      <c r="DT6" s="553"/>
      <c r="DU6" s="556">
        <f ca="1">OFFSET(Sector1!$G$8,0,(COLUMN()-5)/6)</f>
        <v>502.49</v>
      </c>
      <c r="DV6" s="557"/>
      <c r="DW6" s="557"/>
      <c r="DX6" s="557"/>
      <c r="DY6" s="558"/>
      <c r="DZ6" s="553"/>
      <c r="EA6" s="556">
        <f ca="1">OFFSET(Sector1!$G$8,0,(COLUMN()-5)/6)</f>
        <v>532.404</v>
      </c>
      <c r="EB6" s="557"/>
      <c r="EC6" s="557"/>
      <c r="ED6" s="557"/>
      <c r="EE6" s="558"/>
      <c r="EF6" s="553"/>
      <c r="EG6" s="556">
        <f ca="1">OFFSET(Sector1!$G$8,0,(COLUMN()-5)/6)</f>
        <v>554.44600000000003</v>
      </c>
      <c r="EH6" s="557"/>
      <c r="EI6" s="557"/>
      <c r="EJ6" s="557"/>
      <c r="EK6" s="558"/>
      <c r="EL6" s="553"/>
      <c r="EM6" s="556">
        <f ca="1">OFFSET(Sector1!$G$8,0,(COLUMN()-5)/6)</f>
        <v>581.83099683663374</v>
      </c>
      <c r="EN6" s="557"/>
      <c r="EO6" s="557"/>
      <c r="EP6" s="557"/>
      <c r="EQ6" s="558"/>
      <c r="ER6" s="553"/>
      <c r="ES6" s="556">
        <f ca="1">OFFSET(Sector1!$G$8,0,(COLUMN()-5)/6)</f>
        <v>607.37640427372526</v>
      </c>
      <c r="ET6" s="557"/>
      <c r="EU6" s="557"/>
      <c r="EV6" s="557"/>
      <c r="EW6" s="558"/>
      <c r="EX6" s="553"/>
      <c r="EY6" s="556">
        <f ca="1">OFFSET(Sector1!$G$8,0,(COLUMN()-5)/6)</f>
        <v>628.8625714624518</v>
      </c>
      <c r="EZ6" s="557"/>
      <c r="FA6" s="557"/>
      <c r="FB6" s="557"/>
      <c r="FC6" s="558"/>
      <c r="FD6" s="553"/>
    </row>
    <row r="7" spans="1:160" ht="13.15">
      <c r="A7" s="554"/>
      <c r="B7" s="555" t="s">
        <v>1791</v>
      </c>
      <c r="C7" s="3855" t="s">
        <v>1792</v>
      </c>
      <c r="D7" s="3856"/>
      <c r="E7" s="556">
        <f ca="1">OFFSET(Sector1!$G$45,0,(COLUMN()-5)/6)</f>
        <v>10.936999999999999</v>
      </c>
      <c r="F7" s="557"/>
      <c r="G7" s="557"/>
      <c r="H7" s="557"/>
      <c r="I7" s="558"/>
      <c r="J7" s="553"/>
      <c r="K7" s="556">
        <f ca="1">OFFSET(Sector1!$G$45,0,(COLUMN()-5)/6)</f>
        <v>11.108000000000001</v>
      </c>
      <c r="L7" s="557"/>
      <c r="M7" s="557"/>
      <c r="N7" s="557"/>
      <c r="O7" s="558"/>
      <c r="P7" s="553"/>
      <c r="Q7" s="556">
        <f ca="1">OFFSET(Sector1!$G$45,0,(COLUMN()-5)/6)</f>
        <v>11.273999999999999</v>
      </c>
      <c r="R7" s="557"/>
      <c r="S7" s="557"/>
      <c r="T7" s="557"/>
      <c r="U7" s="558"/>
      <c r="V7" s="553"/>
      <c r="W7" s="556">
        <f ca="1">OFFSET(Sector1!$G$45,0,(COLUMN()-5)/6)</f>
        <v>11.127000000000001</v>
      </c>
      <c r="X7" s="557"/>
      <c r="Y7" s="557"/>
      <c r="Z7" s="557"/>
      <c r="AA7" s="558"/>
      <c r="AB7" s="553"/>
      <c r="AC7" s="556">
        <f ca="1">OFFSET(Sector1!$G$45,0,(COLUMN()-5)/6)</f>
        <v>11.33</v>
      </c>
      <c r="AD7" s="557"/>
      <c r="AE7" s="557"/>
      <c r="AF7" s="557"/>
      <c r="AG7" s="558"/>
      <c r="AH7" s="553"/>
      <c r="AI7" s="556">
        <f ca="1">OFFSET(Sector1!$G$45,0,(COLUMN()-5)/6)</f>
        <v>12.817</v>
      </c>
      <c r="AJ7" s="557"/>
      <c r="AK7" s="557"/>
      <c r="AL7" s="557"/>
      <c r="AM7" s="558"/>
      <c r="AN7" s="553"/>
      <c r="AO7" s="556">
        <f ca="1">OFFSET(Sector1!$G$45,0,(COLUMN()-5)/6)</f>
        <v>13.778</v>
      </c>
      <c r="AP7" s="557"/>
      <c r="AQ7" s="557"/>
      <c r="AR7" s="557"/>
      <c r="AS7" s="558"/>
      <c r="AT7" s="553"/>
      <c r="AU7" s="556">
        <f ca="1">OFFSET(Sector1!$G$45,0,(COLUMN()-5)/6)</f>
        <v>14.742000000000001</v>
      </c>
      <c r="AV7" s="557"/>
      <c r="AW7" s="557"/>
      <c r="AX7" s="557"/>
      <c r="AY7" s="558"/>
      <c r="AZ7" s="553"/>
      <c r="BA7" s="556">
        <f ca="1">OFFSET(Sector1!$G$45,0,(COLUMN()-5)/6)</f>
        <v>15.972</v>
      </c>
      <c r="BB7" s="557"/>
      <c r="BC7" s="557"/>
      <c r="BD7" s="557"/>
      <c r="BE7" s="558"/>
      <c r="BF7" s="553"/>
      <c r="BG7" s="556">
        <f ca="1">OFFSET(Sector1!$G$45,0,(COLUMN()-5)/6)</f>
        <v>16.379000000000001</v>
      </c>
      <c r="BH7" s="557"/>
      <c r="BI7" s="557"/>
      <c r="BJ7" s="557"/>
      <c r="BK7" s="558"/>
      <c r="BL7" s="553"/>
      <c r="BM7" s="556">
        <f ca="1">OFFSET(Sector1!$G$45,0,(COLUMN()-5)/6)</f>
        <v>13.393000000000001</v>
      </c>
      <c r="BN7" s="557"/>
      <c r="BO7" s="557"/>
      <c r="BP7" s="557"/>
      <c r="BQ7" s="558"/>
      <c r="BR7" s="553"/>
      <c r="BS7" s="556">
        <f ca="1">OFFSET(Sector1!$G$45,0,(COLUMN()-5)/6)</f>
        <v>14.362</v>
      </c>
      <c r="BT7" s="557"/>
      <c r="BU7" s="557"/>
      <c r="BV7" s="557"/>
      <c r="BW7" s="558"/>
      <c r="BX7" s="553"/>
      <c r="BY7" s="556">
        <f ca="1">OFFSET(Sector1!$G$45,0,(COLUMN()-5)/6)</f>
        <v>15.207000000000001</v>
      </c>
      <c r="BZ7" s="557"/>
      <c r="CA7" s="557"/>
      <c r="CB7" s="557"/>
      <c r="CC7" s="558"/>
      <c r="CD7" s="553"/>
      <c r="CE7" s="556">
        <f ca="1">OFFSET(Sector1!$G$45,0,(COLUMN()-5)/6)</f>
        <v>16.795000000000002</v>
      </c>
      <c r="CF7" s="557"/>
      <c r="CG7" s="557"/>
      <c r="CH7" s="557"/>
      <c r="CI7" s="558"/>
      <c r="CJ7" s="553"/>
      <c r="CK7" s="556">
        <f ca="1">OFFSET(Sector1!$G$45,0,(COLUMN()-5)/6)</f>
        <v>17.457000000000001</v>
      </c>
      <c r="CL7" s="557"/>
      <c r="CM7" s="557"/>
      <c r="CN7" s="557"/>
      <c r="CO7" s="558"/>
      <c r="CP7" s="553"/>
      <c r="CQ7" s="556">
        <f ca="1">OFFSET(Sector1!$G$45,0,(COLUMN()-5)/6)</f>
        <v>17.513000000000002</v>
      </c>
      <c r="CR7" s="557"/>
      <c r="CS7" s="557"/>
      <c r="CT7" s="557"/>
      <c r="CU7" s="558"/>
      <c r="CV7" s="553"/>
      <c r="CW7" s="556">
        <f ca="1">OFFSET(Sector1!$G$45,0,(COLUMN()-5)/6)</f>
        <v>18.364000000000001</v>
      </c>
      <c r="CX7" s="557"/>
      <c r="CY7" s="557"/>
      <c r="CZ7" s="557"/>
      <c r="DA7" s="558"/>
      <c r="DB7" s="553"/>
      <c r="DC7" s="556">
        <f ca="1">OFFSET(Sector1!$G$45,0,(COLUMN()-5)/6)</f>
        <v>18.54</v>
      </c>
      <c r="DD7" s="557"/>
      <c r="DE7" s="557"/>
      <c r="DF7" s="557"/>
      <c r="DG7" s="558"/>
      <c r="DH7" s="553"/>
      <c r="DI7" s="556">
        <f ca="1">OFFSET(Sector1!$G$45,0,(COLUMN()-5)/6)</f>
        <v>18.722000000000001</v>
      </c>
      <c r="DJ7" s="557"/>
      <c r="DK7" s="557"/>
      <c r="DL7" s="557"/>
      <c r="DM7" s="558"/>
      <c r="DN7" s="553"/>
      <c r="DO7" s="556">
        <f ca="1">OFFSET(Sector1!$G$45,0,(COLUMN()-5)/6)</f>
        <v>20.614000000000001</v>
      </c>
      <c r="DP7" s="557"/>
      <c r="DQ7" s="557"/>
      <c r="DR7" s="557"/>
      <c r="DS7" s="558"/>
      <c r="DT7" s="553"/>
      <c r="DU7" s="556">
        <f ca="1">OFFSET(Sector1!$G$45,0,(COLUMN()-5)/6)</f>
        <v>22.387</v>
      </c>
      <c r="DV7" s="557"/>
      <c r="DW7" s="557"/>
      <c r="DX7" s="557"/>
      <c r="DY7" s="558"/>
      <c r="DZ7" s="553"/>
      <c r="EA7" s="556">
        <f ca="1">OFFSET(Sector1!$G$45,0,(COLUMN()-5)/6)</f>
        <v>23.283000000000001</v>
      </c>
      <c r="EB7" s="557"/>
      <c r="EC7" s="557"/>
      <c r="ED7" s="557"/>
      <c r="EE7" s="558"/>
      <c r="EF7" s="553"/>
      <c r="EG7" s="556">
        <f ca="1">OFFSET(Sector1!$G$45,0,(COLUMN()-5)/6)</f>
        <v>24.643000000000001</v>
      </c>
      <c r="EH7" s="557"/>
      <c r="EI7" s="557"/>
      <c r="EJ7" s="557"/>
      <c r="EK7" s="558"/>
      <c r="EL7" s="553"/>
      <c r="EM7" s="556">
        <f ca="1">OFFSET(Sector1!$G$45,0,(COLUMN()-5)/6)</f>
        <v>25.875150000000001</v>
      </c>
      <c r="EN7" s="557"/>
      <c r="EO7" s="557"/>
      <c r="EP7" s="557"/>
      <c r="EQ7" s="558"/>
      <c r="ER7" s="553"/>
      <c r="ES7" s="556">
        <f ca="1">OFFSET(Sector1!$G$45,0,(COLUMN()-5)/6)</f>
        <v>27.168907500000003</v>
      </c>
      <c r="ET7" s="557"/>
      <c r="EU7" s="557"/>
      <c r="EV7" s="557"/>
      <c r="EW7" s="558"/>
      <c r="EX7" s="553"/>
      <c r="EY7" s="556">
        <f ca="1">OFFSET(Sector1!$G$45,0,(COLUMN()-5)/6)</f>
        <v>28.527352875000005</v>
      </c>
      <c r="EZ7" s="557"/>
      <c r="FA7" s="557"/>
      <c r="FB7" s="557"/>
      <c r="FC7" s="558"/>
      <c r="FD7" s="553"/>
    </row>
    <row r="8" spans="1:160" s="564" customFormat="1" ht="13.15">
      <c r="A8" s="559"/>
      <c r="B8" s="560" t="s">
        <v>1793</v>
      </c>
      <c r="C8" s="3868" t="s">
        <v>629</v>
      </c>
      <c r="D8" s="3868"/>
      <c r="E8" s="561">
        <f ca="1">+E5-E6+E7</f>
        <v>1649.6119999999999</v>
      </c>
      <c r="F8" s="561">
        <f ca="1">OFFSET(Sector1!$G$73,0,(COLUMN()-6)/6)</f>
        <v>172.45500000000001</v>
      </c>
      <c r="G8" s="561">
        <f ca="1">OFFSET(Sector1!$G$78,0,(COLUMN()-7)/6)</f>
        <v>1112.327</v>
      </c>
      <c r="H8" s="561">
        <f ca="1">OFFSET(Sector1!$G$83,0,(COLUMN()-8)/6)</f>
        <v>364.83</v>
      </c>
      <c r="I8" s="562"/>
      <c r="J8" s="563">
        <f ca="1">+E8-F8-G8-H8</f>
        <v>0</v>
      </c>
      <c r="K8" s="561">
        <f ca="1">+K5-K6+K7</f>
        <v>1699.9379999999999</v>
      </c>
      <c r="L8" s="561">
        <f ca="1">OFFSET(Sector1!$G$73,0,(COLUMN()-6)/6)</f>
        <v>177.858</v>
      </c>
      <c r="M8" s="561">
        <f ca="1">OFFSET(Sector1!$G$78,0,(COLUMN()-7)/6)</f>
        <v>1138.105</v>
      </c>
      <c r="N8" s="561">
        <f ca="1">OFFSET(Sector1!$G$83,0,(COLUMN()-8)/6)</f>
        <v>383.97500000000002</v>
      </c>
      <c r="O8" s="562"/>
      <c r="P8" s="563">
        <f ca="1">+K8-L8-M8-N8</f>
        <v>0</v>
      </c>
      <c r="Q8" s="561">
        <f ca="1">+Q5-Q6+Q7</f>
        <v>1782.422</v>
      </c>
      <c r="R8" s="561">
        <f ca="1">OFFSET(Sector1!$G$73,0,(COLUMN()-6)/6)</f>
        <v>180.364</v>
      </c>
      <c r="S8" s="561">
        <f ca="1">OFFSET(Sector1!$G$78,0,(COLUMN()-7)/6)</f>
        <v>1208.4929999999999</v>
      </c>
      <c r="T8" s="561">
        <f ca="1">OFFSET(Sector1!$G$83,0,(COLUMN()-8)/6)</f>
        <v>393.565</v>
      </c>
      <c r="U8" s="562"/>
      <c r="V8" s="563">
        <f ca="1">+Q8-R8-S8-T8</f>
        <v>0</v>
      </c>
      <c r="W8" s="561">
        <f ca="1">+W5-W6+W7</f>
        <v>1869.8229999999999</v>
      </c>
      <c r="X8" s="561">
        <f ca="1">OFFSET(Sector1!$G$73,0,(COLUMN()-6)/6)</f>
        <v>185.14</v>
      </c>
      <c r="Y8" s="561">
        <f ca="1">OFFSET(Sector1!$G$78,0,(COLUMN()-7)/6)</f>
        <v>1280.3130000000001</v>
      </c>
      <c r="Z8" s="561">
        <f ca="1">OFFSET(Sector1!$G$83,0,(COLUMN()-8)/6)</f>
        <v>404.37</v>
      </c>
      <c r="AA8" s="562"/>
      <c r="AB8" s="563">
        <f ca="1">+W8-X8-Y8-Z8</f>
        <v>0</v>
      </c>
      <c r="AC8" s="561">
        <f ca="1">+AC5-AC6+AC7</f>
        <v>1971.9829999999997</v>
      </c>
      <c r="AD8" s="561">
        <f ca="1">OFFSET(Sector1!$G$73,0,(COLUMN()-6)/6)</f>
        <v>188.01400000000001</v>
      </c>
      <c r="AE8" s="561">
        <f ca="1">OFFSET(Sector1!$G$78,0,(COLUMN()-7)/6)</f>
        <v>1361.9369999999999</v>
      </c>
      <c r="AF8" s="561">
        <f ca="1">OFFSET(Sector1!$G$83,0,(COLUMN()-8)/6)</f>
        <v>422.03199999999998</v>
      </c>
      <c r="AG8" s="562"/>
      <c r="AH8" s="563">
        <f ca="1">+AC8-AD8-AE8-AF8</f>
        <v>0</v>
      </c>
      <c r="AI8" s="561">
        <f ca="1">+AI5-AI6+AI7</f>
        <v>2107.0450000000001</v>
      </c>
      <c r="AJ8" s="561">
        <f ca="1">OFFSET(Sector1!$G$73,0,(COLUMN()-6)/6)</f>
        <v>210.11099999999999</v>
      </c>
      <c r="AK8" s="561">
        <f ca="1">OFFSET(Sector1!$G$78,0,(COLUMN()-7)/6)</f>
        <v>1463.9010000000001</v>
      </c>
      <c r="AL8" s="561">
        <f ca="1">OFFSET(Sector1!$G$83,0,(COLUMN()-8)/6)</f>
        <v>433.03300000000002</v>
      </c>
      <c r="AM8" s="562"/>
      <c r="AN8" s="563">
        <f ca="1">+AI8-AJ8-AK8-AL8</f>
        <v>0</v>
      </c>
      <c r="AO8" s="561">
        <f ca="1">+AO5-AO6+AO7</f>
        <v>2191.078</v>
      </c>
      <c r="AP8" s="561">
        <f ca="1">OFFSET(Sector1!$G$73,0,(COLUMN()-6)/6)</f>
        <v>218.09700000000001</v>
      </c>
      <c r="AQ8" s="561">
        <f ca="1">OFFSET(Sector1!$G$78,0,(COLUMN()-7)/6)</f>
        <v>1516.7850000000001</v>
      </c>
      <c r="AR8" s="561">
        <f ca="1">OFFSET(Sector1!$G$83,0,(COLUMN()-8)/6)</f>
        <v>456.19600000000003</v>
      </c>
      <c r="AS8" s="562"/>
      <c r="AT8" s="563">
        <f ca="1">+AO8-AP8-AQ8-AR8</f>
        <v>0</v>
      </c>
      <c r="AU8" s="561">
        <f ca="1">+AU5-AU6+AU7</f>
        <v>2268.873</v>
      </c>
      <c r="AV8" s="561">
        <f ca="1">OFFSET(Sector1!$G$73,0,(COLUMN()-6)/6)</f>
        <v>229.75399999999999</v>
      </c>
      <c r="AW8" s="561">
        <f ca="1">OFFSET(Sector1!$G$78,0,(COLUMN()-7)/6)</f>
        <v>1558.423</v>
      </c>
      <c r="AX8" s="561">
        <f ca="1">OFFSET(Sector1!$G$83,0,(COLUMN()-8)/6)</f>
        <v>480.69600000000003</v>
      </c>
      <c r="AY8" s="562"/>
      <c r="AZ8" s="563">
        <f ca="1">+AU8-AV8-AW8-AX8</f>
        <v>0</v>
      </c>
      <c r="BA8" s="561">
        <f ca="1">+BA5-BA6+BA7</f>
        <v>2363.7939999999999</v>
      </c>
      <c r="BB8" s="561">
        <f ca="1">OFFSET(Sector1!$G$73,0,(COLUMN()-6)/6)</f>
        <v>236.34100000000001</v>
      </c>
      <c r="BC8" s="561">
        <f ca="1">OFFSET(Sector1!$G$78,0,(COLUMN()-7)/6)</f>
        <v>1618.0050000000001</v>
      </c>
      <c r="BD8" s="561">
        <f ca="1">OFFSET(Sector1!$G$83,0,(COLUMN()-8)/6)</f>
        <v>509.44799999999998</v>
      </c>
      <c r="BE8" s="562"/>
      <c r="BF8" s="563">
        <f ca="1">+BA8-BB8-BC8-BD8</f>
        <v>0</v>
      </c>
      <c r="BG8" s="561">
        <f ca="1">+BG5-BG6+BG7</f>
        <v>2480.2389999999996</v>
      </c>
      <c r="BH8" s="561">
        <f ca="1">OFFSET(Sector1!$G$73,0,(COLUMN()-6)/6)</f>
        <v>238.29900000000001</v>
      </c>
      <c r="BI8" s="561">
        <f ca="1">OFFSET(Sector1!$G$78,0,(COLUMN()-7)/6)</f>
        <v>1715.3520000000001</v>
      </c>
      <c r="BJ8" s="561">
        <f ca="1">OFFSET(Sector1!$G$83,0,(COLUMN()-8)/6)</f>
        <v>526.58799999999997</v>
      </c>
      <c r="BK8" s="562"/>
      <c r="BL8" s="563">
        <f ca="1">+BG8-BH8-BI8-BJ8</f>
        <v>0</v>
      </c>
      <c r="BM8" s="561">
        <f ca="1">+BM5-BM6+BM7</f>
        <v>2561.7640000000001</v>
      </c>
      <c r="BN8" s="561">
        <f ca="1">OFFSET(Sector1!$G$73,0,(COLUMN()-6)/6)</f>
        <v>244.50299999999999</v>
      </c>
      <c r="BO8" s="561">
        <f ca="1">OFFSET(Sector1!$G$78,0,(COLUMN()-7)/6)</f>
        <v>1776.5709999999999</v>
      </c>
      <c r="BP8" s="561">
        <f ca="1">OFFSET(Sector1!$G$83,0,(COLUMN()-8)/6)</f>
        <v>540.69000000000005</v>
      </c>
      <c r="BQ8" s="562"/>
      <c r="BR8" s="563">
        <f ca="1">+BM8-BN8-BO8-BP8</f>
        <v>0</v>
      </c>
      <c r="BS8" s="561">
        <f ca="1">+BS5-BS6+BS7</f>
        <v>2734.7979999999998</v>
      </c>
      <c r="BT8" s="561">
        <f ca="1">OFFSET(Sector1!$G$73,0,(COLUMN()-6)/6)</f>
        <v>259.09100000000001</v>
      </c>
      <c r="BU8" s="561">
        <f ca="1">OFFSET(Sector1!$G$78,0,(COLUMN()-7)/6)</f>
        <v>1913.3309999999999</v>
      </c>
      <c r="BV8" s="561">
        <f ca="1">OFFSET(Sector1!$G$83,0,(COLUMN()-8)/6)</f>
        <v>562.37599999999998</v>
      </c>
      <c r="BW8" s="562"/>
      <c r="BX8" s="563">
        <f ca="1">+BS8-BT8-BU8-BV8</f>
        <v>0</v>
      </c>
      <c r="BY8" s="561">
        <f ca="1">+BY5-BY6+BY7</f>
        <v>2911.7429999999999</v>
      </c>
      <c r="BZ8" s="561">
        <f ca="1">OFFSET(Sector1!$G$73,0,(COLUMN()-6)/6)</f>
        <v>282.21300000000002</v>
      </c>
      <c r="CA8" s="561">
        <f ca="1">OFFSET(Sector1!$G$78,0,(COLUMN()-7)/6)</f>
        <v>2040.806</v>
      </c>
      <c r="CB8" s="561">
        <f ca="1">OFFSET(Sector1!$G$83,0,(COLUMN()-8)/6)</f>
        <v>588.72400000000005</v>
      </c>
      <c r="CC8" s="562"/>
      <c r="CD8" s="563">
        <f ca="1">+BY8-BZ8-CA8-CB8</f>
        <v>0</v>
      </c>
      <c r="CE8" s="561">
        <f ca="1">+CE5-CE6+CE7</f>
        <v>2996.0910000000003</v>
      </c>
      <c r="CF8" s="561">
        <f ca="1">OFFSET(Sector1!$G$73,0,(COLUMN()-6)/6)</f>
        <v>274.55500000000001</v>
      </c>
      <c r="CG8" s="561">
        <f ca="1">OFFSET(Sector1!$G$78,0,(COLUMN()-7)/6)</f>
        <v>2108.5520000000001</v>
      </c>
      <c r="CH8" s="561">
        <f ca="1">OFFSET(Sector1!$G$83,0,(COLUMN()-8)/6)</f>
        <v>612.98400000000004</v>
      </c>
      <c r="CI8" s="562"/>
      <c r="CJ8" s="563">
        <f ca="1">+CE8-CF8-CG8-CH8</f>
        <v>0</v>
      </c>
      <c r="CK8" s="561">
        <f ca="1">+CK5-CK6+CK7</f>
        <v>2891.2849999999999</v>
      </c>
      <c r="CL8" s="561">
        <f ca="1">OFFSET(Sector1!$G$73,0,(COLUMN()-6)/6)</f>
        <v>267.15300000000002</v>
      </c>
      <c r="CM8" s="561">
        <f ca="1">OFFSET(Sector1!$G$78,0,(COLUMN()-7)/6)</f>
        <v>2006.3009999999999</v>
      </c>
      <c r="CN8" s="561">
        <f ca="1">OFFSET(Sector1!$G$83,0,(COLUMN()-8)/6)</f>
        <v>617.83100000000002</v>
      </c>
      <c r="CO8" s="562"/>
      <c r="CP8" s="563">
        <f ca="1">+CK8-CL8-CM8-CN8</f>
        <v>0</v>
      </c>
      <c r="CQ8" s="561">
        <f ca="1">+CQ5-CQ6+CQ7</f>
        <v>3098.6170000000002</v>
      </c>
      <c r="CR8" s="561">
        <f ca="1">OFFSET(Sector1!$G$73,0,(COLUMN()-6)/6)</f>
        <v>282.43099999999998</v>
      </c>
      <c r="CS8" s="561">
        <f ca="1">OFFSET(Sector1!$G$78,0,(COLUMN()-7)/6)</f>
        <v>2186.0219999999999</v>
      </c>
      <c r="CT8" s="561">
        <f ca="1">OFFSET(Sector1!$G$83,0,(COLUMN()-8)/6)</f>
        <v>630.16399999999999</v>
      </c>
      <c r="CU8" s="562"/>
      <c r="CV8" s="563">
        <f ca="1">+CQ8-CR8-CS8-CT8</f>
        <v>0</v>
      </c>
      <c r="CW8" s="561">
        <f ca="1">+CW5-CW6+CW7</f>
        <v>3227.3970000000004</v>
      </c>
      <c r="CX8" s="561">
        <f ca="1">OFFSET(Sector1!$G$73,0,(COLUMN()-6)/6)</f>
        <v>287.75</v>
      </c>
      <c r="CY8" s="561">
        <f ca="1">OFFSET(Sector1!$G$78,0,(COLUMN()-7)/6)</f>
        <v>2290.65</v>
      </c>
      <c r="CZ8" s="561">
        <f ca="1">OFFSET(Sector1!$G$83,0,(COLUMN()-8)/6)</f>
        <v>648.99699999999996</v>
      </c>
      <c r="DA8" s="562"/>
      <c r="DB8" s="563">
        <f ca="1">+CW8-CX8-CY8-CZ8</f>
        <v>0</v>
      </c>
      <c r="DC8" s="561">
        <f ca="1">+DC5-DC6+DC7</f>
        <v>3258.0460000000003</v>
      </c>
      <c r="DD8" s="561">
        <f ca="1">OFFSET(Sector1!$G$73,0,(COLUMN()-6)/6)</f>
        <v>279.34100000000001</v>
      </c>
      <c r="DE8" s="561">
        <f ca="1">OFFSET(Sector1!$G$78,0,(COLUMN()-7)/6)</f>
        <v>2302.8330000000001</v>
      </c>
      <c r="DF8" s="561">
        <f ca="1">OFFSET(Sector1!$G$83,0,(COLUMN()-8)/6)</f>
        <v>675.87199999999996</v>
      </c>
      <c r="DG8" s="562"/>
      <c r="DH8" s="563">
        <f ca="1">+DC8-DD8-DE8-DF8</f>
        <v>0</v>
      </c>
      <c r="DI8" s="561">
        <f ca="1">+DI5-DI6+DI7</f>
        <v>3337.4659999999999</v>
      </c>
      <c r="DJ8" s="561">
        <f ca="1">OFFSET(Sector1!$G$73,0,(COLUMN()-6)/6)</f>
        <v>282.464</v>
      </c>
      <c r="DK8" s="561">
        <f ca="1">OFFSET(Sector1!$G$78,0,(COLUMN()-7)/6)</f>
        <v>2357.261</v>
      </c>
      <c r="DL8" s="561">
        <f ca="1">OFFSET(Sector1!$G$83,0,(COLUMN()-8)/6)</f>
        <v>697.74099999999999</v>
      </c>
      <c r="DM8" s="562"/>
      <c r="DN8" s="563">
        <f ca="1">+DI8-DJ8-DK8-DL8</f>
        <v>0</v>
      </c>
      <c r="DO8" s="561">
        <f ca="1">+DO5-DO6+DO7</f>
        <v>3490.9660000000003</v>
      </c>
      <c r="DP8" s="561">
        <f ca="1">OFFSET(Sector1!$G$73,0,(COLUMN()-6)/6)</f>
        <v>290.76299999999998</v>
      </c>
      <c r="DQ8" s="561">
        <f ca="1">OFFSET(Sector1!$G$78,0,(COLUMN()-7)/6)</f>
        <v>2477.85</v>
      </c>
      <c r="DR8" s="561">
        <f ca="1">OFFSET(Sector1!$G$83,0,(COLUMN()-8)/6)</f>
        <v>722.35299999999995</v>
      </c>
      <c r="DS8" s="562"/>
      <c r="DT8" s="563">
        <f ca="1">+DO8-DP8-DQ8-DR8</f>
        <v>0</v>
      </c>
      <c r="DU8" s="561">
        <f ca="1">+DU5-DU6+DU7</f>
        <v>3721.44</v>
      </c>
      <c r="DV8" s="561">
        <f ca="1">OFFSET(Sector1!$G$73,0,(COLUMN()-6)/6)</f>
        <v>292.32400000000001</v>
      </c>
      <c r="DW8" s="561">
        <f ca="1">OFFSET(Sector1!$G$78,0,(COLUMN()-7)/6)</f>
        <v>2673.3270000000002</v>
      </c>
      <c r="DX8" s="561">
        <f ca="1">OFFSET(Sector1!$G$83,0,(COLUMN()-8)/6)</f>
        <v>755.78899999999999</v>
      </c>
      <c r="DY8" s="562"/>
      <c r="DZ8" s="563">
        <f ca="1">+DU8-DV8-DW8-DX8</f>
        <v>0</v>
      </c>
      <c r="EA8" s="561">
        <f ca="1">+EA5-EA6+EA7</f>
        <v>3876.3760000000002</v>
      </c>
      <c r="EB8" s="561">
        <f ca="1">OFFSET(Sector1!$G$73,0,(COLUMN()-6)/6)</f>
        <v>303.53699999999998</v>
      </c>
      <c r="EC8" s="561">
        <f ca="1">OFFSET(Sector1!$G$78,0,(COLUMN()-7)/6)</f>
        <v>2777.0720000000001</v>
      </c>
      <c r="ED8" s="561">
        <f ca="1">OFFSET(Sector1!$G$83,0,(COLUMN()-8)/6)</f>
        <v>795.76700000000005</v>
      </c>
      <c r="EE8" s="562"/>
      <c r="EF8" s="563">
        <f ca="1">+EA8-EB8-EC8-ED8</f>
        <v>0</v>
      </c>
      <c r="EG8" s="561">
        <f ca="1">+EG5-EG6+EG7</f>
        <v>4049.0960000000005</v>
      </c>
      <c r="EH8" s="561">
        <f ca="1">OFFSET(Sector1!$G$73,0,(COLUMN()-6)/6)</f>
        <v>319.35500000000002</v>
      </c>
      <c r="EI8" s="561">
        <f ca="1">OFFSET(Sector1!$G$78,0,(COLUMN()-7)/6)</f>
        <v>2894.855</v>
      </c>
      <c r="EJ8" s="561">
        <f ca="1">OFFSET(Sector1!$G$83,0,(COLUMN()-8)/6)</f>
        <v>834.88599999999997</v>
      </c>
      <c r="EK8" s="562"/>
      <c r="EL8" s="563">
        <f ca="1">+EG8-EH8-EI8-EJ8</f>
        <v>0</v>
      </c>
      <c r="EM8" s="561">
        <f ca="1">+EM5-EM6+EM7</f>
        <v>4247.219295971765</v>
      </c>
      <c r="EN8" s="561">
        <f ca="1">OFFSET(Sector1!$G$73,0,(COLUMN()-6)/6)</f>
        <v>330.33001789988379</v>
      </c>
      <c r="EO8" s="561">
        <f ca="1">OFFSET(Sector1!$G$78,0,(COLUMN()-7)/6)</f>
        <v>3044.7155677528813</v>
      </c>
      <c r="EP8" s="561">
        <f ca="1">OFFSET(Sector1!$G$83,0,(COLUMN()-8)/6)</f>
        <v>872.17371031899984</v>
      </c>
      <c r="EQ8" s="562"/>
      <c r="ER8" s="563">
        <f ca="1">+EM8-EN8-EO8-EP8</f>
        <v>0</v>
      </c>
      <c r="ES8" s="561">
        <f ca="1">+ES5-ES6+ES7</f>
        <v>4404.5889026853374</v>
      </c>
      <c r="ET8" s="561">
        <f ca="1">OFFSET(Sector1!$G$73,0,(COLUMN()-6)/6)</f>
        <v>340.88207227684342</v>
      </c>
      <c r="EU8" s="561">
        <f ca="1">OFFSET(Sector1!$G$78,0,(COLUMN()-7)/6)</f>
        <v>3157.6266520075574</v>
      </c>
      <c r="EV8" s="561">
        <f ca="1">OFFSET(Sector1!$G$83,0,(COLUMN()-8)/6)</f>
        <v>906.08017840093692</v>
      </c>
      <c r="EW8" s="562"/>
      <c r="EX8" s="563">
        <f ca="1">+ES8-ET8-EU8-EV8</f>
        <v>0</v>
      </c>
      <c r="EY8" s="561">
        <f ca="1">+EY5-EY6+EY7</f>
        <v>4561.1803964037335</v>
      </c>
      <c r="EZ8" s="561">
        <f ca="1">OFFSET(Sector1!$G$73,0,(COLUMN()-6)/6)</f>
        <v>352.23464156042343</v>
      </c>
      <c r="FA8" s="561">
        <f ca="1">OFFSET(Sector1!$G$78,0,(COLUMN()-7)/6)</f>
        <v>3269.271878208453</v>
      </c>
      <c r="FB8" s="561">
        <f ca="1">OFFSET(Sector1!$G$83,0,(COLUMN()-8)/6)</f>
        <v>939.67387663485738</v>
      </c>
      <c r="FC8" s="562"/>
      <c r="FD8" s="563">
        <f ca="1">+EY8-EZ8-FA8-FB8</f>
        <v>0</v>
      </c>
    </row>
    <row r="9" spans="1:160" ht="13.15">
      <c r="A9" s="554"/>
      <c r="B9" s="555" t="s">
        <v>301</v>
      </c>
      <c r="C9" s="3855" t="s">
        <v>1767</v>
      </c>
      <c r="D9" s="3855"/>
      <c r="E9" s="556">
        <f ca="1">+F9+G9+H9</f>
        <v>166.01400000000001</v>
      </c>
      <c r="F9" s="565">
        <f ca="1">OFFSET(Sector1!$G$9,0,(COLUMN()-6)/6)</f>
        <v>17.228999999999999</v>
      </c>
      <c r="G9" s="566">
        <f ca="1">OFFSET(Sector1!$G$10,0,(COLUMN()-7)/6)</f>
        <v>99.165999999999997</v>
      </c>
      <c r="H9" s="566">
        <f ca="1">OFFSET(Sector1!$G$11,0,(COLUMN()-7)/6)</f>
        <v>49.619</v>
      </c>
      <c r="I9" s="565"/>
      <c r="J9" s="567"/>
      <c r="K9" s="556">
        <f ca="1">+L9+M9+N9</f>
        <v>194.59999999999997</v>
      </c>
      <c r="L9" s="565">
        <f ca="1">OFFSET(Sector1!$G$9,0,(COLUMN()-6)/6)</f>
        <v>21.800999999999998</v>
      </c>
      <c r="M9" s="566">
        <f ca="1">OFFSET(Sector1!$G$10,0,(COLUMN()-7)/6)</f>
        <v>119.44499999999999</v>
      </c>
      <c r="N9" s="566">
        <f ca="1">OFFSET(Sector1!$G$11,0,(COLUMN()-7)/6)</f>
        <v>53.353999999999999</v>
      </c>
      <c r="O9" s="565"/>
      <c r="P9" s="567"/>
      <c r="Q9" s="556">
        <f ca="1">+R9+S9+T9</f>
        <v>198.31400000000002</v>
      </c>
      <c r="R9" s="565">
        <f ca="1">OFFSET(Sector1!$G$9,0,(COLUMN()-6)/6)</f>
        <v>20.966999999999999</v>
      </c>
      <c r="S9" s="566">
        <f ca="1">OFFSET(Sector1!$G$10,0,(COLUMN()-7)/6)</f>
        <v>122.917</v>
      </c>
      <c r="T9" s="566">
        <f ca="1">OFFSET(Sector1!$G$11,0,(COLUMN()-7)/6)</f>
        <v>54.43</v>
      </c>
      <c r="U9" s="565"/>
      <c r="V9" s="567"/>
      <c r="W9" s="556">
        <f ca="1">+X9+Y9+Z9</f>
        <v>257.488</v>
      </c>
      <c r="X9" s="565">
        <f ca="1">OFFSET(Sector1!$G$9,0,(COLUMN()-6)/6)</f>
        <v>22.07</v>
      </c>
      <c r="Y9" s="566">
        <f ca="1">OFFSET(Sector1!$G$10,0,(COLUMN()-7)/6)</f>
        <v>163.887</v>
      </c>
      <c r="Z9" s="566">
        <f ca="1">OFFSET(Sector1!$G$11,0,(COLUMN()-7)/6)</f>
        <v>71.531000000000006</v>
      </c>
      <c r="AA9" s="565"/>
      <c r="AB9" s="567"/>
      <c r="AC9" s="556">
        <f ca="1">+AD9+AE9+AF9</f>
        <v>269.63900000000001</v>
      </c>
      <c r="AD9" s="565">
        <f ca="1">OFFSET(Sector1!$G$9,0,(COLUMN()-6)/6)</f>
        <v>21.638000000000002</v>
      </c>
      <c r="AE9" s="566">
        <f ca="1">OFFSET(Sector1!$G$10,0,(COLUMN()-7)/6)</f>
        <v>173.87700000000001</v>
      </c>
      <c r="AF9" s="566">
        <f ca="1">OFFSET(Sector1!$G$11,0,(COLUMN()-7)/6)</f>
        <v>74.123999999999995</v>
      </c>
      <c r="AG9" s="565"/>
      <c r="AH9" s="567"/>
      <c r="AI9" s="556">
        <f ca="1">+AJ9+AK9+AL9</f>
        <v>261.94399999999996</v>
      </c>
      <c r="AJ9" s="565">
        <f ca="1">OFFSET(Sector1!$G$9,0,(COLUMN()-6)/6)</f>
        <v>24.341999999999999</v>
      </c>
      <c r="AK9" s="566">
        <f ca="1">OFFSET(Sector1!$G$10,0,(COLUMN()-7)/6)</f>
        <v>171.14699999999999</v>
      </c>
      <c r="AL9" s="566">
        <f ca="1">OFFSET(Sector1!$G$11,0,(COLUMN()-7)/6)</f>
        <v>66.454999999999998</v>
      </c>
      <c r="AM9" s="565"/>
      <c r="AN9" s="567"/>
      <c r="AO9" s="556">
        <f ca="1">+AP9+AQ9+AR9</f>
        <v>273.673</v>
      </c>
      <c r="AP9" s="565">
        <f ca="1">OFFSET(Sector1!$G$9,0,(COLUMN()-6)/6)</f>
        <v>24.82</v>
      </c>
      <c r="AQ9" s="566">
        <f ca="1">OFFSET(Sector1!$G$10,0,(COLUMN()-7)/6)</f>
        <v>180.20400000000001</v>
      </c>
      <c r="AR9" s="566">
        <f ca="1">OFFSET(Sector1!$G$11,0,(COLUMN()-7)/6)</f>
        <v>68.649000000000001</v>
      </c>
      <c r="AS9" s="565"/>
      <c r="AT9" s="567"/>
      <c r="AU9" s="556">
        <f ca="1">+AV9+AW9+AX9</f>
        <v>284.649</v>
      </c>
      <c r="AV9" s="565">
        <f ca="1">OFFSET(Sector1!$G$9,0,(COLUMN()-6)/6)</f>
        <v>26.602</v>
      </c>
      <c r="AW9" s="566">
        <f ca="1">OFFSET(Sector1!$G$10,0,(COLUMN()-7)/6)</f>
        <v>185.69399999999999</v>
      </c>
      <c r="AX9" s="566">
        <f ca="1">OFFSET(Sector1!$G$11,0,(COLUMN()-7)/6)</f>
        <v>72.352999999999994</v>
      </c>
      <c r="AY9" s="565"/>
      <c r="AZ9" s="567"/>
      <c r="BA9" s="556">
        <f ca="1">+BB9+BC9+BD9</f>
        <v>291.80700000000002</v>
      </c>
      <c r="BB9" s="565">
        <f ca="1">OFFSET(Sector1!$G$9,0,(COLUMN()-6)/6)</f>
        <v>27.922000000000001</v>
      </c>
      <c r="BC9" s="566">
        <f ca="1">OFFSET(Sector1!$G$10,0,(COLUMN()-7)/6)</f>
        <v>187.74299999999999</v>
      </c>
      <c r="BD9" s="566">
        <f ca="1">OFFSET(Sector1!$G$11,0,(COLUMN()-7)/6)</f>
        <v>76.141999999999996</v>
      </c>
      <c r="BE9" s="565"/>
      <c r="BF9" s="567"/>
      <c r="BG9" s="556">
        <f ca="1">+BH9+BI9+BJ9</f>
        <v>297.52699999999999</v>
      </c>
      <c r="BH9" s="565">
        <f ca="1">OFFSET(Sector1!$G$9,0,(COLUMN()-6)/6)</f>
        <v>27.984999999999999</v>
      </c>
      <c r="BI9" s="566">
        <f ca="1">OFFSET(Sector1!$G$10,0,(COLUMN()-7)/6)</f>
        <v>191.06299999999999</v>
      </c>
      <c r="BJ9" s="566">
        <f ca="1">OFFSET(Sector1!$G$11,0,(COLUMN()-7)/6)</f>
        <v>78.478999999999999</v>
      </c>
      <c r="BK9" s="565"/>
      <c r="BL9" s="567"/>
      <c r="BM9" s="556">
        <f ca="1">+BN9+BO9+BP9</f>
        <v>308.43199999999996</v>
      </c>
      <c r="BN9" s="565">
        <f ca="1">OFFSET(Sector1!$G$9,0,(COLUMN()-6)/6)</f>
        <v>29.099</v>
      </c>
      <c r="BO9" s="566">
        <f ca="1">OFFSET(Sector1!$G$10,0,(COLUMN()-7)/6)</f>
        <v>198.84899999999999</v>
      </c>
      <c r="BP9" s="566">
        <f ca="1">OFFSET(Sector1!$G$11,0,(COLUMN()-7)/6)</f>
        <v>80.483999999999995</v>
      </c>
      <c r="BQ9" s="565"/>
      <c r="BR9" s="567"/>
      <c r="BS9" s="556">
        <f ca="1">+BT9+BU9+BV9</f>
        <v>319.59199999999998</v>
      </c>
      <c r="BT9" s="565">
        <f ca="1">OFFSET(Sector1!$G$9,0,(COLUMN()-6)/6)</f>
        <v>29.484999999999999</v>
      </c>
      <c r="BU9" s="566">
        <f ca="1">OFFSET(Sector1!$G$10,0,(COLUMN()-7)/6)</f>
        <v>207.423</v>
      </c>
      <c r="BV9" s="566">
        <f ca="1">OFFSET(Sector1!$G$11,0,(COLUMN()-7)/6)</f>
        <v>82.683999999999997</v>
      </c>
      <c r="BW9" s="565"/>
      <c r="BX9" s="567"/>
      <c r="BY9" s="556">
        <f ca="1">+BZ9+CA9+CB9</f>
        <v>338.351</v>
      </c>
      <c r="BZ9" s="565">
        <f ca="1">OFFSET(Sector1!$G$9,0,(COLUMN()-6)/6)</f>
        <v>31.081</v>
      </c>
      <c r="CA9" s="566">
        <f ca="1">OFFSET(Sector1!$G$10,0,(COLUMN()-7)/6)</f>
        <v>221.44300000000001</v>
      </c>
      <c r="CB9" s="566">
        <f ca="1">OFFSET(Sector1!$G$11,0,(COLUMN()-7)/6)</f>
        <v>85.826999999999998</v>
      </c>
      <c r="CC9" s="565"/>
      <c r="CD9" s="567"/>
      <c r="CE9" s="556">
        <f ca="1">+CF9+CG9+CH9</f>
        <v>353.71600000000001</v>
      </c>
      <c r="CF9" s="565">
        <f ca="1">OFFSET(Sector1!$G$9,0,(COLUMN()-6)/6)</f>
        <v>28.869</v>
      </c>
      <c r="CG9" s="566">
        <f ca="1">OFFSET(Sector1!$G$10,0,(COLUMN()-7)/6)</f>
        <v>236.154</v>
      </c>
      <c r="CH9" s="566">
        <f ca="1">OFFSET(Sector1!$G$11,0,(COLUMN()-7)/6)</f>
        <v>88.692999999999998</v>
      </c>
      <c r="CI9" s="565"/>
      <c r="CJ9" s="567"/>
      <c r="CK9" s="556">
        <f ca="1">+CL9+CM9+CN9</f>
        <v>336.75299999999999</v>
      </c>
      <c r="CL9" s="565">
        <f ca="1">OFFSET(Sector1!$G$9,0,(COLUMN()-6)/6)</f>
        <v>29.201000000000001</v>
      </c>
      <c r="CM9" s="566">
        <f ca="1">OFFSET(Sector1!$G$10,0,(COLUMN()-7)/6)</f>
        <v>220.39500000000001</v>
      </c>
      <c r="CN9" s="566">
        <f ca="1">OFFSET(Sector1!$G$11,0,(COLUMN()-7)/6)</f>
        <v>87.156999999999996</v>
      </c>
      <c r="CO9" s="565"/>
      <c r="CP9" s="567"/>
      <c r="CQ9" s="556">
        <f ca="1">+CR9+CS9+CT9</f>
        <v>347.64699999999999</v>
      </c>
      <c r="CR9" s="565">
        <f ca="1">OFFSET(Sector1!$G$9,0,(COLUMN()-6)/6)</f>
        <v>28.757000000000001</v>
      </c>
      <c r="CS9" s="566">
        <f ca="1">OFFSET(Sector1!$G$10,0,(COLUMN()-7)/6)</f>
        <v>230.61799999999999</v>
      </c>
      <c r="CT9" s="566">
        <f ca="1">OFFSET(Sector1!$G$11,0,(COLUMN()-7)/6)</f>
        <v>88.272000000000006</v>
      </c>
      <c r="CU9" s="565"/>
      <c r="CV9" s="567"/>
      <c r="CW9" s="556">
        <f ca="1">+CX9+CY9+CZ9</f>
        <v>362.19799999999998</v>
      </c>
      <c r="CX9" s="565">
        <f ca="1">OFFSET(Sector1!$G$9,0,(COLUMN()-6)/6)</f>
        <v>29.306999999999999</v>
      </c>
      <c r="CY9" s="566">
        <f ca="1">OFFSET(Sector1!$G$10,0,(COLUMN()-7)/6)</f>
        <v>241.35</v>
      </c>
      <c r="CZ9" s="566">
        <f ca="1">OFFSET(Sector1!$G$11,0,(COLUMN()-7)/6)</f>
        <v>91.540999999999997</v>
      </c>
      <c r="DA9" s="565"/>
      <c r="DB9" s="567"/>
      <c r="DC9" s="556">
        <f ca="1">+DD9+DE9+DF9</f>
        <v>377.36199999999997</v>
      </c>
      <c r="DD9" s="565">
        <f ca="1">OFFSET(Sector1!$G$9,0,(COLUMN()-6)/6)</f>
        <v>30.375</v>
      </c>
      <c r="DE9" s="566">
        <f ca="1">OFFSET(Sector1!$G$10,0,(COLUMN()-7)/6)</f>
        <v>252.904</v>
      </c>
      <c r="DF9" s="566">
        <f ca="1">OFFSET(Sector1!$G$11,0,(COLUMN()-7)/6)</f>
        <v>94.082999999999998</v>
      </c>
      <c r="DG9" s="565"/>
      <c r="DH9" s="567"/>
      <c r="DI9" s="556">
        <f ca="1">+DJ9+DK9+DL9</f>
        <v>387.80699999999996</v>
      </c>
      <c r="DJ9" s="565">
        <f ca="1">OFFSET(Sector1!$G$9,0,(COLUMN()-6)/6)</f>
        <v>30.771999999999998</v>
      </c>
      <c r="DK9" s="566">
        <f ca="1">OFFSET(Sector1!$G$10,0,(COLUMN()-7)/6)</f>
        <v>260.03699999999998</v>
      </c>
      <c r="DL9" s="566">
        <f ca="1">OFFSET(Sector1!$G$11,0,(COLUMN()-7)/6)</f>
        <v>96.998000000000005</v>
      </c>
      <c r="DM9" s="565"/>
      <c r="DN9" s="567"/>
      <c r="DO9" s="556">
        <f ca="1">+DP9+DQ9+DR9</f>
        <v>398.17200000000003</v>
      </c>
      <c r="DP9" s="565">
        <f ca="1">OFFSET(Sector1!$G$9,0,(COLUMN()-6)/6)</f>
        <v>30.658999999999999</v>
      </c>
      <c r="DQ9" s="566">
        <f ca="1">OFFSET(Sector1!$G$10,0,(COLUMN()-7)/6)</f>
        <v>267.209</v>
      </c>
      <c r="DR9" s="566">
        <f ca="1">OFFSET(Sector1!$G$11,0,(COLUMN()-7)/6)</f>
        <v>100.304</v>
      </c>
      <c r="DS9" s="565"/>
      <c r="DT9" s="567"/>
      <c r="DU9" s="556">
        <f ca="1">+DV9+DW9+DX9</f>
        <v>421.80600000000004</v>
      </c>
      <c r="DV9" s="565">
        <f ca="1">OFFSET(Sector1!$G$9,0,(COLUMN()-6)/6)</f>
        <v>31.413</v>
      </c>
      <c r="DW9" s="566">
        <f ca="1">OFFSET(Sector1!$G$10,0,(COLUMN()-7)/6)</f>
        <v>284.47300000000001</v>
      </c>
      <c r="DX9" s="566">
        <f ca="1">OFFSET(Sector1!$G$11,0,(COLUMN()-7)/6)</f>
        <v>105.92</v>
      </c>
      <c r="DY9" s="565"/>
      <c r="DZ9" s="567"/>
      <c r="EA9" s="556">
        <f ca="1">+EB9+EC9+ED9</f>
        <v>461.36799999999999</v>
      </c>
      <c r="EB9" s="565">
        <f ca="1">OFFSET(Sector1!$G$9,0,(COLUMN()-6)/6)</f>
        <v>32.256</v>
      </c>
      <c r="EC9" s="566">
        <f ca="1">OFFSET(Sector1!$G$10,0,(COLUMN()-7)/6)</f>
        <v>315.46600000000001</v>
      </c>
      <c r="ED9" s="566">
        <f ca="1">OFFSET(Sector1!$G$11,0,(COLUMN()-7)/6)</f>
        <v>113.646</v>
      </c>
      <c r="EE9" s="565"/>
      <c r="EF9" s="567"/>
      <c r="EG9" s="556">
        <f ca="1">+EH9+EI9+EJ9</f>
        <v>482.99600000000004</v>
      </c>
      <c r="EH9" s="565">
        <f ca="1">OFFSET(Sector1!$G$9,0,(COLUMN()-6)/6)</f>
        <v>31.292000000000002</v>
      </c>
      <c r="EI9" s="566">
        <f ca="1">OFFSET(Sector1!$G$10,0,(COLUMN()-7)/6)</f>
        <v>331.97500000000002</v>
      </c>
      <c r="EJ9" s="566">
        <f ca="1">OFFSET(Sector1!$G$11,0,(COLUMN()-7)/6)</f>
        <v>119.729</v>
      </c>
      <c r="EK9" s="565"/>
      <c r="EL9" s="567"/>
      <c r="EM9" s="556">
        <f ca="1">+EN9+EO9+EP9</f>
        <v>500.24022509287607</v>
      </c>
      <c r="EN9" s="565">
        <f ca="1">OFFSET(Sector1!$G$9,0,(COLUMN()-6)/6)</f>
        <v>32.364885499883769</v>
      </c>
      <c r="EO9" s="566">
        <f ca="1">OFFSET(Sector1!$G$10,0,(COLUMN()-7)/6)</f>
        <v>343.35717959299228</v>
      </c>
      <c r="EP9" s="566">
        <f ca="1">OFFSET(Sector1!$G$11,0,(COLUMN()-7)/6)</f>
        <v>124.51816000000001</v>
      </c>
      <c r="EQ9" s="565"/>
      <c r="ER9" s="567"/>
      <c r="ES9" s="556">
        <f ca="1">+ET9+EU9+EV9</f>
        <v>512.32449358583131</v>
      </c>
      <c r="ET9" s="565">
        <f ca="1">OFFSET(Sector1!$G$9,0,(COLUMN()-6)/6)</f>
        <v>32.976788147723383</v>
      </c>
      <c r="EU9" s="566">
        <f ca="1">OFFSET(Sector1!$G$10,0,(COLUMN()-7)/6)</f>
        <v>349.84881903810788</v>
      </c>
      <c r="EV9" s="566">
        <f ca="1">OFFSET(Sector1!$G$11,0,(COLUMN()-7)/6)</f>
        <v>129.4988864</v>
      </c>
      <c r="EW9" s="565"/>
      <c r="EX9" s="567"/>
      <c r="EY9" s="556">
        <f ca="1">+EZ9+FA9+FB9</f>
        <v>529.7190656499132</v>
      </c>
      <c r="EZ9" s="565">
        <f ca="1">OFFSET(Sector1!$G$9,0,(COLUMN()-6)/6)</f>
        <v>34.028961295573588</v>
      </c>
      <c r="FA9" s="566">
        <f ca="1">OFFSET(Sector1!$G$10,0,(COLUMN()-7)/6)</f>
        <v>361.01126249833959</v>
      </c>
      <c r="FB9" s="566">
        <f ca="1">OFFSET(Sector1!$G$11,0,(COLUMN()-7)/6)</f>
        <v>134.67884185600002</v>
      </c>
      <c r="FC9" s="565"/>
      <c r="FD9" s="567"/>
    </row>
    <row r="10" spans="1:160" ht="13.15">
      <c r="A10" s="554"/>
      <c r="B10" s="555" t="s">
        <v>1791</v>
      </c>
      <c r="C10" s="3855" t="s">
        <v>1867</v>
      </c>
      <c r="D10" s="3855"/>
      <c r="E10" s="556">
        <f ca="1">+F10+G10+H10</f>
        <v>59.702000000000005</v>
      </c>
      <c r="F10" s="566">
        <f ca="1">OFFSET(Sector1!$G$46,0,(COLUMN()-6)/6)</f>
        <v>9.0079999999999991</v>
      </c>
      <c r="G10" s="566">
        <f ca="1">OFFSET(Sector1!$G$47,0,(COLUMN()-7)/6)</f>
        <v>46.216000000000001</v>
      </c>
      <c r="H10" s="566">
        <f ca="1">OFFSET(Sector1!$G$48,0,(COLUMN()-7)/6)</f>
        <v>4.4779999999999998</v>
      </c>
      <c r="I10" s="566"/>
      <c r="J10" s="567"/>
      <c r="K10" s="556">
        <f ca="1">+L10+M10+N10</f>
        <v>53.445000000000007</v>
      </c>
      <c r="L10" s="566">
        <f ca="1">OFFSET(Sector1!$G$46,0,(COLUMN()-6)/6)</f>
        <v>8.0939999999999994</v>
      </c>
      <c r="M10" s="566">
        <f ca="1">OFFSET(Sector1!$G$47,0,(COLUMN()-7)/6)</f>
        <v>41.468000000000004</v>
      </c>
      <c r="N10" s="566">
        <f ca="1">OFFSET(Sector1!$G$48,0,(COLUMN()-7)/6)</f>
        <v>3.883</v>
      </c>
      <c r="O10" s="566"/>
      <c r="P10" s="567"/>
      <c r="Q10" s="556">
        <f ca="1">+R10+S10+T10</f>
        <v>47.466999999999999</v>
      </c>
      <c r="R10" s="566">
        <f ca="1">OFFSET(Sector1!$G$46,0,(COLUMN()-6)/6)</f>
        <v>6.7009999999999996</v>
      </c>
      <c r="S10" s="566">
        <f ca="1">OFFSET(Sector1!$G$47,0,(COLUMN()-7)/6)</f>
        <v>37.155000000000001</v>
      </c>
      <c r="T10" s="566">
        <f ca="1">OFFSET(Sector1!$G$48,0,(COLUMN()-7)/6)</f>
        <v>3.6110000000000002</v>
      </c>
      <c r="U10" s="566"/>
      <c r="V10" s="567"/>
      <c r="W10" s="556">
        <f ca="1">+X10+Y10+Z10</f>
        <v>40.481000000000002</v>
      </c>
      <c r="X10" s="566">
        <f ca="1">OFFSET(Sector1!$G$46,0,(COLUMN()-6)/6)</f>
        <v>5.9210000000000003</v>
      </c>
      <c r="Y10" s="566">
        <f ca="1">OFFSET(Sector1!$G$47,0,(COLUMN()-7)/6)</f>
        <v>30.326000000000001</v>
      </c>
      <c r="Z10" s="566">
        <f ca="1">OFFSET(Sector1!$G$48,0,(COLUMN()-7)/6)</f>
        <v>4.234</v>
      </c>
      <c r="AA10" s="566"/>
      <c r="AB10" s="567"/>
      <c r="AC10" s="556">
        <f ca="1">+AD10+AE10+AF10</f>
        <v>38.821999999999996</v>
      </c>
      <c r="AD10" s="566">
        <f ca="1">OFFSET(Sector1!$G$46,0,(COLUMN()-6)/6)</f>
        <v>5.984</v>
      </c>
      <c r="AE10" s="566">
        <f ca="1">OFFSET(Sector1!$G$47,0,(COLUMN()-7)/6)</f>
        <v>28.071999999999999</v>
      </c>
      <c r="AF10" s="566">
        <f ca="1">OFFSET(Sector1!$G$48,0,(COLUMN()-7)/6)</f>
        <v>4.766</v>
      </c>
      <c r="AG10" s="566"/>
      <c r="AH10" s="567"/>
      <c r="AI10" s="556">
        <f ca="1">+AJ10+AK10+AL10</f>
        <v>32.938000000000002</v>
      </c>
      <c r="AJ10" s="566">
        <f ca="1">OFFSET(Sector1!$G$46,0,(COLUMN()-6)/6)</f>
        <v>5.6479999999999997</v>
      </c>
      <c r="AK10" s="566">
        <f ca="1">OFFSET(Sector1!$G$47,0,(COLUMN()-7)/6)</f>
        <v>24.157</v>
      </c>
      <c r="AL10" s="566">
        <f ca="1">OFFSET(Sector1!$G$48,0,(COLUMN()-7)/6)</f>
        <v>3.133</v>
      </c>
      <c r="AM10" s="566"/>
      <c r="AN10" s="567"/>
      <c r="AO10" s="556">
        <f ca="1">+AP10+AQ10+AR10</f>
        <v>31.108999999999998</v>
      </c>
      <c r="AP10" s="566">
        <f ca="1">OFFSET(Sector1!$G$46,0,(COLUMN()-6)/6)</f>
        <v>5.8289999999999997</v>
      </c>
      <c r="AQ10" s="566">
        <f ca="1">OFFSET(Sector1!$G$47,0,(COLUMN()-7)/6)</f>
        <v>22.341999999999999</v>
      </c>
      <c r="AR10" s="566">
        <f ca="1">OFFSET(Sector1!$G$48,0,(COLUMN()-7)/6)</f>
        <v>2.9380000000000002</v>
      </c>
      <c r="AS10" s="566"/>
      <c r="AT10" s="567"/>
      <c r="AU10" s="556">
        <f ca="1">+AV10+AW10+AX10</f>
        <v>34.253</v>
      </c>
      <c r="AV10" s="566">
        <f ca="1">OFFSET(Sector1!$G$46,0,(COLUMN()-6)/6)</f>
        <v>6.31</v>
      </c>
      <c r="AW10" s="566">
        <f ca="1">OFFSET(Sector1!$G$47,0,(COLUMN()-7)/6)</f>
        <v>24.106999999999999</v>
      </c>
      <c r="AX10" s="566">
        <f ca="1">OFFSET(Sector1!$G$48,0,(COLUMN()-7)/6)</f>
        <v>3.8359999999999999</v>
      </c>
      <c r="AY10" s="566"/>
      <c r="AZ10" s="567"/>
      <c r="BA10" s="556">
        <f ca="1">+BB10+BC10+BD10</f>
        <v>34.267000000000003</v>
      </c>
      <c r="BB10" s="566">
        <f ca="1">OFFSET(Sector1!$G$46,0,(COLUMN()-6)/6)</f>
        <v>6.0750000000000002</v>
      </c>
      <c r="BC10" s="566">
        <f ca="1">OFFSET(Sector1!$G$47,0,(COLUMN()-7)/6)</f>
        <v>24.687000000000001</v>
      </c>
      <c r="BD10" s="566">
        <f ca="1">OFFSET(Sector1!$G$48,0,(COLUMN()-7)/6)</f>
        <v>3.5049999999999999</v>
      </c>
      <c r="BE10" s="566"/>
      <c r="BF10" s="567"/>
      <c r="BG10" s="556">
        <f ca="1">+BH10+BI10+BJ10</f>
        <v>32.548999999999999</v>
      </c>
      <c r="BH10" s="566">
        <f ca="1">OFFSET(Sector1!$G$46,0,(COLUMN()-6)/6)</f>
        <v>5.97</v>
      </c>
      <c r="BI10" s="566">
        <f ca="1">OFFSET(Sector1!$G$47,0,(COLUMN()-7)/6)</f>
        <v>23.748000000000001</v>
      </c>
      <c r="BJ10" s="566">
        <f ca="1">OFFSET(Sector1!$G$48,0,(COLUMN()-7)/6)</f>
        <v>2.831</v>
      </c>
      <c r="BK10" s="566"/>
      <c r="BL10" s="567"/>
      <c r="BM10" s="556">
        <f ca="1">+BN10+BO10+BP10</f>
        <v>39.936</v>
      </c>
      <c r="BN10" s="566">
        <f ca="1">OFFSET(Sector1!$G$46,0,(COLUMN()-6)/6)</f>
        <v>9.9209999999999994</v>
      </c>
      <c r="BO10" s="566">
        <f ca="1">OFFSET(Sector1!$G$47,0,(COLUMN()-7)/6)</f>
        <v>27.552</v>
      </c>
      <c r="BP10" s="566">
        <f ca="1">OFFSET(Sector1!$G$48,0,(COLUMN()-7)/6)</f>
        <v>2.4630000000000001</v>
      </c>
      <c r="BQ10" s="566"/>
      <c r="BR10" s="567"/>
      <c r="BS10" s="556">
        <f ca="1">+BT10+BU10+BV10</f>
        <v>43.468000000000004</v>
      </c>
      <c r="BT10" s="566">
        <f ca="1">OFFSET(Sector1!$G$46,0,(COLUMN()-6)/6)</f>
        <v>10.191000000000001</v>
      </c>
      <c r="BU10" s="566">
        <f ca="1">OFFSET(Sector1!$G$47,0,(COLUMN()-7)/6)</f>
        <v>30.43</v>
      </c>
      <c r="BV10" s="566">
        <f ca="1">OFFSET(Sector1!$G$48,0,(COLUMN()-7)/6)</f>
        <v>2.847</v>
      </c>
      <c r="BW10" s="566"/>
      <c r="BX10" s="567"/>
      <c r="BY10" s="556">
        <f ca="1">+BZ10+CA10+CB10</f>
        <v>43.222000000000001</v>
      </c>
      <c r="BZ10" s="566">
        <f ca="1">OFFSET(Sector1!$G$46,0,(COLUMN()-6)/6)</f>
        <v>10.823</v>
      </c>
      <c r="CA10" s="566">
        <f ca="1">OFFSET(Sector1!$G$47,0,(COLUMN()-7)/6)</f>
        <v>29.704000000000001</v>
      </c>
      <c r="CB10" s="566">
        <f ca="1">OFFSET(Sector1!$G$48,0,(COLUMN()-7)/6)</f>
        <v>2.6949999999999998</v>
      </c>
      <c r="CC10" s="566"/>
      <c r="CD10" s="567"/>
      <c r="CE10" s="556">
        <f ca="1">+CF10+CG10+CH10</f>
        <v>43.849000000000004</v>
      </c>
      <c r="CF10" s="566">
        <f ca="1">OFFSET(Sector1!$G$46,0,(COLUMN()-6)/6)</f>
        <v>10.282999999999999</v>
      </c>
      <c r="CG10" s="566">
        <f ca="1">OFFSET(Sector1!$G$47,0,(COLUMN()-7)/6)</f>
        <v>30.591999999999999</v>
      </c>
      <c r="CH10" s="566">
        <f ca="1">OFFSET(Sector1!$G$48,0,(COLUMN()-7)/6)</f>
        <v>2.9740000000000002</v>
      </c>
      <c r="CI10" s="566"/>
      <c r="CJ10" s="567"/>
      <c r="CK10" s="556">
        <f ca="1">+CL10+CM10+CN10</f>
        <v>44.579000000000001</v>
      </c>
      <c r="CL10" s="566">
        <f ca="1">OFFSET(Sector1!$G$46,0,(COLUMN()-6)/6)</f>
        <v>10.302</v>
      </c>
      <c r="CM10" s="566">
        <f ca="1">OFFSET(Sector1!$G$47,0,(COLUMN()-7)/6)</f>
        <v>31.597999999999999</v>
      </c>
      <c r="CN10" s="566">
        <f ca="1">OFFSET(Sector1!$G$48,0,(COLUMN()-7)/6)</f>
        <v>2.6789999999999998</v>
      </c>
      <c r="CO10" s="566"/>
      <c r="CP10" s="567"/>
      <c r="CQ10" s="556">
        <f ca="1">+CR10+CS10+CT10</f>
        <v>48.762999999999998</v>
      </c>
      <c r="CR10" s="566">
        <f ca="1">OFFSET(Sector1!$G$46,0,(COLUMN()-6)/6)</f>
        <v>10.606</v>
      </c>
      <c r="CS10" s="566">
        <f ca="1">OFFSET(Sector1!$G$47,0,(COLUMN()-7)/6)</f>
        <v>35.070999999999998</v>
      </c>
      <c r="CT10" s="566">
        <f ca="1">OFFSET(Sector1!$G$48,0,(COLUMN()-7)/6)</f>
        <v>3.0859999999999999</v>
      </c>
      <c r="CU10" s="566"/>
      <c r="CV10" s="567"/>
      <c r="CW10" s="556">
        <f ca="1">+CX10+CY10+CZ10</f>
        <v>52.457999999999998</v>
      </c>
      <c r="CX10" s="566">
        <f ca="1">OFFSET(Sector1!$G$46,0,(COLUMN()-6)/6)</f>
        <v>10.872</v>
      </c>
      <c r="CY10" s="566">
        <f ca="1">OFFSET(Sector1!$G$47,0,(COLUMN()-7)/6)</f>
        <v>38.466999999999999</v>
      </c>
      <c r="CZ10" s="566">
        <f ca="1">OFFSET(Sector1!$G$48,0,(COLUMN()-7)/6)</f>
        <v>3.1190000000000002</v>
      </c>
      <c r="DA10" s="566"/>
      <c r="DB10" s="567"/>
      <c r="DC10" s="556">
        <f ca="1">+DD10+DE10+DF10</f>
        <v>54.012</v>
      </c>
      <c r="DD10" s="566">
        <f ca="1">OFFSET(Sector1!$G$46,0,(COLUMN()-6)/6)</f>
        <v>10.898</v>
      </c>
      <c r="DE10" s="566">
        <f ca="1">OFFSET(Sector1!$G$47,0,(COLUMN()-7)/6)</f>
        <v>39.875999999999998</v>
      </c>
      <c r="DF10" s="566">
        <f ca="1">OFFSET(Sector1!$G$48,0,(COLUMN()-7)/6)</f>
        <v>3.238</v>
      </c>
      <c r="DG10" s="566"/>
      <c r="DH10" s="567"/>
      <c r="DI10" s="556">
        <f ca="1">+DJ10+DK10+DL10</f>
        <v>54.485999999999997</v>
      </c>
      <c r="DJ10" s="566">
        <f ca="1">OFFSET(Sector1!$G$46,0,(COLUMN()-6)/6)</f>
        <v>10.98</v>
      </c>
      <c r="DK10" s="566">
        <f ca="1">OFFSET(Sector1!$G$47,0,(COLUMN()-7)/6)</f>
        <v>40.029000000000003</v>
      </c>
      <c r="DL10" s="566">
        <f ca="1">OFFSET(Sector1!$G$48,0,(COLUMN()-7)/6)</f>
        <v>3.4769999999999999</v>
      </c>
      <c r="DM10" s="566"/>
      <c r="DN10" s="567"/>
      <c r="DO10" s="556">
        <f ca="1">+DP10+DQ10+DR10</f>
        <v>56.326999999999998</v>
      </c>
      <c r="DP10" s="566">
        <f ca="1">OFFSET(Sector1!$G$46,0,(COLUMN()-6)/6)</f>
        <v>10.946999999999999</v>
      </c>
      <c r="DQ10" s="566">
        <f ca="1">OFFSET(Sector1!$G$47,0,(COLUMN()-7)/6)</f>
        <v>41.901000000000003</v>
      </c>
      <c r="DR10" s="566">
        <f ca="1">OFFSET(Sector1!$G$48,0,(COLUMN()-7)/6)</f>
        <v>3.4790000000000001</v>
      </c>
      <c r="DS10" s="566"/>
      <c r="DT10" s="567"/>
      <c r="DU10" s="556">
        <f ca="1">+DV10+DW10+DX10</f>
        <v>51.855000000000004</v>
      </c>
      <c r="DV10" s="566">
        <f ca="1">OFFSET(Sector1!$G$46,0,(COLUMN()-6)/6)</f>
        <v>7.9249999999999998</v>
      </c>
      <c r="DW10" s="566">
        <f ca="1">OFFSET(Sector1!$G$47,0,(COLUMN()-7)/6)</f>
        <v>40.590000000000003</v>
      </c>
      <c r="DX10" s="566">
        <f ca="1">OFFSET(Sector1!$G$48,0,(COLUMN()-7)/6)</f>
        <v>3.34</v>
      </c>
      <c r="DY10" s="566"/>
      <c r="DZ10" s="567"/>
      <c r="EA10" s="556">
        <f ca="1">+EB10+EC10+ED10</f>
        <v>54.336999999999996</v>
      </c>
      <c r="EB10" s="566">
        <f ca="1">OFFSET(Sector1!$G$46,0,(COLUMN()-6)/6)</f>
        <v>7.7069999999999999</v>
      </c>
      <c r="EC10" s="566">
        <f ca="1">OFFSET(Sector1!$G$47,0,(COLUMN()-7)/6)</f>
        <v>43.302999999999997</v>
      </c>
      <c r="ED10" s="566">
        <f ca="1">OFFSET(Sector1!$G$48,0,(COLUMN()-7)/6)</f>
        <v>3.327</v>
      </c>
      <c r="EE10" s="566"/>
      <c r="EF10" s="567"/>
      <c r="EG10" s="556">
        <f ca="1">+EH10+EI10+EJ10</f>
        <v>54.812999999999995</v>
      </c>
      <c r="EH10" s="566">
        <f ca="1">OFFSET(Sector1!$G$46,0,(COLUMN()-6)/6)</f>
        <v>7.4189999999999996</v>
      </c>
      <c r="EI10" s="566">
        <f ca="1">OFFSET(Sector1!$G$47,0,(COLUMN()-7)/6)</f>
        <v>43.216999999999999</v>
      </c>
      <c r="EJ10" s="566">
        <f ca="1">OFFSET(Sector1!$G$48,0,(COLUMN()-7)/6)</f>
        <v>4.1769999999999996</v>
      </c>
      <c r="EK10" s="566"/>
      <c r="EL10" s="567"/>
      <c r="EM10" s="556">
        <f ca="1">+EN10+EO10+EP10</f>
        <v>55.580079999999995</v>
      </c>
      <c r="EN10" s="566">
        <f ca="1">OFFSET(Sector1!$G$46,0,(COLUMN()-6)/6)</f>
        <v>7.1964299999999994</v>
      </c>
      <c r="EO10" s="566">
        <f ca="1">OFFSET(Sector1!$G$47,0,(COLUMN()-7)/6)</f>
        <v>44.081339999999997</v>
      </c>
      <c r="EP10" s="566">
        <f ca="1">OFFSET(Sector1!$G$48,0,(COLUMN()-7)/6)</f>
        <v>4.3023099999999994</v>
      </c>
      <c r="EQ10" s="566"/>
      <c r="ER10" s="567"/>
      <c r="ES10" s="556">
        <f ca="1">+ET10+EU10+EV10</f>
        <v>56.374883199999999</v>
      </c>
      <c r="ET10" s="566">
        <f ca="1">OFFSET(Sector1!$G$46,0,(COLUMN()-6)/6)</f>
        <v>6.9805370999999994</v>
      </c>
      <c r="EU10" s="566">
        <f ca="1">OFFSET(Sector1!$G$47,0,(COLUMN()-7)/6)</f>
        <v>44.962966799999997</v>
      </c>
      <c r="EV10" s="566">
        <f ca="1">OFFSET(Sector1!$G$48,0,(COLUMN()-7)/6)</f>
        <v>4.4313792999999997</v>
      </c>
      <c r="EW10" s="566"/>
      <c r="EX10" s="567"/>
      <c r="EY10" s="556">
        <f ca="1">+EZ10+FA10+FB10</f>
        <v>57.197667801999991</v>
      </c>
      <c r="EZ10" s="566">
        <f ca="1">OFFSET(Sector1!$G$46,0,(COLUMN()-6)/6)</f>
        <v>6.7711209869999989</v>
      </c>
      <c r="FA10" s="566">
        <f ca="1">OFFSET(Sector1!$G$47,0,(COLUMN()-7)/6)</f>
        <v>45.862226135999997</v>
      </c>
      <c r="FB10" s="566">
        <f ca="1">OFFSET(Sector1!$G$48,0,(COLUMN()-7)/6)</f>
        <v>4.5643206789999997</v>
      </c>
      <c r="FC10" s="566"/>
      <c r="FD10" s="567"/>
    </row>
    <row r="11" spans="1:160" ht="13.15">
      <c r="A11" s="554"/>
      <c r="B11" s="555" t="s">
        <v>301</v>
      </c>
      <c r="C11" s="3855" t="s">
        <v>1868</v>
      </c>
      <c r="D11" s="3856"/>
      <c r="E11" s="569">
        <f ca="1">+F11+G11+H11</f>
        <v>829.75400000000002</v>
      </c>
      <c r="F11" s="1229">
        <f ca="1">OFFSET(Labour1!$G$208,0,(COLUMN()-6)/6)</f>
        <v>25.466999999999999</v>
      </c>
      <c r="G11" s="1230">
        <f ca="1">OFFSET(Labour1!$G$209,0,(COLUMN()-7)/6)</f>
        <v>550.09100000000001</v>
      </c>
      <c r="H11" s="1230">
        <f ca="1">OFFSET(Labour1!$G$210,0,(COLUMN()-8)/6)</f>
        <v>254.196</v>
      </c>
      <c r="I11" s="1230">
        <f ca="1">OFFSET(Labour1!$G$215,0,(COLUMN()-9)/6)</f>
        <v>0.81100000000000005</v>
      </c>
      <c r="J11" s="567"/>
      <c r="K11" s="569">
        <f ca="1">+L11+M11+N11</f>
        <v>879.89700000000016</v>
      </c>
      <c r="L11" s="1229">
        <f ca="1">OFFSET(Labour1!$G$208,0,(COLUMN()-6)/6)</f>
        <v>26.488</v>
      </c>
      <c r="M11" s="1230">
        <f ca="1">OFFSET(Labour1!$G$209,0,(COLUMN()-7)/6)</f>
        <v>585.36400000000003</v>
      </c>
      <c r="N11" s="1230">
        <f ca="1">OFFSET(Labour1!$G$210,0,(COLUMN()-8)/6)</f>
        <v>268.04500000000002</v>
      </c>
      <c r="O11" s="1230">
        <f ca="1">OFFSET(Labour1!$G$215,0,(COLUMN()-9)/6)</f>
        <v>0.50800000000000001</v>
      </c>
      <c r="P11" s="567"/>
      <c r="Q11" s="569">
        <f ca="1">+R11+S11+T11</f>
        <v>919.86799999999994</v>
      </c>
      <c r="R11" s="1229">
        <f ca="1">OFFSET(Labour1!$G$208,0,(COLUMN()-6)/6)</f>
        <v>27.68</v>
      </c>
      <c r="S11" s="1230">
        <f ca="1">OFFSET(Labour1!$G$209,0,(COLUMN()-7)/6)</f>
        <v>617.69200000000001</v>
      </c>
      <c r="T11" s="1230">
        <f ca="1">OFFSET(Labour1!$G$210,0,(COLUMN()-8)/6)</f>
        <v>274.49599999999998</v>
      </c>
      <c r="U11" s="1230">
        <f ca="1">OFFSET(Labour1!$G$215,0,(COLUMN()-9)/6)</f>
        <v>1.427</v>
      </c>
      <c r="V11" s="567"/>
      <c r="W11" s="569">
        <f ca="1">+X11+Y11+Z11</f>
        <v>920.92000000000007</v>
      </c>
      <c r="X11" s="1229">
        <f ca="1">OFFSET(Labour1!$G$208,0,(COLUMN()-6)/6)</f>
        <v>28.08</v>
      </c>
      <c r="Y11" s="1230">
        <f ca="1">OFFSET(Labour1!$G$209,0,(COLUMN()-7)/6)</f>
        <v>626.202</v>
      </c>
      <c r="Z11" s="1230">
        <f ca="1">OFFSET(Labour1!$G$210,0,(COLUMN()-8)/6)</f>
        <v>266.63799999999998</v>
      </c>
      <c r="AA11" s="1230">
        <f ca="1">OFFSET(Labour1!$G$215,0,(COLUMN()-9)/6)</f>
        <v>1.615</v>
      </c>
      <c r="AB11" s="567"/>
      <c r="AC11" s="569">
        <f ca="1">+AD11+AE11+AF11</f>
        <v>976.67800000000011</v>
      </c>
      <c r="AD11" s="1229">
        <f ca="1">OFFSET(Labour1!$G$208,0,(COLUMN()-6)/6)</f>
        <v>29.03</v>
      </c>
      <c r="AE11" s="1230">
        <f ca="1">OFFSET(Labour1!$G$209,0,(COLUMN()-7)/6)</f>
        <v>666.69</v>
      </c>
      <c r="AF11" s="1230">
        <f ca="1">OFFSET(Labour1!$G$210,0,(COLUMN()-8)/6)</f>
        <v>280.95800000000003</v>
      </c>
      <c r="AG11" s="1230">
        <f ca="1">OFFSET(Labour1!$G$215,0,(COLUMN()-9)/6)</f>
        <v>2.3660000000000001</v>
      </c>
      <c r="AH11" s="567"/>
      <c r="AI11" s="569">
        <f ca="1">+AJ11+AK11+AL11</f>
        <v>1071.2280000000001</v>
      </c>
      <c r="AJ11" s="1229">
        <f ca="1">OFFSET(Labour1!$G$208,0,(COLUMN()-6)/6)</f>
        <v>36.014000000000003</v>
      </c>
      <c r="AK11" s="1230">
        <f ca="1">OFFSET(Labour1!$G$209,0,(COLUMN()-7)/6)</f>
        <v>740.71900000000005</v>
      </c>
      <c r="AL11" s="1230">
        <f ca="1">OFFSET(Labour1!$G$210,0,(COLUMN()-8)/6)</f>
        <v>294.495</v>
      </c>
      <c r="AM11" s="1230">
        <f ca="1">OFFSET(Labour1!$G$215,0,(COLUMN()-9)/6)</f>
        <v>2.9279999999999999</v>
      </c>
      <c r="AN11" s="567"/>
      <c r="AO11" s="569">
        <f ca="1">+AP11+AQ11+AR11</f>
        <v>1144.5229999999999</v>
      </c>
      <c r="AP11" s="1229">
        <f ca="1">OFFSET(Labour1!$G$208,0,(COLUMN()-6)/6)</f>
        <v>37.732999999999997</v>
      </c>
      <c r="AQ11" s="1230">
        <f ca="1">OFFSET(Labour1!$G$209,0,(COLUMN()-7)/6)</f>
        <v>795.72500000000002</v>
      </c>
      <c r="AR11" s="1230">
        <f ca="1">OFFSET(Labour1!$G$210,0,(COLUMN()-8)/6)</f>
        <v>311.065</v>
      </c>
      <c r="AS11" s="1230">
        <f ca="1">OFFSET(Labour1!$G$215,0,(COLUMN()-9)/6)</f>
        <v>4.3559999999999999</v>
      </c>
      <c r="AT11" s="567"/>
      <c r="AU11" s="569">
        <f ca="1">+AV11+AW11+AX11</f>
        <v>1184.1509999999998</v>
      </c>
      <c r="AV11" s="1229">
        <f ca="1">OFFSET(Labour1!$G$208,0,(COLUMN()-6)/6)</f>
        <v>39.487000000000002</v>
      </c>
      <c r="AW11" s="1230">
        <f ca="1">OFFSET(Labour1!$G$209,0,(COLUMN()-7)/6)</f>
        <v>816.68799999999999</v>
      </c>
      <c r="AX11" s="1230">
        <f ca="1">OFFSET(Labour1!$G$210,0,(COLUMN()-8)/6)</f>
        <v>327.976</v>
      </c>
      <c r="AY11" s="1230">
        <f ca="1">OFFSET(Labour1!$G$215,0,(COLUMN()-9)/6)</f>
        <v>5.36</v>
      </c>
      <c r="AZ11" s="567"/>
      <c r="BA11" s="569">
        <f ca="1">+BB11+BC11+BD11</f>
        <v>1225.7249999999999</v>
      </c>
      <c r="BB11" s="1229">
        <f ca="1">OFFSET(Labour1!$G$208,0,(COLUMN()-6)/6)</f>
        <v>41.460999999999999</v>
      </c>
      <c r="BC11" s="1230">
        <f ca="1">OFFSET(Labour1!$G$209,0,(COLUMN()-7)/6)</f>
        <v>833.90300000000002</v>
      </c>
      <c r="BD11" s="1230">
        <f ca="1">OFFSET(Labour1!$G$210,0,(COLUMN()-8)/6)</f>
        <v>350.36099999999999</v>
      </c>
      <c r="BE11" s="1230">
        <f ca="1">OFFSET(Labour1!$G$215,0,(COLUMN()-9)/6)</f>
        <v>4.8440000000000003</v>
      </c>
      <c r="BF11" s="567"/>
      <c r="BG11" s="569">
        <f ca="1">+BH11+BI11+BJ11</f>
        <v>1266.2560000000001</v>
      </c>
      <c r="BH11" s="1229">
        <f ca="1">OFFSET(Labour1!$G$208,0,(COLUMN()-6)/6)</f>
        <v>43.012999999999998</v>
      </c>
      <c r="BI11" s="1230">
        <f ca="1">OFFSET(Labour1!$G$209,0,(COLUMN()-7)/6)</f>
        <v>861.69500000000005</v>
      </c>
      <c r="BJ11" s="1230">
        <f ca="1">OFFSET(Labour1!$G$210,0,(COLUMN()-8)/6)</f>
        <v>361.548</v>
      </c>
      <c r="BK11" s="1230">
        <f ca="1">OFFSET(Labour1!$G$215,0,(COLUMN()-9)/6)</f>
        <v>5.444</v>
      </c>
      <c r="BL11" s="567"/>
      <c r="BM11" s="569">
        <f ca="1">+BN11+BO11+BP11</f>
        <v>1308.9949999999999</v>
      </c>
      <c r="BN11" s="1229">
        <f ca="1">OFFSET(Labour1!$G$208,0,(COLUMN()-6)/6)</f>
        <v>44.62</v>
      </c>
      <c r="BO11" s="1230">
        <f ca="1">OFFSET(Labour1!$G$209,0,(COLUMN()-7)/6)</f>
        <v>893.27599999999995</v>
      </c>
      <c r="BP11" s="1230">
        <f ca="1">OFFSET(Labour1!$G$210,0,(COLUMN()-8)/6)</f>
        <v>371.09899999999999</v>
      </c>
      <c r="BQ11" s="1230">
        <f ca="1">OFFSET(Labour1!$G$215,0,(COLUMN()-9)/6)</f>
        <v>6.782</v>
      </c>
      <c r="BR11" s="567"/>
      <c r="BS11" s="569">
        <f ca="1">+BT11+BU11+BV11</f>
        <v>1372.162</v>
      </c>
      <c r="BT11" s="1229">
        <f ca="1">OFFSET(Labour1!$G$208,0,(COLUMN()-6)/6)</f>
        <v>46.933</v>
      </c>
      <c r="BU11" s="1230">
        <f ca="1">OFFSET(Labour1!$G$209,0,(COLUMN()-7)/6)</f>
        <v>937.35199999999998</v>
      </c>
      <c r="BV11" s="1230">
        <f ca="1">OFFSET(Labour1!$G$210,0,(COLUMN()-8)/6)</f>
        <v>387.87700000000001</v>
      </c>
      <c r="BW11" s="1230">
        <f ca="1">OFFSET(Labour1!$G$215,0,(COLUMN()-9)/6)</f>
        <v>8.484</v>
      </c>
      <c r="BX11" s="567"/>
      <c r="BY11" s="569">
        <f ca="1">+BZ11+CA11+CB11</f>
        <v>1479.068</v>
      </c>
      <c r="BZ11" s="1229">
        <f ca="1">OFFSET(Labour1!$G$208,0,(COLUMN()-6)/6)</f>
        <v>49.655000000000001</v>
      </c>
      <c r="CA11" s="1230">
        <f ca="1">OFFSET(Labour1!$G$209,0,(COLUMN()-7)/6)</f>
        <v>1022.751</v>
      </c>
      <c r="CB11" s="1230">
        <f ca="1">OFFSET(Labour1!$G$210,0,(COLUMN()-8)/6)</f>
        <v>406.66199999999998</v>
      </c>
      <c r="CC11" s="1230">
        <f ca="1">OFFSET(Labour1!$G$215,0,(COLUMN()-9)/6)</f>
        <v>13.335000000000001</v>
      </c>
      <c r="CD11" s="567"/>
      <c r="CE11" s="569">
        <f ca="1">+CF11+CG11+CH11</f>
        <v>1552.0030000000002</v>
      </c>
      <c r="CF11" s="1229">
        <f ca="1">OFFSET(Labour1!$G$208,0,(COLUMN()-6)/6)</f>
        <v>50.978000000000002</v>
      </c>
      <c r="CG11" s="1230">
        <f ca="1">OFFSET(Labour1!$G$209,0,(COLUMN()-7)/6)</f>
        <v>1078.654</v>
      </c>
      <c r="CH11" s="1230">
        <f ca="1">OFFSET(Labour1!$G$210,0,(COLUMN()-8)/6)</f>
        <v>422.37099999999998</v>
      </c>
      <c r="CI11" s="1230">
        <f ca="1">OFFSET(Labour1!$G$215,0,(COLUMN()-9)/6)</f>
        <v>17.818000000000001</v>
      </c>
      <c r="CJ11" s="567"/>
      <c r="CK11" s="569">
        <f ca="1">+CL11+CM11+CN11</f>
        <v>1552.248</v>
      </c>
      <c r="CL11" s="1229">
        <f ca="1">OFFSET(Labour1!$G$208,0,(COLUMN()-6)/6)</f>
        <v>52.457999999999998</v>
      </c>
      <c r="CM11" s="1230">
        <f ca="1">OFFSET(Labour1!$G$209,0,(COLUMN()-7)/6)</f>
        <v>1076.0340000000001</v>
      </c>
      <c r="CN11" s="1230">
        <f ca="1">OFFSET(Labour1!$G$210,0,(COLUMN()-8)/6)</f>
        <v>423.75599999999997</v>
      </c>
      <c r="CO11" s="1230">
        <f ca="1">OFFSET(Labour1!$G$215,0,(COLUMN()-9)/6)</f>
        <v>21.146999999999998</v>
      </c>
      <c r="CP11" s="567"/>
      <c r="CQ11" s="569">
        <f ca="1">+CR11+CS11+CT11</f>
        <v>1600.6030000000001</v>
      </c>
      <c r="CR11" s="1229">
        <f ca="1">OFFSET(Labour1!$G$208,0,(COLUMN()-6)/6)</f>
        <v>54.372999999999998</v>
      </c>
      <c r="CS11" s="1230">
        <f ca="1">OFFSET(Labour1!$G$209,0,(COLUMN()-7)/6)</f>
        <v>1113.47</v>
      </c>
      <c r="CT11" s="1230">
        <f ca="1">OFFSET(Labour1!$G$210,0,(COLUMN()-8)/6)</f>
        <v>432.76</v>
      </c>
      <c r="CU11" s="1230">
        <f ca="1">OFFSET(Labour1!$G$215,0,(COLUMN()-9)/6)</f>
        <v>20.047000000000001</v>
      </c>
      <c r="CV11" s="567"/>
      <c r="CW11" s="569">
        <f ca="1">+CX11+CY11+CZ11</f>
        <v>1692.809</v>
      </c>
      <c r="CX11" s="1229">
        <f ca="1">OFFSET(Labour1!$G$208,0,(COLUMN()-6)/6)</f>
        <v>56.372999999999998</v>
      </c>
      <c r="CY11" s="1230">
        <f ca="1">OFFSET(Labour1!$G$209,0,(COLUMN()-7)/6)</f>
        <v>1190.8889999999999</v>
      </c>
      <c r="CZ11" s="1230">
        <f ca="1">OFFSET(Labour1!$G$210,0,(COLUMN()-8)/6)</f>
        <v>445.54700000000003</v>
      </c>
      <c r="DA11" s="1230">
        <f ca="1">OFFSET(Labour1!$G$215,0,(COLUMN()-9)/6)</f>
        <v>18.667000000000002</v>
      </c>
      <c r="DB11" s="567"/>
      <c r="DC11" s="569">
        <f ca="1">+DD11+DE11+DF11</f>
        <v>1760.3630000000001</v>
      </c>
      <c r="DD11" s="1229">
        <f ca="1">OFFSET(Labour1!$G$208,0,(COLUMN()-6)/6)</f>
        <v>57.191000000000003</v>
      </c>
      <c r="DE11" s="1230">
        <f ca="1">OFFSET(Labour1!$G$209,0,(COLUMN()-7)/6)</f>
        <v>1238.5650000000001</v>
      </c>
      <c r="DF11" s="1230">
        <f ca="1">OFFSET(Labour1!$G$210,0,(COLUMN()-8)/6)</f>
        <v>464.60700000000003</v>
      </c>
      <c r="DG11" s="1230">
        <f ca="1">OFFSET(Labour1!$G$215,0,(COLUMN()-9)/6)</f>
        <v>19.036999999999999</v>
      </c>
      <c r="DH11" s="567"/>
      <c r="DI11" s="569">
        <f ca="1">+DJ11+DK11+DL11</f>
        <v>1813.3040000000001</v>
      </c>
      <c r="DJ11" s="1229">
        <f ca="1">OFFSET(Labour1!$G$208,0,(COLUMN()-6)/6)</f>
        <v>58.377000000000002</v>
      </c>
      <c r="DK11" s="1230">
        <f ca="1">OFFSET(Labour1!$G$209,0,(COLUMN()-7)/6)</f>
        <v>1273.673</v>
      </c>
      <c r="DL11" s="1230">
        <f ca="1">OFFSET(Labour1!$G$210,0,(COLUMN()-8)/6)</f>
        <v>481.25400000000002</v>
      </c>
      <c r="DM11" s="1230">
        <f ca="1">OFFSET(Labour1!$G$215,0,(COLUMN()-9)/6)</f>
        <v>18.651</v>
      </c>
      <c r="DN11" s="567"/>
      <c r="DO11" s="569">
        <f ca="1">+DP11+DQ11+DR11</f>
        <v>1882.9759999999999</v>
      </c>
      <c r="DP11" s="1229">
        <f ca="1">OFFSET(Labour1!$G$208,0,(COLUMN()-6)/6)</f>
        <v>59.899000000000001</v>
      </c>
      <c r="DQ11" s="1230">
        <f ca="1">OFFSET(Labour1!$G$209,0,(COLUMN()-7)/6)</f>
        <v>1323.4639999999999</v>
      </c>
      <c r="DR11" s="1230">
        <f ca="1">OFFSET(Labour1!$G$210,0,(COLUMN()-8)/6)</f>
        <v>499.613</v>
      </c>
      <c r="DS11" s="1230">
        <f ca="1">OFFSET(Labour1!$G$215,0,(COLUMN()-9)/6)</f>
        <v>19.681999999999999</v>
      </c>
      <c r="DT11" s="567"/>
      <c r="DU11" s="569">
        <f ca="1">+DV11+DW11+DX11</f>
        <v>1967.078</v>
      </c>
      <c r="DV11" s="1229">
        <f ca="1">OFFSET(Labour1!$G$208,0,(COLUMN()-6)/6)</f>
        <v>60.9</v>
      </c>
      <c r="DW11" s="1230">
        <f ca="1">OFFSET(Labour1!$G$209,0,(COLUMN()-7)/6)</f>
        <v>1383.7719999999999</v>
      </c>
      <c r="DX11" s="1230">
        <f ca="1">OFFSET(Labour1!$G$210,0,(COLUMN()-8)/6)</f>
        <v>522.40599999999995</v>
      </c>
      <c r="DY11" s="1230">
        <f ca="1">OFFSET(Labour1!$G$215,0,(COLUMN()-9)/6)</f>
        <v>15.632</v>
      </c>
      <c r="DZ11" s="567"/>
      <c r="EA11" s="569">
        <f ca="1">+EB11+EC11+ED11</f>
        <v>2062.7569999999996</v>
      </c>
      <c r="EB11" s="1229">
        <f ca="1">OFFSET(Labour1!$G$208,0,(COLUMN()-6)/6)</f>
        <v>61.27</v>
      </c>
      <c r="EC11" s="1230">
        <f ca="1">OFFSET(Labour1!$G$209,0,(COLUMN()-7)/6)</f>
        <v>1449.1769999999999</v>
      </c>
      <c r="ED11" s="1230">
        <f ca="1">OFFSET(Labour1!$G$210,0,(COLUMN()-8)/6)</f>
        <v>552.30999999999995</v>
      </c>
      <c r="EE11" s="1230">
        <f ca="1">OFFSET(Labour1!$G$215,0,(COLUMN()-9)/6)</f>
        <v>9.49</v>
      </c>
      <c r="EF11" s="567"/>
      <c r="EG11" s="569">
        <f ca="1">+EH11+EI11+EJ11</f>
        <v>2157.2219999999998</v>
      </c>
      <c r="EH11" s="1229">
        <f ca="1">OFFSET(Labour1!$G$208,0,(COLUMN()-6)/6)</f>
        <v>61.984000000000002</v>
      </c>
      <c r="EI11" s="1230">
        <f ca="1">OFFSET(Labour1!$G$209,0,(COLUMN()-7)/6)</f>
        <v>1514.7650000000001</v>
      </c>
      <c r="EJ11" s="1230">
        <f ca="1">OFFSET(Labour1!$G$210,0,(COLUMN()-8)/6)</f>
        <v>580.47299999999996</v>
      </c>
      <c r="EK11" s="1230">
        <f ca="1">OFFSET(Labour1!$G$215,0,(COLUMN()-9)/6)</f>
        <v>7.4569999999999999</v>
      </c>
      <c r="EL11" s="567"/>
      <c r="EM11" s="569">
        <f ca="1">+EN11+EO11+EP11</f>
        <v>2253.8903473306</v>
      </c>
      <c r="EN11" s="1229">
        <f ca="1">OFFSET(Labour1!$G$208,0,(COLUMN()-6)/6)</f>
        <v>62.603840000000005</v>
      </c>
      <c r="EO11" s="1230">
        <f ca="1">OFFSET(Labour1!$G$209,0,(COLUMN()-7)/6)</f>
        <v>1582.1332994116003</v>
      </c>
      <c r="EP11" s="1230">
        <f ca="1">OFFSET(Labour1!$G$210,0,(COLUMN()-8)/6)</f>
        <v>609.1532079189999</v>
      </c>
      <c r="EQ11" s="1230">
        <f ca="1">OFFSET(Labour1!$G$215,0,(COLUMN()-9)/6)</f>
        <v>6.9179999999998927</v>
      </c>
      <c r="ER11" s="567"/>
      <c r="ES11" s="569">
        <f ca="1">+ET11+EU11+EV11</f>
        <v>2334.7706369596426</v>
      </c>
      <c r="ET11" s="1229">
        <f ca="1">OFFSET(Labour1!$G$208,0,(COLUMN()-6)/6)</f>
        <v>62.916859199999998</v>
      </c>
      <c r="EU11" s="1230">
        <f ca="1">OFFSET(Labour1!$G$209,0,(COLUMN()-7)/6)</f>
        <v>1637.7014109868655</v>
      </c>
      <c r="EV11" s="1230">
        <f ca="1">OFFSET(Labour1!$G$210,0,(COLUMN()-8)/6)</f>
        <v>634.15236677277699</v>
      </c>
      <c r="EW11" s="1230">
        <f ca="1">OFFSET(Labour1!$G$215,0,(COLUMN()-9)/6)</f>
        <v>6.9179999999998927</v>
      </c>
      <c r="EX11" s="567"/>
      <c r="EY11" s="569">
        <f ca="1">+EZ11+FA11+FB11</f>
        <v>2408.5692444957795</v>
      </c>
      <c r="EZ11" s="1229">
        <f ca="1">OFFSET(Labour1!$G$208,0,(COLUMN()-6)/6)</f>
        <v>63.23144349599999</v>
      </c>
      <c r="FA11" s="1230">
        <f ca="1">OFFSET(Labour1!$G$209,0,(COLUMN()-7)/6)</f>
        <v>1686.8095827186821</v>
      </c>
      <c r="FB11" s="1230">
        <f ca="1">OFFSET(Labour1!$G$210,0,(COLUMN()-8)/6)</f>
        <v>658.52821828109757</v>
      </c>
      <c r="FC11" s="1230">
        <f ca="1">OFFSET(Labour1!$G$215,0,(COLUMN()-9)/6)</f>
        <v>6.9179999999998927</v>
      </c>
      <c r="FD11" s="567"/>
    </row>
    <row r="12" spans="1:160" s="564" customFormat="1" ht="13.5" thickBot="1">
      <c r="A12" s="559"/>
      <c r="B12" s="560" t="s">
        <v>1793</v>
      </c>
      <c r="C12" s="3868" t="s">
        <v>1869</v>
      </c>
      <c r="D12" s="3869"/>
      <c r="E12" s="570">
        <f ca="1">+E8-E9+E10-E11</f>
        <v>713.54599999999994</v>
      </c>
      <c r="F12" s="570">
        <f ca="1">+F8-F9+F10-F11</f>
        <v>138.767</v>
      </c>
      <c r="G12" s="570">
        <f ca="1">+G8-G9+G10-G11</f>
        <v>509.28599999999994</v>
      </c>
      <c r="H12" s="570">
        <f ca="1">+H8-H9+H10-H11</f>
        <v>65.493000000000023</v>
      </c>
      <c r="I12" s="571"/>
      <c r="J12" s="567"/>
      <c r="K12" s="570">
        <f ca="1">+K8-K9+K10-K11</f>
        <v>678.88599999999974</v>
      </c>
      <c r="L12" s="570">
        <f ca="1">+L8-L9+L10-L11</f>
        <v>137.66300000000001</v>
      </c>
      <c r="M12" s="570">
        <f ca="1">+M8-M9+M10-M11</f>
        <v>474.76400000000012</v>
      </c>
      <c r="N12" s="570">
        <f ca="1">+N8-N9+N10-N11</f>
        <v>66.459000000000003</v>
      </c>
      <c r="O12" s="571"/>
      <c r="P12" s="567"/>
      <c r="Q12" s="570">
        <f ca="1">+Q8-Q9+Q10-Q11</f>
        <v>711.70700000000011</v>
      </c>
      <c r="R12" s="570">
        <f ca="1">+R8-R9+R10-R11</f>
        <v>138.41799999999998</v>
      </c>
      <c r="S12" s="570">
        <f ca="1">+S8-S9+S10-S11</f>
        <v>505.03899999999999</v>
      </c>
      <c r="T12" s="570">
        <f ca="1">+T8-T9+T10-T11</f>
        <v>68.25</v>
      </c>
      <c r="U12" s="571"/>
      <c r="V12" s="567"/>
      <c r="W12" s="570">
        <f ca="1">+W8-W9+W10-W11</f>
        <v>731.89599999999973</v>
      </c>
      <c r="X12" s="570">
        <f ca="1">+X8-X9+X10-X11</f>
        <v>140.911</v>
      </c>
      <c r="Y12" s="570">
        <f ca="1">+Y8-Y9+Y10-Y11</f>
        <v>520.55000000000018</v>
      </c>
      <c r="Z12" s="570">
        <f ca="1">+Z8-Z9+Z10-Z11</f>
        <v>70.435000000000002</v>
      </c>
      <c r="AA12" s="571"/>
      <c r="AB12" s="567"/>
      <c r="AC12" s="570">
        <f ca="1">+AC8-AC9+AC10-AC11</f>
        <v>764.48799999999937</v>
      </c>
      <c r="AD12" s="570">
        <f ca="1">+AD8-AD9+AD10-AD11</f>
        <v>143.33000000000001</v>
      </c>
      <c r="AE12" s="570">
        <f ca="1">+AE8-AE9+AE10-AE11</f>
        <v>549.44199999999978</v>
      </c>
      <c r="AF12" s="570">
        <f ca="1">+AF8-AF9+AF10-AF11</f>
        <v>71.716000000000008</v>
      </c>
      <c r="AG12" s="571"/>
      <c r="AH12" s="567"/>
      <c r="AI12" s="570">
        <f ca="1">+AI8-AI9+AI10-AI11</f>
        <v>806.81100000000015</v>
      </c>
      <c r="AJ12" s="570">
        <f ca="1">+AJ8-AJ9+AJ10-AJ11</f>
        <v>155.40299999999999</v>
      </c>
      <c r="AK12" s="570">
        <f ca="1">+AK8-AK9+AK10-AK11</f>
        <v>576.19200000000001</v>
      </c>
      <c r="AL12" s="570">
        <f ca="1">+AL8-AL9+AL10-AL11</f>
        <v>75.216000000000008</v>
      </c>
      <c r="AM12" s="571"/>
      <c r="AN12" s="567"/>
      <c r="AO12" s="570">
        <f ca="1">+AO8-AO9+AO10-AO11</f>
        <v>803.99099999999999</v>
      </c>
      <c r="AP12" s="570">
        <f ca="1">+AP8-AP9+AP10-AP11</f>
        <v>161.37300000000002</v>
      </c>
      <c r="AQ12" s="570">
        <f ca="1">+AQ8-AQ9+AQ10-AQ11</f>
        <v>563.19800000000021</v>
      </c>
      <c r="AR12" s="570">
        <f ca="1">+AR8-AR9+AR10-AR11</f>
        <v>79.420000000000016</v>
      </c>
      <c r="AS12" s="571"/>
      <c r="AT12" s="567"/>
      <c r="AU12" s="570">
        <f ca="1">+AU8-AU9+AU10-AU11</f>
        <v>834.32600000000025</v>
      </c>
      <c r="AV12" s="570">
        <f ca="1">+AV8-AV9+AV10-AV11</f>
        <v>169.97499999999999</v>
      </c>
      <c r="AW12" s="570">
        <f ca="1">+AW8-AW9+AW10-AW11</f>
        <v>580.14800000000002</v>
      </c>
      <c r="AX12" s="570">
        <f ca="1">+AX8-AX9+AX10-AX11</f>
        <v>84.203000000000031</v>
      </c>
      <c r="AY12" s="571"/>
      <c r="AZ12" s="567"/>
      <c r="BA12" s="570">
        <f ca="1">+BA8-BA9+BA10-BA11</f>
        <v>880.529</v>
      </c>
      <c r="BB12" s="570">
        <f ca="1">+BB8-BB9+BB10-BB11</f>
        <v>173.03300000000002</v>
      </c>
      <c r="BC12" s="570">
        <f ca="1">+BC8-BC9+BC10-BC11</f>
        <v>621.04600000000005</v>
      </c>
      <c r="BD12" s="570">
        <f ca="1">+BD8-BD9+BD10-BD11</f>
        <v>86.449999999999989</v>
      </c>
      <c r="BE12" s="571"/>
      <c r="BF12" s="567"/>
      <c r="BG12" s="570">
        <f ca="1">+BG8-BG9+BG10-BG11</f>
        <v>949.00499999999943</v>
      </c>
      <c r="BH12" s="570">
        <f ca="1">+BH8-BH9+BH10-BH11</f>
        <v>173.27100000000002</v>
      </c>
      <c r="BI12" s="570">
        <f ca="1">+BI8-BI9+BI10-BI11</f>
        <v>686.34200000000021</v>
      </c>
      <c r="BJ12" s="570">
        <f ca="1">+BJ8-BJ9+BJ10-BJ11</f>
        <v>89.391999999999996</v>
      </c>
      <c r="BK12" s="571"/>
      <c r="BL12" s="567"/>
      <c r="BM12" s="570">
        <f ca="1">+BM8-BM9+BM10-BM11</f>
        <v>984.27300000000059</v>
      </c>
      <c r="BN12" s="570">
        <f ca="1">+BN8-BN9+BN10-BN11</f>
        <v>180.70499999999998</v>
      </c>
      <c r="BO12" s="570">
        <f ca="1">+BO8-BO9+BO10-BO11</f>
        <v>711.99799999999993</v>
      </c>
      <c r="BP12" s="570">
        <f ca="1">+BP8-BP9+BP10-BP11</f>
        <v>91.570000000000107</v>
      </c>
      <c r="BQ12" s="571"/>
      <c r="BR12" s="567"/>
      <c r="BS12" s="570">
        <f ca="1">+BS8-BS9+BS10-BS11</f>
        <v>1086.5119999999995</v>
      </c>
      <c r="BT12" s="570">
        <f ca="1">+BT8-BT9+BT10-BT11</f>
        <v>192.864</v>
      </c>
      <c r="BU12" s="570">
        <f ca="1">+BU8-BU9+BU10-BU11</f>
        <v>798.98599999999999</v>
      </c>
      <c r="BV12" s="570">
        <f ca="1">+BV8-BV9+BV10-BV11</f>
        <v>94.661999999999978</v>
      </c>
      <c r="BW12" s="571"/>
      <c r="BX12" s="567"/>
      <c r="BY12" s="570">
        <f ca="1">+BY8-BY9+BY10-BY11</f>
        <v>1137.546</v>
      </c>
      <c r="BZ12" s="570">
        <f ca="1">+BZ8-BZ9+BZ10-BZ11</f>
        <v>212.30000000000004</v>
      </c>
      <c r="CA12" s="570">
        <f ca="1">+CA8-CA9+CA10-CA11</f>
        <v>826.31600000000003</v>
      </c>
      <c r="CB12" s="570">
        <f ca="1">+CB8-CB9+CB10-CB11</f>
        <v>98.930000000000064</v>
      </c>
      <c r="CC12" s="571"/>
      <c r="CD12" s="567"/>
      <c r="CE12" s="570">
        <f ca="1">+CE8-CE9+CE10-CE11</f>
        <v>1134.2210000000005</v>
      </c>
      <c r="CF12" s="570">
        <f ca="1">+CF8-CF9+CF10-CF11</f>
        <v>204.99099999999999</v>
      </c>
      <c r="CG12" s="570">
        <f ca="1">+CG8-CG9+CG10-CG11</f>
        <v>824.33600000000024</v>
      </c>
      <c r="CH12" s="570">
        <f ca="1">+CH8-CH9+CH10-CH11</f>
        <v>104.89400000000012</v>
      </c>
      <c r="CI12" s="571"/>
      <c r="CJ12" s="567"/>
      <c r="CK12" s="570">
        <f ca="1">+CK8-CK9+CK10-CK11</f>
        <v>1046.8629999999998</v>
      </c>
      <c r="CL12" s="570">
        <f ca="1">+CL8-CL9+CL10-CL11</f>
        <v>195.79600000000002</v>
      </c>
      <c r="CM12" s="570">
        <f ca="1">+CM8-CM9+CM10-CM11</f>
        <v>741.4699999999998</v>
      </c>
      <c r="CN12" s="570">
        <f ca="1">+CN8-CN9+CN10-CN11</f>
        <v>109.59699999999998</v>
      </c>
      <c r="CO12" s="571"/>
      <c r="CP12" s="567"/>
      <c r="CQ12" s="570">
        <f ca="1">+CQ8-CQ9+CQ10-CQ11</f>
        <v>1199.1300000000001</v>
      </c>
      <c r="CR12" s="570">
        <f ca="1">+CR8-CR9+CR10-CR11</f>
        <v>209.90699999999998</v>
      </c>
      <c r="CS12" s="570">
        <f ca="1">+CS8-CS9+CS10-CS11</f>
        <v>877.00499999999988</v>
      </c>
      <c r="CT12" s="570">
        <f ca="1">+CT8-CT9+CT10-CT11</f>
        <v>112.21799999999996</v>
      </c>
      <c r="CU12" s="571"/>
      <c r="CV12" s="567"/>
      <c r="CW12" s="570">
        <f ca="1">+CW8-CW9+CW10-CW11</f>
        <v>1224.8480000000006</v>
      </c>
      <c r="CX12" s="570">
        <f ca="1">+CX8-CX9+CX10-CX11</f>
        <v>212.94200000000001</v>
      </c>
      <c r="CY12" s="570">
        <f ca="1">+CY8-CY9+CY10-CY11</f>
        <v>896.87800000000038</v>
      </c>
      <c r="CZ12" s="570">
        <f ca="1">+CZ8-CZ9+CZ10-CZ11</f>
        <v>115.02799999999991</v>
      </c>
      <c r="DA12" s="571"/>
      <c r="DB12" s="567"/>
      <c r="DC12" s="570">
        <f ca="1">+DC8-DC9+DC10-DC11</f>
        <v>1174.3330000000003</v>
      </c>
      <c r="DD12" s="570">
        <f ca="1">+DD8-DD9+DD10-DD11</f>
        <v>202.67300000000003</v>
      </c>
      <c r="DE12" s="570">
        <f ca="1">+DE8-DE9+DE10-DE11</f>
        <v>851.24000000000024</v>
      </c>
      <c r="DF12" s="570">
        <f ca="1">+DF8-DF9+DF10-DF11</f>
        <v>120.42000000000002</v>
      </c>
      <c r="DG12" s="571"/>
      <c r="DH12" s="567"/>
      <c r="DI12" s="570">
        <f ca="1">+DI8-DI9+DI10-DI11</f>
        <v>1190.8409999999999</v>
      </c>
      <c r="DJ12" s="570">
        <f ca="1">+DJ8-DJ9+DJ10-DJ11</f>
        <v>204.29500000000002</v>
      </c>
      <c r="DK12" s="570">
        <f ca="1">+DK8-DK9+DK10-DK11</f>
        <v>863.58000000000015</v>
      </c>
      <c r="DL12" s="570">
        <f ca="1">+DL8-DL9+DL10-DL11</f>
        <v>122.96599999999989</v>
      </c>
      <c r="DM12" s="571"/>
      <c r="DN12" s="567"/>
      <c r="DO12" s="570">
        <f ca="1">+DO8-DO9+DO10-DO11</f>
        <v>1266.1450000000002</v>
      </c>
      <c r="DP12" s="570">
        <f ca="1">+DP8-DP9+DP10-DP11</f>
        <v>211.15199999999999</v>
      </c>
      <c r="DQ12" s="570">
        <f ca="1">+DQ8-DQ9+DQ10-DQ11</f>
        <v>929.07799999999997</v>
      </c>
      <c r="DR12" s="570">
        <f ca="1">+DR8-DR9+DR10-DR11</f>
        <v>125.91500000000002</v>
      </c>
      <c r="DS12" s="571"/>
      <c r="DT12" s="567"/>
      <c r="DU12" s="570">
        <f ca="1">+DU8-DU9+DU10-DU11</f>
        <v>1384.4110000000001</v>
      </c>
      <c r="DV12" s="570">
        <f ca="1">+DV8-DV9+DV10-DV11</f>
        <v>207.93600000000001</v>
      </c>
      <c r="DW12" s="570">
        <f ca="1">+DW8-DW9+DW10-DW11</f>
        <v>1045.6720000000005</v>
      </c>
      <c r="DX12" s="570">
        <f ca="1">+DX8-DX9+DX10-DX11</f>
        <v>130.80300000000011</v>
      </c>
      <c r="DY12" s="571"/>
      <c r="DZ12" s="567"/>
      <c r="EA12" s="570">
        <f ca="1">+EA8-EA9+EA10-EA11</f>
        <v>1406.5880000000006</v>
      </c>
      <c r="EB12" s="570">
        <f ca="1">+EB8-EB9+EB10-EB11</f>
        <v>217.71799999999993</v>
      </c>
      <c r="EC12" s="570">
        <f ca="1">+EC8-EC9+EC10-EC11</f>
        <v>1055.7320000000002</v>
      </c>
      <c r="ED12" s="570">
        <f ca="1">+ED8-ED9+ED10-ED11</f>
        <v>133.13800000000015</v>
      </c>
      <c r="EE12" s="571"/>
      <c r="EF12" s="567"/>
      <c r="EG12" s="570">
        <f ca="1">+EG8-EG9+EG10-EG11</f>
        <v>1463.6910000000007</v>
      </c>
      <c r="EH12" s="570">
        <f ca="1">+EH8-EH9+EH10-EH11</f>
        <v>233.49799999999996</v>
      </c>
      <c r="EI12" s="570">
        <f ca="1">+EI8-EI9+EI10-EI11</f>
        <v>1091.3320000000001</v>
      </c>
      <c r="EJ12" s="570">
        <f ca="1">+EJ8-EJ9+EJ10-EJ11</f>
        <v>138.86099999999999</v>
      </c>
      <c r="EK12" s="571"/>
      <c r="EL12" s="567"/>
      <c r="EM12" s="570">
        <f ca="1">+EM8-EM9+EM10-EM11</f>
        <v>1548.6688035482889</v>
      </c>
      <c r="EN12" s="570">
        <f ca="1">+EN8-EN9+EN10-EN11</f>
        <v>242.55772240000005</v>
      </c>
      <c r="EO12" s="570">
        <f ca="1">+EO8-EO9+EO10-EO11</f>
        <v>1163.3064287482887</v>
      </c>
      <c r="EP12" s="570">
        <f ca="1">+EP8-EP9+EP10-EP11</f>
        <v>142.80465240000001</v>
      </c>
      <c r="EQ12" s="571"/>
      <c r="ER12" s="567"/>
      <c r="ES12" s="570">
        <f ca="1">+ES8-ES9+ES10-ES11</f>
        <v>1613.8686553398638</v>
      </c>
      <c r="ET12" s="570">
        <f ca="1">+ET8-ET9+ET10-ET11</f>
        <v>251.96896202912004</v>
      </c>
      <c r="EU12" s="570">
        <f ca="1">+EU8-EU9+EU10-EU11</f>
        <v>1215.0393887825835</v>
      </c>
      <c r="EV12" s="570">
        <f ca="1">+EV8-EV9+EV10-EV11</f>
        <v>146.86030452815987</v>
      </c>
      <c r="EW12" s="571"/>
      <c r="EX12" s="567"/>
      <c r="EY12" s="570">
        <f ca="1">+EY8-EY9+EY10-EY11</f>
        <v>1680.0897540600408</v>
      </c>
      <c r="EZ12" s="570">
        <f ca="1">+EZ8-EZ9+EZ10-EZ11</f>
        <v>261.74535775584985</v>
      </c>
      <c r="FA12" s="570">
        <f ca="1">+FA8-FA9+FA10-FA11</f>
        <v>1267.3132591274316</v>
      </c>
      <c r="FB12" s="570">
        <f ca="1">+FB8-FB9+FB10-FB11</f>
        <v>151.0311371767599</v>
      </c>
      <c r="FC12" s="571"/>
      <c r="FD12" s="567"/>
    </row>
    <row r="13" spans="1:160" ht="13.15">
      <c r="A13" s="554"/>
      <c r="B13" s="555" t="s">
        <v>1791</v>
      </c>
      <c r="C13" s="3855" t="s">
        <v>1870</v>
      </c>
      <c r="D13" s="3856"/>
      <c r="E13" s="569">
        <f ca="1">+F13</f>
        <v>830.56500000000005</v>
      </c>
      <c r="F13" s="1231">
        <f ca="1">OFFSET(Labour1!$G$216,0,(COLUMN()-6)/6)</f>
        <v>830.56500000000005</v>
      </c>
      <c r="G13" s="572"/>
      <c r="H13" s="565"/>
      <c r="I13" s="620" t="s">
        <v>1618</v>
      </c>
      <c r="J13" s="563">
        <f ca="1">+E13-E11-I11</f>
        <v>3.5416114485542494E-14</v>
      </c>
      <c r="K13" s="569">
        <f ca="1">+L13</f>
        <v>880.40499999999997</v>
      </c>
      <c r="L13" s="1231">
        <f ca="1">OFFSET(Labour1!$G$216,0,(COLUMN()-6)/6)</f>
        <v>880.40499999999997</v>
      </c>
      <c r="M13" s="572"/>
      <c r="N13" s="565"/>
      <c r="O13" s="620" t="s">
        <v>1618</v>
      </c>
      <c r="P13" s="563">
        <f ca="1">+K13-K11-O11</f>
        <v>-1.8918200339612667E-13</v>
      </c>
      <c r="Q13" s="569">
        <f ca="1">+R13</f>
        <v>921.29499999999996</v>
      </c>
      <c r="R13" s="1231">
        <f ca="1">OFFSET(Labour1!$G$216,0,(COLUMN()-6)/6)</f>
        <v>921.29499999999996</v>
      </c>
      <c r="S13" s="572"/>
      <c r="T13" s="565"/>
      <c r="U13" s="620" t="s">
        <v>1618</v>
      </c>
      <c r="V13" s="563">
        <f ca="1">+Q13-Q11-U11</f>
        <v>2.0872192862952943E-14</v>
      </c>
      <c r="W13" s="569">
        <f ca="1">+X13</f>
        <v>922.53499999999997</v>
      </c>
      <c r="X13" s="1231">
        <f ca="1">OFFSET(Labour1!$G$216,0,(COLUMN()-6)/6)</f>
        <v>922.53499999999997</v>
      </c>
      <c r="Y13" s="572"/>
      <c r="Z13" s="565"/>
      <c r="AA13" s="620" t="s">
        <v>1618</v>
      </c>
      <c r="AB13" s="563">
        <f ca="1">+W13-W11-AA11</f>
        <v>-1.0458300891968975E-13</v>
      </c>
      <c r="AC13" s="569">
        <f ca="1">+AD13</f>
        <v>979.04399999999998</v>
      </c>
      <c r="AD13" s="1231">
        <f ca="1">OFFSET(Labour1!$G$216,0,(COLUMN()-6)/6)</f>
        <v>979.04399999999998</v>
      </c>
      <c r="AE13" s="572"/>
      <c r="AF13" s="565"/>
      <c r="AG13" s="620" t="s">
        <v>1618</v>
      </c>
      <c r="AH13" s="563">
        <f ca="1">+AC13-AC11-AG11</f>
        <v>-1.283417816466681E-13</v>
      </c>
      <c r="AI13" s="569">
        <f ca="1">+AJ13</f>
        <v>1074.1559999999999</v>
      </c>
      <c r="AJ13" s="1231">
        <f ca="1">OFFSET(Labour1!$G$216,0,(COLUMN()-6)/6)</f>
        <v>1074.1559999999999</v>
      </c>
      <c r="AK13" s="572"/>
      <c r="AL13" s="565"/>
      <c r="AM13" s="620" t="s">
        <v>1618</v>
      </c>
      <c r="AN13" s="563">
        <f ca="1">+AI13-AI11-AM11</f>
        <v>-1.1635137298071641E-13</v>
      </c>
      <c r="AO13" s="569">
        <f ca="1">+AP13</f>
        <v>1148.8789999999999</v>
      </c>
      <c r="AP13" s="1231">
        <f ca="1">OFFSET(Labour1!$G$216,0,(COLUMN()-6)/6)</f>
        <v>1148.8789999999999</v>
      </c>
      <c r="AQ13" s="572"/>
      <c r="AR13" s="565"/>
      <c r="AS13" s="620" t="s">
        <v>1618</v>
      </c>
      <c r="AT13" s="563">
        <f ca="1">+AO13-AO11-AS11</f>
        <v>0</v>
      </c>
      <c r="AU13" s="569">
        <f ca="1">+AV13</f>
        <v>1189.511</v>
      </c>
      <c r="AV13" s="1231">
        <f ca="1">OFFSET(Labour1!$G$216,0,(COLUMN()-6)/6)</f>
        <v>1189.511</v>
      </c>
      <c r="AW13" s="572"/>
      <c r="AX13" s="565"/>
      <c r="AY13" s="620" t="s">
        <v>1618</v>
      </c>
      <c r="AZ13" s="563">
        <f ca="1">+AU13-AU11-AY11</f>
        <v>1.2700951401711791E-13</v>
      </c>
      <c r="BA13" s="569">
        <f ca="1">+BB13</f>
        <v>1230.569</v>
      </c>
      <c r="BB13" s="1231">
        <f ca="1">OFFSET(Labour1!$G$216,0,(COLUMN()-6)/6)</f>
        <v>1230.569</v>
      </c>
      <c r="BC13" s="572"/>
      <c r="BD13" s="565"/>
      <c r="BE13" s="620" t="s">
        <v>1618</v>
      </c>
      <c r="BF13" s="563">
        <f ca="1">+BA13-BA11-BE11</f>
        <v>5.0626169922907138E-14</v>
      </c>
      <c r="BG13" s="569">
        <f ca="1">+BH13</f>
        <v>1271.7</v>
      </c>
      <c r="BH13" s="1231">
        <f ca="1">OFFSET(Labour1!$G$216,0,(COLUMN()-6)/6)</f>
        <v>1271.7</v>
      </c>
      <c r="BI13" s="572"/>
      <c r="BJ13" s="565"/>
      <c r="BK13" s="620" t="s">
        <v>1618</v>
      </c>
      <c r="BL13" s="563">
        <f ca="1">+BG13-BG11-BK11</f>
        <v>-3.9968028886505635E-14</v>
      </c>
      <c r="BM13" s="569">
        <f ca="1">+BN13</f>
        <v>1315.777</v>
      </c>
      <c r="BN13" s="1231">
        <f ca="1">OFFSET(Labour1!$G$216,0,(COLUMN()-6)/6)</f>
        <v>1315.777</v>
      </c>
      <c r="BO13" s="572"/>
      <c r="BP13" s="565"/>
      <c r="BQ13" s="620" t="s">
        <v>1618</v>
      </c>
      <c r="BR13" s="563">
        <f ca="1">+BM13-BM11-BQ11</f>
        <v>1.5276668818842154E-13</v>
      </c>
      <c r="BS13" s="569">
        <f ca="1">+BT13</f>
        <v>1380.646</v>
      </c>
      <c r="BT13" s="1231">
        <f ca="1">OFFSET(Labour1!$G$216,0,(COLUMN()-6)/6)</f>
        <v>1380.646</v>
      </c>
      <c r="BU13" s="572"/>
      <c r="BV13" s="565"/>
      <c r="BW13" s="620" t="s">
        <v>1618</v>
      </c>
      <c r="BX13" s="563">
        <f ca="1">+BS13-BS11-BW11</f>
        <v>-7.638334409421077E-14</v>
      </c>
      <c r="BY13" s="569">
        <f ca="1">+BZ13</f>
        <v>1492.403</v>
      </c>
      <c r="BZ13" s="1231">
        <f ca="1">OFFSET(Labour1!$G$216,0,(COLUMN()-6)/6)</f>
        <v>1492.403</v>
      </c>
      <c r="CA13" s="572"/>
      <c r="CB13" s="565"/>
      <c r="CC13" s="620" t="s">
        <v>1618</v>
      </c>
      <c r="CD13" s="563">
        <f ca="1">+BY13-BY11-CC11</f>
        <v>3.5527136788005009E-14</v>
      </c>
      <c r="CE13" s="569">
        <f ca="1">+CF13</f>
        <v>1569.8209999999999</v>
      </c>
      <c r="CF13" s="1231">
        <f ca="1">OFFSET(Labour1!$G$216,0,(COLUMN()-6)/6)</f>
        <v>1569.8209999999999</v>
      </c>
      <c r="CG13" s="572"/>
      <c r="CH13" s="565"/>
      <c r="CI13" s="620" t="s">
        <v>1618</v>
      </c>
      <c r="CJ13" s="563">
        <f ca="1">+CE13-CE11-CI11</f>
        <v>-2.4513724383723456E-13</v>
      </c>
      <c r="CK13" s="569">
        <f ca="1">+CL13</f>
        <v>1573.395</v>
      </c>
      <c r="CL13" s="1231">
        <f ca="1">OFFSET(Labour1!$G$216,0,(COLUMN()-6)/6)</f>
        <v>1573.395</v>
      </c>
      <c r="CM13" s="572"/>
      <c r="CN13" s="565"/>
      <c r="CO13" s="620" t="s">
        <v>1618</v>
      </c>
      <c r="CP13" s="563">
        <f ca="1">+CK13-CK11-CO11</f>
        <v>-6.3948846218409017E-14</v>
      </c>
      <c r="CQ13" s="569">
        <f ca="1">+CR13</f>
        <v>1620.65</v>
      </c>
      <c r="CR13" s="1231">
        <f ca="1">OFFSET(Labour1!$G$216,0,(COLUMN()-6)/6)</f>
        <v>1620.65</v>
      </c>
      <c r="CS13" s="572"/>
      <c r="CT13" s="565"/>
      <c r="CU13" s="620" t="s">
        <v>1618</v>
      </c>
      <c r="CV13" s="563">
        <f ca="1">+CQ13-CQ11-CU11</f>
        <v>0</v>
      </c>
      <c r="CW13" s="569">
        <f ca="1">+CX13</f>
        <v>1711.4760000000001</v>
      </c>
      <c r="CX13" s="1231">
        <f ca="1">OFFSET(Labour1!$G$216,0,(COLUMN()-6)/6)</f>
        <v>1711.4760000000001</v>
      </c>
      <c r="CY13" s="572"/>
      <c r="CZ13" s="565"/>
      <c r="DA13" s="620" t="s">
        <v>1618</v>
      </c>
      <c r="DB13" s="563">
        <f ca="1">+CW13-CW11-DA11</f>
        <v>1.4210854715202004E-13</v>
      </c>
      <c r="DC13" s="569">
        <f ca="1">+DD13</f>
        <v>1779.4</v>
      </c>
      <c r="DD13" s="1231">
        <f ca="1">OFFSET(Labour1!$G$216,0,(COLUMN()-6)/6)</f>
        <v>1779.4</v>
      </c>
      <c r="DE13" s="572"/>
      <c r="DF13" s="565"/>
      <c r="DG13" s="620" t="s">
        <v>1618</v>
      </c>
      <c r="DH13" s="563">
        <f ca="1">+DC13-DC11-DG11</f>
        <v>3.5527136788005009E-14</v>
      </c>
      <c r="DI13" s="569">
        <f ca="1">+DJ13</f>
        <v>1831.9549999999999</v>
      </c>
      <c r="DJ13" s="1231">
        <f ca="1">OFFSET(Labour1!$G$216,0,(COLUMN()-6)/6)</f>
        <v>1831.9549999999999</v>
      </c>
      <c r="DK13" s="572"/>
      <c r="DL13" s="565"/>
      <c r="DM13" s="620" t="s">
        <v>1618</v>
      </c>
      <c r="DN13" s="563">
        <f ca="1">+DI13-DI11-DM11</f>
        <v>-1.5987211554602254E-13</v>
      </c>
      <c r="DO13" s="569">
        <f ca="1">+DP13</f>
        <v>1902.6579999999999</v>
      </c>
      <c r="DP13" s="1231">
        <f ca="1">OFFSET(Labour1!$G$216,0,(COLUMN()-6)/6)</f>
        <v>1902.6579999999999</v>
      </c>
      <c r="DQ13" s="572"/>
      <c r="DR13" s="565"/>
      <c r="DS13" s="620" t="s">
        <v>1618</v>
      </c>
      <c r="DT13" s="563">
        <f ca="1">+DO13-DO11-DS11</f>
        <v>0</v>
      </c>
      <c r="DU13" s="569">
        <f ca="1">+DV13</f>
        <v>1982.71</v>
      </c>
      <c r="DV13" s="1231">
        <f ca="1">OFFSET(Labour1!$G$216,0,(COLUMN()-6)/6)</f>
        <v>1982.71</v>
      </c>
      <c r="DW13" s="572"/>
      <c r="DX13" s="565"/>
      <c r="DY13" s="620" t="s">
        <v>1618</v>
      </c>
      <c r="DZ13" s="563">
        <f ca="1">+DU13-DU11-DY11</f>
        <v>6.2172489379008766E-14</v>
      </c>
      <c r="EA13" s="569">
        <f ca="1">+EB13</f>
        <v>2072.2469999999998</v>
      </c>
      <c r="EB13" s="1231">
        <f ca="1">OFFSET(Labour1!$G$216,0,(COLUMN()-6)/6)</f>
        <v>2072.2469999999998</v>
      </c>
      <c r="EC13" s="572"/>
      <c r="ED13" s="565"/>
      <c r="EE13" s="620" t="s">
        <v>1618</v>
      </c>
      <c r="EF13" s="563">
        <f ca="1">+EA13-EA11-EE11</f>
        <v>2.3625545964023331E-13</v>
      </c>
      <c r="EG13" s="569">
        <f ca="1">+EH13</f>
        <v>2164.6790000000001</v>
      </c>
      <c r="EH13" s="1231">
        <f ca="1">OFFSET(Labour1!$G$216,0,(COLUMN()-6)/6)</f>
        <v>2164.6790000000001</v>
      </c>
      <c r="EI13" s="572"/>
      <c r="EJ13" s="565"/>
      <c r="EK13" s="620" t="s">
        <v>1618</v>
      </c>
      <c r="EL13" s="563">
        <f ca="1">+EG13-EG11-EK11</f>
        <v>3.3484326422694721E-13</v>
      </c>
      <c r="EM13" s="569">
        <f ca="1">+EN13</f>
        <v>2260.8083473306006</v>
      </c>
      <c r="EN13" s="1231">
        <f ca="1">OFFSET(Labour1!$G$216,0,(COLUMN()-6)/6)</f>
        <v>2260.8083473306006</v>
      </c>
      <c r="EO13" s="572"/>
      <c r="EP13" s="565"/>
      <c r="EQ13" s="620" t="s">
        <v>1618</v>
      </c>
      <c r="ER13" s="563">
        <f ca="1">+EM13-EM11-EQ11</f>
        <v>6.8212102632969618E-13</v>
      </c>
      <c r="ES13" s="569">
        <f ca="1">+ET13</f>
        <v>2341.6886369596423</v>
      </c>
      <c r="ET13" s="1231">
        <f ca="1">OFFSET(Labour1!$G$216,0,(COLUMN()-6)/6)</f>
        <v>2341.6886369596423</v>
      </c>
      <c r="EU13" s="572"/>
      <c r="EV13" s="565"/>
      <c r="EW13" s="620" t="s">
        <v>1618</v>
      </c>
      <c r="EX13" s="563">
        <f ca="1">+ES13-ES11-EW11</f>
        <v>-2.2737367544323206E-13</v>
      </c>
      <c r="EY13" s="569">
        <f ca="1">+EZ13</f>
        <v>2415.4872444957791</v>
      </c>
      <c r="EZ13" s="1231">
        <f ca="1">OFFSET(Labour1!$G$216,0,(COLUMN()-6)/6)</f>
        <v>2415.4872444957791</v>
      </c>
      <c r="FA13" s="572"/>
      <c r="FB13" s="565"/>
      <c r="FC13" s="620" t="s">
        <v>1618</v>
      </c>
      <c r="FD13" s="563">
        <f ca="1">+EY13-EY11-FC11</f>
        <v>-2.2737367544323206E-13</v>
      </c>
    </row>
    <row r="14" spans="1:160" s="573" customFormat="1" ht="13.15">
      <c r="B14" s="574"/>
      <c r="C14" s="575"/>
      <c r="D14" s="576" t="s">
        <v>1871</v>
      </c>
      <c r="E14" s="1237"/>
      <c r="F14" s="1232">
        <f ca="1">OFFSET(Labour1!$G$136,0,(COLUMN()-6)/6)</f>
        <v>702.53899999999999</v>
      </c>
      <c r="G14" s="1238"/>
      <c r="H14" s="1239"/>
      <c r="I14" s="1239"/>
      <c r="J14" s="553"/>
      <c r="K14" s="1237"/>
      <c r="L14" s="1232">
        <f ca="1">OFFSET(Labour1!$G$136,0,(COLUMN()-6)/6)</f>
        <v>744.69600000000003</v>
      </c>
      <c r="M14" s="1238"/>
      <c r="N14" s="1239"/>
      <c r="O14" s="1239"/>
      <c r="P14" s="553"/>
      <c r="Q14" s="1237"/>
      <c r="R14" s="1232">
        <f ca="1">OFFSET(Labour1!$G$136,0,(COLUMN()-6)/6)</f>
        <v>776.35699999999997</v>
      </c>
      <c r="S14" s="1238"/>
      <c r="T14" s="1239"/>
      <c r="U14" s="1239"/>
      <c r="V14" s="553"/>
      <c r="W14" s="1237"/>
      <c r="X14" s="1232">
        <f ca="1">OFFSET(Labour1!$G$136,0,(COLUMN()-6)/6)</f>
        <v>819.24099999999999</v>
      </c>
      <c r="Y14" s="1238"/>
      <c r="Z14" s="1239"/>
      <c r="AA14" s="1239"/>
      <c r="AB14" s="553"/>
      <c r="AC14" s="1237"/>
      <c r="AD14" s="1232">
        <f ca="1">OFFSET(Labour1!$G$136,0,(COLUMN()-6)/6)</f>
        <v>866.91499999999996</v>
      </c>
      <c r="AE14" s="1238"/>
      <c r="AF14" s="1239"/>
      <c r="AG14" s="1239"/>
      <c r="AH14" s="553"/>
      <c r="AI14" s="1237"/>
      <c r="AJ14" s="1232">
        <f ca="1">OFFSET(Labour1!$G$136,0,(COLUMN()-6)/6)</f>
        <v>925.96299999999997</v>
      </c>
      <c r="AK14" s="1238"/>
      <c r="AL14" s="1239"/>
      <c r="AM14" s="1239"/>
      <c r="AN14" s="553"/>
      <c r="AO14" s="1237"/>
      <c r="AP14" s="1232">
        <f ca="1">OFFSET(Labour1!$G$136,0,(COLUMN()-6)/6)</f>
        <v>979.75900000000001</v>
      </c>
      <c r="AQ14" s="1238"/>
      <c r="AR14" s="1239"/>
      <c r="AS14" s="1239"/>
      <c r="AT14" s="553"/>
      <c r="AU14" s="1237"/>
      <c r="AV14" s="1232">
        <f ca="1">OFFSET(Labour1!$G$136,0,(COLUMN()-6)/6)</f>
        <v>1012.448</v>
      </c>
      <c r="AW14" s="1238"/>
      <c r="AX14" s="1239"/>
      <c r="AY14" s="1239"/>
      <c r="AZ14" s="553"/>
      <c r="BA14" s="1237"/>
      <c r="BB14" s="1232">
        <f ca="1">OFFSET(Labour1!$G$136,0,(COLUMN()-6)/6)</f>
        <v>1037.4739999999999</v>
      </c>
      <c r="BC14" s="1238"/>
      <c r="BD14" s="1239"/>
      <c r="BE14" s="1239"/>
      <c r="BF14" s="553"/>
      <c r="BG14" s="1237"/>
      <c r="BH14" s="1232">
        <f ca="1">OFFSET(Labour1!$G$136,0,(COLUMN()-6)/6)</f>
        <v>1064.8599999999999</v>
      </c>
      <c r="BI14" s="1238"/>
      <c r="BJ14" s="1239"/>
      <c r="BK14" s="1239"/>
      <c r="BL14" s="553"/>
      <c r="BM14" s="1237"/>
      <c r="BN14" s="1232">
        <f ca="1">OFFSET(Labour1!$G$136,0,(COLUMN()-6)/6)</f>
        <v>1104.6980000000001</v>
      </c>
      <c r="BO14" s="1238"/>
      <c r="BP14" s="1239"/>
      <c r="BQ14" s="1239"/>
      <c r="BR14" s="553"/>
      <c r="BS14" s="1237"/>
      <c r="BT14" s="1232">
        <f ca="1">OFFSET(Labour1!$G$136,0,(COLUMN()-6)/6)</f>
        <v>1166.633</v>
      </c>
      <c r="BU14" s="1238"/>
      <c r="BV14" s="1239"/>
      <c r="BW14" s="1239"/>
      <c r="BX14" s="553"/>
      <c r="BY14" s="1237"/>
      <c r="BZ14" s="1232">
        <f ca="1">OFFSET(Labour1!$G$136,0,(COLUMN()-6)/6)</f>
        <v>1250.1679999999999</v>
      </c>
      <c r="CA14" s="1238"/>
      <c r="CB14" s="1239"/>
      <c r="CC14" s="1239"/>
      <c r="CD14" s="553"/>
      <c r="CE14" s="1237"/>
      <c r="CF14" s="1232">
        <f ca="1">OFFSET(Labour1!$G$136,0,(COLUMN()-6)/6)</f>
        <v>1323.0909999999999</v>
      </c>
      <c r="CG14" s="1238"/>
      <c r="CH14" s="1239"/>
      <c r="CI14" s="1239"/>
      <c r="CJ14" s="553"/>
      <c r="CK14" s="1237"/>
      <c r="CL14" s="1232">
        <f ca="1">OFFSET(Labour1!$G$136,0,(COLUMN()-6)/6)</f>
        <v>1327.306</v>
      </c>
      <c r="CM14" s="1238"/>
      <c r="CN14" s="1239"/>
      <c r="CO14" s="1239"/>
      <c r="CP14" s="553"/>
      <c r="CQ14" s="1237"/>
      <c r="CR14" s="1232">
        <f ca="1">OFFSET(Labour1!$G$136,0,(COLUMN()-6)/6)</f>
        <v>1367.066</v>
      </c>
      <c r="CS14" s="1238"/>
      <c r="CT14" s="1239"/>
      <c r="CU14" s="1239"/>
      <c r="CV14" s="553"/>
      <c r="CW14" s="1237"/>
      <c r="CX14" s="1232">
        <f ca="1">OFFSET(Labour1!$G$136,0,(COLUMN()-6)/6)</f>
        <v>1440.6079999999999</v>
      </c>
      <c r="CY14" s="1238"/>
      <c r="CZ14" s="1239"/>
      <c r="DA14" s="1239"/>
      <c r="DB14" s="553"/>
      <c r="DC14" s="1237"/>
      <c r="DD14" s="1232">
        <f ca="1">OFFSET(Labour1!$G$136,0,(COLUMN()-6)/6)</f>
        <v>1494.106</v>
      </c>
      <c r="DE14" s="1238"/>
      <c r="DF14" s="1239"/>
      <c r="DG14" s="1239"/>
      <c r="DH14" s="553"/>
      <c r="DI14" s="1237"/>
      <c r="DJ14" s="1232">
        <f ca="1">OFFSET(Labour1!$G$136,0,(COLUMN()-6)/6)</f>
        <v>1534.299</v>
      </c>
      <c r="DK14" s="1238"/>
      <c r="DL14" s="1239"/>
      <c r="DM14" s="1239"/>
      <c r="DN14" s="553"/>
      <c r="DO14" s="1237"/>
      <c r="DP14" s="1232">
        <f ca="1">OFFSET(Labour1!$G$136,0,(COLUMN()-6)/6)</f>
        <v>1592.7370000000001</v>
      </c>
      <c r="DQ14" s="1238"/>
      <c r="DR14" s="1239"/>
      <c r="DS14" s="1239"/>
      <c r="DT14" s="553"/>
      <c r="DU14" s="1237"/>
      <c r="DV14" s="1232">
        <f ca="1">OFFSET(Labour1!$G$136,0,(COLUMN()-6)/6)</f>
        <v>1657.348</v>
      </c>
      <c r="DW14" s="1238"/>
      <c r="DX14" s="1239"/>
      <c r="DY14" s="1239"/>
      <c r="DZ14" s="553"/>
      <c r="EA14" s="1237"/>
      <c r="EB14" s="1232">
        <f ca="1">OFFSET(Labour1!$G$136,0,(COLUMN()-6)/6)</f>
        <v>1730.4110000000001</v>
      </c>
      <c r="EC14" s="1238"/>
      <c r="ED14" s="1239"/>
      <c r="EE14" s="1239"/>
      <c r="EF14" s="553"/>
      <c r="EG14" s="1237"/>
      <c r="EH14" s="1232">
        <f ca="1">OFFSET(Labour1!$G$136,0,(COLUMN()-6)/6)</f>
        <v>1811.0419999999999</v>
      </c>
      <c r="EI14" s="1238"/>
      <c r="EJ14" s="1239"/>
      <c r="EK14" s="1239"/>
      <c r="EL14" s="553"/>
      <c r="EM14" s="1237"/>
      <c r="EN14" s="1232">
        <f ca="1">OFFSET(Labour1!$G$136,0,(COLUMN()-6)/6)</f>
        <v>1892.5383829059999</v>
      </c>
      <c r="EO14" s="1238"/>
      <c r="EP14" s="1239"/>
      <c r="EQ14" s="1239"/>
      <c r="ER14" s="553"/>
      <c r="ES14" s="1237"/>
      <c r="ET14" s="1232">
        <f ca="1">OFFSET(Labour1!$G$136,0,(COLUMN()-6)/6)</f>
        <v>1962.5965528683344</v>
      </c>
      <c r="EU14" s="1238"/>
      <c r="EV14" s="1239"/>
      <c r="EW14" s="1239"/>
      <c r="EX14" s="553"/>
      <c r="EY14" s="1237"/>
      <c r="EZ14" s="1232">
        <f ca="1">OFFSET(Labour1!$G$136,0,(COLUMN()-6)/6)</f>
        <v>2026.4769383561229</v>
      </c>
      <c r="FA14" s="1238"/>
      <c r="FB14" s="1239"/>
      <c r="FC14" s="1239"/>
      <c r="FD14" s="553"/>
    </row>
    <row r="15" spans="1:160" s="573" customFormat="1" ht="13.5" thickBot="1">
      <c r="B15" s="574"/>
      <c r="C15" s="575"/>
      <c r="D15" s="576" t="s">
        <v>1878</v>
      </c>
      <c r="E15" s="1237"/>
      <c r="F15" s="1233">
        <f ca="1">+F13-F14</f>
        <v>128.02600000000007</v>
      </c>
      <c r="G15" s="1238"/>
      <c r="H15" s="1239"/>
      <c r="I15" s="1239"/>
      <c r="J15" s="553"/>
      <c r="K15" s="1237"/>
      <c r="L15" s="1233">
        <f ca="1">+L13-L14</f>
        <v>135.70899999999995</v>
      </c>
      <c r="M15" s="1238"/>
      <c r="N15" s="1239"/>
      <c r="O15" s="1239"/>
      <c r="P15" s="553"/>
      <c r="Q15" s="1237"/>
      <c r="R15" s="1233">
        <f ca="1">+R13-R14</f>
        <v>144.93799999999999</v>
      </c>
      <c r="S15" s="1238"/>
      <c r="T15" s="1239"/>
      <c r="U15" s="1239"/>
      <c r="V15" s="553"/>
      <c r="W15" s="1237"/>
      <c r="X15" s="1233">
        <f ca="1">+X13-X14</f>
        <v>103.29399999999998</v>
      </c>
      <c r="Y15" s="1238"/>
      <c r="Z15" s="1239"/>
      <c r="AA15" s="1239"/>
      <c r="AB15" s="553"/>
      <c r="AC15" s="1237"/>
      <c r="AD15" s="1233">
        <f ca="1">+AD13-AD14</f>
        <v>112.12900000000002</v>
      </c>
      <c r="AE15" s="1238"/>
      <c r="AF15" s="1239"/>
      <c r="AG15" s="1239"/>
      <c r="AH15" s="553"/>
      <c r="AI15" s="1237"/>
      <c r="AJ15" s="1233">
        <f ca="1">+AJ13-AJ14</f>
        <v>148.19299999999998</v>
      </c>
      <c r="AK15" s="1238"/>
      <c r="AL15" s="1239"/>
      <c r="AM15" s="1239"/>
      <c r="AN15" s="553"/>
      <c r="AO15" s="1237"/>
      <c r="AP15" s="1233">
        <f ca="1">+AP13-AP14</f>
        <v>169.11999999999989</v>
      </c>
      <c r="AQ15" s="1238"/>
      <c r="AR15" s="1239"/>
      <c r="AS15" s="1239"/>
      <c r="AT15" s="553"/>
      <c r="AU15" s="1237"/>
      <c r="AV15" s="1233">
        <f ca="1">+AV13-AV14</f>
        <v>177.06299999999999</v>
      </c>
      <c r="AW15" s="1238"/>
      <c r="AX15" s="1239"/>
      <c r="AY15" s="1239"/>
      <c r="AZ15" s="553"/>
      <c r="BA15" s="1237"/>
      <c r="BB15" s="1233">
        <f ca="1">+BB13-BB14</f>
        <v>193.09500000000003</v>
      </c>
      <c r="BC15" s="1238"/>
      <c r="BD15" s="1239"/>
      <c r="BE15" s="1239"/>
      <c r="BF15" s="553"/>
      <c r="BG15" s="1237"/>
      <c r="BH15" s="1233">
        <f ca="1">+BH13-BH14</f>
        <v>206.84000000000015</v>
      </c>
      <c r="BI15" s="1238"/>
      <c r="BJ15" s="1239"/>
      <c r="BK15" s="1239"/>
      <c r="BL15" s="553"/>
      <c r="BM15" s="1237"/>
      <c r="BN15" s="1233">
        <f ca="1">+BN13-BN14</f>
        <v>211.07899999999995</v>
      </c>
      <c r="BO15" s="1238"/>
      <c r="BP15" s="1239"/>
      <c r="BQ15" s="1239"/>
      <c r="BR15" s="553"/>
      <c r="BS15" s="1237"/>
      <c r="BT15" s="1233">
        <f ca="1">+BT13-BT14</f>
        <v>214.01299999999992</v>
      </c>
      <c r="BU15" s="1238"/>
      <c r="BV15" s="1239"/>
      <c r="BW15" s="1239"/>
      <c r="BX15" s="553"/>
      <c r="BY15" s="1237"/>
      <c r="BZ15" s="1233">
        <f ca="1">+BZ13-BZ14</f>
        <v>242.23500000000013</v>
      </c>
      <c r="CA15" s="1238"/>
      <c r="CB15" s="1239"/>
      <c r="CC15" s="1239"/>
      <c r="CD15" s="553"/>
      <c r="CE15" s="1237"/>
      <c r="CF15" s="1233">
        <f ca="1">+CF13-CF14</f>
        <v>246.73000000000002</v>
      </c>
      <c r="CG15" s="1238"/>
      <c r="CH15" s="1239"/>
      <c r="CI15" s="1239"/>
      <c r="CJ15" s="553"/>
      <c r="CK15" s="1237"/>
      <c r="CL15" s="1233">
        <f ca="1">+CL13-CL14</f>
        <v>246.08899999999994</v>
      </c>
      <c r="CM15" s="1238"/>
      <c r="CN15" s="1239"/>
      <c r="CO15" s="1239"/>
      <c r="CP15" s="553"/>
      <c r="CQ15" s="1237"/>
      <c r="CR15" s="1233">
        <f ca="1">+CR13-CR14</f>
        <v>253.58400000000006</v>
      </c>
      <c r="CS15" s="1238"/>
      <c r="CT15" s="1239"/>
      <c r="CU15" s="1239"/>
      <c r="CV15" s="553"/>
      <c r="CW15" s="1237"/>
      <c r="CX15" s="1233">
        <f ca="1">+CX13-CX14</f>
        <v>270.86800000000017</v>
      </c>
      <c r="CY15" s="1238"/>
      <c r="CZ15" s="1239"/>
      <c r="DA15" s="1239"/>
      <c r="DB15" s="553"/>
      <c r="DC15" s="1237"/>
      <c r="DD15" s="1233">
        <f ca="1">+DD13-DD14</f>
        <v>285.2940000000001</v>
      </c>
      <c r="DE15" s="1238"/>
      <c r="DF15" s="1239"/>
      <c r="DG15" s="1239"/>
      <c r="DH15" s="553"/>
      <c r="DI15" s="1237"/>
      <c r="DJ15" s="1233">
        <f ca="1">+DJ13-DJ14</f>
        <v>297.65599999999995</v>
      </c>
      <c r="DK15" s="1238"/>
      <c r="DL15" s="1239"/>
      <c r="DM15" s="1239"/>
      <c r="DN15" s="553"/>
      <c r="DO15" s="1237"/>
      <c r="DP15" s="1233">
        <f ca="1">+DP13-DP14</f>
        <v>309.92099999999982</v>
      </c>
      <c r="DQ15" s="1238"/>
      <c r="DR15" s="1239"/>
      <c r="DS15" s="1239"/>
      <c r="DT15" s="553"/>
      <c r="DU15" s="1237"/>
      <c r="DV15" s="1233">
        <f ca="1">+DV13-DV14</f>
        <v>325.36200000000008</v>
      </c>
      <c r="DW15" s="1238"/>
      <c r="DX15" s="1239"/>
      <c r="DY15" s="1239"/>
      <c r="DZ15" s="553"/>
      <c r="EA15" s="1237"/>
      <c r="EB15" s="1233">
        <f ca="1">+EB13-EB14</f>
        <v>341.83599999999979</v>
      </c>
      <c r="EC15" s="1238"/>
      <c r="ED15" s="1239"/>
      <c r="EE15" s="1239"/>
      <c r="EF15" s="553"/>
      <c r="EG15" s="1237"/>
      <c r="EH15" s="1233">
        <f ca="1">+EH13-EH14</f>
        <v>353.63700000000017</v>
      </c>
      <c r="EI15" s="1238"/>
      <c r="EJ15" s="1239"/>
      <c r="EK15" s="1239"/>
      <c r="EL15" s="553"/>
      <c r="EM15" s="1237"/>
      <c r="EN15" s="1233">
        <f ca="1">+EN13-EN14</f>
        <v>368.26996442460063</v>
      </c>
      <c r="EO15" s="1238"/>
      <c r="EP15" s="1239"/>
      <c r="EQ15" s="1239"/>
      <c r="ER15" s="553"/>
      <c r="ES15" s="1237"/>
      <c r="ET15" s="1233">
        <f ca="1">+ET13-ET14</f>
        <v>379.09208409130792</v>
      </c>
      <c r="EU15" s="1238"/>
      <c r="EV15" s="1239"/>
      <c r="EW15" s="1239"/>
      <c r="EX15" s="553"/>
      <c r="EY15" s="1237"/>
      <c r="EZ15" s="1233">
        <f ca="1">+EZ13-EZ14</f>
        <v>389.01030613965622</v>
      </c>
      <c r="FA15" s="1238"/>
      <c r="FB15" s="1239"/>
      <c r="FC15" s="1239"/>
      <c r="FD15" s="553"/>
    </row>
    <row r="16" spans="1:160" ht="13.15">
      <c r="A16" s="554"/>
      <c r="B16" s="555" t="s">
        <v>1791</v>
      </c>
      <c r="C16" s="3855" t="s">
        <v>1879</v>
      </c>
      <c r="D16" s="3856"/>
      <c r="E16" s="568">
        <f ca="1">+F16+G16+H16</f>
        <v>404.96</v>
      </c>
      <c r="F16" s="565"/>
      <c r="G16" s="565"/>
      <c r="H16" s="566">
        <f ca="1">OFFSET(Sector1!$G$13,0,(COLUMN()-8)/6)</f>
        <v>404.96</v>
      </c>
      <c r="I16" s="566">
        <f ca="1">OFFSET(Sector1!$G$12,0,(COLUMN()-9)/6)</f>
        <v>4.5739999999999998</v>
      </c>
      <c r="J16" s="563">
        <f ca="1">+E16-E9-E6+I16</f>
        <v>-3.4530000000000438</v>
      </c>
      <c r="K16" s="568">
        <f ca="1">+L16+M16+N16</f>
        <v>431.98200000000003</v>
      </c>
      <c r="L16" s="565"/>
      <c r="M16" s="565"/>
      <c r="N16" s="566">
        <f ca="1">OFFSET(Sector1!$G$13,0,(COLUMN()-8)/6)</f>
        <v>431.98200000000003</v>
      </c>
      <c r="O16" s="566">
        <f ca="1">OFFSET(Sector1!$G$12,0,(COLUMN()-9)/6)</f>
        <v>3.3679999999999999</v>
      </c>
      <c r="P16" s="563">
        <f ca="1">+K16-K9-K6+O16</f>
        <v>-4.7979999999999396</v>
      </c>
      <c r="Q16" s="568">
        <f ca="1">+R16+S16+T16</f>
        <v>443.03199999999998</v>
      </c>
      <c r="R16" s="565"/>
      <c r="S16" s="565"/>
      <c r="T16" s="566">
        <f ca="1">OFFSET(Sector1!$G$13,0,(COLUMN()-8)/6)</f>
        <v>443.03199999999998</v>
      </c>
      <c r="U16" s="566">
        <f ca="1">OFFSET(Sector1!$G$12,0,(COLUMN()-9)/6)</f>
        <v>3.8380000000000001</v>
      </c>
      <c r="V16" s="563">
        <f ca="1">+Q16-Q9-Q6+U16</f>
        <v>-2.2740000000000515</v>
      </c>
      <c r="W16" s="568">
        <f ca="1">+X16+Y16+Z16</f>
        <v>516.15</v>
      </c>
      <c r="X16" s="565"/>
      <c r="Y16" s="565"/>
      <c r="Z16" s="566">
        <f ca="1">OFFSET(Sector1!$G$13,0,(COLUMN()-8)/6)</f>
        <v>516.15</v>
      </c>
      <c r="AA16" s="566">
        <f ca="1">OFFSET(Sector1!$G$12,0,(COLUMN()-9)/6)</f>
        <v>3.6949999999999998</v>
      </c>
      <c r="AB16" s="563">
        <f ca="1">+W16-W9-W6+AA16</f>
        <v>-3.353000000000002</v>
      </c>
      <c r="AC16" s="568">
        <f ca="1">+AD16+AE16+AF16</f>
        <v>539.94200000000001</v>
      </c>
      <c r="AD16" s="565"/>
      <c r="AE16" s="565"/>
      <c r="AF16" s="566">
        <f ca="1">OFFSET(Sector1!$G$13,0,(COLUMN()-8)/6)</f>
        <v>539.94200000000001</v>
      </c>
      <c r="AG16" s="566">
        <f ca="1">OFFSET(Sector1!$G$12,0,(COLUMN()-9)/6)</f>
        <v>3.5779999999999998</v>
      </c>
      <c r="AH16" s="563">
        <f ca="1">+AC16-AC9-AC6+AG16</f>
        <v>-6.0390000000000192</v>
      </c>
      <c r="AI16" s="568">
        <f ca="1">+AJ16+AK16+AL16</f>
        <v>539.38</v>
      </c>
      <c r="AJ16" s="565"/>
      <c r="AK16" s="565"/>
      <c r="AL16" s="566">
        <f ca="1">OFFSET(Sector1!$G$13,0,(COLUMN()-8)/6)</f>
        <v>539.38</v>
      </c>
      <c r="AM16" s="566">
        <f ca="1">OFFSET(Sector1!$G$12,0,(COLUMN()-9)/6)</f>
        <v>3.7959999999999998</v>
      </c>
      <c r="AN16" s="563">
        <f ca="1">+AI16-AI9-AI6+AM16</f>
        <v>-8.1659999999999897</v>
      </c>
      <c r="AO16" s="568">
        <f ca="1">+AP16+AQ16+AR16</f>
        <v>564.16200000000003</v>
      </c>
      <c r="AP16" s="565"/>
      <c r="AQ16" s="565"/>
      <c r="AR16" s="566">
        <f ca="1">OFFSET(Sector1!$G$13,0,(COLUMN()-8)/6)</f>
        <v>564.16200000000003</v>
      </c>
      <c r="AS16" s="566">
        <f ca="1">OFFSET(Sector1!$G$12,0,(COLUMN()-9)/6)</f>
        <v>3.6179999999999999</v>
      </c>
      <c r="AT16" s="563">
        <f ca="1">+AO16-AO9-AO6+AS16</f>
        <v>-10.508999999999952</v>
      </c>
      <c r="AU16" s="568">
        <f ca="1">+AV16+AW16+AX16</f>
        <v>590.83000000000004</v>
      </c>
      <c r="AV16" s="565"/>
      <c r="AW16" s="565"/>
      <c r="AX16" s="566">
        <f ca="1">OFFSET(Sector1!$G$13,0,(COLUMN()-8)/6)</f>
        <v>590.83000000000004</v>
      </c>
      <c r="AY16" s="566">
        <f ca="1">OFFSET(Sector1!$G$12,0,(COLUMN()-9)/6)</f>
        <v>3.3980000000000001</v>
      </c>
      <c r="AZ16" s="563">
        <f ca="1">+AU16-AU9-AU6+AY16</f>
        <v>-10.248999999999935</v>
      </c>
      <c r="BA16" s="568">
        <f ca="1">+BB16+BC16+BD16</f>
        <v>610.88400000000001</v>
      </c>
      <c r="BB16" s="565"/>
      <c r="BC16" s="565"/>
      <c r="BD16" s="566">
        <f ca="1">OFFSET(Sector1!$G$13,0,(COLUMN()-8)/6)</f>
        <v>610.88400000000001</v>
      </c>
      <c r="BE16" s="566">
        <f ca="1">OFFSET(Sector1!$G$12,0,(COLUMN()-9)/6)</f>
        <v>3.4790000000000001</v>
      </c>
      <c r="BF16" s="563">
        <f ca="1">+BA16-BA9-BA6+BE16</f>
        <v>-10.484999999999999</v>
      </c>
      <c r="BG16" s="568">
        <f ca="1">+BH16+BI16+BJ16</f>
        <v>626.78200000000004</v>
      </c>
      <c r="BH16" s="565"/>
      <c r="BI16" s="565"/>
      <c r="BJ16" s="566">
        <f ca="1">OFFSET(Sector1!$G$13,0,(COLUMN()-8)/6)</f>
        <v>626.78200000000004</v>
      </c>
      <c r="BK16" s="566">
        <f ca="1">OFFSET(Sector1!$G$12,0,(COLUMN()-9)/6)</f>
        <v>3.863</v>
      </c>
      <c r="BL16" s="563">
        <f ca="1">+BG16-BG9-BG6+BK16</f>
        <v>-11.424999999999955</v>
      </c>
      <c r="BM16" s="568">
        <f ca="1">+BN16+BO16+BP16</f>
        <v>654.80100000000004</v>
      </c>
      <c r="BN16" s="565"/>
      <c r="BO16" s="565"/>
      <c r="BP16" s="566">
        <f ca="1">OFFSET(Sector1!$G$13,0,(COLUMN()-8)/6)</f>
        <v>654.80100000000004</v>
      </c>
      <c r="BQ16" s="566">
        <f ca="1">OFFSET(Sector1!$G$12,0,(COLUMN()-9)/6)</f>
        <v>4.665</v>
      </c>
      <c r="BR16" s="563">
        <f ca="1">+BM16-BM9-BM6+BQ16</f>
        <v>-11.277999999999928</v>
      </c>
      <c r="BS16" s="568">
        <f ca="1">+BT16+BU16+BV16</f>
        <v>683.34</v>
      </c>
      <c r="BT16" s="565"/>
      <c r="BU16" s="565"/>
      <c r="BV16" s="566">
        <f ca="1">OFFSET(Sector1!$G$13,0,(COLUMN()-8)/6)</f>
        <v>683.34</v>
      </c>
      <c r="BW16" s="566">
        <f ca="1">OFFSET(Sector1!$G$12,0,(COLUMN()-9)/6)</f>
        <v>5.16</v>
      </c>
      <c r="BX16" s="563">
        <f ca="1">+BS16-BS9-BS6+BW16</f>
        <v>-13.489999999999977</v>
      </c>
      <c r="BY16" s="568">
        <f ca="1">+BZ16+CA16+CB16</f>
        <v>724.72799999999995</v>
      </c>
      <c r="BZ16" s="565"/>
      <c r="CA16" s="565"/>
      <c r="CB16" s="566">
        <f ca="1">OFFSET(Sector1!$G$13,0,(COLUMN()-8)/6)</f>
        <v>724.72799999999995</v>
      </c>
      <c r="CC16" s="566">
        <f ca="1">OFFSET(Sector1!$G$12,0,(COLUMN()-9)/6)</f>
        <v>5.883</v>
      </c>
      <c r="CD16" s="563">
        <f ca="1">+BY16-BY9-BY6+CC16</f>
        <v>-12.187000000000051</v>
      </c>
      <c r="CE16" s="568">
        <f ca="1">+CF16+CG16+CH16</f>
        <v>756.89200000000005</v>
      </c>
      <c r="CF16" s="565"/>
      <c r="CG16" s="565"/>
      <c r="CH16" s="566">
        <f ca="1">OFFSET(Sector1!$G$13,0,(COLUMN()-8)/6)</f>
        <v>756.89200000000005</v>
      </c>
      <c r="CI16" s="566">
        <f ca="1">OFFSET(Sector1!$G$12,0,(COLUMN()-9)/6)</f>
        <v>5.8739999999999997</v>
      </c>
      <c r="CJ16" s="563">
        <f ca="1">+CE16-CE9-CE6+CI16</f>
        <v>-3.3349999999999467</v>
      </c>
      <c r="CK16" s="568">
        <f ca="1">+CL16+CM16+CN16</f>
        <v>744.47500000000002</v>
      </c>
      <c r="CL16" s="565"/>
      <c r="CM16" s="565"/>
      <c r="CN16" s="566">
        <f ca="1">OFFSET(Sector1!$G$13,0,(COLUMN()-8)/6)</f>
        <v>744.47500000000002</v>
      </c>
      <c r="CO16" s="566">
        <f ca="1">OFFSET(Sector1!$G$12,0,(COLUMN()-9)/6)</f>
        <v>5.1509999999999998</v>
      </c>
      <c r="CP16" s="563">
        <f ca="1">+CK16-CK9-CK6+CO16</f>
        <v>-5.3079999999999465</v>
      </c>
      <c r="CQ16" s="568">
        <f ca="1">+CR16+CS16+CT16</f>
        <v>781.73199999999997</v>
      </c>
      <c r="CR16" s="565"/>
      <c r="CS16" s="565"/>
      <c r="CT16" s="566">
        <f ca="1">OFFSET(Sector1!$G$13,0,(COLUMN()-8)/6)</f>
        <v>781.73199999999997</v>
      </c>
      <c r="CU16" s="566">
        <f ca="1">OFFSET(Sector1!$G$12,0,(COLUMN()-9)/6)</f>
        <v>5.6740000000000004</v>
      </c>
      <c r="CV16" s="563">
        <f ca="1">+CQ16-CQ9-CQ6+CU16</f>
        <v>-2.9610000000000474</v>
      </c>
      <c r="CW16" s="568">
        <f ca="1">+CX16+CY16+CZ16</f>
        <v>801.84299999999996</v>
      </c>
      <c r="CX16" s="565"/>
      <c r="CY16" s="565"/>
      <c r="CZ16" s="566">
        <f ca="1">OFFSET(Sector1!$G$13,0,(COLUMN()-8)/6)</f>
        <v>801.84299999999996</v>
      </c>
      <c r="DA16" s="566">
        <f ca="1">OFFSET(Sector1!$G$12,0,(COLUMN()-9)/6)</f>
        <v>5.66</v>
      </c>
      <c r="DB16" s="563">
        <f ca="1">+CW16-CW9-CW6+DA16</f>
        <v>-6.705000000000009</v>
      </c>
      <c r="DC16" s="568">
        <f ca="1">+DD16+DE16+DF16</f>
        <v>817.1</v>
      </c>
      <c r="DD16" s="565"/>
      <c r="DE16" s="565"/>
      <c r="DF16" s="566">
        <f ca="1">OFFSET(Sector1!$G$13,0,(COLUMN()-8)/6)</f>
        <v>817.1</v>
      </c>
      <c r="DG16" s="566">
        <f ca="1">OFFSET(Sector1!$G$12,0,(COLUMN()-9)/6)</f>
        <v>5.2549999999999999</v>
      </c>
      <c r="DH16" s="563">
        <f ca="1">+DC16-DC9-DC6+DG16</f>
        <v>-4.3719999999999528</v>
      </c>
      <c r="DI16" s="568">
        <f ca="1">+DJ16+DK16+DL16</f>
        <v>835.00699999999995</v>
      </c>
      <c r="DJ16" s="565"/>
      <c r="DK16" s="565"/>
      <c r="DL16" s="566">
        <f ca="1">OFFSET(Sector1!$G$13,0,(COLUMN()-8)/6)</f>
        <v>835.00699999999995</v>
      </c>
      <c r="DM16" s="566">
        <f ca="1">OFFSET(Sector1!$G$12,0,(COLUMN()-9)/6)</f>
        <v>5.2220000000000004</v>
      </c>
      <c r="DN16" s="563">
        <f ca="1">+DI16-DI9-DI6+DM16</f>
        <v>-2.7730000000000041</v>
      </c>
      <c r="DO16" s="568">
        <f ca="1">+DP16+DQ16+DR16</f>
        <v>859.7</v>
      </c>
      <c r="DP16" s="565"/>
      <c r="DQ16" s="565"/>
      <c r="DR16" s="566">
        <f ca="1">OFFSET(Sector1!$G$13,0,(COLUMN()-8)/6)</f>
        <v>859.7</v>
      </c>
      <c r="DS16" s="566">
        <f ca="1">OFFSET(Sector1!$G$12,0,(COLUMN()-9)/6)</f>
        <v>5.806</v>
      </c>
      <c r="DT16" s="563">
        <f ca="1">+DO16-DO9-DO6+DS16</f>
        <v>-3.238999999999959</v>
      </c>
      <c r="DU16" s="568">
        <f ca="1">+DV16+DW16+DX16</f>
        <v>915.92399999999998</v>
      </c>
      <c r="DV16" s="565"/>
      <c r="DW16" s="565"/>
      <c r="DX16" s="566">
        <f ca="1">OFFSET(Sector1!$G$13,0,(COLUMN()-8)/6)</f>
        <v>915.92399999999998</v>
      </c>
      <c r="DY16" s="566">
        <f ca="1">OFFSET(Sector1!$G$12,0,(COLUMN()-9)/6)</f>
        <v>6.2750000000000004</v>
      </c>
      <c r="DZ16" s="563">
        <f ca="1">+DU16-DU9-DU6+DY16</f>
        <v>-2.0970000000000706</v>
      </c>
      <c r="EA16" s="568">
        <f ca="1">+EB16+EC16+ED16</f>
        <v>987.44100000000003</v>
      </c>
      <c r="EB16" s="565"/>
      <c r="EC16" s="565"/>
      <c r="ED16" s="566">
        <f ca="1">OFFSET(Sector1!$G$13,0,(COLUMN()-8)/6)</f>
        <v>987.44100000000003</v>
      </c>
      <c r="EE16" s="566">
        <f ca="1">OFFSET(Sector1!$G$12,0,(COLUMN()-9)/6)</f>
        <v>6.0759999999999996</v>
      </c>
      <c r="EF16" s="563">
        <f ca="1">+EA16-EA9-EA6+EE16</f>
        <v>-0.25499999999990397</v>
      </c>
      <c r="EG16" s="568">
        <f ca="1">+EH16+EI16+EJ16</f>
        <v>1031.5340000000001</v>
      </c>
      <c r="EH16" s="565"/>
      <c r="EI16" s="565"/>
      <c r="EJ16" s="566">
        <f ca="1">OFFSET(Sector1!$G$13,0,(COLUMN()-8)/6)</f>
        <v>1031.5340000000001</v>
      </c>
      <c r="EK16" s="566">
        <f ca="1">OFFSET(Sector1!$G$12,0,(COLUMN()-9)/6)</f>
        <v>6.258</v>
      </c>
      <c r="EL16" s="563">
        <f ca="1">+EG16-EG9-EG6+EK16</f>
        <v>0.34999999999998455</v>
      </c>
      <c r="EM16" s="568">
        <f ca="1">+EN16+EO16+EP16</f>
        <v>1075.2026598248071</v>
      </c>
      <c r="EN16" s="565"/>
      <c r="EO16" s="565"/>
      <c r="EP16" s="566">
        <f ca="1">OFFSET(Sector1!$G$13,0,(COLUMN()-8)/6)</f>
        <v>1075.2026598248071</v>
      </c>
      <c r="EQ16" s="566">
        <f ca="1">OFFSET(Sector1!$G$12,0,(COLUMN()-9)/6)</f>
        <v>6.5185621047026192</v>
      </c>
      <c r="ER16" s="563">
        <f ca="1">+EM16-EM9-EM6+EQ16</f>
        <v>-0.34999999999999964</v>
      </c>
      <c r="ES16" s="568">
        <f ca="1">+ET16+EU16+EV16</f>
        <v>1112.8032004969793</v>
      </c>
      <c r="ET16" s="565"/>
      <c r="EU16" s="565"/>
      <c r="EV16" s="566">
        <f ca="1">OFFSET(Sector1!$G$13,0,(COLUMN()-8)/6)</f>
        <v>1112.8032004969793</v>
      </c>
      <c r="EW16" s="566">
        <f ca="1">OFFSET(Sector1!$G$12,0,(COLUMN()-9)/6)</f>
        <v>6.5476973625771908</v>
      </c>
      <c r="EX16" s="563">
        <f ca="1">+ES16-ES9-ES6+EW16</f>
        <v>-0.35000000000002807</v>
      </c>
      <c r="EY16" s="568">
        <f ca="1">+EZ16+FA16+FB16</f>
        <v>1151.7498222449526</v>
      </c>
      <c r="EZ16" s="565"/>
      <c r="FA16" s="565"/>
      <c r="FB16" s="566">
        <f ca="1">OFFSET(Sector1!$G$13,0,(COLUMN()-8)/6)</f>
        <v>1151.7498222449526</v>
      </c>
      <c r="FC16" s="566">
        <f ca="1">OFFSET(Sector1!$G$12,0,(COLUMN()-9)/6)</f>
        <v>6.4818148674120462</v>
      </c>
      <c r="FD16" s="563">
        <f ca="1">+EY16-EY9-EY6+FC16</f>
        <v>-0.35000000000034426</v>
      </c>
    </row>
    <row r="17" spans="1:160" ht="13.5" thickBot="1">
      <c r="A17" s="554"/>
      <c r="B17" s="555" t="s">
        <v>301</v>
      </c>
      <c r="C17" s="3855" t="s">
        <v>1801</v>
      </c>
      <c r="D17" s="3856"/>
      <c r="E17" s="568">
        <f ca="1">+F17+G17+H17</f>
        <v>65.78</v>
      </c>
      <c r="F17" s="565"/>
      <c r="G17" s="565"/>
      <c r="H17" s="566">
        <f ca="1">OFFSET(Sector1!$G$50,0,(COLUMN()-8)/6)</f>
        <v>65.78</v>
      </c>
      <c r="I17" s="566">
        <f ca="1">OFFSET(Sector1!$G$49,0,(COLUMN()-9)/6)</f>
        <v>0.85199999999999998</v>
      </c>
      <c r="J17" s="563">
        <f ca="1">+E17-E10-E7+I17</f>
        <v>-4.0070000000000032</v>
      </c>
      <c r="K17" s="568">
        <f ca="1">+L17+M17+N17</f>
        <v>58.389000000000003</v>
      </c>
      <c r="L17" s="565"/>
      <c r="M17" s="565"/>
      <c r="N17" s="566">
        <f ca="1">OFFSET(Sector1!$G$50,0,(COLUMN()-8)/6)</f>
        <v>58.389000000000003</v>
      </c>
      <c r="O17" s="566">
        <f ca="1">OFFSET(Sector1!$G$49,0,(COLUMN()-9)/6)</f>
        <v>1.0589999999999999</v>
      </c>
      <c r="P17" s="563">
        <f ca="1">+K17-K10-K7+O17</f>
        <v>-5.1050000000000049</v>
      </c>
      <c r="Q17" s="568">
        <f ca="1">+R17+S17+T17</f>
        <v>51.036999999999999</v>
      </c>
      <c r="R17" s="565"/>
      <c r="S17" s="565"/>
      <c r="T17" s="566">
        <f ca="1">OFFSET(Sector1!$G$50,0,(COLUMN()-8)/6)</f>
        <v>51.036999999999999</v>
      </c>
      <c r="U17" s="566">
        <f ca="1">OFFSET(Sector1!$G$49,0,(COLUMN()-9)/6)</f>
        <v>1.3959999999999999</v>
      </c>
      <c r="V17" s="563">
        <f ca="1">+Q17-Q10-Q7+U17</f>
        <v>-6.3079999999999989</v>
      </c>
      <c r="W17" s="568">
        <f ca="1">+X17+Y17+Z17</f>
        <v>42.825000000000003</v>
      </c>
      <c r="X17" s="565"/>
      <c r="Y17" s="565"/>
      <c r="Z17" s="566">
        <f ca="1">OFFSET(Sector1!$G$50,0,(COLUMN()-8)/6)</f>
        <v>42.825000000000003</v>
      </c>
      <c r="AA17" s="566">
        <f ca="1">OFFSET(Sector1!$G$49,0,(COLUMN()-9)/6)</f>
        <v>1.2170000000000001</v>
      </c>
      <c r="AB17" s="563">
        <f ca="1">+W17-W10-W7+AA17</f>
        <v>-7.5659999999999989</v>
      </c>
      <c r="AC17" s="568">
        <f ca="1">+AD17+AE17+AF17</f>
        <v>41.738999999999997</v>
      </c>
      <c r="AD17" s="565"/>
      <c r="AE17" s="565"/>
      <c r="AF17" s="566">
        <f ca="1">OFFSET(Sector1!$G$50,0,(COLUMN()-8)/6)</f>
        <v>41.738999999999997</v>
      </c>
      <c r="AG17" s="566">
        <f ca="1">OFFSET(Sector1!$G$49,0,(COLUMN()-9)/6)</f>
        <v>1.389</v>
      </c>
      <c r="AH17" s="563">
        <f ca="1">+AC17-AC10-AC7+AG17</f>
        <v>-7.0239999999999982</v>
      </c>
      <c r="AI17" s="568">
        <f ca="1">+AJ17+AK17+AL17</f>
        <v>36.072000000000003</v>
      </c>
      <c r="AJ17" s="565"/>
      <c r="AK17" s="565"/>
      <c r="AL17" s="566">
        <f ca="1">OFFSET(Sector1!$G$50,0,(COLUMN()-8)/6)</f>
        <v>36.072000000000003</v>
      </c>
      <c r="AM17" s="566">
        <f ca="1">OFFSET(Sector1!$G$49,0,(COLUMN()-9)/6)</f>
        <v>4.76</v>
      </c>
      <c r="AN17" s="563">
        <f ca="1">+AI17-AI10-AI7+AM17</f>
        <v>-4.923</v>
      </c>
      <c r="AO17" s="568">
        <f ca="1">+AP17+AQ17+AR17</f>
        <v>34.488</v>
      </c>
      <c r="AP17" s="565"/>
      <c r="AQ17" s="565"/>
      <c r="AR17" s="566">
        <f ca="1">OFFSET(Sector1!$G$50,0,(COLUMN()-8)/6)</f>
        <v>34.488</v>
      </c>
      <c r="AS17" s="566">
        <f ca="1">OFFSET(Sector1!$G$49,0,(COLUMN()-9)/6)</f>
        <v>5.2679999999999998</v>
      </c>
      <c r="AT17" s="563">
        <f ca="1">+AO17-AO10-AO7+AS17</f>
        <v>-5.1309999999999993</v>
      </c>
      <c r="AU17" s="568">
        <f ca="1">+AV17+AW17+AX17</f>
        <v>37.427999999999997</v>
      </c>
      <c r="AV17" s="565"/>
      <c r="AW17" s="565"/>
      <c r="AX17" s="566">
        <f ca="1">OFFSET(Sector1!$G$50,0,(COLUMN()-8)/6)</f>
        <v>37.427999999999997</v>
      </c>
      <c r="AY17" s="566">
        <f ca="1">OFFSET(Sector1!$G$49,0,(COLUMN()-9)/6)</f>
        <v>5.3250000000000002</v>
      </c>
      <c r="AZ17" s="563">
        <f ca="1">+AU17-AU10-AU7+AY17</f>
        <v>-6.2420000000000035</v>
      </c>
      <c r="BA17" s="568">
        <f ca="1">+BB17+BC17+BD17</f>
        <v>38.99</v>
      </c>
      <c r="BB17" s="565"/>
      <c r="BC17" s="565"/>
      <c r="BD17" s="566">
        <f ca="1">OFFSET(Sector1!$G$50,0,(COLUMN()-8)/6)</f>
        <v>38.99</v>
      </c>
      <c r="BE17" s="566">
        <f ca="1">OFFSET(Sector1!$G$49,0,(COLUMN()-9)/6)</f>
        <v>11.249000000000002</v>
      </c>
      <c r="BF17" s="563">
        <f ca="1">+BA17-BA10-BA7+BE17</f>
        <v>0</v>
      </c>
      <c r="BG17" s="568">
        <f ca="1">+BH17+BI17+BJ17</f>
        <v>37.92</v>
      </c>
      <c r="BH17" s="565"/>
      <c r="BI17" s="565"/>
      <c r="BJ17" s="566">
        <f ca="1">OFFSET(Sector1!$G$50,0,(COLUMN()-8)/6)</f>
        <v>37.92</v>
      </c>
      <c r="BK17" s="566">
        <f ca="1">OFFSET(Sector1!$G$49,0,(COLUMN()-9)/6)</f>
        <v>11.008000000000003</v>
      </c>
      <c r="BL17" s="563">
        <f ca="1">+BG17-BG10-BG7+BK17</f>
        <v>0</v>
      </c>
      <c r="BM17" s="568">
        <f ca="1">+BN17+BO17+BP17</f>
        <v>40.715000000000003</v>
      </c>
      <c r="BN17" s="565"/>
      <c r="BO17" s="565"/>
      <c r="BP17" s="566">
        <f ca="1">OFFSET(Sector1!$G$50,0,(COLUMN()-8)/6)</f>
        <v>40.715000000000003</v>
      </c>
      <c r="BQ17" s="566">
        <f ca="1">OFFSET(Sector1!$G$49,0,(COLUMN()-9)/6)</f>
        <v>12.613999999999997</v>
      </c>
      <c r="BR17" s="563">
        <f ca="1">+BM17-BM10-BM7+BQ17</f>
        <v>0</v>
      </c>
      <c r="BS17" s="568">
        <f ca="1">+BT17+BU17+BV17</f>
        <v>45.210999999999999</v>
      </c>
      <c r="BT17" s="565"/>
      <c r="BU17" s="565"/>
      <c r="BV17" s="566">
        <f ca="1">OFFSET(Sector1!$G$50,0,(COLUMN()-8)/6)</f>
        <v>45.210999999999999</v>
      </c>
      <c r="BW17" s="566">
        <f ca="1">OFFSET(Sector1!$G$49,0,(COLUMN()-9)/6)</f>
        <v>12.619000000000007</v>
      </c>
      <c r="BX17" s="563">
        <f ca="1">+BS17-BS10-BS7+BW17</f>
        <v>0</v>
      </c>
      <c r="BY17" s="568">
        <f ca="1">+BZ17+CA17+CB17</f>
        <v>46.545999999999999</v>
      </c>
      <c r="BZ17" s="565"/>
      <c r="CA17" s="565"/>
      <c r="CB17" s="566">
        <f ca="1">OFFSET(Sector1!$G$50,0,(COLUMN()-8)/6)</f>
        <v>46.545999999999999</v>
      </c>
      <c r="CC17" s="566">
        <f ca="1">OFFSET(Sector1!$G$49,0,(COLUMN()-9)/6)</f>
        <v>11.883000000000003</v>
      </c>
      <c r="CD17" s="563">
        <f ca="1">+BY17-BY10-BY7+CC17</f>
        <v>0</v>
      </c>
      <c r="CE17" s="568">
        <f ca="1">+CF17+CG17+CH17</f>
        <v>49.337000000000003</v>
      </c>
      <c r="CF17" s="565"/>
      <c r="CG17" s="565"/>
      <c r="CH17" s="566">
        <f ca="1">OFFSET(Sector1!$G$50,0,(COLUMN()-8)/6)</f>
        <v>49.337000000000003</v>
      </c>
      <c r="CI17" s="566">
        <f ca="1">OFFSET(Sector1!$G$49,0,(COLUMN()-9)/6)</f>
        <v>11.307000000000002</v>
      </c>
      <c r="CJ17" s="563">
        <f ca="1">+CE17-CE10-CE7+CI17</f>
        <v>0</v>
      </c>
      <c r="CK17" s="568">
        <f ca="1">+CL17+CM17+CN17</f>
        <v>50.597000000000001</v>
      </c>
      <c r="CL17" s="565"/>
      <c r="CM17" s="565"/>
      <c r="CN17" s="566">
        <f ca="1">OFFSET(Sector1!$G$50,0,(COLUMN()-8)/6)</f>
        <v>50.597000000000001</v>
      </c>
      <c r="CO17" s="566">
        <f ca="1">OFFSET(Sector1!$G$49,0,(COLUMN()-9)/6)</f>
        <v>11.439</v>
      </c>
      <c r="CP17" s="563">
        <f ca="1">+CK17-CK10-CK7+CO17</f>
        <v>0</v>
      </c>
      <c r="CQ17" s="568">
        <f ca="1">+CR17+CS17+CT17</f>
        <v>55.411999999999999</v>
      </c>
      <c r="CR17" s="565"/>
      <c r="CS17" s="565"/>
      <c r="CT17" s="566">
        <f ca="1">OFFSET(Sector1!$G$50,0,(COLUMN()-8)/6)</f>
        <v>55.411999999999999</v>
      </c>
      <c r="CU17" s="566">
        <f ca="1">OFFSET(Sector1!$G$49,0,(COLUMN()-9)/6)</f>
        <v>10.863999999999997</v>
      </c>
      <c r="CV17" s="563">
        <f ca="1">+CQ17-CQ10-CQ7+CU17</f>
        <v>0</v>
      </c>
      <c r="CW17" s="568">
        <f ca="1">+CX17+CY17+CZ17</f>
        <v>59.75</v>
      </c>
      <c r="CX17" s="565"/>
      <c r="CY17" s="565"/>
      <c r="CZ17" s="566">
        <f ca="1">OFFSET(Sector1!$G$50,0,(COLUMN()-8)/6)</f>
        <v>59.75</v>
      </c>
      <c r="DA17" s="566">
        <f ca="1">OFFSET(Sector1!$G$49,0,(COLUMN()-9)/6)</f>
        <v>11.072000000000003</v>
      </c>
      <c r="DB17" s="563">
        <f ca="1">+CW17-CW10-CW7+DA17</f>
        <v>0</v>
      </c>
      <c r="DC17" s="568">
        <f ca="1">+DD17+DE17+DF17</f>
        <v>61.973999999999997</v>
      </c>
      <c r="DD17" s="565"/>
      <c r="DE17" s="565"/>
      <c r="DF17" s="566">
        <f ca="1">OFFSET(Sector1!$G$50,0,(COLUMN()-8)/6)</f>
        <v>61.973999999999997</v>
      </c>
      <c r="DG17" s="566">
        <f ca="1">OFFSET(Sector1!$G$49,0,(COLUMN()-9)/6)</f>
        <v>10.577999999999996</v>
      </c>
      <c r="DH17" s="563">
        <f ca="1">+DC17-DC10-DC7+DG17</f>
        <v>0</v>
      </c>
      <c r="DI17" s="568">
        <f ca="1">+DJ17+DK17+DL17</f>
        <v>62.9</v>
      </c>
      <c r="DJ17" s="565"/>
      <c r="DK17" s="565"/>
      <c r="DL17" s="566">
        <f ca="1">OFFSET(Sector1!$G$50,0,(COLUMN()-8)/6)</f>
        <v>62.9</v>
      </c>
      <c r="DM17" s="566">
        <f ca="1">OFFSET(Sector1!$G$49,0,(COLUMN()-9)/6)</f>
        <v>10.308000000000014</v>
      </c>
      <c r="DN17" s="563">
        <f ca="1">+DI17-DI10-DI7+DM17</f>
        <v>1.4210854715202004E-14</v>
      </c>
      <c r="DO17" s="568">
        <f ca="1">+DP17+DQ17+DR17</f>
        <v>66.605000000000004</v>
      </c>
      <c r="DP17" s="565"/>
      <c r="DQ17" s="565"/>
      <c r="DR17" s="566">
        <f ca="1">OFFSET(Sector1!$G$50,0,(COLUMN()-8)/6)</f>
        <v>66.605000000000004</v>
      </c>
      <c r="DS17" s="566">
        <f ca="1">OFFSET(Sector1!$G$49,0,(COLUMN()-9)/6)</f>
        <v>10.335999999999999</v>
      </c>
      <c r="DT17" s="563">
        <f ca="1">+DO17-DO10-DO7+DS17</f>
        <v>0</v>
      </c>
      <c r="DU17" s="568">
        <f ca="1">+DV17+DW17+DX17</f>
        <v>66.426000000000002</v>
      </c>
      <c r="DV17" s="565"/>
      <c r="DW17" s="565"/>
      <c r="DX17" s="566">
        <f ca="1">OFFSET(Sector1!$G$50,0,(COLUMN()-8)/6)</f>
        <v>66.426000000000002</v>
      </c>
      <c r="DY17" s="566">
        <f ca="1">OFFSET(Sector1!$G$49,0,(COLUMN()-9)/6)</f>
        <v>7.8160000000000025</v>
      </c>
      <c r="DZ17" s="563">
        <f ca="1">+DU17-DU10-DU7+DY17</f>
        <v>0</v>
      </c>
      <c r="EA17" s="568">
        <f ca="1">+EB17+EC17+ED17</f>
        <v>69.564999999999998</v>
      </c>
      <c r="EB17" s="565"/>
      <c r="EC17" s="565"/>
      <c r="ED17" s="566">
        <f ca="1">OFFSET(Sector1!$G$50,0,(COLUMN()-8)/6)</f>
        <v>69.564999999999998</v>
      </c>
      <c r="EE17" s="566">
        <f ca="1">OFFSET(Sector1!$G$49,0,(COLUMN()-9)/6)</f>
        <v>8.0550000000000068</v>
      </c>
      <c r="EF17" s="563">
        <f ca="1">+EA17-EA10-EA7+EE17</f>
        <v>0</v>
      </c>
      <c r="EG17" s="568">
        <f ca="1">+EH17+EI17+EJ17</f>
        <v>71.599999999999994</v>
      </c>
      <c r="EH17" s="565"/>
      <c r="EI17" s="565"/>
      <c r="EJ17" s="566">
        <f ca="1">OFFSET(Sector1!$G$50,0,(COLUMN()-8)/6)</f>
        <v>71.599999999999994</v>
      </c>
      <c r="EK17" s="566">
        <f ca="1">OFFSET(Sector1!$G$49,0,(COLUMN()-9)/6)</f>
        <v>7.8559999999999945</v>
      </c>
      <c r="EL17" s="563">
        <f ca="1">+EG17-EG10-EG7+EK17</f>
        <v>-7.1054273576010019E-15</v>
      </c>
      <c r="EM17" s="568">
        <f ca="1">+EN17+EO17+EP17</f>
        <v>73.599230000000006</v>
      </c>
      <c r="EN17" s="565"/>
      <c r="EO17" s="565"/>
      <c r="EP17" s="566">
        <f ca="1">OFFSET(Sector1!$G$50,0,(COLUMN()-8)/6)</f>
        <v>73.599230000000006</v>
      </c>
      <c r="EQ17" s="566">
        <f ca="1">OFFSET(Sector1!$G$49,0,(COLUMN()-9)/6)</f>
        <v>7.8559999999999945</v>
      </c>
      <c r="ER17" s="563">
        <f ca="1">+EM17-EM10-EM7+EQ17</f>
        <v>0</v>
      </c>
      <c r="ES17" s="568">
        <f ca="1">+ET17+EU17+EV17</f>
        <v>75.687790700000008</v>
      </c>
      <c r="ET17" s="565"/>
      <c r="EU17" s="565"/>
      <c r="EV17" s="566">
        <f ca="1">OFFSET(Sector1!$G$50,0,(COLUMN()-8)/6)</f>
        <v>75.687790700000008</v>
      </c>
      <c r="EW17" s="566">
        <f ca="1">OFFSET(Sector1!$G$49,0,(COLUMN()-9)/6)</f>
        <v>7.8559999999999945</v>
      </c>
      <c r="EX17" s="563">
        <f ca="1">+ES17-ES10-ES7+EW17</f>
        <v>0</v>
      </c>
      <c r="EY17" s="568">
        <f ca="1">+EZ17+FA17+FB17</f>
        <v>77.869020677000009</v>
      </c>
      <c r="EZ17" s="565"/>
      <c r="FA17" s="565"/>
      <c r="FB17" s="566">
        <f ca="1">OFFSET(Sector1!$G$50,0,(COLUMN()-8)/6)</f>
        <v>77.869020677000009</v>
      </c>
      <c r="FC17" s="566">
        <f ca="1">OFFSET(Sector1!$G$49,0,(COLUMN()-9)/6)</f>
        <v>7.8559999999999945</v>
      </c>
      <c r="FD17" s="563">
        <f ca="1">+EY17-EY10-EY7+FC17</f>
        <v>7.1054273576010019E-15</v>
      </c>
    </row>
    <row r="18" spans="1:160" ht="13.15">
      <c r="A18" s="554"/>
      <c r="B18" s="555" t="s">
        <v>1791</v>
      </c>
      <c r="C18" s="3855" t="s">
        <v>1802</v>
      </c>
      <c r="D18" s="3856"/>
      <c r="E18" s="568">
        <f ca="1">+F18+G18+H18</f>
        <v>-31.203999999999994</v>
      </c>
      <c r="F18" s="566">
        <f ca="1">OFFSET(Sector1!$G$141,0,(COLUMN()-6)/6)</f>
        <v>61.656999999999996</v>
      </c>
      <c r="G18" s="566">
        <f ca="1">OFFSET(Sector1!$G$136,0,(COLUMN()-7)/6)</f>
        <v>-67.569000000000003</v>
      </c>
      <c r="H18" s="1050">
        <f ca="1">+H19-H20-H21</f>
        <v>-25.291999999999987</v>
      </c>
      <c r="I18" s="566">
        <f ca="1">OFFSET(Sector1!$G$140,0,(COLUMN()-9)/6)</f>
        <v>-31.204000000000001</v>
      </c>
      <c r="J18" s="585">
        <f ca="1">+E18+I18</f>
        <v>-62.407999999999994</v>
      </c>
      <c r="K18" s="568">
        <f ca="1">+L18+M18+N18</f>
        <v>-30.875</v>
      </c>
      <c r="L18" s="566">
        <f ca="1">OFFSET(Sector1!$G$141,0,(COLUMN()-6)/6)</f>
        <v>68.144999999999996</v>
      </c>
      <c r="M18" s="566">
        <f ca="1">OFFSET(Sector1!$G$136,0,(COLUMN()-7)/6)</f>
        <v>-69.372</v>
      </c>
      <c r="N18" s="1050">
        <f ca="1">+N19-N20-N21</f>
        <v>-29.647999999999996</v>
      </c>
      <c r="O18" s="566">
        <f ca="1">OFFSET(Sector1!$G$140,0,(COLUMN()-9)/6)</f>
        <v>-30.875</v>
      </c>
      <c r="P18" s="585">
        <f ca="1">+K18+O18</f>
        <v>-61.75</v>
      </c>
      <c r="Q18" s="568">
        <f ca="1">+R18+S18+T18</f>
        <v>-30.647000000000006</v>
      </c>
      <c r="R18" s="566">
        <f ca="1">OFFSET(Sector1!$G$141,0,(COLUMN()-6)/6)</f>
        <v>62.497</v>
      </c>
      <c r="S18" s="566">
        <f ca="1">OFFSET(Sector1!$G$136,0,(COLUMN()-7)/6)</f>
        <v>-55.966999999999999</v>
      </c>
      <c r="T18" s="1050">
        <f ca="1">+T19-T20-T21</f>
        <v>-37.177000000000007</v>
      </c>
      <c r="U18" s="566">
        <f ca="1">OFFSET(Sector1!$G$140,0,(COLUMN()-9)/6)</f>
        <v>-30.646999999999998</v>
      </c>
      <c r="V18" s="585">
        <f ca="1">+Q18+U18</f>
        <v>-61.294000000000004</v>
      </c>
      <c r="W18" s="568">
        <f ca="1">+X18+Y18+Z18</f>
        <v>-20.839999999999996</v>
      </c>
      <c r="X18" s="566">
        <f ca="1">OFFSET(Sector1!$G$141,0,(COLUMN()-6)/6)</f>
        <v>66.662999999999997</v>
      </c>
      <c r="Y18" s="566">
        <f ca="1">OFFSET(Sector1!$G$136,0,(COLUMN()-7)/6)</f>
        <v>-57.244</v>
      </c>
      <c r="Z18" s="1050">
        <f ca="1">+Z19-Z20-Z21</f>
        <v>-30.258999999999993</v>
      </c>
      <c r="AA18" s="566">
        <f ca="1">OFFSET(Sector1!$G$140,0,(COLUMN()-9)/6)</f>
        <v>-20.84</v>
      </c>
      <c r="AB18" s="585">
        <f ca="1">+W18+AA18</f>
        <v>-41.679999999999993</v>
      </c>
      <c r="AC18" s="568">
        <f ca="1">+AD18+AE18+AF18</f>
        <v>-81.959000000000003</v>
      </c>
      <c r="AD18" s="566">
        <f ca="1">OFFSET(Sector1!$G$141,0,(COLUMN()-6)/6)</f>
        <v>1</v>
      </c>
      <c r="AE18" s="566">
        <f ca="1">OFFSET(Sector1!$G$136,0,(COLUMN()-7)/6)</f>
        <v>-51.536999999999999</v>
      </c>
      <c r="AF18" s="1050">
        <f ca="1">+AF19-AF20-AF21</f>
        <v>-31.421999999999997</v>
      </c>
      <c r="AG18" s="566">
        <f ca="1">OFFSET(Sector1!$G$140,0,(COLUMN()-9)/6)</f>
        <v>-10.831</v>
      </c>
      <c r="AH18" s="585">
        <f ca="1">+AC18+AG18</f>
        <v>-92.79</v>
      </c>
      <c r="AI18" s="568">
        <f ca="1">+AJ18+AK18+AL18</f>
        <v>-7.382000000000005</v>
      </c>
      <c r="AJ18" s="566">
        <f ca="1">OFFSET(Sector1!$G$141,0,(COLUMN()-6)/6)</f>
        <v>99.584999999999994</v>
      </c>
      <c r="AK18" s="566">
        <f ca="1">OFFSET(Sector1!$G$136,0,(COLUMN()-7)/6)</f>
        <v>-80.257000000000005</v>
      </c>
      <c r="AL18" s="1050">
        <f ca="1">+AL19-AL20-AL21</f>
        <v>-26.709999999999994</v>
      </c>
      <c r="AM18" s="566">
        <f ca="1">OFFSET(Sector1!$G$140,0,(COLUMN()-9)/6)</f>
        <v>-7.3819999999999997</v>
      </c>
      <c r="AN18" s="585">
        <f ca="1">+AI18+AM18</f>
        <v>-14.764000000000005</v>
      </c>
      <c r="AO18" s="568">
        <f ca="1">+AP18+AQ18+AR18</f>
        <v>-9.2569999999999908</v>
      </c>
      <c r="AP18" s="566">
        <f ca="1">OFFSET(Sector1!$G$141,0,(COLUMN()-6)/6)</f>
        <v>83.412999999999997</v>
      </c>
      <c r="AQ18" s="566">
        <f ca="1">OFFSET(Sector1!$G$136,0,(COLUMN()-7)/6)</f>
        <v>-72.97</v>
      </c>
      <c r="AR18" s="1050">
        <f ca="1">+AR19-AR20-AR21</f>
        <v>-19.699999999999989</v>
      </c>
      <c r="AS18" s="566">
        <f ca="1">OFFSET(Sector1!$G$140,0,(COLUMN()-9)/6)</f>
        <v>-9.2569999999999997</v>
      </c>
      <c r="AT18" s="585">
        <f ca="1">+AO18+AS18</f>
        <v>-18.513999999999989</v>
      </c>
      <c r="AU18" s="568">
        <f ca="1">+AV18+AW18+AX18</f>
        <v>-6.1370000000000076</v>
      </c>
      <c r="AV18" s="566">
        <f ca="1">OFFSET(Sector1!$G$141,0,(COLUMN()-6)/6)</f>
        <v>67.427999999999997</v>
      </c>
      <c r="AW18" s="566">
        <f ca="1">OFFSET(Sector1!$G$136,0,(COLUMN()-7)/6)</f>
        <v>-44.335000000000001</v>
      </c>
      <c r="AX18" s="1050">
        <f ca="1">+AX19-AX20-AX21</f>
        <v>-29.230000000000004</v>
      </c>
      <c r="AY18" s="566">
        <f ca="1">OFFSET(Sector1!$G$140,0,(COLUMN()-9)/6)</f>
        <v>-6.1369999999999996</v>
      </c>
      <c r="AZ18" s="585">
        <f ca="1">+AU18+AY18</f>
        <v>-12.274000000000008</v>
      </c>
      <c r="BA18" s="568">
        <f ca="1">+BB18+BC18+BD18</f>
        <v>32.856000000000002</v>
      </c>
      <c r="BB18" s="566">
        <f ca="1">OFFSET(Sector1!$G$141,0,(COLUMN()-6)/6)</f>
        <v>58.621000000000002</v>
      </c>
      <c r="BC18" s="566">
        <f ca="1">OFFSET(Sector1!$G$136,0,(COLUMN()-7)/6)</f>
        <v>-16.849</v>
      </c>
      <c r="BD18" s="1050">
        <f ca="1">+BD19-BD20-BD21</f>
        <v>-8.9160000000000039</v>
      </c>
      <c r="BE18" s="566">
        <f ca="1">OFFSET(Sector1!$G$140,0,(COLUMN()-9)/6)</f>
        <v>32.856000000000002</v>
      </c>
      <c r="BF18" s="585">
        <f ca="1">+BA18+BE18</f>
        <v>65.712000000000003</v>
      </c>
      <c r="BG18" s="568">
        <f ca="1">+BH18+BI18+BJ18</f>
        <v>3.2900000000000063</v>
      </c>
      <c r="BH18" s="566">
        <f ca="1">OFFSET(Sector1!$G$141,0,(COLUMN()-6)/6)</f>
        <v>60.526000000000003</v>
      </c>
      <c r="BI18" s="566">
        <f ca="1">OFFSET(Sector1!$G$136,0,(COLUMN()-7)/6)</f>
        <v>-56.091000000000001</v>
      </c>
      <c r="BJ18" s="1050">
        <f ca="1">+BJ19-BJ20-BJ21</f>
        <v>-1.144999999999996</v>
      </c>
      <c r="BK18" s="566">
        <f ca="1">OFFSET(Sector1!$G$140,0,(COLUMN()-9)/6)</f>
        <v>3.29</v>
      </c>
      <c r="BL18" s="585">
        <f ca="1">+BG18+BK18</f>
        <v>6.5800000000000063</v>
      </c>
      <c r="BM18" s="568">
        <f ca="1">+BN18+BO18+BP18</f>
        <v>25.07</v>
      </c>
      <c r="BN18" s="566">
        <f ca="1">OFFSET(Sector1!$G$141,0,(COLUMN()-6)/6)</f>
        <v>76.503</v>
      </c>
      <c r="BO18" s="566">
        <f ca="1">OFFSET(Sector1!$G$136,0,(COLUMN()-7)/6)</f>
        <v>-59.04</v>
      </c>
      <c r="BP18" s="1050">
        <f ca="1">+BP19-BP20-BP21</f>
        <v>7.6069999999999993</v>
      </c>
      <c r="BQ18" s="566">
        <f ca="1">OFFSET(Sector1!$G$140,0,(COLUMN()-9)/6)</f>
        <v>25.07</v>
      </c>
      <c r="BR18" s="585">
        <f ca="1">+BM18+BQ18</f>
        <v>50.14</v>
      </c>
      <c r="BS18" s="568">
        <f ca="1">+BT18+BU18+BV18</f>
        <v>64.935000000000002</v>
      </c>
      <c r="BT18" s="566">
        <f ca="1">OFFSET(Sector1!$G$141,0,(COLUMN()-6)/6)</f>
        <v>111.84099999999999</v>
      </c>
      <c r="BU18" s="566">
        <f ca="1">OFFSET(Sector1!$G$136,0,(COLUMN()-7)/6)</f>
        <v>-57.326999999999998</v>
      </c>
      <c r="BV18" s="1050">
        <f ca="1">+BV19-BV20-BV21</f>
        <v>10.421000000000006</v>
      </c>
      <c r="BW18" s="566">
        <f ca="1">OFFSET(Sector1!$G$140,0,(COLUMN()-9)/6)</f>
        <v>64.935000000000002</v>
      </c>
      <c r="BX18" s="585">
        <f ca="1">+BS18+BW18</f>
        <v>129.87</v>
      </c>
      <c r="BY18" s="568">
        <f ca="1">+BZ18+CA18+CB18</f>
        <v>80.042999999999978</v>
      </c>
      <c r="BZ18" s="566">
        <f ca="1">OFFSET(Sector1!$G$141,0,(COLUMN()-6)/6)</f>
        <v>123.514</v>
      </c>
      <c r="CA18" s="566">
        <f ca="1">OFFSET(Sector1!$G$136,0,(COLUMN()-7)/6)</f>
        <v>-62.619</v>
      </c>
      <c r="CB18" s="1050">
        <f ca="1">+CB19-CB20-CB21</f>
        <v>19.147999999999989</v>
      </c>
      <c r="CC18" s="566">
        <f ca="1">OFFSET(Sector1!$G$140,0,(COLUMN()-9)/6)</f>
        <v>80.043000000000006</v>
      </c>
      <c r="CD18" s="585">
        <f ca="1">+BY18+CC18</f>
        <v>160.08599999999998</v>
      </c>
      <c r="CE18" s="568">
        <f ca="1">+CF18+CG18+CH18</f>
        <v>94.288000000000011</v>
      </c>
      <c r="CF18" s="566">
        <f ca="1">OFFSET(Sector1!$G$141,0,(COLUMN()-6)/6)</f>
        <v>148.03200000000001</v>
      </c>
      <c r="CG18" s="566">
        <f ca="1">OFFSET(Sector1!$G$136,0,(COLUMN()-7)/6)</f>
        <v>-80.713999999999999</v>
      </c>
      <c r="CH18" s="1050">
        <f ca="1">+CH19-CH20-CH21</f>
        <v>26.969999999999992</v>
      </c>
      <c r="CI18" s="566">
        <f ca="1">OFFSET(Sector1!$G$140,0,(COLUMN()-9)/6)</f>
        <v>94.287999999999997</v>
      </c>
      <c r="CJ18" s="585">
        <f ca="1">+CE18+CI18</f>
        <v>188.57600000000002</v>
      </c>
      <c r="CK18" s="568">
        <f ca="1">+CL18+CM18+CN18</f>
        <v>50.790999999999983</v>
      </c>
      <c r="CL18" s="566">
        <f ca="1">OFFSET(Sector1!$G$141,0,(COLUMN()-6)/6)</f>
        <v>130.76499999999999</v>
      </c>
      <c r="CM18" s="566">
        <f ca="1">OFFSET(Sector1!$G$136,0,(COLUMN()-7)/6)</f>
        <v>-107.91500000000001</v>
      </c>
      <c r="CN18" s="1050">
        <f ca="1">+CN19-CN20-CN21</f>
        <v>27.941000000000003</v>
      </c>
      <c r="CO18" s="566">
        <f ca="1">OFFSET(Sector1!$G$140,0,(COLUMN()-9)/6)</f>
        <v>50.790999999999997</v>
      </c>
      <c r="CP18" s="585">
        <f ca="1">+CK18+CO18</f>
        <v>101.58199999999998</v>
      </c>
      <c r="CQ18" s="568">
        <f ca="1">+CR18+CS18+CT18</f>
        <v>71.683999999999997</v>
      </c>
      <c r="CR18" s="566">
        <f ca="1">OFFSET(Sector1!$G$141,0,(COLUMN()-6)/6)</f>
        <v>188.49600000000001</v>
      </c>
      <c r="CS18" s="566">
        <f ca="1">OFFSET(Sector1!$G$136,0,(COLUMN()-7)/6)</f>
        <v>-144.655</v>
      </c>
      <c r="CT18" s="1050">
        <f ca="1">+CT19-CT20-CT21</f>
        <v>27.842999999999989</v>
      </c>
      <c r="CU18" s="566">
        <f ca="1">OFFSET(Sector1!$G$140,0,(COLUMN()-9)/6)</f>
        <v>71.683999999999997</v>
      </c>
      <c r="CV18" s="585">
        <f ca="1">+CQ18+CU18</f>
        <v>143.36799999999999</v>
      </c>
      <c r="CW18" s="568">
        <f ca="1">+CX18+CY18+CZ18</f>
        <v>51.842999999999975</v>
      </c>
      <c r="CX18" s="566">
        <f ca="1">OFFSET(Sector1!$G$141,0,(COLUMN()-6)/6)</f>
        <v>187.17</v>
      </c>
      <c r="CY18" s="566">
        <f ca="1">OFFSET(Sector1!$G$136,0,(COLUMN()-7)/6)</f>
        <v>-167.61600000000001</v>
      </c>
      <c r="CZ18" s="1050">
        <f ca="1">+CZ19-CZ20-CZ21</f>
        <v>32.289000000000001</v>
      </c>
      <c r="DA18" s="566">
        <f ca="1">OFFSET(Sector1!$G$140,0,(COLUMN()-9)/6)</f>
        <v>51.843000000000004</v>
      </c>
      <c r="DB18" s="585">
        <f ca="1">+CW18+DA18</f>
        <v>103.68599999999998</v>
      </c>
      <c r="DC18" s="568">
        <f ca="1">+DD18+DE18+DF18</f>
        <v>61.172000000000011</v>
      </c>
      <c r="DD18" s="566">
        <f ca="1">OFFSET(Sector1!$G$141,0,(COLUMN()-6)/6)</f>
        <v>191.292</v>
      </c>
      <c r="DE18" s="566">
        <f ca="1">OFFSET(Sector1!$G$136,0,(COLUMN()-7)/6)</f>
        <v>-166.39099999999999</v>
      </c>
      <c r="DF18" s="1050">
        <f ca="1">+DF19-DF20-DF21</f>
        <v>36.271000000000001</v>
      </c>
      <c r="DG18" s="566">
        <f ca="1">OFFSET(Sector1!$G$140,0,(COLUMN()-9)/6)</f>
        <v>61.171999999999997</v>
      </c>
      <c r="DH18" s="585">
        <f ca="1">+DC18+DG18</f>
        <v>122.34400000000001</v>
      </c>
      <c r="DI18" s="568">
        <f ca="1">+DJ18+DK18+DL18</f>
        <v>62.368999999999986</v>
      </c>
      <c r="DJ18" s="566">
        <f ca="1">OFFSET(Sector1!$G$141,0,(COLUMN()-6)/6)</f>
        <v>197.952</v>
      </c>
      <c r="DK18" s="566">
        <f ca="1">OFFSET(Sector1!$G$136,0,(COLUMN()-7)/6)</f>
        <v>-176.28800000000001</v>
      </c>
      <c r="DL18" s="1050">
        <f ca="1">+DL19-DL20-DL21</f>
        <v>40.704999999999998</v>
      </c>
      <c r="DM18" s="566">
        <f ca="1">OFFSET(Sector1!$G$140,0,(COLUMN()-9)/6)</f>
        <v>62.369</v>
      </c>
      <c r="DN18" s="585">
        <f ca="1">+DI18+DM18</f>
        <v>124.73799999999999</v>
      </c>
      <c r="DO18" s="568">
        <f ca="1">+DP18+DQ18+DR18</f>
        <v>59.902999999999977</v>
      </c>
      <c r="DP18" s="566">
        <f ca="1">OFFSET(Sector1!$G$141,0,(COLUMN()-6)/6)</f>
        <v>247.53299999999999</v>
      </c>
      <c r="DQ18" s="566">
        <f ca="1">OFFSET(Sector1!$G$136,0,(COLUMN()-7)/6)</f>
        <v>-221.47200000000001</v>
      </c>
      <c r="DR18" s="1050">
        <f ca="1">+DR19-DR20-DR21</f>
        <v>33.841999999999999</v>
      </c>
      <c r="DS18" s="566">
        <f ca="1">OFFSET(Sector1!$G$140,0,(COLUMN()-9)/6)</f>
        <v>59.902999999999999</v>
      </c>
      <c r="DT18" s="585">
        <f ca="1">+DO18+DS18</f>
        <v>119.80599999999998</v>
      </c>
      <c r="DU18" s="568">
        <f ca="1">+DV18+DW18+DX18</f>
        <v>36.912999999999975</v>
      </c>
      <c r="DV18" s="566">
        <f ca="1">OFFSET(Sector1!$G$141,0,(COLUMN()-6)/6)</f>
        <v>261.90600000000001</v>
      </c>
      <c r="DW18" s="566">
        <f ca="1">OFFSET(Sector1!$G$136,0,(COLUMN()-7)/6)</f>
        <v>-265.34500000000003</v>
      </c>
      <c r="DX18" s="1050">
        <f ca="1">+DX19-DX20-DX21</f>
        <v>40.351999999999997</v>
      </c>
      <c r="DY18" s="566">
        <f ca="1">OFFSET(Sector1!$G$140,0,(COLUMN()-9)/6)</f>
        <v>36.912999999999997</v>
      </c>
      <c r="DZ18" s="585">
        <f ca="1">+DU18+DY18</f>
        <v>73.825999999999965</v>
      </c>
      <c r="EA18" s="568">
        <f ca="1">+EB18+EC18+ED18</f>
        <v>36.396000000000015</v>
      </c>
      <c r="EB18" s="566">
        <f ca="1">OFFSET(Sector1!$G$141,0,(COLUMN()-6)/6)</f>
        <v>309.34100000000001</v>
      </c>
      <c r="EC18" s="566">
        <f ca="1">OFFSET(Sector1!$G$136,0,(COLUMN()-7)/6)</f>
        <v>-317.185</v>
      </c>
      <c r="ED18" s="1050">
        <f ca="1">+ED19-ED20-ED21</f>
        <v>44.240000000000009</v>
      </c>
      <c r="EE18" s="566">
        <f ca="1">OFFSET(Sector1!$G$140,0,(COLUMN()-9)/6)</f>
        <v>36.396000000000001</v>
      </c>
      <c r="EF18" s="585">
        <f ca="1">+EA18+EE18</f>
        <v>72.792000000000016</v>
      </c>
      <c r="EG18" s="568">
        <f ca="1">+EH18+EI18+EJ18</f>
        <v>55.79499999999998</v>
      </c>
      <c r="EH18" s="566">
        <f ca="1">OFFSET(Sector1!$G$141,0,(COLUMN()-6)/6)</f>
        <v>297.733</v>
      </c>
      <c r="EI18" s="566">
        <f ca="1">OFFSET(Sector1!$G$136,0,(COLUMN()-7)/6)</f>
        <v>-287.46800000000002</v>
      </c>
      <c r="EJ18" s="1050">
        <f ca="1">+EJ19-EJ20-EJ21</f>
        <v>45.529999999999994</v>
      </c>
      <c r="EK18" s="566">
        <f ca="1">OFFSET(Sector1!$G$140,0,(COLUMN()-9)/6)</f>
        <v>55.795000000000002</v>
      </c>
      <c r="EL18" s="585">
        <f ca="1">+EG18+EK18</f>
        <v>111.58999999999997</v>
      </c>
      <c r="EM18" s="568">
        <f ca="1">+EN18+EO18+EP18</f>
        <v>56.352949999999986</v>
      </c>
      <c r="EN18" s="566">
        <f ca="1">OFFSET(Sector1!$G$141,0,(COLUMN()-6)/6)</f>
        <v>309.61443096784745</v>
      </c>
      <c r="EO18" s="566">
        <f ca="1">OFFSET(Sector1!$G$136,0,(COLUMN()-7)/6)</f>
        <v>-298.96672000000001</v>
      </c>
      <c r="EP18" s="1050">
        <f ca="1">+EP19-EP20-EP21</f>
        <v>45.705239032152541</v>
      </c>
      <c r="EQ18" s="566">
        <f ca="1">OFFSET(Sector1!$G$140,0,(COLUMN()-9)/6)</f>
        <v>56.35295</v>
      </c>
      <c r="ER18" s="585">
        <f ca="1">+EM18+EQ18</f>
        <v>112.70589999999999</v>
      </c>
      <c r="ES18" s="568">
        <f ca="1">+ET18+EU18+EV18</f>
        <v>56.916479499999944</v>
      </c>
      <c r="ET18" s="566">
        <f ca="1">OFFSET(Sector1!$G$141,0,(COLUMN()-6)/6)</f>
        <v>322.09475333787179</v>
      </c>
      <c r="EU18" s="566">
        <f ca="1">OFFSET(Sector1!$G$136,0,(COLUMN()-7)/6)</f>
        <v>-310.92538880000001</v>
      </c>
      <c r="EV18" s="1050">
        <f ca="1">+EV19-EV20-EV21</f>
        <v>45.747114962128158</v>
      </c>
      <c r="EW18" s="566">
        <f ca="1">OFFSET(Sector1!$G$140,0,(COLUMN()-9)/6)</f>
        <v>56.916479500000001</v>
      </c>
      <c r="EX18" s="585">
        <f ca="1">+ES18+EW18</f>
        <v>113.83295899999995</v>
      </c>
      <c r="EY18" s="568">
        <f ca="1">+EZ18+FA18+FB18</f>
        <v>57.485644294999972</v>
      </c>
      <c r="EZ18" s="566">
        <f ca="1">OFFSET(Sector1!$G$141,0,(COLUMN()-6)/6)</f>
        <v>341.08544438531953</v>
      </c>
      <c r="FA18" s="566">
        <f ca="1">OFFSET(Sector1!$G$136,0,(COLUMN()-7)/6)</f>
        <v>-323.362404352</v>
      </c>
      <c r="FB18" s="1050">
        <f ca="1">+FB19-FB20-FB21</f>
        <v>39.762604261680437</v>
      </c>
      <c r="FC18" s="566">
        <f ca="1">OFFSET(Sector1!$G$140,0,(COLUMN()-9)/6)</f>
        <v>57.485644295</v>
      </c>
      <c r="FD18" s="585">
        <f ca="1">+EY18+FC18</f>
        <v>114.97128858999997</v>
      </c>
    </row>
    <row r="19" spans="1:160" s="583" customFormat="1" ht="13.5" customHeight="1">
      <c r="A19" s="578"/>
      <c r="B19" s="579"/>
      <c r="C19" s="586"/>
      <c r="D19" s="587" t="s">
        <v>947</v>
      </c>
      <c r="E19" s="582"/>
      <c r="F19" s="565"/>
      <c r="G19" s="588"/>
      <c r="H19" s="577">
        <f ca="1">OFFSET(Sector1!$G$137,0,(COLUMN()-8)/6)</f>
        <v>71.674000000000007</v>
      </c>
      <c r="I19" s="572"/>
      <c r="J19" s="567"/>
      <c r="K19" s="582"/>
      <c r="L19" s="565"/>
      <c r="M19" s="588"/>
      <c r="N19" s="577">
        <f ca="1">OFFSET(Sector1!$G$137,0,(COLUMN()-8)/6)</f>
        <v>70.997</v>
      </c>
      <c r="O19" s="572"/>
      <c r="P19" s="567"/>
      <c r="Q19" s="582"/>
      <c r="R19" s="565"/>
      <c r="S19" s="588"/>
      <c r="T19" s="577">
        <f ca="1">OFFSET(Sector1!$G$137,0,(COLUMN()-8)/6)</f>
        <v>64.495999999999995</v>
      </c>
      <c r="U19" s="572"/>
      <c r="V19" s="567"/>
      <c r="W19" s="582"/>
      <c r="X19" s="565"/>
      <c r="Y19" s="588"/>
      <c r="Z19" s="577">
        <f ca="1">OFFSET(Sector1!$G$137,0,(COLUMN()-8)/6)</f>
        <v>64.83</v>
      </c>
      <c r="AA19" s="572"/>
      <c r="AB19" s="567"/>
      <c r="AC19" s="582"/>
      <c r="AD19" s="565"/>
      <c r="AE19" s="588"/>
      <c r="AF19" s="577">
        <f ca="1">OFFSET(Sector1!$G$137,0,(COLUMN()-8)/6)</f>
        <v>57.204000000000001</v>
      </c>
      <c r="AG19" s="572"/>
      <c r="AH19" s="567"/>
      <c r="AI19" s="582"/>
      <c r="AJ19" s="565"/>
      <c r="AK19" s="588"/>
      <c r="AL19" s="577">
        <f ca="1">OFFSET(Sector1!$G$137,0,(COLUMN()-8)/6)</f>
        <v>54.951999999999998</v>
      </c>
      <c r="AM19" s="572"/>
      <c r="AN19" s="567"/>
      <c r="AO19" s="582"/>
      <c r="AP19" s="565"/>
      <c r="AQ19" s="588"/>
      <c r="AR19" s="577">
        <f ca="1">OFFSET(Sector1!$G$137,0,(COLUMN()-8)/6)</f>
        <v>47.914000000000001</v>
      </c>
      <c r="AS19" s="572"/>
      <c r="AT19" s="567"/>
      <c r="AU19" s="582"/>
      <c r="AV19" s="565"/>
      <c r="AW19" s="588"/>
      <c r="AX19" s="577">
        <f ca="1">OFFSET(Sector1!$G$137,0,(COLUMN()-8)/6)</f>
        <v>48.000999999999998</v>
      </c>
      <c r="AY19" s="572"/>
      <c r="AZ19" s="567"/>
      <c r="BA19" s="582"/>
      <c r="BB19" s="565"/>
      <c r="BC19" s="588"/>
      <c r="BD19" s="577">
        <f ca="1">OFFSET(Sector1!$G$137,0,(COLUMN()-8)/6)</f>
        <v>50.405000000000001</v>
      </c>
      <c r="BE19" s="572"/>
      <c r="BF19" s="567"/>
      <c r="BG19" s="582"/>
      <c r="BH19" s="565"/>
      <c r="BI19" s="588"/>
      <c r="BJ19" s="577">
        <f ca="1">OFFSET(Sector1!$G$137,0,(COLUMN()-8)/6)</f>
        <v>49.762</v>
      </c>
      <c r="BK19" s="572"/>
      <c r="BL19" s="567"/>
      <c r="BM19" s="582"/>
      <c r="BN19" s="565"/>
      <c r="BO19" s="588"/>
      <c r="BP19" s="577">
        <f ca="1">OFFSET(Sector1!$G$137,0,(COLUMN()-8)/6)</f>
        <v>62.478000000000002</v>
      </c>
      <c r="BQ19" s="572"/>
      <c r="BR19" s="567"/>
      <c r="BS19" s="582"/>
      <c r="BT19" s="565"/>
      <c r="BU19" s="588"/>
      <c r="BV19" s="577">
        <f ca="1">OFFSET(Sector1!$G$137,0,(COLUMN()-8)/6)</f>
        <v>64.611000000000004</v>
      </c>
      <c r="BW19" s="572"/>
      <c r="BX19" s="567"/>
      <c r="BY19" s="582"/>
      <c r="BZ19" s="565"/>
      <c r="CA19" s="588"/>
      <c r="CB19" s="577">
        <f ca="1">OFFSET(Sector1!$G$137,0,(COLUMN()-8)/6)</f>
        <v>77.772999999999996</v>
      </c>
      <c r="CC19" s="572"/>
      <c r="CD19" s="567"/>
      <c r="CE19" s="582"/>
      <c r="CF19" s="565"/>
      <c r="CG19" s="588"/>
      <c r="CH19" s="577">
        <f ca="1">OFFSET(Sector1!$G$137,0,(COLUMN()-8)/6)</f>
        <v>84.337999999999994</v>
      </c>
      <c r="CI19" s="572"/>
      <c r="CJ19" s="567"/>
      <c r="CK19" s="582"/>
      <c r="CL19" s="565"/>
      <c r="CM19" s="588"/>
      <c r="CN19" s="577">
        <f ca="1">OFFSET(Sector1!$G$137,0,(COLUMN()-8)/6)</f>
        <v>70.828000000000003</v>
      </c>
      <c r="CO19" s="572"/>
      <c r="CP19" s="567"/>
      <c r="CQ19" s="582"/>
      <c r="CR19" s="565"/>
      <c r="CS19" s="588"/>
      <c r="CT19" s="577">
        <f ca="1">OFFSET(Sector1!$G$137,0,(COLUMN()-8)/6)</f>
        <v>69.531999999999996</v>
      </c>
      <c r="CU19" s="572"/>
      <c r="CV19" s="567"/>
      <c r="CW19" s="582"/>
      <c r="CX19" s="565"/>
      <c r="CY19" s="588"/>
      <c r="CZ19" s="577">
        <f ca="1">OFFSET(Sector1!$G$137,0,(COLUMN()-8)/6)</f>
        <v>78.677999999999997</v>
      </c>
      <c r="DA19" s="572"/>
      <c r="DB19" s="567"/>
      <c r="DC19" s="582"/>
      <c r="DD19" s="565"/>
      <c r="DE19" s="588"/>
      <c r="DF19" s="577">
        <f ca="1">OFFSET(Sector1!$G$137,0,(COLUMN()-8)/6)</f>
        <v>75.326999999999998</v>
      </c>
      <c r="DG19" s="572"/>
      <c r="DH19" s="567"/>
      <c r="DI19" s="582"/>
      <c r="DJ19" s="565"/>
      <c r="DK19" s="588"/>
      <c r="DL19" s="577">
        <f ca="1">OFFSET(Sector1!$G$137,0,(COLUMN()-8)/6)</f>
        <v>76.623999999999995</v>
      </c>
      <c r="DM19" s="572"/>
      <c r="DN19" s="567"/>
      <c r="DO19" s="582"/>
      <c r="DP19" s="565"/>
      <c r="DQ19" s="588"/>
      <c r="DR19" s="577">
        <f ca="1">OFFSET(Sector1!$G$137,0,(COLUMN()-8)/6)</f>
        <v>66.649000000000001</v>
      </c>
      <c r="DS19" s="572"/>
      <c r="DT19" s="567"/>
      <c r="DU19" s="582"/>
      <c r="DV19" s="565"/>
      <c r="DW19" s="588"/>
      <c r="DX19" s="577">
        <f ca="1">OFFSET(Sector1!$G$137,0,(COLUMN()-8)/6)</f>
        <v>65.91</v>
      </c>
      <c r="DY19" s="572"/>
      <c r="DZ19" s="567"/>
      <c r="EA19" s="582"/>
      <c r="EB19" s="565"/>
      <c r="EC19" s="588"/>
      <c r="ED19" s="577">
        <f ca="1">OFFSET(Sector1!$G$137,0,(COLUMN()-8)/6)</f>
        <v>69.638000000000005</v>
      </c>
      <c r="EE19" s="572"/>
      <c r="EF19" s="567"/>
      <c r="EG19" s="582"/>
      <c r="EH19" s="565"/>
      <c r="EI19" s="588"/>
      <c r="EJ19" s="577">
        <f ca="1">OFFSET(Sector1!$G$137,0,(COLUMN()-8)/6)</f>
        <v>69.213999999999999</v>
      </c>
      <c r="EK19" s="572"/>
      <c r="EL19" s="567"/>
      <c r="EM19" s="582"/>
      <c r="EN19" s="565"/>
      <c r="EO19" s="588"/>
      <c r="EP19" s="577">
        <f ca="1">OFFSET(Sector1!$G$137,0,(COLUMN()-8)/6)</f>
        <v>67.829719999999995</v>
      </c>
      <c r="EQ19" s="572"/>
      <c r="ER19" s="567"/>
      <c r="ES19" s="582"/>
      <c r="ET19" s="565"/>
      <c r="EU19" s="588"/>
      <c r="EV19" s="577">
        <f ca="1">OFFSET(Sector1!$G$137,0,(COLUMN()-8)/6)</f>
        <v>66.473125599999989</v>
      </c>
      <c r="EW19" s="572"/>
      <c r="EX19" s="567"/>
      <c r="EY19" s="582"/>
      <c r="EZ19" s="565"/>
      <c r="FA19" s="588"/>
      <c r="FB19" s="577">
        <f ca="1">OFFSET(Sector1!$G$137,0,(COLUMN()-8)/6)</f>
        <v>65.143663087999983</v>
      </c>
      <c r="FC19" s="572"/>
      <c r="FD19" s="567"/>
    </row>
    <row r="20" spans="1:160" s="583" customFormat="1" ht="13.5" customHeight="1">
      <c r="A20" s="578"/>
      <c r="B20" s="579"/>
      <c r="C20" s="586"/>
      <c r="D20" s="587" t="s">
        <v>948</v>
      </c>
      <c r="E20" s="582"/>
      <c r="F20" s="565"/>
      <c r="G20" s="588"/>
      <c r="H20" s="577">
        <f ca="1">OFFSET(Sector1!$G$138,0,(COLUMN()-8)/6)</f>
        <v>0.29399999999999998</v>
      </c>
      <c r="I20" s="572"/>
      <c r="J20" s="567"/>
      <c r="K20" s="582"/>
      <c r="L20" s="565"/>
      <c r="M20" s="588"/>
      <c r="N20" s="577">
        <f ca="1">OFFSET(Sector1!$G$138,0,(COLUMN()-8)/6)</f>
        <v>0.21</v>
      </c>
      <c r="O20" s="572"/>
      <c r="P20" s="567"/>
      <c r="Q20" s="582"/>
      <c r="R20" s="565"/>
      <c r="S20" s="588"/>
      <c r="T20" s="577">
        <f ca="1">OFFSET(Sector1!$G$138,0,(COLUMN()-8)/6)</f>
        <v>0.214</v>
      </c>
      <c r="U20" s="572"/>
      <c r="V20" s="567"/>
      <c r="W20" s="582"/>
      <c r="X20" s="565"/>
      <c r="Y20" s="588"/>
      <c r="Z20" s="577">
        <f ca="1">OFFSET(Sector1!$G$138,0,(COLUMN()-8)/6)</f>
        <v>2.504</v>
      </c>
      <c r="AA20" s="572"/>
      <c r="AB20" s="567"/>
      <c r="AC20" s="582"/>
      <c r="AD20" s="565"/>
      <c r="AE20" s="588"/>
      <c r="AF20" s="577">
        <f ca="1">OFFSET(Sector1!$G$138,0,(COLUMN()-8)/6)</f>
        <v>2.6469999999999998</v>
      </c>
      <c r="AG20" s="572"/>
      <c r="AH20" s="567"/>
      <c r="AI20" s="582"/>
      <c r="AJ20" s="565"/>
      <c r="AK20" s="588"/>
      <c r="AL20" s="577">
        <f ca="1">OFFSET(Sector1!$G$138,0,(COLUMN()-8)/6)</f>
        <v>2.7080000000000002</v>
      </c>
      <c r="AM20" s="572"/>
      <c r="AN20" s="567"/>
      <c r="AO20" s="582"/>
      <c r="AP20" s="565"/>
      <c r="AQ20" s="588"/>
      <c r="AR20" s="577">
        <f ca="1">OFFSET(Sector1!$G$138,0,(COLUMN()-8)/6)</f>
        <v>2.9220000000000002</v>
      </c>
      <c r="AS20" s="572"/>
      <c r="AT20" s="567"/>
      <c r="AU20" s="582"/>
      <c r="AV20" s="565"/>
      <c r="AW20" s="588"/>
      <c r="AX20" s="577">
        <f ca="1">OFFSET(Sector1!$G$138,0,(COLUMN()-8)/6)</f>
        <v>3.1389999999999998</v>
      </c>
      <c r="AY20" s="572"/>
      <c r="AZ20" s="567"/>
      <c r="BA20" s="582"/>
      <c r="BB20" s="565"/>
      <c r="BC20" s="588"/>
      <c r="BD20" s="577">
        <f ca="1">OFFSET(Sector1!$G$138,0,(COLUMN()-8)/6)</f>
        <v>3.3220000000000001</v>
      </c>
      <c r="BE20" s="572"/>
      <c r="BF20" s="567"/>
      <c r="BG20" s="582"/>
      <c r="BH20" s="565"/>
      <c r="BI20" s="588"/>
      <c r="BJ20" s="577">
        <f ca="1">OFFSET(Sector1!$G$138,0,(COLUMN()-8)/6)</f>
        <v>3.532</v>
      </c>
      <c r="BK20" s="572"/>
      <c r="BL20" s="567"/>
      <c r="BM20" s="582"/>
      <c r="BN20" s="565"/>
      <c r="BO20" s="588"/>
      <c r="BP20" s="577">
        <f ca="1">OFFSET(Sector1!$G$138,0,(COLUMN()-8)/6)</f>
        <v>3.9569999999999999</v>
      </c>
      <c r="BQ20" s="572"/>
      <c r="BR20" s="567"/>
      <c r="BS20" s="582"/>
      <c r="BT20" s="565"/>
      <c r="BU20" s="588"/>
      <c r="BV20" s="577">
        <f ca="1">OFFSET(Sector1!$G$138,0,(COLUMN()-8)/6)</f>
        <v>3.931</v>
      </c>
      <c r="BW20" s="572"/>
      <c r="BX20" s="567"/>
      <c r="BY20" s="582"/>
      <c r="BZ20" s="565"/>
      <c r="CA20" s="588"/>
      <c r="CB20" s="577">
        <f ca="1">OFFSET(Sector1!$G$138,0,(COLUMN()-8)/6)</f>
        <v>4.0339999999999998</v>
      </c>
      <c r="CC20" s="572"/>
      <c r="CD20" s="567"/>
      <c r="CE20" s="582"/>
      <c r="CF20" s="565"/>
      <c r="CG20" s="588"/>
      <c r="CH20" s="577">
        <f ca="1">OFFSET(Sector1!$G$138,0,(COLUMN()-8)/6)</f>
        <v>4.3310000000000004</v>
      </c>
      <c r="CI20" s="572"/>
      <c r="CJ20" s="567"/>
      <c r="CK20" s="582"/>
      <c r="CL20" s="565"/>
      <c r="CM20" s="588"/>
      <c r="CN20" s="577">
        <f ca="1">OFFSET(Sector1!$G$138,0,(COLUMN()-8)/6)</f>
        <v>4.5890000000000004</v>
      </c>
      <c r="CO20" s="572"/>
      <c r="CP20" s="567"/>
      <c r="CQ20" s="582"/>
      <c r="CR20" s="565"/>
      <c r="CS20" s="588"/>
      <c r="CT20" s="577">
        <f ca="1">OFFSET(Sector1!$G$138,0,(COLUMN()-8)/6)</f>
        <v>4.7839999999999998</v>
      </c>
      <c r="CU20" s="572"/>
      <c r="CV20" s="567"/>
      <c r="CW20" s="582"/>
      <c r="CX20" s="565"/>
      <c r="CY20" s="588"/>
      <c r="CZ20" s="577">
        <f ca="1">OFFSET(Sector1!$G$138,0,(COLUMN()-8)/6)</f>
        <v>5.2190000000000003</v>
      </c>
      <c r="DA20" s="572"/>
      <c r="DB20" s="567"/>
      <c r="DC20" s="582"/>
      <c r="DD20" s="565"/>
      <c r="DE20" s="588"/>
      <c r="DF20" s="577">
        <f ca="1">OFFSET(Sector1!$G$138,0,(COLUMN()-8)/6)</f>
        <v>5.4779999999999998</v>
      </c>
      <c r="DG20" s="572"/>
      <c r="DH20" s="567"/>
      <c r="DI20" s="582"/>
      <c r="DJ20" s="565"/>
      <c r="DK20" s="588"/>
      <c r="DL20" s="577">
        <f ca="1">OFFSET(Sector1!$G$138,0,(COLUMN()-8)/6)</f>
        <v>5.5880000000000001</v>
      </c>
      <c r="DM20" s="572"/>
      <c r="DN20" s="567"/>
      <c r="DO20" s="582"/>
      <c r="DP20" s="565"/>
      <c r="DQ20" s="588"/>
      <c r="DR20" s="577">
        <f ca="1">OFFSET(Sector1!$G$138,0,(COLUMN()-8)/6)</f>
        <v>6.0620000000000003</v>
      </c>
      <c r="DS20" s="572"/>
      <c r="DT20" s="567"/>
      <c r="DU20" s="582"/>
      <c r="DV20" s="565"/>
      <c r="DW20" s="588"/>
      <c r="DX20" s="577">
        <f ca="1">OFFSET(Sector1!$G$138,0,(COLUMN()-8)/6)</f>
        <v>6.7750000000000004</v>
      </c>
      <c r="DY20" s="572"/>
      <c r="DZ20" s="567"/>
      <c r="EA20" s="582"/>
      <c r="EB20" s="565"/>
      <c r="EC20" s="588"/>
      <c r="ED20" s="577">
        <f ca="1">OFFSET(Sector1!$G$138,0,(COLUMN()-8)/6)</f>
        <v>7.22</v>
      </c>
      <c r="EE20" s="572"/>
      <c r="EF20" s="567"/>
      <c r="EG20" s="582"/>
      <c r="EH20" s="565"/>
      <c r="EI20" s="588"/>
      <c r="EJ20" s="577">
        <f ca="1">OFFSET(Sector1!$G$138,0,(COLUMN()-8)/6)</f>
        <v>7.59</v>
      </c>
      <c r="EK20" s="572"/>
      <c r="EL20" s="567"/>
      <c r="EM20" s="582"/>
      <c r="EN20" s="565"/>
      <c r="EO20" s="588"/>
      <c r="EP20" s="577">
        <f ca="1">OFFSET(Sector1!$G$138,0,(COLUMN()-8)/6)</f>
        <v>7.9617609678474555</v>
      </c>
      <c r="EQ20" s="572"/>
      <c r="ER20" s="567"/>
      <c r="ES20" s="582"/>
      <c r="ET20" s="565"/>
      <c r="EU20" s="588"/>
      <c r="EV20" s="577">
        <f ca="1">OFFSET(Sector1!$G$138,0,(COLUMN()-8)/6)</f>
        <v>8.2628170378718302</v>
      </c>
      <c r="EW20" s="572"/>
      <c r="EX20" s="567"/>
      <c r="EY20" s="582"/>
      <c r="EZ20" s="565"/>
      <c r="FA20" s="588"/>
      <c r="FB20" s="577">
        <f ca="1">OFFSET(Sector1!$G$138,0,(COLUMN()-8)/6)</f>
        <v>8.555747466319545</v>
      </c>
      <c r="FC20" s="572"/>
      <c r="FD20" s="567"/>
    </row>
    <row r="21" spans="1:160" s="590" customFormat="1" ht="13.5" thickBot="1">
      <c r="A21" s="589"/>
      <c r="B21" s="579"/>
      <c r="C21" s="586"/>
      <c r="D21" s="587" t="s">
        <v>1803</v>
      </c>
      <c r="E21" s="582"/>
      <c r="F21" s="565"/>
      <c r="G21" s="588"/>
      <c r="H21" s="584">
        <f ca="1">OFFSET(Sector1!$G$139,0,(COLUMN()-8)/6)</f>
        <v>96.671999999999997</v>
      </c>
      <c r="I21" s="572"/>
      <c r="J21" s="567"/>
      <c r="K21" s="582"/>
      <c r="L21" s="565"/>
      <c r="M21" s="588"/>
      <c r="N21" s="584">
        <f ca="1">OFFSET(Sector1!$G$139,0,(COLUMN()-8)/6)</f>
        <v>100.435</v>
      </c>
      <c r="O21" s="572"/>
      <c r="P21" s="567"/>
      <c r="Q21" s="582"/>
      <c r="R21" s="565"/>
      <c r="S21" s="588"/>
      <c r="T21" s="584">
        <f ca="1">OFFSET(Sector1!$G$139,0,(COLUMN()-8)/6)</f>
        <v>101.459</v>
      </c>
      <c r="U21" s="572"/>
      <c r="V21" s="567"/>
      <c r="W21" s="582"/>
      <c r="X21" s="565"/>
      <c r="Y21" s="588"/>
      <c r="Z21" s="584">
        <f ca="1">OFFSET(Sector1!$G$139,0,(COLUMN()-8)/6)</f>
        <v>92.584999999999994</v>
      </c>
      <c r="AA21" s="572"/>
      <c r="AB21" s="567"/>
      <c r="AC21" s="582"/>
      <c r="AD21" s="565"/>
      <c r="AE21" s="588"/>
      <c r="AF21" s="584">
        <f ca="1">OFFSET(Sector1!$G$139,0,(COLUMN()-8)/6)</f>
        <v>85.978999999999999</v>
      </c>
      <c r="AG21" s="572"/>
      <c r="AH21" s="567"/>
      <c r="AI21" s="582"/>
      <c r="AJ21" s="565"/>
      <c r="AK21" s="588"/>
      <c r="AL21" s="584">
        <f ca="1">OFFSET(Sector1!$G$139,0,(COLUMN()-8)/6)</f>
        <v>78.953999999999994</v>
      </c>
      <c r="AM21" s="572"/>
      <c r="AN21" s="567"/>
      <c r="AO21" s="582"/>
      <c r="AP21" s="565"/>
      <c r="AQ21" s="588"/>
      <c r="AR21" s="584">
        <f ca="1">OFFSET(Sector1!$G$139,0,(COLUMN()-8)/6)</f>
        <v>64.691999999999993</v>
      </c>
      <c r="AS21" s="572"/>
      <c r="AT21" s="567"/>
      <c r="AU21" s="582"/>
      <c r="AV21" s="565"/>
      <c r="AW21" s="588"/>
      <c r="AX21" s="584">
        <f ca="1">OFFSET(Sector1!$G$139,0,(COLUMN()-8)/6)</f>
        <v>74.091999999999999</v>
      </c>
      <c r="AY21" s="572"/>
      <c r="AZ21" s="567"/>
      <c r="BA21" s="582"/>
      <c r="BB21" s="565"/>
      <c r="BC21" s="588"/>
      <c r="BD21" s="584">
        <f ca="1">OFFSET(Sector1!$G$139,0,(COLUMN()-8)/6)</f>
        <v>55.999000000000002</v>
      </c>
      <c r="BE21" s="572"/>
      <c r="BF21" s="567"/>
      <c r="BG21" s="582"/>
      <c r="BH21" s="565"/>
      <c r="BI21" s="588"/>
      <c r="BJ21" s="584">
        <f ca="1">OFFSET(Sector1!$G$139,0,(COLUMN()-8)/6)</f>
        <v>47.375</v>
      </c>
      <c r="BK21" s="572"/>
      <c r="BL21" s="567"/>
      <c r="BM21" s="582"/>
      <c r="BN21" s="565"/>
      <c r="BO21" s="588"/>
      <c r="BP21" s="584">
        <f ca="1">OFFSET(Sector1!$G$139,0,(COLUMN()-8)/6)</f>
        <v>50.914000000000001</v>
      </c>
      <c r="BQ21" s="572"/>
      <c r="BR21" s="567"/>
      <c r="BS21" s="582"/>
      <c r="BT21" s="565"/>
      <c r="BU21" s="588"/>
      <c r="BV21" s="584">
        <f ca="1">OFFSET(Sector1!$G$139,0,(COLUMN()-8)/6)</f>
        <v>50.259</v>
      </c>
      <c r="BW21" s="572"/>
      <c r="BX21" s="567"/>
      <c r="BY21" s="582"/>
      <c r="BZ21" s="565"/>
      <c r="CA21" s="588"/>
      <c r="CB21" s="584">
        <f ca="1">OFFSET(Sector1!$G$139,0,(COLUMN()-8)/6)</f>
        <v>54.591000000000001</v>
      </c>
      <c r="CC21" s="572"/>
      <c r="CD21" s="567"/>
      <c r="CE21" s="582"/>
      <c r="CF21" s="565"/>
      <c r="CG21" s="588"/>
      <c r="CH21" s="584">
        <f ca="1">OFFSET(Sector1!$G$139,0,(COLUMN()-8)/6)</f>
        <v>53.036999999999999</v>
      </c>
      <c r="CI21" s="572"/>
      <c r="CJ21" s="567"/>
      <c r="CK21" s="582"/>
      <c r="CL21" s="565"/>
      <c r="CM21" s="588"/>
      <c r="CN21" s="584">
        <f ca="1">OFFSET(Sector1!$G$139,0,(COLUMN()-8)/6)</f>
        <v>38.298000000000002</v>
      </c>
      <c r="CO21" s="572"/>
      <c r="CP21" s="567"/>
      <c r="CQ21" s="582"/>
      <c r="CR21" s="565"/>
      <c r="CS21" s="588"/>
      <c r="CT21" s="584">
        <f ca="1">OFFSET(Sector1!$G$139,0,(COLUMN()-8)/6)</f>
        <v>36.905000000000001</v>
      </c>
      <c r="CU21" s="572"/>
      <c r="CV21" s="567"/>
      <c r="CW21" s="582"/>
      <c r="CX21" s="565"/>
      <c r="CY21" s="588"/>
      <c r="CZ21" s="584">
        <f ca="1">OFFSET(Sector1!$G$139,0,(COLUMN()-8)/6)</f>
        <v>41.17</v>
      </c>
      <c r="DA21" s="572"/>
      <c r="DB21" s="567"/>
      <c r="DC21" s="582"/>
      <c r="DD21" s="565"/>
      <c r="DE21" s="588"/>
      <c r="DF21" s="584">
        <f ca="1">OFFSET(Sector1!$G$139,0,(COLUMN()-8)/6)</f>
        <v>33.578000000000003</v>
      </c>
      <c r="DG21" s="572"/>
      <c r="DH21" s="567"/>
      <c r="DI21" s="582"/>
      <c r="DJ21" s="565"/>
      <c r="DK21" s="588"/>
      <c r="DL21" s="584">
        <f ca="1">OFFSET(Sector1!$G$139,0,(COLUMN()-8)/6)</f>
        <v>30.331</v>
      </c>
      <c r="DM21" s="572"/>
      <c r="DN21" s="567"/>
      <c r="DO21" s="582"/>
      <c r="DP21" s="565"/>
      <c r="DQ21" s="588"/>
      <c r="DR21" s="584">
        <f ca="1">OFFSET(Sector1!$G$139,0,(COLUMN()-8)/6)</f>
        <v>26.745000000000001</v>
      </c>
      <c r="DS21" s="572"/>
      <c r="DT21" s="567"/>
      <c r="DU21" s="582"/>
      <c r="DV21" s="565"/>
      <c r="DW21" s="588"/>
      <c r="DX21" s="584">
        <f ca="1">OFFSET(Sector1!$G$139,0,(COLUMN()-8)/6)</f>
        <v>18.783000000000001</v>
      </c>
      <c r="DY21" s="572"/>
      <c r="DZ21" s="567"/>
      <c r="EA21" s="582"/>
      <c r="EB21" s="565"/>
      <c r="EC21" s="588"/>
      <c r="ED21" s="584">
        <f ca="1">OFFSET(Sector1!$G$139,0,(COLUMN()-8)/6)</f>
        <v>18.178000000000001</v>
      </c>
      <c r="EE21" s="572"/>
      <c r="EF21" s="567"/>
      <c r="EG21" s="582"/>
      <c r="EH21" s="565"/>
      <c r="EI21" s="588"/>
      <c r="EJ21" s="584">
        <f ca="1">OFFSET(Sector1!$G$139,0,(COLUMN()-8)/6)</f>
        <v>16.094000000000001</v>
      </c>
      <c r="EK21" s="572"/>
      <c r="EL21" s="567"/>
      <c r="EM21" s="582"/>
      <c r="EN21" s="565"/>
      <c r="EO21" s="588"/>
      <c r="EP21" s="584">
        <f ca="1">OFFSET(Sector1!$G$139,0,(COLUMN()-8)/6)</f>
        <v>14.162720000000002</v>
      </c>
      <c r="EQ21" s="572"/>
      <c r="ER21" s="567"/>
      <c r="ES21" s="582"/>
      <c r="ET21" s="565"/>
      <c r="EU21" s="588"/>
      <c r="EV21" s="584">
        <f ca="1">OFFSET(Sector1!$G$139,0,(COLUMN()-8)/6)</f>
        <v>12.463193600000002</v>
      </c>
      <c r="EW21" s="572"/>
      <c r="EX21" s="567"/>
      <c r="EY21" s="582"/>
      <c r="EZ21" s="565"/>
      <c r="FA21" s="588"/>
      <c r="FB21" s="584">
        <f ca="1">OFFSET(Sector1!$G$139,0,(COLUMN()-8)/6)</f>
        <v>16.825311360000004</v>
      </c>
      <c r="FC21" s="572"/>
      <c r="FD21" s="567"/>
    </row>
    <row r="22" spans="1:160" s="564" customFormat="1" ht="13.15">
      <c r="A22" s="559"/>
      <c r="B22" s="560" t="s">
        <v>1793</v>
      </c>
      <c r="C22" s="3868" t="s">
        <v>1804</v>
      </c>
      <c r="D22" s="3869"/>
      <c r="E22" s="570">
        <f ca="1">+F22+G22+H22</f>
        <v>1852.087</v>
      </c>
      <c r="F22" s="570">
        <f ca="1">+F12+F13+F16-F17+F18</f>
        <v>1030.989</v>
      </c>
      <c r="G22" s="570">
        <f ca="1">+G12+G13+G16-G17+G18</f>
        <v>441.71699999999993</v>
      </c>
      <c r="H22" s="570">
        <f ca="1">+H12+H13+H16-H17+H18</f>
        <v>379.38100000000003</v>
      </c>
      <c r="I22" s="571"/>
      <c r="J22" s="567"/>
      <c r="K22" s="570">
        <f ca="1">+L22+M22+N22</f>
        <v>1902.009</v>
      </c>
      <c r="L22" s="570">
        <f ca="1">+L12+L13+L16-L17+L18</f>
        <v>1086.213</v>
      </c>
      <c r="M22" s="570">
        <f ca="1">+M12+M13+M16-M17+M18</f>
        <v>405.39200000000011</v>
      </c>
      <c r="N22" s="570">
        <f ca="1">+N12+N13+N16-N17+N18</f>
        <v>410.404</v>
      </c>
      <c r="O22" s="571"/>
      <c r="P22" s="567"/>
      <c r="Q22" s="570">
        <f ca="1">+R22+S22+T22</f>
        <v>1994.3500000000001</v>
      </c>
      <c r="R22" s="570">
        <f ca="1">+R12+R13+R16-R17+R18</f>
        <v>1122.21</v>
      </c>
      <c r="S22" s="570">
        <f ca="1">+S12+S13+S16-S17+S18</f>
        <v>449.072</v>
      </c>
      <c r="T22" s="570">
        <f ca="1">+T12+T13+T16-T17+T18</f>
        <v>423.06799999999998</v>
      </c>
      <c r="U22" s="571"/>
      <c r="V22" s="567"/>
      <c r="W22" s="570">
        <f ca="1">+X22+Y22+Z22</f>
        <v>2106.9160000000002</v>
      </c>
      <c r="X22" s="570">
        <f ca="1">+X12+X13+X16-X17+X18</f>
        <v>1130.1089999999999</v>
      </c>
      <c r="Y22" s="570">
        <f ca="1">+Y12+Y13+Y16-Y17+Y18</f>
        <v>463.30600000000015</v>
      </c>
      <c r="Z22" s="570">
        <f ca="1">+Z12+Z13+Z16-Z17+Z18</f>
        <v>513.50099999999998</v>
      </c>
      <c r="AA22" s="571"/>
      <c r="AB22" s="567"/>
      <c r="AC22" s="570">
        <f ca="1">+AD22+AE22+AF22</f>
        <v>2159.7759999999998</v>
      </c>
      <c r="AD22" s="570">
        <f ca="1">+AD12+AD13+AD16-AD17+AD18</f>
        <v>1123.374</v>
      </c>
      <c r="AE22" s="570">
        <f ca="1">+AE12+AE13+AE16-AE17+AE18</f>
        <v>497.9049999999998</v>
      </c>
      <c r="AF22" s="570">
        <f ca="1">+AF12+AF13+AF16-AF17+AF18</f>
        <v>538.49699999999996</v>
      </c>
      <c r="AG22" s="571"/>
      <c r="AH22" s="567"/>
      <c r="AI22" s="570">
        <f ca="1">+AJ22+AK22+AL22</f>
        <v>2376.893</v>
      </c>
      <c r="AJ22" s="570">
        <f ca="1">+AJ12+AJ13+AJ16-AJ17+AJ18</f>
        <v>1329.144</v>
      </c>
      <c r="AK22" s="570">
        <f ca="1">+AK12+AK13+AK16-AK17+AK18</f>
        <v>495.935</v>
      </c>
      <c r="AL22" s="570">
        <f ca="1">+AL12+AL13+AL16-AL17+AL18</f>
        <v>551.81399999999996</v>
      </c>
      <c r="AM22" s="571"/>
      <c r="AN22" s="567"/>
      <c r="AO22" s="570">
        <f ca="1">+AP22+AQ22+AR22</f>
        <v>2473.2870000000003</v>
      </c>
      <c r="AP22" s="570">
        <f ca="1">+AP12+AP13+AP16-AP17+AP18</f>
        <v>1393.665</v>
      </c>
      <c r="AQ22" s="570">
        <f ca="1">+AQ12+AQ13+AQ16-AQ17+AQ18</f>
        <v>490.22800000000018</v>
      </c>
      <c r="AR22" s="570">
        <f ca="1">+AR12+AR13+AR16-AR17+AR18</f>
        <v>589.39400000000001</v>
      </c>
      <c r="AS22" s="571"/>
      <c r="AT22" s="567"/>
      <c r="AU22" s="570">
        <f ca="1">+AV22+AW22+AX22</f>
        <v>2571.1019999999999</v>
      </c>
      <c r="AV22" s="570">
        <f ca="1">+AV12+AV13+AV16-AV17+AV18</f>
        <v>1426.9139999999998</v>
      </c>
      <c r="AW22" s="570">
        <f ca="1">+AW12+AW13+AW16-AW17+AW18</f>
        <v>535.81299999999999</v>
      </c>
      <c r="AX22" s="570">
        <f ca="1">+AX12+AX13+AX16-AX17+AX18</f>
        <v>608.37500000000011</v>
      </c>
      <c r="AY22" s="571"/>
      <c r="AZ22" s="567"/>
      <c r="BA22" s="570">
        <f ca="1">+BB22+BC22+BD22</f>
        <v>2715.848</v>
      </c>
      <c r="BB22" s="570">
        <f ca="1">+BB12+BB13+BB16-BB17+BB18</f>
        <v>1462.223</v>
      </c>
      <c r="BC22" s="570">
        <f ca="1">+BC12+BC13+BC16-BC17+BC18</f>
        <v>604.197</v>
      </c>
      <c r="BD22" s="570">
        <f ca="1">+BD12+BD13+BD16-BD17+BD18</f>
        <v>649.428</v>
      </c>
      <c r="BE22" s="571"/>
      <c r="BF22" s="567"/>
      <c r="BG22" s="570">
        <f ca="1">+BH22+BI22+BJ22</f>
        <v>2812.8570000000004</v>
      </c>
      <c r="BH22" s="570">
        <f ca="1">+BH12+BH13+BH16-BH17+BH18</f>
        <v>1505.4970000000001</v>
      </c>
      <c r="BI22" s="570">
        <f ca="1">+BI12+BI13+BI16-BI17+BI18</f>
        <v>630.2510000000002</v>
      </c>
      <c r="BJ22" s="570">
        <f ca="1">+BJ12+BJ13+BJ16-BJ17+BJ18</f>
        <v>677.10900000000004</v>
      </c>
      <c r="BK22" s="571"/>
      <c r="BL22" s="567"/>
      <c r="BM22" s="570">
        <f ca="1">+BN22+BO22+BP22</f>
        <v>2939.2059999999997</v>
      </c>
      <c r="BN22" s="570">
        <f ca="1">+BN12+BN13+BN16-BN17+BN18</f>
        <v>1572.9849999999999</v>
      </c>
      <c r="BO22" s="570">
        <f ca="1">+BO12+BO13+BO16-BO17+BO18</f>
        <v>652.95799999999997</v>
      </c>
      <c r="BP22" s="570">
        <f ca="1">+BP12+BP13+BP16-BP17+BP18</f>
        <v>713.26300000000003</v>
      </c>
      <c r="BQ22" s="571"/>
      <c r="BR22" s="567"/>
      <c r="BS22" s="570">
        <f ca="1">+BT22+BU22+BV22</f>
        <v>3170.2219999999998</v>
      </c>
      <c r="BT22" s="570">
        <f ca="1">+BT12+BT13+BT16-BT17+BT18</f>
        <v>1685.3509999999999</v>
      </c>
      <c r="BU22" s="570">
        <f ca="1">+BU12+BU13+BU16-BU17+BU18</f>
        <v>741.65899999999999</v>
      </c>
      <c r="BV22" s="570">
        <f ca="1">+BV12+BV13+BV16-BV17+BV18</f>
        <v>743.21199999999999</v>
      </c>
      <c r="BW22" s="571"/>
      <c r="BX22" s="567"/>
      <c r="BY22" s="570">
        <f ca="1">+BZ22+CA22+CB22</f>
        <v>3388.174</v>
      </c>
      <c r="BZ22" s="570">
        <f ca="1">+BZ12+BZ13+BZ16-BZ17+BZ18</f>
        <v>1828.2169999999999</v>
      </c>
      <c r="CA22" s="570">
        <f ca="1">+CA12+CA13+CA16-CA17+CA18</f>
        <v>763.697</v>
      </c>
      <c r="CB22" s="570">
        <f ca="1">+CB12+CB13+CB16-CB17+CB18</f>
        <v>796.26</v>
      </c>
      <c r="CC22" s="571"/>
      <c r="CD22" s="567"/>
      <c r="CE22" s="570">
        <f ca="1">+CF22+CG22+CH22</f>
        <v>3505.8850000000007</v>
      </c>
      <c r="CF22" s="570">
        <f ca="1">+CF12+CF13+CF16-CF17+CF18</f>
        <v>1922.8439999999998</v>
      </c>
      <c r="CG22" s="570">
        <f ca="1">+CG12+CG13+CG16-CG17+CG18</f>
        <v>743.6220000000003</v>
      </c>
      <c r="CH22" s="570">
        <f ca="1">+CH12+CH13+CH16-CH17+CH18</f>
        <v>839.41900000000021</v>
      </c>
      <c r="CI22" s="571"/>
      <c r="CJ22" s="567"/>
      <c r="CK22" s="570">
        <f ca="1">+CL22+CM22+CN22</f>
        <v>3364.9270000000001</v>
      </c>
      <c r="CL22" s="570">
        <f ca="1">+CL12+CL13+CL16-CL17+CL18</f>
        <v>1899.9560000000001</v>
      </c>
      <c r="CM22" s="570">
        <f ca="1">+CM12+CM13+CM16-CM17+CM18</f>
        <v>633.55499999999984</v>
      </c>
      <c r="CN22" s="570">
        <f ca="1">+CN12+CN13+CN16-CN17+CN18</f>
        <v>831.41600000000005</v>
      </c>
      <c r="CO22" s="571"/>
      <c r="CP22" s="567"/>
      <c r="CQ22" s="570">
        <f ca="1">+CR22+CS22+CT22</f>
        <v>3617.7840000000001</v>
      </c>
      <c r="CR22" s="570">
        <f ca="1">+CR12+CR13+CR16-CR17+CR18</f>
        <v>2019.0530000000001</v>
      </c>
      <c r="CS22" s="570">
        <f ca="1">+CS12+CS13+CS16-CS17+CS18</f>
        <v>732.34999999999991</v>
      </c>
      <c r="CT22" s="570">
        <f ca="1">+CT12+CT13+CT16-CT17+CT18</f>
        <v>866.38099999999986</v>
      </c>
      <c r="CU22" s="571"/>
      <c r="CV22" s="567"/>
      <c r="CW22" s="570">
        <f ca="1">+CX22+CY22+CZ22</f>
        <v>3730.26</v>
      </c>
      <c r="CX22" s="570">
        <f ca="1">+CX12+CX13+CX16-CX17+CX18</f>
        <v>2111.5880000000002</v>
      </c>
      <c r="CY22" s="570">
        <f ca="1">+CY12+CY13+CY16-CY17+CY18</f>
        <v>729.2620000000004</v>
      </c>
      <c r="CZ22" s="570">
        <f ca="1">+CZ12+CZ13+CZ16-CZ17+CZ18</f>
        <v>889.40999999999985</v>
      </c>
      <c r="DA22" s="571"/>
      <c r="DB22" s="567"/>
      <c r="DC22" s="570">
        <f ca="1">+DD22+DE22+DF22</f>
        <v>3770.0310000000004</v>
      </c>
      <c r="DD22" s="570">
        <f ca="1">+DD12+DD13+DD16-DD17+DD18</f>
        <v>2173.3650000000002</v>
      </c>
      <c r="DE22" s="570">
        <f ca="1">+DE12+DE13+DE16-DE17+DE18</f>
        <v>684.84900000000027</v>
      </c>
      <c r="DF22" s="570">
        <f ca="1">+DF12+DF13+DF16-DF17+DF18</f>
        <v>911.81699999999989</v>
      </c>
      <c r="DG22" s="571"/>
      <c r="DH22" s="567"/>
      <c r="DI22" s="570">
        <f ca="1">+DJ22+DK22+DL22</f>
        <v>3857.2720000000004</v>
      </c>
      <c r="DJ22" s="570">
        <f ca="1">+DJ12+DJ13+DJ16-DJ17+DJ18</f>
        <v>2234.2020000000002</v>
      </c>
      <c r="DK22" s="570">
        <f ca="1">+DK12+DK13+DK16-DK17+DK18</f>
        <v>687.29200000000014</v>
      </c>
      <c r="DL22" s="570">
        <f ca="1">+DL12+DL13+DL16-DL17+DL18</f>
        <v>935.77799999999991</v>
      </c>
      <c r="DM22" s="571"/>
      <c r="DN22" s="567"/>
      <c r="DO22" s="570">
        <f ca="1">+DP22+DQ22+DR22</f>
        <v>4021.8009999999995</v>
      </c>
      <c r="DP22" s="570">
        <f ca="1">+DP12+DP13+DP16-DP17+DP18</f>
        <v>2361.3429999999998</v>
      </c>
      <c r="DQ22" s="570">
        <f ca="1">+DQ12+DQ13+DQ16-DQ17+DQ18</f>
        <v>707.60599999999999</v>
      </c>
      <c r="DR22" s="570">
        <f ca="1">+DR12+DR13+DR16-DR17+DR18</f>
        <v>952.85199999999998</v>
      </c>
      <c r="DS22" s="571"/>
      <c r="DT22" s="567"/>
      <c r="DU22" s="570">
        <f ca="1">+DV22+DW22+DX22</f>
        <v>4253.5320000000011</v>
      </c>
      <c r="DV22" s="570">
        <f ca="1">+DV12+DV13+DV16-DV17+DV18</f>
        <v>2452.5520000000001</v>
      </c>
      <c r="DW22" s="570">
        <f ca="1">+DW12+DW13+DW16-DW17+DW18</f>
        <v>780.32700000000045</v>
      </c>
      <c r="DX22" s="570">
        <f ca="1">+DX12+DX13+DX16-DX17+DX18</f>
        <v>1020.653</v>
      </c>
      <c r="DY22" s="571"/>
      <c r="DZ22" s="567"/>
      <c r="EA22" s="570">
        <f ca="1">+EB22+EC22+ED22</f>
        <v>4433.107</v>
      </c>
      <c r="EB22" s="570">
        <f ca="1">+EB12+EB13+EB16-EB17+EB18</f>
        <v>2599.3059999999996</v>
      </c>
      <c r="EC22" s="570">
        <f ca="1">+EC12+EC13+EC16-EC17+EC18</f>
        <v>738.54700000000025</v>
      </c>
      <c r="ED22" s="570">
        <f ca="1">+ED12+ED13+ED16-ED17+ED18</f>
        <v>1095.2540000000001</v>
      </c>
      <c r="EE22" s="571"/>
      <c r="EF22" s="567"/>
      <c r="EG22" s="570">
        <f ca="1">+EH22+EI22+EJ22</f>
        <v>4644.0990000000002</v>
      </c>
      <c r="EH22" s="570">
        <f ca="1">+EH12+EH13+EH16-EH17+EH18</f>
        <v>2695.9100000000003</v>
      </c>
      <c r="EI22" s="570">
        <f ca="1">+EI12+EI13+EI16-EI17+EI18</f>
        <v>803.86400000000003</v>
      </c>
      <c r="EJ22" s="570">
        <f ca="1">+EJ12+EJ13+EJ16-EJ17+EJ18</f>
        <v>1144.325</v>
      </c>
      <c r="EK22" s="571"/>
      <c r="EL22" s="567"/>
      <c r="EM22" s="570">
        <f ca="1">+EN22+EO22+EP22</f>
        <v>4867.4335307036963</v>
      </c>
      <c r="EN22" s="570">
        <f ca="1">+EN12+EN13+EN16-EN17+EN18</f>
        <v>2812.9805006984479</v>
      </c>
      <c r="EO22" s="570">
        <f ca="1">+EO12+EO13+EO16-EO17+EO18</f>
        <v>864.33970874828867</v>
      </c>
      <c r="EP22" s="570">
        <f ca="1">+EP12+EP13+EP16-EP17+EP18</f>
        <v>1190.1133212569598</v>
      </c>
      <c r="EQ22" s="571"/>
      <c r="ER22" s="567"/>
      <c r="ES22" s="570">
        <f ca="1">+ET22+EU22+EV22</f>
        <v>5049.5891815964842</v>
      </c>
      <c r="ET22" s="570">
        <f ca="1">+ET12+ET13+ET16-ET17+ET18</f>
        <v>2915.7523523266341</v>
      </c>
      <c r="EU22" s="570">
        <f ca="1">+EU12+EU13+EU16-EU17+EU18</f>
        <v>904.11399998258344</v>
      </c>
      <c r="EV22" s="570">
        <f ca="1">+EV12+EV13+EV16-EV17+EV18</f>
        <v>1229.7228292872674</v>
      </c>
      <c r="EW22" s="571"/>
      <c r="EX22" s="567"/>
      <c r="EY22" s="570">
        <f ca="1">+EZ22+FA22+FB22</f>
        <v>5226.9434444187737</v>
      </c>
      <c r="EZ22" s="570">
        <f ca="1">+EZ12+EZ13+EZ16-EZ17+EZ18</f>
        <v>3018.3180466369486</v>
      </c>
      <c r="FA22" s="570">
        <f ca="1">+FA12+FA13+FA16-FA17+FA18</f>
        <v>943.95085477543159</v>
      </c>
      <c r="FB22" s="570">
        <f ca="1">+FB12+FB13+FB16-FB17+FB18</f>
        <v>1264.6745430063929</v>
      </c>
      <c r="FC22" s="571"/>
      <c r="FD22" s="567"/>
    </row>
    <row r="23" spans="1:160" s="217" customFormat="1" ht="13.5" thickBot="1">
      <c r="A23" s="554"/>
      <c r="B23" s="555" t="s">
        <v>1791</v>
      </c>
      <c r="C23" s="3871" t="s">
        <v>820</v>
      </c>
      <c r="D23" s="3872"/>
      <c r="E23" s="568">
        <f ca="1">+F23+G23+H23+H27+I23</f>
        <v>355.3</v>
      </c>
      <c r="F23" s="565"/>
      <c r="G23" s="565"/>
      <c r="H23" s="566">
        <f ca="1">OFFSET(Sector1!$G$203,0,(COLUMN()-8)/6)</f>
        <v>355.3</v>
      </c>
      <c r="I23" s="566"/>
      <c r="J23" s="567"/>
      <c r="K23" s="568">
        <f ca="1">+L23+M23+N23</f>
        <v>381.87200000000001</v>
      </c>
      <c r="L23" s="565"/>
      <c r="M23" s="565"/>
      <c r="N23" s="566">
        <f ca="1">OFFSET(Sector1!$G$203,0,(COLUMN()-8)/6)</f>
        <v>381.87200000000001</v>
      </c>
      <c r="O23" s="566"/>
      <c r="P23" s="567"/>
      <c r="Q23" s="568">
        <f ca="1">+R23+S23+T23</f>
        <v>406.327</v>
      </c>
      <c r="R23" s="565"/>
      <c r="S23" s="565"/>
      <c r="T23" s="566">
        <f ca="1">OFFSET(Sector1!$G$203,0,(COLUMN()-8)/6)</f>
        <v>406.327</v>
      </c>
      <c r="U23" s="566"/>
      <c r="V23" s="567"/>
      <c r="W23" s="568">
        <f ca="1">+X23+Y23+Z23</f>
        <v>422.63600000000002</v>
      </c>
      <c r="X23" s="565"/>
      <c r="Y23" s="565"/>
      <c r="Z23" s="566">
        <f ca="1">OFFSET(Sector1!$G$203,0,(COLUMN()-8)/6)</f>
        <v>422.63600000000002</v>
      </c>
      <c r="AA23" s="566"/>
      <c r="AB23" s="567"/>
      <c r="AC23" s="568">
        <f ca="1">+AD23+AE23+AF23</f>
        <v>461.70800000000003</v>
      </c>
      <c r="AD23" s="565"/>
      <c r="AE23" s="565"/>
      <c r="AF23" s="566">
        <f ca="1">OFFSET(Sector1!$G$203,0,(COLUMN()-8)/6)</f>
        <v>461.70800000000003</v>
      </c>
      <c r="AG23" s="566"/>
      <c r="AH23" s="567"/>
      <c r="AI23" s="568">
        <f ca="1">+AJ23+AK23+AL23</f>
        <v>508.77199999999999</v>
      </c>
      <c r="AJ23" s="565"/>
      <c r="AK23" s="565"/>
      <c r="AL23" s="566">
        <f ca="1">OFFSET(Sector1!$G$203,0,(COLUMN()-8)/6)</f>
        <v>508.77199999999999</v>
      </c>
      <c r="AM23" s="566"/>
      <c r="AN23" s="567"/>
      <c r="AO23" s="568">
        <f ca="1">+AP23+AQ23+AR23</f>
        <v>485.786</v>
      </c>
      <c r="AP23" s="565"/>
      <c r="AQ23" s="565"/>
      <c r="AR23" s="566">
        <f ca="1">OFFSET(Sector1!$G$203,0,(COLUMN()-8)/6)</f>
        <v>485.786</v>
      </c>
      <c r="AS23" s="566"/>
      <c r="AT23" s="567"/>
      <c r="AU23" s="568">
        <f ca="1">+AV23+AW23+AX23</f>
        <v>474.77600000000001</v>
      </c>
      <c r="AV23" s="565"/>
      <c r="AW23" s="565"/>
      <c r="AX23" s="566">
        <f ca="1">OFFSET(Sector1!$G$203,0,(COLUMN()-8)/6)</f>
        <v>474.77600000000001</v>
      </c>
      <c r="AY23" s="566"/>
      <c r="AZ23" s="567"/>
      <c r="BA23" s="568">
        <f ca="1">+BB23+BC23+BD23</f>
        <v>510.32100000000003</v>
      </c>
      <c r="BB23" s="565"/>
      <c r="BC23" s="565"/>
      <c r="BD23" s="566">
        <f ca="1">OFFSET(Sector1!$G$203,0,(COLUMN()-8)/6)</f>
        <v>510.32100000000003</v>
      </c>
      <c r="BE23" s="566"/>
      <c r="BF23" s="567"/>
      <c r="BG23" s="568">
        <f ca="1">+BH23+BI23+BJ23</f>
        <v>554.11599999999999</v>
      </c>
      <c r="BH23" s="565"/>
      <c r="BI23" s="565"/>
      <c r="BJ23" s="566">
        <f ca="1">OFFSET(Sector1!$G$203,0,(COLUMN()-8)/6)</f>
        <v>554.11599999999999</v>
      </c>
      <c r="BK23" s="566"/>
      <c r="BL23" s="567"/>
      <c r="BM23" s="568">
        <f ca="1">+BN23+BO23+BP23</f>
        <v>608.39700000000005</v>
      </c>
      <c r="BN23" s="565"/>
      <c r="BO23" s="565"/>
      <c r="BP23" s="566">
        <f ca="1">OFFSET(Sector1!$G$203,0,(COLUMN()-8)/6)</f>
        <v>608.39700000000005</v>
      </c>
      <c r="BQ23" s="566"/>
      <c r="BR23" s="567"/>
      <c r="BS23" s="568">
        <f ca="1">+BT23+BU23+BV23</f>
        <v>653.79200000000003</v>
      </c>
      <c r="BT23" s="565"/>
      <c r="BU23" s="565"/>
      <c r="BV23" s="566">
        <f ca="1">OFFSET(Sector1!$G$203,0,(COLUMN()-8)/6)</f>
        <v>653.79200000000003</v>
      </c>
      <c r="BW23" s="566"/>
      <c r="BX23" s="567"/>
      <c r="BY23" s="568">
        <f ca="1">+BZ23+CA23+CB23</f>
        <v>664.21500000000003</v>
      </c>
      <c r="BZ23" s="565"/>
      <c r="CA23" s="565"/>
      <c r="CB23" s="566">
        <f ca="1">OFFSET(Sector1!$G$203,0,(COLUMN()-8)/6)</f>
        <v>664.21500000000003</v>
      </c>
      <c r="CC23" s="566"/>
      <c r="CD23" s="567"/>
      <c r="CE23" s="568">
        <f ca="1">+CF23+CG23+CH23</f>
        <v>635.04</v>
      </c>
      <c r="CF23" s="565"/>
      <c r="CG23" s="565"/>
      <c r="CH23" s="566">
        <f ca="1">OFFSET(Sector1!$G$203,0,(COLUMN()-8)/6)</f>
        <v>635.04</v>
      </c>
      <c r="CI23" s="566"/>
      <c r="CJ23" s="567"/>
      <c r="CK23" s="568">
        <f ca="1">+CL23+CM23+CN23</f>
        <v>608.34299999999996</v>
      </c>
      <c r="CL23" s="565"/>
      <c r="CM23" s="565"/>
      <c r="CN23" s="566">
        <f ca="1">OFFSET(Sector1!$G$203,0,(COLUMN()-8)/6)</f>
        <v>608.34299999999996</v>
      </c>
      <c r="CO23" s="566"/>
      <c r="CP23" s="567"/>
      <c r="CQ23" s="568">
        <f ca="1">+CR23+CS23+CT23</f>
        <v>639.57100000000003</v>
      </c>
      <c r="CR23" s="565"/>
      <c r="CS23" s="565"/>
      <c r="CT23" s="566">
        <f ca="1">OFFSET(Sector1!$G$203,0,(COLUMN()-8)/6)</f>
        <v>639.57100000000003</v>
      </c>
      <c r="CU23" s="566"/>
      <c r="CV23" s="567"/>
      <c r="CW23" s="568">
        <f ca="1">+CX23+CY23+CZ23</f>
        <v>645.03899999999999</v>
      </c>
      <c r="CX23" s="565"/>
      <c r="CY23" s="565"/>
      <c r="CZ23" s="566">
        <f ca="1">OFFSET(Sector1!$G$203,0,(COLUMN()-8)/6)</f>
        <v>645.03899999999999</v>
      </c>
      <c r="DA23" s="566"/>
      <c r="DB23" s="567"/>
      <c r="DC23" s="568">
        <f ca="1">+DD23+DE23+DF23</f>
        <v>642.23</v>
      </c>
      <c r="DD23" s="565"/>
      <c r="DE23" s="565"/>
      <c r="DF23" s="566">
        <f ca="1">OFFSET(Sector1!$G$203,0,(COLUMN()-8)/6)</f>
        <v>642.23</v>
      </c>
      <c r="DG23" s="566"/>
      <c r="DH23" s="567"/>
      <c r="DI23" s="568">
        <f ca="1">+DJ23+DK23+DL23</f>
        <v>670.59799999999996</v>
      </c>
      <c r="DJ23" s="565"/>
      <c r="DK23" s="565"/>
      <c r="DL23" s="566">
        <f ca="1">OFFSET(Sector1!$G$203,0,(COLUMN()-8)/6)</f>
        <v>670.59799999999996</v>
      </c>
      <c r="DM23" s="566"/>
      <c r="DN23" s="567"/>
      <c r="DO23" s="568">
        <f ca="1">+DP23+DQ23+DR23</f>
        <v>701.28700000000003</v>
      </c>
      <c r="DP23" s="565"/>
      <c r="DQ23" s="565"/>
      <c r="DR23" s="566">
        <f ca="1">OFFSET(Sector1!$G$203,0,(COLUMN()-8)/6)</f>
        <v>701.28700000000003</v>
      </c>
      <c r="DS23" s="566"/>
      <c r="DT23" s="567"/>
      <c r="DU23" s="568">
        <f ca="1">+DV23+DW23+DX23</f>
        <v>771.37699999999995</v>
      </c>
      <c r="DV23" s="565"/>
      <c r="DW23" s="565"/>
      <c r="DX23" s="566">
        <f ca="1">OFFSET(Sector1!$G$203,0,(COLUMN()-8)/6)</f>
        <v>771.37699999999995</v>
      </c>
      <c r="DY23" s="566"/>
      <c r="DZ23" s="567"/>
      <c r="EA23" s="568">
        <f ca="1">+EB23+EC23+ED23</f>
        <v>824.66399999999999</v>
      </c>
      <c r="EB23" s="565"/>
      <c r="EC23" s="565"/>
      <c r="ED23" s="566">
        <f ca="1">OFFSET(Sector1!$G$203,0,(COLUMN()-8)/6)</f>
        <v>824.66399999999999</v>
      </c>
      <c r="EE23" s="566"/>
      <c r="EF23" s="567"/>
      <c r="EG23" s="568">
        <f ca="1">+EH23+EI23+EJ23</f>
        <v>867.20799999999997</v>
      </c>
      <c r="EH23" s="565"/>
      <c r="EI23" s="565"/>
      <c r="EJ23" s="566">
        <f ca="1">OFFSET(Sector1!$G$203,0,(COLUMN()-8)/6)</f>
        <v>867.20799999999997</v>
      </c>
      <c r="EK23" s="566"/>
      <c r="EL23" s="567"/>
      <c r="EM23" s="568">
        <f ca="1">+EN23+EO23+EP23</f>
        <v>895.41504268260928</v>
      </c>
      <c r="EN23" s="565"/>
      <c r="EO23" s="565"/>
      <c r="EP23" s="566">
        <f ca="1">OFFSET(Sector1!$G$203,0,(COLUMN()-8)/6)</f>
        <v>895.41504268260928</v>
      </c>
      <c r="EQ23" s="566"/>
      <c r="ER23" s="567"/>
      <c r="ES23" s="568">
        <f ca="1">+ET23+EU23+EV23</f>
        <v>923.42297259148313</v>
      </c>
      <c r="ET23" s="565"/>
      <c r="EU23" s="565"/>
      <c r="EV23" s="566">
        <f ca="1">OFFSET(Sector1!$G$203,0,(COLUMN()-8)/6)</f>
        <v>923.42297259148313</v>
      </c>
      <c r="EW23" s="566"/>
      <c r="EX23" s="567"/>
      <c r="EY23" s="568">
        <f ca="1">+EZ23+FA23+FB23</f>
        <v>949.63343995066862</v>
      </c>
      <c r="EZ23" s="565"/>
      <c r="FA23" s="565"/>
      <c r="FB23" s="566">
        <f ca="1">OFFSET(Sector1!$G$203,0,(COLUMN()-8)/6)</f>
        <v>949.63343995066862</v>
      </c>
      <c r="FC23" s="566"/>
      <c r="FD23" s="567"/>
    </row>
    <row r="24" spans="1:160" ht="13.15">
      <c r="A24" s="554"/>
      <c r="B24" s="555" t="s">
        <v>1791</v>
      </c>
      <c r="C24" s="3855" t="s">
        <v>821</v>
      </c>
      <c r="D24" s="3856"/>
      <c r="E24" s="568">
        <f ca="1">+F24+G24+H24+I24</f>
        <v>192.80799999999999</v>
      </c>
      <c r="F24" s="566">
        <f ca="1">OFFSET(Sector1!$G$254,0,(COLUMN()-6)/6)</f>
        <v>0</v>
      </c>
      <c r="G24" s="566">
        <f ca="1">OFFSET(Sector1!$G$255,0,(COLUMN()-7)/6)</f>
        <v>80.710999999999999</v>
      </c>
      <c r="H24" s="1050">
        <f ca="1">+H25+H26</f>
        <v>112.032</v>
      </c>
      <c r="I24" s="566">
        <f ca="1">OFFSET(Sector1!$G$256,0,(COLUMN()-9)/6)</f>
        <v>6.5000000000000002E-2</v>
      </c>
      <c r="J24" s="567"/>
      <c r="K24" s="568">
        <f ca="1">+L24+M24+N24</f>
        <v>207.708</v>
      </c>
      <c r="L24" s="566">
        <f ca="1">OFFSET(Sector1!$G$254,0,(COLUMN()-6)/6)</f>
        <v>0</v>
      </c>
      <c r="M24" s="566">
        <f ca="1">OFFSET(Sector1!$G$255,0,(COLUMN()-7)/6)</f>
        <v>82.444000000000003</v>
      </c>
      <c r="N24" s="1050">
        <f ca="1">+N25+N26</f>
        <v>125.264</v>
      </c>
      <c r="O24" s="566">
        <f ca="1">OFFSET(Sector1!$G$256,0,(COLUMN()-9)/6)</f>
        <v>4.4999999999999998E-2</v>
      </c>
      <c r="P24" s="567"/>
      <c r="Q24" s="568">
        <f ca="1">+R24+S24+T24</f>
        <v>224.88900000000001</v>
      </c>
      <c r="R24" s="566">
        <f ca="1">OFFSET(Sector1!$G$254,0,(COLUMN()-6)/6)</f>
        <v>0</v>
      </c>
      <c r="S24" s="566">
        <f ca="1">OFFSET(Sector1!$G$255,0,(COLUMN()-7)/6)</f>
        <v>88.131</v>
      </c>
      <c r="T24" s="1050">
        <f ca="1">+T25+T26</f>
        <v>136.75800000000001</v>
      </c>
      <c r="U24" s="566">
        <f ca="1">OFFSET(Sector1!$G$256,0,(COLUMN()-9)/6)</f>
        <v>0.113</v>
      </c>
      <c r="V24" s="567"/>
      <c r="W24" s="568">
        <f ca="1">+X24+Y24+Z24</f>
        <v>195.60399999999998</v>
      </c>
      <c r="X24" s="566">
        <f ca="1">OFFSET(Sector1!$G$254,0,(COLUMN()-6)/6)</f>
        <v>0</v>
      </c>
      <c r="Y24" s="566">
        <f ca="1">OFFSET(Sector1!$G$255,0,(COLUMN()-7)/6)</f>
        <v>95.128</v>
      </c>
      <c r="Z24" s="1050">
        <f ca="1">+Z25+Z26</f>
        <v>100.476</v>
      </c>
      <c r="AA24" s="566">
        <f ca="1">OFFSET(Sector1!$G$256,0,(COLUMN()-9)/6)</f>
        <v>0.19</v>
      </c>
      <c r="AB24" s="567"/>
      <c r="AC24" s="568">
        <f ca="1">+AD24+AE24+AF24</f>
        <v>204.47500000000002</v>
      </c>
      <c r="AD24" s="566">
        <f ca="1">OFFSET(Sector1!$G$254,0,(COLUMN()-6)/6)</f>
        <v>0</v>
      </c>
      <c r="AE24" s="566">
        <f ca="1">OFFSET(Sector1!$G$255,0,(COLUMN()-7)/6)</f>
        <v>103.747</v>
      </c>
      <c r="AF24" s="1050">
        <f ca="1">+AF25+AF26</f>
        <v>100.72800000000001</v>
      </c>
      <c r="AG24" s="566">
        <f ca="1">OFFSET(Sector1!$G$256,0,(COLUMN()-9)/6)</f>
        <v>0.27</v>
      </c>
      <c r="AH24" s="567"/>
      <c r="AI24" s="568">
        <f ca="1">+AJ24+AK24+AL24</f>
        <v>247.33800000000002</v>
      </c>
      <c r="AJ24" s="566">
        <f ca="1">OFFSET(Sector1!$G$254,0,(COLUMN()-6)/6)</f>
        <v>0</v>
      </c>
      <c r="AK24" s="566">
        <f ca="1">OFFSET(Sector1!$G$255,0,(COLUMN()-7)/6)</f>
        <v>125.321</v>
      </c>
      <c r="AL24" s="1050">
        <f ca="1">+AL25+AL26</f>
        <v>122.01700000000001</v>
      </c>
      <c r="AM24" s="566">
        <f ca="1">OFFSET(Sector1!$G$256,0,(COLUMN()-9)/6)</f>
        <v>0.307</v>
      </c>
      <c r="AN24" s="567"/>
      <c r="AO24" s="568">
        <f ca="1">+AP24+AQ24+AR24</f>
        <v>245.154</v>
      </c>
      <c r="AP24" s="566">
        <f ca="1">OFFSET(Sector1!$G$254,0,(COLUMN()-6)/6)</f>
        <v>0</v>
      </c>
      <c r="AQ24" s="566">
        <f ca="1">OFFSET(Sector1!$G$255,0,(COLUMN()-7)/6)</f>
        <v>129.495</v>
      </c>
      <c r="AR24" s="1050">
        <f ca="1">+AR25+AR26</f>
        <v>115.65899999999999</v>
      </c>
      <c r="AS24" s="566">
        <f ca="1">OFFSET(Sector1!$G$256,0,(COLUMN()-9)/6)</f>
        <v>0.42699999999999999</v>
      </c>
      <c r="AT24" s="567"/>
      <c r="AU24" s="568">
        <f ca="1">+AV24+AW24+AX24</f>
        <v>231.875</v>
      </c>
      <c r="AV24" s="566">
        <f ca="1">OFFSET(Sector1!$G$254,0,(COLUMN()-6)/6)</f>
        <v>0</v>
      </c>
      <c r="AW24" s="566">
        <f ca="1">OFFSET(Sector1!$G$255,0,(COLUMN()-7)/6)</f>
        <v>130.23500000000001</v>
      </c>
      <c r="AX24" s="1050">
        <f ca="1">+AX25+AX26</f>
        <v>101.64</v>
      </c>
      <c r="AY24" s="566">
        <f ca="1">OFFSET(Sector1!$G$256,0,(COLUMN()-9)/6)</f>
        <v>0.51100000000000001</v>
      </c>
      <c r="AZ24" s="567"/>
      <c r="BA24" s="568">
        <f ca="1">+BB24+BC24+BD24</f>
        <v>243.79199999999997</v>
      </c>
      <c r="BB24" s="566">
        <f ca="1">OFFSET(Sector1!$G$254,0,(COLUMN()-6)/6)</f>
        <v>0</v>
      </c>
      <c r="BC24" s="566">
        <f ca="1">OFFSET(Sector1!$G$255,0,(COLUMN()-7)/6)</f>
        <v>138.89099999999999</v>
      </c>
      <c r="BD24" s="1050">
        <f ca="1">+BD25+BD26</f>
        <v>104.901</v>
      </c>
      <c r="BE24" s="566">
        <f ca="1">OFFSET(Sector1!$G$256,0,(COLUMN()-9)/6)</f>
        <v>0.41899999999999998</v>
      </c>
      <c r="BF24" s="567"/>
      <c r="BG24" s="568">
        <f ca="1">+BH24+BI24+BJ24</f>
        <v>251.23199999999997</v>
      </c>
      <c r="BH24" s="566">
        <f ca="1">OFFSET(Sector1!$G$254,0,(COLUMN()-6)/6)</f>
        <v>0</v>
      </c>
      <c r="BI24" s="566">
        <f ca="1">OFFSET(Sector1!$G$255,0,(COLUMN()-7)/6)</f>
        <v>143.64699999999999</v>
      </c>
      <c r="BJ24" s="1050">
        <f ca="1">+BJ25+BJ26</f>
        <v>107.58499999999999</v>
      </c>
      <c r="BK24" s="566">
        <f ca="1">OFFSET(Sector1!$G$256,0,(COLUMN()-9)/6)</f>
        <v>0.39500000000000002</v>
      </c>
      <c r="BL24" s="567"/>
      <c r="BM24" s="568">
        <f ca="1">+BN24+BO24+BP24</f>
        <v>249.83999999999997</v>
      </c>
      <c r="BN24" s="566">
        <f ca="1">OFFSET(Sector1!$G$254,0,(COLUMN()-6)/6)</f>
        <v>0</v>
      </c>
      <c r="BO24" s="566">
        <f ca="1">OFFSET(Sector1!$G$255,0,(COLUMN()-7)/6)</f>
        <v>147.523</v>
      </c>
      <c r="BP24" s="1050">
        <f ca="1">+BP25+BP26</f>
        <v>102.31699999999999</v>
      </c>
      <c r="BQ24" s="566">
        <f ca="1">OFFSET(Sector1!$G$256,0,(COLUMN()-9)/6)</f>
        <v>0.47499999999999998</v>
      </c>
      <c r="BR24" s="567"/>
      <c r="BS24" s="568">
        <f ca="1">+BT24+BU24+BV24</f>
        <v>256.92399999999998</v>
      </c>
      <c r="BT24" s="566">
        <f ca="1">OFFSET(Sector1!$G$254,0,(COLUMN()-6)/6)</f>
        <v>0</v>
      </c>
      <c r="BU24" s="566">
        <f ca="1">OFFSET(Sector1!$G$255,0,(COLUMN()-7)/6)</f>
        <v>159.15600000000001</v>
      </c>
      <c r="BV24" s="1050">
        <f ca="1">+BV25+BV26</f>
        <v>97.768000000000001</v>
      </c>
      <c r="BW24" s="566">
        <f ca="1">OFFSET(Sector1!$G$256,0,(COLUMN()-9)/6)</f>
        <v>0.56899999999999995</v>
      </c>
      <c r="BX24" s="567"/>
      <c r="BY24" s="568">
        <f ca="1">+BZ24+CA24+CB24</f>
        <v>290.738</v>
      </c>
      <c r="BZ24" s="566">
        <f ca="1">OFFSET(Sector1!$G$254,0,(COLUMN()-6)/6)</f>
        <v>0</v>
      </c>
      <c r="CA24" s="566">
        <f ca="1">OFFSET(Sector1!$G$255,0,(COLUMN()-7)/6)</f>
        <v>185.03399999999999</v>
      </c>
      <c r="CB24" s="1050">
        <f ca="1">+CB25+CB26</f>
        <v>105.70400000000001</v>
      </c>
      <c r="CC24" s="566">
        <f ca="1">OFFSET(Sector1!$G$256,0,(COLUMN()-9)/6)</f>
        <v>0.85799999999999998</v>
      </c>
      <c r="CD24" s="567"/>
      <c r="CE24" s="568">
        <f ca="1">+CF24+CG24+CH24</f>
        <v>311.37599999999998</v>
      </c>
      <c r="CF24" s="566">
        <f ca="1">OFFSET(Sector1!$G$254,0,(COLUMN()-6)/6)</f>
        <v>0</v>
      </c>
      <c r="CG24" s="566">
        <f ca="1">OFFSET(Sector1!$G$255,0,(COLUMN()-7)/6)</f>
        <v>199.685</v>
      </c>
      <c r="CH24" s="1050">
        <f ca="1">+CH25+CH26</f>
        <v>111.691</v>
      </c>
      <c r="CI24" s="566">
        <f ca="1">OFFSET(Sector1!$G$256,0,(COLUMN()-9)/6)</f>
        <v>1.19</v>
      </c>
      <c r="CJ24" s="567"/>
      <c r="CK24" s="568">
        <f ca="1">+CL24+CM24+CN24</f>
        <v>283.44100000000003</v>
      </c>
      <c r="CL24" s="566">
        <f ca="1">OFFSET(Sector1!$G$254,0,(COLUMN()-6)/6)</f>
        <v>0</v>
      </c>
      <c r="CM24" s="566">
        <f ca="1">OFFSET(Sector1!$G$255,0,(COLUMN()-7)/6)</f>
        <v>171.797</v>
      </c>
      <c r="CN24" s="1050">
        <f ca="1">+CN25+CN26</f>
        <v>111.64400000000001</v>
      </c>
      <c r="CO24" s="566">
        <f ca="1">OFFSET(Sector1!$G$256,0,(COLUMN()-9)/6)</f>
        <v>1.371</v>
      </c>
      <c r="CP24" s="567"/>
      <c r="CQ24" s="568">
        <f ca="1">+CR24+CS24+CT24</f>
        <v>332.88200000000001</v>
      </c>
      <c r="CR24" s="566">
        <f ca="1">OFFSET(Sector1!$G$254,0,(COLUMN()-6)/6)</f>
        <v>0</v>
      </c>
      <c r="CS24" s="566">
        <f ca="1">OFFSET(Sector1!$G$255,0,(COLUMN()-7)/6)</f>
        <v>218.96600000000001</v>
      </c>
      <c r="CT24" s="1050">
        <f ca="1">+CT25+CT26</f>
        <v>113.916</v>
      </c>
      <c r="CU24" s="566">
        <f ca="1">OFFSET(Sector1!$G$256,0,(COLUMN()-9)/6)</f>
        <v>1.41</v>
      </c>
      <c r="CV24" s="567"/>
      <c r="CW24" s="568">
        <f ca="1">+CX24+CY24+CZ24</f>
        <v>351.33699999999999</v>
      </c>
      <c r="CX24" s="566">
        <f ca="1">OFFSET(Sector1!$G$254,0,(COLUMN()-6)/6)</f>
        <v>0</v>
      </c>
      <c r="CY24" s="566">
        <f ca="1">OFFSET(Sector1!$G$255,0,(COLUMN()-7)/6)</f>
        <v>227.86199999999999</v>
      </c>
      <c r="CZ24" s="1050">
        <f ca="1">+CZ25+CZ26</f>
        <v>123.47500000000001</v>
      </c>
      <c r="DA24" s="566">
        <f ca="1">OFFSET(Sector1!$G$256,0,(COLUMN()-9)/6)</f>
        <v>1.359</v>
      </c>
      <c r="DB24" s="567"/>
      <c r="DC24" s="568">
        <f ca="1">+DD24+DE24+DF24</f>
        <v>349.60399999999998</v>
      </c>
      <c r="DD24" s="566">
        <f ca="1">OFFSET(Sector1!$G$254,0,(COLUMN()-6)/6)</f>
        <v>0</v>
      </c>
      <c r="DE24" s="566">
        <f ca="1">OFFSET(Sector1!$G$255,0,(COLUMN()-7)/6)</f>
        <v>225.06299999999999</v>
      </c>
      <c r="DF24" s="1050">
        <f ca="1">+DF25+DF26</f>
        <v>124.541</v>
      </c>
      <c r="DG24" s="566">
        <f ca="1">OFFSET(Sector1!$G$256,0,(COLUMN()-9)/6)</f>
        <v>1.427</v>
      </c>
      <c r="DH24" s="567"/>
      <c r="DI24" s="568">
        <f ca="1">+DJ24+DK24+DL24</f>
        <v>368.71899999999999</v>
      </c>
      <c r="DJ24" s="566">
        <f ca="1">OFFSET(Sector1!$G$254,0,(COLUMN()-6)/6)</f>
        <v>0</v>
      </c>
      <c r="DK24" s="566">
        <f ca="1">OFFSET(Sector1!$G$255,0,(COLUMN()-7)/6)</f>
        <v>240.67599999999999</v>
      </c>
      <c r="DL24" s="1050">
        <f ca="1">+DL25+DL26</f>
        <v>128.04300000000001</v>
      </c>
      <c r="DM24" s="566">
        <f ca="1">OFFSET(Sector1!$G$256,0,(COLUMN()-9)/6)</f>
        <v>1.39</v>
      </c>
      <c r="DN24" s="567"/>
      <c r="DO24" s="568">
        <f ca="1">+DP24+DQ24+DR24</f>
        <v>405.714</v>
      </c>
      <c r="DP24" s="566">
        <f ca="1">OFFSET(Sector1!$G$254,0,(COLUMN()-6)/6)</f>
        <v>0</v>
      </c>
      <c r="DQ24" s="566">
        <f ca="1">OFFSET(Sector1!$G$255,0,(COLUMN()-7)/6)</f>
        <v>273.63</v>
      </c>
      <c r="DR24" s="1050">
        <f ca="1">+DR25+DR26</f>
        <v>132.084</v>
      </c>
      <c r="DS24" s="566">
        <f ca="1">OFFSET(Sector1!$G$256,0,(COLUMN()-9)/6)</f>
        <v>1.4750000000000001</v>
      </c>
      <c r="DT24" s="567"/>
      <c r="DU24" s="568">
        <f ca="1">+DV24+DW24+DX24</f>
        <v>404.19799999999998</v>
      </c>
      <c r="DV24" s="566">
        <f ca="1">OFFSET(Sector1!$G$254,0,(COLUMN()-6)/6)</f>
        <v>0</v>
      </c>
      <c r="DW24" s="566">
        <f ca="1">OFFSET(Sector1!$G$255,0,(COLUMN()-7)/6)</f>
        <v>265.036</v>
      </c>
      <c r="DX24" s="1050">
        <f ca="1">+DX25+DX26</f>
        <v>139.16200000000001</v>
      </c>
      <c r="DY24" s="566">
        <f ca="1">OFFSET(Sector1!$G$256,0,(COLUMN()-9)/6)</f>
        <v>1.159</v>
      </c>
      <c r="DZ24" s="567"/>
      <c r="EA24" s="568">
        <f ca="1">+EB24+EC24+ED24</f>
        <v>429.48199999999997</v>
      </c>
      <c r="EB24" s="566">
        <f ca="1">OFFSET(Sector1!$G$254,0,(COLUMN()-6)/6)</f>
        <v>0</v>
      </c>
      <c r="EC24" s="566">
        <f ca="1">OFFSET(Sector1!$G$255,0,(COLUMN()-7)/6)</f>
        <v>283.8</v>
      </c>
      <c r="ED24" s="1050">
        <f ca="1">+ED25+ED26</f>
        <v>145.68199999999999</v>
      </c>
      <c r="EE24" s="566">
        <f ca="1">OFFSET(Sector1!$G$256,0,(COLUMN()-9)/6)</f>
        <v>0.69399999999999995</v>
      </c>
      <c r="EF24" s="567"/>
      <c r="EG24" s="568">
        <f ca="1">+EH24+EI24+EJ24</f>
        <v>431.37599999999998</v>
      </c>
      <c r="EH24" s="566">
        <f ca="1">OFFSET(Sector1!$G$254,0,(COLUMN()-6)/6)</f>
        <v>0</v>
      </c>
      <c r="EI24" s="566">
        <f ca="1">OFFSET(Sector1!$G$255,0,(COLUMN()-7)/6)</f>
        <v>278.36599999999999</v>
      </c>
      <c r="EJ24" s="1050">
        <f ca="1">+EJ25+EJ26</f>
        <v>153.01</v>
      </c>
      <c r="EK24" s="566">
        <f ca="1">OFFSET(Sector1!$G$256,0,(COLUMN()-9)/6)</f>
        <v>0.53900000000000003</v>
      </c>
      <c r="EL24" s="567"/>
      <c r="EM24" s="568">
        <f ca="1">+EN24+EO24+EP24</f>
        <v>448.418458889568</v>
      </c>
      <c r="EN24" s="566">
        <f ca="1">OFFSET(Sector1!$G$254,0,(COLUMN()-6)/6)</f>
        <v>0</v>
      </c>
      <c r="EO24" s="566">
        <f ca="1">OFFSET(Sector1!$G$255,0,(COLUMN()-7)/6)</f>
        <v>288.50175079991578</v>
      </c>
      <c r="EP24" s="1050">
        <f ca="1">+EP25+EP26</f>
        <v>159.91670808965222</v>
      </c>
      <c r="EQ24" s="566">
        <f ca="1">OFFSET(Sector1!$G$256,0,(COLUMN()-9)/6)</f>
        <v>0.47819317478713758</v>
      </c>
      <c r="ER24" s="567"/>
      <c r="ES24" s="568">
        <f ca="1">+ET24+EU24+EV24</f>
        <v>465.36417709912138</v>
      </c>
      <c r="ET24" s="566">
        <f ca="1">OFFSET(Sector1!$G$254,0,(COLUMN()-6)/6)</f>
        <v>0</v>
      </c>
      <c r="EU24" s="566">
        <f ca="1">OFFSET(Sector1!$G$255,0,(COLUMN()-7)/6)</f>
        <v>298.8328117711668</v>
      </c>
      <c r="EV24" s="1050">
        <f ca="1">+EV25+EV26</f>
        <v>166.53136532795457</v>
      </c>
      <c r="EW24" s="566">
        <f ca="1">OFFSET(Sector1!$G$256,0,(COLUMN()-9)/6)</f>
        <v>0.41901041880135798</v>
      </c>
      <c r="EX24" s="567"/>
      <c r="EY24" s="568">
        <f ca="1">+EZ24+FA24+FB24</f>
        <v>484.38506710652865</v>
      </c>
      <c r="EZ24" s="566">
        <f ca="1">OFFSET(Sector1!$G$254,0,(COLUMN()-6)/6)</f>
        <v>0</v>
      </c>
      <c r="FA24" s="566">
        <f ca="1">OFFSET(Sector1!$G$255,0,(COLUMN()-7)/6)</f>
        <v>311.5869352544841</v>
      </c>
      <c r="FB24" s="1050">
        <f ca="1">+FB25+FB26</f>
        <v>172.79813185204455</v>
      </c>
      <c r="FC24" s="566">
        <f ca="1">OFFSET(Sector1!$G$256,0,(COLUMN()-9)/6)</f>
        <v>0.35674888040763519</v>
      </c>
      <c r="FD24" s="567"/>
    </row>
    <row r="25" spans="1:160" s="583" customFormat="1" ht="10.15">
      <c r="A25" s="578"/>
      <c r="B25" s="579"/>
      <c r="C25" s="580"/>
      <c r="D25" s="581" t="s">
        <v>822</v>
      </c>
      <c r="E25" s="582"/>
      <c r="F25" s="591"/>
      <c r="G25" s="592"/>
      <c r="H25" s="593">
        <f ca="1">OFFSET(Sector1!$G$251,0,(COLUMN()-8)/6)</f>
        <v>101.735</v>
      </c>
      <c r="I25" s="594"/>
      <c r="J25" s="595"/>
      <c r="K25" s="582"/>
      <c r="L25" s="591"/>
      <c r="M25" s="592"/>
      <c r="N25" s="593">
        <f ca="1">OFFSET(Sector1!$G$251,0,(COLUMN()-8)/6)</f>
        <v>114.637</v>
      </c>
      <c r="O25" s="594"/>
      <c r="P25" s="595"/>
      <c r="Q25" s="582"/>
      <c r="R25" s="591"/>
      <c r="S25" s="592"/>
      <c r="T25" s="593">
        <f ca="1">OFFSET(Sector1!$G$251,0,(COLUMN()-8)/6)</f>
        <v>126.718</v>
      </c>
      <c r="U25" s="594"/>
      <c r="V25" s="595"/>
      <c r="W25" s="582"/>
      <c r="X25" s="591"/>
      <c r="Y25" s="592"/>
      <c r="Z25" s="593">
        <f ca="1">OFFSET(Sector1!$G$251,0,(COLUMN()-8)/6)</f>
        <v>98.093999999999994</v>
      </c>
      <c r="AA25" s="594"/>
      <c r="AB25" s="595"/>
      <c r="AC25" s="582"/>
      <c r="AD25" s="591"/>
      <c r="AE25" s="592"/>
      <c r="AF25" s="593">
        <f ca="1">OFFSET(Sector1!$G$251,0,(COLUMN()-8)/6)</f>
        <v>98.081000000000003</v>
      </c>
      <c r="AG25" s="594"/>
      <c r="AH25" s="595"/>
      <c r="AI25" s="582"/>
      <c r="AJ25" s="591"/>
      <c r="AK25" s="592"/>
      <c r="AL25" s="593">
        <f ca="1">OFFSET(Sector1!$G$251,0,(COLUMN()-8)/6)</f>
        <v>119.379</v>
      </c>
      <c r="AM25" s="594"/>
      <c r="AN25" s="595"/>
      <c r="AO25" s="582"/>
      <c r="AP25" s="591"/>
      <c r="AQ25" s="592"/>
      <c r="AR25" s="593">
        <f ca="1">OFFSET(Sector1!$G$251,0,(COLUMN()-8)/6)</f>
        <v>112.81699999999999</v>
      </c>
      <c r="AS25" s="594"/>
      <c r="AT25" s="595"/>
      <c r="AU25" s="582"/>
      <c r="AV25" s="591"/>
      <c r="AW25" s="592"/>
      <c r="AX25" s="593">
        <f ca="1">OFFSET(Sector1!$G$251,0,(COLUMN()-8)/6)</f>
        <v>98.570999999999998</v>
      </c>
      <c r="AY25" s="594"/>
      <c r="AZ25" s="595"/>
      <c r="BA25" s="582"/>
      <c r="BB25" s="591"/>
      <c r="BC25" s="592"/>
      <c r="BD25" s="593">
        <f ca="1">OFFSET(Sector1!$G$251,0,(COLUMN()-8)/6)</f>
        <v>101.652</v>
      </c>
      <c r="BE25" s="594"/>
      <c r="BF25" s="595"/>
      <c r="BG25" s="582"/>
      <c r="BH25" s="591"/>
      <c r="BI25" s="592"/>
      <c r="BJ25" s="593">
        <f ca="1">OFFSET(Sector1!$G$251,0,(COLUMN()-8)/6)</f>
        <v>104.187</v>
      </c>
      <c r="BK25" s="594"/>
      <c r="BL25" s="595"/>
      <c r="BM25" s="582"/>
      <c r="BN25" s="591"/>
      <c r="BO25" s="592"/>
      <c r="BP25" s="593">
        <f ca="1">OFFSET(Sector1!$G$251,0,(COLUMN()-8)/6)</f>
        <v>98.632999999999996</v>
      </c>
      <c r="BQ25" s="594"/>
      <c r="BR25" s="595"/>
      <c r="BS25" s="582"/>
      <c r="BT25" s="591"/>
      <c r="BU25" s="592"/>
      <c r="BV25" s="593">
        <f ca="1">OFFSET(Sector1!$G$251,0,(COLUMN()-8)/6)</f>
        <v>93.983999999999995</v>
      </c>
      <c r="BW25" s="594"/>
      <c r="BX25" s="595"/>
      <c r="BY25" s="582"/>
      <c r="BZ25" s="591"/>
      <c r="CA25" s="592"/>
      <c r="CB25" s="593">
        <f ca="1">OFFSET(Sector1!$G$251,0,(COLUMN()-8)/6)</f>
        <v>101.75700000000001</v>
      </c>
      <c r="CC25" s="594"/>
      <c r="CD25" s="595"/>
      <c r="CE25" s="582"/>
      <c r="CF25" s="591"/>
      <c r="CG25" s="592"/>
      <c r="CH25" s="593">
        <f ca="1">OFFSET(Sector1!$G$251,0,(COLUMN()-8)/6)</f>
        <v>107.465</v>
      </c>
      <c r="CI25" s="594"/>
      <c r="CJ25" s="595"/>
      <c r="CK25" s="582"/>
      <c r="CL25" s="591"/>
      <c r="CM25" s="592"/>
      <c r="CN25" s="593">
        <f ca="1">OFFSET(Sector1!$G$251,0,(COLUMN()-8)/6)</f>
        <v>107.113</v>
      </c>
      <c r="CO25" s="594"/>
      <c r="CP25" s="595"/>
      <c r="CQ25" s="582"/>
      <c r="CR25" s="591"/>
      <c r="CS25" s="592"/>
      <c r="CT25" s="593">
        <f ca="1">OFFSET(Sector1!$G$251,0,(COLUMN()-8)/6)</f>
        <v>109.208</v>
      </c>
      <c r="CU25" s="594"/>
      <c r="CV25" s="595"/>
      <c r="CW25" s="582"/>
      <c r="CX25" s="591"/>
      <c r="CY25" s="592"/>
      <c r="CZ25" s="593">
        <f ca="1">OFFSET(Sector1!$G$251,0,(COLUMN()-8)/6)</f>
        <v>118.41800000000001</v>
      </c>
      <c r="DA25" s="594"/>
      <c r="DB25" s="595"/>
      <c r="DC25" s="582"/>
      <c r="DD25" s="591"/>
      <c r="DE25" s="592"/>
      <c r="DF25" s="593">
        <f ca="1">OFFSET(Sector1!$G$251,0,(COLUMN()-8)/6)</f>
        <v>119.142</v>
      </c>
      <c r="DG25" s="594"/>
      <c r="DH25" s="595"/>
      <c r="DI25" s="582"/>
      <c r="DJ25" s="591"/>
      <c r="DK25" s="592"/>
      <c r="DL25" s="593">
        <f ca="1">OFFSET(Sector1!$G$251,0,(COLUMN()-8)/6)</f>
        <v>122.538</v>
      </c>
      <c r="DM25" s="594"/>
      <c r="DN25" s="595"/>
      <c r="DO25" s="582"/>
      <c r="DP25" s="591"/>
      <c r="DQ25" s="592"/>
      <c r="DR25" s="593">
        <f ca="1">OFFSET(Sector1!$G$251,0,(COLUMN()-8)/6)</f>
        <v>126.099</v>
      </c>
      <c r="DS25" s="594"/>
      <c r="DT25" s="595"/>
      <c r="DU25" s="582"/>
      <c r="DV25" s="591"/>
      <c r="DW25" s="592"/>
      <c r="DX25" s="593">
        <f ca="1">OFFSET(Sector1!$G$251,0,(COLUMN()-8)/6)</f>
        <v>132.46899999999999</v>
      </c>
      <c r="DY25" s="594"/>
      <c r="DZ25" s="595"/>
      <c r="EA25" s="582"/>
      <c r="EB25" s="591"/>
      <c r="EC25" s="592"/>
      <c r="ED25" s="593">
        <f ca="1">OFFSET(Sector1!$G$251,0,(COLUMN()-8)/6)</f>
        <v>138.55199999999999</v>
      </c>
      <c r="EE25" s="594"/>
      <c r="EF25" s="595"/>
      <c r="EG25" s="582"/>
      <c r="EH25" s="591"/>
      <c r="EI25" s="592"/>
      <c r="EJ25" s="593">
        <f ca="1">OFFSET(Sector1!$G$251,0,(COLUMN()-8)/6)</f>
        <v>145.512</v>
      </c>
      <c r="EK25" s="594"/>
      <c r="EL25" s="595"/>
      <c r="EM25" s="582"/>
      <c r="EN25" s="591"/>
      <c r="EO25" s="592"/>
      <c r="EP25" s="593">
        <f ca="1">OFFSET(Sector1!$G$251,0,(COLUMN()-8)/6)</f>
        <v>152.11129008965221</v>
      </c>
      <c r="EQ25" s="594"/>
      <c r="ER25" s="595"/>
      <c r="ES25" s="582"/>
      <c r="ET25" s="591"/>
      <c r="EU25" s="592"/>
      <c r="EV25" s="593">
        <f ca="1">OFFSET(Sector1!$G$251,0,(COLUMN()-8)/6)</f>
        <v>158.43402469475458</v>
      </c>
      <c r="EW25" s="594"/>
      <c r="EX25" s="595"/>
      <c r="EY25" s="582"/>
      <c r="EZ25" s="591"/>
      <c r="FA25" s="592"/>
      <c r="FB25" s="593">
        <f ca="1">OFFSET(Sector1!$G$251,0,(COLUMN()-8)/6)</f>
        <v>164.39795067916288</v>
      </c>
      <c r="FC25" s="594"/>
      <c r="FD25" s="595"/>
    </row>
    <row r="26" spans="1:160" s="583" customFormat="1" ht="10.5" thickBot="1">
      <c r="A26" s="578"/>
      <c r="B26" s="579"/>
      <c r="C26" s="580"/>
      <c r="D26" s="581" t="s">
        <v>1662</v>
      </c>
      <c r="E26" s="582"/>
      <c r="F26" s="591"/>
      <c r="G26" s="592"/>
      <c r="H26" s="596">
        <f ca="1">OFFSET(Sector1!$G$252,0,(COLUMN()-8)/6)</f>
        <v>10.297000000000001</v>
      </c>
      <c r="I26" s="594"/>
      <c r="J26" s="595"/>
      <c r="K26" s="582"/>
      <c r="L26" s="591"/>
      <c r="M26" s="592"/>
      <c r="N26" s="596">
        <f ca="1">OFFSET(Sector1!$G$252,0,(COLUMN()-8)/6)</f>
        <v>10.627000000000001</v>
      </c>
      <c r="O26" s="594"/>
      <c r="P26" s="595"/>
      <c r="Q26" s="582"/>
      <c r="R26" s="591"/>
      <c r="S26" s="592"/>
      <c r="T26" s="596">
        <f ca="1">OFFSET(Sector1!$G$252,0,(COLUMN()-8)/6)</f>
        <v>10.039999999999999</v>
      </c>
      <c r="U26" s="594"/>
      <c r="V26" s="595"/>
      <c r="W26" s="582"/>
      <c r="X26" s="591"/>
      <c r="Y26" s="592"/>
      <c r="Z26" s="596">
        <f ca="1">OFFSET(Sector1!$G$252,0,(COLUMN()-8)/6)</f>
        <v>2.3820000000000001</v>
      </c>
      <c r="AA26" s="594"/>
      <c r="AB26" s="595"/>
      <c r="AC26" s="582"/>
      <c r="AD26" s="591"/>
      <c r="AE26" s="592"/>
      <c r="AF26" s="596">
        <f ca="1">OFFSET(Sector1!$G$252,0,(COLUMN()-8)/6)</f>
        <v>2.6469999999999998</v>
      </c>
      <c r="AG26" s="594"/>
      <c r="AH26" s="595"/>
      <c r="AI26" s="582"/>
      <c r="AJ26" s="591"/>
      <c r="AK26" s="592"/>
      <c r="AL26" s="596">
        <f ca="1">OFFSET(Sector1!$G$252,0,(COLUMN()-8)/6)</f>
        <v>2.6379999999999999</v>
      </c>
      <c r="AM26" s="594"/>
      <c r="AN26" s="595"/>
      <c r="AO26" s="582"/>
      <c r="AP26" s="591"/>
      <c r="AQ26" s="592"/>
      <c r="AR26" s="596">
        <f ca="1">OFFSET(Sector1!$G$252,0,(COLUMN()-8)/6)</f>
        <v>2.8420000000000001</v>
      </c>
      <c r="AS26" s="594"/>
      <c r="AT26" s="595"/>
      <c r="AU26" s="582"/>
      <c r="AV26" s="591"/>
      <c r="AW26" s="592"/>
      <c r="AX26" s="596">
        <f ca="1">OFFSET(Sector1!$G$252,0,(COLUMN()-8)/6)</f>
        <v>3.069</v>
      </c>
      <c r="AY26" s="594"/>
      <c r="AZ26" s="595"/>
      <c r="BA26" s="582"/>
      <c r="BB26" s="591"/>
      <c r="BC26" s="592"/>
      <c r="BD26" s="596">
        <f ca="1">OFFSET(Sector1!$G$252,0,(COLUMN()-8)/6)</f>
        <v>3.2490000000000001</v>
      </c>
      <c r="BE26" s="594"/>
      <c r="BF26" s="595"/>
      <c r="BG26" s="582"/>
      <c r="BH26" s="591"/>
      <c r="BI26" s="592"/>
      <c r="BJ26" s="596">
        <f ca="1">OFFSET(Sector1!$G$252,0,(COLUMN()-8)/6)</f>
        <v>3.3980000000000001</v>
      </c>
      <c r="BK26" s="594"/>
      <c r="BL26" s="595"/>
      <c r="BM26" s="582"/>
      <c r="BN26" s="591"/>
      <c r="BO26" s="592"/>
      <c r="BP26" s="596">
        <f ca="1">OFFSET(Sector1!$G$252,0,(COLUMN()-8)/6)</f>
        <v>3.6840000000000002</v>
      </c>
      <c r="BQ26" s="594"/>
      <c r="BR26" s="595"/>
      <c r="BS26" s="582"/>
      <c r="BT26" s="591"/>
      <c r="BU26" s="592"/>
      <c r="BV26" s="596">
        <f ca="1">OFFSET(Sector1!$G$252,0,(COLUMN()-8)/6)</f>
        <v>3.7839999999999998</v>
      </c>
      <c r="BW26" s="594"/>
      <c r="BX26" s="595"/>
      <c r="BY26" s="582"/>
      <c r="BZ26" s="591"/>
      <c r="CA26" s="592"/>
      <c r="CB26" s="596">
        <f ca="1">OFFSET(Sector1!$G$252,0,(COLUMN()-8)/6)</f>
        <v>3.9470000000000001</v>
      </c>
      <c r="CC26" s="594"/>
      <c r="CD26" s="595"/>
      <c r="CE26" s="582"/>
      <c r="CF26" s="591"/>
      <c r="CG26" s="592"/>
      <c r="CH26" s="596">
        <f ca="1">OFFSET(Sector1!$G$252,0,(COLUMN()-8)/6)</f>
        <v>4.226</v>
      </c>
      <c r="CI26" s="594"/>
      <c r="CJ26" s="595"/>
      <c r="CK26" s="582"/>
      <c r="CL26" s="591"/>
      <c r="CM26" s="592"/>
      <c r="CN26" s="596">
        <f ca="1">OFFSET(Sector1!$G$252,0,(COLUMN()-8)/6)</f>
        <v>4.5309999999999997</v>
      </c>
      <c r="CO26" s="594"/>
      <c r="CP26" s="595"/>
      <c r="CQ26" s="582"/>
      <c r="CR26" s="591"/>
      <c r="CS26" s="592"/>
      <c r="CT26" s="596">
        <f ca="1">OFFSET(Sector1!$G$252,0,(COLUMN()-8)/6)</f>
        <v>4.7080000000000002</v>
      </c>
      <c r="CU26" s="594"/>
      <c r="CV26" s="595"/>
      <c r="CW26" s="582"/>
      <c r="CX26" s="591"/>
      <c r="CY26" s="592"/>
      <c r="CZ26" s="596">
        <f ca="1">OFFSET(Sector1!$G$252,0,(COLUMN()-8)/6)</f>
        <v>5.0570000000000004</v>
      </c>
      <c r="DA26" s="594"/>
      <c r="DB26" s="595"/>
      <c r="DC26" s="582"/>
      <c r="DD26" s="591"/>
      <c r="DE26" s="592"/>
      <c r="DF26" s="596">
        <f ca="1">OFFSET(Sector1!$G$252,0,(COLUMN()-8)/6)</f>
        <v>5.399</v>
      </c>
      <c r="DG26" s="594"/>
      <c r="DH26" s="595"/>
      <c r="DI26" s="582"/>
      <c r="DJ26" s="591"/>
      <c r="DK26" s="592"/>
      <c r="DL26" s="596">
        <f ca="1">OFFSET(Sector1!$G$252,0,(COLUMN()-8)/6)</f>
        <v>5.5049999999999999</v>
      </c>
      <c r="DM26" s="594"/>
      <c r="DN26" s="595"/>
      <c r="DO26" s="582"/>
      <c r="DP26" s="591"/>
      <c r="DQ26" s="592"/>
      <c r="DR26" s="596">
        <f ca="1">OFFSET(Sector1!$G$252,0,(COLUMN()-8)/6)</f>
        <v>5.9850000000000003</v>
      </c>
      <c r="DS26" s="594"/>
      <c r="DT26" s="595"/>
      <c r="DU26" s="582"/>
      <c r="DV26" s="591"/>
      <c r="DW26" s="592"/>
      <c r="DX26" s="596">
        <f ca="1">OFFSET(Sector1!$G$252,0,(COLUMN()-8)/6)</f>
        <v>6.6929999999999996</v>
      </c>
      <c r="DY26" s="594"/>
      <c r="DZ26" s="595"/>
      <c r="EA26" s="582"/>
      <c r="EB26" s="591"/>
      <c r="EC26" s="592"/>
      <c r="ED26" s="596">
        <f ca="1">OFFSET(Sector1!$G$252,0,(COLUMN()-8)/6)</f>
        <v>7.13</v>
      </c>
      <c r="EE26" s="594"/>
      <c r="EF26" s="595"/>
      <c r="EG26" s="582"/>
      <c r="EH26" s="591"/>
      <c r="EI26" s="592"/>
      <c r="EJ26" s="596">
        <f ca="1">OFFSET(Sector1!$G$252,0,(COLUMN()-8)/6)</f>
        <v>7.4980000000000002</v>
      </c>
      <c r="EK26" s="594"/>
      <c r="EL26" s="595"/>
      <c r="EM26" s="582"/>
      <c r="EN26" s="591"/>
      <c r="EO26" s="592"/>
      <c r="EP26" s="596">
        <f ca="1">OFFSET(Sector1!$G$252,0,(COLUMN()-8)/6)</f>
        <v>7.8054179999999995</v>
      </c>
      <c r="EQ26" s="594"/>
      <c r="ER26" s="595"/>
      <c r="ES26" s="582"/>
      <c r="ET26" s="591"/>
      <c r="EU26" s="592"/>
      <c r="EV26" s="596">
        <f ca="1">OFFSET(Sector1!$G$252,0,(COLUMN()-8)/6)</f>
        <v>8.0973406332</v>
      </c>
      <c r="EW26" s="594"/>
      <c r="EX26" s="595"/>
      <c r="EY26" s="582"/>
      <c r="EZ26" s="591"/>
      <c r="FA26" s="592"/>
      <c r="FB26" s="596">
        <f ca="1">OFFSET(Sector1!$G$252,0,(COLUMN()-8)/6)</f>
        <v>8.4001811728816804</v>
      </c>
      <c r="FC26" s="594"/>
      <c r="FD26" s="595"/>
    </row>
    <row r="27" spans="1:160" ht="13.15">
      <c r="A27" s="554"/>
      <c r="B27" s="555" t="s">
        <v>1791</v>
      </c>
      <c r="C27" s="3855" t="s">
        <v>1663</v>
      </c>
      <c r="D27" s="3856"/>
      <c r="E27" s="568">
        <f ca="1">+F27+G27+H27+I27</f>
        <v>393.06400000000002</v>
      </c>
      <c r="F27" s="566">
        <f ca="1">OFFSET(Sector1!$G$300,0,(COLUMN()-6)/6)</f>
        <v>393.06400000000002</v>
      </c>
      <c r="G27" s="565"/>
      <c r="H27" s="565"/>
      <c r="I27" s="566"/>
      <c r="J27" s="567"/>
      <c r="K27" s="568">
        <f t="shared" ref="K27:K34" ca="1" si="0">+L27+M27+N27</f>
        <v>384.529</v>
      </c>
      <c r="L27" s="566">
        <f ca="1">OFFSET(Sector1!$G$300,0,(COLUMN()-6)/6)</f>
        <v>384.529</v>
      </c>
      <c r="M27" s="565"/>
      <c r="N27" s="565"/>
      <c r="O27" s="566"/>
      <c r="P27" s="567"/>
      <c r="Q27" s="568">
        <f t="shared" ref="Q27:Q34" ca="1" si="1">+R27+S27+T27</f>
        <v>388.721</v>
      </c>
      <c r="R27" s="566">
        <f ca="1">OFFSET(Sector1!$G$300,0,(COLUMN()-6)/6)</f>
        <v>388.721</v>
      </c>
      <c r="S27" s="565"/>
      <c r="T27" s="565"/>
      <c r="U27" s="566"/>
      <c r="V27" s="567"/>
      <c r="W27" s="568">
        <f t="shared" ref="W27:W34" ca="1" si="2">+X27+Y27+Z27</f>
        <v>398.2</v>
      </c>
      <c r="X27" s="566">
        <f ca="1">OFFSET(Sector1!$G$300,0,(COLUMN()-6)/6)</f>
        <v>398.2</v>
      </c>
      <c r="Y27" s="565"/>
      <c r="Z27" s="565"/>
      <c r="AA27" s="566"/>
      <c r="AB27" s="567"/>
      <c r="AC27" s="568">
        <f t="shared" ref="AC27:AC34" ca="1" si="3">+AD27+AE27+AF27</f>
        <v>408.93700000000001</v>
      </c>
      <c r="AD27" s="566">
        <f ca="1">OFFSET(Sector1!$G$300,0,(COLUMN()-6)/6)</f>
        <v>408.93700000000001</v>
      </c>
      <c r="AE27" s="565"/>
      <c r="AF27" s="565"/>
      <c r="AG27" s="566"/>
      <c r="AH27" s="567"/>
      <c r="AI27" s="568">
        <f t="shared" ref="AI27:AI34" ca="1" si="4">+AJ27+AK27+AL27</f>
        <v>416.43599999999998</v>
      </c>
      <c r="AJ27" s="566">
        <f ca="1">OFFSET(Sector1!$G$300,0,(COLUMN()-6)/6)</f>
        <v>416.43599999999998</v>
      </c>
      <c r="AK27" s="565"/>
      <c r="AL27" s="565"/>
      <c r="AM27" s="566"/>
      <c r="AN27" s="567"/>
      <c r="AO27" s="568">
        <f t="shared" ref="AO27:AO34" ca="1" si="5">+AP27+AQ27+AR27</f>
        <v>427.11799999999999</v>
      </c>
      <c r="AP27" s="566">
        <f ca="1">OFFSET(Sector1!$G$300,0,(COLUMN()-6)/6)</f>
        <v>427.11799999999999</v>
      </c>
      <c r="AQ27" s="565"/>
      <c r="AR27" s="565"/>
      <c r="AS27" s="566"/>
      <c r="AT27" s="567"/>
      <c r="AU27" s="568">
        <f t="shared" ref="AU27:AU34" ca="1" si="6">+AV27+AW27+AX27</f>
        <v>449.99200000000002</v>
      </c>
      <c r="AV27" s="566">
        <f ca="1">OFFSET(Sector1!$G$300,0,(COLUMN()-6)/6)</f>
        <v>449.99200000000002</v>
      </c>
      <c r="AW27" s="565"/>
      <c r="AX27" s="565"/>
      <c r="AY27" s="566"/>
      <c r="AZ27" s="567"/>
      <c r="BA27" s="568">
        <f t="shared" ref="BA27:BA34" ca="1" si="7">+BB27+BC27+BD27</f>
        <v>482.87299999999999</v>
      </c>
      <c r="BB27" s="566">
        <f ca="1">OFFSET(Sector1!$G$300,0,(COLUMN()-6)/6)</f>
        <v>482.87299999999999</v>
      </c>
      <c r="BC27" s="565"/>
      <c r="BD27" s="565"/>
      <c r="BE27" s="566"/>
      <c r="BF27" s="567"/>
      <c r="BG27" s="568">
        <f t="shared" ref="BG27:BG34" ca="1" si="8">+BH27+BI27+BJ27</f>
        <v>498.27</v>
      </c>
      <c r="BH27" s="566">
        <f ca="1">OFFSET(Sector1!$G$300,0,(COLUMN()-6)/6)</f>
        <v>498.27</v>
      </c>
      <c r="BI27" s="565"/>
      <c r="BJ27" s="565"/>
      <c r="BK27" s="566"/>
      <c r="BL27" s="567"/>
      <c r="BM27" s="568">
        <f t="shared" ref="BM27:BM34" ca="1" si="9">+BN27+BO27+BP27</f>
        <v>512.846</v>
      </c>
      <c r="BN27" s="566">
        <f ca="1">OFFSET(Sector1!$G$300,0,(COLUMN()-6)/6)</f>
        <v>512.846</v>
      </c>
      <c r="BO27" s="565"/>
      <c r="BP27" s="565"/>
      <c r="BQ27" s="566"/>
      <c r="BR27" s="567"/>
      <c r="BS27" s="568">
        <f t="shared" ref="BS27:BS34" ca="1" si="10">+BT27+BU27+BV27</f>
        <v>522.58900000000006</v>
      </c>
      <c r="BT27" s="566">
        <f ca="1">OFFSET(Sector1!$G$300,0,(COLUMN()-6)/6)</f>
        <v>522.58900000000006</v>
      </c>
      <c r="BU27" s="565"/>
      <c r="BV27" s="565"/>
      <c r="BW27" s="566"/>
      <c r="BX27" s="567"/>
      <c r="BY27" s="568">
        <f t="shared" ref="BY27:BY34" ca="1" si="11">+BZ27+CA27+CB27</f>
        <v>521.36300000000006</v>
      </c>
      <c r="BZ27" s="566">
        <f ca="1">OFFSET(Sector1!$G$300,0,(COLUMN()-6)/6)</f>
        <v>521.36300000000006</v>
      </c>
      <c r="CA27" s="565"/>
      <c r="CB27" s="565"/>
      <c r="CC27" s="566"/>
      <c r="CD27" s="567"/>
      <c r="CE27" s="568">
        <f t="shared" ref="CE27:CE34" ca="1" si="12">+CF27+CG27+CH27</f>
        <v>541.76199999999994</v>
      </c>
      <c r="CF27" s="566">
        <f ca="1">OFFSET(Sector1!$G$300,0,(COLUMN()-6)/6)</f>
        <v>541.76199999999994</v>
      </c>
      <c r="CG27" s="565"/>
      <c r="CH27" s="565"/>
      <c r="CI27" s="566"/>
      <c r="CJ27" s="567"/>
      <c r="CK27" s="568">
        <f ca="1">+CL27+CM27+CN27</f>
        <v>578.91399999999999</v>
      </c>
      <c r="CL27" s="566">
        <f ca="1">OFFSET(Sector1!$G$300,0,(COLUMN()-6)/6)</f>
        <v>578.91399999999999</v>
      </c>
      <c r="CM27" s="565"/>
      <c r="CN27" s="565"/>
      <c r="CO27" s="566"/>
      <c r="CP27" s="567"/>
      <c r="CQ27" s="568">
        <f ca="1">+CR27+CS27+CT27</f>
        <v>585.17700000000002</v>
      </c>
      <c r="CR27" s="566">
        <f ca="1">OFFSET(Sector1!$G$300,0,(COLUMN()-6)/6)</f>
        <v>585.17700000000002</v>
      </c>
      <c r="CS27" s="565"/>
      <c r="CT27" s="565"/>
      <c r="CU27" s="566"/>
      <c r="CV27" s="567"/>
      <c r="CW27" s="568">
        <f ca="1">+CX27+CY27+CZ27</f>
        <v>594.27599999999995</v>
      </c>
      <c r="CX27" s="566">
        <f ca="1">OFFSET(Sector1!$G$300,0,(COLUMN()-6)/6)</f>
        <v>594.27599999999995</v>
      </c>
      <c r="CY27" s="565"/>
      <c r="CZ27" s="565"/>
      <c r="DA27" s="566"/>
      <c r="DB27" s="567"/>
      <c r="DC27" s="568">
        <f ca="1">+DD27+DE27+DF27</f>
        <v>620.572</v>
      </c>
      <c r="DD27" s="566">
        <f ca="1">OFFSET(Sector1!$G$300,0,(COLUMN()-6)/6)</f>
        <v>620.572</v>
      </c>
      <c r="DE27" s="565"/>
      <c r="DF27" s="565"/>
      <c r="DG27" s="566"/>
      <c r="DH27" s="567"/>
      <c r="DI27" s="568">
        <f ca="1">+DJ27+DK27+DL27</f>
        <v>653.56299999999999</v>
      </c>
      <c r="DJ27" s="566">
        <f ca="1">OFFSET(Sector1!$G$300,0,(COLUMN()-6)/6)</f>
        <v>653.56299999999999</v>
      </c>
      <c r="DK27" s="565"/>
      <c r="DL27" s="565"/>
      <c r="DM27" s="566"/>
      <c r="DN27" s="567"/>
      <c r="DO27" s="568">
        <f ca="1">+DP27+DQ27+DR27</f>
        <v>661.87699999999995</v>
      </c>
      <c r="DP27" s="566">
        <f ca="1">OFFSET(Sector1!$G$300,0,(COLUMN()-6)/6)</f>
        <v>661.87699999999995</v>
      </c>
      <c r="DQ27" s="565"/>
      <c r="DR27" s="565"/>
      <c r="DS27" s="566"/>
      <c r="DT27" s="567"/>
      <c r="DU27" s="568">
        <f ca="1">+DV27+DW27+DX27</f>
        <v>685.90899999999999</v>
      </c>
      <c r="DV27" s="566">
        <f ca="1">OFFSET(Sector1!$G$300,0,(COLUMN()-6)/6)</f>
        <v>685.90899999999999</v>
      </c>
      <c r="DW27" s="565"/>
      <c r="DX27" s="565"/>
      <c r="DY27" s="566"/>
      <c r="DZ27" s="567"/>
      <c r="EA27" s="568">
        <f ca="1">+EB27+EC27+ED27</f>
        <v>705.27</v>
      </c>
      <c r="EB27" s="566">
        <f ca="1">OFFSET(Sector1!$G$300,0,(COLUMN()-6)/6)</f>
        <v>705.27</v>
      </c>
      <c r="EC27" s="565"/>
      <c r="ED27" s="565"/>
      <c r="EE27" s="566"/>
      <c r="EF27" s="567"/>
      <c r="EG27" s="568">
        <f ca="1">+EH27+EI27+EJ27</f>
        <v>727.44799999999998</v>
      </c>
      <c r="EH27" s="566">
        <f ca="1">OFFSET(Sector1!$G$300,0,(COLUMN()-6)/6)</f>
        <v>727.44799999999998</v>
      </c>
      <c r="EI27" s="565"/>
      <c r="EJ27" s="565"/>
      <c r="EK27" s="566"/>
      <c r="EL27" s="567"/>
      <c r="EM27" s="568">
        <f ca="1">+EN27+EO27+EP27</f>
        <v>752.61527449999994</v>
      </c>
      <c r="EN27" s="566">
        <f ca="1">OFFSET(Sector1!$G$300,0,(COLUMN()-6)/6)</f>
        <v>752.61527449999994</v>
      </c>
      <c r="EO27" s="565"/>
      <c r="EP27" s="565"/>
      <c r="EQ27" s="566"/>
      <c r="ER27" s="567"/>
      <c r="ES27" s="568">
        <f ca="1">+ET27+EU27+EV27</f>
        <v>766.1217426715001</v>
      </c>
      <c r="ET27" s="566">
        <f ca="1">OFFSET(Sector1!$G$300,0,(COLUMN()-6)/6)</f>
        <v>766.1217426715001</v>
      </c>
      <c r="EU27" s="565"/>
      <c r="EV27" s="565"/>
      <c r="EW27" s="566"/>
      <c r="EX27" s="567"/>
      <c r="EY27" s="568">
        <f ca="1">+EZ27+FA27+FB27</f>
        <v>783.02811571874588</v>
      </c>
      <c r="EZ27" s="566">
        <f ca="1">OFFSET(Sector1!$G$300,0,(COLUMN()-6)/6)</f>
        <v>783.02811571874588</v>
      </c>
      <c r="FA27" s="565"/>
      <c r="FB27" s="565"/>
      <c r="FC27" s="566"/>
      <c r="FD27" s="567"/>
    </row>
    <row r="28" spans="1:160" ht="13.15">
      <c r="A28" s="554"/>
      <c r="B28" s="555" t="s">
        <v>1791</v>
      </c>
      <c r="C28" s="3855" t="s">
        <v>1664</v>
      </c>
      <c r="D28" s="3856"/>
      <c r="E28" s="568">
        <f ca="1">+F28+G28+H28+I28</f>
        <v>216.072</v>
      </c>
      <c r="F28" s="566">
        <f ca="1">OFFSET(Sector1!$G$322,0,(COLUMN()-6)/6)</f>
        <v>102.539</v>
      </c>
      <c r="G28" s="566">
        <f ca="1">OFFSET(Sector1!$G$324,0,(COLUMN()-7)/6)</f>
        <v>77.447000000000003</v>
      </c>
      <c r="H28" s="566">
        <f ca="1">OFFSET(Sector1!$G$326,0,(COLUMN()-8)/6)</f>
        <v>12.303000000000001</v>
      </c>
      <c r="I28" s="566">
        <f ca="1">OFFSET(Sector1!$G$327,0,(COLUMN()-9)/6)</f>
        <v>23.783000000000001</v>
      </c>
      <c r="J28" s="567"/>
      <c r="K28" s="568">
        <f t="shared" ca="1" si="0"/>
        <v>188.52699999999999</v>
      </c>
      <c r="L28" s="566">
        <f ca="1">OFFSET(Sector1!$G$322,0,(COLUMN()-6)/6)</f>
        <v>97.631</v>
      </c>
      <c r="M28" s="566">
        <f ca="1">OFFSET(Sector1!$G$324,0,(COLUMN()-7)/6)</f>
        <v>79.944000000000003</v>
      </c>
      <c r="N28" s="566">
        <f ca="1">OFFSET(Sector1!$G$326,0,(COLUMN()-8)/6)</f>
        <v>10.952</v>
      </c>
      <c r="O28" s="566">
        <f ca="1">OFFSET(Sector1!$G$327,0,(COLUMN()-9)/6)</f>
        <v>22.366</v>
      </c>
      <c r="P28" s="567"/>
      <c r="Q28" s="568">
        <f t="shared" ca="1" si="1"/>
        <v>181.95200000000003</v>
      </c>
      <c r="R28" s="566">
        <f ca="1">OFFSET(Sector1!$G$322,0,(COLUMN()-6)/6)</f>
        <v>100.682</v>
      </c>
      <c r="S28" s="566">
        <f ca="1">OFFSET(Sector1!$G$324,0,(COLUMN()-7)/6)</f>
        <v>72.350999999999999</v>
      </c>
      <c r="T28" s="566">
        <f ca="1">OFFSET(Sector1!$G$326,0,(COLUMN()-8)/6)</f>
        <v>8.9190000000000005</v>
      </c>
      <c r="U28" s="566">
        <f ca="1">OFFSET(Sector1!$G$327,0,(COLUMN()-9)/6)</f>
        <v>30.847000000000001</v>
      </c>
      <c r="V28" s="567"/>
      <c r="W28" s="568">
        <f t="shared" ca="1" si="2"/>
        <v>181.03100000000001</v>
      </c>
      <c r="X28" s="566">
        <f ca="1">OFFSET(Sector1!$G$322,0,(COLUMN()-6)/6)</f>
        <v>97.370999999999995</v>
      </c>
      <c r="Y28" s="566">
        <f ca="1">OFFSET(Sector1!$G$324,0,(COLUMN()-7)/6)</f>
        <v>71.884</v>
      </c>
      <c r="Z28" s="566">
        <f ca="1">OFFSET(Sector1!$G$326,0,(COLUMN()-8)/6)</f>
        <v>11.776</v>
      </c>
      <c r="AA28" s="566">
        <f ca="1">OFFSET(Sector1!$G$327,0,(COLUMN()-9)/6)</f>
        <v>28.785</v>
      </c>
      <c r="AB28" s="567"/>
      <c r="AC28" s="568">
        <f t="shared" ca="1" si="3"/>
        <v>197.899</v>
      </c>
      <c r="AD28" s="566">
        <f ca="1">OFFSET(Sector1!$G$322,0,(COLUMN()-6)/6)</f>
        <v>109.09099999999999</v>
      </c>
      <c r="AE28" s="566">
        <f ca="1">OFFSET(Sector1!$G$324,0,(COLUMN()-7)/6)</f>
        <v>77.661000000000001</v>
      </c>
      <c r="AF28" s="566">
        <f ca="1">OFFSET(Sector1!$G$326,0,(COLUMN()-8)/6)</f>
        <v>11.147</v>
      </c>
      <c r="AG28" s="566">
        <f ca="1">OFFSET(Sector1!$G$327,0,(COLUMN()-9)/6)</f>
        <v>29.4</v>
      </c>
      <c r="AH28" s="567"/>
      <c r="AI28" s="568">
        <f t="shared" ca="1" si="4"/>
        <v>226.828</v>
      </c>
      <c r="AJ28" s="566">
        <f ca="1">OFFSET(Sector1!$G$322,0,(COLUMN()-6)/6)</f>
        <v>125.325</v>
      </c>
      <c r="AK28" s="566">
        <f ca="1">OFFSET(Sector1!$G$324,0,(COLUMN()-7)/6)</f>
        <v>88.879000000000005</v>
      </c>
      <c r="AL28" s="566">
        <f ca="1">OFFSET(Sector1!$G$326,0,(COLUMN()-8)/6)</f>
        <v>12.624000000000001</v>
      </c>
      <c r="AM28" s="566">
        <f ca="1">OFFSET(Sector1!$G$327,0,(COLUMN()-9)/6)</f>
        <v>30.478000000000002</v>
      </c>
      <c r="AN28" s="567"/>
      <c r="AO28" s="568">
        <f t="shared" ca="1" si="5"/>
        <v>230.3</v>
      </c>
      <c r="AP28" s="566">
        <f ca="1">OFFSET(Sector1!$G$322,0,(COLUMN()-6)/6)</f>
        <v>130.386</v>
      </c>
      <c r="AQ28" s="566">
        <f ca="1">OFFSET(Sector1!$G$324,0,(COLUMN()-7)/6)</f>
        <v>87.59</v>
      </c>
      <c r="AR28" s="566">
        <f ca="1">OFFSET(Sector1!$G$326,0,(COLUMN()-8)/6)</f>
        <v>12.324</v>
      </c>
      <c r="AS28" s="566">
        <f ca="1">OFFSET(Sector1!$G$327,0,(COLUMN()-9)/6)</f>
        <v>31.259</v>
      </c>
      <c r="AT28" s="567"/>
      <c r="AU28" s="568">
        <f t="shared" ca="1" si="6"/>
        <v>217.43100000000001</v>
      </c>
      <c r="AV28" s="566">
        <f ca="1">OFFSET(Sector1!$G$322,0,(COLUMN()-6)/6)</f>
        <v>115.483</v>
      </c>
      <c r="AW28" s="566">
        <f ca="1">OFFSET(Sector1!$G$324,0,(COLUMN()-7)/6)</f>
        <v>89.097999999999999</v>
      </c>
      <c r="AX28" s="566">
        <f ca="1">OFFSET(Sector1!$G$326,0,(COLUMN()-8)/6)</f>
        <v>12.85</v>
      </c>
      <c r="AY28" s="566">
        <f ca="1">OFFSET(Sector1!$G$327,0,(COLUMN()-9)/6)</f>
        <v>29.693000000000001</v>
      </c>
      <c r="AZ28" s="567"/>
      <c r="BA28" s="568">
        <f t="shared" ca="1" si="7"/>
        <v>213.274</v>
      </c>
      <c r="BB28" s="566">
        <f ca="1">OFFSET(Sector1!$G$322,0,(COLUMN()-6)/6)</f>
        <v>130.25899999999999</v>
      </c>
      <c r="BC28" s="566">
        <f ca="1">OFFSET(Sector1!$G$324,0,(COLUMN()-7)/6)</f>
        <v>70.971999999999994</v>
      </c>
      <c r="BD28" s="566">
        <f ca="1">OFFSET(Sector1!$G$326,0,(COLUMN()-8)/6)</f>
        <v>12.042999999999999</v>
      </c>
      <c r="BE28" s="566">
        <f ca="1">OFFSET(Sector1!$G$327,0,(COLUMN()-9)/6)</f>
        <v>32.323</v>
      </c>
      <c r="BF28" s="567"/>
      <c r="BG28" s="568">
        <f t="shared" ca="1" si="8"/>
        <v>229.11799999999999</v>
      </c>
      <c r="BH28" s="566">
        <f ca="1">OFFSET(Sector1!$G$322,0,(COLUMN()-6)/6)</f>
        <v>138.995</v>
      </c>
      <c r="BI28" s="566">
        <f ca="1">OFFSET(Sector1!$G$324,0,(COLUMN()-7)/6)</f>
        <v>77.784000000000006</v>
      </c>
      <c r="BJ28" s="566">
        <f ca="1">OFFSET(Sector1!$G$326,0,(COLUMN()-8)/6)</f>
        <v>12.339</v>
      </c>
      <c r="BK28" s="566">
        <f ca="1">OFFSET(Sector1!$G$327,0,(COLUMN()-9)/6)</f>
        <v>36.35</v>
      </c>
      <c r="BL28" s="567"/>
      <c r="BM28" s="568">
        <f t="shared" ca="1" si="9"/>
        <v>236.23299999999998</v>
      </c>
      <c r="BN28" s="566">
        <f ca="1">OFFSET(Sector1!$G$322,0,(COLUMN()-6)/6)</f>
        <v>143.76599999999999</v>
      </c>
      <c r="BO28" s="566">
        <f ca="1">OFFSET(Sector1!$G$324,0,(COLUMN()-7)/6)</f>
        <v>79.251999999999995</v>
      </c>
      <c r="BP28" s="566">
        <f ca="1">OFFSET(Sector1!$G$326,0,(COLUMN()-8)/6)</f>
        <v>13.215</v>
      </c>
      <c r="BQ28" s="566">
        <f ca="1">OFFSET(Sector1!$G$327,0,(COLUMN()-9)/6)</f>
        <v>38.520000000000003</v>
      </c>
      <c r="BR28" s="567"/>
      <c r="BS28" s="568">
        <f t="shared" ca="1" si="10"/>
        <v>241.739</v>
      </c>
      <c r="BT28" s="566">
        <f ca="1">OFFSET(Sector1!$G$322,0,(COLUMN()-6)/6)</f>
        <v>143.327</v>
      </c>
      <c r="BU28" s="566">
        <f ca="1">OFFSET(Sector1!$G$324,0,(COLUMN()-7)/6)</f>
        <v>84.22</v>
      </c>
      <c r="BV28" s="566">
        <f ca="1">OFFSET(Sector1!$G$326,0,(COLUMN()-8)/6)</f>
        <v>14.192</v>
      </c>
      <c r="BW28" s="566">
        <f ca="1">OFFSET(Sector1!$G$327,0,(COLUMN()-9)/6)</f>
        <v>43.356999999999999</v>
      </c>
      <c r="BX28" s="567"/>
      <c r="BY28" s="568">
        <f t="shared" ca="1" si="11"/>
        <v>247.47199999999998</v>
      </c>
      <c r="BZ28" s="566">
        <f ca="1">OFFSET(Sector1!$G$322,0,(COLUMN()-6)/6)</f>
        <v>144.01599999999999</v>
      </c>
      <c r="CA28" s="566">
        <f ca="1">OFFSET(Sector1!$G$324,0,(COLUMN()-7)/6)</f>
        <v>82.07</v>
      </c>
      <c r="CB28" s="566">
        <f ca="1">OFFSET(Sector1!$G$326,0,(COLUMN()-8)/6)</f>
        <v>21.385999999999999</v>
      </c>
      <c r="CC28" s="566">
        <f ca="1">OFFSET(Sector1!$G$327,0,(COLUMN()-9)/6)</f>
        <v>44.103000000000002</v>
      </c>
      <c r="CD28" s="567"/>
      <c r="CE28" s="568">
        <f t="shared" ca="1" si="12"/>
        <v>242.45100000000002</v>
      </c>
      <c r="CF28" s="566">
        <f ca="1">OFFSET(Sector1!$G$322,0,(COLUMN()-6)/6)</f>
        <v>146.232</v>
      </c>
      <c r="CG28" s="566">
        <f ca="1">OFFSET(Sector1!$G$324,0,(COLUMN()-7)/6)</f>
        <v>75.296000000000006</v>
      </c>
      <c r="CH28" s="566">
        <f ca="1">OFFSET(Sector1!$G$326,0,(COLUMN()-8)/6)</f>
        <v>20.922999999999998</v>
      </c>
      <c r="CI28" s="566">
        <f ca="1">OFFSET(Sector1!$G$327,0,(COLUMN()-9)/6)</f>
        <v>50.978000000000002</v>
      </c>
      <c r="CJ28" s="567"/>
      <c r="CK28" s="568">
        <f ca="1">+CL28+CM28+CN28</f>
        <v>253.54300000000001</v>
      </c>
      <c r="CL28" s="566">
        <f ca="1">OFFSET(Sector1!$G$322,0,(COLUMN()-6)/6)</f>
        <v>148.62100000000001</v>
      </c>
      <c r="CM28" s="566">
        <f ca="1">OFFSET(Sector1!$G$324,0,(COLUMN()-7)/6)</f>
        <v>81.533000000000001</v>
      </c>
      <c r="CN28" s="566">
        <f ca="1">OFFSET(Sector1!$G$326,0,(COLUMN()-8)/6)</f>
        <v>23.388999999999999</v>
      </c>
      <c r="CO28" s="566">
        <f ca="1">OFFSET(Sector1!$G$327,0,(COLUMN()-9)/6)</f>
        <v>40.348999999999997</v>
      </c>
      <c r="CP28" s="567"/>
      <c r="CQ28" s="568">
        <f ca="1">+CR28+CS28+CT28</f>
        <v>249.23100000000002</v>
      </c>
      <c r="CR28" s="566">
        <f ca="1">OFFSET(Sector1!$G$322,0,(COLUMN()-6)/6)</f>
        <v>148.78800000000001</v>
      </c>
      <c r="CS28" s="566">
        <f ca="1">OFFSET(Sector1!$G$324,0,(COLUMN()-7)/6)</f>
        <v>76.001999999999995</v>
      </c>
      <c r="CT28" s="566">
        <f ca="1">OFFSET(Sector1!$G$326,0,(COLUMN()-8)/6)</f>
        <v>24.440999999999999</v>
      </c>
      <c r="CU28" s="566">
        <f ca="1">OFFSET(Sector1!$G$327,0,(COLUMN()-9)/6)</f>
        <v>49.316000000000003</v>
      </c>
      <c r="CV28" s="567"/>
      <c r="CW28" s="568">
        <f ca="1">+CX28+CY28+CZ28</f>
        <v>249.92499999999998</v>
      </c>
      <c r="CX28" s="566">
        <f ca="1">OFFSET(Sector1!$G$322,0,(COLUMN()-6)/6)</f>
        <v>147.50299999999999</v>
      </c>
      <c r="CY28" s="566">
        <f ca="1">OFFSET(Sector1!$G$324,0,(COLUMN()-7)/6)</f>
        <v>80.510000000000005</v>
      </c>
      <c r="CZ28" s="566">
        <f ca="1">OFFSET(Sector1!$G$326,0,(COLUMN()-8)/6)</f>
        <v>21.911999999999999</v>
      </c>
      <c r="DA28" s="566">
        <f ca="1">OFFSET(Sector1!$G$327,0,(COLUMN()-9)/6)</f>
        <v>51.017000000000003</v>
      </c>
      <c r="DB28" s="567"/>
      <c r="DC28" s="568">
        <f ca="1">+DD28+DE28+DF28</f>
        <v>247.44900000000001</v>
      </c>
      <c r="DD28" s="566">
        <f ca="1">OFFSET(Sector1!$G$322,0,(COLUMN()-6)/6)</f>
        <v>153.268</v>
      </c>
      <c r="DE28" s="566">
        <f ca="1">OFFSET(Sector1!$G$324,0,(COLUMN()-7)/6)</f>
        <v>69.853999999999999</v>
      </c>
      <c r="DF28" s="566">
        <f ca="1">OFFSET(Sector1!$G$326,0,(COLUMN()-8)/6)</f>
        <v>24.327000000000002</v>
      </c>
      <c r="DG28" s="566">
        <f ca="1">OFFSET(Sector1!$G$327,0,(COLUMN()-9)/6)</f>
        <v>51.63</v>
      </c>
      <c r="DH28" s="567"/>
      <c r="DI28" s="568">
        <f ca="1">+DJ28+DK28+DL28</f>
        <v>257.29700000000003</v>
      </c>
      <c r="DJ28" s="566">
        <f ca="1">OFFSET(Sector1!$G$322,0,(COLUMN()-6)/6)</f>
        <v>158.09399999999999</v>
      </c>
      <c r="DK28" s="566">
        <f ca="1">OFFSET(Sector1!$G$324,0,(COLUMN()-7)/6)</f>
        <v>75.548000000000002</v>
      </c>
      <c r="DL28" s="566">
        <f ca="1">OFFSET(Sector1!$G$326,0,(COLUMN()-8)/6)</f>
        <v>23.655000000000001</v>
      </c>
      <c r="DM28" s="566">
        <f ca="1">OFFSET(Sector1!$G$327,0,(COLUMN()-9)/6)</f>
        <v>55.81</v>
      </c>
      <c r="DN28" s="567"/>
      <c r="DO28" s="568">
        <f ca="1">+DP28+DQ28+DR28</f>
        <v>259.92399999999998</v>
      </c>
      <c r="DP28" s="566">
        <f ca="1">OFFSET(Sector1!$G$322,0,(COLUMN()-6)/6)</f>
        <v>159.96299999999999</v>
      </c>
      <c r="DQ28" s="566">
        <f ca="1">OFFSET(Sector1!$G$324,0,(COLUMN()-7)/6)</f>
        <v>77.938999999999993</v>
      </c>
      <c r="DR28" s="566">
        <f ca="1">OFFSET(Sector1!$G$326,0,(COLUMN()-8)/6)</f>
        <v>22.021999999999998</v>
      </c>
      <c r="DS28" s="566">
        <f ca="1">OFFSET(Sector1!$G$327,0,(COLUMN()-9)/6)</f>
        <v>57.953000000000003</v>
      </c>
      <c r="DT28" s="567"/>
      <c r="DU28" s="568">
        <f ca="1">+DV28+DW28+DX28</f>
        <v>262.05100000000004</v>
      </c>
      <c r="DV28" s="566">
        <f ca="1">OFFSET(Sector1!$G$322,0,(COLUMN()-6)/6)</f>
        <v>165.22900000000001</v>
      </c>
      <c r="DW28" s="566">
        <f ca="1">OFFSET(Sector1!$G$324,0,(COLUMN()-7)/6)</f>
        <v>74.897000000000006</v>
      </c>
      <c r="DX28" s="566">
        <f ca="1">OFFSET(Sector1!$G$326,0,(COLUMN()-8)/6)</f>
        <v>21.925000000000001</v>
      </c>
      <c r="DY28" s="566">
        <f ca="1">OFFSET(Sector1!$G$327,0,(COLUMN()-9)/6)</f>
        <v>58.101999999999997</v>
      </c>
      <c r="DZ28" s="567"/>
      <c r="EA28" s="568">
        <f ca="1">+EB28+EC28+ED28</f>
        <v>269.25200000000001</v>
      </c>
      <c r="EB28" s="566">
        <f ca="1">OFFSET(Sector1!$G$322,0,(COLUMN()-6)/6)</f>
        <v>175.31700000000001</v>
      </c>
      <c r="EC28" s="566">
        <f ca="1">OFFSET(Sector1!$G$324,0,(COLUMN()-7)/6)</f>
        <v>70.489999999999995</v>
      </c>
      <c r="ED28" s="566">
        <f ca="1">OFFSET(Sector1!$G$326,0,(COLUMN()-8)/6)</f>
        <v>23.445</v>
      </c>
      <c r="EE28" s="566">
        <f ca="1">OFFSET(Sector1!$G$327,0,(COLUMN()-9)/6)</f>
        <v>48.780999999999999</v>
      </c>
      <c r="EF28" s="567"/>
      <c r="EG28" s="568">
        <f ca="1">+EH28+EI28+EJ28</f>
        <v>286.38400000000001</v>
      </c>
      <c r="EH28" s="566">
        <f ca="1">OFFSET(Sector1!$G$322,0,(COLUMN()-6)/6)</f>
        <v>180.054</v>
      </c>
      <c r="EI28" s="566">
        <f ca="1">OFFSET(Sector1!$G$324,0,(COLUMN()-7)/6)</f>
        <v>81.120999999999995</v>
      </c>
      <c r="EJ28" s="566">
        <f ca="1">OFFSET(Sector1!$G$326,0,(COLUMN()-8)/6)</f>
        <v>25.209</v>
      </c>
      <c r="EK28" s="566">
        <f ca="1">OFFSET(Sector1!$G$327,0,(COLUMN()-9)/6)</f>
        <v>60.887999999999998</v>
      </c>
      <c r="EL28" s="567"/>
      <c r="EM28" s="568">
        <f ca="1">+EN28+EO28+EP28</f>
        <v>297.26121000000001</v>
      </c>
      <c r="EN28" s="566">
        <f ca="1">OFFSET(Sector1!$G$322,0,(COLUMN()-6)/6)</f>
        <v>189.05670000000001</v>
      </c>
      <c r="EO28" s="566">
        <f ca="1">OFFSET(Sector1!$G$324,0,(COLUMN()-7)/6)</f>
        <v>82.74342</v>
      </c>
      <c r="EP28" s="566">
        <f ca="1">OFFSET(Sector1!$G$326,0,(COLUMN()-8)/6)</f>
        <v>25.461089999999999</v>
      </c>
      <c r="EQ28" s="566">
        <f ca="1">OFFSET(Sector1!$G$327,0,(COLUMN()-9)/6)</f>
        <v>62.489639999999994</v>
      </c>
      <c r="ER28" s="567"/>
      <c r="ES28" s="568">
        <f ca="1">+ET28+EU28+EV28</f>
        <v>303.35608424999998</v>
      </c>
      <c r="ET28" s="566">
        <f ca="1">OFFSET(Sector1!$G$322,0,(COLUMN()-6)/6)</f>
        <v>193.7831175</v>
      </c>
      <c r="EU28" s="566">
        <f ca="1">OFFSET(Sector1!$G$324,0,(COLUMN()-7)/6)</f>
        <v>83.984571299999999</v>
      </c>
      <c r="EV28" s="566">
        <f ca="1">OFFSET(Sector1!$G$326,0,(COLUMN()-8)/6)</f>
        <v>25.588395449999997</v>
      </c>
      <c r="EW28" s="566">
        <f ca="1">OFFSET(Sector1!$G$327,0,(COLUMN()-9)/6)</f>
        <v>65.200004099999987</v>
      </c>
      <c r="EX28" s="567"/>
      <c r="EY28" s="568">
        <f ca="1">+EZ28+FA28+FB28</f>
        <v>309.58837273424996</v>
      </c>
      <c r="EZ28" s="566">
        <f ca="1">OFFSET(Sector1!$G$322,0,(COLUMN()-6)/6)</f>
        <v>198.62769543749999</v>
      </c>
      <c r="FA28" s="566">
        <f ca="1">OFFSET(Sector1!$G$324,0,(COLUMN()-7)/6)</f>
        <v>85.244339869499996</v>
      </c>
      <c r="FB28" s="566">
        <f ca="1">OFFSET(Sector1!$G$326,0,(COLUMN()-8)/6)</f>
        <v>25.716337427249993</v>
      </c>
      <c r="FC28" s="566">
        <f ca="1">OFFSET(Sector1!$G$327,0,(COLUMN()-9)/6)</f>
        <v>66.915625461749997</v>
      </c>
      <c r="FD28" s="567"/>
    </row>
    <row r="29" spans="1:160" s="564" customFormat="1" ht="13.15">
      <c r="A29" s="559"/>
      <c r="B29" s="560" t="s">
        <v>1793</v>
      </c>
      <c r="C29" s="3868" t="s">
        <v>1665</v>
      </c>
      <c r="D29" s="3869"/>
      <c r="E29" s="570">
        <f ca="1">+F29+G29+H29</f>
        <v>2985.4830000000002</v>
      </c>
      <c r="F29" s="570">
        <f ca="1">+F22+F23+F24+F27+F28</f>
        <v>1526.5920000000001</v>
      </c>
      <c r="G29" s="570">
        <f ca="1">+G22+G23+G24+G27+G28</f>
        <v>599.87499999999989</v>
      </c>
      <c r="H29" s="570">
        <f ca="1">+H22+H23+H24+H27+H28</f>
        <v>859.01600000000008</v>
      </c>
      <c r="I29" s="571"/>
      <c r="J29" s="567"/>
      <c r="K29" s="570">
        <f t="shared" ca="1" si="0"/>
        <v>3064.6450000000004</v>
      </c>
      <c r="L29" s="570">
        <f ca="1">+L22+L23+L24+L27+L28</f>
        <v>1568.373</v>
      </c>
      <c r="M29" s="570">
        <f ca="1">+M22+M23+M24+M27+M28</f>
        <v>567.78000000000009</v>
      </c>
      <c r="N29" s="570">
        <f ca="1">+N22+N23+N24+N27+N28</f>
        <v>928.49200000000008</v>
      </c>
      <c r="O29" s="571"/>
      <c r="P29" s="567"/>
      <c r="Q29" s="570">
        <f t="shared" ca="1" si="1"/>
        <v>3196.239</v>
      </c>
      <c r="R29" s="570">
        <f ca="1">+R22+R23+R24+R27+R28</f>
        <v>1611.6130000000001</v>
      </c>
      <c r="S29" s="570">
        <f ca="1">+S22+S23+S24+S27+S28</f>
        <v>609.55399999999997</v>
      </c>
      <c r="T29" s="570">
        <f ca="1">+T22+T23+T24+T27+T28</f>
        <v>975.072</v>
      </c>
      <c r="U29" s="571"/>
      <c r="V29" s="567"/>
      <c r="W29" s="570">
        <f t="shared" ca="1" si="2"/>
        <v>3304.3870000000006</v>
      </c>
      <c r="X29" s="570">
        <f ca="1">+X22+X23+X24+X27+X28</f>
        <v>1625.68</v>
      </c>
      <c r="Y29" s="570">
        <f ca="1">+Y22+Y23+Y24+Y27+Y28</f>
        <v>630.31800000000021</v>
      </c>
      <c r="Z29" s="570">
        <f ca="1">+Z22+Z23+Z24+Z27+Z28</f>
        <v>1048.3889999999999</v>
      </c>
      <c r="AA29" s="571"/>
      <c r="AB29" s="567"/>
      <c r="AC29" s="570">
        <f t="shared" ca="1" si="3"/>
        <v>3432.7950000000001</v>
      </c>
      <c r="AD29" s="570">
        <f ca="1">+AD22+AD23+AD24+AD27+AD28</f>
        <v>1641.402</v>
      </c>
      <c r="AE29" s="570">
        <f ca="1">+AE22+AE23+AE24+AE27+AE28</f>
        <v>679.31299999999987</v>
      </c>
      <c r="AF29" s="570">
        <f ca="1">+AF22+AF23+AF24+AF27+AF28</f>
        <v>1112.08</v>
      </c>
      <c r="AG29" s="571"/>
      <c r="AH29" s="567"/>
      <c r="AI29" s="570">
        <f t="shared" ca="1" si="4"/>
        <v>3776.2669999999998</v>
      </c>
      <c r="AJ29" s="570">
        <f ca="1">+AJ22+AJ23+AJ24+AJ27+AJ28</f>
        <v>1870.905</v>
      </c>
      <c r="AK29" s="570">
        <f ca="1">+AK22+AK23+AK24+AK27+AK28</f>
        <v>710.13499999999999</v>
      </c>
      <c r="AL29" s="570">
        <f ca="1">+AL22+AL23+AL24+AL27+AL28</f>
        <v>1195.2270000000001</v>
      </c>
      <c r="AM29" s="571"/>
      <c r="AN29" s="567"/>
      <c r="AO29" s="570">
        <f t="shared" ca="1" si="5"/>
        <v>3861.645</v>
      </c>
      <c r="AP29" s="570">
        <f ca="1">+AP22+AP23+AP24+AP27+AP28</f>
        <v>1951.1689999999999</v>
      </c>
      <c r="AQ29" s="570">
        <f ca="1">+AQ22+AQ23+AQ24+AQ27+AQ28</f>
        <v>707.31300000000022</v>
      </c>
      <c r="AR29" s="570">
        <f ca="1">+AR22+AR23+AR24+AR27+AR28</f>
        <v>1203.163</v>
      </c>
      <c r="AS29" s="571"/>
      <c r="AT29" s="567"/>
      <c r="AU29" s="570">
        <f t="shared" ca="1" si="6"/>
        <v>3945.1759999999999</v>
      </c>
      <c r="AV29" s="570">
        <f ca="1">+AV22+AV23+AV24+AV27+AV28</f>
        <v>1992.3889999999997</v>
      </c>
      <c r="AW29" s="570">
        <f ca="1">+AW22+AW23+AW24+AW27+AW28</f>
        <v>755.14599999999996</v>
      </c>
      <c r="AX29" s="570">
        <f ca="1">+AX22+AX23+AX24+AX27+AX28</f>
        <v>1197.6410000000001</v>
      </c>
      <c r="AY29" s="571"/>
      <c r="AZ29" s="567"/>
      <c r="BA29" s="570">
        <f t="shared" ca="1" si="7"/>
        <v>4166.1080000000002</v>
      </c>
      <c r="BB29" s="570">
        <f ca="1">+BB22+BB23+BB24+BB27+BB28</f>
        <v>2075.355</v>
      </c>
      <c r="BC29" s="570">
        <f ca="1">+BC22+BC23+BC24+BC27+BC28</f>
        <v>814.06</v>
      </c>
      <c r="BD29" s="570">
        <f ca="1">+BD22+BD23+BD24+BD27+BD28</f>
        <v>1276.693</v>
      </c>
      <c r="BE29" s="571"/>
      <c r="BF29" s="567"/>
      <c r="BG29" s="570">
        <f t="shared" ca="1" si="8"/>
        <v>4345.5930000000008</v>
      </c>
      <c r="BH29" s="570">
        <f ca="1">+BH22+BH23+BH24+BH27+BH28</f>
        <v>2142.7620000000002</v>
      </c>
      <c r="BI29" s="570">
        <f ca="1">+BI22+BI23+BI24+BI27+BI28</f>
        <v>851.68200000000013</v>
      </c>
      <c r="BJ29" s="570">
        <f ca="1">+BJ22+BJ23+BJ24+BJ27+BJ28</f>
        <v>1351.1489999999999</v>
      </c>
      <c r="BK29" s="571"/>
      <c r="BL29" s="567"/>
      <c r="BM29" s="570">
        <f t="shared" ca="1" si="9"/>
        <v>4546.5219999999999</v>
      </c>
      <c r="BN29" s="570">
        <f ca="1">+BN22+BN23+BN24+BN27+BN28</f>
        <v>2229.5970000000002</v>
      </c>
      <c r="BO29" s="570">
        <f ca="1">+BO22+BO23+BO24+BO27+BO28</f>
        <v>879.73299999999995</v>
      </c>
      <c r="BP29" s="570">
        <f ca="1">+BP22+BP23+BP24+BP27+BP28</f>
        <v>1437.192</v>
      </c>
      <c r="BQ29" s="571"/>
      <c r="BR29" s="1932"/>
      <c r="BS29" s="570">
        <f t="shared" ca="1" si="10"/>
        <v>4845.2659999999996</v>
      </c>
      <c r="BT29" s="570">
        <f ca="1">+BT22+BT23+BT24+BT27+BT28</f>
        <v>2351.2669999999998</v>
      </c>
      <c r="BU29" s="570">
        <f ca="1">+BU22+BU23+BU24+BU27+BU28</f>
        <v>985.03500000000008</v>
      </c>
      <c r="BV29" s="570">
        <f ca="1">+BV22+BV23+BV24+BV27+BV28</f>
        <v>1508.9639999999999</v>
      </c>
      <c r="BW29" s="571"/>
      <c r="BX29" s="567"/>
      <c r="BY29" s="570">
        <f t="shared" ca="1" si="11"/>
        <v>5111.9619999999995</v>
      </c>
      <c r="BZ29" s="570">
        <f ca="1">+BZ22+BZ23+BZ24+BZ27+BZ28</f>
        <v>2493.596</v>
      </c>
      <c r="CA29" s="570">
        <f ca="1">+CA22+CA23+CA24+CA27+CA28</f>
        <v>1030.8009999999999</v>
      </c>
      <c r="CB29" s="570">
        <f ca="1">+CB22+CB23+CB24+CB27+CB28</f>
        <v>1587.5649999999998</v>
      </c>
      <c r="CC29" s="571"/>
      <c r="CD29" s="567"/>
      <c r="CE29" s="570">
        <f t="shared" ca="1" si="12"/>
        <v>5236.5140000000001</v>
      </c>
      <c r="CF29" s="570">
        <f ca="1">+CF22+CF23+CF24+CF27+CF28</f>
        <v>2610.8379999999997</v>
      </c>
      <c r="CG29" s="570">
        <f ca="1">+CG22+CG23+CG24+CG27+CG28</f>
        <v>1018.6030000000003</v>
      </c>
      <c r="CH29" s="570">
        <f ca="1">+CH22+CH23+CH24+CH27+CH28</f>
        <v>1607.0730000000003</v>
      </c>
      <c r="CI29" s="571"/>
      <c r="CJ29" s="567"/>
      <c r="CK29" s="570">
        <f ca="1">+CL29+CM29+CN29</f>
        <v>5089.1679999999997</v>
      </c>
      <c r="CL29" s="570">
        <f ca="1">+CL22+CL23+CL24+CL27+CL28</f>
        <v>2627.491</v>
      </c>
      <c r="CM29" s="570">
        <f ca="1">+CM22+CM23+CM24+CM27+CM28</f>
        <v>886.88499999999988</v>
      </c>
      <c r="CN29" s="570">
        <f ca="1">+CN22+CN23+CN24+CN27+CN28</f>
        <v>1574.7919999999999</v>
      </c>
      <c r="CO29" s="571"/>
      <c r="CP29" s="567"/>
      <c r="CQ29" s="570">
        <f ca="1">+CR29+CS29+CT29</f>
        <v>5424.6450000000004</v>
      </c>
      <c r="CR29" s="570">
        <f ca="1">+CR22+CR23+CR24+CR27+CR28</f>
        <v>2753.018</v>
      </c>
      <c r="CS29" s="570">
        <f ca="1">+CS22+CS23+CS24+CS27+CS28</f>
        <v>1027.318</v>
      </c>
      <c r="CT29" s="570">
        <f ca="1">+CT22+CT23+CT24+CT27+CT28</f>
        <v>1644.3089999999997</v>
      </c>
      <c r="CU29" s="571"/>
      <c r="CV29" s="567"/>
      <c r="CW29" s="570">
        <f ca="1">+CX29+CY29+CZ29</f>
        <v>5570.8370000000004</v>
      </c>
      <c r="CX29" s="570">
        <f ca="1">+CX22+CX23+CX24+CX27+CX28</f>
        <v>2853.3670000000002</v>
      </c>
      <c r="CY29" s="570">
        <f ca="1">+CY22+CY23+CY24+CY27+CY28</f>
        <v>1037.6340000000005</v>
      </c>
      <c r="CZ29" s="570">
        <f ca="1">+CZ22+CZ23+CZ24+CZ27+CZ28</f>
        <v>1679.8359999999998</v>
      </c>
      <c r="DA29" s="571"/>
      <c r="DB29" s="567"/>
      <c r="DC29" s="570">
        <f ca="1">+DD29+DE29+DF29</f>
        <v>5629.8860000000004</v>
      </c>
      <c r="DD29" s="570">
        <f ca="1">+DD22+DD23+DD24+DD27+DD28</f>
        <v>2947.2050000000004</v>
      </c>
      <c r="DE29" s="570">
        <f ca="1">+DE22+DE23+DE24+DE27+DE28</f>
        <v>979.7660000000003</v>
      </c>
      <c r="DF29" s="570">
        <f ca="1">+DF22+DF23+DF24+DF27+DF28</f>
        <v>1702.915</v>
      </c>
      <c r="DG29" s="571"/>
      <c r="DH29" s="567"/>
      <c r="DI29" s="570">
        <f ca="1">+DJ29+DK29+DL29</f>
        <v>5807.4490000000005</v>
      </c>
      <c r="DJ29" s="570">
        <f ca="1">+DJ22+DJ23+DJ24+DJ27+DJ28</f>
        <v>3045.8590000000004</v>
      </c>
      <c r="DK29" s="570">
        <f ca="1">+DK22+DK23+DK24+DK27+DK28</f>
        <v>1003.5160000000001</v>
      </c>
      <c r="DL29" s="570">
        <f ca="1">+DL22+DL23+DL24+DL27+DL28</f>
        <v>1758.0739999999998</v>
      </c>
      <c r="DM29" s="571"/>
      <c r="DN29" s="567"/>
      <c r="DO29" s="570">
        <f ca="1">+DP29+DQ29+DR29</f>
        <v>6050.6030000000001</v>
      </c>
      <c r="DP29" s="570">
        <f ca="1">+DP22+DP23+DP24+DP27+DP28</f>
        <v>3183.183</v>
      </c>
      <c r="DQ29" s="570">
        <f ca="1">+DQ22+DQ23+DQ24+DQ27+DQ28</f>
        <v>1059.175</v>
      </c>
      <c r="DR29" s="570">
        <f ca="1">+DR22+DR23+DR24+DR27+DR28</f>
        <v>1808.2450000000001</v>
      </c>
      <c r="DS29" s="571"/>
      <c r="DT29" s="567"/>
      <c r="DU29" s="570">
        <f ca="1">+DV29+DW29+DX29</f>
        <v>6377.0670000000009</v>
      </c>
      <c r="DV29" s="570">
        <f ca="1">+DV22+DV23+DV24+DV27+DV28</f>
        <v>3303.69</v>
      </c>
      <c r="DW29" s="570">
        <f ca="1">+DW22+DW23+DW24+DW27+DW28</f>
        <v>1120.2600000000004</v>
      </c>
      <c r="DX29" s="570">
        <f ca="1">+DX22+DX23+DX24+DX27+DX28</f>
        <v>1953.117</v>
      </c>
      <c r="DY29" s="571"/>
      <c r="DZ29" s="567"/>
      <c r="EA29" s="570">
        <f ca="1">+EB29+EC29+ED29</f>
        <v>6661.7749999999996</v>
      </c>
      <c r="EB29" s="570">
        <f ca="1">+EB22+EB23+EB24+EB27+EB28</f>
        <v>3479.8929999999996</v>
      </c>
      <c r="EC29" s="570">
        <f ca="1">+EC22+EC23+EC24+EC27+EC28</f>
        <v>1092.8370000000002</v>
      </c>
      <c r="ED29" s="570">
        <f ca="1">+ED22+ED23+ED24+ED27+ED28</f>
        <v>2089.0450000000001</v>
      </c>
      <c r="EE29" s="571"/>
      <c r="EF29" s="567"/>
      <c r="EG29" s="570">
        <f ca="1">+EH29+EI29+EJ29</f>
        <v>6956.5150000000003</v>
      </c>
      <c r="EH29" s="570">
        <f ca="1">+EH22+EH23+EH24+EH27+EH28</f>
        <v>3603.4120000000003</v>
      </c>
      <c r="EI29" s="570">
        <f ca="1">+EI22+EI23+EI24+EI27+EI28</f>
        <v>1163.3510000000001</v>
      </c>
      <c r="EJ29" s="570">
        <f ca="1">+EJ22+EJ23+EJ24+EJ27+EJ28</f>
        <v>2189.7519999999995</v>
      </c>
      <c r="EK29" s="571"/>
      <c r="EL29" s="567"/>
      <c r="EM29" s="570">
        <f ca="1">+EN29+EO29+EP29</f>
        <v>7261.1435167758736</v>
      </c>
      <c r="EN29" s="570">
        <f ca="1">+EN22+EN23+EN24+EN27+EN28</f>
        <v>3754.652475198448</v>
      </c>
      <c r="EO29" s="570">
        <f ca="1">+EO22+EO23+EO24+EO27+EO28</f>
        <v>1235.5848795482045</v>
      </c>
      <c r="EP29" s="570">
        <f ca="1">+EP22+EP23+EP24+EP27+EP28</f>
        <v>2270.9061620292214</v>
      </c>
      <c r="EQ29" s="571"/>
      <c r="ER29" s="567"/>
      <c r="ES29" s="570">
        <f ca="1">+ET29+EU29+EV29</f>
        <v>7507.8541582085891</v>
      </c>
      <c r="ET29" s="570">
        <f ca="1">+ET22+ET23+ET24+ET27+ET28</f>
        <v>3875.6572124981344</v>
      </c>
      <c r="EU29" s="570">
        <f ca="1">+EU22+EU23+EU24+EU27+EU28</f>
        <v>1286.9313830537503</v>
      </c>
      <c r="EV29" s="570">
        <f ca="1">+EV22+EV23+EV24+EV27+EV28</f>
        <v>2345.2655626567052</v>
      </c>
      <c r="EW29" s="571"/>
      <c r="EX29" s="567"/>
      <c r="EY29" s="570">
        <f ca="1">+EZ29+FA29+FB29</f>
        <v>7753.578439928966</v>
      </c>
      <c r="EZ29" s="570">
        <f ca="1">+EZ22+EZ23+EZ24+EZ27+EZ28</f>
        <v>3999.9738577931944</v>
      </c>
      <c r="FA29" s="570">
        <f ca="1">+FA22+FA23+FA24+FA27+FA28</f>
        <v>1340.7821298994156</v>
      </c>
      <c r="FB29" s="570">
        <f ca="1">+FB22+FB23+FB24+FB27+FB28</f>
        <v>2412.8224522363562</v>
      </c>
      <c r="FC29" s="571"/>
      <c r="FD29" s="567"/>
    </row>
    <row r="30" spans="1:160" ht="13.15">
      <c r="A30" s="554"/>
      <c r="B30" s="555" t="s">
        <v>301</v>
      </c>
      <c r="C30" s="3856" t="s">
        <v>1666</v>
      </c>
      <c r="D30" s="3856"/>
      <c r="E30" s="568">
        <f ca="1">+F30+G30+H30+I30</f>
        <v>355.3</v>
      </c>
      <c r="F30" s="566">
        <f ca="1">OFFSET(Sector1!$G$199,0,(COLUMN()-6)/6)</f>
        <v>308.827</v>
      </c>
      <c r="G30" s="566">
        <f ca="1">OFFSET(Sector1!$G$200,0,(COLUMN()-7)/6)</f>
        <v>46.326000000000001</v>
      </c>
      <c r="H30" s="566">
        <f ca="1">OFFSET(Sector1!$G$201,0,(COLUMN()-8)/6)</f>
        <v>1.4999999999999999E-2</v>
      </c>
      <c r="I30" s="566">
        <f ca="1">OFFSET(Sector1!$G$202,0,(COLUMN()-9)/6)</f>
        <v>0.13200000000000001</v>
      </c>
      <c r="J30" s="563">
        <f ca="1">+E30-E23</f>
        <v>0</v>
      </c>
      <c r="K30" s="568">
        <f t="shared" ca="1" si="0"/>
        <v>381.04900000000004</v>
      </c>
      <c r="L30" s="566">
        <f ca="1">OFFSET(Sector1!$G$199,0,(COLUMN()-6)/6)</f>
        <v>335.00900000000001</v>
      </c>
      <c r="M30" s="566">
        <f ca="1">OFFSET(Sector1!$G$200,0,(COLUMN()-7)/6)</f>
        <v>46.036000000000001</v>
      </c>
      <c r="N30" s="566">
        <f ca="1">OFFSET(Sector1!$G$201,0,(COLUMN()-8)/6)</f>
        <v>4.0000000000000001E-3</v>
      </c>
      <c r="O30" s="566">
        <f ca="1">OFFSET(Sector1!$G$202,0,(COLUMN()-9)/6)</f>
        <v>0.82299999999999995</v>
      </c>
      <c r="P30" s="563">
        <f ca="1">+K30-K23+O30</f>
        <v>2.0872192862952943E-14</v>
      </c>
      <c r="Q30" s="568">
        <f t="shared" ca="1" si="1"/>
        <v>405.75200000000001</v>
      </c>
      <c r="R30" s="566">
        <f ca="1">OFFSET(Sector1!$G$199,0,(COLUMN()-6)/6)</f>
        <v>352.20699999999999</v>
      </c>
      <c r="S30" s="566">
        <f ca="1">OFFSET(Sector1!$G$200,0,(COLUMN()-7)/6)</f>
        <v>53.537999999999997</v>
      </c>
      <c r="T30" s="566">
        <f ca="1">OFFSET(Sector1!$G$201,0,(COLUMN()-8)/6)</f>
        <v>7.0000000000000001E-3</v>
      </c>
      <c r="U30" s="566">
        <f ca="1">OFFSET(Sector1!$G$202,0,(COLUMN()-9)/6)</f>
        <v>0.57499999999999996</v>
      </c>
      <c r="V30" s="563">
        <f ca="1">+Q30-Q23+U30</f>
        <v>1.1324274851176597E-14</v>
      </c>
      <c r="W30" s="568">
        <f t="shared" ca="1" si="2"/>
        <v>420.077</v>
      </c>
      <c r="X30" s="566">
        <f ca="1">OFFSET(Sector1!$G$199,0,(COLUMN()-6)/6)</f>
        <v>370.53399999999999</v>
      </c>
      <c r="Y30" s="566">
        <f ca="1">OFFSET(Sector1!$G$200,0,(COLUMN()-7)/6)</f>
        <v>49.536000000000001</v>
      </c>
      <c r="Z30" s="566">
        <f ca="1">OFFSET(Sector1!$G$201,0,(COLUMN()-8)/6)</f>
        <v>7.0000000000000001E-3</v>
      </c>
      <c r="AA30" s="566">
        <f ca="1">OFFSET(Sector1!$G$202,0,(COLUMN()-9)/6)</f>
        <v>2.5590000000000002</v>
      </c>
      <c r="AB30" s="563">
        <f ca="1">+W30-W23+AA30</f>
        <v>-2.5757174171303632E-14</v>
      </c>
      <c r="AC30" s="568">
        <f t="shared" ca="1" si="3"/>
        <v>459.78300000000002</v>
      </c>
      <c r="AD30" s="566">
        <f ca="1">OFFSET(Sector1!$G$199,0,(COLUMN()-6)/6)</f>
        <v>397.29500000000002</v>
      </c>
      <c r="AE30" s="566">
        <f ca="1">OFFSET(Sector1!$G$200,0,(COLUMN()-7)/6)</f>
        <v>62.482999999999997</v>
      </c>
      <c r="AF30" s="566">
        <f ca="1">OFFSET(Sector1!$G$201,0,(COLUMN()-8)/6)</f>
        <v>5.0000000000000001E-3</v>
      </c>
      <c r="AG30" s="566">
        <f ca="1">OFFSET(Sector1!$G$202,0,(COLUMN()-9)/6)</f>
        <v>1.925</v>
      </c>
      <c r="AH30" s="563">
        <f ca="1">+AC30-AC23+AG30</f>
        <v>-1.1324274851176597E-14</v>
      </c>
      <c r="AI30" s="568">
        <f t="shared" ca="1" si="4"/>
        <v>506.96699999999998</v>
      </c>
      <c r="AJ30" s="566">
        <f ca="1">OFFSET(Sector1!$G$199,0,(COLUMN()-6)/6)</f>
        <v>424.87599999999998</v>
      </c>
      <c r="AK30" s="566">
        <f ca="1">OFFSET(Sector1!$G$200,0,(COLUMN()-7)/6)</f>
        <v>81.98</v>
      </c>
      <c r="AL30" s="566">
        <f ca="1">OFFSET(Sector1!$G$201,0,(COLUMN()-8)/6)</f>
        <v>0.111</v>
      </c>
      <c r="AM30" s="566">
        <f ca="1">OFFSET(Sector1!$G$202,0,(COLUMN()-9)/6)</f>
        <v>1.8049999999999999</v>
      </c>
      <c r="AN30" s="563">
        <f ca="1">+AI30-AI23+AM30</f>
        <v>-6.8833827526759706E-15</v>
      </c>
      <c r="AO30" s="568">
        <f t="shared" ca="1" si="5"/>
        <v>484.351</v>
      </c>
      <c r="AP30" s="566">
        <f ca="1">OFFSET(Sector1!$G$199,0,(COLUMN()-6)/6)</f>
        <v>425.55099999999999</v>
      </c>
      <c r="AQ30" s="566">
        <f ca="1">OFFSET(Sector1!$G$200,0,(COLUMN()-7)/6)</f>
        <v>58.795000000000002</v>
      </c>
      <c r="AR30" s="566">
        <f ca="1">OFFSET(Sector1!$G$201,0,(COLUMN()-8)/6)</f>
        <v>5.0000000000000001E-3</v>
      </c>
      <c r="AS30" s="566">
        <f ca="1">OFFSET(Sector1!$G$202,0,(COLUMN()-9)/6)</f>
        <v>1.4350000000000001</v>
      </c>
      <c r="AT30" s="563">
        <f ca="1">+AO30-AO23+AS30</f>
        <v>-2.2204460492503131E-15</v>
      </c>
      <c r="AU30" s="568">
        <f t="shared" ca="1" si="6"/>
        <v>473.529</v>
      </c>
      <c r="AV30" s="566">
        <f ca="1">OFFSET(Sector1!$G$199,0,(COLUMN()-6)/6)</f>
        <v>426.35599999999999</v>
      </c>
      <c r="AW30" s="566">
        <f ca="1">OFFSET(Sector1!$G$200,0,(COLUMN()-7)/6)</f>
        <v>47.158000000000001</v>
      </c>
      <c r="AX30" s="566">
        <f ca="1">OFFSET(Sector1!$G$201,0,(COLUMN()-8)/6)</f>
        <v>1.4999999999999999E-2</v>
      </c>
      <c r="AY30" s="566">
        <f ca="1">OFFSET(Sector1!$G$202,0,(COLUMN()-9)/6)</f>
        <v>1.2470000000000001</v>
      </c>
      <c r="AZ30" s="563">
        <f ca="1">+AU30-AU23+AY30</f>
        <v>-1.3988810110276972E-14</v>
      </c>
      <c r="BA30" s="568">
        <f t="shared" ca="1" si="7"/>
        <v>510.99299999999999</v>
      </c>
      <c r="BB30" s="566">
        <f ca="1">OFFSET(Sector1!$G$199,0,(COLUMN()-6)/6)</f>
        <v>455.96100000000001</v>
      </c>
      <c r="BC30" s="566">
        <f ca="1">OFFSET(Sector1!$G$200,0,(COLUMN()-7)/6)</f>
        <v>55.012999999999998</v>
      </c>
      <c r="BD30" s="566">
        <f ca="1">OFFSET(Sector1!$G$201,0,(COLUMN()-8)/6)</f>
        <v>1.9E-2</v>
      </c>
      <c r="BE30" s="566">
        <f ca="1">OFFSET(Sector1!$G$202,0,(COLUMN()-9)/6)</f>
        <v>-0.67200000000000004</v>
      </c>
      <c r="BF30" s="563">
        <f ca="1">+BA30-BA23+BE30</f>
        <v>-3.141931159689193E-14</v>
      </c>
      <c r="BG30" s="568">
        <f t="shared" ca="1" si="8"/>
        <v>556.178</v>
      </c>
      <c r="BH30" s="566">
        <f ca="1">OFFSET(Sector1!$G$199,0,(COLUMN()-6)/6)</f>
        <v>478.05500000000001</v>
      </c>
      <c r="BI30" s="566">
        <f ca="1">OFFSET(Sector1!$G$200,0,(COLUMN()-7)/6)</f>
        <v>78.111999999999995</v>
      </c>
      <c r="BJ30" s="566">
        <f ca="1">OFFSET(Sector1!$G$201,0,(COLUMN()-8)/6)</f>
        <v>1.0999999999999999E-2</v>
      </c>
      <c r="BK30" s="566">
        <f ca="1">OFFSET(Sector1!$G$202,0,(COLUMN()-9)/6)</f>
        <v>-2.0619999999999998</v>
      </c>
      <c r="BL30" s="563">
        <f ca="1">+BG30-BG23+BK30</f>
        <v>1.1990408665951691E-14</v>
      </c>
      <c r="BM30" s="568">
        <f t="shared" ca="1" si="9"/>
        <v>610.21699999999998</v>
      </c>
      <c r="BN30" s="566">
        <f ca="1">OFFSET(Sector1!$G$199,0,(COLUMN()-6)/6)</f>
        <v>511.209</v>
      </c>
      <c r="BO30" s="566">
        <f ca="1">OFFSET(Sector1!$G$200,0,(COLUMN()-7)/6)</f>
        <v>99.003</v>
      </c>
      <c r="BP30" s="566">
        <f ca="1">OFFSET(Sector1!$G$201,0,(COLUMN()-8)/6)</f>
        <v>5.0000000000000001E-3</v>
      </c>
      <c r="BQ30" s="566">
        <f ca="1">OFFSET(Sector1!$G$202,0,(COLUMN()-9)/6)</f>
        <v>-1.82</v>
      </c>
      <c r="BR30" s="563">
        <f ca="1">+BM30-BM23+BQ30</f>
        <v>-6.3726801613483985E-14</v>
      </c>
      <c r="BS30" s="568">
        <f t="shared" ca="1" si="10"/>
        <v>657.02300000000002</v>
      </c>
      <c r="BT30" s="566">
        <f ca="1">OFFSET(Sector1!$G$199,0,(COLUMN()-6)/6)</f>
        <v>549.89200000000005</v>
      </c>
      <c r="BU30" s="566">
        <f ca="1">OFFSET(Sector1!$G$200,0,(COLUMN()-7)/6)</f>
        <v>107.089</v>
      </c>
      <c r="BV30" s="566">
        <f ca="1">OFFSET(Sector1!$G$201,0,(COLUMN()-8)/6)</f>
        <v>4.2000000000000003E-2</v>
      </c>
      <c r="BW30" s="566">
        <f ca="1">OFFSET(Sector1!$G$202,0,(COLUMN()-9)/6)</f>
        <v>-3.2309999999999999</v>
      </c>
      <c r="BX30" s="563">
        <f ca="1">+BS30-BS23+BW30</f>
        <v>-5.3290705182007514E-15</v>
      </c>
      <c r="BY30" s="568">
        <f t="shared" ca="1" si="11"/>
        <v>666.3549999999999</v>
      </c>
      <c r="BZ30" s="566">
        <f ca="1">OFFSET(Sector1!$G$199,0,(COLUMN()-6)/6)</f>
        <v>549.12599999999998</v>
      </c>
      <c r="CA30" s="566">
        <f ca="1">OFFSET(Sector1!$G$200,0,(COLUMN()-7)/6)</f>
        <v>117.184</v>
      </c>
      <c r="CB30" s="566">
        <f ca="1">OFFSET(Sector1!$G$201,0,(COLUMN()-8)/6)</f>
        <v>4.4999999999999998E-2</v>
      </c>
      <c r="CC30" s="566">
        <f ca="1">OFFSET(Sector1!$G$202,0,(COLUMN()-9)/6)</f>
        <v>-2.14</v>
      </c>
      <c r="CD30" s="563">
        <f ca="1">+BY30-BY23+CC30</f>
        <v>-1.2745360322696797E-13</v>
      </c>
      <c r="CE30" s="568">
        <f t="shared" ca="1" si="12"/>
        <v>639.32899999999995</v>
      </c>
      <c r="CF30" s="566">
        <f ca="1">OFFSET(Sector1!$G$199,0,(COLUMN()-6)/6)</f>
        <v>549.43600000000004</v>
      </c>
      <c r="CG30" s="566">
        <f ca="1">OFFSET(Sector1!$G$200,0,(COLUMN()-7)/6)</f>
        <v>89.872</v>
      </c>
      <c r="CH30" s="566">
        <f ca="1">OFFSET(Sector1!$G$201,0,(COLUMN()-8)/6)</f>
        <v>2.1000000000000001E-2</v>
      </c>
      <c r="CI30" s="566">
        <f ca="1">OFFSET(Sector1!$G$202,0,(COLUMN()-9)/6)</f>
        <v>-4.2889999999999997</v>
      </c>
      <c r="CJ30" s="563">
        <f ca="1">+CE30-CE23+CI30</f>
        <v>-1.2434497875801753E-14</v>
      </c>
      <c r="CK30" s="568">
        <f ca="1">+CL30+CM30+CN30</f>
        <v>615.61</v>
      </c>
      <c r="CL30" s="566">
        <f ca="1">OFFSET(Sector1!$G$199,0,(COLUMN()-6)/6)</f>
        <v>525.36400000000003</v>
      </c>
      <c r="CM30" s="566">
        <f ca="1">OFFSET(Sector1!$G$200,0,(COLUMN()-7)/6)</f>
        <v>89.897999999999996</v>
      </c>
      <c r="CN30" s="566">
        <f ca="1">OFFSET(Sector1!$G$201,0,(COLUMN()-8)/6)</f>
        <v>0.34799999999999998</v>
      </c>
      <c r="CO30" s="566">
        <f ca="1">OFFSET(Sector1!$G$202,0,(COLUMN()-9)/6)</f>
        <v>-7.2670000000000003</v>
      </c>
      <c r="CP30" s="563">
        <f ca="1">+CK30-CK23+CO30</f>
        <v>5.2402526762307389E-14</v>
      </c>
      <c r="CQ30" s="568">
        <f ca="1">+CR30+CS30+CT30</f>
        <v>646.572</v>
      </c>
      <c r="CR30" s="566">
        <f ca="1">OFFSET(Sector1!$G$199,0,(COLUMN()-6)/6)</f>
        <v>533.44200000000001</v>
      </c>
      <c r="CS30" s="566">
        <f ca="1">OFFSET(Sector1!$G$200,0,(COLUMN()-7)/6)</f>
        <v>113.101</v>
      </c>
      <c r="CT30" s="566">
        <f ca="1">OFFSET(Sector1!$G$201,0,(COLUMN()-8)/6)</f>
        <v>2.9000000000000001E-2</v>
      </c>
      <c r="CU30" s="566">
        <f ca="1">OFFSET(Sector1!$G$202,0,(COLUMN()-9)/6)</f>
        <v>-7.0010000000000003</v>
      </c>
      <c r="CV30" s="563">
        <f ca="1">+CQ30-CQ23+CU30</f>
        <v>-2.3980817331903381E-14</v>
      </c>
      <c r="CW30" s="568">
        <f ca="1">+CX30+CY30+CZ30</f>
        <v>648.86099999999999</v>
      </c>
      <c r="CX30" s="566">
        <f ca="1">OFFSET(Sector1!$G$199,0,(COLUMN()-6)/6)</f>
        <v>539.279</v>
      </c>
      <c r="CY30" s="566">
        <f ca="1">OFFSET(Sector1!$G$200,0,(COLUMN()-7)/6)</f>
        <v>109.571</v>
      </c>
      <c r="CZ30" s="566">
        <f ca="1">OFFSET(Sector1!$G$201,0,(COLUMN()-8)/6)</f>
        <v>1.0999999999999999E-2</v>
      </c>
      <c r="DA30" s="566">
        <f ca="1">OFFSET(Sector1!$G$202,0,(COLUMN()-9)/6)</f>
        <v>-3.8220000000000001</v>
      </c>
      <c r="DB30" s="563">
        <f ca="1">+CW30-CW23+DA30</f>
        <v>0</v>
      </c>
      <c r="DC30" s="568">
        <f ca="1">+DD30+DE30+DF30</f>
        <v>647.98599999999999</v>
      </c>
      <c r="DD30" s="566">
        <f ca="1">OFFSET(Sector1!$G$199,0,(COLUMN()-6)/6)</f>
        <v>554.35699999999997</v>
      </c>
      <c r="DE30" s="566">
        <f ca="1">OFFSET(Sector1!$G$200,0,(COLUMN()-7)/6)</f>
        <v>93.506</v>
      </c>
      <c r="DF30" s="566">
        <f ca="1">OFFSET(Sector1!$G$201,0,(COLUMN()-8)/6)</f>
        <v>0.123</v>
      </c>
      <c r="DG30" s="566">
        <f ca="1">OFFSET(Sector1!$G$202,0,(COLUMN()-9)/6)</f>
        <v>-5.7560000000000002</v>
      </c>
      <c r="DH30" s="563">
        <f ca="1">+DC30-DC23+DG30</f>
        <v>-2.8421709430404007E-14</v>
      </c>
      <c r="DI30" s="568">
        <f ca="1">+DJ30+DK30+DL30</f>
        <v>673.52800000000002</v>
      </c>
      <c r="DJ30" s="566">
        <f ca="1">OFFSET(Sector1!$G$199,0,(COLUMN()-6)/6)</f>
        <v>573.54200000000003</v>
      </c>
      <c r="DK30" s="566">
        <f ca="1">OFFSET(Sector1!$G$200,0,(COLUMN()-7)/6)</f>
        <v>99.924000000000007</v>
      </c>
      <c r="DL30" s="566">
        <f ca="1">OFFSET(Sector1!$G$201,0,(COLUMN()-8)/6)</f>
        <v>6.2E-2</v>
      </c>
      <c r="DM30" s="566">
        <f ca="1">OFFSET(Sector1!$G$202,0,(COLUMN()-9)/6)</f>
        <v>-2.93</v>
      </c>
      <c r="DN30" s="563">
        <f ca="1">+DI30-DI23+DM30</f>
        <v>6.3504757008558954E-14</v>
      </c>
      <c r="DO30" s="568">
        <f ca="1">+DP30+DQ30+DR30</f>
        <v>704.17</v>
      </c>
      <c r="DP30" s="566">
        <f ca="1">OFFSET(Sector1!$G$199,0,(COLUMN()-6)/6)</f>
        <v>601.96199999999999</v>
      </c>
      <c r="DQ30" s="566">
        <f ca="1">OFFSET(Sector1!$G$200,0,(COLUMN()-7)/6)</f>
        <v>102.122</v>
      </c>
      <c r="DR30" s="566">
        <f ca="1">OFFSET(Sector1!$G$201,0,(COLUMN()-8)/6)</f>
        <v>8.5999999999999993E-2</v>
      </c>
      <c r="DS30" s="566">
        <f ca="1">OFFSET(Sector1!$G$202,0,(COLUMN()-9)/6)</f>
        <v>-2.883</v>
      </c>
      <c r="DT30" s="563">
        <f ca="1">+DO30-DO23+DS30</f>
        <v>-7.5495165674510645E-14</v>
      </c>
      <c r="DU30" s="568">
        <f ca="1">+DV30+DW30+DX30</f>
        <v>772.81699999999989</v>
      </c>
      <c r="DV30" s="566">
        <f ca="1">OFFSET(Sector1!$G$199,0,(COLUMN()-6)/6)</f>
        <v>650.73299999999995</v>
      </c>
      <c r="DW30" s="566">
        <f ca="1">OFFSET(Sector1!$G$200,0,(COLUMN()-7)/6)</f>
        <v>122.02</v>
      </c>
      <c r="DX30" s="566">
        <f ca="1">OFFSET(Sector1!$G$201,0,(COLUMN()-8)/6)</f>
        <v>6.4000000000000001E-2</v>
      </c>
      <c r="DY30" s="566">
        <f ca="1">OFFSET(Sector1!$G$202,0,(COLUMN()-9)/6)</f>
        <v>-1.44</v>
      </c>
      <c r="DZ30" s="563">
        <f ca="1">+DU30-DU23+DY30</f>
        <v>-5.9063864910058328E-14</v>
      </c>
      <c r="EA30" s="568">
        <f ca="1">+EB30+EC30+ED30</f>
        <v>824.2940000000001</v>
      </c>
      <c r="EB30" s="566">
        <f ca="1">OFFSET(Sector1!$G$199,0,(COLUMN()-6)/6)</f>
        <v>700.55200000000002</v>
      </c>
      <c r="EC30" s="566">
        <f ca="1">OFFSET(Sector1!$G$200,0,(COLUMN()-7)/6)</f>
        <v>123.566</v>
      </c>
      <c r="ED30" s="566">
        <f ca="1">OFFSET(Sector1!$G$201,0,(COLUMN()-8)/6)</f>
        <v>0.17599999999999999</v>
      </c>
      <c r="EE30" s="566">
        <f ca="1">OFFSET(Sector1!$G$202,0,(COLUMN()-9)/6)</f>
        <v>0.37</v>
      </c>
      <c r="EF30" s="563">
        <f ca="1">+EA30-EA23+EE30</f>
        <v>1.0913492332065289E-13</v>
      </c>
      <c r="EG30" s="568">
        <f ca="1">+EH30+EI30+EJ30</f>
        <v>867.55500000000006</v>
      </c>
      <c r="EH30" s="566">
        <f ca="1">OFFSET(Sector1!$G$199,0,(COLUMN()-6)/6)</f>
        <v>735.09299999999996</v>
      </c>
      <c r="EI30" s="566">
        <f ca="1">OFFSET(Sector1!$G$200,0,(COLUMN()-7)/6)</f>
        <v>132.32</v>
      </c>
      <c r="EJ30" s="566">
        <f ca="1">OFFSET(Sector1!$G$201,0,(COLUMN()-8)/6)</f>
        <v>0.14199999999999999</v>
      </c>
      <c r="EK30" s="566">
        <f ca="1">OFFSET(Sector1!$G$202,0,(COLUMN()-9)/6)</f>
        <v>-0.34699999999999998</v>
      </c>
      <c r="EL30" s="563">
        <f ca="1">+EG30-EG23+EK30</f>
        <v>9.3702823278363212E-14</v>
      </c>
      <c r="EM30" s="568">
        <f ca="1">+EN30+EO30+EP30</f>
        <v>895.65794268260925</v>
      </c>
      <c r="EN30" s="566">
        <f ca="1">OFFSET(Sector1!$G$199,0,(COLUMN()-6)/6)</f>
        <v>756.57994268260916</v>
      </c>
      <c r="EO30" s="566">
        <f ca="1">OFFSET(Sector1!$G$200,0,(COLUMN()-7)/6)</f>
        <v>138.93600000000001</v>
      </c>
      <c r="EP30" s="566">
        <f ca="1">OFFSET(Sector1!$G$201,0,(COLUMN()-8)/6)</f>
        <v>0.14199999999999999</v>
      </c>
      <c r="EQ30" s="566">
        <f ca="1">OFFSET(Sector1!$G$202,0,(COLUMN()-9)/6)</f>
        <v>-0.24289999999999998</v>
      </c>
      <c r="ER30" s="563">
        <f ca="1">+EM30-EM23+EQ30</f>
        <v>-3.6720626539477053E-14</v>
      </c>
      <c r="ES30" s="568">
        <f ca="1">+ET30+EU30+EV30</f>
        <v>923.59300259148313</v>
      </c>
      <c r="ET30" s="566">
        <f ca="1">OFFSET(Sector1!$G$199,0,(COLUMN()-6)/6)</f>
        <v>780.90266659148301</v>
      </c>
      <c r="EU30" s="566">
        <f ca="1">OFFSET(Sector1!$G$200,0,(COLUMN()-7)/6)</f>
        <v>142.54833600000001</v>
      </c>
      <c r="EV30" s="566">
        <f ca="1">OFFSET(Sector1!$G$201,0,(COLUMN()-8)/6)</f>
        <v>0.14199999999999999</v>
      </c>
      <c r="EW30" s="566">
        <f ca="1">OFFSET(Sector1!$G$202,0,(COLUMN()-9)/6)</f>
        <v>-0.17002999999999999</v>
      </c>
      <c r="EX30" s="563">
        <f ca="1">+ES30-ES23+EW30</f>
        <v>-2.9698465908722937E-15</v>
      </c>
      <c r="EY30" s="568">
        <f ca="1">+EZ30+FA30+FB30</f>
        <v>949.75246095066859</v>
      </c>
      <c r="EZ30" s="566">
        <f ca="1">OFFSET(Sector1!$G$199,0,(COLUMN()-6)/6)</f>
        <v>803.35586821466859</v>
      </c>
      <c r="FA30" s="566">
        <f ca="1">OFFSET(Sector1!$G$200,0,(COLUMN()-7)/6)</f>
        <v>146.25459273600001</v>
      </c>
      <c r="FB30" s="566">
        <f ca="1">OFFSET(Sector1!$G$201,0,(COLUMN()-8)/6)</f>
        <v>0.14199999999999999</v>
      </c>
      <c r="FC30" s="566">
        <f ca="1">OFFSET(Sector1!$G$202,0,(COLUMN()-9)/6)</f>
        <v>-0.11902099999999999</v>
      </c>
      <c r="FD30" s="563">
        <f ca="1">+EY30-EY23+FC30</f>
        <v>-2.4813484600372249E-14</v>
      </c>
    </row>
    <row r="31" spans="1:160" ht="13.15">
      <c r="A31" s="554"/>
      <c r="B31" s="555" t="s">
        <v>301</v>
      </c>
      <c r="C31" s="3856" t="s">
        <v>1667</v>
      </c>
      <c r="D31" s="3856"/>
      <c r="E31" s="568">
        <f ca="1">+F31+G31+H31+I31</f>
        <v>192.80799999999999</v>
      </c>
      <c r="F31" s="566">
        <f ca="1">OFFSET(Sector1!$G$257,0,(COLUMN()-6)/6)</f>
        <v>192.80799999999999</v>
      </c>
      <c r="G31" s="565"/>
      <c r="H31" s="565"/>
      <c r="I31" s="566"/>
      <c r="J31" s="597">
        <f ca="1">-E31+E24</f>
        <v>0</v>
      </c>
      <c r="K31" s="568">
        <f t="shared" ca="1" si="0"/>
        <v>207.75299999999999</v>
      </c>
      <c r="L31" s="566">
        <f ca="1">OFFSET(Sector1!$G$257,0,(COLUMN()-6)/6)</f>
        <v>207.75299999999999</v>
      </c>
      <c r="M31" s="565"/>
      <c r="N31" s="565"/>
      <c r="O31" s="566"/>
      <c r="P31" s="597">
        <f ca="1">-K31+K24+O24</f>
        <v>1.2503886814840826E-14</v>
      </c>
      <c r="Q31" s="568">
        <f t="shared" ca="1" si="1"/>
        <v>225.00200000000001</v>
      </c>
      <c r="R31" s="566">
        <f ca="1">OFFSET(Sector1!$G$257,0,(COLUMN()-6)/6)</f>
        <v>225.00200000000001</v>
      </c>
      <c r="S31" s="565"/>
      <c r="T31" s="565"/>
      <c r="U31" s="566"/>
      <c r="V31" s="597">
        <f ca="1">-Q31+Q24+U24</f>
        <v>4.5796699765787707E-16</v>
      </c>
      <c r="W31" s="568">
        <f t="shared" ca="1" si="2"/>
        <v>195.79400000000001</v>
      </c>
      <c r="X31" s="566">
        <f ca="1">OFFSET(Sector1!$G$257,0,(COLUMN()-6)/6)</f>
        <v>195.79400000000001</v>
      </c>
      <c r="Y31" s="565"/>
      <c r="Z31" s="565"/>
      <c r="AA31" s="566"/>
      <c r="AB31" s="597">
        <f ca="1">-W31+W24+AA24</f>
        <v>-2.6145752229922437E-14</v>
      </c>
      <c r="AC31" s="568">
        <f t="shared" ca="1" si="3"/>
        <v>204.745</v>
      </c>
      <c r="AD31" s="566">
        <f ca="1">OFFSET(Sector1!$G$257,0,(COLUMN()-6)/6)</f>
        <v>204.745</v>
      </c>
      <c r="AE31" s="565"/>
      <c r="AF31" s="565"/>
      <c r="AG31" s="566"/>
      <c r="AH31" s="597">
        <f ca="1">-AC31+AC24+AG24</f>
        <v>1.8207657603852567E-14</v>
      </c>
      <c r="AI31" s="568">
        <f t="shared" ca="1" si="4"/>
        <v>247.64500000000001</v>
      </c>
      <c r="AJ31" s="566">
        <f ca="1">OFFSET(Sector1!$G$257,0,(COLUMN()-6)/6)</f>
        <v>247.64500000000001</v>
      </c>
      <c r="AK31" s="565"/>
      <c r="AL31" s="565"/>
      <c r="AM31" s="566"/>
      <c r="AN31" s="597">
        <f ca="1">-AI31+AI24+AM24</f>
        <v>1.2045919817182948E-14</v>
      </c>
      <c r="AO31" s="568">
        <f t="shared" ca="1" si="5"/>
        <v>245.58099999999999</v>
      </c>
      <c r="AP31" s="566">
        <f ca="1">OFFSET(Sector1!$G$257,0,(COLUMN()-6)/6)</f>
        <v>245.58099999999999</v>
      </c>
      <c r="AQ31" s="565"/>
      <c r="AR31" s="565"/>
      <c r="AS31" s="566"/>
      <c r="AT31" s="597">
        <f ca="1">-AO31+AO24+AS24</f>
        <v>7.4940054162198066E-15</v>
      </c>
      <c r="AU31" s="568">
        <f t="shared" ca="1" si="6"/>
        <v>232.386</v>
      </c>
      <c r="AV31" s="566">
        <f ca="1">OFFSET(Sector1!$G$257,0,(COLUMN()-6)/6)</f>
        <v>232.386</v>
      </c>
      <c r="AW31" s="565"/>
      <c r="AX31" s="565"/>
      <c r="AY31" s="566"/>
      <c r="AZ31" s="597">
        <f ca="1">-AU31+AU24+AY24</f>
        <v>4.3298697960381105E-15</v>
      </c>
      <c r="BA31" s="568">
        <f t="shared" ca="1" si="7"/>
        <v>244.21100000000001</v>
      </c>
      <c r="BB31" s="566">
        <f ca="1">OFFSET(Sector1!$G$257,0,(COLUMN()-6)/6)</f>
        <v>244.21100000000001</v>
      </c>
      <c r="BC31" s="565"/>
      <c r="BD31" s="565"/>
      <c r="BE31" s="566"/>
      <c r="BF31" s="597">
        <f ca="1">-BA31+BA24+BE24</f>
        <v>-3.9579450827886831E-14</v>
      </c>
      <c r="BG31" s="568">
        <f t="shared" ca="1" si="8"/>
        <v>251.62700000000001</v>
      </c>
      <c r="BH31" s="566">
        <f ca="1">OFFSET(Sector1!$G$257,0,(COLUMN()-6)/6)</f>
        <v>251.62700000000001</v>
      </c>
      <c r="BI31" s="565"/>
      <c r="BJ31" s="565"/>
      <c r="BK31" s="566"/>
      <c r="BL31" s="597">
        <f ca="1">-BG31+BG24+BK24</f>
        <v>-3.8635761256955448E-14</v>
      </c>
      <c r="BM31" s="568">
        <f t="shared" ca="1" si="9"/>
        <v>250.315</v>
      </c>
      <c r="BN31" s="566">
        <f ca="1">OFFSET(Sector1!$G$257,0,(COLUMN()-6)/6)</f>
        <v>250.315</v>
      </c>
      <c r="BO31" s="565"/>
      <c r="BP31" s="565"/>
      <c r="BQ31" s="566"/>
      <c r="BR31" s="597">
        <f ca="1">-BM31+BM24+BQ24</f>
        <v>-2.2759572004815709E-14</v>
      </c>
      <c r="BS31" s="568">
        <f t="shared" ca="1" si="10"/>
        <v>257.49299999999999</v>
      </c>
      <c r="BT31" s="566">
        <f ca="1">OFFSET(Sector1!$G$257,0,(COLUMN()-6)/6)</f>
        <v>257.49299999999999</v>
      </c>
      <c r="BU31" s="565"/>
      <c r="BV31" s="565"/>
      <c r="BW31" s="566"/>
      <c r="BX31" s="597">
        <f ca="1">-BS31+BS24+BW24</f>
        <v>-1.6875389974302379E-14</v>
      </c>
      <c r="BY31" s="568">
        <f t="shared" ca="1" si="11"/>
        <v>291.596</v>
      </c>
      <c r="BZ31" s="566">
        <f ca="1">OFFSET(Sector1!$G$257,0,(COLUMN()-6)/6)</f>
        <v>291.596</v>
      </c>
      <c r="CA31" s="565"/>
      <c r="CB31" s="565"/>
      <c r="CC31" s="566"/>
      <c r="CD31" s="597">
        <f ca="1">-BY31+BY24+CC24</f>
        <v>-4.1078251911130792E-15</v>
      </c>
      <c r="CE31" s="568">
        <f t="shared" ca="1" si="12"/>
        <v>312.56599999999997</v>
      </c>
      <c r="CF31" s="566">
        <f ca="1">OFFSET(Sector1!$G$257,0,(COLUMN()-6)/6)</f>
        <v>312.56599999999997</v>
      </c>
      <c r="CG31" s="565"/>
      <c r="CH31" s="565"/>
      <c r="CI31" s="566"/>
      <c r="CJ31" s="597">
        <f ca="1">-CE31+CE24+CI24</f>
        <v>2.2204460492503131E-15</v>
      </c>
      <c r="CK31" s="568">
        <f ca="1">+CL31+CM31+CN31</f>
        <v>284.81200000000001</v>
      </c>
      <c r="CL31" s="566">
        <f ca="1">OFFSET(Sector1!$G$257,0,(COLUMN()-6)/6)</f>
        <v>284.81200000000001</v>
      </c>
      <c r="CM31" s="565"/>
      <c r="CN31" s="565"/>
      <c r="CO31" s="566"/>
      <c r="CP31" s="597">
        <f ca="1">-CK31+CK24+CO24</f>
        <v>1.9095836023552692E-14</v>
      </c>
      <c r="CQ31" s="568">
        <f ca="1">+CR31+CS31+CT31</f>
        <v>334.29199999999997</v>
      </c>
      <c r="CR31" s="566">
        <f ca="1">OFFSET(Sector1!$G$257,0,(COLUMN()-6)/6)</f>
        <v>334.29199999999997</v>
      </c>
      <c r="CS31" s="565"/>
      <c r="CT31" s="565"/>
      <c r="CU31" s="566"/>
      <c r="CV31" s="597">
        <f ca="1">-CQ31+CQ24+CU24</f>
        <v>3.1752378504279477E-14</v>
      </c>
      <c r="CW31" s="568">
        <f ca="1">+CX31+CY31+CZ31</f>
        <v>352.69600000000003</v>
      </c>
      <c r="CX31" s="566">
        <f ca="1">OFFSET(Sector1!$G$257,0,(COLUMN()-6)/6)</f>
        <v>352.69600000000003</v>
      </c>
      <c r="CY31" s="565"/>
      <c r="CZ31" s="565"/>
      <c r="DA31" s="566"/>
      <c r="DB31" s="597">
        <f ca="1">-CW31+CW24+DA24</f>
        <v>-3.730349362740526E-14</v>
      </c>
      <c r="DC31" s="568">
        <f ca="1">+DD31+DE31+DF31</f>
        <v>351.03100000000001</v>
      </c>
      <c r="DD31" s="566">
        <f ca="1">OFFSET(Sector1!$G$257,0,(COLUMN()-6)/6)</f>
        <v>351.03100000000001</v>
      </c>
      <c r="DE31" s="565"/>
      <c r="DF31" s="565"/>
      <c r="DG31" s="566"/>
      <c r="DH31" s="597">
        <f ca="1">-DC31+DC24+DG24</f>
        <v>-2.0872192862952943E-14</v>
      </c>
      <c r="DI31" s="568">
        <f ca="1">+DJ31+DK31+DL31</f>
        <v>370.10899999999998</v>
      </c>
      <c r="DJ31" s="566">
        <f ca="1">OFFSET(Sector1!$G$257,0,(COLUMN()-6)/6)</f>
        <v>370.10899999999998</v>
      </c>
      <c r="DK31" s="565"/>
      <c r="DL31" s="565"/>
      <c r="DM31" s="566"/>
      <c r="DN31" s="597">
        <f ca="1">-DI31+DI24+DM24</f>
        <v>1.354472090042691E-14</v>
      </c>
      <c r="DO31" s="568">
        <f ca="1">+DP31+DQ31+DR31</f>
        <v>407.18900000000002</v>
      </c>
      <c r="DP31" s="566">
        <f ca="1">OFFSET(Sector1!$G$257,0,(COLUMN()-6)/6)</f>
        <v>407.18900000000002</v>
      </c>
      <c r="DQ31" s="565"/>
      <c r="DR31" s="565"/>
      <c r="DS31" s="566"/>
      <c r="DT31" s="597">
        <f ca="1">-DO31+DO24+DS24</f>
        <v>-2.2648549702353193E-14</v>
      </c>
      <c r="DU31" s="568">
        <f ca="1">+DV31+DW31+DX31</f>
        <v>405.35700000000003</v>
      </c>
      <c r="DV31" s="566">
        <f ca="1">OFFSET(Sector1!$G$257,0,(COLUMN()-6)/6)</f>
        <v>405.35700000000003</v>
      </c>
      <c r="DW31" s="565"/>
      <c r="DX31" s="565"/>
      <c r="DY31" s="566"/>
      <c r="DZ31" s="597">
        <f ca="1">-DU31+DU24+DY24</f>
        <v>-4.8627768478581856E-14</v>
      </c>
      <c r="EA31" s="568">
        <f ca="1">+EB31+EC31+ED31</f>
        <v>430.17599999999999</v>
      </c>
      <c r="EB31" s="566">
        <f ca="1">OFFSET(Sector1!$G$257,0,(COLUMN()-6)/6)</f>
        <v>430.17599999999999</v>
      </c>
      <c r="EC31" s="565"/>
      <c r="ED31" s="565"/>
      <c r="EE31" s="566"/>
      <c r="EF31" s="597">
        <f ca="1">-EA31+EA24+EE24</f>
        <v>-1.6875389974302379E-14</v>
      </c>
      <c r="EG31" s="568">
        <f ca="1">+EH31+EI31+EJ31</f>
        <v>431.91500000000002</v>
      </c>
      <c r="EH31" s="566">
        <f ca="1">OFFSET(Sector1!$G$257,0,(COLUMN()-6)/6)</f>
        <v>431.91500000000002</v>
      </c>
      <c r="EI31" s="565"/>
      <c r="EJ31" s="565"/>
      <c r="EK31" s="566"/>
      <c r="EL31" s="597">
        <f ca="1">-EG31+EG24+EK24</f>
        <v>-4.4075854077618715E-14</v>
      </c>
      <c r="EM31" s="568">
        <f ca="1">+EN31+EO31+EP31</f>
        <v>448.89665206435512</v>
      </c>
      <c r="EN31" s="566">
        <f ca="1">OFFSET(Sector1!$G$257,0,(COLUMN()-6)/6)</f>
        <v>448.89665206435512</v>
      </c>
      <c r="EO31" s="565"/>
      <c r="EP31" s="565"/>
      <c r="EQ31" s="566"/>
      <c r="ER31" s="597">
        <f ca="1">-EM31+EM24+EQ24</f>
        <v>1.4932499681208355E-14</v>
      </c>
      <c r="ES31" s="568">
        <f ca="1">+ET31+EU31+EV31</f>
        <v>465.78318751792273</v>
      </c>
      <c r="ET31" s="566">
        <f ca="1">OFFSET(Sector1!$G$257,0,(COLUMN()-6)/6)</f>
        <v>465.78318751792273</v>
      </c>
      <c r="EU31" s="565"/>
      <c r="EV31" s="565"/>
      <c r="EW31" s="566"/>
      <c r="EX31" s="597">
        <f ca="1">-ES31+ES24+EW24</f>
        <v>8.7152507433074788E-15</v>
      </c>
      <c r="EY31" s="568">
        <f ca="1">+EZ31+FA31+FB31</f>
        <v>484.74181598693627</v>
      </c>
      <c r="EZ31" s="566">
        <f ca="1">OFFSET(Sector1!$G$257,0,(COLUMN()-6)/6)</f>
        <v>484.74181598693627</v>
      </c>
      <c r="FA31" s="565"/>
      <c r="FB31" s="565"/>
      <c r="FC31" s="566"/>
      <c r="FD31" s="597">
        <f ca="1">-EY31+EY24+FC24</f>
        <v>1.3211653993039363E-14</v>
      </c>
    </row>
    <row r="32" spans="1:160" ht="13.15">
      <c r="A32" s="554"/>
      <c r="B32" s="555" t="s">
        <v>301</v>
      </c>
      <c r="C32" s="3856" t="s">
        <v>1668</v>
      </c>
      <c r="D32" s="3856"/>
      <c r="E32" s="568">
        <f ca="1">+F32+G32+H32-I32</f>
        <v>393.06399999999996</v>
      </c>
      <c r="F32" s="566">
        <f ca="1">OFFSET(Sector1!$G$296,0,(COLUMN()-6)/6)</f>
        <v>40.308</v>
      </c>
      <c r="G32" s="566">
        <f ca="1">OFFSET(Sector1!$G$297,0,(COLUMN()-7)/6)</f>
        <v>28.404</v>
      </c>
      <c r="H32" s="566">
        <f ca="1">OFFSET(Sector1!$G$298,0,(COLUMN()-8)/6)</f>
        <v>324.35199999999998</v>
      </c>
      <c r="I32" s="566">
        <f ca="1">OFFSET(Sector1!$G$299,0,(COLUMN()-9)/6)</f>
        <v>0</v>
      </c>
      <c r="J32" s="597">
        <f ca="1">-E32+E27</f>
        <v>0</v>
      </c>
      <c r="K32" s="568">
        <f ca="1">+L32+M32+N32-O32</f>
        <v>384.529</v>
      </c>
      <c r="L32" s="566">
        <f ca="1">OFFSET(Sector1!$G$296,0,(COLUMN()-6)/6)</f>
        <v>39.244999999999997</v>
      </c>
      <c r="M32" s="566">
        <f ca="1">OFFSET(Sector1!$G$297,0,(COLUMN()-7)/6)</f>
        <v>27.81</v>
      </c>
      <c r="N32" s="566">
        <f ca="1">OFFSET(Sector1!$G$298,0,(COLUMN()-8)/6)</f>
        <v>317.47399999999999</v>
      </c>
      <c r="O32" s="566">
        <f ca="1">OFFSET(Sector1!$G$299,0,(COLUMN()-9)/6)</f>
        <v>0</v>
      </c>
      <c r="P32" s="597">
        <f ca="1">-K32+K27</f>
        <v>0</v>
      </c>
      <c r="Q32" s="568">
        <f ca="1">+R32+S32+T32-U32</f>
        <v>388.721</v>
      </c>
      <c r="R32" s="566">
        <f ca="1">OFFSET(Sector1!$G$296,0,(COLUMN()-6)/6)</f>
        <v>37.164000000000001</v>
      </c>
      <c r="S32" s="566">
        <f ca="1">OFFSET(Sector1!$G$297,0,(COLUMN()-7)/6)</f>
        <v>31.445</v>
      </c>
      <c r="T32" s="566">
        <f ca="1">OFFSET(Sector1!$G$298,0,(COLUMN()-8)/6)</f>
        <v>320.11200000000002</v>
      </c>
      <c r="U32" s="566">
        <f ca="1">OFFSET(Sector1!$G$299,0,(COLUMN()-9)/6)</f>
        <v>0</v>
      </c>
      <c r="V32" s="597">
        <f ca="1">-Q32+Q27</f>
        <v>0</v>
      </c>
      <c r="W32" s="568">
        <f ca="1">+X32+Y32+Z32-AA32</f>
        <v>398.19999999999993</v>
      </c>
      <c r="X32" s="566">
        <f ca="1">OFFSET(Sector1!$G$296,0,(COLUMN()-6)/6)</f>
        <v>35.168999999999997</v>
      </c>
      <c r="Y32" s="566">
        <f ca="1">OFFSET(Sector1!$G$297,0,(COLUMN()-7)/6)</f>
        <v>30.323</v>
      </c>
      <c r="Z32" s="566">
        <f ca="1">OFFSET(Sector1!$G$298,0,(COLUMN()-8)/6)</f>
        <v>332.70299999999997</v>
      </c>
      <c r="AA32" s="566">
        <f ca="1">OFFSET(Sector1!$G$299,0,(COLUMN()-9)/6)</f>
        <v>-5.0000000000000001E-3</v>
      </c>
      <c r="AB32" s="597">
        <f ca="1">-W32+W27</f>
        <v>0</v>
      </c>
      <c r="AC32" s="568">
        <f ca="1">+AD32+AE32+AF32-AG32</f>
        <v>408.93700000000001</v>
      </c>
      <c r="AD32" s="566">
        <f ca="1">OFFSET(Sector1!$G$296,0,(COLUMN()-6)/6)</f>
        <v>32.468000000000004</v>
      </c>
      <c r="AE32" s="566">
        <f ca="1">OFFSET(Sector1!$G$297,0,(COLUMN()-7)/6)</f>
        <v>31.167000000000002</v>
      </c>
      <c r="AF32" s="566">
        <f ca="1">OFFSET(Sector1!$G$298,0,(COLUMN()-8)/6)</f>
        <v>345.29</v>
      </c>
      <c r="AG32" s="566">
        <f ca="1">OFFSET(Sector1!$G$299,0,(COLUMN()-9)/6)</f>
        <v>-1.2E-2</v>
      </c>
      <c r="AH32" s="597">
        <f ca="1">-AC32+AC27</f>
        <v>0</v>
      </c>
      <c r="AI32" s="568">
        <f ca="1">+AJ32+AK32+AL32-AM32</f>
        <v>416.43599999999998</v>
      </c>
      <c r="AJ32" s="566">
        <f ca="1">OFFSET(Sector1!$G$296,0,(COLUMN()-6)/6)</f>
        <v>31.707999999999998</v>
      </c>
      <c r="AK32" s="566">
        <f ca="1">OFFSET(Sector1!$G$297,0,(COLUMN()-7)/6)</f>
        <v>31.995000000000001</v>
      </c>
      <c r="AL32" s="566">
        <f ca="1">OFFSET(Sector1!$G$298,0,(COLUMN()-8)/6)</f>
        <v>352.71600000000001</v>
      </c>
      <c r="AM32" s="566">
        <f ca="1">OFFSET(Sector1!$G$299,0,(COLUMN()-9)/6)</f>
        <v>-1.7000000000000001E-2</v>
      </c>
      <c r="AN32" s="597">
        <f ca="1">-AI32+AI27</f>
        <v>0</v>
      </c>
      <c r="AO32" s="568">
        <f ca="1">+AP32+AQ32+AR32-AS32</f>
        <v>427.11799999999999</v>
      </c>
      <c r="AP32" s="566">
        <f ca="1">OFFSET(Sector1!$G$296,0,(COLUMN()-6)/6)</f>
        <v>23.864000000000001</v>
      </c>
      <c r="AQ32" s="566">
        <f ca="1">OFFSET(Sector1!$G$297,0,(COLUMN()-7)/6)</f>
        <v>33.801000000000002</v>
      </c>
      <c r="AR32" s="566">
        <f ca="1">OFFSET(Sector1!$G$298,0,(COLUMN()-8)/6)</f>
        <v>369.43599999999998</v>
      </c>
      <c r="AS32" s="566">
        <f ca="1">OFFSET(Sector1!$G$299,0,(COLUMN()-9)/6)</f>
        <v>-1.7000000000000001E-2</v>
      </c>
      <c r="AT32" s="597">
        <f ca="1">-AO32+AO27</f>
        <v>0</v>
      </c>
      <c r="AU32" s="568">
        <f ca="1">+AV32+AW32+AX32-AY32</f>
        <v>449.99199999999996</v>
      </c>
      <c r="AV32" s="566">
        <f ca="1">OFFSET(Sector1!$G$296,0,(COLUMN()-6)/6)</f>
        <v>22.780999999999999</v>
      </c>
      <c r="AW32" s="566">
        <f ca="1">OFFSET(Sector1!$G$297,0,(COLUMN()-7)/6)</f>
        <v>39.265000000000001</v>
      </c>
      <c r="AX32" s="566">
        <f ca="1">OFFSET(Sector1!$G$298,0,(COLUMN()-8)/6)</f>
        <v>387.928</v>
      </c>
      <c r="AY32" s="566">
        <f ca="1">OFFSET(Sector1!$G$299,0,(COLUMN()-9)/6)</f>
        <v>-1.7999999999999999E-2</v>
      </c>
      <c r="AZ32" s="597">
        <f ca="1">-AU32+AU27</f>
        <v>0</v>
      </c>
      <c r="BA32" s="568">
        <f ca="1">+BB32+BC32+BD32-BE32</f>
        <v>482.88100000000003</v>
      </c>
      <c r="BB32" s="566">
        <f ca="1">OFFSET(Sector1!$G$296,0,(COLUMN()-6)/6)</f>
        <v>28.256</v>
      </c>
      <c r="BC32" s="566">
        <f ca="1">OFFSET(Sector1!$G$297,0,(COLUMN()-7)/6)</f>
        <v>40.701999999999998</v>
      </c>
      <c r="BD32" s="566">
        <f ca="1">OFFSET(Sector1!$G$298,0,(COLUMN()-8)/6)</f>
        <v>416.36700000000002</v>
      </c>
      <c r="BE32" s="566">
        <f ca="1">OFFSET(Sector1!$G$299,0,(COLUMN()-9)/6)</f>
        <v>2.444</v>
      </c>
      <c r="BF32" s="597">
        <f ca="1">-BA32+BA27</f>
        <v>-8.0000000000381988E-3</v>
      </c>
      <c r="BG32" s="568">
        <f ca="1">+BH32+BI32+BJ32-BK32</f>
        <v>498.27600000000001</v>
      </c>
      <c r="BH32" s="566">
        <f ca="1">OFFSET(Sector1!$G$296,0,(COLUMN()-6)/6)</f>
        <v>32.533999999999999</v>
      </c>
      <c r="BI32" s="566">
        <f ca="1">OFFSET(Sector1!$G$297,0,(COLUMN()-7)/6)</f>
        <v>42.103000000000002</v>
      </c>
      <c r="BJ32" s="566">
        <f ca="1">OFFSET(Sector1!$G$298,0,(COLUMN()-8)/6)</f>
        <v>426.30599999999998</v>
      </c>
      <c r="BK32" s="566">
        <f ca="1">OFFSET(Sector1!$G$299,0,(COLUMN()-9)/6)</f>
        <v>2.6669999999999998</v>
      </c>
      <c r="BL32" s="597">
        <f ca="1">-BG32+BG27</f>
        <v>-6.0000000000286491E-3</v>
      </c>
      <c r="BM32" s="568">
        <f ca="1">+BN32+BO32+BP32-BQ32</f>
        <v>512.85699999999997</v>
      </c>
      <c r="BN32" s="566">
        <f ca="1">OFFSET(Sector1!$G$296,0,(COLUMN()-6)/6)</f>
        <v>31.113</v>
      </c>
      <c r="BO32" s="566">
        <f ca="1">OFFSET(Sector1!$G$297,0,(COLUMN()-7)/6)</f>
        <v>49.561</v>
      </c>
      <c r="BP32" s="566">
        <f ca="1">OFFSET(Sector1!$G$298,0,(COLUMN()-8)/6)</f>
        <v>435.13799999999998</v>
      </c>
      <c r="BQ32" s="566">
        <f ca="1">OFFSET(Sector1!$G$299,0,(COLUMN()-9)/6)</f>
        <v>2.9550000000000001</v>
      </c>
      <c r="BR32" s="597">
        <f ca="1">-BM32+BM27</f>
        <v>-1.0999999999967258E-2</v>
      </c>
      <c r="BS32" s="568">
        <f ca="1">+BT32+BU32+BV32-BW32</f>
        <v>522.59800000000007</v>
      </c>
      <c r="BT32" s="566">
        <f ca="1">OFFSET(Sector1!$G$296,0,(COLUMN()-6)/6)</f>
        <v>27.167000000000002</v>
      </c>
      <c r="BU32" s="566">
        <f ca="1">OFFSET(Sector1!$G$297,0,(COLUMN()-7)/6)</f>
        <v>51.844999999999999</v>
      </c>
      <c r="BV32" s="566">
        <f ca="1">OFFSET(Sector1!$G$298,0,(COLUMN()-8)/6)</f>
        <v>446.697</v>
      </c>
      <c r="BW32" s="566">
        <f ca="1">OFFSET(Sector1!$G$299,0,(COLUMN()-9)/6)</f>
        <v>3.1110000000000002</v>
      </c>
      <c r="BX32" s="597">
        <f ca="1">-BS32+BS27</f>
        <v>-9.0000000000145519E-3</v>
      </c>
      <c r="BY32" s="568">
        <f ca="1">+BZ32+CA32+CB32-CC32</f>
        <v>521.37300000000005</v>
      </c>
      <c r="BZ32" s="566">
        <f ca="1">OFFSET(Sector1!$G$296,0,(COLUMN()-6)/6)</f>
        <v>19.777999999999999</v>
      </c>
      <c r="CA32" s="566">
        <f ca="1">OFFSET(Sector1!$G$297,0,(COLUMN()-7)/6)</f>
        <v>55.982999999999997</v>
      </c>
      <c r="CB32" s="566">
        <f ca="1">OFFSET(Sector1!$G$298,0,(COLUMN()-8)/6)</f>
        <v>448.86200000000002</v>
      </c>
      <c r="CC32" s="566">
        <f ca="1">OFFSET(Sector1!$G$299,0,(COLUMN()-9)/6)</f>
        <v>3.25</v>
      </c>
      <c r="CD32" s="597">
        <f ca="1">-BY32+BY27</f>
        <v>-9.9999999999909051E-3</v>
      </c>
      <c r="CE32" s="568">
        <f ca="1">+CF32+CG32+CH32-CI32</f>
        <v>541.77200000000005</v>
      </c>
      <c r="CF32" s="566">
        <f ca="1">OFFSET(Sector1!$G$296,0,(COLUMN()-6)/6)</f>
        <v>13.577999999999999</v>
      </c>
      <c r="CG32" s="566">
        <f ca="1">OFFSET(Sector1!$G$297,0,(COLUMN()-7)/6)</f>
        <v>69.492000000000004</v>
      </c>
      <c r="CH32" s="566">
        <f ca="1">OFFSET(Sector1!$G$298,0,(COLUMN()-8)/6)</f>
        <v>462.101</v>
      </c>
      <c r="CI32" s="566">
        <f ca="1">OFFSET(Sector1!$G$299,0,(COLUMN()-9)/6)</f>
        <v>3.399</v>
      </c>
      <c r="CJ32" s="597">
        <f ca="1">-CE32+CE27</f>
        <v>-1.0000000000104592E-2</v>
      </c>
      <c r="CK32" s="568">
        <f ca="1">+CL32+CM32+CN32-CO32</f>
        <v>578.92599999999993</v>
      </c>
      <c r="CL32" s="566">
        <f ca="1">OFFSET(Sector1!$G$296,0,(COLUMN()-6)/6)</f>
        <v>19.327000000000002</v>
      </c>
      <c r="CM32" s="566">
        <f ca="1">OFFSET(Sector1!$G$297,0,(COLUMN()-7)/6)</f>
        <v>74.902000000000001</v>
      </c>
      <c r="CN32" s="566">
        <f ca="1">OFFSET(Sector1!$G$298,0,(COLUMN()-8)/6)</f>
        <v>488.28699999999998</v>
      </c>
      <c r="CO32" s="566">
        <f ca="1">OFFSET(Sector1!$G$299,0,(COLUMN()-9)/6)</f>
        <v>3.59</v>
      </c>
      <c r="CP32" s="597">
        <f ca="1">-CK32+CK27</f>
        <v>-1.1999999999943611E-2</v>
      </c>
      <c r="CQ32" s="568">
        <f ca="1">+CR32+CS32+CT32-CU32</f>
        <v>585.18900000000008</v>
      </c>
      <c r="CR32" s="566">
        <f ca="1">OFFSET(Sector1!$G$296,0,(COLUMN()-6)/6)</f>
        <v>17.646000000000001</v>
      </c>
      <c r="CS32" s="566">
        <f ca="1">OFFSET(Sector1!$G$297,0,(COLUMN()-7)/6)</f>
        <v>79.320999999999998</v>
      </c>
      <c r="CT32" s="566">
        <f ca="1">OFFSET(Sector1!$G$298,0,(COLUMN()-8)/6)</f>
        <v>491.79</v>
      </c>
      <c r="CU32" s="566">
        <f ca="1">OFFSET(Sector1!$G$299,0,(COLUMN()-9)/6)</f>
        <v>3.5680000000000001</v>
      </c>
      <c r="CV32" s="597">
        <f ca="1">-CQ32+CQ27</f>
        <v>-1.2000000000057298E-2</v>
      </c>
      <c r="CW32" s="568">
        <f ca="1">+CX32+CY32+CZ32-DA32</f>
        <v>594.28599999999994</v>
      </c>
      <c r="CX32" s="566">
        <f ca="1">OFFSET(Sector1!$G$296,0,(COLUMN()-6)/6)</f>
        <v>13.112</v>
      </c>
      <c r="CY32" s="566">
        <f ca="1">OFFSET(Sector1!$G$297,0,(COLUMN()-7)/6)</f>
        <v>92.878</v>
      </c>
      <c r="CZ32" s="566">
        <f ca="1">OFFSET(Sector1!$G$298,0,(COLUMN()-8)/6)</f>
        <v>491.85300000000001</v>
      </c>
      <c r="DA32" s="566">
        <f ca="1">OFFSET(Sector1!$G$299,0,(COLUMN()-9)/6)</f>
        <v>3.5569999999999999</v>
      </c>
      <c r="DB32" s="597">
        <f ca="1">-CW32+CW27</f>
        <v>-9.9999999999909051E-3</v>
      </c>
      <c r="DC32" s="568">
        <f ca="1">+DD32+DE32+DF32-DG32</f>
        <v>620.58399999999995</v>
      </c>
      <c r="DD32" s="566">
        <f ca="1">OFFSET(Sector1!$G$296,0,(COLUMN()-6)/6)</f>
        <v>13.71</v>
      </c>
      <c r="DE32" s="566">
        <f ca="1">OFFSET(Sector1!$G$297,0,(COLUMN()-7)/6)</f>
        <v>94.954999999999998</v>
      </c>
      <c r="DF32" s="566">
        <f ca="1">OFFSET(Sector1!$G$298,0,(COLUMN()-8)/6)</f>
        <v>515.91200000000003</v>
      </c>
      <c r="DG32" s="566">
        <f ca="1">OFFSET(Sector1!$G$299,0,(COLUMN()-9)/6)</f>
        <v>3.9929999999999999</v>
      </c>
      <c r="DH32" s="597">
        <f ca="1">-DC32+DC27</f>
        <v>-1.1999999999943611E-2</v>
      </c>
      <c r="DI32" s="568">
        <f ca="1">+DJ32+DK32+DL32-DM32</f>
        <v>653.57899999999995</v>
      </c>
      <c r="DJ32" s="566">
        <f ca="1">OFFSET(Sector1!$G$296,0,(COLUMN()-6)/6)</f>
        <v>14.632999999999999</v>
      </c>
      <c r="DK32" s="566">
        <f ca="1">OFFSET(Sector1!$G$297,0,(COLUMN()-7)/6)</f>
        <v>103.65</v>
      </c>
      <c r="DL32" s="566">
        <f ca="1">OFFSET(Sector1!$G$298,0,(COLUMN()-8)/6)</f>
        <v>539.41899999999998</v>
      </c>
      <c r="DM32" s="566">
        <f ca="1">OFFSET(Sector1!$G$299,0,(COLUMN()-9)/6)</f>
        <v>4.1230000000000002</v>
      </c>
      <c r="DN32" s="597">
        <f ca="1">-DI32+DI27</f>
        <v>-1.5999999999962711E-2</v>
      </c>
      <c r="DO32" s="568">
        <f ca="1">+DP32+DQ32+DR32-DS32</f>
        <v>661.87699999999995</v>
      </c>
      <c r="DP32" s="566">
        <f ca="1">OFFSET(Sector1!$G$296,0,(COLUMN()-6)/6)</f>
        <v>13.385</v>
      </c>
      <c r="DQ32" s="566">
        <f ca="1">OFFSET(Sector1!$G$297,0,(COLUMN()-7)/6)</f>
        <v>108.697</v>
      </c>
      <c r="DR32" s="566">
        <f ca="1">OFFSET(Sector1!$G$298,0,(COLUMN()-8)/6)</f>
        <v>545.01300000000003</v>
      </c>
      <c r="DS32" s="566">
        <f ca="1">OFFSET(Sector1!$G$299,0,(COLUMN()-9)/6)</f>
        <v>5.2180000000000835</v>
      </c>
      <c r="DT32" s="597">
        <f ca="1">-DO32+DO27</f>
        <v>0</v>
      </c>
      <c r="DU32" s="568">
        <f ca="1">+DV32+DW32+DX32-DY32</f>
        <v>685.90899999999999</v>
      </c>
      <c r="DV32" s="566">
        <f ca="1">OFFSET(Sector1!$G$296,0,(COLUMN()-6)/6)</f>
        <v>12.738</v>
      </c>
      <c r="DW32" s="566">
        <f ca="1">OFFSET(Sector1!$G$297,0,(COLUMN()-7)/6)</f>
        <v>117.974</v>
      </c>
      <c r="DX32" s="566">
        <f ca="1">OFFSET(Sector1!$G$298,0,(COLUMN()-8)/6)</f>
        <v>561.06600000000003</v>
      </c>
      <c r="DY32" s="566">
        <f ca="1">OFFSET(Sector1!$G$299,0,(COLUMN()-9)/6)</f>
        <v>5.8690000000000424</v>
      </c>
      <c r="DZ32" s="597">
        <f ca="1">-DU32+DU27</f>
        <v>0</v>
      </c>
      <c r="EA32" s="568">
        <f ca="1">+EB32+EC32+ED32-EE32</f>
        <v>705.27</v>
      </c>
      <c r="EB32" s="566">
        <f ca="1">OFFSET(Sector1!$G$296,0,(COLUMN()-6)/6)</f>
        <v>12.516</v>
      </c>
      <c r="EC32" s="566">
        <f ca="1">OFFSET(Sector1!$G$297,0,(COLUMN()-7)/6)</f>
        <v>121.541</v>
      </c>
      <c r="ED32" s="566">
        <f ca="1">OFFSET(Sector1!$G$298,0,(COLUMN()-8)/6)</f>
        <v>577.98</v>
      </c>
      <c r="EE32" s="566">
        <f ca="1">OFFSET(Sector1!$G$299,0,(COLUMN()-9)/6)</f>
        <v>6.7670000000000332</v>
      </c>
      <c r="EF32" s="597">
        <f ca="1">-EA32+EA27</f>
        <v>0</v>
      </c>
      <c r="EG32" s="568">
        <f ca="1">+EH32+EI32+EJ32-EK32</f>
        <v>727.44799999999998</v>
      </c>
      <c r="EH32" s="566">
        <f ca="1">OFFSET(Sector1!$G$296,0,(COLUMN()-6)/6)</f>
        <v>12.244999999999999</v>
      </c>
      <c r="EI32" s="566">
        <f ca="1">OFFSET(Sector1!$G$297,0,(COLUMN()-7)/6)</f>
        <v>129.874</v>
      </c>
      <c r="EJ32" s="566">
        <f ca="1">OFFSET(Sector1!$G$298,0,(COLUMN()-8)/6)</f>
        <v>591.447</v>
      </c>
      <c r="EK32" s="566">
        <f ca="1">OFFSET(Sector1!$G$299,0,(COLUMN()-9)/6)</f>
        <v>6.1180000000000181</v>
      </c>
      <c r="EL32" s="597">
        <f ca="1">-EG32+EG27</f>
        <v>0</v>
      </c>
      <c r="EM32" s="568">
        <f ca="1">+EN32+EO32+EP32-EQ32</f>
        <v>752.61527449999994</v>
      </c>
      <c r="EN32" s="566">
        <f ca="1">OFFSET(Sector1!$G$296,0,(COLUMN()-6)/6)</f>
        <v>12.122549999999999</v>
      </c>
      <c r="EO32" s="566">
        <f ca="1">OFFSET(Sector1!$G$297,0,(COLUMN()-7)/6)</f>
        <v>134.289716</v>
      </c>
      <c r="EP32" s="566">
        <f ca="1">OFFSET(Sector1!$G$298,0,(COLUMN()-8)/6)</f>
        <v>612.44336850000002</v>
      </c>
      <c r="EQ32" s="566">
        <f ca="1">OFFSET(Sector1!$G$299,0,(COLUMN()-9)/6)</f>
        <v>6.2403600000000186</v>
      </c>
      <c r="ER32" s="597">
        <f ca="1">-EM32+EM27</f>
        <v>0</v>
      </c>
      <c r="ES32" s="568">
        <f ca="1">+ET32+EU32+EV32-EW32</f>
        <v>766.1217426715001</v>
      </c>
      <c r="ET32" s="566">
        <f ca="1">OFFSET(Sector1!$G$296,0,(COLUMN()-6)/6)</f>
        <v>12.001324499999999</v>
      </c>
      <c r="EU32" s="566">
        <f ca="1">OFFSET(Sector1!$G$297,0,(COLUMN()-7)/6)</f>
        <v>138.85556634400001</v>
      </c>
      <c r="EV32" s="566">
        <f ca="1">OFFSET(Sector1!$G$298,0,(COLUMN()-8)/6)</f>
        <v>621.6300190275</v>
      </c>
      <c r="EW32" s="566">
        <f ca="1">OFFSET(Sector1!$G$299,0,(COLUMN()-9)/6)</f>
        <v>6.3651672000000188</v>
      </c>
      <c r="EX32" s="597">
        <f ca="1">-ES32+ES27</f>
        <v>0</v>
      </c>
      <c r="EY32" s="568">
        <f ca="1">+EZ32+FA32+FB32-FC32</f>
        <v>783.02811571874588</v>
      </c>
      <c r="EZ32" s="566">
        <f ca="1">OFFSET(Sector1!$G$296,0,(COLUMN()-6)/6)</f>
        <v>11.881311254999998</v>
      </c>
      <c r="FA32" s="566">
        <f ca="1">OFFSET(Sector1!$G$297,0,(COLUMN()-7)/6)</f>
        <v>143.57665559969601</v>
      </c>
      <c r="FB32" s="566">
        <f ca="1">OFFSET(Sector1!$G$298,0,(COLUMN()-8)/6)</f>
        <v>634.06261940804995</v>
      </c>
      <c r="FC32" s="566">
        <f ca="1">OFFSET(Sector1!$G$299,0,(COLUMN()-9)/6)</f>
        <v>6.4924705440000192</v>
      </c>
      <c r="FD32" s="597">
        <f ca="1">-EY32+EY27</f>
        <v>0</v>
      </c>
    </row>
    <row r="33" spans="1:160" ht="13.15">
      <c r="A33" s="554"/>
      <c r="B33" s="555" t="s">
        <v>301</v>
      </c>
      <c r="C33" s="3856" t="s">
        <v>1669</v>
      </c>
      <c r="D33" s="3856"/>
      <c r="E33" s="568">
        <f ca="1">+F33+G33+H33+I33</f>
        <v>216.072</v>
      </c>
      <c r="F33" s="566">
        <f ca="1">OFFSET(Sector1!$G$321,0,(COLUMN()-6)/6)</f>
        <v>42.713999999999999</v>
      </c>
      <c r="G33" s="566">
        <f ca="1">OFFSET(Sector1!$G$323,0,(COLUMN()-7)/6)</f>
        <v>90.004000000000005</v>
      </c>
      <c r="H33" s="566">
        <f ca="1">OFFSET(Sector1!$G$325,0,(COLUMN()-8)/6)</f>
        <v>83.353999999999999</v>
      </c>
      <c r="I33" s="566"/>
      <c r="J33" s="563">
        <f ca="1">+E33-E28</f>
        <v>0</v>
      </c>
      <c r="K33" s="568">
        <f t="shared" ca="1" si="0"/>
        <v>210.893</v>
      </c>
      <c r="L33" s="566">
        <f ca="1">OFFSET(Sector1!$G$321,0,(COLUMN()-6)/6)</f>
        <v>41.875</v>
      </c>
      <c r="M33" s="566">
        <f ca="1">OFFSET(Sector1!$G$323,0,(COLUMN()-7)/6)</f>
        <v>91.201999999999998</v>
      </c>
      <c r="N33" s="566">
        <f ca="1">OFFSET(Sector1!$G$325,0,(COLUMN()-8)/6)</f>
        <v>77.816000000000003</v>
      </c>
      <c r="O33" s="566"/>
      <c r="P33" s="563">
        <f ca="1">+K33-K28-O28</f>
        <v>0</v>
      </c>
      <c r="Q33" s="568">
        <f t="shared" ca="1" si="1"/>
        <v>212.79900000000001</v>
      </c>
      <c r="R33" s="566">
        <f ca="1">OFFSET(Sector1!$G$321,0,(COLUMN()-6)/6)</f>
        <v>43.436</v>
      </c>
      <c r="S33" s="566">
        <f ca="1">OFFSET(Sector1!$G$323,0,(COLUMN()-7)/6)</f>
        <v>91.411000000000001</v>
      </c>
      <c r="T33" s="566">
        <f ca="1">OFFSET(Sector1!$G$325,0,(COLUMN()-8)/6)</f>
        <v>77.951999999999998</v>
      </c>
      <c r="U33" s="566"/>
      <c r="V33" s="563">
        <f ca="1">+Q33-Q28-U28</f>
        <v>0</v>
      </c>
      <c r="W33" s="568">
        <f t="shared" ca="1" si="2"/>
        <v>209.816</v>
      </c>
      <c r="X33" s="566">
        <f ca="1">OFFSET(Sector1!$G$321,0,(COLUMN()-6)/6)</f>
        <v>46.268999999999998</v>
      </c>
      <c r="Y33" s="566">
        <f ca="1">OFFSET(Sector1!$G$323,0,(COLUMN()-7)/6)</f>
        <v>83.802999999999997</v>
      </c>
      <c r="Z33" s="566">
        <f ca="1">OFFSET(Sector1!$G$325,0,(COLUMN()-8)/6)</f>
        <v>79.744</v>
      </c>
      <c r="AA33" s="566"/>
      <c r="AB33" s="563">
        <f ca="1">+W33-W28-AA28</f>
        <v>0</v>
      </c>
      <c r="AC33" s="568">
        <f t="shared" ca="1" si="3"/>
        <v>227.29899999999998</v>
      </c>
      <c r="AD33" s="566">
        <f ca="1">OFFSET(Sector1!$G$321,0,(COLUMN()-6)/6)</f>
        <v>46.421999999999997</v>
      </c>
      <c r="AE33" s="566">
        <f ca="1">OFFSET(Sector1!$G$323,0,(COLUMN()-7)/6)</f>
        <v>99.587999999999994</v>
      </c>
      <c r="AF33" s="566">
        <f ca="1">OFFSET(Sector1!$G$325,0,(COLUMN()-8)/6)</f>
        <v>81.289000000000001</v>
      </c>
      <c r="AG33" s="566"/>
      <c r="AH33" s="563">
        <f ca="1">+AC33-AC28-AG28</f>
        <v>0</v>
      </c>
      <c r="AI33" s="568">
        <f t="shared" ca="1" si="4"/>
        <v>257.30599999999998</v>
      </c>
      <c r="AJ33" s="566">
        <f ca="1">OFFSET(Sector1!$G$321,0,(COLUMN()-6)/6)</f>
        <v>63.505000000000003</v>
      </c>
      <c r="AK33" s="566">
        <f ca="1">OFFSET(Sector1!$G$323,0,(COLUMN()-7)/6)</f>
        <v>106.98699999999999</v>
      </c>
      <c r="AL33" s="566">
        <f ca="1">OFFSET(Sector1!$G$325,0,(COLUMN()-8)/6)</f>
        <v>86.813999999999993</v>
      </c>
      <c r="AM33" s="566"/>
      <c r="AN33" s="563">
        <f ca="1">+AI33-AI28-AM28</f>
        <v>0</v>
      </c>
      <c r="AO33" s="568">
        <f t="shared" ca="1" si="5"/>
        <v>261.55900000000003</v>
      </c>
      <c r="AP33" s="566">
        <f ca="1">OFFSET(Sector1!$G$321,0,(COLUMN()-6)/6)</f>
        <v>66.406999999999996</v>
      </c>
      <c r="AQ33" s="566">
        <f ca="1">OFFSET(Sector1!$G$323,0,(COLUMN()-7)/6)</f>
        <v>114.76300000000001</v>
      </c>
      <c r="AR33" s="566">
        <f ca="1">OFFSET(Sector1!$G$325,0,(COLUMN()-8)/6)</f>
        <v>80.388999999999996</v>
      </c>
      <c r="AS33" s="566"/>
      <c r="AT33" s="563">
        <f ca="1">+AO33-AO28-AS28</f>
        <v>0</v>
      </c>
      <c r="AU33" s="568">
        <f t="shared" ca="1" si="6"/>
        <v>247.124</v>
      </c>
      <c r="AV33" s="566">
        <f ca="1">OFFSET(Sector1!$G$321,0,(COLUMN()-6)/6)</f>
        <v>68.53</v>
      </c>
      <c r="AW33" s="566">
        <f ca="1">OFFSET(Sector1!$G$323,0,(COLUMN()-7)/6)</f>
        <v>103.261</v>
      </c>
      <c r="AX33" s="566">
        <f ca="1">OFFSET(Sector1!$G$325,0,(COLUMN()-8)/6)</f>
        <v>75.332999999999998</v>
      </c>
      <c r="AY33" s="566"/>
      <c r="AZ33" s="563">
        <f ca="1">+AU33-AU28-AY28</f>
        <v>0</v>
      </c>
      <c r="BA33" s="568">
        <f t="shared" ca="1" si="7"/>
        <v>245.59699999999998</v>
      </c>
      <c r="BB33" s="566">
        <f ca="1">OFFSET(Sector1!$G$321,0,(COLUMN()-6)/6)</f>
        <v>72.89</v>
      </c>
      <c r="BC33" s="566">
        <f ca="1">OFFSET(Sector1!$G$323,0,(COLUMN()-7)/6)</f>
        <v>87.085999999999999</v>
      </c>
      <c r="BD33" s="566">
        <f ca="1">OFFSET(Sector1!$G$325,0,(COLUMN()-8)/6)</f>
        <v>85.620999999999995</v>
      </c>
      <c r="BE33" s="566"/>
      <c r="BF33" s="563">
        <f ca="1">+BA33-BA28-BE28</f>
        <v>0</v>
      </c>
      <c r="BG33" s="568">
        <f t="shared" ca="1" si="8"/>
        <v>265.46800000000002</v>
      </c>
      <c r="BH33" s="566">
        <f ca="1">OFFSET(Sector1!$G$321,0,(COLUMN()-6)/6)</f>
        <v>77.358000000000004</v>
      </c>
      <c r="BI33" s="566">
        <f ca="1">OFFSET(Sector1!$G$323,0,(COLUMN()-7)/6)</f>
        <v>93.61</v>
      </c>
      <c r="BJ33" s="566">
        <f ca="1">OFFSET(Sector1!$G$325,0,(COLUMN()-8)/6)</f>
        <v>94.5</v>
      </c>
      <c r="BK33" s="566"/>
      <c r="BL33" s="563">
        <f ca="1">+BG33-BG28-BK28</f>
        <v>0</v>
      </c>
      <c r="BM33" s="568">
        <f t="shared" ca="1" si="9"/>
        <v>274.75299999999999</v>
      </c>
      <c r="BN33" s="566">
        <f ca="1">OFFSET(Sector1!$G$321,0,(COLUMN()-6)/6)</f>
        <v>83.991</v>
      </c>
      <c r="BO33" s="566">
        <f ca="1">OFFSET(Sector1!$G$323,0,(COLUMN()-7)/6)</f>
        <v>92.813999999999993</v>
      </c>
      <c r="BP33" s="566">
        <f ca="1">OFFSET(Sector1!$G$325,0,(COLUMN()-8)/6)</f>
        <v>97.947999999999993</v>
      </c>
      <c r="BQ33" s="566"/>
      <c r="BR33" s="563">
        <f ca="1">+BM33-BM28-BQ28</f>
        <v>0</v>
      </c>
      <c r="BS33" s="568">
        <f t="shared" ca="1" si="10"/>
        <v>285.096</v>
      </c>
      <c r="BT33" s="566">
        <f ca="1">OFFSET(Sector1!$G$321,0,(COLUMN()-6)/6)</f>
        <v>86.442999999999998</v>
      </c>
      <c r="BU33" s="566">
        <f ca="1">OFFSET(Sector1!$G$323,0,(COLUMN()-7)/6)</f>
        <v>99.849000000000004</v>
      </c>
      <c r="BV33" s="566">
        <f ca="1">OFFSET(Sector1!$G$325,0,(COLUMN()-8)/6)</f>
        <v>98.804000000000002</v>
      </c>
      <c r="BW33" s="566"/>
      <c r="BX33" s="563">
        <f ca="1">+BS33-BS28-BW28</f>
        <v>0</v>
      </c>
      <c r="BY33" s="568">
        <f t="shared" ca="1" si="11"/>
        <v>291.57500000000005</v>
      </c>
      <c r="BZ33" s="566">
        <f ca="1">OFFSET(Sector1!$G$321,0,(COLUMN()-6)/6)</f>
        <v>102.998</v>
      </c>
      <c r="CA33" s="566">
        <f ca="1">OFFSET(Sector1!$G$323,0,(COLUMN()-7)/6)</f>
        <v>97.953000000000003</v>
      </c>
      <c r="CB33" s="566">
        <f ca="1">OFFSET(Sector1!$G$325,0,(COLUMN()-8)/6)</f>
        <v>90.623999999999995</v>
      </c>
      <c r="CC33" s="566"/>
      <c r="CD33" s="563">
        <f ca="1">+BY33-BY28-CC28</f>
        <v>6.3948846218409017E-14</v>
      </c>
      <c r="CE33" s="568">
        <f t="shared" ca="1" si="12"/>
        <v>293.42899999999997</v>
      </c>
      <c r="CF33" s="566">
        <f ca="1">OFFSET(Sector1!$G$321,0,(COLUMN()-6)/6)</f>
        <v>105.783</v>
      </c>
      <c r="CG33" s="566">
        <f ca="1">OFFSET(Sector1!$G$323,0,(COLUMN()-7)/6)</f>
        <v>94.198999999999998</v>
      </c>
      <c r="CH33" s="566">
        <f ca="1">OFFSET(Sector1!$G$325,0,(COLUMN()-8)/6)</f>
        <v>93.447000000000003</v>
      </c>
      <c r="CI33" s="566"/>
      <c r="CJ33" s="563">
        <f ca="1">+CE33-CE28-CI28</f>
        <v>0</v>
      </c>
      <c r="CK33" s="568">
        <f ca="1">+CL33+CM33+CN33</f>
        <v>293.892</v>
      </c>
      <c r="CL33" s="566">
        <f ca="1">OFFSET(Sector1!$G$321,0,(COLUMN()-6)/6)</f>
        <v>102.11199999999999</v>
      </c>
      <c r="CM33" s="566">
        <f ca="1">OFFSET(Sector1!$G$323,0,(COLUMN()-7)/6)</f>
        <v>98.557000000000002</v>
      </c>
      <c r="CN33" s="566">
        <f ca="1">OFFSET(Sector1!$G$325,0,(COLUMN()-8)/6)</f>
        <v>93.222999999999999</v>
      </c>
      <c r="CO33" s="566"/>
      <c r="CP33" s="563">
        <f ca="1">+CK33-CK28-CO28</f>
        <v>0</v>
      </c>
      <c r="CQ33" s="568">
        <f ca="1">+CR33+CS33+CT33</f>
        <v>298.54699999999997</v>
      </c>
      <c r="CR33" s="566">
        <f ca="1">OFFSET(Sector1!$G$321,0,(COLUMN()-6)/6)</f>
        <v>101.1</v>
      </c>
      <c r="CS33" s="566">
        <f ca="1">OFFSET(Sector1!$G$323,0,(COLUMN()-7)/6)</f>
        <v>96.384</v>
      </c>
      <c r="CT33" s="566">
        <f ca="1">OFFSET(Sector1!$G$325,0,(COLUMN()-8)/6)</f>
        <v>101.063</v>
      </c>
      <c r="CU33" s="566"/>
      <c r="CV33" s="563">
        <f ca="1">+CQ33-CQ28-CU28</f>
        <v>-5.6843418860808015E-14</v>
      </c>
      <c r="CW33" s="568">
        <f ca="1">+CX33+CY33+CZ33</f>
        <v>300.94200000000001</v>
      </c>
      <c r="CX33" s="566">
        <f ca="1">OFFSET(Sector1!$G$321,0,(COLUMN()-6)/6)</f>
        <v>94.881</v>
      </c>
      <c r="CY33" s="566">
        <f ca="1">OFFSET(Sector1!$G$323,0,(COLUMN()-7)/6)</f>
        <v>109.40300000000001</v>
      </c>
      <c r="CZ33" s="566">
        <f ca="1">OFFSET(Sector1!$G$325,0,(COLUMN()-8)/6)</f>
        <v>96.658000000000001</v>
      </c>
      <c r="DA33" s="566"/>
      <c r="DB33" s="563">
        <f ca="1">+CW33-CW28-DA28</f>
        <v>0</v>
      </c>
      <c r="DC33" s="568">
        <f ca="1">+DD33+DE33+DF33</f>
        <v>299.07900000000001</v>
      </c>
      <c r="DD33" s="566">
        <f ca="1">OFFSET(Sector1!$G$321,0,(COLUMN()-6)/6)</f>
        <v>99.748000000000005</v>
      </c>
      <c r="DE33" s="566">
        <f ca="1">OFFSET(Sector1!$G$323,0,(COLUMN()-7)/6)</f>
        <v>100.727</v>
      </c>
      <c r="DF33" s="566">
        <f ca="1">OFFSET(Sector1!$G$325,0,(COLUMN()-8)/6)</f>
        <v>98.603999999999999</v>
      </c>
      <c r="DG33" s="566"/>
      <c r="DH33" s="563">
        <f ca="1">+DC33-DC28-DG28</f>
        <v>0</v>
      </c>
      <c r="DI33" s="568">
        <f ca="1">+DJ33+DK33+DL33</f>
        <v>313.10699999999997</v>
      </c>
      <c r="DJ33" s="566">
        <f ca="1">OFFSET(Sector1!$G$321,0,(COLUMN()-6)/6)</f>
        <v>101.337</v>
      </c>
      <c r="DK33" s="566">
        <f ca="1">OFFSET(Sector1!$G$323,0,(COLUMN()-7)/6)</f>
        <v>104.82299999999999</v>
      </c>
      <c r="DL33" s="566">
        <f ca="1">OFFSET(Sector1!$G$325,0,(COLUMN()-8)/6)</f>
        <v>106.947</v>
      </c>
      <c r="DM33" s="566"/>
      <c r="DN33" s="563">
        <f ca="1">+DI33-DI28-DM28</f>
        <v>-5.6843418860808015E-14</v>
      </c>
      <c r="DO33" s="568">
        <f ca="1">+DP33+DQ33+DR33</f>
        <v>317.87700000000001</v>
      </c>
      <c r="DP33" s="566">
        <f ca="1">OFFSET(Sector1!$G$321,0,(COLUMN()-6)/6)</f>
        <v>96.942999999999998</v>
      </c>
      <c r="DQ33" s="566">
        <f ca="1">OFFSET(Sector1!$G$323,0,(COLUMN()-7)/6)</f>
        <v>112.90600000000001</v>
      </c>
      <c r="DR33" s="566">
        <f ca="1">OFFSET(Sector1!$G$325,0,(COLUMN()-8)/6)</f>
        <v>108.02800000000001</v>
      </c>
      <c r="DS33" s="566"/>
      <c r="DT33" s="563">
        <f ca="1">+DO33-DO28-DS28</f>
        <v>0</v>
      </c>
      <c r="DU33" s="568">
        <f ca="1">+DV33+DW33+DX33</f>
        <v>320.15300000000002</v>
      </c>
      <c r="DV33" s="566">
        <f ca="1">OFFSET(Sector1!$G$321,0,(COLUMN()-6)/6)</f>
        <v>99.444000000000003</v>
      </c>
      <c r="DW33" s="566">
        <f ca="1">OFFSET(Sector1!$G$323,0,(COLUMN()-7)/6)</f>
        <v>110.32899999999999</v>
      </c>
      <c r="DX33" s="566">
        <f ca="1">OFFSET(Sector1!$G$325,0,(COLUMN()-8)/6)</f>
        <v>110.38</v>
      </c>
      <c r="DY33" s="566"/>
      <c r="DZ33" s="563">
        <f ca="1">+DU33-DU28-DY28</f>
        <v>0</v>
      </c>
      <c r="EA33" s="568">
        <f ca="1">+EB33+EC33+ED33</f>
        <v>318.03300000000002</v>
      </c>
      <c r="EB33" s="566">
        <f ca="1">OFFSET(Sector1!$G$321,0,(COLUMN()-6)/6)</f>
        <v>101.645</v>
      </c>
      <c r="EC33" s="566">
        <f ca="1">OFFSET(Sector1!$G$323,0,(COLUMN()-7)/6)</f>
        <v>113.286</v>
      </c>
      <c r="ED33" s="566">
        <f ca="1">OFFSET(Sector1!$G$325,0,(COLUMN()-8)/6)</f>
        <v>103.102</v>
      </c>
      <c r="EE33" s="566"/>
      <c r="EF33" s="563">
        <f ca="1">+EA33-EA28-EE28</f>
        <v>0</v>
      </c>
      <c r="EG33" s="568">
        <f ca="1">+EH33+EI33+EJ33</f>
        <v>347.27199999999999</v>
      </c>
      <c r="EH33" s="566">
        <f ca="1">OFFSET(Sector1!$G$321,0,(COLUMN()-6)/6)</f>
        <v>106.818</v>
      </c>
      <c r="EI33" s="566">
        <f ca="1">OFFSET(Sector1!$G$323,0,(COLUMN()-7)/6)</f>
        <v>127.21899999999999</v>
      </c>
      <c r="EJ33" s="566">
        <f ca="1">OFFSET(Sector1!$G$325,0,(COLUMN()-8)/6)</f>
        <v>113.235</v>
      </c>
      <c r="EK33" s="566"/>
      <c r="EL33" s="563">
        <f ca="1">+EG33-EG28-EK28</f>
        <v>0</v>
      </c>
      <c r="EM33" s="568">
        <f ca="1">+EN33+EO33+EP33</f>
        <v>359.75085000000001</v>
      </c>
      <c r="EN33" s="566">
        <f ca="1">OFFSET(Sector1!$G$321,0,(COLUMN()-6)/6)</f>
        <v>111.09072</v>
      </c>
      <c r="EO33" s="566">
        <f ca="1">OFFSET(Sector1!$G$323,0,(COLUMN()-7)/6)</f>
        <v>129.76337999999998</v>
      </c>
      <c r="EP33" s="566">
        <f ca="1">OFFSET(Sector1!$G$325,0,(COLUMN()-8)/6)</f>
        <v>118.89675000000001</v>
      </c>
      <c r="EQ33" s="566"/>
      <c r="ER33" s="563">
        <f ca="1">+EM33-EM28-EQ28</f>
        <v>0</v>
      </c>
      <c r="ES33" s="568">
        <f ca="1">+ET33+EU33+EV33</f>
        <v>368.55608834999998</v>
      </c>
      <c r="ET33" s="566">
        <f ca="1">OFFSET(Sector1!$G$321,0,(COLUMN()-6)/6)</f>
        <v>113.3125344</v>
      </c>
      <c r="EU33" s="566">
        <f ca="1">OFFSET(Sector1!$G$323,0,(COLUMN()-7)/6)</f>
        <v>131.70983069999997</v>
      </c>
      <c r="EV33" s="566">
        <f ca="1">OFFSET(Sector1!$G$325,0,(COLUMN()-8)/6)</f>
        <v>123.53372325000001</v>
      </c>
      <c r="EW33" s="566"/>
      <c r="EX33" s="563">
        <f ca="1">+ES33-ES28-EW28</f>
        <v>0</v>
      </c>
      <c r="EY33" s="568">
        <f ca="1">+EZ33+FA33+FB33</f>
        <v>376.503998196</v>
      </c>
      <c r="EZ33" s="566">
        <f ca="1">OFFSET(Sector1!$G$321,0,(COLUMN()-6)/6)</f>
        <v>115.578785088</v>
      </c>
      <c r="FA33" s="566">
        <f ca="1">OFFSET(Sector1!$G$323,0,(COLUMN()-7)/6)</f>
        <v>133.68547816049997</v>
      </c>
      <c r="FB33" s="566">
        <f ca="1">OFFSET(Sector1!$G$325,0,(COLUMN()-8)/6)</f>
        <v>127.23973494750001</v>
      </c>
      <c r="FC33" s="566"/>
      <c r="FD33" s="563">
        <f ca="1">+EY33-EY28-FC28</f>
        <v>0</v>
      </c>
    </row>
    <row r="34" spans="1:160" s="564" customFormat="1" ht="13.15">
      <c r="A34" s="559"/>
      <c r="B34" s="560" t="s">
        <v>1793</v>
      </c>
      <c r="C34" s="3868" t="s">
        <v>1670</v>
      </c>
      <c r="D34" s="3869"/>
      <c r="E34" s="570">
        <f ca="1">+F34+G34+H34</f>
        <v>1828.3710000000001</v>
      </c>
      <c r="F34" s="570">
        <f ca="1">+F29-F30-F31-F32-F33</f>
        <v>941.93500000000017</v>
      </c>
      <c r="G34" s="570">
        <f ca="1">+G29-G30-G31-G32-G33</f>
        <v>435.14099999999985</v>
      </c>
      <c r="H34" s="570">
        <f ca="1">+H29-H30-H31-H32-H33</f>
        <v>451.29500000000013</v>
      </c>
      <c r="I34" s="571"/>
      <c r="J34" s="567"/>
      <c r="K34" s="570">
        <f t="shared" ca="1" si="0"/>
        <v>1880.4210000000003</v>
      </c>
      <c r="L34" s="570">
        <f ca="1">+L29-L30-L31-L32-L33</f>
        <v>944.4910000000001</v>
      </c>
      <c r="M34" s="570">
        <f ca="1">+M29-M30-M31-M32-M33</f>
        <v>402.73200000000014</v>
      </c>
      <c r="N34" s="570">
        <f ca="1">+N29-N30-N31-N32-N33</f>
        <v>533.19800000000009</v>
      </c>
      <c r="O34" s="571"/>
      <c r="P34" s="567"/>
      <c r="Q34" s="570">
        <f t="shared" ca="1" si="1"/>
        <v>1963.9649999999999</v>
      </c>
      <c r="R34" s="570">
        <f ca="1">+R29-R30-R31-R32-R33</f>
        <v>953.80399999999997</v>
      </c>
      <c r="S34" s="570">
        <f ca="1">+S29-S30-S31-S32-S33</f>
        <v>433.15999999999991</v>
      </c>
      <c r="T34" s="570">
        <f ca="1">+T29-T30-T31-T32-T33</f>
        <v>577.00099999999998</v>
      </c>
      <c r="U34" s="571"/>
      <c r="V34" s="567"/>
      <c r="W34" s="570">
        <f t="shared" ca="1" si="2"/>
        <v>2080.5050000000001</v>
      </c>
      <c r="X34" s="570">
        <f ca="1">+X29-X30-X31-X32-X33</f>
        <v>977.91399999999999</v>
      </c>
      <c r="Y34" s="570">
        <f ca="1">+Y29-Y30-Y31-Y32-Y33</f>
        <v>466.65600000000018</v>
      </c>
      <c r="Z34" s="570">
        <f ca="1">+Z29-Z30-Z31-Z32-Z33</f>
        <v>635.93499999999983</v>
      </c>
      <c r="AA34" s="571"/>
      <c r="AB34" s="567"/>
      <c r="AC34" s="570">
        <f t="shared" ca="1" si="3"/>
        <v>2132.0429999999997</v>
      </c>
      <c r="AD34" s="570">
        <f ca="1">+AD29-AD30-AD31-AD32-AD33</f>
        <v>960.47200000000009</v>
      </c>
      <c r="AE34" s="570">
        <f ca="1">+AE29-AE30-AE31-AE32-AE33</f>
        <v>486.07499999999993</v>
      </c>
      <c r="AF34" s="570">
        <f ca="1">+AF29-AF30-AF31-AF32-AF33</f>
        <v>685.49599999999987</v>
      </c>
      <c r="AG34" s="571"/>
      <c r="AH34" s="567"/>
      <c r="AI34" s="570">
        <f t="shared" ca="1" si="4"/>
        <v>2347.9299999999998</v>
      </c>
      <c r="AJ34" s="570">
        <f ca="1">+AJ29-AJ30-AJ31-AJ32-AJ33</f>
        <v>1103.1709999999998</v>
      </c>
      <c r="AK34" s="570">
        <f ca="1">+AK29-AK30-AK31-AK32-AK33</f>
        <v>489.173</v>
      </c>
      <c r="AL34" s="570">
        <f ca="1">+AL29-AL30-AL31-AL32-AL33</f>
        <v>755.58600000000001</v>
      </c>
      <c r="AM34" s="571"/>
      <c r="AN34" s="567"/>
      <c r="AO34" s="570">
        <f t="shared" ca="1" si="5"/>
        <v>2443.0530000000003</v>
      </c>
      <c r="AP34" s="570">
        <f ca="1">+AP29-AP30-AP31-AP32-AP33</f>
        <v>1189.7660000000001</v>
      </c>
      <c r="AQ34" s="570">
        <f ca="1">+AQ29-AQ30-AQ31-AQ32-AQ33</f>
        <v>499.95400000000018</v>
      </c>
      <c r="AR34" s="570">
        <f ca="1">+AR29-AR30-AR31-AR32-AR33</f>
        <v>753.33299999999997</v>
      </c>
      <c r="AS34" s="571"/>
      <c r="AT34" s="567"/>
      <c r="AU34" s="570">
        <f t="shared" ca="1" si="6"/>
        <v>2542.1629999999996</v>
      </c>
      <c r="AV34" s="570">
        <f ca="1">+AV29-AV30-AV31-AV32-AV33</f>
        <v>1242.3359999999998</v>
      </c>
      <c r="AW34" s="570">
        <f ca="1">+AW29-AW30-AW31-AW32-AW33</f>
        <v>565.46199999999999</v>
      </c>
      <c r="AX34" s="570">
        <f ca="1">+AX29-AX30-AX31-AX32-AX33</f>
        <v>734.36500000000001</v>
      </c>
      <c r="AY34" s="571"/>
      <c r="AZ34" s="567"/>
      <c r="BA34" s="570">
        <f t="shared" ca="1" si="7"/>
        <v>2679.982</v>
      </c>
      <c r="BB34" s="570">
        <f ca="1">+BB29-BB30-BB31-BB32-BB33</f>
        <v>1274.0369999999998</v>
      </c>
      <c r="BC34" s="570">
        <f ca="1">+BC29-BC30-BC31-BC32-BC33</f>
        <v>631.2589999999999</v>
      </c>
      <c r="BD34" s="570">
        <f ca="1">+BD29-BD30-BD31-BD32-BD33</f>
        <v>774.68600000000004</v>
      </c>
      <c r="BE34" s="571"/>
      <c r="BF34" s="567"/>
      <c r="BG34" s="570">
        <f t="shared" ca="1" si="8"/>
        <v>2771.3770000000004</v>
      </c>
      <c r="BH34" s="570">
        <f ca="1">+BH29-BH30-BH31-BH32-BH33</f>
        <v>1303.1880000000001</v>
      </c>
      <c r="BI34" s="570">
        <f ca="1">+BI29-BI30-BI31-BI32-BI33</f>
        <v>637.8570000000002</v>
      </c>
      <c r="BJ34" s="570">
        <f ca="1">+BJ29-BJ30-BJ31-BJ32-BJ33</f>
        <v>830.33199999999988</v>
      </c>
      <c r="BK34" s="571"/>
      <c r="BL34" s="567"/>
      <c r="BM34" s="570">
        <f t="shared" ca="1" si="9"/>
        <v>2895.4250000000002</v>
      </c>
      <c r="BN34" s="570">
        <f ca="1">+BN29-BN30-BN31-BN32-BN33</f>
        <v>1352.9690000000001</v>
      </c>
      <c r="BO34" s="570">
        <f ca="1">+BO29-BO30-BO31-BO32-BO33</f>
        <v>638.3549999999999</v>
      </c>
      <c r="BP34" s="570">
        <f ca="1">+BP29-BP30-BP31-BP32-BP33</f>
        <v>904.101</v>
      </c>
      <c r="BQ34" s="571"/>
      <c r="BR34" s="567"/>
      <c r="BS34" s="570">
        <f t="shared" ca="1" si="10"/>
        <v>3119.9449999999997</v>
      </c>
      <c r="BT34" s="570">
        <f ca="1">+BT29-BT30-BT31-BT32-BT33</f>
        <v>1430.2719999999999</v>
      </c>
      <c r="BU34" s="570">
        <f ca="1">+BU29-BU30-BU31-BU32-BU33</f>
        <v>726.25200000000007</v>
      </c>
      <c r="BV34" s="570">
        <f ca="1">+BV29-BV30-BV31-BV32-BV33</f>
        <v>963.42099999999994</v>
      </c>
      <c r="BW34" s="571"/>
      <c r="BX34" s="567"/>
      <c r="BY34" s="570">
        <f t="shared" ca="1" si="11"/>
        <v>3337.8129999999996</v>
      </c>
      <c r="BZ34" s="570">
        <f ca="1">+BZ29-BZ30-BZ31-BZ32-BZ33</f>
        <v>1530.098</v>
      </c>
      <c r="CA34" s="570">
        <f ca="1">+CA29-CA30-CA31-CA32-CA33</f>
        <v>759.68100000000004</v>
      </c>
      <c r="CB34" s="570">
        <f ca="1">+CB29-CB30-CB31-CB32-CB33</f>
        <v>1048.0339999999997</v>
      </c>
      <c r="CC34" s="571"/>
      <c r="CD34" s="567"/>
      <c r="CE34" s="570">
        <f t="shared" ca="1" si="12"/>
        <v>3446.0190000000007</v>
      </c>
      <c r="CF34" s="570">
        <f ca="1">+CF29-CF30-CF31-CF32-CF33</f>
        <v>1629.4749999999997</v>
      </c>
      <c r="CG34" s="570">
        <f ca="1">+CG29-CG30-CG31-CG32-CG33</f>
        <v>765.04000000000042</v>
      </c>
      <c r="CH34" s="570">
        <f ca="1">+CH29-CH30-CH31-CH32-CH33</f>
        <v>1051.5040000000004</v>
      </c>
      <c r="CI34" s="571"/>
      <c r="CJ34" s="567"/>
      <c r="CK34" s="570">
        <f ca="1">+CL34+CM34+CN34</f>
        <v>3312.3379999999997</v>
      </c>
      <c r="CL34" s="570">
        <f ca="1">+CL29-CL30-CL31-CL32-CL33</f>
        <v>1695.876</v>
      </c>
      <c r="CM34" s="570">
        <f ca="1">+CM29-CM30-CM31-CM32-CM33</f>
        <v>623.52799999999979</v>
      </c>
      <c r="CN34" s="570">
        <f ca="1">+CN29-CN30-CN31-CN32-CN33</f>
        <v>992.93399999999997</v>
      </c>
      <c r="CO34" s="571"/>
      <c r="CP34" s="567"/>
      <c r="CQ34" s="570">
        <f ca="1">+CR34+CS34+CT34</f>
        <v>3556.4769999999999</v>
      </c>
      <c r="CR34" s="570">
        <f ca="1">+CR29-CR30-CR31-CR32-CR33</f>
        <v>1766.5380000000002</v>
      </c>
      <c r="CS34" s="570">
        <f ca="1">+CS29-CS30-CS31-CS32-CS33</f>
        <v>738.51199999999994</v>
      </c>
      <c r="CT34" s="570">
        <f ca="1">+CT29-CT30-CT31-CT32-CT33</f>
        <v>1051.4269999999997</v>
      </c>
      <c r="CU34" s="571"/>
      <c r="CV34" s="567"/>
      <c r="CW34" s="570">
        <f ca="1">+CX34+CY34+CZ34</f>
        <v>3670.4950000000003</v>
      </c>
      <c r="CX34" s="570">
        <f ca="1">+CX29-CX30-CX31-CX32-CX33</f>
        <v>1853.3990000000001</v>
      </c>
      <c r="CY34" s="570">
        <f ca="1">+CY29-CY30-CY31-CY32-CY33</f>
        <v>725.78200000000038</v>
      </c>
      <c r="CZ34" s="570">
        <f ca="1">+CZ29-CZ30-CZ31-CZ32-CZ33</f>
        <v>1091.3139999999999</v>
      </c>
      <c r="DA34" s="571"/>
      <c r="DB34" s="567"/>
      <c r="DC34" s="570">
        <f ca="1">+DD34+DE34+DF34</f>
        <v>3707.2130000000006</v>
      </c>
      <c r="DD34" s="570">
        <f ca="1">+DD29-DD30-DD31-DD32-DD33</f>
        <v>1928.3590000000004</v>
      </c>
      <c r="DE34" s="570">
        <f ca="1">+DE29-DE30-DE31-DE32-DE33</f>
        <v>690.57800000000032</v>
      </c>
      <c r="DF34" s="570">
        <f ca="1">+DF29-DF30-DF31-DF32-DF33</f>
        <v>1088.2759999999998</v>
      </c>
      <c r="DG34" s="571"/>
      <c r="DH34" s="567"/>
      <c r="DI34" s="570">
        <f ca="1">+DJ34+DK34+DL34</f>
        <v>3793.0030000000006</v>
      </c>
      <c r="DJ34" s="570">
        <f ca="1">+DJ29-DJ30-DJ31-DJ32-DJ33</f>
        <v>1986.2380000000007</v>
      </c>
      <c r="DK34" s="570">
        <f ca="1">+DK29-DK30-DK31-DK32-DK33</f>
        <v>695.11900000000014</v>
      </c>
      <c r="DL34" s="570">
        <f ca="1">+DL29-DL30-DL31-DL32-DL33</f>
        <v>1111.6459999999997</v>
      </c>
      <c r="DM34" s="571"/>
      <c r="DN34" s="567"/>
      <c r="DO34" s="570">
        <f ca="1">+DP34+DQ34+DR34</f>
        <v>3954.2719999999999</v>
      </c>
      <c r="DP34" s="570">
        <f ca="1">+DP29-DP30-DP31-DP32-DP33</f>
        <v>2063.7039999999997</v>
      </c>
      <c r="DQ34" s="570">
        <f ca="1">+DQ29-DQ30-DQ31-DQ32-DQ33</f>
        <v>735.45</v>
      </c>
      <c r="DR34" s="570">
        <f ca="1">+DR29-DR30-DR31-DR32-DR33</f>
        <v>1155.1180000000002</v>
      </c>
      <c r="DS34" s="571"/>
      <c r="DT34" s="567"/>
      <c r="DU34" s="570">
        <f ca="1">+DV34+DW34+DX34</f>
        <v>4186.9620000000014</v>
      </c>
      <c r="DV34" s="570">
        <f ca="1">+DV29-DV30-DV31-DV32-DV33</f>
        <v>2135.4180000000006</v>
      </c>
      <c r="DW34" s="570">
        <f ca="1">+DW29-DW30-DW31-DW32-DW33</f>
        <v>769.93700000000047</v>
      </c>
      <c r="DX34" s="570">
        <f ca="1">+DX29-DX30-DX31-DX32-DX33</f>
        <v>1281.607</v>
      </c>
      <c r="DY34" s="571"/>
      <c r="DZ34" s="567"/>
      <c r="EA34" s="570">
        <f ca="1">+EB34+EC34+ED34</f>
        <v>4377.2349999999997</v>
      </c>
      <c r="EB34" s="570">
        <f ca="1">+EB29-EB30-EB31-EB32-EB33</f>
        <v>2235.0039999999995</v>
      </c>
      <c r="EC34" s="570">
        <f ca="1">+EC29-EC30-EC31-EC32-EC33</f>
        <v>734.44400000000019</v>
      </c>
      <c r="ED34" s="570">
        <f ca="1">+ED29-ED30-ED31-ED32-ED33</f>
        <v>1407.787</v>
      </c>
      <c r="EE34" s="571"/>
      <c r="EF34" s="567"/>
      <c r="EG34" s="570">
        <f ca="1">+EH34+EI34+EJ34</f>
        <v>4576.2070000000003</v>
      </c>
      <c r="EH34" s="570">
        <f ca="1">+EH29-EH30-EH31-EH32-EH33</f>
        <v>2317.3410000000003</v>
      </c>
      <c r="EI34" s="570">
        <f ca="1">+EI29-EI30-EI31-EI32-EI33</f>
        <v>773.9380000000001</v>
      </c>
      <c r="EJ34" s="570">
        <f ca="1">+EJ29-EJ30-EJ31-EJ32-EJ33</f>
        <v>1484.9279999999997</v>
      </c>
      <c r="EK34" s="571"/>
      <c r="EL34" s="567"/>
      <c r="EM34" s="570">
        <f ca="1">+EN34+EO34+EP34</f>
        <v>4797.982437528909</v>
      </c>
      <c r="EN34" s="570">
        <f ca="1">+EN29-EN30-EN31-EN32-EN33</f>
        <v>2425.9626104514832</v>
      </c>
      <c r="EO34" s="570">
        <f ca="1">+EO29-EO30-EO31-EO32-EO33</f>
        <v>832.59578354820462</v>
      </c>
      <c r="EP34" s="570">
        <f ca="1">+EP29-EP30-EP31-EP32-EP33</f>
        <v>1539.4240435292215</v>
      </c>
      <c r="EQ34" s="571"/>
      <c r="ER34" s="567"/>
      <c r="ES34" s="570">
        <f ca="1">+ET34+EU34+EV34</f>
        <v>4977.4349698776841</v>
      </c>
      <c r="ET34" s="570">
        <f ca="1">+ET29-ET30-ET31-ET32-ET33</f>
        <v>2503.6574994887287</v>
      </c>
      <c r="EU34" s="570">
        <f ca="1">+EU29-EU30-EU31-EU32-EU33</f>
        <v>873.81765000975031</v>
      </c>
      <c r="EV34" s="570">
        <f ca="1">+EV29-EV30-EV31-EV32-EV33</f>
        <v>1599.9598203792052</v>
      </c>
      <c r="EW34" s="571"/>
      <c r="EX34" s="567"/>
      <c r="EY34" s="570">
        <f ca="1">+EZ34+FA34+FB34</f>
        <v>5153.059578532615</v>
      </c>
      <c r="EZ34" s="570">
        <f ca="1">+EZ29-EZ30-EZ31-EZ32-EZ33</f>
        <v>2584.4160772485893</v>
      </c>
      <c r="FA34" s="570">
        <f ca="1">+FA29-FA30-FA31-FA32-FA33</f>
        <v>917.26540340321958</v>
      </c>
      <c r="FB34" s="570">
        <f ca="1">+FB29-FB30-FB31-FB32-FB33</f>
        <v>1651.3780978808063</v>
      </c>
      <c r="FC34" s="571"/>
      <c r="FD34" s="567"/>
    </row>
    <row r="35" spans="1:160" ht="13.5" thickBot="1">
      <c r="A35" s="554"/>
      <c r="B35" s="555" t="s">
        <v>1791</v>
      </c>
      <c r="C35" s="3855" t="s">
        <v>1671</v>
      </c>
      <c r="D35" s="3856"/>
      <c r="E35" s="568">
        <f ca="1">+F35+G35+H35</f>
        <v>0</v>
      </c>
      <c r="F35" s="566">
        <f ca="1">OFFSET(Sector1!$G$394,0,(COLUMN()-6)/6)</f>
        <v>52.307000000000002</v>
      </c>
      <c r="G35" s="566">
        <f ca="1">-OFFSET(Sector1!$G$395,0,(COLUMN()-7)/6)</f>
        <v>-52.307000000000002</v>
      </c>
      <c r="H35" s="566">
        <f ca="1">-OFFSET(Sector1!$G$396,0,(COLUMN()-8)/6)</f>
        <v>0</v>
      </c>
      <c r="I35" s="566">
        <f ca="1">-OFFSET(Sector1!$G$397,0,(COLUMN()-8)/6)</f>
        <v>0</v>
      </c>
      <c r="J35" s="563">
        <f ca="1">+E35+I35</f>
        <v>0</v>
      </c>
      <c r="K35" s="568">
        <f ca="1">+L35+M35+N35</f>
        <v>0</v>
      </c>
      <c r="L35" s="566">
        <f ca="1">OFFSET(Sector1!$G$394,0,(COLUMN()-6)/6)</f>
        <v>54.634</v>
      </c>
      <c r="M35" s="566">
        <f ca="1">-OFFSET(Sector1!$G$395,0,(COLUMN()-7)/6)</f>
        <v>-54.634</v>
      </c>
      <c r="N35" s="566">
        <f ca="1">-OFFSET(Sector1!$G$396,0,(COLUMN()-8)/6)</f>
        <v>0</v>
      </c>
      <c r="O35" s="566">
        <f ca="1">-OFFSET(Sector1!$G$397,0,(COLUMN()-8)/6)</f>
        <v>0</v>
      </c>
      <c r="P35" s="563">
        <f ca="1">+K35+O35</f>
        <v>0</v>
      </c>
      <c r="Q35" s="568">
        <f ca="1">+R35+S35+T35</f>
        <v>0</v>
      </c>
      <c r="R35" s="566">
        <f ca="1">OFFSET(Sector1!$G$394,0,(COLUMN()-6)/6)</f>
        <v>56.686</v>
      </c>
      <c r="S35" s="566">
        <f ca="1">-OFFSET(Sector1!$G$395,0,(COLUMN()-7)/6)</f>
        <v>-56.686</v>
      </c>
      <c r="T35" s="566">
        <f ca="1">-OFFSET(Sector1!$G$396,0,(COLUMN()-8)/6)</f>
        <v>0</v>
      </c>
      <c r="U35" s="566">
        <f ca="1">-OFFSET(Sector1!$G$397,0,(COLUMN()-8)/6)</f>
        <v>0</v>
      </c>
      <c r="V35" s="563">
        <f ca="1">+Q35+U35</f>
        <v>0</v>
      </c>
      <c r="W35" s="568">
        <f ca="1">+X35+Y35+Z35</f>
        <v>-9.7699626167013776E-15</v>
      </c>
      <c r="X35" s="566">
        <f ca="1">OFFSET(Sector1!$G$394,0,(COLUMN()-6)/6)</f>
        <v>66.046999999999997</v>
      </c>
      <c r="Y35" s="566">
        <f ca="1">-OFFSET(Sector1!$G$395,0,(COLUMN()-7)/6)</f>
        <v>-64.805000000000007</v>
      </c>
      <c r="Z35" s="566">
        <f ca="1">-OFFSET(Sector1!$G$396,0,(COLUMN()-8)/6)</f>
        <v>-1.242</v>
      </c>
      <c r="AA35" s="566">
        <f ca="1">-OFFSET(Sector1!$G$397,0,(COLUMN()-8)/6)</f>
        <v>9.7699626167013776E-15</v>
      </c>
      <c r="AB35" s="563">
        <f ca="1">+W35+AA35</f>
        <v>0</v>
      </c>
      <c r="AC35" s="568">
        <f ca="1">+AD35+AE35+AF35</f>
        <v>6.3282712403633923E-15</v>
      </c>
      <c r="AD35" s="566">
        <f ca="1">OFFSET(Sector1!$G$394,0,(COLUMN()-6)/6)</f>
        <v>73.248000000000005</v>
      </c>
      <c r="AE35" s="566">
        <f ca="1">-OFFSET(Sector1!$G$395,0,(COLUMN()-7)/6)</f>
        <v>-72.58</v>
      </c>
      <c r="AF35" s="566">
        <f ca="1">-OFFSET(Sector1!$G$396,0,(COLUMN()-8)/6)</f>
        <v>-0.66800000000000004</v>
      </c>
      <c r="AG35" s="566">
        <f ca="1">-OFFSET(Sector1!$G$397,0,(COLUMN()-8)/6)</f>
        <v>-6.3282712403633923E-15</v>
      </c>
      <c r="AH35" s="563">
        <f ca="1">+AC35+AG35</f>
        <v>0</v>
      </c>
      <c r="AI35" s="568">
        <f ca="1">+AJ35+AK35+AL35</f>
        <v>0</v>
      </c>
      <c r="AJ35" s="566">
        <f ca="1">OFFSET(Sector1!$G$394,0,(COLUMN()-6)/6)</f>
        <v>97.132999999999996</v>
      </c>
      <c r="AK35" s="566">
        <f ca="1">-OFFSET(Sector1!$G$395,0,(COLUMN()-7)/6)</f>
        <v>-93.325999999999993</v>
      </c>
      <c r="AL35" s="566">
        <f ca="1">-OFFSET(Sector1!$G$396,0,(COLUMN()-8)/6)</f>
        <v>-3.8069999999999999</v>
      </c>
      <c r="AM35" s="566">
        <f ca="1">-OFFSET(Sector1!$G$397,0,(COLUMN()-8)/6)</f>
        <v>0</v>
      </c>
      <c r="AN35" s="563">
        <f ca="1">+AI35+AM35</f>
        <v>0</v>
      </c>
      <c r="AO35" s="568">
        <f ca="1">+AP35+AQ35+AR35</f>
        <v>0</v>
      </c>
      <c r="AP35" s="566">
        <f ca="1">OFFSET(Sector1!$G$394,0,(COLUMN()-6)/6)</f>
        <v>100.05200000000001</v>
      </c>
      <c r="AQ35" s="566">
        <f ca="1">-OFFSET(Sector1!$G$395,0,(COLUMN()-7)/6)</f>
        <v>-95.694000000000003</v>
      </c>
      <c r="AR35" s="566">
        <f ca="1">-OFFSET(Sector1!$G$396,0,(COLUMN()-8)/6)</f>
        <v>-4.3579999999999997</v>
      </c>
      <c r="AS35" s="566">
        <f ca="1">-OFFSET(Sector1!$G$397,0,(COLUMN()-8)/6)</f>
        <v>0</v>
      </c>
      <c r="AT35" s="563">
        <f ca="1">+AO35+AS35</f>
        <v>0</v>
      </c>
      <c r="AU35" s="568">
        <f ca="1">+AV35+AW35+AX35</f>
        <v>0</v>
      </c>
      <c r="AV35" s="566">
        <f ca="1">OFFSET(Sector1!$G$394,0,(COLUMN()-6)/6)</f>
        <v>96.21</v>
      </c>
      <c r="AW35" s="566">
        <f ca="1">-OFFSET(Sector1!$G$395,0,(COLUMN()-7)/6)</f>
        <v>-90.97</v>
      </c>
      <c r="AX35" s="566">
        <f ca="1">-OFFSET(Sector1!$G$396,0,(COLUMN()-8)/6)</f>
        <v>-5.24</v>
      </c>
      <c r="AY35" s="566">
        <f ca="1">-OFFSET(Sector1!$G$397,0,(COLUMN()-8)/6)</f>
        <v>0</v>
      </c>
      <c r="AZ35" s="563">
        <f ca="1">+AU35+AY35</f>
        <v>0</v>
      </c>
      <c r="BA35" s="568">
        <f ca="1">+BB35+BC35+BD35</f>
        <v>8.0000000000000071E-3</v>
      </c>
      <c r="BB35" s="566">
        <f ca="1">OFFSET(Sector1!$G$394,0,(COLUMN()-6)/6)</f>
        <v>105.44199999999999</v>
      </c>
      <c r="BC35" s="566">
        <f ca="1">-OFFSET(Sector1!$G$395,0,(COLUMN()-7)/6)</f>
        <v>-98.188999999999993</v>
      </c>
      <c r="BD35" s="566">
        <f ca="1">-OFFSET(Sector1!$G$396,0,(COLUMN()-8)/6)</f>
        <v>-7.2450000000000001</v>
      </c>
      <c r="BE35" s="566">
        <f ca="1">-OFFSET(Sector1!$G$397,0,(COLUMN()-8)/6)</f>
        <v>-8.0000000000000071E-3</v>
      </c>
      <c r="BF35" s="563">
        <f ca="1">+BA35+BE35</f>
        <v>0</v>
      </c>
      <c r="BG35" s="568">
        <f ca="1">+BH35+BI35+BJ35</f>
        <v>6.0000000000055564E-3</v>
      </c>
      <c r="BH35" s="566">
        <f ca="1">OFFSET(Sector1!$G$394,0,(COLUMN()-6)/6)</f>
        <v>108.31</v>
      </c>
      <c r="BI35" s="566">
        <f ca="1">-OFFSET(Sector1!$G$395,0,(COLUMN()-7)/6)</f>
        <v>-101.544</v>
      </c>
      <c r="BJ35" s="566">
        <f ca="1">-OFFSET(Sector1!$G$396,0,(COLUMN()-8)/6)</f>
        <v>-6.76</v>
      </c>
      <c r="BK35" s="566">
        <f ca="1">-OFFSET(Sector1!$G$397,0,(COLUMN()-8)/6)</f>
        <v>-6.0000000000055564E-3</v>
      </c>
      <c r="BL35" s="563">
        <f ca="1">+BG35+BK35</f>
        <v>0</v>
      </c>
      <c r="BM35" s="568">
        <f ca="1">+BN35+BO35+BP35</f>
        <v>1.0999999999990351E-2</v>
      </c>
      <c r="BN35" s="566">
        <f ca="1">OFFSET(Sector1!$G$394,0,(COLUMN()-6)/6)</f>
        <v>105.84399999999999</v>
      </c>
      <c r="BO35" s="566">
        <f ca="1">-OFFSET(Sector1!$G$395,0,(COLUMN()-7)/6)</f>
        <v>-97.962000000000003</v>
      </c>
      <c r="BP35" s="566">
        <f ca="1">-OFFSET(Sector1!$G$396,0,(COLUMN()-8)/6)</f>
        <v>-7.8710000000000004</v>
      </c>
      <c r="BQ35" s="566">
        <f ca="1">-OFFSET(Sector1!$G$397,0,(COLUMN()-8)/6)</f>
        <v>-1.0999999999990351E-2</v>
      </c>
      <c r="BR35" s="563">
        <f ca="1">+BM35+BQ35</f>
        <v>0</v>
      </c>
      <c r="BS35" s="568">
        <f ca="1">+BT35+BU35+BV35</f>
        <v>8.9999999999994529E-3</v>
      </c>
      <c r="BT35" s="566">
        <f ca="1">OFFSET(Sector1!$G$394,0,(COLUMN()-6)/6)</f>
        <v>114.54300000000001</v>
      </c>
      <c r="BU35" s="566">
        <f ca="1">-OFFSET(Sector1!$G$395,0,(COLUMN()-7)/6)</f>
        <v>-107.31100000000001</v>
      </c>
      <c r="BV35" s="566">
        <f ca="1">-OFFSET(Sector1!$G$396,0,(COLUMN()-8)/6)</f>
        <v>-7.2229999999999999</v>
      </c>
      <c r="BW35" s="566">
        <f ca="1">-OFFSET(Sector1!$G$397,0,(COLUMN()-8)/6)</f>
        <v>-8.9999999999994529E-3</v>
      </c>
      <c r="BX35" s="563">
        <f ca="1">+BS35+BW35</f>
        <v>0</v>
      </c>
      <c r="BY35" s="568">
        <f ca="1">+BZ35+CA35+CB35</f>
        <v>1.0000000000019327E-2</v>
      </c>
      <c r="BZ35" s="566">
        <f ca="1">OFFSET(Sector1!$G$394,0,(COLUMN()-6)/6)</f>
        <v>137.95400000000001</v>
      </c>
      <c r="CA35" s="566">
        <f ca="1">-OFFSET(Sector1!$G$395,0,(COLUMN()-7)/6)</f>
        <v>-129.05099999999999</v>
      </c>
      <c r="CB35" s="566">
        <f ca="1">-OFFSET(Sector1!$G$396,0,(COLUMN()-8)/6)</f>
        <v>-8.8930000000000007</v>
      </c>
      <c r="CC35" s="566">
        <f ca="1">-OFFSET(Sector1!$G$397,0,(COLUMN()-8)/6)</f>
        <v>-1.0000000000019327E-2</v>
      </c>
      <c r="CD35" s="563">
        <f ca="1">+BY35+CC35</f>
        <v>0</v>
      </c>
      <c r="CE35" s="568">
        <f ca="1">+CF35+CG35+CH35</f>
        <v>9.9999999999749178E-3</v>
      </c>
      <c r="CF35" s="566">
        <f ca="1">OFFSET(Sector1!$G$394,0,(COLUMN()-6)/6)</f>
        <v>139.14599999999999</v>
      </c>
      <c r="CG35" s="566">
        <f ca="1">-OFFSET(Sector1!$G$395,0,(COLUMN()-7)/6)</f>
        <v>-130.19300000000001</v>
      </c>
      <c r="CH35" s="566">
        <f ca="1">-OFFSET(Sector1!$G$396,0,(COLUMN()-8)/6)</f>
        <v>-8.9429999999999996</v>
      </c>
      <c r="CI35" s="566">
        <f ca="1">-OFFSET(Sector1!$G$397,0,(COLUMN()-8)/6)</f>
        <v>-9.9999999999749178E-3</v>
      </c>
      <c r="CJ35" s="563">
        <f ca="1">+CE35+CI35</f>
        <v>0</v>
      </c>
      <c r="CK35" s="568">
        <f ca="1">+CL35+CM35+CN35</f>
        <v>1.2000000000004007E-2</v>
      </c>
      <c r="CL35" s="566">
        <f ca="1">OFFSET(Sector1!$G$394,0,(COLUMN()-6)/6)</f>
        <v>105.899</v>
      </c>
      <c r="CM35" s="566">
        <f ca="1">-OFFSET(Sector1!$G$395,0,(COLUMN()-7)/6)</f>
        <v>-96.894999999999996</v>
      </c>
      <c r="CN35" s="566">
        <f ca="1">-OFFSET(Sector1!$G$396,0,(COLUMN()-8)/6)</f>
        <v>-8.9920000000000009</v>
      </c>
      <c r="CO35" s="566">
        <f ca="1">-OFFSET(Sector1!$G$397,0,(COLUMN()-8)/6)</f>
        <v>-1.2000000000004007E-2</v>
      </c>
      <c r="CP35" s="563">
        <f ca="1">+CK35+CO35</f>
        <v>0</v>
      </c>
      <c r="CQ35" s="568">
        <f ca="1">+CR35+CS35+CT35</f>
        <v>1.1999999999986244E-2</v>
      </c>
      <c r="CR35" s="566">
        <f ca="1">OFFSET(Sector1!$G$394,0,(COLUMN()-6)/6)</f>
        <v>148.172</v>
      </c>
      <c r="CS35" s="566">
        <f ca="1">-OFFSET(Sector1!$G$395,0,(COLUMN()-7)/6)</f>
        <v>-139.64500000000001</v>
      </c>
      <c r="CT35" s="566">
        <f ca="1">-OFFSET(Sector1!$G$396,0,(COLUMN()-8)/6)</f>
        <v>-8.5150000000000006</v>
      </c>
      <c r="CU35" s="566">
        <f ca="1">-OFFSET(Sector1!$G$397,0,(COLUMN()-8)/6)</f>
        <v>-1.1999999999986244E-2</v>
      </c>
      <c r="CV35" s="563">
        <f ca="1">+CQ35+CU35</f>
        <v>0</v>
      </c>
      <c r="CW35" s="568">
        <f ca="1">+CX35+CY35+CZ35</f>
        <v>1.0000000000001563E-2</v>
      </c>
      <c r="CX35" s="566">
        <f ca="1">OFFSET(Sector1!$G$394,0,(COLUMN()-6)/6)</f>
        <v>144.63300000000001</v>
      </c>
      <c r="CY35" s="566">
        <f ca="1">-OFFSET(Sector1!$G$395,0,(COLUMN()-7)/6)</f>
        <v>-134.98400000000001</v>
      </c>
      <c r="CZ35" s="566">
        <f ca="1">-OFFSET(Sector1!$G$396,0,(COLUMN()-8)/6)</f>
        <v>-9.6389999999999993</v>
      </c>
      <c r="DA35" s="566">
        <f ca="1">-OFFSET(Sector1!$G$397,0,(COLUMN()-8)/6)</f>
        <v>-1.0000000000001563E-2</v>
      </c>
      <c r="DB35" s="563">
        <f ca="1">+CW35+DA35</f>
        <v>0</v>
      </c>
      <c r="DC35" s="568">
        <f ca="1">+DD35+DE35+DF35</f>
        <v>1.2000000000004896E-2</v>
      </c>
      <c r="DD35" s="566">
        <f ca="1">OFFSET(Sector1!$G$394,0,(COLUMN()-6)/6)</f>
        <v>137.23400000000001</v>
      </c>
      <c r="DE35" s="566">
        <f ca="1">-OFFSET(Sector1!$G$395,0,(COLUMN()-7)/6)</f>
        <v>-130.108</v>
      </c>
      <c r="DF35" s="566">
        <f ca="1">-OFFSET(Sector1!$G$396,0,(COLUMN()-8)/6)</f>
        <v>-7.1139999999999999</v>
      </c>
      <c r="DG35" s="566">
        <f ca="1">-OFFSET(Sector1!$G$397,0,(COLUMN()-8)/6)</f>
        <v>-1.2000000000004896E-2</v>
      </c>
      <c r="DH35" s="563">
        <f ca="1">+DC35+DG35</f>
        <v>0</v>
      </c>
      <c r="DI35" s="568">
        <f ca="1">+DJ35+DK35+DL35</f>
        <v>1.5999999999982251E-2</v>
      </c>
      <c r="DJ35" s="566">
        <f ca="1">OFFSET(Sector1!$G$394,0,(COLUMN()-6)/6)</f>
        <v>145.17699999999999</v>
      </c>
      <c r="DK35" s="566">
        <f ca="1">-OFFSET(Sector1!$G$395,0,(COLUMN()-7)/6)</f>
        <v>-137.02600000000001</v>
      </c>
      <c r="DL35" s="566">
        <f ca="1">-OFFSET(Sector1!$G$396,0,(COLUMN()-8)/6)</f>
        <v>-8.1349999999999998</v>
      </c>
      <c r="DM35" s="566">
        <f ca="1">-OFFSET(Sector1!$G$397,0,(COLUMN()-8)/6)</f>
        <v>-1.5999999999982251E-2</v>
      </c>
      <c r="DN35" s="563">
        <f ca="1">+DI35+DM35</f>
        <v>0</v>
      </c>
      <c r="DO35" s="568">
        <f ca="1">+DP35+DQ35+DR35</f>
        <v>2.3000000000017451E-2</v>
      </c>
      <c r="DP35" s="566">
        <f ca="1">OFFSET(Sector1!$G$394,0,(COLUMN()-6)/6)</f>
        <v>173.27</v>
      </c>
      <c r="DQ35" s="566">
        <f ca="1">-OFFSET(Sector1!$G$395,0,(COLUMN()-7)/6)</f>
        <v>-164.93299999999999</v>
      </c>
      <c r="DR35" s="566">
        <f ca="1">-OFFSET(Sector1!$G$396,0,(COLUMN()-8)/6)</f>
        <v>-8.3140000000000001</v>
      </c>
      <c r="DS35" s="566">
        <f ca="1">-OFFSET(Sector1!$G$397,0,(COLUMN()-8)/6)</f>
        <v>-2.3000000000017451E-2</v>
      </c>
      <c r="DT35" s="563">
        <f ca="1">+DO35+DS35</f>
        <v>0</v>
      </c>
      <c r="DU35" s="568">
        <f ca="1">+DV35+DW35+DX35</f>
        <v>2.9999999999981597E-2</v>
      </c>
      <c r="DV35" s="566">
        <f ca="1">OFFSET(Sector1!$G$394,0,(COLUMN()-6)/6)</f>
        <v>155.70699999999999</v>
      </c>
      <c r="DW35" s="566">
        <f ca="1">-OFFSET(Sector1!$G$395,0,(COLUMN()-7)/6)</f>
        <v>-147.06200000000001</v>
      </c>
      <c r="DX35" s="566">
        <f ca="1">-OFFSET(Sector1!$G$396,0,(COLUMN()-8)/6)</f>
        <v>-8.6150000000000002</v>
      </c>
      <c r="DY35" s="566">
        <f ca="1">-OFFSET(Sector1!$G$397,0,(COLUMN()-8)/6)</f>
        <v>-2.9999999999981597E-2</v>
      </c>
      <c r="DZ35" s="563">
        <f ca="1">+DU35+DY35</f>
        <v>0</v>
      </c>
      <c r="EA35" s="568">
        <f ca="1">+EB35+EC35+ED35</f>
        <v>4.2000000000024684E-2</v>
      </c>
      <c r="EB35" s="566">
        <f ca="1">OFFSET(Sector1!$G$394,0,(COLUMN()-6)/6)</f>
        <v>172.18100000000001</v>
      </c>
      <c r="EC35" s="566">
        <f ca="1">-OFFSET(Sector1!$G$395,0,(COLUMN()-7)/6)</f>
        <v>-162.25899999999999</v>
      </c>
      <c r="ED35" s="566">
        <f ca="1">-OFFSET(Sector1!$G$396,0,(COLUMN()-8)/6)</f>
        <v>-9.8800000000000008</v>
      </c>
      <c r="EE35" s="566">
        <f ca="1">-OFFSET(Sector1!$G$397,0,(COLUMN()-8)/6)</f>
        <v>-4.2000000000024684E-2</v>
      </c>
      <c r="EF35" s="563">
        <f ca="1">+EA35+EE35</f>
        <v>0</v>
      </c>
      <c r="EG35" s="568">
        <f ca="1">+EH35+EI35+EJ35</f>
        <v>4.799999999999649E-2</v>
      </c>
      <c r="EH35" s="566">
        <f ca="1">OFFSET(Sector1!$G$394,0,(COLUMN()-6)/6)</f>
        <v>159.636</v>
      </c>
      <c r="EI35" s="566">
        <f ca="1">-OFFSET(Sector1!$G$395,0,(COLUMN()-7)/6)</f>
        <v>-148.494</v>
      </c>
      <c r="EJ35" s="566">
        <f ca="1">-OFFSET(Sector1!$G$396,0,(COLUMN()-8)/6)</f>
        <v>-11.093999999999999</v>
      </c>
      <c r="EK35" s="566">
        <f ca="1">-OFFSET(Sector1!$G$397,0,(COLUMN()-8)/6)</f>
        <v>-4.799999999999649E-2</v>
      </c>
      <c r="EL35" s="563">
        <f ca="1">+EG35+EK35</f>
        <v>0</v>
      </c>
      <c r="EM35" s="568">
        <f ca="1">+EN35+EO35+EP35</f>
        <v>0</v>
      </c>
      <c r="EN35" s="566">
        <f ca="1">OFFSET(Sector1!$G$394,0,(COLUMN()-6)/6)</f>
        <v>163.22351999999998</v>
      </c>
      <c r="EO35" s="566">
        <f ca="1">-OFFSET(Sector1!$G$395,0,(COLUMN()-7)/6)</f>
        <v>-151.46387999999999</v>
      </c>
      <c r="EP35" s="566">
        <f ca="1">-OFFSET(Sector1!$G$396,0,(COLUMN()-8)/6)</f>
        <v>-11.759639999999999</v>
      </c>
      <c r="EQ35" s="566">
        <f ca="1">-OFFSET(Sector1!$G$397,0,(COLUMN()-8)/6)</f>
        <v>0</v>
      </c>
      <c r="ER35" s="563">
        <f ca="1">+EM35+EQ35</f>
        <v>0</v>
      </c>
      <c r="ES35" s="568">
        <f ca="1">+ET35+EU35+EV35</f>
        <v>0</v>
      </c>
      <c r="ET35" s="566">
        <f ca="1">OFFSET(Sector1!$G$394,0,(COLUMN()-6)/6)</f>
        <v>166.95837599999999</v>
      </c>
      <c r="EU35" s="566">
        <f ca="1">-OFFSET(Sector1!$G$395,0,(COLUMN()-7)/6)</f>
        <v>-154.49315759999999</v>
      </c>
      <c r="EV35" s="566">
        <f ca="1">-OFFSET(Sector1!$G$396,0,(COLUMN()-8)/6)</f>
        <v>-12.465218399999999</v>
      </c>
      <c r="EW35" s="566">
        <f ca="1">-OFFSET(Sector1!$G$397,0,(COLUMN()-8)/6)</f>
        <v>0</v>
      </c>
      <c r="EX35" s="563">
        <f ca="1">+ES35+EW35</f>
        <v>0</v>
      </c>
      <c r="EY35" s="568">
        <f ca="1">+EZ35+FA35+FB35</f>
        <v>0</v>
      </c>
      <c r="EZ35" s="566">
        <f ca="1">OFFSET(Sector1!$G$394,0,(COLUMN()-6)/6)</f>
        <v>170.79615225599997</v>
      </c>
      <c r="FA35" s="566">
        <f ca="1">-OFFSET(Sector1!$G$395,0,(COLUMN()-7)/6)</f>
        <v>-157.58302075199998</v>
      </c>
      <c r="FB35" s="566">
        <f ca="1">-OFFSET(Sector1!$G$396,0,(COLUMN()-8)/6)</f>
        <v>-13.213131504</v>
      </c>
      <c r="FC35" s="566">
        <f ca="1">-OFFSET(Sector1!$G$397,0,(COLUMN()-8)/6)</f>
        <v>0</v>
      </c>
      <c r="FD35" s="563">
        <f ca="1">+EY35+FC35</f>
        <v>0</v>
      </c>
    </row>
    <row r="36" spans="1:160" ht="13.15">
      <c r="A36" s="554"/>
      <c r="B36" s="555" t="s">
        <v>301</v>
      </c>
      <c r="C36" s="3855" t="s">
        <v>1998</v>
      </c>
      <c r="D36" s="3856"/>
      <c r="E36" s="568">
        <f ca="1">+F36+G36+H36+I36</f>
        <v>1374.394</v>
      </c>
      <c r="F36" s="1230">
        <f ca="1">OFFSET('VVP2'!$G$185,0,(COLUMN()-6)/6)</f>
        <v>893.70299999999997</v>
      </c>
      <c r="G36" s="588"/>
      <c r="H36" s="1050">
        <f ca="1">+H37+H38</f>
        <v>480.69099999999997</v>
      </c>
      <c r="I36" s="572"/>
      <c r="J36" s="567"/>
      <c r="K36" s="568">
        <f ca="1">+L36+M36+N36+O36</f>
        <v>1418.4299999999998</v>
      </c>
      <c r="L36" s="1230">
        <f ca="1">OFFSET('VVP2'!$G$185,0,(COLUMN()-6)/6)</f>
        <v>918.23099999999999</v>
      </c>
      <c r="M36" s="588"/>
      <c r="N36" s="1050">
        <f ca="1">+N37+N38</f>
        <v>500.19899999999996</v>
      </c>
      <c r="O36" s="572"/>
      <c r="P36" s="567"/>
      <c r="Q36" s="568">
        <f ca="1">+R36+S36+T36+U36</f>
        <v>1470.7080000000001</v>
      </c>
      <c r="R36" s="1230">
        <f ca="1">OFFSET('VVP2'!$G$185,0,(COLUMN()-6)/6)</f>
        <v>957.61099999999999</v>
      </c>
      <c r="S36" s="588"/>
      <c r="T36" s="1050">
        <f ca="1">+T37+T38</f>
        <v>513.09699999999998</v>
      </c>
      <c r="U36" s="572"/>
      <c r="V36" s="567"/>
      <c r="W36" s="568">
        <f ca="1">+X36+Y36+Z36+AA36</f>
        <v>1534.6309999999999</v>
      </c>
      <c r="X36" s="1230">
        <f ca="1">OFFSET('VVP2'!$G$185,0,(COLUMN()-6)/6)</f>
        <v>993.73400000000004</v>
      </c>
      <c r="Y36" s="588"/>
      <c r="Z36" s="1050">
        <f ca="1">+Z37+Z38</f>
        <v>540.89699999999993</v>
      </c>
      <c r="AA36" s="572"/>
      <c r="AB36" s="567"/>
      <c r="AC36" s="568">
        <f ca="1">+AD36+AE36+AF36+AG36</f>
        <v>1618.1060000000002</v>
      </c>
      <c r="AD36" s="1230">
        <f ca="1">OFFSET('VVP2'!$G$185,0,(COLUMN()-6)/6)</f>
        <v>1049.0340000000001</v>
      </c>
      <c r="AE36" s="588"/>
      <c r="AF36" s="1050">
        <f ca="1">+AF37+AF38</f>
        <v>569.072</v>
      </c>
      <c r="AG36" s="572"/>
      <c r="AH36" s="567"/>
      <c r="AI36" s="568">
        <f ca="1">+AJ36+AK36+AL36+AM36</f>
        <v>1699.0360000000001</v>
      </c>
      <c r="AJ36" s="1230">
        <f ca="1">OFFSET('VVP2'!$G$185,0,(COLUMN()-6)/6)</f>
        <v>1114.962</v>
      </c>
      <c r="AK36" s="588"/>
      <c r="AL36" s="1050">
        <f ca="1">+AL37+AL38</f>
        <v>584.07400000000007</v>
      </c>
      <c r="AM36" s="572"/>
      <c r="AN36" s="567"/>
      <c r="AO36" s="568">
        <f ca="1">+AP36+AQ36+AR36+AS36</f>
        <v>1759.922</v>
      </c>
      <c r="AP36" s="1230">
        <f ca="1">OFFSET('VVP2'!$G$185,0,(COLUMN()-6)/6)</f>
        <v>1147.2829999999999</v>
      </c>
      <c r="AQ36" s="588"/>
      <c r="AR36" s="1050">
        <f ca="1">+AR37+AR38</f>
        <v>612.63900000000001</v>
      </c>
      <c r="AS36" s="572"/>
      <c r="AT36" s="567"/>
      <c r="AU36" s="568">
        <f ca="1">+AV36+AW36+AX36+AY36</f>
        <v>1848.8319999999999</v>
      </c>
      <c r="AV36" s="1230">
        <f ca="1">OFFSET('VVP2'!$G$185,0,(COLUMN()-6)/6)</f>
        <v>1194.174</v>
      </c>
      <c r="AW36" s="588"/>
      <c r="AX36" s="1050">
        <f ca="1">+AX37+AX38</f>
        <v>654.65800000000002</v>
      </c>
      <c r="AY36" s="572"/>
      <c r="AZ36" s="567"/>
      <c r="BA36" s="568">
        <f ca="1">+BB36+BC36+BD36+BE36</f>
        <v>1930.047</v>
      </c>
      <c r="BB36" s="1230">
        <f ca="1">OFFSET('VVP2'!$G$185,0,(COLUMN()-6)/6)</f>
        <v>1241.623</v>
      </c>
      <c r="BC36" s="588"/>
      <c r="BD36" s="1050">
        <f ca="1">+BD37+BD38</f>
        <v>688.42399999999998</v>
      </c>
      <c r="BE36" s="572"/>
      <c r="BF36" s="567"/>
      <c r="BG36" s="568">
        <f ca="1">+BH36+BI36+BJ36+BK36</f>
        <v>1987.21</v>
      </c>
      <c r="BH36" s="1230">
        <f ca="1">OFFSET('VVP2'!$G$185,0,(COLUMN()-6)/6)</f>
        <v>1286.19</v>
      </c>
      <c r="BI36" s="588"/>
      <c r="BJ36" s="1050">
        <f ca="1">+BJ37+BJ38</f>
        <v>701.02</v>
      </c>
      <c r="BK36" s="572"/>
      <c r="BL36" s="567"/>
      <c r="BM36" s="568">
        <f ca="1">+BN36+BO36+BP36+BQ36</f>
        <v>2059.0910000000003</v>
      </c>
      <c r="BN36" s="1230">
        <f ca="1">OFFSET('VVP2'!$G$185,0,(COLUMN()-6)/6)</f>
        <v>1336.4490000000001</v>
      </c>
      <c r="BO36" s="588"/>
      <c r="BP36" s="1050">
        <f ca="1">+BP37+BP38</f>
        <v>722.64200000000005</v>
      </c>
      <c r="BQ36" s="572"/>
      <c r="BR36" s="567"/>
      <c r="BS36" s="568">
        <f ca="1">+BT36+BU36+BV36+BW36</f>
        <v>2150.2309999999998</v>
      </c>
      <c r="BT36" s="1230">
        <f ca="1">OFFSET('VVP2'!$G$185,0,(COLUMN()-6)/6)</f>
        <v>1388.6759999999999</v>
      </c>
      <c r="BU36" s="588"/>
      <c r="BV36" s="1050">
        <f ca="1">+BV37+BV38</f>
        <v>761.55499999999995</v>
      </c>
      <c r="BW36" s="572"/>
      <c r="BX36" s="567"/>
      <c r="BY36" s="568">
        <f ca="1">+BZ36+CA36+CB36+CC36</f>
        <v>2255.672</v>
      </c>
      <c r="BZ36" s="1230">
        <f ca="1">OFFSET('VVP2'!$G$185,0,(COLUMN()-6)/6)</f>
        <v>1462.213</v>
      </c>
      <c r="CA36" s="588"/>
      <c r="CB36" s="1050">
        <f ca="1">+CB37+CB38</f>
        <v>793.45900000000006</v>
      </c>
      <c r="CC36" s="572"/>
      <c r="CD36" s="567"/>
      <c r="CE36" s="568">
        <f ca="1">+CF36+CG36+CH36+CI36</f>
        <v>2344.6680000000001</v>
      </c>
      <c r="CF36" s="1230">
        <f ca="1">OFFSET('VVP2'!$G$185,0,(COLUMN()-6)/6)</f>
        <v>1511.3030000000001</v>
      </c>
      <c r="CG36" s="588"/>
      <c r="CH36" s="1050">
        <f ca="1">+CH37+CH38</f>
        <v>833.36500000000001</v>
      </c>
      <c r="CI36" s="572"/>
      <c r="CJ36" s="567"/>
      <c r="CK36" s="568">
        <f ca="1">+CL36+CM36+CN36+CO36</f>
        <v>2410.9549999999999</v>
      </c>
      <c r="CL36" s="1230">
        <f ca="1">OFFSET('VVP2'!$G$185,0,(COLUMN()-6)/6)</f>
        <v>1550.3869999999999</v>
      </c>
      <c r="CM36" s="588"/>
      <c r="CN36" s="1050">
        <f ca="1">+CN37+CN38</f>
        <v>860.56799999999998</v>
      </c>
      <c r="CO36" s="572"/>
      <c r="CP36" s="567"/>
      <c r="CQ36" s="568">
        <f ca="1">+CR36+CS36+CT36+CU36</f>
        <v>2521.0120000000002</v>
      </c>
      <c r="CR36" s="1230">
        <f ca="1">OFFSET('VVP2'!$G$185,0,(COLUMN()-6)/6)</f>
        <v>1634.64</v>
      </c>
      <c r="CS36" s="588"/>
      <c r="CT36" s="1050">
        <f ca="1">+CT37+CT38</f>
        <v>886.37199999999996</v>
      </c>
      <c r="CU36" s="572"/>
      <c r="CV36" s="567"/>
      <c r="CW36" s="568">
        <f ca="1">+CX36+CY36+CZ36+DA36</f>
        <v>2613.7129999999997</v>
      </c>
      <c r="CX36" s="1230">
        <f ca="1">OFFSET('VVP2'!$G$185,0,(COLUMN()-6)/6)</f>
        <v>1692.895</v>
      </c>
      <c r="CY36" s="588"/>
      <c r="CZ36" s="1050">
        <f ca="1">+CZ37+CZ38</f>
        <v>920.81799999999998</v>
      </c>
      <c r="DA36" s="572"/>
      <c r="DB36" s="567"/>
      <c r="DC36" s="568">
        <f ca="1">+DD36+DE36+DF36+DG36</f>
        <v>2669.9390000000003</v>
      </c>
      <c r="DD36" s="1230">
        <f ca="1">OFFSET('VVP2'!$G$185,0,(COLUMN()-6)/6)</f>
        <v>1715.028</v>
      </c>
      <c r="DE36" s="588"/>
      <c r="DF36" s="1050">
        <f ca="1">+DF37+DF38</f>
        <v>954.91100000000006</v>
      </c>
      <c r="DG36" s="572"/>
      <c r="DH36" s="567"/>
      <c r="DI36" s="568">
        <f ca="1">+DJ36+DK36+DL36+DM36</f>
        <v>2751.9380000000001</v>
      </c>
      <c r="DJ36" s="1230">
        <f ca="1">OFFSET('VVP2'!$G$185,0,(COLUMN()-6)/6)</f>
        <v>1759.307</v>
      </c>
      <c r="DK36" s="588"/>
      <c r="DL36" s="1050">
        <f ca="1">+DL37+DL38</f>
        <v>992.63099999999997</v>
      </c>
      <c r="DM36" s="572"/>
      <c r="DN36" s="567"/>
      <c r="DO36" s="568">
        <f ca="1">+DP36+DQ36+DR36+DS36</f>
        <v>2847.6880000000001</v>
      </c>
      <c r="DP36" s="1230">
        <f ca="1">OFFSET('VVP2'!$G$185,0,(COLUMN()-6)/6)</f>
        <v>1816.1790000000001</v>
      </c>
      <c r="DQ36" s="588"/>
      <c r="DR36" s="1050">
        <f ca="1">+DR37+DR38</f>
        <v>1031.509</v>
      </c>
      <c r="DS36" s="572"/>
      <c r="DT36" s="567"/>
      <c r="DU36" s="568">
        <f ca="1">+DV36+DW36+DX36+DY36</f>
        <v>2975.7310000000002</v>
      </c>
      <c r="DV36" s="1230">
        <f ca="1">OFFSET('VVP2'!$G$185,0,(COLUMN()-6)/6)</f>
        <v>1889.1010000000001</v>
      </c>
      <c r="DW36" s="588"/>
      <c r="DX36" s="1050">
        <f ca="1">+DX37+DX38</f>
        <v>1086.6300000000001</v>
      </c>
      <c r="DY36" s="572"/>
      <c r="DZ36" s="567"/>
      <c r="EA36" s="568">
        <f ca="1">+EB36+EC36+ED36+EE36</f>
        <v>3116.1379999999999</v>
      </c>
      <c r="EB36" s="1230">
        <f ca="1">OFFSET('VVP2'!$G$185,0,(COLUMN()-6)/6)</f>
        <v>1962.61</v>
      </c>
      <c r="EC36" s="588"/>
      <c r="ED36" s="1050">
        <f ca="1">+ED37+ED38</f>
        <v>1153.528</v>
      </c>
      <c r="EE36" s="572"/>
      <c r="EF36" s="567"/>
      <c r="EG36" s="568">
        <f ca="1">+EH36+EI36+EJ36+EK36</f>
        <v>3236.451</v>
      </c>
      <c r="EH36" s="1230">
        <f ca="1">OFFSET('VVP2'!$G$185,0,(COLUMN()-6)/6)</f>
        <v>2040.8019999999999</v>
      </c>
      <c r="EI36" s="588"/>
      <c r="EJ36" s="1050">
        <f ca="1">+EJ37+EJ38</f>
        <v>1195.6490000000001</v>
      </c>
      <c r="EK36" s="572"/>
      <c r="EL36" s="567"/>
      <c r="EM36" s="568">
        <f ca="1">+EN36+EO36+EP36+EQ36</f>
        <v>3374.7133865155997</v>
      </c>
      <c r="EN36" s="1230">
        <f ca="1">OFFSET('VVP2'!$G$185,0,(COLUMN()-6)/6)</f>
        <v>2125.3075292159997</v>
      </c>
      <c r="EO36" s="588"/>
      <c r="EP36" s="1050">
        <f ca="1">+EP37+EP38</f>
        <v>1249.4058572996</v>
      </c>
      <c r="EQ36" s="572"/>
      <c r="ER36" s="567"/>
      <c r="ES36" s="568">
        <f ca="1">+ET36+EU36+EV36+EW36</f>
        <v>3507.7479812514512</v>
      </c>
      <c r="ET36" s="1230">
        <f ca="1">OFFSET('VVP2'!$G$185,0,(COLUMN()-6)/6)</f>
        <v>2211.7992569557268</v>
      </c>
      <c r="EU36" s="588"/>
      <c r="EV36" s="1050">
        <f ca="1">+EV37+EV38</f>
        <v>1295.9487242957246</v>
      </c>
      <c r="EW36" s="572"/>
      <c r="EX36" s="567"/>
      <c r="EY36" s="568">
        <f ca="1">+EZ36+FA36+FB36+FC36</f>
        <v>3640.9045627610276</v>
      </c>
      <c r="EZ36" s="1230">
        <f ca="1">OFFSET('VVP2'!$G$185,0,(COLUMN()-6)/6)</f>
        <v>2298.8954880961292</v>
      </c>
      <c r="FA36" s="588"/>
      <c r="FB36" s="1050">
        <f ca="1">+FB37+FB38</f>
        <v>1342.0090746648987</v>
      </c>
      <c r="FC36" s="572"/>
      <c r="FD36" s="567"/>
    </row>
    <row r="37" spans="1:160" s="583" customFormat="1">
      <c r="A37" s="578"/>
      <c r="B37" s="555"/>
      <c r="C37" s="598"/>
      <c r="D37" s="599" t="s">
        <v>681</v>
      </c>
      <c r="E37" s="582"/>
      <c r="F37" s="565"/>
      <c r="G37" s="588"/>
      <c r="H37" s="1234">
        <f ca="1">OFFSET('VVP2'!$G$191,0,(COLUMN()-8)/6)</f>
        <v>333.61399999999998</v>
      </c>
      <c r="I37" s="572"/>
      <c r="J37" s="600"/>
      <c r="K37" s="582"/>
      <c r="L37" s="565"/>
      <c r="M37" s="588"/>
      <c r="N37" s="1234">
        <f ca="1">OFFSET('VVP2'!$G$191,0,(COLUMN()-8)/6)</f>
        <v>350.78</v>
      </c>
      <c r="O37" s="572"/>
      <c r="P37" s="600"/>
      <c r="Q37" s="582"/>
      <c r="R37" s="565"/>
      <c r="S37" s="588"/>
      <c r="T37" s="1234">
        <f ca="1">OFFSET('VVP2'!$G$191,0,(COLUMN()-8)/6)</f>
        <v>357.50400000000002</v>
      </c>
      <c r="U37" s="572"/>
      <c r="V37" s="600"/>
      <c r="W37" s="582"/>
      <c r="X37" s="565"/>
      <c r="Y37" s="588"/>
      <c r="Z37" s="1234">
        <f ca="1">OFFSET('VVP2'!$G$191,0,(COLUMN()-8)/6)</f>
        <v>380.68099999999998</v>
      </c>
      <c r="AA37" s="572"/>
      <c r="AB37" s="600"/>
      <c r="AC37" s="582"/>
      <c r="AD37" s="565"/>
      <c r="AE37" s="588"/>
      <c r="AF37" s="1234">
        <f ca="1">OFFSET('VVP2'!$G$191,0,(COLUMN()-8)/6)</f>
        <v>397.43200000000002</v>
      </c>
      <c r="AG37" s="572"/>
      <c r="AH37" s="600"/>
      <c r="AI37" s="582"/>
      <c r="AJ37" s="565"/>
      <c r="AK37" s="588"/>
      <c r="AL37" s="1234">
        <f ca="1">OFFSET('VVP2'!$G$191,0,(COLUMN()-8)/6)</f>
        <v>405.01900000000001</v>
      </c>
      <c r="AM37" s="572"/>
      <c r="AN37" s="600"/>
      <c r="AO37" s="582"/>
      <c r="AP37" s="565"/>
      <c r="AQ37" s="588"/>
      <c r="AR37" s="1234">
        <f ca="1">OFFSET('VVP2'!$G$191,0,(COLUMN()-8)/6)</f>
        <v>440.12200000000001</v>
      </c>
      <c r="AS37" s="572"/>
      <c r="AT37" s="600"/>
      <c r="AU37" s="582"/>
      <c r="AV37" s="565"/>
      <c r="AW37" s="588"/>
      <c r="AX37" s="1234">
        <f ca="1">OFFSET('VVP2'!$G$191,0,(COLUMN()-8)/6)</f>
        <v>473.24400000000003</v>
      </c>
      <c r="AY37" s="572"/>
      <c r="AZ37" s="600"/>
      <c r="BA37" s="582"/>
      <c r="BB37" s="565"/>
      <c r="BC37" s="588"/>
      <c r="BD37" s="1234">
        <f ca="1">OFFSET('VVP2'!$G$191,0,(COLUMN()-8)/6)</f>
        <v>499.90300000000002</v>
      </c>
      <c r="BE37" s="572"/>
      <c r="BF37" s="600"/>
      <c r="BG37" s="582"/>
      <c r="BH37" s="565"/>
      <c r="BI37" s="588"/>
      <c r="BJ37" s="1234">
        <f ca="1">OFFSET('VVP2'!$G$191,0,(COLUMN()-8)/6)</f>
        <v>508.31900000000002</v>
      </c>
      <c r="BK37" s="572"/>
      <c r="BL37" s="600"/>
      <c r="BM37" s="582"/>
      <c r="BN37" s="565"/>
      <c r="BO37" s="588"/>
      <c r="BP37" s="1234">
        <f ca="1">OFFSET('VVP2'!$G$191,0,(COLUMN()-8)/6)</f>
        <v>526.24900000000002</v>
      </c>
      <c r="BQ37" s="572"/>
      <c r="BR37" s="600"/>
      <c r="BS37" s="582"/>
      <c r="BT37" s="565"/>
      <c r="BU37" s="588"/>
      <c r="BV37" s="1234">
        <f ca="1">OFFSET('VVP2'!$G$191,0,(COLUMN()-8)/6)</f>
        <v>555.07299999999998</v>
      </c>
      <c r="BW37" s="572"/>
      <c r="BX37" s="600"/>
      <c r="BY37" s="582"/>
      <c r="BZ37" s="565"/>
      <c r="CA37" s="588"/>
      <c r="CB37" s="1234">
        <f ca="1">OFFSET('VVP2'!$G$191,0,(COLUMN()-8)/6)</f>
        <v>580.89300000000003</v>
      </c>
      <c r="CC37" s="572"/>
      <c r="CD37" s="600"/>
      <c r="CE37" s="582"/>
      <c r="CF37" s="565"/>
      <c r="CG37" s="588"/>
      <c r="CH37" s="1234">
        <f ca="1">OFFSET('VVP2'!$G$191,0,(COLUMN()-8)/6)</f>
        <v>606.57299999999998</v>
      </c>
      <c r="CI37" s="572"/>
      <c r="CJ37" s="600"/>
      <c r="CK37" s="582"/>
      <c r="CL37" s="565"/>
      <c r="CM37" s="588"/>
      <c r="CN37" s="1234">
        <f ca="1">OFFSET('VVP2'!$G$191,0,(COLUMN()-8)/6)</f>
        <v>621.86199999999997</v>
      </c>
      <c r="CO37" s="572"/>
      <c r="CP37" s="600"/>
      <c r="CQ37" s="582"/>
      <c r="CR37" s="565"/>
      <c r="CS37" s="588"/>
      <c r="CT37" s="1234">
        <f ca="1">OFFSET('VVP2'!$G$191,0,(COLUMN()-8)/6)</f>
        <v>640.00199999999995</v>
      </c>
      <c r="CU37" s="572"/>
      <c r="CV37" s="600"/>
      <c r="CW37" s="582"/>
      <c r="CX37" s="565"/>
      <c r="CY37" s="588"/>
      <c r="CZ37" s="1234">
        <f ca="1">OFFSET('VVP2'!$G$191,0,(COLUMN()-8)/6)</f>
        <v>663.51400000000001</v>
      </c>
      <c r="DA37" s="572"/>
      <c r="DB37" s="600"/>
      <c r="DC37" s="582"/>
      <c r="DD37" s="565"/>
      <c r="DE37" s="588"/>
      <c r="DF37" s="1234">
        <f ca="1">OFFSET('VVP2'!$G$191,0,(COLUMN()-8)/6)</f>
        <v>683.65700000000004</v>
      </c>
      <c r="DG37" s="572"/>
      <c r="DH37" s="600"/>
      <c r="DI37" s="582"/>
      <c r="DJ37" s="565"/>
      <c r="DK37" s="588"/>
      <c r="DL37" s="1234">
        <f ca="1">OFFSET('VVP2'!$G$191,0,(COLUMN()-8)/6)</f>
        <v>709.53599999999994</v>
      </c>
      <c r="DM37" s="572"/>
      <c r="DN37" s="600"/>
      <c r="DO37" s="582"/>
      <c r="DP37" s="565"/>
      <c r="DQ37" s="588"/>
      <c r="DR37" s="1234">
        <f ca="1">OFFSET('VVP2'!$G$191,0,(COLUMN()-8)/6)</f>
        <v>740.25599999999997</v>
      </c>
      <c r="DS37" s="572"/>
      <c r="DT37" s="600"/>
      <c r="DU37" s="582"/>
      <c r="DV37" s="565"/>
      <c r="DW37" s="588"/>
      <c r="DX37" s="1234">
        <f ca="1">OFFSET('VVP2'!$G$191,0,(COLUMN()-8)/6)</f>
        <v>786.80799999999999</v>
      </c>
      <c r="DY37" s="572"/>
      <c r="DZ37" s="600"/>
      <c r="EA37" s="582"/>
      <c r="EB37" s="565"/>
      <c r="EC37" s="588"/>
      <c r="ED37" s="1234">
        <f ca="1">OFFSET('VVP2'!$G$191,0,(COLUMN()-8)/6)</f>
        <v>847.62199999999996</v>
      </c>
      <c r="EE37" s="572"/>
      <c r="EF37" s="600"/>
      <c r="EG37" s="582"/>
      <c r="EH37" s="565"/>
      <c r="EI37" s="588"/>
      <c r="EJ37" s="1234">
        <f ca="1">OFFSET('VVP2'!$G$191,0,(COLUMN()-8)/6)</f>
        <v>881.56100000000004</v>
      </c>
      <c r="EK37" s="572"/>
      <c r="EL37" s="600"/>
      <c r="EM37" s="582"/>
      <c r="EN37" s="565"/>
      <c r="EO37" s="588"/>
      <c r="EP37" s="1234">
        <f ca="1">OFFSET('VVP2'!$G$191,0,(COLUMN()-8)/6)</f>
        <v>923.69660129960005</v>
      </c>
      <c r="EQ37" s="572"/>
      <c r="ER37" s="600"/>
      <c r="ES37" s="582"/>
      <c r="ET37" s="565"/>
      <c r="EU37" s="588"/>
      <c r="EV37" s="1234">
        <f ca="1">OFFSET('VVP2'!$G$191,0,(COLUMN()-8)/6)</f>
        <v>959.81677210372459</v>
      </c>
      <c r="EW37" s="572"/>
      <c r="EX37" s="600"/>
      <c r="EY37" s="582"/>
      <c r="EZ37" s="565"/>
      <c r="FA37" s="588"/>
      <c r="FB37" s="1234">
        <f ca="1">OFFSET('VVP2'!$G$191,0,(COLUMN()-8)/6)</f>
        <v>996.80155976371464</v>
      </c>
      <c r="FC37" s="572"/>
      <c r="FD37" s="600"/>
    </row>
    <row r="38" spans="1:160" s="583" customFormat="1" ht="13.15" thickBot="1">
      <c r="A38" s="578"/>
      <c r="B38" s="579"/>
      <c r="C38" s="598"/>
      <c r="D38" s="599" t="s">
        <v>682</v>
      </c>
      <c r="E38" s="601"/>
      <c r="F38" s="565"/>
      <c r="G38" s="588"/>
      <c r="H38" s="1235">
        <f ca="1">OFFSET('VVP2'!$G$192,0,(COLUMN()-8)/6)</f>
        <v>147.077</v>
      </c>
      <c r="I38" s="572"/>
      <c r="J38" s="600"/>
      <c r="K38" s="601"/>
      <c r="L38" s="565"/>
      <c r="M38" s="588"/>
      <c r="N38" s="1235">
        <f ca="1">OFFSET('VVP2'!$G$192,0,(COLUMN()-8)/6)</f>
        <v>149.41900000000001</v>
      </c>
      <c r="O38" s="572"/>
      <c r="P38" s="600"/>
      <c r="Q38" s="601"/>
      <c r="R38" s="565"/>
      <c r="S38" s="588"/>
      <c r="T38" s="1235">
        <f ca="1">OFFSET('VVP2'!$G$192,0,(COLUMN()-8)/6)</f>
        <v>155.59299999999999</v>
      </c>
      <c r="U38" s="572"/>
      <c r="V38" s="600"/>
      <c r="W38" s="601"/>
      <c r="X38" s="565"/>
      <c r="Y38" s="588"/>
      <c r="Z38" s="1235">
        <f ca="1">OFFSET('VVP2'!$G$192,0,(COLUMN()-8)/6)</f>
        <v>160.21600000000001</v>
      </c>
      <c r="AA38" s="572"/>
      <c r="AB38" s="600"/>
      <c r="AC38" s="601"/>
      <c r="AD38" s="565"/>
      <c r="AE38" s="588"/>
      <c r="AF38" s="1235">
        <f ca="1">OFFSET('VVP2'!$G$192,0,(COLUMN()-8)/6)</f>
        <v>171.64</v>
      </c>
      <c r="AG38" s="572"/>
      <c r="AH38" s="600"/>
      <c r="AI38" s="601"/>
      <c r="AJ38" s="565"/>
      <c r="AK38" s="588"/>
      <c r="AL38" s="1235">
        <f ca="1">OFFSET('VVP2'!$G$192,0,(COLUMN()-8)/6)</f>
        <v>179.05500000000001</v>
      </c>
      <c r="AM38" s="572"/>
      <c r="AN38" s="600"/>
      <c r="AO38" s="601"/>
      <c r="AP38" s="565"/>
      <c r="AQ38" s="588"/>
      <c r="AR38" s="1235">
        <f ca="1">OFFSET('VVP2'!$G$192,0,(COLUMN()-8)/6)</f>
        <v>172.517</v>
      </c>
      <c r="AS38" s="572"/>
      <c r="AT38" s="600"/>
      <c r="AU38" s="601"/>
      <c r="AV38" s="565"/>
      <c r="AW38" s="588"/>
      <c r="AX38" s="1235">
        <f ca="1">OFFSET('VVP2'!$G$192,0,(COLUMN()-8)/6)</f>
        <v>181.41399999999999</v>
      </c>
      <c r="AY38" s="572"/>
      <c r="AZ38" s="600"/>
      <c r="BA38" s="601"/>
      <c r="BB38" s="565"/>
      <c r="BC38" s="588"/>
      <c r="BD38" s="1235">
        <f ca="1">OFFSET('VVP2'!$G$192,0,(COLUMN()-8)/6)</f>
        <v>188.52099999999999</v>
      </c>
      <c r="BE38" s="572"/>
      <c r="BF38" s="600"/>
      <c r="BG38" s="601"/>
      <c r="BH38" s="565"/>
      <c r="BI38" s="588"/>
      <c r="BJ38" s="1235">
        <f ca="1">OFFSET('VVP2'!$G$192,0,(COLUMN()-8)/6)</f>
        <v>192.70099999999999</v>
      </c>
      <c r="BK38" s="572"/>
      <c r="BL38" s="600"/>
      <c r="BM38" s="601"/>
      <c r="BN38" s="565"/>
      <c r="BO38" s="588"/>
      <c r="BP38" s="1235">
        <f ca="1">OFFSET('VVP2'!$G$192,0,(COLUMN()-8)/6)</f>
        <v>196.393</v>
      </c>
      <c r="BQ38" s="572"/>
      <c r="BR38" s="600"/>
      <c r="BS38" s="601"/>
      <c r="BT38" s="565"/>
      <c r="BU38" s="588"/>
      <c r="BV38" s="1235">
        <f ca="1">OFFSET('VVP2'!$G$192,0,(COLUMN()-8)/6)</f>
        <v>206.482</v>
      </c>
      <c r="BW38" s="572"/>
      <c r="BX38" s="600"/>
      <c r="BY38" s="601"/>
      <c r="BZ38" s="565"/>
      <c r="CA38" s="588"/>
      <c r="CB38" s="1235">
        <f ca="1">OFFSET('VVP2'!$G$192,0,(COLUMN()-8)/6)</f>
        <v>212.566</v>
      </c>
      <c r="CC38" s="572"/>
      <c r="CD38" s="600"/>
      <c r="CE38" s="601"/>
      <c r="CF38" s="565"/>
      <c r="CG38" s="588"/>
      <c r="CH38" s="1235">
        <f ca="1">OFFSET('VVP2'!$G$192,0,(COLUMN()-8)/6)</f>
        <v>226.792</v>
      </c>
      <c r="CI38" s="572"/>
      <c r="CJ38" s="600"/>
      <c r="CK38" s="601"/>
      <c r="CL38" s="565"/>
      <c r="CM38" s="588"/>
      <c r="CN38" s="1235">
        <f ca="1">OFFSET('VVP2'!$G$192,0,(COLUMN()-8)/6)</f>
        <v>238.70599999999999</v>
      </c>
      <c r="CO38" s="572"/>
      <c r="CP38" s="600"/>
      <c r="CQ38" s="601"/>
      <c r="CR38" s="565"/>
      <c r="CS38" s="588"/>
      <c r="CT38" s="1235">
        <f ca="1">OFFSET('VVP2'!$G$192,0,(COLUMN()-8)/6)</f>
        <v>246.37</v>
      </c>
      <c r="CU38" s="572"/>
      <c r="CV38" s="600"/>
      <c r="CW38" s="601"/>
      <c r="CX38" s="565"/>
      <c r="CY38" s="588"/>
      <c r="CZ38" s="1235">
        <f ca="1">OFFSET('VVP2'!$G$192,0,(COLUMN()-8)/6)</f>
        <v>257.30399999999997</v>
      </c>
      <c r="DA38" s="572"/>
      <c r="DB38" s="600"/>
      <c r="DC38" s="601"/>
      <c r="DD38" s="565"/>
      <c r="DE38" s="588"/>
      <c r="DF38" s="1235">
        <f ca="1">OFFSET('VVP2'!$G$192,0,(COLUMN()-8)/6)</f>
        <v>271.25400000000002</v>
      </c>
      <c r="DG38" s="572"/>
      <c r="DH38" s="600"/>
      <c r="DI38" s="601"/>
      <c r="DJ38" s="565"/>
      <c r="DK38" s="588"/>
      <c r="DL38" s="1235">
        <f ca="1">OFFSET('VVP2'!$G$192,0,(COLUMN()-8)/6)</f>
        <v>283.09500000000003</v>
      </c>
      <c r="DM38" s="572"/>
      <c r="DN38" s="600"/>
      <c r="DO38" s="601"/>
      <c r="DP38" s="565"/>
      <c r="DQ38" s="588"/>
      <c r="DR38" s="1235">
        <f ca="1">OFFSET('VVP2'!$G$192,0,(COLUMN()-8)/6)</f>
        <v>291.25299999999999</v>
      </c>
      <c r="DS38" s="572"/>
      <c r="DT38" s="600"/>
      <c r="DU38" s="601"/>
      <c r="DV38" s="565"/>
      <c r="DW38" s="588"/>
      <c r="DX38" s="1235">
        <f ca="1">OFFSET('VVP2'!$G$192,0,(COLUMN()-8)/6)</f>
        <v>299.822</v>
      </c>
      <c r="DY38" s="572"/>
      <c r="DZ38" s="600"/>
      <c r="EA38" s="601"/>
      <c r="EB38" s="565"/>
      <c r="EC38" s="588"/>
      <c r="ED38" s="1235">
        <f ca="1">OFFSET('VVP2'!$G$192,0,(COLUMN()-8)/6)</f>
        <v>305.90600000000001</v>
      </c>
      <c r="EE38" s="572"/>
      <c r="EF38" s="600"/>
      <c r="EG38" s="601"/>
      <c r="EH38" s="565"/>
      <c r="EI38" s="588"/>
      <c r="EJ38" s="1235">
        <f ca="1">OFFSET('VVP2'!$G$192,0,(COLUMN()-8)/6)</f>
        <v>314.08800000000002</v>
      </c>
      <c r="EK38" s="572"/>
      <c r="EL38" s="600"/>
      <c r="EM38" s="601"/>
      <c r="EN38" s="565"/>
      <c r="EO38" s="588"/>
      <c r="EP38" s="1235">
        <f ca="1">OFFSET('VVP2'!$G$192,0,(COLUMN()-8)/6)</f>
        <v>325.70925599999998</v>
      </c>
      <c r="EQ38" s="572"/>
      <c r="ER38" s="600"/>
      <c r="ES38" s="601"/>
      <c r="ET38" s="565"/>
      <c r="EU38" s="588"/>
      <c r="EV38" s="1235">
        <f ca="1">OFFSET('VVP2'!$G$192,0,(COLUMN()-8)/6)</f>
        <v>336.13195219199997</v>
      </c>
      <c r="EW38" s="572"/>
      <c r="EX38" s="600"/>
      <c r="EY38" s="601"/>
      <c r="EZ38" s="565"/>
      <c r="FA38" s="588"/>
      <c r="FB38" s="1235">
        <f ca="1">OFFSET('VVP2'!$G$192,0,(COLUMN()-8)/6)</f>
        <v>345.20751490118397</v>
      </c>
      <c r="FC38" s="572"/>
      <c r="FD38" s="600"/>
    </row>
    <row r="39" spans="1:160" s="564" customFormat="1" ht="13.5" thickBot="1">
      <c r="A39" s="559"/>
      <c r="B39" s="560" t="s">
        <v>1793</v>
      </c>
      <c r="C39" s="3868" t="s">
        <v>1660</v>
      </c>
      <c r="D39" s="3869"/>
      <c r="E39" s="570">
        <f ca="1">+F39+G39+H39</f>
        <v>453.9770000000002</v>
      </c>
      <c r="F39" s="570">
        <f ca="1">+F34+F35-F36</f>
        <v>100.53900000000021</v>
      </c>
      <c r="G39" s="570">
        <f ca="1">+G34+G35-G36</f>
        <v>382.83399999999983</v>
      </c>
      <c r="H39" s="570">
        <f ca="1">+H34+H35-H36</f>
        <v>-29.395999999999844</v>
      </c>
      <c r="I39" s="570"/>
      <c r="J39" s="567"/>
      <c r="K39" s="570">
        <f ca="1">+L39+M39+N39</f>
        <v>461.99100000000038</v>
      </c>
      <c r="L39" s="570">
        <f ca="1">+L34+L35-L36</f>
        <v>80.894000000000119</v>
      </c>
      <c r="M39" s="570">
        <f ca="1">+M34+M35-M36</f>
        <v>348.09800000000013</v>
      </c>
      <c r="N39" s="570">
        <f ca="1">+N34+N35-N36</f>
        <v>32.999000000000137</v>
      </c>
      <c r="O39" s="570"/>
      <c r="P39" s="567"/>
      <c r="Q39" s="570">
        <f ca="1">+R39+S39+T39</f>
        <v>493.25699999999995</v>
      </c>
      <c r="R39" s="570">
        <f ca="1">+R34+R35-R36</f>
        <v>52.879000000000019</v>
      </c>
      <c r="S39" s="570">
        <f ca="1">+S34+S35-S36</f>
        <v>376.47399999999993</v>
      </c>
      <c r="T39" s="570">
        <f ca="1">+T34+T35-T36</f>
        <v>63.903999999999996</v>
      </c>
      <c r="U39" s="570"/>
      <c r="V39" s="567"/>
      <c r="W39" s="570">
        <f ca="1">+X39+Y39+Z39</f>
        <v>545.87400000000002</v>
      </c>
      <c r="X39" s="570">
        <f ca="1">+X34+X35-X36</f>
        <v>50.226999999999975</v>
      </c>
      <c r="Y39" s="570">
        <f ca="1">+Y34+Y35-Y36</f>
        <v>401.85100000000017</v>
      </c>
      <c r="Z39" s="570">
        <f ca="1">+Z34+Z35-Z36</f>
        <v>93.795999999999935</v>
      </c>
      <c r="AA39" s="570"/>
      <c r="AB39" s="567"/>
      <c r="AC39" s="570">
        <f ca="1">+AD39+AE39+AF39</f>
        <v>513.93699999999967</v>
      </c>
      <c r="AD39" s="570">
        <f ca="1">+AD34+AD35-AD36</f>
        <v>-15.314000000000078</v>
      </c>
      <c r="AE39" s="570">
        <f ca="1">+AE34+AE35-AE36</f>
        <v>413.49499999999995</v>
      </c>
      <c r="AF39" s="570">
        <f ca="1">+AF34+AF35-AF36</f>
        <v>115.75599999999986</v>
      </c>
      <c r="AG39" s="570"/>
      <c r="AH39" s="567"/>
      <c r="AI39" s="570">
        <f ca="1">+AJ39+AK39+AL39</f>
        <v>648.89399999999978</v>
      </c>
      <c r="AJ39" s="570">
        <f ca="1">+AJ34+AJ35-AJ36</f>
        <v>85.341999999999871</v>
      </c>
      <c r="AK39" s="570">
        <f ca="1">+AK34+AK35-AK36</f>
        <v>395.84699999999998</v>
      </c>
      <c r="AL39" s="570">
        <f ca="1">+AL34+AL35-AL36</f>
        <v>167.70499999999993</v>
      </c>
      <c r="AM39" s="570"/>
      <c r="AN39" s="567"/>
      <c r="AO39" s="570">
        <f ca="1">+AP39+AQ39+AR39</f>
        <v>683.13100000000031</v>
      </c>
      <c r="AP39" s="570">
        <f ca="1">+AP34+AP35-AP36</f>
        <v>142.53500000000008</v>
      </c>
      <c r="AQ39" s="570">
        <f ca="1">+AQ34+AQ35-AQ36</f>
        <v>404.26000000000016</v>
      </c>
      <c r="AR39" s="570">
        <f ca="1">+AR34+AR35-AR36</f>
        <v>136.33600000000001</v>
      </c>
      <c r="AS39" s="570"/>
      <c r="AT39" s="567"/>
      <c r="AU39" s="570">
        <f ca="1">+AV39+AW39+AX39</f>
        <v>693.33099999999979</v>
      </c>
      <c r="AV39" s="570">
        <f ca="1">+AV34+AV35-AV36</f>
        <v>144.37199999999984</v>
      </c>
      <c r="AW39" s="570">
        <f ca="1">+AW34+AW35-AW36</f>
        <v>474.49199999999996</v>
      </c>
      <c r="AX39" s="570">
        <f ca="1">+AX34+AX35-AX36</f>
        <v>74.466999999999985</v>
      </c>
      <c r="AY39" s="570"/>
      <c r="AZ39" s="567"/>
      <c r="BA39" s="570">
        <f ca="1">+BB39+BC39+BD39</f>
        <v>749.94299999999976</v>
      </c>
      <c r="BB39" s="570">
        <f ca="1">+BB34+BB35-BB36</f>
        <v>137.85599999999977</v>
      </c>
      <c r="BC39" s="570">
        <f ca="1">+BC34+BC35-BC36</f>
        <v>533.06999999999994</v>
      </c>
      <c r="BD39" s="570">
        <f ca="1">+BD34+BD35-BD36</f>
        <v>79.017000000000053</v>
      </c>
      <c r="BE39" s="570"/>
      <c r="BF39" s="567"/>
      <c r="BG39" s="570">
        <f ca="1">+BH39+BI39+BJ39</f>
        <v>784.17300000000012</v>
      </c>
      <c r="BH39" s="570">
        <f ca="1">+BH34+BH35-BH36</f>
        <v>125.30799999999999</v>
      </c>
      <c r="BI39" s="570">
        <f ca="1">+BI34+BI35-BI36</f>
        <v>536.31300000000022</v>
      </c>
      <c r="BJ39" s="570">
        <f ca="1">+BJ34+BJ35-BJ36</f>
        <v>122.55199999999991</v>
      </c>
      <c r="BK39" s="570"/>
      <c r="BL39" s="567"/>
      <c r="BM39" s="570">
        <f ca="1">+BN39+BO39+BP39</f>
        <v>836.34499999999991</v>
      </c>
      <c r="BN39" s="570">
        <f ca="1">+BN34+BN35-BN36</f>
        <v>122.36400000000003</v>
      </c>
      <c r="BO39" s="570">
        <f ca="1">+BO34+BO35-BO36</f>
        <v>540.39299999999992</v>
      </c>
      <c r="BP39" s="570">
        <f ca="1">+BP34+BP35-BP36</f>
        <v>173.58799999999997</v>
      </c>
      <c r="BQ39" s="570"/>
      <c r="BR39" s="567"/>
      <c r="BS39" s="570">
        <f ca="1">+BT39+BU39+BV39</f>
        <v>969.72300000000018</v>
      </c>
      <c r="BT39" s="570">
        <f ca="1">+BT34+BT35-BT36</f>
        <v>156.13900000000012</v>
      </c>
      <c r="BU39" s="570">
        <f ca="1">+BU34+BU35-BU36</f>
        <v>618.94100000000003</v>
      </c>
      <c r="BV39" s="570">
        <f ca="1">+BV34+BV35-BV36</f>
        <v>194.64300000000003</v>
      </c>
      <c r="BW39" s="570"/>
      <c r="BX39" s="567"/>
      <c r="BY39" s="570">
        <f ca="1">+BZ39+CA39+CB39</f>
        <v>1082.1509999999996</v>
      </c>
      <c r="BZ39" s="570">
        <f ca="1">+BZ34+BZ35-BZ36</f>
        <v>205.83899999999994</v>
      </c>
      <c r="CA39" s="570">
        <f ca="1">+CA34+CA35-CA36</f>
        <v>630.63000000000011</v>
      </c>
      <c r="CB39" s="570">
        <f ca="1">+CB34+CB35-CB36</f>
        <v>245.68199999999956</v>
      </c>
      <c r="CC39" s="570"/>
      <c r="CD39" s="567"/>
      <c r="CE39" s="570">
        <f ca="1">+CF39+CG39+CH39</f>
        <v>1101.3610000000003</v>
      </c>
      <c r="CF39" s="570">
        <f ca="1">+CF34+CF35-CF36</f>
        <v>257.31799999999953</v>
      </c>
      <c r="CG39" s="570">
        <f ca="1">+CG34+CG35-CG36</f>
        <v>634.84700000000043</v>
      </c>
      <c r="CH39" s="570">
        <f ca="1">+CH34+CH35-CH36</f>
        <v>209.19600000000037</v>
      </c>
      <c r="CI39" s="570"/>
      <c r="CJ39" s="567"/>
      <c r="CK39" s="570">
        <f ca="1">+CL39+CM39+CN39</f>
        <v>901.39499999999998</v>
      </c>
      <c r="CL39" s="570">
        <f ca="1">+CL34+CL35-CL36</f>
        <v>251.38800000000015</v>
      </c>
      <c r="CM39" s="570">
        <f ca="1">+CM34+CM35-CM36</f>
        <v>526.63299999999981</v>
      </c>
      <c r="CN39" s="570">
        <f ca="1">+CN34+CN35-CN36</f>
        <v>123.37400000000002</v>
      </c>
      <c r="CO39" s="570"/>
      <c r="CP39" s="567"/>
      <c r="CQ39" s="570">
        <f ca="1">+CR39+CS39+CT39</f>
        <v>1035.4769999999999</v>
      </c>
      <c r="CR39" s="570">
        <f ca="1">+CR34+CR35-CR36</f>
        <v>280.07000000000016</v>
      </c>
      <c r="CS39" s="570">
        <f ca="1">+CS34+CS35-CS36</f>
        <v>598.86699999999996</v>
      </c>
      <c r="CT39" s="570">
        <f ca="1">+CT34+CT35-CT36</f>
        <v>156.53999999999962</v>
      </c>
      <c r="CU39" s="570"/>
      <c r="CV39" s="567"/>
      <c r="CW39" s="570">
        <f ca="1">+CX39+CY39+CZ39</f>
        <v>1056.7920000000004</v>
      </c>
      <c r="CX39" s="570">
        <f ca="1">+CX34+CX35-CX36</f>
        <v>305.13700000000017</v>
      </c>
      <c r="CY39" s="570">
        <f ca="1">+CY34+CY35-CY36</f>
        <v>590.79800000000034</v>
      </c>
      <c r="CZ39" s="570">
        <f ca="1">+CZ34+CZ35-CZ36</f>
        <v>160.85699999999997</v>
      </c>
      <c r="DA39" s="570"/>
      <c r="DB39" s="567"/>
      <c r="DC39" s="570">
        <f ca="1">+DD39+DE39+DF39</f>
        <v>1037.2860000000003</v>
      </c>
      <c r="DD39" s="570">
        <f ca="1">+DD34+DD35-DD36</f>
        <v>350.56500000000028</v>
      </c>
      <c r="DE39" s="570">
        <f ca="1">+DE34+DE35-DE36</f>
        <v>560.47000000000025</v>
      </c>
      <c r="DF39" s="570">
        <f ca="1">+DF34+DF35-DF36</f>
        <v>126.25099999999975</v>
      </c>
      <c r="DG39" s="570"/>
      <c r="DH39" s="567"/>
      <c r="DI39" s="570">
        <f ca="1">+DJ39+DK39+DL39</f>
        <v>1041.0810000000006</v>
      </c>
      <c r="DJ39" s="570">
        <f ca="1">+DJ34+DJ35-DJ36</f>
        <v>372.10800000000086</v>
      </c>
      <c r="DK39" s="570">
        <f ca="1">+DK34+DK35-DK36</f>
        <v>558.09300000000007</v>
      </c>
      <c r="DL39" s="570">
        <f ca="1">+DL34+DL35-DL36</f>
        <v>110.87999999999977</v>
      </c>
      <c r="DM39" s="570"/>
      <c r="DN39" s="567"/>
      <c r="DO39" s="570">
        <f ca="1">+DP39+DQ39+DR39</f>
        <v>1106.6069999999997</v>
      </c>
      <c r="DP39" s="570">
        <f ca="1">+DP34+DP35-DP36</f>
        <v>420.79499999999962</v>
      </c>
      <c r="DQ39" s="570">
        <f ca="1">+DQ34+DQ35-DQ36</f>
        <v>570.51700000000005</v>
      </c>
      <c r="DR39" s="570">
        <f ca="1">+DR34+DR35-DR36</f>
        <v>115.29500000000007</v>
      </c>
      <c r="DS39" s="570"/>
      <c r="DT39" s="567"/>
      <c r="DU39" s="570">
        <f ca="1">+DV39+DW39+DX39</f>
        <v>1211.2610000000006</v>
      </c>
      <c r="DV39" s="570">
        <f ca="1">+DV34+DV35-DV36</f>
        <v>402.02400000000034</v>
      </c>
      <c r="DW39" s="570">
        <f ca="1">+DW34+DW35-DW36</f>
        <v>622.87500000000045</v>
      </c>
      <c r="DX39" s="570">
        <f ca="1">+DX34+DX35-DX36</f>
        <v>186.36199999999985</v>
      </c>
      <c r="DY39" s="570"/>
      <c r="DZ39" s="567"/>
      <c r="EA39" s="570">
        <f ca="1">+EB39+EC39+ED39</f>
        <v>1261.1389999999997</v>
      </c>
      <c r="EB39" s="570">
        <f ca="1">+EB34+EB35-EB36</f>
        <v>444.57499999999959</v>
      </c>
      <c r="EC39" s="570">
        <f ca="1">+EC34+EC35-EC36</f>
        <v>572.18500000000017</v>
      </c>
      <c r="ED39" s="570">
        <f ca="1">+ED34+ED35-ED36</f>
        <v>244.37899999999991</v>
      </c>
      <c r="EE39" s="570"/>
      <c r="EF39" s="567"/>
      <c r="EG39" s="570">
        <f ca="1">+EH39+EI39+EJ39</f>
        <v>1339.8040000000001</v>
      </c>
      <c r="EH39" s="570">
        <f ca="1">+EH34+EH35-EH36</f>
        <v>436.17500000000041</v>
      </c>
      <c r="EI39" s="570">
        <f ca="1">+EI34+EI35-EI36</f>
        <v>625.44400000000007</v>
      </c>
      <c r="EJ39" s="570">
        <f ca="1">+EJ34+EJ35-EJ36</f>
        <v>278.18499999999949</v>
      </c>
      <c r="EK39" s="570"/>
      <c r="EL39" s="567"/>
      <c r="EM39" s="570">
        <f ca="1">+EN39+EO39+EP39</f>
        <v>1423.2690510133098</v>
      </c>
      <c r="EN39" s="570">
        <f ca="1">+EN34+EN35-EN36</f>
        <v>463.87860123548353</v>
      </c>
      <c r="EO39" s="570">
        <f ca="1">+EO34+EO35-EO36</f>
        <v>681.1319035482046</v>
      </c>
      <c r="EP39" s="570">
        <f ca="1">+EP34+EP35-EP36</f>
        <v>278.25854622962152</v>
      </c>
      <c r="EQ39" s="570"/>
      <c r="ER39" s="567"/>
      <c r="ES39" s="570">
        <f ca="1">+ET39+EU39+EV39</f>
        <v>1469.686988626233</v>
      </c>
      <c r="ET39" s="570">
        <f ca="1">+ET34+ET35-ET36</f>
        <v>458.81661853300193</v>
      </c>
      <c r="EU39" s="570">
        <f ca="1">+EU34+EU35-EU36</f>
        <v>719.32449240975029</v>
      </c>
      <c r="EV39" s="570">
        <f ca="1">+EV34+EV35-EV36</f>
        <v>291.54587768348074</v>
      </c>
      <c r="EW39" s="570"/>
      <c r="EX39" s="567"/>
      <c r="EY39" s="570">
        <f ca="1">+EZ39+FA39+FB39</f>
        <v>1512.1550157715872</v>
      </c>
      <c r="EZ39" s="570">
        <f ca="1">+EZ34+EZ35-EZ36</f>
        <v>456.31674140846008</v>
      </c>
      <c r="FA39" s="570">
        <f ca="1">+FA34+FA35-FA36</f>
        <v>759.68238265121954</v>
      </c>
      <c r="FB39" s="570">
        <f ca="1">+FB34+FB35-FB36</f>
        <v>296.15589171190754</v>
      </c>
      <c r="FC39" s="570"/>
      <c r="FD39" s="567"/>
    </row>
    <row r="40" spans="1:160" ht="13.15">
      <c r="A40" s="554"/>
      <c r="B40" s="555" t="s">
        <v>1791</v>
      </c>
      <c r="C40" s="3855" t="s">
        <v>1661</v>
      </c>
      <c r="D40" s="3856"/>
      <c r="E40" s="568">
        <f ca="1">+F40+G40+H40</f>
        <v>-3.5070000000000006</v>
      </c>
      <c r="F40" s="566">
        <f ca="1">OFFSET(Sector1!$G$486,0,(COLUMN()-6)/6)</f>
        <v>-1.1990000000000001</v>
      </c>
      <c r="G40" s="566">
        <f ca="1">OFFSET(Sector1!$G$487,0,(COLUMN()-7)/6)</f>
        <v>6.2069999999999999</v>
      </c>
      <c r="H40" s="1049">
        <f ca="1">+H41-H42+H43-H44</f>
        <v>-8.5150000000000006</v>
      </c>
      <c r="I40" s="566">
        <f ca="1">-OFFSET(Sector1!$G$488,0,(COLUMN()-9)/6)</f>
        <v>3.5070000000000001</v>
      </c>
      <c r="J40" s="602">
        <f ca="1">+E40+I40</f>
        <v>0</v>
      </c>
      <c r="K40" s="568">
        <f ca="1">+L40+M40+N40</f>
        <v>-8.9179999999999993</v>
      </c>
      <c r="L40" s="566">
        <f ca="1">OFFSET(Sector1!$G$486,0,(COLUMN()-6)/6)</f>
        <v>-1.27</v>
      </c>
      <c r="M40" s="566">
        <f ca="1">OFFSET(Sector1!$G$487,0,(COLUMN()-7)/6)</f>
        <v>0.62</v>
      </c>
      <c r="N40" s="1049">
        <f ca="1">+N41-N42+N43-N44</f>
        <v>-8.2679999999999989</v>
      </c>
      <c r="O40" s="566">
        <f ca="1">-OFFSET(Sector1!$G$488,0,(COLUMN()-9)/6)</f>
        <v>8.9179999999999993</v>
      </c>
      <c r="P40" s="602">
        <f ca="1">+K40+O40</f>
        <v>0</v>
      </c>
      <c r="Q40" s="568">
        <f ca="1">+R40+S40+T40</f>
        <v>-5.6469999999999994</v>
      </c>
      <c r="R40" s="566">
        <f ca="1">OFFSET(Sector1!$G$486,0,(COLUMN()-6)/6)</f>
        <v>-1.9119999999999999</v>
      </c>
      <c r="S40" s="566">
        <f ca="1">OFFSET(Sector1!$G$487,0,(COLUMN()-7)/6)</f>
        <v>2.8319999999999999</v>
      </c>
      <c r="T40" s="1049">
        <f ca="1">+T41-T42+T43-T44</f>
        <v>-6.5669999999999993</v>
      </c>
      <c r="U40" s="566">
        <f ca="1">-OFFSET(Sector1!$G$488,0,(COLUMN()-9)/6)</f>
        <v>5.6470000000000002</v>
      </c>
      <c r="V40" s="602">
        <f ca="1">+Q40+U40</f>
        <v>0</v>
      </c>
      <c r="W40" s="568">
        <f ca="1">+X40+Y40+Z40</f>
        <v>-1.5620000000000003</v>
      </c>
      <c r="X40" s="566">
        <f ca="1">OFFSET(Sector1!$G$486,0,(COLUMN()-6)/6)</f>
        <v>-1.667</v>
      </c>
      <c r="Y40" s="566">
        <f ca="1">OFFSET(Sector1!$G$487,0,(COLUMN()-7)/6)</f>
        <v>3.9369999999999998</v>
      </c>
      <c r="Z40" s="1049">
        <f ca="1">+Z41-Z42+Z43-Z44</f>
        <v>-3.8319999999999999</v>
      </c>
      <c r="AA40" s="566">
        <f ca="1">-OFFSET(Sector1!$G$488,0,(COLUMN()-9)/6)</f>
        <v>1.5620000000000001</v>
      </c>
      <c r="AB40" s="602">
        <f ca="1">+W40+AA40</f>
        <v>0</v>
      </c>
      <c r="AC40" s="568">
        <f ca="1">+AD40+AE40+AF40</f>
        <v>-1.6179999999999986</v>
      </c>
      <c r="AD40" s="566">
        <f ca="1">OFFSET(Sector1!$G$486,0,(COLUMN()-6)/6)</f>
        <v>-1.454</v>
      </c>
      <c r="AE40" s="566">
        <f ca="1">OFFSET(Sector1!$G$487,0,(COLUMN()-7)/6)</f>
        <v>7.3710000000000004</v>
      </c>
      <c r="AF40" s="1049">
        <f ca="1">+AF41-AF42+AF43-AF44</f>
        <v>-7.5349999999999993</v>
      </c>
      <c r="AG40" s="566">
        <f ca="1">-OFFSET(Sector1!$G$488,0,(COLUMN()-9)/6)</f>
        <v>1.6180000000000001</v>
      </c>
      <c r="AH40" s="602">
        <f ca="1">+AC40+AG40</f>
        <v>0</v>
      </c>
      <c r="AI40" s="568">
        <f ca="1">+AJ40+AK40+AL40</f>
        <v>-1.7010000000000014</v>
      </c>
      <c r="AJ40" s="566">
        <f ca="1">OFFSET(Sector1!$G$486,0,(COLUMN()-6)/6)</f>
        <v>-2.254</v>
      </c>
      <c r="AK40" s="566">
        <f ca="1">OFFSET(Sector1!$G$487,0,(COLUMN()-7)/6)</f>
        <v>3.9129999999999998</v>
      </c>
      <c r="AL40" s="1049">
        <f ca="1">+AL41-AL42+AL43-AL44</f>
        <v>-3.3600000000000012</v>
      </c>
      <c r="AM40" s="566">
        <f ca="1">-OFFSET(Sector1!$G$488,0,(COLUMN()-9)/6)</f>
        <v>1.7010000000000001</v>
      </c>
      <c r="AN40" s="602">
        <f ca="1">+AI40+AM40</f>
        <v>0</v>
      </c>
      <c r="AO40" s="568">
        <f ca="1">+AP40+AQ40+AR40</f>
        <v>-2.1760000000000002</v>
      </c>
      <c r="AP40" s="566">
        <f ca="1">OFFSET(Sector1!$G$486,0,(COLUMN()-6)/6)</f>
        <v>-1.657</v>
      </c>
      <c r="AQ40" s="566">
        <f ca="1">OFFSET(Sector1!$G$487,0,(COLUMN()-7)/6)</f>
        <v>2.3940000000000001</v>
      </c>
      <c r="AR40" s="1049">
        <f ca="1">+AR41-AR42+AR43-AR44</f>
        <v>-2.9130000000000003</v>
      </c>
      <c r="AS40" s="566">
        <f ca="1">-OFFSET(Sector1!$G$488,0,(COLUMN()-9)/6)</f>
        <v>2.1760000000000002</v>
      </c>
      <c r="AT40" s="602">
        <f ca="1">+AO40+AS40</f>
        <v>0</v>
      </c>
      <c r="AU40" s="568">
        <f ca="1">+AV40+AW40+AX40</f>
        <v>-3.1860000000000008</v>
      </c>
      <c r="AV40" s="566">
        <f ca="1">OFFSET(Sector1!$G$486,0,(COLUMN()-6)/6)</f>
        <v>-1.9550000000000001</v>
      </c>
      <c r="AW40" s="566">
        <f ca="1">OFFSET(Sector1!$G$487,0,(COLUMN()-7)/6)</f>
        <v>1.631</v>
      </c>
      <c r="AX40" s="1049">
        <f ca="1">+AX41-AX42+AX43-AX44</f>
        <v>-2.862000000000001</v>
      </c>
      <c r="AY40" s="566">
        <f ca="1">-OFFSET(Sector1!$G$488,0,(COLUMN()-9)/6)</f>
        <v>3.1859999999999999</v>
      </c>
      <c r="AZ40" s="602">
        <f ca="1">+AU40+AY40</f>
        <v>0</v>
      </c>
      <c r="BA40" s="568">
        <f ca="1">+BB40+BC40+BD40</f>
        <v>-1.4169999999999994</v>
      </c>
      <c r="BB40" s="566">
        <f ca="1">OFFSET(Sector1!$G$486,0,(COLUMN()-6)/6)</f>
        <v>-2.331</v>
      </c>
      <c r="BC40" s="566">
        <f ca="1">OFFSET(Sector1!$G$487,0,(COLUMN()-7)/6)</f>
        <v>5.2539999999999996</v>
      </c>
      <c r="BD40" s="1049">
        <f ca="1">+BD41-BD42+BD43-BD44</f>
        <v>-4.339999999999999</v>
      </c>
      <c r="BE40" s="566">
        <f ca="1">-OFFSET(Sector1!$G$488,0,(COLUMN()-9)/6)</f>
        <v>1.417</v>
      </c>
      <c r="BF40" s="602">
        <f ca="1">+BA40+BE40</f>
        <v>0</v>
      </c>
      <c r="BG40" s="568">
        <f ca="1">+BH40+BI40+BJ40</f>
        <v>-2.1300000000000003</v>
      </c>
      <c r="BH40" s="566">
        <f ca="1">OFFSET(Sector1!$G$486,0,(COLUMN()-6)/6)</f>
        <v>-2.6819999999999999</v>
      </c>
      <c r="BI40" s="566">
        <f ca="1">OFFSET(Sector1!$G$487,0,(COLUMN()-7)/6)</f>
        <v>3.117</v>
      </c>
      <c r="BJ40" s="1049">
        <f ca="1">+BJ41-BJ42+BJ43-BJ44</f>
        <v>-2.5650000000000004</v>
      </c>
      <c r="BK40" s="566">
        <f ca="1">-OFFSET(Sector1!$G$488,0,(COLUMN()-9)/6)</f>
        <v>2.13</v>
      </c>
      <c r="BL40" s="602">
        <f ca="1">+BG40+BK40</f>
        <v>0</v>
      </c>
      <c r="BM40" s="568">
        <f ca="1">+BN40+BO40+BP40</f>
        <v>-0.58499999999999819</v>
      </c>
      <c r="BN40" s="566">
        <f ca="1">OFFSET(Sector1!$G$486,0,(COLUMN()-6)/6)</f>
        <v>-1.194</v>
      </c>
      <c r="BO40" s="566">
        <f ca="1">OFFSET(Sector1!$G$487,0,(COLUMN()-7)/6)</f>
        <v>8.032</v>
      </c>
      <c r="BP40" s="1049">
        <f ca="1">+BP41-BP42+BP43-BP44</f>
        <v>-7.4229999999999983</v>
      </c>
      <c r="BQ40" s="566">
        <f ca="1">-OFFSET(Sector1!$G$488,0,(COLUMN()-9)/6)</f>
        <v>0.58499999999999996</v>
      </c>
      <c r="BR40" s="602">
        <f ca="1">+BM40+BQ40</f>
        <v>1.7763568394002505E-15</v>
      </c>
      <c r="BS40" s="568">
        <f ca="1">+BT40+BU40+BV40</f>
        <v>-2.173</v>
      </c>
      <c r="BT40" s="566">
        <f ca="1">OFFSET(Sector1!$G$486,0,(COLUMN()-6)/6)</f>
        <v>-0.40100000000000002</v>
      </c>
      <c r="BU40" s="566">
        <f ca="1">OFFSET(Sector1!$G$487,0,(COLUMN()-7)/6)</f>
        <v>2.5169999999999999</v>
      </c>
      <c r="BV40" s="1049">
        <f ca="1">+BV41-BV42+BV43-BV44</f>
        <v>-4.2889999999999997</v>
      </c>
      <c r="BW40" s="566">
        <f ca="1">-OFFSET(Sector1!$G$488,0,(COLUMN()-9)/6)</f>
        <v>2.173</v>
      </c>
      <c r="BX40" s="602">
        <f ca="1">+BS40+BW40</f>
        <v>0</v>
      </c>
      <c r="BY40" s="568">
        <f ca="1">+BZ40+CA40+CB40</f>
        <v>-3.1959999999999993</v>
      </c>
      <c r="BZ40" s="566">
        <f ca="1">OFFSET(Sector1!$G$486,0,(COLUMN()-6)/6)</f>
        <v>0.128</v>
      </c>
      <c r="CA40" s="566">
        <f ca="1">OFFSET(Sector1!$G$487,0,(COLUMN()-7)/6)</f>
        <v>2.4140000000000001</v>
      </c>
      <c r="CB40" s="1049">
        <f ca="1">+CB41-CB42+CB43-CB44</f>
        <v>-5.7379999999999995</v>
      </c>
      <c r="CC40" s="566">
        <f ca="1">-OFFSET(Sector1!$G$488,0,(COLUMN()-9)/6)</f>
        <v>3.1960000000000002</v>
      </c>
      <c r="CD40" s="602">
        <f ca="1">+BY40+CC40</f>
        <v>0</v>
      </c>
      <c r="CE40" s="568">
        <f ca="1">+CF40+CG40+CH40</f>
        <v>-3.282</v>
      </c>
      <c r="CF40" s="566">
        <f ca="1">OFFSET(Sector1!$G$486,0,(COLUMN()-6)/6)</f>
        <v>0.312</v>
      </c>
      <c r="CG40" s="566">
        <f ca="1">OFFSET(Sector1!$G$487,0,(COLUMN()-7)/6)</f>
        <v>3.9950000000000001</v>
      </c>
      <c r="CH40" s="1049">
        <f ca="1">+CH41-CH42+CH43-CH44</f>
        <v>-7.5890000000000004</v>
      </c>
      <c r="CI40" s="566">
        <f ca="1">-OFFSET(Sector1!$G$488,0,(COLUMN()-9)/6)</f>
        <v>3.282</v>
      </c>
      <c r="CJ40" s="602">
        <f ca="1">+CE40+CI40</f>
        <v>0</v>
      </c>
      <c r="CK40" s="568">
        <f ca="1">+CL40+CM40+CN40</f>
        <v>-3.3350000000000004</v>
      </c>
      <c r="CL40" s="566">
        <f ca="1">OFFSET(Sector1!$G$486,0,(COLUMN()-6)/6)</f>
        <v>0.71899999999999997</v>
      </c>
      <c r="CM40" s="566">
        <f ca="1">OFFSET(Sector1!$G$487,0,(COLUMN()-7)/6)</f>
        <v>1.75</v>
      </c>
      <c r="CN40" s="1049">
        <f ca="1">+CN41-CN42+CN43-CN44</f>
        <v>-5.8040000000000003</v>
      </c>
      <c r="CO40" s="566">
        <f ca="1">-OFFSET(Sector1!$G$488,0,(COLUMN()-9)/6)</f>
        <v>3.335</v>
      </c>
      <c r="CP40" s="602">
        <f ca="1">+CK40+CO40</f>
        <v>0</v>
      </c>
      <c r="CQ40" s="568">
        <f ca="1">+CR40+CS40+CT40</f>
        <v>-3.327</v>
      </c>
      <c r="CR40" s="566">
        <f ca="1">OFFSET(Sector1!$G$486,0,(COLUMN()-6)/6)</f>
        <v>0.52800000000000002</v>
      </c>
      <c r="CS40" s="566">
        <f ca="1">OFFSET(Sector1!$G$487,0,(COLUMN()-7)/6)</f>
        <v>1.7030000000000001</v>
      </c>
      <c r="CT40" s="1049">
        <f ca="1">+CT41-CT42+CT43-CT44</f>
        <v>-5.5579999999999998</v>
      </c>
      <c r="CU40" s="566">
        <f ca="1">-OFFSET(Sector1!$G$488,0,(COLUMN()-9)/6)</f>
        <v>3.327</v>
      </c>
      <c r="CV40" s="602">
        <f ca="1">+CQ40+CU40</f>
        <v>0</v>
      </c>
      <c r="CW40" s="568">
        <f ca="1">+CX40+CY40+CZ40</f>
        <v>-4.1530000000000005</v>
      </c>
      <c r="CX40" s="566">
        <f ca="1">OFFSET(Sector1!$G$486,0,(COLUMN()-6)/6)</f>
        <v>0.81299999999999994</v>
      </c>
      <c r="CY40" s="566">
        <f ca="1">OFFSET(Sector1!$G$487,0,(COLUMN()-7)/6)</f>
        <v>2.6549999999999998</v>
      </c>
      <c r="CZ40" s="1049">
        <f ca="1">+CZ41-CZ42+CZ43-CZ44</f>
        <v>-7.6210000000000004</v>
      </c>
      <c r="DA40" s="566">
        <f ca="1">-OFFSET(Sector1!$G$488,0,(COLUMN()-9)/6)</f>
        <v>4.1529999999999996</v>
      </c>
      <c r="DB40" s="602">
        <f ca="1">+CW40+DA40</f>
        <v>0</v>
      </c>
      <c r="DC40" s="568">
        <f ca="1">+DD40+DE40+DF40</f>
        <v>-4.33</v>
      </c>
      <c r="DD40" s="566">
        <f ca="1">OFFSET(Sector1!$G$486,0,(COLUMN()-6)/6)</f>
        <v>0.60299999999999998</v>
      </c>
      <c r="DE40" s="566">
        <f ca="1">OFFSET(Sector1!$G$487,0,(COLUMN()-7)/6)</f>
        <v>-8.3019999999999996</v>
      </c>
      <c r="DF40" s="1049">
        <f ca="1">+DF41-DF42+DF43-DF44</f>
        <v>3.3689999999999998</v>
      </c>
      <c r="DG40" s="566">
        <f ca="1">-OFFSET(Sector1!$G$488,0,(COLUMN()-9)/6)</f>
        <v>4.33</v>
      </c>
      <c r="DH40" s="602">
        <f ca="1">+DC40+DG40</f>
        <v>0</v>
      </c>
      <c r="DI40" s="568">
        <f ca="1">+DJ40+DK40+DL40</f>
        <v>-4.1820000000000022</v>
      </c>
      <c r="DJ40" s="566">
        <f ca="1">OFFSET(Sector1!$G$486,0,(COLUMN()-6)/6)</f>
        <v>0.44600000000000001</v>
      </c>
      <c r="DK40" s="566">
        <f ca="1">OFFSET(Sector1!$G$487,0,(COLUMN()-7)/6)</f>
        <v>-8.3670000000000009</v>
      </c>
      <c r="DL40" s="1049">
        <f ca="1">+DL41-DL42+DL43-DL44</f>
        <v>3.738999999999999</v>
      </c>
      <c r="DM40" s="566">
        <f ca="1">-OFFSET(Sector1!$G$488,0,(COLUMN()-9)/6)</f>
        <v>4.1820000000000004</v>
      </c>
      <c r="DN40" s="602">
        <f ca="1">+DI40+DM40</f>
        <v>0</v>
      </c>
      <c r="DO40" s="568">
        <f ca="1">+DP40+DQ40+DR40</f>
        <v>-3.516</v>
      </c>
      <c r="DP40" s="566">
        <f ca="1">OFFSET(Sector1!$G$486,0,(COLUMN()-6)/6)</f>
        <v>0.39100000000000001</v>
      </c>
      <c r="DQ40" s="566">
        <f ca="1">OFFSET(Sector1!$G$487,0,(COLUMN()-7)/6)</f>
        <v>1.357</v>
      </c>
      <c r="DR40" s="1049">
        <f ca="1">+DR41-DR42+DR43-DR44</f>
        <v>-5.2640000000000002</v>
      </c>
      <c r="DS40" s="566">
        <f ca="1">-OFFSET(Sector1!$G$488,0,(COLUMN()-9)/6)</f>
        <v>3.516</v>
      </c>
      <c r="DT40" s="602">
        <f ca="1">+DO40+DS40</f>
        <v>0</v>
      </c>
      <c r="DU40" s="568">
        <f ca="1">+DV40+DW40+DX40</f>
        <v>-3.7860000000000005</v>
      </c>
      <c r="DV40" s="566">
        <f ca="1">OFFSET(Sector1!$G$486,0,(COLUMN()-6)/6)</f>
        <v>0.59799999999999998</v>
      </c>
      <c r="DW40" s="566">
        <f ca="1">OFFSET(Sector1!$G$487,0,(COLUMN()-7)/6)</f>
        <v>-2.6890000000000001</v>
      </c>
      <c r="DX40" s="1049">
        <f ca="1">+DX41-DX42+DX43-DX44</f>
        <v>-1.6950000000000003</v>
      </c>
      <c r="DY40" s="566">
        <f ca="1">-OFFSET(Sector1!$G$488,0,(COLUMN()-9)/6)</f>
        <v>3.786</v>
      </c>
      <c r="DZ40" s="602">
        <f ca="1">+DU40+DY40</f>
        <v>0</v>
      </c>
      <c r="EA40" s="568">
        <f ca="1">+EB40+EC40+ED40</f>
        <v>-0.72600000000000264</v>
      </c>
      <c r="EB40" s="566">
        <f ca="1">OFFSET(Sector1!$G$486,0,(COLUMN()-6)/6)</f>
        <v>0.65800000000000003</v>
      </c>
      <c r="EC40" s="566">
        <f ca="1">OFFSET(Sector1!$G$487,0,(COLUMN()-7)/6)</f>
        <v>7.8070000000000004</v>
      </c>
      <c r="ED40" s="1049">
        <f ca="1">+ED41-ED42+ED43-ED44</f>
        <v>-9.1910000000000025</v>
      </c>
      <c r="EE40" s="566">
        <f ca="1">-OFFSET(Sector1!$G$488,0,(COLUMN()-9)/6)</f>
        <v>0.72599999999999998</v>
      </c>
      <c r="EF40" s="602">
        <f ca="1">+EA40+EE40</f>
        <v>-2.6645352591003757E-15</v>
      </c>
      <c r="EG40" s="568">
        <f ca="1">+EH40+EI40+EJ40</f>
        <v>1.1829999999999994</v>
      </c>
      <c r="EH40" s="566">
        <f ca="1">OFFSET(Sector1!$G$486,0,(COLUMN()-6)/6)</f>
        <v>0.41799999999999998</v>
      </c>
      <c r="EI40" s="566">
        <f ca="1">OFFSET(Sector1!$G$487,0,(COLUMN()-7)/6)</f>
        <v>3.2829999999999999</v>
      </c>
      <c r="EJ40" s="1049">
        <f ca="1">+EJ41-EJ42+EJ43-EJ44</f>
        <v>-2.5180000000000007</v>
      </c>
      <c r="EK40" s="566">
        <f ca="1">-OFFSET(Sector1!$G$488,0,(COLUMN()-9)/6)</f>
        <v>-1.1830000000000001</v>
      </c>
      <c r="EL40" s="602">
        <f ca="1">+EG40+EK40</f>
        <v>0</v>
      </c>
      <c r="EM40" s="568">
        <f ca="1">+EN40+EO40+EP40</f>
        <v>-3.6906109890991066</v>
      </c>
      <c r="EN40" s="566">
        <f ca="1">OFFSET(Sector1!$G$486,0,(COLUMN()-6)/6)</f>
        <v>0.43053999999999998</v>
      </c>
      <c r="EO40" s="566">
        <f ca="1">OFFSET(Sector1!$G$487,0,(COLUMN()-7)/6)</f>
        <v>3.4799800000000003</v>
      </c>
      <c r="EP40" s="1049">
        <f ca="1">+EP41-EP42+EP43-EP44</f>
        <v>-7.601130989099107</v>
      </c>
      <c r="EQ40" s="566">
        <f ca="1">-OFFSET(Sector1!$G$488,0,(COLUMN()-9)/6)</f>
        <v>3.690610989099107</v>
      </c>
      <c r="ER40" s="602">
        <f ca="1">+EM40+EQ40</f>
        <v>0</v>
      </c>
      <c r="ES40" s="568">
        <f ca="1">+ET40+EU40+EV40</f>
        <v>-8.8765200221798004</v>
      </c>
      <c r="ET40" s="566">
        <f ca="1">OFFSET(Sector1!$G$486,0,(COLUMN()-6)/6)</f>
        <v>0.44345619999999997</v>
      </c>
      <c r="EU40" s="566">
        <f ca="1">OFFSET(Sector1!$G$487,0,(COLUMN()-7)/6)</f>
        <v>3.6887788000000006</v>
      </c>
      <c r="EV40" s="1049">
        <f ca="1">+EV41-EV42+EV43-EV44</f>
        <v>-13.008755022179802</v>
      </c>
      <c r="EW40" s="566">
        <f ca="1">-OFFSET(Sector1!$G$488,0,(COLUMN()-9)/6)</f>
        <v>8.8765200221798004</v>
      </c>
      <c r="EX40" s="602">
        <f ca="1">+ES40+EW40</f>
        <v>0</v>
      </c>
      <c r="EY40" s="568">
        <f ca="1">+EZ40+FA40+FB40</f>
        <v>-9.2216360339560914</v>
      </c>
      <c r="EZ40" s="566">
        <f ca="1">OFFSET(Sector1!$G$486,0,(COLUMN()-6)/6)</f>
        <v>0.456759886</v>
      </c>
      <c r="FA40" s="566">
        <f ca="1">OFFSET(Sector1!$G$487,0,(COLUMN()-7)/6)</f>
        <v>3.9101055280000008</v>
      </c>
      <c r="FB40" s="1049">
        <f ca="1">+FB41-FB42+FB43-FB44</f>
        <v>-13.588501447956093</v>
      </c>
      <c r="FC40" s="566">
        <f ca="1">-OFFSET(Sector1!$G$488,0,(COLUMN()-9)/6)</f>
        <v>9.2216360339560914</v>
      </c>
      <c r="FD40" s="602">
        <f ca="1">+EY40+FC40</f>
        <v>0</v>
      </c>
    </row>
    <row r="41" spans="1:160" s="583" customFormat="1">
      <c r="A41" s="578"/>
      <c r="B41" s="579"/>
      <c r="C41" s="598"/>
      <c r="D41" s="599" t="s">
        <v>647</v>
      </c>
      <c r="E41" s="568"/>
      <c r="F41" s="565"/>
      <c r="G41" s="588"/>
      <c r="H41" s="577">
        <f ca="1">OFFSET(Sector1!$G$480,0,(COLUMN()-8)/6)</f>
        <v>2.173</v>
      </c>
      <c r="I41" s="572"/>
      <c r="J41" s="600"/>
      <c r="K41" s="568"/>
      <c r="L41" s="565"/>
      <c r="M41" s="588"/>
      <c r="N41" s="577">
        <f ca="1">OFFSET(Sector1!$G$480,0,(COLUMN()-8)/6)</f>
        <v>1.5529999999999999</v>
      </c>
      <c r="O41" s="572"/>
      <c r="P41" s="600"/>
      <c r="Q41" s="568"/>
      <c r="R41" s="565"/>
      <c r="S41" s="588"/>
      <c r="T41" s="577">
        <f ca="1">OFFSET(Sector1!$G$480,0,(COLUMN()-8)/6)</f>
        <v>2.016</v>
      </c>
      <c r="U41" s="572"/>
      <c r="V41" s="600"/>
      <c r="W41" s="568"/>
      <c r="X41" s="565"/>
      <c r="Y41" s="588"/>
      <c r="Z41" s="577">
        <f ca="1">OFFSET(Sector1!$G$480,0,(COLUMN()-8)/6)</f>
        <v>2.149</v>
      </c>
      <c r="AA41" s="572"/>
      <c r="AB41" s="600"/>
      <c r="AC41" s="568"/>
      <c r="AD41" s="565"/>
      <c r="AE41" s="588"/>
      <c r="AF41" s="577">
        <f ca="1">OFFSET(Sector1!$G$480,0,(COLUMN()-8)/6)</f>
        <v>2.3809999999999998</v>
      </c>
      <c r="AG41" s="572"/>
      <c r="AH41" s="600"/>
      <c r="AI41" s="568"/>
      <c r="AJ41" s="565"/>
      <c r="AK41" s="588"/>
      <c r="AL41" s="577">
        <f ca="1">OFFSET(Sector1!$G$480,0,(COLUMN()-8)/6)</f>
        <v>2.7869999999999999</v>
      </c>
      <c r="AM41" s="572"/>
      <c r="AN41" s="600"/>
      <c r="AO41" s="568"/>
      <c r="AP41" s="565"/>
      <c r="AQ41" s="588"/>
      <c r="AR41" s="577">
        <f ca="1">OFFSET(Sector1!$G$480,0,(COLUMN()-8)/6)</f>
        <v>2.786</v>
      </c>
      <c r="AS41" s="572"/>
      <c r="AT41" s="600"/>
      <c r="AU41" s="568"/>
      <c r="AV41" s="565"/>
      <c r="AW41" s="588"/>
      <c r="AX41" s="577">
        <f ca="1">OFFSET(Sector1!$G$480,0,(COLUMN()-8)/6)</f>
        <v>2.9750000000000001</v>
      </c>
      <c r="AY41" s="572"/>
      <c r="AZ41" s="600"/>
      <c r="BA41" s="568"/>
      <c r="BB41" s="565"/>
      <c r="BC41" s="588"/>
      <c r="BD41" s="577">
        <f ca="1">OFFSET(Sector1!$G$480,0,(COLUMN()-8)/6)</f>
        <v>2.4900000000000002</v>
      </c>
      <c r="BE41" s="572"/>
      <c r="BF41" s="600"/>
      <c r="BG41" s="568"/>
      <c r="BH41" s="565"/>
      <c r="BI41" s="588"/>
      <c r="BJ41" s="577">
        <f ca="1">OFFSET(Sector1!$G$480,0,(COLUMN()-8)/6)</f>
        <v>2.5510000000000002</v>
      </c>
      <c r="BK41" s="572"/>
      <c r="BL41" s="600"/>
      <c r="BM41" s="568"/>
      <c r="BN41" s="565"/>
      <c r="BO41" s="588"/>
      <c r="BP41" s="577">
        <f ca="1">OFFSET(Sector1!$G$480,0,(COLUMN()-8)/6)</f>
        <v>1.0920000000000001</v>
      </c>
      <c r="BQ41" s="572"/>
      <c r="BR41" s="600"/>
      <c r="BS41" s="568"/>
      <c r="BT41" s="565"/>
      <c r="BU41" s="588"/>
      <c r="BV41" s="577">
        <f ca="1">OFFSET(Sector1!$G$480,0,(COLUMN()-8)/6)</f>
        <v>0.12</v>
      </c>
      <c r="BW41" s="572"/>
      <c r="BX41" s="600"/>
      <c r="BY41" s="568"/>
      <c r="BZ41" s="565"/>
      <c r="CA41" s="588"/>
      <c r="CB41" s="577">
        <f ca="1">OFFSET(Sector1!$G$480,0,(COLUMN()-8)/6)</f>
        <v>2.3E-2</v>
      </c>
      <c r="CC41" s="572"/>
      <c r="CD41" s="600"/>
      <c r="CE41" s="568"/>
      <c r="CF41" s="565"/>
      <c r="CG41" s="588"/>
      <c r="CH41" s="577">
        <f ca="1">OFFSET(Sector1!$G$480,0,(COLUMN()-8)/6)</f>
        <v>1.6E-2</v>
      </c>
      <c r="CI41" s="572"/>
      <c r="CJ41" s="600"/>
      <c r="CK41" s="568"/>
      <c r="CL41" s="565"/>
      <c r="CM41" s="588"/>
      <c r="CN41" s="577">
        <f ca="1">OFFSET(Sector1!$G$480,0,(COLUMN()-8)/6)</f>
        <v>2E-3</v>
      </c>
      <c r="CO41" s="572"/>
      <c r="CP41" s="600"/>
      <c r="CQ41" s="568"/>
      <c r="CR41" s="565"/>
      <c r="CS41" s="588"/>
      <c r="CT41" s="577">
        <f ca="1">OFFSET(Sector1!$G$480,0,(COLUMN()-8)/6)</f>
        <v>0.01</v>
      </c>
      <c r="CU41" s="572"/>
      <c r="CV41" s="600"/>
      <c r="CW41" s="568"/>
      <c r="CX41" s="565"/>
      <c r="CY41" s="588"/>
      <c r="CZ41" s="577">
        <f ca="1">OFFSET(Sector1!$G$480,0,(COLUMN()-8)/6)</f>
        <v>3.0000000000000001E-3</v>
      </c>
      <c r="DA41" s="572"/>
      <c r="DB41" s="600"/>
      <c r="DC41" s="568"/>
      <c r="DD41" s="565"/>
      <c r="DE41" s="588"/>
      <c r="DF41" s="577">
        <f ca="1">OFFSET(Sector1!$G$480,0,(COLUMN()-8)/6)</f>
        <v>-4.0000000000000001E-3</v>
      </c>
      <c r="DG41" s="572"/>
      <c r="DH41" s="600"/>
      <c r="DI41" s="568"/>
      <c r="DJ41" s="565"/>
      <c r="DK41" s="588"/>
      <c r="DL41" s="577">
        <f ca="1">OFFSET(Sector1!$G$480,0,(COLUMN()-8)/6)</f>
        <v>-4.0000000000000001E-3</v>
      </c>
      <c r="DM41" s="572"/>
      <c r="DN41" s="600"/>
      <c r="DO41" s="568"/>
      <c r="DP41" s="565"/>
      <c r="DQ41" s="588"/>
      <c r="DR41" s="577">
        <f ca="1">OFFSET(Sector1!$G$480,0,(COLUMN()-8)/6)</f>
        <v>2E-3</v>
      </c>
      <c r="DS41" s="572"/>
      <c r="DT41" s="600"/>
      <c r="DU41" s="568"/>
      <c r="DV41" s="565"/>
      <c r="DW41" s="588"/>
      <c r="DX41" s="577">
        <f ca="1">OFFSET(Sector1!$G$480,0,(COLUMN()-8)/6)</f>
        <v>0</v>
      </c>
      <c r="DY41" s="572"/>
      <c r="DZ41" s="600"/>
      <c r="EA41" s="568"/>
      <c r="EB41" s="565"/>
      <c r="EC41" s="588"/>
      <c r="ED41" s="577">
        <f ca="1">OFFSET(Sector1!$G$480,0,(COLUMN()-8)/6)</f>
        <v>0</v>
      </c>
      <c r="EE41" s="572"/>
      <c r="EF41" s="600"/>
      <c r="EG41" s="568"/>
      <c r="EH41" s="565"/>
      <c r="EI41" s="588"/>
      <c r="EJ41" s="577">
        <f ca="1">OFFSET(Sector1!$G$480,0,(COLUMN()-8)/6)</f>
        <v>0</v>
      </c>
      <c r="EK41" s="572"/>
      <c r="EL41" s="600"/>
      <c r="EM41" s="568"/>
      <c r="EN41" s="565"/>
      <c r="EO41" s="588"/>
      <c r="EP41" s="577">
        <f ca="1">OFFSET(Sector1!$G$480,0,(COLUMN()-8)/6)</f>
        <v>0</v>
      </c>
      <c r="EQ41" s="572"/>
      <c r="ER41" s="600"/>
      <c r="ES41" s="568"/>
      <c r="ET41" s="565"/>
      <c r="EU41" s="588"/>
      <c r="EV41" s="577">
        <f ca="1">OFFSET(Sector1!$G$480,0,(COLUMN()-8)/6)</f>
        <v>0</v>
      </c>
      <c r="EW41" s="572"/>
      <c r="EX41" s="600"/>
      <c r="EY41" s="568"/>
      <c r="EZ41" s="565"/>
      <c r="FA41" s="588"/>
      <c r="FB41" s="577">
        <f ca="1">OFFSET(Sector1!$G$480,0,(COLUMN()-8)/6)</f>
        <v>0</v>
      </c>
      <c r="FC41" s="572"/>
      <c r="FD41" s="600"/>
    </row>
    <row r="42" spans="1:160" s="583" customFormat="1">
      <c r="A42" s="578"/>
      <c r="B42" s="579"/>
      <c r="C42" s="598"/>
      <c r="D42" s="599" t="s">
        <v>1206</v>
      </c>
      <c r="E42" s="568"/>
      <c r="F42" s="565"/>
      <c r="G42" s="588"/>
      <c r="H42" s="577">
        <f ca="1">OFFSET(Sector1!$G$481,0,(COLUMN()-8)/6)</f>
        <v>0</v>
      </c>
      <c r="I42" s="572"/>
      <c r="J42" s="600"/>
      <c r="K42" s="568"/>
      <c r="L42" s="565"/>
      <c r="M42" s="588"/>
      <c r="N42" s="577">
        <f ca="1">OFFSET(Sector1!$G$481,0,(COLUMN()-8)/6)</f>
        <v>0</v>
      </c>
      <c r="O42" s="572"/>
      <c r="P42" s="600"/>
      <c r="Q42" s="568"/>
      <c r="R42" s="565"/>
      <c r="S42" s="588"/>
      <c r="T42" s="577">
        <f ca="1">OFFSET(Sector1!$G$481,0,(COLUMN()-8)/6)</f>
        <v>0</v>
      </c>
      <c r="U42" s="572"/>
      <c r="V42" s="600"/>
      <c r="W42" s="568"/>
      <c r="X42" s="565"/>
      <c r="Y42" s="588"/>
      <c r="Z42" s="577">
        <f ca="1">OFFSET(Sector1!$G$481,0,(COLUMN()-8)/6)</f>
        <v>0</v>
      </c>
      <c r="AA42" s="572"/>
      <c r="AB42" s="600"/>
      <c r="AC42" s="568"/>
      <c r="AD42" s="565"/>
      <c r="AE42" s="588"/>
      <c r="AF42" s="577">
        <f ca="1">OFFSET(Sector1!$G$481,0,(COLUMN()-8)/6)</f>
        <v>0</v>
      </c>
      <c r="AG42" s="572"/>
      <c r="AH42" s="600"/>
      <c r="AI42" s="568"/>
      <c r="AJ42" s="565"/>
      <c r="AK42" s="588"/>
      <c r="AL42" s="577">
        <f ca="1">OFFSET(Sector1!$G$481,0,(COLUMN()-8)/6)</f>
        <v>0</v>
      </c>
      <c r="AM42" s="572"/>
      <c r="AN42" s="600"/>
      <c r="AO42" s="568"/>
      <c r="AP42" s="565"/>
      <c r="AQ42" s="588"/>
      <c r="AR42" s="577">
        <f ca="1">OFFSET(Sector1!$G$481,0,(COLUMN()-8)/6)</f>
        <v>0</v>
      </c>
      <c r="AS42" s="572"/>
      <c r="AT42" s="600"/>
      <c r="AU42" s="568"/>
      <c r="AV42" s="565"/>
      <c r="AW42" s="588"/>
      <c r="AX42" s="577">
        <f ca="1">OFFSET(Sector1!$G$481,0,(COLUMN()-8)/6)</f>
        <v>0</v>
      </c>
      <c r="AY42" s="572"/>
      <c r="AZ42" s="600"/>
      <c r="BA42" s="568"/>
      <c r="BB42" s="565"/>
      <c r="BC42" s="588"/>
      <c r="BD42" s="577">
        <f ca="1">OFFSET(Sector1!$G$481,0,(COLUMN()-8)/6)</f>
        <v>0</v>
      </c>
      <c r="BE42" s="572"/>
      <c r="BF42" s="600"/>
      <c r="BG42" s="568"/>
      <c r="BH42" s="565"/>
      <c r="BI42" s="588"/>
      <c r="BJ42" s="577">
        <f ca="1">OFFSET(Sector1!$G$481,0,(COLUMN()-8)/6)</f>
        <v>0</v>
      </c>
      <c r="BK42" s="572"/>
      <c r="BL42" s="600"/>
      <c r="BM42" s="568"/>
      <c r="BN42" s="565"/>
      <c r="BO42" s="588"/>
      <c r="BP42" s="577">
        <f ca="1">OFFSET(Sector1!$G$481,0,(COLUMN()-8)/6)</f>
        <v>0</v>
      </c>
      <c r="BQ42" s="572"/>
      <c r="BR42" s="600"/>
      <c r="BS42" s="568"/>
      <c r="BT42" s="565"/>
      <c r="BU42" s="588"/>
      <c r="BV42" s="577">
        <f ca="1">OFFSET(Sector1!$G$481,0,(COLUMN()-8)/6)</f>
        <v>0</v>
      </c>
      <c r="BW42" s="572"/>
      <c r="BX42" s="600"/>
      <c r="BY42" s="568"/>
      <c r="BZ42" s="565"/>
      <c r="CA42" s="588"/>
      <c r="CB42" s="577">
        <f ca="1">OFFSET(Sector1!$G$481,0,(COLUMN()-8)/6)</f>
        <v>0</v>
      </c>
      <c r="CC42" s="572"/>
      <c r="CD42" s="600"/>
      <c r="CE42" s="568"/>
      <c r="CF42" s="565"/>
      <c r="CG42" s="588"/>
      <c r="CH42" s="577">
        <f ca="1">OFFSET(Sector1!$G$481,0,(COLUMN()-8)/6)</f>
        <v>0</v>
      </c>
      <c r="CI42" s="572"/>
      <c r="CJ42" s="600"/>
      <c r="CK42" s="568"/>
      <c r="CL42" s="565"/>
      <c r="CM42" s="588"/>
      <c r="CN42" s="577">
        <f ca="1">OFFSET(Sector1!$G$481,0,(COLUMN()-8)/6)</f>
        <v>0</v>
      </c>
      <c r="CO42" s="572"/>
      <c r="CP42" s="600"/>
      <c r="CQ42" s="568"/>
      <c r="CR42" s="565"/>
      <c r="CS42" s="588"/>
      <c r="CT42" s="577">
        <f ca="1">OFFSET(Sector1!$G$481,0,(COLUMN()-8)/6)</f>
        <v>0</v>
      </c>
      <c r="CU42" s="572"/>
      <c r="CV42" s="600"/>
      <c r="CW42" s="568"/>
      <c r="CX42" s="565"/>
      <c r="CY42" s="588"/>
      <c r="CZ42" s="577">
        <f ca="1">OFFSET(Sector1!$G$481,0,(COLUMN()-8)/6)</f>
        <v>0</v>
      </c>
      <c r="DA42" s="572"/>
      <c r="DB42" s="600"/>
      <c r="DC42" s="568"/>
      <c r="DD42" s="565"/>
      <c r="DE42" s="588"/>
      <c r="DF42" s="577">
        <f ca="1">OFFSET(Sector1!$G$481,0,(COLUMN()-8)/6)</f>
        <v>0</v>
      </c>
      <c r="DG42" s="572"/>
      <c r="DH42" s="600"/>
      <c r="DI42" s="568"/>
      <c r="DJ42" s="565"/>
      <c r="DK42" s="588"/>
      <c r="DL42" s="577">
        <f ca="1">OFFSET(Sector1!$G$481,0,(COLUMN()-8)/6)</f>
        <v>0</v>
      </c>
      <c r="DM42" s="572"/>
      <c r="DN42" s="600"/>
      <c r="DO42" s="568"/>
      <c r="DP42" s="565"/>
      <c r="DQ42" s="588"/>
      <c r="DR42" s="577">
        <f ca="1">OFFSET(Sector1!$G$481,0,(COLUMN()-8)/6)</f>
        <v>0</v>
      </c>
      <c r="DS42" s="572"/>
      <c r="DT42" s="600"/>
      <c r="DU42" s="568"/>
      <c r="DV42" s="565"/>
      <c r="DW42" s="588"/>
      <c r="DX42" s="577">
        <f ca="1">OFFSET(Sector1!$G$481,0,(COLUMN()-8)/6)</f>
        <v>0</v>
      </c>
      <c r="DY42" s="572"/>
      <c r="DZ42" s="600"/>
      <c r="EA42" s="568"/>
      <c r="EB42" s="565"/>
      <c r="EC42" s="588"/>
      <c r="ED42" s="577">
        <f ca="1">OFFSET(Sector1!$G$481,0,(COLUMN()-8)/6)</f>
        <v>0</v>
      </c>
      <c r="EE42" s="572"/>
      <c r="EF42" s="600"/>
      <c r="EG42" s="568"/>
      <c r="EH42" s="565"/>
      <c r="EI42" s="588"/>
      <c r="EJ42" s="577">
        <f ca="1">OFFSET(Sector1!$G$481,0,(COLUMN()-8)/6)</f>
        <v>0</v>
      </c>
      <c r="EK42" s="572"/>
      <c r="EL42" s="600"/>
      <c r="EM42" s="568"/>
      <c r="EN42" s="565"/>
      <c r="EO42" s="588"/>
      <c r="EP42" s="577">
        <f ca="1">OFFSET(Sector1!$G$481,0,(COLUMN()-8)/6)</f>
        <v>0</v>
      </c>
      <c r="EQ42" s="572"/>
      <c r="ER42" s="600"/>
      <c r="ES42" s="568"/>
      <c r="ET42" s="565"/>
      <c r="EU42" s="588"/>
      <c r="EV42" s="577">
        <f ca="1">OFFSET(Sector1!$G$481,0,(COLUMN()-8)/6)</f>
        <v>0</v>
      </c>
      <c r="EW42" s="572"/>
      <c r="EX42" s="600"/>
      <c r="EY42" s="568"/>
      <c r="EZ42" s="565"/>
      <c r="FA42" s="588"/>
      <c r="FB42" s="577">
        <f ca="1">OFFSET(Sector1!$G$481,0,(COLUMN()-8)/6)</f>
        <v>0</v>
      </c>
      <c r="FC42" s="572"/>
      <c r="FD42" s="600"/>
    </row>
    <row r="43" spans="1:160" s="583" customFormat="1">
      <c r="A43" s="578"/>
      <c r="B43" s="579"/>
      <c r="C43" s="598"/>
      <c r="D43" s="599" t="s">
        <v>2039</v>
      </c>
      <c r="E43" s="568"/>
      <c r="F43" s="565"/>
      <c r="G43" s="588"/>
      <c r="H43" s="577">
        <f ca="1">OFFSET(Sector1!$G$482,0,(COLUMN()-8)/6)</f>
        <v>2.3529999999999998</v>
      </c>
      <c r="I43" s="572"/>
      <c r="J43" s="600"/>
      <c r="K43" s="568"/>
      <c r="L43" s="565"/>
      <c r="M43" s="588"/>
      <c r="N43" s="577">
        <f ca="1">OFFSET(Sector1!$G$482,0,(COLUMN()-8)/6)</f>
        <v>2.5940000000000003</v>
      </c>
      <c r="O43" s="572"/>
      <c r="P43" s="600"/>
      <c r="Q43" s="568"/>
      <c r="R43" s="565"/>
      <c r="S43" s="588"/>
      <c r="T43" s="577">
        <f ca="1">OFFSET(Sector1!$G$482,0,(COLUMN()-8)/6)</f>
        <v>2.5170000000000003</v>
      </c>
      <c r="U43" s="572"/>
      <c r="V43" s="600"/>
      <c r="W43" s="568"/>
      <c r="X43" s="565"/>
      <c r="Y43" s="588"/>
      <c r="Z43" s="577">
        <f ca="1">OFFSET(Sector1!$G$482,0,(COLUMN()-8)/6)</f>
        <v>2.8390000000000004</v>
      </c>
      <c r="AA43" s="572"/>
      <c r="AB43" s="600"/>
      <c r="AC43" s="568"/>
      <c r="AD43" s="565"/>
      <c r="AE43" s="588"/>
      <c r="AF43" s="577">
        <f ca="1">OFFSET(Sector1!$G$482,0,(COLUMN()-8)/6)</f>
        <v>2.2520000000000002</v>
      </c>
      <c r="AG43" s="572"/>
      <c r="AH43" s="600"/>
      <c r="AI43" s="568"/>
      <c r="AJ43" s="565"/>
      <c r="AK43" s="588"/>
      <c r="AL43" s="577">
        <f ca="1">OFFSET(Sector1!$G$482,0,(COLUMN()-8)/6)</f>
        <v>2.1719999999999997</v>
      </c>
      <c r="AM43" s="572"/>
      <c r="AN43" s="600"/>
      <c r="AO43" s="568"/>
      <c r="AP43" s="565"/>
      <c r="AQ43" s="588"/>
      <c r="AR43" s="577">
        <f ca="1">OFFSET(Sector1!$G$482,0,(COLUMN()-8)/6)</f>
        <v>2.48</v>
      </c>
      <c r="AS43" s="572"/>
      <c r="AT43" s="600"/>
      <c r="AU43" s="568"/>
      <c r="AV43" s="565"/>
      <c r="AW43" s="588"/>
      <c r="AX43" s="577">
        <f ca="1">OFFSET(Sector1!$G$482,0,(COLUMN()-8)/6)</f>
        <v>2.7479999999999998</v>
      </c>
      <c r="AY43" s="572"/>
      <c r="AZ43" s="600"/>
      <c r="BA43" s="568"/>
      <c r="BB43" s="565"/>
      <c r="BC43" s="588"/>
      <c r="BD43" s="577">
        <f ca="1">OFFSET(Sector1!$G$482,0,(COLUMN()-8)/6)</f>
        <v>2.7770000000000001</v>
      </c>
      <c r="BE43" s="572"/>
      <c r="BF43" s="600"/>
      <c r="BG43" s="568"/>
      <c r="BH43" s="565"/>
      <c r="BI43" s="588"/>
      <c r="BJ43" s="577">
        <f ca="1">OFFSET(Sector1!$G$482,0,(COLUMN()-8)/6)</f>
        <v>2.8789999999999996</v>
      </c>
      <c r="BK43" s="572"/>
      <c r="BL43" s="600"/>
      <c r="BM43" s="568"/>
      <c r="BN43" s="565"/>
      <c r="BO43" s="588"/>
      <c r="BP43" s="577">
        <f ca="1">OFFSET(Sector1!$G$482,0,(COLUMN()-8)/6)</f>
        <v>5.3640000000000008</v>
      </c>
      <c r="BQ43" s="572"/>
      <c r="BR43" s="600"/>
      <c r="BS43" s="568"/>
      <c r="BT43" s="565"/>
      <c r="BU43" s="588"/>
      <c r="BV43" s="577">
        <f ca="1">OFFSET(Sector1!$G$482,0,(COLUMN()-8)/6)</f>
        <v>3.8420000000000001</v>
      </c>
      <c r="BW43" s="572"/>
      <c r="BX43" s="600"/>
      <c r="BY43" s="568"/>
      <c r="BZ43" s="565"/>
      <c r="CA43" s="588"/>
      <c r="CB43" s="577">
        <f ca="1">OFFSET(Sector1!$G$482,0,(COLUMN()-8)/6)</f>
        <v>3.5209999999999999</v>
      </c>
      <c r="CC43" s="572"/>
      <c r="CD43" s="600"/>
      <c r="CE43" s="568"/>
      <c r="CF43" s="565"/>
      <c r="CG43" s="588"/>
      <c r="CH43" s="577">
        <f ca="1">OFFSET(Sector1!$G$482,0,(COLUMN()-8)/6)</f>
        <v>3.0859999999999999</v>
      </c>
      <c r="CI43" s="572"/>
      <c r="CJ43" s="600"/>
      <c r="CK43" s="568"/>
      <c r="CL43" s="565"/>
      <c r="CM43" s="588"/>
      <c r="CN43" s="577">
        <f ca="1">OFFSET(Sector1!$G$482,0,(COLUMN()-8)/6)</f>
        <v>3.3190000000000004</v>
      </c>
      <c r="CO43" s="572"/>
      <c r="CP43" s="600"/>
      <c r="CQ43" s="568"/>
      <c r="CR43" s="565"/>
      <c r="CS43" s="588"/>
      <c r="CT43" s="577">
        <f ca="1">OFFSET(Sector1!$G$482,0,(COLUMN()-8)/6)</f>
        <v>3.1440000000000001</v>
      </c>
      <c r="CU43" s="572"/>
      <c r="CV43" s="600"/>
      <c r="CW43" s="568"/>
      <c r="CX43" s="565"/>
      <c r="CY43" s="588"/>
      <c r="CZ43" s="577">
        <f ca="1">OFFSET(Sector1!$G$482,0,(COLUMN()-8)/6)</f>
        <v>3.7639999999999998</v>
      </c>
      <c r="DA43" s="572"/>
      <c r="DB43" s="600"/>
      <c r="DC43" s="568"/>
      <c r="DD43" s="565"/>
      <c r="DE43" s="588"/>
      <c r="DF43" s="577">
        <f ca="1">OFFSET(Sector1!$G$482,0,(COLUMN()-8)/6)</f>
        <v>13.968999999999999</v>
      </c>
      <c r="DG43" s="572"/>
      <c r="DH43" s="600"/>
      <c r="DI43" s="568"/>
      <c r="DJ43" s="565"/>
      <c r="DK43" s="588"/>
      <c r="DL43" s="577">
        <f ca="1">OFFSET(Sector1!$G$482,0,(COLUMN()-8)/6)</f>
        <v>13.603999999999999</v>
      </c>
      <c r="DM43" s="572"/>
      <c r="DN43" s="600"/>
      <c r="DO43" s="568"/>
      <c r="DP43" s="565"/>
      <c r="DQ43" s="588"/>
      <c r="DR43" s="577">
        <f ca="1">OFFSET(Sector1!$G$482,0,(COLUMN()-8)/6)</f>
        <v>5.3360000000000003</v>
      </c>
      <c r="DS43" s="572"/>
      <c r="DT43" s="600"/>
      <c r="DU43" s="568"/>
      <c r="DV43" s="565"/>
      <c r="DW43" s="588"/>
      <c r="DX43" s="577">
        <f ca="1">OFFSET(Sector1!$G$482,0,(COLUMN()-8)/6)</f>
        <v>11.038</v>
      </c>
      <c r="DY43" s="572"/>
      <c r="DZ43" s="600"/>
      <c r="EA43" s="568"/>
      <c r="EB43" s="565"/>
      <c r="EC43" s="588"/>
      <c r="ED43" s="577">
        <f ca="1">OFFSET(Sector1!$G$482,0,(COLUMN()-8)/6)</f>
        <v>6.883</v>
      </c>
      <c r="EE43" s="572"/>
      <c r="EF43" s="600"/>
      <c r="EG43" s="568"/>
      <c r="EH43" s="565"/>
      <c r="EI43" s="588"/>
      <c r="EJ43" s="577">
        <f ca="1">OFFSET(Sector1!$G$482,0,(COLUMN()-8)/6)</f>
        <v>7.5030000000000001</v>
      </c>
      <c r="EK43" s="572"/>
      <c r="EL43" s="600"/>
      <c r="EM43" s="568"/>
      <c r="EN43" s="565"/>
      <c r="EO43" s="588"/>
      <c r="EP43" s="577">
        <f ca="1">OFFSET(Sector1!$G$482,0,(COLUMN()-8)/6)</f>
        <v>6.0999999999999988</v>
      </c>
      <c r="EQ43" s="572"/>
      <c r="ER43" s="600"/>
      <c r="ES43" s="568"/>
      <c r="ET43" s="565"/>
      <c r="EU43" s="588"/>
      <c r="EV43" s="577">
        <f ca="1">OFFSET(Sector1!$G$482,0,(COLUMN()-8)/6)</f>
        <v>6.2219999999999986</v>
      </c>
      <c r="EW43" s="572"/>
      <c r="EX43" s="600"/>
      <c r="EY43" s="568"/>
      <c r="EZ43" s="565"/>
      <c r="FA43" s="588"/>
      <c r="FB43" s="577">
        <f ca="1">OFFSET(Sector1!$G$482,0,(COLUMN()-8)/6)</f>
        <v>6.3153299999999977</v>
      </c>
      <c r="FC43" s="572"/>
      <c r="FD43" s="600"/>
    </row>
    <row r="44" spans="1:160" s="583" customFormat="1" ht="13.15" thickBot="1">
      <c r="A44" s="578"/>
      <c r="B44" s="579"/>
      <c r="C44" s="598"/>
      <c r="D44" s="599" t="s">
        <v>1339</v>
      </c>
      <c r="E44" s="568"/>
      <c r="F44" s="565"/>
      <c r="G44" s="588"/>
      <c r="H44" s="584">
        <f ca="1">OFFSET(Sector1!$G$484,0,(COLUMN()-8)/6)</f>
        <v>13.041</v>
      </c>
      <c r="I44" s="572"/>
      <c r="J44" s="600"/>
      <c r="K44" s="568"/>
      <c r="L44" s="565"/>
      <c r="M44" s="588"/>
      <c r="N44" s="584">
        <f ca="1">OFFSET(Sector1!$G$484,0,(COLUMN()-8)/6)</f>
        <v>12.414999999999999</v>
      </c>
      <c r="O44" s="572"/>
      <c r="P44" s="600"/>
      <c r="Q44" s="568"/>
      <c r="R44" s="565"/>
      <c r="S44" s="588"/>
      <c r="T44" s="584">
        <f ca="1">OFFSET(Sector1!$G$484,0,(COLUMN()-8)/6)</f>
        <v>11.1</v>
      </c>
      <c r="U44" s="572"/>
      <c r="V44" s="600"/>
      <c r="W44" s="568"/>
      <c r="X44" s="565"/>
      <c r="Y44" s="588"/>
      <c r="Z44" s="584">
        <f ca="1">OFFSET(Sector1!$G$484,0,(COLUMN()-8)/6)</f>
        <v>8.82</v>
      </c>
      <c r="AA44" s="572"/>
      <c r="AB44" s="600"/>
      <c r="AC44" s="568"/>
      <c r="AD44" s="565"/>
      <c r="AE44" s="588"/>
      <c r="AF44" s="584">
        <f ca="1">OFFSET(Sector1!$G$484,0,(COLUMN()-8)/6)</f>
        <v>12.167999999999999</v>
      </c>
      <c r="AG44" s="572"/>
      <c r="AH44" s="600"/>
      <c r="AI44" s="568"/>
      <c r="AJ44" s="565"/>
      <c r="AK44" s="588"/>
      <c r="AL44" s="584">
        <f ca="1">OFFSET(Sector1!$G$484,0,(COLUMN()-8)/6)</f>
        <v>8.3190000000000008</v>
      </c>
      <c r="AM44" s="572"/>
      <c r="AN44" s="600"/>
      <c r="AO44" s="568"/>
      <c r="AP44" s="565"/>
      <c r="AQ44" s="588"/>
      <c r="AR44" s="584">
        <f ca="1">OFFSET(Sector1!$G$484,0,(COLUMN()-8)/6)</f>
        <v>8.1790000000000003</v>
      </c>
      <c r="AS44" s="572"/>
      <c r="AT44" s="600"/>
      <c r="AU44" s="568"/>
      <c r="AV44" s="565"/>
      <c r="AW44" s="588"/>
      <c r="AX44" s="584">
        <f ca="1">OFFSET(Sector1!$G$484,0,(COLUMN()-8)/6)</f>
        <v>8.5850000000000009</v>
      </c>
      <c r="AY44" s="572"/>
      <c r="AZ44" s="600"/>
      <c r="BA44" s="568"/>
      <c r="BB44" s="565"/>
      <c r="BC44" s="588"/>
      <c r="BD44" s="584">
        <f ca="1">OFFSET(Sector1!$G$484,0,(COLUMN()-8)/6)</f>
        <v>9.6069999999999993</v>
      </c>
      <c r="BE44" s="572"/>
      <c r="BF44" s="600"/>
      <c r="BG44" s="568"/>
      <c r="BH44" s="565"/>
      <c r="BI44" s="588"/>
      <c r="BJ44" s="584">
        <f ca="1">OFFSET(Sector1!$G$484,0,(COLUMN()-8)/6)</f>
        <v>7.9950000000000001</v>
      </c>
      <c r="BK44" s="572"/>
      <c r="BL44" s="600"/>
      <c r="BM44" s="568"/>
      <c r="BN44" s="565"/>
      <c r="BO44" s="588"/>
      <c r="BP44" s="584">
        <f ca="1">OFFSET(Sector1!$G$484,0,(COLUMN()-8)/6)</f>
        <v>13.879</v>
      </c>
      <c r="BQ44" s="572"/>
      <c r="BR44" s="600"/>
      <c r="BS44" s="568"/>
      <c r="BT44" s="565"/>
      <c r="BU44" s="588"/>
      <c r="BV44" s="584">
        <f ca="1">OFFSET(Sector1!$G$484,0,(COLUMN()-8)/6)</f>
        <v>8.2509999999999994</v>
      </c>
      <c r="BW44" s="572"/>
      <c r="BX44" s="600"/>
      <c r="BY44" s="568"/>
      <c r="BZ44" s="565"/>
      <c r="CA44" s="588"/>
      <c r="CB44" s="584">
        <f ca="1">OFFSET(Sector1!$G$484,0,(COLUMN()-8)/6)</f>
        <v>9.282</v>
      </c>
      <c r="CC44" s="572"/>
      <c r="CD44" s="600"/>
      <c r="CE44" s="568"/>
      <c r="CF44" s="565"/>
      <c r="CG44" s="588"/>
      <c r="CH44" s="584">
        <f ca="1">OFFSET(Sector1!$G$484,0,(COLUMN()-8)/6)</f>
        <v>10.691000000000001</v>
      </c>
      <c r="CI44" s="572"/>
      <c r="CJ44" s="600"/>
      <c r="CK44" s="568"/>
      <c r="CL44" s="565"/>
      <c r="CM44" s="588"/>
      <c r="CN44" s="584">
        <f ca="1">OFFSET(Sector1!$G$484,0,(COLUMN()-8)/6)</f>
        <v>9.125</v>
      </c>
      <c r="CO44" s="572"/>
      <c r="CP44" s="600"/>
      <c r="CQ44" s="568"/>
      <c r="CR44" s="565"/>
      <c r="CS44" s="588"/>
      <c r="CT44" s="584">
        <f ca="1">OFFSET(Sector1!$G$484,0,(COLUMN()-8)/6)</f>
        <v>8.7119999999999997</v>
      </c>
      <c r="CU44" s="572"/>
      <c r="CV44" s="600"/>
      <c r="CW44" s="568"/>
      <c r="CX44" s="565"/>
      <c r="CY44" s="588"/>
      <c r="CZ44" s="584">
        <f ca="1">OFFSET(Sector1!$G$484,0,(COLUMN()-8)/6)</f>
        <v>11.388</v>
      </c>
      <c r="DA44" s="572"/>
      <c r="DB44" s="600"/>
      <c r="DC44" s="568"/>
      <c r="DD44" s="565"/>
      <c r="DE44" s="588"/>
      <c r="DF44" s="584">
        <f ca="1">OFFSET(Sector1!$G$484,0,(COLUMN()-8)/6)</f>
        <v>10.596</v>
      </c>
      <c r="DG44" s="572"/>
      <c r="DH44" s="600"/>
      <c r="DI44" s="568"/>
      <c r="DJ44" s="565"/>
      <c r="DK44" s="588"/>
      <c r="DL44" s="584">
        <f ca="1">OFFSET(Sector1!$G$484,0,(COLUMN()-8)/6)</f>
        <v>9.8610000000000007</v>
      </c>
      <c r="DM44" s="572"/>
      <c r="DN44" s="600"/>
      <c r="DO44" s="568"/>
      <c r="DP44" s="565"/>
      <c r="DQ44" s="588"/>
      <c r="DR44" s="584">
        <f ca="1">OFFSET(Sector1!$G$484,0,(COLUMN()-8)/6)</f>
        <v>10.602</v>
      </c>
      <c r="DS44" s="572"/>
      <c r="DT44" s="600"/>
      <c r="DU44" s="568"/>
      <c r="DV44" s="565"/>
      <c r="DW44" s="588"/>
      <c r="DX44" s="584">
        <f ca="1">OFFSET(Sector1!$G$484,0,(COLUMN()-8)/6)</f>
        <v>12.733000000000001</v>
      </c>
      <c r="DY44" s="572"/>
      <c r="DZ44" s="600"/>
      <c r="EA44" s="568"/>
      <c r="EB44" s="565"/>
      <c r="EC44" s="588"/>
      <c r="ED44" s="584">
        <f ca="1">OFFSET(Sector1!$G$484,0,(COLUMN()-8)/6)</f>
        <v>16.074000000000002</v>
      </c>
      <c r="EE44" s="572"/>
      <c r="EF44" s="600"/>
      <c r="EG44" s="568"/>
      <c r="EH44" s="565"/>
      <c r="EI44" s="588"/>
      <c r="EJ44" s="584">
        <f ca="1">OFFSET(Sector1!$G$484,0,(COLUMN()-8)/6)</f>
        <v>10.021000000000001</v>
      </c>
      <c r="EK44" s="572"/>
      <c r="EL44" s="600"/>
      <c r="EM44" s="568"/>
      <c r="EN44" s="565"/>
      <c r="EO44" s="588"/>
      <c r="EP44" s="584">
        <f ca="1">OFFSET(Sector1!$G$484,0,(COLUMN()-8)/6)</f>
        <v>13.701130989099106</v>
      </c>
      <c r="EQ44" s="572"/>
      <c r="ER44" s="600"/>
      <c r="ES44" s="568"/>
      <c r="ET44" s="565"/>
      <c r="EU44" s="588"/>
      <c r="EV44" s="584">
        <f ca="1">OFFSET(Sector1!$G$484,0,(COLUMN()-8)/6)</f>
        <v>19.2307550221798</v>
      </c>
      <c r="EW44" s="572"/>
      <c r="EX44" s="600"/>
      <c r="EY44" s="568"/>
      <c r="EZ44" s="565"/>
      <c r="FA44" s="588"/>
      <c r="FB44" s="584">
        <f ca="1">OFFSET(Sector1!$G$484,0,(COLUMN()-8)/6)</f>
        <v>19.90383144795609</v>
      </c>
      <c r="FC44" s="572"/>
      <c r="FD44" s="600"/>
    </row>
    <row r="45" spans="1:160" ht="13.15">
      <c r="A45" s="554"/>
      <c r="B45" s="555" t="s">
        <v>301</v>
      </c>
      <c r="C45" s="3855" t="s">
        <v>1340</v>
      </c>
      <c r="D45" s="3856"/>
      <c r="E45" s="568">
        <f ca="1">+F45+G45+H45</f>
        <v>0</v>
      </c>
      <c r="F45" s="566">
        <f ca="1">OFFSET(Sector1!$G$517,0,(COLUMN()-6)/6)</f>
        <v>0.85599999999999998</v>
      </c>
      <c r="G45" s="566">
        <f ca="1">OFFSET(Sector1!$G$518,0,(COLUMN()-7)/6)</f>
        <v>1.6E-2</v>
      </c>
      <c r="H45" s="566">
        <f ca="1">OFFSET(Sector1!$G$519,0,(COLUMN()-8)/6)</f>
        <v>-0.872</v>
      </c>
      <c r="I45" s="566">
        <f ca="1">OFFSET(Sector1!$G$520,0,(COLUMN()-9)/6)</f>
        <v>0</v>
      </c>
      <c r="J45" s="602">
        <f ca="1">+E45+I45</f>
        <v>0</v>
      </c>
      <c r="K45" s="568">
        <f ca="1">+L45+M45+N45</f>
        <v>0</v>
      </c>
      <c r="L45" s="566">
        <f ca="1">OFFSET(Sector1!$G$517,0,(COLUMN()-6)/6)</f>
        <v>0.91900000000000004</v>
      </c>
      <c r="M45" s="566">
        <f ca="1">OFFSET(Sector1!$G$518,0,(COLUMN()-7)/6)</f>
        <v>8.2230000000000008</v>
      </c>
      <c r="N45" s="566">
        <f ca="1">OFFSET(Sector1!$G$519,0,(COLUMN()-8)/6)</f>
        <v>-9.1419999999999995</v>
      </c>
      <c r="O45" s="566">
        <f ca="1">OFFSET(Sector1!$G$520,0,(COLUMN()-9)/6)</f>
        <v>0</v>
      </c>
      <c r="P45" s="602">
        <f ca="1">+K45+O45</f>
        <v>0</v>
      </c>
      <c r="Q45" s="568">
        <f ca="1">+R45+S45+T45</f>
        <v>0</v>
      </c>
      <c r="R45" s="566">
        <f ca="1">OFFSET(Sector1!$G$517,0,(COLUMN()-6)/6)</f>
        <v>0.873</v>
      </c>
      <c r="S45" s="566">
        <f ca="1">OFFSET(Sector1!$G$518,0,(COLUMN()-7)/6)</f>
        <v>-2.66</v>
      </c>
      <c r="T45" s="566">
        <f ca="1">OFFSET(Sector1!$G$519,0,(COLUMN()-8)/6)</f>
        <v>1.7869999999999999</v>
      </c>
      <c r="U45" s="566">
        <f ca="1">OFFSET(Sector1!$G$520,0,(COLUMN()-9)/6)</f>
        <v>0</v>
      </c>
      <c r="V45" s="602">
        <f ca="1">+Q45+U45</f>
        <v>0</v>
      </c>
      <c r="W45" s="568">
        <f ca="1">+X45+Y45+Z45</f>
        <v>-1.588000000000001</v>
      </c>
      <c r="X45" s="566">
        <f ca="1">OFFSET(Sector1!$G$517,0,(COLUMN()-6)/6)</f>
        <v>1.1679999999999999</v>
      </c>
      <c r="Y45" s="566">
        <f ca="1">OFFSET(Sector1!$G$518,0,(COLUMN()-7)/6)</f>
        <v>17.065999999999999</v>
      </c>
      <c r="Z45" s="566">
        <f ca="1">OFFSET(Sector1!$G$519,0,(COLUMN()-8)/6)</f>
        <v>-19.821999999999999</v>
      </c>
      <c r="AA45" s="566">
        <f ca="1">OFFSET(Sector1!$G$520,0,(COLUMN()-9)/6)</f>
        <v>1.5880000000000001</v>
      </c>
      <c r="AB45" s="602">
        <f ca="1">+W45+AA45</f>
        <v>0</v>
      </c>
      <c r="AC45" s="568">
        <f ca="1">+AD45+AE45+AF45</f>
        <v>23.362000000000002</v>
      </c>
      <c r="AD45" s="566">
        <f ca="1">OFFSET(Sector1!$G$517,0,(COLUMN()-6)/6)</f>
        <v>1.518</v>
      </c>
      <c r="AE45" s="566">
        <f ca="1">OFFSET(Sector1!$G$518,0,(COLUMN()-7)/6)</f>
        <v>27.065000000000001</v>
      </c>
      <c r="AF45" s="566">
        <f ca="1">OFFSET(Sector1!$G$519,0,(COLUMN()-8)/6)</f>
        <v>-5.2210000000000001</v>
      </c>
      <c r="AG45" s="566">
        <f ca="1">OFFSET(Sector1!$G$520,0,(COLUMN()-9)/6)</f>
        <v>-23.361999999999998</v>
      </c>
      <c r="AH45" s="602">
        <f ca="1">+AC45+AG45</f>
        <v>0</v>
      </c>
      <c r="AI45" s="568">
        <f ca="1">+AJ45+AK45+AL45</f>
        <v>1.96</v>
      </c>
      <c r="AJ45" s="566">
        <f ca="1">OFFSET(Sector1!$G$517,0,(COLUMN()-6)/6)</f>
        <v>2.173</v>
      </c>
      <c r="AK45" s="566">
        <f ca="1">OFFSET(Sector1!$G$518,0,(COLUMN()-7)/6)</f>
        <v>5.7629999999999999</v>
      </c>
      <c r="AL45" s="566">
        <f ca="1">OFFSET(Sector1!$G$519,0,(COLUMN()-8)/6)</f>
        <v>-5.976</v>
      </c>
      <c r="AM45" s="566">
        <f ca="1">OFFSET(Sector1!$G$520,0,(COLUMN()-9)/6)</f>
        <v>-1.96</v>
      </c>
      <c r="AN45" s="602">
        <f ca="1">+AI45+AM45</f>
        <v>0</v>
      </c>
      <c r="AO45" s="568">
        <f ca="1">+AP45+AQ45+AR45</f>
        <v>-0.62099999999999955</v>
      </c>
      <c r="AP45" s="566">
        <f ca="1">OFFSET(Sector1!$G$517,0,(COLUMN()-6)/6)</f>
        <v>2.4300000000000002</v>
      </c>
      <c r="AQ45" s="566">
        <f ca="1">OFFSET(Sector1!$G$518,0,(COLUMN()-7)/6)</f>
        <v>1.81</v>
      </c>
      <c r="AR45" s="566">
        <f ca="1">OFFSET(Sector1!$G$519,0,(COLUMN()-8)/6)</f>
        <v>-4.8609999999999998</v>
      </c>
      <c r="AS45" s="566">
        <f ca="1">OFFSET(Sector1!$G$520,0,(COLUMN()-9)/6)</f>
        <v>0.621</v>
      </c>
      <c r="AT45" s="602">
        <f ca="1">+AO45+AS45</f>
        <v>0</v>
      </c>
      <c r="AU45" s="568">
        <f ca="1">+AV45+AW45+AX45</f>
        <v>-0.56499999999999995</v>
      </c>
      <c r="AV45" s="566">
        <f ca="1">OFFSET(Sector1!$G$517,0,(COLUMN()-6)/6)</f>
        <v>2.3239999999999998</v>
      </c>
      <c r="AW45" s="566">
        <f ca="1">OFFSET(Sector1!$G$518,0,(COLUMN()-7)/6)</f>
        <v>-0.215</v>
      </c>
      <c r="AX45" s="566">
        <f ca="1">OFFSET(Sector1!$G$519,0,(COLUMN()-8)/6)</f>
        <v>-2.6739999999999999</v>
      </c>
      <c r="AY45" s="566">
        <f ca="1">OFFSET(Sector1!$G$520,0,(COLUMN()-9)/6)</f>
        <v>0.56499999999999995</v>
      </c>
      <c r="AZ45" s="602">
        <f ca="1">+AU45+AY45</f>
        <v>0</v>
      </c>
      <c r="BA45" s="568">
        <f ca="1">+BB45+BC45+BD45</f>
        <v>-0.28699999999999992</v>
      </c>
      <c r="BB45" s="566">
        <f ca="1">OFFSET(Sector1!$G$517,0,(COLUMN()-6)/6)</f>
        <v>3.0089999999999999</v>
      </c>
      <c r="BC45" s="566">
        <f ca="1">OFFSET(Sector1!$G$518,0,(COLUMN()-7)/6)</f>
        <v>0.43</v>
      </c>
      <c r="BD45" s="566">
        <f ca="1">OFFSET(Sector1!$G$519,0,(COLUMN()-8)/6)</f>
        <v>-3.726</v>
      </c>
      <c r="BE45" s="566">
        <f ca="1">OFFSET(Sector1!$G$520,0,(COLUMN()-9)/6)</f>
        <v>0.28699999999999998</v>
      </c>
      <c r="BF45" s="602">
        <f ca="1">+BA45+BE45</f>
        <v>0</v>
      </c>
      <c r="BG45" s="568">
        <f ca="1">+BH45+BI45+BJ45</f>
        <v>0.10299999999999976</v>
      </c>
      <c r="BH45" s="566">
        <f ca="1">OFFSET(Sector1!$G$517,0,(COLUMN()-6)/6)</f>
        <v>3.8319999999999999</v>
      </c>
      <c r="BI45" s="566">
        <f ca="1">OFFSET(Sector1!$G$518,0,(COLUMN()-7)/6)</f>
        <v>1.4390000000000001</v>
      </c>
      <c r="BJ45" s="566">
        <f ca="1">OFFSET(Sector1!$G$519,0,(COLUMN()-8)/6)</f>
        <v>-5.1680000000000001</v>
      </c>
      <c r="BK45" s="566">
        <f ca="1">OFFSET(Sector1!$G$520,0,(COLUMN()-9)/6)</f>
        <v>-0.10299999999999999</v>
      </c>
      <c r="BL45" s="602">
        <f ca="1">+BG45+BK45</f>
        <v>-2.3592239273284576E-16</v>
      </c>
      <c r="BM45" s="568">
        <f ca="1">+BN45+BO45+BP45</f>
        <v>0.26700000000000124</v>
      </c>
      <c r="BN45" s="566">
        <f ca="1">OFFSET(Sector1!$G$517,0,(COLUMN()-6)/6)</f>
        <v>4.4770000000000003</v>
      </c>
      <c r="BO45" s="566">
        <f ca="1">OFFSET(Sector1!$G$518,0,(COLUMN()-7)/6)</f>
        <v>2.4990000000000001</v>
      </c>
      <c r="BP45" s="566">
        <f ca="1">OFFSET(Sector1!$G$519,0,(COLUMN()-8)/6)</f>
        <v>-6.7089999999999996</v>
      </c>
      <c r="BQ45" s="566">
        <f ca="1">OFFSET(Sector1!$G$520,0,(COLUMN()-9)/6)</f>
        <v>-0.26700000000000002</v>
      </c>
      <c r="BR45" s="602">
        <f ca="1">+BM45+BQ45</f>
        <v>1.2212453270876722E-15</v>
      </c>
      <c r="BS45" s="568">
        <f ca="1">+BT45+BU45+BV45</f>
        <v>15.391999999999999</v>
      </c>
      <c r="BT45" s="566">
        <f ca="1">OFFSET(Sector1!$G$517,0,(COLUMN()-6)/6)</f>
        <v>5.2759999999999998</v>
      </c>
      <c r="BU45" s="566">
        <f ca="1">OFFSET(Sector1!$G$518,0,(COLUMN()-7)/6)</f>
        <v>16.306000000000001</v>
      </c>
      <c r="BV45" s="566">
        <f ca="1">OFFSET(Sector1!$G$519,0,(COLUMN()-8)/6)</f>
        <v>-6.19</v>
      </c>
      <c r="BW45" s="566">
        <f ca="1">OFFSET(Sector1!$G$520,0,(COLUMN()-9)/6)</f>
        <v>-15.391999999999999</v>
      </c>
      <c r="BX45" s="602">
        <f ca="1">+BS45+BW45</f>
        <v>0</v>
      </c>
      <c r="BY45" s="568">
        <f ca="1">+BZ45+CA45+CB45</f>
        <v>-0.67300000000000004</v>
      </c>
      <c r="BZ45" s="566">
        <f ca="1">OFFSET(Sector1!$G$517,0,(COLUMN()-6)/6)</f>
        <v>5.7519999999999998</v>
      </c>
      <c r="CA45" s="566">
        <f ca="1">OFFSET(Sector1!$G$518,0,(COLUMN()-7)/6)</f>
        <v>-0.33</v>
      </c>
      <c r="CB45" s="566">
        <f ca="1">OFFSET(Sector1!$G$519,0,(COLUMN()-8)/6)</f>
        <v>-6.0949999999999998</v>
      </c>
      <c r="CC45" s="566">
        <f ca="1">OFFSET(Sector1!$G$520,0,(COLUMN()-9)/6)</f>
        <v>0.67300000000000004</v>
      </c>
      <c r="CD45" s="602">
        <f ca="1">+BY45+CC45</f>
        <v>0</v>
      </c>
      <c r="CE45" s="568">
        <f ca="1">+CF45+CG45+CH45</f>
        <v>1.8490000000000011</v>
      </c>
      <c r="CF45" s="566">
        <f ca="1">OFFSET(Sector1!$G$517,0,(COLUMN()-6)/6)</f>
        <v>6.766</v>
      </c>
      <c r="CG45" s="566">
        <f ca="1">OFFSET(Sector1!$G$518,0,(COLUMN()-7)/6)</f>
        <v>2.6070000000000002</v>
      </c>
      <c r="CH45" s="566">
        <f ca="1">OFFSET(Sector1!$G$519,0,(COLUMN()-8)/6)</f>
        <v>-7.524</v>
      </c>
      <c r="CI45" s="566">
        <f ca="1">OFFSET(Sector1!$G$520,0,(COLUMN()-9)/6)</f>
        <v>-1.849</v>
      </c>
      <c r="CJ45" s="602">
        <f ca="1">+CE45+CI45</f>
        <v>0</v>
      </c>
      <c r="CK45" s="568">
        <f ca="1">+CL45+CM45+CN45</f>
        <v>0.81799999999999962</v>
      </c>
      <c r="CL45" s="566">
        <f ca="1">OFFSET(Sector1!$G$517,0,(COLUMN()-6)/6)</f>
        <v>4.7990000000000004</v>
      </c>
      <c r="CM45" s="566">
        <f ca="1">OFFSET(Sector1!$G$518,0,(COLUMN()-7)/6)</f>
        <v>2.8839999999999999</v>
      </c>
      <c r="CN45" s="566">
        <f ca="1">OFFSET(Sector1!$G$519,0,(COLUMN()-8)/6)</f>
        <v>-6.8650000000000002</v>
      </c>
      <c r="CO45" s="566">
        <f ca="1">OFFSET(Sector1!$G$520,0,(COLUMN()-9)/6)</f>
        <v>-0.81799999999999995</v>
      </c>
      <c r="CP45" s="602">
        <f ca="1">+CK45+CO45</f>
        <v>0</v>
      </c>
      <c r="CQ45" s="568">
        <f ca="1">+CR45+CS45+CT45</f>
        <v>1.4890000000000008</v>
      </c>
      <c r="CR45" s="566">
        <f ca="1">OFFSET(Sector1!$G$517,0,(COLUMN()-6)/6)</f>
        <v>5.556</v>
      </c>
      <c r="CS45" s="566">
        <f ca="1">OFFSET(Sector1!$G$518,0,(COLUMN()-7)/6)</f>
        <v>2.8719999999999999</v>
      </c>
      <c r="CT45" s="566">
        <f ca="1">OFFSET(Sector1!$G$519,0,(COLUMN()-8)/6)</f>
        <v>-6.9390000000000001</v>
      </c>
      <c r="CU45" s="566">
        <f ca="1">OFFSET(Sector1!$G$520,0,(COLUMN()-9)/6)</f>
        <v>-1.4890000000000001</v>
      </c>
      <c r="CV45" s="602">
        <f ca="1">+CQ45+CU45</f>
        <v>0</v>
      </c>
      <c r="CW45" s="568">
        <f ca="1">+CX45+CY45+CZ45</f>
        <v>1.853</v>
      </c>
      <c r="CX45" s="566">
        <f ca="1">OFFSET(Sector1!$G$517,0,(COLUMN()-6)/6)</f>
        <v>5.9740000000000002</v>
      </c>
      <c r="CY45" s="566">
        <f ca="1">OFFSET(Sector1!$G$518,0,(COLUMN()-7)/6)</f>
        <v>-2.72</v>
      </c>
      <c r="CZ45" s="566">
        <f ca="1">OFFSET(Sector1!$G$519,0,(COLUMN()-8)/6)</f>
        <v>-1.401</v>
      </c>
      <c r="DA45" s="566">
        <f ca="1">OFFSET(Sector1!$G$520,0,(COLUMN()-9)/6)</f>
        <v>-1.853</v>
      </c>
      <c r="DB45" s="602">
        <f ca="1">+CW45+DA45</f>
        <v>0</v>
      </c>
      <c r="DC45" s="568">
        <f ca="1">+DD45+DE45+DF45</f>
        <v>1.4440000000000004</v>
      </c>
      <c r="DD45" s="566">
        <f ca="1">OFFSET(Sector1!$G$517,0,(COLUMN()-6)/6)</f>
        <v>4.4080000000000004</v>
      </c>
      <c r="DE45" s="566">
        <f ca="1">OFFSET(Sector1!$G$518,0,(COLUMN()-7)/6)</f>
        <v>4.8000000000000001E-2</v>
      </c>
      <c r="DF45" s="566">
        <f ca="1">OFFSET(Sector1!$G$519,0,(COLUMN()-8)/6)</f>
        <v>-3.012</v>
      </c>
      <c r="DG45" s="566">
        <f ca="1">OFFSET(Sector1!$G$520,0,(COLUMN()-9)/6)</f>
        <v>-1.444</v>
      </c>
      <c r="DH45" s="602">
        <f ca="1">+DC45+DG45</f>
        <v>0</v>
      </c>
      <c r="DI45" s="568">
        <f ca="1">+DJ45+DK45+DL45</f>
        <v>4.9239999999999995</v>
      </c>
      <c r="DJ45" s="566">
        <f ca="1">OFFSET(Sector1!$G$517,0,(COLUMN()-6)/6)</f>
        <v>4.4329999999999998</v>
      </c>
      <c r="DK45" s="566">
        <f ca="1">OFFSET(Sector1!$G$518,0,(COLUMN()-7)/6)</f>
        <v>2.6539999999999999</v>
      </c>
      <c r="DL45" s="566">
        <f ca="1">OFFSET(Sector1!$G$519,0,(COLUMN()-8)/6)</f>
        <v>-2.1629999999999998</v>
      </c>
      <c r="DM45" s="566">
        <f ca="1">OFFSET(Sector1!$G$520,0,(COLUMN()-9)/6)</f>
        <v>-4.9240000000000004</v>
      </c>
      <c r="DN45" s="602">
        <f ca="1">+DI45+DM45</f>
        <v>0</v>
      </c>
      <c r="DO45" s="568">
        <f ca="1">+DP45+DQ45+DR45</f>
        <v>1.9079999999999999</v>
      </c>
      <c r="DP45" s="566">
        <f ca="1">OFFSET(Sector1!$G$517,0,(COLUMN()-6)/6)</f>
        <v>5.5880000000000001</v>
      </c>
      <c r="DQ45" s="566">
        <f ca="1">OFFSET(Sector1!$G$518,0,(COLUMN()-7)/6)</f>
        <v>-0.61199999999999999</v>
      </c>
      <c r="DR45" s="566">
        <f ca="1">OFFSET(Sector1!$G$519,0,(COLUMN()-8)/6)</f>
        <v>-3.0680000000000001</v>
      </c>
      <c r="DS45" s="566">
        <f ca="1">OFFSET(Sector1!$G$520,0,(COLUMN()-9)/6)</f>
        <v>-1.9079999999999999</v>
      </c>
      <c r="DT45" s="602">
        <f ca="1">+DO45+DS45</f>
        <v>0</v>
      </c>
      <c r="DU45" s="568">
        <f ca="1">+DV45+DW45+DX45</f>
        <v>4.3160000000000007</v>
      </c>
      <c r="DV45" s="566">
        <f ca="1">OFFSET(Sector1!$G$517,0,(COLUMN()-6)/6)</f>
        <v>7.1740000000000004</v>
      </c>
      <c r="DW45" s="566">
        <f ca="1">OFFSET(Sector1!$G$518,0,(COLUMN()-7)/6)</f>
        <v>-1.2809999999999999</v>
      </c>
      <c r="DX45" s="566">
        <f ca="1">OFFSET(Sector1!$G$519,0,(COLUMN()-8)/6)</f>
        <v>-1.577</v>
      </c>
      <c r="DY45" s="566">
        <f ca="1">OFFSET(Sector1!$G$520,0,(COLUMN()-9)/6)</f>
        <v>-4.3159999999999998</v>
      </c>
      <c r="DZ45" s="602">
        <f ca="1">+DU45+DY45</f>
        <v>0</v>
      </c>
      <c r="EA45" s="568">
        <f ca="1">+EB45+EC45+ED45</f>
        <v>1.9750000000000005</v>
      </c>
      <c r="EB45" s="566">
        <f ca="1">OFFSET(Sector1!$G$517,0,(COLUMN()-6)/6)</f>
        <v>8.8140000000000001</v>
      </c>
      <c r="EC45" s="566">
        <f ca="1">OFFSET(Sector1!$G$518,0,(COLUMN()-7)/6)</f>
        <v>0.34499999999999997</v>
      </c>
      <c r="ED45" s="566">
        <f ca="1">OFFSET(Sector1!$G$519,0,(COLUMN()-8)/6)</f>
        <v>-7.1840000000000002</v>
      </c>
      <c r="EE45" s="566">
        <f ca="1">OFFSET(Sector1!$G$520,0,(COLUMN()-9)/6)</f>
        <v>-1.9750000000000001</v>
      </c>
      <c r="EF45" s="602">
        <f ca="1">+EA45+EE45</f>
        <v>0</v>
      </c>
      <c r="EG45" s="568">
        <f ca="1">+EH45+EI45+EJ45</f>
        <v>4.0659999999999998</v>
      </c>
      <c r="EH45" s="566">
        <f ca="1">OFFSET(Sector1!$G$517,0,(COLUMN()-6)/6)</f>
        <v>10.07</v>
      </c>
      <c r="EI45" s="566">
        <f ca="1">OFFSET(Sector1!$G$518,0,(COLUMN()-7)/6)</f>
        <v>-0.188</v>
      </c>
      <c r="EJ45" s="566">
        <f ca="1">OFFSET(Sector1!$G$519,0,(COLUMN()-8)/6)</f>
        <v>-5.8159999999999998</v>
      </c>
      <c r="EK45" s="566">
        <f ca="1">OFFSET(Sector1!$G$520,0,(COLUMN()-9)/6)</f>
        <v>-4.0659999999999998</v>
      </c>
      <c r="EL45" s="602">
        <f ca="1">+EG45+EK45</f>
        <v>0</v>
      </c>
      <c r="EM45" s="568">
        <f ca="1">+EN45+EO45+EP45</f>
        <v>3.7811301990776283</v>
      </c>
      <c r="EN45" s="566">
        <f ca="1">OFFSET(Sector1!$G$517,0,(COLUMN()-6)/6)</f>
        <v>10.07</v>
      </c>
      <c r="EO45" s="566">
        <f ca="1">OFFSET(Sector1!$G$518,0,(COLUMN()-7)/6)</f>
        <v>-0.188</v>
      </c>
      <c r="EP45" s="566">
        <f ca="1">OFFSET(Sector1!$G$519,0,(COLUMN()-8)/6)</f>
        <v>-6.1008698009223714</v>
      </c>
      <c r="EQ45" s="566">
        <f ca="1">OFFSET(Sector1!$G$520,0,(COLUMN()-9)/6)</f>
        <v>-3.7811301990776283</v>
      </c>
      <c r="ER45" s="602">
        <f ca="1">+EM45+EQ45</f>
        <v>0</v>
      </c>
      <c r="ES45" s="568">
        <f ca="1">+ET45+EU45+EV45</f>
        <v>3.5504395398863551</v>
      </c>
      <c r="ET45" s="566">
        <f ca="1">OFFSET(Sector1!$G$517,0,(COLUMN()-6)/6)</f>
        <v>10.07</v>
      </c>
      <c r="EU45" s="566">
        <f ca="1">OFFSET(Sector1!$G$518,0,(COLUMN()-7)/6)</f>
        <v>-0.188</v>
      </c>
      <c r="EV45" s="566">
        <f ca="1">OFFSET(Sector1!$G$519,0,(COLUMN()-8)/6)</f>
        <v>-6.3315604601136446</v>
      </c>
      <c r="EW45" s="566">
        <f ca="1">OFFSET(Sector1!$G$520,0,(COLUMN()-9)/6)</f>
        <v>-3.5504395398863551</v>
      </c>
      <c r="EX45" s="602">
        <f ca="1">+ES45+EW45</f>
        <v>0</v>
      </c>
      <c r="EY45" s="568">
        <f ca="1">+EZ45+FA45+FB45</f>
        <v>3.3259753275211503</v>
      </c>
      <c r="EZ45" s="566">
        <f ca="1">OFFSET(Sector1!$G$517,0,(COLUMN()-6)/6)</f>
        <v>10.07</v>
      </c>
      <c r="FA45" s="566">
        <f ca="1">OFFSET(Sector1!$G$518,0,(COLUMN()-7)/6)</f>
        <v>-0.188</v>
      </c>
      <c r="FB45" s="566">
        <f ca="1">OFFSET(Sector1!$G$519,0,(COLUMN()-8)/6)</f>
        <v>-6.5560246724788493</v>
      </c>
      <c r="FC45" s="566">
        <f ca="1">OFFSET(Sector1!$G$520,0,(COLUMN()-9)/6)</f>
        <v>-3.3259753275211503</v>
      </c>
      <c r="FD45" s="602">
        <f ca="1">+EY45+FC45</f>
        <v>0</v>
      </c>
    </row>
    <row r="46" spans="1:160" ht="13.15">
      <c r="A46" s="554"/>
      <c r="B46" s="555" t="s">
        <v>301</v>
      </c>
      <c r="C46" s="3855" t="s">
        <v>1341</v>
      </c>
      <c r="D46" s="3856"/>
      <c r="E46" s="568">
        <f ca="1">OFFSET('VVP2'!$G$212,0,(COLUMN()-5)/6)</f>
        <v>369.53899999999999</v>
      </c>
      <c r="F46" s="1230">
        <f ca="1">OFFSET('VVP2'!$G$228,0,(COLUMN()-6)/6)</f>
        <v>29.338000000000001</v>
      </c>
      <c r="G46" s="1230">
        <f ca="1">OFFSET('VVP2'!$G$230,0,(COLUMN()-7)/6)</f>
        <v>243.673</v>
      </c>
      <c r="H46" s="1230">
        <f ca="1">OFFSET('VVP2'!$G$229,0,(COLUMN()-8)/6)</f>
        <v>96.528000000000006</v>
      </c>
      <c r="I46" s="557"/>
      <c r="J46" s="602">
        <f ca="1">+E46-F46-G46-H46</f>
        <v>0</v>
      </c>
      <c r="K46" s="568">
        <f ca="1">OFFSET('VVP2'!$G$212,0,(COLUMN()-5)/6)</f>
        <v>389.24299999999999</v>
      </c>
      <c r="L46" s="1230">
        <f ca="1">OFFSET('VVP2'!$G$228,0,(COLUMN()-6)/6)</f>
        <v>30.954000000000001</v>
      </c>
      <c r="M46" s="1230">
        <f ca="1">OFFSET('VVP2'!$G$230,0,(COLUMN()-7)/6)</f>
        <v>262.85599999999999</v>
      </c>
      <c r="N46" s="1230">
        <f ca="1">OFFSET('VVP2'!$G$229,0,(COLUMN()-8)/6)</f>
        <v>95.433000000000007</v>
      </c>
      <c r="O46" s="557"/>
      <c r="P46" s="602">
        <f ca="1">+K46-L46-M46-N46</f>
        <v>0</v>
      </c>
      <c r="Q46" s="568">
        <f ca="1">OFFSET('VVP2'!$G$212,0,(COLUMN()-5)/6)</f>
        <v>401.30900000000003</v>
      </c>
      <c r="R46" s="1230">
        <f ca="1">OFFSET('VVP2'!$G$228,0,(COLUMN()-6)/6)</f>
        <v>33.084000000000003</v>
      </c>
      <c r="S46" s="1230">
        <f ca="1">OFFSET('VVP2'!$G$230,0,(COLUMN()-7)/6)</f>
        <v>280.27800000000002</v>
      </c>
      <c r="T46" s="1230">
        <f ca="1">OFFSET('VVP2'!$G$229,0,(COLUMN()-8)/6)</f>
        <v>87.947000000000003</v>
      </c>
      <c r="U46" s="557"/>
      <c r="V46" s="602">
        <f ca="1">+Q46-R46-S46-T46</f>
        <v>0</v>
      </c>
      <c r="W46" s="568">
        <f ca="1">OFFSET('VVP2'!$G$212,0,(COLUMN()-5)/6)</f>
        <v>440.334</v>
      </c>
      <c r="X46" s="1230">
        <f ca="1">OFFSET('VVP2'!$G$228,0,(COLUMN()-6)/6)</f>
        <v>38.485999999999997</v>
      </c>
      <c r="Y46" s="1230">
        <f ca="1">OFFSET('VVP2'!$G$230,0,(COLUMN()-7)/6)</f>
        <v>309.81099999999998</v>
      </c>
      <c r="Z46" s="1230">
        <f ca="1">OFFSET('VVP2'!$G$229,0,(COLUMN()-8)/6)</f>
        <v>92.037000000000006</v>
      </c>
      <c r="AA46" s="557"/>
      <c r="AB46" s="602">
        <f ca="1">+W46-X46-Y46-Z46</f>
        <v>0</v>
      </c>
      <c r="AC46" s="568">
        <f ca="1">OFFSET('VVP2'!$G$212,0,(COLUMN()-5)/6)</f>
        <v>481.07100000000003</v>
      </c>
      <c r="AD46" s="1230">
        <f ca="1">OFFSET('VVP2'!$G$228,0,(COLUMN()-6)/6)</f>
        <v>43.835999999999999</v>
      </c>
      <c r="AE46" s="1230">
        <f ca="1">OFFSET('VVP2'!$G$230,0,(COLUMN()-7)/6)</f>
        <v>339.96699999999998</v>
      </c>
      <c r="AF46" s="1230">
        <f ca="1">OFFSET('VVP2'!$G$229,0,(COLUMN()-8)/6)</f>
        <v>97.268000000000001</v>
      </c>
      <c r="AG46" s="557"/>
      <c r="AH46" s="602">
        <f ca="1">+AC46-AD46-AE46-AF46</f>
        <v>0</v>
      </c>
      <c r="AI46" s="568">
        <f ca="1">OFFSET('VVP2'!$G$212,0,(COLUMN()-5)/6)</f>
        <v>529.24099999999999</v>
      </c>
      <c r="AJ46" s="1230">
        <f ca="1">OFFSET('VVP2'!$G$228,0,(COLUMN()-6)/6)</f>
        <v>49.478000000000002</v>
      </c>
      <c r="AK46" s="1230">
        <f ca="1">OFFSET('VVP2'!$G$230,0,(COLUMN()-7)/6)</f>
        <v>386.09399999999999</v>
      </c>
      <c r="AL46" s="1230">
        <f ca="1">OFFSET('VVP2'!$G$229,0,(COLUMN()-8)/6)</f>
        <v>93.668999999999997</v>
      </c>
      <c r="AM46" s="557"/>
      <c r="AN46" s="602">
        <f ca="1">+AI46-AJ46-AK46-AL46</f>
        <v>0</v>
      </c>
      <c r="AO46" s="568">
        <f ca="1">OFFSET('VVP2'!$G$212,0,(COLUMN()-5)/6)</f>
        <v>560.52200000000005</v>
      </c>
      <c r="AP46" s="1230">
        <f ca="1">OFFSET('VVP2'!$G$228,0,(COLUMN()-6)/6)</f>
        <v>52.545999999999999</v>
      </c>
      <c r="AQ46" s="1230">
        <f ca="1">OFFSET('VVP2'!$G$230,0,(COLUMN()-7)/6)</f>
        <v>405.01900000000001</v>
      </c>
      <c r="AR46" s="1230">
        <f ca="1">OFFSET('VVP2'!$G$229,0,(COLUMN()-8)/6)</f>
        <v>102.95699999999999</v>
      </c>
      <c r="AS46" s="557"/>
      <c r="AT46" s="602">
        <f ca="1">+AO46-AP46-AQ46-AR46</f>
        <v>0</v>
      </c>
      <c r="AU46" s="568">
        <f ca="1">OFFSET('VVP2'!$G$212,0,(COLUMN()-5)/6)</f>
        <v>560.54399999999998</v>
      </c>
      <c r="AV46" s="1230">
        <f ca="1">OFFSET('VVP2'!$G$228,0,(COLUMN()-6)/6)</f>
        <v>59.432000000000002</v>
      </c>
      <c r="AW46" s="1230">
        <f ca="1">OFFSET('VVP2'!$G$230,0,(COLUMN()-7)/6)</f>
        <v>389.387</v>
      </c>
      <c r="AX46" s="1230">
        <f ca="1">OFFSET('VVP2'!$G$229,0,(COLUMN()-8)/6)</f>
        <v>111.72499999999999</v>
      </c>
      <c r="AY46" s="557"/>
      <c r="AZ46" s="602">
        <f ca="1">+AU46-AV46-AW46-AX46</f>
        <v>0</v>
      </c>
      <c r="BA46" s="568">
        <f ca="1">OFFSET('VVP2'!$G$212,0,(COLUMN()-5)/6)</f>
        <v>572.93700000000001</v>
      </c>
      <c r="BB46" s="1230">
        <f ca="1">OFFSET('VVP2'!$G$228,0,(COLUMN()-6)/6)</f>
        <v>66.695999999999998</v>
      </c>
      <c r="BC46" s="1230">
        <f ca="1">OFFSET('VVP2'!$G$230,0,(COLUMN()-7)/6)</f>
        <v>393.78500000000003</v>
      </c>
      <c r="BD46" s="1230">
        <f ca="1">OFFSET('VVP2'!$G$229,0,(COLUMN()-8)/6)</f>
        <v>112.456</v>
      </c>
      <c r="BE46" s="557"/>
      <c r="BF46" s="602">
        <f ca="1">+BA46-BB46-BC46-BD46</f>
        <v>0</v>
      </c>
      <c r="BG46" s="568">
        <f ca="1">OFFSET('VVP2'!$G$212,0,(COLUMN()-5)/6)</f>
        <v>608.81399999999996</v>
      </c>
      <c r="BH46" s="1230">
        <f ca="1">OFFSET('VVP2'!$G$228,0,(COLUMN()-6)/6)</f>
        <v>77.59</v>
      </c>
      <c r="BI46" s="1230">
        <f ca="1">OFFSET('VVP2'!$G$230,0,(COLUMN()-7)/6)</f>
        <v>416.029</v>
      </c>
      <c r="BJ46" s="1230">
        <f ca="1">OFFSET('VVP2'!$G$229,0,(COLUMN()-8)/6)</f>
        <v>115.19499999999999</v>
      </c>
      <c r="BK46" s="557"/>
      <c r="BL46" s="602">
        <f ca="1">+BG46-BH46-BI46-BJ46</f>
        <v>0</v>
      </c>
      <c r="BM46" s="568">
        <f ca="1">OFFSET('VVP2'!$G$212,0,(COLUMN()-5)/6)</f>
        <v>646.947</v>
      </c>
      <c r="BN46" s="1230">
        <f ca="1">OFFSET('VVP2'!$G$228,0,(COLUMN()-6)/6)</f>
        <v>83.100999999999999</v>
      </c>
      <c r="BO46" s="1230">
        <f ca="1">OFFSET('VVP2'!$G$230,0,(COLUMN()-7)/6)</f>
        <v>444.45100000000002</v>
      </c>
      <c r="BP46" s="1230">
        <f ca="1">OFFSET('VVP2'!$G$229,0,(COLUMN()-8)/6)</f>
        <v>119.395</v>
      </c>
      <c r="BQ46" s="557"/>
      <c r="BR46" s="602">
        <f ca="1">+BM46-BN46-BO46-BP46</f>
        <v>0</v>
      </c>
      <c r="BS46" s="568">
        <f ca="1">OFFSET('VVP2'!$G$212,0,(COLUMN()-5)/6)</f>
        <v>716.53899999999999</v>
      </c>
      <c r="BT46" s="1230">
        <f ca="1">OFFSET('VVP2'!$G$228,0,(COLUMN()-6)/6)</f>
        <v>95.426000000000002</v>
      </c>
      <c r="BU46" s="1230">
        <f ca="1">OFFSET('VVP2'!$G$230,0,(COLUMN()-7)/6)</f>
        <v>493.161</v>
      </c>
      <c r="BV46" s="1230">
        <f ca="1">OFFSET('VVP2'!$G$229,0,(COLUMN()-8)/6)</f>
        <v>127.952</v>
      </c>
      <c r="BW46" s="557"/>
      <c r="BX46" s="602">
        <f ca="1">+BS46-BT46-BU46-BV46</f>
        <v>0</v>
      </c>
      <c r="BY46" s="568">
        <f ca="1">OFFSET('VVP2'!$G$212,0,(COLUMN()-5)/6)</f>
        <v>791.55600000000004</v>
      </c>
      <c r="BZ46" s="1230">
        <f ca="1">OFFSET('VVP2'!$G$228,0,(COLUMN()-6)/6)</f>
        <v>107.449</v>
      </c>
      <c r="CA46" s="1230">
        <f ca="1">OFFSET('VVP2'!$G$230,0,(COLUMN()-7)/6)</f>
        <v>549.02599999999995</v>
      </c>
      <c r="CB46" s="1230">
        <f ca="1">OFFSET('VVP2'!$G$229,0,(COLUMN()-8)/6)</f>
        <v>135.08099999999999</v>
      </c>
      <c r="CC46" s="557"/>
      <c r="CD46" s="602">
        <f ca="1">+BY46-BZ46-CA46-CB46</f>
        <v>0</v>
      </c>
      <c r="CE46" s="568">
        <f ca="1">OFFSET('VVP2'!$G$212,0,(COLUMN()-5)/6)</f>
        <v>827.94600000000003</v>
      </c>
      <c r="CF46" s="1230">
        <f ca="1">OFFSET('VVP2'!$G$228,0,(COLUMN()-6)/6)</f>
        <v>103.60899999999999</v>
      </c>
      <c r="CG46" s="1230">
        <f ca="1">OFFSET('VVP2'!$G$230,0,(COLUMN()-7)/6)</f>
        <v>579.86</v>
      </c>
      <c r="CH46" s="1230">
        <f ca="1">OFFSET('VVP2'!$G$229,0,(COLUMN()-8)/6)</f>
        <v>144.477</v>
      </c>
      <c r="CI46" s="557"/>
      <c r="CJ46" s="602">
        <f ca="1">+CE46-CF46-CG46-CH46</f>
        <v>0</v>
      </c>
      <c r="CK46" s="568">
        <f ca="1">OFFSET('VVP2'!$G$212,0,(COLUMN()-5)/6)</f>
        <v>737.40300000000002</v>
      </c>
      <c r="CL46" s="1230">
        <f ca="1">OFFSET('VVP2'!$G$228,0,(COLUMN()-6)/6)</f>
        <v>91.816000000000003</v>
      </c>
      <c r="CM46" s="1230">
        <f ca="1">OFFSET('VVP2'!$G$230,0,(COLUMN()-7)/6)</f>
        <v>497.77800000000002</v>
      </c>
      <c r="CN46" s="1230">
        <f ca="1">OFFSET('VVP2'!$G$229,0,(COLUMN()-8)/6)</f>
        <v>147.809</v>
      </c>
      <c r="CO46" s="557"/>
      <c r="CP46" s="602">
        <f ca="1">+CK46-CL46-CM46-CN46</f>
        <v>0</v>
      </c>
      <c r="CQ46" s="568">
        <f ca="1">OFFSET('VVP2'!$G$212,0,(COLUMN()-5)/6)</f>
        <v>787.14499999999998</v>
      </c>
      <c r="CR46" s="1230">
        <f ca="1">OFFSET('VVP2'!$G$228,0,(COLUMN()-6)/6)</f>
        <v>105.845</v>
      </c>
      <c r="CS46" s="1230">
        <f ca="1">OFFSET('VVP2'!$G$230,0,(COLUMN()-7)/6)</f>
        <v>522.40899999999999</v>
      </c>
      <c r="CT46" s="1230">
        <f ca="1">OFFSET('VVP2'!$G$229,0,(COLUMN()-8)/6)</f>
        <v>158.89099999999999</v>
      </c>
      <c r="CU46" s="557"/>
      <c r="CV46" s="602">
        <f ca="1">+CQ46-CR46-CS46-CT46</f>
        <v>0</v>
      </c>
      <c r="CW46" s="568">
        <f ca="1">OFFSET('VVP2'!$G$212,0,(COLUMN()-5)/6)</f>
        <v>834.20100000000002</v>
      </c>
      <c r="CX46" s="1230">
        <f ca="1">OFFSET('VVP2'!$G$228,0,(COLUMN()-6)/6)</f>
        <v>103.506</v>
      </c>
      <c r="CY46" s="1230">
        <f ca="1">OFFSET('VVP2'!$G$230,0,(COLUMN()-7)/6)</f>
        <v>568.49099999999999</v>
      </c>
      <c r="CZ46" s="1230">
        <f ca="1">OFFSET('VVP2'!$G$229,0,(COLUMN()-8)/6)</f>
        <v>162.20400000000001</v>
      </c>
      <c r="DA46" s="557"/>
      <c r="DB46" s="602">
        <f ca="1">+CW46-CX46-CY46-CZ46</f>
        <v>0</v>
      </c>
      <c r="DC46" s="568">
        <f ca="1">OFFSET('VVP2'!$G$212,0,(COLUMN()-5)/6)</f>
        <v>838.25099999999998</v>
      </c>
      <c r="DD46" s="1230">
        <f ca="1">OFFSET('VVP2'!$G$228,0,(COLUMN()-6)/6)</f>
        <v>89.721999999999994</v>
      </c>
      <c r="DE46" s="1230">
        <f ca="1">OFFSET('VVP2'!$G$230,0,(COLUMN()-7)/6)</f>
        <v>580.66099999999994</v>
      </c>
      <c r="DF46" s="1230">
        <f ca="1">OFFSET('VVP2'!$G$229,0,(COLUMN()-8)/6)</f>
        <v>167.86799999999999</v>
      </c>
      <c r="DG46" s="557"/>
      <c r="DH46" s="602">
        <f ca="1">+DC46-DD46-DE46-DF46</f>
        <v>0</v>
      </c>
      <c r="DI46" s="568">
        <f ca="1">OFFSET('VVP2'!$G$212,0,(COLUMN()-5)/6)</f>
        <v>846.178</v>
      </c>
      <c r="DJ46" s="1230">
        <f ca="1">OFFSET('VVP2'!$G$228,0,(COLUMN()-6)/6)</f>
        <v>92.082999999999998</v>
      </c>
      <c r="DK46" s="1230">
        <f ca="1">OFFSET('VVP2'!$G$230,0,(COLUMN()-7)/6)</f>
        <v>585.90300000000002</v>
      </c>
      <c r="DL46" s="1230">
        <f ca="1">OFFSET('VVP2'!$G$229,0,(COLUMN()-8)/6)</f>
        <v>168.19200000000001</v>
      </c>
      <c r="DM46" s="557"/>
      <c r="DN46" s="602">
        <f ca="1">+DI46-DJ46-DK46-DL46</f>
        <v>0</v>
      </c>
      <c r="DO46" s="568">
        <f ca="1">OFFSET('VVP2'!$G$212,0,(COLUMN()-5)/6)</f>
        <v>911.52800000000002</v>
      </c>
      <c r="DP46" s="1230">
        <f ca="1">OFFSET('VVP2'!$G$228,0,(COLUMN()-6)/6)</f>
        <v>96.292000000000002</v>
      </c>
      <c r="DQ46" s="1230">
        <f ca="1">OFFSET('VVP2'!$G$230,0,(COLUMN()-7)/6)</f>
        <v>642.07899999999995</v>
      </c>
      <c r="DR46" s="1230">
        <f ca="1">OFFSET('VVP2'!$G$229,0,(COLUMN()-8)/6)</f>
        <v>173.15700000000001</v>
      </c>
      <c r="DS46" s="557"/>
      <c r="DT46" s="602">
        <f ca="1">+DO46-DP46-DQ46-DR46</f>
        <v>0</v>
      </c>
      <c r="DU46" s="568">
        <f ca="1">OFFSET('VVP2'!$G$212,0,(COLUMN()-5)/6)</f>
        <v>991.41300000000001</v>
      </c>
      <c r="DV46" s="1230">
        <f ca="1">OFFSET('VVP2'!$G$228,0,(COLUMN()-6)/6)</f>
        <v>124.821</v>
      </c>
      <c r="DW46" s="1230">
        <f ca="1">OFFSET('VVP2'!$G$230,0,(COLUMN()-7)/6)</f>
        <v>690.82299999999998</v>
      </c>
      <c r="DX46" s="1230">
        <f ca="1">OFFSET('VVP2'!$G$229,0,(COLUMN()-8)/6)</f>
        <v>175.76900000000001</v>
      </c>
      <c r="DY46" s="557"/>
      <c r="DZ46" s="602">
        <f ca="1">+DU46-DV46-DW46-DX46</f>
        <v>0</v>
      </c>
      <c r="EA46" s="568">
        <f ca="1">OFFSET('VVP2'!$G$212,0,(COLUMN()-5)/6)</f>
        <v>1049.8009999999999</v>
      </c>
      <c r="EB46" s="1230">
        <f ca="1">OFFSET('VVP2'!$G$228,0,(COLUMN()-6)/6)</f>
        <v>141.32300000000001</v>
      </c>
      <c r="EC46" s="1230">
        <f ca="1">OFFSET('VVP2'!$G$230,0,(COLUMN()-7)/6)</f>
        <v>715.67100000000005</v>
      </c>
      <c r="ED46" s="1230">
        <f ca="1">OFFSET('VVP2'!$G$229,0,(COLUMN()-8)/6)</f>
        <v>192.80699999999999</v>
      </c>
      <c r="EE46" s="557"/>
      <c r="EF46" s="602">
        <f ca="1">+EA46-EB46-EC46-ED46</f>
        <v>0</v>
      </c>
      <c r="EG46" s="568">
        <f ca="1">OFFSET('VVP2'!$G$212,0,(COLUMN()-5)/6)</f>
        <v>1142.6130000000001</v>
      </c>
      <c r="EH46" s="1230">
        <f ca="1">OFFSET('VVP2'!$G$228,0,(COLUMN()-6)/6)</f>
        <v>154.51400000000001</v>
      </c>
      <c r="EI46" s="1230">
        <f ca="1">OFFSET('VVP2'!$G$230,0,(COLUMN()-7)/6)</f>
        <v>778.36199999999997</v>
      </c>
      <c r="EJ46" s="1230">
        <f ca="1">OFFSET('VVP2'!$G$229,0,(COLUMN()-8)/6)</f>
        <v>209.73699999999999</v>
      </c>
      <c r="EK46" s="557"/>
      <c r="EL46" s="602">
        <f ca="1">+EG46-EH46-EI46-EJ46</f>
        <v>0</v>
      </c>
      <c r="EM46" s="568">
        <f ca="1">OFFSET('VVP2'!$G$212,0,(COLUMN()-5)/6)</f>
        <v>1230.7812447398999</v>
      </c>
      <c r="EN46" s="1230">
        <f ca="1">OFFSET('VVP2'!$G$228,0,(COLUMN()-6)/6)</f>
        <v>163.78484000000003</v>
      </c>
      <c r="EO46" s="1230">
        <f ca="1">OFFSET('VVP2'!$G$230,0,(COLUMN()-7)/6)</f>
        <v>841.89176501290001</v>
      </c>
      <c r="EP46" s="1230">
        <f ca="1">OFFSET('VVP2'!$G$229,0,(COLUMN()-8)/6)</f>
        <v>225.10463972699998</v>
      </c>
      <c r="EQ46" s="557"/>
      <c r="ER46" s="602">
        <f ca="1">+EM46-EN46-EO46-EP46</f>
        <v>0</v>
      </c>
      <c r="ES46" s="568">
        <f ca="1">OFFSET('VVP2'!$G$212,0,(COLUMN()-5)/6)</f>
        <v>1285.1201335360051</v>
      </c>
      <c r="ET46" s="1230">
        <f ca="1">OFFSET('VVP2'!$G$228,0,(COLUMN()-6)/6)</f>
        <v>168.86217004000002</v>
      </c>
      <c r="EU46" s="1230">
        <f ca="1">OFFSET('VVP2'!$G$230,0,(COLUMN()-7)/6)</f>
        <v>879.0715075455779</v>
      </c>
      <c r="EV46" s="1230">
        <f ca="1">OFFSET('VVP2'!$G$229,0,(COLUMN()-8)/6)</f>
        <v>237.1864559504275</v>
      </c>
      <c r="EW46" s="557"/>
      <c r="EX46" s="602">
        <f ca="1">+ES46-ET46-EU46-EV46</f>
        <v>0</v>
      </c>
      <c r="EY46" s="568">
        <f ca="1">OFFSET('VVP2'!$G$212,0,(COLUMN()-5)/6)</f>
        <v>1330.758614191782</v>
      </c>
      <c r="EZ46" s="1230">
        <f ca="1">OFFSET('VVP2'!$G$228,0,(COLUMN()-6)/6)</f>
        <v>172.57713778088004</v>
      </c>
      <c r="FA46" s="1230">
        <f ca="1">OFFSET('VVP2'!$G$230,0,(COLUMN()-7)/6)</f>
        <v>912.39108177087292</v>
      </c>
      <c r="FB46" s="1230">
        <f ca="1">OFFSET('VVP2'!$G$229,0,(COLUMN()-8)/6)</f>
        <v>245.79039464002921</v>
      </c>
      <c r="FC46" s="557"/>
      <c r="FD46" s="602">
        <f ca="1">+EY46-EZ46-FA46-FB46</f>
        <v>0</v>
      </c>
    </row>
    <row r="47" spans="1:160" ht="13.15">
      <c r="A47" s="554"/>
      <c r="B47" s="555" t="s">
        <v>301</v>
      </c>
      <c r="C47" s="3860" t="s">
        <v>234</v>
      </c>
      <c r="D47" s="3861"/>
      <c r="E47" s="1230">
        <f ca="1">OFFSET('VVP2'!$G$260,0,(COLUMN()-5)/6)</f>
        <v>21.568999999999999</v>
      </c>
      <c r="F47" s="566">
        <f ca="1">OFFSET(Sector1!$G$539,0,(COLUMN()-6)/6)</f>
        <v>2.097</v>
      </c>
      <c r="G47" s="566">
        <f ca="1">OFFSET(Sector1!$G$540,0,(COLUMN()-7)/6)</f>
        <v>20.655000000000001</v>
      </c>
      <c r="H47" s="566">
        <f ca="1">OFFSET(Sector1!$G$541,0,(COLUMN()-8)/6)</f>
        <v>-1.1830000000000001</v>
      </c>
      <c r="I47" s="565"/>
      <c r="J47" s="602">
        <f ca="1">+E47-F47-G47-H47</f>
        <v>-3.3306690738754696E-15</v>
      </c>
      <c r="K47" s="1230">
        <f ca="1">OFFSET('VVP2'!$G$260,0,(COLUMN()-5)/6)</f>
        <v>7.3449999999999998</v>
      </c>
      <c r="L47" s="566">
        <f ca="1">OFFSET(Sector1!$G$539,0,(COLUMN()-6)/6)</f>
        <v>2.4409999999999998</v>
      </c>
      <c r="M47" s="566">
        <f ca="1">OFFSET(Sector1!$G$540,0,(COLUMN()-7)/6)</f>
        <v>6.3559999999999999</v>
      </c>
      <c r="N47" s="566">
        <f ca="1">OFFSET(Sector1!$G$541,0,(COLUMN()-8)/6)</f>
        <v>-1.452</v>
      </c>
      <c r="O47" s="565"/>
      <c r="P47" s="602">
        <f ca="1">+K47-L47-M47-N47</f>
        <v>0</v>
      </c>
      <c r="Q47" s="1230">
        <f ca="1">OFFSET('VVP2'!$G$260,0,(COLUMN()-5)/6)</f>
        <v>9.6389999999999993</v>
      </c>
      <c r="R47" s="566">
        <f ca="1">OFFSET(Sector1!$G$539,0,(COLUMN()-6)/6)</f>
        <v>2.1859999999999999</v>
      </c>
      <c r="S47" s="566">
        <f ca="1">OFFSET(Sector1!$G$540,0,(COLUMN()-7)/6)</f>
        <v>8.0559999999999992</v>
      </c>
      <c r="T47" s="566">
        <f ca="1">OFFSET(Sector1!$G$541,0,(COLUMN()-8)/6)</f>
        <v>-0.60299999999999998</v>
      </c>
      <c r="U47" s="565"/>
      <c r="V47" s="602">
        <f ca="1">+Q47-R47-S47-T47</f>
        <v>0</v>
      </c>
      <c r="W47" s="1230">
        <f ca="1">OFFSET('VVP2'!$G$260,0,(COLUMN()-5)/6)</f>
        <v>15.587999999999999</v>
      </c>
      <c r="X47" s="566">
        <f ca="1">OFFSET(Sector1!$G$539,0,(COLUMN()-6)/6)</f>
        <v>2.6629999999999998</v>
      </c>
      <c r="Y47" s="566">
        <f ca="1">OFFSET(Sector1!$G$540,0,(COLUMN()-7)/6)</f>
        <v>12.968</v>
      </c>
      <c r="Z47" s="566">
        <f ca="1">OFFSET(Sector1!$G$541,0,(COLUMN()-8)/6)</f>
        <v>-4.2999999999999997E-2</v>
      </c>
      <c r="AA47" s="565"/>
      <c r="AB47" s="602">
        <f ca="1">+W47-X47-Y47-Z47</f>
        <v>-1.0408340855860843E-15</v>
      </c>
      <c r="AC47" s="1230">
        <f ca="1">OFFSET('VVP2'!$G$260,0,(COLUMN()-5)/6)</f>
        <v>5.641</v>
      </c>
      <c r="AD47" s="566">
        <f ca="1">OFFSET(Sector1!$G$539,0,(COLUMN()-6)/6)</f>
        <v>2.7290000000000001</v>
      </c>
      <c r="AE47" s="566">
        <f ca="1">OFFSET(Sector1!$G$540,0,(COLUMN()-7)/6)</f>
        <v>3.7109999999999999</v>
      </c>
      <c r="AF47" s="566">
        <f ca="1">OFFSET(Sector1!$G$541,0,(COLUMN()-8)/6)</f>
        <v>-0.79900000000000004</v>
      </c>
      <c r="AG47" s="565"/>
      <c r="AH47" s="602">
        <f ca="1">+AC47-AD47-AE47-AF47</f>
        <v>0</v>
      </c>
      <c r="AI47" s="1230">
        <f ca="1">OFFSET('VVP2'!$G$260,0,(COLUMN()-5)/6)</f>
        <v>15.657999999999999</v>
      </c>
      <c r="AJ47" s="566">
        <f ca="1">OFFSET(Sector1!$G$539,0,(COLUMN()-6)/6)</f>
        <v>2.476</v>
      </c>
      <c r="AK47" s="566">
        <f ca="1">OFFSET(Sector1!$G$540,0,(COLUMN()-7)/6)</f>
        <v>13.295999999999999</v>
      </c>
      <c r="AL47" s="566">
        <f ca="1">OFFSET(Sector1!$G$541,0,(COLUMN()-8)/6)</f>
        <v>-0.114</v>
      </c>
      <c r="AM47" s="565"/>
      <c r="AN47" s="602">
        <f ca="1">+AI47-AJ47-AK47-AL47</f>
        <v>-7.6327832942979512E-16</v>
      </c>
      <c r="AO47" s="1230">
        <f ca="1">OFFSET('VVP2'!$G$260,0,(COLUMN()-5)/6)</f>
        <v>7.0419999999999998</v>
      </c>
      <c r="AP47" s="566">
        <f ca="1">OFFSET(Sector1!$G$539,0,(COLUMN()-6)/6)</f>
        <v>2.4449999999999998</v>
      </c>
      <c r="AQ47" s="566">
        <f ca="1">OFFSET(Sector1!$G$540,0,(COLUMN()-7)/6)</f>
        <v>4.5510000000000002</v>
      </c>
      <c r="AR47" s="566">
        <f ca="1">OFFSET(Sector1!$G$541,0,(COLUMN()-8)/6)</f>
        <v>4.5999999999999999E-2</v>
      </c>
      <c r="AS47" s="565"/>
      <c r="AT47" s="602">
        <f ca="1">+AO47-AP47-AQ47-AR47</f>
        <v>-6.2450045135165055E-16</v>
      </c>
      <c r="AU47" s="1230">
        <f ca="1">OFFSET('VVP2'!$G$260,0,(COLUMN()-5)/6)</f>
        <v>2.2559999999999998</v>
      </c>
      <c r="AV47" s="566">
        <f ca="1">OFFSET(Sector1!$G$539,0,(COLUMN()-6)/6)</f>
        <v>2.2679999999999998</v>
      </c>
      <c r="AW47" s="566">
        <f ca="1">OFFSET(Sector1!$G$540,0,(COLUMN()-7)/6)</f>
        <v>0.1</v>
      </c>
      <c r="AX47" s="566">
        <f ca="1">OFFSET(Sector1!$G$541,0,(COLUMN()-8)/6)</f>
        <v>-0.112</v>
      </c>
      <c r="AY47" s="565"/>
      <c r="AZ47" s="602">
        <f ca="1">+AU47-AV47-AW47-AX47</f>
        <v>0</v>
      </c>
      <c r="BA47" s="1230">
        <f ca="1">OFFSET('VVP2'!$G$260,0,(COLUMN()-5)/6)</f>
        <v>8.1159999999999997</v>
      </c>
      <c r="BB47" s="566">
        <f ca="1">OFFSET(Sector1!$G$539,0,(COLUMN()-6)/6)</f>
        <v>2.6549999999999998</v>
      </c>
      <c r="BC47" s="566">
        <f ca="1">OFFSET(Sector1!$G$540,0,(COLUMN()-7)/6)</f>
        <v>5.5279999999999996</v>
      </c>
      <c r="BD47" s="566">
        <f ca="1">OFFSET(Sector1!$G$541,0,(COLUMN()-8)/6)</f>
        <v>-6.7000000000000004E-2</v>
      </c>
      <c r="BE47" s="565"/>
      <c r="BF47" s="602">
        <f ca="1">+BA47-BB47-BC47-BD47</f>
        <v>7.2164496600635175E-16</v>
      </c>
      <c r="BG47" s="1230">
        <f ca="1">OFFSET('VVP2'!$G$260,0,(COLUMN()-5)/6)</f>
        <v>-0.81</v>
      </c>
      <c r="BH47" s="566">
        <f ca="1">OFFSET(Sector1!$G$539,0,(COLUMN()-6)/6)</f>
        <v>2.4929999999999999</v>
      </c>
      <c r="BI47" s="566">
        <f ca="1">OFFSET(Sector1!$G$540,0,(COLUMN()-7)/6)</f>
        <v>-3.282</v>
      </c>
      <c r="BJ47" s="566">
        <f ca="1">OFFSET(Sector1!$G$541,0,(COLUMN()-8)/6)</f>
        <v>-2.1000000000000001E-2</v>
      </c>
      <c r="BK47" s="565"/>
      <c r="BL47" s="602">
        <f ca="1">+BG47-BH47-BI47-BJ47</f>
        <v>9.3675067702747583E-17</v>
      </c>
      <c r="BM47" s="1230">
        <f ca="1">OFFSET('VVP2'!$G$260,0,(COLUMN()-5)/6)</f>
        <v>-3.8860000000000001</v>
      </c>
      <c r="BN47" s="566">
        <f ca="1">OFFSET(Sector1!$G$539,0,(COLUMN()-6)/6)</f>
        <v>-6.5000000000000002E-2</v>
      </c>
      <c r="BO47" s="566">
        <f ca="1">OFFSET(Sector1!$G$540,0,(COLUMN()-7)/6)</f>
        <v>-3.9670000000000001</v>
      </c>
      <c r="BP47" s="566">
        <f ca="1">OFFSET(Sector1!$G$541,0,(COLUMN()-8)/6)</f>
        <v>0.14599999999999999</v>
      </c>
      <c r="BQ47" s="565"/>
      <c r="BR47" s="602">
        <f ca="1">+BM47-BN47-BO47-BP47</f>
        <v>0</v>
      </c>
      <c r="BS47" s="1230">
        <f ca="1">OFFSET('VVP2'!$G$260,0,(COLUMN()-5)/6)</f>
        <v>0.82799999999999996</v>
      </c>
      <c r="BT47" s="566">
        <f ca="1">OFFSET(Sector1!$G$539,0,(COLUMN()-6)/6)</f>
        <v>1.627</v>
      </c>
      <c r="BU47" s="566">
        <f ca="1">OFFSET(Sector1!$G$540,0,(COLUMN()-7)/6)</f>
        <v>-0.84499999999999997</v>
      </c>
      <c r="BV47" s="566">
        <f ca="1">OFFSET(Sector1!$G$541,0,(COLUMN()-8)/6)</f>
        <v>4.5999999999999999E-2</v>
      </c>
      <c r="BW47" s="565"/>
      <c r="BX47" s="602">
        <f ca="1">+BS47-BT47-BU47-BV47</f>
        <v>-6.9388939039072284E-17</v>
      </c>
      <c r="BY47" s="1230">
        <f ca="1">OFFSET('VVP2'!$G$260,0,(COLUMN()-5)/6)</f>
        <v>23.741</v>
      </c>
      <c r="BZ47" s="566">
        <f ca="1">OFFSET(Sector1!$G$539,0,(COLUMN()-6)/6)</f>
        <v>1.823</v>
      </c>
      <c r="CA47" s="566">
        <f ca="1">OFFSET(Sector1!$G$540,0,(COLUMN()-7)/6)</f>
        <v>21.675000000000001</v>
      </c>
      <c r="CB47" s="566">
        <f ca="1">OFFSET(Sector1!$G$541,0,(COLUMN()-8)/6)</f>
        <v>0.24299999999999999</v>
      </c>
      <c r="CC47" s="565"/>
      <c r="CD47" s="602">
        <f ca="1">+BY47-BZ47-CA47-CB47</f>
        <v>-1.4432899320127035E-15</v>
      </c>
      <c r="CE47" s="1230">
        <f ca="1">OFFSET('VVP2'!$G$260,0,(COLUMN()-5)/6)</f>
        <v>6.7640000000000002</v>
      </c>
      <c r="CF47" s="566">
        <f ca="1">OFFSET(Sector1!$G$539,0,(COLUMN()-6)/6)</f>
        <v>2.879</v>
      </c>
      <c r="CG47" s="566">
        <f ca="1">OFFSET(Sector1!$G$540,0,(COLUMN()-7)/6)</f>
        <v>3.8130000000000002</v>
      </c>
      <c r="CH47" s="566">
        <f ca="1">OFFSET(Sector1!$G$541,0,(COLUMN()-8)/6)</f>
        <v>7.1999999999999995E-2</v>
      </c>
      <c r="CI47" s="565"/>
      <c r="CJ47" s="602">
        <f ca="1">+CE47-CF47-CG47-CH47</f>
        <v>0</v>
      </c>
      <c r="CK47" s="1230">
        <f ca="1">OFFSET('VVP2'!$G$260,0,(COLUMN()-5)/6)</f>
        <v>-45.81</v>
      </c>
      <c r="CL47" s="566">
        <f ca="1">OFFSET(Sector1!$G$539,0,(COLUMN()-6)/6)</f>
        <v>2.8290000000000002</v>
      </c>
      <c r="CM47" s="566">
        <f ca="1">OFFSET(Sector1!$G$540,0,(COLUMN()-7)/6)</f>
        <v>-48.816000000000003</v>
      </c>
      <c r="CN47" s="566">
        <f ca="1">OFFSET(Sector1!$G$541,0,(COLUMN()-8)/6)</f>
        <v>0.17699999999999999</v>
      </c>
      <c r="CO47" s="565"/>
      <c r="CP47" s="602">
        <f ca="1">+CK47-CL47-CM47-CN47</f>
        <v>-3.8857805861880479E-16</v>
      </c>
      <c r="CQ47" s="1230">
        <f ca="1">OFFSET('VVP2'!$G$260,0,(COLUMN()-5)/6)</f>
        <v>23.21</v>
      </c>
      <c r="CR47" s="566">
        <f ca="1">OFFSET(Sector1!$G$539,0,(COLUMN()-6)/6)</f>
        <v>3.2829999999999999</v>
      </c>
      <c r="CS47" s="566">
        <f ca="1">OFFSET(Sector1!$G$540,0,(COLUMN()-7)/6)</f>
        <v>19.766999999999999</v>
      </c>
      <c r="CT47" s="566">
        <f ca="1">OFFSET(Sector1!$G$541,0,(COLUMN()-8)/6)</f>
        <v>0.16</v>
      </c>
      <c r="CU47" s="565"/>
      <c r="CV47" s="602">
        <f ca="1">+CQ47-CR47-CS47-CT47</f>
        <v>0</v>
      </c>
      <c r="CW47" s="1230">
        <f ca="1">OFFSET('VVP2'!$G$260,0,(COLUMN()-5)/6)</f>
        <v>41.113999999999997</v>
      </c>
      <c r="CX47" s="566">
        <f ca="1">OFFSET(Sector1!$G$539,0,(COLUMN()-6)/6)</f>
        <v>4.3810000000000002</v>
      </c>
      <c r="CY47" s="566">
        <f ca="1">OFFSET(Sector1!$G$540,0,(COLUMN()-7)/6)</f>
        <v>36.887999999999998</v>
      </c>
      <c r="CZ47" s="566">
        <f ca="1">OFFSET(Sector1!$G$541,0,(COLUMN()-8)/6)</f>
        <v>-0.155</v>
      </c>
      <c r="DA47" s="565"/>
      <c r="DB47" s="602">
        <f ca="1">+CW47-CX47-CY47-CZ47</f>
        <v>-1.1379786002407855E-15</v>
      </c>
      <c r="DC47" s="1230">
        <f ca="1">OFFSET('VVP2'!$G$260,0,(COLUMN()-5)/6)</f>
        <v>-1.026</v>
      </c>
      <c r="DD47" s="566">
        <f ca="1">OFFSET(Sector1!$G$539,0,(COLUMN()-6)/6)</f>
        <v>4.0060000000000002</v>
      </c>
      <c r="DE47" s="566">
        <f ca="1">OFFSET(Sector1!$G$540,0,(COLUMN()-7)/6)</f>
        <v>-5.3849999999999998</v>
      </c>
      <c r="DF47" s="566">
        <f ca="1">OFFSET(Sector1!$G$541,0,(COLUMN()-8)/6)</f>
        <v>0.35299999999999998</v>
      </c>
      <c r="DG47" s="565"/>
      <c r="DH47" s="602">
        <f ca="1">+DC47-DD47-DE47-DF47</f>
        <v>0</v>
      </c>
      <c r="DI47" s="1230">
        <f ca="1">OFFSET('VVP2'!$G$260,0,(COLUMN()-5)/6)</f>
        <v>5.8869999999999996</v>
      </c>
      <c r="DJ47" s="566">
        <f ca="1">OFFSET(Sector1!$G$539,0,(COLUMN()-6)/6)</f>
        <v>4.2119999999999997</v>
      </c>
      <c r="DK47" s="566">
        <f ca="1">OFFSET(Sector1!$G$540,0,(COLUMN()-7)/6)</f>
        <v>1.492</v>
      </c>
      <c r="DL47" s="566">
        <f ca="1">OFFSET(Sector1!$G$541,0,(COLUMN()-8)/6)</f>
        <v>0.183</v>
      </c>
      <c r="DM47" s="565"/>
      <c r="DN47" s="602">
        <f ca="1">+DI47-DJ47-DK47-DL47</f>
        <v>0</v>
      </c>
      <c r="DO47" s="1230">
        <f ca="1">OFFSET('VVP2'!$G$260,0,(COLUMN()-5)/6)</f>
        <v>11.808999999999999</v>
      </c>
      <c r="DP47" s="566">
        <f ca="1">OFFSET(Sector1!$G$539,0,(COLUMN()-6)/6)</f>
        <v>4.0620000000000003</v>
      </c>
      <c r="DQ47" s="566">
        <f ca="1">OFFSET(Sector1!$G$540,0,(COLUMN()-7)/6)</f>
        <v>6.6289999999999996</v>
      </c>
      <c r="DR47" s="566">
        <f ca="1">OFFSET(Sector1!$G$541,0,(COLUMN()-8)/6)</f>
        <v>1.1180000000000001</v>
      </c>
      <c r="DS47" s="565"/>
      <c r="DT47" s="602">
        <f ca="1">+DO47-DP47-DQ47-DR47</f>
        <v>0</v>
      </c>
      <c r="DU47" s="1230">
        <f ca="1">OFFSET('VVP2'!$G$260,0,(COLUMN()-5)/6)</f>
        <v>30.216000000000001</v>
      </c>
      <c r="DV47" s="566">
        <f ca="1">OFFSET(Sector1!$G$539,0,(COLUMN()-6)/6)</f>
        <v>4.7110000000000003</v>
      </c>
      <c r="DW47" s="566">
        <f ca="1">OFFSET(Sector1!$G$540,0,(COLUMN()-7)/6)</f>
        <v>21.728000000000002</v>
      </c>
      <c r="DX47" s="566">
        <f ca="1">OFFSET(Sector1!$G$541,0,(COLUMN()-8)/6)</f>
        <v>3.7770000000000001</v>
      </c>
      <c r="DY47" s="565"/>
      <c r="DZ47" s="602">
        <f ca="1">+DU47-DV47-DW47-DX47</f>
        <v>0</v>
      </c>
      <c r="EA47" s="1230">
        <f ca="1">OFFSET('VVP2'!$G$260,0,(COLUMN()-5)/6)</f>
        <v>25.434999999999999</v>
      </c>
      <c r="EB47" s="566">
        <f ca="1">OFFSET(Sector1!$G$539,0,(COLUMN()-6)/6)</f>
        <v>4.944</v>
      </c>
      <c r="EC47" s="566">
        <f ca="1">OFFSET(Sector1!$G$540,0,(COLUMN()-7)/6)</f>
        <v>19.678000000000001</v>
      </c>
      <c r="ED47" s="566">
        <f ca="1">OFFSET(Sector1!$G$541,0,(COLUMN()-8)/6)</f>
        <v>0.81299999999999994</v>
      </c>
      <c r="EE47" s="565"/>
      <c r="EF47" s="602">
        <f ca="1">+EA47-EB47-EC47-ED47</f>
        <v>-1.1102230246251565E-15</v>
      </c>
      <c r="EG47" s="1230">
        <f ca="1">OFFSET('VVP2'!$G$260,0,(COLUMN()-5)/6)</f>
        <v>30.757000000000001</v>
      </c>
      <c r="EH47" s="566">
        <f ca="1">OFFSET(Sector1!$G$539,0,(COLUMN()-6)/6)</f>
        <v>4.0739999999999998</v>
      </c>
      <c r="EI47" s="566">
        <f ca="1">OFFSET(Sector1!$G$540,0,(COLUMN()-7)/6)</f>
        <v>26.015999999999998</v>
      </c>
      <c r="EJ47" s="566">
        <f ca="1">OFFSET(Sector1!$G$541,0,(COLUMN()-8)/6)</f>
        <v>0.66700000000000004</v>
      </c>
      <c r="EK47" s="565"/>
      <c r="EL47" s="602">
        <f ca="1">+EG47-EH47-EI47-EJ47</f>
        <v>1.5543122344752192E-15</v>
      </c>
      <c r="EM47" s="1230">
        <f ca="1">OFFSET('VVP2'!$G$260,0,(COLUMN()-5)/6)</f>
        <v>38.790728399999999</v>
      </c>
      <c r="EN47" s="566">
        <f ca="1">OFFSET(Sector1!$G$539,0,(COLUMN()-6)/6)</f>
        <v>4.1554799999999998</v>
      </c>
      <c r="EO47" s="566">
        <f ca="1">OFFSET(Sector1!$G$540,0,(COLUMN()-7)/6)</f>
        <v>34.635248400000002</v>
      </c>
      <c r="EP47" s="566">
        <f ca="1">OFFSET(Sector1!$G$541,0,(COLUMN()-8)/6)</f>
        <v>0</v>
      </c>
      <c r="EQ47" s="565"/>
      <c r="ER47" s="602">
        <f ca="1">+EM47-EN47-EO47-EP47</f>
        <v>0</v>
      </c>
      <c r="ES47" s="1230">
        <f ca="1">OFFSET('VVP2'!$G$260,0,(COLUMN()-5)/6)</f>
        <v>33.19439001373199</v>
      </c>
      <c r="ET47" s="566">
        <f ca="1">OFFSET(Sector1!$G$539,0,(COLUMN()-6)/6)</f>
        <v>4.2385896000000001</v>
      </c>
      <c r="EU47" s="566">
        <f ca="1">OFFSET(Sector1!$G$540,0,(COLUMN()-7)/6)</f>
        <v>28.955800413731989</v>
      </c>
      <c r="EV47" s="566">
        <f ca="1">OFFSET(Sector1!$G$541,0,(COLUMN()-8)/6)</f>
        <v>0</v>
      </c>
      <c r="EW47" s="565"/>
      <c r="EX47" s="602">
        <f ca="1">+ES47-ET47-EU47-EV47</f>
        <v>0</v>
      </c>
      <c r="EY47" s="1230">
        <f ca="1">OFFSET('VVP2'!$G$260,0,(COLUMN()-5)/6)</f>
        <v>33.19439001373199</v>
      </c>
      <c r="EZ47" s="566">
        <f ca="1">OFFSET(Sector1!$G$539,0,(COLUMN()-6)/6)</f>
        <v>4.3233613919999998</v>
      </c>
      <c r="FA47" s="566">
        <f ca="1">OFFSET(Sector1!$G$540,0,(COLUMN()-7)/6)</f>
        <v>28.871028621731991</v>
      </c>
      <c r="FB47" s="566">
        <f ca="1">OFFSET(Sector1!$G$541,0,(COLUMN()-8)/6)</f>
        <v>0</v>
      </c>
      <c r="FC47" s="565"/>
      <c r="FD47" s="602">
        <f ca="1">+EY47-EZ47-FA47-FB47</f>
        <v>0</v>
      </c>
    </row>
    <row r="48" spans="1:160" s="564" customFormat="1" ht="13.15">
      <c r="A48" s="559"/>
      <c r="B48" s="603" t="s">
        <v>1793</v>
      </c>
      <c r="C48" s="3870" t="s">
        <v>235</v>
      </c>
      <c r="D48" s="3870"/>
      <c r="E48" s="604">
        <f ca="1">+E39+E40-E45-E46-E47</f>
        <v>59.362000000000208</v>
      </c>
      <c r="F48" s="604">
        <f ca="1">+F39+F40-F45-F46-F47</f>
        <v>67.04900000000022</v>
      </c>
      <c r="G48" s="604">
        <f ca="1">+G39+G40-G45-G46-G47</f>
        <v>124.6969999999998</v>
      </c>
      <c r="H48" s="604">
        <f ca="1">+H39+H40-H45-H46-H47</f>
        <v>-132.38399999999984</v>
      </c>
      <c r="I48" s="604">
        <f ca="1">-OFFSET('VVP2'!$G$331,0,(COLUMN()-9)/6)-I11-I17+I16+I18-I30+I28+I24+I32+I35+I40-I45</f>
        <v>-121.21599999999997</v>
      </c>
      <c r="J48" s="605">
        <f ca="1">+E48+I48</f>
        <v>-61.853999999999758</v>
      </c>
      <c r="K48" s="604">
        <f ca="1">+K39+K40-K45-K46-K47</f>
        <v>56.485000000000383</v>
      </c>
      <c r="L48" s="604">
        <f ca="1">+L39+L40-L45-L46-L47</f>
        <v>45.310000000000123</v>
      </c>
      <c r="M48" s="604">
        <f ca="1">+M39+M40-M45-M46-M47</f>
        <v>71.283000000000129</v>
      </c>
      <c r="N48" s="604">
        <f ca="1">+N39+N40-N45-N46-N47</f>
        <v>-60.107999999999876</v>
      </c>
      <c r="O48" s="604">
        <f ca="1">-OFFSET('VVP2'!$G$331,0,(COLUMN()-9)/6)-O11-O17+O16+O18-O30+O28+O24+O32+O35+O40-O45</f>
        <v>-117.92800000000003</v>
      </c>
      <c r="P48" s="605">
        <f ca="1">+K48+O48</f>
        <v>-61.442999999999643</v>
      </c>
      <c r="Q48" s="604">
        <f ca="1">+Q39+Q40-Q45-Q46-Q47</f>
        <v>76.661999999999935</v>
      </c>
      <c r="R48" s="604">
        <f ca="1">+R39+R40-R45-R46-R47</f>
        <v>14.824000000000019</v>
      </c>
      <c r="S48" s="604">
        <f ca="1">+S39+S40-S45-S46-S47</f>
        <v>93.631999999999934</v>
      </c>
      <c r="T48" s="604">
        <f ca="1">+T39+T40-T45-T46-T47</f>
        <v>-31.794000000000004</v>
      </c>
      <c r="U48" s="604">
        <f ca="1">-OFFSET('VVP2'!$G$331,0,(COLUMN()-9)/6)-U11-U17+U16+U18-U30+U28+U24+U32+U35+U40-U45</f>
        <v>-133.92199999999997</v>
      </c>
      <c r="V48" s="605">
        <f ca="1">+Q48+U48</f>
        <v>-57.260000000000034</v>
      </c>
      <c r="W48" s="604">
        <f ca="1">+W39+W40-W45-W46-W47</f>
        <v>89.97799999999998</v>
      </c>
      <c r="X48" s="604">
        <f ca="1">+X39+X40-X45-X46-X47</f>
        <v>6.2429999999999772</v>
      </c>
      <c r="Y48" s="604">
        <f ca="1">+Y39+Y40-Y45-Y46-Y47</f>
        <v>65.943000000000225</v>
      </c>
      <c r="Z48" s="604">
        <f ca="1">+Z39+Z40-Z45-Z46-Z47</f>
        <v>17.791999999999938</v>
      </c>
      <c r="AA48" s="604">
        <f ca="1">-OFFSET('VVP2'!$G$331,0,(COLUMN()-9)/6)-AA11-AA17+AA16+AA18-AA30+AA28+AA24+AA32+AA35+AA40-AA45</f>
        <v>-127.44499999999996</v>
      </c>
      <c r="AB48" s="605">
        <f ca="1">+W48+AA48</f>
        <v>-37.466999999999985</v>
      </c>
      <c r="AC48" s="604">
        <f ca="1">+AC39+AC40-AC45-AC46-AC47</f>
        <v>2.2449999999995693</v>
      </c>
      <c r="AD48" s="604">
        <f ca="1">+AD39+AD40-AD45-AD46-AD47</f>
        <v>-64.851000000000084</v>
      </c>
      <c r="AE48" s="604">
        <f ca="1">+AE39+AE40-AE45-AE46-AE47</f>
        <v>50.122999999999948</v>
      </c>
      <c r="AF48" s="604">
        <f ca="1">+AF39+AF40-AF45-AF46-AF47</f>
        <v>16.972999999999864</v>
      </c>
      <c r="AG48" s="604">
        <f ca="1">-OFFSET('VVP2'!$G$331,0,(COLUMN()-9)/6)-AG11-AG17+AG16+AG18-AG30+AG28+AG24+AG32+AG35+AG40-AG45</f>
        <v>-94.050000000000026</v>
      </c>
      <c r="AH48" s="605">
        <f ca="1">+AC48+AG48</f>
        <v>-91.805000000000462</v>
      </c>
      <c r="AI48" s="604">
        <f ca="1">+AI39+AI40-AI45-AI46-AI47</f>
        <v>100.33399999999973</v>
      </c>
      <c r="AJ48" s="604">
        <f ca="1">+AJ39+AJ40-AJ45-AJ46-AJ47</f>
        <v>28.960999999999864</v>
      </c>
      <c r="AK48" s="604">
        <f ca="1">+AK39+AK40-AK45-AK46-AK47</f>
        <v>-5.3929999999999794</v>
      </c>
      <c r="AL48" s="604">
        <f ca="1">+AL39+AL40-AL45-AL46-AL47</f>
        <v>76.76599999999992</v>
      </c>
      <c r="AM48" s="604">
        <f ca="1">-OFFSET('VVP2'!$G$331,0,(COLUMN()-9)/6)-AM11-AM17+AM16+AM18-AM30+AM28+AM24+AM32+AM35+AM40-AM45</f>
        <v>-118.34100000000004</v>
      </c>
      <c r="AN48" s="605">
        <f ca="1">+AI48+AM48</f>
        <v>-18.007000000000303</v>
      </c>
      <c r="AO48" s="604">
        <f ca="1">+AO39+AO40-AO45-AO46-AO47</f>
        <v>114.0120000000002</v>
      </c>
      <c r="AP48" s="604">
        <f ca="1">+AP39+AP40-AP45-AP46-AP47</f>
        <v>83.457000000000079</v>
      </c>
      <c r="AQ48" s="604">
        <f ca="1">+AQ39+AQ40-AQ45-AQ46-AQ47</f>
        <v>-4.725999999999841</v>
      </c>
      <c r="AR48" s="604">
        <f ca="1">+AR39+AR40-AR45-AR46-AR47</f>
        <v>35.280999999999999</v>
      </c>
      <c r="AS48" s="604">
        <f ca="1">-OFFSET('VVP2'!$G$331,0,(COLUMN()-9)/6)-AS11-AS17+AS16+AS18-AS30+AS28+AS24+AS32+AS35+AS40-AS45</f>
        <v>-137.904</v>
      </c>
      <c r="AT48" s="605">
        <f ca="1">+AO48+AS48</f>
        <v>-23.891999999999797</v>
      </c>
      <c r="AU48" s="604">
        <f ca="1">+AU39+AU40-AU45-AU46-AU47</f>
        <v>127.90999999999983</v>
      </c>
      <c r="AV48" s="604">
        <f ca="1">+AV39+AV40-AV45-AV46-AV47</f>
        <v>78.392999999999816</v>
      </c>
      <c r="AW48" s="604">
        <f ca="1">+AW39+AW40-AW45-AW46-AW47</f>
        <v>86.850999999999914</v>
      </c>
      <c r="AX48" s="604">
        <f ca="1">+AX39+AX40-AX45-AX46-AX47</f>
        <v>-37.333999999999996</v>
      </c>
      <c r="AY48" s="604">
        <f ca="1">-OFFSET('VVP2'!$G$331,0,(COLUMN()-9)/6)-AY11-AY17+AY16+AY18-AY30+AY28+AY24+AY32+AY35+AY40-AY45</f>
        <v>-144.191</v>
      </c>
      <c r="AZ48" s="605">
        <f ca="1">+AU48+AY48</f>
        <v>-16.281000000000176</v>
      </c>
      <c r="BA48" s="604">
        <f ca="1">+BA39+BA40-BA45-BA46-BA47</f>
        <v>167.75999999999976</v>
      </c>
      <c r="BB48" s="604">
        <f ca="1">+BB39+BB40-BB45-BB46-BB47</f>
        <v>63.164999999999793</v>
      </c>
      <c r="BC48" s="604">
        <f ca="1">+BC39+BC40-BC45-BC46-BC47</f>
        <v>138.58099999999999</v>
      </c>
      <c r="BD48" s="604">
        <f ca="1">+BD39+BD40-BD45-BD46-BD47</f>
        <v>-33.985999999999954</v>
      </c>
      <c r="BE48" s="604">
        <f ca="1">-OFFSET('VVP2'!$G$331,0,(COLUMN()-9)/6)-BE11-BE17+BE16+BE18-BE30+BE28+BE24+BE32+BE35+BE40-BE45</f>
        <v>-112.54100000000012</v>
      </c>
      <c r="BF48" s="605">
        <f ca="1">+BA48+BE48</f>
        <v>55.218999999999639</v>
      </c>
      <c r="BG48" s="604">
        <f ca="1">+BG39+BG40-BG45-BG46-BG47</f>
        <v>173.93600000000021</v>
      </c>
      <c r="BH48" s="604">
        <f ca="1">+BH39+BH40-BH45-BH46-BH47</f>
        <v>38.710999999999991</v>
      </c>
      <c r="BI48" s="604">
        <f ca="1">+BI39+BI40-BI45-BI46-BI47</f>
        <v>125.24400000000021</v>
      </c>
      <c r="BJ48" s="604">
        <f ca="1">+BJ39+BJ40-BJ45-BJ46-BJ47</f>
        <v>9.9809999999999235</v>
      </c>
      <c r="BK48" s="604">
        <f ca="1">-OFFSET('VVP2'!$G$331,0,(COLUMN()-9)/6)-BK11-BK17+BK16+BK18-BK30+BK28+BK24+BK32+BK35+BK40-BK45</f>
        <v>-178.78700000000006</v>
      </c>
      <c r="BL48" s="605">
        <f ca="1">+BG48+BK48</f>
        <v>-4.850999999999857</v>
      </c>
      <c r="BM48" s="604">
        <f ca="1">+BM39+BM40-BM45-BM46-BM47</f>
        <v>192.43199999999982</v>
      </c>
      <c r="BN48" s="604">
        <f ca="1">+BN39+BN40-BN45-BN46-BN47</f>
        <v>33.657000000000025</v>
      </c>
      <c r="BO48" s="604">
        <f ca="1">+BO39+BO40-BO45-BO46-BO47</f>
        <v>105.44199999999991</v>
      </c>
      <c r="BP48" s="604">
        <f ca="1">+BP39+BP40-BP45-BP46-BP47</f>
        <v>53.33299999999997</v>
      </c>
      <c r="BQ48" s="604">
        <f ca="1">-OFFSET('VVP2'!$G$331,0,(COLUMN()-9)/6)-BQ11-BQ17+BQ16+BQ18-BQ30+BQ28+BQ24+BQ32+BQ35+BQ40-BQ45</f>
        <v>-153.58099999999996</v>
      </c>
      <c r="BR48" s="605">
        <f ca="1">+BM48+BQ48</f>
        <v>38.850999999999857</v>
      </c>
      <c r="BS48" s="604">
        <f ca="1">+BS39+BS40-BS45-BS46-BS47</f>
        <v>234.79100000000014</v>
      </c>
      <c r="BT48" s="604">
        <f ca="1">+BT39+BT40-BT45-BT46-BT47</f>
        <v>53.409000000000098</v>
      </c>
      <c r="BU48" s="604">
        <f ca="1">+BU39+BU40-BU45-BU46-BU47</f>
        <v>112.83600000000004</v>
      </c>
      <c r="BV48" s="604">
        <f ca="1">+BV39+BV40-BV45-BV46-BV47</f>
        <v>68.546000000000035</v>
      </c>
      <c r="BW48" s="604">
        <f ca="1">-OFFSET('VVP2'!$G$331,0,(COLUMN()-9)/6)-BW11-BW17+BW16+BW18-BW30+BW28+BW24+BW32+BW35+BW40-BW45</f>
        <v>-118.4199999999999</v>
      </c>
      <c r="BX48" s="605">
        <f ca="1">+BS48+BW48</f>
        <v>116.37100000000024</v>
      </c>
      <c r="BY48" s="604">
        <f ca="1">+BY39+BY40-BY45-BY46-BY47</f>
        <v>264.33099999999968</v>
      </c>
      <c r="BZ48" s="604">
        <f ca="1">+BZ39+BZ40-BZ45-BZ46-BZ47</f>
        <v>90.942999999999927</v>
      </c>
      <c r="CA48" s="604">
        <f ca="1">+CA39+CA40-CA45-CA46-CA47</f>
        <v>62.673000000000187</v>
      </c>
      <c r="CB48" s="604">
        <f ca="1">+CB39+CB40-CB45-CB46-CB47</f>
        <v>110.71499999999958</v>
      </c>
      <c r="CC48" s="604">
        <f ca="1">-OFFSET('VVP2'!$G$331,0,(COLUMN()-9)/6)-CC11-CC17+CC16+CC18-CC30+CC28+CC24+CC32+CC35+CC40-CC45</f>
        <v>-116.44200000000015</v>
      </c>
      <c r="CD48" s="605">
        <f ca="1">+BY48+CC48</f>
        <v>147.88899999999953</v>
      </c>
      <c r="CE48" s="604">
        <f ca="1">+CE39+CE40-CE45-CE46-CE47</f>
        <v>261.52000000000044</v>
      </c>
      <c r="CF48" s="604">
        <f ca="1">+CF39+CF40-CF45-CF46-CF47</f>
        <v>144.37599999999955</v>
      </c>
      <c r="CG48" s="604">
        <f ca="1">+CG39+CG40-CG45-CG46-CG47</f>
        <v>52.562000000000452</v>
      </c>
      <c r="CH48" s="604">
        <f ca="1">+CH39+CH40-CH45-CH46-CH47</f>
        <v>64.582000000000363</v>
      </c>
      <c r="CI48" s="604">
        <f ca="1">-OFFSET('VVP2'!$G$331,0,(COLUMN()-9)/6)-CI11-CI17+CI16+CI18-CI30+CI28+CI24+CI32+CI35+CI40-CI45</f>
        <v>-76.289000000000115</v>
      </c>
      <c r="CJ48" s="605">
        <f ca="1">+CE48+CI48</f>
        <v>185.23100000000034</v>
      </c>
      <c r="CK48" s="604">
        <f ca="1">+CK39+CK40-CK45-CK46-CK47</f>
        <v>205.64899999999994</v>
      </c>
      <c r="CL48" s="604">
        <f ca="1">+CL39+CL40-CL45-CL46-CL47</f>
        <v>152.66300000000012</v>
      </c>
      <c r="CM48" s="604">
        <f ca="1">+CM39+CM40-CM45-CM46-CM47</f>
        <v>76.536999999999779</v>
      </c>
      <c r="CN48" s="604">
        <f ca="1">+CN39+CN40-CN45-CN46-CN47</f>
        <v>-23.550999999999981</v>
      </c>
      <c r="CO48" s="604">
        <f ca="1">-OFFSET('VVP2'!$G$331,0,(COLUMN()-9)/6)-CO11-CO17+CO16+CO18-CO30+CO28+CO24+CO32+CO35+CO40-CO45</f>
        <v>-109.38700000000001</v>
      </c>
      <c r="CP48" s="605">
        <f ca="1">+CK48+CO48</f>
        <v>96.261999999999929</v>
      </c>
      <c r="CQ48" s="604">
        <f ca="1">+CQ39+CQ40-CQ45-CQ46-CQ47</f>
        <v>220.30599999999984</v>
      </c>
      <c r="CR48" s="604">
        <f ca="1">+CR39+CR40-CR45-CR46-CR47</f>
        <v>165.91400000000021</v>
      </c>
      <c r="CS48" s="604">
        <f ca="1">+CS39+CS40-CS45-CS46-CS47</f>
        <v>55.521999999999991</v>
      </c>
      <c r="CT48" s="604">
        <f ca="1">+CT39+CT40-CT45-CT46-CT47</f>
        <v>-1.1300000000003683</v>
      </c>
      <c r="CU48" s="604">
        <f ca="1">-OFFSET('VVP2'!$G$331,0,(COLUMN()-9)/6)-CU11-CU17+CU16+CU18-CU30+CU28+CU24+CU32+CU35+CU40-CU45</f>
        <v>-79.910999999999859</v>
      </c>
      <c r="CV48" s="605">
        <f ca="1">+CQ48+CU48</f>
        <v>140.39499999999998</v>
      </c>
      <c r="CW48" s="604">
        <f ca="1">+CW39+CW40-CW45-CW46-CW47</f>
        <v>175.47100000000026</v>
      </c>
      <c r="CX48" s="604">
        <f ca="1">+CX39+CX40-CX45-CX46-CX47</f>
        <v>192.08900000000017</v>
      </c>
      <c r="CY48" s="604">
        <f ca="1">+CY39+CY40-CY45-CY46-CY47</f>
        <v>-9.2059999999996407</v>
      </c>
      <c r="CZ48" s="604">
        <f ca="1">+CZ39+CZ40-CZ45-CZ46-CZ47</f>
        <v>-7.4120000000000354</v>
      </c>
      <c r="DA48" s="604">
        <f ca="1">-OFFSET('VVP2'!$G$331,0,(COLUMN()-9)/6)-DA11-DA17+DA16+DA18-DA30+DA28+DA24+DA32+DA35+DA40-DA45</f>
        <v>-78.500000000000099</v>
      </c>
      <c r="DB48" s="605">
        <f ca="1">+CW48+DA48</f>
        <v>96.97100000000016</v>
      </c>
      <c r="DC48" s="604">
        <f ca="1">+DC39+DC40-DC45-DC46-DC47</f>
        <v>194.28700000000043</v>
      </c>
      <c r="DD48" s="604">
        <f ca="1">+DD39+DD40-DD45-DD46-DD47</f>
        <v>253.03200000000029</v>
      </c>
      <c r="DE48" s="604">
        <f ca="1">+DE39+DE40-DE45-DE46-DE47</f>
        <v>-23.155999999999715</v>
      </c>
      <c r="DF48" s="604">
        <f ca="1">+DF39+DF40-DF45-DF46-DF47</f>
        <v>-35.589000000000247</v>
      </c>
      <c r="DG48" s="604">
        <f ca="1">-OFFSET('VVP2'!$G$331,0,(COLUMN()-9)/6)-DG11-DG17+DG16+DG18-DG30+DG28+DG24+DG32+DG35+DG40-DG45</f>
        <v>-76.326999999999899</v>
      </c>
      <c r="DH48" s="605">
        <f ca="1">+DC48+DG48</f>
        <v>117.96000000000053</v>
      </c>
      <c r="DI48" s="604">
        <f ca="1">+DI39+DI40-DI45-DI46-DI47</f>
        <v>179.91000000000059</v>
      </c>
      <c r="DJ48" s="604">
        <f ca="1">+DJ39+DJ40-DJ45-DJ46-DJ47</f>
        <v>271.82600000000093</v>
      </c>
      <c r="DK48" s="604">
        <f ca="1">+DK39+DK40-DK45-DK46-DK47</f>
        <v>-40.322999999999901</v>
      </c>
      <c r="DL48" s="604">
        <f ca="1">+DL39+DL40-DL45-DL46-DL47</f>
        <v>-51.593000000000238</v>
      </c>
      <c r="DM48" s="604">
        <f ca="1">-OFFSET('VVP2'!$G$331,0,(COLUMN()-9)/6)-DM11-DM17+DM16+DM18-DM30+DM28+DM24+DM32+DM35+DM40-DM45</f>
        <v>-57.961000000000134</v>
      </c>
      <c r="DN48" s="605">
        <f ca="1">+DI48+DM48</f>
        <v>121.94900000000047</v>
      </c>
      <c r="DO48" s="604">
        <f ca="1">+DO39+DO40-DO45-DO46-DO47</f>
        <v>177.84599999999975</v>
      </c>
      <c r="DP48" s="604">
        <f ca="1">+DP39+DP40-DP45-DP46-DP47</f>
        <v>315.24399999999957</v>
      </c>
      <c r="DQ48" s="604">
        <f ca="1">+DQ39+DQ40-DQ45-DQ46-DQ47</f>
        <v>-76.221999999999966</v>
      </c>
      <c r="DR48" s="604">
        <f ca="1">+DR39+DR40-DR45-DR46-DR47</f>
        <v>-61.175999999999938</v>
      </c>
      <c r="DS48" s="604">
        <f ca="1">-OFFSET('VVP2'!$G$331,0,(COLUMN()-9)/6)-DS11-DS17+DS16+DS18-DS30+DS28+DS24+DS32+DS35+DS40-DS45</f>
        <v>-61.278999999999975</v>
      </c>
      <c r="DT48" s="605">
        <f ca="1">+DO48+DS48</f>
        <v>116.56699999999978</v>
      </c>
      <c r="DU48" s="604">
        <f ca="1">+DU39+DU40-DU45-DU46-DU47</f>
        <v>181.53000000000054</v>
      </c>
      <c r="DV48" s="604">
        <f ca="1">+DV39+DV40-DV45-DV46-DV47</f>
        <v>265.91600000000039</v>
      </c>
      <c r="DW48" s="604">
        <f ca="1">+DW39+DW40-DW45-DW46-DW47</f>
        <v>-91.083999999999548</v>
      </c>
      <c r="DX48" s="604">
        <f ca="1">+DX39+DX40-DX45-DX46-DX47</f>
        <v>6.6979999999998521</v>
      </c>
      <c r="DY48" s="604">
        <f ca="1">-OFFSET('VVP2'!$G$331,0,(COLUMN()-9)/6)-DY11-DY17+DY16+DY18-DY30+DY28+DY24+DY32+DY35+DY40-DY45</f>
        <v>-109.80099999999992</v>
      </c>
      <c r="DZ48" s="605">
        <f ca="1">+DU48+DY48</f>
        <v>71.729000000000624</v>
      </c>
      <c r="EA48" s="604">
        <f ca="1">+EA39+EA40-EA45-EA46-EA47</f>
        <v>183.20199999999971</v>
      </c>
      <c r="EB48" s="604">
        <f ca="1">+EB39+EB40-EB45-EB46-EB47</f>
        <v>290.15199999999953</v>
      </c>
      <c r="EC48" s="604">
        <f ca="1">+EC39+EC40-EC45-EC46-EC47</f>
        <v>-155.70199999999988</v>
      </c>
      <c r="ED48" s="604">
        <f ca="1">+ED39+ED40-ED45-ED46-ED47</f>
        <v>48.75199999999991</v>
      </c>
      <c r="EE48" s="604">
        <f ca="1">-OFFSET('VVP2'!$G$331,0,(COLUMN()-9)/6)-EE11-EE17+EE16+EE18-EE30+EE28+EE24+EE32+EE35+EE40-EE45</f>
        <v>-110.66500000000008</v>
      </c>
      <c r="EF48" s="605">
        <f ca="1">+EA48+EE48</f>
        <v>72.536999999999637</v>
      </c>
      <c r="EG48" s="604">
        <f ca="1">+EG39+EG40-EG45-EG46-EG47</f>
        <v>163.55099999999999</v>
      </c>
      <c r="EH48" s="604">
        <f ca="1">+EH39+EH40-EH45-EH46-EH47</f>
        <v>267.9350000000004</v>
      </c>
      <c r="EI48" s="604">
        <f ca="1">+EI39+EI40-EI45-EI46-EI47</f>
        <v>-175.46299999999988</v>
      </c>
      <c r="EJ48" s="604">
        <f ca="1">+EJ39+EJ40-EJ45-EJ46-EJ47</f>
        <v>71.078999999999439</v>
      </c>
      <c r="EK48" s="604">
        <f ca="1">-OFFSET('VVP2'!$G$331,0,(COLUMN()-9)/6)-EK11-EK17+EK16+EK18-EK30+EK28+EK24+EK32+EK35+EK40-EK45</f>
        <v>-51.610999999999933</v>
      </c>
      <c r="EL48" s="605">
        <f ca="1">+EG48+EK48</f>
        <v>111.94000000000005</v>
      </c>
      <c r="EM48" s="604">
        <f ca="1">+EM39+EM40-EM45-EM46-EM47</f>
        <v>146.22533668523332</v>
      </c>
      <c r="EN48" s="604">
        <f ca="1">+EN39+EN40-EN45-EN46-EN47</f>
        <v>286.2988212354835</v>
      </c>
      <c r="EO48" s="604">
        <f ca="1">+EO39+EO40-EO45-EO46-EO47</f>
        <v>-191.72712986469546</v>
      </c>
      <c r="EP48" s="604">
        <f ca="1">+EP39+EP40-EP45-EP46-EP47</f>
        <v>51.653645314444844</v>
      </c>
      <c r="EQ48" s="604">
        <f ca="1">-OFFSET('VVP2'!$G$331,0,(COLUMN()-9)/6)-EQ11-EQ17+EQ16+EQ18-EQ30+EQ28+EQ24+EQ32+EQ35+EQ40-EQ45</f>
        <v>-33.869436685232706</v>
      </c>
      <c r="ER48" s="605">
        <f ca="1">+EM48+EQ48</f>
        <v>112.35590000000062</v>
      </c>
      <c r="ES48" s="604">
        <f ca="1">+ES39+ES40-ES45-ES46-ES47</f>
        <v>138.94550551442956</v>
      </c>
      <c r="ET48" s="604">
        <f ca="1">+ET39+ET40-ET45-ET46-ET47</f>
        <v>276.08931509300191</v>
      </c>
      <c r="EU48" s="604">
        <f ca="1">+EU39+EU40-EU45-EU46-EU47</f>
        <v>-184.82603674955959</v>
      </c>
      <c r="EV48" s="604">
        <f ca="1">+EV39+EV40-EV45-EV46-EV47</f>
        <v>47.682227170987062</v>
      </c>
      <c r="EW48" s="604">
        <f ca="1">-OFFSET('VVP2'!$G$331,0,(COLUMN()-9)/6)-EW11-EW17+EW16+EW18-EW30+EW28+EW24+EW32+EW35+EW40-EW45</f>
        <v>-25.462546514429487</v>
      </c>
      <c r="EX48" s="605">
        <f ca="1">+ES48+EW48</f>
        <v>113.48295900000006</v>
      </c>
      <c r="EY48" s="604">
        <f ca="1">+EY39+EY40-EY45-EY46-EY47</f>
        <v>135.65440020459585</v>
      </c>
      <c r="EZ48" s="604">
        <f ca="1">+EZ39+EZ40-EZ45-EZ46-EZ47</f>
        <v>269.80300212158005</v>
      </c>
      <c r="FA48" s="604">
        <f ca="1">+FA39+FA40-FA45-FA46-FA47</f>
        <v>-177.48162221338535</v>
      </c>
      <c r="FB48" s="604">
        <f ca="1">+FB39+FB40-FB45-FB46-FB47</f>
        <v>43.33302029640106</v>
      </c>
      <c r="FC48" s="604">
        <f ca="1">-OFFSET('VVP2'!$G$331,0,(COLUMN()-9)/6)-FC11-FC17+FC16+FC18-FC30+FC28+FC24+FC32+FC35+FC40-FC45</f>
        <v>-21.033111614596837</v>
      </c>
      <c r="FD48" s="605">
        <f ca="1">+EY48+FC48</f>
        <v>114.62128858999901</v>
      </c>
    </row>
    <row r="49" spans="1:160" ht="13.15">
      <c r="A49" s="606"/>
      <c r="B49" s="607"/>
      <c r="C49" s="3858" t="s">
        <v>236</v>
      </c>
      <c r="D49" s="3859"/>
      <c r="E49" s="608"/>
      <c r="F49" s="609">
        <f ca="1">+F48/E5</f>
        <v>3.5557537780116028E-2</v>
      </c>
      <c r="G49" s="609">
        <f ca="1">+G48/E5</f>
        <v>6.6129521522574633E-2</v>
      </c>
      <c r="H49" s="609">
        <f ca="1">+H48/E5</f>
        <v>-7.020610421457231E-2</v>
      </c>
      <c r="I49" s="609">
        <f ca="1">+I48/E5</f>
        <v>-6.4283471782644472E-2</v>
      </c>
      <c r="J49" s="610"/>
      <c r="K49" s="608"/>
      <c r="L49" s="609">
        <f ca="1">+L48/K5</f>
        <v>2.3423550102410245E-2</v>
      </c>
      <c r="M49" s="609">
        <f ca="1">+M48/K5</f>
        <v>3.6850605207462105E-2</v>
      </c>
      <c r="N49" s="609">
        <f ca="1">+N48/K5</f>
        <v>-3.1073554393195063E-2</v>
      </c>
      <c r="O49" s="609">
        <f ca="1">+O48/K5</f>
        <v>-6.0964299635334993E-2</v>
      </c>
      <c r="P49" s="610"/>
      <c r="Q49" s="608"/>
      <c r="R49" s="609">
        <f ca="1">+R48/Q5</f>
        <v>7.3314348622982141E-3</v>
      </c>
      <c r="S49" s="609">
        <f ca="1">+S48/Q5</f>
        <v>4.6307130938120951E-2</v>
      </c>
      <c r="T49" s="609">
        <f ca="1">+T48/Q5</f>
        <v>-1.5724206692654421E-2</v>
      </c>
      <c r="U49" s="609">
        <f ca="1">+U48/Q5</f>
        <v>-6.6233163763403935E-2</v>
      </c>
      <c r="V49" s="610"/>
      <c r="W49" s="608"/>
      <c r="X49" s="609">
        <f ca="1">+X48/W5</f>
        <v>2.9387038070877117E-3</v>
      </c>
      <c r="Y49" s="609">
        <f ca="1">+Y48/W5</f>
        <v>3.1040676782121791E-2</v>
      </c>
      <c r="Z49" s="609">
        <f ca="1">+Z48/W5</f>
        <v>8.3750469543015498E-3</v>
      </c>
      <c r="AA49" s="609">
        <f ca="1">+AA48/W5</f>
        <v>-5.9990886864375252E-2</v>
      </c>
      <c r="AB49" s="610"/>
      <c r="AC49" s="608"/>
      <c r="AD49" s="609">
        <f ca="1">+AD48/AC5</f>
        <v>-2.8943935323687327E-2</v>
      </c>
      <c r="AE49" s="609">
        <f ca="1">+AE48/AC5</f>
        <v>2.2370616802041242E-2</v>
      </c>
      <c r="AF49" s="609">
        <f ca="1">+AF48/AC5</f>
        <v>7.5752943555063212E-3</v>
      </c>
      <c r="AG49" s="609">
        <f ca="1">+AG48/AC5</f>
        <v>-4.1975869565508479E-2</v>
      </c>
      <c r="AH49" s="610"/>
      <c r="AI49" s="608"/>
      <c r="AJ49" s="609">
        <f ca="1">+AJ48/AI5</f>
        <v>1.2149976548334286E-2</v>
      </c>
      <c r="AK49" s="609">
        <f ca="1">+AK48/AI5</f>
        <v>-2.2625193717470691E-3</v>
      </c>
      <c r="AL49" s="609">
        <f ca="1">+AL48/AI5</f>
        <v>3.2205555737351378E-2</v>
      </c>
      <c r="AM49" s="609">
        <f ca="1">+AM48/AI5</f>
        <v>-4.9647469863141294E-2</v>
      </c>
      <c r="AN49" s="610"/>
      <c r="AO49" s="608"/>
      <c r="AP49" s="609">
        <f ca="1">+AP48/AO5</f>
        <v>3.3626037303438182E-2</v>
      </c>
      <c r="AQ49" s="609">
        <f ca="1">+AQ48/AO5</f>
        <v>-1.904174033287122E-3</v>
      </c>
      <c r="AR49" s="609">
        <f ca="1">+AR48/AO5</f>
        <v>1.4215227267965555E-2</v>
      </c>
      <c r="AS49" s="609">
        <f ca="1">+AS48/AO5</f>
        <v>-5.5563524309444792E-2</v>
      </c>
      <c r="AT49" s="610"/>
      <c r="AU49" s="608"/>
      <c r="AV49" s="609">
        <f ca="1">+AV48/AU5</f>
        <v>3.0456196077715231E-2</v>
      </c>
      <c r="AW49" s="609">
        <f ca="1">+AW48/AU5</f>
        <v>3.3742184704573741E-2</v>
      </c>
      <c r="AX49" s="609">
        <f ca="1">+AX48/AU5</f>
        <v>-1.4504504539505097E-2</v>
      </c>
      <c r="AY49" s="609">
        <f ca="1">+AY48/AU5</f>
        <v>-5.6019151820211596E-2</v>
      </c>
      <c r="AZ49" s="610"/>
      <c r="BA49" s="608"/>
      <c r="BB49" s="609">
        <f ca="1">+BB48/BA5</f>
        <v>2.3561442714528792E-2</v>
      </c>
      <c r="BC49" s="609">
        <f ca="1">+BC48/BA5</f>
        <v>5.1692682542897564E-2</v>
      </c>
      <c r="BD49" s="609">
        <f ca="1">+BD48/BA5</f>
        <v>-1.2677261016321967E-2</v>
      </c>
      <c r="BE49" s="609">
        <f ca="1">+BE48/BA5</f>
        <v>-4.1979392456832049E-2</v>
      </c>
      <c r="BF49" s="610"/>
      <c r="BG49" s="608"/>
      <c r="BH49" s="609">
        <f ca="1">+BH48/BG5</f>
        <v>1.3783990403086735E-2</v>
      </c>
      <c r="BI49" s="609">
        <f ca="1">+BI48/BG5</f>
        <v>4.4596163727214443E-2</v>
      </c>
      <c r="BJ49" s="609">
        <f ca="1">+BJ48/BG5</f>
        <v>3.5539771179563346E-3</v>
      </c>
      <c r="BK49" s="609">
        <f ca="1">+BK48/BG5</f>
        <v>-6.3661447448959449E-2</v>
      </c>
      <c r="BL49" s="610"/>
      <c r="BM49" s="608"/>
      <c r="BN49" s="609">
        <f ca="1">+BN48/BM5</f>
        <v>1.1563265391662378E-2</v>
      </c>
      <c r="BO49" s="609">
        <f ca="1">+BO48/BM5</f>
        <v>3.6225861765090843E-2</v>
      </c>
      <c r="BP49" s="609">
        <f ca="1">+BP48/BM5</f>
        <v>1.832319081122883E-2</v>
      </c>
      <c r="BQ49" s="609">
        <f ca="1">+BQ48/BM5</f>
        <v>-5.2764591678310539E-2</v>
      </c>
      <c r="BR49" s="610"/>
      <c r="BS49" s="608"/>
      <c r="BT49" s="609">
        <f ca="1">+BT48/BS5</f>
        <v>1.7212973687925331E-2</v>
      </c>
      <c r="BU49" s="609">
        <f ca="1">+BU48/BS5</f>
        <v>3.6365464604294025E-2</v>
      </c>
      <c r="BV49" s="609">
        <f ca="1">+BV48/BS5</f>
        <v>2.2091417072263628E-2</v>
      </c>
      <c r="BW49" s="609">
        <f ca="1">+BW48/BS5</f>
        <v>-3.8165109702936059E-2</v>
      </c>
      <c r="BX49" s="610"/>
      <c r="BY49" s="608"/>
      <c r="BZ49" s="609">
        <f ca="1">+BZ48/BY5</f>
        <v>2.7550278205007394E-2</v>
      </c>
      <c r="CA49" s="609">
        <f ca="1">+CA48/BY5</f>
        <v>1.8986162606714478E-2</v>
      </c>
      <c r="CB49" s="609">
        <f ca="1">+CB48/BY5</f>
        <v>3.3540009142730989E-2</v>
      </c>
      <c r="CC49" s="609">
        <f ca="1">+CC48/BY5</f>
        <v>-3.5274946887033393E-2</v>
      </c>
      <c r="CD49" s="610"/>
      <c r="CE49" s="608"/>
      <c r="CF49" s="609">
        <f ca="1">+CF48/CE5</f>
        <v>4.2567682514953367E-2</v>
      </c>
      <c r="CG49" s="609">
        <f ca="1">+CG48/CE5</f>
        <v>1.5497330084993386E-2</v>
      </c>
      <c r="CH49" s="609">
        <f ca="1">+CH48/CE5</f>
        <v>1.9041295452019328E-2</v>
      </c>
      <c r="CI49" s="609">
        <f ca="1">+CI48/CE5</f>
        <v>-2.2492976196759103E-2</v>
      </c>
      <c r="CJ49" s="610"/>
      <c r="CK49" s="608"/>
      <c r="CL49" s="609">
        <f ca="1">+CL48/CK5</f>
        <v>4.6373810035148788E-2</v>
      </c>
      <c r="CM49" s="609">
        <f ca="1">+CM48/CK5</f>
        <v>2.3249328905236826E-2</v>
      </c>
      <c r="CN49" s="609">
        <f ca="1">+CN48/CK5</f>
        <v>-7.1539901622383112E-3</v>
      </c>
      <c r="CO49" s="609">
        <f ca="1">+CO48/CK5</f>
        <v>-3.3228037954938769E-2</v>
      </c>
      <c r="CP49" s="610"/>
      <c r="CQ49" s="608"/>
      <c r="CR49" s="609">
        <f ca="1">+CR48/CQ5</f>
        <v>4.7083509278556535E-2</v>
      </c>
      <c r="CS49" s="609">
        <f ca="1">+CS48/CQ5</f>
        <v>1.575617851515853E-2</v>
      </c>
      <c r="CT49" s="609">
        <f ca="1">+CT48/CQ5</f>
        <v>-3.2067435831084872E-4</v>
      </c>
      <c r="CU49" s="609">
        <f ca="1">+CU48/CQ5</f>
        <v>-2.2677352784929061E-2</v>
      </c>
      <c r="CV49" s="610"/>
      <c r="CW49" s="608"/>
      <c r="CX49" s="609">
        <f ca="1">+CX48/CW5</f>
        <v>5.2468381278231412E-2</v>
      </c>
      <c r="CY49" s="609">
        <f ca="1">+CY48/CW5</f>
        <v>-2.5145839587242323E-3</v>
      </c>
      <c r="CZ49" s="609">
        <f ca="1">+CZ48/CW5</f>
        <v>-2.0245596678323732E-3</v>
      </c>
      <c r="DA49" s="609">
        <f ca="1">+DA48/CW5</f>
        <v>-2.1441977054079971E-2</v>
      </c>
      <c r="DB49" s="610"/>
      <c r="DC49" s="608"/>
      <c r="DD49" s="609">
        <f ca="1">+DD48/DC5</f>
        <v>6.8593344684593271E-2</v>
      </c>
      <c r="DE49" s="609">
        <f ca="1">+DE48/DC5</f>
        <v>-6.2772593565889713E-3</v>
      </c>
      <c r="DF49" s="609">
        <f ca="1">+DF48/DC5</f>
        <v>-9.6476672673021756E-3</v>
      </c>
      <c r="DG49" s="609">
        <f ca="1">+DG48/DC5</f>
        <v>-2.069115455650249E-2</v>
      </c>
      <c r="DH49" s="610"/>
      <c r="DI49" s="608"/>
      <c r="DJ49" s="609">
        <f ca="1">+DJ48/DI5</f>
        <v>7.2027131334131508E-2</v>
      </c>
      <c r="DK49" s="609">
        <f ca="1">+DK48/DI5</f>
        <v>-1.0684592411271062E-2</v>
      </c>
      <c r="DL49" s="609">
        <f ca="1">+DL48/DI5</f>
        <v>-1.3670862194646029E-2</v>
      </c>
      <c r="DM49" s="609">
        <f ca="1">+DM48/DI5</f>
        <v>-1.5358223861064033E-2</v>
      </c>
      <c r="DN49" s="610"/>
      <c r="DO49" s="608"/>
      <c r="DP49" s="609">
        <f ca="1">+DP48/DO5</f>
        <v>7.9992387573983151E-2</v>
      </c>
      <c r="DQ49" s="609">
        <f ca="1">+DQ48/DO5</f>
        <v>-1.9341144528251607E-2</v>
      </c>
      <c r="DR49" s="609">
        <f ca="1">+DR48/DO5</f>
        <v>-1.5523259133325281E-2</v>
      </c>
      <c r="DS49" s="609">
        <f ca="1">+DS48/DO5</f>
        <v>-1.5549395129316079E-2</v>
      </c>
      <c r="DT49" s="610"/>
      <c r="DU49" s="608"/>
      <c r="DV49" s="609">
        <f ca="1">+DV48/DU5</f>
        <v>6.3290081762819139E-2</v>
      </c>
      <c r="DW49" s="609">
        <f ca="1">+DW48/DU5</f>
        <v>-2.1678702324360255E-2</v>
      </c>
      <c r="DX49" s="609">
        <f ca="1">+DX48/DU5</f>
        <v>1.5941762347784737E-3</v>
      </c>
      <c r="DY49" s="609">
        <f ca="1">+DY48/DU5</f>
        <v>-2.6133494290073892E-2</v>
      </c>
      <c r="DZ49" s="610"/>
      <c r="EA49" s="608"/>
      <c r="EB49" s="609">
        <f ca="1">+EB48/EA5</f>
        <v>6.6161714396338542E-2</v>
      </c>
      <c r="EC49" s="609">
        <f ca="1">+EC48/EA5</f>
        <v>-3.5503843692060416E-2</v>
      </c>
      <c r="ED49" s="609">
        <f ca="1">+ED48/EA5</f>
        <v>1.1116641967831674E-2</v>
      </c>
      <c r="EE49" s="609">
        <f ca="1">+EE48/EA5</f>
        <v>-2.5234312097351809E-2</v>
      </c>
      <c r="EF49" s="610"/>
      <c r="EG49" s="608"/>
      <c r="EH49" s="609">
        <f ca="1">+EH48/EG5</f>
        <v>5.8515158338281838E-2</v>
      </c>
      <c r="EI49" s="609">
        <f ca="1">+EI48/EG5</f>
        <v>-3.831991052871004E-2</v>
      </c>
      <c r="EJ49" s="609">
        <f ca="1">+EJ48/EG5</f>
        <v>1.5523163974571055E-2</v>
      </c>
      <c r="EK49" s="609">
        <f ca="1">+EK48/EG5</f>
        <v>-1.1271486879269434E-2</v>
      </c>
      <c r="EL49" s="610"/>
      <c r="EM49" s="608"/>
      <c r="EN49" s="609">
        <f ca="1">+EN48/EM5</f>
        <v>5.9606158993420678E-2</v>
      </c>
      <c r="EO49" s="609">
        <f ca="1">+EO48/EM5</f>
        <v>-3.9916747602210756E-2</v>
      </c>
      <c r="EP49" s="609">
        <f ca="1">+EP48/EM5</f>
        <v>1.0754062423016943E-2</v>
      </c>
      <c r="EQ49" s="609">
        <f ca="1">+EQ48/EM5</f>
        <v>-7.0514681805730218E-3</v>
      </c>
      <c r="ER49" s="610"/>
      <c r="ES49" s="608"/>
      <c r="ET49" s="609">
        <f ca="1">+ET48/ES5</f>
        <v>5.5386277185355534E-2</v>
      </c>
      <c r="EU49" s="609">
        <f ca="1">+EU48/ES5</f>
        <v>-3.7077951021152328E-2</v>
      </c>
      <c r="EV49" s="609">
        <f ca="1">+EV48/ES5</f>
        <v>9.5655315382913962E-3</v>
      </c>
      <c r="EW49" s="609">
        <f ca="1">+EW48/ES5</f>
        <v>-5.1080414271669388E-3</v>
      </c>
      <c r="EX49" s="610"/>
      <c r="EY49" s="608"/>
      <c r="EZ49" s="609">
        <f ca="1">+EZ48/EY5</f>
        <v>5.2272049964928916E-2</v>
      </c>
      <c r="FA49" s="609">
        <f ca="1">+FA48/EY5</f>
        <v>-3.4385563360092332E-2</v>
      </c>
      <c r="FB49" s="609">
        <f ca="1">+FB48/EY5</f>
        <v>8.3954062195499262E-3</v>
      </c>
      <c r="FC49" s="609">
        <f ca="1">+FC48/EY5</f>
        <v>-4.0749875004752372E-3</v>
      </c>
      <c r="FD49" s="610"/>
    </row>
    <row r="50" spans="1:160" ht="60" customHeight="1">
      <c r="C50" s="611"/>
      <c r="E50" s="1093"/>
      <c r="F50"/>
      <c r="H50" s="1492"/>
      <c r="I50" s="1236"/>
      <c r="J50"/>
      <c r="BN50" s="1093"/>
      <c r="BQ50" s="1492"/>
      <c r="BX50" s="1439"/>
      <c r="BY50" s="1093">
        <f ca="1">+BY5-BY36-BY46-BY47</f>
        <v>230.01400000000012</v>
      </c>
      <c r="CC50" s="1093">
        <f ca="1">-OFFSET('VVP2'!$G$331,0,(COLUMN()-9)/6)</f>
        <v>-230.01400000000012</v>
      </c>
      <c r="CD50" s="1093">
        <f ca="1">+CC50+BY50</f>
        <v>0</v>
      </c>
    </row>
    <row r="51" spans="1:160">
      <c r="C51" s="611"/>
      <c r="E51" s="3852">
        <f ca="1">+E2</f>
        <v>1995</v>
      </c>
      <c r="F51" s="3821"/>
      <c r="G51" s="3821"/>
      <c r="H51" s="3821"/>
      <c r="I51" s="3821"/>
      <c r="J51" s="3848"/>
      <c r="K51" s="3852">
        <f ca="1">+E51+1</f>
        <v>1996</v>
      </c>
      <c r="L51" s="3821"/>
      <c r="M51" s="3821"/>
      <c r="N51" s="3821"/>
      <c r="O51" s="3821"/>
      <c r="P51" s="3848"/>
      <c r="Q51" s="3852">
        <f ca="1">+K51+1</f>
        <v>1997</v>
      </c>
      <c r="R51" s="3821"/>
      <c r="S51" s="3821"/>
      <c r="T51" s="3821"/>
      <c r="U51" s="3821"/>
      <c r="V51" s="3848"/>
      <c r="W51" s="3852">
        <f ca="1">+Q51+1</f>
        <v>1998</v>
      </c>
      <c r="X51" s="3821"/>
      <c r="Y51" s="3821"/>
      <c r="Z51" s="3821"/>
      <c r="AA51" s="3821"/>
      <c r="AB51" s="3848"/>
      <c r="AC51" s="3852">
        <f ca="1">+W51+1</f>
        <v>1999</v>
      </c>
      <c r="AD51" s="3821"/>
      <c r="AE51" s="3821"/>
      <c r="AF51" s="3821"/>
      <c r="AG51" s="3821"/>
      <c r="AH51" s="3848"/>
      <c r="AI51" s="3852">
        <f ca="1">+AC51+1</f>
        <v>2000</v>
      </c>
      <c r="AJ51" s="3821"/>
      <c r="AK51" s="3821"/>
      <c r="AL51" s="3821"/>
      <c r="AM51" s="3821"/>
      <c r="AN51" s="3848"/>
      <c r="AO51" s="3852">
        <f ca="1">+AI51+1</f>
        <v>2001</v>
      </c>
      <c r="AP51" s="3821"/>
      <c r="AQ51" s="3821"/>
      <c r="AR51" s="3821"/>
      <c r="AS51" s="3821"/>
      <c r="AT51" s="3848"/>
      <c r="AU51" s="3852">
        <f ca="1">+AO51+1</f>
        <v>2002</v>
      </c>
      <c r="AV51" s="3821"/>
      <c r="AW51" s="3821"/>
      <c r="AX51" s="3821"/>
      <c r="AY51" s="3821"/>
      <c r="AZ51" s="3848"/>
      <c r="BA51" s="3852">
        <f ca="1">+AU51+1</f>
        <v>2003</v>
      </c>
      <c r="BB51" s="3821"/>
      <c r="BC51" s="3821"/>
      <c r="BD51" s="3821"/>
      <c r="BE51" s="3821"/>
      <c r="BF51" s="3848"/>
      <c r="BG51" s="3852">
        <f ca="1">+BA51+1</f>
        <v>2004</v>
      </c>
      <c r="BH51" s="3821"/>
      <c r="BI51" s="3821"/>
      <c r="BJ51" s="3821"/>
      <c r="BK51" s="3821"/>
      <c r="BL51" s="3848"/>
      <c r="BM51" s="3852">
        <f ca="1">+BG51+1</f>
        <v>2005</v>
      </c>
      <c r="BN51" s="3821"/>
      <c r="BO51" s="3821"/>
      <c r="BP51" s="3821"/>
      <c r="BQ51" s="3821"/>
      <c r="BR51" s="3848"/>
      <c r="BS51" s="3852">
        <f ca="1">+BM51+1</f>
        <v>2006</v>
      </c>
      <c r="BT51" s="3821"/>
      <c r="BU51" s="3821"/>
      <c r="BV51" s="3821"/>
      <c r="BW51" s="3821"/>
      <c r="BX51" s="3848"/>
      <c r="BY51" s="3852">
        <f ca="1">+BS51+1</f>
        <v>2007</v>
      </c>
      <c r="BZ51" s="3821"/>
      <c r="CA51" s="3821"/>
      <c r="CB51" s="3821"/>
      <c r="CC51" s="3821"/>
      <c r="CD51" s="3848"/>
      <c r="CE51" s="3852">
        <f ca="1">+BY51+1</f>
        <v>2008</v>
      </c>
      <c r="CF51" s="3821"/>
      <c r="CG51" s="3821"/>
      <c r="CH51" s="3821"/>
      <c r="CI51" s="3821"/>
      <c r="CJ51" s="3848"/>
      <c r="CK51" s="3852">
        <f ca="1">+CE51+1</f>
        <v>2009</v>
      </c>
      <c r="CL51" s="3821"/>
      <c r="CM51" s="3821"/>
      <c r="CN51" s="3821"/>
      <c r="CO51" s="3821"/>
      <c r="CP51" s="3848"/>
      <c r="CQ51" s="3852">
        <f ca="1">+CK51+1</f>
        <v>2010</v>
      </c>
      <c r="CR51" s="3821"/>
      <c r="CS51" s="3821"/>
      <c r="CT51" s="3821"/>
      <c r="CU51" s="3821"/>
      <c r="CV51" s="3848"/>
      <c r="CW51" s="3852">
        <f ca="1">+CQ51+1</f>
        <v>2011</v>
      </c>
      <c r="CX51" s="3821"/>
      <c r="CY51" s="3821"/>
      <c r="CZ51" s="3821"/>
      <c r="DA51" s="3821"/>
      <c r="DB51" s="3848"/>
      <c r="DC51" s="3852">
        <f ca="1">+CW51+1</f>
        <v>2012</v>
      </c>
      <c r="DD51" s="3821"/>
      <c r="DE51" s="3821"/>
      <c r="DF51" s="3821"/>
      <c r="DG51" s="3821"/>
      <c r="DH51" s="3848"/>
      <c r="DI51" s="3852">
        <f ca="1">+DC51+1</f>
        <v>2013</v>
      </c>
      <c r="DJ51" s="3821"/>
      <c r="DK51" s="3821"/>
      <c r="DL51" s="3821"/>
      <c r="DM51" s="3821"/>
      <c r="DN51" s="3848"/>
      <c r="DO51" s="3852">
        <f ca="1">+DI51+1</f>
        <v>2014</v>
      </c>
      <c r="DP51" s="3821"/>
      <c r="DQ51" s="3821"/>
      <c r="DR51" s="3821"/>
      <c r="DS51" s="3821"/>
      <c r="DT51" s="3848"/>
      <c r="DU51" s="3852">
        <f ca="1">+DO51+1</f>
        <v>2015</v>
      </c>
      <c r="DV51" s="3821"/>
      <c r="DW51" s="3821"/>
      <c r="DX51" s="3821"/>
      <c r="DY51" s="3821"/>
      <c r="DZ51" s="3848"/>
      <c r="EA51" s="3852">
        <f ca="1">+DU51+1</f>
        <v>2016</v>
      </c>
      <c r="EB51" s="3821"/>
      <c r="EC51" s="3821"/>
      <c r="ED51" s="3821"/>
      <c r="EE51" s="3821"/>
      <c r="EF51" s="3848"/>
      <c r="EG51" s="3852">
        <f ca="1">+EA51+1</f>
        <v>2017</v>
      </c>
      <c r="EH51" s="3821"/>
      <c r="EI51" s="3821"/>
      <c r="EJ51" s="3821"/>
      <c r="EK51" s="3821"/>
      <c r="EL51" s="3848"/>
      <c r="EM51" s="3852">
        <f ca="1">+EG51+1</f>
        <v>2018</v>
      </c>
      <c r="EN51" s="3821"/>
      <c r="EO51" s="3821"/>
      <c r="EP51" s="3821"/>
      <c r="EQ51" s="3821"/>
      <c r="ER51" s="3848"/>
      <c r="ES51" s="3852">
        <f ca="1">+EM51+1</f>
        <v>2019</v>
      </c>
      <c r="ET51" s="3821"/>
      <c r="EU51" s="3821"/>
      <c r="EV51" s="3821"/>
      <c r="EW51" s="3821"/>
      <c r="EX51" s="3848"/>
      <c r="EY51" s="3852">
        <f ca="1">+ES51+1</f>
        <v>2020</v>
      </c>
      <c r="EZ51" s="3821"/>
      <c r="FA51" s="3821"/>
      <c r="FB51" s="3821"/>
      <c r="FC51" s="3821"/>
      <c r="FD51" s="3848"/>
    </row>
    <row r="52" spans="1:160" ht="13.15">
      <c r="C52" s="611"/>
      <c r="D52" s="612" t="s">
        <v>237</v>
      </c>
      <c r="E52" s="3849"/>
      <c r="F52" s="3850"/>
      <c r="G52" s="3850"/>
      <c r="H52" s="3850"/>
      <c r="I52" s="3850"/>
      <c r="J52" s="3851"/>
      <c r="K52" s="3849"/>
      <c r="L52" s="3850"/>
      <c r="M52" s="3850"/>
      <c r="N52" s="3850"/>
      <c r="O52" s="3850"/>
      <c r="P52" s="3851"/>
      <c r="Q52" s="3849"/>
      <c r="R52" s="3850"/>
      <c r="S52" s="3850"/>
      <c r="T52" s="3850"/>
      <c r="U52" s="3850"/>
      <c r="V52" s="3851"/>
      <c r="W52" s="3849"/>
      <c r="X52" s="3850"/>
      <c r="Y52" s="3850"/>
      <c r="Z52" s="3850"/>
      <c r="AA52" s="3850"/>
      <c r="AB52" s="3851"/>
      <c r="AC52" s="3849"/>
      <c r="AD52" s="3850"/>
      <c r="AE52" s="3850"/>
      <c r="AF52" s="3850"/>
      <c r="AG52" s="3850"/>
      <c r="AH52" s="3851"/>
      <c r="AI52" s="3849"/>
      <c r="AJ52" s="3850"/>
      <c r="AK52" s="3850"/>
      <c r="AL52" s="3850"/>
      <c r="AM52" s="3850"/>
      <c r="AN52" s="3851"/>
      <c r="AO52" s="3849"/>
      <c r="AP52" s="3850"/>
      <c r="AQ52" s="3850"/>
      <c r="AR52" s="3850"/>
      <c r="AS52" s="3850"/>
      <c r="AT52" s="3851"/>
      <c r="AU52" s="3849"/>
      <c r="AV52" s="3850"/>
      <c r="AW52" s="3850"/>
      <c r="AX52" s="3850"/>
      <c r="AY52" s="3850"/>
      <c r="AZ52" s="3851"/>
      <c r="BA52" s="3849"/>
      <c r="BB52" s="3850"/>
      <c r="BC52" s="3850"/>
      <c r="BD52" s="3850"/>
      <c r="BE52" s="3850"/>
      <c r="BF52" s="3851"/>
      <c r="BG52" s="3849"/>
      <c r="BH52" s="3850"/>
      <c r="BI52" s="3850"/>
      <c r="BJ52" s="3850"/>
      <c r="BK52" s="3850"/>
      <c r="BL52" s="3851"/>
      <c r="BM52" s="3849"/>
      <c r="BN52" s="3850"/>
      <c r="BO52" s="3850"/>
      <c r="BP52" s="3850"/>
      <c r="BQ52" s="3850"/>
      <c r="BR52" s="3851"/>
      <c r="BS52" s="3849"/>
      <c r="BT52" s="3850"/>
      <c r="BU52" s="3850"/>
      <c r="BV52" s="3850"/>
      <c r="BW52" s="3850"/>
      <c r="BX52" s="3851"/>
      <c r="BY52" s="3849"/>
      <c r="BZ52" s="3850"/>
      <c r="CA52" s="3850"/>
      <c r="CB52" s="3850"/>
      <c r="CC52" s="3850"/>
      <c r="CD52" s="3851"/>
      <c r="CE52" s="3849"/>
      <c r="CF52" s="3850"/>
      <c r="CG52" s="3850"/>
      <c r="CH52" s="3850"/>
      <c r="CI52" s="3850"/>
      <c r="CJ52" s="3851"/>
      <c r="CK52" s="3849"/>
      <c r="CL52" s="3850"/>
      <c r="CM52" s="3850"/>
      <c r="CN52" s="3850"/>
      <c r="CO52" s="3850"/>
      <c r="CP52" s="3851"/>
      <c r="CQ52" s="3849"/>
      <c r="CR52" s="3850"/>
      <c r="CS52" s="3850"/>
      <c r="CT52" s="3850"/>
      <c r="CU52" s="3850"/>
      <c r="CV52" s="3851"/>
      <c r="CW52" s="3849"/>
      <c r="CX52" s="3850"/>
      <c r="CY52" s="3850"/>
      <c r="CZ52" s="3850"/>
      <c r="DA52" s="3850"/>
      <c r="DB52" s="3851"/>
      <c r="DC52" s="3849"/>
      <c r="DD52" s="3850"/>
      <c r="DE52" s="3850"/>
      <c r="DF52" s="3850"/>
      <c r="DG52" s="3850"/>
      <c r="DH52" s="3851"/>
      <c r="DI52" s="3849"/>
      <c r="DJ52" s="3850"/>
      <c r="DK52" s="3850"/>
      <c r="DL52" s="3850"/>
      <c r="DM52" s="3850"/>
      <c r="DN52" s="3851"/>
      <c r="DO52" s="3849"/>
      <c r="DP52" s="3850"/>
      <c r="DQ52" s="3850"/>
      <c r="DR52" s="3850"/>
      <c r="DS52" s="3850"/>
      <c r="DT52" s="3851"/>
      <c r="DU52" s="3849"/>
      <c r="DV52" s="3850"/>
      <c r="DW52" s="3850"/>
      <c r="DX52" s="3850"/>
      <c r="DY52" s="3850"/>
      <c r="DZ52" s="3851"/>
      <c r="EA52" s="3849"/>
      <c r="EB52" s="3850"/>
      <c r="EC52" s="3850"/>
      <c r="ED52" s="3850"/>
      <c r="EE52" s="3850"/>
      <c r="EF52" s="3851"/>
      <c r="EG52" s="3849"/>
      <c r="EH52" s="3850"/>
      <c r="EI52" s="3850"/>
      <c r="EJ52" s="3850"/>
      <c r="EK52" s="3850"/>
      <c r="EL52" s="3851"/>
      <c r="EM52" s="3849"/>
      <c r="EN52" s="3850"/>
      <c r="EO52" s="3850"/>
      <c r="EP52" s="3850"/>
      <c r="EQ52" s="3850"/>
      <c r="ER52" s="3851"/>
      <c r="ES52" s="3849"/>
      <c r="ET52" s="3850"/>
      <c r="EU52" s="3850"/>
      <c r="EV52" s="3850"/>
      <c r="EW52" s="3850"/>
      <c r="EX52" s="3851"/>
      <c r="EY52" s="3849"/>
      <c r="EZ52" s="3850"/>
      <c r="FA52" s="3850"/>
      <c r="FB52" s="3850"/>
      <c r="FC52" s="3850"/>
      <c r="FD52" s="3851"/>
    </row>
    <row r="53" spans="1:160" ht="13.15">
      <c r="C53" s="611"/>
      <c r="E53" s="549" t="s">
        <v>663</v>
      </c>
      <c r="F53" s="549" t="s">
        <v>664</v>
      </c>
      <c r="G53" s="549" t="s">
        <v>665</v>
      </c>
      <c r="H53" s="549" t="s">
        <v>666</v>
      </c>
      <c r="I53" s="549" t="s">
        <v>667</v>
      </c>
      <c r="J53" s="549" t="s">
        <v>668</v>
      </c>
      <c r="K53" s="549" t="s">
        <v>663</v>
      </c>
      <c r="L53" s="549" t="s">
        <v>664</v>
      </c>
      <c r="M53" s="549" t="s">
        <v>665</v>
      </c>
      <c r="N53" s="549" t="s">
        <v>666</v>
      </c>
      <c r="O53" s="549" t="s">
        <v>667</v>
      </c>
      <c r="P53" s="549" t="s">
        <v>668</v>
      </c>
      <c r="Q53" s="549" t="s">
        <v>663</v>
      </c>
      <c r="R53" s="549" t="s">
        <v>664</v>
      </c>
      <c r="S53" s="549" t="s">
        <v>665</v>
      </c>
      <c r="T53" s="549" t="s">
        <v>666</v>
      </c>
      <c r="U53" s="549" t="s">
        <v>667</v>
      </c>
      <c r="V53" s="549" t="s">
        <v>668</v>
      </c>
      <c r="W53" s="549" t="s">
        <v>663</v>
      </c>
      <c r="X53" s="549" t="s">
        <v>664</v>
      </c>
      <c r="Y53" s="549" t="s">
        <v>665</v>
      </c>
      <c r="Z53" s="549" t="s">
        <v>666</v>
      </c>
      <c r="AA53" s="549" t="s">
        <v>667</v>
      </c>
      <c r="AB53" s="549" t="s">
        <v>668</v>
      </c>
      <c r="AC53" s="549" t="s">
        <v>663</v>
      </c>
      <c r="AD53" s="549" t="s">
        <v>664</v>
      </c>
      <c r="AE53" s="549" t="s">
        <v>665</v>
      </c>
      <c r="AF53" s="549" t="s">
        <v>666</v>
      </c>
      <c r="AG53" s="549" t="s">
        <v>667</v>
      </c>
      <c r="AH53" s="549" t="s">
        <v>668</v>
      </c>
      <c r="AI53" s="549" t="s">
        <v>663</v>
      </c>
      <c r="AJ53" s="549" t="s">
        <v>664</v>
      </c>
      <c r="AK53" s="549" t="s">
        <v>665</v>
      </c>
      <c r="AL53" s="549" t="s">
        <v>666</v>
      </c>
      <c r="AM53" s="549" t="s">
        <v>667</v>
      </c>
      <c r="AN53" s="549" t="s">
        <v>668</v>
      </c>
      <c r="AO53" s="549" t="s">
        <v>663</v>
      </c>
      <c r="AP53" s="549" t="s">
        <v>664</v>
      </c>
      <c r="AQ53" s="549" t="s">
        <v>665</v>
      </c>
      <c r="AR53" s="549" t="s">
        <v>666</v>
      </c>
      <c r="AS53" s="549" t="s">
        <v>667</v>
      </c>
      <c r="AT53" s="549" t="s">
        <v>668</v>
      </c>
      <c r="AU53" s="549" t="s">
        <v>663</v>
      </c>
      <c r="AV53" s="549" t="s">
        <v>664</v>
      </c>
      <c r="AW53" s="549" t="s">
        <v>665</v>
      </c>
      <c r="AX53" s="549" t="s">
        <v>666</v>
      </c>
      <c r="AY53" s="549" t="s">
        <v>667</v>
      </c>
      <c r="AZ53" s="549" t="s">
        <v>668</v>
      </c>
      <c r="BA53" s="549" t="s">
        <v>663</v>
      </c>
      <c r="BB53" s="549" t="s">
        <v>664</v>
      </c>
      <c r="BC53" s="549" t="s">
        <v>665</v>
      </c>
      <c r="BD53" s="549" t="s">
        <v>666</v>
      </c>
      <c r="BE53" s="549" t="s">
        <v>667</v>
      </c>
      <c r="BF53" s="549" t="s">
        <v>668</v>
      </c>
      <c r="BG53" s="549" t="s">
        <v>663</v>
      </c>
      <c r="BH53" s="549" t="s">
        <v>664</v>
      </c>
      <c r="BI53" s="549" t="s">
        <v>665</v>
      </c>
      <c r="BJ53" s="549" t="s">
        <v>666</v>
      </c>
      <c r="BK53" s="549" t="s">
        <v>667</v>
      </c>
      <c r="BL53" s="549" t="s">
        <v>668</v>
      </c>
      <c r="BM53" s="549" t="s">
        <v>663</v>
      </c>
      <c r="BN53" s="549" t="s">
        <v>664</v>
      </c>
      <c r="BO53" s="549" t="s">
        <v>665</v>
      </c>
      <c r="BP53" s="549" t="s">
        <v>666</v>
      </c>
      <c r="BQ53" s="549" t="s">
        <v>667</v>
      </c>
      <c r="BR53" s="549" t="s">
        <v>668</v>
      </c>
      <c r="BS53" s="549" t="s">
        <v>663</v>
      </c>
      <c r="BT53" s="549" t="s">
        <v>664</v>
      </c>
      <c r="BU53" s="549" t="s">
        <v>665</v>
      </c>
      <c r="BV53" s="549" t="s">
        <v>666</v>
      </c>
      <c r="BW53" s="549" t="s">
        <v>667</v>
      </c>
      <c r="BX53" s="549" t="s">
        <v>668</v>
      </c>
      <c r="BY53" s="549" t="s">
        <v>663</v>
      </c>
      <c r="BZ53" s="549" t="s">
        <v>664</v>
      </c>
      <c r="CA53" s="549" t="s">
        <v>665</v>
      </c>
      <c r="CB53" s="549" t="s">
        <v>666</v>
      </c>
      <c r="CC53" s="549" t="s">
        <v>667</v>
      </c>
      <c r="CD53" s="549" t="s">
        <v>668</v>
      </c>
      <c r="CE53" s="549" t="s">
        <v>663</v>
      </c>
      <c r="CF53" s="549" t="s">
        <v>664</v>
      </c>
      <c r="CG53" s="549" t="s">
        <v>665</v>
      </c>
      <c r="CH53" s="549" t="s">
        <v>666</v>
      </c>
      <c r="CI53" s="549" t="s">
        <v>667</v>
      </c>
      <c r="CJ53" s="549" t="s">
        <v>668</v>
      </c>
      <c r="CK53" s="549" t="s">
        <v>663</v>
      </c>
      <c r="CL53" s="549" t="s">
        <v>664</v>
      </c>
      <c r="CM53" s="549" t="s">
        <v>665</v>
      </c>
      <c r="CN53" s="549" t="s">
        <v>666</v>
      </c>
      <c r="CO53" s="549" t="s">
        <v>667</v>
      </c>
      <c r="CP53" s="549" t="s">
        <v>668</v>
      </c>
      <c r="CQ53" s="549" t="s">
        <v>663</v>
      </c>
      <c r="CR53" s="549" t="s">
        <v>664</v>
      </c>
      <c r="CS53" s="549" t="s">
        <v>665</v>
      </c>
      <c r="CT53" s="549" t="s">
        <v>666</v>
      </c>
      <c r="CU53" s="549" t="s">
        <v>667</v>
      </c>
      <c r="CV53" s="549" t="s">
        <v>668</v>
      </c>
      <c r="CW53" s="549" t="s">
        <v>663</v>
      </c>
      <c r="CX53" s="549" t="s">
        <v>664</v>
      </c>
      <c r="CY53" s="549" t="s">
        <v>665</v>
      </c>
      <c r="CZ53" s="549" t="s">
        <v>666</v>
      </c>
      <c r="DA53" s="549" t="s">
        <v>667</v>
      </c>
      <c r="DB53" s="549" t="s">
        <v>668</v>
      </c>
      <c r="DC53" s="549" t="s">
        <v>663</v>
      </c>
      <c r="DD53" s="549" t="s">
        <v>664</v>
      </c>
      <c r="DE53" s="549" t="s">
        <v>665</v>
      </c>
      <c r="DF53" s="549" t="s">
        <v>666</v>
      </c>
      <c r="DG53" s="549" t="s">
        <v>667</v>
      </c>
      <c r="DH53" s="549" t="s">
        <v>668</v>
      </c>
      <c r="DI53" s="549" t="s">
        <v>663</v>
      </c>
      <c r="DJ53" s="549" t="s">
        <v>664</v>
      </c>
      <c r="DK53" s="549" t="s">
        <v>665</v>
      </c>
      <c r="DL53" s="549" t="s">
        <v>666</v>
      </c>
      <c r="DM53" s="549" t="s">
        <v>667</v>
      </c>
      <c r="DN53" s="549" t="s">
        <v>668</v>
      </c>
      <c r="DO53" s="549" t="s">
        <v>663</v>
      </c>
      <c r="DP53" s="549" t="s">
        <v>664</v>
      </c>
      <c r="DQ53" s="549" t="s">
        <v>665</v>
      </c>
      <c r="DR53" s="549" t="s">
        <v>666</v>
      </c>
      <c r="DS53" s="549" t="s">
        <v>667</v>
      </c>
      <c r="DT53" s="549" t="s">
        <v>668</v>
      </c>
      <c r="DU53" s="549" t="s">
        <v>663</v>
      </c>
      <c r="DV53" s="549" t="s">
        <v>664</v>
      </c>
      <c r="DW53" s="549" t="s">
        <v>665</v>
      </c>
      <c r="DX53" s="549" t="s">
        <v>666</v>
      </c>
      <c r="DY53" s="549" t="s">
        <v>667</v>
      </c>
      <c r="DZ53" s="549" t="s">
        <v>668</v>
      </c>
      <c r="EA53" s="549" t="s">
        <v>663</v>
      </c>
      <c r="EB53" s="549" t="s">
        <v>664</v>
      </c>
      <c r="EC53" s="549" t="s">
        <v>665</v>
      </c>
      <c r="ED53" s="549" t="s">
        <v>666</v>
      </c>
      <c r="EE53" s="549" t="s">
        <v>667</v>
      </c>
      <c r="EF53" s="549" t="s">
        <v>668</v>
      </c>
      <c r="EG53" s="549" t="s">
        <v>663</v>
      </c>
      <c r="EH53" s="549" t="s">
        <v>664</v>
      </c>
      <c r="EI53" s="549" t="s">
        <v>665</v>
      </c>
      <c r="EJ53" s="549" t="s">
        <v>666</v>
      </c>
      <c r="EK53" s="549" t="s">
        <v>667</v>
      </c>
      <c r="EL53" s="549" t="s">
        <v>668</v>
      </c>
      <c r="EM53" s="549" t="s">
        <v>663</v>
      </c>
      <c r="EN53" s="549" t="s">
        <v>664</v>
      </c>
      <c r="EO53" s="549" t="s">
        <v>665</v>
      </c>
      <c r="EP53" s="549" t="s">
        <v>666</v>
      </c>
      <c r="EQ53" s="549" t="s">
        <v>667</v>
      </c>
      <c r="ER53" s="549" t="s">
        <v>668</v>
      </c>
      <c r="ES53" s="549" t="s">
        <v>663</v>
      </c>
      <c r="ET53" s="549" t="s">
        <v>664</v>
      </c>
      <c r="EU53" s="549" t="s">
        <v>665</v>
      </c>
      <c r="EV53" s="549" t="s">
        <v>666</v>
      </c>
      <c r="EW53" s="549" t="s">
        <v>667</v>
      </c>
      <c r="EX53" s="549" t="s">
        <v>668</v>
      </c>
      <c r="EY53" s="549" t="s">
        <v>663</v>
      </c>
      <c r="EZ53" s="549" t="s">
        <v>664</v>
      </c>
      <c r="FA53" s="549" t="s">
        <v>665</v>
      </c>
      <c r="FB53" s="549" t="s">
        <v>666</v>
      </c>
      <c r="FC53" s="549" t="s">
        <v>667</v>
      </c>
      <c r="FD53" s="549" t="s">
        <v>668</v>
      </c>
    </row>
    <row r="54" spans="1:160" ht="13.15">
      <c r="B54" s="551"/>
      <c r="C54" s="3864" t="s">
        <v>669</v>
      </c>
      <c r="D54" s="3865"/>
      <c r="E54" s="613"/>
      <c r="F54" s="614"/>
      <c r="G54" s="614"/>
      <c r="H54" s="614"/>
      <c r="I54" s="614"/>
      <c r="J54" s="553"/>
      <c r="K54" s="613">
        <f t="shared" ref="K54:O61" ca="1" si="13">IF(K5="","",IF(E5=0,"N",(K5/E5-1)*100))</f>
        <v>2.5842575072335894</v>
      </c>
      <c r="L54" s="614" t="str">
        <f t="shared" si="13"/>
        <v/>
      </c>
      <c r="M54" s="614" t="str">
        <f t="shared" si="13"/>
        <v/>
      </c>
      <c r="N54" s="614" t="str">
        <f t="shared" si="13"/>
        <v/>
      </c>
      <c r="O54" s="614" t="str">
        <f t="shared" si="13"/>
        <v/>
      </c>
      <c r="P54" s="553"/>
      <c r="Q54" s="613">
        <f t="shared" ref="Q54:U61" ca="1" si="14">IF(Q5="","",IF(K5=0,"N",(Q5/K5-1)*100))</f>
        <v>4.528587483935409</v>
      </c>
      <c r="R54" s="614" t="str">
        <f t="shared" si="14"/>
        <v/>
      </c>
      <c r="S54" s="614" t="str">
        <f t="shared" si="14"/>
        <v/>
      </c>
      <c r="T54" s="614" t="str">
        <f t="shared" si="14"/>
        <v/>
      </c>
      <c r="U54" s="614" t="str">
        <f t="shared" si="14"/>
        <v/>
      </c>
      <c r="V54" s="553"/>
      <c r="W54" s="613">
        <f t="shared" ref="W54:AA61" ca="1" si="15">IF(W5="","",IF(Q5=0,"N",(W5/Q5-1)*100))</f>
        <v>5.0657326637579603</v>
      </c>
      <c r="X54" s="614" t="str">
        <f t="shared" si="15"/>
        <v/>
      </c>
      <c r="Y54" s="614" t="str">
        <f t="shared" si="15"/>
        <v/>
      </c>
      <c r="Z54" s="614" t="str">
        <f t="shared" si="15"/>
        <v/>
      </c>
      <c r="AA54" s="614" t="str">
        <f t="shared" si="15"/>
        <v/>
      </c>
      <c r="AB54" s="553"/>
      <c r="AC54" s="613">
        <f t="shared" ref="AC54:AG61" ca="1" si="16">IF(AC5="","",IF(W5=0,"N",(AC5/W5-1)*100))</f>
        <v>5.4682108787114991</v>
      </c>
      <c r="AD54" s="614" t="str">
        <f t="shared" si="16"/>
        <v/>
      </c>
      <c r="AE54" s="614" t="str">
        <f t="shared" si="16"/>
        <v/>
      </c>
      <c r="AF54" s="614" t="str">
        <f t="shared" si="16"/>
        <v/>
      </c>
      <c r="AG54" s="614" t="str">
        <f t="shared" si="16"/>
        <v/>
      </c>
      <c r="AH54" s="553"/>
      <c r="AI54" s="613">
        <f t="shared" ref="AI54:AM61" ca="1" si="17">IF(AI5="","",IF(AC5=0,"N",(AI5/AC5-1)*100))</f>
        <v>6.3846614236626298</v>
      </c>
      <c r="AJ54" s="614" t="str">
        <f t="shared" si="17"/>
        <v/>
      </c>
      <c r="AK54" s="614" t="str">
        <f t="shared" si="17"/>
        <v/>
      </c>
      <c r="AL54" s="614" t="str">
        <f t="shared" si="17"/>
        <v/>
      </c>
      <c r="AM54" s="614" t="str">
        <f t="shared" si="17"/>
        <v/>
      </c>
      <c r="AN54" s="553"/>
      <c r="AO54" s="613">
        <f t="shared" ref="AO54:AS61" ca="1" si="18">IF(AO5="","",IF(AI5=0,"N",(AO5/AI5-1)*100))</f>
        <v>4.1235495837014691</v>
      </c>
      <c r="AP54" s="614" t="str">
        <f t="shared" si="18"/>
        <v/>
      </c>
      <c r="AQ54" s="614" t="str">
        <f t="shared" si="18"/>
        <v/>
      </c>
      <c r="AR54" s="614" t="str">
        <f t="shared" si="18"/>
        <v/>
      </c>
      <c r="AS54" s="614" t="str">
        <f t="shared" si="18"/>
        <v/>
      </c>
      <c r="AT54" s="553"/>
      <c r="AU54" s="613">
        <f t="shared" ref="AU54:AY61" ca="1" si="19">IF(AU5="","",IF(AO5=0,"N",(AU5/AO5-1)*100))</f>
        <v>3.7085461393536079</v>
      </c>
      <c r="AV54" s="614" t="str">
        <f t="shared" si="19"/>
        <v/>
      </c>
      <c r="AW54" s="614" t="str">
        <f t="shared" si="19"/>
        <v/>
      </c>
      <c r="AX54" s="614" t="str">
        <f t="shared" si="19"/>
        <v/>
      </c>
      <c r="AY54" s="614" t="str">
        <f t="shared" si="19"/>
        <v/>
      </c>
      <c r="AZ54" s="553"/>
      <c r="BA54" s="613">
        <f t="shared" ref="BA54:BE61" ca="1" si="20">IF(BA5="","",IF(AU5=0,"N",(BA5/AU5-1)*100))</f>
        <v>4.1532907089817606</v>
      </c>
      <c r="BB54" s="614" t="str">
        <f t="shared" si="20"/>
        <v/>
      </c>
      <c r="BC54" s="614" t="str">
        <f t="shared" si="20"/>
        <v/>
      </c>
      <c r="BD54" s="614" t="str">
        <f t="shared" si="20"/>
        <v/>
      </c>
      <c r="BE54" s="614" t="str">
        <f t="shared" si="20"/>
        <v/>
      </c>
      <c r="BF54" s="553"/>
      <c r="BG54" s="613">
        <f t="shared" ref="BG54:BG66" ca="1" si="21">IF(BG5="","",IF(BA5=0,"N",(BG5/BA5-1)*100))</f>
        <v>4.7574232625837265</v>
      </c>
      <c r="BH54" s="614" t="str">
        <f t="shared" ref="BH54:BH66" si="22">IF(BH5="","",IF(BB5=0,"N",(BH5/BB5-1)*100))</f>
        <v/>
      </c>
      <c r="BI54" s="614" t="str">
        <f t="shared" ref="BI54:BI66" si="23">IF(BI5="","",IF(BC5=0,"N",(BI5/BC5-1)*100))</f>
        <v/>
      </c>
      <c r="BJ54" s="614" t="str">
        <f t="shared" ref="BJ54:BJ66" si="24">IF(BJ5="","",IF(BD5=0,"N",(BJ5/BD5-1)*100))</f>
        <v/>
      </c>
      <c r="BK54" s="614" t="str">
        <f t="shared" ref="BK54:BK61" si="25">IF(BK5="","",IF(BE5=0,"N",(BK5/BE5-1)*100))</f>
        <v/>
      </c>
      <c r="BL54" s="553"/>
      <c r="BM54" s="613">
        <f t="shared" ref="BM54:BQ61" ca="1" si="26">IF(BM5="","",IF(BG5=0,"N",(BM5/BG5-1)*100))</f>
        <v>3.6419274584167605</v>
      </c>
      <c r="BN54" s="614" t="str">
        <f t="shared" si="26"/>
        <v/>
      </c>
      <c r="BO54" s="614" t="str">
        <f t="shared" si="26"/>
        <v/>
      </c>
      <c r="BP54" s="614" t="str">
        <f t="shared" si="26"/>
        <v/>
      </c>
      <c r="BQ54" s="614" t="str">
        <f t="shared" si="26"/>
        <v/>
      </c>
      <c r="BR54" s="553"/>
      <c r="BS54" s="613">
        <f t="shared" ref="BS54:BW61" ca="1" si="27">IF(BS5="","",IF(BM5=0,"N",(BS5/BM5-1)*100))</f>
        <v>6.6015777053014757</v>
      </c>
      <c r="BT54" s="614" t="str">
        <f t="shared" si="27"/>
        <v/>
      </c>
      <c r="BU54" s="614" t="str">
        <f t="shared" si="27"/>
        <v/>
      </c>
      <c r="BV54" s="614" t="str">
        <f t="shared" si="27"/>
        <v/>
      </c>
      <c r="BW54" s="614" t="str">
        <f t="shared" si="27"/>
        <v/>
      </c>
      <c r="BX54" s="553"/>
      <c r="BY54" s="613">
        <f t="shared" ref="BY54:CC61" ca="1" si="28">IF(BY5="","",IF(BS5=0,"N",(BY5/BS5-1)*100))</f>
        <v>6.3860651262684476</v>
      </c>
      <c r="BZ54" s="614" t="str">
        <f t="shared" si="28"/>
        <v/>
      </c>
      <c r="CA54" s="614" t="str">
        <f t="shared" si="28"/>
        <v/>
      </c>
      <c r="CB54" s="614" t="str">
        <f t="shared" si="28"/>
        <v/>
      </c>
      <c r="CC54" s="614" t="str">
        <f t="shared" si="28"/>
        <v/>
      </c>
      <c r="CD54" s="553"/>
      <c r="CE54" s="613">
        <f t="shared" ref="CE54:CE66" ca="1" si="29">IF(CE5="","",IF(BY5=0,"N",(CE5/BY5-1)*100))</f>
        <v>2.7476057889422645</v>
      </c>
      <c r="CF54" s="614" t="str">
        <f t="shared" ref="CF54:CF66" si="30">IF(CF5="","",IF(BZ5=0,"N",(CF5/BZ5-1)*100))</f>
        <v/>
      </c>
      <c r="CG54" s="614" t="str">
        <f t="shared" ref="CG54:CG66" si="31">IF(CG5="","",IF(CA5=0,"N",(CG5/CA5-1)*100))</f>
        <v/>
      </c>
      <c r="CH54" s="614" t="str">
        <f t="shared" ref="CH54:CH66" si="32">IF(CH5="","",IF(CB5=0,"N",(CH5/CB5-1)*100))</f>
        <v/>
      </c>
      <c r="CI54" s="614" t="str">
        <f t="shared" ref="CI54:CI61" si="33">IF(CI5="","",IF(CC5=0,"N",(CI5/CC5-1)*100))</f>
        <v/>
      </c>
      <c r="CJ54" s="553"/>
      <c r="CK54" s="613">
        <f t="shared" ref="CK54:CK66" ca="1" si="34">IF(CK5="","",IF(CE5=0,"N",(CK5/CE5-1)*100))</f>
        <v>-2.9387197675724841</v>
      </c>
      <c r="CL54" s="614" t="str">
        <f t="shared" ref="CL54:CL68" si="35">IF(CL5="","",IF(CF5=0,"N",(CL5/CF5-1)*100))</f>
        <v/>
      </c>
      <c r="CM54" s="614" t="str">
        <f t="shared" ref="CM54:CM68" si="36">IF(CM5="","",IF(CG5=0,"N",(CM5/CG5-1)*100))</f>
        <v/>
      </c>
      <c r="CN54" s="614" t="str">
        <f t="shared" ref="CN54:CN93" si="37">IF(CN5="","",IF(CH5=0,"N",(CN5/CH5-1)*100))</f>
        <v/>
      </c>
      <c r="CO54" s="614" t="str">
        <f t="shared" ref="CO54:CO61" si="38">IF(CO5="","",IF(CI5=0,"N",(CO5/CI5-1)*100))</f>
        <v/>
      </c>
      <c r="CP54" s="553"/>
      <c r="CQ54" s="613">
        <f t="shared" ref="CQ54:CQ66" ca="1" si="39">IF(CQ5="","",IF(CK5=0,"N",(CQ5/CK5-1)*100))</f>
        <v>7.0417486707964771</v>
      </c>
      <c r="CR54" s="614" t="str">
        <f t="shared" ref="CR54:CR68" si="40">IF(CR5="","",IF(CL5=0,"N",(CR5/CL5-1)*100))</f>
        <v/>
      </c>
      <c r="CS54" s="614" t="str">
        <f t="shared" ref="CS54:CS68" si="41">IF(CS5="","",IF(CM5=0,"N",(CS5/CM5-1)*100))</f>
        <v/>
      </c>
      <c r="CT54" s="614" t="str">
        <f t="shared" ref="CT54:CT93" si="42">IF(CT5="","",IF(CN5=0,"N",(CT5/CN5-1)*100))</f>
        <v/>
      </c>
      <c r="CU54" s="614" t="str">
        <f t="shared" ref="CU54:CU61" si="43">IF(CU5="","",IF(CO5=0,"N",(CU5/CO5-1)*100))</f>
        <v/>
      </c>
      <c r="CV54" s="553"/>
      <c r="CW54" s="613">
        <f t="shared" ref="CW54:CW66" ca="1" si="44">IF(CW5="","",IF(CQ5=0,"N",(CW5/CQ5-1)*100))</f>
        <v>3.8940367055789515</v>
      </c>
      <c r="CX54" s="614" t="str">
        <f t="shared" ref="CX54:CX68" si="45">IF(CX5="","",IF(CR5=0,"N",(CX5/CR5-1)*100))</f>
        <v/>
      </c>
      <c r="CY54" s="614" t="str">
        <f t="shared" ref="CY54:CY68" si="46">IF(CY5="","",IF(CS5=0,"N",(CY5/CS5-1)*100))</f>
        <v/>
      </c>
      <c r="CZ54" s="614" t="str">
        <f t="shared" ref="CZ54:CZ93" si="47">IF(CZ5="","",IF(CT5=0,"N",(CZ5/CT5-1)*100))</f>
        <v/>
      </c>
      <c r="DA54" s="614" t="str">
        <f t="shared" ref="DA54:DA61" si="48">IF(DA5="","",IF(CU5=0,"N",(DA5/CU5-1)*100))</f>
        <v/>
      </c>
      <c r="DB54" s="553"/>
      <c r="DC54" s="613">
        <f t="shared" ref="DC54:DC68" ca="1" si="49">IF(DC5="","",IF(CW5=0,"N",(DC5/CW5-1)*100))</f>
        <v>0.76011125791202172</v>
      </c>
      <c r="DD54" s="614" t="str">
        <f t="shared" ref="DD54:DD68" si="50">IF(DD5="","",IF(CX5=0,"N",(DD5/CX5-1)*100))</f>
        <v/>
      </c>
      <c r="DE54" s="614" t="str">
        <f t="shared" ref="DE54:DE68" si="51">IF(DE5="","",IF(CY5=0,"N",(DE5/CY5-1)*100))</f>
        <v/>
      </c>
      <c r="DF54" s="614" t="str">
        <f t="shared" ref="DF54:DF93" si="52">IF(DF5="","",IF(CZ5=0,"N",(DF5/CZ5-1)*100))</f>
        <v/>
      </c>
      <c r="DG54" s="614" t="str">
        <f t="shared" ref="DG54:DG61" si="53">IF(DG5="","",IF(DA5=0,"N",(DG5/DA5-1)*100))</f>
        <v/>
      </c>
      <c r="DH54" s="553"/>
      <c r="DI54" s="613">
        <f t="shared" ref="DI54:DI68" ca="1" si="54">IF(DI5="","",IF(DC5=0,"N",(DI5/DC5-1)*100))</f>
        <v>2.3060714240210611</v>
      </c>
      <c r="DJ54" s="614" t="str">
        <f t="shared" ref="DJ54:DJ68" si="55">IF(DJ5="","",IF(DD5=0,"N",(DJ5/DD5-1)*100))</f>
        <v/>
      </c>
      <c r="DK54" s="614" t="str">
        <f t="shared" ref="DK54:DK68" si="56">IF(DK5="","",IF(DE5=0,"N",(DK5/DE5-1)*100))</f>
        <v/>
      </c>
      <c r="DL54" s="614" t="str">
        <f t="shared" ref="DL54:DL93" si="57">IF(DL5="","",IF(DF5=0,"N",(DL5/DF5-1)*100))</f>
        <v/>
      </c>
      <c r="DM54" s="614" t="str">
        <f t="shared" ref="DM54:DM61" si="58">IF(DM5="","",IF(DG5=0,"N",(DM5/DG5-1)*100))</f>
        <v/>
      </c>
      <c r="DN54" s="553"/>
      <c r="DO54" s="613">
        <f t="shared" ref="DO54:DO68" ca="1" si="59">IF(DO5="","",IF(DI5=0,"N",(DO5/DI5-1)*100))</f>
        <v>4.4247138069799297</v>
      </c>
      <c r="DP54" s="614" t="str">
        <f t="shared" ref="DP54:DP68" si="60">IF(DP5="","",IF(DJ5=0,"N",(DP5/DJ5-1)*100))</f>
        <v/>
      </c>
      <c r="DQ54" s="614" t="str">
        <f t="shared" ref="DQ54:DQ68" si="61">IF(DQ5="","",IF(DK5=0,"N",(DQ5/DK5-1)*100))</f>
        <v/>
      </c>
      <c r="DR54" s="614" t="str">
        <f t="shared" ref="DR54:DR93" si="62">IF(DR5="","",IF(DL5=0,"N",(DR5/DL5-1)*100))</f>
        <v/>
      </c>
      <c r="DS54" s="614" t="str">
        <f t="shared" ref="DS54:DS61" si="63">IF(DS5="","",IF(DM5=0,"N",(DS5/DM5-1)*100))</f>
        <v/>
      </c>
      <c r="DT54" s="553"/>
      <c r="DU54" s="613">
        <f t="shared" ref="DU54:DU68" ca="1" si="64">IF(DU5="","",IF(DO5=0,"N",(DU5/DO5-1)*100))</f>
        <v>6.6131174787644964</v>
      </c>
      <c r="DV54" s="614" t="str">
        <f t="shared" ref="DV54:DV68" si="65">IF(DV5="","",IF(DP5=0,"N",(DV5/DP5-1)*100))</f>
        <v/>
      </c>
      <c r="DW54" s="614" t="str">
        <f t="shared" ref="DW54:DW68" si="66">IF(DW5="","",IF(DQ5=0,"N",(DW5/DQ5-1)*100))</f>
        <v/>
      </c>
      <c r="DX54" s="614" t="str">
        <f t="shared" ref="DX54:DX93" si="67">IF(DX5="","",IF(DR5=0,"N",(DX5/DR5-1)*100))</f>
        <v/>
      </c>
      <c r="DY54" s="614" t="str">
        <f t="shared" ref="DY54:DY61" si="68">IF(DY5="","",IF(DS5=0,"N",(DY5/DS5-1)*100))</f>
        <v/>
      </c>
      <c r="DZ54" s="553"/>
      <c r="EA54" s="613">
        <f t="shared" ref="EA54:EA68" ca="1" si="69">IF(EA5="","",IF(DU5=0,"N",(EA5/DU5-1)*100))</f>
        <v>4.3782486576955382</v>
      </c>
      <c r="EB54" s="614" t="str">
        <f t="shared" ref="EB54:EB68" si="70">IF(EB5="","",IF(DV5=0,"N",(EB5/DV5-1)*100))</f>
        <v/>
      </c>
      <c r="EC54" s="614" t="str">
        <f t="shared" ref="EC54:EC68" si="71">IF(EC5="","",IF(DW5=0,"N",(EC5/DW5-1)*100))</f>
        <v/>
      </c>
      <c r="ED54" s="614" t="str">
        <f t="shared" ref="ED54:ED93" si="72">IF(ED5="","",IF(DX5=0,"N",(ED5/DX5-1)*100))</f>
        <v/>
      </c>
      <c r="EE54" s="614" t="str">
        <f t="shared" ref="EE54:EE61" si="73">IF(EE5="","",IF(DY5=0,"N",(EE5/DY5-1)*100))</f>
        <v/>
      </c>
      <c r="EF54" s="553"/>
      <c r="EG54" s="613">
        <f t="shared" ref="EG54:EG68" ca="1" si="74">IF(EG5="","",IF(EA5=0,"N",(EG5/EA5-1)*100))</f>
        <v>4.4100360802891814</v>
      </c>
      <c r="EH54" s="614" t="str">
        <f t="shared" ref="EH54:EH68" si="75">IF(EH5="","",IF(EB5=0,"N",(EH5/EB5-1)*100))</f>
        <v/>
      </c>
      <c r="EI54" s="614" t="str">
        <f t="shared" ref="EI54:EI68" si="76">IF(EI5="","",IF(EC5=0,"N",(EI5/EC5-1)*100))</f>
        <v/>
      </c>
      <c r="EJ54" s="614" t="str">
        <f t="shared" ref="EJ54:EJ93" si="77">IF(EJ5="","",IF(ED5=0,"N",(EJ5/ED5-1)*100))</f>
        <v/>
      </c>
      <c r="EK54" s="614" t="str">
        <f t="shared" ref="EK54:EK61" si="78">IF(EK5="","",IF(EE5=0,"N",(EK5/EE5-1)*100))</f>
        <v/>
      </c>
      <c r="EL54" s="553"/>
      <c r="EM54" s="613">
        <f t="shared" ref="EM54:EM68" ca="1" si="79">IF(EM5="","",IF(EG5=0,"N",(EM5/EG5-1)*100))</f>
        <v>4.8980364670283993</v>
      </c>
      <c r="EN54" s="614" t="str">
        <f t="shared" ref="EN54:EN68" si="80">IF(EN5="","",IF(EH5=0,"N",(EN5/EH5-1)*100))</f>
        <v/>
      </c>
      <c r="EO54" s="614" t="str">
        <f t="shared" ref="EO54:EO68" si="81">IF(EO5="","",IF(EI5=0,"N",(EO5/EI5-1)*100))</f>
        <v/>
      </c>
      <c r="EP54" s="614" t="str">
        <f t="shared" ref="EP54:EP93" si="82">IF(EP5="","",IF(EJ5=0,"N",(EP5/EJ5-1)*100))</f>
        <v/>
      </c>
      <c r="EQ54" s="614" t="str">
        <f t="shared" ref="EQ54:EQ61" si="83">IF(EQ5="","",IF(EK5=0,"N",(EQ5/EK5-1)*100))</f>
        <v/>
      </c>
      <c r="ER54" s="553"/>
      <c r="ES54" s="613">
        <f t="shared" ref="ES54:ES68" ca="1" si="84">IF(ES5="","",IF(EM5=0,"N",(ES5/EM5-1)*100))</f>
        <v>3.7812749119215061</v>
      </c>
      <c r="ET54" s="614" t="str">
        <f t="shared" ref="ET54:ET68" si="85">IF(ET5="","",IF(EN5=0,"N",(ET5/EN5-1)*100))</f>
        <v/>
      </c>
      <c r="EU54" s="614" t="str">
        <f t="shared" ref="EU54:EU68" si="86">IF(EU5="","",IF(EO5=0,"N",(EU5/EO5-1)*100))</f>
        <v/>
      </c>
      <c r="EV54" s="614" t="str">
        <f t="shared" ref="EV54:EV93" si="87">IF(EV5="","",IF(EP5=0,"N",(EV5/EP5-1)*100))</f>
        <v/>
      </c>
      <c r="EW54" s="614" t="str">
        <f t="shared" ref="EW54:EW61" si="88">IF(EW5="","",IF(EQ5=0,"N",(EW5/EQ5-1)*100))</f>
        <v/>
      </c>
      <c r="EX54" s="553"/>
      <c r="EY54" s="613">
        <f t="shared" ref="EY54:EY68" ca="1" si="89">IF(EY5="","",IF(ES5=0,"N",(EY5/ES5-1)*100))</f>
        <v>3.5451641625984909</v>
      </c>
      <c r="EZ54" s="614" t="str">
        <f t="shared" ref="EZ54:EZ68" si="90">IF(EZ5="","",IF(ET5=0,"N",(EZ5/ET5-1)*100))</f>
        <v/>
      </c>
      <c r="FA54" s="614" t="str">
        <f t="shared" ref="FA54:FA68" si="91">IF(FA5="","",IF(EU5=0,"N",(FA5/EU5-1)*100))</f>
        <v/>
      </c>
      <c r="FB54" s="614" t="str">
        <f t="shared" ref="FB54:FB93" si="92">IF(FB5="","",IF(EV5=0,"N",(FB5/EV5-1)*100))</f>
        <v/>
      </c>
      <c r="FC54" s="614" t="str">
        <f t="shared" ref="FC54:FC61" si="93">IF(FC5="","",IF(EW5=0,"N",(FC5/EW5-1)*100))</f>
        <v/>
      </c>
      <c r="FD54" s="553"/>
    </row>
    <row r="55" spans="1:160" ht="13.15">
      <c r="B55" s="555" t="s">
        <v>301</v>
      </c>
      <c r="C55" s="3855" t="s">
        <v>2021</v>
      </c>
      <c r="D55" s="3856"/>
      <c r="E55" s="615"/>
      <c r="F55" s="616"/>
      <c r="G55" s="616"/>
      <c r="H55" s="616"/>
      <c r="I55" s="617"/>
      <c r="J55" s="553"/>
      <c r="K55" s="615">
        <f t="shared" ca="1" si="13"/>
        <v>-0.57698614828342043</v>
      </c>
      <c r="L55" s="616" t="str">
        <f t="shared" si="13"/>
        <v/>
      </c>
      <c r="M55" s="616" t="str">
        <f t="shared" si="13"/>
        <v/>
      </c>
      <c r="N55" s="616" t="str">
        <f t="shared" si="13"/>
        <v/>
      </c>
      <c r="O55" s="617" t="str">
        <f t="shared" si="13"/>
        <v/>
      </c>
      <c r="P55" s="553"/>
      <c r="Q55" s="615">
        <f t="shared" ca="1" si="14"/>
        <v>2.1511069118868908</v>
      </c>
      <c r="R55" s="616" t="str">
        <f t="shared" si="14"/>
        <v/>
      </c>
      <c r="S55" s="616" t="str">
        <f t="shared" si="14"/>
        <v/>
      </c>
      <c r="T55" s="616" t="str">
        <f t="shared" si="14"/>
        <v/>
      </c>
      <c r="U55" s="617" t="str">
        <f t="shared" si="14"/>
        <v/>
      </c>
      <c r="V55" s="553"/>
      <c r="W55" s="615">
        <f t="shared" ca="1" si="15"/>
        <v>5.9323047482358504</v>
      </c>
      <c r="X55" s="616" t="str">
        <f t="shared" si="15"/>
        <v/>
      </c>
      <c r="Y55" s="616" t="str">
        <f t="shared" si="15"/>
        <v/>
      </c>
      <c r="Z55" s="616" t="str">
        <f t="shared" si="15"/>
        <v/>
      </c>
      <c r="AA55" s="617" t="str">
        <f t="shared" si="15"/>
        <v/>
      </c>
      <c r="AB55" s="553"/>
      <c r="AC55" s="615">
        <f t="shared" ca="1" si="16"/>
        <v>5.3479357193933375</v>
      </c>
      <c r="AD55" s="616" t="str">
        <f t="shared" si="16"/>
        <v/>
      </c>
      <c r="AE55" s="616" t="str">
        <f t="shared" si="16"/>
        <v/>
      </c>
      <c r="AF55" s="616" t="str">
        <f t="shared" si="16"/>
        <v/>
      </c>
      <c r="AG55" s="617" t="str">
        <f t="shared" si="16"/>
        <v/>
      </c>
      <c r="AH55" s="553"/>
      <c r="AI55" s="615">
        <f t="shared" ca="1" si="17"/>
        <v>3.3859674192626477</v>
      </c>
      <c r="AJ55" s="616" t="str">
        <f t="shared" si="17"/>
        <v/>
      </c>
      <c r="AK55" s="616" t="str">
        <f t="shared" si="17"/>
        <v/>
      </c>
      <c r="AL55" s="616" t="str">
        <f t="shared" si="17"/>
        <v/>
      </c>
      <c r="AM55" s="617" t="str">
        <f t="shared" si="17"/>
        <v/>
      </c>
      <c r="AN55" s="553"/>
      <c r="AO55" s="615">
        <f t="shared" ca="1" si="18"/>
        <v>5.2585021320119552</v>
      </c>
      <c r="AP55" s="616" t="str">
        <f t="shared" si="18"/>
        <v/>
      </c>
      <c r="AQ55" s="616" t="str">
        <f t="shared" si="18"/>
        <v/>
      </c>
      <c r="AR55" s="616" t="str">
        <f t="shared" si="18"/>
        <v/>
      </c>
      <c r="AS55" s="617" t="str">
        <f t="shared" si="18"/>
        <v/>
      </c>
      <c r="AT55" s="553"/>
      <c r="AU55" s="615">
        <f t="shared" ca="1" si="19"/>
        <v>4.9938282952963764</v>
      </c>
      <c r="AV55" s="616" t="str">
        <f t="shared" si="19"/>
        <v/>
      </c>
      <c r="AW55" s="616" t="str">
        <f t="shared" si="19"/>
        <v/>
      </c>
      <c r="AX55" s="616" t="str">
        <f t="shared" si="19"/>
        <v/>
      </c>
      <c r="AY55" s="617" t="str">
        <f t="shared" si="19"/>
        <v/>
      </c>
      <c r="AZ55" s="553"/>
      <c r="BA55" s="615">
        <f t="shared" ca="1" si="20"/>
        <v>4.1312830646472509</v>
      </c>
      <c r="BB55" s="616" t="str">
        <f t="shared" si="20"/>
        <v/>
      </c>
      <c r="BC55" s="616" t="str">
        <f t="shared" si="20"/>
        <v/>
      </c>
      <c r="BD55" s="616" t="str">
        <f t="shared" si="20"/>
        <v/>
      </c>
      <c r="BE55" s="617" t="str">
        <f t="shared" si="20"/>
        <v/>
      </c>
      <c r="BF55" s="553"/>
      <c r="BG55" s="615">
        <f t="shared" ca="1" si="21"/>
        <v>3.4536288324860998</v>
      </c>
      <c r="BH55" s="616" t="str">
        <f t="shared" si="22"/>
        <v/>
      </c>
      <c r="BI55" s="616" t="str">
        <f t="shared" si="23"/>
        <v/>
      </c>
      <c r="BJ55" s="616" t="str">
        <f t="shared" si="24"/>
        <v/>
      </c>
      <c r="BK55" s="617" t="str">
        <f t="shared" si="25"/>
        <v/>
      </c>
      <c r="BL55" s="553"/>
      <c r="BM55" s="615">
        <f t="shared" ca="1" si="26"/>
        <v>5.1572662918706769</v>
      </c>
      <c r="BN55" s="616" t="str">
        <f t="shared" si="26"/>
        <v/>
      </c>
      <c r="BO55" s="616" t="str">
        <f t="shared" si="26"/>
        <v/>
      </c>
      <c r="BP55" s="616" t="str">
        <f t="shared" si="26"/>
        <v/>
      </c>
      <c r="BQ55" s="617" t="str">
        <f t="shared" si="26"/>
        <v/>
      </c>
      <c r="BR55" s="553"/>
      <c r="BS55" s="615">
        <f t="shared" ca="1" si="27"/>
        <v>5.5438406677118079</v>
      </c>
      <c r="BT55" s="616" t="str">
        <f t="shared" si="27"/>
        <v/>
      </c>
      <c r="BU55" s="616" t="str">
        <f t="shared" si="27"/>
        <v/>
      </c>
      <c r="BV55" s="616" t="str">
        <f t="shared" si="27"/>
        <v/>
      </c>
      <c r="BW55" s="617" t="str">
        <f t="shared" si="27"/>
        <v/>
      </c>
      <c r="BX55" s="553"/>
      <c r="BY55" s="615">
        <f t="shared" ca="1" si="28"/>
        <v>5.7659820396550154</v>
      </c>
      <c r="BZ55" s="616" t="str">
        <f t="shared" si="28"/>
        <v/>
      </c>
      <c r="CA55" s="616" t="str">
        <f t="shared" si="28"/>
        <v/>
      </c>
      <c r="CB55" s="616" t="str">
        <f t="shared" si="28"/>
        <v/>
      </c>
      <c r="CC55" s="617" t="str">
        <f t="shared" si="28"/>
        <v/>
      </c>
      <c r="CD55" s="553"/>
      <c r="CE55" s="615">
        <f t="shared" ca="1" si="29"/>
        <v>1.9626799061434497</v>
      </c>
      <c r="CF55" s="616" t="str">
        <f t="shared" si="30"/>
        <v/>
      </c>
      <c r="CG55" s="616" t="str">
        <f t="shared" si="31"/>
        <v/>
      </c>
      <c r="CH55" s="616" t="str">
        <f t="shared" si="32"/>
        <v/>
      </c>
      <c r="CI55" s="617" t="str">
        <f t="shared" si="33"/>
        <v/>
      </c>
      <c r="CJ55" s="553"/>
      <c r="CK55" s="615">
        <f t="shared" ca="1" si="34"/>
        <v>1.4054827406428494</v>
      </c>
      <c r="CL55" s="616" t="str">
        <f t="shared" si="35"/>
        <v/>
      </c>
      <c r="CM55" s="616" t="str">
        <f t="shared" si="36"/>
        <v/>
      </c>
      <c r="CN55" s="616" t="str">
        <f t="shared" si="37"/>
        <v/>
      </c>
      <c r="CO55" s="617" t="str">
        <f t="shared" si="38"/>
        <v/>
      </c>
      <c r="CP55" s="553"/>
      <c r="CQ55" s="615">
        <f t="shared" ca="1" si="39"/>
        <v>5.8680332200650165</v>
      </c>
      <c r="CR55" s="616" t="str">
        <f t="shared" si="40"/>
        <v/>
      </c>
      <c r="CS55" s="616" t="str">
        <f t="shared" si="41"/>
        <v/>
      </c>
      <c r="CT55" s="616" t="str">
        <f t="shared" si="42"/>
        <v/>
      </c>
      <c r="CU55" s="617" t="str">
        <f t="shared" si="43"/>
        <v/>
      </c>
      <c r="CV55" s="553"/>
      <c r="CW55" s="615">
        <f t="shared" ca="1" si="44"/>
        <v>2.0983917600289059</v>
      </c>
      <c r="CX55" s="616" t="str">
        <f t="shared" si="45"/>
        <v/>
      </c>
      <c r="CY55" s="616" t="str">
        <f t="shared" si="46"/>
        <v/>
      </c>
      <c r="CZ55" s="616" t="str">
        <f t="shared" si="47"/>
        <v/>
      </c>
      <c r="DA55" s="617" t="str">
        <f t="shared" si="48"/>
        <v/>
      </c>
      <c r="DB55" s="553"/>
      <c r="DC55" s="615">
        <f t="shared" ca="1" si="49"/>
        <v>-0.58516404504325159</v>
      </c>
      <c r="DD55" s="616" t="str">
        <f t="shared" si="50"/>
        <v/>
      </c>
      <c r="DE55" s="616" t="str">
        <f t="shared" si="51"/>
        <v/>
      </c>
      <c r="DF55" s="616" t="str">
        <f t="shared" si="52"/>
        <v/>
      </c>
      <c r="DG55" s="617" t="str">
        <f t="shared" si="53"/>
        <v/>
      </c>
      <c r="DH55" s="553"/>
      <c r="DI55" s="615">
        <f t="shared" ca="1" si="54"/>
        <v>1.2973863117955231</v>
      </c>
      <c r="DJ55" s="616" t="str">
        <f t="shared" si="55"/>
        <v/>
      </c>
      <c r="DK55" s="616" t="str">
        <f t="shared" si="56"/>
        <v/>
      </c>
      <c r="DL55" s="616" t="str">
        <f t="shared" si="57"/>
        <v/>
      </c>
      <c r="DM55" s="617" t="str">
        <f t="shared" si="58"/>
        <v/>
      </c>
      <c r="DN55" s="553"/>
      <c r="DO55" s="615">
        <f t="shared" ca="1" si="59"/>
        <v>3.3783323630532047</v>
      </c>
      <c r="DP55" s="616" t="str">
        <f t="shared" si="60"/>
        <v/>
      </c>
      <c r="DQ55" s="616" t="str">
        <f t="shared" si="61"/>
        <v/>
      </c>
      <c r="DR55" s="616" t="str">
        <f t="shared" si="62"/>
        <v/>
      </c>
      <c r="DS55" s="617" t="str">
        <f t="shared" si="63"/>
        <v/>
      </c>
      <c r="DT55" s="553"/>
      <c r="DU55" s="615">
        <f t="shared" ca="1" si="64"/>
        <v>6.7825820860950348</v>
      </c>
      <c r="DV55" s="616" t="str">
        <f t="shared" si="65"/>
        <v/>
      </c>
      <c r="DW55" s="616" t="str">
        <f t="shared" si="66"/>
        <v/>
      </c>
      <c r="DX55" s="616" t="str">
        <f t="shared" si="67"/>
        <v/>
      </c>
      <c r="DY55" s="617" t="str">
        <f t="shared" si="68"/>
        <v/>
      </c>
      <c r="DZ55" s="553"/>
      <c r="EA55" s="615">
        <f t="shared" ca="1" si="69"/>
        <v>5.9531532965830136</v>
      </c>
      <c r="EB55" s="616" t="str">
        <f t="shared" si="70"/>
        <v/>
      </c>
      <c r="EC55" s="616" t="str">
        <f t="shared" si="71"/>
        <v/>
      </c>
      <c r="ED55" s="616" t="str">
        <f t="shared" si="72"/>
        <v/>
      </c>
      <c r="EE55" s="617" t="str">
        <f t="shared" si="73"/>
        <v/>
      </c>
      <c r="EF55" s="553"/>
      <c r="EG55" s="615">
        <f t="shared" ca="1" si="74"/>
        <v>4.1400891052659317</v>
      </c>
      <c r="EH55" s="616" t="str">
        <f t="shared" si="75"/>
        <v/>
      </c>
      <c r="EI55" s="616" t="str">
        <f t="shared" si="76"/>
        <v/>
      </c>
      <c r="EJ55" s="616" t="str">
        <f t="shared" si="77"/>
        <v/>
      </c>
      <c r="EK55" s="617" t="str">
        <f t="shared" si="78"/>
        <v/>
      </c>
      <c r="EL55" s="553"/>
      <c r="EM55" s="615">
        <f t="shared" ca="1" si="79"/>
        <v>4.9391639287926559</v>
      </c>
      <c r="EN55" s="616" t="str">
        <f t="shared" si="80"/>
        <v/>
      </c>
      <c r="EO55" s="616" t="str">
        <f t="shared" si="81"/>
        <v/>
      </c>
      <c r="EP55" s="616" t="str">
        <f t="shared" si="82"/>
        <v/>
      </c>
      <c r="EQ55" s="617" t="str">
        <f t="shared" si="83"/>
        <v/>
      </c>
      <c r="ER55" s="553"/>
      <c r="ES55" s="615">
        <f t="shared" ca="1" si="84"/>
        <v>4.390520198473391</v>
      </c>
      <c r="ET55" s="616" t="str">
        <f t="shared" si="85"/>
        <v/>
      </c>
      <c r="EU55" s="616" t="str">
        <f t="shared" si="86"/>
        <v/>
      </c>
      <c r="EV55" s="616" t="str">
        <f t="shared" si="87"/>
        <v/>
      </c>
      <c r="EW55" s="617" t="str">
        <f t="shared" si="88"/>
        <v/>
      </c>
      <c r="EX55" s="553"/>
      <c r="EY55" s="615">
        <f t="shared" ca="1" si="89"/>
        <v>3.5375373553437228</v>
      </c>
      <c r="EZ55" s="616" t="str">
        <f t="shared" si="90"/>
        <v/>
      </c>
      <c r="FA55" s="616" t="str">
        <f t="shared" si="91"/>
        <v/>
      </c>
      <c r="FB55" s="616" t="str">
        <f t="shared" si="92"/>
        <v/>
      </c>
      <c r="FC55" s="617" t="str">
        <f t="shared" si="93"/>
        <v/>
      </c>
      <c r="FD55" s="553"/>
    </row>
    <row r="56" spans="1:160" ht="13.15">
      <c r="B56" s="555" t="s">
        <v>1791</v>
      </c>
      <c r="C56" s="3855" t="s">
        <v>2022</v>
      </c>
      <c r="D56" s="3856"/>
      <c r="E56" s="615"/>
      <c r="F56" s="616"/>
      <c r="G56" s="616"/>
      <c r="H56" s="616"/>
      <c r="I56" s="617"/>
      <c r="J56" s="553"/>
      <c r="K56" s="615">
        <f t="shared" ca="1" si="13"/>
        <v>1.5635000457163928</v>
      </c>
      <c r="L56" s="616" t="str">
        <f t="shared" si="13"/>
        <v/>
      </c>
      <c r="M56" s="616" t="str">
        <f t="shared" si="13"/>
        <v/>
      </c>
      <c r="N56" s="616" t="str">
        <f t="shared" si="13"/>
        <v/>
      </c>
      <c r="O56" s="617" t="str">
        <f t="shared" si="13"/>
        <v/>
      </c>
      <c r="P56" s="553"/>
      <c r="Q56" s="615">
        <f t="shared" ca="1" si="14"/>
        <v>1.4944184371624036</v>
      </c>
      <c r="R56" s="616" t="str">
        <f t="shared" si="14"/>
        <v/>
      </c>
      <c r="S56" s="616" t="str">
        <f t="shared" si="14"/>
        <v/>
      </c>
      <c r="T56" s="616" t="str">
        <f t="shared" si="14"/>
        <v/>
      </c>
      <c r="U56" s="617" t="str">
        <f t="shared" si="14"/>
        <v/>
      </c>
      <c r="V56" s="553"/>
      <c r="W56" s="615">
        <f t="shared" ca="1" si="15"/>
        <v>-1.3038850452368189</v>
      </c>
      <c r="X56" s="616" t="str">
        <f t="shared" si="15"/>
        <v/>
      </c>
      <c r="Y56" s="616" t="str">
        <f t="shared" si="15"/>
        <v/>
      </c>
      <c r="Z56" s="616" t="str">
        <f t="shared" si="15"/>
        <v/>
      </c>
      <c r="AA56" s="617" t="str">
        <f t="shared" si="15"/>
        <v/>
      </c>
      <c r="AB56" s="553"/>
      <c r="AC56" s="615">
        <f t="shared" ca="1" si="16"/>
        <v>1.8243911206973884</v>
      </c>
      <c r="AD56" s="616" t="str">
        <f t="shared" si="16"/>
        <v/>
      </c>
      <c r="AE56" s="616" t="str">
        <f t="shared" si="16"/>
        <v/>
      </c>
      <c r="AF56" s="616" t="str">
        <f t="shared" si="16"/>
        <v/>
      </c>
      <c r="AG56" s="617" t="str">
        <f t="shared" si="16"/>
        <v/>
      </c>
      <c r="AH56" s="553"/>
      <c r="AI56" s="615">
        <f t="shared" ca="1" si="17"/>
        <v>13.124448367166819</v>
      </c>
      <c r="AJ56" s="616" t="str">
        <f t="shared" si="17"/>
        <v/>
      </c>
      <c r="AK56" s="616" t="str">
        <f t="shared" si="17"/>
        <v/>
      </c>
      <c r="AL56" s="616" t="str">
        <f t="shared" si="17"/>
        <v/>
      </c>
      <c r="AM56" s="617" t="str">
        <f t="shared" si="17"/>
        <v/>
      </c>
      <c r="AN56" s="553"/>
      <c r="AO56" s="615">
        <f t="shared" ca="1" si="18"/>
        <v>7.4978544121089286</v>
      </c>
      <c r="AP56" s="616" t="str">
        <f t="shared" si="18"/>
        <v/>
      </c>
      <c r="AQ56" s="616" t="str">
        <f t="shared" si="18"/>
        <v/>
      </c>
      <c r="AR56" s="616" t="str">
        <f t="shared" si="18"/>
        <v/>
      </c>
      <c r="AS56" s="617" t="str">
        <f t="shared" si="18"/>
        <v/>
      </c>
      <c r="AT56" s="553"/>
      <c r="AU56" s="615">
        <f t="shared" ca="1" si="19"/>
        <v>6.9966613441718728</v>
      </c>
      <c r="AV56" s="616" t="str">
        <f t="shared" si="19"/>
        <v/>
      </c>
      <c r="AW56" s="616" t="str">
        <f t="shared" si="19"/>
        <v/>
      </c>
      <c r="AX56" s="616" t="str">
        <f t="shared" si="19"/>
        <v/>
      </c>
      <c r="AY56" s="617" t="str">
        <f t="shared" si="19"/>
        <v/>
      </c>
      <c r="AZ56" s="553"/>
      <c r="BA56" s="615">
        <f t="shared" ca="1" si="20"/>
        <v>8.3435083435083435</v>
      </c>
      <c r="BB56" s="616" t="str">
        <f t="shared" si="20"/>
        <v/>
      </c>
      <c r="BC56" s="616" t="str">
        <f t="shared" si="20"/>
        <v/>
      </c>
      <c r="BD56" s="616" t="str">
        <f t="shared" si="20"/>
        <v/>
      </c>
      <c r="BE56" s="617" t="str">
        <f t="shared" si="20"/>
        <v/>
      </c>
      <c r="BF56" s="553"/>
      <c r="BG56" s="615">
        <f t="shared" ca="1" si="21"/>
        <v>2.5482093663911964</v>
      </c>
      <c r="BH56" s="616" t="str">
        <f t="shared" si="22"/>
        <v/>
      </c>
      <c r="BI56" s="616" t="str">
        <f t="shared" si="23"/>
        <v/>
      </c>
      <c r="BJ56" s="616" t="str">
        <f t="shared" si="24"/>
        <v/>
      </c>
      <c r="BK56" s="617" t="str">
        <f t="shared" si="25"/>
        <v/>
      </c>
      <c r="BL56" s="553"/>
      <c r="BM56" s="615">
        <f t="shared" ca="1" si="26"/>
        <v>-18.230661212528243</v>
      </c>
      <c r="BN56" s="616" t="str">
        <f t="shared" si="26"/>
        <v/>
      </c>
      <c r="BO56" s="616" t="str">
        <f t="shared" si="26"/>
        <v/>
      </c>
      <c r="BP56" s="616" t="str">
        <f t="shared" si="26"/>
        <v/>
      </c>
      <c r="BQ56" s="617" t="str">
        <f t="shared" si="26"/>
        <v/>
      </c>
      <c r="BR56" s="553"/>
      <c r="BS56" s="615">
        <f t="shared" ca="1" si="27"/>
        <v>7.2351228253565214</v>
      </c>
      <c r="BT56" s="616" t="str">
        <f t="shared" si="27"/>
        <v/>
      </c>
      <c r="BU56" s="616" t="str">
        <f t="shared" si="27"/>
        <v/>
      </c>
      <c r="BV56" s="616" t="str">
        <f t="shared" si="27"/>
        <v/>
      </c>
      <c r="BW56" s="617" t="str">
        <f t="shared" si="27"/>
        <v/>
      </c>
      <c r="BX56" s="553"/>
      <c r="BY56" s="615">
        <f t="shared" ca="1" si="28"/>
        <v>5.883581673861582</v>
      </c>
      <c r="BZ56" s="616" t="str">
        <f t="shared" si="28"/>
        <v/>
      </c>
      <c r="CA56" s="616" t="str">
        <f t="shared" si="28"/>
        <v/>
      </c>
      <c r="CB56" s="616" t="str">
        <f t="shared" si="28"/>
        <v/>
      </c>
      <c r="CC56" s="617" t="str">
        <f t="shared" si="28"/>
        <v/>
      </c>
      <c r="CD56" s="553"/>
      <c r="CE56" s="615">
        <f t="shared" ca="1" si="29"/>
        <v>10.442559347668844</v>
      </c>
      <c r="CF56" s="616" t="str">
        <f t="shared" si="30"/>
        <v/>
      </c>
      <c r="CG56" s="616" t="str">
        <f t="shared" si="31"/>
        <v/>
      </c>
      <c r="CH56" s="616" t="str">
        <f t="shared" si="32"/>
        <v/>
      </c>
      <c r="CI56" s="617" t="str">
        <f t="shared" si="33"/>
        <v/>
      </c>
      <c r="CJ56" s="553"/>
      <c r="CK56" s="615">
        <f t="shared" ca="1" si="34"/>
        <v>3.9416493003870068</v>
      </c>
      <c r="CL56" s="616" t="str">
        <f t="shared" si="35"/>
        <v/>
      </c>
      <c r="CM56" s="616" t="str">
        <f t="shared" si="36"/>
        <v/>
      </c>
      <c r="CN56" s="616" t="str">
        <f t="shared" si="37"/>
        <v/>
      </c>
      <c r="CO56" s="617" t="str">
        <f t="shared" si="38"/>
        <v/>
      </c>
      <c r="CP56" s="553"/>
      <c r="CQ56" s="615">
        <f t="shared" ca="1" si="39"/>
        <v>0.32078822248955419</v>
      </c>
      <c r="CR56" s="616" t="str">
        <f t="shared" si="40"/>
        <v/>
      </c>
      <c r="CS56" s="616" t="str">
        <f t="shared" si="41"/>
        <v/>
      </c>
      <c r="CT56" s="616" t="str">
        <f t="shared" si="42"/>
        <v/>
      </c>
      <c r="CU56" s="617" t="str">
        <f t="shared" si="43"/>
        <v/>
      </c>
      <c r="CV56" s="553"/>
      <c r="CW56" s="615">
        <f t="shared" ca="1" si="44"/>
        <v>4.8592474162050925</v>
      </c>
      <c r="CX56" s="616" t="str">
        <f t="shared" si="45"/>
        <v/>
      </c>
      <c r="CY56" s="616" t="str">
        <f t="shared" si="46"/>
        <v/>
      </c>
      <c r="CZ56" s="616" t="str">
        <f t="shared" si="47"/>
        <v/>
      </c>
      <c r="DA56" s="617" t="str">
        <f t="shared" si="48"/>
        <v/>
      </c>
      <c r="DB56" s="553"/>
      <c r="DC56" s="615">
        <f t="shared" ca="1" si="49"/>
        <v>0.95839686342844566</v>
      </c>
      <c r="DD56" s="616" t="str">
        <f t="shared" si="50"/>
        <v/>
      </c>
      <c r="DE56" s="616" t="str">
        <f t="shared" si="51"/>
        <v/>
      </c>
      <c r="DF56" s="616" t="str">
        <f t="shared" si="52"/>
        <v/>
      </c>
      <c r="DG56" s="617" t="str">
        <f t="shared" si="53"/>
        <v/>
      </c>
      <c r="DH56" s="553"/>
      <c r="DI56" s="615">
        <f t="shared" ca="1" si="54"/>
        <v>0.98166127292342864</v>
      </c>
      <c r="DJ56" s="616" t="str">
        <f t="shared" si="55"/>
        <v/>
      </c>
      <c r="DK56" s="616" t="str">
        <f t="shared" si="56"/>
        <v/>
      </c>
      <c r="DL56" s="616" t="str">
        <f t="shared" si="57"/>
        <v/>
      </c>
      <c r="DM56" s="617" t="str">
        <f t="shared" si="58"/>
        <v/>
      </c>
      <c r="DN56" s="553"/>
      <c r="DO56" s="615">
        <f t="shared" ca="1" si="59"/>
        <v>10.105757931844895</v>
      </c>
      <c r="DP56" s="616" t="str">
        <f t="shared" si="60"/>
        <v/>
      </c>
      <c r="DQ56" s="616" t="str">
        <f t="shared" si="61"/>
        <v/>
      </c>
      <c r="DR56" s="616" t="str">
        <f t="shared" si="62"/>
        <v/>
      </c>
      <c r="DS56" s="617" t="str">
        <f t="shared" si="63"/>
        <v/>
      </c>
      <c r="DT56" s="553"/>
      <c r="DU56" s="615">
        <f t="shared" ca="1" si="64"/>
        <v>8.6009508101290386</v>
      </c>
      <c r="DV56" s="616" t="str">
        <f t="shared" si="65"/>
        <v/>
      </c>
      <c r="DW56" s="616" t="str">
        <f t="shared" si="66"/>
        <v/>
      </c>
      <c r="DX56" s="616" t="str">
        <f t="shared" si="67"/>
        <v/>
      </c>
      <c r="DY56" s="617" t="str">
        <f t="shared" si="68"/>
        <v/>
      </c>
      <c r="DZ56" s="553"/>
      <c r="EA56" s="615">
        <f t="shared" ca="1" si="69"/>
        <v>4.0023227766114333</v>
      </c>
      <c r="EB56" s="616" t="str">
        <f t="shared" si="70"/>
        <v/>
      </c>
      <c r="EC56" s="616" t="str">
        <f t="shared" si="71"/>
        <v/>
      </c>
      <c r="ED56" s="616" t="str">
        <f t="shared" si="72"/>
        <v/>
      </c>
      <c r="EE56" s="617" t="str">
        <f t="shared" si="73"/>
        <v/>
      </c>
      <c r="EF56" s="553"/>
      <c r="EG56" s="615">
        <f t="shared" ca="1" si="74"/>
        <v>5.841171670317391</v>
      </c>
      <c r="EH56" s="616" t="str">
        <f t="shared" si="75"/>
        <v/>
      </c>
      <c r="EI56" s="616" t="str">
        <f t="shared" si="76"/>
        <v/>
      </c>
      <c r="EJ56" s="616" t="str">
        <f t="shared" si="77"/>
        <v/>
      </c>
      <c r="EK56" s="617" t="str">
        <f t="shared" si="78"/>
        <v/>
      </c>
      <c r="EL56" s="553"/>
      <c r="EM56" s="615">
        <f t="shared" ca="1" si="79"/>
        <v>5.0000000000000044</v>
      </c>
      <c r="EN56" s="616" t="str">
        <f t="shared" si="80"/>
        <v/>
      </c>
      <c r="EO56" s="616" t="str">
        <f t="shared" si="81"/>
        <v/>
      </c>
      <c r="EP56" s="616" t="str">
        <f t="shared" si="82"/>
        <v/>
      </c>
      <c r="EQ56" s="617" t="str">
        <f t="shared" si="83"/>
        <v/>
      </c>
      <c r="ER56" s="553"/>
      <c r="ES56" s="615">
        <f t="shared" ca="1" si="84"/>
        <v>5.0000000000000044</v>
      </c>
      <c r="ET56" s="616" t="str">
        <f t="shared" si="85"/>
        <v/>
      </c>
      <c r="EU56" s="616" t="str">
        <f t="shared" si="86"/>
        <v/>
      </c>
      <c r="EV56" s="616" t="str">
        <f t="shared" si="87"/>
        <v/>
      </c>
      <c r="EW56" s="617" t="str">
        <f t="shared" si="88"/>
        <v/>
      </c>
      <c r="EX56" s="553"/>
      <c r="EY56" s="615">
        <f t="shared" ca="1" si="89"/>
        <v>5.0000000000000044</v>
      </c>
      <c r="EZ56" s="616" t="str">
        <f t="shared" si="90"/>
        <v/>
      </c>
      <c r="FA56" s="616" t="str">
        <f t="shared" si="91"/>
        <v/>
      </c>
      <c r="FB56" s="616" t="str">
        <f t="shared" si="92"/>
        <v/>
      </c>
      <c r="FC56" s="617" t="str">
        <f t="shared" si="93"/>
        <v/>
      </c>
      <c r="FD56" s="553"/>
    </row>
    <row r="57" spans="1:160" ht="13.15">
      <c r="B57" s="555" t="s">
        <v>1793</v>
      </c>
      <c r="C57" s="3853" t="s">
        <v>629</v>
      </c>
      <c r="D57" s="3853"/>
      <c r="E57" s="562"/>
      <c r="F57" s="562"/>
      <c r="G57" s="562"/>
      <c r="H57" s="562"/>
      <c r="I57" s="618"/>
      <c r="J57" s="563"/>
      <c r="K57" s="562">
        <f t="shared" ca="1" si="13"/>
        <v>3.0507780011299612</v>
      </c>
      <c r="L57" s="562">
        <f t="shared" ca="1" si="13"/>
        <v>3.1329912150995787</v>
      </c>
      <c r="M57" s="562">
        <f t="shared" ca="1" si="13"/>
        <v>2.3174839772836631</v>
      </c>
      <c r="N57" s="562">
        <f t="shared" ca="1" si="13"/>
        <v>5.2476495902201048</v>
      </c>
      <c r="O57" s="618" t="str">
        <f t="shared" si="13"/>
        <v/>
      </c>
      <c r="P57" s="563" t="str">
        <f ca="1">IF(ROUND(P8,2)=0,"ok","!")</f>
        <v>ok</v>
      </c>
      <c r="Q57" s="562">
        <f t="shared" ca="1" si="14"/>
        <v>4.8521769617480226</v>
      </c>
      <c r="R57" s="562">
        <f t="shared" ca="1" si="14"/>
        <v>1.4089891936263754</v>
      </c>
      <c r="S57" s="562">
        <f t="shared" ca="1" si="14"/>
        <v>6.1846666168762887</v>
      </c>
      <c r="T57" s="562">
        <f t="shared" ca="1" si="14"/>
        <v>2.4975584347939339</v>
      </c>
      <c r="U57" s="618" t="str">
        <f t="shared" si="14"/>
        <v/>
      </c>
      <c r="V57" s="563" t="str">
        <f ca="1">IF(ROUND(V8,2)=0,"ok","!")</f>
        <v>ok</v>
      </c>
      <c r="W57" s="562">
        <f t="shared" ca="1" si="15"/>
        <v>4.9034964783872592</v>
      </c>
      <c r="X57" s="562">
        <f t="shared" ca="1" si="15"/>
        <v>2.6479785323013427</v>
      </c>
      <c r="Y57" s="562">
        <f t="shared" ca="1" si="15"/>
        <v>5.9429388502871161</v>
      </c>
      <c r="Z57" s="562">
        <f t="shared" ca="1" si="15"/>
        <v>2.7454168942868451</v>
      </c>
      <c r="AA57" s="618" t="str">
        <f t="shared" si="15"/>
        <v/>
      </c>
      <c r="AB57" s="563" t="str">
        <f ca="1">IF(ROUND(AB8,2)=0,"ok","!")</f>
        <v>ok</v>
      </c>
      <c r="AC57" s="562">
        <f t="shared" ca="1" si="16"/>
        <v>5.4636187489403909</v>
      </c>
      <c r="AD57" s="562">
        <f t="shared" ca="1" si="16"/>
        <v>1.5523387706600555</v>
      </c>
      <c r="AE57" s="562">
        <f t="shared" ca="1" si="16"/>
        <v>6.3753160360005445</v>
      </c>
      <c r="AF57" s="562">
        <f t="shared" ca="1" si="16"/>
        <v>4.3677819818483066</v>
      </c>
      <c r="AG57" s="618" t="str">
        <f t="shared" si="16"/>
        <v/>
      </c>
      <c r="AH57" s="563" t="str">
        <f ca="1">IF(ROUND(AH8,2)=0,"ok","!")</f>
        <v>ok</v>
      </c>
      <c r="AI57" s="562">
        <f t="shared" ca="1" si="17"/>
        <v>6.8490448447070973</v>
      </c>
      <c r="AJ57" s="562">
        <f t="shared" ca="1" si="17"/>
        <v>11.752848192155895</v>
      </c>
      <c r="AK57" s="562">
        <f t="shared" ca="1" si="17"/>
        <v>7.4866899129695463</v>
      </c>
      <c r="AL57" s="562">
        <f t="shared" ca="1" si="17"/>
        <v>2.6066743754028288</v>
      </c>
      <c r="AM57" s="618" t="str">
        <f t="shared" si="17"/>
        <v/>
      </c>
      <c r="AN57" s="563" t="str">
        <f ca="1">IF(ROUND(AN8,2)=0,"ok","!")</f>
        <v>ok</v>
      </c>
      <c r="AO57" s="562">
        <f t="shared" ca="1" si="18"/>
        <v>3.9881919940010668</v>
      </c>
      <c r="AP57" s="562">
        <f t="shared" ca="1" si="18"/>
        <v>3.8008481231349256</v>
      </c>
      <c r="AQ57" s="562">
        <f t="shared" ca="1" si="18"/>
        <v>3.6125393725395361</v>
      </c>
      <c r="AR57" s="562">
        <f t="shared" ca="1" si="18"/>
        <v>5.3490149711453938</v>
      </c>
      <c r="AS57" s="618" t="str">
        <f t="shared" si="18"/>
        <v/>
      </c>
      <c r="AT57" s="563" t="str">
        <f ca="1">IF(ROUND(AT8,2)=0,"ok","!")</f>
        <v>ok</v>
      </c>
      <c r="AU57" s="562">
        <f t="shared" ca="1" si="19"/>
        <v>3.550535398557253</v>
      </c>
      <c r="AV57" s="562">
        <f t="shared" ca="1" si="19"/>
        <v>5.3448694846788269</v>
      </c>
      <c r="AW57" s="562">
        <f t="shared" ca="1" si="19"/>
        <v>2.7451484554501748</v>
      </c>
      <c r="AX57" s="562">
        <f t="shared" ca="1" si="19"/>
        <v>5.3704986453191106</v>
      </c>
      <c r="AY57" s="618" t="str">
        <f t="shared" si="19"/>
        <v/>
      </c>
      <c r="AZ57" s="563" t="str">
        <f ca="1">IF(ROUND(AZ8,2)=0,"ok","!")</f>
        <v>ok</v>
      </c>
      <c r="BA57" s="562">
        <f t="shared" ca="1" si="20"/>
        <v>4.1836189156466697</v>
      </c>
      <c r="BB57" s="562">
        <f t="shared" ca="1" si="20"/>
        <v>2.8669794649929914</v>
      </c>
      <c r="BC57" s="562">
        <f t="shared" ca="1" si="20"/>
        <v>3.8232238615574898</v>
      </c>
      <c r="BD57" s="562">
        <f t="shared" ca="1" si="20"/>
        <v>5.9813270757401726</v>
      </c>
      <c r="BE57" s="618" t="str">
        <f t="shared" si="20"/>
        <v/>
      </c>
      <c r="BF57" s="563" t="str">
        <f ca="1">IF(ROUND(BF8,2)=0,"ok","!")</f>
        <v>ok</v>
      </c>
      <c r="BG57" s="562">
        <f t="shared" ca="1" si="21"/>
        <v>4.926190691743848</v>
      </c>
      <c r="BH57" s="562">
        <f t="shared" ca="1" si="22"/>
        <v>0.82846395674047724</v>
      </c>
      <c r="BI57" s="562">
        <f t="shared" ca="1" si="23"/>
        <v>6.0164832617946251</v>
      </c>
      <c r="BJ57" s="562">
        <f t="shared" ca="1" si="24"/>
        <v>3.3644258098961988</v>
      </c>
      <c r="BK57" s="618" t="str">
        <f t="shared" si="25"/>
        <v/>
      </c>
      <c r="BL57" s="563" t="str">
        <f ca="1">IF(ROUND(BL8,2)=0,"ok","!")</f>
        <v>ok</v>
      </c>
      <c r="BM57" s="562">
        <f t="shared" ca="1" si="26"/>
        <v>3.2869816174973643</v>
      </c>
      <c r="BN57" s="562">
        <f t="shared" ca="1" si="26"/>
        <v>2.603451965807646</v>
      </c>
      <c r="BO57" s="562">
        <f t="shared" ca="1" si="26"/>
        <v>3.5688884846958313</v>
      </c>
      <c r="BP57" s="562">
        <f t="shared" ca="1" si="26"/>
        <v>2.677994941016526</v>
      </c>
      <c r="BQ57" s="618" t="str">
        <f t="shared" si="26"/>
        <v/>
      </c>
      <c r="BR57" s="563" t="str">
        <f ca="1">IF(ROUND(BR8,2)=0,"ok","!")</f>
        <v>ok</v>
      </c>
      <c r="BS57" s="562">
        <f t="shared" ca="1" si="27"/>
        <v>6.7544863617413409</v>
      </c>
      <c r="BT57" s="562">
        <f t="shared" ca="1" si="27"/>
        <v>5.9663889604626652</v>
      </c>
      <c r="BU57" s="562">
        <f t="shared" ca="1" si="27"/>
        <v>7.6979754819818558</v>
      </c>
      <c r="BV57" s="562">
        <f t="shared" ca="1" si="27"/>
        <v>4.0108010135197381</v>
      </c>
      <c r="BW57" s="618" t="str">
        <f t="shared" si="27"/>
        <v/>
      </c>
      <c r="BX57" s="563" t="str">
        <f ca="1">IF(ROUND(BX8,2)=0,"ok","!")</f>
        <v>ok</v>
      </c>
      <c r="BY57" s="562">
        <f t="shared" ca="1" si="28"/>
        <v>6.4701305178664015</v>
      </c>
      <c r="BZ57" s="562">
        <f t="shared" ca="1" si="28"/>
        <v>8.924277570428929</v>
      </c>
      <c r="CA57" s="562">
        <f t="shared" ca="1" si="28"/>
        <v>6.6624645709498331</v>
      </c>
      <c r="CB57" s="562">
        <f t="shared" ca="1" si="28"/>
        <v>4.6851216979387544</v>
      </c>
      <c r="CC57" s="618" t="str">
        <f t="shared" si="28"/>
        <v/>
      </c>
      <c r="CD57" s="563" t="str">
        <f ca="1">IF(ROUND(CD8,2)=0,"ok","!")</f>
        <v>ok</v>
      </c>
      <c r="CE57" s="562">
        <f t="shared" ca="1" si="29"/>
        <v>2.8968215944882747</v>
      </c>
      <c r="CF57" s="562">
        <f t="shared" ca="1" si="30"/>
        <v>-2.713553238156996</v>
      </c>
      <c r="CG57" s="562">
        <f t="shared" ca="1" si="31"/>
        <v>3.3195707970282484</v>
      </c>
      <c r="CH57" s="562">
        <f t="shared" ca="1" si="32"/>
        <v>4.1207764589179297</v>
      </c>
      <c r="CI57" s="618" t="str">
        <f t="shared" si="33"/>
        <v/>
      </c>
      <c r="CJ57" s="563" t="str">
        <f ca="1">IF(ROUND(CJ8,2)=0,"ok","!")</f>
        <v>ok</v>
      </c>
      <c r="CK57" s="562">
        <f t="shared" ca="1" si="34"/>
        <v>-3.4980913463576568</v>
      </c>
      <c r="CL57" s="562">
        <f t="shared" ca="1" si="35"/>
        <v>-2.6959989801679018</v>
      </c>
      <c r="CM57" s="562">
        <f t="shared" ca="1" si="36"/>
        <v>-4.8493468503503889</v>
      </c>
      <c r="CN57" s="562">
        <f t="shared" ca="1" si="37"/>
        <v>0.79072210693915679</v>
      </c>
      <c r="CO57" s="618" t="str">
        <f t="shared" si="38"/>
        <v/>
      </c>
      <c r="CP57" s="563" t="str">
        <f ca="1">IF(ROUND(CP8,2)=0,"ok","!")</f>
        <v>ok</v>
      </c>
      <c r="CQ57" s="562">
        <f t="shared" ca="1" si="39"/>
        <v>7.1709291889246574</v>
      </c>
      <c r="CR57" s="562">
        <f t="shared" ca="1" si="40"/>
        <v>5.7188203014751693</v>
      </c>
      <c r="CS57" s="562">
        <f t="shared" ca="1" si="41"/>
        <v>8.9578283617463228</v>
      </c>
      <c r="CT57" s="562">
        <f t="shared" ca="1" si="42"/>
        <v>1.9961769480650871</v>
      </c>
      <c r="CU57" s="618" t="str">
        <f t="shared" si="43"/>
        <v/>
      </c>
      <c r="CV57" s="563" t="str">
        <f ca="1">IF(ROUND(CV8,2)=0,"ok","!")</f>
        <v>ok</v>
      </c>
      <c r="CW57" s="562">
        <f t="shared" ca="1" si="44"/>
        <v>4.156047681917463</v>
      </c>
      <c r="CX57" s="562">
        <f t="shared" ca="1" si="45"/>
        <v>1.8832918482744487</v>
      </c>
      <c r="CY57" s="562">
        <f t="shared" ca="1" si="46"/>
        <v>4.7862281349410063</v>
      </c>
      <c r="CZ57" s="562">
        <f t="shared" ca="1" si="47"/>
        <v>2.9885870979617923</v>
      </c>
      <c r="DA57" s="618" t="str">
        <f t="shared" si="48"/>
        <v/>
      </c>
      <c r="DB57" s="563" t="str">
        <f ca="1">IF(ROUND(DB8,2)=0,"ok","!")</f>
        <v>ok</v>
      </c>
      <c r="DC57" s="562">
        <f t="shared" ca="1" si="49"/>
        <v>0.94965075570188073</v>
      </c>
      <c r="DD57" s="562">
        <f t="shared" ca="1" si="50"/>
        <v>-2.9223284100781899</v>
      </c>
      <c r="DE57" s="562">
        <f t="shared" ca="1" si="51"/>
        <v>0.53185776962871856</v>
      </c>
      <c r="DF57" s="562">
        <f t="shared" ca="1" si="52"/>
        <v>4.1410052742924863</v>
      </c>
      <c r="DG57" s="618" t="str">
        <f t="shared" si="53"/>
        <v/>
      </c>
      <c r="DH57" s="563" t="str">
        <f ca="1">IF(ROUND(DH8,2)=0,"ok","!")</f>
        <v>ok</v>
      </c>
      <c r="DI57" s="562">
        <f t="shared" ca="1" si="54"/>
        <v>2.4376574179738375</v>
      </c>
      <c r="DJ57" s="562">
        <f t="shared" ca="1" si="55"/>
        <v>1.1179884084326908</v>
      </c>
      <c r="DK57" s="562">
        <f t="shared" ca="1" si="56"/>
        <v>2.3635235381810116</v>
      </c>
      <c r="DL57" s="562">
        <f t="shared" ca="1" si="57"/>
        <v>3.2356718431892473</v>
      </c>
      <c r="DM57" s="618" t="str">
        <f t="shared" si="58"/>
        <v/>
      </c>
      <c r="DN57" s="563" t="str">
        <f ca="1">IF(ROUND(DN8,2)=0,"ok","!")</f>
        <v>ok</v>
      </c>
      <c r="DO57" s="562">
        <f t="shared" ca="1" si="59"/>
        <v>4.5992977905992216</v>
      </c>
      <c r="DP57" s="562">
        <f t="shared" ca="1" si="60"/>
        <v>2.9380735244137313</v>
      </c>
      <c r="DQ57" s="562">
        <f t="shared" ca="1" si="61"/>
        <v>5.1156405675909511</v>
      </c>
      <c r="DR57" s="562">
        <f t="shared" ca="1" si="62"/>
        <v>3.5273833700470547</v>
      </c>
      <c r="DS57" s="618" t="str">
        <f t="shared" si="63"/>
        <v/>
      </c>
      <c r="DT57" s="563" t="str">
        <f ca="1">IF(ROUND(DT8,2)=0,"ok","!")</f>
        <v>ok</v>
      </c>
      <c r="DU57" s="562">
        <f t="shared" ca="1" si="64"/>
        <v>6.6020121651141794</v>
      </c>
      <c r="DV57" s="562">
        <f t="shared" ca="1" si="65"/>
        <v>0.53686335606664137</v>
      </c>
      <c r="DW57" s="562">
        <f t="shared" ca="1" si="66"/>
        <v>7.8889763302863569</v>
      </c>
      <c r="DX57" s="562">
        <f t="shared" ca="1" si="67"/>
        <v>4.6287618380487228</v>
      </c>
      <c r="DY57" s="618" t="str">
        <f t="shared" si="68"/>
        <v/>
      </c>
      <c r="DZ57" s="563" t="str">
        <f ca="1">IF(ROUND(DZ8,2)=0,"ok","!")</f>
        <v>ok</v>
      </c>
      <c r="EA57" s="562">
        <f t="shared" ca="1" si="69"/>
        <v>4.1633346231566337</v>
      </c>
      <c r="EB57" s="562">
        <f t="shared" ca="1" si="70"/>
        <v>3.8358123178390935</v>
      </c>
      <c r="EC57" s="562">
        <f t="shared" ca="1" si="71"/>
        <v>3.8807448546324341</v>
      </c>
      <c r="ED57" s="562">
        <f t="shared" ca="1" si="72"/>
        <v>5.2895715603164417</v>
      </c>
      <c r="EE57" s="618" t="str">
        <f t="shared" si="73"/>
        <v/>
      </c>
      <c r="EF57" s="563" t="str">
        <f ca="1">IF(ROUND(EF8,2)=0,"ok","!")</f>
        <v>ok</v>
      </c>
      <c r="EG57" s="562">
        <f t="shared" ca="1" si="74"/>
        <v>4.4557081150022659</v>
      </c>
      <c r="EH57" s="562">
        <f t="shared" ca="1" si="75"/>
        <v>5.2112263084895805</v>
      </c>
      <c r="EI57" s="562">
        <f t="shared" ca="1" si="76"/>
        <v>4.2412656207689192</v>
      </c>
      <c r="EJ57" s="562">
        <f t="shared" ca="1" si="77"/>
        <v>4.9158861827645506</v>
      </c>
      <c r="EK57" s="618" t="str">
        <f t="shared" si="78"/>
        <v/>
      </c>
      <c r="EL57" s="563" t="str">
        <f ca="1">IF(ROUND(EL8,2)=0,"ok","!")</f>
        <v>ok</v>
      </c>
      <c r="EM57" s="562">
        <f t="shared" ca="1" si="79"/>
        <v>4.8930254054674105</v>
      </c>
      <c r="EN57" s="562">
        <f t="shared" ca="1" si="80"/>
        <v>3.4366200309635886</v>
      </c>
      <c r="EO57" s="562">
        <f t="shared" ca="1" si="81"/>
        <v>5.1767901243026326</v>
      </c>
      <c r="EP57" s="562">
        <f t="shared" ca="1" si="82"/>
        <v>4.4662038073461474</v>
      </c>
      <c r="EQ57" s="618" t="str">
        <f t="shared" si="83"/>
        <v/>
      </c>
      <c r="ER57" s="563" t="str">
        <f ca="1">IF(ROUND(ER8,2)=0,"ok","!")</f>
        <v>ok</v>
      </c>
      <c r="ES57" s="562">
        <f t="shared" ca="1" si="84"/>
        <v>3.7052385513229424</v>
      </c>
      <c r="ET57" s="562">
        <f t="shared" ca="1" si="85"/>
        <v>3.1943976645070649</v>
      </c>
      <c r="EU57" s="562">
        <f t="shared" ca="1" si="86"/>
        <v>3.7084279875117865</v>
      </c>
      <c r="EV57" s="562">
        <f t="shared" ca="1" si="87"/>
        <v>3.8875819897776775</v>
      </c>
      <c r="EW57" s="618" t="str">
        <f t="shared" si="88"/>
        <v/>
      </c>
      <c r="EX57" s="563" t="str">
        <f ca="1">IF(ROUND(EX8,2)=0,"ok","!")</f>
        <v>ok</v>
      </c>
      <c r="EY57" s="562">
        <f t="shared" ca="1" si="89"/>
        <v>3.5551897618169903</v>
      </c>
      <c r="EZ57" s="562">
        <f t="shared" ca="1" si="90"/>
        <v>3.3303509356632066</v>
      </c>
      <c r="FA57" s="562">
        <f t="shared" ca="1" si="91"/>
        <v>3.5357323238297989</v>
      </c>
      <c r="FB57" s="562">
        <f t="shared" ca="1" si="92"/>
        <v>3.7075856016635322</v>
      </c>
      <c r="FC57" s="618" t="str">
        <f t="shared" si="93"/>
        <v/>
      </c>
      <c r="FD57" s="563" t="str">
        <f ca="1">IF(ROUND(FD8,2)=0,"ok","!")</f>
        <v>ok</v>
      </c>
    </row>
    <row r="58" spans="1:160" ht="13.15">
      <c r="B58" s="555" t="s">
        <v>301</v>
      </c>
      <c r="C58" s="3855" t="s">
        <v>1767</v>
      </c>
      <c r="D58" s="3855"/>
      <c r="E58" s="619"/>
      <c r="F58" s="620"/>
      <c r="G58" s="621"/>
      <c r="H58" s="621"/>
      <c r="I58" s="622"/>
      <c r="J58" s="567"/>
      <c r="K58" s="619">
        <f t="shared" ca="1" si="13"/>
        <v>17.219029720385002</v>
      </c>
      <c r="L58" s="620">
        <f t="shared" ca="1" si="13"/>
        <v>26.536653317081658</v>
      </c>
      <c r="M58" s="621">
        <f t="shared" ca="1" si="13"/>
        <v>20.449549240667153</v>
      </c>
      <c r="N58" s="621">
        <f t="shared" ca="1" si="13"/>
        <v>7.527358471553236</v>
      </c>
      <c r="O58" s="622" t="str">
        <f t="shared" si="13"/>
        <v/>
      </c>
      <c r="P58" s="567"/>
      <c r="Q58" s="619">
        <f t="shared" ca="1" si="14"/>
        <v>1.9085303186022973</v>
      </c>
      <c r="R58" s="620">
        <f t="shared" ca="1" si="14"/>
        <v>-3.8255125911655363</v>
      </c>
      <c r="S58" s="621">
        <f t="shared" ca="1" si="14"/>
        <v>2.906777177780584</v>
      </c>
      <c r="T58" s="621">
        <f t="shared" ca="1" si="14"/>
        <v>2.0167185215729022</v>
      </c>
      <c r="U58" s="622" t="str">
        <f t="shared" si="14"/>
        <v/>
      </c>
      <c r="V58" s="567"/>
      <c r="W58" s="619">
        <f t="shared" ca="1" si="15"/>
        <v>29.83853888278183</v>
      </c>
      <c r="X58" s="620">
        <f t="shared" ca="1" si="15"/>
        <v>5.260647684456532</v>
      </c>
      <c r="Y58" s="621">
        <f t="shared" ca="1" si="15"/>
        <v>33.331435033396531</v>
      </c>
      <c r="Z58" s="621">
        <f t="shared" ca="1" si="15"/>
        <v>31.418335476759161</v>
      </c>
      <c r="AA58" s="622" t="str">
        <f t="shared" si="15"/>
        <v/>
      </c>
      <c r="AB58" s="567"/>
      <c r="AC58" s="619">
        <f t="shared" ca="1" si="16"/>
        <v>4.7190548685764</v>
      </c>
      <c r="AD58" s="620">
        <f t="shared" ca="1" si="16"/>
        <v>-1.9574082464884346</v>
      </c>
      <c r="AE58" s="621">
        <f t="shared" ca="1" si="16"/>
        <v>6.095663475443458</v>
      </c>
      <c r="AF58" s="621">
        <f t="shared" ca="1" si="16"/>
        <v>3.6250017474940721</v>
      </c>
      <c r="AG58" s="622" t="str">
        <f t="shared" si="16"/>
        <v/>
      </c>
      <c r="AH58" s="567"/>
      <c r="AI58" s="619">
        <f t="shared" ca="1" si="17"/>
        <v>-2.8538156572306073</v>
      </c>
      <c r="AJ58" s="620">
        <f t="shared" ca="1" si="17"/>
        <v>12.496533875589222</v>
      </c>
      <c r="AK58" s="621">
        <f t="shared" ca="1" si="17"/>
        <v>-1.5700753981262694</v>
      </c>
      <c r="AL58" s="621">
        <f t="shared" ca="1" si="17"/>
        <v>-10.34617667691975</v>
      </c>
      <c r="AM58" s="622" t="str">
        <f t="shared" si="17"/>
        <v/>
      </c>
      <c r="AN58" s="567"/>
      <c r="AO58" s="619">
        <f t="shared" ca="1" si="18"/>
        <v>4.4776746174755022</v>
      </c>
      <c r="AP58" s="620">
        <f t="shared" ca="1" si="18"/>
        <v>1.9636841672828975</v>
      </c>
      <c r="AQ58" s="621">
        <f t="shared" ca="1" si="18"/>
        <v>5.2919420147592433</v>
      </c>
      <c r="AR58" s="621">
        <f t="shared" ca="1" si="18"/>
        <v>3.3014822060040583</v>
      </c>
      <c r="AS58" s="622" t="str">
        <f t="shared" si="18"/>
        <v/>
      </c>
      <c r="AT58" s="567"/>
      <c r="AU58" s="619">
        <f t="shared" ca="1" si="19"/>
        <v>4.01062581986531</v>
      </c>
      <c r="AV58" s="620">
        <f t="shared" ca="1" si="19"/>
        <v>7.1796937953263473</v>
      </c>
      <c r="AW58" s="621">
        <f t="shared" ca="1" si="19"/>
        <v>3.0465472464540122</v>
      </c>
      <c r="AX58" s="621">
        <f t="shared" ca="1" si="19"/>
        <v>5.3955629360951995</v>
      </c>
      <c r="AY58" s="622" t="str">
        <f t="shared" si="19"/>
        <v/>
      </c>
      <c r="AZ58" s="567"/>
      <c r="BA58" s="619">
        <f t="shared" ca="1" si="20"/>
        <v>2.5146759693517318</v>
      </c>
      <c r="BB58" s="620">
        <f t="shared" ca="1" si="20"/>
        <v>4.9620329298549093</v>
      </c>
      <c r="BC58" s="621">
        <f t="shared" ca="1" si="20"/>
        <v>1.1034282206210166</v>
      </c>
      <c r="BD58" s="621">
        <f t="shared" ca="1" si="20"/>
        <v>5.2368250107113656</v>
      </c>
      <c r="BE58" s="622" t="str">
        <f t="shared" si="20"/>
        <v/>
      </c>
      <c r="BF58" s="567"/>
      <c r="BG58" s="619">
        <f t="shared" ca="1" si="21"/>
        <v>1.9601997210484834</v>
      </c>
      <c r="BH58" s="620">
        <f t="shared" ca="1" si="22"/>
        <v>0.2256285366377675</v>
      </c>
      <c r="BI58" s="621">
        <f t="shared" ca="1" si="23"/>
        <v>1.7683748528573684</v>
      </c>
      <c r="BJ58" s="621">
        <f t="shared" ca="1" si="24"/>
        <v>3.0692653200598885</v>
      </c>
      <c r="BK58" s="622" t="str">
        <f t="shared" si="25"/>
        <v/>
      </c>
      <c r="BL58" s="567"/>
      <c r="BM58" s="619">
        <f t="shared" ca="1" si="26"/>
        <v>3.6652135772551553</v>
      </c>
      <c r="BN58" s="620">
        <f t="shared" ca="1" si="26"/>
        <v>3.9807039485438622</v>
      </c>
      <c r="BO58" s="621">
        <f t="shared" ca="1" si="26"/>
        <v>4.0750956490791079</v>
      </c>
      <c r="BP58" s="621">
        <f t="shared" ca="1" si="26"/>
        <v>2.5548235833789956</v>
      </c>
      <c r="BQ58" s="622" t="str">
        <f t="shared" si="26"/>
        <v/>
      </c>
      <c r="BR58" s="567"/>
      <c r="BS58" s="619">
        <f t="shared" ca="1" si="27"/>
        <v>3.6183016029465165</v>
      </c>
      <c r="BT58" s="620">
        <f t="shared" ca="1" si="27"/>
        <v>1.3265060655005323</v>
      </c>
      <c r="BU58" s="621">
        <f t="shared" ca="1" si="27"/>
        <v>4.3118144924037871</v>
      </c>
      <c r="BV58" s="621">
        <f t="shared" ca="1" si="27"/>
        <v>2.7334625515630373</v>
      </c>
      <c r="BW58" s="622" t="str">
        <f t="shared" si="27"/>
        <v/>
      </c>
      <c r="BX58" s="567"/>
      <c r="BY58" s="619">
        <f t="shared" ca="1" si="28"/>
        <v>5.8696713309469573</v>
      </c>
      <c r="BZ58" s="620">
        <f t="shared" ca="1" si="28"/>
        <v>5.4129218246566024</v>
      </c>
      <c r="CA58" s="621">
        <f t="shared" ca="1" si="28"/>
        <v>6.7591347150508962</v>
      </c>
      <c r="CB58" s="621">
        <f t="shared" ca="1" si="28"/>
        <v>3.8012190992211314</v>
      </c>
      <c r="CC58" s="622" t="str">
        <f t="shared" si="28"/>
        <v/>
      </c>
      <c r="CD58" s="567"/>
      <c r="CE58" s="619">
        <f t="shared" ca="1" si="29"/>
        <v>4.5411421866641488</v>
      </c>
      <c r="CF58" s="620">
        <f t="shared" ca="1" si="30"/>
        <v>-7.1168881310125105</v>
      </c>
      <c r="CG58" s="621">
        <f t="shared" ca="1" si="31"/>
        <v>6.6432445369688731</v>
      </c>
      <c r="CH58" s="621">
        <f t="shared" ca="1" si="32"/>
        <v>3.3392755193587087</v>
      </c>
      <c r="CI58" s="622" t="str">
        <f t="shared" si="33"/>
        <v/>
      </c>
      <c r="CJ58" s="567"/>
      <c r="CK58" s="619">
        <f t="shared" ca="1" si="34"/>
        <v>-4.7956552714607303</v>
      </c>
      <c r="CL58" s="620">
        <f t="shared" ca="1" si="35"/>
        <v>1.1500225155010702</v>
      </c>
      <c r="CM58" s="621">
        <f t="shared" ca="1" si="36"/>
        <v>-6.6731878350567815</v>
      </c>
      <c r="CN58" s="621">
        <f t="shared" ca="1" si="37"/>
        <v>-1.7318164905911426</v>
      </c>
      <c r="CO58" s="622" t="str">
        <f t="shared" si="38"/>
        <v/>
      </c>
      <c r="CP58" s="567"/>
      <c r="CQ58" s="619">
        <f t="shared" ca="1" si="39"/>
        <v>3.2350120117712322</v>
      </c>
      <c r="CR58" s="620">
        <f t="shared" ca="1" si="40"/>
        <v>-1.5204958734289842</v>
      </c>
      <c r="CS58" s="621">
        <f t="shared" ca="1" si="41"/>
        <v>4.6384899838925575</v>
      </c>
      <c r="CT58" s="621">
        <f t="shared" ca="1" si="42"/>
        <v>1.279300572530051</v>
      </c>
      <c r="CU58" s="622" t="str">
        <f t="shared" si="43"/>
        <v/>
      </c>
      <c r="CV58" s="567"/>
      <c r="CW58" s="619">
        <f t="shared" ca="1" si="44"/>
        <v>4.1855675440892526</v>
      </c>
      <c r="CX58" s="620">
        <f t="shared" ca="1" si="45"/>
        <v>1.9125778071426014</v>
      </c>
      <c r="CY58" s="621">
        <f t="shared" ca="1" si="46"/>
        <v>4.6535829813804552</v>
      </c>
      <c r="CZ58" s="621">
        <f t="shared" ca="1" si="47"/>
        <v>3.7033260830161119</v>
      </c>
      <c r="DA58" s="622" t="str">
        <f t="shared" si="48"/>
        <v/>
      </c>
      <c r="DB58" s="567"/>
      <c r="DC58" s="619">
        <f t="shared" ca="1" si="49"/>
        <v>4.186660334954917</v>
      </c>
      <c r="DD58" s="620">
        <f t="shared" ca="1" si="50"/>
        <v>3.6441805711945996</v>
      </c>
      <c r="DE58" s="621">
        <f t="shared" ca="1" si="51"/>
        <v>4.7872384503832688</v>
      </c>
      <c r="DF58" s="621">
        <f t="shared" ca="1" si="52"/>
        <v>2.7768977835068487</v>
      </c>
      <c r="DG58" s="622" t="str">
        <f t="shared" si="53"/>
        <v/>
      </c>
      <c r="DH58" s="567"/>
      <c r="DI58" s="619">
        <f t="shared" ca="1" si="54"/>
        <v>2.7678992585368878</v>
      </c>
      <c r="DJ58" s="620">
        <f t="shared" ca="1" si="55"/>
        <v>1.306995884773654</v>
      </c>
      <c r="DK58" s="621">
        <f t="shared" ca="1" si="56"/>
        <v>2.8204377945781678</v>
      </c>
      <c r="DL58" s="621">
        <f t="shared" ca="1" si="57"/>
        <v>3.0983280720215278</v>
      </c>
      <c r="DM58" s="622" t="str">
        <f t="shared" si="58"/>
        <v/>
      </c>
      <c r="DN58" s="567"/>
      <c r="DO58" s="619">
        <f t="shared" ca="1" si="59"/>
        <v>2.6727212247329435</v>
      </c>
      <c r="DP58" s="620">
        <f t="shared" ca="1" si="60"/>
        <v>-0.36721695047445824</v>
      </c>
      <c r="DQ58" s="621">
        <f t="shared" ca="1" si="61"/>
        <v>2.7580690440206723</v>
      </c>
      <c r="DR58" s="621">
        <f t="shared" ca="1" si="62"/>
        <v>3.4083176972721008</v>
      </c>
      <c r="DS58" s="622" t="str">
        <f t="shared" si="63"/>
        <v/>
      </c>
      <c r="DT58" s="567"/>
      <c r="DU58" s="619">
        <f t="shared" ca="1" si="64"/>
        <v>5.9356258099514836</v>
      </c>
      <c r="DV58" s="620">
        <f t="shared" ca="1" si="65"/>
        <v>2.4593104797938636</v>
      </c>
      <c r="DW58" s="621">
        <f t="shared" ca="1" si="66"/>
        <v>6.4608602255163516</v>
      </c>
      <c r="DX58" s="621">
        <f t="shared" ca="1" si="67"/>
        <v>5.5989791035252923</v>
      </c>
      <c r="DY58" s="622" t="str">
        <f t="shared" si="68"/>
        <v/>
      </c>
      <c r="DZ58" s="567"/>
      <c r="EA58" s="619">
        <f t="shared" ca="1" si="69"/>
        <v>9.3791932784265555</v>
      </c>
      <c r="EB58" s="620">
        <f t="shared" ca="1" si="70"/>
        <v>2.6836023302454493</v>
      </c>
      <c r="EC58" s="621">
        <f t="shared" ca="1" si="71"/>
        <v>10.894882818404561</v>
      </c>
      <c r="ED58" s="621">
        <f t="shared" ca="1" si="72"/>
        <v>7.2941842900302145</v>
      </c>
      <c r="EE58" s="622" t="str">
        <f t="shared" si="73"/>
        <v/>
      </c>
      <c r="EF58" s="567"/>
      <c r="EG58" s="619">
        <f t="shared" ca="1" si="74"/>
        <v>4.6877980267378883</v>
      </c>
      <c r="EH58" s="620">
        <f t="shared" ca="1" si="75"/>
        <v>-2.9885912698412676</v>
      </c>
      <c r="EI58" s="621">
        <f t="shared" ca="1" si="76"/>
        <v>5.2332105520087824</v>
      </c>
      <c r="EJ58" s="621">
        <f t="shared" ca="1" si="77"/>
        <v>5.3525861006986641</v>
      </c>
      <c r="EK58" s="622" t="str">
        <f t="shared" si="78"/>
        <v/>
      </c>
      <c r="EL58" s="567"/>
      <c r="EM58" s="619">
        <f t="shared" ca="1" si="79"/>
        <v>3.5702625058749993</v>
      </c>
      <c r="EN58" s="620">
        <f t="shared" ca="1" si="80"/>
        <v>3.4286255269198707</v>
      </c>
      <c r="EO58" s="621">
        <f t="shared" ca="1" si="81"/>
        <v>3.4286255269198707</v>
      </c>
      <c r="EP58" s="621">
        <f t="shared" ca="1" si="82"/>
        <v>4.0000000000000036</v>
      </c>
      <c r="EQ58" s="622" t="str">
        <f t="shared" si="83"/>
        <v/>
      </c>
      <c r="ER58" s="567"/>
      <c r="ES58" s="619">
        <f t="shared" ca="1" si="84"/>
        <v>2.4156930784028141</v>
      </c>
      <c r="ET58" s="620">
        <f t="shared" ca="1" si="85"/>
        <v>1.8906374559607642</v>
      </c>
      <c r="EU58" s="621">
        <f t="shared" ca="1" si="86"/>
        <v>1.8906374559607642</v>
      </c>
      <c r="EV58" s="621">
        <f t="shared" ca="1" si="87"/>
        <v>4.0000000000000036</v>
      </c>
      <c r="EW58" s="622" t="str">
        <f t="shared" si="88"/>
        <v/>
      </c>
      <c r="EX58" s="567"/>
      <c r="EY58" s="619">
        <f t="shared" ca="1" si="89"/>
        <v>3.3952255419870347</v>
      </c>
      <c r="EZ58" s="620">
        <f t="shared" ca="1" si="90"/>
        <v>3.1906477463386373</v>
      </c>
      <c r="FA58" s="621">
        <f t="shared" ca="1" si="91"/>
        <v>3.1906477463386373</v>
      </c>
      <c r="FB58" s="621">
        <f t="shared" ca="1" si="92"/>
        <v>4.0000000000000036</v>
      </c>
      <c r="FC58" s="622" t="str">
        <f t="shared" si="93"/>
        <v/>
      </c>
      <c r="FD58" s="567"/>
    </row>
    <row r="59" spans="1:160" ht="13.15">
      <c r="B59" s="555" t="s">
        <v>1791</v>
      </c>
      <c r="C59" s="3855" t="s">
        <v>1867</v>
      </c>
      <c r="D59" s="3855"/>
      <c r="E59" s="623"/>
      <c r="F59" s="620"/>
      <c r="G59" s="620"/>
      <c r="H59" s="620"/>
      <c r="I59" s="622"/>
      <c r="J59" s="567"/>
      <c r="K59" s="623">
        <f t="shared" ca="1" si="13"/>
        <v>-10.480385916719703</v>
      </c>
      <c r="L59" s="620">
        <f t="shared" ca="1" si="13"/>
        <v>-10.146536412078156</v>
      </c>
      <c r="M59" s="620">
        <f t="shared" ca="1" si="13"/>
        <v>-10.273498355547861</v>
      </c>
      <c r="N59" s="620">
        <f t="shared" ca="1" si="13"/>
        <v>-13.287181777579271</v>
      </c>
      <c r="O59" s="622" t="str">
        <f t="shared" si="13"/>
        <v/>
      </c>
      <c r="P59" s="567"/>
      <c r="Q59" s="623">
        <f t="shared" ca="1" si="14"/>
        <v>-11.185330713817955</v>
      </c>
      <c r="R59" s="620">
        <f t="shared" ca="1" si="14"/>
        <v>-17.210279219174694</v>
      </c>
      <c r="S59" s="620">
        <f t="shared" ca="1" si="14"/>
        <v>-10.400790971351404</v>
      </c>
      <c r="T59" s="620">
        <f t="shared" ca="1" si="14"/>
        <v>-7.0048931238732903</v>
      </c>
      <c r="U59" s="622" t="str">
        <f t="shared" si="14"/>
        <v/>
      </c>
      <c r="V59" s="567"/>
      <c r="W59" s="623">
        <f t="shared" ca="1" si="15"/>
        <v>-14.717593275328122</v>
      </c>
      <c r="X59" s="620">
        <f t="shared" ca="1" si="15"/>
        <v>-11.640053723324872</v>
      </c>
      <c r="Y59" s="620">
        <f t="shared" ca="1" si="15"/>
        <v>-18.379760462925589</v>
      </c>
      <c r="Z59" s="620">
        <f t="shared" ca="1" si="15"/>
        <v>17.252838548878422</v>
      </c>
      <c r="AA59" s="622" t="str">
        <f t="shared" si="15"/>
        <v/>
      </c>
      <c r="AB59" s="567"/>
      <c r="AC59" s="623">
        <f t="shared" ca="1" si="16"/>
        <v>-4.0982189175168715</v>
      </c>
      <c r="AD59" s="620">
        <f t="shared" ca="1" si="16"/>
        <v>1.0640094578618475</v>
      </c>
      <c r="AE59" s="620">
        <f t="shared" ca="1" si="16"/>
        <v>-7.4325661148849198</v>
      </c>
      <c r="AF59" s="620">
        <f t="shared" ca="1" si="16"/>
        <v>12.564950401511577</v>
      </c>
      <c r="AG59" s="622" t="str">
        <f t="shared" si="16"/>
        <v/>
      </c>
      <c r="AH59" s="567"/>
      <c r="AI59" s="623">
        <f t="shared" ca="1" si="17"/>
        <v>-15.156354644273851</v>
      </c>
      <c r="AJ59" s="620">
        <f t="shared" ca="1" si="17"/>
        <v>-5.6149732620320858</v>
      </c>
      <c r="AK59" s="620">
        <f t="shared" ca="1" si="17"/>
        <v>-13.946280991735538</v>
      </c>
      <c r="AL59" s="620">
        <f t="shared" ca="1" si="17"/>
        <v>-34.263533361309271</v>
      </c>
      <c r="AM59" s="622" t="str">
        <f t="shared" si="17"/>
        <v/>
      </c>
      <c r="AN59" s="567"/>
      <c r="AO59" s="623">
        <f t="shared" ca="1" si="18"/>
        <v>-5.5528568826279763</v>
      </c>
      <c r="AP59" s="620">
        <f t="shared" ca="1" si="18"/>
        <v>3.2046742209631773</v>
      </c>
      <c r="AQ59" s="620">
        <f t="shared" ca="1" si="18"/>
        <v>-7.513350167653277</v>
      </c>
      <c r="AR59" s="620">
        <f t="shared" ca="1" si="18"/>
        <v>-6.2240663900414939</v>
      </c>
      <c r="AS59" s="622" t="str">
        <f t="shared" si="18"/>
        <v/>
      </c>
      <c r="AT59" s="567"/>
      <c r="AU59" s="623">
        <f t="shared" ca="1" si="19"/>
        <v>10.106400077148091</v>
      </c>
      <c r="AV59" s="620">
        <f t="shared" ca="1" si="19"/>
        <v>8.2518442271401593</v>
      </c>
      <c r="AW59" s="620">
        <f t="shared" ca="1" si="19"/>
        <v>7.8999194342493917</v>
      </c>
      <c r="AX59" s="620">
        <f t="shared" ca="1" si="19"/>
        <v>30.565010211027889</v>
      </c>
      <c r="AY59" s="622" t="str">
        <f t="shared" si="19"/>
        <v/>
      </c>
      <c r="AZ59" s="567"/>
      <c r="BA59" s="623">
        <f t="shared" ca="1" si="20"/>
        <v>4.0872332350461171E-2</v>
      </c>
      <c r="BB59" s="620">
        <f t="shared" ca="1" si="20"/>
        <v>-3.7242472266243998</v>
      </c>
      <c r="BC59" s="620">
        <f t="shared" ca="1" si="20"/>
        <v>2.4059401833492533</v>
      </c>
      <c r="BD59" s="620">
        <f t="shared" ca="1" si="20"/>
        <v>-8.6287799791449409</v>
      </c>
      <c r="BE59" s="622" t="str">
        <f t="shared" si="20"/>
        <v/>
      </c>
      <c r="BF59" s="567"/>
      <c r="BG59" s="623">
        <f t="shared" ca="1" si="21"/>
        <v>-5.0135699069075335</v>
      </c>
      <c r="BH59" s="620">
        <f t="shared" ca="1" si="22"/>
        <v>-1.728395061728405</v>
      </c>
      <c r="BI59" s="620">
        <f t="shared" ca="1" si="23"/>
        <v>-3.8036213391663631</v>
      </c>
      <c r="BJ59" s="620">
        <f t="shared" ca="1" si="24"/>
        <v>-19.229671897289581</v>
      </c>
      <c r="BK59" s="622" t="str">
        <f t="shared" si="25"/>
        <v/>
      </c>
      <c r="BL59" s="567"/>
      <c r="BM59" s="623">
        <f t="shared" ca="1" si="26"/>
        <v>22.695013671694973</v>
      </c>
      <c r="BN59" s="620">
        <f t="shared" ca="1" si="26"/>
        <v>66.180904522613076</v>
      </c>
      <c r="BO59" s="620">
        <f t="shared" ca="1" si="26"/>
        <v>16.018191005558347</v>
      </c>
      <c r="BP59" s="620">
        <f t="shared" ca="1" si="26"/>
        <v>-12.998940303779582</v>
      </c>
      <c r="BQ59" s="622" t="str">
        <f t="shared" si="26"/>
        <v/>
      </c>
      <c r="BR59" s="567"/>
      <c r="BS59" s="623">
        <f t="shared" ca="1" si="27"/>
        <v>8.8441506410256601</v>
      </c>
      <c r="BT59" s="620">
        <f t="shared" ca="1" si="27"/>
        <v>2.7214998488055864</v>
      </c>
      <c r="BU59" s="620">
        <f t="shared" ca="1" si="27"/>
        <v>10.445702671312418</v>
      </c>
      <c r="BV59" s="620">
        <f t="shared" ca="1" si="27"/>
        <v>15.590742996345908</v>
      </c>
      <c r="BW59" s="622" t="str">
        <f t="shared" si="27"/>
        <v/>
      </c>
      <c r="BX59" s="567"/>
      <c r="BY59" s="623">
        <f t="shared" ca="1" si="28"/>
        <v>-0.565933560320242</v>
      </c>
      <c r="BZ59" s="620">
        <f t="shared" ca="1" si="28"/>
        <v>6.201550387596888</v>
      </c>
      <c r="CA59" s="620">
        <f t="shared" ca="1" si="28"/>
        <v>-2.3858034834045361</v>
      </c>
      <c r="CB59" s="620">
        <f t="shared" ca="1" si="28"/>
        <v>-5.338953284158765</v>
      </c>
      <c r="CC59" s="622" t="str">
        <f t="shared" si="28"/>
        <v/>
      </c>
      <c r="CD59" s="567"/>
      <c r="CE59" s="623">
        <f t="shared" ca="1" si="29"/>
        <v>1.4506501318772846</v>
      </c>
      <c r="CF59" s="620">
        <f t="shared" ca="1" si="30"/>
        <v>-4.9893744802735007</v>
      </c>
      <c r="CG59" s="620">
        <f t="shared" ca="1" si="31"/>
        <v>2.989496364126043</v>
      </c>
      <c r="CH59" s="620">
        <f t="shared" ca="1" si="32"/>
        <v>10.352504638218928</v>
      </c>
      <c r="CI59" s="622" t="str">
        <f t="shared" si="33"/>
        <v/>
      </c>
      <c r="CJ59" s="567"/>
      <c r="CK59" s="623">
        <f t="shared" ca="1" si="34"/>
        <v>1.6648042144632669</v>
      </c>
      <c r="CL59" s="620">
        <f t="shared" ca="1" si="35"/>
        <v>0.18477098123115265</v>
      </c>
      <c r="CM59" s="620">
        <f t="shared" ca="1" si="36"/>
        <v>3.2884414225941461</v>
      </c>
      <c r="CN59" s="620">
        <f t="shared" ca="1" si="37"/>
        <v>-9.9193006052454731</v>
      </c>
      <c r="CO59" s="622" t="str">
        <f t="shared" si="38"/>
        <v/>
      </c>
      <c r="CP59" s="567"/>
      <c r="CQ59" s="623">
        <f t="shared" ca="1" si="39"/>
        <v>9.3855851409856648</v>
      </c>
      <c r="CR59" s="620">
        <f t="shared" ca="1" si="40"/>
        <v>2.9508833236264742</v>
      </c>
      <c r="CS59" s="620">
        <f t="shared" ca="1" si="41"/>
        <v>10.99120197480854</v>
      </c>
      <c r="CT59" s="620">
        <f t="shared" ca="1" si="42"/>
        <v>15.192235908921248</v>
      </c>
      <c r="CU59" s="622" t="str">
        <f t="shared" si="43"/>
        <v/>
      </c>
      <c r="CV59" s="567"/>
      <c r="CW59" s="623">
        <f t="shared" ca="1" si="44"/>
        <v>7.5774665217480441</v>
      </c>
      <c r="CX59" s="620">
        <f t="shared" ca="1" si="45"/>
        <v>2.5080143315104664</v>
      </c>
      <c r="CY59" s="620">
        <f t="shared" ca="1" si="46"/>
        <v>9.6832140514955469</v>
      </c>
      <c r="CZ59" s="620">
        <f t="shared" ca="1" si="47"/>
        <v>1.0693454309786299</v>
      </c>
      <c r="DA59" s="622" t="str">
        <f t="shared" si="48"/>
        <v/>
      </c>
      <c r="DB59" s="567"/>
      <c r="DC59" s="623">
        <f t="shared" ca="1" si="49"/>
        <v>2.9623698959167388</v>
      </c>
      <c r="DD59" s="620">
        <f t="shared" ca="1" si="50"/>
        <v>0.2391464311993996</v>
      </c>
      <c r="DE59" s="620">
        <f t="shared" ca="1" si="51"/>
        <v>3.662879871058311</v>
      </c>
      <c r="DF59" s="620">
        <f t="shared" ca="1" si="52"/>
        <v>3.815325424815641</v>
      </c>
      <c r="DG59" s="622" t="str">
        <f t="shared" si="53"/>
        <v/>
      </c>
      <c r="DH59" s="567"/>
      <c r="DI59" s="623">
        <f t="shared" ca="1" si="54"/>
        <v>0.87758275938678576</v>
      </c>
      <c r="DJ59" s="620">
        <f t="shared" ca="1" si="55"/>
        <v>0.75243163883282893</v>
      </c>
      <c r="DK59" s="620">
        <f t="shared" ca="1" si="56"/>
        <v>0.38368943725550775</v>
      </c>
      <c r="DL59" s="620">
        <f t="shared" ca="1" si="57"/>
        <v>7.3810994441013023</v>
      </c>
      <c r="DM59" s="622" t="str">
        <f t="shared" si="58"/>
        <v/>
      </c>
      <c r="DN59" s="567"/>
      <c r="DO59" s="623">
        <f t="shared" ca="1" si="59"/>
        <v>3.37884961274455</v>
      </c>
      <c r="DP59" s="620">
        <f t="shared" ca="1" si="60"/>
        <v>-0.30054644808744646</v>
      </c>
      <c r="DQ59" s="620">
        <f t="shared" ca="1" si="61"/>
        <v>4.6766094581428552</v>
      </c>
      <c r="DR59" s="620">
        <f t="shared" ca="1" si="62"/>
        <v>5.7520851308612286E-2</v>
      </c>
      <c r="DS59" s="622" t="str">
        <f t="shared" si="63"/>
        <v/>
      </c>
      <c r="DT59" s="567"/>
      <c r="DU59" s="623">
        <f t="shared" ca="1" si="64"/>
        <v>-7.9393541285706526</v>
      </c>
      <c r="DV59" s="620">
        <f t="shared" ca="1" si="65"/>
        <v>-27.605736731524612</v>
      </c>
      <c r="DW59" s="620">
        <f t="shared" ca="1" si="66"/>
        <v>-3.1288036085057591</v>
      </c>
      <c r="DX59" s="620">
        <f t="shared" ca="1" si="67"/>
        <v>-3.9954009772923293</v>
      </c>
      <c r="DY59" s="622" t="str">
        <f t="shared" si="68"/>
        <v/>
      </c>
      <c r="DZ59" s="567"/>
      <c r="EA59" s="623">
        <f t="shared" ca="1" si="69"/>
        <v>4.7864236814193273</v>
      </c>
      <c r="EB59" s="620">
        <f t="shared" ca="1" si="70"/>
        <v>-2.7507886435331197</v>
      </c>
      <c r="EC59" s="620">
        <f t="shared" ca="1" si="71"/>
        <v>6.6839122936683815</v>
      </c>
      <c r="ED59" s="620">
        <f t="shared" ca="1" si="72"/>
        <v>-0.38922155688622118</v>
      </c>
      <c r="EE59" s="622" t="str">
        <f t="shared" si="73"/>
        <v/>
      </c>
      <c r="EF59" s="567"/>
      <c r="EG59" s="623">
        <f t="shared" ca="1" si="74"/>
        <v>0.8760145020888066</v>
      </c>
      <c r="EH59" s="620">
        <f t="shared" ca="1" si="75"/>
        <v>-3.7368625924484311</v>
      </c>
      <c r="EI59" s="620">
        <f t="shared" ca="1" si="76"/>
        <v>-0.19860055885273509</v>
      </c>
      <c r="EJ59" s="620">
        <f t="shared" ca="1" si="77"/>
        <v>25.548542230237437</v>
      </c>
      <c r="EK59" s="622" t="str">
        <f t="shared" si="78"/>
        <v/>
      </c>
      <c r="EL59" s="567"/>
      <c r="EM59" s="623">
        <f t="shared" ca="1" si="79"/>
        <v>1.3994490358126832</v>
      </c>
      <c r="EN59" s="620">
        <f t="shared" ca="1" si="80"/>
        <v>-3.0000000000000027</v>
      </c>
      <c r="EO59" s="620">
        <f t="shared" ca="1" si="81"/>
        <v>2.0000000000000018</v>
      </c>
      <c r="EP59" s="620">
        <f t="shared" ca="1" si="82"/>
        <v>3.0000000000000027</v>
      </c>
      <c r="EQ59" s="622" t="str">
        <f t="shared" si="83"/>
        <v/>
      </c>
      <c r="ER59" s="567"/>
      <c r="ES59" s="623">
        <f t="shared" ca="1" si="84"/>
        <v>1.430014494401588</v>
      </c>
      <c r="ET59" s="620">
        <f t="shared" ca="1" si="85"/>
        <v>-3.0000000000000027</v>
      </c>
      <c r="EU59" s="620">
        <f t="shared" ca="1" si="86"/>
        <v>2.0000000000000018</v>
      </c>
      <c r="EV59" s="620">
        <f t="shared" ca="1" si="87"/>
        <v>3.0000000000000027</v>
      </c>
      <c r="EW59" s="622" t="str">
        <f t="shared" si="88"/>
        <v/>
      </c>
      <c r="EX59" s="567"/>
      <c r="EY59" s="623">
        <f t="shared" ca="1" si="89"/>
        <v>1.4594879054223853</v>
      </c>
      <c r="EZ59" s="620">
        <f t="shared" ca="1" si="90"/>
        <v>-3.0000000000000027</v>
      </c>
      <c r="FA59" s="620">
        <f t="shared" ca="1" si="91"/>
        <v>2.0000000000000018</v>
      </c>
      <c r="FB59" s="620">
        <f t="shared" ca="1" si="92"/>
        <v>3.0000000000000027</v>
      </c>
      <c r="FC59" s="622" t="str">
        <f t="shared" si="93"/>
        <v/>
      </c>
      <c r="FD59" s="567"/>
    </row>
    <row r="60" spans="1:160" ht="13.15">
      <c r="B60" s="555" t="s">
        <v>301</v>
      </c>
      <c r="C60" s="3855" t="s">
        <v>1868</v>
      </c>
      <c r="D60" s="3856"/>
      <c r="E60" s="623"/>
      <c r="F60" s="622"/>
      <c r="G60" s="620"/>
      <c r="H60" s="620"/>
      <c r="I60" s="620"/>
      <c r="J60" s="567"/>
      <c r="K60" s="623">
        <f t="shared" ca="1" si="13"/>
        <v>6.0431163935335208</v>
      </c>
      <c r="L60" s="622">
        <f t="shared" ca="1" si="13"/>
        <v>4.0091098284053883</v>
      </c>
      <c r="M60" s="620">
        <f t="shared" ca="1" si="13"/>
        <v>6.4122117976843862</v>
      </c>
      <c r="N60" s="620">
        <f t="shared" ca="1" si="13"/>
        <v>5.448158114211088</v>
      </c>
      <c r="O60" s="620">
        <f t="shared" ca="1" si="13"/>
        <v>-37.3612823674476</v>
      </c>
      <c r="P60" s="567"/>
      <c r="Q60" s="623">
        <f t="shared" ca="1" si="14"/>
        <v>4.5426907922176962</v>
      </c>
      <c r="R60" s="622">
        <f t="shared" ca="1" si="14"/>
        <v>4.500151011778919</v>
      </c>
      <c r="S60" s="620">
        <f t="shared" ca="1" si="14"/>
        <v>5.5227174886053776</v>
      </c>
      <c r="T60" s="620">
        <f t="shared" ca="1" si="14"/>
        <v>2.4066854446081587</v>
      </c>
      <c r="U60" s="620">
        <f t="shared" ca="1" si="14"/>
        <v>180.90551181102362</v>
      </c>
      <c r="V60" s="567"/>
      <c r="W60" s="623">
        <f t="shared" ca="1" si="15"/>
        <v>0.11436423486850256</v>
      </c>
      <c r="X60" s="622">
        <f t="shared" ca="1" si="15"/>
        <v>1.4450867052023142</v>
      </c>
      <c r="Y60" s="620">
        <f t="shared" ca="1" si="15"/>
        <v>1.3777092790581591</v>
      </c>
      <c r="Z60" s="620">
        <f t="shared" ca="1" si="15"/>
        <v>-2.8627010958265364</v>
      </c>
      <c r="AA60" s="620">
        <f t="shared" ca="1" si="15"/>
        <v>13.174491941135248</v>
      </c>
      <c r="AB60" s="567"/>
      <c r="AC60" s="623">
        <f t="shared" ca="1" si="16"/>
        <v>6.0545975763367066</v>
      </c>
      <c r="AD60" s="622">
        <f t="shared" ca="1" si="16"/>
        <v>3.3831908831909008</v>
      </c>
      <c r="AE60" s="620">
        <f t="shared" ca="1" si="16"/>
        <v>6.465645271014786</v>
      </c>
      <c r="AF60" s="620">
        <f t="shared" ca="1" si="16"/>
        <v>5.3705773370637644</v>
      </c>
      <c r="AG60" s="620">
        <f t="shared" ca="1" si="16"/>
        <v>46.5015479876161</v>
      </c>
      <c r="AH60" s="567"/>
      <c r="AI60" s="623">
        <f t="shared" ca="1" si="17"/>
        <v>9.6807750353750102</v>
      </c>
      <c r="AJ60" s="622">
        <f t="shared" ca="1" si="17"/>
        <v>24.057871167757504</v>
      </c>
      <c r="AK60" s="620">
        <f t="shared" ca="1" si="17"/>
        <v>11.103961361352344</v>
      </c>
      <c r="AL60" s="620">
        <f t="shared" ca="1" si="17"/>
        <v>4.8181578741306463</v>
      </c>
      <c r="AM60" s="620">
        <f t="shared" ca="1" si="17"/>
        <v>23.753169907016058</v>
      </c>
      <c r="AN60" s="567"/>
      <c r="AO60" s="623">
        <f t="shared" ca="1" si="18"/>
        <v>6.8421475166817736</v>
      </c>
      <c r="AP60" s="622">
        <f t="shared" ca="1" si="18"/>
        <v>4.7731437774198859</v>
      </c>
      <c r="AQ60" s="620">
        <f t="shared" ca="1" si="18"/>
        <v>7.4260279539204443</v>
      </c>
      <c r="AR60" s="620">
        <f t="shared" ca="1" si="18"/>
        <v>5.6265810964532426</v>
      </c>
      <c r="AS60" s="620">
        <f t="shared" ca="1" si="18"/>
        <v>48.770491803278681</v>
      </c>
      <c r="AT60" s="567"/>
      <c r="AU60" s="623">
        <f t="shared" ca="1" si="19"/>
        <v>3.4624031146599954</v>
      </c>
      <c r="AV60" s="622">
        <f t="shared" ca="1" si="19"/>
        <v>4.6484509580473565</v>
      </c>
      <c r="AW60" s="620">
        <f t="shared" ca="1" si="19"/>
        <v>2.6344528574570258</v>
      </c>
      <c r="AX60" s="620">
        <f t="shared" ca="1" si="19"/>
        <v>5.4364843360712456</v>
      </c>
      <c r="AY60" s="620">
        <f t="shared" ca="1" si="19"/>
        <v>23.048668503213964</v>
      </c>
      <c r="AZ60" s="567"/>
      <c r="BA60" s="623">
        <f t="shared" ca="1" si="20"/>
        <v>3.5108698130559501</v>
      </c>
      <c r="BB60" s="622">
        <f t="shared" ca="1" si="20"/>
        <v>4.999113632334673</v>
      </c>
      <c r="BC60" s="620">
        <f t="shared" ca="1" si="20"/>
        <v>2.107904120055637</v>
      </c>
      <c r="BD60" s="620">
        <f t="shared" ca="1" si="20"/>
        <v>6.8251945264287572</v>
      </c>
      <c r="BE60" s="620">
        <f t="shared" ca="1" si="20"/>
        <v>-9.6268656716417933</v>
      </c>
      <c r="BF60" s="567"/>
      <c r="BG60" s="623">
        <f t="shared" ca="1" si="21"/>
        <v>3.306696037039325</v>
      </c>
      <c r="BH60" s="622">
        <f t="shared" ca="1" si="22"/>
        <v>3.7432768143556672</v>
      </c>
      <c r="BI60" s="620">
        <f t="shared" ca="1" si="23"/>
        <v>3.332761724085409</v>
      </c>
      <c r="BJ60" s="620">
        <f t="shared" ca="1" si="24"/>
        <v>3.1929923707261887</v>
      </c>
      <c r="BK60" s="620">
        <f t="shared" ca="1" si="25"/>
        <v>12.386457473162672</v>
      </c>
      <c r="BL60" s="567"/>
      <c r="BM60" s="623">
        <f t="shared" ca="1" si="26"/>
        <v>3.375225862700737</v>
      </c>
      <c r="BN60" s="622">
        <f t="shared" ca="1" si="26"/>
        <v>3.7360797898309706</v>
      </c>
      <c r="BO60" s="620">
        <f t="shared" ca="1" si="26"/>
        <v>3.6649858708707628</v>
      </c>
      <c r="BP60" s="620">
        <f t="shared" ca="1" si="26"/>
        <v>2.6416962616305328</v>
      </c>
      <c r="BQ60" s="620">
        <f t="shared" ca="1" si="26"/>
        <v>24.577516531961784</v>
      </c>
      <c r="BR60" s="567"/>
      <c r="BS60" s="623">
        <f t="shared" ca="1" si="27"/>
        <v>4.8256104874350392</v>
      </c>
      <c r="BT60" s="622">
        <f t="shared" ca="1" si="27"/>
        <v>5.1837740923352804</v>
      </c>
      <c r="BU60" s="620">
        <f t="shared" ca="1" si="27"/>
        <v>4.9341972693769831</v>
      </c>
      <c r="BV60" s="620">
        <f t="shared" ca="1" si="27"/>
        <v>4.5211655110900306</v>
      </c>
      <c r="BW60" s="620">
        <f t="shared" ca="1" si="27"/>
        <v>25.095841934532579</v>
      </c>
      <c r="BX60" s="567"/>
      <c r="BY60" s="623">
        <f t="shared" ca="1" si="28"/>
        <v>7.7910625713290438</v>
      </c>
      <c r="BZ60" s="622">
        <f t="shared" ca="1" si="28"/>
        <v>5.7997571005475868</v>
      </c>
      <c r="CA60" s="620">
        <f t="shared" ca="1" si="28"/>
        <v>9.110664936971391</v>
      </c>
      <c r="CB60" s="620">
        <f t="shared" ca="1" si="28"/>
        <v>4.8430301358420191</v>
      </c>
      <c r="CC60" s="620">
        <f t="shared" ca="1" si="28"/>
        <v>57.178217821782184</v>
      </c>
      <c r="CD60" s="567"/>
      <c r="CE60" s="623">
        <f t="shared" ca="1" si="29"/>
        <v>4.9311458296711352</v>
      </c>
      <c r="CF60" s="622">
        <f t="shared" ca="1" si="30"/>
        <v>2.6643842513342175</v>
      </c>
      <c r="CG60" s="620">
        <f t="shared" ca="1" si="31"/>
        <v>5.4659443012033293</v>
      </c>
      <c r="CH60" s="620">
        <f t="shared" ca="1" si="32"/>
        <v>3.8629131809709394</v>
      </c>
      <c r="CI60" s="620">
        <f t="shared" ca="1" si="33"/>
        <v>33.618297712785903</v>
      </c>
      <c r="CJ60" s="567"/>
      <c r="CK60" s="623">
        <f t="shared" ca="1" si="34"/>
        <v>1.5786051959953973E-2</v>
      </c>
      <c r="CL60" s="622">
        <f t="shared" ca="1" si="35"/>
        <v>2.9032131507709114</v>
      </c>
      <c r="CM60" s="620">
        <f t="shared" ca="1" si="36"/>
        <v>-0.24289531212046134</v>
      </c>
      <c r="CN60" s="620">
        <f t="shared" ca="1" si="37"/>
        <v>0.32791077038907268</v>
      </c>
      <c r="CO60" s="620">
        <f t="shared" ca="1" si="38"/>
        <v>18.683353911774603</v>
      </c>
      <c r="CP60" s="567"/>
      <c r="CQ60" s="623">
        <f t="shared" ca="1" si="39"/>
        <v>3.1151594332864407</v>
      </c>
      <c r="CR60" s="622">
        <f t="shared" ca="1" si="40"/>
        <v>3.6505394792023971</v>
      </c>
      <c r="CS60" s="620">
        <f t="shared" ca="1" si="41"/>
        <v>3.4790722226249349</v>
      </c>
      <c r="CT60" s="620">
        <f t="shared" ca="1" si="42"/>
        <v>2.1248076723397569</v>
      </c>
      <c r="CU60" s="620">
        <f t="shared" ca="1" si="43"/>
        <v>-5.2016834539178047</v>
      </c>
      <c r="CV60" s="567"/>
      <c r="CW60" s="623">
        <f t="shared" ca="1" si="44"/>
        <v>5.760703934704603</v>
      </c>
      <c r="CX60" s="622">
        <f t="shared" ca="1" si="45"/>
        <v>3.6782962131940433</v>
      </c>
      <c r="CY60" s="620">
        <f t="shared" ca="1" si="46"/>
        <v>6.9529488895075708</v>
      </c>
      <c r="CZ60" s="620">
        <f t="shared" ca="1" si="47"/>
        <v>2.9547555226915767</v>
      </c>
      <c r="DA60" s="620">
        <f t="shared" ca="1" si="48"/>
        <v>-6.8838230159126041</v>
      </c>
      <c r="DB60" s="567"/>
      <c r="DC60" s="623">
        <f t="shared" ca="1" si="49"/>
        <v>3.990645134802584</v>
      </c>
      <c r="DD60" s="622">
        <f t="shared" ca="1" si="50"/>
        <v>1.4510492611711445</v>
      </c>
      <c r="DE60" s="620">
        <f t="shared" ca="1" si="51"/>
        <v>4.0033957824784805</v>
      </c>
      <c r="DF60" s="620">
        <f t="shared" ca="1" si="52"/>
        <v>4.2778876302612234</v>
      </c>
      <c r="DG60" s="620">
        <f t="shared" ca="1" si="53"/>
        <v>1.9821074623667334</v>
      </c>
      <c r="DH60" s="567"/>
      <c r="DI60" s="623">
        <f t="shared" ca="1" si="54"/>
        <v>3.0073910892242095</v>
      </c>
      <c r="DJ60" s="622">
        <f t="shared" ca="1" si="55"/>
        <v>2.0737528632127411</v>
      </c>
      <c r="DK60" s="620">
        <f t="shared" ca="1" si="56"/>
        <v>2.8345706523274838</v>
      </c>
      <c r="DL60" s="620">
        <f t="shared" ca="1" si="57"/>
        <v>3.5830282367678379</v>
      </c>
      <c r="DM60" s="620">
        <f t="shared" ca="1" si="58"/>
        <v>-2.027630403950198</v>
      </c>
      <c r="DN60" s="567"/>
      <c r="DO60" s="623">
        <f t="shared" ca="1" si="59"/>
        <v>3.8422680366888118</v>
      </c>
      <c r="DP60" s="622">
        <f t="shared" ca="1" si="60"/>
        <v>2.6071911883104537</v>
      </c>
      <c r="DQ60" s="620">
        <f t="shared" ca="1" si="61"/>
        <v>3.909245151620544</v>
      </c>
      <c r="DR60" s="620">
        <f t="shared" ca="1" si="62"/>
        <v>3.8148254352171618</v>
      </c>
      <c r="DS60" s="620">
        <f t="shared" ca="1" si="63"/>
        <v>5.5278537343842027</v>
      </c>
      <c r="DT60" s="567"/>
      <c r="DU60" s="623">
        <f t="shared" ca="1" si="64"/>
        <v>4.4664403582414192</v>
      </c>
      <c r="DV60" s="622">
        <f t="shared" ca="1" si="65"/>
        <v>1.6711464298235335</v>
      </c>
      <c r="DW60" s="620">
        <f t="shared" ca="1" si="66"/>
        <v>4.556829653092187</v>
      </c>
      <c r="DX60" s="620">
        <f t="shared" ca="1" si="67"/>
        <v>4.5621310894632394</v>
      </c>
      <c r="DY60" s="620">
        <f t="shared" ca="1" si="68"/>
        <v>-20.577177116146729</v>
      </c>
      <c r="DZ60" s="567"/>
      <c r="EA60" s="623">
        <f t="shared" ca="1" si="69"/>
        <v>4.8640165768718768</v>
      </c>
      <c r="EB60" s="622">
        <f t="shared" ca="1" si="70"/>
        <v>0.60755336617406286</v>
      </c>
      <c r="EC60" s="620">
        <f t="shared" ca="1" si="71"/>
        <v>4.7265734528520564</v>
      </c>
      <c r="ED60" s="620">
        <f t="shared" ca="1" si="72"/>
        <v>5.724283411752551</v>
      </c>
      <c r="EE60" s="620">
        <f t="shared" ca="1" si="73"/>
        <v>-39.291197543500509</v>
      </c>
      <c r="EF60" s="567"/>
      <c r="EG60" s="623">
        <f t="shared" ca="1" si="74"/>
        <v>4.5795505723650543</v>
      </c>
      <c r="EH60" s="622">
        <f t="shared" ca="1" si="75"/>
        <v>1.1653337685653575</v>
      </c>
      <c r="EI60" s="620">
        <f t="shared" ca="1" si="76"/>
        <v>4.525879171419378</v>
      </c>
      <c r="EJ60" s="620">
        <f t="shared" ca="1" si="77"/>
        <v>5.0991291122739035</v>
      </c>
      <c r="EK60" s="620">
        <f t="shared" ca="1" si="78"/>
        <v>-21.42255005268704</v>
      </c>
      <c r="EL60" s="567"/>
      <c r="EM60" s="623">
        <f t="shared" ca="1" si="79"/>
        <v>4.481149706919374</v>
      </c>
      <c r="EN60" s="622">
        <f t="shared" ca="1" si="80"/>
        <v>1.0000000000000009</v>
      </c>
      <c r="EO60" s="620">
        <f t="shared" ca="1" si="81"/>
        <v>4.447442303697291</v>
      </c>
      <c r="EP60" s="620">
        <f t="shared" ca="1" si="82"/>
        <v>4.9408340989158805</v>
      </c>
      <c r="EQ60" s="620">
        <f t="shared" ca="1" si="83"/>
        <v>-7.2281078181588683</v>
      </c>
      <c r="ER60" s="567"/>
      <c r="ES60" s="623">
        <f t="shared" ca="1" si="84"/>
        <v>3.5884749107175207</v>
      </c>
      <c r="ET60" s="622">
        <f t="shared" ca="1" si="85"/>
        <v>0.49999999999998934</v>
      </c>
      <c r="EU60" s="620">
        <f t="shared" ca="1" si="86"/>
        <v>3.5122269151361074</v>
      </c>
      <c r="EV60" s="620">
        <f t="shared" ca="1" si="87"/>
        <v>4.1039197575893471</v>
      </c>
      <c r="EW60" s="620">
        <f t="shared" ca="1" si="88"/>
        <v>0</v>
      </c>
      <c r="EX60" s="567"/>
      <c r="EY60" s="623">
        <f t="shared" ca="1" si="89"/>
        <v>3.1608504222169653</v>
      </c>
      <c r="EZ60" s="622">
        <f t="shared" ca="1" si="90"/>
        <v>0.49999999999998934</v>
      </c>
      <c r="FA60" s="620">
        <f t="shared" ca="1" si="91"/>
        <v>2.998603494041352</v>
      </c>
      <c r="FB60" s="620">
        <f t="shared" ca="1" si="92"/>
        <v>3.843847754187224</v>
      </c>
      <c r="FC60" s="620">
        <f t="shared" ca="1" si="93"/>
        <v>0</v>
      </c>
      <c r="FD60" s="567"/>
    </row>
    <row r="61" spans="1:160" ht="13.5" thickBot="1">
      <c r="B61" s="555" t="s">
        <v>1793</v>
      </c>
      <c r="C61" s="3853" t="s">
        <v>1869</v>
      </c>
      <c r="D61" s="3854"/>
      <c r="E61" s="571"/>
      <c r="F61" s="571"/>
      <c r="G61" s="571"/>
      <c r="H61" s="571"/>
      <c r="I61" s="571"/>
      <c r="J61" s="567"/>
      <c r="K61" s="571">
        <f t="shared" ca="1" si="13"/>
        <v>-4.857430354875536</v>
      </c>
      <c r="L61" s="571">
        <f t="shared" ca="1" si="13"/>
        <v>-0.79557819942780439</v>
      </c>
      <c r="M61" s="571">
        <f t="shared" ca="1" si="13"/>
        <v>-6.7785095211727491</v>
      </c>
      <c r="N61" s="571">
        <f t="shared" ca="1" si="13"/>
        <v>1.4749667903439789</v>
      </c>
      <c r="O61" s="571" t="str">
        <f t="shared" si="13"/>
        <v/>
      </c>
      <c r="P61" s="567"/>
      <c r="Q61" s="571">
        <f t="shared" ca="1" si="14"/>
        <v>4.8345377574438686</v>
      </c>
      <c r="R61" s="571">
        <f t="shared" ca="1" si="14"/>
        <v>0.54844075750200005</v>
      </c>
      <c r="S61" s="571">
        <f t="shared" ca="1" si="14"/>
        <v>6.3768524993470077</v>
      </c>
      <c r="T61" s="571">
        <f t="shared" ca="1" si="14"/>
        <v>2.6948945966686289</v>
      </c>
      <c r="U61" s="571" t="str">
        <f t="shared" si="14"/>
        <v/>
      </c>
      <c r="V61" s="567"/>
      <c r="W61" s="571">
        <f t="shared" ca="1" si="15"/>
        <v>2.8367010581601182</v>
      </c>
      <c r="X61" s="571">
        <f t="shared" ca="1" si="15"/>
        <v>1.8010663353032363</v>
      </c>
      <c r="Y61" s="571">
        <f t="shared" ca="1" si="15"/>
        <v>3.0712479630286449</v>
      </c>
      <c r="Z61" s="571">
        <f t="shared" ca="1" si="15"/>
        <v>3.2014652014652034</v>
      </c>
      <c r="AA61" s="571" t="str">
        <f t="shared" si="15"/>
        <v/>
      </c>
      <c r="AB61" s="567"/>
      <c r="AC61" s="571">
        <f t="shared" ca="1" si="16"/>
        <v>4.4530916960879185</v>
      </c>
      <c r="AD61" s="571">
        <f t="shared" ca="1" si="16"/>
        <v>1.7166864190872433</v>
      </c>
      <c r="AE61" s="571">
        <f t="shared" ca="1" si="16"/>
        <v>5.5502833541445806</v>
      </c>
      <c r="AF61" s="571">
        <f t="shared" ca="1" si="16"/>
        <v>1.8186980904379979</v>
      </c>
      <c r="AG61" s="571" t="str">
        <f t="shared" si="16"/>
        <v/>
      </c>
      <c r="AH61" s="567"/>
      <c r="AI61" s="571">
        <f t="shared" ca="1" si="17"/>
        <v>5.5361235231947248</v>
      </c>
      <c r="AJ61" s="571">
        <f t="shared" ca="1" si="17"/>
        <v>8.4232191446312434</v>
      </c>
      <c r="AK61" s="571">
        <f t="shared" ca="1" si="17"/>
        <v>4.8685757550387843</v>
      </c>
      <c r="AL61" s="571">
        <f t="shared" ca="1" si="17"/>
        <v>4.8803614256232919</v>
      </c>
      <c r="AM61" s="571" t="str">
        <f t="shared" si="17"/>
        <v/>
      </c>
      <c r="AN61" s="567"/>
      <c r="AO61" s="571">
        <f t="shared" ca="1" si="18"/>
        <v>-0.34952423801859478</v>
      </c>
      <c r="AP61" s="571">
        <f t="shared" ca="1" si="18"/>
        <v>3.8416246790602626</v>
      </c>
      <c r="AQ61" s="571">
        <f t="shared" ca="1" si="18"/>
        <v>-2.2551510607574876</v>
      </c>
      <c r="AR61" s="571">
        <f t="shared" ca="1" si="18"/>
        <v>5.589236332695191</v>
      </c>
      <c r="AS61" s="571" t="str">
        <f t="shared" si="18"/>
        <v/>
      </c>
      <c r="AT61" s="567"/>
      <c r="AU61" s="571">
        <f t="shared" ca="1" si="19"/>
        <v>3.7730521859075772</v>
      </c>
      <c r="AV61" s="571">
        <f t="shared" ca="1" si="19"/>
        <v>5.3305075818135483</v>
      </c>
      <c r="AW61" s="571">
        <f t="shared" ca="1" si="19"/>
        <v>3.0095987556773673</v>
      </c>
      <c r="AX61" s="571">
        <f t="shared" ca="1" si="19"/>
        <v>6.0224124905565501</v>
      </c>
      <c r="AY61" s="571" t="str">
        <f t="shared" si="19"/>
        <v/>
      </c>
      <c r="AZ61" s="567"/>
      <c r="BA61" s="571">
        <f t="shared" ca="1" si="20"/>
        <v>5.5377634162185663</v>
      </c>
      <c r="BB61" s="571">
        <f t="shared" ca="1" si="20"/>
        <v>1.7990881011913595</v>
      </c>
      <c r="BC61" s="571">
        <f t="shared" ca="1" si="20"/>
        <v>7.049580451884685</v>
      </c>
      <c r="BD61" s="571">
        <f t="shared" ca="1" si="20"/>
        <v>2.6685510017457226</v>
      </c>
      <c r="BE61" s="571" t="str">
        <f t="shared" si="20"/>
        <v/>
      </c>
      <c r="BF61" s="567"/>
      <c r="BG61" s="571">
        <f t="shared" ca="1" si="21"/>
        <v>7.7766887859456624</v>
      </c>
      <c r="BH61" s="571">
        <f t="shared" ca="1" si="22"/>
        <v>0.13754601723370286</v>
      </c>
      <c r="BI61" s="571">
        <f t="shared" ca="1" si="23"/>
        <v>10.513874978665051</v>
      </c>
      <c r="BJ61" s="571">
        <f t="shared" ca="1" si="24"/>
        <v>3.4031231925968797</v>
      </c>
      <c r="BK61" s="571" t="str">
        <f t="shared" si="25"/>
        <v/>
      </c>
      <c r="BL61" s="567"/>
      <c r="BM61" s="571">
        <f t="shared" ca="1" si="26"/>
        <v>3.7163134019316146</v>
      </c>
      <c r="BN61" s="571">
        <f t="shared" ca="1" si="26"/>
        <v>4.2903890437522518</v>
      </c>
      <c r="BO61" s="571">
        <f t="shared" ca="1" si="26"/>
        <v>3.7380781010049935</v>
      </c>
      <c r="BP61" s="571">
        <f t="shared" ca="1" si="26"/>
        <v>2.4364596384465198</v>
      </c>
      <c r="BQ61" s="571" t="str">
        <f t="shared" si="26"/>
        <v/>
      </c>
      <c r="BR61" s="567"/>
      <c r="BS61" s="571">
        <f t="shared" ca="1" si="27"/>
        <v>10.387260445018697</v>
      </c>
      <c r="BT61" s="571">
        <f t="shared" ca="1" si="27"/>
        <v>6.7286461359674643</v>
      </c>
      <c r="BU61" s="571">
        <f t="shared" ca="1" si="27"/>
        <v>12.217450049016998</v>
      </c>
      <c r="BV61" s="571">
        <f t="shared" ca="1" si="27"/>
        <v>3.3766517418367004</v>
      </c>
      <c r="BW61" s="571" t="str">
        <f t="shared" si="27"/>
        <v/>
      </c>
      <c r="BX61" s="567"/>
      <c r="BY61" s="571">
        <f t="shared" ca="1" si="28"/>
        <v>4.6970489051202824</v>
      </c>
      <c r="BZ61" s="571">
        <f t="shared" ca="1" si="28"/>
        <v>10.077567612410832</v>
      </c>
      <c r="CA61" s="571">
        <f t="shared" ca="1" si="28"/>
        <v>3.4205855922381678</v>
      </c>
      <c r="CB61" s="571">
        <f t="shared" ca="1" si="28"/>
        <v>4.5086729627517697</v>
      </c>
      <c r="CC61" s="571" t="str">
        <f t="shared" si="28"/>
        <v/>
      </c>
      <c r="CD61" s="567"/>
      <c r="CE61" s="571">
        <f t="shared" ca="1" si="29"/>
        <v>-0.29229587199107732</v>
      </c>
      <c r="CF61" s="571">
        <f t="shared" ca="1" si="30"/>
        <v>-3.4427696655676132</v>
      </c>
      <c r="CG61" s="571">
        <f t="shared" ca="1" si="31"/>
        <v>-0.23961777334576828</v>
      </c>
      <c r="CH61" s="571">
        <f t="shared" ca="1" si="32"/>
        <v>6.0285050035379095</v>
      </c>
      <c r="CI61" s="571" t="str">
        <f t="shared" si="33"/>
        <v/>
      </c>
      <c r="CJ61" s="567"/>
      <c r="CK61" s="571">
        <f t="shared" ca="1" si="34"/>
        <v>-7.7020263246757592</v>
      </c>
      <c r="CL61" s="571">
        <f t="shared" ca="1" si="35"/>
        <v>-4.4855627808049974</v>
      </c>
      <c r="CM61" s="571">
        <f t="shared" ca="1" si="36"/>
        <v>-10.052454339007443</v>
      </c>
      <c r="CN61" s="571">
        <f t="shared" ca="1" si="37"/>
        <v>4.4835738936448655</v>
      </c>
      <c r="CO61" s="571" t="str">
        <f t="shared" si="38"/>
        <v/>
      </c>
      <c r="CP61" s="567"/>
      <c r="CQ61" s="571">
        <f t="shared" ca="1" si="39"/>
        <v>14.545074188313123</v>
      </c>
      <c r="CR61" s="571">
        <f t="shared" ca="1" si="40"/>
        <v>7.206990949764025</v>
      </c>
      <c r="CS61" s="571">
        <f t="shared" ca="1" si="41"/>
        <v>18.279229098952101</v>
      </c>
      <c r="CT61" s="571">
        <f t="shared" ca="1" si="42"/>
        <v>2.3914888181245653</v>
      </c>
      <c r="CU61" s="571" t="str">
        <f t="shared" si="43"/>
        <v/>
      </c>
      <c r="CV61" s="567"/>
      <c r="CW61" s="571">
        <f t="shared" ca="1" si="44"/>
        <v>2.1447215898193317</v>
      </c>
      <c r="CX61" s="571">
        <f t="shared" ca="1" si="45"/>
        <v>1.4458784128209334</v>
      </c>
      <c r="CY61" s="571">
        <f t="shared" ca="1" si="46"/>
        <v>2.2660076054298983</v>
      </c>
      <c r="CZ61" s="571">
        <f t="shared" ca="1" si="47"/>
        <v>2.5040546079950987</v>
      </c>
      <c r="DA61" s="571" t="str">
        <f t="shared" si="48"/>
        <v/>
      </c>
      <c r="DB61" s="567"/>
      <c r="DC61" s="571">
        <f t="shared" ca="1" si="49"/>
        <v>-4.1241852050213801</v>
      </c>
      <c r="DD61" s="571">
        <f t="shared" ca="1" si="50"/>
        <v>-4.822439913215792</v>
      </c>
      <c r="DE61" s="571">
        <f t="shared" ca="1" si="51"/>
        <v>-5.0885404703872927</v>
      </c>
      <c r="DF61" s="571">
        <f t="shared" ca="1" si="52"/>
        <v>4.6875543345968884</v>
      </c>
      <c r="DG61" s="571" t="str">
        <f t="shared" si="53"/>
        <v/>
      </c>
      <c r="DH61" s="567"/>
      <c r="DI61" s="571">
        <f t="shared" ca="1" si="54"/>
        <v>1.4057341486613639</v>
      </c>
      <c r="DJ61" s="571">
        <f t="shared" ca="1" si="55"/>
        <v>0.80030393787036136</v>
      </c>
      <c r="DK61" s="571">
        <f t="shared" ca="1" si="56"/>
        <v>1.4496499224660342</v>
      </c>
      <c r="DL61" s="571">
        <f t="shared" ca="1" si="57"/>
        <v>2.1142667331007114</v>
      </c>
      <c r="DM61" s="571" t="str">
        <f t="shared" si="58"/>
        <v/>
      </c>
      <c r="DN61" s="567"/>
      <c r="DO61" s="571">
        <f t="shared" ca="1" si="59"/>
        <v>6.3235981965686694</v>
      </c>
      <c r="DP61" s="571">
        <f t="shared" ca="1" si="60"/>
        <v>3.3564208619887737</v>
      </c>
      <c r="DQ61" s="571">
        <f t="shared" ca="1" si="61"/>
        <v>7.5844739340882983</v>
      </c>
      <c r="DR61" s="571">
        <f t="shared" ca="1" si="62"/>
        <v>2.3982238992893423</v>
      </c>
      <c r="DS61" s="571" t="str">
        <f t="shared" si="63"/>
        <v/>
      </c>
      <c r="DT61" s="567"/>
      <c r="DU61" s="571">
        <f t="shared" ca="1" si="64"/>
        <v>9.3406363410193816</v>
      </c>
      <c r="DV61" s="571">
        <f t="shared" ca="1" si="65"/>
        <v>-1.5230734257785761</v>
      </c>
      <c r="DW61" s="571">
        <f t="shared" ca="1" si="66"/>
        <v>12.549430725945566</v>
      </c>
      <c r="DX61" s="571">
        <f t="shared" ca="1" si="67"/>
        <v>3.8819838780130178</v>
      </c>
      <c r="DY61" s="571" t="str">
        <f t="shared" si="68"/>
        <v/>
      </c>
      <c r="DZ61" s="567"/>
      <c r="EA61" s="571">
        <f t="shared" ca="1" si="69"/>
        <v>1.6019086817426809</v>
      </c>
      <c r="EB61" s="571">
        <f t="shared" ca="1" si="70"/>
        <v>4.7043321021852602</v>
      </c>
      <c r="EC61" s="571">
        <f t="shared" ca="1" si="71"/>
        <v>0.96206076092690829</v>
      </c>
      <c r="ED61" s="571">
        <f t="shared" ca="1" si="72"/>
        <v>1.7851272524330719</v>
      </c>
      <c r="EE61" s="571" t="str">
        <f t="shared" si="73"/>
        <v/>
      </c>
      <c r="EF61" s="567"/>
      <c r="EG61" s="571">
        <f t="shared" ca="1" si="74"/>
        <v>4.0596820106527209</v>
      </c>
      <c r="EH61" s="571">
        <f t="shared" ca="1" si="75"/>
        <v>7.2479078440919054</v>
      </c>
      <c r="EI61" s="571">
        <f t="shared" ca="1" si="76"/>
        <v>3.3720679111744145</v>
      </c>
      <c r="EJ61" s="571">
        <f t="shared" ca="1" si="77"/>
        <v>4.2985473718997191</v>
      </c>
      <c r="EK61" s="571" t="str">
        <f t="shared" si="78"/>
        <v/>
      </c>
      <c r="EL61" s="567"/>
      <c r="EM61" s="571">
        <f t="shared" ca="1" si="79"/>
        <v>5.8057201655464352</v>
      </c>
      <c r="EN61" s="571">
        <f t="shared" ca="1" si="80"/>
        <v>3.880000000000039</v>
      </c>
      <c r="EO61" s="571">
        <f t="shared" ca="1" si="81"/>
        <v>6.595099268443394</v>
      </c>
      <c r="EP61" s="571">
        <f t="shared" ca="1" si="82"/>
        <v>2.8400000000000203</v>
      </c>
      <c r="EQ61" s="571" t="str">
        <f t="shared" si="83"/>
        <v/>
      </c>
      <c r="ER61" s="567"/>
      <c r="ES61" s="571">
        <f t="shared" ca="1" si="84"/>
        <v>4.2100578020419777</v>
      </c>
      <c r="ET61" s="571">
        <f t="shared" ca="1" si="85"/>
        <v>3.8799999999999946</v>
      </c>
      <c r="EU61" s="571">
        <f t="shared" ca="1" si="86"/>
        <v>4.4470621631446772</v>
      </c>
      <c r="EV61" s="571">
        <f t="shared" ca="1" si="87"/>
        <v>2.8399999999999093</v>
      </c>
      <c r="EW61" s="571" t="str">
        <f t="shared" si="88"/>
        <v/>
      </c>
      <c r="EX61" s="567"/>
      <c r="EY61" s="571">
        <f t="shared" ca="1" si="89"/>
        <v>4.1032520522081395</v>
      </c>
      <c r="EZ61" s="571">
        <f t="shared" ca="1" si="90"/>
        <v>3.8799999999999946</v>
      </c>
      <c r="FA61" s="571">
        <f t="shared" ca="1" si="91"/>
        <v>4.3022366869294837</v>
      </c>
      <c r="FB61" s="571">
        <f t="shared" ca="1" si="92"/>
        <v>2.8400000000001979</v>
      </c>
      <c r="FC61" s="571" t="str">
        <f t="shared" si="93"/>
        <v/>
      </c>
      <c r="FD61" s="567"/>
    </row>
    <row r="62" spans="1:160" ht="13.15">
      <c r="B62" s="555" t="s">
        <v>1791</v>
      </c>
      <c r="C62" s="3855" t="s">
        <v>1870</v>
      </c>
      <c r="D62" s="3856"/>
      <c r="E62" s="619"/>
      <c r="F62" s="624"/>
      <c r="G62" s="625"/>
      <c r="H62" s="622"/>
      <c r="I62" s="620"/>
      <c r="J62" s="563"/>
      <c r="K62" s="619">
        <f t="shared" ref="K62:N66" ca="1" si="94">IF(K13="","",IF(E13=0,"N",(K13/E13-1)*100))</f>
        <v>6.0007344398090412</v>
      </c>
      <c r="L62" s="624">
        <f t="shared" ca="1" si="94"/>
        <v>6.0007344398090412</v>
      </c>
      <c r="M62" s="625" t="str">
        <f t="shared" si="94"/>
        <v/>
      </c>
      <c r="N62" s="622" t="str">
        <f t="shared" si="94"/>
        <v/>
      </c>
      <c r="O62" s="620"/>
      <c r="P62" s="563" t="str">
        <f ca="1">IF(ROUND(P13,2)=0,"ok","!")</f>
        <v>ok</v>
      </c>
      <c r="Q62" s="619">
        <f t="shared" ref="Q62:T66" ca="1" si="95">IF(Q13="","",IF(K13=0,"N",(Q13/K13-1)*100))</f>
        <v>4.6444534049670416</v>
      </c>
      <c r="R62" s="624">
        <f t="shared" ca="1" si="95"/>
        <v>4.6444534049670416</v>
      </c>
      <c r="S62" s="625" t="str">
        <f t="shared" si="95"/>
        <v/>
      </c>
      <c r="T62" s="622" t="str">
        <f t="shared" si="95"/>
        <v/>
      </c>
      <c r="U62" s="620"/>
      <c r="V62" s="563" t="str">
        <f ca="1">IF(ROUND(V13,2)=0,"ok","!")</f>
        <v>ok</v>
      </c>
      <c r="W62" s="619">
        <f t="shared" ref="W62:Z66" ca="1" si="96">IF(W13="","",IF(Q13=0,"N",(W13/Q13-1)*100))</f>
        <v>0.13459315420143447</v>
      </c>
      <c r="X62" s="624">
        <f t="shared" ca="1" si="96"/>
        <v>0.13459315420143447</v>
      </c>
      <c r="Y62" s="625" t="str">
        <f t="shared" si="96"/>
        <v/>
      </c>
      <c r="Z62" s="622" t="str">
        <f t="shared" si="96"/>
        <v/>
      </c>
      <c r="AA62" s="620"/>
      <c r="AB62" s="563" t="str">
        <f ca="1">IF(ROUND(AB13,2)=0,"ok","!")</f>
        <v>ok</v>
      </c>
      <c r="AC62" s="619">
        <f t="shared" ref="AC62:AF66" ca="1" si="97">IF(AC13="","",IF(W13=0,"N",(AC13/W13-1)*100))</f>
        <v>6.1254044561994903</v>
      </c>
      <c r="AD62" s="624">
        <f t="shared" ca="1" si="97"/>
        <v>6.1254044561994903</v>
      </c>
      <c r="AE62" s="625" t="str">
        <f t="shared" si="97"/>
        <v/>
      </c>
      <c r="AF62" s="622" t="str">
        <f t="shared" si="97"/>
        <v/>
      </c>
      <c r="AG62" s="620"/>
      <c r="AH62" s="563" t="str">
        <f ca="1">IF(ROUND(AH13,2)=0,"ok","!")</f>
        <v>ok</v>
      </c>
      <c r="AI62" s="619">
        <f t="shared" ref="AI62:AL66" ca="1" si="98">IF(AI13="","",IF(AC13=0,"N",(AI13/AC13-1)*100))</f>
        <v>9.7147829923884821</v>
      </c>
      <c r="AJ62" s="624">
        <f t="shared" ca="1" si="98"/>
        <v>9.7147829923884821</v>
      </c>
      <c r="AK62" s="625" t="str">
        <f t="shared" si="98"/>
        <v/>
      </c>
      <c r="AL62" s="622" t="str">
        <f t="shared" si="98"/>
        <v/>
      </c>
      <c r="AM62" s="620"/>
      <c r="AN62" s="563" t="str">
        <f ca="1">IF(ROUND(AN13,2)=0,"ok","!")</f>
        <v>ok</v>
      </c>
      <c r="AO62" s="619">
        <f t="shared" ref="AO62:AR66" ca="1" si="99">IF(AO13="","",IF(AI13=0,"N",(AO13/AI13-1)*100))</f>
        <v>6.9564383571846244</v>
      </c>
      <c r="AP62" s="624">
        <f t="shared" ca="1" si="99"/>
        <v>6.9564383571846244</v>
      </c>
      <c r="AQ62" s="625" t="str">
        <f t="shared" si="99"/>
        <v/>
      </c>
      <c r="AR62" s="622" t="str">
        <f t="shared" si="99"/>
        <v/>
      </c>
      <c r="AS62" s="620"/>
      <c r="AT62" s="563" t="str">
        <f ca="1">IF(ROUND(AT13,2)=0,"ok","!")</f>
        <v>ok</v>
      </c>
      <c r="AU62" s="619">
        <f t="shared" ref="AU62:AX66" ca="1" si="100">IF(AU13="","",IF(AO13=0,"N",(AU13/AO13-1)*100))</f>
        <v>3.5366648707131132</v>
      </c>
      <c r="AV62" s="624">
        <f t="shared" ca="1" si="100"/>
        <v>3.5366648707131132</v>
      </c>
      <c r="AW62" s="625" t="str">
        <f t="shared" si="100"/>
        <v/>
      </c>
      <c r="AX62" s="622" t="str">
        <f t="shared" si="100"/>
        <v/>
      </c>
      <c r="AY62" s="620"/>
      <c r="AZ62" s="563" t="str">
        <f ca="1">IF(ROUND(AZ13,2)=0,"ok","!")</f>
        <v>ok</v>
      </c>
      <c r="BA62" s="619">
        <f t="shared" ref="BA62:BD66" ca="1" si="101">IF(BA13="","",IF(AU13=0,"N",(BA13/AU13-1)*100))</f>
        <v>3.4516704763554173</v>
      </c>
      <c r="BB62" s="624">
        <f t="shared" ca="1" si="101"/>
        <v>3.4516704763554173</v>
      </c>
      <c r="BC62" s="625" t="str">
        <f t="shared" si="101"/>
        <v/>
      </c>
      <c r="BD62" s="622" t="str">
        <f t="shared" si="101"/>
        <v/>
      </c>
      <c r="BE62" s="620"/>
      <c r="BF62" s="563" t="str">
        <f ca="1">IF(ROUND(BF13,2)=0,"ok","!")</f>
        <v>ok</v>
      </c>
      <c r="BG62" s="619">
        <f t="shared" ca="1" si="21"/>
        <v>3.3424375228044978</v>
      </c>
      <c r="BH62" s="624">
        <f t="shared" ca="1" si="22"/>
        <v>3.3424375228044978</v>
      </c>
      <c r="BI62" s="625" t="str">
        <f t="shared" si="23"/>
        <v/>
      </c>
      <c r="BJ62" s="622" t="str">
        <f t="shared" si="24"/>
        <v/>
      </c>
      <c r="BK62" s="620"/>
      <c r="BL62" s="563" t="str">
        <f ca="1">IF(ROUND(BL13,2)=0,"ok","!")</f>
        <v>ok</v>
      </c>
      <c r="BM62" s="619">
        <f t="shared" ref="BM62:BP66" ca="1" si="102">IF(BM13="","",IF(BG13=0,"N",(BM13/BG13-1)*100))</f>
        <v>3.4659904065424296</v>
      </c>
      <c r="BN62" s="624">
        <f t="shared" ca="1" si="102"/>
        <v>3.4659904065424296</v>
      </c>
      <c r="BO62" s="625" t="str">
        <f t="shared" si="102"/>
        <v/>
      </c>
      <c r="BP62" s="622" t="str">
        <f t="shared" si="102"/>
        <v/>
      </c>
      <c r="BQ62" s="620"/>
      <c r="BR62" s="563" t="str">
        <f ca="1">IF(ROUND(BR13,2)=0,"ok","!")</f>
        <v>ok</v>
      </c>
      <c r="BS62" s="619">
        <f t="shared" ref="BS62:BV66" ca="1" si="103">IF(BS13="","",IF(BM13=0,"N",(BS13/BM13-1)*100))</f>
        <v>4.9300907372601843</v>
      </c>
      <c r="BT62" s="624">
        <f t="shared" ca="1" si="103"/>
        <v>4.9300907372601843</v>
      </c>
      <c r="BU62" s="625" t="str">
        <f t="shared" si="103"/>
        <v/>
      </c>
      <c r="BV62" s="622" t="str">
        <f t="shared" si="103"/>
        <v/>
      </c>
      <c r="BW62" s="620"/>
      <c r="BX62" s="563" t="str">
        <f ca="1">IF(ROUND(BX13,2)=0,"ok","!")</f>
        <v>ok</v>
      </c>
      <c r="BY62" s="619">
        <f t="shared" ref="BY62:CB66" ca="1" si="104">IF(BY13="","",IF(BS13=0,"N",(BY13/BS13-1)*100))</f>
        <v>8.0945441481741209</v>
      </c>
      <c r="BZ62" s="624">
        <f t="shared" ca="1" si="104"/>
        <v>8.0945441481741209</v>
      </c>
      <c r="CA62" s="625" t="str">
        <f t="shared" si="104"/>
        <v/>
      </c>
      <c r="CB62" s="622" t="str">
        <f t="shared" si="104"/>
        <v/>
      </c>
      <c r="CC62" s="620"/>
      <c r="CD62" s="563" t="str">
        <f ca="1">IF(ROUND(CD13,2)=0,"ok","!")</f>
        <v>ok</v>
      </c>
      <c r="CE62" s="619">
        <f t="shared" ca="1" si="29"/>
        <v>5.1874728206791287</v>
      </c>
      <c r="CF62" s="624">
        <f t="shared" ca="1" si="30"/>
        <v>5.1874728206791287</v>
      </c>
      <c r="CG62" s="625" t="str">
        <f t="shared" si="31"/>
        <v/>
      </c>
      <c r="CH62" s="622" t="str">
        <f t="shared" si="32"/>
        <v/>
      </c>
      <c r="CI62" s="620"/>
      <c r="CJ62" s="563" t="str">
        <f ca="1">IF(ROUND(CJ13,2)=0,"ok","!")</f>
        <v>ok</v>
      </c>
      <c r="CK62" s="619">
        <f t="shared" ca="1" si="34"/>
        <v>0.2276692692988691</v>
      </c>
      <c r="CL62" s="624">
        <f t="shared" ca="1" si="35"/>
        <v>0.2276692692988691</v>
      </c>
      <c r="CM62" s="625" t="str">
        <f t="shared" si="36"/>
        <v/>
      </c>
      <c r="CN62" s="622" t="str">
        <f t="shared" si="37"/>
        <v/>
      </c>
      <c r="CO62" s="620"/>
      <c r="CP62" s="563" t="str">
        <f ca="1">IF(ROUND(CP13,2)=0,"ok","!")</f>
        <v>ok</v>
      </c>
      <c r="CQ62" s="619">
        <f t="shared" ca="1" si="39"/>
        <v>3.0033780455638981</v>
      </c>
      <c r="CR62" s="624">
        <f t="shared" ca="1" si="40"/>
        <v>3.0033780455638981</v>
      </c>
      <c r="CS62" s="625" t="str">
        <f t="shared" si="41"/>
        <v/>
      </c>
      <c r="CT62" s="622" t="str">
        <f t="shared" si="42"/>
        <v/>
      </c>
      <c r="CU62" s="620"/>
      <c r="CV62" s="563" t="str">
        <f ca="1">IF(ROUND(CV13,2)=0,"ok","!")</f>
        <v>ok</v>
      </c>
      <c r="CW62" s="619">
        <f t="shared" ca="1" si="44"/>
        <v>5.6042945731650917</v>
      </c>
      <c r="CX62" s="624">
        <f t="shared" ca="1" si="45"/>
        <v>5.6042945731650917</v>
      </c>
      <c r="CY62" s="625" t="str">
        <f t="shared" si="46"/>
        <v/>
      </c>
      <c r="CZ62" s="622" t="str">
        <f t="shared" si="47"/>
        <v/>
      </c>
      <c r="DA62" s="620"/>
      <c r="DB62" s="563" t="str">
        <f ca="1">IF(ROUND(DB13,2)=0,"ok","!")</f>
        <v>ok</v>
      </c>
      <c r="DC62" s="619">
        <f t="shared" ca="1" si="49"/>
        <v>3.9687380950711448</v>
      </c>
      <c r="DD62" s="624">
        <f t="shared" ca="1" si="50"/>
        <v>3.9687380950711448</v>
      </c>
      <c r="DE62" s="625" t="str">
        <f t="shared" si="51"/>
        <v/>
      </c>
      <c r="DF62" s="622" t="str">
        <f t="shared" si="52"/>
        <v/>
      </c>
      <c r="DG62" s="620"/>
      <c r="DH62" s="563" t="str">
        <f ca="1">IF(ROUND(DH13,2)=0,"ok","!")</f>
        <v>ok</v>
      </c>
      <c r="DI62" s="619">
        <f t="shared" ca="1" si="54"/>
        <v>2.9535236596605507</v>
      </c>
      <c r="DJ62" s="624">
        <f t="shared" ca="1" si="55"/>
        <v>2.9535236596605507</v>
      </c>
      <c r="DK62" s="625" t="str">
        <f t="shared" si="56"/>
        <v/>
      </c>
      <c r="DL62" s="622" t="str">
        <f t="shared" si="57"/>
        <v/>
      </c>
      <c r="DM62" s="620"/>
      <c r="DN62" s="563" t="str">
        <f ca="1">IF(ROUND(DN13,2)=0,"ok","!")</f>
        <v>ok</v>
      </c>
      <c r="DO62" s="619">
        <f t="shared" ca="1" si="59"/>
        <v>3.8594288615168004</v>
      </c>
      <c r="DP62" s="624">
        <f t="shared" ca="1" si="60"/>
        <v>3.8594288615168004</v>
      </c>
      <c r="DQ62" s="625" t="str">
        <f t="shared" si="61"/>
        <v/>
      </c>
      <c r="DR62" s="622" t="str">
        <f t="shared" si="62"/>
        <v/>
      </c>
      <c r="DS62" s="620"/>
      <c r="DT62" s="563" t="str">
        <f ca="1">IF(ROUND(DT13,2)=0,"ok","!")</f>
        <v>ok</v>
      </c>
      <c r="DU62" s="619">
        <f t="shared" ca="1" si="64"/>
        <v>4.2073772585509372</v>
      </c>
      <c r="DV62" s="624">
        <f t="shared" ca="1" si="65"/>
        <v>4.2073772585509372</v>
      </c>
      <c r="DW62" s="625" t="str">
        <f t="shared" si="66"/>
        <v/>
      </c>
      <c r="DX62" s="622" t="str">
        <f t="shared" si="67"/>
        <v/>
      </c>
      <c r="DY62" s="620"/>
      <c r="DZ62" s="563" t="str">
        <f ca="1">IF(ROUND(DZ13,2)=0,"ok","!")</f>
        <v>ok</v>
      </c>
      <c r="EA62" s="619">
        <f t="shared" ca="1" si="69"/>
        <v>4.5158898679080517</v>
      </c>
      <c r="EB62" s="624">
        <f t="shared" ca="1" si="70"/>
        <v>4.5158898679080517</v>
      </c>
      <c r="EC62" s="625" t="str">
        <f t="shared" si="71"/>
        <v/>
      </c>
      <c r="ED62" s="622" t="str">
        <f t="shared" si="72"/>
        <v/>
      </c>
      <c r="EE62" s="620"/>
      <c r="EF62" s="563" t="str">
        <f ca="1">IF(ROUND(EF13,2)=0,"ok","!")</f>
        <v>ok</v>
      </c>
      <c r="EG62" s="619">
        <f t="shared" ca="1" si="74"/>
        <v>4.4604721348372234</v>
      </c>
      <c r="EH62" s="624">
        <f t="shared" ca="1" si="75"/>
        <v>4.4604721348372234</v>
      </c>
      <c r="EI62" s="625" t="str">
        <f t="shared" si="76"/>
        <v/>
      </c>
      <c r="EJ62" s="622" t="str">
        <f t="shared" si="77"/>
        <v/>
      </c>
      <c r="EK62" s="620"/>
      <c r="EL62" s="563" t="str">
        <f ca="1">IF(ROUND(EL13,2)=0,"ok","!")</f>
        <v>ok</v>
      </c>
      <c r="EM62" s="619">
        <f t="shared" ca="1" si="79"/>
        <v>4.4408130411299096</v>
      </c>
      <c r="EN62" s="624">
        <f t="shared" ca="1" si="80"/>
        <v>4.4408130411299096</v>
      </c>
      <c r="EO62" s="625" t="str">
        <f t="shared" si="81"/>
        <v/>
      </c>
      <c r="EP62" s="622" t="str">
        <f t="shared" si="82"/>
        <v/>
      </c>
      <c r="EQ62" s="620"/>
      <c r="ER62" s="563" t="str">
        <f ca="1">IF(ROUND(ER13,2)=0,"ok","!")</f>
        <v>ok</v>
      </c>
      <c r="ES62" s="619">
        <f t="shared" ca="1" si="84"/>
        <v>3.5774942942217614</v>
      </c>
      <c r="ET62" s="624">
        <f t="shared" ca="1" si="85"/>
        <v>3.5774942942217614</v>
      </c>
      <c r="EU62" s="625" t="str">
        <f t="shared" si="86"/>
        <v/>
      </c>
      <c r="EV62" s="622" t="str">
        <f t="shared" si="87"/>
        <v/>
      </c>
      <c r="EW62" s="620"/>
      <c r="EX62" s="563" t="str">
        <f ca="1">IF(ROUND(EX13,2)=0,"ok","!")</f>
        <v>ok</v>
      </c>
      <c r="EY62" s="619">
        <f t="shared" ca="1" si="89"/>
        <v>3.1515123903045561</v>
      </c>
      <c r="EZ62" s="624">
        <f t="shared" ca="1" si="90"/>
        <v>3.1515123903045561</v>
      </c>
      <c r="FA62" s="625" t="str">
        <f t="shared" si="91"/>
        <v/>
      </c>
      <c r="FB62" s="622" t="str">
        <f t="shared" si="92"/>
        <v/>
      </c>
      <c r="FC62" s="620"/>
      <c r="FD62" s="563" t="str">
        <f ca="1">IF(ROUND(FD13,2)=0,"ok","!")</f>
        <v>ok</v>
      </c>
    </row>
    <row r="63" spans="1:160" s="573" customFormat="1" ht="13.15">
      <c r="B63" s="574"/>
      <c r="C63" s="575"/>
      <c r="D63" s="576" t="s">
        <v>1871</v>
      </c>
      <c r="E63" s="626"/>
      <c r="F63" s="593"/>
      <c r="G63" s="627"/>
      <c r="H63" s="628"/>
      <c r="I63" s="628"/>
      <c r="J63" s="553"/>
      <c r="K63" s="626" t="str">
        <f t="shared" si="94"/>
        <v/>
      </c>
      <c r="L63" s="593">
        <f t="shared" ca="1" si="94"/>
        <v>6.0006633083715011</v>
      </c>
      <c r="M63" s="627" t="str">
        <f t="shared" si="94"/>
        <v/>
      </c>
      <c r="N63" s="628" t="str">
        <f t="shared" si="94"/>
        <v/>
      </c>
      <c r="O63" s="628" t="str">
        <f>IF(O14="","",IF(I14=0,"N",(O14/I14-1)*100))</f>
        <v/>
      </c>
      <c r="P63" s="553"/>
      <c r="Q63" s="626" t="str">
        <f t="shared" si="95"/>
        <v/>
      </c>
      <c r="R63" s="593">
        <f t="shared" ca="1" si="95"/>
        <v>4.2515335116611208</v>
      </c>
      <c r="S63" s="627" t="str">
        <f t="shared" si="95"/>
        <v/>
      </c>
      <c r="T63" s="628" t="str">
        <f t="shared" si="95"/>
        <v/>
      </c>
      <c r="U63" s="628" t="str">
        <f>IF(U14="","",IF(O14=0,"N",(U14/O14-1)*100))</f>
        <v/>
      </c>
      <c r="V63" s="553"/>
      <c r="W63" s="626" t="str">
        <f t="shared" si="96"/>
        <v/>
      </c>
      <c r="X63" s="593">
        <f t="shared" ca="1" si="96"/>
        <v>5.5237474512370044</v>
      </c>
      <c r="Y63" s="627" t="str">
        <f t="shared" si="96"/>
        <v/>
      </c>
      <c r="Z63" s="628" t="str">
        <f t="shared" si="96"/>
        <v/>
      </c>
      <c r="AA63" s="628" t="str">
        <f>IF(AA14="","",IF(U14=0,"N",(AA14/U14-1)*100))</f>
        <v/>
      </c>
      <c r="AB63" s="553"/>
      <c r="AC63" s="626" t="str">
        <f t="shared" si="97"/>
        <v/>
      </c>
      <c r="AD63" s="593">
        <f t="shared" ca="1" si="97"/>
        <v>5.8192888295385492</v>
      </c>
      <c r="AE63" s="627" t="str">
        <f t="shared" si="97"/>
        <v/>
      </c>
      <c r="AF63" s="628" t="str">
        <f t="shared" si="97"/>
        <v/>
      </c>
      <c r="AG63" s="628" t="str">
        <f>IF(AG14="","",IF(AA14=0,"N",(AG14/AA14-1)*100))</f>
        <v/>
      </c>
      <c r="AH63" s="553"/>
      <c r="AI63" s="626" t="str">
        <f t="shared" si="98"/>
        <v/>
      </c>
      <c r="AJ63" s="593">
        <f t="shared" ca="1" si="98"/>
        <v>6.8112790758032782</v>
      </c>
      <c r="AK63" s="627" t="str">
        <f t="shared" si="98"/>
        <v/>
      </c>
      <c r="AL63" s="628" t="str">
        <f t="shared" si="98"/>
        <v/>
      </c>
      <c r="AM63" s="628" t="str">
        <f>IF(AM14="","",IF(AG14=0,"N",(AM14/AG14-1)*100))</f>
        <v/>
      </c>
      <c r="AN63" s="553"/>
      <c r="AO63" s="626" t="str">
        <f t="shared" si="99"/>
        <v/>
      </c>
      <c r="AP63" s="593">
        <f t="shared" ca="1" si="99"/>
        <v>5.8097353781954686</v>
      </c>
      <c r="AQ63" s="627" t="str">
        <f t="shared" si="99"/>
        <v/>
      </c>
      <c r="AR63" s="628" t="str">
        <f t="shared" si="99"/>
        <v/>
      </c>
      <c r="AS63" s="628" t="str">
        <f>IF(AS14="","",IF(AM14=0,"N",(AS14/AM14-1)*100))</f>
        <v/>
      </c>
      <c r="AT63" s="553"/>
      <c r="AU63" s="626" t="str">
        <f t="shared" si="100"/>
        <v/>
      </c>
      <c r="AV63" s="593">
        <f t="shared" ca="1" si="100"/>
        <v>3.3364327349889145</v>
      </c>
      <c r="AW63" s="627" t="str">
        <f t="shared" si="100"/>
        <v/>
      </c>
      <c r="AX63" s="628" t="str">
        <f t="shared" si="100"/>
        <v/>
      </c>
      <c r="AY63" s="628" t="str">
        <f>IF(AY14="","",IF(AS14=0,"N",(AY14/AS14-1)*100))</f>
        <v/>
      </c>
      <c r="AZ63" s="553"/>
      <c r="BA63" s="626" t="str">
        <f t="shared" si="101"/>
        <v/>
      </c>
      <c r="BB63" s="593">
        <f t="shared" ca="1" si="101"/>
        <v>2.4718306520433497</v>
      </c>
      <c r="BC63" s="627" t="str">
        <f t="shared" si="101"/>
        <v/>
      </c>
      <c r="BD63" s="628" t="str">
        <f t="shared" si="101"/>
        <v/>
      </c>
      <c r="BE63" s="628" t="str">
        <f>IF(BE14="","",IF(AY14=0,"N",(BE14/AY14-1)*100))</f>
        <v/>
      </c>
      <c r="BF63" s="553"/>
      <c r="BG63" s="626" t="str">
        <f t="shared" si="21"/>
        <v/>
      </c>
      <c r="BH63" s="593">
        <f t="shared" ca="1" si="22"/>
        <v>2.6396806088634373</v>
      </c>
      <c r="BI63" s="627" t="str">
        <f t="shared" si="23"/>
        <v/>
      </c>
      <c r="BJ63" s="628" t="str">
        <f t="shared" si="24"/>
        <v/>
      </c>
      <c r="BK63" s="628" t="str">
        <f>IF(BK14="","",IF(BE14=0,"N",(BK14/BE14-1)*100))</f>
        <v/>
      </c>
      <c r="BL63" s="553"/>
      <c r="BM63" s="626" t="str">
        <f t="shared" si="102"/>
        <v/>
      </c>
      <c r="BN63" s="593">
        <f t="shared" ca="1" si="102"/>
        <v>3.7411490712394357</v>
      </c>
      <c r="BO63" s="627" t="str">
        <f t="shared" si="102"/>
        <v/>
      </c>
      <c r="BP63" s="628" t="str">
        <f t="shared" si="102"/>
        <v/>
      </c>
      <c r="BQ63" s="628" t="str">
        <f>IF(BQ14="","",IF(BK14=0,"N",(BQ14/BK14-1)*100))</f>
        <v/>
      </c>
      <c r="BR63" s="553"/>
      <c r="BS63" s="626" t="str">
        <f t="shared" si="103"/>
        <v/>
      </c>
      <c r="BT63" s="593">
        <f t="shared" ca="1" si="103"/>
        <v>5.6065096524117841</v>
      </c>
      <c r="BU63" s="627" t="str">
        <f t="shared" si="103"/>
        <v/>
      </c>
      <c r="BV63" s="628" t="str">
        <f t="shared" si="103"/>
        <v/>
      </c>
      <c r="BW63" s="628" t="str">
        <f>IF(BW14="","",IF(BQ14=0,"N",(BW14/BQ14-1)*100))</f>
        <v/>
      </c>
      <c r="BX63" s="553"/>
      <c r="BY63" s="626" t="str">
        <f t="shared" si="104"/>
        <v/>
      </c>
      <c r="BZ63" s="593">
        <f t="shared" ca="1" si="104"/>
        <v>7.1603494843708315</v>
      </c>
      <c r="CA63" s="627" t="str">
        <f t="shared" si="104"/>
        <v/>
      </c>
      <c r="CB63" s="628" t="str">
        <f t="shared" si="104"/>
        <v/>
      </c>
      <c r="CC63" s="628" t="str">
        <f>IF(CC14="","",IF(BW14=0,"N",(CC14/BW14-1)*100))</f>
        <v/>
      </c>
      <c r="CD63" s="553"/>
      <c r="CE63" s="626" t="str">
        <f t="shared" si="29"/>
        <v/>
      </c>
      <c r="CF63" s="593">
        <f t="shared" ca="1" si="30"/>
        <v>5.8330560372686024</v>
      </c>
      <c r="CG63" s="627" t="str">
        <f t="shared" si="31"/>
        <v/>
      </c>
      <c r="CH63" s="628" t="str">
        <f t="shared" si="32"/>
        <v/>
      </c>
      <c r="CI63" s="628" t="str">
        <f>IF(CI14="","",IF(CC14=0,"N",(CI14/CC14-1)*100))</f>
        <v/>
      </c>
      <c r="CJ63" s="553"/>
      <c r="CK63" s="626" t="str">
        <f t="shared" si="34"/>
        <v/>
      </c>
      <c r="CL63" s="593">
        <f t="shared" ca="1" si="35"/>
        <v>0.31857219193540676</v>
      </c>
      <c r="CM63" s="627" t="str">
        <f t="shared" si="36"/>
        <v/>
      </c>
      <c r="CN63" s="628" t="str">
        <f t="shared" si="37"/>
        <v/>
      </c>
      <c r="CO63" s="628" t="str">
        <f t="shared" ref="CO63:CO68" si="105">IF(CO14="","",IF(CI14=0,"N",(CO14/CI14-1)*100))</f>
        <v/>
      </c>
      <c r="CP63" s="553"/>
      <c r="CQ63" s="626" t="str">
        <f t="shared" si="39"/>
        <v/>
      </c>
      <c r="CR63" s="593">
        <f t="shared" ca="1" si="40"/>
        <v>2.995541344648478</v>
      </c>
      <c r="CS63" s="627" t="str">
        <f t="shared" si="41"/>
        <v/>
      </c>
      <c r="CT63" s="628" t="str">
        <f t="shared" si="42"/>
        <v/>
      </c>
      <c r="CU63" s="628" t="str">
        <f t="shared" ref="CU63:CU68" si="106">IF(CU14="","",IF(CO14=0,"N",(CU14/CO14-1)*100))</f>
        <v/>
      </c>
      <c r="CV63" s="553"/>
      <c r="CW63" s="626" t="str">
        <f t="shared" si="44"/>
        <v/>
      </c>
      <c r="CX63" s="593">
        <f t="shared" ca="1" si="45"/>
        <v>5.3795500729298951</v>
      </c>
      <c r="CY63" s="627" t="str">
        <f t="shared" si="46"/>
        <v/>
      </c>
      <c r="CZ63" s="628" t="str">
        <f t="shared" si="47"/>
        <v/>
      </c>
      <c r="DA63" s="628" t="str">
        <f t="shared" ref="DA63:DA68" si="107">IF(DA14="","",IF(CU14=0,"N",(DA14/CU14-1)*100))</f>
        <v/>
      </c>
      <c r="DB63" s="553"/>
      <c r="DC63" s="626" t="str">
        <f t="shared" si="49"/>
        <v/>
      </c>
      <c r="DD63" s="593">
        <f t="shared" ca="1" si="50"/>
        <v>3.7135709367156045</v>
      </c>
      <c r="DE63" s="627" t="str">
        <f t="shared" si="51"/>
        <v/>
      </c>
      <c r="DF63" s="628" t="str">
        <f t="shared" si="52"/>
        <v/>
      </c>
      <c r="DG63" s="628" t="str">
        <f t="shared" ref="DG63:DG68" si="108">IF(DG14="","",IF(DA14=0,"N",(DG14/DA14-1)*100))</f>
        <v/>
      </c>
      <c r="DH63" s="553"/>
      <c r="DI63" s="626" t="str">
        <f t="shared" si="54"/>
        <v/>
      </c>
      <c r="DJ63" s="593">
        <f t="shared" ca="1" si="55"/>
        <v>2.6901036472646522</v>
      </c>
      <c r="DK63" s="627" t="str">
        <f t="shared" si="56"/>
        <v/>
      </c>
      <c r="DL63" s="628" t="str">
        <f t="shared" si="57"/>
        <v/>
      </c>
      <c r="DM63" s="628" t="str">
        <f t="shared" ref="DM63:DM68" si="109">IF(DM14="","",IF(DG14=0,"N",(DM14/DG14-1)*100))</f>
        <v/>
      </c>
      <c r="DN63" s="553"/>
      <c r="DO63" s="626" t="str">
        <f t="shared" si="59"/>
        <v/>
      </c>
      <c r="DP63" s="593">
        <f t="shared" ca="1" si="60"/>
        <v>3.8087752126541252</v>
      </c>
      <c r="DQ63" s="627" t="str">
        <f t="shared" si="61"/>
        <v/>
      </c>
      <c r="DR63" s="628" t="str">
        <f t="shared" si="62"/>
        <v/>
      </c>
      <c r="DS63" s="628" t="str">
        <f t="shared" ref="DS63:DS68" si="110">IF(DS14="","",IF(DM14=0,"N",(DS14/DM14-1)*100))</f>
        <v/>
      </c>
      <c r="DT63" s="553"/>
      <c r="DU63" s="626" t="str">
        <f t="shared" si="64"/>
        <v/>
      </c>
      <c r="DV63" s="593">
        <f t="shared" ca="1" si="65"/>
        <v>4.0566019374196571</v>
      </c>
      <c r="DW63" s="627" t="str">
        <f t="shared" si="66"/>
        <v/>
      </c>
      <c r="DX63" s="628" t="str">
        <f t="shared" si="67"/>
        <v/>
      </c>
      <c r="DY63" s="628" t="str">
        <f t="shared" ref="DY63:DY68" si="111">IF(DY14="","",IF(DS14=0,"N",(DY14/DS14-1)*100))</f>
        <v/>
      </c>
      <c r="DZ63" s="553"/>
      <c r="EA63" s="626" t="str">
        <f t="shared" si="69"/>
        <v/>
      </c>
      <c r="EB63" s="593">
        <f t="shared" ca="1" si="70"/>
        <v>4.4084284048974798</v>
      </c>
      <c r="EC63" s="627" t="str">
        <f t="shared" si="71"/>
        <v/>
      </c>
      <c r="ED63" s="628" t="str">
        <f t="shared" si="72"/>
        <v/>
      </c>
      <c r="EE63" s="628" t="str">
        <f t="shared" ref="EE63:EE68" si="112">IF(EE14="","",IF(DY14=0,"N",(EE14/DY14-1)*100))</f>
        <v/>
      </c>
      <c r="EF63" s="553"/>
      <c r="EG63" s="626" t="str">
        <f t="shared" si="74"/>
        <v/>
      </c>
      <c r="EH63" s="593">
        <f t="shared" ca="1" si="75"/>
        <v>4.6596444428520067</v>
      </c>
      <c r="EI63" s="627" t="str">
        <f t="shared" si="76"/>
        <v/>
      </c>
      <c r="EJ63" s="628" t="str">
        <f t="shared" si="77"/>
        <v/>
      </c>
      <c r="EK63" s="628" t="str">
        <f t="shared" ref="EK63:EK68" si="113">IF(EK14="","",IF(EE14=0,"N",(EK14/EE14-1)*100))</f>
        <v/>
      </c>
      <c r="EL63" s="553"/>
      <c r="EM63" s="626" t="str">
        <f t="shared" si="79"/>
        <v/>
      </c>
      <c r="EN63" s="593">
        <f t="shared" ca="1" si="80"/>
        <v>4.4999719998763066</v>
      </c>
      <c r="EO63" s="627" t="str">
        <f t="shared" si="81"/>
        <v/>
      </c>
      <c r="EP63" s="628" t="str">
        <f t="shared" si="82"/>
        <v/>
      </c>
      <c r="EQ63" s="628" t="str">
        <f t="shared" ref="EQ63:EQ68" si="114">IF(EQ14="","",IF(EK14=0,"N",(EQ14/EK14-1)*100))</f>
        <v/>
      </c>
      <c r="ER63" s="553"/>
      <c r="ES63" s="626" t="str">
        <f t="shared" si="84"/>
        <v/>
      </c>
      <c r="ET63" s="593">
        <f t="shared" ca="1" si="85"/>
        <v>3.701809727883032</v>
      </c>
      <c r="EU63" s="627" t="str">
        <f t="shared" si="86"/>
        <v/>
      </c>
      <c r="EV63" s="628" t="str">
        <f t="shared" si="87"/>
        <v/>
      </c>
      <c r="EW63" s="628" t="str">
        <f t="shared" ref="EW63:EW68" si="115">IF(EW14="","",IF(EQ14=0,"N",(EW14/EQ14-1)*100))</f>
        <v/>
      </c>
      <c r="EX63" s="553"/>
      <c r="EY63" s="626" t="str">
        <f t="shared" si="89"/>
        <v/>
      </c>
      <c r="EZ63" s="593">
        <f t="shared" ca="1" si="90"/>
        <v>3.2548913527045364</v>
      </c>
      <c r="FA63" s="627" t="str">
        <f t="shared" si="91"/>
        <v/>
      </c>
      <c r="FB63" s="628" t="str">
        <f t="shared" si="92"/>
        <v/>
      </c>
      <c r="FC63" s="628" t="str">
        <f t="shared" ref="FC63:FC68" si="116">IF(FC14="","",IF(EW14=0,"N",(FC14/EW14-1)*100))</f>
        <v/>
      </c>
      <c r="FD63" s="553"/>
    </row>
    <row r="64" spans="1:160" s="573" customFormat="1" ht="13.5" thickBot="1">
      <c r="B64" s="574"/>
      <c r="C64" s="575"/>
      <c r="D64" s="576" t="s">
        <v>1878</v>
      </c>
      <c r="E64" s="626"/>
      <c r="F64" s="629"/>
      <c r="G64" s="627"/>
      <c r="H64" s="628"/>
      <c r="I64" s="628"/>
      <c r="J64" s="553"/>
      <c r="K64" s="626" t="str">
        <f t="shared" si="94"/>
        <v/>
      </c>
      <c r="L64" s="629">
        <f t="shared" ca="1" si="94"/>
        <v>6.0011247715306748</v>
      </c>
      <c r="M64" s="627" t="str">
        <f t="shared" si="94"/>
        <v/>
      </c>
      <c r="N64" s="628" t="str">
        <f t="shared" si="94"/>
        <v/>
      </c>
      <c r="O64" s="628" t="str">
        <f>IF(O15="","",IF(I15=0,"N",(O15/I15-1)*100))</f>
        <v/>
      </c>
      <c r="P64" s="553"/>
      <c r="Q64" s="626" t="str">
        <f t="shared" si="95"/>
        <v/>
      </c>
      <c r="R64" s="629">
        <f t="shared" ca="1" si="95"/>
        <v>6.8005806541939329</v>
      </c>
      <c r="S64" s="627" t="str">
        <f t="shared" si="95"/>
        <v/>
      </c>
      <c r="T64" s="628" t="str">
        <f t="shared" si="95"/>
        <v/>
      </c>
      <c r="U64" s="628" t="str">
        <f>IF(U15="","",IF(O15=0,"N",(U15/O15-1)*100))</f>
        <v/>
      </c>
      <c r="V64" s="553"/>
      <c r="W64" s="626" t="str">
        <f t="shared" si="96"/>
        <v/>
      </c>
      <c r="X64" s="629">
        <f t="shared" ca="1" si="96"/>
        <v>-28.732285528984814</v>
      </c>
      <c r="Y64" s="627" t="str">
        <f t="shared" si="96"/>
        <v/>
      </c>
      <c r="Z64" s="628" t="str">
        <f t="shared" si="96"/>
        <v/>
      </c>
      <c r="AA64" s="628" t="str">
        <f>IF(AA15="","",IF(U15=0,"N",(AA15/U15-1)*100))</f>
        <v/>
      </c>
      <c r="AB64" s="553"/>
      <c r="AC64" s="626" t="str">
        <f t="shared" si="97"/>
        <v/>
      </c>
      <c r="AD64" s="629">
        <f t="shared" ca="1" si="97"/>
        <v>8.5532557554166111</v>
      </c>
      <c r="AE64" s="627" t="str">
        <f t="shared" si="97"/>
        <v/>
      </c>
      <c r="AF64" s="628" t="str">
        <f t="shared" si="97"/>
        <v/>
      </c>
      <c r="AG64" s="628" t="str">
        <f>IF(AG15="","",IF(AA15=0,"N",(AG15/AA15-1)*100))</f>
        <v/>
      </c>
      <c r="AH64" s="553"/>
      <c r="AI64" s="626" t="str">
        <f t="shared" si="98"/>
        <v/>
      </c>
      <c r="AJ64" s="629">
        <f t="shared" ca="1" si="98"/>
        <v>32.162955167708574</v>
      </c>
      <c r="AK64" s="627" t="str">
        <f t="shared" si="98"/>
        <v/>
      </c>
      <c r="AL64" s="628" t="str">
        <f t="shared" si="98"/>
        <v/>
      </c>
      <c r="AM64" s="628" t="str">
        <f>IF(AM15="","",IF(AG15=0,"N",(AM15/AG15-1)*100))</f>
        <v/>
      </c>
      <c r="AN64" s="553"/>
      <c r="AO64" s="626" t="str">
        <f t="shared" si="99"/>
        <v/>
      </c>
      <c r="AP64" s="629">
        <f t="shared" ca="1" si="99"/>
        <v>14.121449731093861</v>
      </c>
      <c r="AQ64" s="627" t="str">
        <f t="shared" si="99"/>
        <v/>
      </c>
      <c r="AR64" s="628" t="str">
        <f t="shared" si="99"/>
        <v/>
      </c>
      <c r="AS64" s="628" t="str">
        <f>IF(AS15="","",IF(AM15=0,"N",(AS15/AM15-1)*100))</f>
        <v/>
      </c>
      <c r="AT64" s="553"/>
      <c r="AU64" s="626" t="str">
        <f t="shared" si="100"/>
        <v/>
      </c>
      <c r="AV64" s="629">
        <f t="shared" ca="1" si="100"/>
        <v>4.6966650898770723</v>
      </c>
      <c r="AW64" s="627" t="str">
        <f t="shared" si="100"/>
        <v/>
      </c>
      <c r="AX64" s="628" t="str">
        <f t="shared" si="100"/>
        <v/>
      </c>
      <c r="AY64" s="628" t="str">
        <f>IF(AY15="","",IF(AS15=0,"N",(AY15/AS15-1)*100))</f>
        <v/>
      </c>
      <c r="AZ64" s="553"/>
      <c r="BA64" s="626" t="str">
        <f t="shared" si="101"/>
        <v/>
      </c>
      <c r="BB64" s="629">
        <f t="shared" ca="1" si="101"/>
        <v>9.0544043645482297</v>
      </c>
      <c r="BC64" s="627" t="str">
        <f t="shared" si="101"/>
        <v/>
      </c>
      <c r="BD64" s="628" t="str">
        <f t="shared" si="101"/>
        <v/>
      </c>
      <c r="BE64" s="628" t="str">
        <f>IF(BE15="","",IF(AY15=0,"N",(BE15/AY15-1)*100))</f>
        <v/>
      </c>
      <c r="BF64" s="553"/>
      <c r="BG64" s="626" t="str">
        <f t="shared" si="21"/>
        <v/>
      </c>
      <c r="BH64" s="629">
        <f t="shared" ca="1" si="22"/>
        <v>7.1182578523525386</v>
      </c>
      <c r="BI64" s="627" t="str">
        <f t="shared" si="23"/>
        <v/>
      </c>
      <c r="BJ64" s="628" t="str">
        <f t="shared" si="24"/>
        <v/>
      </c>
      <c r="BK64" s="628" t="str">
        <f>IF(BK15="","",IF(BE15=0,"N",(BK15/BE15-1)*100))</f>
        <v/>
      </c>
      <c r="BL64" s="553"/>
      <c r="BM64" s="626" t="str">
        <f t="shared" si="102"/>
        <v/>
      </c>
      <c r="BN64" s="629">
        <f t="shared" ca="1" si="102"/>
        <v>2.0494101721136193</v>
      </c>
      <c r="BO64" s="627" t="str">
        <f t="shared" si="102"/>
        <v/>
      </c>
      <c r="BP64" s="628" t="str">
        <f t="shared" si="102"/>
        <v/>
      </c>
      <c r="BQ64" s="628" t="str">
        <f>IF(BQ15="","",IF(BK15=0,"N",(BQ15/BK15-1)*100))</f>
        <v/>
      </c>
      <c r="BR64" s="553"/>
      <c r="BS64" s="626" t="str">
        <f t="shared" si="103"/>
        <v/>
      </c>
      <c r="BT64" s="629">
        <f t="shared" ca="1" si="103"/>
        <v>1.3900009001369007</v>
      </c>
      <c r="BU64" s="627" t="str">
        <f t="shared" si="103"/>
        <v/>
      </c>
      <c r="BV64" s="628" t="str">
        <f t="shared" si="103"/>
        <v/>
      </c>
      <c r="BW64" s="628" t="str">
        <f>IF(BW15="","",IF(BQ15=0,"N",(BW15/BQ15-1)*100))</f>
        <v/>
      </c>
      <c r="BX64" s="553"/>
      <c r="BY64" s="626" t="str">
        <f t="shared" si="104"/>
        <v/>
      </c>
      <c r="BZ64" s="629">
        <f t="shared" ca="1" si="104"/>
        <v>13.187049384850557</v>
      </c>
      <c r="CA64" s="627" t="str">
        <f t="shared" si="104"/>
        <v/>
      </c>
      <c r="CB64" s="628" t="str">
        <f t="shared" si="104"/>
        <v/>
      </c>
      <c r="CC64" s="628" t="str">
        <f>IF(CC15="","",IF(BW15=0,"N",(CC15/BW15-1)*100))</f>
        <v/>
      </c>
      <c r="CD64" s="553"/>
      <c r="CE64" s="626" t="str">
        <f t="shared" si="29"/>
        <v/>
      </c>
      <c r="CF64" s="629">
        <f t="shared" ca="1" si="30"/>
        <v>1.8556360558960927</v>
      </c>
      <c r="CG64" s="627" t="str">
        <f t="shared" si="31"/>
        <v/>
      </c>
      <c r="CH64" s="628" t="str">
        <f t="shared" si="32"/>
        <v/>
      </c>
      <c r="CI64" s="628" t="str">
        <f>IF(CI15="","",IF(CC15=0,"N",(CI15/CC15-1)*100))</f>
        <v/>
      </c>
      <c r="CJ64" s="553"/>
      <c r="CK64" s="626" t="str">
        <f t="shared" si="34"/>
        <v/>
      </c>
      <c r="CL64" s="629">
        <f t="shared" ca="1" si="35"/>
        <v>-0.25979815993194544</v>
      </c>
      <c r="CM64" s="627" t="str">
        <f t="shared" si="36"/>
        <v/>
      </c>
      <c r="CN64" s="628" t="str">
        <f t="shared" si="37"/>
        <v/>
      </c>
      <c r="CO64" s="628" t="str">
        <f t="shared" si="105"/>
        <v/>
      </c>
      <c r="CP64" s="553"/>
      <c r="CQ64" s="626" t="str">
        <f t="shared" si="39"/>
        <v/>
      </c>
      <c r="CR64" s="629">
        <f t="shared" ca="1" si="40"/>
        <v>3.0456460873911961</v>
      </c>
      <c r="CS64" s="627" t="str">
        <f t="shared" si="41"/>
        <v/>
      </c>
      <c r="CT64" s="628" t="str">
        <f t="shared" si="42"/>
        <v/>
      </c>
      <c r="CU64" s="628" t="str">
        <f t="shared" si="106"/>
        <v/>
      </c>
      <c r="CV64" s="553"/>
      <c r="CW64" s="626" t="str">
        <f t="shared" si="44"/>
        <v/>
      </c>
      <c r="CX64" s="629">
        <f t="shared" ca="1" si="45"/>
        <v>6.8158874376932799</v>
      </c>
      <c r="CY64" s="627" t="str">
        <f t="shared" si="46"/>
        <v/>
      </c>
      <c r="CZ64" s="628" t="str">
        <f t="shared" si="47"/>
        <v/>
      </c>
      <c r="DA64" s="628" t="str">
        <f t="shared" si="107"/>
        <v/>
      </c>
      <c r="DB64" s="553"/>
      <c r="DC64" s="626" t="str">
        <f t="shared" si="49"/>
        <v/>
      </c>
      <c r="DD64" s="629">
        <f t="shared" ca="1" si="50"/>
        <v>5.3258413692277795</v>
      </c>
      <c r="DE64" s="627" t="str">
        <f t="shared" si="51"/>
        <v/>
      </c>
      <c r="DF64" s="628" t="str">
        <f t="shared" si="52"/>
        <v/>
      </c>
      <c r="DG64" s="628" t="str">
        <f t="shared" si="108"/>
        <v/>
      </c>
      <c r="DH64" s="553"/>
      <c r="DI64" s="626" t="str">
        <f t="shared" si="54"/>
        <v/>
      </c>
      <c r="DJ64" s="629">
        <f t="shared" ca="1" si="55"/>
        <v>4.3330739517830175</v>
      </c>
      <c r="DK64" s="627" t="str">
        <f t="shared" si="56"/>
        <v/>
      </c>
      <c r="DL64" s="628" t="str">
        <f t="shared" si="57"/>
        <v/>
      </c>
      <c r="DM64" s="628" t="str">
        <f t="shared" si="109"/>
        <v/>
      </c>
      <c r="DN64" s="553"/>
      <c r="DO64" s="626" t="str">
        <f t="shared" si="59"/>
        <v/>
      </c>
      <c r="DP64" s="629">
        <f t="shared" ca="1" si="60"/>
        <v>4.1205283951944116</v>
      </c>
      <c r="DQ64" s="627" t="str">
        <f t="shared" si="61"/>
        <v/>
      </c>
      <c r="DR64" s="628" t="str">
        <f t="shared" si="62"/>
        <v/>
      </c>
      <c r="DS64" s="628" t="str">
        <f t="shared" si="110"/>
        <v/>
      </c>
      <c r="DT64" s="553"/>
      <c r="DU64" s="626" t="str">
        <f t="shared" si="64"/>
        <v/>
      </c>
      <c r="DV64" s="629">
        <f t="shared" ca="1" si="65"/>
        <v>4.9822374088881682</v>
      </c>
      <c r="DW64" s="627" t="str">
        <f t="shared" si="66"/>
        <v/>
      </c>
      <c r="DX64" s="628" t="str">
        <f t="shared" si="67"/>
        <v/>
      </c>
      <c r="DY64" s="628" t="str">
        <f t="shared" si="111"/>
        <v/>
      </c>
      <c r="DZ64" s="553"/>
      <c r="EA64" s="626" t="str">
        <f t="shared" si="69"/>
        <v/>
      </c>
      <c r="EB64" s="629">
        <f t="shared" ca="1" si="70"/>
        <v>5.0632833582285874</v>
      </c>
      <c r="EC64" s="627" t="str">
        <f t="shared" si="71"/>
        <v/>
      </c>
      <c r="ED64" s="628" t="str">
        <f t="shared" si="72"/>
        <v/>
      </c>
      <c r="EE64" s="628" t="str">
        <f t="shared" si="112"/>
        <v/>
      </c>
      <c r="EF64" s="553"/>
      <c r="EG64" s="626" t="str">
        <f t="shared" si="74"/>
        <v/>
      </c>
      <c r="EH64" s="629">
        <f t="shared" ca="1" si="75"/>
        <v>3.4522402555612564</v>
      </c>
      <c r="EI64" s="627" t="str">
        <f t="shared" si="76"/>
        <v/>
      </c>
      <c r="EJ64" s="628" t="str">
        <f t="shared" si="77"/>
        <v/>
      </c>
      <c r="EK64" s="628" t="str">
        <f t="shared" si="113"/>
        <v/>
      </c>
      <c r="EL64" s="553"/>
      <c r="EM64" s="626" t="str">
        <f t="shared" si="79"/>
        <v/>
      </c>
      <c r="EN64" s="629">
        <f t="shared" ca="1" si="80"/>
        <v>4.1378488180253914</v>
      </c>
      <c r="EO64" s="627" t="str">
        <f t="shared" si="81"/>
        <v/>
      </c>
      <c r="EP64" s="628" t="str">
        <f t="shared" si="82"/>
        <v/>
      </c>
      <c r="EQ64" s="628" t="str">
        <f t="shared" si="114"/>
        <v/>
      </c>
      <c r="ER64" s="553"/>
      <c r="ES64" s="626" t="str">
        <f t="shared" si="84"/>
        <v/>
      </c>
      <c r="ET64" s="629">
        <f t="shared" ca="1" si="85"/>
        <v>2.9386376061420583</v>
      </c>
      <c r="EU64" s="627" t="str">
        <f t="shared" si="86"/>
        <v/>
      </c>
      <c r="EV64" s="628" t="str">
        <f t="shared" si="87"/>
        <v/>
      </c>
      <c r="EW64" s="628" t="str">
        <f t="shared" si="115"/>
        <v/>
      </c>
      <c r="EX64" s="553"/>
      <c r="EY64" s="626" t="str">
        <f t="shared" si="89"/>
        <v/>
      </c>
      <c r="EZ64" s="629">
        <f t="shared" ca="1" si="90"/>
        <v>2.616309457403343</v>
      </c>
      <c r="FA64" s="627" t="str">
        <f t="shared" si="91"/>
        <v/>
      </c>
      <c r="FB64" s="628" t="str">
        <f t="shared" si="92"/>
        <v/>
      </c>
      <c r="FC64" s="628" t="str">
        <f t="shared" si="116"/>
        <v/>
      </c>
      <c r="FD64" s="553"/>
    </row>
    <row r="65" spans="2:160" ht="13.5" thickBot="1">
      <c r="B65" s="555" t="s">
        <v>1791</v>
      </c>
      <c r="C65" s="3855" t="s">
        <v>1879</v>
      </c>
      <c r="D65" s="3856"/>
      <c r="E65" s="623"/>
      <c r="F65" s="622"/>
      <c r="G65" s="622"/>
      <c r="H65" s="630"/>
      <c r="I65" s="624"/>
      <c r="J65" s="563"/>
      <c r="K65" s="623">
        <f t="shared" ca="1" si="94"/>
        <v>6.6727578032398371</v>
      </c>
      <c r="L65" s="622" t="str">
        <f t="shared" si="94"/>
        <v/>
      </c>
      <c r="M65" s="622" t="str">
        <f t="shared" si="94"/>
        <v/>
      </c>
      <c r="N65" s="630">
        <f t="shared" ca="1" si="94"/>
        <v>6.6727578032398371</v>
      </c>
      <c r="O65" s="624">
        <f ca="1">IF(O16="","",IF(I16=0,"N",(O16/I16-1)*100))</f>
        <v>-26.366418889374732</v>
      </c>
      <c r="P65" s="563" t="str">
        <f ca="1">IF(ROUND(P16,2)=0,"ok","!")</f>
        <v>!</v>
      </c>
      <c r="Q65" s="623">
        <f t="shared" ca="1" si="95"/>
        <v>2.5579769527434015</v>
      </c>
      <c r="R65" s="622" t="str">
        <f t="shared" si="95"/>
        <v/>
      </c>
      <c r="S65" s="622" t="str">
        <f t="shared" si="95"/>
        <v/>
      </c>
      <c r="T65" s="630">
        <f t="shared" ca="1" si="95"/>
        <v>2.5579769527434015</v>
      </c>
      <c r="U65" s="624">
        <f ca="1">IF(U16="","",IF(O16=0,"N",(U16/O16-1)*100))</f>
        <v>13.95486935866983</v>
      </c>
      <c r="V65" s="563" t="str">
        <f ca="1">IF(ROUND(V16,2)=0,"ok","!")</f>
        <v>!</v>
      </c>
      <c r="W65" s="623">
        <f t="shared" ca="1" si="96"/>
        <v>16.503999711081807</v>
      </c>
      <c r="X65" s="622" t="str">
        <f t="shared" si="96"/>
        <v/>
      </c>
      <c r="Y65" s="622" t="str">
        <f t="shared" si="96"/>
        <v/>
      </c>
      <c r="Z65" s="630">
        <f t="shared" ca="1" si="96"/>
        <v>16.503999711081807</v>
      </c>
      <c r="AA65" s="624">
        <f ca="1">IF(AA16="","",IF(U16=0,"N",(AA16/U16-1)*100))</f>
        <v>-3.7258989056800473</v>
      </c>
      <c r="AB65" s="563" t="str">
        <f ca="1">IF(ROUND(AB16,2)=0,"ok","!")</f>
        <v>!</v>
      </c>
      <c r="AC65" s="623">
        <f t="shared" ca="1" si="97"/>
        <v>4.6095127385449963</v>
      </c>
      <c r="AD65" s="622" t="str">
        <f t="shared" si="97"/>
        <v/>
      </c>
      <c r="AE65" s="622" t="str">
        <f t="shared" si="97"/>
        <v/>
      </c>
      <c r="AF65" s="630">
        <f t="shared" ca="1" si="97"/>
        <v>4.6095127385449963</v>
      </c>
      <c r="AG65" s="624">
        <f ca="1">IF(AG16="","",IF(AA16=0,"N",(AG16/AA16-1)*100))</f>
        <v>-3.166441136671172</v>
      </c>
      <c r="AH65" s="563" t="str">
        <f ca="1">IF(ROUND(AH16,2)=0,"ok","!")</f>
        <v>!</v>
      </c>
      <c r="AI65" s="623">
        <f t="shared" ca="1" si="98"/>
        <v>-0.10408525360131593</v>
      </c>
      <c r="AJ65" s="622" t="str">
        <f t="shared" si="98"/>
        <v/>
      </c>
      <c r="AK65" s="622" t="str">
        <f t="shared" si="98"/>
        <v/>
      </c>
      <c r="AL65" s="630">
        <f t="shared" ca="1" si="98"/>
        <v>-0.10408525360131593</v>
      </c>
      <c r="AM65" s="624">
        <f ca="1">IF(AM16="","",IF(AG16=0,"N",(AM16/AG16-1)*100))</f>
        <v>6.092789267747345</v>
      </c>
      <c r="AN65" s="563" t="str">
        <f ca="1">IF(ROUND(AN16,2)=0,"ok","!")</f>
        <v>!</v>
      </c>
      <c r="AO65" s="623">
        <f t="shared" ca="1" si="99"/>
        <v>4.5945344654974241</v>
      </c>
      <c r="AP65" s="622" t="str">
        <f t="shared" si="99"/>
        <v/>
      </c>
      <c r="AQ65" s="622" t="str">
        <f t="shared" si="99"/>
        <v/>
      </c>
      <c r="AR65" s="630">
        <f t="shared" ca="1" si="99"/>
        <v>4.5945344654974241</v>
      </c>
      <c r="AS65" s="624">
        <f ca="1">IF(AS16="","",IF(AM16=0,"N",(AS16/AM16-1)*100))</f>
        <v>-4.689146469968386</v>
      </c>
      <c r="AT65" s="563" t="str">
        <f ca="1">IF(ROUND(AT16,2)=0,"ok","!")</f>
        <v>!</v>
      </c>
      <c r="AU65" s="623">
        <f t="shared" ca="1" si="100"/>
        <v>4.7270110358372142</v>
      </c>
      <c r="AV65" s="622" t="str">
        <f t="shared" si="100"/>
        <v/>
      </c>
      <c r="AW65" s="622" t="str">
        <f t="shared" si="100"/>
        <v/>
      </c>
      <c r="AX65" s="630">
        <f t="shared" ca="1" si="100"/>
        <v>4.7270110358372142</v>
      </c>
      <c r="AY65" s="624">
        <f ca="1">IF(AY16="","",IF(AS16=0,"N",(AY16/AS16-1)*100))</f>
        <v>-6.0807075732448812</v>
      </c>
      <c r="AZ65" s="563" t="str">
        <f ca="1">IF(ROUND(AZ16,2)=0,"ok","!")</f>
        <v>!</v>
      </c>
      <c r="BA65" s="623">
        <f t="shared" ca="1" si="101"/>
        <v>3.3942081478597785</v>
      </c>
      <c r="BB65" s="622" t="str">
        <f t="shared" si="101"/>
        <v/>
      </c>
      <c r="BC65" s="622" t="str">
        <f t="shared" si="101"/>
        <v/>
      </c>
      <c r="BD65" s="630">
        <f t="shared" ca="1" si="101"/>
        <v>3.3942081478597785</v>
      </c>
      <c r="BE65" s="624">
        <f ca="1">IF(BE16="","",IF(AY16=0,"N",(BE16/AY16-1)*100))</f>
        <v>2.3837551500882848</v>
      </c>
      <c r="BF65" s="563" t="str">
        <f ca="1">IF(ROUND(BF16,2)=0,"ok","!")</f>
        <v>!</v>
      </c>
      <c r="BG65" s="623">
        <f t="shared" ca="1" si="21"/>
        <v>2.6024580771472294</v>
      </c>
      <c r="BH65" s="622" t="str">
        <f t="shared" si="22"/>
        <v/>
      </c>
      <c r="BI65" s="622" t="str">
        <f t="shared" si="23"/>
        <v/>
      </c>
      <c r="BJ65" s="630">
        <f t="shared" ca="1" si="24"/>
        <v>2.6024580771472294</v>
      </c>
      <c r="BK65" s="624">
        <f ca="1">IF(BK16="","",IF(BE16=0,"N",(BK16/BE16-1)*100))</f>
        <v>11.037654498419091</v>
      </c>
      <c r="BL65" s="563" t="str">
        <f ca="1">IF(ROUND(BL16,2)=0,"ok","!")</f>
        <v>!</v>
      </c>
      <c r="BM65" s="623">
        <f t="shared" ca="1" si="102"/>
        <v>4.4702942969006676</v>
      </c>
      <c r="BN65" s="622" t="str">
        <f t="shared" si="102"/>
        <v/>
      </c>
      <c r="BO65" s="622" t="str">
        <f t="shared" si="102"/>
        <v/>
      </c>
      <c r="BP65" s="630">
        <f t="shared" ca="1" si="102"/>
        <v>4.4702942969006676</v>
      </c>
      <c r="BQ65" s="624">
        <f ca="1">IF(BQ16="","",IF(BK16=0,"N",(BQ16/BK16-1)*100))</f>
        <v>20.761066528604722</v>
      </c>
      <c r="BR65" s="563" t="str">
        <f ca="1">IF(ROUND(BR16,2)=0,"ok","!")</f>
        <v>!</v>
      </c>
      <c r="BS65" s="623">
        <f t="shared" ca="1" si="103"/>
        <v>4.358423398864697</v>
      </c>
      <c r="BT65" s="622" t="str">
        <f t="shared" si="103"/>
        <v/>
      </c>
      <c r="BU65" s="622" t="str">
        <f t="shared" si="103"/>
        <v/>
      </c>
      <c r="BV65" s="630">
        <f t="shared" ca="1" si="103"/>
        <v>4.358423398864697</v>
      </c>
      <c r="BW65" s="624">
        <f ca="1">IF(BW16="","",IF(BQ16=0,"N",(BW16/BQ16-1)*100))</f>
        <v>10.610932475884249</v>
      </c>
      <c r="BX65" s="563" t="str">
        <f ca="1">IF(ROUND(BX16,2)=0,"ok","!")</f>
        <v>!</v>
      </c>
      <c r="BY65" s="623">
        <f t="shared" ca="1" si="104"/>
        <v>6.0567213978400147</v>
      </c>
      <c r="BZ65" s="622" t="str">
        <f t="shared" si="104"/>
        <v/>
      </c>
      <c r="CA65" s="622" t="str">
        <f t="shared" si="104"/>
        <v/>
      </c>
      <c r="CB65" s="630">
        <f t="shared" ca="1" si="104"/>
        <v>6.0567213978400147</v>
      </c>
      <c r="CC65" s="624">
        <f ca="1">IF(CC16="","",IF(BW16=0,"N",(CC16/BW16-1)*100))</f>
        <v>14.011627906976742</v>
      </c>
      <c r="CD65" s="563" t="str">
        <f ca="1">IF(ROUND(CD16,2)=0,"ok","!")</f>
        <v>!</v>
      </c>
      <c r="CE65" s="623">
        <f t="shared" ca="1" si="29"/>
        <v>4.438078837853654</v>
      </c>
      <c r="CF65" s="622" t="str">
        <f t="shared" si="30"/>
        <v/>
      </c>
      <c r="CG65" s="622" t="str">
        <f t="shared" si="31"/>
        <v/>
      </c>
      <c r="CH65" s="630">
        <f t="shared" ca="1" si="32"/>
        <v>4.438078837853654</v>
      </c>
      <c r="CI65" s="624">
        <f ca="1">IF(CI16="","",IF(CC16=0,"N",(CI16/CC16-1)*100))</f>
        <v>-0.15298317185110655</v>
      </c>
      <c r="CJ65" s="563" t="str">
        <f ca="1">IF(ROUND(CJ16,2)=0,"ok","!")</f>
        <v>!</v>
      </c>
      <c r="CK65" s="623">
        <f t="shared" ca="1" si="34"/>
        <v>-1.6405246719479183</v>
      </c>
      <c r="CL65" s="622" t="str">
        <f t="shared" si="35"/>
        <v/>
      </c>
      <c r="CM65" s="622" t="str">
        <f t="shared" si="36"/>
        <v/>
      </c>
      <c r="CN65" s="630">
        <f t="shared" ca="1" si="37"/>
        <v>-1.6405246719479183</v>
      </c>
      <c r="CO65" s="624">
        <f t="shared" ca="1" si="105"/>
        <v>-12.308478038815117</v>
      </c>
      <c r="CP65" s="563" t="str">
        <f ca="1">IF(ROUND(CP16,2)=0,"ok","!")</f>
        <v>!</v>
      </c>
      <c r="CQ65" s="623">
        <f t="shared" ca="1" si="39"/>
        <v>5.004466234594851</v>
      </c>
      <c r="CR65" s="622" t="str">
        <f t="shared" si="40"/>
        <v/>
      </c>
      <c r="CS65" s="622" t="str">
        <f t="shared" si="41"/>
        <v/>
      </c>
      <c r="CT65" s="630">
        <f t="shared" ca="1" si="42"/>
        <v>5.004466234594851</v>
      </c>
      <c r="CU65" s="624">
        <f t="shared" ca="1" si="106"/>
        <v>10.153368278004283</v>
      </c>
      <c r="CV65" s="563" t="str">
        <f ca="1">IF(ROUND(CV16,2)=0,"ok","!")</f>
        <v>!</v>
      </c>
      <c r="CW65" s="623">
        <f t="shared" ca="1" si="44"/>
        <v>2.5726207958737701</v>
      </c>
      <c r="CX65" s="622" t="str">
        <f t="shared" si="45"/>
        <v/>
      </c>
      <c r="CY65" s="622" t="str">
        <f t="shared" si="46"/>
        <v/>
      </c>
      <c r="CZ65" s="630">
        <f t="shared" ca="1" si="47"/>
        <v>2.5726207958737701</v>
      </c>
      <c r="DA65" s="624">
        <f t="shared" ca="1" si="107"/>
        <v>-0.2467395135706818</v>
      </c>
      <c r="DB65" s="563" t="str">
        <f ca="1">IF(ROUND(DB16,2)=0,"ok","!")</f>
        <v>!</v>
      </c>
      <c r="DC65" s="623">
        <f t="shared" ca="1" si="49"/>
        <v>1.9027415591331476</v>
      </c>
      <c r="DD65" s="622" t="str">
        <f t="shared" si="50"/>
        <v/>
      </c>
      <c r="DE65" s="622" t="str">
        <f t="shared" si="51"/>
        <v/>
      </c>
      <c r="DF65" s="630">
        <f t="shared" ca="1" si="52"/>
        <v>1.9027415591331476</v>
      </c>
      <c r="DG65" s="624">
        <f t="shared" ca="1" si="108"/>
        <v>-7.1554770318021266</v>
      </c>
      <c r="DH65" s="563" t="str">
        <f ca="1">IF(ROUND(DH16,2)=0,"ok","!")</f>
        <v>!</v>
      </c>
      <c r="DI65" s="623">
        <f t="shared" ca="1" si="54"/>
        <v>2.1915310243544095</v>
      </c>
      <c r="DJ65" s="622" t="str">
        <f t="shared" si="55"/>
        <v/>
      </c>
      <c r="DK65" s="622" t="str">
        <f t="shared" si="56"/>
        <v/>
      </c>
      <c r="DL65" s="630">
        <f t="shared" ca="1" si="57"/>
        <v>2.1915310243544095</v>
      </c>
      <c r="DM65" s="624">
        <f t="shared" ca="1" si="109"/>
        <v>-0.62797335870597992</v>
      </c>
      <c r="DN65" s="563" t="str">
        <f ca="1">IF(ROUND(DN16,2)=0,"ok","!")</f>
        <v>!</v>
      </c>
      <c r="DO65" s="623">
        <f t="shared" ca="1" si="59"/>
        <v>2.9572207179101584</v>
      </c>
      <c r="DP65" s="622" t="str">
        <f t="shared" si="60"/>
        <v/>
      </c>
      <c r="DQ65" s="622" t="str">
        <f t="shared" si="61"/>
        <v/>
      </c>
      <c r="DR65" s="630">
        <f t="shared" ca="1" si="62"/>
        <v>2.9572207179101584</v>
      </c>
      <c r="DS65" s="624">
        <f t="shared" ca="1" si="110"/>
        <v>11.183454615090005</v>
      </c>
      <c r="DT65" s="563" t="str">
        <f ca="1">IF(ROUND(DT16,2)=0,"ok","!")</f>
        <v>!</v>
      </c>
      <c r="DU65" s="623">
        <f t="shared" ca="1" si="64"/>
        <v>6.5399557985343693</v>
      </c>
      <c r="DV65" s="622" t="str">
        <f t="shared" si="65"/>
        <v/>
      </c>
      <c r="DW65" s="622" t="str">
        <f t="shared" si="66"/>
        <v/>
      </c>
      <c r="DX65" s="630">
        <f t="shared" ca="1" si="67"/>
        <v>6.5399557985343693</v>
      </c>
      <c r="DY65" s="624">
        <f t="shared" ca="1" si="111"/>
        <v>8.0778504994833078</v>
      </c>
      <c r="DZ65" s="563" t="str">
        <f ca="1">IF(ROUND(DZ16,2)=0,"ok","!")</f>
        <v>!</v>
      </c>
      <c r="EA65" s="623">
        <f t="shared" ca="1" si="69"/>
        <v>7.8081805914027802</v>
      </c>
      <c r="EB65" s="622" t="str">
        <f t="shared" si="70"/>
        <v/>
      </c>
      <c r="EC65" s="622" t="str">
        <f t="shared" si="71"/>
        <v/>
      </c>
      <c r="ED65" s="630">
        <f t="shared" ca="1" si="72"/>
        <v>7.8081805914027802</v>
      </c>
      <c r="EE65" s="624">
        <f t="shared" ca="1" si="112"/>
        <v>-3.1713147410358689</v>
      </c>
      <c r="EF65" s="563" t="str">
        <f ca="1">IF(ROUND(EF16,2)=0,"ok","!")</f>
        <v>!</v>
      </c>
      <c r="EG65" s="623">
        <f t="shared" ca="1" si="74"/>
        <v>4.4653807164174886</v>
      </c>
      <c r="EH65" s="622" t="str">
        <f t="shared" si="75"/>
        <v/>
      </c>
      <c r="EI65" s="622" t="str">
        <f t="shared" si="76"/>
        <v/>
      </c>
      <c r="EJ65" s="630">
        <f t="shared" ca="1" si="77"/>
        <v>4.4653807164174886</v>
      </c>
      <c r="EK65" s="624">
        <f t="shared" ca="1" si="113"/>
        <v>2.9953917050691281</v>
      </c>
      <c r="EL65" s="563" t="str">
        <f ca="1">IF(ROUND(EL16,2)=0,"ok","!")</f>
        <v>!</v>
      </c>
      <c r="EM65" s="623">
        <f t="shared" ca="1" si="79"/>
        <v>4.2333708656047131</v>
      </c>
      <c r="EN65" s="622" t="str">
        <f t="shared" si="80"/>
        <v/>
      </c>
      <c r="EO65" s="622" t="str">
        <f t="shared" si="81"/>
        <v/>
      </c>
      <c r="EP65" s="630">
        <f t="shared" ca="1" si="82"/>
        <v>4.2333708656047131</v>
      </c>
      <c r="EQ65" s="624">
        <f t="shared" ca="1" si="114"/>
        <v>4.1636641850850031</v>
      </c>
      <c r="ER65" s="563" t="str">
        <f ca="1">IF(ROUND(ER16,2)=0,"ok","!")</f>
        <v>!</v>
      </c>
      <c r="ES65" s="623">
        <f t="shared" ca="1" si="84"/>
        <v>3.4970654442297189</v>
      </c>
      <c r="ET65" s="622" t="str">
        <f t="shared" si="85"/>
        <v/>
      </c>
      <c r="EU65" s="622" t="str">
        <f t="shared" si="86"/>
        <v/>
      </c>
      <c r="EV65" s="630">
        <f t="shared" ca="1" si="87"/>
        <v>3.4970654442297189</v>
      </c>
      <c r="EW65" s="624">
        <f t="shared" ca="1" si="115"/>
        <v>0.44695835379942039</v>
      </c>
      <c r="EX65" s="563" t="str">
        <f ca="1">IF(ROUND(EX16,2)=0,"ok","!")</f>
        <v>!</v>
      </c>
      <c r="EY65" s="623">
        <f t="shared" ca="1" si="89"/>
        <v>3.4998660796967229</v>
      </c>
      <c r="EZ65" s="622" t="str">
        <f t="shared" si="90"/>
        <v/>
      </c>
      <c r="FA65" s="622" t="str">
        <f t="shared" si="91"/>
        <v/>
      </c>
      <c r="FB65" s="630">
        <f t="shared" ca="1" si="92"/>
        <v>3.4998660796967229</v>
      </c>
      <c r="FC65" s="624">
        <f t="shared" ca="1" si="116"/>
        <v>-1.0061933457965022</v>
      </c>
      <c r="FD65" s="563" t="str">
        <f ca="1">IF(ROUND(FD16,2)=0,"ok","!")</f>
        <v>!</v>
      </c>
    </row>
    <row r="66" spans="2:160" ht="13.5" thickBot="1">
      <c r="B66" s="555" t="s">
        <v>301</v>
      </c>
      <c r="C66" s="3855" t="s">
        <v>1801</v>
      </c>
      <c r="D66" s="3856"/>
      <c r="E66" s="623"/>
      <c r="F66" s="622"/>
      <c r="G66" s="622"/>
      <c r="H66" s="630"/>
      <c r="I66" s="624"/>
      <c r="J66" s="563"/>
      <c r="K66" s="623">
        <f t="shared" ca="1" si="94"/>
        <v>-11.23593797506841</v>
      </c>
      <c r="L66" s="622" t="str">
        <f t="shared" si="94"/>
        <v/>
      </c>
      <c r="M66" s="622" t="str">
        <f t="shared" si="94"/>
        <v/>
      </c>
      <c r="N66" s="630">
        <f t="shared" ca="1" si="94"/>
        <v>-11.23593797506841</v>
      </c>
      <c r="O66" s="624">
        <f ca="1">IF(O17="","",IF(I17=0,"N",(O17/I17-1)*100))</f>
        <v>24.295774647887324</v>
      </c>
      <c r="P66" s="563" t="str">
        <f ca="1">IF(ROUND(P17,2)=0,"ok","!")</f>
        <v>!</v>
      </c>
      <c r="Q66" s="623">
        <f t="shared" ca="1" si="95"/>
        <v>-12.591412766103204</v>
      </c>
      <c r="R66" s="622" t="str">
        <f t="shared" si="95"/>
        <v/>
      </c>
      <c r="S66" s="622" t="str">
        <f t="shared" si="95"/>
        <v/>
      </c>
      <c r="T66" s="630">
        <f t="shared" ca="1" si="95"/>
        <v>-12.591412766103204</v>
      </c>
      <c r="U66" s="624">
        <f ca="1">IF(U17="","",IF(O17=0,"N",(U17/O17-1)*100))</f>
        <v>31.822474032105763</v>
      </c>
      <c r="V66" s="563" t="str">
        <f ca="1">IF(ROUND(V17,2)=0,"ok","!")</f>
        <v>!</v>
      </c>
      <c r="W66" s="623">
        <f t="shared" ca="1" si="96"/>
        <v>-16.090287438524985</v>
      </c>
      <c r="X66" s="622" t="str">
        <f t="shared" si="96"/>
        <v/>
      </c>
      <c r="Y66" s="622" t="str">
        <f t="shared" si="96"/>
        <v/>
      </c>
      <c r="Z66" s="630">
        <f t="shared" ca="1" si="96"/>
        <v>-16.090287438524985</v>
      </c>
      <c r="AA66" s="624">
        <f ca="1">IF(AA17="","",IF(U17=0,"N",(AA17/U17-1)*100))</f>
        <v>-12.822349570200565</v>
      </c>
      <c r="AB66" s="563" t="str">
        <f ca="1">IF(ROUND(AB17,2)=0,"ok","!")</f>
        <v>!</v>
      </c>
      <c r="AC66" s="623">
        <f t="shared" ca="1" si="97"/>
        <v>-2.5359019264448501</v>
      </c>
      <c r="AD66" s="622" t="str">
        <f t="shared" si="97"/>
        <v/>
      </c>
      <c r="AE66" s="622" t="str">
        <f t="shared" si="97"/>
        <v/>
      </c>
      <c r="AF66" s="630">
        <f t="shared" ca="1" si="97"/>
        <v>-2.5359019264448501</v>
      </c>
      <c r="AG66" s="624">
        <f ca="1">IF(AG17="","",IF(AA17=0,"N",(AG17/AA17-1)*100))</f>
        <v>14.13311421528347</v>
      </c>
      <c r="AH66" s="563" t="str">
        <f ca="1">IF(ROUND(AH17,2)=0,"ok","!")</f>
        <v>!</v>
      </c>
      <c r="AI66" s="623">
        <f t="shared" ca="1" si="98"/>
        <v>-13.577229928843515</v>
      </c>
      <c r="AJ66" s="622" t="str">
        <f t="shared" si="98"/>
        <v/>
      </c>
      <c r="AK66" s="622" t="str">
        <f t="shared" si="98"/>
        <v/>
      </c>
      <c r="AL66" s="630">
        <f t="shared" ca="1" si="98"/>
        <v>-13.577229928843515</v>
      </c>
      <c r="AM66" s="624">
        <f ca="1">IF(AM17="","",IF(AG17=0,"N",(AM17/AG17-1)*100))</f>
        <v>242.69258459323254</v>
      </c>
      <c r="AN66" s="563" t="str">
        <f ca="1">IF(ROUND(AN17,2)=0,"ok","!")</f>
        <v>!</v>
      </c>
      <c r="AO66" s="623">
        <f t="shared" ca="1" si="99"/>
        <v>-4.3912175648702645</v>
      </c>
      <c r="AP66" s="622" t="str">
        <f t="shared" si="99"/>
        <v/>
      </c>
      <c r="AQ66" s="622" t="str">
        <f t="shared" si="99"/>
        <v/>
      </c>
      <c r="AR66" s="630">
        <f t="shared" ca="1" si="99"/>
        <v>-4.3912175648702645</v>
      </c>
      <c r="AS66" s="624">
        <f ca="1">IF(AS17="","",IF(AM17=0,"N",(AS17/AM17-1)*100))</f>
        <v>10.672268907563032</v>
      </c>
      <c r="AT66" s="563" t="str">
        <f ca="1">IF(ROUND(AT17,2)=0,"ok","!")</f>
        <v>!</v>
      </c>
      <c r="AU66" s="623">
        <f t="shared" ca="1" si="100"/>
        <v>8.5247042449547514</v>
      </c>
      <c r="AV66" s="622" t="str">
        <f t="shared" si="100"/>
        <v/>
      </c>
      <c r="AW66" s="622" t="str">
        <f t="shared" si="100"/>
        <v/>
      </c>
      <c r="AX66" s="630">
        <f t="shared" ca="1" si="100"/>
        <v>8.5247042449547514</v>
      </c>
      <c r="AY66" s="624">
        <f ca="1">IF(AY17="","",IF(AS17=0,"N",(AY17/AS17-1)*100))</f>
        <v>1.0820045558086688</v>
      </c>
      <c r="AZ66" s="563" t="str">
        <f ca="1">IF(ROUND(AZ17,2)=0,"ok","!")</f>
        <v>!</v>
      </c>
      <c r="BA66" s="623">
        <f t="shared" ca="1" si="101"/>
        <v>4.1733461579566145</v>
      </c>
      <c r="BB66" s="622" t="str">
        <f t="shared" si="101"/>
        <v/>
      </c>
      <c r="BC66" s="622" t="str">
        <f t="shared" si="101"/>
        <v/>
      </c>
      <c r="BD66" s="630">
        <f t="shared" ca="1" si="101"/>
        <v>4.1733461579566145</v>
      </c>
      <c r="BE66" s="624">
        <f ca="1">IF(BE17="","",IF(AY17=0,"N",(BE17/AY17-1)*100))</f>
        <v>111.24882629107984</v>
      </c>
      <c r="BF66" s="563" t="str">
        <f ca="1">IF(ROUND(BF17,2)=0,"ok","!")</f>
        <v>ok</v>
      </c>
      <c r="BG66" s="623">
        <f t="shared" ca="1" si="21"/>
        <v>-2.7442934085663007</v>
      </c>
      <c r="BH66" s="622" t="str">
        <f t="shared" si="22"/>
        <v/>
      </c>
      <c r="BI66" s="622" t="str">
        <f t="shared" si="23"/>
        <v/>
      </c>
      <c r="BJ66" s="630">
        <f t="shared" ca="1" si="24"/>
        <v>-2.7442934085663007</v>
      </c>
      <c r="BK66" s="624">
        <f ca="1">IF(BK17="","",IF(BE17=0,"N",(BK17/BE17-1)*100))</f>
        <v>-2.1424126589030146</v>
      </c>
      <c r="BL66" s="563" t="str">
        <f ca="1">IF(ROUND(BL17,2)=0,"ok","!")</f>
        <v>ok</v>
      </c>
      <c r="BM66" s="623">
        <f t="shared" ca="1" si="102"/>
        <v>7.3707805907172963</v>
      </c>
      <c r="BN66" s="622" t="str">
        <f t="shared" si="102"/>
        <v/>
      </c>
      <c r="BO66" s="622" t="str">
        <f t="shared" si="102"/>
        <v/>
      </c>
      <c r="BP66" s="630">
        <f t="shared" ca="1" si="102"/>
        <v>7.3707805907172963</v>
      </c>
      <c r="BQ66" s="624">
        <f ca="1">IF(BQ17="","",IF(BK17=0,"N",(BQ17/BK17-1)*100))</f>
        <v>14.589389534883669</v>
      </c>
      <c r="BR66" s="563" t="str">
        <f ca="1">IF(ROUND(BR17,2)=0,"ok","!")</f>
        <v>ok</v>
      </c>
      <c r="BS66" s="623">
        <f t="shared" ca="1" si="103"/>
        <v>11.042613287486169</v>
      </c>
      <c r="BT66" s="622" t="str">
        <f t="shared" si="103"/>
        <v/>
      </c>
      <c r="BU66" s="622" t="str">
        <f t="shared" si="103"/>
        <v/>
      </c>
      <c r="BV66" s="630">
        <f t="shared" ca="1" si="103"/>
        <v>11.042613287486169</v>
      </c>
      <c r="BW66" s="624">
        <f ca="1">IF(BW17="","",IF(BQ17=0,"N",(BW17/BQ17-1)*100))</f>
        <v>3.9638496908267484E-2</v>
      </c>
      <c r="BX66" s="563" t="str">
        <f ca="1">IF(ROUND(BX17,2)=0,"ok","!")</f>
        <v>ok</v>
      </c>
      <c r="BY66" s="623">
        <f t="shared" ca="1" si="104"/>
        <v>2.9528212160757406</v>
      </c>
      <c r="BZ66" s="622" t="str">
        <f t="shared" si="104"/>
        <v/>
      </c>
      <c r="CA66" s="622" t="str">
        <f t="shared" si="104"/>
        <v/>
      </c>
      <c r="CB66" s="630">
        <f t="shared" ca="1" si="104"/>
        <v>2.9528212160757406</v>
      </c>
      <c r="CC66" s="624">
        <f ca="1">IF(CC17="","",IF(BW17=0,"N",(CC17/BW17-1)*100))</f>
        <v>-5.8324748395277233</v>
      </c>
      <c r="CD66" s="563" t="str">
        <f ca="1">IF(ROUND(CD17,2)=0,"ok","!")</f>
        <v>ok</v>
      </c>
      <c r="CE66" s="623">
        <f t="shared" ca="1" si="29"/>
        <v>5.9962187943110035</v>
      </c>
      <c r="CF66" s="622" t="str">
        <f t="shared" si="30"/>
        <v/>
      </c>
      <c r="CG66" s="622" t="str">
        <f t="shared" si="31"/>
        <v/>
      </c>
      <c r="CH66" s="630">
        <f t="shared" ca="1" si="32"/>
        <v>5.9962187943110035</v>
      </c>
      <c r="CI66" s="624">
        <f ca="1">IF(CI17="","",IF(CC17=0,"N",(CI17/CC17-1)*100))</f>
        <v>-4.8472607927291129</v>
      </c>
      <c r="CJ66" s="563" t="str">
        <f ca="1">IF(ROUND(CJ17,2)=0,"ok","!")</f>
        <v>ok</v>
      </c>
      <c r="CK66" s="623">
        <f t="shared" ca="1" si="34"/>
        <v>2.5538642398200029</v>
      </c>
      <c r="CL66" s="622" t="str">
        <f t="shared" si="35"/>
        <v/>
      </c>
      <c r="CM66" s="622" t="str">
        <f t="shared" si="36"/>
        <v/>
      </c>
      <c r="CN66" s="630">
        <f t="shared" ca="1" si="37"/>
        <v>2.5538642398200029</v>
      </c>
      <c r="CO66" s="624">
        <f t="shared" ca="1" si="105"/>
        <v>1.1674184133722232</v>
      </c>
      <c r="CP66" s="563" t="str">
        <f ca="1">IF(ROUND(CP17,2)=0,"ok","!")</f>
        <v>ok</v>
      </c>
      <c r="CQ66" s="623">
        <f t="shared" ca="1" si="39"/>
        <v>9.5163744886060506</v>
      </c>
      <c r="CR66" s="622" t="str">
        <f t="shared" si="40"/>
        <v/>
      </c>
      <c r="CS66" s="622" t="str">
        <f t="shared" si="41"/>
        <v/>
      </c>
      <c r="CT66" s="630">
        <f t="shared" ca="1" si="42"/>
        <v>9.5163744886060506</v>
      </c>
      <c r="CU66" s="624">
        <f t="shared" ca="1" si="106"/>
        <v>-5.0266631698575264</v>
      </c>
      <c r="CV66" s="563" t="str">
        <f ca="1">IF(ROUND(CV17,2)=0,"ok","!")</f>
        <v>ok</v>
      </c>
      <c r="CW66" s="623">
        <f t="shared" ca="1" si="44"/>
        <v>7.828629177795432</v>
      </c>
      <c r="CX66" s="622" t="str">
        <f t="shared" si="45"/>
        <v/>
      </c>
      <c r="CY66" s="622" t="str">
        <f t="shared" si="46"/>
        <v/>
      </c>
      <c r="CZ66" s="630">
        <f t="shared" ca="1" si="47"/>
        <v>7.828629177795432</v>
      </c>
      <c r="DA66" s="624">
        <f t="shared" ca="1" si="107"/>
        <v>1.9145802650957888</v>
      </c>
      <c r="DB66" s="563" t="str">
        <f ca="1">IF(ROUND(DB17,2)=0,"ok","!")</f>
        <v>ok</v>
      </c>
      <c r="DC66" s="623">
        <f t="shared" ca="1" si="49"/>
        <v>3.7221757322175586</v>
      </c>
      <c r="DD66" s="622" t="str">
        <f t="shared" si="50"/>
        <v/>
      </c>
      <c r="DE66" s="622" t="str">
        <f t="shared" si="51"/>
        <v/>
      </c>
      <c r="DF66" s="630">
        <f t="shared" ca="1" si="52"/>
        <v>3.7221757322175586</v>
      </c>
      <c r="DG66" s="624">
        <f t="shared" ca="1" si="108"/>
        <v>-4.4617052023122046</v>
      </c>
      <c r="DH66" s="563" t="str">
        <f ca="1">IF(ROUND(DH17,2)=0,"ok","!")</f>
        <v>ok</v>
      </c>
      <c r="DI66" s="623">
        <f t="shared" ca="1" si="54"/>
        <v>1.494174976603091</v>
      </c>
      <c r="DJ66" s="622" t="str">
        <f t="shared" si="55"/>
        <v/>
      </c>
      <c r="DK66" s="622" t="str">
        <f t="shared" si="56"/>
        <v/>
      </c>
      <c r="DL66" s="630">
        <f t="shared" ca="1" si="57"/>
        <v>1.494174976603091</v>
      </c>
      <c r="DM66" s="624">
        <f t="shared" ca="1" si="109"/>
        <v>-2.5524673851388013</v>
      </c>
      <c r="DN66" s="563" t="str">
        <f ca="1">IF(ROUND(DN17,2)=0,"ok","!")</f>
        <v>ok</v>
      </c>
      <c r="DO66" s="623">
        <f t="shared" ca="1" si="59"/>
        <v>5.8903020667726569</v>
      </c>
      <c r="DP66" s="622" t="str">
        <f t="shared" si="60"/>
        <v/>
      </c>
      <c r="DQ66" s="622" t="str">
        <f t="shared" si="61"/>
        <v/>
      </c>
      <c r="DR66" s="630">
        <f t="shared" ca="1" si="62"/>
        <v>5.8903020667726569</v>
      </c>
      <c r="DS66" s="624">
        <f t="shared" ca="1" si="110"/>
        <v>0.27163368257647758</v>
      </c>
      <c r="DT66" s="563" t="str">
        <f ca="1">IF(ROUND(DT17,2)=0,"ok","!")</f>
        <v>ok</v>
      </c>
      <c r="DU66" s="623">
        <f t="shared" ca="1" si="64"/>
        <v>-0.26874859244802041</v>
      </c>
      <c r="DV66" s="622" t="str">
        <f t="shared" si="65"/>
        <v/>
      </c>
      <c r="DW66" s="622" t="str">
        <f t="shared" si="66"/>
        <v/>
      </c>
      <c r="DX66" s="630">
        <f t="shared" ca="1" si="67"/>
        <v>-0.26874859244802041</v>
      </c>
      <c r="DY66" s="624">
        <f t="shared" ca="1" si="111"/>
        <v>-24.380804953560332</v>
      </c>
      <c r="DZ66" s="563" t="str">
        <f ca="1">IF(ROUND(DZ17,2)=0,"ok","!")</f>
        <v>ok</v>
      </c>
      <c r="EA66" s="623">
        <f t="shared" ca="1" si="69"/>
        <v>4.7255592689609438</v>
      </c>
      <c r="EB66" s="622" t="str">
        <f t="shared" si="70"/>
        <v/>
      </c>
      <c r="EC66" s="622" t="str">
        <f t="shared" si="71"/>
        <v/>
      </c>
      <c r="ED66" s="630">
        <f t="shared" ca="1" si="72"/>
        <v>4.7255592689609438</v>
      </c>
      <c r="EE66" s="624">
        <f t="shared" ca="1" si="112"/>
        <v>3.0578300921187962</v>
      </c>
      <c r="EF66" s="563" t="str">
        <f ca="1">IF(ROUND(EF17,2)=0,"ok","!")</f>
        <v>ok</v>
      </c>
      <c r="EG66" s="623">
        <f t="shared" ca="1" si="74"/>
        <v>2.9253216416301298</v>
      </c>
      <c r="EH66" s="622" t="str">
        <f t="shared" si="75"/>
        <v/>
      </c>
      <c r="EI66" s="622" t="str">
        <f t="shared" si="76"/>
        <v/>
      </c>
      <c r="EJ66" s="630">
        <f t="shared" ca="1" si="77"/>
        <v>2.9253216416301298</v>
      </c>
      <c r="EK66" s="624">
        <f t="shared" ca="1" si="113"/>
        <v>-2.4705152079455228</v>
      </c>
      <c r="EL66" s="563" t="str">
        <f ca="1">IF(ROUND(EL17,2)=0,"ok","!")</f>
        <v>ok</v>
      </c>
      <c r="EM66" s="623">
        <f t="shared" ca="1" si="79"/>
        <v>2.7922206703910879</v>
      </c>
      <c r="EN66" s="622" t="str">
        <f t="shared" si="80"/>
        <v/>
      </c>
      <c r="EO66" s="622" t="str">
        <f t="shared" si="81"/>
        <v/>
      </c>
      <c r="EP66" s="630">
        <f t="shared" ca="1" si="82"/>
        <v>2.7922206703910879</v>
      </c>
      <c r="EQ66" s="624">
        <f t="shared" ca="1" si="114"/>
        <v>0</v>
      </c>
      <c r="ER66" s="563" t="str">
        <f ca="1">IF(ROUND(ER17,2)=0,"ok","!")</f>
        <v>ok</v>
      </c>
      <c r="ES66" s="623">
        <f t="shared" ca="1" si="84"/>
        <v>2.8377480307878233</v>
      </c>
      <c r="ET66" s="622" t="str">
        <f t="shared" si="85"/>
        <v/>
      </c>
      <c r="EU66" s="622" t="str">
        <f t="shared" si="86"/>
        <v/>
      </c>
      <c r="EV66" s="630">
        <f t="shared" ca="1" si="87"/>
        <v>2.8377480307878233</v>
      </c>
      <c r="EW66" s="624">
        <f t="shared" ca="1" si="115"/>
        <v>0</v>
      </c>
      <c r="EX66" s="563" t="str">
        <f ca="1">IF(ROUND(EX17,2)=0,"ok","!")</f>
        <v>ok</v>
      </c>
      <c r="EY66" s="623">
        <f t="shared" ca="1" si="89"/>
        <v>2.8818782485614314</v>
      </c>
      <c r="EZ66" s="622" t="str">
        <f t="shared" si="90"/>
        <v/>
      </c>
      <c r="FA66" s="622" t="str">
        <f t="shared" si="91"/>
        <v/>
      </c>
      <c r="FB66" s="630">
        <f t="shared" ca="1" si="92"/>
        <v>2.8818782485614314</v>
      </c>
      <c r="FC66" s="624">
        <f t="shared" ca="1" si="116"/>
        <v>0</v>
      </c>
      <c r="FD66" s="563" t="str">
        <f ca="1">IF(ROUND(FD17,2)=0,"ok","!")</f>
        <v>ok</v>
      </c>
    </row>
    <row r="67" spans="2:160" ht="13.15">
      <c r="B67" s="555" t="s">
        <v>1791</v>
      </c>
      <c r="C67" s="3855" t="s">
        <v>1802</v>
      </c>
      <c r="D67" s="3856"/>
      <c r="E67" s="623"/>
      <c r="F67" s="620"/>
      <c r="G67" s="630"/>
      <c r="H67" s="624"/>
      <c r="I67" s="621"/>
      <c r="J67" s="563"/>
      <c r="K67" s="623">
        <f ca="1">IF(K18="","",IF(E18=0,"N",(K18/E18-1)*100))</f>
        <v>-1.0543520061530365</v>
      </c>
      <c r="L67" s="620">
        <f t="shared" ref="L67:O68" ca="1" si="117">IF(L18="","",IF(F18=0,"N",(L18/F18-1)*100))</f>
        <v>10.522730590200634</v>
      </c>
      <c r="M67" s="630">
        <f t="shared" ca="1" si="117"/>
        <v>2.6683834302712706</v>
      </c>
      <c r="N67" s="624">
        <f t="shared" ca="1" si="117"/>
        <v>17.222837260793966</v>
      </c>
      <c r="O67" s="621">
        <f t="shared" ca="1" si="117"/>
        <v>-1.0543520061530587</v>
      </c>
      <c r="P67" s="563" t="str">
        <f ca="1">IF(ROUND(P18,2)=0,"ok","!")</f>
        <v>!</v>
      </c>
      <c r="Q67" s="623">
        <f ca="1">IF(Q18="","",IF(K18=0,"N",(Q18/K18-1)*100))</f>
        <v>-0.73846153846152118</v>
      </c>
      <c r="R67" s="620">
        <f t="shared" ref="R67:U68" ca="1" si="118">IF(R18="","",IF(L18=0,"N",(R18/L18-1)*100))</f>
        <v>-8.2882089661750591</v>
      </c>
      <c r="S67" s="630">
        <f t="shared" ca="1" si="118"/>
        <v>-19.323358127198297</v>
      </c>
      <c r="T67" s="624">
        <f t="shared" ca="1" si="118"/>
        <v>25.394630329195934</v>
      </c>
      <c r="U67" s="621">
        <f t="shared" ca="1" si="118"/>
        <v>-0.73846153846154339</v>
      </c>
      <c r="V67" s="563" t="str">
        <f ca="1">IF(ROUND(V18,2)=0,"ok","!")</f>
        <v>!</v>
      </c>
      <c r="W67" s="623">
        <f ca="1">IF(W18="","",IF(Q18=0,"N",(W18/Q18-1)*100))</f>
        <v>-31.99986948151534</v>
      </c>
      <c r="X67" s="620">
        <f t="shared" ref="X67:AA68" ca="1" si="119">IF(X18="","",IF(R18=0,"N",(X18/R18-1)*100))</f>
        <v>6.6659199641582845</v>
      </c>
      <c r="Y67" s="630">
        <f t="shared" ca="1" si="119"/>
        <v>2.2817017170832843</v>
      </c>
      <c r="Z67" s="624">
        <f t="shared" ca="1" si="119"/>
        <v>-18.608279312478182</v>
      </c>
      <c r="AA67" s="621">
        <f t="shared" ca="1" si="119"/>
        <v>-31.999869481515319</v>
      </c>
      <c r="AB67" s="563" t="str">
        <f ca="1">IF(ROUND(AB18,2)=0,"ok","!")</f>
        <v>!</v>
      </c>
      <c r="AC67" s="623">
        <f ca="1">IF(AC18="","",IF(W18=0,"N",(AC18/W18-1)*100))</f>
        <v>293.27735124760085</v>
      </c>
      <c r="AD67" s="620">
        <f t="shared" ref="AD67:AG68" ca="1" si="120">IF(AD18="","",IF(X18=0,"N",(AD18/X18-1)*100))</f>
        <v>-98.499917495462256</v>
      </c>
      <c r="AE67" s="630">
        <f t="shared" ca="1" si="120"/>
        <v>-9.9696038012717541</v>
      </c>
      <c r="AF67" s="624">
        <f t="shared" ca="1" si="120"/>
        <v>3.8434845830992659</v>
      </c>
      <c r="AG67" s="621">
        <f t="shared" ca="1" si="120"/>
        <v>-48.027831094049908</v>
      </c>
      <c r="AH67" s="563" t="str">
        <f ca="1">IF(ROUND(AH18,2)=0,"ok","!")</f>
        <v>!</v>
      </c>
      <c r="AI67" s="623">
        <f ca="1">IF(AI18="","",IF(AC18=0,"N",(AI18/AC18-1)*100))</f>
        <v>-90.993057504361929</v>
      </c>
      <c r="AJ67" s="620">
        <f t="shared" ref="AJ67:AM68" ca="1" si="121">IF(AJ18="","",IF(AD18=0,"N",(AJ18/AD18-1)*100))</f>
        <v>9858.5</v>
      </c>
      <c r="AK67" s="630">
        <f t="shared" ca="1" si="121"/>
        <v>55.726953450918757</v>
      </c>
      <c r="AL67" s="624">
        <f t="shared" ca="1" si="121"/>
        <v>-14.995862771306745</v>
      </c>
      <c r="AM67" s="621">
        <f t="shared" ca="1" si="121"/>
        <v>-31.843781737605028</v>
      </c>
      <c r="AN67" s="563" t="str">
        <f ca="1">IF(ROUND(AN18,2)=0,"ok","!")</f>
        <v>!</v>
      </c>
      <c r="AO67" s="623">
        <f ca="1">IF(AO18="","",IF(AI18=0,"N",(AO18/AI18-1)*100))</f>
        <v>25.399620698997349</v>
      </c>
      <c r="AP67" s="620">
        <f t="shared" ref="AP67:AS68" ca="1" si="122">IF(AP18="","",IF(AJ18=0,"N",(AP18/AJ18-1)*100))</f>
        <v>-16.239393482954256</v>
      </c>
      <c r="AQ67" s="630">
        <f t="shared" ca="1" si="122"/>
        <v>-9.0795818433283095</v>
      </c>
      <c r="AR67" s="624">
        <f t="shared" ca="1" si="122"/>
        <v>-26.244852115312646</v>
      </c>
      <c r="AS67" s="621">
        <f t="shared" ca="1" si="122"/>
        <v>25.399620698997573</v>
      </c>
      <c r="AT67" s="563" t="str">
        <f ca="1">IF(ROUND(AT18,2)=0,"ok","!")</f>
        <v>!</v>
      </c>
      <c r="AU67" s="623">
        <f ca="1">IF(AU18="","",IF(AO18=0,"N",(AU18/AO18-1)*100))</f>
        <v>-33.704223830614524</v>
      </c>
      <c r="AV67" s="620">
        <f t="shared" ref="AV67:AY68" ca="1" si="123">IF(AV18="","",IF(AP18=0,"N",(AV18/AP18-1)*100))</f>
        <v>-19.163679522376608</v>
      </c>
      <c r="AW67" s="630">
        <f t="shared" ca="1" si="123"/>
        <v>-39.242154309990404</v>
      </c>
      <c r="AX67" s="624">
        <f t="shared" ca="1" si="123"/>
        <v>48.375634517766606</v>
      </c>
      <c r="AY67" s="621">
        <f t="shared" ca="1" si="123"/>
        <v>-33.70422383061468</v>
      </c>
      <c r="AZ67" s="563" t="str">
        <f ca="1">IF(ROUND(AZ18,2)=0,"ok","!")</f>
        <v>!</v>
      </c>
      <c r="BA67" s="623">
        <f ca="1">IF(BA18="","",IF(AU18=0,"N",(BA18/AU18-1)*100))</f>
        <v>-635.37559067948439</v>
      </c>
      <c r="BB67" s="620">
        <f t="shared" ref="BB67:BE68" ca="1" si="124">IF(BB18="","",IF(AV18=0,"N",(BB18/AV18-1)*100))</f>
        <v>-13.061339502877134</v>
      </c>
      <c r="BC67" s="630">
        <f t="shared" ca="1" si="124"/>
        <v>-61.996165557685799</v>
      </c>
      <c r="BD67" s="624">
        <f t="shared" ca="1" si="124"/>
        <v>-69.497092028737598</v>
      </c>
      <c r="BE67" s="621">
        <f t="shared" ca="1" si="124"/>
        <v>-635.37559067948507</v>
      </c>
      <c r="BF67" s="563" t="str">
        <f ca="1">IF(ROUND(BF18,2)=0,"ok","!")</f>
        <v>!</v>
      </c>
      <c r="BG67" s="623">
        <f ca="1">IF(BG18="","",IF(BA18=0,"N",(BG18/BA18-1)*100))</f>
        <v>-89.986608229851456</v>
      </c>
      <c r="BH67" s="620">
        <f t="shared" ref="BH67:BK68" ca="1" si="125">IF(BH18="","",IF(BB18=0,"N",(BH18/BB18-1)*100))</f>
        <v>3.2496886781187673</v>
      </c>
      <c r="BI67" s="630">
        <f t="shared" ca="1" si="125"/>
        <v>232.90402991275445</v>
      </c>
      <c r="BJ67" s="624">
        <f t="shared" ca="1" si="125"/>
        <v>-87.157918349035484</v>
      </c>
      <c r="BK67" s="621">
        <f t="shared" ca="1" si="125"/>
        <v>-89.98660822985147</v>
      </c>
      <c r="BL67" s="563" t="str">
        <f ca="1">IF(ROUND(BL18,2)=0,"ok","!")</f>
        <v>!</v>
      </c>
      <c r="BM67" s="623">
        <f ca="1">IF(BM18="","",IF(BG18=0,"N",(BM18/BG18-1)*100))</f>
        <v>662.00607902735419</v>
      </c>
      <c r="BN67" s="620">
        <f t="shared" ref="BN67:BQ68" ca="1" si="126">IF(BN18="","",IF(BH18=0,"N",(BN18/BH18-1)*100))</f>
        <v>26.396920331758245</v>
      </c>
      <c r="BO67" s="630">
        <f t="shared" ca="1" si="126"/>
        <v>5.2575279456597235</v>
      </c>
      <c r="BP67" s="624">
        <f t="shared" ca="1" si="126"/>
        <v>-764.36681222707648</v>
      </c>
      <c r="BQ67" s="621">
        <f t="shared" ca="1" si="126"/>
        <v>662.00607902735567</v>
      </c>
      <c r="BR67" s="563" t="str">
        <f ca="1">IF(ROUND(BR18,2)=0,"ok","!")</f>
        <v>!</v>
      </c>
      <c r="BS67" s="623">
        <f ca="1">IF(BS18="","",IF(BM18=0,"N",(BS18/BM18-1)*100))</f>
        <v>159.01475867570804</v>
      </c>
      <c r="BT67" s="620">
        <f t="shared" ref="BT67:BW68" ca="1" si="127">IF(BT18="","",IF(BN18=0,"N",(BT18/BN18-1)*100))</f>
        <v>46.191652614930121</v>
      </c>
      <c r="BU67" s="630">
        <f t="shared" ca="1" si="127"/>
        <v>-2.9014227642276458</v>
      </c>
      <c r="BV67" s="624">
        <f t="shared" ca="1" si="127"/>
        <v>36.992243985802652</v>
      </c>
      <c r="BW67" s="621">
        <f t="shared" ca="1" si="127"/>
        <v>159.01475867570804</v>
      </c>
      <c r="BX67" s="563" t="str">
        <f ca="1">IF(ROUND(BX18,2)=0,"ok","!")</f>
        <v>!</v>
      </c>
      <c r="BY67" s="623">
        <f ca="1">IF(BY18="","",IF(BS18=0,"N",(BY18/BS18-1)*100))</f>
        <v>23.266343266343227</v>
      </c>
      <c r="BZ67" s="620">
        <f t="shared" ref="BZ67:CC68" ca="1" si="128">IF(BZ18="","",IF(BT18=0,"N",(BZ18/BT18-1)*100))</f>
        <v>10.437138437603387</v>
      </c>
      <c r="CA67" s="630">
        <f t="shared" ca="1" si="128"/>
        <v>9.231252289497105</v>
      </c>
      <c r="CB67" s="624">
        <f t="shared" ca="1" si="128"/>
        <v>83.74436234526415</v>
      </c>
      <c r="CC67" s="621">
        <f t="shared" ca="1" si="128"/>
        <v>23.26634326634327</v>
      </c>
      <c r="CD67" s="563" t="str">
        <f ca="1">IF(ROUND(CD18,2)=0,"ok","!")</f>
        <v>!</v>
      </c>
      <c r="CE67" s="623">
        <f ca="1">IF(CE18="","",IF(BY18=0,"N",(CE18/BY18-1)*100))</f>
        <v>17.79668428219836</v>
      </c>
      <c r="CF67" s="620">
        <f t="shared" ref="CF67:CI68" ca="1" si="129">IF(CF18="","",IF(BZ18=0,"N",(CF18/BZ18-1)*100))</f>
        <v>19.850381333290159</v>
      </c>
      <c r="CG67" s="630">
        <f t="shared" ca="1" si="129"/>
        <v>28.896980149794782</v>
      </c>
      <c r="CH67" s="624">
        <f t="shared" ca="1" si="129"/>
        <v>40.85021934405686</v>
      </c>
      <c r="CI67" s="621">
        <f t="shared" ca="1" si="129"/>
        <v>17.796684282198292</v>
      </c>
      <c r="CJ67" s="563" t="str">
        <f ca="1">IF(ROUND(CJ18,2)=0,"ok","!")</f>
        <v>!</v>
      </c>
      <c r="CK67" s="623">
        <f ca="1">IF(CK18="","",IF(CE18=0,"N",(CK18/CE18-1)*100))</f>
        <v>-46.132063465128148</v>
      </c>
      <c r="CL67" s="620">
        <f t="shared" ca="1" si="35"/>
        <v>-11.664369865974944</v>
      </c>
      <c r="CM67" s="630">
        <f t="shared" ca="1" si="36"/>
        <v>33.7004732760116</v>
      </c>
      <c r="CN67" s="624">
        <f t="shared" ca="1" si="37"/>
        <v>3.600296625880639</v>
      </c>
      <c r="CO67" s="621">
        <f t="shared" ca="1" si="105"/>
        <v>-46.132063465128113</v>
      </c>
      <c r="CP67" s="563" t="str">
        <f ca="1">IF(ROUND(CP18,2)=0,"ok","!")</f>
        <v>!</v>
      </c>
      <c r="CQ67" s="623">
        <f ca="1">IF(CQ18="","",IF(CK18=0,"N",(CQ18/CK18-1)*100))</f>
        <v>41.135240495363391</v>
      </c>
      <c r="CR67" s="620">
        <f t="shared" ca="1" si="40"/>
        <v>44.148663633235216</v>
      </c>
      <c r="CS67" s="630">
        <f t="shared" ca="1" si="41"/>
        <v>34.045313441134219</v>
      </c>
      <c r="CT67" s="624">
        <f t="shared" ca="1" si="42"/>
        <v>-0.35073905729935406</v>
      </c>
      <c r="CU67" s="621">
        <f t="shared" ca="1" si="106"/>
        <v>41.135240495363348</v>
      </c>
      <c r="CV67" s="563" t="str">
        <f ca="1">IF(ROUND(CV18,2)=0,"ok","!")</f>
        <v>!</v>
      </c>
      <c r="CW67" s="623">
        <f ca="1">IF(CW18="","",IF(CQ18=0,"N",(CW18/CQ18-1)*100))</f>
        <v>-27.678421963060128</v>
      </c>
      <c r="CX67" s="620">
        <f t="shared" ca="1" si="45"/>
        <v>-0.70346320346321711</v>
      </c>
      <c r="CY67" s="630">
        <f t="shared" ca="1" si="46"/>
        <v>15.872939061905921</v>
      </c>
      <c r="CZ67" s="624">
        <f t="shared" ca="1" si="47"/>
        <v>15.968106885033983</v>
      </c>
      <c r="DA67" s="621">
        <f t="shared" ca="1" si="107"/>
        <v>-27.678421963060085</v>
      </c>
      <c r="DB67" s="563" t="str">
        <f ca="1">IF(ROUND(DB18,2)=0,"ok","!")</f>
        <v>!</v>
      </c>
      <c r="DC67" s="623">
        <f t="shared" ca="1" si="49"/>
        <v>17.9947148120287</v>
      </c>
      <c r="DD67" s="620">
        <f t="shared" ca="1" si="50"/>
        <v>2.2022760057701651</v>
      </c>
      <c r="DE67" s="630">
        <f t="shared" ca="1" si="51"/>
        <v>-0.73083715158458462</v>
      </c>
      <c r="DF67" s="624">
        <f t="shared" ca="1" si="52"/>
        <v>12.332373254049367</v>
      </c>
      <c r="DG67" s="621">
        <f t="shared" ca="1" si="108"/>
        <v>17.994714812028612</v>
      </c>
      <c r="DH67" s="563" t="str">
        <f ca="1">IF(ROUND(DH18,2)=0,"ok","!")</f>
        <v>!</v>
      </c>
      <c r="DI67" s="623">
        <f t="shared" ca="1" si="54"/>
        <v>1.9567776106715007</v>
      </c>
      <c r="DJ67" s="620">
        <f t="shared" ca="1" si="55"/>
        <v>3.4815883570666895</v>
      </c>
      <c r="DK67" s="630">
        <f t="shared" ca="1" si="56"/>
        <v>5.9480380549428835</v>
      </c>
      <c r="DL67" s="624">
        <f t="shared" ca="1" si="57"/>
        <v>12.224642276198615</v>
      </c>
      <c r="DM67" s="621">
        <f t="shared" ca="1" si="109"/>
        <v>1.9567776106715451</v>
      </c>
      <c r="DN67" s="563" t="str">
        <f ca="1">IF(ROUND(DN18,2)=0,"ok","!")</f>
        <v>!</v>
      </c>
      <c r="DO67" s="623">
        <f t="shared" ca="1" si="59"/>
        <v>-3.9538873478811687</v>
      </c>
      <c r="DP67" s="620">
        <f t="shared" ca="1" si="60"/>
        <v>25.046981086323949</v>
      </c>
      <c r="DQ67" s="630">
        <f t="shared" ca="1" si="61"/>
        <v>25.630785986567428</v>
      </c>
      <c r="DR67" s="624">
        <f t="shared" ca="1" si="62"/>
        <v>-16.860336567989187</v>
      </c>
      <c r="DS67" s="621">
        <f t="shared" ca="1" si="110"/>
        <v>-3.9538873478811576</v>
      </c>
      <c r="DT67" s="563" t="str">
        <f ca="1">IF(ROUND(DT18,2)=0,"ok","!")</f>
        <v>!</v>
      </c>
      <c r="DU67" s="623">
        <f t="shared" ca="1" si="64"/>
        <v>-38.378712251473232</v>
      </c>
      <c r="DV67" s="620">
        <f t="shared" ca="1" si="65"/>
        <v>5.8064985274690617</v>
      </c>
      <c r="DW67" s="630">
        <f t="shared" ca="1" si="66"/>
        <v>19.809727640514385</v>
      </c>
      <c r="DX67" s="624">
        <f t="shared" ca="1" si="67"/>
        <v>19.236451746350692</v>
      </c>
      <c r="DY67" s="621">
        <f t="shared" ca="1" si="111"/>
        <v>-38.378712251473225</v>
      </c>
      <c r="DZ67" s="563" t="str">
        <f ca="1">IF(ROUND(DZ18,2)=0,"ok","!")</f>
        <v>!</v>
      </c>
      <c r="EA67" s="623">
        <f t="shared" ca="1" si="69"/>
        <v>-1.4005905778450956</v>
      </c>
      <c r="EB67" s="620">
        <f t="shared" ca="1" si="70"/>
        <v>18.111459836735321</v>
      </c>
      <c r="EC67" s="630">
        <f t="shared" ca="1" si="71"/>
        <v>19.536829410767108</v>
      </c>
      <c r="ED67" s="624">
        <f t="shared" ca="1" si="72"/>
        <v>9.6352101506741015</v>
      </c>
      <c r="EE67" s="621">
        <f t="shared" ca="1" si="112"/>
        <v>-1.4005905778451955</v>
      </c>
      <c r="EF67" s="563" t="str">
        <f ca="1">IF(ROUND(EF18,2)=0,"ok","!")</f>
        <v>!</v>
      </c>
      <c r="EG67" s="623">
        <f t="shared" ca="1" si="74"/>
        <v>53.299813166281893</v>
      </c>
      <c r="EH67" s="620">
        <f t="shared" ca="1" si="75"/>
        <v>-3.7524932032934499</v>
      </c>
      <c r="EI67" s="630">
        <f t="shared" ca="1" si="76"/>
        <v>-9.3689802481201738</v>
      </c>
      <c r="EJ67" s="624">
        <f t="shared" ca="1" si="77"/>
        <v>2.9159132007232857</v>
      </c>
      <c r="EK67" s="621">
        <f t="shared" ca="1" si="113"/>
        <v>53.299813166282007</v>
      </c>
      <c r="EL67" s="563" t="str">
        <f ca="1">IF(ROUND(EL18,2)=0,"ok","!")</f>
        <v>!</v>
      </c>
      <c r="EM67" s="623">
        <f t="shared" ca="1" si="79"/>
        <v>1.0000000000000009</v>
      </c>
      <c r="EN67" s="620">
        <f t="shared" ca="1" si="80"/>
        <v>3.9906328716828421</v>
      </c>
      <c r="EO67" s="630">
        <f t="shared" ca="1" si="81"/>
        <v>4.0000000000000036</v>
      </c>
      <c r="EP67" s="624">
        <f t="shared" ca="1" si="82"/>
        <v>0.38488695838467812</v>
      </c>
      <c r="EQ67" s="621">
        <f t="shared" ca="1" si="114"/>
        <v>1.0000000000000009</v>
      </c>
      <c r="ER67" s="563" t="str">
        <f ca="1">IF(ROUND(ER18,2)=0,"ok","!")</f>
        <v>!</v>
      </c>
      <c r="ES67" s="623">
        <f t="shared" ca="1" si="84"/>
        <v>0.99999999999993427</v>
      </c>
      <c r="ET67" s="620">
        <f t="shared" ca="1" si="85"/>
        <v>4.0309239885915948</v>
      </c>
      <c r="EU67" s="630">
        <f t="shared" ca="1" si="86"/>
        <v>4.0000000000000036</v>
      </c>
      <c r="EV67" s="624">
        <f t="shared" ca="1" si="87"/>
        <v>9.1621728410951064E-2</v>
      </c>
      <c r="EW67" s="621">
        <f t="shared" ca="1" si="115"/>
        <v>1.0000000000000009</v>
      </c>
      <c r="EX67" s="563" t="str">
        <f ca="1">IF(ROUND(EX18,2)=0,"ok","!")</f>
        <v>!</v>
      </c>
      <c r="EY67" s="623">
        <f t="shared" ca="1" si="89"/>
        <v>1.0000000000000453</v>
      </c>
      <c r="EZ67" s="620">
        <f t="shared" ca="1" si="90"/>
        <v>5.8959951538008593</v>
      </c>
      <c r="FA67" s="630">
        <f t="shared" ca="1" si="91"/>
        <v>4.0000000000000036</v>
      </c>
      <c r="FB67" s="624">
        <f t="shared" ca="1" si="92"/>
        <v>-13.081722651585814</v>
      </c>
      <c r="FC67" s="621">
        <f t="shared" ca="1" si="116"/>
        <v>1.0000000000000009</v>
      </c>
      <c r="FD67" s="563" t="str">
        <f ca="1">IF(ROUND(FD18,2)=0,"ok","!")</f>
        <v>!</v>
      </c>
    </row>
    <row r="68" spans="2:160" ht="13.15">
      <c r="B68" s="579"/>
      <c r="C68" s="586"/>
      <c r="D68" s="587" t="s">
        <v>947</v>
      </c>
      <c r="E68" s="631"/>
      <c r="F68" s="622"/>
      <c r="G68" s="632"/>
      <c r="H68" s="593"/>
      <c r="I68" s="625"/>
      <c r="J68" s="567"/>
      <c r="K68" s="631" t="str">
        <f>IF(K19="","",IF(E19=0,"N",(K19/E19-1)*100))</f>
        <v/>
      </c>
      <c r="L68" s="622" t="str">
        <f t="shared" si="117"/>
        <v/>
      </c>
      <c r="M68" s="632" t="str">
        <f t="shared" si="117"/>
        <v/>
      </c>
      <c r="N68" s="593">
        <f t="shared" ca="1" si="117"/>
        <v>-0.94455451070123431</v>
      </c>
      <c r="O68" s="625" t="str">
        <f t="shared" si="117"/>
        <v/>
      </c>
      <c r="P68" s="567"/>
      <c r="Q68" s="631" t="str">
        <f>IF(Q19="","",IF(K19=0,"N",(Q19/K19-1)*100))</f>
        <v/>
      </c>
      <c r="R68" s="622" t="str">
        <f t="shared" si="118"/>
        <v/>
      </c>
      <c r="S68" s="632" t="str">
        <f t="shared" si="118"/>
        <v/>
      </c>
      <c r="T68" s="593">
        <f t="shared" ca="1" si="118"/>
        <v>-9.1567249320393849</v>
      </c>
      <c r="U68" s="625" t="str">
        <f t="shared" si="118"/>
        <v/>
      </c>
      <c r="V68" s="567"/>
      <c r="W68" s="631" t="str">
        <f>IF(W19="","",IF(Q19=0,"N",(W19/Q19-1)*100))</f>
        <v/>
      </c>
      <c r="X68" s="622" t="str">
        <f t="shared" si="119"/>
        <v/>
      </c>
      <c r="Y68" s="632" t="str">
        <f t="shared" si="119"/>
        <v/>
      </c>
      <c r="Z68" s="593">
        <f t="shared" ca="1" si="119"/>
        <v>0.51786157281072942</v>
      </c>
      <c r="AA68" s="625" t="str">
        <f t="shared" si="119"/>
        <v/>
      </c>
      <c r="AB68" s="567"/>
      <c r="AC68" s="631" t="str">
        <f>IF(AC19="","",IF(W19=0,"N",(AC19/W19-1)*100))</f>
        <v/>
      </c>
      <c r="AD68" s="622" t="str">
        <f t="shared" si="120"/>
        <v/>
      </c>
      <c r="AE68" s="632" t="str">
        <f t="shared" si="120"/>
        <v/>
      </c>
      <c r="AF68" s="593">
        <f t="shared" ca="1" si="120"/>
        <v>-11.76307265155021</v>
      </c>
      <c r="AG68" s="625" t="str">
        <f t="shared" si="120"/>
        <v/>
      </c>
      <c r="AH68" s="567"/>
      <c r="AI68" s="631" t="str">
        <f>IF(AI19="","",IF(AC19=0,"N",(AI19/AC19-1)*100))</f>
        <v/>
      </c>
      <c r="AJ68" s="622" t="str">
        <f t="shared" si="121"/>
        <v/>
      </c>
      <c r="AK68" s="632" t="str">
        <f t="shared" si="121"/>
        <v/>
      </c>
      <c r="AL68" s="593">
        <f t="shared" ca="1" si="121"/>
        <v>-3.9367876372281674</v>
      </c>
      <c r="AM68" s="625" t="str">
        <f t="shared" si="121"/>
        <v/>
      </c>
      <c r="AN68" s="567"/>
      <c r="AO68" s="631" t="str">
        <f>IF(AO19="","",IF(AI19=0,"N",(AO19/AI19-1)*100))</f>
        <v/>
      </c>
      <c r="AP68" s="622" t="str">
        <f t="shared" si="122"/>
        <v/>
      </c>
      <c r="AQ68" s="632" t="str">
        <f t="shared" si="122"/>
        <v/>
      </c>
      <c r="AR68" s="593">
        <f t="shared" ca="1" si="122"/>
        <v>-12.807541126801569</v>
      </c>
      <c r="AS68" s="625" t="str">
        <f t="shared" si="122"/>
        <v/>
      </c>
      <c r="AT68" s="567"/>
      <c r="AU68" s="631" t="str">
        <f>IF(AU19="","",IF(AO19=0,"N",(AU19/AO19-1)*100))</f>
        <v/>
      </c>
      <c r="AV68" s="622" t="str">
        <f t="shared" si="123"/>
        <v/>
      </c>
      <c r="AW68" s="632" t="str">
        <f t="shared" si="123"/>
        <v/>
      </c>
      <c r="AX68" s="593">
        <f t="shared" ca="1" si="123"/>
        <v>0.18157532245270946</v>
      </c>
      <c r="AY68" s="625" t="str">
        <f t="shared" si="123"/>
        <v/>
      </c>
      <c r="AZ68" s="567"/>
      <c r="BA68" s="631" t="str">
        <f>IF(BA19="","",IF(AU19=0,"N",(BA19/AU19-1)*100))</f>
        <v/>
      </c>
      <c r="BB68" s="622" t="str">
        <f t="shared" si="124"/>
        <v/>
      </c>
      <c r="BC68" s="632" t="str">
        <f t="shared" si="124"/>
        <v/>
      </c>
      <c r="BD68" s="593">
        <f t="shared" ca="1" si="124"/>
        <v>5.0082289952292802</v>
      </c>
      <c r="BE68" s="625" t="str">
        <f t="shared" si="124"/>
        <v/>
      </c>
      <c r="BF68" s="567"/>
      <c r="BG68" s="631" t="str">
        <f>IF(BG19="","",IF(BA19=0,"N",(BG19/BA19-1)*100))</f>
        <v/>
      </c>
      <c r="BH68" s="622" t="str">
        <f t="shared" si="125"/>
        <v/>
      </c>
      <c r="BI68" s="632" t="str">
        <f t="shared" si="125"/>
        <v/>
      </c>
      <c r="BJ68" s="593">
        <f t="shared" ca="1" si="125"/>
        <v>-1.2756670965182071</v>
      </c>
      <c r="BK68" s="625" t="str">
        <f t="shared" si="125"/>
        <v/>
      </c>
      <c r="BL68" s="567"/>
      <c r="BM68" s="631" t="str">
        <f>IF(BM19="","",IF(BG19=0,"N",(BM19/BG19-1)*100))</f>
        <v/>
      </c>
      <c r="BN68" s="622" t="str">
        <f t="shared" si="126"/>
        <v/>
      </c>
      <c r="BO68" s="632" t="str">
        <f t="shared" si="126"/>
        <v/>
      </c>
      <c r="BP68" s="593">
        <f t="shared" ca="1" si="126"/>
        <v>25.553635304047262</v>
      </c>
      <c r="BQ68" s="625" t="str">
        <f t="shared" si="126"/>
        <v/>
      </c>
      <c r="BR68" s="567"/>
      <c r="BS68" s="631" t="str">
        <f>IF(BS19="","",IF(BM19=0,"N",(BS19/BM19-1)*100))</f>
        <v/>
      </c>
      <c r="BT68" s="622" t="str">
        <f t="shared" si="127"/>
        <v/>
      </c>
      <c r="BU68" s="632" t="str">
        <f t="shared" si="127"/>
        <v/>
      </c>
      <c r="BV68" s="593">
        <f t="shared" ca="1" si="127"/>
        <v>3.4140017286084845</v>
      </c>
      <c r="BW68" s="625" t="str">
        <f t="shared" si="127"/>
        <v/>
      </c>
      <c r="BX68" s="567"/>
      <c r="BY68" s="631" t="str">
        <f>IF(BY19="","",IF(BS19=0,"N",(BY19/BS19-1)*100))</f>
        <v/>
      </c>
      <c r="BZ68" s="622" t="str">
        <f t="shared" si="128"/>
        <v/>
      </c>
      <c r="CA68" s="632" t="str">
        <f t="shared" si="128"/>
        <v/>
      </c>
      <c r="CB68" s="593">
        <f t="shared" ca="1" si="128"/>
        <v>20.371144232406223</v>
      </c>
      <c r="CC68" s="625" t="str">
        <f t="shared" si="128"/>
        <v/>
      </c>
      <c r="CD68" s="567"/>
      <c r="CE68" s="631" t="str">
        <f>IF(CE19="","",IF(BY19=0,"N",(CE19/BY19-1)*100))</f>
        <v/>
      </c>
      <c r="CF68" s="622" t="str">
        <f t="shared" si="129"/>
        <v/>
      </c>
      <c r="CG68" s="632" t="str">
        <f t="shared" si="129"/>
        <v/>
      </c>
      <c r="CH68" s="593">
        <f t="shared" ca="1" si="129"/>
        <v>8.4412328185874195</v>
      </c>
      <c r="CI68" s="625" t="str">
        <f t="shared" si="129"/>
        <v/>
      </c>
      <c r="CJ68" s="567"/>
      <c r="CK68" s="631" t="str">
        <f>IF(CK19="","",IF(CE19=0,"N",(CK19/CE19-1)*100))</f>
        <v/>
      </c>
      <c r="CL68" s="622" t="str">
        <f t="shared" si="35"/>
        <v/>
      </c>
      <c r="CM68" s="632" t="str">
        <f t="shared" si="36"/>
        <v/>
      </c>
      <c r="CN68" s="593">
        <f t="shared" ca="1" si="37"/>
        <v>-16.018876425810426</v>
      </c>
      <c r="CO68" s="625" t="str">
        <f t="shared" si="105"/>
        <v/>
      </c>
      <c r="CP68" s="567"/>
      <c r="CQ68" s="631" t="str">
        <f>IF(CQ19="","",IF(CK19=0,"N",(CQ19/CK19-1)*100))</f>
        <v/>
      </c>
      <c r="CR68" s="622" t="str">
        <f t="shared" si="40"/>
        <v/>
      </c>
      <c r="CS68" s="632" t="str">
        <f t="shared" si="41"/>
        <v/>
      </c>
      <c r="CT68" s="593">
        <f t="shared" ca="1" si="42"/>
        <v>-1.8297848308578613</v>
      </c>
      <c r="CU68" s="625" t="str">
        <f t="shared" si="106"/>
        <v/>
      </c>
      <c r="CV68" s="567"/>
      <c r="CW68" s="631" t="str">
        <f>IF(CW19="","",IF(CQ19=0,"N",(CW19/CQ19-1)*100))</f>
        <v/>
      </c>
      <c r="CX68" s="622" t="str">
        <f t="shared" si="45"/>
        <v/>
      </c>
      <c r="CY68" s="632" t="str">
        <f t="shared" si="46"/>
        <v/>
      </c>
      <c r="CZ68" s="593">
        <f t="shared" ca="1" si="47"/>
        <v>13.15365587067825</v>
      </c>
      <c r="DA68" s="625" t="str">
        <f t="shared" si="107"/>
        <v/>
      </c>
      <c r="DB68" s="567"/>
      <c r="DC68" s="631" t="str">
        <f t="shared" si="49"/>
        <v/>
      </c>
      <c r="DD68" s="622" t="str">
        <f t="shared" si="50"/>
        <v/>
      </c>
      <c r="DE68" s="632" t="str">
        <f t="shared" si="51"/>
        <v/>
      </c>
      <c r="DF68" s="593">
        <f t="shared" ca="1" si="52"/>
        <v>-4.2591321589262598</v>
      </c>
      <c r="DG68" s="625" t="str">
        <f t="shared" si="108"/>
        <v/>
      </c>
      <c r="DH68" s="567"/>
      <c r="DI68" s="631" t="str">
        <f t="shared" si="54"/>
        <v/>
      </c>
      <c r="DJ68" s="622" t="str">
        <f t="shared" si="55"/>
        <v/>
      </c>
      <c r="DK68" s="632" t="str">
        <f t="shared" si="56"/>
        <v/>
      </c>
      <c r="DL68" s="593">
        <f t="shared" ca="1" si="57"/>
        <v>1.7218261712267813</v>
      </c>
      <c r="DM68" s="625" t="str">
        <f t="shared" si="109"/>
        <v/>
      </c>
      <c r="DN68" s="567"/>
      <c r="DO68" s="631" t="str">
        <f t="shared" si="59"/>
        <v/>
      </c>
      <c r="DP68" s="622" t="str">
        <f t="shared" si="60"/>
        <v/>
      </c>
      <c r="DQ68" s="632" t="str">
        <f t="shared" si="61"/>
        <v/>
      </c>
      <c r="DR68" s="593">
        <f t="shared" ca="1" si="62"/>
        <v>-13.018114428899551</v>
      </c>
      <c r="DS68" s="625" t="str">
        <f t="shared" si="110"/>
        <v/>
      </c>
      <c r="DT68" s="567"/>
      <c r="DU68" s="631" t="str">
        <f t="shared" si="64"/>
        <v/>
      </c>
      <c r="DV68" s="622" t="str">
        <f t="shared" si="65"/>
        <v/>
      </c>
      <c r="DW68" s="632" t="str">
        <f t="shared" si="66"/>
        <v/>
      </c>
      <c r="DX68" s="593">
        <f t="shared" ca="1" si="67"/>
        <v>-1.1087938303650513</v>
      </c>
      <c r="DY68" s="625" t="str">
        <f t="shared" si="111"/>
        <v/>
      </c>
      <c r="DZ68" s="567"/>
      <c r="EA68" s="631" t="str">
        <f t="shared" si="69"/>
        <v/>
      </c>
      <c r="EB68" s="622" t="str">
        <f t="shared" si="70"/>
        <v/>
      </c>
      <c r="EC68" s="632" t="str">
        <f t="shared" si="71"/>
        <v/>
      </c>
      <c r="ED68" s="593">
        <f t="shared" ca="1" si="72"/>
        <v>5.6561978455469619</v>
      </c>
      <c r="EE68" s="625" t="str">
        <f t="shared" si="112"/>
        <v/>
      </c>
      <c r="EF68" s="567"/>
      <c r="EG68" s="631" t="str">
        <f t="shared" si="74"/>
        <v/>
      </c>
      <c r="EH68" s="622" t="str">
        <f t="shared" si="75"/>
        <v/>
      </c>
      <c r="EI68" s="632" t="str">
        <f t="shared" si="76"/>
        <v/>
      </c>
      <c r="EJ68" s="593">
        <f t="shared" ca="1" si="77"/>
        <v>-0.60886297711020276</v>
      </c>
      <c r="EK68" s="625" t="str">
        <f t="shared" si="113"/>
        <v/>
      </c>
      <c r="EL68" s="567"/>
      <c r="EM68" s="631" t="str">
        <f t="shared" si="79"/>
        <v/>
      </c>
      <c r="EN68" s="622" t="str">
        <f t="shared" si="80"/>
        <v/>
      </c>
      <c r="EO68" s="632" t="str">
        <f t="shared" si="81"/>
        <v/>
      </c>
      <c r="EP68" s="593">
        <f t="shared" ca="1" si="82"/>
        <v>-2.0000000000000018</v>
      </c>
      <c r="EQ68" s="625" t="str">
        <f t="shared" si="114"/>
        <v/>
      </c>
      <c r="ER68" s="567"/>
      <c r="ES68" s="631" t="str">
        <f t="shared" si="84"/>
        <v/>
      </c>
      <c r="ET68" s="622" t="str">
        <f t="shared" si="85"/>
        <v/>
      </c>
      <c r="EU68" s="632" t="str">
        <f t="shared" si="86"/>
        <v/>
      </c>
      <c r="EV68" s="593">
        <f t="shared" ca="1" si="87"/>
        <v>-2.0000000000000129</v>
      </c>
      <c r="EW68" s="625" t="str">
        <f t="shared" si="115"/>
        <v/>
      </c>
      <c r="EX68" s="567"/>
      <c r="EY68" s="631" t="str">
        <f t="shared" si="89"/>
        <v/>
      </c>
      <c r="EZ68" s="622" t="str">
        <f t="shared" si="90"/>
        <v/>
      </c>
      <c r="FA68" s="632" t="str">
        <f t="shared" si="91"/>
        <v/>
      </c>
      <c r="FB68" s="593">
        <f t="shared" ca="1" si="92"/>
        <v>-2.0000000000000129</v>
      </c>
      <c r="FC68" s="625" t="str">
        <f t="shared" si="116"/>
        <v/>
      </c>
      <c r="FD68" s="567"/>
    </row>
    <row r="69" spans="2:160" ht="13.15">
      <c r="B69" s="579"/>
      <c r="C69" s="586"/>
      <c r="D69" s="587" t="s">
        <v>948</v>
      </c>
      <c r="E69" s="631"/>
      <c r="F69" s="622"/>
      <c r="G69" s="632"/>
      <c r="H69" s="593"/>
      <c r="I69" s="625"/>
      <c r="J69" s="567"/>
      <c r="K69" s="631"/>
      <c r="L69" s="622"/>
      <c r="M69" s="632"/>
      <c r="N69" s="593">
        <f ca="1">IF(N20="","",IF(H20=0,"N",(N20/H20-1)*100))</f>
        <v>-28.571428571428569</v>
      </c>
      <c r="O69" s="625"/>
      <c r="P69" s="567"/>
      <c r="Q69" s="631"/>
      <c r="R69" s="622"/>
      <c r="S69" s="632"/>
      <c r="T69" s="593">
        <f t="shared" ref="T69:T91" ca="1" si="130">IF(T20="","",IF(N20=0,"N",(T20/N20-1)*100))</f>
        <v>1.904761904761898</v>
      </c>
      <c r="U69" s="625"/>
      <c r="V69" s="567"/>
      <c r="W69" s="631"/>
      <c r="X69" s="622"/>
      <c r="Y69" s="632"/>
      <c r="Z69" s="593">
        <f t="shared" ref="Z69:Z91" ca="1" si="131">IF(Z20="","",IF(T20=0,"N",(Z20/T20-1)*100))</f>
        <v>1070.0934579439252</v>
      </c>
      <c r="AA69" s="625"/>
      <c r="AB69" s="567"/>
      <c r="AC69" s="631"/>
      <c r="AD69" s="622"/>
      <c r="AE69" s="632"/>
      <c r="AF69" s="593">
        <f t="shared" ref="AF69:AF91" ca="1" si="132">IF(AF20="","",IF(Z20=0,"N",(AF20/Z20-1)*100))</f>
        <v>5.7108626198082879</v>
      </c>
      <c r="AG69" s="625"/>
      <c r="AH69" s="567"/>
      <c r="AI69" s="631"/>
      <c r="AJ69" s="622"/>
      <c r="AK69" s="632"/>
      <c r="AL69" s="593">
        <f t="shared" ref="AL69:AL91" ca="1" si="133">IF(AL20="","",IF(AF20=0,"N",(AL20/AF20-1)*100))</f>
        <v>2.3044956554590268</v>
      </c>
      <c r="AM69" s="625"/>
      <c r="AN69" s="567"/>
      <c r="AO69" s="631"/>
      <c r="AP69" s="622"/>
      <c r="AQ69" s="632"/>
      <c r="AR69" s="593">
        <f t="shared" ref="AR69:AR91" ca="1" si="134">IF(AR20="","",IF(AL20=0,"N",(AR20/AL20-1)*100))</f>
        <v>7.9025110782865671</v>
      </c>
      <c r="AS69" s="625"/>
      <c r="AT69" s="567"/>
      <c r="AU69" s="631"/>
      <c r="AV69" s="622"/>
      <c r="AW69" s="632"/>
      <c r="AX69" s="593">
        <f t="shared" ref="AX69:AX91" ca="1" si="135">IF(AX20="","",IF(AR20=0,"N",(AX20/AR20-1)*100))</f>
        <v>7.4264202600958118</v>
      </c>
      <c r="AY69" s="625"/>
      <c r="AZ69" s="567"/>
      <c r="BA69" s="631"/>
      <c r="BB69" s="622"/>
      <c r="BC69" s="632"/>
      <c r="BD69" s="593">
        <f t="shared" ref="BD69:BD91" ca="1" si="136">IF(BD20="","",IF(AX20=0,"N",(BD20/AX20-1)*100))</f>
        <v>5.8298821280662771</v>
      </c>
      <c r="BE69" s="625"/>
      <c r="BF69" s="567"/>
      <c r="BG69" s="631"/>
      <c r="BH69" s="622"/>
      <c r="BI69" s="632"/>
      <c r="BJ69" s="593">
        <f t="shared" ref="BJ69:BJ91" ca="1" si="137">IF(BJ20="","",IF(BD20=0,"N",(BJ20/BD20-1)*100))</f>
        <v>6.3214930764599719</v>
      </c>
      <c r="BK69" s="625"/>
      <c r="BL69" s="567"/>
      <c r="BM69" s="631"/>
      <c r="BN69" s="622"/>
      <c r="BO69" s="632"/>
      <c r="BP69" s="593">
        <f t="shared" ref="BP69:BP91" ca="1" si="138">IF(BP20="","",IF(BJ20=0,"N",(BP20/BJ20-1)*100))</f>
        <v>12.03284258210644</v>
      </c>
      <c r="BQ69" s="625"/>
      <c r="BR69" s="567"/>
      <c r="BS69" s="631"/>
      <c r="BT69" s="622"/>
      <c r="BU69" s="632"/>
      <c r="BV69" s="593">
        <f t="shared" ref="BV69:BV91" ca="1" si="139">IF(BV20="","",IF(BP20=0,"N",(BV20/BP20-1)*100))</f>
        <v>-0.65706343189284588</v>
      </c>
      <c r="BW69" s="625"/>
      <c r="BX69" s="567"/>
      <c r="BY69" s="631"/>
      <c r="BZ69" s="622"/>
      <c r="CA69" s="632"/>
      <c r="CB69" s="593">
        <f t="shared" ref="CB69:CB91" ca="1" si="140">IF(CB20="","",IF(BV20=0,"N",(CB20/BV20-1)*100))</f>
        <v>2.6201984227931741</v>
      </c>
      <c r="CC69" s="625"/>
      <c r="CD69" s="567"/>
      <c r="CE69" s="631"/>
      <c r="CF69" s="622"/>
      <c r="CG69" s="632"/>
      <c r="CH69" s="593">
        <f t="shared" ref="CH69:CH91" ca="1" si="141">IF(CH20="","",IF(CB20=0,"N",(CH20/CB20-1)*100))</f>
        <v>7.3624194348041794</v>
      </c>
      <c r="CI69" s="625"/>
      <c r="CJ69" s="567"/>
      <c r="CK69" s="631"/>
      <c r="CL69" s="622"/>
      <c r="CM69" s="632"/>
      <c r="CN69" s="593">
        <f t="shared" ca="1" si="37"/>
        <v>5.957053798199019</v>
      </c>
      <c r="CO69" s="625"/>
      <c r="CP69" s="567"/>
      <c r="CQ69" s="631"/>
      <c r="CR69" s="622"/>
      <c r="CS69" s="632"/>
      <c r="CT69" s="593">
        <f t="shared" ca="1" si="42"/>
        <v>4.2492917847025469</v>
      </c>
      <c r="CU69" s="625"/>
      <c r="CV69" s="567"/>
      <c r="CW69" s="631"/>
      <c r="CX69" s="622"/>
      <c r="CY69" s="632"/>
      <c r="CZ69" s="593">
        <f t="shared" ca="1" si="47"/>
        <v>9.0928093645485042</v>
      </c>
      <c r="DA69" s="625"/>
      <c r="DB69" s="567"/>
      <c r="DC69" s="631"/>
      <c r="DD69" s="622"/>
      <c r="DE69" s="632"/>
      <c r="DF69" s="593">
        <f t="shared" ca="1" si="52"/>
        <v>4.9626365204062051</v>
      </c>
      <c r="DG69" s="625"/>
      <c r="DH69" s="567"/>
      <c r="DI69" s="631"/>
      <c r="DJ69" s="622"/>
      <c r="DK69" s="632"/>
      <c r="DL69" s="593">
        <f t="shared" ca="1" si="57"/>
        <v>2.008032128514059</v>
      </c>
      <c r="DM69" s="625"/>
      <c r="DN69" s="567"/>
      <c r="DO69" s="631"/>
      <c r="DP69" s="622"/>
      <c r="DQ69" s="632"/>
      <c r="DR69" s="593">
        <f t="shared" ca="1" si="62"/>
        <v>8.4824624194703055</v>
      </c>
      <c r="DS69" s="625"/>
      <c r="DT69" s="567"/>
      <c r="DU69" s="631"/>
      <c r="DV69" s="622"/>
      <c r="DW69" s="632"/>
      <c r="DX69" s="593">
        <f t="shared" ca="1" si="67"/>
        <v>11.761794787198943</v>
      </c>
      <c r="DY69" s="625"/>
      <c r="DZ69" s="567"/>
      <c r="EA69" s="631"/>
      <c r="EB69" s="622"/>
      <c r="EC69" s="632"/>
      <c r="ED69" s="593">
        <f t="shared" ca="1" si="72"/>
        <v>6.5682656826568264</v>
      </c>
      <c r="EE69" s="625"/>
      <c r="EF69" s="567"/>
      <c r="EG69" s="631"/>
      <c r="EH69" s="622"/>
      <c r="EI69" s="632"/>
      <c r="EJ69" s="593">
        <f t="shared" ca="1" si="77"/>
        <v>5.1246537396121949</v>
      </c>
      <c r="EK69" s="625"/>
      <c r="EL69" s="567"/>
      <c r="EM69" s="631"/>
      <c r="EN69" s="622"/>
      <c r="EO69" s="632"/>
      <c r="EP69" s="593">
        <f t="shared" ca="1" si="82"/>
        <v>4.8980364670283993</v>
      </c>
      <c r="EQ69" s="625"/>
      <c r="ER69" s="567"/>
      <c r="ES69" s="631"/>
      <c r="ET69" s="622"/>
      <c r="EU69" s="632"/>
      <c r="EV69" s="593">
        <f t="shared" ca="1" si="87"/>
        <v>3.7812749119215061</v>
      </c>
      <c r="EW69" s="625"/>
      <c r="EX69" s="567"/>
      <c r="EY69" s="631"/>
      <c r="EZ69" s="622"/>
      <c r="FA69" s="632"/>
      <c r="FB69" s="593">
        <f t="shared" ca="1" si="92"/>
        <v>3.5451641625984909</v>
      </c>
      <c r="FC69" s="625"/>
      <c r="FD69" s="567"/>
    </row>
    <row r="70" spans="2:160" ht="13.5" thickBot="1">
      <c r="B70" s="579"/>
      <c r="C70" s="586"/>
      <c r="D70" s="587" t="s">
        <v>1803</v>
      </c>
      <c r="E70" s="631"/>
      <c r="F70" s="622"/>
      <c r="G70" s="632"/>
      <c r="H70" s="596"/>
      <c r="I70" s="625"/>
      <c r="J70" s="567"/>
      <c r="K70" s="631" t="str">
        <f t="shared" ref="K70:O83" si="142">IF(K21="","",IF(E21=0,"N",(K21/E21-1)*100))</f>
        <v/>
      </c>
      <c r="L70" s="622" t="str">
        <f t="shared" si="142"/>
        <v/>
      </c>
      <c r="M70" s="632" t="str">
        <f t="shared" si="142"/>
        <v/>
      </c>
      <c r="N70" s="596">
        <f t="shared" ca="1" si="142"/>
        <v>3.8925438596491224</v>
      </c>
      <c r="O70" s="625" t="str">
        <f t="shared" si="142"/>
        <v/>
      </c>
      <c r="P70" s="567"/>
      <c r="Q70" s="631" t="str">
        <f t="shared" ref="Q70:Q90" si="143">IF(Q21="","",IF(K21=0,"N",(Q21/K21-1)*100))</f>
        <v/>
      </c>
      <c r="R70" s="622" t="str">
        <f t="shared" ref="R70:R90" si="144">IF(R21="","",IF(L21=0,"N",(R21/L21-1)*100))</f>
        <v/>
      </c>
      <c r="S70" s="632" t="str">
        <f t="shared" ref="S70:S90" si="145">IF(S21="","",IF(M21=0,"N",(S21/M21-1)*100))</f>
        <v/>
      </c>
      <c r="T70" s="596">
        <f t="shared" ca="1" si="130"/>
        <v>1.0195648927166845</v>
      </c>
      <c r="U70" s="625" t="str">
        <f t="shared" ref="U70:U90" si="146">IF(U21="","",IF(O21=0,"N",(U21/O21-1)*100))</f>
        <v/>
      </c>
      <c r="V70" s="567"/>
      <c r="W70" s="631" t="str">
        <f t="shared" ref="W70:W90" si="147">IF(W21="","",IF(Q21=0,"N",(W21/Q21-1)*100))</f>
        <v/>
      </c>
      <c r="X70" s="622" t="str">
        <f t="shared" ref="X70:X90" si="148">IF(X21="","",IF(R21=0,"N",(X21/R21-1)*100))</f>
        <v/>
      </c>
      <c r="Y70" s="632" t="str">
        <f t="shared" ref="Y70:Y90" si="149">IF(Y21="","",IF(S21=0,"N",(Y21/S21-1)*100))</f>
        <v/>
      </c>
      <c r="Z70" s="596">
        <f t="shared" ca="1" si="131"/>
        <v>-8.7463901674568199</v>
      </c>
      <c r="AA70" s="625" t="str">
        <f t="shared" ref="AA70:AA90" si="150">IF(AA21="","",IF(U21=0,"N",(AA21/U21-1)*100))</f>
        <v/>
      </c>
      <c r="AB70" s="567"/>
      <c r="AC70" s="631" t="str">
        <f t="shared" ref="AC70:AC90" si="151">IF(AC21="","",IF(W21=0,"N",(AC21/W21-1)*100))</f>
        <v/>
      </c>
      <c r="AD70" s="622" t="str">
        <f t="shared" ref="AD70:AD90" si="152">IF(AD21="","",IF(X21=0,"N",(AD21/X21-1)*100))</f>
        <v/>
      </c>
      <c r="AE70" s="632" t="str">
        <f t="shared" ref="AE70:AE90" si="153">IF(AE21="","",IF(Y21=0,"N",(AE21/Y21-1)*100))</f>
        <v/>
      </c>
      <c r="AF70" s="596">
        <f t="shared" ca="1" si="132"/>
        <v>-7.1350650753361666</v>
      </c>
      <c r="AG70" s="625" t="str">
        <f t="shared" ref="AG70:AG90" si="154">IF(AG21="","",IF(AA21=0,"N",(AG21/AA21-1)*100))</f>
        <v/>
      </c>
      <c r="AH70" s="567"/>
      <c r="AI70" s="631" t="str">
        <f t="shared" ref="AI70:AI90" si="155">IF(AI21="","",IF(AC21=0,"N",(AI21/AC21-1)*100))</f>
        <v/>
      </c>
      <c r="AJ70" s="622" t="str">
        <f t="shared" ref="AJ70:AJ90" si="156">IF(AJ21="","",IF(AD21=0,"N",(AJ21/AD21-1)*100))</f>
        <v/>
      </c>
      <c r="AK70" s="632" t="str">
        <f t="shared" ref="AK70:AK90" si="157">IF(AK21="","",IF(AE21=0,"N",(AK21/AE21-1)*100))</f>
        <v/>
      </c>
      <c r="AL70" s="596">
        <f t="shared" ca="1" si="133"/>
        <v>-8.1705997976250107</v>
      </c>
      <c r="AM70" s="625" t="str">
        <f t="shared" ref="AM70:AM90" si="158">IF(AM21="","",IF(AG21=0,"N",(AM21/AG21-1)*100))</f>
        <v/>
      </c>
      <c r="AN70" s="567"/>
      <c r="AO70" s="631" t="str">
        <f t="shared" ref="AO70:AO90" si="159">IF(AO21="","",IF(AI21=0,"N",(AO21/AI21-1)*100))</f>
        <v/>
      </c>
      <c r="AP70" s="622" t="str">
        <f t="shared" ref="AP70:AP90" si="160">IF(AP21="","",IF(AJ21=0,"N",(AP21/AJ21-1)*100))</f>
        <v/>
      </c>
      <c r="AQ70" s="632" t="str">
        <f t="shared" ref="AQ70:AQ90" si="161">IF(AQ21="","",IF(AK21=0,"N",(AQ21/AK21-1)*100))</f>
        <v/>
      </c>
      <c r="AR70" s="596">
        <f t="shared" ca="1" si="134"/>
        <v>-18.063682650657341</v>
      </c>
      <c r="AS70" s="625" t="str">
        <f t="shared" ref="AS70:AS90" si="162">IF(AS21="","",IF(AM21=0,"N",(AS21/AM21-1)*100))</f>
        <v/>
      </c>
      <c r="AT70" s="567"/>
      <c r="AU70" s="631" t="str">
        <f t="shared" ref="AU70:AU90" si="163">IF(AU21="","",IF(AO21=0,"N",(AU21/AO21-1)*100))</f>
        <v/>
      </c>
      <c r="AV70" s="622" t="str">
        <f t="shared" ref="AV70:AV90" si="164">IF(AV21="","",IF(AP21=0,"N",(AV21/AP21-1)*100))</f>
        <v/>
      </c>
      <c r="AW70" s="632" t="str">
        <f t="shared" ref="AW70:AW90" si="165">IF(AW21="","",IF(AQ21=0,"N",(AW21/AQ21-1)*100))</f>
        <v/>
      </c>
      <c r="AX70" s="596">
        <f t="shared" ca="1" si="135"/>
        <v>14.530390156433581</v>
      </c>
      <c r="AY70" s="625" t="str">
        <f t="shared" ref="AY70:AY90" si="166">IF(AY21="","",IF(AS21=0,"N",(AY21/AS21-1)*100))</f>
        <v/>
      </c>
      <c r="AZ70" s="567"/>
      <c r="BA70" s="631" t="str">
        <f t="shared" ref="BA70:BA90" si="167">IF(BA21="","",IF(AU21=0,"N",(BA21/AU21-1)*100))</f>
        <v/>
      </c>
      <c r="BB70" s="622" t="str">
        <f t="shared" ref="BB70:BB90" si="168">IF(BB21="","",IF(AV21=0,"N",(BB21/AV21-1)*100))</f>
        <v/>
      </c>
      <c r="BC70" s="632" t="str">
        <f t="shared" ref="BC70:BC90" si="169">IF(BC21="","",IF(AW21=0,"N",(BC21/AW21-1)*100))</f>
        <v/>
      </c>
      <c r="BD70" s="596">
        <f t="shared" ca="1" si="136"/>
        <v>-24.419640447011815</v>
      </c>
      <c r="BE70" s="625" t="str">
        <f t="shared" ref="BE70:BE90" si="170">IF(BE21="","",IF(AY21=0,"N",(BE21/AY21-1)*100))</f>
        <v/>
      </c>
      <c r="BF70" s="567"/>
      <c r="BG70" s="631" t="str">
        <f t="shared" ref="BG70:BG90" si="171">IF(BG21="","",IF(BA21=0,"N",(BG21/BA21-1)*100))</f>
        <v/>
      </c>
      <c r="BH70" s="622" t="str">
        <f t="shared" ref="BH70:BH90" si="172">IF(BH21="","",IF(BB21=0,"N",(BH21/BB21-1)*100))</f>
        <v/>
      </c>
      <c r="BI70" s="632" t="str">
        <f t="shared" ref="BI70:BI90" si="173">IF(BI21="","",IF(BC21=0,"N",(BI21/BC21-1)*100))</f>
        <v/>
      </c>
      <c r="BJ70" s="596">
        <f t="shared" ca="1" si="137"/>
        <v>-15.400275004910801</v>
      </c>
      <c r="BK70" s="625" t="str">
        <f t="shared" ref="BK70:BK90" si="174">IF(BK21="","",IF(BE21=0,"N",(BK21/BE21-1)*100))</f>
        <v/>
      </c>
      <c r="BL70" s="567"/>
      <c r="BM70" s="631" t="str">
        <f t="shared" ref="BM70:BM90" si="175">IF(BM21="","",IF(BG21=0,"N",(BM21/BG21-1)*100))</f>
        <v/>
      </c>
      <c r="BN70" s="622" t="str">
        <f t="shared" ref="BN70:BN90" si="176">IF(BN21="","",IF(BH21=0,"N",(BN21/BH21-1)*100))</f>
        <v/>
      </c>
      <c r="BO70" s="632" t="str">
        <f t="shared" ref="BO70:BO90" si="177">IF(BO21="","",IF(BI21=0,"N",(BO21/BI21-1)*100))</f>
        <v/>
      </c>
      <c r="BP70" s="596">
        <f t="shared" ca="1" si="138"/>
        <v>7.4701846965699259</v>
      </c>
      <c r="BQ70" s="625" t="str">
        <f t="shared" ref="BQ70:BQ90" si="178">IF(BQ21="","",IF(BK21=0,"N",(BQ21/BK21-1)*100))</f>
        <v/>
      </c>
      <c r="BR70" s="567"/>
      <c r="BS70" s="631" t="str">
        <f t="shared" ref="BS70:BS90" si="179">IF(BS21="","",IF(BM21=0,"N",(BS21/BM21-1)*100))</f>
        <v/>
      </c>
      <c r="BT70" s="622" t="str">
        <f t="shared" ref="BT70:BT90" si="180">IF(BT21="","",IF(BN21=0,"N",(BT21/BN21-1)*100))</f>
        <v/>
      </c>
      <c r="BU70" s="632" t="str">
        <f t="shared" ref="BU70:BU90" si="181">IF(BU21="","",IF(BO21=0,"N",(BU21/BO21-1)*100))</f>
        <v/>
      </c>
      <c r="BV70" s="596">
        <f t="shared" ca="1" si="139"/>
        <v>-1.2864830891306966</v>
      </c>
      <c r="BW70" s="625" t="str">
        <f t="shared" ref="BW70:BW90" si="182">IF(BW21="","",IF(BQ21=0,"N",(BW21/BQ21-1)*100))</f>
        <v/>
      </c>
      <c r="BX70" s="567"/>
      <c r="BY70" s="631" t="str">
        <f t="shared" ref="BY70:BY90" si="183">IF(BY21="","",IF(BS21=0,"N",(BY21/BS21-1)*100))</f>
        <v/>
      </c>
      <c r="BZ70" s="622" t="str">
        <f t="shared" ref="BZ70:BZ90" si="184">IF(BZ21="","",IF(BT21=0,"N",(BZ21/BT21-1)*100))</f>
        <v/>
      </c>
      <c r="CA70" s="632" t="str">
        <f t="shared" ref="CA70:CA90" si="185">IF(CA21="","",IF(BU21=0,"N",(CA21/BU21-1)*100))</f>
        <v/>
      </c>
      <c r="CB70" s="596">
        <f t="shared" ca="1" si="140"/>
        <v>8.6193517578941012</v>
      </c>
      <c r="CC70" s="625" t="str">
        <f t="shared" ref="CC70:CC90" si="186">IF(CC21="","",IF(BW21=0,"N",(CC21/BW21-1)*100))</f>
        <v/>
      </c>
      <c r="CD70" s="567"/>
      <c r="CE70" s="631" t="str">
        <f t="shared" ref="CE70:CE90" si="187">IF(CE21="","",IF(BY21=0,"N",(CE21/BY21-1)*100))</f>
        <v/>
      </c>
      <c r="CF70" s="622" t="str">
        <f t="shared" ref="CF70:CF90" si="188">IF(CF21="","",IF(BZ21=0,"N",(CF21/BZ21-1)*100))</f>
        <v/>
      </c>
      <c r="CG70" s="632" t="str">
        <f t="shared" ref="CG70:CG90" si="189">IF(CG21="","",IF(CA21=0,"N",(CG21/CA21-1)*100))</f>
        <v/>
      </c>
      <c r="CH70" s="596">
        <f t="shared" ca="1" si="141"/>
        <v>-2.8466230697367756</v>
      </c>
      <c r="CI70" s="625" t="str">
        <f t="shared" ref="CI70:CI90" si="190">IF(CI21="","",IF(CC21=0,"N",(CI21/CC21-1)*100))</f>
        <v/>
      </c>
      <c r="CJ70" s="567"/>
      <c r="CK70" s="631" t="str">
        <f t="shared" ref="CK70:CK90" si="191">IF(CK21="","",IF(CE21=0,"N",(CK21/CE21-1)*100))</f>
        <v/>
      </c>
      <c r="CL70" s="622" t="str">
        <f t="shared" ref="CL70:CL90" si="192">IF(CL21="","",IF(CF21=0,"N",(CL21/CF21-1)*100))</f>
        <v/>
      </c>
      <c r="CM70" s="632" t="str">
        <f t="shared" ref="CM70:CM90" si="193">IF(CM21="","",IF(CG21=0,"N",(CM21/CG21-1)*100))</f>
        <v/>
      </c>
      <c r="CN70" s="596">
        <f t="shared" ca="1" si="37"/>
        <v>-27.790033372928324</v>
      </c>
      <c r="CO70" s="625" t="str">
        <f t="shared" ref="CO70:CO90" si="194">IF(CO21="","",IF(CI21=0,"N",(CO21/CI21-1)*100))</f>
        <v/>
      </c>
      <c r="CP70" s="567"/>
      <c r="CQ70" s="631" t="str">
        <f t="shared" ref="CQ70:CQ90" si="195">IF(CQ21="","",IF(CK21=0,"N",(CQ21/CK21-1)*100))</f>
        <v/>
      </c>
      <c r="CR70" s="622" t="str">
        <f t="shared" ref="CR70:CR90" si="196">IF(CR21="","",IF(CL21=0,"N",(CR21/CL21-1)*100))</f>
        <v/>
      </c>
      <c r="CS70" s="632" t="str">
        <f t="shared" ref="CS70:CS90" si="197">IF(CS21="","",IF(CM21=0,"N",(CS21/CM21-1)*100))</f>
        <v/>
      </c>
      <c r="CT70" s="596">
        <f t="shared" ca="1" si="42"/>
        <v>-3.6372656535589298</v>
      </c>
      <c r="CU70" s="625" t="str">
        <f t="shared" ref="CU70:CU90" si="198">IF(CU21="","",IF(CO21=0,"N",(CU21/CO21-1)*100))</f>
        <v/>
      </c>
      <c r="CV70" s="567"/>
      <c r="CW70" s="631" t="str">
        <f t="shared" ref="CW70:CW90" si="199">IF(CW21="","",IF(CQ21=0,"N",(CW21/CQ21-1)*100))</f>
        <v/>
      </c>
      <c r="CX70" s="622" t="str">
        <f t="shared" ref="CX70:CX90" si="200">IF(CX21="","",IF(CR21=0,"N",(CX21/CR21-1)*100))</f>
        <v/>
      </c>
      <c r="CY70" s="632" t="str">
        <f t="shared" ref="CY70:CY90" si="201">IF(CY21="","",IF(CS21=0,"N",(CY21/CS21-1)*100))</f>
        <v/>
      </c>
      <c r="CZ70" s="596">
        <f t="shared" ca="1" si="47"/>
        <v>11.556699634195899</v>
      </c>
      <c r="DA70" s="625" t="str">
        <f t="shared" ref="DA70:DA90" si="202">IF(DA21="","",IF(CU21=0,"N",(DA21/CU21-1)*100))</f>
        <v/>
      </c>
      <c r="DB70" s="567"/>
      <c r="DC70" s="631" t="str">
        <f t="shared" ref="DC70:DC90" si="203">IF(DC21="","",IF(CW21=0,"N",(DC21/CW21-1)*100))</f>
        <v/>
      </c>
      <c r="DD70" s="622" t="str">
        <f t="shared" ref="DD70:DD90" si="204">IF(DD21="","",IF(CX21=0,"N",(DD21/CX21-1)*100))</f>
        <v/>
      </c>
      <c r="DE70" s="632" t="str">
        <f t="shared" ref="DE70:DE90" si="205">IF(DE21="","",IF(CY21=0,"N",(DE21/CY21-1)*100))</f>
        <v/>
      </c>
      <c r="DF70" s="596">
        <f t="shared" ca="1" si="52"/>
        <v>-18.440612096186538</v>
      </c>
      <c r="DG70" s="625" t="str">
        <f t="shared" ref="DG70:DG90" si="206">IF(DG21="","",IF(DA21=0,"N",(DG21/DA21-1)*100))</f>
        <v/>
      </c>
      <c r="DH70" s="567"/>
      <c r="DI70" s="631" t="str">
        <f t="shared" ref="DI70:DI90" si="207">IF(DI21="","",IF(DC21=0,"N",(DI21/DC21-1)*100))</f>
        <v/>
      </c>
      <c r="DJ70" s="622" t="str">
        <f t="shared" ref="DJ70:DJ90" si="208">IF(DJ21="","",IF(DD21=0,"N",(DJ21/DD21-1)*100))</f>
        <v/>
      </c>
      <c r="DK70" s="632" t="str">
        <f t="shared" ref="DK70:DK90" si="209">IF(DK21="","",IF(DE21=0,"N",(DK21/DE21-1)*100))</f>
        <v/>
      </c>
      <c r="DL70" s="596">
        <f t="shared" ca="1" si="57"/>
        <v>-9.6700220382393347</v>
      </c>
      <c r="DM70" s="625" t="str">
        <f t="shared" ref="DM70:DM90" si="210">IF(DM21="","",IF(DG21=0,"N",(DM21/DG21-1)*100))</f>
        <v/>
      </c>
      <c r="DN70" s="567"/>
      <c r="DO70" s="631" t="str">
        <f t="shared" ref="DO70:DO90" si="211">IF(DO21="","",IF(DI21=0,"N",(DO21/DI21-1)*100))</f>
        <v/>
      </c>
      <c r="DP70" s="622" t="str">
        <f t="shared" ref="DP70:DP90" si="212">IF(DP21="","",IF(DJ21=0,"N",(DP21/DJ21-1)*100))</f>
        <v/>
      </c>
      <c r="DQ70" s="632" t="str">
        <f t="shared" ref="DQ70:DQ90" si="213">IF(DQ21="","",IF(DK21=0,"N",(DQ21/DK21-1)*100))</f>
        <v/>
      </c>
      <c r="DR70" s="596">
        <f t="shared" ca="1" si="62"/>
        <v>-11.8228874748607</v>
      </c>
      <c r="DS70" s="625" t="str">
        <f t="shared" ref="DS70:DS90" si="214">IF(DS21="","",IF(DM21=0,"N",(DS21/DM21-1)*100))</f>
        <v/>
      </c>
      <c r="DT70" s="567"/>
      <c r="DU70" s="631" t="str">
        <f t="shared" ref="DU70:DU90" si="215">IF(DU21="","",IF(DO21=0,"N",(DU21/DO21-1)*100))</f>
        <v/>
      </c>
      <c r="DV70" s="622" t="str">
        <f t="shared" ref="DV70:DV90" si="216">IF(DV21="","",IF(DP21=0,"N",(DV21/DP21-1)*100))</f>
        <v/>
      </c>
      <c r="DW70" s="632" t="str">
        <f t="shared" ref="DW70:DW90" si="217">IF(DW21="","",IF(DQ21=0,"N",(DW21/DQ21-1)*100))</f>
        <v/>
      </c>
      <c r="DX70" s="596">
        <f t="shared" ca="1" si="67"/>
        <v>-29.77005047672462</v>
      </c>
      <c r="DY70" s="625" t="str">
        <f t="shared" ref="DY70:DY90" si="218">IF(DY21="","",IF(DS21=0,"N",(DY21/DS21-1)*100))</f>
        <v/>
      </c>
      <c r="DZ70" s="567"/>
      <c r="EA70" s="631" t="str">
        <f t="shared" ref="EA70:EA90" si="219">IF(EA21="","",IF(DU21=0,"N",(EA21/DU21-1)*100))</f>
        <v/>
      </c>
      <c r="EB70" s="622" t="str">
        <f t="shared" ref="EB70:EB90" si="220">IF(EB21="","",IF(DV21=0,"N",(EB21/DV21-1)*100))</f>
        <v/>
      </c>
      <c r="EC70" s="632" t="str">
        <f t="shared" ref="EC70:EC90" si="221">IF(EC21="","",IF(DW21=0,"N",(EC21/DW21-1)*100))</f>
        <v/>
      </c>
      <c r="ED70" s="596">
        <f t="shared" ca="1" si="72"/>
        <v>-3.2209977106958387</v>
      </c>
      <c r="EE70" s="625" t="str">
        <f t="shared" ref="EE70:EE90" si="222">IF(EE21="","",IF(DY21=0,"N",(EE21/DY21-1)*100))</f>
        <v/>
      </c>
      <c r="EF70" s="567"/>
      <c r="EG70" s="631" t="str">
        <f t="shared" ref="EG70:EG90" si="223">IF(EG21="","",IF(EA21=0,"N",(EG21/EA21-1)*100))</f>
        <v/>
      </c>
      <c r="EH70" s="622" t="str">
        <f t="shared" ref="EH70:EH90" si="224">IF(EH21="","",IF(EB21=0,"N",(EH21/EB21-1)*100))</f>
        <v/>
      </c>
      <c r="EI70" s="632" t="str">
        <f t="shared" ref="EI70:EI90" si="225">IF(EI21="","",IF(EC21=0,"N",(EI21/EC21-1)*100))</f>
        <v/>
      </c>
      <c r="EJ70" s="596">
        <f t="shared" ca="1" si="77"/>
        <v>-11.464407525580366</v>
      </c>
      <c r="EK70" s="625" t="str">
        <f t="shared" ref="EK70:EK90" si="226">IF(EK21="","",IF(EE21=0,"N",(EK21/EE21-1)*100))</f>
        <v/>
      </c>
      <c r="EL70" s="567"/>
      <c r="EM70" s="631" t="str">
        <f t="shared" ref="EM70:EM90" si="227">IF(EM21="","",IF(EG21=0,"N",(EM21/EG21-1)*100))</f>
        <v/>
      </c>
      <c r="EN70" s="622" t="str">
        <f t="shared" ref="EN70:EN90" si="228">IF(EN21="","",IF(EH21=0,"N",(EN21/EH21-1)*100))</f>
        <v/>
      </c>
      <c r="EO70" s="632" t="str">
        <f t="shared" ref="EO70:EO90" si="229">IF(EO21="","",IF(EI21=0,"N",(EO21/EI21-1)*100))</f>
        <v/>
      </c>
      <c r="EP70" s="596">
        <f t="shared" ca="1" si="82"/>
        <v>-12</v>
      </c>
      <c r="EQ70" s="625" t="str">
        <f t="shared" ref="EQ70:EQ90" si="230">IF(EQ21="","",IF(EK21=0,"N",(EQ21/EK21-1)*100))</f>
        <v/>
      </c>
      <c r="ER70" s="567"/>
      <c r="ES70" s="631" t="str">
        <f t="shared" ref="ES70:ES90" si="231">IF(ES21="","",IF(EM21=0,"N",(ES21/EM21-1)*100))</f>
        <v/>
      </c>
      <c r="ET70" s="622" t="str">
        <f t="shared" ref="ET70:ET90" si="232">IF(ET21="","",IF(EN21=0,"N",(ET21/EN21-1)*100))</f>
        <v/>
      </c>
      <c r="EU70" s="632" t="str">
        <f t="shared" ref="EU70:EU90" si="233">IF(EU21="","",IF(EO21=0,"N",(EU21/EO21-1)*100))</f>
        <v/>
      </c>
      <c r="EV70" s="596">
        <f t="shared" ca="1" si="87"/>
        <v>-12</v>
      </c>
      <c r="EW70" s="625" t="str">
        <f t="shared" ref="EW70:EW90" si="234">IF(EW21="","",IF(EQ21=0,"N",(EW21/EQ21-1)*100))</f>
        <v/>
      </c>
      <c r="EX70" s="567"/>
      <c r="EY70" s="631" t="str">
        <f t="shared" ref="EY70:EY90" si="235">IF(EY21="","",IF(ES21=0,"N",(EY21/ES21-1)*100))</f>
        <v/>
      </c>
      <c r="EZ70" s="622" t="str">
        <f t="shared" ref="EZ70:EZ90" si="236">IF(EZ21="","",IF(ET21=0,"N",(EZ21/ET21-1)*100))</f>
        <v/>
      </c>
      <c r="FA70" s="632" t="str">
        <f t="shared" ref="FA70:FA90" si="237">IF(FA21="","",IF(EU21=0,"N",(FA21/EU21-1)*100))</f>
        <v/>
      </c>
      <c r="FB70" s="596">
        <f t="shared" ca="1" si="92"/>
        <v>35.000000000000007</v>
      </c>
      <c r="FC70" s="625" t="str">
        <f t="shared" ref="FC70:FC90" si="238">IF(FC21="","",IF(EW21=0,"N",(FC21/EW21-1)*100))</f>
        <v/>
      </c>
      <c r="FD70" s="567"/>
    </row>
    <row r="71" spans="2:160" ht="13.15">
      <c r="B71" s="555" t="s">
        <v>1793</v>
      </c>
      <c r="C71" s="3853" t="s">
        <v>1804</v>
      </c>
      <c r="D71" s="3854"/>
      <c r="E71" s="571"/>
      <c r="F71" s="571"/>
      <c r="G71" s="571"/>
      <c r="H71" s="571"/>
      <c r="I71" s="571"/>
      <c r="J71" s="567"/>
      <c r="K71" s="571">
        <f t="shared" ca="1" si="142"/>
        <v>2.6954457323009162</v>
      </c>
      <c r="L71" s="571">
        <f t="shared" ca="1" si="142"/>
        <v>5.3564102041825823</v>
      </c>
      <c r="M71" s="571">
        <f t="shared" ca="1" si="142"/>
        <v>-8.223591122822949</v>
      </c>
      <c r="N71" s="571">
        <f t="shared" ca="1" si="142"/>
        <v>8.177267707133451</v>
      </c>
      <c r="O71" s="571" t="str">
        <f t="shared" si="142"/>
        <v/>
      </c>
      <c r="P71" s="567"/>
      <c r="Q71" s="571">
        <f t="shared" ca="1" si="143"/>
        <v>4.8549191933371594</v>
      </c>
      <c r="R71" s="571">
        <f t="shared" ca="1" si="144"/>
        <v>3.3139909023368386</v>
      </c>
      <c r="S71" s="571">
        <f t="shared" ca="1" si="145"/>
        <v>10.774756285274467</v>
      </c>
      <c r="T71" s="571">
        <f t="shared" ca="1" si="130"/>
        <v>3.0857399050691514</v>
      </c>
      <c r="U71" s="571" t="str">
        <f t="shared" si="146"/>
        <v/>
      </c>
      <c r="V71" s="567"/>
      <c r="W71" s="571">
        <f t="shared" ca="1" si="147"/>
        <v>5.6442449921026983</v>
      </c>
      <c r="X71" s="571">
        <f t="shared" ca="1" si="148"/>
        <v>0.7038789531371048</v>
      </c>
      <c r="Y71" s="571">
        <f t="shared" ca="1" si="149"/>
        <v>3.1696476288880504</v>
      </c>
      <c r="Z71" s="571">
        <f t="shared" ca="1" si="131"/>
        <v>21.375523556496834</v>
      </c>
      <c r="AA71" s="571" t="str">
        <f t="shared" si="150"/>
        <v/>
      </c>
      <c r="AB71" s="567"/>
      <c r="AC71" s="571">
        <f t="shared" ca="1" si="151"/>
        <v>2.5088802780936614</v>
      </c>
      <c r="AD71" s="571">
        <f t="shared" ca="1" si="152"/>
        <v>-0.59596021268744082</v>
      </c>
      <c r="AE71" s="571">
        <f t="shared" ca="1" si="153"/>
        <v>7.4678506214034934</v>
      </c>
      <c r="AF71" s="571">
        <f t="shared" ca="1" si="132"/>
        <v>4.8677607249060895</v>
      </c>
      <c r="AG71" s="571" t="str">
        <f t="shared" si="154"/>
        <v/>
      </c>
      <c r="AH71" s="567"/>
      <c r="AI71" s="571">
        <f t="shared" ca="1" si="155"/>
        <v>10.052755470937736</v>
      </c>
      <c r="AJ71" s="571">
        <f t="shared" ca="1" si="156"/>
        <v>18.317141041184847</v>
      </c>
      <c r="AK71" s="571">
        <f t="shared" ca="1" si="157"/>
        <v>-0.39565780620797186</v>
      </c>
      <c r="AL71" s="571">
        <f t="shared" ca="1" si="133"/>
        <v>2.4729942785196579</v>
      </c>
      <c r="AM71" s="571" t="str">
        <f t="shared" si="158"/>
        <v/>
      </c>
      <c r="AN71" s="567"/>
      <c r="AO71" s="571">
        <f t="shared" ca="1" si="159"/>
        <v>4.0554623199277495</v>
      </c>
      <c r="AP71" s="571">
        <f t="shared" ca="1" si="160"/>
        <v>4.8543272963651685</v>
      </c>
      <c r="AQ71" s="571">
        <f t="shared" ca="1" si="161"/>
        <v>-1.1507556433806521</v>
      </c>
      <c r="AR71" s="571">
        <f t="shared" ca="1" si="134"/>
        <v>6.8102657779614217</v>
      </c>
      <c r="AS71" s="571" t="str">
        <f t="shared" si="162"/>
        <v/>
      </c>
      <c r="AT71" s="567"/>
      <c r="AU71" s="571">
        <f t="shared" ca="1" si="163"/>
        <v>3.9548584535478382</v>
      </c>
      <c r="AV71" s="571">
        <f t="shared" ca="1" si="164"/>
        <v>2.3857239724036861</v>
      </c>
      <c r="AW71" s="571">
        <f t="shared" ca="1" si="165"/>
        <v>9.2987344664114957</v>
      </c>
      <c r="AX71" s="571">
        <f t="shared" ca="1" si="135"/>
        <v>3.2204264040692765</v>
      </c>
      <c r="AY71" s="571" t="str">
        <f t="shared" si="166"/>
        <v/>
      </c>
      <c r="AZ71" s="567"/>
      <c r="BA71" s="571">
        <f t="shared" ca="1" si="167"/>
        <v>5.6297260863240828</v>
      </c>
      <c r="BB71" s="571">
        <f t="shared" ca="1" si="168"/>
        <v>2.4745009159627074</v>
      </c>
      <c r="BC71" s="571">
        <f t="shared" ca="1" si="169"/>
        <v>12.762661600222458</v>
      </c>
      <c r="BD71" s="571">
        <f t="shared" ca="1" si="136"/>
        <v>6.747976166016012</v>
      </c>
      <c r="BE71" s="571" t="str">
        <f t="shared" si="170"/>
        <v/>
      </c>
      <c r="BF71" s="567"/>
      <c r="BG71" s="571">
        <f t="shared" ca="1" si="171"/>
        <v>3.5719598445863143</v>
      </c>
      <c r="BH71" s="571">
        <f t="shared" ca="1" si="172"/>
        <v>2.9594665109220708</v>
      </c>
      <c r="BI71" s="571">
        <f t="shared" ca="1" si="173"/>
        <v>4.3121697062382225</v>
      </c>
      <c r="BJ71" s="571">
        <f t="shared" ca="1" si="137"/>
        <v>4.2623662669302842</v>
      </c>
      <c r="BK71" s="571" t="str">
        <f t="shared" si="174"/>
        <v/>
      </c>
      <c r="BL71" s="567"/>
      <c r="BM71" s="571">
        <f t="shared" ca="1" si="175"/>
        <v>4.4918387248267244</v>
      </c>
      <c r="BN71" s="571">
        <f t="shared" ca="1" si="176"/>
        <v>4.4827721343848381</v>
      </c>
      <c r="BO71" s="571">
        <f t="shared" ca="1" si="177"/>
        <v>3.6028502929784656</v>
      </c>
      <c r="BP71" s="571">
        <f t="shared" ca="1" si="138"/>
        <v>5.3394652855005553</v>
      </c>
      <c r="BQ71" s="571" t="str">
        <f t="shared" si="178"/>
        <v/>
      </c>
      <c r="BR71" s="567"/>
      <c r="BS71" s="571">
        <f t="shared" ca="1" si="179"/>
        <v>7.859809758145575</v>
      </c>
      <c r="BT71" s="571">
        <f t="shared" ca="1" si="180"/>
        <v>7.1434883358709733</v>
      </c>
      <c r="BU71" s="571">
        <f t="shared" ca="1" si="181"/>
        <v>13.584487823106549</v>
      </c>
      <c r="BV71" s="571">
        <f t="shared" ca="1" si="139"/>
        <v>4.198871944850624</v>
      </c>
      <c r="BW71" s="571" t="str">
        <f t="shared" si="182"/>
        <v/>
      </c>
      <c r="BX71" s="567"/>
      <c r="BY71" s="571">
        <f t="shared" ca="1" si="183"/>
        <v>6.8749759480566386</v>
      </c>
      <c r="BZ71" s="571">
        <f t="shared" ca="1" si="184"/>
        <v>8.4769285448550455</v>
      </c>
      <c r="CA71" s="571">
        <f t="shared" ca="1" si="185"/>
        <v>2.9714464464126955</v>
      </c>
      <c r="CB71" s="571">
        <f t="shared" ca="1" si="140"/>
        <v>7.1376673143060065</v>
      </c>
      <c r="CC71" s="571" t="str">
        <f t="shared" si="186"/>
        <v/>
      </c>
      <c r="CD71" s="567"/>
      <c r="CE71" s="571">
        <f t="shared" ca="1" si="187"/>
        <v>3.4741722237406014</v>
      </c>
      <c r="CF71" s="571">
        <f t="shared" ca="1" si="188"/>
        <v>5.1759173008455672</v>
      </c>
      <c r="CG71" s="571">
        <f t="shared" ca="1" si="189"/>
        <v>-2.6286603194722091</v>
      </c>
      <c r="CH71" s="571">
        <f t="shared" ca="1" si="141"/>
        <v>5.4202145028006132</v>
      </c>
      <c r="CI71" s="571" t="str">
        <f t="shared" si="190"/>
        <v/>
      </c>
      <c r="CJ71" s="567"/>
      <c r="CK71" s="571">
        <f t="shared" ca="1" si="191"/>
        <v>-4.0206110582634791</v>
      </c>
      <c r="CL71" s="571">
        <f t="shared" ca="1" si="192"/>
        <v>-1.1903201715791623</v>
      </c>
      <c r="CM71" s="571">
        <f t="shared" ca="1" si="193"/>
        <v>-14.801471715468395</v>
      </c>
      <c r="CN71" s="571">
        <f t="shared" ca="1" si="37"/>
        <v>-0.95339752852867665</v>
      </c>
      <c r="CO71" s="571" t="str">
        <f t="shared" si="194"/>
        <v/>
      </c>
      <c r="CP71" s="567"/>
      <c r="CQ71" s="571">
        <f t="shared" ca="1" si="195"/>
        <v>7.5144869413214632</v>
      </c>
      <c r="CR71" s="571">
        <f t="shared" ca="1" si="196"/>
        <v>6.2684083210347907</v>
      </c>
      <c r="CS71" s="571">
        <f t="shared" ca="1" si="197"/>
        <v>15.593752712866294</v>
      </c>
      <c r="CT71" s="571">
        <f t="shared" ca="1" si="42"/>
        <v>4.2054759590866464</v>
      </c>
      <c r="CU71" s="571" t="str">
        <f t="shared" si="198"/>
        <v/>
      </c>
      <c r="CV71" s="567"/>
      <c r="CW71" s="571">
        <f t="shared" ca="1" si="199"/>
        <v>3.1089749968489011</v>
      </c>
      <c r="CX71" s="571">
        <f t="shared" ca="1" si="200"/>
        <v>4.5830892007292512</v>
      </c>
      <c r="CY71" s="571">
        <f t="shared" ca="1" si="201"/>
        <v>-0.42165631187267572</v>
      </c>
      <c r="CZ71" s="571">
        <f t="shared" ca="1" si="47"/>
        <v>2.6580684479461159</v>
      </c>
      <c r="DA71" s="571" t="str">
        <f t="shared" si="202"/>
        <v/>
      </c>
      <c r="DB71" s="567"/>
      <c r="DC71" s="571">
        <f t="shared" ca="1" si="203"/>
        <v>1.0661723311511828</v>
      </c>
      <c r="DD71" s="571">
        <f t="shared" ca="1" si="204"/>
        <v>2.9256180656453745</v>
      </c>
      <c r="DE71" s="571">
        <f t="shared" ca="1" si="205"/>
        <v>-6.090129473358008</v>
      </c>
      <c r="DF71" s="571">
        <f t="shared" ca="1" si="52"/>
        <v>2.5193105541876148</v>
      </c>
      <c r="DG71" s="571" t="str">
        <f t="shared" si="206"/>
        <v/>
      </c>
      <c r="DH71" s="567"/>
      <c r="DI71" s="571">
        <f t="shared" ca="1" si="207"/>
        <v>2.3140658525089064</v>
      </c>
      <c r="DJ71" s="571">
        <f t="shared" ca="1" si="208"/>
        <v>2.7992076802561883</v>
      </c>
      <c r="DK71" s="571">
        <f t="shared" ca="1" si="209"/>
        <v>0.35672097060810426</v>
      </c>
      <c r="DL71" s="571">
        <f t="shared" ca="1" si="57"/>
        <v>2.6278299263997162</v>
      </c>
      <c r="DM71" s="571" t="str">
        <f t="shared" si="210"/>
        <v/>
      </c>
      <c r="DN71" s="567"/>
      <c r="DO71" s="571">
        <f t="shared" ca="1" si="211"/>
        <v>4.2654238539568734</v>
      </c>
      <c r="DP71" s="571">
        <f t="shared" ca="1" si="212"/>
        <v>5.6906671822869903</v>
      </c>
      <c r="DQ71" s="571">
        <f t="shared" ca="1" si="213"/>
        <v>2.9556578572135006</v>
      </c>
      <c r="DR71" s="571">
        <f t="shared" ca="1" si="62"/>
        <v>1.8245780516319199</v>
      </c>
      <c r="DS71" s="571" t="str">
        <f t="shared" si="214"/>
        <v/>
      </c>
      <c r="DT71" s="567"/>
      <c r="DU71" s="571">
        <f t="shared" ca="1" si="215"/>
        <v>5.7618713606168326</v>
      </c>
      <c r="DV71" s="571">
        <f t="shared" ca="1" si="216"/>
        <v>3.8625900599785989</v>
      </c>
      <c r="DW71" s="571">
        <f t="shared" ca="1" si="217"/>
        <v>10.277046831146208</v>
      </c>
      <c r="DX71" s="571">
        <f t="shared" ca="1" si="67"/>
        <v>7.1155856313467325</v>
      </c>
      <c r="DY71" s="571" t="str">
        <f t="shared" si="218"/>
        <v/>
      </c>
      <c r="DZ71" s="567"/>
      <c r="EA71" s="571">
        <f t="shared" ca="1" si="219"/>
        <v>4.2217855655017678</v>
      </c>
      <c r="EB71" s="571">
        <f t="shared" ca="1" si="220"/>
        <v>5.9837263389318274</v>
      </c>
      <c r="EC71" s="571">
        <f t="shared" ca="1" si="221"/>
        <v>-5.3541656254365355</v>
      </c>
      <c r="ED71" s="571">
        <f t="shared" ca="1" si="72"/>
        <v>7.3091442439301213</v>
      </c>
      <c r="EE71" s="571" t="str">
        <f t="shared" si="222"/>
        <v/>
      </c>
      <c r="EF71" s="567"/>
      <c r="EG71" s="571">
        <f t="shared" ca="1" si="223"/>
        <v>4.7594610281231686</v>
      </c>
      <c r="EH71" s="571">
        <f t="shared" ca="1" si="224"/>
        <v>3.7165304892921691</v>
      </c>
      <c r="EI71" s="571">
        <f t="shared" ca="1" si="225"/>
        <v>8.8439869094315995</v>
      </c>
      <c r="EJ71" s="571">
        <f t="shared" ca="1" si="77"/>
        <v>4.4803305899818513</v>
      </c>
      <c r="EK71" s="571" t="str">
        <f t="shared" si="226"/>
        <v/>
      </c>
      <c r="EL71" s="567"/>
      <c r="EM71" s="571">
        <f t="shared" ca="1" si="227"/>
        <v>4.8089959043443375</v>
      </c>
      <c r="EN71" s="571">
        <f t="shared" ca="1" si="228"/>
        <v>4.3425225878626295</v>
      </c>
      <c r="EO71" s="571">
        <f t="shared" ca="1" si="229"/>
        <v>7.5231268906542192</v>
      </c>
      <c r="EP71" s="571">
        <f t="shared" ca="1" si="82"/>
        <v>4.001338890346684</v>
      </c>
      <c r="EQ71" s="571" t="str">
        <f t="shared" si="230"/>
        <v/>
      </c>
      <c r="ER71" s="567"/>
      <c r="ES71" s="571">
        <f t="shared" ca="1" si="231"/>
        <v>3.7423346357737142</v>
      </c>
      <c r="ET71" s="571">
        <f t="shared" ca="1" si="232"/>
        <v>3.6534861014027031</v>
      </c>
      <c r="EU71" s="571">
        <f t="shared" ca="1" si="233"/>
        <v>4.601696628273011</v>
      </c>
      <c r="EV71" s="571">
        <f t="shared" ca="1" si="87"/>
        <v>3.328213147675152</v>
      </c>
      <c r="EW71" s="571" t="str">
        <f t="shared" si="234"/>
        <v/>
      </c>
      <c r="EX71" s="567"/>
      <c r="EY71" s="571">
        <f t="shared" ca="1" si="235"/>
        <v>3.5122513227148655</v>
      </c>
      <c r="EZ71" s="571">
        <f t="shared" ca="1" si="236"/>
        <v>3.517640797870647</v>
      </c>
      <c r="FA71" s="571">
        <f t="shared" ca="1" si="237"/>
        <v>4.4061760788590254</v>
      </c>
      <c r="FB71" s="571">
        <f t="shared" ca="1" si="92"/>
        <v>2.8422432182854784</v>
      </c>
      <c r="FC71" s="571" t="str">
        <f t="shared" si="238"/>
        <v/>
      </c>
      <c r="FD71" s="567"/>
    </row>
    <row r="72" spans="2:160" s="633" customFormat="1" ht="13.5" thickBot="1">
      <c r="B72" s="634" t="s">
        <v>1791</v>
      </c>
      <c r="C72" s="3855" t="s">
        <v>820</v>
      </c>
      <c r="D72" s="3856"/>
      <c r="E72" s="635"/>
      <c r="F72" s="636"/>
      <c r="G72" s="636"/>
      <c r="H72" s="637"/>
      <c r="I72" s="637"/>
      <c r="J72" s="638"/>
      <c r="K72" s="635">
        <f t="shared" ca="1" si="142"/>
        <v>7.4787503518153775</v>
      </c>
      <c r="L72" s="636" t="str">
        <f t="shared" si="142"/>
        <v/>
      </c>
      <c r="M72" s="636" t="str">
        <f t="shared" si="142"/>
        <v/>
      </c>
      <c r="N72" s="637">
        <f t="shared" ca="1" si="142"/>
        <v>7.4787503518153775</v>
      </c>
      <c r="O72" s="637" t="str">
        <f t="shared" si="142"/>
        <v/>
      </c>
      <c r="P72" s="638"/>
      <c r="Q72" s="635">
        <f t="shared" ca="1" si="143"/>
        <v>6.4039782963924985</v>
      </c>
      <c r="R72" s="636" t="str">
        <f t="shared" si="144"/>
        <v/>
      </c>
      <c r="S72" s="636" t="str">
        <f t="shared" si="145"/>
        <v/>
      </c>
      <c r="T72" s="637">
        <f t="shared" ca="1" si="130"/>
        <v>6.4039782963924985</v>
      </c>
      <c r="U72" s="637" t="str">
        <f t="shared" si="146"/>
        <v/>
      </c>
      <c r="V72" s="638"/>
      <c r="W72" s="635">
        <f t="shared" ca="1" si="147"/>
        <v>4.0137623145889867</v>
      </c>
      <c r="X72" s="636" t="str">
        <f t="shared" si="148"/>
        <v/>
      </c>
      <c r="Y72" s="636" t="str">
        <f t="shared" si="149"/>
        <v/>
      </c>
      <c r="Z72" s="637">
        <f t="shared" ca="1" si="131"/>
        <v>4.0137623145889867</v>
      </c>
      <c r="AA72" s="637" t="str">
        <f t="shared" si="150"/>
        <v/>
      </c>
      <c r="AB72" s="638"/>
      <c r="AC72" s="635">
        <f t="shared" ca="1" si="151"/>
        <v>9.244834798739344</v>
      </c>
      <c r="AD72" s="636" t="str">
        <f t="shared" si="152"/>
        <v/>
      </c>
      <c r="AE72" s="636" t="str">
        <f t="shared" si="153"/>
        <v/>
      </c>
      <c r="AF72" s="637">
        <f t="shared" ca="1" si="132"/>
        <v>9.244834798739344</v>
      </c>
      <c r="AG72" s="637" t="str">
        <f t="shared" si="154"/>
        <v/>
      </c>
      <c r="AH72" s="638"/>
      <c r="AI72" s="635">
        <f t="shared" ca="1" si="155"/>
        <v>10.193455603974799</v>
      </c>
      <c r="AJ72" s="636" t="str">
        <f t="shared" si="156"/>
        <v/>
      </c>
      <c r="AK72" s="636" t="str">
        <f t="shared" si="157"/>
        <v/>
      </c>
      <c r="AL72" s="637">
        <f t="shared" ca="1" si="133"/>
        <v>10.193455603974799</v>
      </c>
      <c r="AM72" s="637" t="str">
        <f t="shared" si="158"/>
        <v/>
      </c>
      <c r="AN72" s="638"/>
      <c r="AO72" s="635">
        <f t="shared" ca="1" si="159"/>
        <v>-4.5179373078707119</v>
      </c>
      <c r="AP72" s="636" t="str">
        <f t="shared" si="160"/>
        <v/>
      </c>
      <c r="AQ72" s="636" t="str">
        <f t="shared" si="161"/>
        <v/>
      </c>
      <c r="AR72" s="637">
        <f t="shared" ca="1" si="134"/>
        <v>-4.5179373078707119</v>
      </c>
      <c r="AS72" s="637" t="str">
        <f t="shared" si="162"/>
        <v/>
      </c>
      <c r="AT72" s="638"/>
      <c r="AU72" s="635">
        <f t="shared" ca="1" si="163"/>
        <v>-2.2664300741478738</v>
      </c>
      <c r="AV72" s="636" t="str">
        <f t="shared" si="164"/>
        <v/>
      </c>
      <c r="AW72" s="636" t="str">
        <f t="shared" si="165"/>
        <v/>
      </c>
      <c r="AX72" s="637">
        <f t="shared" ca="1" si="135"/>
        <v>-2.2664300741478738</v>
      </c>
      <c r="AY72" s="637" t="str">
        <f t="shared" si="166"/>
        <v/>
      </c>
      <c r="AZ72" s="638"/>
      <c r="BA72" s="635">
        <f t="shared" ca="1" si="167"/>
        <v>7.4866884593998151</v>
      </c>
      <c r="BB72" s="636" t="str">
        <f t="shared" si="168"/>
        <v/>
      </c>
      <c r="BC72" s="636" t="str">
        <f t="shared" si="169"/>
        <v/>
      </c>
      <c r="BD72" s="637">
        <f t="shared" ca="1" si="136"/>
        <v>7.4866884593998151</v>
      </c>
      <c r="BE72" s="637" t="str">
        <f t="shared" si="170"/>
        <v/>
      </c>
      <c r="BF72" s="638"/>
      <c r="BG72" s="635">
        <f t="shared" ca="1" si="171"/>
        <v>8.5818533824788545</v>
      </c>
      <c r="BH72" s="636" t="str">
        <f t="shared" si="172"/>
        <v/>
      </c>
      <c r="BI72" s="636" t="str">
        <f t="shared" si="173"/>
        <v/>
      </c>
      <c r="BJ72" s="637">
        <f t="shared" ca="1" si="137"/>
        <v>8.5818533824788545</v>
      </c>
      <c r="BK72" s="637" t="str">
        <f t="shared" si="174"/>
        <v/>
      </c>
      <c r="BL72" s="638"/>
      <c r="BM72" s="635">
        <f t="shared" ca="1" si="175"/>
        <v>9.7959633001032387</v>
      </c>
      <c r="BN72" s="636" t="str">
        <f t="shared" si="176"/>
        <v/>
      </c>
      <c r="BO72" s="636" t="str">
        <f t="shared" si="177"/>
        <v/>
      </c>
      <c r="BP72" s="637">
        <f t="shared" ca="1" si="138"/>
        <v>9.7959633001032387</v>
      </c>
      <c r="BQ72" s="637" t="str">
        <f t="shared" si="178"/>
        <v/>
      </c>
      <c r="BR72" s="638"/>
      <c r="BS72" s="635">
        <f t="shared" ca="1" si="179"/>
        <v>7.4614108879563767</v>
      </c>
      <c r="BT72" s="636" t="str">
        <f t="shared" si="180"/>
        <v/>
      </c>
      <c r="BU72" s="636" t="str">
        <f t="shared" si="181"/>
        <v/>
      </c>
      <c r="BV72" s="637">
        <f t="shared" ca="1" si="139"/>
        <v>7.4614108879563767</v>
      </c>
      <c r="BW72" s="637" t="str">
        <f t="shared" si="182"/>
        <v/>
      </c>
      <c r="BX72" s="638"/>
      <c r="BY72" s="635">
        <f t="shared" ca="1" si="183"/>
        <v>1.5942379227644299</v>
      </c>
      <c r="BZ72" s="636" t="str">
        <f t="shared" si="184"/>
        <v/>
      </c>
      <c r="CA72" s="636" t="str">
        <f t="shared" si="185"/>
        <v/>
      </c>
      <c r="CB72" s="637">
        <f t="shared" ca="1" si="140"/>
        <v>1.5942379227644299</v>
      </c>
      <c r="CC72" s="637" t="str">
        <f t="shared" si="186"/>
        <v/>
      </c>
      <c r="CD72" s="638"/>
      <c r="CE72" s="635">
        <f t="shared" ca="1" si="187"/>
        <v>-4.392403062261474</v>
      </c>
      <c r="CF72" s="636" t="str">
        <f t="shared" si="188"/>
        <v/>
      </c>
      <c r="CG72" s="636" t="str">
        <f t="shared" si="189"/>
        <v/>
      </c>
      <c r="CH72" s="637">
        <f t="shared" ca="1" si="141"/>
        <v>-4.392403062261474</v>
      </c>
      <c r="CI72" s="637" t="str">
        <f t="shared" si="190"/>
        <v/>
      </c>
      <c r="CJ72" s="638"/>
      <c r="CK72" s="635">
        <f t="shared" ca="1" si="191"/>
        <v>-4.2039871504157222</v>
      </c>
      <c r="CL72" s="636" t="str">
        <f t="shared" si="192"/>
        <v/>
      </c>
      <c r="CM72" s="636" t="str">
        <f t="shared" si="193"/>
        <v/>
      </c>
      <c r="CN72" s="637">
        <f t="shared" ca="1" si="37"/>
        <v>-4.2039871504157222</v>
      </c>
      <c r="CO72" s="637" t="str">
        <f t="shared" si="194"/>
        <v/>
      </c>
      <c r="CP72" s="638"/>
      <c r="CQ72" s="635">
        <f t="shared" ca="1" si="195"/>
        <v>5.1332882929531642</v>
      </c>
      <c r="CR72" s="636" t="str">
        <f t="shared" si="196"/>
        <v/>
      </c>
      <c r="CS72" s="636" t="str">
        <f t="shared" si="197"/>
        <v/>
      </c>
      <c r="CT72" s="637">
        <f t="shared" ca="1" si="42"/>
        <v>5.1332882929531642</v>
      </c>
      <c r="CU72" s="637" t="str">
        <f t="shared" si="198"/>
        <v/>
      </c>
      <c r="CV72" s="638"/>
      <c r="CW72" s="635">
        <f t="shared" ca="1" si="199"/>
        <v>0.85494808238646414</v>
      </c>
      <c r="CX72" s="636" t="str">
        <f t="shared" si="200"/>
        <v/>
      </c>
      <c r="CY72" s="636" t="str">
        <f t="shared" si="201"/>
        <v/>
      </c>
      <c r="CZ72" s="637">
        <f t="shared" ca="1" si="47"/>
        <v>0.85494808238646414</v>
      </c>
      <c r="DA72" s="637" t="str">
        <f t="shared" si="202"/>
        <v/>
      </c>
      <c r="DB72" s="638"/>
      <c r="DC72" s="635">
        <f t="shared" ca="1" si="203"/>
        <v>-0.43547754476860323</v>
      </c>
      <c r="DD72" s="636" t="str">
        <f t="shared" si="204"/>
        <v/>
      </c>
      <c r="DE72" s="636" t="str">
        <f t="shared" si="205"/>
        <v/>
      </c>
      <c r="DF72" s="637">
        <f t="shared" ca="1" si="52"/>
        <v>-0.43547754476860323</v>
      </c>
      <c r="DG72" s="637" t="str">
        <f t="shared" si="206"/>
        <v/>
      </c>
      <c r="DH72" s="638"/>
      <c r="DI72" s="635">
        <f t="shared" ca="1" si="207"/>
        <v>4.4171091353564895</v>
      </c>
      <c r="DJ72" s="636" t="str">
        <f t="shared" si="208"/>
        <v/>
      </c>
      <c r="DK72" s="636" t="str">
        <f t="shared" si="209"/>
        <v/>
      </c>
      <c r="DL72" s="637">
        <f t="shared" ca="1" si="57"/>
        <v>4.4171091353564895</v>
      </c>
      <c r="DM72" s="637" t="str">
        <f t="shared" si="210"/>
        <v/>
      </c>
      <c r="DN72" s="638"/>
      <c r="DO72" s="635">
        <f t="shared" ca="1" si="211"/>
        <v>4.5763631862904663</v>
      </c>
      <c r="DP72" s="636" t="str">
        <f t="shared" si="212"/>
        <v/>
      </c>
      <c r="DQ72" s="636" t="str">
        <f t="shared" si="213"/>
        <v/>
      </c>
      <c r="DR72" s="637">
        <f t="shared" ca="1" si="62"/>
        <v>4.5763631862904663</v>
      </c>
      <c r="DS72" s="637" t="str">
        <f t="shared" si="214"/>
        <v/>
      </c>
      <c r="DT72" s="638"/>
      <c r="DU72" s="635">
        <f t="shared" ca="1" si="215"/>
        <v>9.9944815745907079</v>
      </c>
      <c r="DV72" s="636" t="str">
        <f t="shared" si="216"/>
        <v/>
      </c>
      <c r="DW72" s="636" t="str">
        <f t="shared" si="217"/>
        <v/>
      </c>
      <c r="DX72" s="637">
        <f t="shared" ca="1" si="67"/>
        <v>9.9944815745907079</v>
      </c>
      <c r="DY72" s="637" t="str">
        <f t="shared" si="218"/>
        <v/>
      </c>
      <c r="DZ72" s="638"/>
      <c r="EA72" s="635">
        <f t="shared" ca="1" si="219"/>
        <v>6.9080358890659221</v>
      </c>
      <c r="EB72" s="636" t="str">
        <f t="shared" si="220"/>
        <v/>
      </c>
      <c r="EC72" s="636" t="str">
        <f t="shared" si="221"/>
        <v/>
      </c>
      <c r="ED72" s="637">
        <f t="shared" ca="1" si="72"/>
        <v>6.9080358890659221</v>
      </c>
      <c r="EE72" s="637" t="str">
        <f t="shared" si="222"/>
        <v/>
      </c>
      <c r="EF72" s="638"/>
      <c r="EG72" s="635">
        <f t="shared" ca="1" si="223"/>
        <v>5.1589495843155531</v>
      </c>
      <c r="EH72" s="636" t="str">
        <f t="shared" si="224"/>
        <v/>
      </c>
      <c r="EI72" s="636" t="str">
        <f t="shared" si="225"/>
        <v/>
      </c>
      <c r="EJ72" s="637">
        <f t="shared" ca="1" si="77"/>
        <v>5.1589495843155531</v>
      </c>
      <c r="EK72" s="637" t="str">
        <f t="shared" si="226"/>
        <v/>
      </c>
      <c r="EL72" s="638"/>
      <c r="EM72" s="635">
        <f t="shared" ca="1" si="227"/>
        <v>3.2526271301244192</v>
      </c>
      <c r="EN72" s="636" t="str">
        <f t="shared" si="228"/>
        <v/>
      </c>
      <c r="EO72" s="636" t="str">
        <f t="shared" si="229"/>
        <v/>
      </c>
      <c r="EP72" s="637">
        <f t="shared" ca="1" si="82"/>
        <v>3.2526271301244192</v>
      </c>
      <c r="EQ72" s="637" t="str">
        <f t="shared" si="230"/>
        <v/>
      </c>
      <c r="ER72" s="638"/>
      <c r="ES72" s="635">
        <f t="shared" ca="1" si="231"/>
        <v>3.1279271146667176</v>
      </c>
      <c r="ET72" s="636" t="str">
        <f t="shared" si="232"/>
        <v/>
      </c>
      <c r="EU72" s="636" t="str">
        <f t="shared" si="233"/>
        <v/>
      </c>
      <c r="EV72" s="637">
        <f t="shared" ca="1" si="87"/>
        <v>3.1279271146667176</v>
      </c>
      <c r="EW72" s="637" t="str">
        <f t="shared" si="234"/>
        <v/>
      </c>
      <c r="EX72" s="638"/>
      <c r="EY72" s="635">
        <f t="shared" ca="1" si="235"/>
        <v>2.8384032168518258</v>
      </c>
      <c r="EZ72" s="636" t="str">
        <f t="shared" si="236"/>
        <v/>
      </c>
      <c r="FA72" s="636" t="str">
        <f t="shared" si="237"/>
        <v/>
      </c>
      <c r="FB72" s="637">
        <f t="shared" ca="1" si="92"/>
        <v>2.8384032168518258</v>
      </c>
      <c r="FC72" s="637" t="str">
        <f t="shared" si="238"/>
        <v/>
      </c>
      <c r="FD72" s="638"/>
    </row>
    <row r="73" spans="2:160" ht="13.15">
      <c r="B73" s="555" t="s">
        <v>1791</v>
      </c>
      <c r="C73" s="3855" t="s">
        <v>821</v>
      </c>
      <c r="D73" s="3856"/>
      <c r="E73" s="623"/>
      <c r="F73" s="620"/>
      <c r="G73" s="630"/>
      <c r="H73" s="624"/>
      <c r="I73" s="621"/>
      <c r="J73" s="567"/>
      <c r="K73" s="623">
        <f t="shared" ca="1" si="142"/>
        <v>7.7278951080868019</v>
      </c>
      <c r="L73" s="620" t="str">
        <f t="shared" ca="1" si="142"/>
        <v>N</v>
      </c>
      <c r="M73" s="630">
        <f t="shared" ca="1" si="142"/>
        <v>2.1471670528180775</v>
      </c>
      <c r="N73" s="624">
        <f t="shared" ca="1" si="142"/>
        <v>11.810911168237649</v>
      </c>
      <c r="O73" s="621">
        <f t="shared" ca="1" si="142"/>
        <v>-30.76923076923077</v>
      </c>
      <c r="P73" s="567"/>
      <c r="Q73" s="623">
        <f t="shared" ca="1" si="143"/>
        <v>8.2717083598128127</v>
      </c>
      <c r="R73" s="620" t="str">
        <f t="shared" ca="1" si="144"/>
        <v>N</v>
      </c>
      <c r="S73" s="630">
        <f t="shared" ca="1" si="145"/>
        <v>6.8980156227257172</v>
      </c>
      <c r="T73" s="624">
        <f t="shared" ca="1" si="130"/>
        <v>9.1758206667518216</v>
      </c>
      <c r="U73" s="621">
        <f t="shared" ca="1" si="146"/>
        <v>151.11111111111111</v>
      </c>
      <c r="V73" s="567"/>
      <c r="W73" s="623">
        <f t="shared" ca="1" si="147"/>
        <v>-13.021979732223466</v>
      </c>
      <c r="X73" s="620" t="str">
        <f t="shared" ca="1" si="148"/>
        <v>N</v>
      </c>
      <c r="Y73" s="630">
        <f t="shared" ca="1" si="149"/>
        <v>7.9393176067445115</v>
      </c>
      <c r="Z73" s="624">
        <f t="shared" ca="1" si="131"/>
        <v>-26.530075023033394</v>
      </c>
      <c r="AA73" s="621">
        <f t="shared" ca="1" si="150"/>
        <v>68.141592920353972</v>
      </c>
      <c r="AB73" s="567"/>
      <c r="AC73" s="623">
        <f t="shared" ca="1" si="151"/>
        <v>4.5351833295842914</v>
      </c>
      <c r="AD73" s="620" t="str">
        <f t="shared" ca="1" si="152"/>
        <v>N</v>
      </c>
      <c r="AE73" s="630">
        <f t="shared" ca="1" si="153"/>
        <v>9.0604238499705669</v>
      </c>
      <c r="AF73" s="624">
        <f t="shared" ca="1" si="132"/>
        <v>0.25080616266572875</v>
      </c>
      <c r="AG73" s="621">
        <f t="shared" ca="1" si="154"/>
        <v>42.105263157894733</v>
      </c>
      <c r="AH73" s="567"/>
      <c r="AI73" s="623">
        <f t="shared" ca="1" si="155"/>
        <v>20.962464849003549</v>
      </c>
      <c r="AJ73" s="620" t="str">
        <f t="shared" ca="1" si="156"/>
        <v>N</v>
      </c>
      <c r="AK73" s="630">
        <f t="shared" ca="1" si="157"/>
        <v>20.794818163416771</v>
      </c>
      <c r="AL73" s="624">
        <f t="shared" ca="1" si="133"/>
        <v>21.135136208402816</v>
      </c>
      <c r="AM73" s="621">
        <f t="shared" ca="1" si="158"/>
        <v>13.703703703703685</v>
      </c>
      <c r="AN73" s="567"/>
      <c r="AO73" s="623">
        <f t="shared" ca="1" si="159"/>
        <v>-0.88300220750553438</v>
      </c>
      <c r="AP73" s="620" t="str">
        <f t="shared" ca="1" si="160"/>
        <v>N</v>
      </c>
      <c r="AQ73" s="630">
        <f t="shared" ca="1" si="161"/>
        <v>3.3306468987639892</v>
      </c>
      <c r="AR73" s="624">
        <f t="shared" ca="1" si="134"/>
        <v>-5.2107493218158218</v>
      </c>
      <c r="AS73" s="621">
        <f t="shared" ca="1" si="162"/>
        <v>39.087947882736152</v>
      </c>
      <c r="AT73" s="567"/>
      <c r="AU73" s="623">
        <f t="shared" ca="1" si="163"/>
        <v>-5.4165952829649866</v>
      </c>
      <c r="AV73" s="620" t="str">
        <f t="shared" ca="1" si="164"/>
        <v>N</v>
      </c>
      <c r="AW73" s="630">
        <f t="shared" ca="1" si="165"/>
        <v>0.57145063515966488</v>
      </c>
      <c r="AX73" s="624">
        <f t="shared" ca="1" si="135"/>
        <v>-12.120976318315035</v>
      </c>
      <c r="AY73" s="621">
        <f t="shared" ca="1" si="166"/>
        <v>19.672131147540984</v>
      </c>
      <c r="AZ73" s="567"/>
      <c r="BA73" s="623">
        <f t="shared" ca="1" si="167"/>
        <v>5.1394070080862386</v>
      </c>
      <c r="BB73" s="620" t="str">
        <f t="shared" ca="1" si="168"/>
        <v>N</v>
      </c>
      <c r="BC73" s="630">
        <f t="shared" ca="1" si="169"/>
        <v>6.6464468076937733</v>
      </c>
      <c r="BD73" s="624">
        <f t="shared" ca="1" si="136"/>
        <v>3.2083825265643462</v>
      </c>
      <c r="BE73" s="621">
        <f t="shared" ca="1" si="170"/>
        <v>-18.003913894324864</v>
      </c>
      <c r="BF73" s="567"/>
      <c r="BG73" s="623">
        <f t="shared" ca="1" si="171"/>
        <v>3.0517818468202451</v>
      </c>
      <c r="BH73" s="620" t="str">
        <f t="shared" ca="1" si="172"/>
        <v>N</v>
      </c>
      <c r="BI73" s="630">
        <f t="shared" ca="1" si="173"/>
        <v>3.4242679511271357</v>
      </c>
      <c r="BJ73" s="624">
        <f t="shared" ca="1" si="137"/>
        <v>2.5586028731851895</v>
      </c>
      <c r="BK73" s="621">
        <f t="shared" ca="1" si="174"/>
        <v>-5.7279236276849606</v>
      </c>
      <c r="BL73" s="567"/>
      <c r="BM73" s="623">
        <f t="shared" ca="1" si="175"/>
        <v>-0.55406954528085528</v>
      </c>
      <c r="BN73" s="620" t="str">
        <f t="shared" ca="1" si="176"/>
        <v>N</v>
      </c>
      <c r="BO73" s="630">
        <f t="shared" ca="1" si="177"/>
        <v>2.6982812032273484</v>
      </c>
      <c r="BP73" s="624">
        <f t="shared" ca="1" si="138"/>
        <v>-4.8965933912720194</v>
      </c>
      <c r="BQ73" s="621">
        <f t="shared" ca="1" si="178"/>
        <v>20.253164556962023</v>
      </c>
      <c r="BR73" s="567"/>
      <c r="BS73" s="623">
        <f t="shared" ca="1" si="179"/>
        <v>2.8354146653858381</v>
      </c>
      <c r="BT73" s="620" t="str">
        <f t="shared" ca="1" si="180"/>
        <v>N</v>
      </c>
      <c r="BU73" s="630">
        <f t="shared" ca="1" si="181"/>
        <v>7.8855500498227427</v>
      </c>
      <c r="BV73" s="624">
        <f t="shared" ca="1" si="139"/>
        <v>-4.4459864929581538</v>
      </c>
      <c r="BW73" s="621">
        <f t="shared" ca="1" si="182"/>
        <v>19.789473684210513</v>
      </c>
      <c r="BX73" s="567"/>
      <c r="BY73" s="623">
        <f t="shared" ca="1" si="183"/>
        <v>13.161090439196045</v>
      </c>
      <c r="BZ73" s="620" t="str">
        <f t="shared" ca="1" si="184"/>
        <v>N</v>
      </c>
      <c r="CA73" s="630">
        <f t="shared" ca="1" si="185"/>
        <v>16.259518962527331</v>
      </c>
      <c r="CB73" s="624">
        <f t="shared" ca="1" si="140"/>
        <v>8.117175353899043</v>
      </c>
      <c r="CC73" s="621">
        <f t="shared" ca="1" si="186"/>
        <v>50.790861159929705</v>
      </c>
      <c r="CD73" s="567"/>
      <c r="CE73" s="623">
        <f t="shared" ca="1" si="187"/>
        <v>7.0984872978420377</v>
      </c>
      <c r="CF73" s="620" t="str">
        <f t="shared" ca="1" si="188"/>
        <v>N</v>
      </c>
      <c r="CG73" s="630">
        <f t="shared" ca="1" si="189"/>
        <v>7.9180042586767918</v>
      </c>
      <c r="CH73" s="624">
        <f t="shared" ca="1" si="141"/>
        <v>5.6639294634072357</v>
      </c>
      <c r="CI73" s="621">
        <f t="shared" ca="1" si="190"/>
        <v>38.694638694638698</v>
      </c>
      <c r="CJ73" s="567"/>
      <c r="CK73" s="623">
        <f t="shared" ca="1" si="191"/>
        <v>-8.9714685781819838</v>
      </c>
      <c r="CL73" s="620" t="str">
        <f t="shared" ca="1" si="192"/>
        <v>N</v>
      </c>
      <c r="CM73" s="630">
        <f t="shared" ca="1" si="193"/>
        <v>-13.965996444399931</v>
      </c>
      <c r="CN73" s="624">
        <f t="shared" ca="1" si="37"/>
        <v>-4.2080382483811185E-2</v>
      </c>
      <c r="CO73" s="621">
        <f t="shared" ca="1" si="194"/>
        <v>15.210084033613459</v>
      </c>
      <c r="CP73" s="567"/>
      <c r="CQ73" s="623">
        <f t="shared" ca="1" si="195"/>
        <v>17.443136314082984</v>
      </c>
      <c r="CR73" s="620" t="str">
        <f t="shared" ca="1" si="196"/>
        <v>N</v>
      </c>
      <c r="CS73" s="630">
        <f t="shared" ca="1" si="197"/>
        <v>27.456241959987658</v>
      </c>
      <c r="CT73" s="624">
        <f t="shared" ca="1" si="42"/>
        <v>2.0350399484074355</v>
      </c>
      <c r="CU73" s="621">
        <f t="shared" ca="1" si="198"/>
        <v>2.8446389496717739</v>
      </c>
      <c r="CV73" s="567"/>
      <c r="CW73" s="623">
        <f t="shared" ca="1" si="199"/>
        <v>5.5440065849159614</v>
      </c>
      <c r="CX73" s="620" t="str">
        <f t="shared" ca="1" si="200"/>
        <v>N</v>
      </c>
      <c r="CY73" s="630">
        <f t="shared" ca="1" si="201"/>
        <v>4.0627312002776694</v>
      </c>
      <c r="CZ73" s="624">
        <f t="shared" ca="1" si="47"/>
        <v>8.3912707609115511</v>
      </c>
      <c r="DA73" s="621">
        <f t="shared" ca="1" si="202"/>
        <v>-3.6170212765957444</v>
      </c>
      <c r="DB73" s="567"/>
      <c r="DC73" s="623">
        <f t="shared" ca="1" si="203"/>
        <v>-0.49325860925549803</v>
      </c>
      <c r="DD73" s="620" t="str">
        <f t="shared" ca="1" si="204"/>
        <v>N</v>
      </c>
      <c r="DE73" s="630">
        <f t="shared" ca="1" si="205"/>
        <v>-1.2283750691207906</v>
      </c>
      <c r="DF73" s="624">
        <f t="shared" ca="1" si="52"/>
        <v>0.86333265843288043</v>
      </c>
      <c r="DG73" s="621">
        <f t="shared" ca="1" si="206"/>
        <v>5.0036791758646171</v>
      </c>
      <c r="DH73" s="567"/>
      <c r="DI73" s="623">
        <f t="shared" ca="1" si="207"/>
        <v>5.4676147870161618</v>
      </c>
      <c r="DJ73" s="620" t="str">
        <f t="shared" ca="1" si="208"/>
        <v>N</v>
      </c>
      <c r="DK73" s="630">
        <f t="shared" ca="1" si="209"/>
        <v>6.9371687038740193</v>
      </c>
      <c r="DL73" s="624">
        <f t="shared" ca="1" si="57"/>
        <v>2.8119253900322105</v>
      </c>
      <c r="DM73" s="621">
        <f t="shared" ca="1" si="210"/>
        <v>-2.5928521373510982</v>
      </c>
      <c r="DN73" s="567"/>
      <c r="DO73" s="623">
        <f t="shared" ca="1" si="211"/>
        <v>10.033385857522937</v>
      </c>
      <c r="DP73" s="620" t="str">
        <f t="shared" ca="1" si="212"/>
        <v>N</v>
      </c>
      <c r="DQ73" s="630">
        <f t="shared" ca="1" si="213"/>
        <v>13.692266781897654</v>
      </c>
      <c r="DR73" s="624">
        <f t="shared" ca="1" si="62"/>
        <v>3.1559710409784225</v>
      </c>
      <c r="DS73" s="621">
        <f t="shared" ca="1" si="214"/>
        <v>6.1151079136690711</v>
      </c>
      <c r="DT73" s="567"/>
      <c r="DU73" s="623">
        <f t="shared" ca="1" si="215"/>
        <v>-0.37366223497340423</v>
      </c>
      <c r="DV73" s="620" t="str">
        <f t="shared" ca="1" si="216"/>
        <v>N</v>
      </c>
      <c r="DW73" s="630">
        <f t="shared" ca="1" si="217"/>
        <v>-3.1407374922340359</v>
      </c>
      <c r="DX73" s="624">
        <f t="shared" ca="1" si="67"/>
        <v>5.3587111232246132</v>
      </c>
      <c r="DY73" s="621">
        <f t="shared" ca="1" si="218"/>
        <v>-21.423728813559329</v>
      </c>
      <c r="DZ73" s="567"/>
      <c r="EA73" s="623">
        <f t="shared" ca="1" si="219"/>
        <v>6.2553501006932244</v>
      </c>
      <c r="EB73" s="620" t="str">
        <f t="shared" ca="1" si="220"/>
        <v>N</v>
      </c>
      <c r="EC73" s="630">
        <f t="shared" ca="1" si="221"/>
        <v>7.07979293379013</v>
      </c>
      <c r="ED73" s="624">
        <f t="shared" ca="1" si="72"/>
        <v>4.6851870481884328</v>
      </c>
      <c r="EE73" s="621">
        <f t="shared" ca="1" si="222"/>
        <v>-40.120793787748063</v>
      </c>
      <c r="EF73" s="567"/>
      <c r="EG73" s="623">
        <f t="shared" ca="1" si="223"/>
        <v>0.44099636306060841</v>
      </c>
      <c r="EH73" s="620" t="str">
        <f t="shared" ca="1" si="224"/>
        <v>N</v>
      </c>
      <c r="EI73" s="630">
        <f t="shared" ca="1" si="225"/>
        <v>-1.9147286821705523</v>
      </c>
      <c r="EJ73" s="624">
        <f t="shared" ca="1" si="77"/>
        <v>5.0301341277577238</v>
      </c>
      <c r="EK73" s="621">
        <f t="shared" ca="1" si="226"/>
        <v>-22.334293948126792</v>
      </c>
      <c r="EL73" s="567"/>
      <c r="EM73" s="623">
        <f t="shared" ca="1" si="227"/>
        <v>3.9507202277289544</v>
      </c>
      <c r="EN73" s="620" t="str">
        <f t="shared" ca="1" si="228"/>
        <v>N</v>
      </c>
      <c r="EO73" s="630">
        <f t="shared" ca="1" si="229"/>
        <v>3.641159768044866</v>
      </c>
      <c r="EP73" s="624">
        <f t="shared" ca="1" si="82"/>
        <v>4.5138932681865418</v>
      </c>
      <c r="EQ73" s="621">
        <f t="shared" ca="1" si="230"/>
        <v>-11.281414696263903</v>
      </c>
      <c r="ER73" s="567"/>
      <c r="ES73" s="623">
        <f t="shared" ca="1" si="231"/>
        <v>3.7789965764381206</v>
      </c>
      <c r="ET73" s="620" t="str">
        <f t="shared" ca="1" si="232"/>
        <v>N</v>
      </c>
      <c r="EU73" s="630">
        <f t="shared" ca="1" si="233"/>
        <v>3.580935277725894</v>
      </c>
      <c r="EV73" s="624">
        <f t="shared" ca="1" si="87"/>
        <v>4.136314033299171</v>
      </c>
      <c r="EW73" s="621">
        <f t="shared" ca="1" si="234"/>
        <v>-12.376328041930783</v>
      </c>
      <c r="EX73" s="567"/>
      <c r="EY73" s="623">
        <f t="shared" ca="1" si="235"/>
        <v>4.0873128924480806</v>
      </c>
      <c r="EZ73" s="620" t="str">
        <f t="shared" ca="1" si="236"/>
        <v>N</v>
      </c>
      <c r="FA73" s="630">
        <f t="shared" ca="1" si="237"/>
        <v>4.267979612989703</v>
      </c>
      <c r="FB73" s="624">
        <f t="shared" ca="1" si="92"/>
        <v>3.7631148413085125</v>
      </c>
      <c r="FC73" s="621">
        <f t="shared" ca="1" si="238"/>
        <v>-14.859186215901554</v>
      </c>
      <c r="FD73" s="567"/>
    </row>
    <row r="74" spans="2:160">
      <c r="B74" s="579"/>
      <c r="C74" s="580"/>
      <c r="D74" s="581" t="s">
        <v>822</v>
      </c>
      <c r="E74" s="631"/>
      <c r="F74" s="639"/>
      <c r="G74" s="640"/>
      <c r="H74" s="593"/>
      <c r="I74" s="641"/>
      <c r="J74" s="595"/>
      <c r="K74" s="631" t="str">
        <f t="shared" si="142"/>
        <v/>
      </c>
      <c r="L74" s="639" t="str">
        <f t="shared" si="142"/>
        <v/>
      </c>
      <c r="M74" s="640" t="str">
        <f t="shared" si="142"/>
        <v/>
      </c>
      <c r="N74" s="593">
        <f t="shared" ca="1" si="142"/>
        <v>12.681967857669441</v>
      </c>
      <c r="O74" s="641" t="str">
        <f t="shared" si="142"/>
        <v/>
      </c>
      <c r="P74" s="595"/>
      <c r="Q74" s="631" t="str">
        <f t="shared" si="143"/>
        <v/>
      </c>
      <c r="R74" s="639" t="str">
        <f t="shared" si="144"/>
        <v/>
      </c>
      <c r="S74" s="640" t="str">
        <f t="shared" si="145"/>
        <v/>
      </c>
      <c r="T74" s="593">
        <f t="shared" ca="1" si="130"/>
        <v>10.538482339907706</v>
      </c>
      <c r="U74" s="641" t="str">
        <f t="shared" si="146"/>
        <v/>
      </c>
      <c r="V74" s="595"/>
      <c r="W74" s="631" t="str">
        <f t="shared" si="147"/>
        <v/>
      </c>
      <c r="X74" s="639" t="str">
        <f t="shared" si="148"/>
        <v/>
      </c>
      <c r="Y74" s="640" t="str">
        <f t="shared" si="149"/>
        <v/>
      </c>
      <c r="Z74" s="593">
        <f t="shared" ca="1" si="131"/>
        <v>-22.588740352593952</v>
      </c>
      <c r="AA74" s="641" t="str">
        <f t="shared" si="150"/>
        <v/>
      </c>
      <c r="AB74" s="595"/>
      <c r="AC74" s="631" t="str">
        <f t="shared" si="151"/>
        <v/>
      </c>
      <c r="AD74" s="639" t="str">
        <f t="shared" si="152"/>
        <v/>
      </c>
      <c r="AE74" s="640" t="str">
        <f t="shared" si="153"/>
        <v/>
      </c>
      <c r="AF74" s="593">
        <f t="shared" ca="1" si="132"/>
        <v>-1.325259445020821E-2</v>
      </c>
      <c r="AG74" s="641" t="str">
        <f t="shared" si="154"/>
        <v/>
      </c>
      <c r="AH74" s="595"/>
      <c r="AI74" s="631" t="str">
        <f t="shared" si="155"/>
        <v/>
      </c>
      <c r="AJ74" s="639" t="str">
        <f t="shared" si="156"/>
        <v/>
      </c>
      <c r="AK74" s="640" t="str">
        <f t="shared" si="157"/>
        <v/>
      </c>
      <c r="AL74" s="593">
        <f t="shared" ca="1" si="133"/>
        <v>21.714705192646889</v>
      </c>
      <c r="AM74" s="641" t="str">
        <f t="shared" si="158"/>
        <v/>
      </c>
      <c r="AN74" s="595"/>
      <c r="AO74" s="631" t="str">
        <f t="shared" si="159"/>
        <v/>
      </c>
      <c r="AP74" s="639" t="str">
        <f t="shared" si="160"/>
        <v/>
      </c>
      <c r="AQ74" s="640" t="str">
        <f t="shared" si="161"/>
        <v/>
      </c>
      <c r="AR74" s="593">
        <f t="shared" ca="1" si="134"/>
        <v>-5.4967791655148872</v>
      </c>
      <c r="AS74" s="641" t="str">
        <f t="shared" si="162"/>
        <v/>
      </c>
      <c r="AT74" s="595"/>
      <c r="AU74" s="631" t="str">
        <f t="shared" si="163"/>
        <v/>
      </c>
      <c r="AV74" s="639" t="str">
        <f t="shared" si="164"/>
        <v/>
      </c>
      <c r="AW74" s="640" t="str">
        <f t="shared" si="165"/>
        <v/>
      </c>
      <c r="AX74" s="593">
        <f t="shared" ca="1" si="135"/>
        <v>-12.627529538987915</v>
      </c>
      <c r="AY74" s="641" t="str">
        <f t="shared" si="166"/>
        <v/>
      </c>
      <c r="AZ74" s="595"/>
      <c r="BA74" s="631" t="str">
        <f t="shared" si="167"/>
        <v/>
      </c>
      <c r="BB74" s="639" t="str">
        <f t="shared" si="168"/>
        <v/>
      </c>
      <c r="BC74" s="640" t="str">
        <f t="shared" si="169"/>
        <v/>
      </c>
      <c r="BD74" s="593">
        <f t="shared" ca="1" si="136"/>
        <v>3.1256657637641849</v>
      </c>
      <c r="BE74" s="641" t="str">
        <f t="shared" si="170"/>
        <v/>
      </c>
      <c r="BF74" s="595"/>
      <c r="BG74" s="631" t="str">
        <f t="shared" si="171"/>
        <v/>
      </c>
      <c r="BH74" s="639" t="str">
        <f t="shared" si="172"/>
        <v/>
      </c>
      <c r="BI74" s="640" t="str">
        <f t="shared" si="173"/>
        <v/>
      </c>
      <c r="BJ74" s="593">
        <f t="shared" ca="1" si="137"/>
        <v>2.4938023846063029</v>
      </c>
      <c r="BK74" s="641" t="str">
        <f t="shared" si="174"/>
        <v/>
      </c>
      <c r="BL74" s="595"/>
      <c r="BM74" s="631" t="str">
        <f t="shared" si="175"/>
        <v/>
      </c>
      <c r="BN74" s="639" t="str">
        <f t="shared" si="176"/>
        <v/>
      </c>
      <c r="BO74" s="640" t="str">
        <f t="shared" si="177"/>
        <v/>
      </c>
      <c r="BP74" s="593">
        <f t="shared" ca="1" si="138"/>
        <v>-5.3307994279516713</v>
      </c>
      <c r="BQ74" s="641" t="str">
        <f t="shared" si="178"/>
        <v/>
      </c>
      <c r="BR74" s="595"/>
      <c r="BS74" s="631" t="str">
        <f t="shared" si="179"/>
        <v/>
      </c>
      <c r="BT74" s="639" t="str">
        <f t="shared" si="180"/>
        <v/>
      </c>
      <c r="BU74" s="640" t="str">
        <f t="shared" si="181"/>
        <v/>
      </c>
      <c r="BV74" s="593">
        <f t="shared" ca="1" si="139"/>
        <v>-4.7134326239696716</v>
      </c>
      <c r="BW74" s="641" t="str">
        <f t="shared" si="182"/>
        <v/>
      </c>
      <c r="BX74" s="595"/>
      <c r="BY74" s="631" t="str">
        <f t="shared" si="183"/>
        <v/>
      </c>
      <c r="BZ74" s="639" t="str">
        <f t="shared" si="184"/>
        <v/>
      </c>
      <c r="CA74" s="640" t="str">
        <f t="shared" si="185"/>
        <v/>
      </c>
      <c r="CB74" s="593">
        <f t="shared" ca="1" si="140"/>
        <v>8.2705566905005199</v>
      </c>
      <c r="CC74" s="641" t="str">
        <f t="shared" si="186"/>
        <v/>
      </c>
      <c r="CD74" s="595"/>
      <c r="CE74" s="631" t="str">
        <f t="shared" si="187"/>
        <v/>
      </c>
      <c r="CF74" s="639" t="str">
        <f t="shared" si="188"/>
        <v/>
      </c>
      <c r="CG74" s="640" t="str">
        <f t="shared" si="189"/>
        <v/>
      </c>
      <c r="CH74" s="593">
        <f t="shared" ca="1" si="141"/>
        <v>5.6094421022632401</v>
      </c>
      <c r="CI74" s="641" t="str">
        <f t="shared" si="190"/>
        <v/>
      </c>
      <c r="CJ74" s="595"/>
      <c r="CK74" s="631" t="str">
        <f t="shared" si="191"/>
        <v/>
      </c>
      <c r="CL74" s="639" t="str">
        <f t="shared" si="192"/>
        <v/>
      </c>
      <c r="CM74" s="640" t="str">
        <f t="shared" si="193"/>
        <v/>
      </c>
      <c r="CN74" s="593">
        <f t="shared" ca="1" si="37"/>
        <v>-0.3275485041641546</v>
      </c>
      <c r="CO74" s="641" t="str">
        <f t="shared" si="194"/>
        <v/>
      </c>
      <c r="CP74" s="595"/>
      <c r="CQ74" s="631" t="str">
        <f t="shared" si="195"/>
        <v/>
      </c>
      <c r="CR74" s="639" t="str">
        <f t="shared" si="196"/>
        <v/>
      </c>
      <c r="CS74" s="640" t="str">
        <f t="shared" si="197"/>
        <v/>
      </c>
      <c r="CT74" s="593">
        <f t="shared" ca="1" si="42"/>
        <v>1.9558783714395123</v>
      </c>
      <c r="CU74" s="641" t="str">
        <f t="shared" si="198"/>
        <v/>
      </c>
      <c r="CV74" s="595"/>
      <c r="CW74" s="631" t="str">
        <f t="shared" si="199"/>
        <v/>
      </c>
      <c r="CX74" s="639" t="str">
        <f t="shared" si="200"/>
        <v/>
      </c>
      <c r="CY74" s="640" t="str">
        <f t="shared" si="201"/>
        <v/>
      </c>
      <c r="CZ74" s="593">
        <f t="shared" ca="1" si="47"/>
        <v>8.4334480990403637</v>
      </c>
      <c r="DA74" s="641" t="str">
        <f t="shared" si="202"/>
        <v/>
      </c>
      <c r="DB74" s="595"/>
      <c r="DC74" s="631" t="str">
        <f t="shared" si="203"/>
        <v/>
      </c>
      <c r="DD74" s="639" t="str">
        <f t="shared" si="204"/>
        <v/>
      </c>
      <c r="DE74" s="640" t="str">
        <f t="shared" si="205"/>
        <v/>
      </c>
      <c r="DF74" s="593">
        <f t="shared" ca="1" si="52"/>
        <v>0.61139353814452235</v>
      </c>
      <c r="DG74" s="641" t="str">
        <f t="shared" si="206"/>
        <v/>
      </c>
      <c r="DH74" s="595"/>
      <c r="DI74" s="631" t="str">
        <f t="shared" si="207"/>
        <v/>
      </c>
      <c r="DJ74" s="639" t="str">
        <f t="shared" si="208"/>
        <v/>
      </c>
      <c r="DK74" s="640" t="str">
        <f t="shared" si="209"/>
        <v/>
      </c>
      <c r="DL74" s="593">
        <f t="shared" ca="1" si="57"/>
        <v>2.8503802185627203</v>
      </c>
      <c r="DM74" s="641" t="str">
        <f t="shared" si="210"/>
        <v/>
      </c>
      <c r="DN74" s="595"/>
      <c r="DO74" s="631" t="str">
        <f t="shared" si="211"/>
        <v/>
      </c>
      <c r="DP74" s="639" t="str">
        <f t="shared" si="212"/>
        <v/>
      </c>
      <c r="DQ74" s="640" t="str">
        <f t="shared" si="213"/>
        <v/>
      </c>
      <c r="DR74" s="593">
        <f t="shared" ca="1" si="62"/>
        <v>2.9060373108749982</v>
      </c>
      <c r="DS74" s="641" t="str">
        <f t="shared" si="214"/>
        <v/>
      </c>
      <c r="DT74" s="595"/>
      <c r="DU74" s="631" t="str">
        <f t="shared" si="215"/>
        <v/>
      </c>
      <c r="DV74" s="639" t="str">
        <f t="shared" si="216"/>
        <v/>
      </c>
      <c r="DW74" s="640" t="str">
        <f t="shared" si="217"/>
        <v/>
      </c>
      <c r="DX74" s="593">
        <f t="shared" ca="1" si="67"/>
        <v>5.0515864519147469</v>
      </c>
      <c r="DY74" s="641" t="str">
        <f t="shared" si="218"/>
        <v/>
      </c>
      <c r="DZ74" s="595"/>
      <c r="EA74" s="631" t="str">
        <f t="shared" si="219"/>
        <v/>
      </c>
      <c r="EB74" s="639" t="str">
        <f t="shared" si="220"/>
        <v/>
      </c>
      <c r="EC74" s="640" t="str">
        <f t="shared" si="221"/>
        <v/>
      </c>
      <c r="ED74" s="593">
        <f t="shared" ca="1" si="72"/>
        <v>4.5920177550974106</v>
      </c>
      <c r="EE74" s="641" t="str">
        <f t="shared" si="222"/>
        <v/>
      </c>
      <c r="EF74" s="595"/>
      <c r="EG74" s="631" t="str">
        <f t="shared" si="223"/>
        <v/>
      </c>
      <c r="EH74" s="639" t="str">
        <f t="shared" si="224"/>
        <v/>
      </c>
      <c r="EI74" s="640" t="str">
        <f t="shared" si="225"/>
        <v/>
      </c>
      <c r="EJ74" s="593">
        <f t="shared" ca="1" si="77"/>
        <v>5.0233847219816496</v>
      </c>
      <c r="EK74" s="641" t="str">
        <f t="shared" si="226"/>
        <v/>
      </c>
      <c r="EL74" s="595"/>
      <c r="EM74" s="631" t="str">
        <f t="shared" si="227"/>
        <v/>
      </c>
      <c r="EN74" s="639" t="str">
        <f t="shared" si="228"/>
        <v/>
      </c>
      <c r="EO74" s="640" t="str">
        <f t="shared" si="229"/>
        <v/>
      </c>
      <c r="EP74" s="593">
        <f t="shared" ca="1" si="82"/>
        <v>4.5352205245287047</v>
      </c>
      <c r="EQ74" s="641" t="str">
        <f t="shared" si="230"/>
        <v/>
      </c>
      <c r="ER74" s="595"/>
      <c r="ES74" s="631" t="str">
        <f t="shared" si="231"/>
        <v/>
      </c>
      <c r="ET74" s="639" t="str">
        <f t="shared" si="232"/>
        <v/>
      </c>
      <c r="EU74" s="640" t="str">
        <f t="shared" si="233"/>
        <v/>
      </c>
      <c r="EV74" s="593">
        <f t="shared" ca="1" si="87"/>
        <v>4.1566504375683433</v>
      </c>
      <c r="EW74" s="641" t="str">
        <f t="shared" si="234"/>
        <v/>
      </c>
      <c r="EX74" s="595"/>
      <c r="EY74" s="631" t="str">
        <f t="shared" si="235"/>
        <v/>
      </c>
      <c r="EZ74" s="639" t="str">
        <f t="shared" si="236"/>
        <v/>
      </c>
      <c r="FA74" s="640" t="str">
        <f t="shared" si="237"/>
        <v/>
      </c>
      <c r="FB74" s="593">
        <f t="shared" ca="1" si="92"/>
        <v>3.7642962084051268</v>
      </c>
      <c r="FC74" s="641" t="str">
        <f t="shared" si="238"/>
        <v/>
      </c>
      <c r="FD74" s="595"/>
    </row>
    <row r="75" spans="2:160" ht="13.15" thickBot="1">
      <c r="B75" s="579"/>
      <c r="C75" s="580"/>
      <c r="D75" s="581" t="s">
        <v>1662</v>
      </c>
      <c r="E75" s="631"/>
      <c r="F75" s="639"/>
      <c r="G75" s="640"/>
      <c r="H75" s="596"/>
      <c r="I75" s="641"/>
      <c r="J75" s="595"/>
      <c r="K75" s="631" t="str">
        <f t="shared" si="142"/>
        <v/>
      </c>
      <c r="L75" s="639" t="str">
        <f t="shared" si="142"/>
        <v/>
      </c>
      <c r="M75" s="640" t="str">
        <f t="shared" si="142"/>
        <v/>
      </c>
      <c r="N75" s="596">
        <f t="shared" ca="1" si="142"/>
        <v>3.2048169369719437</v>
      </c>
      <c r="O75" s="641" t="str">
        <f t="shared" si="142"/>
        <v/>
      </c>
      <c r="P75" s="595"/>
      <c r="Q75" s="631" t="str">
        <f t="shared" si="143"/>
        <v/>
      </c>
      <c r="R75" s="639" t="str">
        <f t="shared" si="144"/>
        <v/>
      </c>
      <c r="S75" s="640" t="str">
        <f t="shared" si="145"/>
        <v/>
      </c>
      <c r="T75" s="596">
        <f t="shared" ca="1" si="130"/>
        <v>-5.5236661334337249</v>
      </c>
      <c r="U75" s="641" t="str">
        <f t="shared" si="146"/>
        <v/>
      </c>
      <c r="V75" s="595"/>
      <c r="W75" s="631" t="str">
        <f t="shared" si="147"/>
        <v/>
      </c>
      <c r="X75" s="639" t="str">
        <f t="shared" si="148"/>
        <v/>
      </c>
      <c r="Y75" s="640" t="str">
        <f t="shared" si="149"/>
        <v/>
      </c>
      <c r="Z75" s="596">
        <f t="shared" ca="1" si="131"/>
        <v>-76.274900398406359</v>
      </c>
      <c r="AA75" s="641" t="str">
        <f t="shared" si="150"/>
        <v/>
      </c>
      <c r="AB75" s="595"/>
      <c r="AC75" s="631" t="str">
        <f t="shared" si="151"/>
        <v/>
      </c>
      <c r="AD75" s="639" t="str">
        <f t="shared" si="152"/>
        <v/>
      </c>
      <c r="AE75" s="640" t="str">
        <f t="shared" si="153"/>
        <v/>
      </c>
      <c r="AF75" s="596">
        <f t="shared" ca="1" si="132"/>
        <v>11.125104953820308</v>
      </c>
      <c r="AG75" s="641" t="str">
        <f t="shared" si="154"/>
        <v/>
      </c>
      <c r="AH75" s="595"/>
      <c r="AI75" s="631" t="str">
        <f t="shared" si="155"/>
        <v/>
      </c>
      <c r="AJ75" s="639" t="str">
        <f t="shared" si="156"/>
        <v/>
      </c>
      <c r="AK75" s="640" t="str">
        <f t="shared" si="157"/>
        <v/>
      </c>
      <c r="AL75" s="596">
        <f t="shared" ca="1" si="133"/>
        <v>-0.34000755572345387</v>
      </c>
      <c r="AM75" s="641" t="str">
        <f t="shared" si="158"/>
        <v/>
      </c>
      <c r="AN75" s="595"/>
      <c r="AO75" s="631" t="str">
        <f t="shared" si="159"/>
        <v/>
      </c>
      <c r="AP75" s="639" t="str">
        <f t="shared" si="160"/>
        <v/>
      </c>
      <c r="AQ75" s="640" t="str">
        <f t="shared" si="161"/>
        <v/>
      </c>
      <c r="AR75" s="596">
        <f t="shared" ca="1" si="134"/>
        <v>7.733131159969675</v>
      </c>
      <c r="AS75" s="641" t="str">
        <f t="shared" si="162"/>
        <v/>
      </c>
      <c r="AT75" s="595"/>
      <c r="AU75" s="631" t="str">
        <f t="shared" si="163"/>
        <v/>
      </c>
      <c r="AV75" s="639" t="str">
        <f t="shared" si="164"/>
        <v/>
      </c>
      <c r="AW75" s="640" t="str">
        <f t="shared" si="165"/>
        <v/>
      </c>
      <c r="AX75" s="596">
        <f t="shared" ca="1" si="135"/>
        <v>7.9873328641801411</v>
      </c>
      <c r="AY75" s="641" t="str">
        <f t="shared" si="166"/>
        <v/>
      </c>
      <c r="AZ75" s="595"/>
      <c r="BA75" s="631" t="str">
        <f t="shared" si="167"/>
        <v/>
      </c>
      <c r="BB75" s="639" t="str">
        <f t="shared" si="168"/>
        <v/>
      </c>
      <c r="BC75" s="640" t="str">
        <f t="shared" si="169"/>
        <v/>
      </c>
      <c r="BD75" s="596">
        <f t="shared" ca="1" si="136"/>
        <v>5.8651026392961825</v>
      </c>
      <c r="BE75" s="641" t="str">
        <f t="shared" si="170"/>
        <v/>
      </c>
      <c r="BF75" s="595"/>
      <c r="BG75" s="631" t="str">
        <f t="shared" si="171"/>
        <v/>
      </c>
      <c r="BH75" s="639" t="str">
        <f t="shared" si="172"/>
        <v/>
      </c>
      <c r="BI75" s="640" t="str">
        <f t="shared" si="173"/>
        <v/>
      </c>
      <c r="BJ75" s="596">
        <f t="shared" ca="1" si="137"/>
        <v>4.58602646968298</v>
      </c>
      <c r="BK75" s="641" t="str">
        <f t="shared" si="174"/>
        <v/>
      </c>
      <c r="BL75" s="595"/>
      <c r="BM75" s="631" t="str">
        <f t="shared" si="175"/>
        <v/>
      </c>
      <c r="BN75" s="639" t="str">
        <f t="shared" si="176"/>
        <v/>
      </c>
      <c r="BO75" s="640" t="str">
        <f t="shared" si="177"/>
        <v/>
      </c>
      <c r="BP75" s="596">
        <f t="shared" ca="1" si="138"/>
        <v>8.4167157151265428</v>
      </c>
      <c r="BQ75" s="641" t="str">
        <f t="shared" si="178"/>
        <v/>
      </c>
      <c r="BR75" s="595"/>
      <c r="BS75" s="631" t="str">
        <f t="shared" si="179"/>
        <v/>
      </c>
      <c r="BT75" s="639" t="str">
        <f t="shared" si="180"/>
        <v/>
      </c>
      <c r="BU75" s="640" t="str">
        <f t="shared" si="181"/>
        <v/>
      </c>
      <c r="BV75" s="596">
        <f t="shared" ca="1" si="139"/>
        <v>2.7144408251900121</v>
      </c>
      <c r="BW75" s="641" t="str">
        <f t="shared" si="182"/>
        <v/>
      </c>
      <c r="BX75" s="595"/>
      <c r="BY75" s="631" t="str">
        <f t="shared" si="183"/>
        <v/>
      </c>
      <c r="BZ75" s="639" t="str">
        <f t="shared" si="184"/>
        <v/>
      </c>
      <c r="CA75" s="640" t="str">
        <f t="shared" si="185"/>
        <v/>
      </c>
      <c r="CB75" s="596">
        <f t="shared" ca="1" si="140"/>
        <v>4.3076109936575069</v>
      </c>
      <c r="CC75" s="641" t="str">
        <f t="shared" si="186"/>
        <v/>
      </c>
      <c r="CD75" s="595"/>
      <c r="CE75" s="631" t="str">
        <f t="shared" si="187"/>
        <v/>
      </c>
      <c r="CF75" s="639" t="str">
        <f t="shared" si="188"/>
        <v/>
      </c>
      <c r="CG75" s="640" t="str">
        <f t="shared" si="189"/>
        <v/>
      </c>
      <c r="CH75" s="596">
        <f t="shared" ca="1" si="141"/>
        <v>7.0686597415758889</v>
      </c>
      <c r="CI75" s="641" t="str">
        <f t="shared" si="190"/>
        <v/>
      </c>
      <c r="CJ75" s="595"/>
      <c r="CK75" s="631" t="str">
        <f t="shared" si="191"/>
        <v/>
      </c>
      <c r="CL75" s="639" t="str">
        <f t="shared" si="192"/>
        <v/>
      </c>
      <c r="CM75" s="640" t="str">
        <f t="shared" si="193"/>
        <v/>
      </c>
      <c r="CN75" s="596">
        <f t="shared" ca="1" si="37"/>
        <v>7.2172266919072303</v>
      </c>
      <c r="CO75" s="641" t="str">
        <f t="shared" si="194"/>
        <v/>
      </c>
      <c r="CP75" s="595"/>
      <c r="CQ75" s="631" t="str">
        <f t="shared" si="195"/>
        <v/>
      </c>
      <c r="CR75" s="639" t="str">
        <f t="shared" si="196"/>
        <v/>
      </c>
      <c r="CS75" s="640" t="str">
        <f t="shared" si="197"/>
        <v/>
      </c>
      <c r="CT75" s="596">
        <f t="shared" ca="1" si="42"/>
        <v>3.9064224233061218</v>
      </c>
      <c r="CU75" s="641" t="str">
        <f t="shared" si="198"/>
        <v/>
      </c>
      <c r="CV75" s="595"/>
      <c r="CW75" s="631" t="str">
        <f t="shared" si="199"/>
        <v/>
      </c>
      <c r="CX75" s="639" t="str">
        <f t="shared" si="200"/>
        <v/>
      </c>
      <c r="CY75" s="640" t="str">
        <f t="shared" si="201"/>
        <v/>
      </c>
      <c r="CZ75" s="596">
        <f t="shared" ca="1" si="47"/>
        <v>7.4129141886151162</v>
      </c>
      <c r="DA75" s="641" t="str">
        <f t="shared" si="202"/>
        <v/>
      </c>
      <c r="DB75" s="595"/>
      <c r="DC75" s="631" t="str">
        <f t="shared" si="203"/>
        <v/>
      </c>
      <c r="DD75" s="639" t="str">
        <f t="shared" si="204"/>
        <v/>
      </c>
      <c r="DE75" s="640" t="str">
        <f t="shared" si="205"/>
        <v/>
      </c>
      <c r="DF75" s="596">
        <f t="shared" ca="1" si="52"/>
        <v>6.7629029068617674</v>
      </c>
      <c r="DG75" s="641" t="str">
        <f t="shared" si="206"/>
        <v/>
      </c>
      <c r="DH75" s="595"/>
      <c r="DI75" s="631" t="str">
        <f t="shared" si="207"/>
        <v/>
      </c>
      <c r="DJ75" s="639" t="str">
        <f t="shared" si="208"/>
        <v/>
      </c>
      <c r="DK75" s="640" t="str">
        <f t="shared" si="209"/>
        <v/>
      </c>
      <c r="DL75" s="596">
        <f t="shared" ca="1" si="57"/>
        <v>1.963326541952215</v>
      </c>
      <c r="DM75" s="641" t="str">
        <f t="shared" si="210"/>
        <v/>
      </c>
      <c r="DN75" s="595"/>
      <c r="DO75" s="631" t="str">
        <f t="shared" si="211"/>
        <v/>
      </c>
      <c r="DP75" s="639" t="str">
        <f t="shared" si="212"/>
        <v/>
      </c>
      <c r="DQ75" s="640" t="str">
        <f t="shared" si="213"/>
        <v/>
      </c>
      <c r="DR75" s="596">
        <f t="shared" ca="1" si="62"/>
        <v>8.7193460490463401</v>
      </c>
      <c r="DS75" s="641" t="str">
        <f t="shared" si="214"/>
        <v/>
      </c>
      <c r="DT75" s="595"/>
      <c r="DU75" s="631" t="str">
        <f t="shared" si="215"/>
        <v/>
      </c>
      <c r="DV75" s="639" t="str">
        <f t="shared" si="216"/>
        <v/>
      </c>
      <c r="DW75" s="640" t="str">
        <f t="shared" si="217"/>
        <v/>
      </c>
      <c r="DX75" s="596">
        <f t="shared" ca="1" si="67"/>
        <v>11.829573934837079</v>
      </c>
      <c r="DY75" s="641" t="str">
        <f t="shared" si="218"/>
        <v/>
      </c>
      <c r="DZ75" s="595"/>
      <c r="EA75" s="631" t="str">
        <f t="shared" si="219"/>
        <v/>
      </c>
      <c r="EB75" s="639" t="str">
        <f t="shared" si="220"/>
        <v/>
      </c>
      <c r="EC75" s="640" t="str">
        <f t="shared" si="221"/>
        <v/>
      </c>
      <c r="ED75" s="596">
        <f t="shared" ca="1" si="72"/>
        <v>6.5292096219931262</v>
      </c>
      <c r="EE75" s="641" t="str">
        <f t="shared" si="222"/>
        <v/>
      </c>
      <c r="EF75" s="595"/>
      <c r="EG75" s="631" t="str">
        <f t="shared" si="223"/>
        <v/>
      </c>
      <c r="EH75" s="639" t="str">
        <f t="shared" si="224"/>
        <v/>
      </c>
      <c r="EI75" s="640" t="str">
        <f t="shared" si="225"/>
        <v/>
      </c>
      <c r="EJ75" s="596">
        <f t="shared" ca="1" si="77"/>
        <v>5.1612903225806583</v>
      </c>
      <c r="EK75" s="641" t="str">
        <f t="shared" si="226"/>
        <v/>
      </c>
      <c r="EL75" s="595"/>
      <c r="EM75" s="631" t="str">
        <f t="shared" si="227"/>
        <v/>
      </c>
      <c r="EN75" s="639" t="str">
        <f t="shared" si="228"/>
        <v/>
      </c>
      <c r="EO75" s="640" t="str">
        <f t="shared" si="229"/>
        <v/>
      </c>
      <c r="EP75" s="596">
        <f t="shared" ca="1" si="82"/>
        <v>4.0999999999999925</v>
      </c>
      <c r="EQ75" s="641" t="str">
        <f t="shared" si="230"/>
        <v/>
      </c>
      <c r="ER75" s="595"/>
      <c r="ES75" s="631" t="str">
        <f t="shared" si="231"/>
        <v/>
      </c>
      <c r="ET75" s="639" t="str">
        <f t="shared" si="232"/>
        <v/>
      </c>
      <c r="EU75" s="640" t="str">
        <f t="shared" si="233"/>
        <v/>
      </c>
      <c r="EV75" s="596">
        <f t="shared" ca="1" si="87"/>
        <v>3.74000000000001</v>
      </c>
      <c r="EW75" s="641" t="str">
        <f t="shared" si="234"/>
        <v/>
      </c>
      <c r="EX75" s="595"/>
      <c r="EY75" s="631" t="str">
        <f t="shared" si="235"/>
        <v/>
      </c>
      <c r="EZ75" s="639" t="str">
        <f t="shared" si="236"/>
        <v/>
      </c>
      <c r="FA75" s="640" t="str">
        <f t="shared" si="237"/>
        <v/>
      </c>
      <c r="FB75" s="596">
        <f t="shared" ca="1" si="92"/>
        <v>3.74000000000001</v>
      </c>
      <c r="FC75" s="641" t="str">
        <f t="shared" si="238"/>
        <v/>
      </c>
      <c r="FD75" s="595"/>
    </row>
    <row r="76" spans="2:160" ht="13.15">
      <c r="B76" s="555" t="s">
        <v>1791</v>
      </c>
      <c r="C76" s="3855" t="s">
        <v>1663</v>
      </c>
      <c r="D76" s="3856"/>
      <c r="E76" s="623"/>
      <c r="F76" s="620"/>
      <c r="G76" s="622"/>
      <c r="H76" s="622"/>
      <c r="I76" s="622"/>
      <c r="J76" s="567"/>
      <c r="K76" s="623">
        <f t="shared" ca="1" si="142"/>
        <v>-2.1714021126330585</v>
      </c>
      <c r="L76" s="620">
        <f t="shared" ca="1" si="142"/>
        <v>-2.1714021126330585</v>
      </c>
      <c r="M76" s="622" t="str">
        <f t="shared" si="142"/>
        <v/>
      </c>
      <c r="N76" s="622" t="str">
        <f t="shared" si="142"/>
        <v/>
      </c>
      <c r="O76" s="622" t="str">
        <f t="shared" si="142"/>
        <v/>
      </c>
      <c r="P76" s="567"/>
      <c r="Q76" s="623">
        <f t="shared" ca="1" si="143"/>
        <v>1.0901648510255324</v>
      </c>
      <c r="R76" s="620">
        <f t="shared" ca="1" si="144"/>
        <v>1.0901648510255324</v>
      </c>
      <c r="S76" s="622" t="str">
        <f t="shared" si="145"/>
        <v/>
      </c>
      <c r="T76" s="622" t="str">
        <f t="shared" si="130"/>
        <v/>
      </c>
      <c r="U76" s="622" t="str">
        <f t="shared" si="146"/>
        <v/>
      </c>
      <c r="V76" s="567"/>
      <c r="W76" s="623">
        <f t="shared" ca="1" si="147"/>
        <v>2.4385098824092344</v>
      </c>
      <c r="X76" s="620">
        <f t="shared" ca="1" si="148"/>
        <v>2.4385098824092344</v>
      </c>
      <c r="Y76" s="622" t="str">
        <f t="shared" si="149"/>
        <v/>
      </c>
      <c r="Z76" s="622" t="str">
        <f t="shared" si="131"/>
        <v/>
      </c>
      <c r="AA76" s="622" t="str">
        <f t="shared" si="150"/>
        <v/>
      </c>
      <c r="AB76" s="567"/>
      <c r="AC76" s="623">
        <f t="shared" ca="1" si="151"/>
        <v>2.6963837267704793</v>
      </c>
      <c r="AD76" s="620">
        <f t="shared" ca="1" si="152"/>
        <v>2.6963837267704793</v>
      </c>
      <c r="AE76" s="622" t="str">
        <f t="shared" si="153"/>
        <v/>
      </c>
      <c r="AF76" s="622" t="str">
        <f t="shared" si="132"/>
        <v/>
      </c>
      <c r="AG76" s="622" t="str">
        <f t="shared" si="154"/>
        <v/>
      </c>
      <c r="AH76" s="567"/>
      <c r="AI76" s="623">
        <f t="shared" ca="1" si="155"/>
        <v>1.8337787972230402</v>
      </c>
      <c r="AJ76" s="620">
        <f t="shared" ca="1" si="156"/>
        <v>1.8337787972230402</v>
      </c>
      <c r="AK76" s="622" t="str">
        <f t="shared" si="157"/>
        <v/>
      </c>
      <c r="AL76" s="622" t="str">
        <f t="shared" si="133"/>
        <v/>
      </c>
      <c r="AM76" s="622" t="str">
        <f t="shared" si="158"/>
        <v/>
      </c>
      <c r="AN76" s="567"/>
      <c r="AO76" s="623">
        <f t="shared" ca="1" si="159"/>
        <v>2.5651000393817958</v>
      </c>
      <c r="AP76" s="620">
        <f t="shared" ca="1" si="160"/>
        <v>2.5651000393817958</v>
      </c>
      <c r="AQ76" s="622" t="str">
        <f t="shared" si="161"/>
        <v/>
      </c>
      <c r="AR76" s="622" t="str">
        <f t="shared" si="134"/>
        <v/>
      </c>
      <c r="AS76" s="622" t="str">
        <f t="shared" si="162"/>
        <v/>
      </c>
      <c r="AT76" s="567"/>
      <c r="AU76" s="623">
        <f t="shared" ca="1" si="163"/>
        <v>5.3554287105671117</v>
      </c>
      <c r="AV76" s="620">
        <f t="shared" ca="1" si="164"/>
        <v>5.3554287105671117</v>
      </c>
      <c r="AW76" s="622" t="str">
        <f t="shared" si="165"/>
        <v/>
      </c>
      <c r="AX76" s="622" t="str">
        <f t="shared" si="135"/>
        <v/>
      </c>
      <c r="AY76" s="622" t="str">
        <f t="shared" si="166"/>
        <v/>
      </c>
      <c r="AZ76" s="567"/>
      <c r="BA76" s="623">
        <f t="shared" ca="1" si="167"/>
        <v>7.3070187914451745</v>
      </c>
      <c r="BB76" s="620">
        <f t="shared" ca="1" si="168"/>
        <v>7.3070187914451745</v>
      </c>
      <c r="BC76" s="622" t="str">
        <f t="shared" si="169"/>
        <v/>
      </c>
      <c r="BD76" s="622" t="str">
        <f t="shared" si="136"/>
        <v/>
      </c>
      <c r="BE76" s="622" t="str">
        <f t="shared" si="170"/>
        <v/>
      </c>
      <c r="BF76" s="567"/>
      <c r="BG76" s="623">
        <f t="shared" ca="1" si="171"/>
        <v>3.1886230955137318</v>
      </c>
      <c r="BH76" s="620">
        <f t="shared" ca="1" si="172"/>
        <v>3.1886230955137318</v>
      </c>
      <c r="BI76" s="622" t="str">
        <f t="shared" si="173"/>
        <v/>
      </c>
      <c r="BJ76" s="622" t="str">
        <f t="shared" si="137"/>
        <v/>
      </c>
      <c r="BK76" s="622" t="str">
        <f t="shared" si="174"/>
        <v/>
      </c>
      <c r="BL76" s="567"/>
      <c r="BM76" s="623">
        <f t="shared" ca="1" si="175"/>
        <v>2.9253216127802295</v>
      </c>
      <c r="BN76" s="620">
        <f t="shared" ca="1" si="176"/>
        <v>2.9253216127802295</v>
      </c>
      <c r="BO76" s="622" t="str">
        <f t="shared" si="177"/>
        <v/>
      </c>
      <c r="BP76" s="622" t="str">
        <f t="shared" si="138"/>
        <v/>
      </c>
      <c r="BQ76" s="622" t="str">
        <f t="shared" si="178"/>
        <v/>
      </c>
      <c r="BR76" s="567"/>
      <c r="BS76" s="623">
        <f t="shared" ca="1" si="179"/>
        <v>1.8997905804081672</v>
      </c>
      <c r="BT76" s="620">
        <f t="shared" ca="1" si="180"/>
        <v>1.8997905804081672</v>
      </c>
      <c r="BU76" s="622" t="str">
        <f t="shared" si="181"/>
        <v/>
      </c>
      <c r="BV76" s="622" t="str">
        <f t="shared" si="139"/>
        <v/>
      </c>
      <c r="BW76" s="622" t="str">
        <f t="shared" si="182"/>
        <v/>
      </c>
      <c r="BX76" s="567"/>
      <c r="BY76" s="623">
        <f t="shared" ca="1" si="183"/>
        <v>-0.23460118754891068</v>
      </c>
      <c r="BZ76" s="620">
        <f t="shared" ca="1" si="184"/>
        <v>-0.23460118754891068</v>
      </c>
      <c r="CA76" s="622" t="str">
        <f t="shared" si="185"/>
        <v/>
      </c>
      <c r="CB76" s="622" t="str">
        <f t="shared" si="140"/>
        <v/>
      </c>
      <c r="CC76" s="622" t="str">
        <f t="shared" si="186"/>
        <v/>
      </c>
      <c r="CD76" s="567"/>
      <c r="CE76" s="623">
        <f t="shared" ca="1" si="187"/>
        <v>3.9126290127991181</v>
      </c>
      <c r="CF76" s="620">
        <f t="shared" ca="1" si="188"/>
        <v>3.9126290127991181</v>
      </c>
      <c r="CG76" s="622" t="str">
        <f t="shared" si="189"/>
        <v/>
      </c>
      <c r="CH76" s="622" t="str">
        <f t="shared" si="141"/>
        <v/>
      </c>
      <c r="CI76" s="622" t="str">
        <f t="shared" si="190"/>
        <v/>
      </c>
      <c r="CJ76" s="567"/>
      <c r="CK76" s="623">
        <f t="shared" ca="1" si="191"/>
        <v>6.8576238274371537</v>
      </c>
      <c r="CL76" s="620">
        <f t="shared" ca="1" si="192"/>
        <v>6.8576238274371537</v>
      </c>
      <c r="CM76" s="622" t="str">
        <f t="shared" si="193"/>
        <v/>
      </c>
      <c r="CN76" s="622" t="str">
        <f t="shared" si="37"/>
        <v/>
      </c>
      <c r="CO76" s="622" t="str">
        <f t="shared" si="194"/>
        <v/>
      </c>
      <c r="CP76" s="567"/>
      <c r="CQ76" s="623">
        <f t="shared" ca="1" si="195"/>
        <v>1.0818532631790001</v>
      </c>
      <c r="CR76" s="620">
        <f t="shared" ca="1" si="196"/>
        <v>1.0818532631790001</v>
      </c>
      <c r="CS76" s="622" t="str">
        <f t="shared" si="197"/>
        <v/>
      </c>
      <c r="CT76" s="622" t="str">
        <f t="shared" si="42"/>
        <v/>
      </c>
      <c r="CU76" s="622" t="str">
        <f t="shared" si="198"/>
        <v/>
      </c>
      <c r="CV76" s="567"/>
      <c r="CW76" s="623">
        <f t="shared" ca="1" si="199"/>
        <v>1.5549141541789879</v>
      </c>
      <c r="CX76" s="620">
        <f t="shared" ca="1" si="200"/>
        <v>1.5549141541789879</v>
      </c>
      <c r="CY76" s="622" t="str">
        <f t="shared" si="201"/>
        <v/>
      </c>
      <c r="CZ76" s="622" t="str">
        <f t="shared" si="47"/>
        <v/>
      </c>
      <c r="DA76" s="622" t="str">
        <f t="shared" si="202"/>
        <v/>
      </c>
      <c r="DB76" s="567"/>
      <c r="DC76" s="623">
        <f t="shared" ca="1" si="203"/>
        <v>4.4248800220772821</v>
      </c>
      <c r="DD76" s="620">
        <f t="shared" ca="1" si="204"/>
        <v>4.4248800220772821</v>
      </c>
      <c r="DE76" s="622" t="str">
        <f t="shared" si="205"/>
        <v/>
      </c>
      <c r="DF76" s="622" t="str">
        <f t="shared" si="52"/>
        <v/>
      </c>
      <c r="DG76" s="622" t="str">
        <f t="shared" si="206"/>
        <v/>
      </c>
      <c r="DH76" s="567"/>
      <c r="DI76" s="623">
        <f t="shared" ca="1" si="207"/>
        <v>5.3162243865337189</v>
      </c>
      <c r="DJ76" s="620">
        <f t="shared" ca="1" si="208"/>
        <v>5.3162243865337189</v>
      </c>
      <c r="DK76" s="622" t="str">
        <f t="shared" si="209"/>
        <v/>
      </c>
      <c r="DL76" s="622" t="str">
        <f t="shared" si="57"/>
        <v/>
      </c>
      <c r="DM76" s="622" t="str">
        <f t="shared" si="210"/>
        <v/>
      </c>
      <c r="DN76" s="567"/>
      <c r="DO76" s="623">
        <f t="shared" ca="1" si="211"/>
        <v>1.2721038369675197</v>
      </c>
      <c r="DP76" s="620">
        <f t="shared" ca="1" si="212"/>
        <v>1.2721038369675197</v>
      </c>
      <c r="DQ76" s="622" t="str">
        <f t="shared" si="213"/>
        <v/>
      </c>
      <c r="DR76" s="622" t="str">
        <f t="shared" si="62"/>
        <v/>
      </c>
      <c r="DS76" s="622" t="str">
        <f t="shared" si="214"/>
        <v/>
      </c>
      <c r="DT76" s="567"/>
      <c r="DU76" s="623">
        <f t="shared" ca="1" si="215"/>
        <v>3.6308861011940419</v>
      </c>
      <c r="DV76" s="620">
        <f t="shared" ca="1" si="216"/>
        <v>3.6308861011940419</v>
      </c>
      <c r="DW76" s="622" t="str">
        <f t="shared" si="217"/>
        <v/>
      </c>
      <c r="DX76" s="622" t="str">
        <f t="shared" si="67"/>
        <v/>
      </c>
      <c r="DY76" s="622" t="str">
        <f t="shared" si="218"/>
        <v/>
      </c>
      <c r="DZ76" s="567"/>
      <c r="EA76" s="623">
        <f t="shared" ca="1" si="219"/>
        <v>2.822677643827376</v>
      </c>
      <c r="EB76" s="620">
        <f t="shared" ca="1" si="220"/>
        <v>2.822677643827376</v>
      </c>
      <c r="EC76" s="622" t="str">
        <f t="shared" si="221"/>
        <v/>
      </c>
      <c r="ED76" s="622" t="str">
        <f t="shared" si="72"/>
        <v/>
      </c>
      <c r="EE76" s="622" t="str">
        <f t="shared" si="222"/>
        <v/>
      </c>
      <c r="EF76" s="567"/>
      <c r="EG76" s="623">
        <f t="shared" ca="1" si="223"/>
        <v>3.1446112836218676</v>
      </c>
      <c r="EH76" s="620">
        <f t="shared" ca="1" si="224"/>
        <v>3.1446112836218676</v>
      </c>
      <c r="EI76" s="622" t="str">
        <f t="shared" si="225"/>
        <v/>
      </c>
      <c r="EJ76" s="622" t="str">
        <f t="shared" si="77"/>
        <v/>
      </c>
      <c r="EK76" s="622" t="str">
        <f t="shared" si="226"/>
        <v/>
      </c>
      <c r="EL76" s="567"/>
      <c r="EM76" s="623">
        <f t="shared" ca="1" si="227"/>
        <v>3.4596664641321384</v>
      </c>
      <c r="EN76" s="620">
        <f t="shared" ca="1" si="228"/>
        <v>3.4596664641321384</v>
      </c>
      <c r="EO76" s="622" t="str">
        <f t="shared" si="229"/>
        <v/>
      </c>
      <c r="EP76" s="622" t="str">
        <f t="shared" si="82"/>
        <v/>
      </c>
      <c r="EQ76" s="622" t="str">
        <f t="shared" si="230"/>
        <v/>
      </c>
      <c r="ER76" s="567"/>
      <c r="ES76" s="623">
        <f t="shared" ca="1" si="231"/>
        <v>1.7946045780791842</v>
      </c>
      <c r="ET76" s="620">
        <f t="shared" ca="1" si="232"/>
        <v>1.7946045780791842</v>
      </c>
      <c r="EU76" s="622" t="str">
        <f t="shared" si="233"/>
        <v/>
      </c>
      <c r="EV76" s="622" t="str">
        <f t="shared" si="87"/>
        <v/>
      </c>
      <c r="EW76" s="622" t="str">
        <f t="shared" si="234"/>
        <v/>
      </c>
      <c r="EX76" s="567"/>
      <c r="EY76" s="623">
        <f t="shared" ca="1" si="235"/>
        <v>2.2067475840448658</v>
      </c>
      <c r="EZ76" s="620">
        <f t="shared" ca="1" si="236"/>
        <v>2.2067475840448658</v>
      </c>
      <c r="FA76" s="622" t="str">
        <f t="shared" si="237"/>
        <v/>
      </c>
      <c r="FB76" s="622" t="str">
        <f t="shared" si="92"/>
        <v/>
      </c>
      <c r="FC76" s="622" t="str">
        <f t="shared" si="238"/>
        <v/>
      </c>
      <c r="FD76" s="567"/>
    </row>
    <row r="77" spans="2:160" ht="13.15">
      <c r="B77" s="555" t="s">
        <v>1791</v>
      </c>
      <c r="C77" s="3855" t="s">
        <v>1664</v>
      </c>
      <c r="D77" s="3856"/>
      <c r="E77" s="623"/>
      <c r="F77" s="620"/>
      <c r="G77" s="620"/>
      <c r="H77" s="620"/>
      <c r="I77" s="620"/>
      <c r="J77" s="567"/>
      <c r="K77" s="623">
        <f t="shared" ca="1" si="142"/>
        <v>-12.748065459661607</v>
      </c>
      <c r="L77" s="620">
        <f t="shared" ca="1" si="142"/>
        <v>-4.786471488896904</v>
      </c>
      <c r="M77" s="620">
        <f t="shared" ca="1" si="142"/>
        <v>3.2241403798726864</v>
      </c>
      <c r="N77" s="620">
        <f t="shared" ca="1" si="142"/>
        <v>-10.981061529708203</v>
      </c>
      <c r="O77" s="620">
        <f t="shared" ca="1" si="142"/>
        <v>-5.9580372535004038</v>
      </c>
      <c r="P77" s="567"/>
      <c r="Q77" s="623">
        <f t="shared" ca="1" si="143"/>
        <v>-3.4875641154847647</v>
      </c>
      <c r="R77" s="620">
        <f t="shared" ca="1" si="144"/>
        <v>3.1250320082760519</v>
      </c>
      <c r="S77" s="620">
        <f t="shared" ca="1" si="145"/>
        <v>-9.4978985289702837</v>
      </c>
      <c r="T77" s="620">
        <f t="shared" ca="1" si="130"/>
        <v>-18.562819576333091</v>
      </c>
      <c r="U77" s="620">
        <f t="shared" ca="1" si="146"/>
        <v>37.919163015291076</v>
      </c>
      <c r="V77" s="567"/>
      <c r="W77" s="623">
        <f t="shared" ca="1" si="147"/>
        <v>-0.50617745339431863</v>
      </c>
      <c r="X77" s="620">
        <f t="shared" ca="1" si="148"/>
        <v>-3.2885719393734747</v>
      </c>
      <c r="Y77" s="620">
        <f t="shared" ca="1" si="149"/>
        <v>-0.64546447181103028</v>
      </c>
      <c r="Z77" s="620">
        <f t="shared" ca="1" si="131"/>
        <v>32.032739096311232</v>
      </c>
      <c r="AA77" s="620">
        <f t="shared" ca="1" si="150"/>
        <v>-6.6846046617175077</v>
      </c>
      <c r="AB77" s="567"/>
      <c r="AC77" s="623">
        <f t="shared" ca="1" si="151"/>
        <v>9.317741160353755</v>
      </c>
      <c r="AD77" s="620">
        <f t="shared" ca="1" si="152"/>
        <v>12.036437953805557</v>
      </c>
      <c r="AE77" s="620">
        <f t="shared" ca="1" si="153"/>
        <v>8.0365589004507179</v>
      </c>
      <c r="AF77" s="620">
        <f t="shared" ca="1" si="132"/>
        <v>-5.3413722826086918</v>
      </c>
      <c r="AG77" s="620">
        <f t="shared" ca="1" si="154"/>
        <v>2.1365294424179115</v>
      </c>
      <c r="AH77" s="567"/>
      <c r="AI77" s="623">
        <f t="shared" ca="1" si="155"/>
        <v>14.618062749180138</v>
      </c>
      <c r="AJ77" s="620">
        <f t="shared" ca="1" si="156"/>
        <v>14.881154265704776</v>
      </c>
      <c r="AK77" s="620">
        <f t="shared" ca="1" si="157"/>
        <v>14.444830738723425</v>
      </c>
      <c r="AL77" s="620">
        <f t="shared" ca="1" si="133"/>
        <v>13.250201848030873</v>
      </c>
      <c r="AM77" s="620">
        <f t="shared" ca="1" si="158"/>
        <v>3.6666666666666847</v>
      </c>
      <c r="AN77" s="567"/>
      <c r="AO77" s="623">
        <f t="shared" ca="1" si="159"/>
        <v>1.5306752252808309</v>
      </c>
      <c r="AP77" s="620">
        <f t="shared" ca="1" si="160"/>
        <v>4.0383004189108229</v>
      </c>
      <c r="AQ77" s="620">
        <f t="shared" ca="1" si="161"/>
        <v>-1.4502863443558112</v>
      </c>
      <c r="AR77" s="620">
        <f t="shared" ca="1" si="134"/>
        <v>-2.3764258555133089</v>
      </c>
      <c r="AS77" s="620">
        <f t="shared" ca="1" si="162"/>
        <v>2.5625041013189742</v>
      </c>
      <c r="AT77" s="567"/>
      <c r="AU77" s="623">
        <f t="shared" ca="1" si="163"/>
        <v>-5.5879287885366891</v>
      </c>
      <c r="AV77" s="620">
        <f t="shared" ca="1" si="164"/>
        <v>-11.429908118969824</v>
      </c>
      <c r="AW77" s="620">
        <f t="shared" ca="1" si="165"/>
        <v>1.7216577234844044</v>
      </c>
      <c r="AX77" s="620">
        <f t="shared" ca="1" si="135"/>
        <v>4.2680947744238917</v>
      </c>
      <c r="AY77" s="620">
        <f t="shared" ca="1" si="166"/>
        <v>-5.0097571899292976</v>
      </c>
      <c r="AZ77" s="567"/>
      <c r="BA77" s="623">
        <f t="shared" ca="1" si="167"/>
        <v>-1.911870892375056</v>
      </c>
      <c r="BB77" s="620">
        <f t="shared" ca="1" si="168"/>
        <v>12.794956833473314</v>
      </c>
      <c r="BC77" s="620">
        <f t="shared" ca="1" si="169"/>
        <v>-20.3438909964309</v>
      </c>
      <c r="BD77" s="620">
        <f t="shared" ca="1" si="136"/>
        <v>-6.2801556420233435</v>
      </c>
      <c r="BE77" s="620">
        <f t="shared" ca="1" si="170"/>
        <v>8.8573064358602913</v>
      </c>
      <c r="BF77" s="567"/>
      <c r="BG77" s="623">
        <f t="shared" ca="1" si="171"/>
        <v>7.4289411742640921</v>
      </c>
      <c r="BH77" s="620">
        <f t="shared" ca="1" si="172"/>
        <v>6.7066383128997042</v>
      </c>
      <c r="BI77" s="620">
        <f t="shared" ca="1" si="173"/>
        <v>9.5981513836442822</v>
      </c>
      <c r="BJ77" s="620">
        <f t="shared" ca="1" si="137"/>
        <v>2.4578593373744129</v>
      </c>
      <c r="BK77" s="620">
        <f t="shared" ca="1" si="174"/>
        <v>12.458620796336973</v>
      </c>
      <c r="BL77" s="567"/>
      <c r="BM77" s="623">
        <f t="shared" ca="1" si="175"/>
        <v>3.105386743948535</v>
      </c>
      <c r="BN77" s="620">
        <f t="shared" ca="1" si="176"/>
        <v>3.4324975718550865</v>
      </c>
      <c r="BO77" s="620">
        <f t="shared" ca="1" si="177"/>
        <v>1.8872775892214255</v>
      </c>
      <c r="BP77" s="620">
        <f t="shared" ca="1" si="138"/>
        <v>7.0994407974714235</v>
      </c>
      <c r="BQ77" s="620">
        <f t="shared" ca="1" si="178"/>
        <v>5.969738651994505</v>
      </c>
      <c r="BR77" s="567"/>
      <c r="BS77" s="623">
        <f t="shared" ca="1" si="179"/>
        <v>2.3307497259062115</v>
      </c>
      <c r="BT77" s="620">
        <f t="shared" ca="1" si="180"/>
        <v>-0.30535731675083166</v>
      </c>
      <c r="BU77" s="620">
        <f t="shared" ca="1" si="181"/>
        <v>6.2686115176904034</v>
      </c>
      <c r="BV77" s="620">
        <f t="shared" ca="1" si="139"/>
        <v>7.3931138857359135</v>
      </c>
      <c r="BW77" s="620">
        <f t="shared" ca="1" si="182"/>
        <v>12.557113187954293</v>
      </c>
      <c r="BX77" s="567"/>
      <c r="BY77" s="623">
        <f t="shared" ca="1" si="183"/>
        <v>2.3715660278233797</v>
      </c>
      <c r="BZ77" s="620">
        <f t="shared" ca="1" si="184"/>
        <v>0.48071891548695511</v>
      </c>
      <c r="CA77" s="620">
        <f t="shared" ca="1" si="185"/>
        <v>-2.5528378057468548</v>
      </c>
      <c r="CB77" s="620">
        <f t="shared" ca="1" si="140"/>
        <v>50.690529875986456</v>
      </c>
      <c r="CC77" s="620">
        <f t="shared" ca="1" si="186"/>
        <v>1.7205987499135045</v>
      </c>
      <c r="CD77" s="567"/>
      <c r="CE77" s="623">
        <f t="shared" ca="1" si="187"/>
        <v>-2.0289164026637163</v>
      </c>
      <c r="CF77" s="620">
        <f t="shared" ca="1" si="188"/>
        <v>1.5387179202310808</v>
      </c>
      <c r="CG77" s="620">
        <f t="shared" ca="1" si="189"/>
        <v>-8.2539295723162986</v>
      </c>
      <c r="CH77" s="620">
        <f t="shared" ca="1" si="141"/>
        <v>-2.1649677359020014</v>
      </c>
      <c r="CI77" s="620">
        <f t="shared" ca="1" si="190"/>
        <v>15.588508718227789</v>
      </c>
      <c r="CJ77" s="567"/>
      <c r="CK77" s="623">
        <f t="shared" ca="1" si="191"/>
        <v>4.5749450404411585</v>
      </c>
      <c r="CL77" s="620">
        <f t="shared" ca="1" si="192"/>
        <v>1.6337053449313466</v>
      </c>
      <c r="CM77" s="620">
        <f t="shared" ca="1" si="193"/>
        <v>8.2833085422864272</v>
      </c>
      <c r="CN77" s="620">
        <f t="shared" ca="1" si="37"/>
        <v>11.786072742914499</v>
      </c>
      <c r="CO77" s="620">
        <f t="shared" ca="1" si="194"/>
        <v>-20.85017066185414</v>
      </c>
      <c r="CP77" s="567"/>
      <c r="CQ77" s="623">
        <f t="shared" ca="1" si="195"/>
        <v>-1.7006977120251676</v>
      </c>
      <c r="CR77" s="620">
        <f t="shared" ca="1" si="196"/>
        <v>0.11236635468743206</v>
      </c>
      <c r="CS77" s="620">
        <f t="shared" ca="1" si="197"/>
        <v>-6.7837562704671779</v>
      </c>
      <c r="CT77" s="620">
        <f t="shared" ca="1" si="42"/>
        <v>4.4978408653640667</v>
      </c>
      <c r="CU77" s="620">
        <f t="shared" ca="1" si="198"/>
        <v>22.223599097871084</v>
      </c>
      <c r="CV77" s="567"/>
      <c r="CW77" s="623">
        <f t="shared" ca="1" si="199"/>
        <v>0.27845653229332523</v>
      </c>
      <c r="CX77" s="620">
        <f t="shared" ca="1" si="200"/>
        <v>-0.86364491760090312</v>
      </c>
      <c r="CY77" s="620">
        <f t="shared" ca="1" si="201"/>
        <v>5.9314228572932448</v>
      </c>
      <c r="CZ77" s="620">
        <f t="shared" ca="1" si="47"/>
        <v>-10.347367129004537</v>
      </c>
      <c r="DA77" s="620">
        <f t="shared" ca="1" si="202"/>
        <v>3.4491848487306465</v>
      </c>
      <c r="DB77" s="567"/>
      <c r="DC77" s="623">
        <f t="shared" ca="1" si="203"/>
        <v>-0.99069720916273862</v>
      </c>
      <c r="DD77" s="620">
        <f t="shared" ca="1" si="204"/>
        <v>3.9083950834898351</v>
      </c>
      <c r="DE77" s="620">
        <f t="shared" ca="1" si="205"/>
        <v>-13.235622903987087</v>
      </c>
      <c r="DF77" s="620">
        <f t="shared" ca="1" si="52"/>
        <v>11.021358159912387</v>
      </c>
      <c r="DG77" s="620">
        <f t="shared" ca="1" si="206"/>
        <v>1.2015602642256429</v>
      </c>
      <c r="DH77" s="567"/>
      <c r="DI77" s="623">
        <f t="shared" ca="1" si="207"/>
        <v>3.9798099810466114</v>
      </c>
      <c r="DJ77" s="620">
        <f t="shared" ca="1" si="208"/>
        <v>3.1487329383824258</v>
      </c>
      <c r="DK77" s="620">
        <f t="shared" ca="1" si="209"/>
        <v>8.1512869699659429</v>
      </c>
      <c r="DL77" s="620">
        <f t="shared" ca="1" si="57"/>
        <v>-2.7623628067579231</v>
      </c>
      <c r="DM77" s="620">
        <f t="shared" ca="1" si="210"/>
        <v>8.0960681774162389</v>
      </c>
      <c r="DN77" s="567"/>
      <c r="DO77" s="623">
        <f t="shared" ca="1" si="211"/>
        <v>1.020999078885465</v>
      </c>
      <c r="DP77" s="620">
        <f t="shared" ca="1" si="212"/>
        <v>1.182208053436562</v>
      </c>
      <c r="DQ77" s="620">
        <f t="shared" ca="1" si="213"/>
        <v>3.164875311060511</v>
      </c>
      <c r="DR77" s="620">
        <f t="shared" ca="1" si="62"/>
        <v>-6.9034030860283373</v>
      </c>
      <c r="DS77" s="620">
        <f t="shared" ca="1" si="214"/>
        <v>3.8398136534671279</v>
      </c>
      <c r="DT77" s="567"/>
      <c r="DU77" s="623">
        <f t="shared" ca="1" si="215"/>
        <v>0.81831612317448954</v>
      </c>
      <c r="DV77" s="620">
        <f t="shared" ca="1" si="216"/>
        <v>3.2920112776079646</v>
      </c>
      <c r="DW77" s="620">
        <f t="shared" ca="1" si="217"/>
        <v>-3.9030523871232514</v>
      </c>
      <c r="DX77" s="620">
        <f t="shared" ca="1" si="67"/>
        <v>-0.44046862228679373</v>
      </c>
      <c r="DY77" s="620">
        <f t="shared" ca="1" si="218"/>
        <v>0.25710489534622738</v>
      </c>
      <c r="DZ77" s="567"/>
      <c r="EA77" s="623">
        <f t="shared" ca="1" si="219"/>
        <v>2.7479383784072331</v>
      </c>
      <c r="EB77" s="620">
        <f t="shared" ca="1" si="220"/>
        <v>6.1054657475382523</v>
      </c>
      <c r="EC77" s="620">
        <f t="shared" ca="1" si="221"/>
        <v>-5.8840808043045918</v>
      </c>
      <c r="ED77" s="620">
        <f t="shared" ca="1" si="72"/>
        <v>6.9327251995438877</v>
      </c>
      <c r="EE77" s="620">
        <f t="shared" ca="1" si="222"/>
        <v>-16.042477023166157</v>
      </c>
      <c r="EF77" s="567"/>
      <c r="EG77" s="623">
        <f t="shared" ca="1" si="223"/>
        <v>6.3628125324974416</v>
      </c>
      <c r="EH77" s="620">
        <f t="shared" ca="1" si="224"/>
        <v>2.7019627303684235</v>
      </c>
      <c r="EI77" s="620">
        <f t="shared" ca="1" si="225"/>
        <v>15.081571854163723</v>
      </c>
      <c r="EJ77" s="620">
        <f t="shared" ca="1" si="77"/>
        <v>7.5239923224568184</v>
      </c>
      <c r="EK77" s="620">
        <f t="shared" ca="1" si="226"/>
        <v>24.8190893995613</v>
      </c>
      <c r="EL77" s="567"/>
      <c r="EM77" s="623">
        <f t="shared" ca="1" si="227"/>
        <v>3.7981207050673094</v>
      </c>
      <c r="EN77" s="620">
        <f t="shared" ca="1" si="228"/>
        <v>5.0000000000000044</v>
      </c>
      <c r="EO77" s="620">
        <f t="shared" ca="1" si="229"/>
        <v>2.0000000000000018</v>
      </c>
      <c r="EP77" s="620">
        <f t="shared" ca="1" si="82"/>
        <v>1.0000000000000009</v>
      </c>
      <c r="EQ77" s="620">
        <f t="shared" ca="1" si="230"/>
        <v>2.6304690579424417</v>
      </c>
      <c r="ER77" s="567"/>
      <c r="ES77" s="623">
        <f t="shared" ca="1" si="231"/>
        <v>2.0503429458555988</v>
      </c>
      <c r="ET77" s="620">
        <f t="shared" ca="1" si="232"/>
        <v>2.4999999999999911</v>
      </c>
      <c r="EU77" s="620">
        <f t="shared" ca="1" si="233"/>
        <v>1.4999999999999902</v>
      </c>
      <c r="EV77" s="620">
        <f t="shared" ca="1" si="87"/>
        <v>0.49999999999998934</v>
      </c>
      <c r="EW77" s="620">
        <f t="shared" ca="1" si="234"/>
        <v>4.3373015110984792</v>
      </c>
      <c r="EX77" s="567"/>
      <c r="EY77" s="623">
        <f t="shared" ca="1" si="235"/>
        <v>2.0544465095065911</v>
      </c>
      <c r="EZ77" s="620">
        <f t="shared" ca="1" si="236"/>
        <v>2.4999999999999911</v>
      </c>
      <c r="FA77" s="620">
        <f t="shared" ca="1" si="237"/>
        <v>1.4999999999999902</v>
      </c>
      <c r="FB77" s="620">
        <f t="shared" ca="1" si="92"/>
        <v>0.49999999999998934</v>
      </c>
      <c r="FC77" s="620">
        <f t="shared" ca="1" si="238"/>
        <v>2.6313209415120387</v>
      </c>
      <c r="FD77" s="567"/>
    </row>
    <row r="78" spans="2:160" ht="13.15">
      <c r="B78" s="555" t="s">
        <v>1793</v>
      </c>
      <c r="C78" s="3853" t="s">
        <v>1665</v>
      </c>
      <c r="D78" s="3854"/>
      <c r="E78" s="571"/>
      <c r="F78" s="571"/>
      <c r="G78" s="571"/>
      <c r="H78" s="571"/>
      <c r="I78" s="571"/>
      <c r="J78" s="567"/>
      <c r="K78" s="571">
        <f t="shared" ca="1" si="142"/>
        <v>2.6515642527524141</v>
      </c>
      <c r="L78" s="571">
        <f t="shared" ca="1" si="142"/>
        <v>2.7368805810589869</v>
      </c>
      <c r="M78" s="571">
        <f t="shared" ca="1" si="142"/>
        <v>-5.3502813086059309</v>
      </c>
      <c r="N78" s="571">
        <f t="shared" ca="1" si="142"/>
        <v>8.0878586661948138</v>
      </c>
      <c r="O78" s="571" t="str">
        <f t="shared" si="142"/>
        <v/>
      </c>
      <c r="P78" s="567"/>
      <c r="Q78" s="571">
        <f t="shared" ca="1" si="143"/>
        <v>4.2939394285471666</v>
      </c>
      <c r="R78" s="571">
        <f t="shared" ca="1" si="144"/>
        <v>2.75699721941145</v>
      </c>
      <c r="S78" s="571">
        <f t="shared" ca="1" si="145"/>
        <v>7.3574271724963669</v>
      </c>
      <c r="T78" s="571">
        <f t="shared" ca="1" si="130"/>
        <v>5.0167368162568948</v>
      </c>
      <c r="U78" s="571" t="str">
        <f t="shared" si="146"/>
        <v/>
      </c>
      <c r="V78" s="567"/>
      <c r="W78" s="571">
        <f t="shared" ca="1" si="147"/>
        <v>3.3836017894782078</v>
      </c>
      <c r="X78" s="571">
        <f t="shared" ca="1" si="148"/>
        <v>0.87285222941240193</v>
      </c>
      <c r="Y78" s="571">
        <f t="shared" ca="1" si="149"/>
        <v>3.4064250255104955</v>
      </c>
      <c r="Z78" s="571">
        <f t="shared" ca="1" si="131"/>
        <v>7.5191370483410402</v>
      </c>
      <c r="AA78" s="571" t="str">
        <f t="shared" si="150"/>
        <v/>
      </c>
      <c r="AB78" s="567"/>
      <c r="AC78" s="571">
        <f t="shared" ca="1" si="151"/>
        <v>3.8859855095665141</v>
      </c>
      <c r="AD78" s="571">
        <f t="shared" ca="1" si="152"/>
        <v>0.9671029968997491</v>
      </c>
      <c r="AE78" s="571">
        <f t="shared" ca="1" si="153"/>
        <v>7.7730605821188181</v>
      </c>
      <c r="AF78" s="571">
        <f t="shared" ca="1" si="132"/>
        <v>6.0751305097630715</v>
      </c>
      <c r="AG78" s="571" t="str">
        <f t="shared" si="154"/>
        <v/>
      </c>
      <c r="AH78" s="567"/>
      <c r="AI78" s="571">
        <f t="shared" ca="1" si="155"/>
        <v>10.005607675378215</v>
      </c>
      <c r="AJ78" s="571">
        <f t="shared" ca="1" si="156"/>
        <v>13.982132347834341</v>
      </c>
      <c r="AK78" s="571">
        <f t="shared" ca="1" si="157"/>
        <v>4.5372309966098312</v>
      </c>
      <c r="AL78" s="571">
        <f t="shared" ca="1" si="133"/>
        <v>7.476710308610901</v>
      </c>
      <c r="AM78" s="571" t="str">
        <f t="shared" si="158"/>
        <v/>
      </c>
      <c r="AN78" s="567"/>
      <c r="AO78" s="571">
        <f t="shared" ca="1" si="159"/>
        <v>2.2609100468796273</v>
      </c>
      <c r="AP78" s="571">
        <f t="shared" ca="1" si="160"/>
        <v>4.290116280623546</v>
      </c>
      <c r="AQ78" s="571">
        <f t="shared" ca="1" si="161"/>
        <v>-0.39738922880857563</v>
      </c>
      <c r="AR78" s="571">
        <f t="shared" ca="1" si="134"/>
        <v>0.66397429107607486</v>
      </c>
      <c r="AS78" s="571" t="str">
        <f t="shared" si="162"/>
        <v/>
      </c>
      <c r="AT78" s="567"/>
      <c r="AU78" s="571">
        <f t="shared" ca="1" si="163"/>
        <v>2.1630937074744061</v>
      </c>
      <c r="AV78" s="571">
        <f t="shared" ca="1" si="164"/>
        <v>2.1125796894067017</v>
      </c>
      <c r="AW78" s="571">
        <f t="shared" ca="1" si="165"/>
        <v>6.762635495176772</v>
      </c>
      <c r="AX78" s="571">
        <f t="shared" ca="1" si="135"/>
        <v>-0.45895693268492854</v>
      </c>
      <c r="AY78" s="571" t="str">
        <f t="shared" si="166"/>
        <v/>
      </c>
      <c r="AZ78" s="567"/>
      <c r="BA78" s="571">
        <f t="shared" ca="1" si="167"/>
        <v>5.6000543448505358</v>
      </c>
      <c r="BB78" s="571">
        <f t="shared" ca="1" si="168"/>
        <v>4.1641466601150867</v>
      </c>
      <c r="BC78" s="571">
        <f t="shared" ca="1" si="169"/>
        <v>7.8016701406085742</v>
      </c>
      <c r="BD78" s="571">
        <f t="shared" ca="1" si="136"/>
        <v>6.6006424295761423</v>
      </c>
      <c r="BE78" s="571" t="str">
        <f t="shared" si="170"/>
        <v/>
      </c>
      <c r="BF78" s="567"/>
      <c r="BG78" s="571">
        <f t="shared" ca="1" si="171"/>
        <v>4.3082176458219656</v>
      </c>
      <c r="BH78" s="571">
        <f t="shared" ca="1" si="172"/>
        <v>3.2479744429266377</v>
      </c>
      <c r="BI78" s="571">
        <f t="shared" ca="1" si="173"/>
        <v>4.6215266687959389</v>
      </c>
      <c r="BJ78" s="571">
        <f t="shared" ca="1" si="137"/>
        <v>5.8319423698571127</v>
      </c>
      <c r="BK78" s="571" t="str">
        <f t="shared" si="174"/>
        <v/>
      </c>
      <c r="BL78" s="567"/>
      <c r="BM78" s="571">
        <f t="shared" ca="1" si="175"/>
        <v>4.6237418000258934</v>
      </c>
      <c r="BN78" s="571">
        <f t="shared" ca="1" si="176"/>
        <v>4.0524799301088876</v>
      </c>
      <c r="BO78" s="571">
        <f t="shared" ca="1" si="177"/>
        <v>3.2936001934994241</v>
      </c>
      <c r="BP78" s="571">
        <f t="shared" ca="1" si="138"/>
        <v>6.3681355646194593</v>
      </c>
      <c r="BQ78" s="571" t="str">
        <f t="shared" si="178"/>
        <v/>
      </c>
      <c r="BR78" s="567"/>
      <c r="BS78" s="571">
        <f t="shared" ca="1" si="179"/>
        <v>6.5708249074787117</v>
      </c>
      <c r="BT78" s="571">
        <f t="shared" ca="1" si="180"/>
        <v>5.4570399942231562</v>
      </c>
      <c r="BU78" s="571">
        <f t="shared" ca="1" si="181"/>
        <v>11.969768100094026</v>
      </c>
      <c r="BV78" s="571">
        <f t="shared" ca="1" si="139"/>
        <v>4.9939047809895998</v>
      </c>
      <c r="BW78" s="571" t="str">
        <f t="shared" si="182"/>
        <v/>
      </c>
      <c r="BX78" s="567"/>
      <c r="BY78" s="571">
        <f t="shared" ca="1" si="183"/>
        <v>5.5042592088855313</v>
      </c>
      <c r="BZ78" s="571">
        <f t="shared" ca="1" si="184"/>
        <v>6.0532895668590658</v>
      </c>
      <c r="CA78" s="571">
        <f t="shared" ca="1" si="185"/>
        <v>4.6461293253539093</v>
      </c>
      <c r="CB78" s="571">
        <f t="shared" ca="1" si="140"/>
        <v>5.2089380528627549</v>
      </c>
      <c r="CC78" s="571" t="str">
        <f t="shared" si="186"/>
        <v/>
      </c>
      <c r="CD78" s="567"/>
      <c r="CE78" s="571">
        <f t="shared" ca="1" si="187"/>
        <v>2.4364813353463965</v>
      </c>
      <c r="CF78" s="571">
        <f t="shared" ca="1" si="188"/>
        <v>4.7017239360345409</v>
      </c>
      <c r="CG78" s="571">
        <f t="shared" ca="1" si="189"/>
        <v>-1.1833515877458067</v>
      </c>
      <c r="CH78" s="571">
        <f t="shared" ca="1" si="141"/>
        <v>1.2288000806266464</v>
      </c>
      <c r="CI78" s="571" t="str">
        <f t="shared" si="190"/>
        <v/>
      </c>
      <c r="CJ78" s="567"/>
      <c r="CK78" s="571">
        <f t="shared" ca="1" si="191"/>
        <v>-2.8138185059755516</v>
      </c>
      <c r="CL78" s="571">
        <f t="shared" ca="1" si="192"/>
        <v>0.63784118355869612</v>
      </c>
      <c r="CM78" s="571">
        <f t="shared" ca="1" si="193"/>
        <v>-12.931240139681544</v>
      </c>
      <c r="CN78" s="571">
        <f t="shared" ca="1" si="37"/>
        <v>-2.0086828663041678</v>
      </c>
      <c r="CO78" s="571" t="str">
        <f t="shared" si="194"/>
        <v/>
      </c>
      <c r="CP78" s="567"/>
      <c r="CQ78" s="571">
        <f t="shared" ca="1" si="195"/>
        <v>6.5919812432995162</v>
      </c>
      <c r="CR78" s="571">
        <f t="shared" ca="1" si="196"/>
        <v>4.7774473823126273</v>
      </c>
      <c r="CS78" s="571">
        <f t="shared" ca="1" si="197"/>
        <v>15.83440919623178</v>
      </c>
      <c r="CT78" s="571">
        <f t="shared" ca="1" si="42"/>
        <v>4.4143607536741181</v>
      </c>
      <c r="CU78" s="571" t="str">
        <f t="shared" si="198"/>
        <v/>
      </c>
      <c r="CV78" s="567"/>
      <c r="CW78" s="571">
        <f t="shared" ca="1" si="199"/>
        <v>2.6949597623438848</v>
      </c>
      <c r="CX78" s="571">
        <f t="shared" ca="1" si="200"/>
        <v>3.6450542640840133</v>
      </c>
      <c r="CY78" s="571">
        <f t="shared" ca="1" si="201"/>
        <v>1.0041681348911036</v>
      </c>
      <c r="CZ78" s="571">
        <f t="shared" ca="1" si="47"/>
        <v>2.1606036335019896</v>
      </c>
      <c r="DA78" s="571" t="str">
        <f t="shared" si="202"/>
        <v/>
      </c>
      <c r="DB78" s="567"/>
      <c r="DC78" s="571">
        <f t="shared" ca="1" si="203"/>
        <v>1.0599663928418712</v>
      </c>
      <c r="DD78" s="571">
        <f t="shared" ca="1" si="204"/>
        <v>3.2886761499659967</v>
      </c>
      <c r="DE78" s="571">
        <f t="shared" ca="1" si="205"/>
        <v>-5.5769182582683481</v>
      </c>
      <c r="DF78" s="571">
        <f t="shared" ca="1" si="52"/>
        <v>1.3738841172590721</v>
      </c>
      <c r="DG78" s="571" t="str">
        <f t="shared" si="206"/>
        <v/>
      </c>
      <c r="DH78" s="567"/>
      <c r="DI78" s="571">
        <f t="shared" ca="1" si="207"/>
        <v>3.1539359766787456</v>
      </c>
      <c r="DJ78" s="571">
        <f t="shared" ca="1" si="208"/>
        <v>3.3473748856967855</v>
      </c>
      <c r="DK78" s="571">
        <f t="shared" ca="1" si="209"/>
        <v>2.4240481910986711</v>
      </c>
      <c r="DL78" s="571">
        <f t="shared" ca="1" si="57"/>
        <v>3.2390929670594204</v>
      </c>
      <c r="DM78" s="571" t="str">
        <f t="shared" si="210"/>
        <v/>
      </c>
      <c r="DN78" s="567"/>
      <c r="DO78" s="571">
        <f t="shared" ca="1" si="211"/>
        <v>4.1869330234324931</v>
      </c>
      <c r="DP78" s="571">
        <f t="shared" ca="1" si="212"/>
        <v>4.508547506631122</v>
      </c>
      <c r="DQ78" s="571">
        <f t="shared" ca="1" si="213"/>
        <v>5.5463988616025972</v>
      </c>
      <c r="DR78" s="571">
        <f t="shared" ca="1" si="62"/>
        <v>2.8537479082223038</v>
      </c>
      <c r="DS78" s="571" t="str">
        <f t="shared" si="214"/>
        <v/>
      </c>
      <c r="DT78" s="567"/>
      <c r="DU78" s="571">
        <f t="shared" ca="1" si="215"/>
        <v>5.3955614010702924</v>
      </c>
      <c r="DV78" s="571">
        <f t="shared" ca="1" si="216"/>
        <v>3.7857389914434769</v>
      </c>
      <c r="DW78" s="571">
        <f t="shared" ca="1" si="217"/>
        <v>5.7672244907593706</v>
      </c>
      <c r="DX78" s="571">
        <f t="shared" ca="1" si="67"/>
        <v>8.011746195897107</v>
      </c>
      <c r="DY78" s="571" t="str">
        <f t="shared" si="218"/>
        <v/>
      </c>
      <c r="DZ78" s="567"/>
      <c r="EA78" s="571">
        <f t="shared" ca="1" si="219"/>
        <v>4.4645602751233193</v>
      </c>
      <c r="EB78" s="571">
        <f t="shared" ca="1" si="220"/>
        <v>5.3335210022732005</v>
      </c>
      <c r="EC78" s="571">
        <f t="shared" ca="1" si="221"/>
        <v>-2.4479138771356879</v>
      </c>
      <c r="ED78" s="571">
        <f t="shared" ca="1" si="72"/>
        <v>6.9595421062844665</v>
      </c>
      <c r="EE78" s="571" t="str">
        <f t="shared" si="222"/>
        <v/>
      </c>
      <c r="EF78" s="567"/>
      <c r="EG78" s="571">
        <f t="shared" ca="1" si="223"/>
        <v>4.4243463641447045</v>
      </c>
      <c r="EH78" s="571">
        <f t="shared" ca="1" si="224"/>
        <v>3.5495056888243504</v>
      </c>
      <c r="EI78" s="571">
        <f t="shared" ca="1" si="225"/>
        <v>6.4523803641348021</v>
      </c>
      <c r="EJ78" s="571">
        <f t="shared" ca="1" si="77"/>
        <v>4.8207195153766147</v>
      </c>
      <c r="EK78" s="571" t="str">
        <f t="shared" si="226"/>
        <v/>
      </c>
      <c r="EL78" s="567"/>
      <c r="EM78" s="571">
        <f t="shared" ca="1" si="227"/>
        <v>4.3790391708473653</v>
      </c>
      <c r="EN78" s="571">
        <f t="shared" ca="1" si="228"/>
        <v>4.1971463490283023</v>
      </c>
      <c r="EO78" s="571">
        <f t="shared" ca="1" si="229"/>
        <v>6.2091217137565824</v>
      </c>
      <c r="EP78" s="571">
        <f t="shared" ca="1" si="82"/>
        <v>3.706089184036454</v>
      </c>
      <c r="EQ78" s="571" t="str">
        <f t="shared" si="230"/>
        <v/>
      </c>
      <c r="ER78" s="567"/>
      <c r="ES78" s="571">
        <f t="shared" ca="1" si="231"/>
        <v>3.3976830352233645</v>
      </c>
      <c r="ET78" s="571">
        <f t="shared" ca="1" si="232"/>
        <v>3.2227946021366805</v>
      </c>
      <c r="EU78" s="571">
        <f t="shared" ca="1" si="233"/>
        <v>4.155643562449618</v>
      </c>
      <c r="EV78" s="571">
        <f t="shared" ca="1" si="87"/>
        <v>3.2744373973180085</v>
      </c>
      <c r="EW78" s="571" t="str">
        <f t="shared" si="234"/>
        <v/>
      </c>
      <c r="EX78" s="567"/>
      <c r="EY78" s="571">
        <f t="shared" ca="1" si="235"/>
        <v>3.2728963102155895</v>
      </c>
      <c r="EZ78" s="571">
        <f t="shared" ca="1" si="236"/>
        <v>3.207627467521279</v>
      </c>
      <c r="FA78" s="571">
        <f t="shared" ca="1" si="237"/>
        <v>4.1844303087770873</v>
      </c>
      <c r="FB78" s="571">
        <f t="shared" ca="1" si="92"/>
        <v>2.8805646002460827</v>
      </c>
      <c r="FC78" s="571" t="str">
        <f t="shared" si="238"/>
        <v/>
      </c>
      <c r="FD78" s="567"/>
    </row>
    <row r="79" spans="2:160" ht="13.15">
      <c r="B79" s="555" t="s">
        <v>301</v>
      </c>
      <c r="C79" s="3856" t="s">
        <v>1666</v>
      </c>
      <c r="D79" s="3856"/>
      <c r="E79" s="623"/>
      <c r="F79" s="620"/>
      <c r="G79" s="620"/>
      <c r="H79" s="620"/>
      <c r="I79" s="620"/>
      <c r="J79" s="563"/>
      <c r="K79" s="623">
        <f t="shared" ca="1" si="142"/>
        <v>7.2471151139881895</v>
      </c>
      <c r="L79" s="620">
        <f t="shared" ca="1" si="142"/>
        <v>8.4778856770943101</v>
      </c>
      <c r="M79" s="620">
        <f t="shared" ca="1" si="142"/>
        <v>-0.62599835945257309</v>
      </c>
      <c r="N79" s="620">
        <f t="shared" ca="1" si="142"/>
        <v>-73.333333333333343</v>
      </c>
      <c r="O79" s="620">
        <f t="shared" ca="1" si="142"/>
        <v>523.4848484848485</v>
      </c>
      <c r="P79" s="563" t="str">
        <f ca="1">IF(ROUND(P30,2)=0,"ok","!")</f>
        <v>ok</v>
      </c>
      <c r="Q79" s="623">
        <f t="shared" ca="1" si="143"/>
        <v>6.4828932761928248</v>
      </c>
      <c r="R79" s="620">
        <f t="shared" ca="1" si="144"/>
        <v>5.1335934258482485</v>
      </c>
      <c r="S79" s="620">
        <f t="shared" ca="1" si="145"/>
        <v>16.29594230602136</v>
      </c>
      <c r="T79" s="620">
        <f t="shared" ca="1" si="130"/>
        <v>75</v>
      </c>
      <c r="U79" s="620">
        <f t="shared" ca="1" si="146"/>
        <v>-30.133657351154319</v>
      </c>
      <c r="V79" s="563" t="str">
        <f ca="1">IF(ROUND(V30,2)=0,"ok","!")</f>
        <v>ok</v>
      </c>
      <c r="W79" s="623">
        <f t="shared" ca="1" si="147"/>
        <v>3.5304816735345801</v>
      </c>
      <c r="X79" s="620">
        <f t="shared" ca="1" si="148"/>
        <v>5.2034740933598611</v>
      </c>
      <c r="Y79" s="620">
        <f t="shared" ca="1" si="149"/>
        <v>-7.4750644402106881</v>
      </c>
      <c r="Z79" s="620">
        <f t="shared" ca="1" si="131"/>
        <v>0</v>
      </c>
      <c r="AA79" s="620">
        <f t="shared" ca="1" si="150"/>
        <v>345.04347826086968</v>
      </c>
      <c r="AB79" s="563" t="str">
        <f ca="1">IF(ROUND(AB30,2)=0,"ok","!")</f>
        <v>ok</v>
      </c>
      <c r="AC79" s="623">
        <f t="shared" ca="1" si="151"/>
        <v>9.4520766430916225</v>
      </c>
      <c r="AD79" s="620">
        <f t="shared" ca="1" si="152"/>
        <v>7.2222791970507405</v>
      </c>
      <c r="AE79" s="620">
        <f t="shared" ca="1" si="153"/>
        <v>26.136547157622726</v>
      </c>
      <c r="AF79" s="620">
        <f t="shared" ca="1" si="132"/>
        <v>-28.571428571428569</v>
      </c>
      <c r="AG79" s="620">
        <f t="shared" ca="1" si="154"/>
        <v>-24.775302852676827</v>
      </c>
      <c r="AH79" s="563" t="str">
        <f ca="1">IF(ROUND(AH30,2)=0,"ok","!")</f>
        <v>ok</v>
      </c>
      <c r="AI79" s="623">
        <f t="shared" ca="1" si="155"/>
        <v>10.262232400936956</v>
      </c>
      <c r="AJ79" s="620">
        <f t="shared" ca="1" si="156"/>
        <v>6.9421966045381867</v>
      </c>
      <c r="AK79" s="620">
        <f t="shared" ca="1" si="157"/>
        <v>31.203687402973614</v>
      </c>
      <c r="AL79" s="620">
        <f t="shared" ca="1" si="133"/>
        <v>2120</v>
      </c>
      <c r="AM79" s="620">
        <f t="shared" ca="1" si="158"/>
        <v>-6.2337662337662358</v>
      </c>
      <c r="AN79" s="563" t="str">
        <f ca="1">IF(ROUND(AN30,2)=0,"ok","!")</f>
        <v>ok</v>
      </c>
      <c r="AO79" s="623">
        <f t="shared" ca="1" si="159"/>
        <v>-4.4610398704452159</v>
      </c>
      <c r="AP79" s="620">
        <f t="shared" ca="1" si="160"/>
        <v>0.15886988203617225</v>
      </c>
      <c r="AQ79" s="620">
        <f t="shared" ca="1" si="161"/>
        <v>-28.281288119053428</v>
      </c>
      <c r="AR79" s="620">
        <f t="shared" ca="1" si="134"/>
        <v>-95.495495495495504</v>
      </c>
      <c r="AS79" s="620">
        <f t="shared" ca="1" si="162"/>
        <v>-20.498614958448748</v>
      </c>
      <c r="AT79" s="563" t="str">
        <f ca="1">IF(ROUND(AT30,2)=0,"ok","!")</f>
        <v>ok</v>
      </c>
      <c r="AU79" s="623">
        <f t="shared" ca="1" si="163"/>
        <v>-2.2343300622895357</v>
      </c>
      <c r="AV79" s="620">
        <f t="shared" ca="1" si="164"/>
        <v>0.18916651588176681</v>
      </c>
      <c r="AW79" s="620">
        <f t="shared" ca="1" si="165"/>
        <v>-19.792499362190664</v>
      </c>
      <c r="AX79" s="620">
        <f t="shared" ca="1" si="135"/>
        <v>200</v>
      </c>
      <c r="AY79" s="620">
        <f t="shared" ca="1" si="166"/>
        <v>-13.101045296167246</v>
      </c>
      <c r="AZ79" s="563" t="str">
        <f ca="1">IF(ROUND(AZ30,2)=0,"ok","!")</f>
        <v>ok</v>
      </c>
      <c r="BA79" s="623">
        <f t="shared" ca="1" si="167"/>
        <v>7.911659053616571</v>
      </c>
      <c r="BB79" s="620">
        <f t="shared" ca="1" si="168"/>
        <v>6.9437277767874672</v>
      </c>
      <c r="BC79" s="620">
        <f t="shared" ca="1" si="169"/>
        <v>16.656770855422188</v>
      </c>
      <c r="BD79" s="620">
        <f t="shared" ca="1" si="136"/>
        <v>26.666666666666661</v>
      </c>
      <c r="BE79" s="620">
        <f t="shared" ca="1" si="170"/>
        <v>-153.88933440256616</v>
      </c>
      <c r="BF79" s="563" t="str">
        <f ca="1">IF(ROUND(BF30,2)=0,"ok","!")</f>
        <v>ok</v>
      </c>
      <c r="BG79" s="623">
        <f t="shared" ca="1" si="171"/>
        <v>8.8425868847518565</v>
      </c>
      <c r="BH79" s="620">
        <f t="shared" ca="1" si="172"/>
        <v>4.8455898640453965</v>
      </c>
      <c r="BI79" s="620">
        <f t="shared" ca="1" si="173"/>
        <v>41.988257320996844</v>
      </c>
      <c r="BJ79" s="620">
        <f t="shared" ca="1" si="137"/>
        <v>-42.105263157894733</v>
      </c>
      <c r="BK79" s="620">
        <f t="shared" ca="1" si="174"/>
        <v>206.84523809523805</v>
      </c>
      <c r="BL79" s="563" t="str">
        <f ca="1">IF(ROUND(BL30,2)=0,"ok","!")</f>
        <v>ok</v>
      </c>
      <c r="BM79" s="623">
        <f t="shared" ca="1" si="175"/>
        <v>9.7161340434177568</v>
      </c>
      <c r="BN79" s="620">
        <f t="shared" ca="1" si="176"/>
        <v>6.9351852820282112</v>
      </c>
      <c r="BO79" s="620">
        <f t="shared" ca="1" si="177"/>
        <v>26.744930356411324</v>
      </c>
      <c r="BP79" s="620">
        <f t="shared" ca="1" si="138"/>
        <v>-54.54545454545454</v>
      </c>
      <c r="BQ79" s="620">
        <f t="shared" ca="1" si="178"/>
        <v>-11.736178467507264</v>
      </c>
      <c r="BR79" s="563" t="str">
        <f ca="1">IF(ROUND(BR30,2)=0,"ok","!")</f>
        <v>ok</v>
      </c>
      <c r="BS79" s="623">
        <f t="shared" ca="1" si="179"/>
        <v>7.6703861085482883</v>
      </c>
      <c r="BT79" s="620">
        <f t="shared" ca="1" si="180"/>
        <v>7.5669638054103316</v>
      </c>
      <c r="BU79" s="620">
        <f t="shared" ca="1" si="181"/>
        <v>8.1674292698201043</v>
      </c>
      <c r="BV79" s="620">
        <f t="shared" ca="1" si="139"/>
        <v>740</v>
      </c>
      <c r="BW79" s="620">
        <f t="shared" ca="1" si="182"/>
        <v>77.527472527472526</v>
      </c>
      <c r="BX79" s="563" t="str">
        <f ca="1">IF(ROUND(BX30,2)=0,"ok","!")</f>
        <v>ok</v>
      </c>
      <c r="BY79" s="623">
        <f t="shared" ca="1" si="183"/>
        <v>1.4203460152840686</v>
      </c>
      <c r="BZ79" s="620">
        <f t="shared" ca="1" si="184"/>
        <v>-0.13930008074314326</v>
      </c>
      <c r="CA79" s="620">
        <f t="shared" ca="1" si="185"/>
        <v>9.4267385072229537</v>
      </c>
      <c r="CB79" s="620">
        <f t="shared" ca="1" si="140"/>
        <v>7.1428571428571397</v>
      </c>
      <c r="CC79" s="620">
        <f t="shared" ca="1" si="186"/>
        <v>-33.766635716496431</v>
      </c>
      <c r="CD79" s="563" t="str">
        <f ca="1">IF(ROUND(CD30,2)=0,"ok","!")</f>
        <v>ok</v>
      </c>
      <c r="CE79" s="623">
        <f t="shared" ca="1" si="187"/>
        <v>-4.0557960846695718</v>
      </c>
      <c r="CF79" s="620">
        <f t="shared" ca="1" si="188"/>
        <v>5.6453345862350623E-2</v>
      </c>
      <c r="CG79" s="620">
        <f t="shared" ca="1" si="189"/>
        <v>-23.306936100491537</v>
      </c>
      <c r="CH79" s="620">
        <f t="shared" ca="1" si="141"/>
        <v>-53.333333333333321</v>
      </c>
      <c r="CI79" s="620">
        <f t="shared" ca="1" si="190"/>
        <v>100.42056074766354</v>
      </c>
      <c r="CJ79" s="563" t="str">
        <f ca="1">IF(ROUND(CJ30,2)=0,"ok","!")</f>
        <v>ok</v>
      </c>
      <c r="CK79" s="623">
        <f t="shared" ca="1" si="191"/>
        <v>-3.7099834357584238</v>
      </c>
      <c r="CL79" s="620">
        <f t="shared" ca="1" si="192"/>
        <v>-4.3812200147059883</v>
      </c>
      <c r="CM79" s="620">
        <f t="shared" ca="1" si="193"/>
        <v>2.8930033825891321E-2</v>
      </c>
      <c r="CN79" s="620">
        <f t="shared" ca="1" si="37"/>
        <v>1557.1428571428569</v>
      </c>
      <c r="CO79" s="620">
        <f t="shared" ca="1" si="194"/>
        <v>69.433434366985324</v>
      </c>
      <c r="CP79" s="563" t="str">
        <f ca="1">IF(ROUND(CP30,2)=0,"ok","!")</f>
        <v>ok</v>
      </c>
      <c r="CQ79" s="623">
        <f t="shared" ca="1" si="195"/>
        <v>5.0294829518688688</v>
      </c>
      <c r="CR79" s="620">
        <f t="shared" ca="1" si="196"/>
        <v>1.537600596919475</v>
      </c>
      <c r="CS79" s="620">
        <f t="shared" ca="1" si="197"/>
        <v>25.810362855680879</v>
      </c>
      <c r="CT79" s="620">
        <f t="shared" ca="1" si="42"/>
        <v>-91.666666666666657</v>
      </c>
      <c r="CU79" s="620">
        <f t="shared" ca="1" si="198"/>
        <v>-3.6603825512591115</v>
      </c>
      <c r="CV79" s="563" t="str">
        <f ca="1">IF(ROUND(CV30,2)=0,"ok","!")</f>
        <v>ok</v>
      </c>
      <c r="CW79" s="623">
        <f t="shared" ca="1" si="199"/>
        <v>0.35402089790463886</v>
      </c>
      <c r="CX79" s="620">
        <f t="shared" ca="1" si="200"/>
        <v>1.094214553784667</v>
      </c>
      <c r="CY79" s="620">
        <f t="shared" ca="1" si="201"/>
        <v>-3.1211041458519384</v>
      </c>
      <c r="CZ79" s="620">
        <f t="shared" ca="1" si="47"/>
        <v>-62.068965517241381</v>
      </c>
      <c r="DA79" s="620">
        <f t="shared" ca="1" si="202"/>
        <v>-45.407798885873454</v>
      </c>
      <c r="DB79" s="563" t="str">
        <f ca="1">IF(ROUND(DB30,2)=0,"ok","!")</f>
        <v>ok</v>
      </c>
      <c r="DC79" s="623">
        <f t="shared" ca="1" si="203"/>
        <v>-0.13485168626253818</v>
      </c>
      <c r="DD79" s="620">
        <f t="shared" ca="1" si="204"/>
        <v>2.7959553403711146</v>
      </c>
      <c r="DE79" s="620">
        <f t="shared" ca="1" si="205"/>
        <v>-14.661726186673473</v>
      </c>
      <c r="DF79" s="620">
        <f t="shared" ca="1" si="52"/>
        <v>1018.1818181818181</v>
      </c>
      <c r="DG79" s="620">
        <f t="shared" ca="1" si="206"/>
        <v>50.601779173207738</v>
      </c>
      <c r="DH79" s="563" t="str">
        <f ca="1">IF(ROUND(DH30,2)=0,"ok","!")</f>
        <v>ok</v>
      </c>
      <c r="DI79" s="623">
        <f t="shared" ca="1" si="207"/>
        <v>3.9417518279716068</v>
      </c>
      <c r="DJ79" s="620">
        <f t="shared" ca="1" si="208"/>
        <v>3.4607662571231268</v>
      </c>
      <c r="DK79" s="620">
        <f t="shared" ca="1" si="209"/>
        <v>6.8637306696896605</v>
      </c>
      <c r="DL79" s="620">
        <f t="shared" ca="1" si="57"/>
        <v>-49.59349593495935</v>
      </c>
      <c r="DM79" s="620">
        <f t="shared" ca="1" si="210"/>
        <v>-49.096594857539955</v>
      </c>
      <c r="DN79" s="563" t="str">
        <f ca="1">IF(ROUND(DN30,2)=0,"ok","!")</f>
        <v>ok</v>
      </c>
      <c r="DO79" s="623">
        <f t="shared" ca="1" si="211"/>
        <v>4.5494767849294959</v>
      </c>
      <c r="DP79" s="620">
        <f t="shared" ca="1" si="212"/>
        <v>4.9551732915810831</v>
      </c>
      <c r="DQ79" s="620">
        <f t="shared" ca="1" si="213"/>
        <v>2.1996717505303964</v>
      </c>
      <c r="DR79" s="620">
        <f t="shared" ca="1" si="62"/>
        <v>38.709677419354826</v>
      </c>
      <c r="DS79" s="620">
        <f t="shared" ca="1" si="214"/>
        <v>-1.6040955631399401</v>
      </c>
      <c r="DT79" s="563" t="str">
        <f ca="1">IF(ROUND(DT30,2)=0,"ok","!")</f>
        <v>ok</v>
      </c>
      <c r="DU79" s="623">
        <f t="shared" ca="1" si="215"/>
        <v>9.7486402431230967</v>
      </c>
      <c r="DV79" s="620">
        <f t="shared" ca="1" si="216"/>
        <v>8.1020064389446524</v>
      </c>
      <c r="DW79" s="620">
        <f t="shared" ca="1" si="217"/>
        <v>19.48453810148645</v>
      </c>
      <c r="DX79" s="620">
        <f t="shared" ca="1" si="67"/>
        <v>-25.581395348837198</v>
      </c>
      <c r="DY79" s="620">
        <f t="shared" ca="1" si="218"/>
        <v>-50.052029136316342</v>
      </c>
      <c r="DZ79" s="563" t="str">
        <f ca="1">IF(ROUND(DZ30,2)=0,"ok","!")</f>
        <v>ok</v>
      </c>
      <c r="EA79" s="623">
        <f t="shared" ca="1" si="219"/>
        <v>6.6609559572318178</v>
      </c>
      <c r="EB79" s="620">
        <f t="shared" ca="1" si="220"/>
        <v>7.6558281199816225</v>
      </c>
      <c r="EC79" s="620">
        <f t="shared" ca="1" si="221"/>
        <v>1.267005408949351</v>
      </c>
      <c r="ED79" s="620">
        <f t="shared" ca="1" si="72"/>
        <v>175</v>
      </c>
      <c r="EE79" s="620">
        <f t="shared" ca="1" si="222"/>
        <v>-125.69444444444444</v>
      </c>
      <c r="EF79" s="563" t="str">
        <f ca="1">IF(ROUND(EF30,2)=0,"ok","!")</f>
        <v>ok</v>
      </c>
      <c r="EG79" s="623">
        <f t="shared" ca="1" si="223"/>
        <v>5.2482488044314213</v>
      </c>
      <c r="EH79" s="620">
        <f t="shared" ca="1" si="224"/>
        <v>4.9305404880722437</v>
      </c>
      <c r="EI79" s="620">
        <f t="shared" ca="1" si="225"/>
        <v>7.0844730751177476</v>
      </c>
      <c r="EJ79" s="620">
        <f t="shared" ca="1" si="77"/>
        <v>-19.318181818181824</v>
      </c>
      <c r="EK79" s="620">
        <f t="shared" ca="1" si="226"/>
        <v>-193.78378378378378</v>
      </c>
      <c r="EL79" s="563" t="str">
        <f ca="1">IF(ROUND(EL30,2)=0,"ok","!")</f>
        <v>ok</v>
      </c>
      <c r="EM79" s="623">
        <f t="shared" ca="1" si="227"/>
        <v>3.239326922513186</v>
      </c>
      <c r="EN79" s="620">
        <f t="shared" ca="1" si="228"/>
        <v>2.9230237102800816</v>
      </c>
      <c r="EO79" s="620">
        <f t="shared" ca="1" si="229"/>
        <v>5.0000000000000044</v>
      </c>
      <c r="EP79" s="620">
        <f t="shared" ca="1" si="82"/>
        <v>0</v>
      </c>
      <c r="EQ79" s="620">
        <f t="shared" ca="1" si="230"/>
        <v>-30.000000000000004</v>
      </c>
      <c r="ER79" s="563" t="str">
        <f ca="1">IF(ROUND(ER30,2)=0,"ok","!")</f>
        <v>ok</v>
      </c>
      <c r="ES79" s="623">
        <f t="shared" ca="1" si="231"/>
        <v>3.1189429108622546</v>
      </c>
      <c r="ET79" s="620">
        <f t="shared" ca="1" si="232"/>
        <v>3.2148253656623105</v>
      </c>
      <c r="EU79" s="620">
        <f t="shared" ca="1" si="233"/>
        <v>2.6000000000000023</v>
      </c>
      <c r="EV79" s="620">
        <f t="shared" ca="1" si="87"/>
        <v>0</v>
      </c>
      <c r="EW79" s="620">
        <f t="shared" ca="1" si="234"/>
        <v>-29.999999999999993</v>
      </c>
      <c r="EX79" s="563" t="str">
        <f ca="1">IF(ROUND(EX30,2)=0,"ok","!")</f>
        <v>ok</v>
      </c>
      <c r="EY79" s="623">
        <f t="shared" ca="1" si="235"/>
        <v>2.8323577902588548</v>
      </c>
      <c r="EZ79" s="620">
        <f t="shared" ca="1" si="236"/>
        <v>2.8752881228066851</v>
      </c>
      <c r="FA79" s="620">
        <f t="shared" ca="1" si="237"/>
        <v>2.6000000000000023</v>
      </c>
      <c r="FB79" s="620">
        <f t="shared" ca="1" si="92"/>
        <v>0</v>
      </c>
      <c r="FC79" s="620">
        <f t="shared" ca="1" si="238"/>
        <v>-30.000000000000004</v>
      </c>
      <c r="FD79" s="563" t="str">
        <f ca="1">IF(ROUND(FD30,2)=0,"ok","!")</f>
        <v>ok</v>
      </c>
    </row>
    <row r="80" spans="2:160" ht="13.15">
      <c r="B80" s="555" t="s">
        <v>301</v>
      </c>
      <c r="C80" s="3856" t="s">
        <v>1667</v>
      </c>
      <c r="D80" s="3856"/>
      <c r="E80" s="623"/>
      <c r="F80" s="620"/>
      <c r="G80" s="622"/>
      <c r="H80" s="622"/>
      <c r="I80" s="622"/>
      <c r="J80" s="563"/>
      <c r="K80" s="623">
        <f t="shared" ca="1" si="142"/>
        <v>7.7512343886145807</v>
      </c>
      <c r="L80" s="620">
        <f t="shared" ca="1" si="142"/>
        <v>7.7512343886145807</v>
      </c>
      <c r="M80" s="622" t="str">
        <f t="shared" si="142"/>
        <v/>
      </c>
      <c r="N80" s="622" t="str">
        <f t="shared" si="142"/>
        <v/>
      </c>
      <c r="O80" s="622" t="str">
        <f t="shared" si="142"/>
        <v/>
      </c>
      <c r="P80" s="563" t="str">
        <f ca="1">IF(ROUND(P31,2)=0,"ok","!")</f>
        <v>ok</v>
      </c>
      <c r="Q80" s="623">
        <f t="shared" ca="1" si="143"/>
        <v>8.3026478558673169</v>
      </c>
      <c r="R80" s="620">
        <f t="shared" ca="1" si="144"/>
        <v>8.3026478558673169</v>
      </c>
      <c r="S80" s="622" t="str">
        <f t="shared" si="145"/>
        <v/>
      </c>
      <c r="T80" s="622" t="str">
        <f t="shared" si="130"/>
        <v/>
      </c>
      <c r="U80" s="622" t="str">
        <f t="shared" si="146"/>
        <v/>
      </c>
      <c r="V80" s="563" t="str">
        <f ca="1">IF(ROUND(V31,2)=0,"ok","!")</f>
        <v>ok</v>
      </c>
      <c r="W80" s="623">
        <f t="shared" ca="1" si="147"/>
        <v>-12.981217944729384</v>
      </c>
      <c r="X80" s="620">
        <f t="shared" ca="1" si="148"/>
        <v>-12.981217944729384</v>
      </c>
      <c r="Y80" s="622" t="str">
        <f t="shared" si="149"/>
        <v/>
      </c>
      <c r="Z80" s="622" t="str">
        <f t="shared" si="131"/>
        <v/>
      </c>
      <c r="AA80" s="622" t="str">
        <f t="shared" si="150"/>
        <v/>
      </c>
      <c r="AB80" s="563" t="str">
        <f ca="1">IF(ROUND(AB31,2)=0,"ok","!")</f>
        <v>ok</v>
      </c>
      <c r="AC80" s="623">
        <f t="shared" ca="1" si="151"/>
        <v>4.5716416233388069</v>
      </c>
      <c r="AD80" s="620">
        <f t="shared" ca="1" si="152"/>
        <v>4.5716416233388069</v>
      </c>
      <c r="AE80" s="622" t="str">
        <f t="shared" si="153"/>
        <v/>
      </c>
      <c r="AF80" s="622" t="str">
        <f t="shared" si="132"/>
        <v/>
      </c>
      <c r="AG80" s="622" t="str">
        <f t="shared" si="154"/>
        <v/>
      </c>
      <c r="AH80" s="563" t="str">
        <f ca="1">IF(ROUND(AH31,2)=0,"ok","!")</f>
        <v>ok</v>
      </c>
      <c r="AI80" s="623">
        <f t="shared" ca="1" si="155"/>
        <v>20.952892622530463</v>
      </c>
      <c r="AJ80" s="620">
        <f t="shared" ca="1" si="156"/>
        <v>20.952892622530463</v>
      </c>
      <c r="AK80" s="622" t="str">
        <f t="shared" si="157"/>
        <v/>
      </c>
      <c r="AL80" s="622" t="str">
        <f t="shared" si="133"/>
        <v/>
      </c>
      <c r="AM80" s="622" t="str">
        <f t="shared" si="158"/>
        <v/>
      </c>
      <c r="AN80" s="563" t="str">
        <f ca="1">IF(ROUND(AN31,2)=0,"ok","!")</f>
        <v>ok</v>
      </c>
      <c r="AO80" s="623">
        <f t="shared" ca="1" si="159"/>
        <v>-0.83345110945103329</v>
      </c>
      <c r="AP80" s="620">
        <f t="shared" ca="1" si="160"/>
        <v>-0.83345110945103329</v>
      </c>
      <c r="AQ80" s="622" t="str">
        <f t="shared" si="161"/>
        <v/>
      </c>
      <c r="AR80" s="622" t="str">
        <f t="shared" si="134"/>
        <v/>
      </c>
      <c r="AS80" s="622" t="str">
        <f t="shared" si="162"/>
        <v/>
      </c>
      <c r="AT80" s="563" t="str">
        <f ca="1">IF(ROUND(AT31,2)=0,"ok","!")</f>
        <v>ok</v>
      </c>
      <c r="AU80" s="623">
        <f t="shared" ca="1" si="163"/>
        <v>-5.3729726648234166</v>
      </c>
      <c r="AV80" s="620">
        <f t="shared" ca="1" si="164"/>
        <v>-5.3729726648234166</v>
      </c>
      <c r="AW80" s="622" t="str">
        <f t="shared" si="165"/>
        <v/>
      </c>
      <c r="AX80" s="622" t="str">
        <f t="shared" si="135"/>
        <v/>
      </c>
      <c r="AY80" s="622" t="str">
        <f t="shared" si="166"/>
        <v/>
      </c>
      <c r="AZ80" s="563" t="str">
        <f ca="1">IF(ROUND(AZ31,2)=0,"ok","!")</f>
        <v>ok</v>
      </c>
      <c r="BA80" s="623">
        <f t="shared" ca="1" si="167"/>
        <v>5.0885165199280546</v>
      </c>
      <c r="BB80" s="620">
        <f t="shared" ca="1" si="168"/>
        <v>5.0885165199280546</v>
      </c>
      <c r="BC80" s="622" t="str">
        <f t="shared" si="169"/>
        <v/>
      </c>
      <c r="BD80" s="622" t="str">
        <f t="shared" si="136"/>
        <v/>
      </c>
      <c r="BE80" s="622" t="str">
        <f t="shared" si="170"/>
        <v/>
      </c>
      <c r="BF80" s="563" t="str">
        <f ca="1">IF(ROUND(BF31,2)=0,"ok","!")</f>
        <v>ok</v>
      </c>
      <c r="BG80" s="623">
        <f t="shared" ca="1" si="171"/>
        <v>3.0367182477447852</v>
      </c>
      <c r="BH80" s="620">
        <f t="shared" ca="1" si="172"/>
        <v>3.0367182477447852</v>
      </c>
      <c r="BI80" s="622" t="str">
        <f t="shared" si="173"/>
        <v/>
      </c>
      <c r="BJ80" s="622" t="str">
        <f t="shared" si="137"/>
        <v/>
      </c>
      <c r="BK80" s="622" t="str">
        <f t="shared" si="174"/>
        <v/>
      </c>
      <c r="BL80" s="563" t="str">
        <f ca="1">IF(ROUND(BL31,2)=0,"ok","!")</f>
        <v>ok</v>
      </c>
      <c r="BM80" s="623">
        <f t="shared" ca="1" si="175"/>
        <v>-0.52140668529212508</v>
      </c>
      <c r="BN80" s="620">
        <f t="shared" ca="1" si="176"/>
        <v>-0.52140668529212508</v>
      </c>
      <c r="BO80" s="622" t="str">
        <f t="shared" si="177"/>
        <v/>
      </c>
      <c r="BP80" s="622" t="str">
        <f t="shared" si="138"/>
        <v/>
      </c>
      <c r="BQ80" s="622" t="str">
        <f t="shared" si="178"/>
        <v/>
      </c>
      <c r="BR80" s="563" t="str">
        <f ca="1">IF(ROUND(BR31,2)=0,"ok","!")</f>
        <v>ok</v>
      </c>
      <c r="BS80" s="623">
        <f t="shared" ca="1" si="179"/>
        <v>2.8675868405808602</v>
      </c>
      <c r="BT80" s="620">
        <f t="shared" ca="1" si="180"/>
        <v>2.8675868405808602</v>
      </c>
      <c r="BU80" s="622" t="str">
        <f t="shared" si="181"/>
        <v/>
      </c>
      <c r="BV80" s="622" t="str">
        <f t="shared" si="139"/>
        <v/>
      </c>
      <c r="BW80" s="622" t="str">
        <f t="shared" si="182"/>
        <v/>
      </c>
      <c r="BX80" s="563" t="str">
        <f ca="1">IF(ROUND(BX31,2)=0,"ok","!")</f>
        <v>ok</v>
      </c>
      <c r="BY80" s="623">
        <f t="shared" ca="1" si="183"/>
        <v>13.244243532833909</v>
      </c>
      <c r="BZ80" s="620">
        <f t="shared" ca="1" si="184"/>
        <v>13.244243532833909</v>
      </c>
      <c r="CA80" s="622" t="str">
        <f t="shared" si="185"/>
        <v/>
      </c>
      <c r="CB80" s="622" t="str">
        <f t="shared" si="140"/>
        <v/>
      </c>
      <c r="CC80" s="622" t="str">
        <f t="shared" si="186"/>
        <v/>
      </c>
      <c r="CD80" s="563" t="str">
        <f ca="1">IF(ROUND(CD31,2)=0,"ok","!")</f>
        <v>ok</v>
      </c>
      <c r="CE80" s="623">
        <f t="shared" ca="1" si="187"/>
        <v>7.1914566729310403</v>
      </c>
      <c r="CF80" s="620">
        <f t="shared" ca="1" si="188"/>
        <v>7.1914566729310403</v>
      </c>
      <c r="CG80" s="622" t="str">
        <f t="shared" si="189"/>
        <v/>
      </c>
      <c r="CH80" s="622" t="str">
        <f t="shared" si="141"/>
        <v/>
      </c>
      <c r="CI80" s="622" t="str">
        <f t="shared" si="190"/>
        <v/>
      </c>
      <c r="CJ80" s="563" t="str">
        <f ca="1">IF(ROUND(CJ31,2)=0,"ok","!")</f>
        <v>ok</v>
      </c>
      <c r="CK80" s="623">
        <f t="shared" ca="1" si="191"/>
        <v>-8.8794046697337379</v>
      </c>
      <c r="CL80" s="620">
        <f t="shared" ca="1" si="192"/>
        <v>-8.8794046697337379</v>
      </c>
      <c r="CM80" s="622" t="str">
        <f t="shared" si="193"/>
        <v/>
      </c>
      <c r="CN80" s="622" t="str">
        <f t="shared" si="37"/>
        <v/>
      </c>
      <c r="CO80" s="622" t="str">
        <f t="shared" si="194"/>
        <v/>
      </c>
      <c r="CP80" s="563" t="str">
        <f ca="1">IF(ROUND(CP31,2)=0,"ok","!")</f>
        <v>ok</v>
      </c>
      <c r="CQ80" s="623">
        <f t="shared" ca="1" si="195"/>
        <v>17.37286350294227</v>
      </c>
      <c r="CR80" s="620">
        <f t="shared" ca="1" si="196"/>
        <v>17.37286350294227</v>
      </c>
      <c r="CS80" s="622" t="str">
        <f t="shared" si="197"/>
        <v/>
      </c>
      <c r="CT80" s="622" t="str">
        <f t="shared" si="42"/>
        <v/>
      </c>
      <c r="CU80" s="622" t="str">
        <f t="shared" si="198"/>
        <v/>
      </c>
      <c r="CV80" s="563" t="str">
        <f ca="1">IF(ROUND(CV31,2)=0,"ok","!")</f>
        <v>ok</v>
      </c>
      <c r="CW80" s="623">
        <f t="shared" ca="1" si="199"/>
        <v>5.5053665657569084</v>
      </c>
      <c r="CX80" s="620">
        <f t="shared" ca="1" si="200"/>
        <v>5.5053665657569084</v>
      </c>
      <c r="CY80" s="622" t="str">
        <f t="shared" si="201"/>
        <v/>
      </c>
      <c r="CZ80" s="622" t="str">
        <f t="shared" si="47"/>
        <v/>
      </c>
      <c r="DA80" s="622" t="str">
        <f t="shared" si="202"/>
        <v/>
      </c>
      <c r="DB80" s="563" t="str">
        <f ca="1">IF(ROUND(DB31,2)=0,"ok","!")</f>
        <v>ok</v>
      </c>
      <c r="DC80" s="623">
        <f t="shared" ca="1" si="203"/>
        <v>-0.47207793680676957</v>
      </c>
      <c r="DD80" s="620">
        <f t="shared" ca="1" si="204"/>
        <v>-0.47207793680676957</v>
      </c>
      <c r="DE80" s="622" t="str">
        <f t="shared" si="205"/>
        <v/>
      </c>
      <c r="DF80" s="622" t="str">
        <f t="shared" si="52"/>
        <v/>
      </c>
      <c r="DG80" s="622" t="str">
        <f t="shared" si="206"/>
        <v/>
      </c>
      <c r="DH80" s="563" t="str">
        <f ca="1">IF(ROUND(DH31,2)=0,"ok","!")</f>
        <v>ok</v>
      </c>
      <c r="DI80" s="623">
        <f t="shared" ca="1" si="207"/>
        <v>5.4348476345393859</v>
      </c>
      <c r="DJ80" s="620">
        <f t="shared" ca="1" si="208"/>
        <v>5.4348476345393859</v>
      </c>
      <c r="DK80" s="622" t="str">
        <f t="shared" si="209"/>
        <v/>
      </c>
      <c r="DL80" s="622" t="str">
        <f t="shared" si="57"/>
        <v/>
      </c>
      <c r="DM80" s="622" t="str">
        <f t="shared" si="210"/>
        <v/>
      </c>
      <c r="DN80" s="563" t="str">
        <f ca="1">IF(ROUND(DN31,2)=0,"ok","!")</f>
        <v>ok</v>
      </c>
      <c r="DO80" s="623">
        <f t="shared" ca="1" si="211"/>
        <v>10.018670175542898</v>
      </c>
      <c r="DP80" s="620">
        <f t="shared" ca="1" si="212"/>
        <v>10.018670175542898</v>
      </c>
      <c r="DQ80" s="622" t="str">
        <f t="shared" si="213"/>
        <v/>
      </c>
      <c r="DR80" s="622" t="str">
        <f t="shared" si="62"/>
        <v/>
      </c>
      <c r="DS80" s="622" t="str">
        <f t="shared" si="214"/>
        <v/>
      </c>
      <c r="DT80" s="563" t="str">
        <f ca="1">IF(ROUND(DT31,2)=0,"ok","!")</f>
        <v>ok</v>
      </c>
      <c r="DU80" s="623">
        <f t="shared" ca="1" si="215"/>
        <v>-0.44991392203620473</v>
      </c>
      <c r="DV80" s="620">
        <f t="shared" ca="1" si="216"/>
        <v>-0.44991392203620473</v>
      </c>
      <c r="DW80" s="622" t="str">
        <f t="shared" si="217"/>
        <v/>
      </c>
      <c r="DX80" s="622" t="str">
        <f t="shared" si="67"/>
        <v/>
      </c>
      <c r="DY80" s="622" t="str">
        <f t="shared" si="218"/>
        <v/>
      </c>
      <c r="DZ80" s="563" t="str">
        <f ca="1">IF(ROUND(DZ31,2)=0,"ok","!")</f>
        <v>ok</v>
      </c>
      <c r="EA80" s="623">
        <f t="shared" ca="1" si="219"/>
        <v>6.1227510564761278</v>
      </c>
      <c r="EB80" s="620">
        <f t="shared" ca="1" si="220"/>
        <v>6.1227510564761278</v>
      </c>
      <c r="EC80" s="622" t="str">
        <f t="shared" si="221"/>
        <v/>
      </c>
      <c r="ED80" s="622" t="str">
        <f t="shared" si="72"/>
        <v/>
      </c>
      <c r="EE80" s="622" t="str">
        <f t="shared" si="222"/>
        <v/>
      </c>
      <c r="EF80" s="563" t="str">
        <f ca="1">IF(ROUND(EF31,2)=0,"ok","!")</f>
        <v>ok</v>
      </c>
      <c r="EG80" s="623">
        <f t="shared" ca="1" si="223"/>
        <v>0.40425314289966874</v>
      </c>
      <c r="EH80" s="620">
        <f t="shared" ca="1" si="224"/>
        <v>0.40425314289966874</v>
      </c>
      <c r="EI80" s="622" t="str">
        <f t="shared" si="225"/>
        <v/>
      </c>
      <c r="EJ80" s="622" t="str">
        <f t="shared" si="77"/>
        <v/>
      </c>
      <c r="EK80" s="622" t="str">
        <f t="shared" si="226"/>
        <v/>
      </c>
      <c r="EL80" s="563" t="str">
        <f ca="1">IF(ROUND(EL31,2)=0,"ok","!")</f>
        <v>ok</v>
      </c>
      <c r="EM80" s="623">
        <f t="shared" ca="1" si="227"/>
        <v>3.9317115785177936</v>
      </c>
      <c r="EN80" s="620">
        <f t="shared" ca="1" si="228"/>
        <v>3.9317115785177936</v>
      </c>
      <c r="EO80" s="622" t="str">
        <f t="shared" si="229"/>
        <v/>
      </c>
      <c r="EP80" s="622" t="str">
        <f t="shared" si="82"/>
        <v/>
      </c>
      <c r="EQ80" s="622" t="str">
        <f t="shared" si="230"/>
        <v/>
      </c>
      <c r="ER80" s="563" t="str">
        <f ca="1">IF(ROUND(ER31,2)=0,"ok","!")</f>
        <v>ok</v>
      </c>
      <c r="ES80" s="623">
        <f t="shared" ca="1" si="231"/>
        <v>3.7617869003724991</v>
      </c>
      <c r="ET80" s="620">
        <f t="shared" ca="1" si="232"/>
        <v>3.7617869003724991</v>
      </c>
      <c r="EU80" s="622" t="str">
        <f t="shared" si="233"/>
        <v/>
      </c>
      <c r="EV80" s="622" t="str">
        <f t="shared" si="87"/>
        <v/>
      </c>
      <c r="EW80" s="622" t="str">
        <f t="shared" si="234"/>
        <v/>
      </c>
      <c r="EX80" s="563" t="str">
        <f ca="1">IF(ROUND(EX31,2)=0,"ok","!")</f>
        <v>ok</v>
      </c>
      <c r="EY80" s="623">
        <f t="shared" ca="1" si="235"/>
        <v>4.0702689528234748</v>
      </c>
      <c r="EZ80" s="620">
        <f t="shared" ca="1" si="236"/>
        <v>4.0702689528234748</v>
      </c>
      <c r="FA80" s="622" t="str">
        <f t="shared" si="237"/>
        <v/>
      </c>
      <c r="FB80" s="622" t="str">
        <f t="shared" si="92"/>
        <v/>
      </c>
      <c r="FC80" s="622" t="str">
        <f t="shared" si="238"/>
        <v/>
      </c>
      <c r="FD80" s="563" t="str">
        <f ca="1">IF(ROUND(FD31,2)=0,"ok","!")</f>
        <v>ok</v>
      </c>
    </row>
    <row r="81" spans="2:160" ht="13.15">
      <c r="B81" s="555" t="s">
        <v>301</v>
      </c>
      <c r="C81" s="3856" t="s">
        <v>1668</v>
      </c>
      <c r="D81" s="3856"/>
      <c r="E81" s="623"/>
      <c r="F81" s="620"/>
      <c r="G81" s="620"/>
      <c r="H81" s="620"/>
      <c r="I81" s="622"/>
      <c r="J81" s="563"/>
      <c r="K81" s="623">
        <f t="shared" ca="1" si="142"/>
        <v>-2.1714021126330474</v>
      </c>
      <c r="L81" s="620">
        <f t="shared" ca="1" si="142"/>
        <v>-2.6371936092090986</v>
      </c>
      <c r="M81" s="620">
        <f t="shared" ca="1" si="142"/>
        <v>-2.0912547528517123</v>
      </c>
      <c r="N81" s="620">
        <f t="shared" ca="1" si="142"/>
        <v>-2.1205357142857095</v>
      </c>
      <c r="O81" s="622" t="str">
        <f t="shared" ca="1" si="142"/>
        <v>N</v>
      </c>
      <c r="P81" s="563" t="str">
        <f ca="1">IF(ROUND(P32,2)=0,"ok","!")</f>
        <v>ok</v>
      </c>
      <c r="Q81" s="623">
        <f t="shared" ca="1" si="143"/>
        <v>1.0901648510255324</v>
      </c>
      <c r="R81" s="620">
        <f t="shared" ca="1" si="144"/>
        <v>-5.302586316728231</v>
      </c>
      <c r="S81" s="620">
        <f t="shared" ca="1" si="145"/>
        <v>13.070837828119398</v>
      </c>
      <c r="T81" s="620">
        <f t="shared" ca="1" si="130"/>
        <v>0.83093418673656494</v>
      </c>
      <c r="U81" s="622" t="str">
        <f t="shared" ca="1" si="146"/>
        <v>N</v>
      </c>
      <c r="V81" s="563" t="str">
        <f ca="1">IF(ROUND(V32,2)=0,"ok","!")</f>
        <v>ok</v>
      </c>
      <c r="W81" s="623">
        <f t="shared" ca="1" si="147"/>
        <v>2.4385098824092122</v>
      </c>
      <c r="X81" s="620">
        <f t="shared" ca="1" si="148"/>
        <v>-5.3680981595092163</v>
      </c>
      <c r="Y81" s="620">
        <f t="shared" ca="1" si="149"/>
        <v>-3.5681348386070955</v>
      </c>
      <c r="Z81" s="620">
        <f t="shared" ca="1" si="131"/>
        <v>3.9333108412055617</v>
      </c>
      <c r="AA81" s="622" t="str">
        <f t="shared" ca="1" si="150"/>
        <v>N</v>
      </c>
      <c r="AB81" s="563" t="str">
        <f ca="1">IF(ROUND(AB32,2)=0,"ok","!")</f>
        <v>ok</v>
      </c>
      <c r="AC81" s="623">
        <f t="shared" ca="1" si="151"/>
        <v>2.6963837267704793</v>
      </c>
      <c r="AD81" s="620">
        <f t="shared" ca="1" si="152"/>
        <v>-7.6800591429952325</v>
      </c>
      <c r="AE81" s="620">
        <f t="shared" ca="1" si="153"/>
        <v>2.7833657619628749</v>
      </c>
      <c r="AF81" s="620">
        <f t="shared" ca="1" si="132"/>
        <v>3.7832541335665937</v>
      </c>
      <c r="AG81" s="622">
        <f t="shared" ca="1" si="154"/>
        <v>140</v>
      </c>
      <c r="AH81" s="563" t="str">
        <f ca="1">IF(ROUND(AH32,2)=0,"ok","!")</f>
        <v>ok</v>
      </c>
      <c r="AI81" s="623">
        <f t="shared" ca="1" si="155"/>
        <v>1.8337787972230402</v>
      </c>
      <c r="AJ81" s="620">
        <f t="shared" ca="1" si="156"/>
        <v>-2.3407662929654016</v>
      </c>
      <c r="AK81" s="620">
        <f t="shared" ca="1" si="157"/>
        <v>2.6566560785446169</v>
      </c>
      <c r="AL81" s="620">
        <f t="shared" ca="1" si="133"/>
        <v>2.1506559703437622</v>
      </c>
      <c r="AM81" s="622">
        <f t="shared" ca="1" si="158"/>
        <v>41.666666666666671</v>
      </c>
      <c r="AN81" s="563" t="str">
        <f ca="1">IF(ROUND(AN32,2)=0,"ok","!")</f>
        <v>ok</v>
      </c>
      <c r="AO81" s="623">
        <f t="shared" ca="1" si="159"/>
        <v>2.5651000393817958</v>
      </c>
      <c r="AP81" s="620">
        <f t="shared" ca="1" si="160"/>
        <v>-24.73823640721584</v>
      </c>
      <c r="AQ81" s="620">
        <f t="shared" ca="1" si="161"/>
        <v>5.644631973745895</v>
      </c>
      <c r="AR81" s="620">
        <f t="shared" ca="1" si="134"/>
        <v>4.7403576815341353</v>
      </c>
      <c r="AS81" s="622">
        <f t="shared" ca="1" si="162"/>
        <v>0</v>
      </c>
      <c r="AT81" s="563" t="str">
        <f ca="1">IF(ROUND(AT32,2)=0,"ok","!")</f>
        <v>ok</v>
      </c>
      <c r="AU81" s="623">
        <f t="shared" ca="1" si="163"/>
        <v>5.3554287105670895</v>
      </c>
      <c r="AV81" s="620">
        <f t="shared" ca="1" si="164"/>
        <v>-4.538216560509567</v>
      </c>
      <c r="AW81" s="620">
        <f t="shared" ca="1" si="165"/>
        <v>16.165202212952281</v>
      </c>
      <c r="AX81" s="620">
        <f t="shared" ca="1" si="135"/>
        <v>5.0054677941510972</v>
      </c>
      <c r="AY81" s="622">
        <f t="shared" ca="1" si="166"/>
        <v>5.8823529411764497</v>
      </c>
      <c r="AZ81" s="563" t="str">
        <f ca="1">IF(ROUND(AZ32,2)=0,"ok","!")</f>
        <v>ok</v>
      </c>
      <c r="BA81" s="623">
        <f t="shared" ca="1" si="167"/>
        <v>7.3087966008284821</v>
      </c>
      <c r="BB81" s="620">
        <f t="shared" ca="1" si="168"/>
        <v>24.033185549361313</v>
      </c>
      <c r="BC81" s="620">
        <f t="shared" ca="1" si="169"/>
        <v>3.6597478670571615</v>
      </c>
      <c r="BD81" s="620">
        <f t="shared" ca="1" si="136"/>
        <v>7.3309995669299521</v>
      </c>
      <c r="BE81" s="622">
        <f t="shared" ca="1" si="170"/>
        <v>-13677.777777777777</v>
      </c>
      <c r="BF81" s="563" t="str">
        <f ca="1">IF(ROUND(BF32,2)=0,"ok","!")</f>
        <v>!</v>
      </c>
      <c r="BG81" s="623">
        <f t="shared" ca="1" si="171"/>
        <v>3.1881560881459325</v>
      </c>
      <c r="BH81" s="620">
        <f t="shared" ca="1" si="172"/>
        <v>15.14014722536805</v>
      </c>
      <c r="BI81" s="620">
        <f t="shared" ca="1" si="173"/>
        <v>3.4420912977249252</v>
      </c>
      <c r="BJ81" s="620">
        <f t="shared" ca="1" si="137"/>
        <v>2.3870767856242203</v>
      </c>
      <c r="BK81" s="622">
        <f t="shared" ca="1" si="174"/>
        <v>9.124386252045813</v>
      </c>
      <c r="BL81" s="563" t="str">
        <f ca="1">IF(ROUND(BL32,2)=0,"ok","!")</f>
        <v>!</v>
      </c>
      <c r="BM81" s="623">
        <f t="shared" ca="1" si="175"/>
        <v>2.9262898473938037</v>
      </c>
      <c r="BN81" s="620">
        <f t="shared" ca="1" si="176"/>
        <v>-4.3677383660170932</v>
      </c>
      <c r="BO81" s="620">
        <f t="shared" ca="1" si="177"/>
        <v>17.713702111488484</v>
      </c>
      <c r="BP81" s="620">
        <f t="shared" ca="1" si="138"/>
        <v>2.0717512772515434</v>
      </c>
      <c r="BQ81" s="622">
        <f t="shared" ca="1" si="178"/>
        <v>10.798650168728919</v>
      </c>
      <c r="BR81" s="563" t="str">
        <f ca="1">IF(ROUND(BR32,2)=0,"ok","!")</f>
        <v>!</v>
      </c>
      <c r="BS81" s="623">
        <f t="shared" ca="1" si="179"/>
        <v>1.8993598605459461</v>
      </c>
      <c r="BT81" s="620">
        <f t="shared" ca="1" si="180"/>
        <v>-12.682801401343479</v>
      </c>
      <c r="BU81" s="620">
        <f t="shared" ca="1" si="181"/>
        <v>4.6084622989850832</v>
      </c>
      <c r="BV81" s="620">
        <f t="shared" ca="1" si="139"/>
        <v>2.6563986597355482</v>
      </c>
      <c r="BW81" s="622">
        <f t="shared" ca="1" si="182"/>
        <v>5.2791878172588902</v>
      </c>
      <c r="BX81" s="563" t="str">
        <f ca="1">IF(ROUND(BX32,2)=0,"ok","!")</f>
        <v>!</v>
      </c>
      <c r="BY81" s="623">
        <f t="shared" ca="1" si="183"/>
        <v>-0.23440579565938702</v>
      </c>
      <c r="BZ81" s="620">
        <f t="shared" ca="1" si="184"/>
        <v>-27.19843928295359</v>
      </c>
      <c r="CA81" s="620">
        <f t="shared" ca="1" si="185"/>
        <v>7.9814832674317548</v>
      </c>
      <c r="CB81" s="620">
        <f t="shared" ca="1" si="140"/>
        <v>0.48466857847713207</v>
      </c>
      <c r="CC81" s="622">
        <f t="shared" ca="1" si="186"/>
        <v>4.4680167148826611</v>
      </c>
      <c r="CD81" s="563" t="str">
        <f ca="1">IF(ROUND(CD32,2)=0,"ok","!")</f>
        <v>!</v>
      </c>
      <c r="CE81" s="623">
        <f t="shared" ca="1" si="187"/>
        <v>3.9125539680804344</v>
      </c>
      <c r="CF81" s="620">
        <f t="shared" ca="1" si="188"/>
        <v>-31.347962382445139</v>
      </c>
      <c r="CG81" s="620">
        <f t="shared" ca="1" si="189"/>
        <v>24.13053962810141</v>
      </c>
      <c r="CH81" s="620">
        <f t="shared" ca="1" si="141"/>
        <v>2.949458853723419</v>
      </c>
      <c r="CI81" s="622">
        <f t="shared" ca="1" si="190"/>
        <v>4.584615384615387</v>
      </c>
      <c r="CJ81" s="563" t="str">
        <f ca="1">IF(ROUND(CJ32,2)=0,"ok","!")</f>
        <v>!</v>
      </c>
      <c r="CK81" s="623">
        <f t="shared" ca="1" si="191"/>
        <v>6.8578664087475705</v>
      </c>
      <c r="CL81" s="620">
        <f t="shared" ca="1" si="192"/>
        <v>42.340550891147458</v>
      </c>
      <c r="CM81" s="620">
        <f t="shared" ca="1" si="193"/>
        <v>7.7850687848960876</v>
      </c>
      <c r="CN81" s="620">
        <f t="shared" ca="1" si="37"/>
        <v>5.6667265381377563</v>
      </c>
      <c r="CO81" s="622">
        <f t="shared" ca="1" si="194"/>
        <v>5.6192997940570644</v>
      </c>
      <c r="CP81" s="563" t="str">
        <f ca="1">IF(ROUND(CP32,2)=0,"ok","!")</f>
        <v>!</v>
      </c>
      <c r="CQ81" s="623">
        <f t="shared" ca="1" si="195"/>
        <v>1.0818308384836994</v>
      </c>
      <c r="CR81" s="620">
        <f t="shared" ca="1" si="196"/>
        <v>-8.6976768251668659</v>
      </c>
      <c r="CS81" s="620">
        <f t="shared" ca="1" si="197"/>
        <v>5.8997089530319569</v>
      </c>
      <c r="CT81" s="620">
        <f t="shared" ca="1" si="42"/>
        <v>0.71740595182752109</v>
      </c>
      <c r="CU81" s="622">
        <f t="shared" ca="1" si="198"/>
        <v>-0.61281337047353057</v>
      </c>
      <c r="CV81" s="563" t="str">
        <f ca="1">IF(ROUND(CV32,2)=0,"ok","!")</f>
        <v>!</v>
      </c>
      <c r="CW81" s="623">
        <f t="shared" ca="1" si="199"/>
        <v>1.5545404988815292</v>
      </c>
      <c r="CX81" s="620">
        <f t="shared" ca="1" si="200"/>
        <v>-25.694208319165824</v>
      </c>
      <c r="CY81" s="620">
        <f t="shared" ca="1" si="201"/>
        <v>17.091312514970824</v>
      </c>
      <c r="CZ81" s="620">
        <f t="shared" ca="1" si="47"/>
        <v>1.2810345879343821E-2</v>
      </c>
      <c r="DA81" s="622">
        <f t="shared" ca="1" si="202"/>
        <v>-0.30829596412556004</v>
      </c>
      <c r="DB81" s="563" t="str">
        <f ca="1">IF(ROUND(DB32,2)=0,"ok","!")</f>
        <v>!</v>
      </c>
      <c r="DC81" s="623">
        <f t="shared" ca="1" si="203"/>
        <v>4.425142103297075</v>
      </c>
      <c r="DD81" s="620">
        <f t="shared" ca="1" si="204"/>
        <v>4.5607077486272241</v>
      </c>
      <c r="DE81" s="620">
        <f t="shared" ca="1" si="205"/>
        <v>2.2362669308124694</v>
      </c>
      <c r="DF81" s="620">
        <f t="shared" ca="1" si="52"/>
        <v>4.8915021358007404</v>
      </c>
      <c r="DG81" s="622">
        <f t="shared" ca="1" si="206"/>
        <v>12.257520382344666</v>
      </c>
      <c r="DH81" s="563" t="str">
        <f ca="1">IF(ROUND(DH32,2)=0,"ok","!")</f>
        <v>!</v>
      </c>
      <c r="DI81" s="623">
        <f t="shared" ca="1" si="207"/>
        <v>5.3167661428589863</v>
      </c>
      <c r="DJ81" s="620">
        <f t="shared" ca="1" si="208"/>
        <v>6.7323121808898545</v>
      </c>
      <c r="DK81" s="620">
        <f t="shared" ca="1" si="209"/>
        <v>9.1569690906218923</v>
      </c>
      <c r="DL81" s="620">
        <f t="shared" ca="1" si="57"/>
        <v>4.5563972150289178</v>
      </c>
      <c r="DM81" s="622">
        <f t="shared" ca="1" si="210"/>
        <v>3.2556974705735042</v>
      </c>
      <c r="DN81" s="563" t="str">
        <f ca="1">IF(ROUND(DN32,2)=0,"ok","!")</f>
        <v>!</v>
      </c>
      <c r="DO81" s="623">
        <f t="shared" ca="1" si="211"/>
        <v>1.2696246360424768</v>
      </c>
      <c r="DP81" s="620">
        <f t="shared" ca="1" si="212"/>
        <v>-8.5286680789995124</v>
      </c>
      <c r="DQ81" s="620">
        <f t="shared" ca="1" si="213"/>
        <v>4.8692715870718661</v>
      </c>
      <c r="DR81" s="620">
        <f t="shared" ca="1" si="62"/>
        <v>1.0370417059836656</v>
      </c>
      <c r="DS81" s="622">
        <f t="shared" ca="1" si="214"/>
        <v>26.558331312153371</v>
      </c>
      <c r="DT81" s="563" t="str">
        <f ca="1">IF(ROUND(DT32,2)=0,"ok","!")</f>
        <v>ok</v>
      </c>
      <c r="DU81" s="623">
        <f t="shared" ca="1" si="215"/>
        <v>3.6308861011940419</v>
      </c>
      <c r="DV81" s="620">
        <f t="shared" ca="1" si="216"/>
        <v>-4.8337691445648145</v>
      </c>
      <c r="DW81" s="620">
        <f t="shared" ca="1" si="217"/>
        <v>8.5347341692963106</v>
      </c>
      <c r="DX81" s="620">
        <f t="shared" ca="1" si="67"/>
        <v>2.9454343290894025</v>
      </c>
      <c r="DY81" s="622">
        <f t="shared" ca="1" si="218"/>
        <v>12.476044461478498</v>
      </c>
      <c r="DZ81" s="563" t="str">
        <f ca="1">IF(ROUND(DZ32,2)=0,"ok","!")</f>
        <v>ok</v>
      </c>
      <c r="EA81" s="623">
        <f t="shared" ca="1" si="219"/>
        <v>2.822677643827376</v>
      </c>
      <c r="EB81" s="620">
        <f t="shared" ca="1" si="220"/>
        <v>-1.7428167687234986</v>
      </c>
      <c r="EC81" s="620">
        <f t="shared" ca="1" si="221"/>
        <v>3.0235475613270557</v>
      </c>
      <c r="ED81" s="620">
        <f t="shared" ca="1" si="72"/>
        <v>3.0146186010201914</v>
      </c>
      <c r="EE81" s="622">
        <f t="shared" ca="1" si="222"/>
        <v>15.300732663145066</v>
      </c>
      <c r="EF81" s="563" t="str">
        <f ca="1">IF(ROUND(EF32,2)=0,"ok","!")</f>
        <v>ok</v>
      </c>
      <c r="EG81" s="623">
        <f t="shared" ca="1" si="223"/>
        <v>3.1446112836218676</v>
      </c>
      <c r="EH81" s="620">
        <f t="shared" ca="1" si="224"/>
        <v>-2.1652285075103972</v>
      </c>
      <c r="EI81" s="620">
        <f t="shared" ca="1" si="225"/>
        <v>6.8561226252869423</v>
      </c>
      <c r="EJ81" s="620">
        <f t="shared" ca="1" si="77"/>
        <v>2.3300114190802468</v>
      </c>
      <c r="EK81" s="622">
        <f t="shared" ca="1" si="226"/>
        <v>-9.5906605585933455</v>
      </c>
      <c r="EL81" s="563" t="str">
        <f ca="1">IF(ROUND(EL32,2)=0,"ok","!")</f>
        <v>ok</v>
      </c>
      <c r="EM81" s="623">
        <f t="shared" ca="1" si="227"/>
        <v>3.4596664641321384</v>
      </c>
      <c r="EN81" s="620">
        <f t="shared" ca="1" si="228"/>
        <v>-1.0000000000000009</v>
      </c>
      <c r="EO81" s="620">
        <f t="shared" ca="1" si="229"/>
        <v>3.400000000000003</v>
      </c>
      <c r="EP81" s="620">
        <f t="shared" ca="1" si="82"/>
        <v>3.5500000000000087</v>
      </c>
      <c r="EQ81" s="622">
        <f t="shared" ca="1" si="230"/>
        <v>2.0000000000000018</v>
      </c>
      <c r="ER81" s="563" t="str">
        <f ca="1">IF(ROUND(ER32,2)=0,"ok","!")</f>
        <v>ok</v>
      </c>
      <c r="ES81" s="623">
        <f t="shared" ca="1" si="231"/>
        <v>1.7946045780791842</v>
      </c>
      <c r="ET81" s="620">
        <f t="shared" ca="1" si="232"/>
        <v>-1.0000000000000009</v>
      </c>
      <c r="EU81" s="620">
        <f t="shared" ca="1" si="233"/>
        <v>3.400000000000003</v>
      </c>
      <c r="EV81" s="620">
        <f t="shared" ca="1" si="87"/>
        <v>1.4999999999999902</v>
      </c>
      <c r="EW81" s="622">
        <f t="shared" ca="1" si="234"/>
        <v>2.0000000000000018</v>
      </c>
      <c r="EX81" s="563" t="str">
        <f ca="1">IF(ROUND(EX32,2)=0,"ok","!")</f>
        <v>ok</v>
      </c>
      <c r="EY81" s="623">
        <f t="shared" ca="1" si="235"/>
        <v>2.2067475840448658</v>
      </c>
      <c r="EZ81" s="620">
        <f t="shared" ca="1" si="236"/>
        <v>-1.000000000000012</v>
      </c>
      <c r="FA81" s="620">
        <f t="shared" ca="1" si="237"/>
        <v>3.400000000000003</v>
      </c>
      <c r="FB81" s="620">
        <f t="shared" ca="1" si="92"/>
        <v>2.0000000000000018</v>
      </c>
      <c r="FC81" s="622">
        <f t="shared" ca="1" si="238"/>
        <v>2.0000000000000018</v>
      </c>
      <c r="FD81" s="563" t="str">
        <f ca="1">IF(ROUND(FD32,2)=0,"ok","!")</f>
        <v>ok</v>
      </c>
    </row>
    <row r="82" spans="2:160" ht="13.15">
      <c r="B82" s="555" t="s">
        <v>301</v>
      </c>
      <c r="C82" s="3856" t="s">
        <v>1669</v>
      </c>
      <c r="D82" s="3856"/>
      <c r="E82" s="623"/>
      <c r="F82" s="620"/>
      <c r="G82" s="620"/>
      <c r="H82" s="620"/>
      <c r="I82" s="620"/>
      <c r="J82" s="563"/>
      <c r="K82" s="623">
        <f t="shared" ca="1" si="142"/>
        <v>-2.3968862231108168</v>
      </c>
      <c r="L82" s="620">
        <f t="shared" ca="1" si="142"/>
        <v>-1.9642271854661164</v>
      </c>
      <c r="M82" s="620">
        <f t="shared" ca="1" si="142"/>
        <v>1.3310519532465204</v>
      </c>
      <c r="N82" s="620">
        <f t="shared" ca="1" si="142"/>
        <v>-6.6439522998296363</v>
      </c>
      <c r="O82" s="620" t="str">
        <f t="shared" si="142"/>
        <v/>
      </c>
      <c r="P82" s="563" t="str">
        <f ca="1">IF(ROUND(P33,2)=0,"ok","!")</f>
        <v>ok</v>
      </c>
      <c r="Q82" s="623">
        <f t="shared" ca="1" si="143"/>
        <v>0.90377584841603298</v>
      </c>
      <c r="R82" s="620">
        <f t="shared" ca="1" si="144"/>
        <v>3.7277611940298438</v>
      </c>
      <c r="S82" s="620">
        <f t="shared" ca="1" si="145"/>
        <v>0.22916164119208826</v>
      </c>
      <c r="T82" s="620">
        <f t="shared" ca="1" si="130"/>
        <v>0.17477125526883519</v>
      </c>
      <c r="U82" s="620" t="str">
        <f t="shared" si="146"/>
        <v/>
      </c>
      <c r="V82" s="563" t="str">
        <f ca="1">IF(ROUND(V33,2)=0,"ok","!")</f>
        <v>ok</v>
      </c>
      <c r="W82" s="623">
        <f t="shared" ca="1" si="147"/>
        <v>-1.4017923016555578</v>
      </c>
      <c r="X82" s="620">
        <f t="shared" ca="1" si="148"/>
        <v>6.5222396169076324</v>
      </c>
      <c r="Y82" s="620">
        <f t="shared" ca="1" si="149"/>
        <v>-8.3228495476474365</v>
      </c>
      <c r="Z82" s="620">
        <f t="shared" ca="1" si="131"/>
        <v>2.2988505747126409</v>
      </c>
      <c r="AA82" s="620" t="str">
        <f t="shared" si="150"/>
        <v/>
      </c>
      <c r="AB82" s="563" t="str">
        <f ca="1">IF(ROUND(AB33,2)=0,"ok","!")</f>
        <v>ok</v>
      </c>
      <c r="AC82" s="623">
        <f t="shared" ca="1" si="151"/>
        <v>8.3325389865405839</v>
      </c>
      <c r="AD82" s="620">
        <f t="shared" ca="1" si="152"/>
        <v>0.33067496595993173</v>
      </c>
      <c r="AE82" s="620">
        <f t="shared" ca="1" si="153"/>
        <v>18.835841199002413</v>
      </c>
      <c r="AF82" s="620">
        <f t="shared" ca="1" si="132"/>
        <v>1.9374498394863604</v>
      </c>
      <c r="AG82" s="620" t="str">
        <f t="shared" si="154"/>
        <v/>
      </c>
      <c r="AH82" s="563" t="str">
        <f ca="1">IF(ROUND(AH33,2)=0,"ok","!")</f>
        <v>ok</v>
      </c>
      <c r="AI82" s="623">
        <f t="shared" ca="1" si="155"/>
        <v>13.201553900369124</v>
      </c>
      <c r="AJ82" s="620">
        <f t="shared" ca="1" si="156"/>
        <v>36.79936237128949</v>
      </c>
      <c r="AK82" s="620">
        <f t="shared" ca="1" si="157"/>
        <v>7.4296099931718595</v>
      </c>
      <c r="AL82" s="620">
        <f t="shared" ca="1" si="133"/>
        <v>6.7967375659683249</v>
      </c>
      <c r="AM82" s="620" t="str">
        <f t="shared" si="158"/>
        <v/>
      </c>
      <c r="AN82" s="563" t="str">
        <f ca="1">IF(ROUND(AN33,2)=0,"ok","!")</f>
        <v>ok</v>
      </c>
      <c r="AO82" s="623">
        <f t="shared" ca="1" si="159"/>
        <v>1.6528957739034622</v>
      </c>
      <c r="AP82" s="620">
        <f t="shared" ca="1" si="160"/>
        <v>4.5697189197700938</v>
      </c>
      <c r="AQ82" s="620">
        <f t="shared" ca="1" si="161"/>
        <v>7.2681727686541464</v>
      </c>
      <c r="AR82" s="620">
        <f t="shared" ca="1" si="134"/>
        <v>-7.4008800423894687</v>
      </c>
      <c r="AS82" s="620" t="str">
        <f t="shared" si="162"/>
        <v/>
      </c>
      <c r="AT82" s="563" t="str">
        <f ca="1">IF(ROUND(AT33,2)=0,"ok","!")</f>
        <v>ok</v>
      </c>
      <c r="AU82" s="623">
        <f t="shared" ca="1" si="163"/>
        <v>-5.5188313153055386</v>
      </c>
      <c r="AV82" s="620">
        <f t="shared" ca="1" si="164"/>
        <v>3.1969521285406755</v>
      </c>
      <c r="AW82" s="620">
        <f t="shared" ca="1" si="165"/>
        <v>-10.022393977152921</v>
      </c>
      <c r="AX82" s="620">
        <f t="shared" ca="1" si="135"/>
        <v>-6.2894177064026113</v>
      </c>
      <c r="AY82" s="620" t="str">
        <f t="shared" si="166"/>
        <v/>
      </c>
      <c r="AZ82" s="563" t="str">
        <f ca="1">IF(ROUND(AZ33,2)=0,"ok","!")</f>
        <v>ok</v>
      </c>
      <c r="BA82" s="623">
        <f t="shared" ca="1" si="167"/>
        <v>-0.61790841844581168</v>
      </c>
      <c r="BB82" s="620">
        <f t="shared" ca="1" si="168"/>
        <v>6.3621771486940037</v>
      </c>
      <c r="BC82" s="620">
        <f t="shared" ca="1" si="169"/>
        <v>-15.664190739969586</v>
      </c>
      <c r="BD82" s="620">
        <f t="shared" ca="1" si="136"/>
        <v>13.656697596007049</v>
      </c>
      <c r="BE82" s="620" t="str">
        <f t="shared" si="170"/>
        <v/>
      </c>
      <c r="BF82" s="563" t="str">
        <f ca="1">IF(ROUND(BF33,2)=0,"ok","!")</f>
        <v>ok</v>
      </c>
      <c r="BG82" s="623">
        <f t="shared" ca="1" si="171"/>
        <v>8.0908968757761777</v>
      </c>
      <c r="BH82" s="620">
        <f t="shared" ca="1" si="172"/>
        <v>6.1297846069419792</v>
      </c>
      <c r="BI82" s="620">
        <f t="shared" ca="1" si="173"/>
        <v>7.4914452380405505</v>
      </c>
      <c r="BJ82" s="620">
        <f t="shared" ca="1" si="137"/>
        <v>10.370119480034102</v>
      </c>
      <c r="BK82" s="620" t="str">
        <f t="shared" si="174"/>
        <v/>
      </c>
      <c r="BL82" s="563" t="str">
        <f ca="1">IF(ROUND(BL33,2)=0,"ok","!")</f>
        <v>ok</v>
      </c>
      <c r="BM82" s="623">
        <f t="shared" ca="1" si="175"/>
        <v>3.4975966971537042</v>
      </c>
      <c r="BN82" s="620">
        <f t="shared" ca="1" si="176"/>
        <v>8.5744202280307</v>
      </c>
      <c r="BO82" s="620">
        <f t="shared" ca="1" si="177"/>
        <v>-0.85033650251041815</v>
      </c>
      <c r="BP82" s="620">
        <f t="shared" ca="1" si="138"/>
        <v>3.6486772486772345</v>
      </c>
      <c r="BQ82" s="620" t="str">
        <f t="shared" si="178"/>
        <v/>
      </c>
      <c r="BR82" s="563" t="str">
        <f ca="1">IF(ROUND(BR33,2)=0,"ok","!")</f>
        <v>ok</v>
      </c>
      <c r="BS82" s="623">
        <f t="shared" ca="1" si="179"/>
        <v>3.7644720894767447</v>
      </c>
      <c r="BT82" s="620">
        <f t="shared" ca="1" si="180"/>
        <v>2.9193604076627189</v>
      </c>
      <c r="BU82" s="620">
        <f t="shared" ca="1" si="181"/>
        <v>7.5796754799922539</v>
      </c>
      <c r="BV82" s="620">
        <f t="shared" ca="1" si="139"/>
        <v>0.8739331073631007</v>
      </c>
      <c r="BW82" s="620" t="str">
        <f t="shared" si="182"/>
        <v/>
      </c>
      <c r="BX82" s="563" t="str">
        <f ca="1">IF(ROUND(BX33,2)=0,"ok","!")</f>
        <v>ok</v>
      </c>
      <c r="BY82" s="623">
        <f t="shared" ca="1" si="183"/>
        <v>2.2725678367988555</v>
      </c>
      <c r="BZ82" s="620">
        <f t="shared" ca="1" si="184"/>
        <v>19.151348287310732</v>
      </c>
      <c r="CA82" s="620">
        <f t="shared" ca="1" si="185"/>
        <v>-1.8988672896073089</v>
      </c>
      <c r="CB82" s="620">
        <f t="shared" ca="1" si="140"/>
        <v>-8.2790170438443837</v>
      </c>
      <c r="CC82" s="620" t="str">
        <f t="shared" si="186"/>
        <v/>
      </c>
      <c r="CD82" s="563" t="str">
        <f ca="1">IF(ROUND(CD33,2)=0,"ok","!")</f>
        <v>ok</v>
      </c>
      <c r="CE82" s="623">
        <f t="shared" ca="1" si="187"/>
        <v>0.63585698362340626</v>
      </c>
      <c r="CF82" s="620">
        <f t="shared" ca="1" si="188"/>
        <v>2.7039359987572453</v>
      </c>
      <c r="CG82" s="620">
        <f t="shared" ca="1" si="189"/>
        <v>-3.8324502567557928</v>
      </c>
      <c r="CH82" s="620">
        <f t="shared" ca="1" si="141"/>
        <v>3.1150688559322015</v>
      </c>
      <c r="CI82" s="620" t="str">
        <f t="shared" si="190"/>
        <v/>
      </c>
      <c r="CJ82" s="563" t="str">
        <f ca="1">IF(ROUND(CJ33,2)=0,"ok","!")</f>
        <v>ok</v>
      </c>
      <c r="CK82" s="623">
        <f t="shared" ca="1" si="191"/>
        <v>0.15778944821405183</v>
      </c>
      <c r="CL82" s="620">
        <f t="shared" ca="1" si="192"/>
        <v>-3.4703118648554132</v>
      </c>
      <c r="CM82" s="620">
        <f t="shared" ca="1" si="193"/>
        <v>4.6263760761791506</v>
      </c>
      <c r="CN82" s="620">
        <f t="shared" ca="1" si="37"/>
        <v>-0.23970806981498116</v>
      </c>
      <c r="CO82" s="620" t="str">
        <f t="shared" si="194"/>
        <v/>
      </c>
      <c r="CP82" s="563" t="str">
        <f ca="1">IF(ROUND(CP33,2)=0,"ok","!")</f>
        <v>ok</v>
      </c>
      <c r="CQ82" s="623">
        <f t="shared" ca="1" si="195"/>
        <v>1.5839151797258699</v>
      </c>
      <c r="CR82" s="620">
        <f t="shared" ca="1" si="196"/>
        <v>-0.9910686305233507</v>
      </c>
      <c r="CS82" s="620">
        <f t="shared" ca="1" si="197"/>
        <v>-2.2048154874844017</v>
      </c>
      <c r="CT82" s="620">
        <f t="shared" ca="1" si="42"/>
        <v>8.4099417525717932</v>
      </c>
      <c r="CU82" s="620" t="str">
        <f t="shared" si="198"/>
        <v/>
      </c>
      <c r="CV82" s="563" t="str">
        <f ca="1">IF(ROUND(CV33,2)=0,"ok","!")</f>
        <v>ok</v>
      </c>
      <c r="CW82" s="623">
        <f t="shared" ca="1" si="199"/>
        <v>0.80221874612709243</v>
      </c>
      <c r="CX82" s="620">
        <f t="shared" ca="1" si="200"/>
        <v>-6.1513353115726925</v>
      </c>
      <c r="CY82" s="620">
        <f t="shared" ca="1" si="201"/>
        <v>13.507428618857897</v>
      </c>
      <c r="CZ82" s="620">
        <f t="shared" ca="1" si="47"/>
        <v>-4.358667365900482</v>
      </c>
      <c r="DA82" s="620" t="str">
        <f t="shared" si="202"/>
        <v/>
      </c>
      <c r="DB82" s="563" t="str">
        <f ca="1">IF(ROUND(DB33,2)=0,"ok","!")</f>
        <v>ok</v>
      </c>
      <c r="DC82" s="623">
        <f t="shared" ca="1" si="203"/>
        <v>-0.61905616364614779</v>
      </c>
      <c r="DD82" s="620">
        <f t="shared" ca="1" si="204"/>
        <v>5.1295833728565388</v>
      </c>
      <c r="DE82" s="620">
        <f t="shared" ca="1" si="205"/>
        <v>-7.9303126970924005</v>
      </c>
      <c r="DF82" s="620">
        <f t="shared" ca="1" si="52"/>
        <v>2.0132839495954791</v>
      </c>
      <c r="DG82" s="620" t="str">
        <f t="shared" si="206"/>
        <v/>
      </c>
      <c r="DH82" s="563" t="str">
        <f ca="1">IF(ROUND(DH33,2)=0,"ok","!")</f>
        <v>ok</v>
      </c>
      <c r="DI82" s="623">
        <f t="shared" ca="1" si="207"/>
        <v>4.6903995265464848</v>
      </c>
      <c r="DJ82" s="620">
        <f t="shared" ca="1" si="208"/>
        <v>1.5930143962786136</v>
      </c>
      <c r="DK82" s="620">
        <f t="shared" ca="1" si="209"/>
        <v>4.0664370029882546</v>
      </c>
      <c r="DL82" s="620">
        <f t="shared" ca="1" si="57"/>
        <v>8.4611171960569553</v>
      </c>
      <c r="DM82" s="620" t="str">
        <f t="shared" si="210"/>
        <v/>
      </c>
      <c r="DN82" s="563" t="str">
        <f ca="1">IF(ROUND(DN33,2)=0,"ok","!")</f>
        <v>ok</v>
      </c>
      <c r="DO82" s="623">
        <f t="shared" ca="1" si="211"/>
        <v>1.5234408684571266</v>
      </c>
      <c r="DP82" s="620">
        <f t="shared" ca="1" si="212"/>
        <v>-4.3360273148011164</v>
      </c>
      <c r="DQ82" s="620">
        <f t="shared" ca="1" si="213"/>
        <v>7.7110939393072231</v>
      </c>
      <c r="DR82" s="620">
        <f t="shared" ca="1" si="62"/>
        <v>1.010781041076414</v>
      </c>
      <c r="DS82" s="620" t="str">
        <f t="shared" si="214"/>
        <v/>
      </c>
      <c r="DT82" s="563" t="str">
        <f ca="1">IF(ROUND(DT33,2)=0,"ok","!")</f>
        <v>ok</v>
      </c>
      <c r="DU82" s="623">
        <f t="shared" ca="1" si="215"/>
        <v>0.7160002139192212</v>
      </c>
      <c r="DV82" s="620">
        <f t="shared" ca="1" si="216"/>
        <v>2.5798665195011505</v>
      </c>
      <c r="DW82" s="620">
        <f t="shared" ca="1" si="217"/>
        <v>-2.2824296317290549</v>
      </c>
      <c r="DX82" s="620">
        <f t="shared" ca="1" si="67"/>
        <v>2.1772133150664619</v>
      </c>
      <c r="DY82" s="620" t="str">
        <f t="shared" si="218"/>
        <v/>
      </c>
      <c r="DZ82" s="563" t="str">
        <f ca="1">IF(ROUND(DZ33,2)=0,"ok","!")</f>
        <v>ok</v>
      </c>
      <c r="EA82" s="623">
        <f t="shared" ca="1" si="219"/>
        <v>-0.66218339356495237</v>
      </c>
      <c r="EB82" s="620">
        <f t="shared" ca="1" si="220"/>
        <v>2.2133059812557754</v>
      </c>
      <c r="EC82" s="620">
        <f t="shared" ca="1" si="221"/>
        <v>2.6801656862656342</v>
      </c>
      <c r="ED82" s="620">
        <f t="shared" ca="1" si="72"/>
        <v>-6.5935857945279892</v>
      </c>
      <c r="EE82" s="620" t="str">
        <f t="shared" si="222"/>
        <v/>
      </c>
      <c r="EF82" s="563" t="str">
        <f ca="1">IF(ROUND(EF33,2)=0,"ok","!")</f>
        <v>ok</v>
      </c>
      <c r="EG82" s="623">
        <f t="shared" ca="1" si="223"/>
        <v>9.1937000248401901</v>
      </c>
      <c r="EH82" s="620">
        <f t="shared" ca="1" si="224"/>
        <v>5.0892813222489952</v>
      </c>
      <c r="EI82" s="620">
        <f t="shared" ca="1" si="225"/>
        <v>12.298960153946648</v>
      </c>
      <c r="EJ82" s="620">
        <f t="shared" ca="1" si="77"/>
        <v>9.8281313650559596</v>
      </c>
      <c r="EK82" s="620" t="str">
        <f t="shared" si="226"/>
        <v/>
      </c>
      <c r="EL82" s="563" t="str">
        <f ca="1">IF(ROUND(EL33,2)=0,"ok","!")</f>
        <v>ok</v>
      </c>
      <c r="EM82" s="623">
        <f t="shared" ca="1" si="227"/>
        <v>3.5933936510861963</v>
      </c>
      <c r="EN82" s="620">
        <f t="shared" ca="1" si="228"/>
        <v>4.0000000000000036</v>
      </c>
      <c r="EO82" s="620">
        <f t="shared" ca="1" si="229"/>
        <v>2.0000000000000018</v>
      </c>
      <c r="EP82" s="620">
        <f t="shared" ca="1" si="82"/>
        <v>5.0000000000000044</v>
      </c>
      <c r="EQ82" s="620" t="str">
        <f t="shared" si="230"/>
        <v/>
      </c>
      <c r="ER82" s="563" t="str">
        <f ca="1">IF(ROUND(ER33,2)=0,"ok","!")</f>
        <v>ok</v>
      </c>
      <c r="ES82" s="623">
        <f t="shared" ca="1" si="231"/>
        <v>2.447593480321153</v>
      </c>
      <c r="ET82" s="620">
        <f t="shared" ca="1" si="232"/>
        <v>2.0000000000000018</v>
      </c>
      <c r="EU82" s="620">
        <f t="shared" ca="1" si="233"/>
        <v>1.4999999999999902</v>
      </c>
      <c r="EV82" s="620">
        <f t="shared" ca="1" si="87"/>
        <v>3.8999999999999924</v>
      </c>
      <c r="EW82" s="620" t="str">
        <f t="shared" si="234"/>
        <v/>
      </c>
      <c r="EX82" s="563" t="str">
        <f ca="1">IF(ROUND(EX33,2)=0,"ok","!")</f>
        <v>ok</v>
      </c>
      <c r="EY82" s="623">
        <f t="shared" ca="1" si="235"/>
        <v>2.1564994032746254</v>
      </c>
      <c r="EZ82" s="620">
        <f t="shared" ca="1" si="236"/>
        <v>2.0000000000000018</v>
      </c>
      <c r="FA82" s="620">
        <f t="shared" ca="1" si="237"/>
        <v>1.4999999999999902</v>
      </c>
      <c r="FB82" s="620">
        <f t="shared" ca="1" si="92"/>
        <v>3.0000000000000027</v>
      </c>
      <c r="FC82" s="620" t="str">
        <f t="shared" si="238"/>
        <v/>
      </c>
      <c r="FD82" s="563" t="str">
        <f ca="1">IF(ROUND(FD33,2)=0,"ok","!")</f>
        <v>ok</v>
      </c>
    </row>
    <row r="83" spans="2:160" ht="13.15">
      <c r="B83" s="555" t="s">
        <v>1793</v>
      </c>
      <c r="C83" s="3853" t="s">
        <v>1670</v>
      </c>
      <c r="D83" s="3854"/>
      <c r="E83" s="571"/>
      <c r="F83" s="571"/>
      <c r="G83" s="571"/>
      <c r="H83" s="571"/>
      <c r="I83" s="571"/>
      <c r="J83" s="567"/>
      <c r="K83" s="571">
        <f t="shared" ca="1" si="142"/>
        <v>2.8467964105753252</v>
      </c>
      <c r="L83" s="571">
        <f t="shared" ca="1" si="142"/>
        <v>0.27135630377892461</v>
      </c>
      <c r="M83" s="571">
        <f t="shared" ca="1" si="142"/>
        <v>-7.4479306707480379</v>
      </c>
      <c r="N83" s="571">
        <f t="shared" ca="1" si="142"/>
        <v>18.148439490798694</v>
      </c>
      <c r="O83" s="571" t="str">
        <f t="shared" si="142"/>
        <v/>
      </c>
      <c r="P83" s="567"/>
      <c r="Q83" s="571">
        <f t="shared" ca="1" si="143"/>
        <v>4.4428348758070557</v>
      </c>
      <c r="R83" s="571">
        <f t="shared" ca="1" si="144"/>
        <v>0.98603374727761484</v>
      </c>
      <c r="S83" s="571">
        <f t="shared" ca="1" si="145"/>
        <v>7.5553966409423134</v>
      </c>
      <c r="T83" s="571">
        <f t="shared" ca="1" si="130"/>
        <v>8.2151470935749806</v>
      </c>
      <c r="U83" s="571" t="str">
        <f t="shared" si="146"/>
        <v/>
      </c>
      <c r="V83" s="567"/>
      <c r="W83" s="571">
        <f t="shared" ca="1" si="147"/>
        <v>5.9339143009167872</v>
      </c>
      <c r="X83" s="571">
        <f t="shared" ca="1" si="148"/>
        <v>2.5277730015810462</v>
      </c>
      <c r="Y83" s="571">
        <f t="shared" ca="1" si="149"/>
        <v>7.7329393295780369</v>
      </c>
      <c r="Z83" s="571">
        <f t="shared" ca="1" si="131"/>
        <v>10.21384711638278</v>
      </c>
      <c r="AA83" s="571" t="str">
        <f t="shared" si="150"/>
        <v/>
      </c>
      <c r="AB83" s="567"/>
      <c r="AC83" s="571">
        <f t="shared" ca="1" si="151"/>
        <v>2.4771870291107057</v>
      </c>
      <c r="AD83" s="571">
        <f t="shared" ca="1" si="152"/>
        <v>-1.7835924222375232</v>
      </c>
      <c r="AE83" s="571">
        <f t="shared" ca="1" si="153"/>
        <v>4.1613094013576823</v>
      </c>
      <c r="AF83" s="571">
        <f t="shared" ca="1" si="132"/>
        <v>7.7934065588464385</v>
      </c>
      <c r="AG83" s="571" t="str">
        <f t="shared" si="154"/>
        <v/>
      </c>
      <c r="AH83" s="567"/>
      <c r="AI83" s="571">
        <f t="shared" ca="1" si="155"/>
        <v>10.125827668578925</v>
      </c>
      <c r="AJ83" s="571">
        <f t="shared" ca="1" si="156"/>
        <v>14.857174389258576</v>
      </c>
      <c r="AK83" s="571">
        <f t="shared" ca="1" si="157"/>
        <v>0.63735020315796032</v>
      </c>
      <c r="AL83" s="571">
        <f t="shared" ca="1" si="133"/>
        <v>10.224713200368818</v>
      </c>
      <c r="AM83" s="571" t="str">
        <f t="shared" si="158"/>
        <v/>
      </c>
      <c r="AN83" s="567"/>
      <c r="AO83" s="571">
        <f t="shared" ca="1" si="159"/>
        <v>4.0513558751751777</v>
      </c>
      <c r="AP83" s="571">
        <f t="shared" ca="1" si="160"/>
        <v>7.8496443434427077</v>
      </c>
      <c r="AQ83" s="571">
        <f t="shared" ca="1" si="161"/>
        <v>2.2039237652119237</v>
      </c>
      <c r="AR83" s="571">
        <f t="shared" ca="1" si="134"/>
        <v>-0.29817916160437274</v>
      </c>
      <c r="AS83" s="571" t="str">
        <f t="shared" si="162"/>
        <v/>
      </c>
      <c r="AT83" s="567"/>
      <c r="AU83" s="571">
        <f t="shared" ca="1" si="163"/>
        <v>4.0568092464632999</v>
      </c>
      <c r="AV83" s="571">
        <f t="shared" ca="1" si="164"/>
        <v>4.4185159098511617</v>
      </c>
      <c r="AW83" s="571">
        <f t="shared" ca="1" si="165"/>
        <v>13.102805458102097</v>
      </c>
      <c r="AX83" s="571">
        <f t="shared" ca="1" si="135"/>
        <v>-2.5178772202996469</v>
      </c>
      <c r="AY83" s="571" t="str">
        <f t="shared" si="166"/>
        <v/>
      </c>
      <c r="AZ83" s="567"/>
      <c r="BA83" s="571">
        <f t="shared" ca="1" si="167"/>
        <v>5.4213282153819486</v>
      </c>
      <c r="BB83" s="571">
        <f t="shared" ca="1" si="168"/>
        <v>2.5517251371609539</v>
      </c>
      <c r="BC83" s="571">
        <f t="shared" ca="1" si="169"/>
        <v>11.63597200165527</v>
      </c>
      <c r="BD83" s="571">
        <f t="shared" ca="1" si="136"/>
        <v>5.490593914470332</v>
      </c>
      <c r="BE83" s="571" t="str">
        <f t="shared" si="170"/>
        <v/>
      </c>
      <c r="BF83" s="567"/>
      <c r="BG83" s="571">
        <f t="shared" ca="1" si="171"/>
        <v>3.4102840989230776</v>
      </c>
      <c r="BH83" s="571">
        <f t="shared" ca="1" si="172"/>
        <v>2.2880811153836333</v>
      </c>
      <c r="BI83" s="571">
        <f t="shared" ca="1" si="173"/>
        <v>1.0452128207281586</v>
      </c>
      <c r="BJ83" s="571">
        <f t="shared" ca="1" si="137"/>
        <v>7.1830393217380717</v>
      </c>
      <c r="BK83" s="571" t="str">
        <f t="shared" si="174"/>
        <v/>
      </c>
      <c r="BL83" s="567"/>
      <c r="BM83" s="571">
        <f t="shared" ca="1" si="175"/>
        <v>4.4760420541846146</v>
      </c>
      <c r="BN83" s="571">
        <f t="shared" ca="1" si="176"/>
        <v>3.8199400240026771</v>
      </c>
      <c r="BO83" s="571">
        <f t="shared" ca="1" si="177"/>
        <v>7.8073925660415711E-2</v>
      </c>
      <c r="BP83" s="571">
        <f t="shared" ca="1" si="138"/>
        <v>8.8842776142555202</v>
      </c>
      <c r="BQ83" s="571" t="str">
        <f t="shared" si="178"/>
        <v/>
      </c>
      <c r="BR83" s="567"/>
      <c r="BS83" s="571">
        <f t="shared" ca="1" si="179"/>
        <v>7.7543020454682754</v>
      </c>
      <c r="BT83" s="571">
        <f t="shared" ca="1" si="180"/>
        <v>5.7135824989338113</v>
      </c>
      <c r="BU83" s="571">
        <f t="shared" ca="1" si="181"/>
        <v>13.769297647860546</v>
      </c>
      <c r="BV83" s="571">
        <f t="shared" ca="1" si="139"/>
        <v>6.561213846683045</v>
      </c>
      <c r="BW83" s="571" t="str">
        <f t="shared" si="182"/>
        <v/>
      </c>
      <c r="BX83" s="567"/>
      <c r="BY83" s="571">
        <f t="shared" ca="1" si="183"/>
        <v>6.9830718169711314</v>
      </c>
      <c r="BZ83" s="571">
        <f t="shared" ca="1" si="184"/>
        <v>6.979511589403975</v>
      </c>
      <c r="CA83" s="571">
        <f t="shared" ca="1" si="185"/>
        <v>4.6029477371490879</v>
      </c>
      <c r="CB83" s="571">
        <f t="shared" ca="1" si="140"/>
        <v>8.7825571582931694</v>
      </c>
      <c r="CC83" s="571" t="str">
        <f t="shared" si="186"/>
        <v/>
      </c>
      <c r="CD83" s="567"/>
      <c r="CE83" s="571">
        <f t="shared" ca="1" si="187"/>
        <v>3.2418233136488173</v>
      </c>
      <c r="CF83" s="571">
        <f t="shared" ca="1" si="188"/>
        <v>6.494812750555834</v>
      </c>
      <c r="CG83" s="571">
        <f t="shared" ca="1" si="189"/>
        <v>0.70542767293118036</v>
      </c>
      <c r="CH83" s="571">
        <f t="shared" ca="1" si="141"/>
        <v>0.33109612856079274</v>
      </c>
      <c r="CI83" s="571" t="str">
        <f t="shared" si="190"/>
        <v/>
      </c>
      <c r="CJ83" s="567"/>
      <c r="CK83" s="571">
        <f t="shared" ca="1" si="191"/>
        <v>-3.8792879551738046</v>
      </c>
      <c r="CL83" s="571">
        <f t="shared" ca="1" si="192"/>
        <v>4.0749934794949372</v>
      </c>
      <c r="CM83" s="571">
        <f t="shared" ca="1" si="193"/>
        <v>-18.497333472759671</v>
      </c>
      <c r="CN83" s="571">
        <f t="shared" ca="1" si="37"/>
        <v>-5.5701167090187358</v>
      </c>
      <c r="CO83" s="571" t="str">
        <f t="shared" si="194"/>
        <v/>
      </c>
      <c r="CP83" s="567"/>
      <c r="CQ83" s="571">
        <f t="shared" ca="1" si="195"/>
        <v>7.3705944260519241</v>
      </c>
      <c r="CR83" s="571">
        <f t="shared" ca="1" si="196"/>
        <v>4.1666961499543742</v>
      </c>
      <c r="CS83" s="571">
        <f t="shared" ca="1" si="197"/>
        <v>18.440871941596871</v>
      </c>
      <c r="CT83" s="571">
        <f t="shared" ca="1" si="42"/>
        <v>5.890925278014425</v>
      </c>
      <c r="CU83" s="571" t="str">
        <f t="shared" si="198"/>
        <v/>
      </c>
      <c r="CV83" s="567"/>
      <c r="CW83" s="571">
        <f t="shared" ca="1" si="199"/>
        <v>3.2059254143918414</v>
      </c>
      <c r="CX83" s="571">
        <f t="shared" ca="1" si="200"/>
        <v>4.9170184847424636</v>
      </c>
      <c r="CY83" s="571">
        <f t="shared" ca="1" si="201"/>
        <v>-1.7237363780141068</v>
      </c>
      <c r="CZ83" s="571">
        <f t="shared" ca="1" si="47"/>
        <v>3.7936062132701842</v>
      </c>
      <c r="DA83" s="571" t="str">
        <f t="shared" si="202"/>
        <v/>
      </c>
      <c r="DB83" s="567"/>
      <c r="DC83" s="571">
        <f t="shared" ca="1" si="203"/>
        <v>1.0003555378770512</v>
      </c>
      <c r="DD83" s="571">
        <f t="shared" ca="1" si="204"/>
        <v>4.0444610146007642</v>
      </c>
      <c r="DE83" s="571">
        <f t="shared" ca="1" si="205"/>
        <v>-4.85049229658493</v>
      </c>
      <c r="DF83" s="571">
        <f t="shared" ca="1" si="52"/>
        <v>-0.27838000795371576</v>
      </c>
      <c r="DG83" s="571" t="str">
        <f t="shared" si="206"/>
        <v/>
      </c>
      <c r="DH83" s="567"/>
      <c r="DI83" s="571">
        <f t="shared" ca="1" si="207"/>
        <v>2.3141373317367986</v>
      </c>
      <c r="DJ83" s="571">
        <f t="shared" ca="1" si="208"/>
        <v>3.0014639390279596</v>
      </c>
      <c r="DK83" s="571">
        <f t="shared" ca="1" si="209"/>
        <v>0.65756511212344826</v>
      </c>
      <c r="DL83" s="571">
        <f t="shared" ca="1" si="57"/>
        <v>2.147433187904535</v>
      </c>
      <c r="DM83" s="571" t="str">
        <f t="shared" si="210"/>
        <v/>
      </c>
      <c r="DN83" s="567"/>
      <c r="DO83" s="571">
        <f t="shared" ca="1" si="211"/>
        <v>4.2517498667941744</v>
      </c>
      <c r="DP83" s="571">
        <f t="shared" ca="1" si="212"/>
        <v>3.9001368416070381</v>
      </c>
      <c r="DQ83" s="571">
        <f t="shared" ca="1" si="213"/>
        <v>5.8020281419440156</v>
      </c>
      <c r="DR83" s="571">
        <f t="shared" ca="1" si="62"/>
        <v>3.910597438393193</v>
      </c>
      <c r="DS83" s="571" t="str">
        <f t="shared" si="214"/>
        <v/>
      </c>
      <c r="DT83" s="567"/>
      <c r="DU83" s="571">
        <f t="shared" ca="1" si="215"/>
        <v>5.8845218538330579</v>
      </c>
      <c r="DV83" s="571">
        <f t="shared" ca="1" si="216"/>
        <v>3.4750138585766699</v>
      </c>
      <c r="DW83" s="571">
        <f t="shared" ca="1" si="217"/>
        <v>4.6892378815691638</v>
      </c>
      <c r="DX83" s="571">
        <f t="shared" ca="1" si="67"/>
        <v>10.950309838475359</v>
      </c>
      <c r="DY83" s="571" t="str">
        <f t="shared" si="218"/>
        <v/>
      </c>
      <c r="DZ83" s="567"/>
      <c r="EA83" s="571">
        <f t="shared" ca="1" si="219"/>
        <v>4.5444166916250639</v>
      </c>
      <c r="EB83" s="571">
        <f t="shared" ca="1" si="220"/>
        <v>4.6635366003283218</v>
      </c>
      <c r="EC83" s="571">
        <f t="shared" ca="1" si="221"/>
        <v>-4.6098576896551613</v>
      </c>
      <c r="ED83" s="571">
        <f t="shared" ca="1" si="72"/>
        <v>9.8454518428816371</v>
      </c>
      <c r="EE83" s="571" t="str">
        <f t="shared" si="222"/>
        <v/>
      </c>
      <c r="EF83" s="567"/>
      <c r="EG83" s="571">
        <f t="shared" ca="1" si="223"/>
        <v>4.54560927160641</v>
      </c>
      <c r="EH83" s="571">
        <f t="shared" ca="1" si="224"/>
        <v>3.6839755096635507</v>
      </c>
      <c r="EI83" s="571">
        <f t="shared" ca="1" si="225"/>
        <v>5.3774011360975038</v>
      </c>
      <c r="EJ83" s="571">
        <f t="shared" ca="1" si="77"/>
        <v>5.4795931486794291</v>
      </c>
      <c r="EK83" s="571" t="str">
        <f t="shared" si="226"/>
        <v/>
      </c>
      <c r="EL83" s="567"/>
      <c r="EM83" s="571">
        <f t="shared" ca="1" si="227"/>
        <v>4.8462719787131237</v>
      </c>
      <c r="EN83" s="571">
        <f t="shared" ca="1" si="228"/>
        <v>4.6873382230531835</v>
      </c>
      <c r="EO83" s="571">
        <f t="shared" ca="1" si="229"/>
        <v>7.5791321201704065</v>
      </c>
      <c r="EP83" s="571">
        <f t="shared" ca="1" si="82"/>
        <v>3.669945177760936</v>
      </c>
      <c r="EQ83" s="571" t="str">
        <f t="shared" si="230"/>
        <v/>
      </c>
      <c r="ER83" s="567"/>
      <c r="ES83" s="571">
        <f t="shared" ca="1" si="231"/>
        <v>3.7401665113471649</v>
      </c>
      <c r="ET83" s="571">
        <f t="shared" ca="1" si="232"/>
        <v>3.2026416525350321</v>
      </c>
      <c r="EU83" s="571">
        <f t="shared" ca="1" si="233"/>
        <v>4.9510059114008298</v>
      </c>
      <c r="EV83" s="571">
        <f t="shared" ca="1" si="87"/>
        <v>3.9323652962572897</v>
      </c>
      <c r="EW83" s="571" t="str">
        <f t="shared" si="234"/>
        <v/>
      </c>
      <c r="EX83" s="567"/>
      <c r="EY83" s="571">
        <f t="shared" ca="1" si="235"/>
        <v>3.5284159354722178</v>
      </c>
      <c r="EZ83" s="571">
        <f t="shared" ca="1" si="236"/>
        <v>3.2256240231082867</v>
      </c>
      <c r="FA83" s="571">
        <f t="shared" ca="1" si="237"/>
        <v>4.9721762192586061</v>
      </c>
      <c r="FB83" s="571">
        <f t="shared" ca="1" si="92"/>
        <v>3.2137230477084389</v>
      </c>
      <c r="FC83" s="571" t="str">
        <f t="shared" si="238"/>
        <v/>
      </c>
      <c r="FD83" s="567"/>
    </row>
    <row r="84" spans="2:160" ht="13.5" thickBot="1">
      <c r="B84" s="555" t="s">
        <v>1791</v>
      </c>
      <c r="C84" s="3855" t="s">
        <v>1671</v>
      </c>
      <c r="D84" s="3856"/>
      <c r="E84" s="623"/>
      <c r="F84" s="620"/>
      <c r="G84" s="620"/>
      <c r="H84" s="620"/>
      <c r="I84" s="622"/>
      <c r="J84" s="563"/>
      <c r="K84" s="623" t="str">
        <f t="shared" ref="K84:O90" ca="1" si="239">IF(K35="","",IF(E35=0,"N",(K35/E35-1)*100))</f>
        <v>N</v>
      </c>
      <c r="L84" s="620">
        <f t="shared" ca="1" si="239"/>
        <v>4.448735350909061</v>
      </c>
      <c r="M84" s="620">
        <f t="shared" ca="1" si="239"/>
        <v>4.448735350909061</v>
      </c>
      <c r="N84" s="620" t="str">
        <f t="shared" ca="1" si="239"/>
        <v>N</v>
      </c>
      <c r="O84" s="622" t="str">
        <f t="shared" ca="1" si="239"/>
        <v>N</v>
      </c>
      <c r="P84" s="563" t="str">
        <f ca="1">IF(ROUND(P35,2)=0,"ok","!")</f>
        <v>ok</v>
      </c>
      <c r="Q84" s="623" t="str">
        <f t="shared" ca="1" si="143"/>
        <v>N</v>
      </c>
      <c r="R84" s="620">
        <f t="shared" ca="1" si="144"/>
        <v>3.7559029175971093</v>
      </c>
      <c r="S84" s="620">
        <f t="shared" ca="1" si="145"/>
        <v>3.7559029175971093</v>
      </c>
      <c r="T84" s="620" t="str">
        <f t="shared" ca="1" si="130"/>
        <v>N</v>
      </c>
      <c r="U84" s="622" t="str">
        <f t="shared" ca="1" si="146"/>
        <v>N</v>
      </c>
      <c r="V84" s="563" t="str">
        <f ca="1">IF(ROUND(V35,2)=0,"ok","!")</f>
        <v>ok</v>
      </c>
      <c r="W84" s="623" t="str">
        <f t="shared" ca="1" si="147"/>
        <v>N</v>
      </c>
      <c r="X84" s="620">
        <f t="shared" ca="1" si="148"/>
        <v>16.513777652330376</v>
      </c>
      <c r="Y84" s="620">
        <f t="shared" ca="1" si="149"/>
        <v>14.322760469957331</v>
      </c>
      <c r="Z84" s="620" t="str">
        <f t="shared" ca="1" si="131"/>
        <v>N</v>
      </c>
      <c r="AA84" s="622" t="str">
        <f t="shared" ca="1" si="150"/>
        <v>N</v>
      </c>
      <c r="AB84" s="563" t="str">
        <f ca="1">IF(ROUND(AB35,2)=0,"ok","!")</f>
        <v>ok</v>
      </c>
      <c r="AC84" s="623">
        <f t="shared" ca="1" si="151"/>
        <v>-164.77272727272728</v>
      </c>
      <c r="AD84" s="620">
        <f t="shared" ca="1" si="152"/>
        <v>10.902841915605578</v>
      </c>
      <c r="AE84" s="620">
        <f t="shared" ca="1" si="153"/>
        <v>11.997531054702559</v>
      </c>
      <c r="AF84" s="620">
        <f t="shared" ca="1" si="132"/>
        <v>-46.21578099838969</v>
      </c>
      <c r="AG84" s="622">
        <f t="shared" ca="1" si="154"/>
        <v>-164.77272727272728</v>
      </c>
      <c r="AH84" s="563" t="str">
        <f ca="1">IF(ROUND(AH35,2)=0,"ok","!")</f>
        <v>ok</v>
      </c>
      <c r="AI84" s="623">
        <f t="shared" ca="1" si="155"/>
        <v>-100</v>
      </c>
      <c r="AJ84" s="620">
        <f t="shared" ca="1" si="156"/>
        <v>32.608398864132802</v>
      </c>
      <c r="AK84" s="620">
        <f t="shared" ca="1" si="157"/>
        <v>28.583631854505363</v>
      </c>
      <c r="AL84" s="620">
        <f t="shared" ca="1" si="133"/>
        <v>469.91017964071852</v>
      </c>
      <c r="AM84" s="622">
        <f t="shared" ca="1" si="158"/>
        <v>-100</v>
      </c>
      <c r="AN84" s="563" t="str">
        <f ca="1">IF(ROUND(AN35,2)=0,"ok","!")</f>
        <v>ok</v>
      </c>
      <c r="AO84" s="623" t="str">
        <f t="shared" ca="1" si="159"/>
        <v>N</v>
      </c>
      <c r="AP84" s="620">
        <f t="shared" ca="1" si="160"/>
        <v>3.0051578763139242</v>
      </c>
      <c r="AQ84" s="620">
        <f t="shared" ca="1" si="161"/>
        <v>2.5373422197458417</v>
      </c>
      <c r="AR84" s="620">
        <f t="shared" ca="1" si="134"/>
        <v>14.473338586813767</v>
      </c>
      <c r="AS84" s="622" t="str">
        <f t="shared" ca="1" si="162"/>
        <v>N</v>
      </c>
      <c r="AT84" s="563" t="str">
        <f ca="1">IF(ROUND(AT35,2)=0,"ok","!")</f>
        <v>ok</v>
      </c>
      <c r="AU84" s="623" t="str">
        <f t="shared" ca="1" si="163"/>
        <v>N</v>
      </c>
      <c r="AV84" s="620">
        <f t="shared" ca="1" si="164"/>
        <v>-3.8400031983368721</v>
      </c>
      <c r="AW84" s="620">
        <f t="shared" ca="1" si="165"/>
        <v>-4.9365686458921143</v>
      </c>
      <c r="AX84" s="620">
        <f t="shared" ca="1" si="135"/>
        <v>20.238641578705852</v>
      </c>
      <c r="AY84" s="622" t="str">
        <f t="shared" ca="1" si="166"/>
        <v>N</v>
      </c>
      <c r="AZ84" s="563" t="str">
        <f ca="1">IF(ROUND(AZ35,2)=0,"ok","!")</f>
        <v>ok</v>
      </c>
      <c r="BA84" s="623" t="str">
        <f t="shared" ca="1" si="167"/>
        <v>N</v>
      </c>
      <c r="BB84" s="620">
        <f t="shared" ca="1" si="168"/>
        <v>9.5956761251429157</v>
      </c>
      <c r="BC84" s="620">
        <f t="shared" ca="1" si="169"/>
        <v>7.935583159283266</v>
      </c>
      <c r="BD84" s="620">
        <f t="shared" ca="1" si="136"/>
        <v>38.263358778625943</v>
      </c>
      <c r="BE84" s="622" t="str">
        <f t="shared" ca="1" si="170"/>
        <v>N</v>
      </c>
      <c r="BF84" s="563" t="str">
        <f ca="1">IF(ROUND(BF35,2)=0,"ok","!")</f>
        <v>ok</v>
      </c>
      <c r="BG84" s="623">
        <f t="shared" ca="1" si="171"/>
        <v>-24.999999999930612</v>
      </c>
      <c r="BH84" s="620">
        <f t="shared" ca="1" si="172"/>
        <v>2.7199787560933997</v>
      </c>
      <c r="BI84" s="620">
        <f t="shared" ca="1" si="173"/>
        <v>3.4168796912077859</v>
      </c>
      <c r="BJ84" s="620">
        <f t="shared" ca="1" si="137"/>
        <v>-6.6942719116632183</v>
      </c>
      <c r="BK84" s="622">
        <f t="shared" ca="1" si="174"/>
        <v>-24.999999999930612</v>
      </c>
      <c r="BL84" s="563" t="str">
        <f ca="1">IF(ROUND(BL35,2)=0,"ok","!")</f>
        <v>ok</v>
      </c>
      <c r="BM84" s="623">
        <f t="shared" ca="1" si="175"/>
        <v>83.333333333002727</v>
      </c>
      <c r="BN84" s="620">
        <f t="shared" ca="1" si="176"/>
        <v>-2.276798079586384</v>
      </c>
      <c r="BO84" s="620">
        <f t="shared" ca="1" si="177"/>
        <v>-3.5275348617348046</v>
      </c>
      <c r="BP84" s="620">
        <f t="shared" ca="1" si="138"/>
        <v>16.434911242603569</v>
      </c>
      <c r="BQ84" s="622">
        <f t="shared" ca="1" si="178"/>
        <v>83.333333333002727</v>
      </c>
      <c r="BR84" s="563" t="str">
        <f ca="1">IF(ROUND(BR35,2)=0,"ok","!")</f>
        <v>ok</v>
      </c>
      <c r="BS84" s="623">
        <f t="shared" ca="1" si="179"/>
        <v>-18.181818181751385</v>
      </c>
      <c r="BT84" s="620">
        <f t="shared" ca="1" si="180"/>
        <v>8.2186992177166509</v>
      </c>
      <c r="BU84" s="620">
        <f t="shared" ca="1" si="181"/>
        <v>9.5434964578101855</v>
      </c>
      <c r="BV84" s="620">
        <f t="shared" ca="1" si="139"/>
        <v>-8.23275314445433</v>
      </c>
      <c r="BW84" s="622">
        <f t="shared" ca="1" si="182"/>
        <v>-18.181818181751385</v>
      </c>
      <c r="BX84" s="563" t="str">
        <f ca="1">IF(ROUND(BX35,2)=0,"ok","!")</f>
        <v>ok</v>
      </c>
      <c r="BY84" s="623">
        <f t="shared" ca="1" si="183"/>
        <v>11.111111111332605</v>
      </c>
      <c r="BZ84" s="620">
        <f t="shared" ca="1" si="184"/>
        <v>20.438612573444036</v>
      </c>
      <c r="CA84" s="620">
        <f t="shared" ca="1" si="185"/>
        <v>20.258873740809413</v>
      </c>
      <c r="CB84" s="620">
        <f t="shared" ca="1" si="140"/>
        <v>23.120587013706228</v>
      </c>
      <c r="CC84" s="622">
        <f t="shared" ca="1" si="186"/>
        <v>11.111111111332605</v>
      </c>
      <c r="CD84" s="563" t="str">
        <f ca="1">IF(ROUND(CD35,2)=0,"ok","!")</f>
        <v>ok</v>
      </c>
      <c r="CE84" s="623">
        <f t="shared" ca="1" si="187"/>
        <v>-4.4408920985006262E-10</v>
      </c>
      <c r="CF84" s="620">
        <f t="shared" ca="1" si="188"/>
        <v>0.86405613465356801</v>
      </c>
      <c r="CG84" s="620">
        <f t="shared" ca="1" si="189"/>
        <v>0.88492146515719572</v>
      </c>
      <c r="CH84" s="620">
        <f t="shared" ca="1" si="141"/>
        <v>0.5622399640166309</v>
      </c>
      <c r="CI84" s="622">
        <f t="shared" ca="1" si="190"/>
        <v>-4.4408920985006262E-10</v>
      </c>
      <c r="CJ84" s="563" t="str">
        <f ca="1">IF(ROUND(CJ35,2)=0,"ok","!")</f>
        <v>ok</v>
      </c>
      <c r="CK84" s="623">
        <f t="shared" ca="1" si="191"/>
        <v>20.000000000341057</v>
      </c>
      <c r="CL84" s="620">
        <f t="shared" ca="1" si="192"/>
        <v>-23.89360815258792</v>
      </c>
      <c r="CM84" s="620">
        <f t="shared" ca="1" si="193"/>
        <v>-25.575875815135994</v>
      </c>
      <c r="CN84" s="620">
        <f t="shared" ca="1" si="37"/>
        <v>0.54791457005480826</v>
      </c>
      <c r="CO84" s="622">
        <f t="shared" ca="1" si="194"/>
        <v>20.000000000341057</v>
      </c>
      <c r="CP84" s="563" t="str">
        <f ca="1">IF(ROUND(CP35,2)=0,"ok","!")</f>
        <v>ok</v>
      </c>
      <c r="CQ84" s="623">
        <f t="shared" ca="1" si="195"/>
        <v>-1.4802603587327212E-10</v>
      </c>
      <c r="CR84" s="620">
        <f t="shared" ca="1" si="196"/>
        <v>39.918223968120571</v>
      </c>
      <c r="CS84" s="620">
        <f t="shared" ca="1" si="197"/>
        <v>44.119923628670236</v>
      </c>
      <c r="CT84" s="620">
        <f t="shared" ca="1" si="42"/>
        <v>-5.3047153024911031</v>
      </c>
      <c r="CU84" s="622">
        <f t="shared" ca="1" si="198"/>
        <v>-1.4802603587327212E-10</v>
      </c>
      <c r="CV84" s="563" t="str">
        <f ca="1">IF(ROUND(CV35,2)=0,"ok","!")</f>
        <v>ok</v>
      </c>
      <c r="CW84" s="623">
        <f t="shared" ca="1" si="199"/>
        <v>-16.666666666558115</v>
      </c>
      <c r="CX84" s="620">
        <f t="shared" ca="1" si="200"/>
        <v>-2.3884404610857612</v>
      </c>
      <c r="CY84" s="620">
        <f t="shared" ca="1" si="201"/>
        <v>-3.3377492928497232</v>
      </c>
      <c r="CZ84" s="620">
        <f t="shared" ca="1" si="47"/>
        <v>13.200234879624183</v>
      </c>
      <c r="DA84" s="622">
        <f t="shared" ca="1" si="202"/>
        <v>-16.666666666558115</v>
      </c>
      <c r="DB84" s="563" t="str">
        <f ca="1">IF(ROUND(DB35,2)=0,"ok","!")</f>
        <v>ok</v>
      </c>
      <c r="DC84" s="623">
        <f t="shared" ca="1" si="203"/>
        <v>20.000000000030195</v>
      </c>
      <c r="DD84" s="620">
        <f t="shared" ca="1" si="204"/>
        <v>-5.1157066506260733</v>
      </c>
      <c r="DE84" s="620">
        <f t="shared" ca="1" si="205"/>
        <v>-3.6122799739228384</v>
      </c>
      <c r="DF84" s="620">
        <f t="shared" ca="1" si="52"/>
        <v>-26.195663450565409</v>
      </c>
      <c r="DG84" s="622">
        <f t="shared" ca="1" si="206"/>
        <v>20.000000000030195</v>
      </c>
      <c r="DH84" s="563" t="str">
        <f ca="1">IF(ROUND(DH35,2)=0,"ok","!")</f>
        <v>ok</v>
      </c>
      <c r="DI84" s="623">
        <f t="shared" ca="1" si="207"/>
        <v>33.333333333131023</v>
      </c>
      <c r="DJ84" s="620">
        <f t="shared" ca="1" si="208"/>
        <v>5.7879242753253513</v>
      </c>
      <c r="DK84" s="620">
        <f t="shared" ca="1" si="209"/>
        <v>5.3171211608817437</v>
      </c>
      <c r="DL84" s="620">
        <f t="shared" ca="1" si="57"/>
        <v>14.351982007309537</v>
      </c>
      <c r="DM84" s="622">
        <f t="shared" ca="1" si="210"/>
        <v>33.333333333131023</v>
      </c>
      <c r="DN84" s="563" t="str">
        <f ca="1">IF(ROUND(DN35,2)=0,"ok","!")</f>
        <v>ok</v>
      </c>
      <c r="DO84" s="623">
        <f t="shared" ca="1" si="211"/>
        <v>43.750000000268543</v>
      </c>
      <c r="DP84" s="620">
        <f t="shared" ca="1" si="212"/>
        <v>19.350861362337014</v>
      </c>
      <c r="DQ84" s="620">
        <f t="shared" ca="1" si="213"/>
        <v>20.366207872958398</v>
      </c>
      <c r="DR84" s="620">
        <f t="shared" ca="1" si="62"/>
        <v>2.2003687768899827</v>
      </c>
      <c r="DS84" s="622">
        <f t="shared" ca="1" si="214"/>
        <v>43.750000000268543</v>
      </c>
      <c r="DT84" s="563" t="str">
        <f ca="1">IF(ROUND(DT35,2)=0,"ok","!")</f>
        <v>ok</v>
      </c>
      <c r="DU84" s="623">
        <f t="shared" ca="1" si="215"/>
        <v>30.434782608516663</v>
      </c>
      <c r="DV84" s="620">
        <f t="shared" ca="1" si="216"/>
        <v>-10.136203612858552</v>
      </c>
      <c r="DW84" s="620">
        <f t="shared" ca="1" si="217"/>
        <v>-10.835308883000961</v>
      </c>
      <c r="DX84" s="620">
        <f t="shared" ca="1" si="67"/>
        <v>3.6203993264373402</v>
      </c>
      <c r="DY84" s="622">
        <f t="shared" ca="1" si="218"/>
        <v>30.434782608516663</v>
      </c>
      <c r="DZ84" s="563" t="str">
        <f ca="1">IF(ROUND(DZ35,2)=0,"ok","!")</f>
        <v>ok</v>
      </c>
      <c r="EA84" s="623">
        <f t="shared" ca="1" si="219"/>
        <v>40.000000000168171</v>
      </c>
      <c r="EB84" s="620">
        <f t="shared" ca="1" si="220"/>
        <v>10.58012806103774</v>
      </c>
      <c r="EC84" s="620">
        <f t="shared" ca="1" si="221"/>
        <v>10.333736791285286</v>
      </c>
      <c r="ED84" s="620">
        <f t="shared" ca="1" si="72"/>
        <v>14.683691236215912</v>
      </c>
      <c r="EE84" s="622">
        <f t="shared" ca="1" si="222"/>
        <v>40.000000000168171</v>
      </c>
      <c r="EF84" s="563" t="str">
        <f ca="1">IF(ROUND(EF35,2)=0,"ok","!")</f>
        <v>ok</v>
      </c>
      <c r="EG84" s="623">
        <f t="shared" ca="1" si="223"/>
        <v>14.285714285638761</v>
      </c>
      <c r="EH84" s="620">
        <f t="shared" ca="1" si="224"/>
        <v>-7.2859374727757498</v>
      </c>
      <c r="EI84" s="620">
        <f t="shared" ca="1" si="225"/>
        <v>-8.4833506924115056</v>
      </c>
      <c r="EJ84" s="620">
        <f t="shared" ca="1" si="77"/>
        <v>12.287449392712535</v>
      </c>
      <c r="EK84" s="622">
        <f t="shared" ca="1" si="226"/>
        <v>14.285714285638761</v>
      </c>
      <c r="EL84" s="563" t="str">
        <f ca="1">IF(ROUND(EL35,2)=0,"ok","!")</f>
        <v>ok</v>
      </c>
      <c r="EM84" s="623">
        <f t="shared" ca="1" si="227"/>
        <v>-100</v>
      </c>
      <c r="EN84" s="620">
        <f t="shared" ca="1" si="228"/>
        <v>2.2473126362474449</v>
      </c>
      <c r="EO84" s="620">
        <f t="shared" ca="1" si="229"/>
        <v>2.0000000000000018</v>
      </c>
      <c r="EP84" s="620">
        <f t="shared" ca="1" si="82"/>
        <v>6.0000000000000053</v>
      </c>
      <c r="EQ84" s="622">
        <f t="shared" ca="1" si="230"/>
        <v>-100</v>
      </c>
      <c r="ER84" s="563" t="str">
        <f ca="1">IF(ROUND(ER35,2)=0,"ok","!")</f>
        <v>ok</v>
      </c>
      <c r="ES84" s="623" t="str">
        <f t="shared" ca="1" si="231"/>
        <v>N</v>
      </c>
      <c r="ET84" s="620">
        <f t="shared" ca="1" si="232"/>
        <v>2.2881849380530506</v>
      </c>
      <c r="EU84" s="620">
        <f t="shared" ca="1" si="233"/>
        <v>2.0000000000000018</v>
      </c>
      <c r="EV84" s="620">
        <f t="shared" ca="1" si="87"/>
        <v>6.0000000000000053</v>
      </c>
      <c r="EW84" s="622" t="str">
        <f t="shared" ca="1" si="234"/>
        <v>N</v>
      </c>
      <c r="EX84" s="563" t="str">
        <f ca="1">IF(ROUND(EX35,2)=0,"ok","!")</f>
        <v>ok</v>
      </c>
      <c r="EY84" s="623" t="str">
        <f t="shared" ca="1" si="235"/>
        <v>N</v>
      </c>
      <c r="EZ84" s="620">
        <f t="shared" ca="1" si="236"/>
        <v>2.2986425407012678</v>
      </c>
      <c r="FA84" s="620">
        <f t="shared" ca="1" si="237"/>
        <v>2.0000000000000018</v>
      </c>
      <c r="FB84" s="620">
        <f t="shared" ca="1" si="92"/>
        <v>6.0000000000000053</v>
      </c>
      <c r="FC84" s="622" t="str">
        <f t="shared" ca="1" si="238"/>
        <v>N</v>
      </c>
      <c r="FD84" s="563" t="str">
        <f ca="1">IF(ROUND(FD35,2)=0,"ok","!")</f>
        <v>ok</v>
      </c>
    </row>
    <row r="85" spans="2:160" ht="13.15">
      <c r="B85" s="555" t="s">
        <v>301</v>
      </c>
      <c r="C85" s="3855" t="s">
        <v>1998</v>
      </c>
      <c r="D85" s="3856"/>
      <c r="E85" s="623"/>
      <c r="F85" s="620"/>
      <c r="G85" s="632"/>
      <c r="H85" s="624"/>
      <c r="I85" s="625"/>
      <c r="J85" s="567"/>
      <c r="K85" s="623">
        <f t="shared" ca="1" si="239"/>
        <v>3.20403028534757</v>
      </c>
      <c r="L85" s="620">
        <f t="shared" ca="1" si="239"/>
        <v>2.7445359364352662</v>
      </c>
      <c r="M85" s="632" t="str">
        <f t="shared" si="239"/>
        <v/>
      </c>
      <c r="N85" s="624">
        <f t="shared" ca="1" si="239"/>
        <v>4.0583243705415661</v>
      </c>
      <c r="O85" s="625" t="str">
        <f t="shared" si="239"/>
        <v/>
      </c>
      <c r="P85" s="567"/>
      <c r="Q85" s="623">
        <f t="shared" ca="1" si="143"/>
        <v>3.685624246526098</v>
      </c>
      <c r="R85" s="620">
        <f t="shared" ca="1" si="144"/>
        <v>4.2886811706422501</v>
      </c>
      <c r="S85" s="632" t="str">
        <f t="shared" si="145"/>
        <v/>
      </c>
      <c r="T85" s="624">
        <f t="shared" ca="1" si="130"/>
        <v>2.5785737276563969</v>
      </c>
      <c r="U85" s="625" t="str">
        <f t="shared" si="146"/>
        <v/>
      </c>
      <c r="V85" s="567"/>
      <c r="W85" s="623">
        <f t="shared" ca="1" si="147"/>
        <v>4.3464100283672646</v>
      </c>
      <c r="X85" s="620">
        <f t="shared" ca="1" si="148"/>
        <v>3.7721997763183746</v>
      </c>
      <c r="Y85" s="632" t="str">
        <f t="shared" si="149"/>
        <v/>
      </c>
      <c r="Z85" s="624">
        <f t="shared" ca="1" si="131"/>
        <v>5.4180788427919069</v>
      </c>
      <c r="AA85" s="625" t="str">
        <f t="shared" si="150"/>
        <v/>
      </c>
      <c r="AB85" s="567"/>
      <c r="AC85" s="623">
        <f t="shared" ca="1" si="151"/>
        <v>5.4394183357432846</v>
      </c>
      <c r="AD85" s="620">
        <f t="shared" ca="1" si="152"/>
        <v>5.5648694721122549</v>
      </c>
      <c r="AE85" s="632" t="str">
        <f t="shared" si="153"/>
        <v/>
      </c>
      <c r="AF85" s="624">
        <f t="shared" ca="1" si="132"/>
        <v>5.2089399645403933</v>
      </c>
      <c r="AG85" s="625" t="str">
        <f t="shared" si="154"/>
        <v/>
      </c>
      <c r="AH85" s="567"/>
      <c r="AI85" s="623">
        <f t="shared" ca="1" si="155"/>
        <v>5.0015264760157718</v>
      </c>
      <c r="AJ85" s="620">
        <f t="shared" ca="1" si="156"/>
        <v>6.2846390107470285</v>
      </c>
      <c r="AK85" s="632" t="str">
        <f t="shared" si="157"/>
        <v/>
      </c>
      <c r="AL85" s="624">
        <f t="shared" ca="1" si="133"/>
        <v>2.6362217786150222</v>
      </c>
      <c r="AM85" s="625" t="str">
        <f t="shared" si="158"/>
        <v/>
      </c>
      <c r="AN85" s="567"/>
      <c r="AO85" s="623">
        <f t="shared" ca="1" si="159"/>
        <v>3.5835615019340405</v>
      </c>
      <c r="AP85" s="620">
        <f t="shared" ca="1" si="160"/>
        <v>2.8988431892746025</v>
      </c>
      <c r="AQ85" s="632" t="str">
        <f t="shared" si="161"/>
        <v/>
      </c>
      <c r="AR85" s="624">
        <f t="shared" ca="1" si="134"/>
        <v>4.8906474179641446</v>
      </c>
      <c r="AS85" s="625" t="str">
        <f t="shared" si="162"/>
        <v/>
      </c>
      <c r="AT85" s="567"/>
      <c r="AU85" s="623">
        <f t="shared" ca="1" si="163"/>
        <v>5.0519284377375628</v>
      </c>
      <c r="AV85" s="620">
        <f t="shared" ca="1" si="164"/>
        <v>4.0871345605225651</v>
      </c>
      <c r="AW85" s="632" t="str">
        <f t="shared" si="165"/>
        <v/>
      </c>
      <c r="AX85" s="624">
        <f t="shared" ca="1" si="135"/>
        <v>6.8586883956130773</v>
      </c>
      <c r="AY85" s="625" t="str">
        <f t="shared" si="166"/>
        <v/>
      </c>
      <c r="AZ85" s="567"/>
      <c r="BA85" s="623">
        <f t="shared" ca="1" si="167"/>
        <v>4.3927733834117966</v>
      </c>
      <c r="BB85" s="620">
        <f t="shared" ca="1" si="168"/>
        <v>3.9733740644160687</v>
      </c>
      <c r="BC85" s="632" t="str">
        <f t="shared" si="169"/>
        <v/>
      </c>
      <c r="BD85" s="624">
        <f t="shared" ca="1" si="136"/>
        <v>5.1578075880841512</v>
      </c>
      <c r="BE85" s="625" t="str">
        <f t="shared" si="170"/>
        <v/>
      </c>
      <c r="BF85" s="567"/>
      <c r="BG85" s="623">
        <f t="shared" ca="1" si="171"/>
        <v>2.9617413461952014</v>
      </c>
      <c r="BH85" s="620">
        <f t="shared" ca="1" si="172"/>
        <v>3.5894148223736266</v>
      </c>
      <c r="BI85" s="632" t="str">
        <f t="shared" si="173"/>
        <v/>
      </c>
      <c r="BJ85" s="624">
        <f t="shared" ca="1" si="137"/>
        <v>1.8296863560828713</v>
      </c>
      <c r="BK85" s="625" t="str">
        <f t="shared" si="174"/>
        <v/>
      </c>
      <c r="BL85" s="567"/>
      <c r="BM85" s="623">
        <f t="shared" ca="1" si="175"/>
        <v>3.6171818781105314</v>
      </c>
      <c r="BN85" s="620">
        <f t="shared" ca="1" si="176"/>
        <v>3.9075875259487303</v>
      </c>
      <c r="BO85" s="632" t="str">
        <f t="shared" si="177"/>
        <v/>
      </c>
      <c r="BP85" s="624">
        <f t="shared" ca="1" si="138"/>
        <v>3.0843627856552036</v>
      </c>
      <c r="BQ85" s="625" t="str">
        <f t="shared" si="178"/>
        <v/>
      </c>
      <c r="BR85" s="567"/>
      <c r="BS85" s="623">
        <f t="shared" ca="1" si="179"/>
        <v>4.4262249701445544</v>
      </c>
      <c r="BT85" s="620">
        <f t="shared" ca="1" si="180"/>
        <v>3.9078932304936309</v>
      </c>
      <c r="BU85" s="632" t="str">
        <f t="shared" si="181"/>
        <v/>
      </c>
      <c r="BV85" s="624">
        <f t="shared" ca="1" si="139"/>
        <v>5.3848240207460707</v>
      </c>
      <c r="BW85" s="625" t="str">
        <f t="shared" si="182"/>
        <v/>
      </c>
      <c r="BX85" s="567"/>
      <c r="BY85" s="623">
        <f t="shared" ca="1" si="183"/>
        <v>4.9037056948765256</v>
      </c>
      <c r="BZ85" s="620">
        <f t="shared" ca="1" si="184"/>
        <v>5.2954756905138511</v>
      </c>
      <c r="CA85" s="632" t="str">
        <f t="shared" si="185"/>
        <v/>
      </c>
      <c r="CB85" s="624">
        <f t="shared" ca="1" si="140"/>
        <v>4.1893231611636939</v>
      </c>
      <c r="CC85" s="625" t="str">
        <f t="shared" si="186"/>
        <v/>
      </c>
      <c r="CD85" s="567"/>
      <c r="CE85" s="623">
        <f t="shared" ca="1" si="187"/>
        <v>3.9454317826350671</v>
      </c>
      <c r="CF85" s="620">
        <f t="shared" ca="1" si="188"/>
        <v>3.3572400190670093</v>
      </c>
      <c r="CG85" s="632" t="str">
        <f t="shared" si="189"/>
        <v/>
      </c>
      <c r="CH85" s="624">
        <f t="shared" ca="1" si="141"/>
        <v>5.0293713978920129</v>
      </c>
      <c r="CI85" s="625" t="str">
        <f t="shared" si="190"/>
        <v/>
      </c>
      <c r="CJ85" s="567"/>
      <c r="CK85" s="623">
        <f t="shared" ca="1" si="191"/>
        <v>2.827137999921514</v>
      </c>
      <c r="CL85" s="620">
        <f t="shared" ca="1" si="192"/>
        <v>2.5861127781788174</v>
      </c>
      <c r="CM85" s="632" t="str">
        <f t="shared" si="193"/>
        <v/>
      </c>
      <c r="CN85" s="624">
        <f t="shared" ca="1" si="37"/>
        <v>3.2642359590335568</v>
      </c>
      <c r="CO85" s="625" t="str">
        <f t="shared" si="194"/>
        <v/>
      </c>
      <c r="CP85" s="567"/>
      <c r="CQ85" s="623">
        <f t="shared" ca="1" si="195"/>
        <v>4.564871596525033</v>
      </c>
      <c r="CR85" s="620">
        <f t="shared" ca="1" si="196"/>
        <v>5.4343205922134485</v>
      </c>
      <c r="CS85" s="632" t="str">
        <f t="shared" si="197"/>
        <v/>
      </c>
      <c r="CT85" s="624">
        <f t="shared" ca="1" si="42"/>
        <v>2.9984847217186861</v>
      </c>
      <c r="CU85" s="625" t="str">
        <f t="shared" si="198"/>
        <v/>
      </c>
      <c r="CV85" s="567"/>
      <c r="CW85" s="623">
        <f t="shared" ca="1" si="199"/>
        <v>3.6771344206215417</v>
      </c>
      <c r="CX85" s="620">
        <f t="shared" ca="1" si="200"/>
        <v>3.5637816277590106</v>
      </c>
      <c r="CY85" s="632" t="str">
        <f t="shared" si="201"/>
        <v/>
      </c>
      <c r="CZ85" s="624">
        <f t="shared" ca="1" si="47"/>
        <v>3.8861787150316074</v>
      </c>
      <c r="DA85" s="625" t="str">
        <f t="shared" si="202"/>
        <v/>
      </c>
      <c r="DB85" s="567"/>
      <c r="DC85" s="623">
        <f t="shared" ca="1" si="203"/>
        <v>2.1511925754664096</v>
      </c>
      <c r="DD85" s="620">
        <f t="shared" ca="1" si="204"/>
        <v>1.3074053618210346</v>
      </c>
      <c r="DE85" s="632" t="str">
        <f t="shared" si="205"/>
        <v/>
      </c>
      <c r="DF85" s="624">
        <f t="shared" ca="1" si="52"/>
        <v>3.7024688917896897</v>
      </c>
      <c r="DG85" s="625" t="str">
        <f t="shared" si="206"/>
        <v/>
      </c>
      <c r="DH85" s="567"/>
      <c r="DI85" s="623">
        <f t="shared" ca="1" si="207"/>
        <v>3.071193761355584</v>
      </c>
      <c r="DJ85" s="620">
        <f t="shared" ca="1" si="208"/>
        <v>2.5818237369885422</v>
      </c>
      <c r="DK85" s="632" t="str">
        <f t="shared" si="209"/>
        <v/>
      </c>
      <c r="DL85" s="624">
        <f t="shared" ca="1" si="57"/>
        <v>3.9501063449892015</v>
      </c>
      <c r="DM85" s="625" t="str">
        <f t="shared" si="210"/>
        <v/>
      </c>
      <c r="DN85" s="567"/>
      <c r="DO85" s="623">
        <f t="shared" ca="1" si="211"/>
        <v>3.4793661775810447</v>
      </c>
      <c r="DP85" s="620">
        <f t="shared" ca="1" si="212"/>
        <v>3.2326364869803781</v>
      </c>
      <c r="DQ85" s="632" t="str">
        <f t="shared" si="213"/>
        <v/>
      </c>
      <c r="DR85" s="624">
        <f t="shared" ca="1" si="62"/>
        <v>3.916661881404071</v>
      </c>
      <c r="DS85" s="625" t="str">
        <f t="shared" si="214"/>
        <v/>
      </c>
      <c r="DT85" s="567"/>
      <c r="DU85" s="623">
        <f t="shared" ca="1" si="215"/>
        <v>4.496384435373546</v>
      </c>
      <c r="DV85" s="620">
        <f t="shared" ca="1" si="216"/>
        <v>4.0151328696125255</v>
      </c>
      <c r="DW85" s="632" t="str">
        <f t="shared" si="217"/>
        <v/>
      </c>
      <c r="DX85" s="624">
        <f t="shared" ca="1" si="67"/>
        <v>5.3437245821413182</v>
      </c>
      <c r="DY85" s="625" t="str">
        <f t="shared" si="218"/>
        <v/>
      </c>
      <c r="DZ85" s="567"/>
      <c r="EA85" s="623">
        <f t="shared" ca="1" si="219"/>
        <v>4.7184036460284684</v>
      </c>
      <c r="EB85" s="620">
        <f t="shared" ca="1" si="220"/>
        <v>3.8912159805113644</v>
      </c>
      <c r="EC85" s="632" t="str">
        <f t="shared" si="221"/>
        <v/>
      </c>
      <c r="ED85" s="624">
        <f t="shared" ca="1" si="72"/>
        <v>6.1564654022068233</v>
      </c>
      <c r="EE85" s="625" t="str">
        <f t="shared" si="222"/>
        <v/>
      </c>
      <c r="EF85" s="567"/>
      <c r="EG85" s="623">
        <f t="shared" ca="1" si="223"/>
        <v>3.8609650792102324</v>
      </c>
      <c r="EH85" s="620">
        <f t="shared" ca="1" si="224"/>
        <v>3.9840824208579484</v>
      </c>
      <c r="EI85" s="632" t="str">
        <f t="shared" si="225"/>
        <v/>
      </c>
      <c r="EJ85" s="624">
        <f t="shared" ca="1" si="77"/>
        <v>3.651493505142489</v>
      </c>
      <c r="EK85" s="625" t="str">
        <f t="shared" si="226"/>
        <v/>
      </c>
      <c r="EL85" s="567"/>
      <c r="EM85" s="623">
        <f t="shared" ca="1" si="227"/>
        <v>4.2720370713352329</v>
      </c>
      <c r="EN85" s="620">
        <f t="shared" ca="1" si="228"/>
        <v>4.1407999999999889</v>
      </c>
      <c r="EO85" s="632" t="str">
        <f t="shared" si="229"/>
        <v/>
      </c>
      <c r="EP85" s="624">
        <f t="shared" ca="1" si="82"/>
        <v>4.49603999999999</v>
      </c>
      <c r="EQ85" s="625" t="str">
        <f t="shared" si="230"/>
        <v/>
      </c>
      <c r="ER85" s="567"/>
      <c r="ES85" s="623">
        <f t="shared" ca="1" si="231"/>
        <v>3.9421005430392952</v>
      </c>
      <c r="ET85" s="620">
        <f t="shared" ca="1" si="232"/>
        <v>4.0696099999999902</v>
      </c>
      <c r="EU85" s="632" t="str">
        <f t="shared" si="233"/>
        <v/>
      </c>
      <c r="EV85" s="624">
        <f t="shared" ca="1" si="87"/>
        <v>3.7251999999999841</v>
      </c>
      <c r="EW85" s="625" t="str">
        <f t="shared" si="234"/>
        <v/>
      </c>
      <c r="EX85" s="567"/>
      <c r="EY85" s="623">
        <f t="shared" ca="1" si="235"/>
        <v>3.7960703625598224</v>
      </c>
      <c r="EZ85" s="620">
        <f t="shared" ca="1" si="236"/>
        <v>3.9377999999999913</v>
      </c>
      <c r="FA85" s="632" t="str">
        <f t="shared" si="237"/>
        <v/>
      </c>
      <c r="FB85" s="624">
        <f t="shared" ca="1" si="92"/>
        <v>3.554180000000029</v>
      </c>
      <c r="FC85" s="625" t="str">
        <f t="shared" si="238"/>
        <v/>
      </c>
      <c r="FD85" s="567"/>
    </row>
    <row r="86" spans="2:160">
      <c r="B86" s="555"/>
      <c r="C86" s="598"/>
      <c r="D86" s="599" t="s">
        <v>681</v>
      </c>
      <c r="E86" s="631"/>
      <c r="F86" s="622"/>
      <c r="G86" s="632"/>
      <c r="H86" s="593"/>
      <c r="I86" s="625"/>
      <c r="J86" s="600"/>
      <c r="K86" s="631" t="str">
        <f t="shared" si="239"/>
        <v/>
      </c>
      <c r="L86" s="622" t="str">
        <f t="shared" si="239"/>
        <v/>
      </c>
      <c r="M86" s="632" t="str">
        <f t="shared" si="239"/>
        <v/>
      </c>
      <c r="N86" s="593">
        <f t="shared" ca="1" si="239"/>
        <v>5.145467516351232</v>
      </c>
      <c r="O86" s="625" t="str">
        <f t="shared" si="239"/>
        <v/>
      </c>
      <c r="P86" s="600"/>
      <c r="Q86" s="631" t="str">
        <f t="shared" si="143"/>
        <v/>
      </c>
      <c r="R86" s="622" t="str">
        <f t="shared" si="144"/>
        <v/>
      </c>
      <c r="S86" s="632" t="str">
        <f t="shared" si="145"/>
        <v/>
      </c>
      <c r="T86" s="593">
        <f t="shared" ca="1" si="130"/>
        <v>1.9168709732596101</v>
      </c>
      <c r="U86" s="625" t="str">
        <f t="shared" si="146"/>
        <v/>
      </c>
      <c r="V86" s="600"/>
      <c r="W86" s="631" t="str">
        <f t="shared" si="147"/>
        <v/>
      </c>
      <c r="X86" s="622" t="str">
        <f t="shared" si="148"/>
        <v/>
      </c>
      <c r="Y86" s="632" t="str">
        <f t="shared" si="149"/>
        <v/>
      </c>
      <c r="Z86" s="593">
        <f t="shared" ca="1" si="131"/>
        <v>6.4830043859648967</v>
      </c>
      <c r="AA86" s="625" t="str">
        <f t="shared" si="150"/>
        <v/>
      </c>
      <c r="AB86" s="600"/>
      <c r="AC86" s="631" t="str">
        <f t="shared" si="151"/>
        <v/>
      </c>
      <c r="AD86" s="622" t="str">
        <f t="shared" si="152"/>
        <v/>
      </c>
      <c r="AE86" s="632" t="str">
        <f t="shared" si="153"/>
        <v/>
      </c>
      <c r="AF86" s="593">
        <f t="shared" ca="1" si="132"/>
        <v>4.4002721438684889</v>
      </c>
      <c r="AG86" s="625" t="str">
        <f t="shared" si="154"/>
        <v/>
      </c>
      <c r="AH86" s="600"/>
      <c r="AI86" s="631" t="str">
        <f t="shared" si="155"/>
        <v/>
      </c>
      <c r="AJ86" s="622" t="str">
        <f t="shared" si="156"/>
        <v/>
      </c>
      <c r="AK86" s="632" t="str">
        <f t="shared" si="157"/>
        <v/>
      </c>
      <c r="AL86" s="593">
        <f t="shared" ca="1" si="133"/>
        <v>1.9090058173473645</v>
      </c>
      <c r="AM86" s="625" t="str">
        <f t="shared" si="158"/>
        <v/>
      </c>
      <c r="AN86" s="600"/>
      <c r="AO86" s="631" t="str">
        <f t="shared" si="159"/>
        <v/>
      </c>
      <c r="AP86" s="622" t="str">
        <f t="shared" si="160"/>
        <v/>
      </c>
      <c r="AQ86" s="632" t="str">
        <f t="shared" si="161"/>
        <v/>
      </c>
      <c r="AR86" s="593">
        <f t="shared" ca="1" si="134"/>
        <v>8.6670008073695293</v>
      </c>
      <c r="AS86" s="625" t="str">
        <f t="shared" si="162"/>
        <v/>
      </c>
      <c r="AT86" s="600"/>
      <c r="AU86" s="631" t="str">
        <f t="shared" si="163"/>
        <v/>
      </c>
      <c r="AV86" s="622" t="str">
        <f t="shared" si="164"/>
        <v/>
      </c>
      <c r="AW86" s="632" t="str">
        <f t="shared" si="165"/>
        <v/>
      </c>
      <c r="AX86" s="593">
        <f t="shared" ca="1" si="135"/>
        <v>7.5256406178286994</v>
      </c>
      <c r="AY86" s="625" t="str">
        <f t="shared" si="166"/>
        <v/>
      </c>
      <c r="AZ86" s="600"/>
      <c r="BA86" s="631" t="str">
        <f t="shared" si="167"/>
        <v/>
      </c>
      <c r="BB86" s="622" t="str">
        <f t="shared" si="168"/>
        <v/>
      </c>
      <c r="BC86" s="632" t="str">
        <f t="shared" si="169"/>
        <v/>
      </c>
      <c r="BD86" s="593">
        <f t="shared" ca="1" si="136"/>
        <v>5.6332462746490064</v>
      </c>
      <c r="BE86" s="625" t="str">
        <f t="shared" si="170"/>
        <v/>
      </c>
      <c r="BF86" s="600"/>
      <c r="BG86" s="631" t="str">
        <f t="shared" si="171"/>
        <v/>
      </c>
      <c r="BH86" s="622" t="str">
        <f t="shared" si="172"/>
        <v/>
      </c>
      <c r="BI86" s="632" t="str">
        <f t="shared" si="173"/>
        <v/>
      </c>
      <c r="BJ86" s="593">
        <f t="shared" ca="1" si="137"/>
        <v>1.6835266041612007</v>
      </c>
      <c r="BK86" s="625" t="str">
        <f t="shared" si="174"/>
        <v/>
      </c>
      <c r="BL86" s="600"/>
      <c r="BM86" s="631" t="str">
        <f t="shared" si="175"/>
        <v/>
      </c>
      <c r="BN86" s="622" t="str">
        <f t="shared" si="176"/>
        <v/>
      </c>
      <c r="BO86" s="632" t="str">
        <f t="shared" si="177"/>
        <v/>
      </c>
      <c r="BP86" s="593">
        <f t="shared" ca="1" si="138"/>
        <v>3.527312573403707</v>
      </c>
      <c r="BQ86" s="625" t="str">
        <f t="shared" si="178"/>
        <v/>
      </c>
      <c r="BR86" s="600"/>
      <c r="BS86" s="631" t="str">
        <f t="shared" si="179"/>
        <v/>
      </c>
      <c r="BT86" s="622" t="str">
        <f t="shared" si="180"/>
        <v/>
      </c>
      <c r="BU86" s="632" t="str">
        <f t="shared" si="181"/>
        <v/>
      </c>
      <c r="BV86" s="593">
        <f t="shared" ca="1" si="139"/>
        <v>5.4772550636675632</v>
      </c>
      <c r="BW86" s="625" t="str">
        <f t="shared" si="182"/>
        <v/>
      </c>
      <c r="BX86" s="600"/>
      <c r="BY86" s="631" t="str">
        <f t="shared" si="183"/>
        <v/>
      </c>
      <c r="BZ86" s="622" t="str">
        <f t="shared" si="184"/>
        <v/>
      </c>
      <c r="CA86" s="632" t="str">
        <f t="shared" si="185"/>
        <v/>
      </c>
      <c r="CB86" s="593">
        <f t="shared" ca="1" si="140"/>
        <v>4.6516404148643664</v>
      </c>
      <c r="CC86" s="625" t="str">
        <f t="shared" si="186"/>
        <v/>
      </c>
      <c r="CD86" s="600"/>
      <c r="CE86" s="631" t="str">
        <f t="shared" si="187"/>
        <v/>
      </c>
      <c r="CF86" s="622" t="str">
        <f t="shared" si="188"/>
        <v/>
      </c>
      <c r="CG86" s="632" t="str">
        <f t="shared" si="189"/>
        <v/>
      </c>
      <c r="CH86" s="593">
        <f t="shared" ca="1" si="141"/>
        <v>4.4207797305183538</v>
      </c>
      <c r="CI86" s="625" t="str">
        <f t="shared" si="190"/>
        <v/>
      </c>
      <c r="CJ86" s="600"/>
      <c r="CK86" s="631" t="str">
        <f t="shared" si="191"/>
        <v/>
      </c>
      <c r="CL86" s="622" t="str">
        <f t="shared" si="192"/>
        <v/>
      </c>
      <c r="CM86" s="632" t="str">
        <f t="shared" si="193"/>
        <v/>
      </c>
      <c r="CN86" s="593">
        <f t="shared" ca="1" si="37"/>
        <v>2.5205539976226987</v>
      </c>
      <c r="CO86" s="625" t="str">
        <f t="shared" si="194"/>
        <v/>
      </c>
      <c r="CP86" s="600"/>
      <c r="CQ86" s="631" t="str">
        <f t="shared" si="195"/>
        <v/>
      </c>
      <c r="CR86" s="622" t="str">
        <f t="shared" si="196"/>
        <v/>
      </c>
      <c r="CS86" s="632" t="str">
        <f t="shared" si="197"/>
        <v/>
      </c>
      <c r="CT86" s="593">
        <f t="shared" ca="1" si="42"/>
        <v>2.9170459040751773</v>
      </c>
      <c r="CU86" s="625" t="str">
        <f t="shared" si="198"/>
        <v/>
      </c>
      <c r="CV86" s="600"/>
      <c r="CW86" s="631" t="str">
        <f t="shared" si="199"/>
        <v/>
      </c>
      <c r="CX86" s="622" t="str">
        <f t="shared" si="200"/>
        <v/>
      </c>
      <c r="CY86" s="632" t="str">
        <f t="shared" si="201"/>
        <v/>
      </c>
      <c r="CZ86" s="593">
        <f t="shared" ca="1" si="47"/>
        <v>3.6737385195671379</v>
      </c>
      <c r="DA86" s="625" t="str">
        <f t="shared" si="202"/>
        <v/>
      </c>
      <c r="DB86" s="600"/>
      <c r="DC86" s="631" t="str">
        <f t="shared" si="203"/>
        <v/>
      </c>
      <c r="DD86" s="622" t="str">
        <f t="shared" si="204"/>
        <v/>
      </c>
      <c r="DE86" s="632" t="str">
        <f t="shared" si="205"/>
        <v/>
      </c>
      <c r="DF86" s="593">
        <f t="shared" ca="1" si="52"/>
        <v>3.0358063281257008</v>
      </c>
      <c r="DG86" s="625" t="str">
        <f t="shared" si="206"/>
        <v/>
      </c>
      <c r="DH86" s="600"/>
      <c r="DI86" s="631" t="str">
        <f t="shared" si="207"/>
        <v/>
      </c>
      <c r="DJ86" s="622" t="str">
        <f t="shared" si="208"/>
        <v/>
      </c>
      <c r="DK86" s="632" t="str">
        <f t="shared" si="209"/>
        <v/>
      </c>
      <c r="DL86" s="593">
        <f t="shared" ca="1" si="57"/>
        <v>3.7853777552193435</v>
      </c>
      <c r="DM86" s="625" t="str">
        <f t="shared" si="210"/>
        <v/>
      </c>
      <c r="DN86" s="600"/>
      <c r="DO86" s="631" t="str">
        <f t="shared" si="211"/>
        <v/>
      </c>
      <c r="DP86" s="622" t="str">
        <f t="shared" si="212"/>
        <v/>
      </c>
      <c r="DQ86" s="632" t="str">
        <f t="shared" si="213"/>
        <v/>
      </c>
      <c r="DR86" s="593">
        <f t="shared" ca="1" si="62"/>
        <v>4.3295900419429101</v>
      </c>
      <c r="DS86" s="625" t="str">
        <f t="shared" si="214"/>
        <v/>
      </c>
      <c r="DT86" s="600"/>
      <c r="DU86" s="631" t="str">
        <f t="shared" si="215"/>
        <v/>
      </c>
      <c r="DV86" s="622" t="str">
        <f t="shared" si="216"/>
        <v/>
      </c>
      <c r="DW86" s="632" t="str">
        <f t="shared" si="217"/>
        <v/>
      </c>
      <c r="DX86" s="593">
        <f t="shared" ca="1" si="67"/>
        <v>6.2886352829291559</v>
      </c>
      <c r="DY86" s="625" t="str">
        <f t="shared" si="218"/>
        <v/>
      </c>
      <c r="DZ86" s="600"/>
      <c r="EA86" s="631" t="str">
        <f t="shared" si="219"/>
        <v/>
      </c>
      <c r="EB86" s="622" t="str">
        <f t="shared" si="220"/>
        <v/>
      </c>
      <c r="EC86" s="632" t="str">
        <f t="shared" si="221"/>
        <v/>
      </c>
      <c r="ED86" s="593">
        <f t="shared" ca="1" si="72"/>
        <v>7.7292045835832823</v>
      </c>
      <c r="EE86" s="625" t="str">
        <f t="shared" si="222"/>
        <v/>
      </c>
      <c r="EF86" s="600"/>
      <c r="EG86" s="631" t="str">
        <f t="shared" si="223"/>
        <v/>
      </c>
      <c r="EH86" s="622" t="str">
        <f t="shared" si="224"/>
        <v/>
      </c>
      <c r="EI86" s="632" t="str">
        <f t="shared" si="225"/>
        <v/>
      </c>
      <c r="EJ86" s="593">
        <f t="shared" ca="1" si="77"/>
        <v>4.0040253792374525</v>
      </c>
      <c r="EK86" s="625" t="str">
        <f t="shared" si="226"/>
        <v/>
      </c>
      <c r="EL86" s="600"/>
      <c r="EM86" s="631" t="str">
        <f t="shared" si="227"/>
        <v/>
      </c>
      <c r="EN86" s="622" t="str">
        <f t="shared" si="228"/>
        <v/>
      </c>
      <c r="EO86" s="632" t="str">
        <f t="shared" si="229"/>
        <v/>
      </c>
      <c r="EP86" s="593">
        <f t="shared" ca="1" si="82"/>
        <v>4.7796580497095453</v>
      </c>
      <c r="EQ86" s="625" t="str">
        <f t="shared" si="230"/>
        <v/>
      </c>
      <c r="ER86" s="600"/>
      <c r="ES86" s="631" t="str">
        <f t="shared" si="231"/>
        <v/>
      </c>
      <c r="ET86" s="622" t="str">
        <f t="shared" si="232"/>
        <v/>
      </c>
      <c r="EU86" s="632" t="str">
        <f t="shared" si="233"/>
        <v/>
      </c>
      <c r="EV86" s="593">
        <f t="shared" ca="1" si="87"/>
        <v>3.9103933860214601</v>
      </c>
      <c r="EW86" s="625" t="str">
        <f t="shared" si="234"/>
        <v/>
      </c>
      <c r="EX86" s="600"/>
      <c r="EY86" s="631" t="str">
        <f t="shared" si="235"/>
        <v/>
      </c>
      <c r="EZ86" s="622" t="str">
        <f t="shared" si="236"/>
        <v/>
      </c>
      <c r="FA86" s="632" t="str">
        <f t="shared" si="237"/>
        <v/>
      </c>
      <c r="FB86" s="593">
        <f t="shared" ca="1" si="92"/>
        <v>3.8533175013108822</v>
      </c>
      <c r="FC86" s="625" t="str">
        <f t="shared" si="238"/>
        <v/>
      </c>
      <c r="FD86" s="600"/>
    </row>
    <row r="87" spans="2:160" ht="13.15" thickBot="1">
      <c r="B87" s="579"/>
      <c r="C87" s="598"/>
      <c r="D87" s="599" t="s">
        <v>682</v>
      </c>
      <c r="E87" s="631"/>
      <c r="F87" s="622"/>
      <c r="G87" s="632"/>
      <c r="H87" s="596"/>
      <c r="I87" s="625"/>
      <c r="J87" s="600"/>
      <c r="K87" s="631" t="str">
        <f t="shared" si="239"/>
        <v/>
      </c>
      <c r="L87" s="622" t="str">
        <f t="shared" si="239"/>
        <v/>
      </c>
      <c r="M87" s="632" t="str">
        <f t="shared" si="239"/>
        <v/>
      </c>
      <c r="N87" s="596">
        <f t="shared" ca="1" si="239"/>
        <v>1.5923631839104724</v>
      </c>
      <c r="O87" s="625" t="str">
        <f t="shared" si="239"/>
        <v/>
      </c>
      <c r="P87" s="600"/>
      <c r="Q87" s="631" t="str">
        <f t="shared" si="143"/>
        <v/>
      </c>
      <c r="R87" s="622" t="str">
        <f t="shared" si="144"/>
        <v/>
      </c>
      <c r="S87" s="632" t="str">
        <f t="shared" si="145"/>
        <v/>
      </c>
      <c r="T87" s="596">
        <f t="shared" ca="1" si="130"/>
        <v>4.1320046312717684</v>
      </c>
      <c r="U87" s="625" t="str">
        <f t="shared" si="146"/>
        <v/>
      </c>
      <c r="V87" s="600"/>
      <c r="W87" s="631" t="str">
        <f t="shared" si="147"/>
        <v/>
      </c>
      <c r="X87" s="622" t="str">
        <f t="shared" si="148"/>
        <v/>
      </c>
      <c r="Y87" s="632" t="str">
        <f t="shared" si="149"/>
        <v/>
      </c>
      <c r="Z87" s="596">
        <f t="shared" ca="1" si="131"/>
        <v>2.9712133579274269</v>
      </c>
      <c r="AA87" s="625" t="str">
        <f t="shared" si="150"/>
        <v/>
      </c>
      <c r="AB87" s="600"/>
      <c r="AC87" s="631" t="str">
        <f t="shared" si="151"/>
        <v/>
      </c>
      <c r="AD87" s="622" t="str">
        <f t="shared" si="152"/>
        <v/>
      </c>
      <c r="AE87" s="632" t="str">
        <f t="shared" si="153"/>
        <v/>
      </c>
      <c r="AF87" s="596">
        <f t="shared" ca="1" si="132"/>
        <v>7.130373995106587</v>
      </c>
      <c r="AG87" s="625" t="str">
        <f t="shared" si="154"/>
        <v/>
      </c>
      <c r="AH87" s="600"/>
      <c r="AI87" s="631" t="str">
        <f t="shared" si="155"/>
        <v/>
      </c>
      <c r="AJ87" s="622" t="str">
        <f t="shared" si="156"/>
        <v/>
      </c>
      <c r="AK87" s="632" t="str">
        <f t="shared" si="157"/>
        <v/>
      </c>
      <c r="AL87" s="596">
        <f t="shared" ca="1" si="133"/>
        <v>4.3200885574458336</v>
      </c>
      <c r="AM87" s="625" t="str">
        <f t="shared" si="158"/>
        <v/>
      </c>
      <c r="AN87" s="600"/>
      <c r="AO87" s="631" t="str">
        <f t="shared" si="159"/>
        <v/>
      </c>
      <c r="AP87" s="622" t="str">
        <f t="shared" si="160"/>
        <v/>
      </c>
      <c r="AQ87" s="632" t="str">
        <f t="shared" si="161"/>
        <v/>
      </c>
      <c r="AR87" s="596">
        <f t="shared" ca="1" si="134"/>
        <v>-3.6513920303817282</v>
      </c>
      <c r="AS87" s="625" t="str">
        <f t="shared" si="162"/>
        <v/>
      </c>
      <c r="AT87" s="600"/>
      <c r="AU87" s="631" t="str">
        <f t="shared" si="163"/>
        <v/>
      </c>
      <c r="AV87" s="622" t="str">
        <f t="shared" si="164"/>
        <v/>
      </c>
      <c r="AW87" s="632" t="str">
        <f t="shared" si="165"/>
        <v/>
      </c>
      <c r="AX87" s="596">
        <f t="shared" ca="1" si="135"/>
        <v>5.1571729162922963</v>
      </c>
      <c r="AY87" s="625" t="str">
        <f t="shared" si="166"/>
        <v/>
      </c>
      <c r="AZ87" s="600"/>
      <c r="BA87" s="631" t="str">
        <f t="shared" si="167"/>
        <v/>
      </c>
      <c r="BB87" s="622" t="str">
        <f t="shared" si="168"/>
        <v/>
      </c>
      <c r="BC87" s="632" t="str">
        <f t="shared" si="169"/>
        <v/>
      </c>
      <c r="BD87" s="596">
        <f t="shared" ca="1" si="136"/>
        <v>3.9175587330636086</v>
      </c>
      <c r="BE87" s="625" t="str">
        <f t="shared" si="170"/>
        <v/>
      </c>
      <c r="BF87" s="600"/>
      <c r="BG87" s="631" t="str">
        <f t="shared" si="171"/>
        <v/>
      </c>
      <c r="BH87" s="622" t="str">
        <f t="shared" si="172"/>
        <v/>
      </c>
      <c r="BI87" s="632" t="str">
        <f t="shared" si="173"/>
        <v/>
      </c>
      <c r="BJ87" s="596">
        <f t="shared" ca="1" si="137"/>
        <v>2.2172596156396329</v>
      </c>
      <c r="BK87" s="625" t="str">
        <f t="shared" si="174"/>
        <v/>
      </c>
      <c r="BL87" s="600"/>
      <c r="BM87" s="631" t="str">
        <f t="shared" si="175"/>
        <v/>
      </c>
      <c r="BN87" s="622" t="str">
        <f t="shared" si="176"/>
        <v/>
      </c>
      <c r="BO87" s="632" t="str">
        <f t="shared" si="177"/>
        <v/>
      </c>
      <c r="BP87" s="596">
        <f t="shared" ca="1" si="138"/>
        <v>1.9159215572311483</v>
      </c>
      <c r="BQ87" s="625" t="str">
        <f t="shared" si="178"/>
        <v/>
      </c>
      <c r="BR87" s="600"/>
      <c r="BS87" s="631" t="str">
        <f t="shared" si="179"/>
        <v/>
      </c>
      <c r="BT87" s="622" t="str">
        <f t="shared" si="180"/>
        <v/>
      </c>
      <c r="BU87" s="632" t="str">
        <f t="shared" si="181"/>
        <v/>
      </c>
      <c r="BV87" s="596">
        <f t="shared" ca="1" si="139"/>
        <v>5.137148472705233</v>
      </c>
      <c r="BW87" s="625" t="str">
        <f t="shared" si="182"/>
        <v/>
      </c>
      <c r="BX87" s="600"/>
      <c r="BY87" s="631" t="str">
        <f t="shared" si="183"/>
        <v/>
      </c>
      <c r="BZ87" s="622" t="str">
        <f t="shared" si="184"/>
        <v/>
      </c>
      <c r="CA87" s="632" t="str">
        <f t="shared" si="185"/>
        <v/>
      </c>
      <c r="CB87" s="596">
        <f t="shared" ca="1" si="140"/>
        <v>2.946503811470258</v>
      </c>
      <c r="CC87" s="625" t="str">
        <f t="shared" si="186"/>
        <v/>
      </c>
      <c r="CD87" s="600"/>
      <c r="CE87" s="631" t="str">
        <f t="shared" si="187"/>
        <v/>
      </c>
      <c r="CF87" s="622" t="str">
        <f t="shared" si="188"/>
        <v/>
      </c>
      <c r="CG87" s="632" t="str">
        <f t="shared" si="189"/>
        <v/>
      </c>
      <c r="CH87" s="596">
        <f t="shared" ca="1" si="141"/>
        <v>6.6925096205413759</v>
      </c>
      <c r="CI87" s="625" t="str">
        <f t="shared" si="190"/>
        <v/>
      </c>
      <c r="CJ87" s="600"/>
      <c r="CK87" s="631" t="str">
        <f t="shared" si="191"/>
        <v/>
      </c>
      <c r="CL87" s="622" t="str">
        <f t="shared" si="192"/>
        <v/>
      </c>
      <c r="CM87" s="632" t="str">
        <f t="shared" si="193"/>
        <v/>
      </c>
      <c r="CN87" s="596">
        <f t="shared" ca="1" si="37"/>
        <v>5.2532717203428669</v>
      </c>
      <c r="CO87" s="625" t="str">
        <f t="shared" si="194"/>
        <v/>
      </c>
      <c r="CP87" s="600"/>
      <c r="CQ87" s="631" t="str">
        <f t="shared" si="195"/>
        <v/>
      </c>
      <c r="CR87" s="622" t="str">
        <f t="shared" si="196"/>
        <v/>
      </c>
      <c r="CS87" s="632" t="str">
        <f t="shared" si="197"/>
        <v/>
      </c>
      <c r="CT87" s="596">
        <f t="shared" ca="1" si="42"/>
        <v>3.2106440558678839</v>
      </c>
      <c r="CU87" s="625" t="str">
        <f t="shared" si="198"/>
        <v/>
      </c>
      <c r="CV87" s="600"/>
      <c r="CW87" s="631" t="str">
        <f t="shared" si="199"/>
        <v/>
      </c>
      <c r="CX87" s="622" t="str">
        <f t="shared" si="200"/>
        <v/>
      </c>
      <c r="CY87" s="632" t="str">
        <f t="shared" si="201"/>
        <v/>
      </c>
      <c r="CZ87" s="596">
        <f t="shared" ca="1" si="47"/>
        <v>4.4380403458213147</v>
      </c>
      <c r="DA87" s="625" t="str">
        <f t="shared" si="202"/>
        <v/>
      </c>
      <c r="DB87" s="600"/>
      <c r="DC87" s="631" t="str">
        <f t="shared" si="203"/>
        <v/>
      </c>
      <c r="DD87" s="622" t="str">
        <f t="shared" si="204"/>
        <v/>
      </c>
      <c r="DE87" s="632" t="str">
        <f t="shared" si="205"/>
        <v/>
      </c>
      <c r="DF87" s="596">
        <f t="shared" ca="1" si="52"/>
        <v>5.421602462456887</v>
      </c>
      <c r="DG87" s="625" t="str">
        <f t="shared" si="206"/>
        <v/>
      </c>
      <c r="DH87" s="600"/>
      <c r="DI87" s="631" t="str">
        <f t="shared" si="207"/>
        <v/>
      </c>
      <c r="DJ87" s="622" t="str">
        <f t="shared" si="208"/>
        <v/>
      </c>
      <c r="DK87" s="632" t="str">
        <f t="shared" si="209"/>
        <v/>
      </c>
      <c r="DL87" s="596">
        <f t="shared" ca="1" si="57"/>
        <v>4.3652812493087723</v>
      </c>
      <c r="DM87" s="625" t="str">
        <f t="shared" si="210"/>
        <v/>
      </c>
      <c r="DN87" s="600"/>
      <c r="DO87" s="631" t="str">
        <f t="shared" si="211"/>
        <v/>
      </c>
      <c r="DP87" s="622" t="str">
        <f t="shared" si="212"/>
        <v/>
      </c>
      <c r="DQ87" s="632" t="str">
        <f t="shared" si="213"/>
        <v/>
      </c>
      <c r="DR87" s="596">
        <f t="shared" ca="1" si="62"/>
        <v>2.8817181511506584</v>
      </c>
      <c r="DS87" s="625" t="str">
        <f t="shared" si="214"/>
        <v/>
      </c>
      <c r="DT87" s="600"/>
      <c r="DU87" s="631" t="str">
        <f t="shared" si="215"/>
        <v/>
      </c>
      <c r="DV87" s="622" t="str">
        <f t="shared" si="216"/>
        <v/>
      </c>
      <c r="DW87" s="632" t="str">
        <f t="shared" si="217"/>
        <v/>
      </c>
      <c r="DX87" s="596">
        <f t="shared" ca="1" si="67"/>
        <v>2.9421156176932195</v>
      </c>
      <c r="DY87" s="625" t="str">
        <f t="shared" si="218"/>
        <v/>
      </c>
      <c r="DZ87" s="600"/>
      <c r="EA87" s="631" t="str">
        <f t="shared" si="219"/>
        <v/>
      </c>
      <c r="EB87" s="622" t="str">
        <f t="shared" si="220"/>
        <v/>
      </c>
      <c r="EC87" s="632" t="str">
        <f t="shared" si="221"/>
        <v/>
      </c>
      <c r="ED87" s="596">
        <f t="shared" ca="1" si="72"/>
        <v>2.029203994369988</v>
      </c>
      <c r="EE87" s="625" t="str">
        <f t="shared" si="222"/>
        <v/>
      </c>
      <c r="EF87" s="600"/>
      <c r="EG87" s="631" t="str">
        <f t="shared" si="223"/>
        <v/>
      </c>
      <c r="EH87" s="622" t="str">
        <f t="shared" si="224"/>
        <v/>
      </c>
      <c r="EI87" s="632" t="str">
        <f t="shared" si="225"/>
        <v/>
      </c>
      <c r="EJ87" s="596">
        <f t="shared" ca="1" si="77"/>
        <v>2.6746778422129802</v>
      </c>
      <c r="EK87" s="625" t="str">
        <f t="shared" si="226"/>
        <v/>
      </c>
      <c r="EL87" s="600"/>
      <c r="EM87" s="631" t="str">
        <f t="shared" si="227"/>
        <v/>
      </c>
      <c r="EN87" s="622" t="str">
        <f t="shared" si="228"/>
        <v/>
      </c>
      <c r="EO87" s="632" t="str">
        <f t="shared" si="229"/>
        <v/>
      </c>
      <c r="EP87" s="596">
        <f t="shared" ca="1" si="82"/>
        <v>3.6999999999999922</v>
      </c>
      <c r="EQ87" s="625" t="str">
        <f t="shared" si="230"/>
        <v/>
      </c>
      <c r="ER87" s="600"/>
      <c r="ES87" s="631" t="str">
        <f t="shared" si="231"/>
        <v/>
      </c>
      <c r="ET87" s="622" t="str">
        <f t="shared" si="232"/>
        <v/>
      </c>
      <c r="EU87" s="632" t="str">
        <f t="shared" si="233"/>
        <v/>
      </c>
      <c r="EV87" s="596">
        <f t="shared" ca="1" si="87"/>
        <v>3.2000000000000028</v>
      </c>
      <c r="EW87" s="625" t="str">
        <f t="shared" si="234"/>
        <v/>
      </c>
      <c r="EX87" s="600"/>
      <c r="EY87" s="631" t="str">
        <f t="shared" si="235"/>
        <v/>
      </c>
      <c r="EZ87" s="622" t="str">
        <f t="shared" si="236"/>
        <v/>
      </c>
      <c r="FA87" s="632" t="str">
        <f t="shared" si="237"/>
        <v/>
      </c>
      <c r="FB87" s="596">
        <f t="shared" ca="1" si="92"/>
        <v>2.6999999999999913</v>
      </c>
      <c r="FC87" s="625" t="str">
        <f t="shared" si="238"/>
        <v/>
      </c>
      <c r="FD87" s="600"/>
    </row>
    <row r="88" spans="2:160" ht="13.5" thickBot="1">
      <c r="B88" s="555" t="s">
        <v>1793</v>
      </c>
      <c r="C88" s="3853" t="s">
        <v>1660</v>
      </c>
      <c r="D88" s="3854"/>
      <c r="E88" s="571"/>
      <c r="F88" s="571"/>
      <c r="G88" s="571"/>
      <c r="H88" s="571"/>
      <c r="I88" s="571"/>
      <c r="J88" s="567"/>
      <c r="K88" s="571">
        <f t="shared" ca="1" si="239"/>
        <v>1.7652876687585861</v>
      </c>
      <c r="L88" s="571">
        <f t="shared" ca="1" si="239"/>
        <v>-19.539681118769881</v>
      </c>
      <c r="M88" s="571">
        <f t="shared" ca="1" si="239"/>
        <v>-9.0733842866620336</v>
      </c>
      <c r="N88" s="571">
        <f t="shared" ca="1" si="239"/>
        <v>-212.25676962852197</v>
      </c>
      <c r="O88" s="571" t="str">
        <f t="shared" si="239"/>
        <v/>
      </c>
      <c r="P88" s="567"/>
      <c r="Q88" s="571">
        <f t="shared" ca="1" si="143"/>
        <v>6.7676643051487018</v>
      </c>
      <c r="R88" s="571">
        <f t="shared" ca="1" si="144"/>
        <v>-34.631740302123838</v>
      </c>
      <c r="S88" s="571">
        <f t="shared" ca="1" si="145"/>
        <v>8.1517273871150699</v>
      </c>
      <c r="T88" s="571">
        <f t="shared" ca="1" si="130"/>
        <v>93.654353162216225</v>
      </c>
      <c r="U88" s="571" t="str">
        <f t="shared" si="146"/>
        <v/>
      </c>
      <c r="V88" s="567"/>
      <c r="W88" s="571">
        <f t="shared" ca="1" si="147"/>
        <v>10.667258650156031</v>
      </c>
      <c r="X88" s="571">
        <f t="shared" ca="1" si="148"/>
        <v>-5.0152234346338638</v>
      </c>
      <c r="Y88" s="571">
        <f t="shared" ca="1" si="149"/>
        <v>6.7407045373651941</v>
      </c>
      <c r="Z88" s="571">
        <f t="shared" ca="1" si="131"/>
        <v>46.776414621932801</v>
      </c>
      <c r="AA88" s="571" t="str">
        <f t="shared" si="150"/>
        <v/>
      </c>
      <c r="AB88" s="567"/>
      <c r="AC88" s="571">
        <f t="shared" ca="1" si="151"/>
        <v>-5.8506175417771029</v>
      </c>
      <c r="AD88" s="571">
        <f t="shared" ca="1" si="152"/>
        <v>-130.48957731897204</v>
      </c>
      <c r="AE88" s="571">
        <f t="shared" ca="1" si="153"/>
        <v>2.8975913958158017</v>
      </c>
      <c r="AF88" s="571">
        <f t="shared" ca="1" si="132"/>
        <v>23.412512260650708</v>
      </c>
      <c r="AG88" s="571" t="str">
        <f t="shared" si="154"/>
        <v/>
      </c>
      <c r="AH88" s="567"/>
      <c r="AI88" s="571">
        <f t="shared" ca="1" si="155"/>
        <v>26.25944425094908</v>
      </c>
      <c r="AJ88" s="571">
        <f t="shared" ca="1" si="156"/>
        <v>-657.28091942013475</v>
      </c>
      <c r="AK88" s="571">
        <f t="shared" ca="1" si="157"/>
        <v>-4.2680080774858187</v>
      </c>
      <c r="AL88" s="571">
        <f t="shared" ca="1" si="133"/>
        <v>44.878019281937974</v>
      </c>
      <c r="AM88" s="571" t="str">
        <f t="shared" si="158"/>
        <v/>
      </c>
      <c r="AN88" s="567"/>
      <c r="AO88" s="571">
        <f t="shared" ca="1" si="159"/>
        <v>5.2762084408240151</v>
      </c>
      <c r="AP88" s="571">
        <f t="shared" ca="1" si="160"/>
        <v>67.01624053807069</v>
      </c>
      <c r="AQ88" s="571">
        <f t="shared" ca="1" si="161"/>
        <v>2.1253160943496274</v>
      </c>
      <c r="AR88" s="571">
        <f t="shared" ca="1" si="134"/>
        <v>-18.704868668197093</v>
      </c>
      <c r="AS88" s="571" t="str">
        <f t="shared" si="162"/>
        <v/>
      </c>
      <c r="AT88" s="567"/>
      <c r="AU88" s="571">
        <f t="shared" ca="1" si="163"/>
        <v>1.4931250375110228</v>
      </c>
      <c r="AV88" s="571">
        <f t="shared" ca="1" si="164"/>
        <v>1.2888062581118742</v>
      </c>
      <c r="AW88" s="571">
        <f t="shared" ca="1" si="165"/>
        <v>17.372977786572939</v>
      </c>
      <c r="AX88" s="571">
        <f t="shared" ca="1" si="135"/>
        <v>-45.379796972186384</v>
      </c>
      <c r="AY88" s="571" t="str">
        <f t="shared" si="166"/>
        <v/>
      </c>
      <c r="AZ88" s="567"/>
      <c r="BA88" s="571">
        <f t="shared" ca="1" si="167"/>
        <v>8.1652197867973619</v>
      </c>
      <c r="BB88" s="571">
        <f t="shared" ca="1" si="168"/>
        <v>-4.5133405369462753</v>
      </c>
      <c r="BC88" s="571">
        <f t="shared" ca="1" si="169"/>
        <v>12.345413621304457</v>
      </c>
      <c r="BD88" s="571">
        <f t="shared" ca="1" si="136"/>
        <v>6.1100890327260071</v>
      </c>
      <c r="BE88" s="571" t="str">
        <f t="shared" si="170"/>
        <v/>
      </c>
      <c r="BF88" s="567"/>
      <c r="BG88" s="571">
        <f t="shared" ca="1" si="171"/>
        <v>4.564346890363713</v>
      </c>
      <c r="BH88" s="571">
        <f t="shared" ca="1" si="172"/>
        <v>-9.1022516248837846</v>
      </c>
      <c r="BI88" s="571">
        <f t="shared" ca="1" si="173"/>
        <v>0.60836287917165333</v>
      </c>
      <c r="BJ88" s="571">
        <f t="shared" ca="1" si="137"/>
        <v>55.095738891630688</v>
      </c>
      <c r="BK88" s="571" t="str">
        <f t="shared" si="174"/>
        <v/>
      </c>
      <c r="BL88" s="567"/>
      <c r="BM88" s="571">
        <f t="shared" ca="1" si="175"/>
        <v>6.6531237367264406</v>
      </c>
      <c r="BN88" s="571">
        <f t="shared" ca="1" si="176"/>
        <v>-2.3494110511698807</v>
      </c>
      <c r="BO88" s="571">
        <f t="shared" ca="1" si="177"/>
        <v>0.76074978603906107</v>
      </c>
      <c r="BP88" s="571">
        <f t="shared" ca="1" si="138"/>
        <v>41.644363209086841</v>
      </c>
      <c r="BQ88" s="571" t="str">
        <f t="shared" si="178"/>
        <v/>
      </c>
      <c r="BR88" s="567"/>
      <c r="BS88" s="571">
        <f t="shared" ca="1" si="179"/>
        <v>15.947724922131457</v>
      </c>
      <c r="BT88" s="571">
        <f t="shared" ca="1" si="180"/>
        <v>27.602072504985188</v>
      </c>
      <c r="BU88" s="571">
        <f t="shared" ca="1" si="181"/>
        <v>14.535347423079159</v>
      </c>
      <c r="BV88" s="571">
        <f t="shared" ca="1" si="139"/>
        <v>12.12929465170407</v>
      </c>
      <c r="BW88" s="571" t="str">
        <f t="shared" si="182"/>
        <v/>
      </c>
      <c r="BX88" s="567"/>
      <c r="BY88" s="571">
        <f t="shared" ca="1" si="183"/>
        <v>11.593826278225784</v>
      </c>
      <c r="BZ88" s="571">
        <f t="shared" ca="1" si="184"/>
        <v>31.830612467096486</v>
      </c>
      <c r="CA88" s="571">
        <f t="shared" ca="1" si="185"/>
        <v>1.8885483430569394</v>
      </c>
      <c r="CB88" s="571">
        <f t="shared" ca="1" si="140"/>
        <v>26.221852314236592</v>
      </c>
      <c r="CC88" s="571" t="str">
        <f t="shared" si="186"/>
        <v/>
      </c>
      <c r="CD88" s="567"/>
      <c r="CE88" s="571">
        <f t="shared" ca="1" si="187"/>
        <v>1.7751681604508684</v>
      </c>
      <c r="CF88" s="571">
        <f t="shared" ca="1" si="188"/>
        <v>25.009351969257331</v>
      </c>
      <c r="CG88" s="571">
        <f t="shared" ca="1" si="189"/>
        <v>0.66869638298214795</v>
      </c>
      <c r="CH88" s="571">
        <f t="shared" ca="1" si="141"/>
        <v>-14.850904828192235</v>
      </c>
      <c r="CI88" s="571" t="str">
        <f t="shared" si="190"/>
        <v/>
      </c>
      <c r="CJ88" s="567"/>
      <c r="CK88" s="571">
        <f t="shared" ca="1" si="191"/>
        <v>-18.156263023658937</v>
      </c>
      <c r="CL88" s="571">
        <f t="shared" ca="1" si="192"/>
        <v>-2.3045414623148797</v>
      </c>
      <c r="CM88" s="571">
        <f t="shared" ca="1" si="193"/>
        <v>-17.045681872955299</v>
      </c>
      <c r="CN88" s="571">
        <f t="shared" ca="1" si="37"/>
        <v>-41.024684984416616</v>
      </c>
      <c r="CO88" s="571" t="str">
        <f t="shared" si="194"/>
        <v/>
      </c>
      <c r="CP88" s="567"/>
      <c r="CQ88" s="571">
        <f t="shared" ca="1" si="195"/>
        <v>14.874943837052545</v>
      </c>
      <c r="CR88" s="571">
        <f t="shared" ca="1" si="196"/>
        <v>11.40945470746415</v>
      </c>
      <c r="CS88" s="571">
        <f t="shared" ca="1" si="197"/>
        <v>13.716193250328068</v>
      </c>
      <c r="CT88" s="571">
        <f t="shared" ca="1" si="42"/>
        <v>26.882487396047459</v>
      </c>
      <c r="CU88" s="571" t="str">
        <f t="shared" si="198"/>
        <v/>
      </c>
      <c r="CV88" s="567"/>
      <c r="CW88" s="571">
        <f t="shared" ca="1" si="199"/>
        <v>2.0584716029424577</v>
      </c>
      <c r="CX88" s="571">
        <f t="shared" ca="1" si="200"/>
        <v>8.9502624343914086</v>
      </c>
      <c r="CY88" s="571">
        <f t="shared" ca="1" si="201"/>
        <v>-1.3473776314272823</v>
      </c>
      <c r="CZ88" s="571">
        <f t="shared" ca="1" si="47"/>
        <v>2.7577615944808676</v>
      </c>
      <c r="DA88" s="571" t="str">
        <f t="shared" si="202"/>
        <v/>
      </c>
      <c r="DB88" s="567"/>
      <c r="DC88" s="571">
        <f t="shared" ca="1" si="203"/>
        <v>-1.8457747598392138</v>
      </c>
      <c r="DD88" s="571">
        <f t="shared" ca="1" si="204"/>
        <v>14.887738950045426</v>
      </c>
      <c r="DE88" s="571">
        <f t="shared" ca="1" si="205"/>
        <v>-5.1333958476501351</v>
      </c>
      <c r="DF88" s="571">
        <f t="shared" ca="1" si="52"/>
        <v>-21.513518218044737</v>
      </c>
      <c r="DG88" s="571" t="str">
        <f t="shared" si="206"/>
        <v/>
      </c>
      <c r="DH88" s="567"/>
      <c r="DI88" s="571">
        <f t="shared" ca="1" si="207"/>
        <v>0.36585859637556783</v>
      </c>
      <c r="DJ88" s="571">
        <f t="shared" ca="1" si="208"/>
        <v>6.1452227119080716</v>
      </c>
      <c r="DK88" s="571">
        <f t="shared" ca="1" si="209"/>
        <v>-0.42410833764522371</v>
      </c>
      <c r="DL88" s="571">
        <f t="shared" ca="1" si="57"/>
        <v>-12.174953069678661</v>
      </c>
      <c r="DM88" s="571" t="str">
        <f t="shared" si="210"/>
        <v/>
      </c>
      <c r="DN88" s="567"/>
      <c r="DO88" s="571">
        <f t="shared" ca="1" si="211"/>
        <v>6.2940347581023071</v>
      </c>
      <c r="DP88" s="571">
        <f t="shared" ca="1" si="212"/>
        <v>13.084104614788883</v>
      </c>
      <c r="DQ88" s="571">
        <f t="shared" ca="1" si="213"/>
        <v>2.2261522721123583</v>
      </c>
      <c r="DR88" s="571">
        <f t="shared" ca="1" si="62"/>
        <v>3.9817821067823944</v>
      </c>
      <c r="DS88" s="571" t="str">
        <f t="shared" si="214"/>
        <v/>
      </c>
      <c r="DT88" s="567"/>
      <c r="DU88" s="571">
        <f t="shared" ca="1" si="215"/>
        <v>9.4571966380115882</v>
      </c>
      <c r="DV88" s="571">
        <f t="shared" ca="1" si="216"/>
        <v>-4.4608419776849262</v>
      </c>
      <c r="DW88" s="571">
        <f t="shared" ca="1" si="217"/>
        <v>9.1772900719873984</v>
      </c>
      <c r="DX88" s="571">
        <f t="shared" ca="1" si="67"/>
        <v>61.639273168827557</v>
      </c>
      <c r="DY88" s="571" t="str">
        <f t="shared" si="218"/>
        <v/>
      </c>
      <c r="DZ88" s="567"/>
      <c r="EA88" s="571">
        <f t="shared" ca="1" si="219"/>
        <v>4.117857340407971</v>
      </c>
      <c r="EB88" s="571">
        <f t="shared" ca="1" si="220"/>
        <v>10.584193978468747</v>
      </c>
      <c r="EC88" s="571">
        <f t="shared" ca="1" si="221"/>
        <v>-8.1380694360827182</v>
      </c>
      <c r="ED88" s="571">
        <f t="shared" ca="1" si="72"/>
        <v>31.131346519140223</v>
      </c>
      <c r="EE88" s="571" t="str">
        <f t="shared" si="222"/>
        <v/>
      </c>
      <c r="EF88" s="567"/>
      <c r="EG88" s="571">
        <f t="shared" ca="1" si="223"/>
        <v>6.237615361986304</v>
      </c>
      <c r="EH88" s="571">
        <f t="shared" ca="1" si="224"/>
        <v>-1.889444975538257</v>
      </c>
      <c r="EI88" s="571">
        <f t="shared" ca="1" si="225"/>
        <v>9.3080035303267028</v>
      </c>
      <c r="EJ88" s="571">
        <f t="shared" ca="1" si="77"/>
        <v>13.833430859443574</v>
      </c>
      <c r="EK88" s="571" t="str">
        <f t="shared" si="226"/>
        <v/>
      </c>
      <c r="EL88" s="567"/>
      <c r="EM88" s="571">
        <f t="shared" ca="1" si="227"/>
        <v>6.2296463522507617</v>
      </c>
      <c r="EN88" s="571">
        <f t="shared" ca="1" si="228"/>
        <v>6.35148764497806</v>
      </c>
      <c r="EO88" s="571">
        <f t="shared" ca="1" si="229"/>
        <v>8.9037393512775722</v>
      </c>
      <c r="EP88" s="571">
        <f t="shared" ca="1" si="82"/>
        <v>2.6437884724916927E-2</v>
      </c>
      <c r="EQ88" s="571" t="str">
        <f t="shared" si="230"/>
        <v/>
      </c>
      <c r="ER88" s="567"/>
      <c r="ES88" s="571">
        <f t="shared" ca="1" si="231"/>
        <v>3.2613607089872154</v>
      </c>
      <c r="ET88" s="571">
        <f t="shared" ca="1" si="232"/>
        <v>-1.0912300522161633</v>
      </c>
      <c r="EU88" s="571">
        <f t="shared" ca="1" si="233"/>
        <v>5.6072236027397748</v>
      </c>
      <c r="EV88" s="571">
        <f t="shared" ca="1" si="87"/>
        <v>4.7751746114904181</v>
      </c>
      <c r="EW88" s="571" t="str">
        <f t="shared" si="234"/>
        <v/>
      </c>
      <c r="EX88" s="567"/>
      <c r="EY88" s="571">
        <f t="shared" ca="1" si="235"/>
        <v>2.8895967286919122</v>
      </c>
      <c r="EZ88" s="571">
        <f t="shared" ca="1" si="236"/>
        <v>-0.54485322099596667</v>
      </c>
      <c r="FA88" s="571">
        <f t="shared" ca="1" si="237"/>
        <v>5.6105263573425157</v>
      </c>
      <c r="FB88" s="571">
        <f t="shared" ca="1" si="92"/>
        <v>1.5812310793266393</v>
      </c>
      <c r="FC88" s="571" t="str">
        <f t="shared" si="238"/>
        <v/>
      </c>
      <c r="FD88" s="567"/>
    </row>
    <row r="89" spans="2:160" ht="13.15">
      <c r="B89" s="555" t="s">
        <v>1791</v>
      </c>
      <c r="C89" s="3855" t="s">
        <v>1661</v>
      </c>
      <c r="D89" s="3856"/>
      <c r="E89" s="623"/>
      <c r="F89" s="620"/>
      <c r="G89" s="630"/>
      <c r="H89" s="624"/>
      <c r="I89" s="621"/>
      <c r="J89" s="563"/>
      <c r="K89" s="623">
        <f t="shared" ca="1" si="239"/>
        <v>154.29141716566858</v>
      </c>
      <c r="L89" s="620">
        <f t="shared" ca="1" si="239"/>
        <v>5.92160133444537</v>
      </c>
      <c r="M89" s="630">
        <f t="shared" ca="1" si="239"/>
        <v>-90.011277589817951</v>
      </c>
      <c r="N89" s="624">
        <f t="shared" ca="1" si="239"/>
        <v>-2.9007633587786463</v>
      </c>
      <c r="O89" s="621">
        <f t="shared" ca="1" si="239"/>
        <v>154.29141716566863</v>
      </c>
      <c r="P89" s="563" t="str">
        <f ca="1">IF(ROUND(P40,2)=0,"ok","!")</f>
        <v>ok</v>
      </c>
      <c r="Q89" s="623">
        <f t="shared" ca="1" si="143"/>
        <v>-36.678627494954029</v>
      </c>
      <c r="R89" s="620">
        <f t="shared" ca="1" si="144"/>
        <v>50.551181102362186</v>
      </c>
      <c r="S89" s="630">
        <f t="shared" ca="1" si="145"/>
        <v>356.77419354838707</v>
      </c>
      <c r="T89" s="624">
        <f t="shared" ca="1" si="130"/>
        <v>-20.573294629898399</v>
      </c>
      <c r="U89" s="621">
        <f t="shared" ca="1" si="146"/>
        <v>-36.678627494954021</v>
      </c>
      <c r="V89" s="563" t="str">
        <f ca="1">IF(ROUND(V40,2)=0,"ok","!")</f>
        <v>ok</v>
      </c>
      <c r="W89" s="623">
        <f t="shared" ca="1" si="147"/>
        <v>-72.339295200991671</v>
      </c>
      <c r="X89" s="620">
        <f t="shared" ca="1" si="148"/>
        <v>-12.81380753138075</v>
      </c>
      <c r="Y89" s="630">
        <f t="shared" ca="1" si="149"/>
        <v>39.018361581920914</v>
      </c>
      <c r="Z89" s="624">
        <f t="shared" ca="1" si="131"/>
        <v>-41.647632099893407</v>
      </c>
      <c r="AA89" s="621">
        <f t="shared" ca="1" si="150"/>
        <v>-72.339295200991671</v>
      </c>
      <c r="AB89" s="563" t="str">
        <f ca="1">IF(ROUND(AB40,2)=0,"ok","!")</f>
        <v>ok</v>
      </c>
      <c r="AC89" s="623">
        <f t="shared" ca="1" si="151"/>
        <v>3.5851472471189583</v>
      </c>
      <c r="AD89" s="620">
        <f t="shared" ca="1" si="152"/>
        <v>-12.77744451109778</v>
      </c>
      <c r="AE89" s="630">
        <f t="shared" ca="1" si="153"/>
        <v>87.223774447548919</v>
      </c>
      <c r="AF89" s="624">
        <f t="shared" ca="1" si="132"/>
        <v>96.633611691022963</v>
      </c>
      <c r="AG89" s="621">
        <f t="shared" ca="1" si="154"/>
        <v>3.5851472471190915</v>
      </c>
      <c r="AH89" s="563" t="str">
        <f ca="1">IF(ROUND(AH40,2)=0,"ok","!")</f>
        <v>ok</v>
      </c>
      <c r="AI89" s="623">
        <f t="shared" ca="1" si="155"/>
        <v>5.1297898640298545</v>
      </c>
      <c r="AJ89" s="620">
        <f t="shared" ca="1" si="156"/>
        <v>55.020632737276486</v>
      </c>
      <c r="AK89" s="630">
        <f t="shared" ca="1" si="157"/>
        <v>-46.91358024691359</v>
      </c>
      <c r="AL89" s="624">
        <f t="shared" ca="1" si="133"/>
        <v>-55.40809555408093</v>
      </c>
      <c r="AM89" s="621">
        <f t="shared" ca="1" si="158"/>
        <v>5.1297898640296546</v>
      </c>
      <c r="AN89" s="563" t="str">
        <f ca="1">IF(ROUND(AN40,2)=0,"ok","!")</f>
        <v>ok</v>
      </c>
      <c r="AO89" s="623">
        <f t="shared" ca="1" si="159"/>
        <v>27.924750146972265</v>
      </c>
      <c r="AP89" s="620">
        <f t="shared" ca="1" si="160"/>
        <v>-26.48624667258207</v>
      </c>
      <c r="AQ89" s="630">
        <f t="shared" ca="1" si="161"/>
        <v>-38.819320214669048</v>
      </c>
      <c r="AR89" s="624">
        <f t="shared" ca="1" si="134"/>
        <v>-13.303571428571448</v>
      </c>
      <c r="AS89" s="621">
        <f t="shared" ca="1" si="162"/>
        <v>27.924750146972379</v>
      </c>
      <c r="AT89" s="563" t="str">
        <f ca="1">IF(ROUND(AT40,2)=0,"ok","!")</f>
        <v>ok</v>
      </c>
      <c r="AU89" s="623">
        <f t="shared" ca="1" si="163"/>
        <v>46.415441176470608</v>
      </c>
      <c r="AV89" s="620">
        <f t="shared" ca="1" si="164"/>
        <v>17.984308992154507</v>
      </c>
      <c r="AW89" s="630">
        <f t="shared" ca="1" si="165"/>
        <v>-31.871345029239773</v>
      </c>
      <c r="AX89" s="624">
        <f t="shared" ca="1" si="135"/>
        <v>-1.7507723995880298</v>
      </c>
      <c r="AY89" s="621">
        <f t="shared" ca="1" si="166"/>
        <v>46.415441176470587</v>
      </c>
      <c r="AZ89" s="563" t="str">
        <f ca="1">IF(ROUND(AZ40,2)=0,"ok","!")</f>
        <v>ok</v>
      </c>
      <c r="BA89" s="623">
        <f t="shared" ca="1" si="167"/>
        <v>-55.524168236032679</v>
      </c>
      <c r="BB89" s="620">
        <f t="shared" ca="1" si="168"/>
        <v>19.232736572890019</v>
      </c>
      <c r="BC89" s="630">
        <f t="shared" ca="1" si="169"/>
        <v>222.1336603310852</v>
      </c>
      <c r="BD89" s="624">
        <f t="shared" ca="1" si="136"/>
        <v>51.642208245981735</v>
      </c>
      <c r="BE89" s="621">
        <f t="shared" ca="1" si="170"/>
        <v>-55.524168236032637</v>
      </c>
      <c r="BF89" s="563" t="str">
        <f ca="1">IF(ROUND(BF40,2)=0,"ok","!")</f>
        <v>ok</v>
      </c>
      <c r="BG89" s="623">
        <f t="shared" ca="1" si="171"/>
        <v>50.317572335921042</v>
      </c>
      <c r="BH89" s="620">
        <f t="shared" ca="1" si="172"/>
        <v>15.05791505791505</v>
      </c>
      <c r="BI89" s="630">
        <f t="shared" ca="1" si="173"/>
        <v>-40.673772363913208</v>
      </c>
      <c r="BJ89" s="624">
        <f t="shared" ca="1" si="137"/>
        <v>-40.898617511520719</v>
      </c>
      <c r="BK89" s="621">
        <f t="shared" ca="1" si="174"/>
        <v>50.317572335920957</v>
      </c>
      <c r="BL89" s="563" t="str">
        <f ca="1">IF(ROUND(BL40,2)=0,"ok","!")</f>
        <v>ok</v>
      </c>
      <c r="BM89" s="623">
        <f t="shared" ca="1" si="175"/>
        <v>-72.535211267605732</v>
      </c>
      <c r="BN89" s="620">
        <f t="shared" ca="1" si="176"/>
        <v>-55.480984340044735</v>
      </c>
      <c r="BO89" s="630">
        <f t="shared" ca="1" si="177"/>
        <v>157.68367019570098</v>
      </c>
      <c r="BP89" s="624">
        <f t="shared" ca="1" si="138"/>
        <v>189.39571150097456</v>
      </c>
      <c r="BQ89" s="621">
        <f t="shared" ca="1" si="178"/>
        <v>-72.535211267605632</v>
      </c>
      <c r="BR89" s="563" t="str">
        <f ca="1">IF(ROUND(BR40,2)=0,"ok","!")</f>
        <v>ok</v>
      </c>
      <c r="BS89" s="623">
        <f t="shared" ca="1" si="179"/>
        <v>271.45299145299259</v>
      </c>
      <c r="BT89" s="620">
        <f t="shared" ca="1" si="180"/>
        <v>-66.415410385259619</v>
      </c>
      <c r="BU89" s="630">
        <f t="shared" ca="1" si="181"/>
        <v>-68.662848605577693</v>
      </c>
      <c r="BV89" s="624">
        <f t="shared" ca="1" si="139"/>
        <v>-42.220126633436607</v>
      </c>
      <c r="BW89" s="621">
        <f t="shared" ca="1" si="182"/>
        <v>271.45299145299145</v>
      </c>
      <c r="BX89" s="563" t="str">
        <f ca="1">IF(ROUND(BX40,2)=0,"ok","!")</f>
        <v>ok</v>
      </c>
      <c r="BY89" s="623">
        <f t="shared" ca="1" si="183"/>
        <v>47.077772664519067</v>
      </c>
      <c r="BZ89" s="620">
        <f t="shared" ca="1" si="184"/>
        <v>-131.92019950124688</v>
      </c>
      <c r="CA89" s="630">
        <f t="shared" ca="1" si="185"/>
        <v>-4.0921732220897784</v>
      </c>
      <c r="CB89" s="624">
        <f t="shared" ca="1" si="140"/>
        <v>33.784098857542546</v>
      </c>
      <c r="CC89" s="621">
        <f t="shared" ca="1" si="186"/>
        <v>47.077772664519117</v>
      </c>
      <c r="CD89" s="563" t="str">
        <f ca="1">IF(ROUND(CD40,2)=0,"ok","!")</f>
        <v>ok</v>
      </c>
      <c r="CE89" s="623">
        <f t="shared" ca="1" si="187"/>
        <v>2.6908635794743674</v>
      </c>
      <c r="CF89" s="620">
        <f t="shared" ca="1" si="188"/>
        <v>143.75</v>
      </c>
      <c r="CG89" s="630">
        <f t="shared" ca="1" si="189"/>
        <v>65.492957746478879</v>
      </c>
      <c r="CH89" s="624">
        <f t="shared" ca="1" si="141"/>
        <v>32.258626699198345</v>
      </c>
      <c r="CI89" s="621">
        <f t="shared" ca="1" si="190"/>
        <v>2.6908635794743452</v>
      </c>
      <c r="CJ89" s="563" t="str">
        <f ca="1">IF(ROUND(CJ40,2)=0,"ok","!")</f>
        <v>ok</v>
      </c>
      <c r="CK89" s="623">
        <f t="shared" ca="1" si="191"/>
        <v>1.614868982327855</v>
      </c>
      <c r="CL89" s="620">
        <f t="shared" ca="1" si="192"/>
        <v>130.44871794871793</v>
      </c>
      <c r="CM89" s="630">
        <f t="shared" ca="1" si="193"/>
        <v>-56.195244055068841</v>
      </c>
      <c r="CN89" s="624">
        <f t="shared" ca="1" si="37"/>
        <v>-23.520885492159703</v>
      </c>
      <c r="CO89" s="621">
        <f t="shared" ca="1" si="194"/>
        <v>1.614868982327855</v>
      </c>
      <c r="CP89" s="563" t="str">
        <f ca="1">IF(ROUND(CP40,2)=0,"ok","!")</f>
        <v>ok</v>
      </c>
      <c r="CQ89" s="623">
        <f t="shared" ca="1" si="195"/>
        <v>-0.23988005997003237</v>
      </c>
      <c r="CR89" s="620">
        <f t="shared" ca="1" si="196"/>
        <v>-26.564673157162723</v>
      </c>
      <c r="CS89" s="630">
        <f t="shared" ca="1" si="197"/>
        <v>-2.6857142857142802</v>
      </c>
      <c r="CT89" s="624">
        <f t="shared" ca="1" si="42"/>
        <v>-4.2384562370778811</v>
      </c>
      <c r="CU89" s="621">
        <f t="shared" ca="1" si="198"/>
        <v>-0.23988005997001016</v>
      </c>
      <c r="CV89" s="563" t="str">
        <f ca="1">IF(ROUND(CV40,2)=0,"ok","!")</f>
        <v>ok</v>
      </c>
      <c r="CW89" s="623">
        <f t="shared" ca="1" si="199"/>
        <v>24.827171626089584</v>
      </c>
      <c r="CX89" s="620">
        <f t="shared" ca="1" si="200"/>
        <v>53.977272727272705</v>
      </c>
      <c r="CY89" s="630">
        <f t="shared" ca="1" si="201"/>
        <v>55.901350557839095</v>
      </c>
      <c r="CZ89" s="624">
        <f t="shared" ca="1" si="47"/>
        <v>37.117668225980573</v>
      </c>
      <c r="DA89" s="621">
        <f t="shared" ca="1" si="202"/>
        <v>24.827171626089562</v>
      </c>
      <c r="DB89" s="563" t="str">
        <f ca="1">IF(ROUND(DB40,2)=0,"ok","!")</f>
        <v>ok</v>
      </c>
      <c r="DC89" s="623">
        <f t="shared" ca="1" si="203"/>
        <v>4.2619792920780109</v>
      </c>
      <c r="DD89" s="620">
        <f t="shared" ca="1" si="204"/>
        <v>-25.830258302583019</v>
      </c>
      <c r="DE89" s="630">
        <f t="shared" ca="1" si="205"/>
        <v>-412.69303201506597</v>
      </c>
      <c r="DF89" s="624">
        <f t="shared" ca="1" si="52"/>
        <v>-144.20679700826662</v>
      </c>
      <c r="DG89" s="621">
        <f t="shared" ca="1" si="206"/>
        <v>4.2619792920780331</v>
      </c>
      <c r="DH89" s="563" t="str">
        <f ca="1">IF(ROUND(DH40,2)=0,"ok","!")</f>
        <v>ok</v>
      </c>
      <c r="DI89" s="623">
        <f t="shared" ca="1" si="207"/>
        <v>-3.4180138568128848</v>
      </c>
      <c r="DJ89" s="620">
        <f t="shared" ca="1" si="208"/>
        <v>-26.03648424543946</v>
      </c>
      <c r="DK89" s="630">
        <f t="shared" ca="1" si="209"/>
        <v>0.7829438689472612</v>
      </c>
      <c r="DL89" s="624">
        <f t="shared" ca="1" si="57"/>
        <v>10.982487384980688</v>
      </c>
      <c r="DM89" s="621">
        <f t="shared" ca="1" si="210"/>
        <v>-3.4180138568129292</v>
      </c>
      <c r="DN89" s="563" t="str">
        <f ca="1">IF(ROUND(DN40,2)=0,"ok","!")</f>
        <v>ok</v>
      </c>
      <c r="DO89" s="623">
        <f t="shared" ca="1" si="211"/>
        <v>-15.925394548063165</v>
      </c>
      <c r="DP89" s="620">
        <f t="shared" ca="1" si="212"/>
        <v>-12.331838565022423</v>
      </c>
      <c r="DQ89" s="630">
        <f t="shared" ca="1" si="213"/>
        <v>-116.21847735149996</v>
      </c>
      <c r="DR89" s="624">
        <f t="shared" ca="1" si="62"/>
        <v>-240.78630649906393</v>
      </c>
      <c r="DS89" s="621">
        <f t="shared" ca="1" si="214"/>
        <v>-15.925394548063132</v>
      </c>
      <c r="DT89" s="563" t="str">
        <f ca="1">IF(ROUND(DT40,2)=0,"ok","!")</f>
        <v>ok</v>
      </c>
      <c r="DU89" s="623">
        <f t="shared" ca="1" si="215"/>
        <v>7.679180887372028</v>
      </c>
      <c r="DV89" s="620">
        <f t="shared" ca="1" si="216"/>
        <v>52.941176470588225</v>
      </c>
      <c r="DW89" s="630">
        <f t="shared" ca="1" si="217"/>
        <v>-298.15770081061163</v>
      </c>
      <c r="DX89" s="624">
        <f t="shared" ca="1" si="67"/>
        <v>-67.800151975683889</v>
      </c>
      <c r="DY89" s="621">
        <f t="shared" ca="1" si="218"/>
        <v>7.6791808873720058</v>
      </c>
      <c r="DZ89" s="563" t="str">
        <f ca="1">IF(ROUND(DZ40,2)=0,"ok","!")</f>
        <v>ok</v>
      </c>
      <c r="EA89" s="623">
        <f t="shared" ca="1" si="219"/>
        <v>-80.824088748018951</v>
      </c>
      <c r="EB89" s="620">
        <f t="shared" ca="1" si="220"/>
        <v>10.033444816053528</v>
      </c>
      <c r="EC89" s="630">
        <f t="shared" ca="1" si="221"/>
        <v>-390.33097805875792</v>
      </c>
      <c r="ED89" s="624">
        <f t="shared" ca="1" si="72"/>
        <v>442.24188790560481</v>
      </c>
      <c r="EE89" s="621">
        <f t="shared" ca="1" si="222"/>
        <v>-80.824088748019022</v>
      </c>
      <c r="EF89" s="563" t="str">
        <f ca="1">IF(ROUND(EF40,2)=0,"ok","!")</f>
        <v>ok</v>
      </c>
      <c r="EG89" s="623">
        <f t="shared" ca="1" si="223"/>
        <v>-262.94765840220322</v>
      </c>
      <c r="EH89" s="620">
        <f t="shared" ca="1" si="224"/>
        <v>-36.474164133738604</v>
      </c>
      <c r="EI89" s="630">
        <f t="shared" ca="1" si="225"/>
        <v>-57.947995388753682</v>
      </c>
      <c r="EJ89" s="624">
        <f t="shared" ca="1" si="77"/>
        <v>-72.603633989772604</v>
      </c>
      <c r="EK89" s="621">
        <f t="shared" ca="1" si="226"/>
        <v>-262.94765840220384</v>
      </c>
      <c r="EL89" s="563" t="str">
        <f ca="1">IF(ROUND(EL40,2)=0,"ok","!")</f>
        <v>ok</v>
      </c>
      <c r="EM89" s="623">
        <f t="shared" ca="1" si="227"/>
        <v>-411.97049781057552</v>
      </c>
      <c r="EN89" s="620">
        <f t="shared" ca="1" si="228"/>
        <v>3.0000000000000027</v>
      </c>
      <c r="EO89" s="630">
        <f t="shared" ca="1" si="229"/>
        <v>6.0000000000000053</v>
      </c>
      <c r="EP89" s="624">
        <f t="shared" ca="1" si="82"/>
        <v>201.87176287129088</v>
      </c>
      <c r="EQ89" s="621">
        <f t="shared" ca="1" si="230"/>
        <v>-411.97049781057535</v>
      </c>
      <c r="ER89" s="563" t="str">
        <f ca="1">IF(ROUND(ER40,2)=0,"ok","!")</f>
        <v>ok</v>
      </c>
      <c r="ES89" s="623">
        <f t="shared" ca="1" si="231"/>
        <v>140.51627354923676</v>
      </c>
      <c r="ET89" s="620">
        <f t="shared" ca="1" si="232"/>
        <v>3.0000000000000027</v>
      </c>
      <c r="EU89" s="630">
        <f t="shared" ca="1" si="233"/>
        <v>6.0000000000000053</v>
      </c>
      <c r="EV89" s="624">
        <f t="shared" ca="1" si="87"/>
        <v>71.142360799147482</v>
      </c>
      <c r="EW89" s="621">
        <f t="shared" ca="1" si="234"/>
        <v>140.51627354923676</v>
      </c>
      <c r="EX89" s="563" t="str">
        <f ca="1">IF(ROUND(EX40,2)=0,"ok","!")</f>
        <v>ok</v>
      </c>
      <c r="EY89" s="623">
        <f t="shared" ca="1" si="235"/>
        <v>3.887965226394452</v>
      </c>
      <c r="EZ89" s="620">
        <f t="shared" ca="1" si="236"/>
        <v>3.0000000000000027</v>
      </c>
      <c r="FA89" s="630">
        <f t="shared" ca="1" si="237"/>
        <v>6.0000000000000053</v>
      </c>
      <c r="FB89" s="624">
        <f t="shared" ca="1" si="92"/>
        <v>4.4565865433535246</v>
      </c>
      <c r="FC89" s="621">
        <f t="shared" ca="1" si="238"/>
        <v>3.887965226394452</v>
      </c>
      <c r="FD89" s="563" t="str">
        <f ca="1">IF(ROUND(FD40,2)=0,"ok","!")</f>
        <v>ok</v>
      </c>
    </row>
    <row r="90" spans="2:160">
      <c r="B90" s="579"/>
      <c r="C90" s="598"/>
      <c r="D90" s="599" t="s">
        <v>647</v>
      </c>
      <c r="E90" s="623"/>
      <c r="F90" s="622"/>
      <c r="G90" s="632"/>
      <c r="H90" s="593"/>
      <c r="I90" s="625"/>
      <c r="J90" s="600"/>
      <c r="K90" s="623" t="str">
        <f t="shared" si="239"/>
        <v/>
      </c>
      <c r="L90" s="622" t="str">
        <f t="shared" si="239"/>
        <v/>
      </c>
      <c r="M90" s="632" t="str">
        <f t="shared" si="239"/>
        <v/>
      </c>
      <c r="N90" s="593">
        <f t="shared" ca="1" si="239"/>
        <v>-28.531983433041887</v>
      </c>
      <c r="O90" s="625" t="str">
        <f t="shared" si="239"/>
        <v/>
      </c>
      <c r="P90" s="600"/>
      <c r="Q90" s="623" t="str">
        <f t="shared" si="143"/>
        <v/>
      </c>
      <c r="R90" s="622" t="str">
        <f t="shared" si="144"/>
        <v/>
      </c>
      <c r="S90" s="632" t="str">
        <f t="shared" si="145"/>
        <v/>
      </c>
      <c r="T90" s="593">
        <f t="shared" ca="1" si="130"/>
        <v>29.81326464906633</v>
      </c>
      <c r="U90" s="625" t="str">
        <f t="shared" si="146"/>
        <v/>
      </c>
      <c r="V90" s="600"/>
      <c r="W90" s="623" t="str">
        <f t="shared" si="147"/>
        <v/>
      </c>
      <c r="X90" s="622" t="str">
        <f t="shared" si="148"/>
        <v/>
      </c>
      <c r="Y90" s="632" t="str">
        <f t="shared" si="149"/>
        <v/>
      </c>
      <c r="Z90" s="593">
        <f t="shared" ca="1" si="131"/>
        <v>6.5972222222222321</v>
      </c>
      <c r="AA90" s="625" t="str">
        <f t="shared" si="150"/>
        <v/>
      </c>
      <c r="AB90" s="600"/>
      <c r="AC90" s="623" t="str">
        <f t="shared" si="151"/>
        <v/>
      </c>
      <c r="AD90" s="622" t="str">
        <f t="shared" si="152"/>
        <v/>
      </c>
      <c r="AE90" s="632" t="str">
        <f t="shared" si="153"/>
        <v/>
      </c>
      <c r="AF90" s="593">
        <f t="shared" ca="1" si="132"/>
        <v>10.795718939041411</v>
      </c>
      <c r="AG90" s="625" t="str">
        <f t="shared" si="154"/>
        <v/>
      </c>
      <c r="AH90" s="600"/>
      <c r="AI90" s="623" t="str">
        <f t="shared" si="155"/>
        <v/>
      </c>
      <c r="AJ90" s="622" t="str">
        <f t="shared" si="156"/>
        <v/>
      </c>
      <c r="AK90" s="632" t="str">
        <f t="shared" si="157"/>
        <v/>
      </c>
      <c r="AL90" s="593">
        <f t="shared" ca="1" si="133"/>
        <v>17.051658966820682</v>
      </c>
      <c r="AM90" s="625" t="str">
        <f t="shared" si="158"/>
        <v/>
      </c>
      <c r="AN90" s="600"/>
      <c r="AO90" s="623" t="str">
        <f t="shared" si="159"/>
        <v/>
      </c>
      <c r="AP90" s="622" t="str">
        <f t="shared" si="160"/>
        <v/>
      </c>
      <c r="AQ90" s="632" t="str">
        <f t="shared" si="161"/>
        <v/>
      </c>
      <c r="AR90" s="593">
        <f t="shared" ca="1" si="134"/>
        <v>-3.5880875493354836E-2</v>
      </c>
      <c r="AS90" s="625" t="str">
        <f t="shared" si="162"/>
        <v/>
      </c>
      <c r="AT90" s="600"/>
      <c r="AU90" s="623" t="str">
        <f t="shared" si="163"/>
        <v/>
      </c>
      <c r="AV90" s="622" t="str">
        <f t="shared" si="164"/>
        <v/>
      </c>
      <c r="AW90" s="632" t="str">
        <f t="shared" si="165"/>
        <v/>
      </c>
      <c r="AX90" s="593">
        <f t="shared" ca="1" si="135"/>
        <v>6.7839195979899625</v>
      </c>
      <c r="AY90" s="625" t="str">
        <f t="shared" si="166"/>
        <v/>
      </c>
      <c r="AZ90" s="600"/>
      <c r="BA90" s="623" t="str">
        <f t="shared" si="167"/>
        <v/>
      </c>
      <c r="BB90" s="622" t="str">
        <f t="shared" si="168"/>
        <v/>
      </c>
      <c r="BC90" s="632" t="str">
        <f t="shared" si="169"/>
        <v/>
      </c>
      <c r="BD90" s="593">
        <f t="shared" ca="1" si="136"/>
        <v>-16.30252100840336</v>
      </c>
      <c r="BE90" s="625" t="str">
        <f t="shared" si="170"/>
        <v/>
      </c>
      <c r="BF90" s="600"/>
      <c r="BG90" s="623" t="str">
        <f t="shared" si="171"/>
        <v/>
      </c>
      <c r="BH90" s="622" t="str">
        <f t="shared" si="172"/>
        <v/>
      </c>
      <c r="BI90" s="632" t="str">
        <f t="shared" si="173"/>
        <v/>
      </c>
      <c r="BJ90" s="593">
        <f t="shared" ca="1" si="137"/>
        <v>2.4497991967871391</v>
      </c>
      <c r="BK90" s="625" t="str">
        <f t="shared" si="174"/>
        <v/>
      </c>
      <c r="BL90" s="600"/>
      <c r="BM90" s="623" t="str">
        <f t="shared" si="175"/>
        <v/>
      </c>
      <c r="BN90" s="622" t="str">
        <f t="shared" si="176"/>
        <v/>
      </c>
      <c r="BO90" s="632" t="str">
        <f t="shared" si="177"/>
        <v/>
      </c>
      <c r="BP90" s="593">
        <f t="shared" ca="1" si="138"/>
        <v>-57.193257546060373</v>
      </c>
      <c r="BQ90" s="625" t="str">
        <f t="shared" si="178"/>
        <v/>
      </c>
      <c r="BR90" s="600"/>
      <c r="BS90" s="623" t="str">
        <f t="shared" si="179"/>
        <v/>
      </c>
      <c r="BT90" s="622" t="str">
        <f t="shared" si="180"/>
        <v/>
      </c>
      <c r="BU90" s="632" t="str">
        <f t="shared" si="181"/>
        <v/>
      </c>
      <c r="BV90" s="593">
        <f t="shared" ca="1" si="139"/>
        <v>-89.010989010989022</v>
      </c>
      <c r="BW90" s="625" t="str">
        <f t="shared" si="182"/>
        <v/>
      </c>
      <c r="BX90" s="600"/>
      <c r="BY90" s="623" t="str">
        <f t="shared" si="183"/>
        <v/>
      </c>
      <c r="BZ90" s="622" t="str">
        <f t="shared" si="184"/>
        <v/>
      </c>
      <c r="CA90" s="632" t="str">
        <f t="shared" si="185"/>
        <v/>
      </c>
      <c r="CB90" s="593">
        <f t="shared" ca="1" si="140"/>
        <v>-80.833333333333329</v>
      </c>
      <c r="CC90" s="625" t="str">
        <f t="shared" si="186"/>
        <v/>
      </c>
      <c r="CD90" s="600"/>
      <c r="CE90" s="623" t="str">
        <f t="shared" si="187"/>
        <v/>
      </c>
      <c r="CF90" s="622" t="str">
        <f t="shared" si="188"/>
        <v/>
      </c>
      <c r="CG90" s="632" t="str">
        <f t="shared" si="189"/>
        <v/>
      </c>
      <c r="CH90" s="593">
        <f t="shared" ca="1" si="141"/>
        <v>-30.434782608695656</v>
      </c>
      <c r="CI90" s="625" t="str">
        <f t="shared" si="190"/>
        <v/>
      </c>
      <c r="CJ90" s="600"/>
      <c r="CK90" s="623" t="str">
        <f t="shared" si="191"/>
        <v/>
      </c>
      <c r="CL90" s="622" t="str">
        <f t="shared" si="192"/>
        <v/>
      </c>
      <c r="CM90" s="632" t="str">
        <f t="shared" si="193"/>
        <v/>
      </c>
      <c r="CN90" s="593">
        <f t="shared" ca="1" si="37"/>
        <v>-87.5</v>
      </c>
      <c r="CO90" s="625" t="str">
        <f t="shared" si="194"/>
        <v/>
      </c>
      <c r="CP90" s="600"/>
      <c r="CQ90" s="623" t="str">
        <f t="shared" si="195"/>
        <v/>
      </c>
      <c r="CR90" s="622" t="str">
        <f t="shared" si="196"/>
        <v/>
      </c>
      <c r="CS90" s="632" t="str">
        <f t="shared" si="197"/>
        <v/>
      </c>
      <c r="CT90" s="593">
        <f t="shared" ca="1" si="42"/>
        <v>400</v>
      </c>
      <c r="CU90" s="625" t="str">
        <f t="shared" si="198"/>
        <v/>
      </c>
      <c r="CV90" s="600"/>
      <c r="CW90" s="623" t="str">
        <f t="shared" si="199"/>
        <v/>
      </c>
      <c r="CX90" s="622" t="str">
        <f t="shared" si="200"/>
        <v/>
      </c>
      <c r="CY90" s="632" t="str">
        <f t="shared" si="201"/>
        <v/>
      </c>
      <c r="CZ90" s="593">
        <f t="shared" ca="1" si="47"/>
        <v>-70</v>
      </c>
      <c r="DA90" s="625" t="str">
        <f t="shared" si="202"/>
        <v/>
      </c>
      <c r="DB90" s="600"/>
      <c r="DC90" s="623" t="str">
        <f t="shared" si="203"/>
        <v/>
      </c>
      <c r="DD90" s="622" t="str">
        <f t="shared" si="204"/>
        <v/>
      </c>
      <c r="DE90" s="632" t="str">
        <f t="shared" si="205"/>
        <v/>
      </c>
      <c r="DF90" s="593">
        <f t="shared" ca="1" si="52"/>
        <v>-233.33333333333331</v>
      </c>
      <c r="DG90" s="625" t="str">
        <f t="shared" si="206"/>
        <v/>
      </c>
      <c r="DH90" s="600"/>
      <c r="DI90" s="623" t="str">
        <f t="shared" si="207"/>
        <v/>
      </c>
      <c r="DJ90" s="622" t="str">
        <f t="shared" si="208"/>
        <v/>
      </c>
      <c r="DK90" s="632" t="str">
        <f t="shared" si="209"/>
        <v/>
      </c>
      <c r="DL90" s="593">
        <f t="shared" ca="1" si="57"/>
        <v>0</v>
      </c>
      <c r="DM90" s="625" t="str">
        <f t="shared" si="210"/>
        <v/>
      </c>
      <c r="DN90" s="600"/>
      <c r="DO90" s="623" t="str">
        <f t="shared" si="211"/>
        <v/>
      </c>
      <c r="DP90" s="622" t="str">
        <f t="shared" si="212"/>
        <v/>
      </c>
      <c r="DQ90" s="632" t="str">
        <f t="shared" si="213"/>
        <v/>
      </c>
      <c r="DR90" s="593">
        <f t="shared" ca="1" si="62"/>
        <v>-150</v>
      </c>
      <c r="DS90" s="625" t="str">
        <f t="shared" si="214"/>
        <v/>
      </c>
      <c r="DT90" s="600"/>
      <c r="DU90" s="623" t="str">
        <f t="shared" si="215"/>
        <v/>
      </c>
      <c r="DV90" s="622" t="str">
        <f t="shared" si="216"/>
        <v/>
      </c>
      <c r="DW90" s="632" t="str">
        <f t="shared" si="217"/>
        <v/>
      </c>
      <c r="DX90" s="593">
        <f t="shared" ca="1" si="67"/>
        <v>-100</v>
      </c>
      <c r="DY90" s="625" t="str">
        <f t="shared" si="218"/>
        <v/>
      </c>
      <c r="DZ90" s="600"/>
      <c r="EA90" s="623" t="str">
        <f t="shared" si="219"/>
        <v/>
      </c>
      <c r="EB90" s="622" t="str">
        <f t="shared" si="220"/>
        <v/>
      </c>
      <c r="EC90" s="632" t="str">
        <f t="shared" si="221"/>
        <v/>
      </c>
      <c r="ED90" s="593" t="str">
        <f t="shared" ca="1" si="72"/>
        <v>N</v>
      </c>
      <c r="EE90" s="625" t="str">
        <f t="shared" si="222"/>
        <v/>
      </c>
      <c r="EF90" s="600"/>
      <c r="EG90" s="623" t="str">
        <f t="shared" si="223"/>
        <v/>
      </c>
      <c r="EH90" s="622" t="str">
        <f t="shared" si="224"/>
        <v/>
      </c>
      <c r="EI90" s="632" t="str">
        <f t="shared" si="225"/>
        <v/>
      </c>
      <c r="EJ90" s="593" t="str">
        <f t="shared" ca="1" si="77"/>
        <v>N</v>
      </c>
      <c r="EK90" s="625" t="str">
        <f t="shared" si="226"/>
        <v/>
      </c>
      <c r="EL90" s="600"/>
      <c r="EM90" s="623" t="str">
        <f t="shared" si="227"/>
        <v/>
      </c>
      <c r="EN90" s="622" t="str">
        <f t="shared" si="228"/>
        <v/>
      </c>
      <c r="EO90" s="632" t="str">
        <f t="shared" si="229"/>
        <v/>
      </c>
      <c r="EP90" s="593" t="str">
        <f t="shared" ca="1" si="82"/>
        <v>N</v>
      </c>
      <c r="EQ90" s="625" t="str">
        <f t="shared" si="230"/>
        <v/>
      </c>
      <c r="ER90" s="600"/>
      <c r="ES90" s="623" t="str">
        <f t="shared" si="231"/>
        <v/>
      </c>
      <c r="ET90" s="622" t="str">
        <f t="shared" si="232"/>
        <v/>
      </c>
      <c r="EU90" s="632" t="str">
        <f t="shared" si="233"/>
        <v/>
      </c>
      <c r="EV90" s="593" t="str">
        <f t="shared" ca="1" si="87"/>
        <v>N</v>
      </c>
      <c r="EW90" s="625" t="str">
        <f t="shared" si="234"/>
        <v/>
      </c>
      <c r="EX90" s="600"/>
      <c r="EY90" s="623" t="str">
        <f t="shared" si="235"/>
        <v/>
      </c>
      <c r="EZ90" s="622" t="str">
        <f t="shared" si="236"/>
        <v/>
      </c>
      <c r="FA90" s="632" t="str">
        <f t="shared" si="237"/>
        <v/>
      </c>
      <c r="FB90" s="593" t="str">
        <f t="shared" ca="1" si="92"/>
        <v>N</v>
      </c>
      <c r="FC90" s="625" t="str">
        <f t="shared" si="238"/>
        <v/>
      </c>
      <c r="FD90" s="600"/>
    </row>
    <row r="91" spans="2:160">
      <c r="B91" s="579"/>
      <c r="C91" s="598"/>
      <c r="D91" s="599" t="s">
        <v>1206</v>
      </c>
      <c r="E91" s="623"/>
      <c r="F91" s="622"/>
      <c r="G91" s="632"/>
      <c r="H91" s="593"/>
      <c r="I91" s="625"/>
      <c r="J91" s="600"/>
      <c r="K91" s="623"/>
      <c r="L91" s="622"/>
      <c r="M91" s="632"/>
      <c r="N91" s="593" t="str">
        <f ca="1">IF(N42="","",IF(H42=0,"N",(N42/H42-1)*100))</f>
        <v>N</v>
      </c>
      <c r="O91" s="625"/>
      <c r="P91" s="600"/>
      <c r="Q91" s="623"/>
      <c r="R91" s="622"/>
      <c r="S91" s="632"/>
      <c r="T91" s="593" t="str">
        <f t="shared" ca="1" si="130"/>
        <v>N</v>
      </c>
      <c r="U91" s="625"/>
      <c r="V91" s="600"/>
      <c r="W91" s="623"/>
      <c r="X91" s="622"/>
      <c r="Y91" s="632"/>
      <c r="Z91" s="593" t="str">
        <f t="shared" ca="1" si="131"/>
        <v>N</v>
      </c>
      <c r="AA91" s="625"/>
      <c r="AB91" s="600"/>
      <c r="AC91" s="623"/>
      <c r="AD91" s="622"/>
      <c r="AE91" s="632"/>
      <c r="AF91" s="593" t="str">
        <f t="shared" ca="1" si="132"/>
        <v>N</v>
      </c>
      <c r="AG91" s="625"/>
      <c r="AH91" s="600"/>
      <c r="AI91" s="623"/>
      <c r="AJ91" s="622"/>
      <c r="AK91" s="632"/>
      <c r="AL91" s="593" t="str">
        <f t="shared" ca="1" si="133"/>
        <v>N</v>
      </c>
      <c r="AM91" s="625"/>
      <c r="AN91" s="600"/>
      <c r="AO91" s="623"/>
      <c r="AP91" s="622"/>
      <c r="AQ91" s="632"/>
      <c r="AR91" s="593" t="str">
        <f t="shared" ca="1" si="134"/>
        <v>N</v>
      </c>
      <c r="AS91" s="625"/>
      <c r="AT91" s="600"/>
      <c r="AU91" s="623"/>
      <c r="AV91" s="622"/>
      <c r="AW91" s="632"/>
      <c r="AX91" s="593" t="str">
        <f t="shared" ca="1" si="135"/>
        <v>N</v>
      </c>
      <c r="AY91" s="625"/>
      <c r="AZ91" s="600"/>
      <c r="BA91" s="623"/>
      <c r="BB91" s="622"/>
      <c r="BC91" s="632"/>
      <c r="BD91" s="593" t="str">
        <f t="shared" ca="1" si="136"/>
        <v>N</v>
      </c>
      <c r="BE91" s="625"/>
      <c r="BF91" s="600"/>
      <c r="BG91" s="623"/>
      <c r="BH91" s="622"/>
      <c r="BI91" s="632"/>
      <c r="BJ91" s="593" t="str">
        <f t="shared" ca="1" si="137"/>
        <v>N</v>
      </c>
      <c r="BK91" s="625"/>
      <c r="BL91" s="600"/>
      <c r="BM91" s="623"/>
      <c r="BN91" s="622"/>
      <c r="BO91" s="632"/>
      <c r="BP91" s="593" t="str">
        <f t="shared" ca="1" si="138"/>
        <v>N</v>
      </c>
      <c r="BQ91" s="625"/>
      <c r="BR91" s="600"/>
      <c r="BS91" s="623"/>
      <c r="BT91" s="622"/>
      <c r="BU91" s="632"/>
      <c r="BV91" s="593" t="str">
        <f t="shared" ca="1" si="139"/>
        <v>N</v>
      </c>
      <c r="BW91" s="625"/>
      <c r="BX91" s="600"/>
      <c r="BY91" s="623"/>
      <c r="BZ91" s="622"/>
      <c r="CA91" s="632"/>
      <c r="CB91" s="593" t="str">
        <f t="shared" ca="1" si="140"/>
        <v>N</v>
      </c>
      <c r="CC91" s="625"/>
      <c r="CD91" s="600"/>
      <c r="CE91" s="623"/>
      <c r="CF91" s="622"/>
      <c r="CG91" s="632"/>
      <c r="CH91" s="593" t="str">
        <f t="shared" ca="1" si="141"/>
        <v>N</v>
      </c>
      <c r="CI91" s="625"/>
      <c r="CJ91" s="600"/>
      <c r="CK91" s="623"/>
      <c r="CL91" s="622"/>
      <c r="CM91" s="632"/>
      <c r="CN91" s="593" t="str">
        <f t="shared" ca="1" si="37"/>
        <v>N</v>
      </c>
      <c r="CO91" s="625"/>
      <c r="CP91" s="600"/>
      <c r="CQ91" s="623"/>
      <c r="CR91" s="622"/>
      <c r="CS91" s="632"/>
      <c r="CT91" s="593" t="str">
        <f t="shared" ca="1" si="42"/>
        <v>N</v>
      </c>
      <c r="CU91" s="625"/>
      <c r="CV91" s="600"/>
      <c r="CW91" s="623"/>
      <c r="CX91" s="622"/>
      <c r="CY91" s="632"/>
      <c r="CZ91" s="593" t="str">
        <f t="shared" ca="1" si="47"/>
        <v>N</v>
      </c>
      <c r="DA91" s="625"/>
      <c r="DB91" s="600"/>
      <c r="DC91" s="623"/>
      <c r="DD91" s="622"/>
      <c r="DE91" s="632"/>
      <c r="DF91" s="593" t="str">
        <f t="shared" ca="1" si="52"/>
        <v>N</v>
      </c>
      <c r="DG91" s="625"/>
      <c r="DH91" s="600"/>
      <c r="DI91" s="623"/>
      <c r="DJ91" s="622"/>
      <c r="DK91" s="632"/>
      <c r="DL91" s="593" t="str">
        <f t="shared" ca="1" si="57"/>
        <v>N</v>
      </c>
      <c r="DM91" s="625"/>
      <c r="DN91" s="600"/>
      <c r="DO91" s="623"/>
      <c r="DP91" s="622"/>
      <c r="DQ91" s="632"/>
      <c r="DR91" s="593" t="str">
        <f t="shared" ca="1" si="62"/>
        <v>N</v>
      </c>
      <c r="DS91" s="625"/>
      <c r="DT91" s="600"/>
      <c r="DU91" s="623"/>
      <c r="DV91" s="622"/>
      <c r="DW91" s="632"/>
      <c r="DX91" s="593" t="str">
        <f t="shared" ca="1" si="67"/>
        <v>N</v>
      </c>
      <c r="DY91" s="625"/>
      <c r="DZ91" s="600"/>
      <c r="EA91" s="623"/>
      <c r="EB91" s="622"/>
      <c r="EC91" s="632"/>
      <c r="ED91" s="593" t="str">
        <f t="shared" ca="1" si="72"/>
        <v>N</v>
      </c>
      <c r="EE91" s="625"/>
      <c r="EF91" s="600"/>
      <c r="EG91" s="623"/>
      <c r="EH91" s="622"/>
      <c r="EI91" s="632"/>
      <c r="EJ91" s="593" t="str">
        <f t="shared" ca="1" si="77"/>
        <v>N</v>
      </c>
      <c r="EK91" s="625"/>
      <c r="EL91" s="600"/>
      <c r="EM91" s="623"/>
      <c r="EN91" s="622"/>
      <c r="EO91" s="632"/>
      <c r="EP91" s="593" t="str">
        <f t="shared" ca="1" si="82"/>
        <v>N</v>
      </c>
      <c r="EQ91" s="625"/>
      <c r="ER91" s="600"/>
      <c r="ES91" s="623"/>
      <c r="ET91" s="622"/>
      <c r="EU91" s="632"/>
      <c r="EV91" s="593" t="str">
        <f t="shared" ca="1" si="87"/>
        <v>N</v>
      </c>
      <c r="EW91" s="625"/>
      <c r="EX91" s="600"/>
      <c r="EY91" s="623"/>
      <c r="EZ91" s="622"/>
      <c r="FA91" s="632"/>
      <c r="FB91" s="593" t="str">
        <f t="shared" ca="1" si="92"/>
        <v>N</v>
      </c>
      <c r="FC91" s="625"/>
      <c r="FD91" s="600"/>
    </row>
    <row r="92" spans="2:160">
      <c r="B92" s="579"/>
      <c r="C92" s="598"/>
      <c r="D92" s="599" t="s">
        <v>2039</v>
      </c>
      <c r="E92" s="623"/>
      <c r="F92" s="622"/>
      <c r="G92" s="632"/>
      <c r="H92" s="593"/>
      <c r="I92" s="625"/>
      <c r="J92" s="600"/>
      <c r="K92" s="623" t="str">
        <f t="shared" ref="K92:O97" si="240">IF(K43="","",IF(E43=0,"N",(K43/E43-1)*100))</f>
        <v/>
      </c>
      <c r="L92" s="622" t="str">
        <f t="shared" si="240"/>
        <v/>
      </c>
      <c r="M92" s="632" t="str">
        <f t="shared" si="240"/>
        <v/>
      </c>
      <c r="N92" s="593">
        <f t="shared" ca="1" si="240"/>
        <v>10.24224394390143</v>
      </c>
      <c r="O92" s="625" t="str">
        <f t="shared" si="240"/>
        <v/>
      </c>
      <c r="P92" s="600"/>
      <c r="Q92" s="623" t="str">
        <f t="shared" ref="Q92:Q97" si="241">IF(Q43="","",IF(K43=0,"N",(Q43/K43-1)*100))</f>
        <v/>
      </c>
      <c r="R92" s="622" t="str">
        <f t="shared" ref="R92:R97" si="242">IF(R43="","",IF(L43=0,"N",(R43/L43-1)*100))</f>
        <v/>
      </c>
      <c r="S92" s="632" t="str">
        <f t="shared" ref="S92:T97" si="243">IF(S43="","",IF(M43=0,"N",(S43/M43-1)*100))</f>
        <v/>
      </c>
      <c r="T92" s="593">
        <f t="shared" ca="1" si="243"/>
        <v>-2.9683885890516515</v>
      </c>
      <c r="U92" s="625" t="str">
        <f t="shared" ref="U92:U97" si="244">IF(U43="","",IF(O43=0,"N",(U43/O43-1)*100))</f>
        <v/>
      </c>
      <c r="V92" s="600"/>
      <c r="W92" s="623" t="str">
        <f t="shared" ref="W92:W97" si="245">IF(W43="","",IF(Q43=0,"N",(W43/Q43-1)*100))</f>
        <v/>
      </c>
      <c r="X92" s="622" t="str">
        <f t="shared" ref="X92:X97" si="246">IF(X43="","",IF(R43=0,"N",(X43/R43-1)*100))</f>
        <v/>
      </c>
      <c r="Y92" s="632" t="str">
        <f t="shared" ref="Y92:Z97" si="247">IF(Y43="","",IF(S43=0,"N",(Y43/S43-1)*100))</f>
        <v/>
      </c>
      <c r="Z92" s="593">
        <f t="shared" ca="1" si="247"/>
        <v>12.793007548669056</v>
      </c>
      <c r="AA92" s="625" t="str">
        <f t="shared" ref="AA92:AA97" si="248">IF(AA43="","",IF(U43=0,"N",(AA43/U43-1)*100))</f>
        <v/>
      </c>
      <c r="AB92" s="600"/>
      <c r="AC92" s="623" t="str">
        <f t="shared" ref="AC92:AC97" si="249">IF(AC43="","",IF(W43=0,"N",(AC43/W43-1)*100))</f>
        <v/>
      </c>
      <c r="AD92" s="622" t="str">
        <f t="shared" ref="AD92:AD97" si="250">IF(AD43="","",IF(X43=0,"N",(AD43/X43-1)*100))</f>
        <v/>
      </c>
      <c r="AE92" s="632" t="str">
        <f t="shared" ref="AE92:AF97" si="251">IF(AE43="","",IF(Y43=0,"N",(AE43/Y43-1)*100))</f>
        <v/>
      </c>
      <c r="AF92" s="593">
        <f t="shared" ca="1" si="251"/>
        <v>-20.676294469883761</v>
      </c>
      <c r="AG92" s="625" t="str">
        <f t="shared" ref="AG92:AG97" si="252">IF(AG43="","",IF(AA43=0,"N",(AG43/AA43-1)*100))</f>
        <v/>
      </c>
      <c r="AH92" s="600"/>
      <c r="AI92" s="623" t="str">
        <f t="shared" ref="AI92:AI97" si="253">IF(AI43="","",IF(AC43=0,"N",(AI43/AC43-1)*100))</f>
        <v/>
      </c>
      <c r="AJ92" s="622" t="str">
        <f t="shared" ref="AJ92:AJ97" si="254">IF(AJ43="","",IF(AD43=0,"N",(AJ43/AD43-1)*100))</f>
        <v/>
      </c>
      <c r="AK92" s="632" t="str">
        <f t="shared" ref="AK92:AL97" si="255">IF(AK43="","",IF(AE43=0,"N",(AK43/AE43-1)*100))</f>
        <v/>
      </c>
      <c r="AL92" s="593">
        <f t="shared" ca="1" si="255"/>
        <v>-3.5523978685612967</v>
      </c>
      <c r="AM92" s="625" t="str">
        <f t="shared" ref="AM92:AM97" si="256">IF(AM43="","",IF(AG43=0,"N",(AM43/AG43-1)*100))</f>
        <v/>
      </c>
      <c r="AN92" s="600"/>
      <c r="AO92" s="623" t="str">
        <f t="shared" ref="AO92:AO97" si="257">IF(AO43="","",IF(AI43=0,"N",(AO43/AI43-1)*100))</f>
        <v/>
      </c>
      <c r="AP92" s="622" t="str">
        <f t="shared" ref="AP92:AP97" si="258">IF(AP43="","",IF(AJ43=0,"N",(AP43/AJ43-1)*100))</f>
        <v/>
      </c>
      <c r="AQ92" s="632" t="str">
        <f t="shared" ref="AQ92:AR97" si="259">IF(AQ43="","",IF(AK43=0,"N",(AQ43/AK43-1)*100))</f>
        <v/>
      </c>
      <c r="AR92" s="593">
        <f t="shared" ca="1" si="259"/>
        <v>14.180478821362819</v>
      </c>
      <c r="AS92" s="625" t="str">
        <f t="shared" ref="AS92:AS97" si="260">IF(AS43="","",IF(AM43=0,"N",(AS43/AM43-1)*100))</f>
        <v/>
      </c>
      <c r="AT92" s="600"/>
      <c r="AU92" s="623" t="str">
        <f t="shared" ref="AU92:AU97" si="261">IF(AU43="","",IF(AO43=0,"N",(AU43/AO43-1)*100))</f>
        <v/>
      </c>
      <c r="AV92" s="622" t="str">
        <f t="shared" ref="AV92:AV97" si="262">IF(AV43="","",IF(AP43=0,"N",(AV43/AP43-1)*100))</f>
        <v/>
      </c>
      <c r="AW92" s="632" t="str">
        <f t="shared" ref="AW92:AX97" si="263">IF(AW43="","",IF(AQ43=0,"N",(AW43/AQ43-1)*100))</f>
        <v/>
      </c>
      <c r="AX92" s="593">
        <f t="shared" ca="1" si="263"/>
        <v>10.806451612903212</v>
      </c>
      <c r="AY92" s="625" t="str">
        <f t="shared" ref="AY92:AY97" si="264">IF(AY43="","",IF(AS43=0,"N",(AY43/AS43-1)*100))</f>
        <v/>
      </c>
      <c r="AZ92" s="600"/>
      <c r="BA92" s="623" t="str">
        <f t="shared" ref="BA92:BA97" si="265">IF(BA43="","",IF(AU43=0,"N",(BA43/AU43-1)*100))</f>
        <v/>
      </c>
      <c r="BB92" s="622" t="str">
        <f t="shared" ref="BB92:BB97" si="266">IF(BB43="","",IF(AV43=0,"N",(BB43/AV43-1)*100))</f>
        <v/>
      </c>
      <c r="BC92" s="632" t="str">
        <f t="shared" ref="BC92:BD97" si="267">IF(BC43="","",IF(AW43=0,"N",(BC43/AW43-1)*100))</f>
        <v/>
      </c>
      <c r="BD92" s="593">
        <f t="shared" ca="1" si="267"/>
        <v>1.0553129548762863</v>
      </c>
      <c r="BE92" s="625" t="str">
        <f t="shared" ref="BE92:BE97" si="268">IF(BE43="","",IF(AY43=0,"N",(BE43/AY43-1)*100))</f>
        <v/>
      </c>
      <c r="BF92" s="600"/>
      <c r="BG92" s="623" t="str">
        <f t="shared" ref="BG92:BG97" si="269">IF(BG43="","",IF(BA43=0,"N",(BG43/BA43-1)*100))</f>
        <v/>
      </c>
      <c r="BH92" s="622" t="str">
        <f t="shared" ref="BH92:BH97" si="270">IF(BH43="","",IF(BB43=0,"N",(BH43/BB43-1)*100))</f>
        <v/>
      </c>
      <c r="BI92" s="632" t="str">
        <f t="shared" ref="BI92:BJ97" si="271">IF(BI43="","",IF(BC43=0,"N",(BI43/BC43-1)*100))</f>
        <v/>
      </c>
      <c r="BJ92" s="593">
        <f t="shared" ca="1" si="271"/>
        <v>3.6730284479653985</v>
      </c>
      <c r="BK92" s="625" t="str">
        <f t="shared" ref="BK92:BK97" si="272">IF(BK43="","",IF(BE43=0,"N",(BK43/BE43-1)*100))</f>
        <v/>
      </c>
      <c r="BL92" s="600"/>
      <c r="BM92" s="623" t="str">
        <f t="shared" ref="BM92:BM97" si="273">IF(BM43="","",IF(BG43=0,"N",(BM43/BG43-1)*100))</f>
        <v/>
      </c>
      <c r="BN92" s="622" t="str">
        <f t="shared" ref="BN92:BN97" si="274">IF(BN43="","",IF(BH43=0,"N",(BN43/BH43-1)*100))</f>
        <v/>
      </c>
      <c r="BO92" s="632" t="str">
        <f t="shared" ref="BO92:BP97" si="275">IF(BO43="","",IF(BI43=0,"N",(BO43/BI43-1)*100))</f>
        <v/>
      </c>
      <c r="BP92" s="593">
        <f t="shared" ca="1" si="275"/>
        <v>86.314692601597827</v>
      </c>
      <c r="BQ92" s="625" t="str">
        <f t="shared" ref="BQ92:BQ97" si="276">IF(BQ43="","",IF(BK43=0,"N",(BQ43/BK43-1)*100))</f>
        <v/>
      </c>
      <c r="BR92" s="600"/>
      <c r="BS92" s="623" t="str">
        <f t="shared" ref="BS92:BS97" si="277">IF(BS43="","",IF(BM43=0,"N",(BS43/BM43-1)*100))</f>
        <v/>
      </c>
      <c r="BT92" s="622" t="str">
        <f t="shared" ref="BT92:BT97" si="278">IF(BT43="","",IF(BN43=0,"N",(BT43/BN43-1)*100))</f>
        <v/>
      </c>
      <c r="BU92" s="632" t="str">
        <f t="shared" ref="BU92:BV97" si="279">IF(BU43="","",IF(BO43=0,"N",(BU43/BO43-1)*100))</f>
        <v/>
      </c>
      <c r="BV92" s="593">
        <f t="shared" ca="1" si="279"/>
        <v>-28.374347501864293</v>
      </c>
      <c r="BW92" s="625" t="str">
        <f t="shared" ref="BW92:BW97" si="280">IF(BW43="","",IF(BQ43=0,"N",(BW43/BQ43-1)*100))</f>
        <v/>
      </c>
      <c r="BX92" s="600"/>
      <c r="BY92" s="623" t="str">
        <f t="shared" ref="BY92:BY97" si="281">IF(BY43="","",IF(BS43=0,"N",(BY43/BS43-1)*100))</f>
        <v/>
      </c>
      <c r="BZ92" s="622" t="str">
        <f t="shared" ref="BZ92:BZ97" si="282">IF(BZ43="","",IF(BT43=0,"N",(BZ43/BT43-1)*100))</f>
        <v/>
      </c>
      <c r="CA92" s="632" t="str">
        <f t="shared" ref="CA92:CB97" si="283">IF(CA43="","",IF(BU43=0,"N",(CA43/BU43-1)*100))</f>
        <v/>
      </c>
      <c r="CB92" s="593">
        <f t="shared" ca="1" si="283"/>
        <v>-8.3550234252993238</v>
      </c>
      <c r="CC92" s="625" t="str">
        <f t="shared" ref="CC92:CC97" si="284">IF(CC43="","",IF(BW43=0,"N",(CC43/BW43-1)*100))</f>
        <v/>
      </c>
      <c r="CD92" s="600"/>
      <c r="CE92" s="623" t="str">
        <f t="shared" ref="CE92:CE97" si="285">IF(CE43="","",IF(BY43=0,"N",(CE43/BY43-1)*100))</f>
        <v/>
      </c>
      <c r="CF92" s="622" t="str">
        <f t="shared" ref="CF92:CF97" si="286">IF(CF43="","",IF(BZ43=0,"N",(CF43/BZ43-1)*100))</f>
        <v/>
      </c>
      <c r="CG92" s="632" t="str">
        <f t="shared" ref="CG92:CH97" si="287">IF(CG43="","",IF(CA43=0,"N",(CG43/CA43-1)*100))</f>
        <v/>
      </c>
      <c r="CH92" s="593">
        <f t="shared" ca="1" si="287"/>
        <v>-12.354444760011363</v>
      </c>
      <c r="CI92" s="625" t="str">
        <f t="shared" ref="CI92:CI97" si="288">IF(CI43="","",IF(CC43=0,"N",(CI43/CC43-1)*100))</f>
        <v/>
      </c>
      <c r="CJ92" s="600"/>
      <c r="CK92" s="623" t="str">
        <f t="shared" ref="CK92:CK97" si="289">IF(CK43="","",IF(CE43=0,"N",(CK43/CE43-1)*100))</f>
        <v/>
      </c>
      <c r="CL92" s="622" t="str">
        <f t="shared" ref="CL92:CL97" si="290">IF(CL43="","",IF(CF43=0,"N",(CL43/CF43-1)*100))</f>
        <v/>
      </c>
      <c r="CM92" s="632" t="str">
        <f t="shared" ref="CM92:CM97" si="291">IF(CM43="","",IF(CG43=0,"N",(CM43/CG43-1)*100))</f>
        <v/>
      </c>
      <c r="CN92" s="593">
        <f t="shared" ca="1" si="37"/>
        <v>7.550226830849005</v>
      </c>
      <c r="CO92" s="625" t="str">
        <f t="shared" ref="CO92:CO97" si="292">IF(CO43="","",IF(CI43=0,"N",(CO43/CI43-1)*100))</f>
        <v/>
      </c>
      <c r="CP92" s="600"/>
      <c r="CQ92" s="623" t="str">
        <f t="shared" ref="CQ92:CQ97" si="293">IF(CQ43="","",IF(CK43=0,"N",(CQ43/CK43-1)*100))</f>
        <v/>
      </c>
      <c r="CR92" s="622" t="str">
        <f t="shared" ref="CR92:CR97" si="294">IF(CR43="","",IF(CL43=0,"N",(CR43/CL43-1)*100))</f>
        <v/>
      </c>
      <c r="CS92" s="632" t="str">
        <f t="shared" ref="CS92:CS97" si="295">IF(CS43="","",IF(CM43=0,"N",(CS43/CM43-1)*100))</f>
        <v/>
      </c>
      <c r="CT92" s="593">
        <f t="shared" ca="1" si="42"/>
        <v>-5.2726724917143812</v>
      </c>
      <c r="CU92" s="625" t="str">
        <f t="shared" ref="CU92:CU97" si="296">IF(CU43="","",IF(CO43=0,"N",(CU43/CO43-1)*100))</f>
        <v/>
      </c>
      <c r="CV92" s="600"/>
      <c r="CW92" s="623" t="str">
        <f t="shared" ref="CW92:CW97" si="297">IF(CW43="","",IF(CQ43=0,"N",(CW43/CQ43-1)*100))</f>
        <v/>
      </c>
      <c r="CX92" s="622" t="str">
        <f t="shared" ref="CX92:CX97" si="298">IF(CX43="","",IF(CR43=0,"N",(CX43/CR43-1)*100))</f>
        <v/>
      </c>
      <c r="CY92" s="632" t="str">
        <f t="shared" ref="CY92:CY97" si="299">IF(CY43="","",IF(CS43=0,"N",(CY43/CS43-1)*100))</f>
        <v/>
      </c>
      <c r="CZ92" s="593">
        <f t="shared" ca="1" si="47"/>
        <v>19.720101781170474</v>
      </c>
      <c r="DA92" s="625" t="str">
        <f t="shared" ref="DA92:DA97" si="300">IF(DA43="","",IF(CU43=0,"N",(DA43/CU43-1)*100))</f>
        <v/>
      </c>
      <c r="DB92" s="600"/>
      <c r="DC92" s="623" t="str">
        <f t="shared" ref="DC92:DC97" si="301">IF(DC43="","",IF(CW43=0,"N",(DC43/CW43-1)*100))</f>
        <v/>
      </c>
      <c r="DD92" s="622" t="str">
        <f t="shared" ref="DD92:DD97" si="302">IF(DD43="","",IF(CX43=0,"N",(DD43/CX43-1)*100))</f>
        <v/>
      </c>
      <c r="DE92" s="632" t="str">
        <f t="shared" ref="DE92:DE97" si="303">IF(DE43="","",IF(CY43=0,"N",(DE43/CY43-1)*100))</f>
        <v/>
      </c>
      <c r="DF92" s="593">
        <f t="shared" ca="1" si="52"/>
        <v>271.12114771519657</v>
      </c>
      <c r="DG92" s="625" t="str">
        <f t="shared" ref="DG92:DG97" si="304">IF(DG43="","",IF(DA43=0,"N",(DG43/DA43-1)*100))</f>
        <v/>
      </c>
      <c r="DH92" s="600"/>
      <c r="DI92" s="623" t="str">
        <f t="shared" ref="DI92:DI97" si="305">IF(DI43="","",IF(DC43=0,"N",(DI43/DC43-1)*100))</f>
        <v/>
      </c>
      <c r="DJ92" s="622" t="str">
        <f t="shared" ref="DJ92:DJ97" si="306">IF(DJ43="","",IF(DD43=0,"N",(DJ43/DD43-1)*100))</f>
        <v/>
      </c>
      <c r="DK92" s="632" t="str">
        <f t="shared" ref="DK92:DK97" si="307">IF(DK43="","",IF(DE43=0,"N",(DK43/DE43-1)*100))</f>
        <v/>
      </c>
      <c r="DL92" s="593">
        <f t="shared" ca="1" si="57"/>
        <v>-2.6129286276755703</v>
      </c>
      <c r="DM92" s="625" t="str">
        <f t="shared" ref="DM92:DM97" si="308">IF(DM43="","",IF(DG43=0,"N",(DM43/DG43-1)*100))</f>
        <v/>
      </c>
      <c r="DN92" s="600"/>
      <c r="DO92" s="623" t="str">
        <f t="shared" ref="DO92:DO97" si="309">IF(DO43="","",IF(DI43=0,"N",(DO43/DI43-1)*100))</f>
        <v/>
      </c>
      <c r="DP92" s="622" t="str">
        <f t="shared" ref="DP92:DP97" si="310">IF(DP43="","",IF(DJ43=0,"N",(DP43/DJ43-1)*100))</f>
        <v/>
      </c>
      <c r="DQ92" s="632" t="str">
        <f t="shared" ref="DQ92:DQ97" si="311">IF(DQ43="","",IF(DK43=0,"N",(DQ43/DK43-1)*100))</f>
        <v/>
      </c>
      <c r="DR92" s="593">
        <f t="shared" ca="1" si="62"/>
        <v>-60.77624228168186</v>
      </c>
      <c r="DS92" s="625" t="str">
        <f t="shared" ref="DS92:DS97" si="312">IF(DS43="","",IF(DM43=0,"N",(DS43/DM43-1)*100))</f>
        <v/>
      </c>
      <c r="DT92" s="600"/>
      <c r="DU92" s="623" t="str">
        <f t="shared" ref="DU92:DU97" si="313">IF(DU43="","",IF(DO43=0,"N",(DU43/DO43-1)*100))</f>
        <v/>
      </c>
      <c r="DV92" s="622" t="str">
        <f t="shared" ref="DV92:DV97" si="314">IF(DV43="","",IF(DP43=0,"N",(DV43/DP43-1)*100))</f>
        <v/>
      </c>
      <c r="DW92" s="632" t="str">
        <f t="shared" ref="DW92:DW97" si="315">IF(DW43="","",IF(DQ43=0,"N",(DW43/DQ43-1)*100))</f>
        <v/>
      </c>
      <c r="DX92" s="593">
        <f t="shared" ca="1" si="67"/>
        <v>106.85907046476761</v>
      </c>
      <c r="DY92" s="625" t="str">
        <f t="shared" ref="DY92:DY97" si="316">IF(DY43="","",IF(DS43=0,"N",(DY43/DS43-1)*100))</f>
        <v/>
      </c>
      <c r="DZ92" s="600"/>
      <c r="EA92" s="623" t="str">
        <f t="shared" ref="EA92:EA97" si="317">IF(EA43="","",IF(DU43=0,"N",(EA43/DU43-1)*100))</f>
        <v/>
      </c>
      <c r="EB92" s="622" t="str">
        <f t="shared" ref="EB92:EB97" si="318">IF(EB43="","",IF(DV43=0,"N",(EB43/DV43-1)*100))</f>
        <v/>
      </c>
      <c r="EC92" s="632" t="str">
        <f t="shared" ref="EC92:EC97" si="319">IF(EC43="","",IF(DW43=0,"N",(EC43/DW43-1)*100))</f>
        <v/>
      </c>
      <c r="ED92" s="593">
        <f t="shared" ca="1" si="72"/>
        <v>-37.642688892915388</v>
      </c>
      <c r="EE92" s="625" t="str">
        <f t="shared" ref="EE92:EE97" si="320">IF(EE43="","",IF(DY43=0,"N",(EE43/DY43-1)*100))</f>
        <v/>
      </c>
      <c r="EF92" s="600"/>
      <c r="EG92" s="623" t="str">
        <f t="shared" ref="EG92:EG97" si="321">IF(EG43="","",IF(EA43=0,"N",(EG43/EA43-1)*100))</f>
        <v/>
      </c>
      <c r="EH92" s="622" t="str">
        <f t="shared" ref="EH92:EH97" si="322">IF(EH43="","",IF(EB43=0,"N",(EH43/EB43-1)*100))</f>
        <v/>
      </c>
      <c r="EI92" s="632" t="str">
        <f t="shared" ref="EI92:EI97" si="323">IF(EI43="","",IF(EC43=0,"N",(EI43/EC43-1)*100))</f>
        <v/>
      </c>
      <c r="EJ92" s="593">
        <f t="shared" ca="1" si="77"/>
        <v>9.007700130756934</v>
      </c>
      <c r="EK92" s="625" t="str">
        <f t="shared" ref="EK92:EK97" si="324">IF(EK43="","",IF(EE43=0,"N",(EK43/EE43-1)*100))</f>
        <v/>
      </c>
      <c r="EL92" s="600"/>
      <c r="EM92" s="623" t="str">
        <f t="shared" ref="EM92:EM97" si="325">IF(EM43="","",IF(EG43=0,"N",(EM43/EG43-1)*100))</f>
        <v/>
      </c>
      <c r="EN92" s="622" t="str">
        <f t="shared" ref="EN92:EN97" si="326">IF(EN43="","",IF(EH43=0,"N",(EN43/EH43-1)*100))</f>
        <v/>
      </c>
      <c r="EO92" s="632" t="str">
        <f t="shared" ref="EO92:EO97" si="327">IF(EO43="","",IF(EI43=0,"N",(EO43/EI43-1)*100))</f>
        <v/>
      </c>
      <c r="EP92" s="593">
        <f t="shared" ca="1" si="82"/>
        <v>-18.699186991869933</v>
      </c>
      <c r="EQ92" s="625" t="str">
        <f t="shared" ref="EQ92:EQ97" si="328">IF(EQ43="","",IF(EK43=0,"N",(EQ43/EK43-1)*100))</f>
        <v/>
      </c>
      <c r="ER92" s="600"/>
      <c r="ES92" s="623" t="str">
        <f t="shared" ref="ES92:ES97" si="329">IF(ES43="","",IF(EM43=0,"N",(ES43/EM43-1)*100))</f>
        <v/>
      </c>
      <c r="ET92" s="622" t="str">
        <f t="shared" ref="ET92:ET97" si="330">IF(ET43="","",IF(EN43=0,"N",(ET43/EN43-1)*100))</f>
        <v/>
      </c>
      <c r="EU92" s="632" t="str">
        <f t="shared" ref="EU92:EU97" si="331">IF(EU43="","",IF(EO43=0,"N",(EU43/EO43-1)*100))</f>
        <v/>
      </c>
      <c r="EV92" s="593">
        <f t="shared" ca="1" si="87"/>
        <v>2.0000000000000018</v>
      </c>
      <c r="EW92" s="625" t="str">
        <f t="shared" ref="EW92:EW97" si="332">IF(EW43="","",IF(EQ43=0,"N",(EW43/EQ43-1)*100))</f>
        <v/>
      </c>
      <c r="EX92" s="600"/>
      <c r="EY92" s="623" t="str">
        <f t="shared" ref="EY92:EY97" si="333">IF(EY43="","",IF(ES43=0,"N",(EY43/ES43-1)*100))</f>
        <v/>
      </c>
      <c r="EZ92" s="622" t="str">
        <f t="shared" ref="EZ92:EZ97" si="334">IF(EZ43="","",IF(ET43=0,"N",(EZ43/ET43-1)*100))</f>
        <v/>
      </c>
      <c r="FA92" s="632" t="str">
        <f t="shared" ref="FA92:FA97" si="335">IF(FA43="","",IF(EU43=0,"N",(FA43/EU43-1)*100))</f>
        <v/>
      </c>
      <c r="FB92" s="593">
        <f t="shared" ca="1" si="92"/>
        <v>1.4999999999999902</v>
      </c>
      <c r="FC92" s="625" t="str">
        <f t="shared" ref="FC92:FC97" si="336">IF(FC43="","",IF(EW43=0,"N",(FC43/EW43-1)*100))</f>
        <v/>
      </c>
      <c r="FD92" s="600"/>
    </row>
    <row r="93" spans="2:160" ht="13.15" thickBot="1">
      <c r="B93" s="579"/>
      <c r="C93" s="598"/>
      <c r="D93" s="599" t="s">
        <v>1339</v>
      </c>
      <c r="E93" s="623"/>
      <c r="F93" s="622"/>
      <c r="G93" s="632"/>
      <c r="H93" s="596"/>
      <c r="I93" s="625"/>
      <c r="J93" s="600"/>
      <c r="K93" s="623" t="str">
        <f t="shared" si="240"/>
        <v/>
      </c>
      <c r="L93" s="622" t="str">
        <f t="shared" si="240"/>
        <v/>
      </c>
      <c r="M93" s="632" t="str">
        <f t="shared" si="240"/>
        <v/>
      </c>
      <c r="N93" s="596">
        <f t="shared" ca="1" si="240"/>
        <v>-4.8002453799555367</v>
      </c>
      <c r="O93" s="625" t="str">
        <f t="shared" si="240"/>
        <v/>
      </c>
      <c r="P93" s="600"/>
      <c r="Q93" s="623" t="str">
        <f t="shared" si="241"/>
        <v/>
      </c>
      <c r="R93" s="622" t="str">
        <f t="shared" si="242"/>
        <v/>
      </c>
      <c r="S93" s="632" t="str">
        <f t="shared" si="243"/>
        <v/>
      </c>
      <c r="T93" s="596">
        <f t="shared" ca="1" si="243"/>
        <v>-10.592025775271841</v>
      </c>
      <c r="U93" s="625" t="str">
        <f t="shared" si="244"/>
        <v/>
      </c>
      <c r="V93" s="600"/>
      <c r="W93" s="623" t="str">
        <f t="shared" si="245"/>
        <v/>
      </c>
      <c r="X93" s="622" t="str">
        <f t="shared" si="246"/>
        <v/>
      </c>
      <c r="Y93" s="632" t="str">
        <f t="shared" si="247"/>
        <v/>
      </c>
      <c r="Z93" s="596">
        <f t="shared" ca="1" si="247"/>
        <v>-20.54054054054053</v>
      </c>
      <c r="AA93" s="625" t="str">
        <f t="shared" si="248"/>
        <v/>
      </c>
      <c r="AB93" s="600"/>
      <c r="AC93" s="623" t="str">
        <f t="shared" si="249"/>
        <v/>
      </c>
      <c r="AD93" s="622" t="str">
        <f t="shared" si="250"/>
        <v/>
      </c>
      <c r="AE93" s="632" t="str">
        <f t="shared" si="251"/>
        <v/>
      </c>
      <c r="AF93" s="596">
        <f t="shared" ca="1" si="251"/>
        <v>37.959183673469376</v>
      </c>
      <c r="AG93" s="625" t="str">
        <f t="shared" si="252"/>
        <v/>
      </c>
      <c r="AH93" s="600"/>
      <c r="AI93" s="623" t="str">
        <f t="shared" si="253"/>
        <v/>
      </c>
      <c r="AJ93" s="622" t="str">
        <f t="shared" si="254"/>
        <v/>
      </c>
      <c r="AK93" s="632" t="str">
        <f t="shared" si="255"/>
        <v/>
      </c>
      <c r="AL93" s="596">
        <f t="shared" ca="1" si="255"/>
        <v>-31.632149901380657</v>
      </c>
      <c r="AM93" s="625" t="str">
        <f t="shared" si="256"/>
        <v/>
      </c>
      <c r="AN93" s="600"/>
      <c r="AO93" s="623" t="str">
        <f t="shared" si="257"/>
        <v/>
      </c>
      <c r="AP93" s="622" t="str">
        <f t="shared" si="258"/>
        <v/>
      </c>
      <c r="AQ93" s="632" t="str">
        <f t="shared" si="259"/>
        <v/>
      </c>
      <c r="AR93" s="596">
        <f t="shared" ca="1" si="259"/>
        <v>-1.6828945786753313</v>
      </c>
      <c r="AS93" s="625" t="str">
        <f t="shared" si="260"/>
        <v/>
      </c>
      <c r="AT93" s="600"/>
      <c r="AU93" s="623" t="str">
        <f t="shared" si="261"/>
        <v/>
      </c>
      <c r="AV93" s="622" t="str">
        <f t="shared" si="262"/>
        <v/>
      </c>
      <c r="AW93" s="632" t="str">
        <f t="shared" si="263"/>
        <v/>
      </c>
      <c r="AX93" s="596">
        <f t="shared" ca="1" si="263"/>
        <v>4.9639320210294713</v>
      </c>
      <c r="AY93" s="625" t="str">
        <f t="shared" si="264"/>
        <v/>
      </c>
      <c r="AZ93" s="600"/>
      <c r="BA93" s="623" t="str">
        <f t="shared" si="265"/>
        <v/>
      </c>
      <c r="BB93" s="622" t="str">
        <f t="shared" si="266"/>
        <v/>
      </c>
      <c r="BC93" s="632" t="str">
        <f t="shared" si="267"/>
        <v/>
      </c>
      <c r="BD93" s="596">
        <f t="shared" ca="1" si="267"/>
        <v>11.904484566103646</v>
      </c>
      <c r="BE93" s="625" t="str">
        <f t="shared" si="268"/>
        <v/>
      </c>
      <c r="BF93" s="600"/>
      <c r="BG93" s="623" t="str">
        <f t="shared" si="269"/>
        <v/>
      </c>
      <c r="BH93" s="622" t="str">
        <f t="shared" si="270"/>
        <v/>
      </c>
      <c r="BI93" s="632" t="str">
        <f t="shared" si="271"/>
        <v/>
      </c>
      <c r="BJ93" s="596">
        <f t="shared" ca="1" si="271"/>
        <v>-16.779431664411359</v>
      </c>
      <c r="BK93" s="625" t="str">
        <f t="shared" si="272"/>
        <v/>
      </c>
      <c r="BL93" s="600"/>
      <c r="BM93" s="623" t="str">
        <f t="shared" si="273"/>
        <v/>
      </c>
      <c r="BN93" s="622" t="str">
        <f t="shared" si="274"/>
        <v/>
      </c>
      <c r="BO93" s="632" t="str">
        <f t="shared" si="275"/>
        <v/>
      </c>
      <c r="BP93" s="596">
        <f t="shared" ca="1" si="275"/>
        <v>73.595997498436503</v>
      </c>
      <c r="BQ93" s="625" t="str">
        <f t="shared" si="276"/>
        <v/>
      </c>
      <c r="BR93" s="600"/>
      <c r="BS93" s="623" t="str">
        <f t="shared" si="277"/>
        <v/>
      </c>
      <c r="BT93" s="622" t="str">
        <f t="shared" si="278"/>
        <v/>
      </c>
      <c r="BU93" s="632" t="str">
        <f t="shared" si="279"/>
        <v/>
      </c>
      <c r="BV93" s="596">
        <f t="shared" ca="1" si="279"/>
        <v>-40.550471936018454</v>
      </c>
      <c r="BW93" s="625" t="str">
        <f t="shared" si="280"/>
        <v/>
      </c>
      <c r="BX93" s="600"/>
      <c r="BY93" s="623" t="str">
        <f t="shared" si="281"/>
        <v/>
      </c>
      <c r="BZ93" s="622" t="str">
        <f t="shared" si="282"/>
        <v/>
      </c>
      <c r="CA93" s="632" t="str">
        <f t="shared" si="283"/>
        <v/>
      </c>
      <c r="CB93" s="596">
        <f t="shared" ca="1" si="283"/>
        <v>12.495455096351971</v>
      </c>
      <c r="CC93" s="625" t="str">
        <f t="shared" si="284"/>
        <v/>
      </c>
      <c r="CD93" s="600"/>
      <c r="CE93" s="623" t="str">
        <f t="shared" si="285"/>
        <v/>
      </c>
      <c r="CF93" s="622" t="str">
        <f t="shared" si="286"/>
        <v/>
      </c>
      <c r="CG93" s="632" t="str">
        <f t="shared" si="287"/>
        <v/>
      </c>
      <c r="CH93" s="596">
        <f t="shared" ca="1" si="287"/>
        <v>15.179918121094605</v>
      </c>
      <c r="CI93" s="625" t="str">
        <f t="shared" si="288"/>
        <v/>
      </c>
      <c r="CJ93" s="600"/>
      <c r="CK93" s="623" t="str">
        <f t="shared" si="289"/>
        <v/>
      </c>
      <c r="CL93" s="622" t="str">
        <f t="shared" si="290"/>
        <v/>
      </c>
      <c r="CM93" s="632" t="str">
        <f t="shared" si="291"/>
        <v/>
      </c>
      <c r="CN93" s="596">
        <f t="shared" ca="1" si="37"/>
        <v>-14.647834627256573</v>
      </c>
      <c r="CO93" s="625" t="str">
        <f t="shared" si="292"/>
        <v/>
      </c>
      <c r="CP93" s="600"/>
      <c r="CQ93" s="623" t="str">
        <f t="shared" si="293"/>
        <v/>
      </c>
      <c r="CR93" s="622" t="str">
        <f t="shared" si="294"/>
        <v/>
      </c>
      <c r="CS93" s="632" t="str">
        <f t="shared" si="295"/>
        <v/>
      </c>
      <c r="CT93" s="596">
        <f t="shared" ca="1" si="42"/>
        <v>-4.5260273972602789</v>
      </c>
      <c r="CU93" s="625" t="str">
        <f t="shared" si="296"/>
        <v/>
      </c>
      <c r="CV93" s="600"/>
      <c r="CW93" s="623" t="str">
        <f t="shared" si="297"/>
        <v/>
      </c>
      <c r="CX93" s="622" t="str">
        <f t="shared" si="298"/>
        <v/>
      </c>
      <c r="CY93" s="632" t="str">
        <f t="shared" si="299"/>
        <v/>
      </c>
      <c r="CZ93" s="596">
        <f t="shared" ca="1" si="47"/>
        <v>30.716253443526178</v>
      </c>
      <c r="DA93" s="625" t="str">
        <f t="shared" si="300"/>
        <v/>
      </c>
      <c r="DB93" s="600"/>
      <c r="DC93" s="623" t="str">
        <f t="shared" si="301"/>
        <v/>
      </c>
      <c r="DD93" s="622" t="str">
        <f t="shared" si="302"/>
        <v/>
      </c>
      <c r="DE93" s="632" t="str">
        <f t="shared" si="303"/>
        <v/>
      </c>
      <c r="DF93" s="596">
        <f t="shared" ca="1" si="52"/>
        <v>-6.9546891464699723</v>
      </c>
      <c r="DG93" s="625" t="str">
        <f t="shared" si="304"/>
        <v/>
      </c>
      <c r="DH93" s="600"/>
      <c r="DI93" s="623" t="str">
        <f t="shared" si="305"/>
        <v/>
      </c>
      <c r="DJ93" s="622" t="str">
        <f t="shared" si="306"/>
        <v/>
      </c>
      <c r="DK93" s="632" t="str">
        <f t="shared" si="307"/>
        <v/>
      </c>
      <c r="DL93" s="596">
        <f t="shared" ca="1" si="57"/>
        <v>-6.9365798414495972</v>
      </c>
      <c r="DM93" s="625" t="str">
        <f t="shared" si="308"/>
        <v/>
      </c>
      <c r="DN93" s="600"/>
      <c r="DO93" s="623" t="str">
        <f t="shared" si="309"/>
        <v/>
      </c>
      <c r="DP93" s="622" t="str">
        <f t="shared" si="310"/>
        <v/>
      </c>
      <c r="DQ93" s="632" t="str">
        <f t="shared" si="311"/>
        <v/>
      </c>
      <c r="DR93" s="596">
        <f t="shared" ca="1" si="62"/>
        <v>7.5144508670520249</v>
      </c>
      <c r="DS93" s="625" t="str">
        <f t="shared" si="312"/>
        <v/>
      </c>
      <c r="DT93" s="600"/>
      <c r="DU93" s="623" t="str">
        <f t="shared" si="313"/>
        <v/>
      </c>
      <c r="DV93" s="622" t="str">
        <f t="shared" si="314"/>
        <v/>
      </c>
      <c r="DW93" s="632" t="str">
        <f t="shared" si="315"/>
        <v/>
      </c>
      <c r="DX93" s="596">
        <f t="shared" ca="1" si="67"/>
        <v>20.099981135634781</v>
      </c>
      <c r="DY93" s="625" t="str">
        <f t="shared" si="316"/>
        <v/>
      </c>
      <c r="DZ93" s="600"/>
      <c r="EA93" s="623" t="str">
        <f t="shared" si="317"/>
        <v/>
      </c>
      <c r="EB93" s="622" t="str">
        <f t="shared" si="318"/>
        <v/>
      </c>
      <c r="EC93" s="632" t="str">
        <f t="shared" si="319"/>
        <v/>
      </c>
      <c r="ED93" s="596">
        <f t="shared" ca="1" si="72"/>
        <v>26.23890677766434</v>
      </c>
      <c r="EE93" s="625" t="str">
        <f t="shared" si="320"/>
        <v/>
      </c>
      <c r="EF93" s="600"/>
      <c r="EG93" s="623" t="str">
        <f t="shared" si="321"/>
        <v/>
      </c>
      <c r="EH93" s="622" t="str">
        <f t="shared" si="322"/>
        <v/>
      </c>
      <c r="EI93" s="632" t="str">
        <f t="shared" si="323"/>
        <v/>
      </c>
      <c r="EJ93" s="596">
        <f t="shared" ca="1" si="77"/>
        <v>-37.657085977354733</v>
      </c>
      <c r="EK93" s="625" t="str">
        <f t="shared" si="324"/>
        <v/>
      </c>
      <c r="EL93" s="600"/>
      <c r="EM93" s="623" t="str">
        <f t="shared" si="325"/>
        <v/>
      </c>
      <c r="EN93" s="622" t="str">
        <f t="shared" si="326"/>
        <v/>
      </c>
      <c r="EO93" s="632" t="str">
        <f t="shared" si="327"/>
        <v/>
      </c>
      <c r="EP93" s="596">
        <f t="shared" ca="1" si="82"/>
        <v>36.724189093893877</v>
      </c>
      <c r="EQ93" s="625" t="str">
        <f t="shared" si="328"/>
        <v/>
      </c>
      <c r="ER93" s="600"/>
      <c r="ES93" s="623" t="str">
        <f t="shared" si="329"/>
        <v/>
      </c>
      <c r="ET93" s="622" t="str">
        <f t="shared" si="330"/>
        <v/>
      </c>
      <c r="EU93" s="632" t="str">
        <f t="shared" si="331"/>
        <v/>
      </c>
      <c r="EV93" s="596">
        <f t="shared" ca="1" si="87"/>
        <v>40.358887434038635</v>
      </c>
      <c r="EW93" s="625" t="str">
        <f t="shared" si="332"/>
        <v/>
      </c>
      <c r="EX93" s="600"/>
      <c r="EY93" s="623" t="str">
        <f t="shared" si="333"/>
        <v/>
      </c>
      <c r="EZ93" s="622" t="str">
        <f t="shared" si="334"/>
        <v/>
      </c>
      <c r="FA93" s="632" t="str">
        <f t="shared" si="335"/>
        <v/>
      </c>
      <c r="FB93" s="596">
        <f t="shared" ca="1" si="92"/>
        <v>3.499999999999992</v>
      </c>
      <c r="FC93" s="625" t="str">
        <f t="shared" si="336"/>
        <v/>
      </c>
      <c r="FD93" s="600"/>
    </row>
    <row r="94" spans="2:160" ht="13.15">
      <c r="B94" s="555" t="s">
        <v>301</v>
      </c>
      <c r="C94" s="3855" t="s">
        <v>1340</v>
      </c>
      <c r="D94" s="3856"/>
      <c r="E94" s="623"/>
      <c r="F94" s="620"/>
      <c r="G94" s="620"/>
      <c r="H94" s="620"/>
      <c r="I94" s="620"/>
      <c r="J94" s="563"/>
      <c r="K94" s="623" t="str">
        <f t="shared" ca="1" si="240"/>
        <v>N</v>
      </c>
      <c r="L94" s="620">
        <f t="shared" ca="1" si="240"/>
        <v>7.3598130841121545</v>
      </c>
      <c r="M94" s="620">
        <f t="shared" ca="1" si="240"/>
        <v>51293.75</v>
      </c>
      <c r="N94" s="620">
        <f t="shared" ca="1" si="240"/>
        <v>948.39449541284398</v>
      </c>
      <c r="O94" s="620" t="str">
        <f t="shared" ca="1" si="240"/>
        <v>N</v>
      </c>
      <c r="P94" s="563" t="str">
        <f ca="1">IF(ROUND(P45,2)=0,"ok","!")</f>
        <v>ok</v>
      </c>
      <c r="Q94" s="623" t="str">
        <f t="shared" ca="1" si="241"/>
        <v>N</v>
      </c>
      <c r="R94" s="620">
        <f t="shared" ca="1" si="242"/>
        <v>-5.0054406964091473</v>
      </c>
      <c r="S94" s="620">
        <f t="shared" ca="1" si="243"/>
        <v>-132.34829137784263</v>
      </c>
      <c r="T94" s="620">
        <f ca="1">IF(T45="","",IF(N45=0,"N",(T45/N45-1)*100))</f>
        <v>-119.54714504484795</v>
      </c>
      <c r="U94" s="620" t="str">
        <f t="shared" ca="1" si="244"/>
        <v>N</v>
      </c>
      <c r="V94" s="563" t="str">
        <f ca="1">IF(ROUND(V45,2)=0,"ok","!")</f>
        <v>ok</v>
      </c>
      <c r="W94" s="623" t="str">
        <f t="shared" ca="1" si="245"/>
        <v>N</v>
      </c>
      <c r="X94" s="620">
        <f t="shared" ca="1" si="246"/>
        <v>33.791523482245125</v>
      </c>
      <c r="Y94" s="620">
        <f t="shared" ca="1" si="247"/>
        <v>-741.57894736842093</v>
      </c>
      <c r="Z94" s="620">
        <f ca="1">IF(Z45="","",IF(T45=0,"N",(Z45/T45-1)*100))</f>
        <v>-1209.2333519865697</v>
      </c>
      <c r="AA94" s="620" t="str">
        <f t="shared" ca="1" si="248"/>
        <v>N</v>
      </c>
      <c r="AB94" s="563" t="str">
        <f ca="1">IF(ROUND(AB45,2)=0,"ok","!")</f>
        <v>ok</v>
      </c>
      <c r="AC94" s="623">
        <f t="shared" ca="1" si="249"/>
        <v>-1571.1586901763217</v>
      </c>
      <c r="AD94" s="620">
        <f t="shared" ca="1" si="250"/>
        <v>29.965753424657549</v>
      </c>
      <c r="AE94" s="620">
        <f t="shared" ca="1" si="251"/>
        <v>58.590179303879061</v>
      </c>
      <c r="AF94" s="620">
        <f ca="1">IF(AF45="","",IF(Z45=0,"N",(AF45/Z45-1)*100))</f>
        <v>-73.660579154474831</v>
      </c>
      <c r="AG94" s="620">
        <f t="shared" ca="1" si="252"/>
        <v>-1571.1586901763224</v>
      </c>
      <c r="AH94" s="563" t="str">
        <f ca="1">IF(ROUND(AH45,2)=0,"ok","!")</f>
        <v>ok</v>
      </c>
      <c r="AI94" s="623">
        <f t="shared" ca="1" si="253"/>
        <v>-91.610307336700629</v>
      </c>
      <c r="AJ94" s="620">
        <f t="shared" ca="1" si="254"/>
        <v>43.148880105401858</v>
      </c>
      <c r="AK94" s="620">
        <f t="shared" ca="1" si="255"/>
        <v>-78.706816922224277</v>
      </c>
      <c r="AL94" s="620">
        <f ca="1">IF(AL45="","",IF(AF45=0,"N",(AL45/AF45-1)*100))</f>
        <v>14.460831258379624</v>
      </c>
      <c r="AM94" s="620">
        <f t="shared" ca="1" si="256"/>
        <v>-91.610307336700629</v>
      </c>
      <c r="AN94" s="563" t="str">
        <f ca="1">IF(ROUND(AN45,2)=0,"ok","!")</f>
        <v>ok</v>
      </c>
      <c r="AO94" s="623">
        <f t="shared" ca="1" si="257"/>
        <v>-131.68367346938774</v>
      </c>
      <c r="AP94" s="620">
        <f t="shared" ca="1" si="258"/>
        <v>11.826967326277039</v>
      </c>
      <c r="AQ94" s="620">
        <f t="shared" ca="1" si="259"/>
        <v>-68.592746833246565</v>
      </c>
      <c r="AR94" s="620">
        <f ca="1">IF(AR45="","",IF(AL45=0,"N",(AR45/AL45-1)*100))</f>
        <v>-18.657965194109771</v>
      </c>
      <c r="AS94" s="620">
        <f t="shared" ca="1" si="260"/>
        <v>-131.68367346938777</v>
      </c>
      <c r="AT94" s="563" t="str">
        <f ca="1">IF(ROUND(AT45,2)=0,"ok","!")</f>
        <v>ok</v>
      </c>
      <c r="AU94" s="623">
        <f t="shared" ca="1" si="261"/>
        <v>-9.0177133655393931</v>
      </c>
      <c r="AV94" s="620">
        <f t="shared" ca="1" si="262"/>
        <v>-4.3621399176954849</v>
      </c>
      <c r="AW94" s="620">
        <f t="shared" ca="1" si="263"/>
        <v>-111.87845303867402</v>
      </c>
      <c r="AX94" s="620">
        <f ca="1">IF(AX45="","",IF(AR45=0,"N",(AX45/AR45-1)*100))</f>
        <v>-44.990742645546177</v>
      </c>
      <c r="AY94" s="620">
        <f t="shared" ca="1" si="264"/>
        <v>-9.0177133655394588</v>
      </c>
      <c r="AZ94" s="563" t="str">
        <f ca="1">IF(ROUND(AZ45,2)=0,"ok","!")</f>
        <v>ok</v>
      </c>
      <c r="BA94" s="623">
        <f t="shared" ca="1" si="265"/>
        <v>-49.20353982300886</v>
      </c>
      <c r="BB94" s="620">
        <f t="shared" ca="1" si="266"/>
        <v>29.475043029259894</v>
      </c>
      <c r="BC94" s="620">
        <f t="shared" ca="1" si="267"/>
        <v>-300</v>
      </c>
      <c r="BD94" s="620">
        <f ca="1">IF(BD45="","",IF(AX45=0,"N",(BD45/AX45-1)*100))</f>
        <v>39.34181002243831</v>
      </c>
      <c r="BE94" s="620">
        <f t="shared" ca="1" si="268"/>
        <v>-49.203539823008846</v>
      </c>
      <c r="BF94" s="563" t="str">
        <f ca="1">IF(ROUND(BF45,2)=0,"ok","!")</f>
        <v>ok</v>
      </c>
      <c r="BG94" s="623">
        <f t="shared" ca="1" si="269"/>
        <v>-135.8885017421602</v>
      </c>
      <c r="BH94" s="620">
        <f t="shared" ca="1" si="270"/>
        <v>27.351279494848789</v>
      </c>
      <c r="BI94" s="620">
        <f t="shared" ca="1" si="271"/>
        <v>234.6511627906977</v>
      </c>
      <c r="BJ94" s="620">
        <f ca="1">IF(BJ45="","",IF(BD45=0,"N",(BJ45/BD45-1)*100))</f>
        <v>38.701019860440141</v>
      </c>
      <c r="BK94" s="620">
        <f t="shared" ca="1" si="272"/>
        <v>-135.88850174216026</v>
      </c>
      <c r="BL94" s="563" t="str">
        <f ca="1">IF(ROUND(BL45,2)=0,"ok","!")</f>
        <v>ok</v>
      </c>
      <c r="BM94" s="623">
        <f t="shared" ca="1" si="273"/>
        <v>159.22330097087558</v>
      </c>
      <c r="BN94" s="620">
        <f t="shared" ca="1" si="274"/>
        <v>16.831941544885186</v>
      </c>
      <c r="BO94" s="620">
        <f t="shared" ca="1" si="275"/>
        <v>73.662265462126484</v>
      </c>
      <c r="BP94" s="620">
        <f ca="1">IF(BP45="","",IF(BJ45=0,"N",(BP45/BJ45-1)*100))</f>
        <v>29.818111455108355</v>
      </c>
      <c r="BQ94" s="620">
        <f t="shared" ca="1" si="276"/>
        <v>159.22330097087379</v>
      </c>
      <c r="BR94" s="563" t="str">
        <f ca="1">IF(ROUND(BR45,2)=0,"ok","!")</f>
        <v>ok</v>
      </c>
      <c r="BS94" s="623">
        <f t="shared" ca="1" si="277"/>
        <v>5664.7940074906091</v>
      </c>
      <c r="BT94" s="620">
        <f t="shared" ca="1" si="278"/>
        <v>17.846772392226917</v>
      </c>
      <c r="BU94" s="620">
        <f t="shared" ca="1" si="279"/>
        <v>552.50100040016014</v>
      </c>
      <c r="BV94" s="620">
        <f ca="1">IF(BV45="","",IF(BP45=0,"N",(BV45/BP45-1)*100))</f>
        <v>-7.7358771799075798</v>
      </c>
      <c r="BW94" s="620">
        <f t="shared" ca="1" si="280"/>
        <v>5664.7940074906355</v>
      </c>
      <c r="BX94" s="563" t="str">
        <f ca="1">IF(ROUND(BX45,2)=0,"ok","!")</f>
        <v>ok</v>
      </c>
      <c r="BY94" s="623">
        <f t="shared" ca="1" si="281"/>
        <v>-104.37240124740126</v>
      </c>
      <c r="BZ94" s="620">
        <f t="shared" ca="1" si="282"/>
        <v>9.0219863532979616</v>
      </c>
      <c r="CA94" s="620">
        <f t="shared" ca="1" si="283"/>
        <v>-102.02379492211455</v>
      </c>
      <c r="CB94" s="620">
        <f ca="1">IF(CB45="","",IF(BV45=0,"N",(CB45/BV45-1)*100))</f>
        <v>-1.5347334410339308</v>
      </c>
      <c r="CC94" s="620">
        <f t="shared" ca="1" si="284"/>
        <v>-104.37240124740126</v>
      </c>
      <c r="CD94" s="563" t="str">
        <f ca="1">IF(ROUND(CD45,2)=0,"ok","!")</f>
        <v>ok</v>
      </c>
      <c r="CE94" s="623">
        <f t="shared" ca="1" si="285"/>
        <v>-374.7399702823181</v>
      </c>
      <c r="CF94" s="620">
        <f t="shared" ca="1" si="286"/>
        <v>17.628650904033382</v>
      </c>
      <c r="CG94" s="620">
        <f t="shared" ca="1" si="287"/>
        <v>-890</v>
      </c>
      <c r="CH94" s="620">
        <f ca="1">IF(CH45="","",IF(CB45=0,"N",(CH45/CB45-1)*100))</f>
        <v>23.44544708777687</v>
      </c>
      <c r="CI94" s="620">
        <f t="shared" ca="1" si="288"/>
        <v>-374.73997028231798</v>
      </c>
      <c r="CJ94" s="563" t="str">
        <f ca="1">IF(ROUND(CJ45,2)=0,"ok","!")</f>
        <v>ok</v>
      </c>
      <c r="CK94" s="623">
        <f t="shared" ca="1" si="289"/>
        <v>-55.759870200108217</v>
      </c>
      <c r="CL94" s="620">
        <f t="shared" ca="1" si="290"/>
        <v>-29.071829736919884</v>
      </c>
      <c r="CM94" s="620">
        <f t="shared" ca="1" si="291"/>
        <v>10.625239739163783</v>
      </c>
      <c r="CN94" s="620">
        <f ca="1">IF(CN45="","",IF(CH45=0,"N",(CN45/CH45-1)*100))</f>
        <v>-8.7586390217969097</v>
      </c>
      <c r="CO94" s="620">
        <f t="shared" ca="1" si="292"/>
        <v>-55.759870200108175</v>
      </c>
      <c r="CP94" s="563" t="str">
        <f ca="1">IF(ROUND(CP45,2)=0,"ok","!")</f>
        <v>ok</v>
      </c>
      <c r="CQ94" s="623">
        <f t="shared" ca="1" si="293"/>
        <v>82.029339853300925</v>
      </c>
      <c r="CR94" s="620">
        <f t="shared" ca="1" si="294"/>
        <v>15.774119608251702</v>
      </c>
      <c r="CS94" s="620">
        <f t="shared" ca="1" si="295"/>
        <v>-0.41608876560332853</v>
      </c>
      <c r="CT94" s="620">
        <f ca="1">IF(CT45="","",IF(CN45=0,"N",(CT45/CN45-1)*100))</f>
        <v>1.077931536780774</v>
      </c>
      <c r="CU94" s="620">
        <f t="shared" ca="1" si="296"/>
        <v>82.029339853300769</v>
      </c>
      <c r="CV94" s="563" t="str">
        <f ca="1">IF(ROUND(CV45,2)=0,"ok","!")</f>
        <v>ok</v>
      </c>
      <c r="CW94" s="623">
        <f t="shared" ca="1" si="297"/>
        <v>24.445936870382745</v>
      </c>
      <c r="CX94" s="620">
        <f t="shared" ca="1" si="298"/>
        <v>7.5233981281497497</v>
      </c>
      <c r="CY94" s="620">
        <f t="shared" ca="1" si="299"/>
        <v>-194.70752089136491</v>
      </c>
      <c r="CZ94" s="620">
        <f ca="1">IF(CZ45="","",IF(CT45=0,"N",(CZ45/CT45-1)*100))</f>
        <v>-79.809770860354519</v>
      </c>
      <c r="DA94" s="620">
        <f t="shared" ca="1" si="300"/>
        <v>24.445936870382788</v>
      </c>
      <c r="DB94" s="563" t="str">
        <f ca="1">IF(ROUND(DB45,2)=0,"ok","!")</f>
        <v>ok</v>
      </c>
      <c r="DC94" s="623">
        <f t="shared" ca="1" si="301"/>
        <v>-22.072315164597921</v>
      </c>
      <c r="DD94" s="620">
        <f t="shared" ca="1" si="302"/>
        <v>-26.21359223300971</v>
      </c>
      <c r="DE94" s="620">
        <f t="shared" ca="1" si="303"/>
        <v>-101.76470588235293</v>
      </c>
      <c r="DF94" s="620">
        <f ca="1">IF(DF45="","",IF(CZ45=0,"N",(DF45/CZ45-1)*100))</f>
        <v>114.98929336188435</v>
      </c>
      <c r="DG94" s="620">
        <f t="shared" ca="1" si="304"/>
        <v>-22.072315164597956</v>
      </c>
      <c r="DH94" s="563" t="str">
        <f ca="1">IF(ROUND(DH45,2)=0,"ok","!")</f>
        <v>ok</v>
      </c>
      <c r="DI94" s="623">
        <f t="shared" ca="1" si="305"/>
        <v>240.99722991689737</v>
      </c>
      <c r="DJ94" s="620">
        <f t="shared" ca="1" si="306"/>
        <v>0.5671506352086908</v>
      </c>
      <c r="DK94" s="620">
        <f t="shared" ca="1" si="307"/>
        <v>5429.1666666666661</v>
      </c>
      <c r="DL94" s="620">
        <f ca="1">IF(DL45="","",IF(DF45=0,"N",(DL45/DF45-1)*100))</f>
        <v>-28.187250996015944</v>
      </c>
      <c r="DM94" s="620">
        <f t="shared" ca="1" si="308"/>
        <v>240.99722991689757</v>
      </c>
      <c r="DN94" s="563" t="str">
        <f ca="1">IF(ROUND(DN45,2)=0,"ok","!")</f>
        <v>ok</v>
      </c>
      <c r="DO94" s="623">
        <f t="shared" ca="1" si="309"/>
        <v>-61.251015434606003</v>
      </c>
      <c r="DP94" s="620">
        <f t="shared" ca="1" si="310"/>
        <v>26.054590570719615</v>
      </c>
      <c r="DQ94" s="620">
        <f t="shared" ca="1" si="311"/>
        <v>-123.05953278070835</v>
      </c>
      <c r="DR94" s="620">
        <f ca="1">IF(DR45="","",IF(DL45=0,"N",(DR45/DL45-1)*100))</f>
        <v>41.840036985668071</v>
      </c>
      <c r="DS94" s="620">
        <f t="shared" ca="1" si="312"/>
        <v>-61.251015434606018</v>
      </c>
      <c r="DT94" s="563" t="str">
        <f ca="1">IF(ROUND(DT45,2)=0,"ok","!")</f>
        <v>ok</v>
      </c>
      <c r="DU94" s="623">
        <f t="shared" ca="1" si="313"/>
        <v>126.20545073375267</v>
      </c>
      <c r="DV94" s="620">
        <f t="shared" ca="1" si="314"/>
        <v>28.382247673586257</v>
      </c>
      <c r="DW94" s="620">
        <f t="shared" ca="1" si="315"/>
        <v>109.31372549019609</v>
      </c>
      <c r="DX94" s="620">
        <f ca="1">IF(DX45="","",IF(DR45=0,"N",(DX45/DR45-1)*100))</f>
        <v>-48.598435462842247</v>
      </c>
      <c r="DY94" s="620">
        <f t="shared" ca="1" si="316"/>
        <v>126.20545073375263</v>
      </c>
      <c r="DZ94" s="563" t="str">
        <f ca="1">IF(ROUND(DZ45,2)=0,"ok","!")</f>
        <v>ok</v>
      </c>
      <c r="EA94" s="623">
        <f t="shared" ca="1" si="317"/>
        <v>-54.240037071362366</v>
      </c>
      <c r="EB94" s="620">
        <f t="shared" ca="1" si="318"/>
        <v>22.86032896570951</v>
      </c>
      <c r="EC94" s="620">
        <f t="shared" ca="1" si="319"/>
        <v>-126.9320843091335</v>
      </c>
      <c r="ED94" s="620">
        <f ca="1">IF(ED45="","",IF(DX45=0,"N",(ED45/DX45-1)*100))</f>
        <v>355.54850982878889</v>
      </c>
      <c r="EE94" s="620">
        <f t="shared" ca="1" si="320"/>
        <v>-54.240037071362366</v>
      </c>
      <c r="EF94" s="563" t="str">
        <f ca="1">IF(ROUND(EF45,2)=0,"ok","!")</f>
        <v>ok</v>
      </c>
      <c r="EG94" s="623">
        <f t="shared" ca="1" si="321"/>
        <v>105.8734177215189</v>
      </c>
      <c r="EH94" s="620">
        <f t="shared" ca="1" si="322"/>
        <v>14.250056727932847</v>
      </c>
      <c r="EI94" s="620">
        <f t="shared" ca="1" si="323"/>
        <v>-154.49275362318841</v>
      </c>
      <c r="EJ94" s="620">
        <f ca="1">IF(EJ45="","",IF(ED45=0,"N",(EJ45/ED45-1)*100))</f>
        <v>-19.042316258351899</v>
      </c>
      <c r="EK94" s="620">
        <f t="shared" ca="1" si="324"/>
        <v>105.87341772151899</v>
      </c>
      <c r="EL94" s="563" t="str">
        <f ca="1">IF(ROUND(EL45,2)=0,"ok","!")</f>
        <v>ok</v>
      </c>
      <c r="EM94" s="623">
        <f t="shared" ca="1" si="325"/>
        <v>-7.0061436527882881</v>
      </c>
      <c r="EN94" s="620">
        <f t="shared" ca="1" si="326"/>
        <v>0</v>
      </c>
      <c r="EO94" s="620">
        <f t="shared" ca="1" si="327"/>
        <v>0</v>
      </c>
      <c r="EP94" s="620">
        <f ca="1">IF(EP45="","",IF(EJ45=0,"N",(EP45/EJ45-1)*100))</f>
        <v>4.8980364670283993</v>
      </c>
      <c r="EQ94" s="620">
        <f t="shared" ca="1" si="328"/>
        <v>-7.0061436527882881</v>
      </c>
      <c r="ER94" s="563" t="str">
        <f ca="1">IF(ROUND(ER45,2)=0,"ok","!")</f>
        <v>ok</v>
      </c>
      <c r="ES94" s="623">
        <f t="shared" ca="1" si="329"/>
        <v>-6.1011032957169249</v>
      </c>
      <c r="ET94" s="620">
        <f t="shared" ca="1" si="330"/>
        <v>0</v>
      </c>
      <c r="EU94" s="620">
        <f t="shared" ca="1" si="331"/>
        <v>0</v>
      </c>
      <c r="EV94" s="620">
        <f ca="1">IF(EV45="","",IF(EP45=0,"N",(EV45/EP45-1)*100))</f>
        <v>3.7812749119215061</v>
      </c>
      <c r="EW94" s="620">
        <f t="shared" ca="1" si="332"/>
        <v>-6.1011032957169249</v>
      </c>
      <c r="EX94" s="563" t="str">
        <f ca="1">IF(ROUND(EX45,2)=0,"ok","!")</f>
        <v>ok</v>
      </c>
      <c r="EY94" s="623">
        <f t="shared" ca="1" si="333"/>
        <v>-6.322152788226032</v>
      </c>
      <c r="EZ94" s="620">
        <f t="shared" ca="1" si="334"/>
        <v>0</v>
      </c>
      <c r="FA94" s="620">
        <f t="shared" ca="1" si="335"/>
        <v>0</v>
      </c>
      <c r="FB94" s="620">
        <f ca="1">IF(FB45="","",IF(EV45=0,"N",(FB45/EV45-1)*100))</f>
        <v>3.5451641625984909</v>
      </c>
      <c r="FC94" s="620">
        <f t="shared" ca="1" si="336"/>
        <v>-6.322152788226032</v>
      </c>
      <c r="FD94" s="563" t="str">
        <f ca="1">IF(ROUND(FD45,2)=0,"ok","!")</f>
        <v>ok</v>
      </c>
    </row>
    <row r="95" spans="2:160" ht="13.15">
      <c r="B95" s="555" t="s">
        <v>301</v>
      </c>
      <c r="C95" s="3855" t="s">
        <v>1341</v>
      </c>
      <c r="D95" s="3856"/>
      <c r="E95" s="623"/>
      <c r="F95" s="620"/>
      <c r="G95" s="620"/>
      <c r="H95" s="620"/>
      <c r="I95" s="622"/>
      <c r="J95" s="567"/>
      <c r="K95" s="623">
        <f t="shared" ca="1" si="240"/>
        <v>5.3320488500537166</v>
      </c>
      <c r="L95" s="620">
        <f t="shared" ca="1" si="240"/>
        <v>5.5082146022223721</v>
      </c>
      <c r="M95" s="620">
        <f t="shared" ca="1" si="240"/>
        <v>7.8724356001690809</v>
      </c>
      <c r="N95" s="620">
        <f t="shared" ca="1" si="240"/>
        <v>-1.1343858776727944</v>
      </c>
      <c r="O95" s="622" t="str">
        <f t="shared" si="240"/>
        <v/>
      </c>
      <c r="P95" s="567"/>
      <c r="Q95" s="623">
        <f t="shared" ca="1" si="241"/>
        <v>3.0998630675439287</v>
      </c>
      <c r="R95" s="620">
        <f t="shared" ca="1" si="242"/>
        <v>6.8811785229695666</v>
      </c>
      <c r="S95" s="620">
        <f t="shared" ca="1" si="243"/>
        <v>6.6279635998417463</v>
      </c>
      <c r="T95" s="620">
        <f ca="1">IF(T46="","",IF(N46=0,"N",(T46/N46-1)*100))</f>
        <v>-7.844246749028116</v>
      </c>
      <c r="U95" s="622" t="str">
        <f t="shared" si="244"/>
        <v/>
      </c>
      <c r="V95" s="567"/>
      <c r="W95" s="623">
        <f t="shared" ca="1" si="245"/>
        <v>9.7244268132536291</v>
      </c>
      <c r="X95" s="620">
        <f t="shared" ca="1" si="246"/>
        <v>16.328134445653465</v>
      </c>
      <c r="Y95" s="620">
        <f t="shared" ca="1" si="247"/>
        <v>10.537038226332406</v>
      </c>
      <c r="Z95" s="620">
        <f ca="1">IF(Z46="","",IF(T46=0,"N",(Z46/T46-1)*100))</f>
        <v>4.650528159004863</v>
      </c>
      <c r="AA95" s="622" t="str">
        <f t="shared" si="248"/>
        <v/>
      </c>
      <c r="AB95" s="567"/>
      <c r="AC95" s="623">
        <f t="shared" ca="1" si="249"/>
        <v>9.2513864475602716</v>
      </c>
      <c r="AD95" s="620">
        <f t="shared" ca="1" si="250"/>
        <v>13.90115886296317</v>
      </c>
      <c r="AE95" s="620">
        <f t="shared" ca="1" si="251"/>
        <v>9.733676338154563</v>
      </c>
      <c r="AF95" s="620">
        <f ca="1">IF(AF46="","",IF(Z46=0,"N",(AF46/Z46-1)*100))</f>
        <v>5.6835837760900398</v>
      </c>
      <c r="AG95" s="622" t="str">
        <f t="shared" si="252"/>
        <v/>
      </c>
      <c r="AH95" s="567"/>
      <c r="AI95" s="623">
        <f t="shared" ca="1" si="253"/>
        <v>10.013074993088322</v>
      </c>
      <c r="AJ95" s="620">
        <f t="shared" ca="1" si="254"/>
        <v>12.870699881376035</v>
      </c>
      <c r="AK95" s="620">
        <f t="shared" ca="1" si="255"/>
        <v>13.568081607920778</v>
      </c>
      <c r="AL95" s="620">
        <f ca="1">IF(AL46="","",IF(AF46=0,"N",(AL46/AF46-1)*100))</f>
        <v>-3.7000863593370958</v>
      </c>
      <c r="AM95" s="622" t="str">
        <f t="shared" si="256"/>
        <v/>
      </c>
      <c r="AN95" s="567"/>
      <c r="AO95" s="623">
        <f t="shared" ca="1" si="257"/>
        <v>5.9105398107856422</v>
      </c>
      <c r="AP95" s="620">
        <f t="shared" ca="1" si="258"/>
        <v>6.2007356805044545</v>
      </c>
      <c r="AQ95" s="620">
        <f t="shared" ca="1" si="259"/>
        <v>4.9016560733914583</v>
      </c>
      <c r="AR95" s="620">
        <f ca="1">IF(AR46="","",IF(AL46=0,"N",(AR46/AL46-1)*100))</f>
        <v>9.915767222880568</v>
      </c>
      <c r="AS95" s="622" t="str">
        <f t="shared" si="260"/>
        <v/>
      </c>
      <c r="AT95" s="567"/>
      <c r="AU95" s="623">
        <f t="shared" ca="1" si="261"/>
        <v>3.9249128490848051E-3</v>
      </c>
      <c r="AV95" s="620">
        <f t="shared" ca="1" si="262"/>
        <v>13.104708255623642</v>
      </c>
      <c r="AW95" s="620">
        <f t="shared" ca="1" si="263"/>
        <v>-3.8595720200780725</v>
      </c>
      <c r="AX95" s="620">
        <f ca="1">IF(AX46="","",IF(AR46=0,"N",(AX46/AR46-1)*100))</f>
        <v>8.5161766562739771</v>
      </c>
      <c r="AY95" s="622" t="str">
        <f t="shared" si="264"/>
        <v/>
      </c>
      <c r="AZ95" s="567"/>
      <c r="BA95" s="623">
        <f t="shared" ca="1" si="265"/>
        <v>2.2108879945196058</v>
      </c>
      <c r="BB95" s="620">
        <f t="shared" ca="1" si="266"/>
        <v>12.222371786243102</v>
      </c>
      <c r="BC95" s="620">
        <f t="shared" ca="1" si="267"/>
        <v>1.1294675990723979</v>
      </c>
      <c r="BD95" s="620">
        <f ca="1">IF(BD46="","",IF(AX46=0,"N",(BD46/AX46-1)*100))</f>
        <v>0.65428507496085864</v>
      </c>
      <c r="BE95" s="622" t="str">
        <f t="shared" si="268"/>
        <v/>
      </c>
      <c r="BF95" s="567"/>
      <c r="BG95" s="623">
        <f t="shared" ca="1" si="269"/>
        <v>6.2619450306054425</v>
      </c>
      <c r="BH95" s="620">
        <f t="shared" ca="1" si="270"/>
        <v>16.333813122226239</v>
      </c>
      <c r="BI95" s="620">
        <f t="shared" ca="1" si="271"/>
        <v>5.6487677285828486</v>
      </c>
      <c r="BJ95" s="620">
        <f ca="1">IF(BJ46="","",IF(BD46=0,"N",(BJ46/BD46-1)*100))</f>
        <v>2.4356192644234165</v>
      </c>
      <c r="BK95" s="622" t="str">
        <f t="shared" si="272"/>
        <v/>
      </c>
      <c r="BL95" s="567"/>
      <c r="BM95" s="623">
        <f t="shared" ca="1" si="273"/>
        <v>6.2634893415723036</v>
      </c>
      <c r="BN95" s="620">
        <f t="shared" ca="1" si="274"/>
        <v>7.1027194226060075</v>
      </c>
      <c r="BO95" s="620">
        <f t="shared" ca="1" si="275"/>
        <v>6.8317352876842818</v>
      </c>
      <c r="BP95" s="620">
        <f ca="1">IF(BP46="","",IF(BJ46=0,"N",(BP46/BJ46-1)*100))</f>
        <v>3.6459915794956332</v>
      </c>
      <c r="BQ95" s="622" t="str">
        <f t="shared" si="276"/>
        <v/>
      </c>
      <c r="BR95" s="567"/>
      <c r="BS95" s="623">
        <f t="shared" ca="1" si="277"/>
        <v>10.756986275537251</v>
      </c>
      <c r="BT95" s="620">
        <f t="shared" ca="1" si="278"/>
        <v>14.83134980325147</v>
      </c>
      <c r="BU95" s="620">
        <f t="shared" ca="1" si="279"/>
        <v>10.959588346071891</v>
      </c>
      <c r="BV95" s="620">
        <f ca="1">IF(BV46="","",IF(BP46=0,"N",(BV46/BP46-1)*100))</f>
        <v>7.166966790904139</v>
      </c>
      <c r="BW95" s="622" t="str">
        <f t="shared" si="280"/>
        <v/>
      </c>
      <c r="BX95" s="567"/>
      <c r="BY95" s="623">
        <f t="shared" ca="1" si="281"/>
        <v>10.469353377834301</v>
      </c>
      <c r="BZ95" s="620">
        <f t="shared" ca="1" si="282"/>
        <v>12.599291597677787</v>
      </c>
      <c r="CA95" s="620">
        <f t="shared" ca="1" si="283"/>
        <v>11.32794361273497</v>
      </c>
      <c r="CB95" s="620">
        <f ca="1">IF(CB46="","",IF(BV46=0,"N",(CB46/BV46-1)*100))</f>
        <v>5.5716206077278896</v>
      </c>
      <c r="CC95" s="622" t="str">
        <f t="shared" si="284"/>
        <v/>
      </c>
      <c r="CD95" s="567"/>
      <c r="CE95" s="623">
        <f t="shared" ca="1" si="285"/>
        <v>4.5972742294922986</v>
      </c>
      <c r="CF95" s="620">
        <f t="shared" ca="1" si="286"/>
        <v>-3.5737884950069354</v>
      </c>
      <c r="CG95" s="620">
        <f t="shared" ca="1" si="287"/>
        <v>5.6161274693730556</v>
      </c>
      <c r="CH95" s="620">
        <f ca="1">IF(CH46="","",IF(CB46=0,"N",(CH46/CB46-1)*100))</f>
        <v>6.955826504097562</v>
      </c>
      <c r="CI95" s="622" t="str">
        <f t="shared" si="288"/>
        <v/>
      </c>
      <c r="CJ95" s="567"/>
      <c r="CK95" s="623">
        <f t="shared" ca="1" si="289"/>
        <v>-10.935858135675513</v>
      </c>
      <c r="CL95" s="620">
        <f t="shared" ca="1" si="290"/>
        <v>-11.382215830671072</v>
      </c>
      <c r="CM95" s="620">
        <f t="shared" ca="1" si="291"/>
        <v>-14.155485806918911</v>
      </c>
      <c r="CN95" s="620">
        <f ca="1">IF(CN46="","",IF(CH46=0,"N",(CN46/CH46-1)*100))</f>
        <v>2.3062494376267395</v>
      </c>
      <c r="CO95" s="622" t="str">
        <f t="shared" si="292"/>
        <v/>
      </c>
      <c r="CP95" s="567"/>
      <c r="CQ95" s="623">
        <f t="shared" ca="1" si="293"/>
        <v>6.7455651794201987</v>
      </c>
      <c r="CR95" s="620">
        <f t="shared" ca="1" si="294"/>
        <v>15.279471987453164</v>
      </c>
      <c r="CS95" s="620">
        <f t="shared" ca="1" si="295"/>
        <v>4.9481897552724252</v>
      </c>
      <c r="CT95" s="620">
        <f ca="1">IF(CT46="","",IF(CN46=0,"N",(CT46/CN46-1)*100))</f>
        <v>7.4975136831992639</v>
      </c>
      <c r="CU95" s="622" t="str">
        <f t="shared" si="296"/>
        <v/>
      </c>
      <c r="CV95" s="567"/>
      <c r="CW95" s="623">
        <f t="shared" ca="1" si="297"/>
        <v>5.9780599508349797</v>
      </c>
      <c r="CX95" s="620">
        <f t="shared" ca="1" si="298"/>
        <v>-2.2098351362841884</v>
      </c>
      <c r="CY95" s="620">
        <f t="shared" ca="1" si="299"/>
        <v>8.8210578301675557</v>
      </c>
      <c r="CZ95" s="620">
        <f ca="1">IF(CZ46="","",IF(CT46=0,"N",(CZ46/CT46-1)*100))</f>
        <v>2.0850771912820809</v>
      </c>
      <c r="DA95" s="622" t="str">
        <f t="shared" si="300"/>
        <v/>
      </c>
      <c r="DB95" s="567"/>
      <c r="DC95" s="623">
        <f t="shared" ca="1" si="301"/>
        <v>0.48549450312334042</v>
      </c>
      <c r="DD95" s="620">
        <f t="shared" ca="1" si="302"/>
        <v>-13.317102390199608</v>
      </c>
      <c r="DE95" s="620">
        <f t="shared" ca="1" si="303"/>
        <v>2.1407550867120095</v>
      </c>
      <c r="DF95" s="620">
        <f ca="1">IF(DF46="","",IF(CZ46=0,"N",(DF46/CZ46-1)*100))</f>
        <v>3.4918990900347557</v>
      </c>
      <c r="DG95" s="622" t="str">
        <f t="shared" si="304"/>
        <v/>
      </c>
      <c r="DH95" s="567"/>
      <c r="DI95" s="623">
        <f t="shared" ca="1" si="305"/>
        <v>0.94565947431020092</v>
      </c>
      <c r="DJ95" s="620">
        <f t="shared" ca="1" si="306"/>
        <v>2.6314616259111467</v>
      </c>
      <c r="DK95" s="620">
        <f t="shared" ca="1" si="307"/>
        <v>0.90276426348594452</v>
      </c>
      <c r="DL95" s="620">
        <f ca="1">IF(DL46="","",IF(DF46=0,"N",(DL46/DF46-1)*100))</f>
        <v>0.19300879262278414</v>
      </c>
      <c r="DM95" s="622" t="str">
        <f t="shared" si="308"/>
        <v/>
      </c>
      <c r="DN95" s="567"/>
      <c r="DO95" s="623">
        <f t="shared" ca="1" si="309"/>
        <v>7.722961362739289</v>
      </c>
      <c r="DP95" s="620">
        <f t="shared" ca="1" si="310"/>
        <v>4.5708762746652587</v>
      </c>
      <c r="DQ95" s="620">
        <f t="shared" ca="1" si="311"/>
        <v>9.5879352042914867</v>
      </c>
      <c r="DR95" s="620">
        <f ca="1">IF(DR46="","",IF(DL46=0,"N",(DR46/DL46-1)*100))</f>
        <v>2.9519834474885931</v>
      </c>
      <c r="DS95" s="622" t="str">
        <f t="shared" si="312"/>
        <v/>
      </c>
      <c r="DT95" s="567"/>
      <c r="DU95" s="623">
        <f t="shared" ca="1" si="313"/>
        <v>8.7638558552233228</v>
      </c>
      <c r="DV95" s="620">
        <f t="shared" ca="1" si="314"/>
        <v>29.627591077140369</v>
      </c>
      <c r="DW95" s="620">
        <f t="shared" ca="1" si="315"/>
        <v>7.591589196967985</v>
      </c>
      <c r="DX95" s="620">
        <f ca="1">IF(DX46="","",IF(DR46=0,"N",(DX46/DR46-1)*100))</f>
        <v>1.508457642486305</v>
      </c>
      <c r="DY95" s="622" t="str">
        <f t="shared" si="316"/>
        <v/>
      </c>
      <c r="DZ95" s="567"/>
      <c r="EA95" s="623">
        <f t="shared" ca="1" si="317"/>
        <v>5.8893720376876235</v>
      </c>
      <c r="EB95" s="620">
        <f t="shared" ca="1" si="318"/>
        <v>13.220531801539813</v>
      </c>
      <c r="EC95" s="620">
        <f t="shared" ca="1" si="319"/>
        <v>3.5968692414699577</v>
      </c>
      <c r="ED95" s="620">
        <f ca="1">IF(ED46="","",IF(DX46=0,"N",(ED46/DX46-1)*100))</f>
        <v>9.693404411471862</v>
      </c>
      <c r="EE95" s="622" t="str">
        <f t="shared" si="320"/>
        <v/>
      </c>
      <c r="EF95" s="567"/>
      <c r="EG95" s="623">
        <f t="shared" ca="1" si="321"/>
        <v>8.8409136588744062</v>
      </c>
      <c r="EH95" s="620">
        <f t="shared" ca="1" si="322"/>
        <v>9.333937151065296</v>
      </c>
      <c r="EI95" s="620">
        <f t="shared" ca="1" si="323"/>
        <v>8.7597513382545742</v>
      </c>
      <c r="EJ95" s="620">
        <f ca="1">IF(EJ46="","",IF(ED46=0,"N",(EJ46/ED46-1)*100))</f>
        <v>8.780801526915516</v>
      </c>
      <c r="EK95" s="622" t="str">
        <f t="shared" si="324"/>
        <v/>
      </c>
      <c r="EL95" s="567"/>
      <c r="EM95" s="623">
        <f t="shared" ca="1" si="325"/>
        <v>7.7163698242449286</v>
      </c>
      <c r="EN95" s="620">
        <f t="shared" ca="1" si="326"/>
        <v>6.0000000000000053</v>
      </c>
      <c r="EO95" s="620">
        <f t="shared" ca="1" si="327"/>
        <v>8.1619818301638567</v>
      </c>
      <c r="EP95" s="620">
        <f ca="1">IF(EP46="","",IF(EJ46=0,"N",(EP46/EJ46-1)*100))</f>
        <v>7.3270999999999864</v>
      </c>
      <c r="EQ95" s="622" t="str">
        <f t="shared" si="328"/>
        <v/>
      </c>
      <c r="ER95" s="567"/>
      <c r="ES95" s="623">
        <f t="shared" ca="1" si="329"/>
        <v>4.4149916183999549</v>
      </c>
      <c r="ET95" s="620">
        <f t="shared" ca="1" si="330"/>
        <v>3.0999999999999917</v>
      </c>
      <c r="EU95" s="620">
        <f t="shared" ca="1" si="331"/>
        <v>4.416214064299373</v>
      </c>
      <c r="EV95" s="620">
        <f ca="1">IF(EV46="","",IF(EP46=0,"N",(EV46/EP46-1)*100))</f>
        <v>5.3671999999999942</v>
      </c>
      <c r="EW95" s="622" t="str">
        <f t="shared" si="332"/>
        <v/>
      </c>
      <c r="EX95" s="567"/>
      <c r="EY95" s="623">
        <f t="shared" ca="1" si="333"/>
        <v>3.5513007278317854</v>
      </c>
      <c r="EZ95" s="620">
        <f t="shared" ca="1" si="334"/>
        <v>2.200000000000002</v>
      </c>
      <c r="FA95" s="620">
        <f t="shared" ca="1" si="335"/>
        <v>3.7903144328184757</v>
      </c>
      <c r="FB95" s="620">
        <f ca="1">IF(FB46="","",IF(EV46=0,"N",(FB46/EV46-1)*100))</f>
        <v>3.6274999999999835</v>
      </c>
      <c r="FC95" s="622" t="str">
        <f t="shared" si="336"/>
        <v/>
      </c>
      <c r="FD95" s="567"/>
    </row>
    <row r="96" spans="2:160" ht="13.15">
      <c r="B96" s="555" t="s">
        <v>301</v>
      </c>
      <c r="C96" s="3860" t="s">
        <v>234</v>
      </c>
      <c r="D96" s="3861"/>
      <c r="E96" s="623"/>
      <c r="F96" s="642"/>
      <c r="G96" s="642"/>
      <c r="H96" s="642"/>
      <c r="I96" s="622"/>
      <c r="J96" s="563"/>
      <c r="K96" s="623">
        <f t="shared" ca="1" si="240"/>
        <v>-65.946497287774122</v>
      </c>
      <c r="L96" s="642">
        <f t="shared" ca="1" si="240"/>
        <v>16.404387219837858</v>
      </c>
      <c r="M96" s="642">
        <f t="shared" ca="1" si="240"/>
        <v>-69.227789881384652</v>
      </c>
      <c r="N96" s="642">
        <f t="shared" ca="1" si="240"/>
        <v>22.738799661876573</v>
      </c>
      <c r="O96" s="622" t="str">
        <f t="shared" si="240"/>
        <v/>
      </c>
      <c r="P96" s="563" t="str">
        <f ca="1">IF(ROUND(P47,2)=0,"ok","!")</f>
        <v>ok</v>
      </c>
      <c r="Q96" s="623">
        <f t="shared" ca="1" si="241"/>
        <v>31.232130701157246</v>
      </c>
      <c r="R96" s="642">
        <f t="shared" ca="1" si="242"/>
        <v>-10.446538303973774</v>
      </c>
      <c r="S96" s="642">
        <f t="shared" ca="1" si="243"/>
        <v>26.746381371932017</v>
      </c>
      <c r="T96" s="642">
        <f ca="1">IF(T47="","",IF(N47=0,"N",(T47/N47-1)*100))</f>
        <v>-58.471074380165291</v>
      </c>
      <c r="U96" s="622" t="str">
        <f t="shared" si="244"/>
        <v/>
      </c>
      <c r="V96" s="563" t="str">
        <f ca="1">IF(ROUND(V47,2)=0,"ok","!")</f>
        <v>ok</v>
      </c>
      <c r="W96" s="623">
        <f t="shared" ca="1" si="245"/>
        <v>61.718020541549954</v>
      </c>
      <c r="X96" s="642">
        <f t="shared" ca="1" si="246"/>
        <v>21.820677035681602</v>
      </c>
      <c r="Y96" s="642">
        <f t="shared" ca="1" si="247"/>
        <v>60.973187686196638</v>
      </c>
      <c r="Z96" s="642">
        <f ca="1">IF(Z47="","",IF(T47=0,"N",(Z47/T47-1)*100))</f>
        <v>-92.868988391376448</v>
      </c>
      <c r="AA96" s="622" t="str">
        <f t="shared" si="248"/>
        <v/>
      </c>
      <c r="AB96" s="563" t="str">
        <f ca="1">IF(ROUND(AB47,2)=0,"ok","!")</f>
        <v>ok</v>
      </c>
      <c r="AC96" s="623">
        <f t="shared" ca="1" si="249"/>
        <v>-63.811906594816527</v>
      </c>
      <c r="AD96" s="642">
        <f t="shared" ca="1" si="250"/>
        <v>2.47840781073978</v>
      </c>
      <c r="AE96" s="642">
        <f t="shared" ca="1" si="251"/>
        <v>-71.383405305367063</v>
      </c>
      <c r="AF96" s="642">
        <f ca="1">IF(AF47="","",IF(Z47=0,"N",(AF47/Z47-1)*100))</f>
        <v>1758.1395348837211</v>
      </c>
      <c r="AG96" s="622" t="str">
        <f t="shared" si="252"/>
        <v/>
      </c>
      <c r="AH96" s="563" t="str">
        <f ca="1">IF(ROUND(AH47,2)=0,"ok","!")</f>
        <v>ok</v>
      </c>
      <c r="AI96" s="623">
        <f t="shared" ca="1" si="253"/>
        <v>177.57489806771849</v>
      </c>
      <c r="AJ96" s="642">
        <f t="shared" ca="1" si="254"/>
        <v>-9.2707951630633936</v>
      </c>
      <c r="AK96" s="642">
        <f t="shared" ca="1" si="255"/>
        <v>258.28617623282133</v>
      </c>
      <c r="AL96" s="642">
        <f ca="1">IF(AL47="","",IF(AF47=0,"N",(AL47/AF47-1)*100))</f>
        <v>-85.732165206508142</v>
      </c>
      <c r="AM96" s="622" t="str">
        <f t="shared" si="256"/>
        <v/>
      </c>
      <c r="AN96" s="563" t="str">
        <f ca="1">IF(ROUND(AN47,2)=0,"ok","!")</f>
        <v>ok</v>
      </c>
      <c r="AO96" s="623">
        <f t="shared" ca="1" si="257"/>
        <v>-55.026184697917998</v>
      </c>
      <c r="AP96" s="642">
        <f t="shared" ca="1" si="258"/>
        <v>-1.2520193861066287</v>
      </c>
      <c r="AQ96" s="642">
        <f t="shared" ca="1" si="259"/>
        <v>-65.771660649819495</v>
      </c>
      <c r="AR96" s="642">
        <f ca="1">IF(AR47="","",IF(AL47=0,"N",(AR47/AL47-1)*100))</f>
        <v>-140.35087719298244</v>
      </c>
      <c r="AS96" s="622" t="str">
        <f t="shared" si="260"/>
        <v/>
      </c>
      <c r="AT96" s="563" t="str">
        <f ca="1">IF(ROUND(AT47,2)=0,"ok","!")</f>
        <v>ok</v>
      </c>
      <c r="AU96" s="623">
        <f t="shared" ca="1" si="261"/>
        <v>-67.963646691280886</v>
      </c>
      <c r="AV96" s="642">
        <f t="shared" ca="1" si="262"/>
        <v>-7.2392638036809842</v>
      </c>
      <c r="AW96" s="642">
        <f t="shared" ca="1" si="263"/>
        <v>-97.802680729510001</v>
      </c>
      <c r="AX96" s="642">
        <f ca="1">IF(AX47="","",IF(AR47=0,"N",(AX47/AR47-1)*100))</f>
        <v>-343.47826086956525</v>
      </c>
      <c r="AY96" s="622" t="str">
        <f t="shared" si="264"/>
        <v/>
      </c>
      <c r="AZ96" s="563" t="str">
        <f ca="1">IF(ROUND(AZ47,2)=0,"ok","!")</f>
        <v>ok</v>
      </c>
      <c r="BA96" s="623">
        <f t="shared" ca="1" si="265"/>
        <v>259.75177304964541</v>
      </c>
      <c r="BB96" s="642">
        <f t="shared" ca="1" si="266"/>
        <v>17.06349206349207</v>
      </c>
      <c r="BC96" s="642">
        <f t="shared" ca="1" si="267"/>
        <v>5427.9999999999991</v>
      </c>
      <c r="BD96" s="642">
        <f ca="1">IF(BD47="","",IF(AX47=0,"N",(BD47/AX47-1)*100))</f>
        <v>-40.178571428571431</v>
      </c>
      <c r="BE96" s="622" t="str">
        <f t="shared" si="268"/>
        <v/>
      </c>
      <c r="BF96" s="563" t="str">
        <f ca="1">IF(ROUND(BF47,2)=0,"ok","!")</f>
        <v>ok</v>
      </c>
      <c r="BG96" s="623">
        <f t="shared" ca="1" si="269"/>
        <v>-109.98028585510104</v>
      </c>
      <c r="BH96" s="642">
        <f t="shared" ca="1" si="270"/>
        <v>-6.1016949152542299</v>
      </c>
      <c r="BI96" s="642">
        <f t="shared" ca="1" si="271"/>
        <v>-159.37047756874097</v>
      </c>
      <c r="BJ96" s="642">
        <f ca="1">IF(BJ47="","",IF(BD47=0,"N",(BJ47/BD47-1)*100))</f>
        <v>-68.656716417910445</v>
      </c>
      <c r="BK96" s="622" t="str">
        <f t="shared" si="272"/>
        <v/>
      </c>
      <c r="BL96" s="563" t="str">
        <f ca="1">IF(ROUND(BL47,2)=0,"ok","!")</f>
        <v>ok</v>
      </c>
      <c r="BM96" s="623">
        <f t="shared" ca="1" si="273"/>
        <v>379.75308641975306</v>
      </c>
      <c r="BN96" s="642">
        <f t="shared" ca="1" si="274"/>
        <v>-102.60730044123545</v>
      </c>
      <c r="BO96" s="642">
        <f t="shared" ca="1" si="275"/>
        <v>20.871419865935415</v>
      </c>
      <c r="BP96" s="642">
        <f ca="1">IF(BP47="","",IF(BJ47=0,"N",(BP47/BJ47-1)*100))</f>
        <v>-795.23809523809518</v>
      </c>
      <c r="BQ96" s="622" t="str">
        <f t="shared" si="276"/>
        <v/>
      </c>
      <c r="BR96" s="563" t="str">
        <f ca="1">IF(ROUND(BR47,2)=0,"ok","!")</f>
        <v>ok</v>
      </c>
      <c r="BS96" s="623">
        <f t="shared" ca="1" si="277"/>
        <v>-121.30725681935152</v>
      </c>
      <c r="BT96" s="642">
        <f t="shared" ca="1" si="278"/>
        <v>-2603.0769230769229</v>
      </c>
      <c r="BU96" s="642">
        <f t="shared" ca="1" si="279"/>
        <v>-78.699268968994204</v>
      </c>
      <c r="BV96" s="642">
        <f ca="1">IF(BV47="","",IF(BP47=0,"N",(BV47/BP47-1)*100))</f>
        <v>-68.493150684931507</v>
      </c>
      <c r="BW96" s="622" t="str">
        <f t="shared" si="280"/>
        <v/>
      </c>
      <c r="BX96" s="563" t="str">
        <f ca="1">IF(ROUND(BX47,2)=0,"ok","!")</f>
        <v>ok</v>
      </c>
      <c r="BY96" s="623">
        <f t="shared" ca="1" si="281"/>
        <v>2767.2705314009663</v>
      </c>
      <c r="BZ96" s="642">
        <f t="shared" ca="1" si="282"/>
        <v>12.046711739397665</v>
      </c>
      <c r="CA96" s="642">
        <f t="shared" ca="1" si="283"/>
        <v>-2665.0887573964501</v>
      </c>
      <c r="CB96" s="642">
        <f ca="1">IF(CB47="","",IF(BV47=0,"N",(CB47/BV47-1)*100))</f>
        <v>428.26086956521738</v>
      </c>
      <c r="CC96" s="622" t="str">
        <f t="shared" si="284"/>
        <v/>
      </c>
      <c r="CD96" s="563" t="str">
        <f ca="1">IF(ROUND(CD47,2)=0,"ok","!")</f>
        <v>ok</v>
      </c>
      <c r="CE96" s="623">
        <f t="shared" ca="1" si="285"/>
        <v>-71.509203487637421</v>
      </c>
      <c r="CF96" s="642">
        <f t="shared" ca="1" si="286"/>
        <v>57.92649478880967</v>
      </c>
      <c r="CG96" s="642">
        <f t="shared" ca="1" si="287"/>
        <v>-82.408304498269899</v>
      </c>
      <c r="CH96" s="642">
        <f ca="1">IF(CH47="","",IF(CB47=0,"N",(CH47/CB47-1)*100))</f>
        <v>-70.370370370370367</v>
      </c>
      <c r="CI96" s="622" t="str">
        <f t="shared" si="288"/>
        <v/>
      </c>
      <c r="CJ96" s="563" t="str">
        <f ca="1">IF(ROUND(CJ47,2)=0,"ok","!")</f>
        <v>ok</v>
      </c>
      <c r="CK96" s="623">
        <f t="shared" ca="1" si="289"/>
        <v>-777.26197516262573</v>
      </c>
      <c r="CL96" s="642">
        <f t="shared" ca="1" si="290"/>
        <v>-1.7367141368530681</v>
      </c>
      <c r="CM96" s="642">
        <f t="shared" ca="1" si="291"/>
        <v>-1380.2517702596381</v>
      </c>
      <c r="CN96" s="642">
        <f ca="1">IF(CN47="","",IF(CH47=0,"N",(CN47/CH47-1)*100))</f>
        <v>145.83333333333334</v>
      </c>
      <c r="CO96" s="622" t="str">
        <f t="shared" si="292"/>
        <v/>
      </c>
      <c r="CP96" s="563" t="str">
        <f ca="1">IF(ROUND(CP47,2)=0,"ok","!")</f>
        <v>ok</v>
      </c>
      <c r="CQ96" s="623">
        <f t="shared" ca="1" si="293"/>
        <v>-150.66579349487012</v>
      </c>
      <c r="CR96" s="642">
        <f t="shared" ca="1" si="294"/>
        <v>16.048073524213493</v>
      </c>
      <c r="CS96" s="642">
        <f t="shared" ca="1" si="295"/>
        <v>-140.49287118977384</v>
      </c>
      <c r="CT96" s="642">
        <f ca="1">IF(CT47="","",IF(CN47=0,"N",(CT47/CN47-1)*100))</f>
        <v>-9.6045197740112886</v>
      </c>
      <c r="CU96" s="622" t="str">
        <f t="shared" si="296"/>
        <v/>
      </c>
      <c r="CV96" s="563" t="str">
        <f ca="1">IF(ROUND(CV47,2)=0,"ok","!")</f>
        <v>ok</v>
      </c>
      <c r="CW96" s="623">
        <f t="shared" ca="1" si="297"/>
        <v>77.13916415338214</v>
      </c>
      <c r="CX96" s="642">
        <f t="shared" ca="1" si="298"/>
        <v>33.445019798964367</v>
      </c>
      <c r="CY96" s="642">
        <f t="shared" ca="1" si="299"/>
        <v>86.6140537259068</v>
      </c>
      <c r="CZ96" s="642">
        <f ca="1">IF(CZ47="","",IF(CT47=0,"N",(CZ47/CT47-1)*100))</f>
        <v>-196.875</v>
      </c>
      <c r="DA96" s="622" t="str">
        <f t="shared" si="300"/>
        <v/>
      </c>
      <c r="DB96" s="563" t="str">
        <f ca="1">IF(ROUND(DB47,2)=0,"ok","!")</f>
        <v>ok</v>
      </c>
      <c r="DC96" s="623">
        <f t="shared" ca="1" si="301"/>
        <v>-102.49550031619398</v>
      </c>
      <c r="DD96" s="642">
        <f t="shared" ca="1" si="302"/>
        <v>-8.5596895685916436</v>
      </c>
      <c r="DE96" s="642">
        <f t="shared" ca="1" si="303"/>
        <v>-114.59824333116461</v>
      </c>
      <c r="DF96" s="642">
        <f ca="1">IF(DF47="","",IF(CZ47=0,"N",(DF47/CZ47-1)*100))</f>
        <v>-327.74193548387098</v>
      </c>
      <c r="DG96" s="622" t="str">
        <f t="shared" si="304"/>
        <v/>
      </c>
      <c r="DH96" s="563" t="str">
        <f ca="1">IF(ROUND(DH47,2)=0,"ok","!")</f>
        <v>ok</v>
      </c>
      <c r="DI96" s="623">
        <f t="shared" ca="1" si="305"/>
        <v>-673.78167641325535</v>
      </c>
      <c r="DJ96" s="642">
        <f t="shared" ca="1" si="306"/>
        <v>5.1422865701447718</v>
      </c>
      <c r="DK96" s="642">
        <f t="shared" ca="1" si="307"/>
        <v>-127.70659238625812</v>
      </c>
      <c r="DL96" s="642">
        <f ca="1">IF(DL47="","",IF(DF47=0,"N",(DL47/DF47-1)*100))</f>
        <v>-48.15864022662889</v>
      </c>
      <c r="DM96" s="622" t="str">
        <f t="shared" si="308"/>
        <v/>
      </c>
      <c r="DN96" s="563" t="str">
        <f ca="1">IF(ROUND(DN47,2)=0,"ok","!")</f>
        <v>ok</v>
      </c>
      <c r="DO96" s="623">
        <f t="shared" ca="1" si="309"/>
        <v>100.59453032104639</v>
      </c>
      <c r="DP96" s="642">
        <f t="shared" ca="1" si="310"/>
        <v>-3.5612535612535523</v>
      </c>
      <c r="DQ96" s="642">
        <f t="shared" ca="1" si="311"/>
        <v>344.30294906166222</v>
      </c>
      <c r="DR96" s="642">
        <f ca="1">IF(DR47="","",IF(DL47=0,"N",(DR47/DL47-1)*100))</f>
        <v>510.92896174863398</v>
      </c>
      <c r="DS96" s="622" t="str">
        <f t="shared" si="312"/>
        <v/>
      </c>
      <c r="DT96" s="563" t="str">
        <f ca="1">IF(ROUND(DT47,2)=0,"ok","!")</f>
        <v>ok</v>
      </c>
      <c r="DU96" s="623">
        <f t="shared" ca="1" si="313"/>
        <v>155.87263951223647</v>
      </c>
      <c r="DV96" s="642">
        <f t="shared" ca="1" si="314"/>
        <v>15.977351058591815</v>
      </c>
      <c r="DW96" s="642">
        <f t="shared" ca="1" si="315"/>
        <v>227.77191129883846</v>
      </c>
      <c r="DX96" s="642">
        <f ca="1">IF(DX47="","",IF(DR47=0,"N",(DX47/DR47-1)*100))</f>
        <v>237.8354203935599</v>
      </c>
      <c r="DY96" s="622" t="str">
        <f t="shared" si="316"/>
        <v/>
      </c>
      <c r="DZ96" s="563" t="str">
        <f ca="1">IF(ROUND(DZ47,2)=0,"ok","!")</f>
        <v>ok</v>
      </c>
      <c r="EA96" s="623">
        <f t="shared" ca="1" si="317"/>
        <v>-15.822742917659527</v>
      </c>
      <c r="EB96" s="642">
        <f t="shared" ca="1" si="318"/>
        <v>4.9458713648906638</v>
      </c>
      <c r="EC96" s="642">
        <f t="shared" ca="1" si="319"/>
        <v>-9.4348306332842409</v>
      </c>
      <c r="ED96" s="642">
        <f ca="1">IF(ED47="","",IF(DX47=0,"N",(ED47/DX47-1)*100))</f>
        <v>-78.474980142970608</v>
      </c>
      <c r="EE96" s="622" t="str">
        <f t="shared" si="320"/>
        <v/>
      </c>
      <c r="EF96" s="563" t="str">
        <f ca="1">IF(ROUND(EF47,2)=0,"ok","!")</f>
        <v>ok</v>
      </c>
      <c r="EG96" s="623">
        <f t="shared" ca="1" si="321"/>
        <v>20.923923727147642</v>
      </c>
      <c r="EH96" s="642">
        <f t="shared" ca="1" si="322"/>
        <v>-17.597087378640776</v>
      </c>
      <c r="EI96" s="642">
        <f t="shared" ca="1" si="323"/>
        <v>32.208557780262211</v>
      </c>
      <c r="EJ96" s="642">
        <f ca="1">IF(EJ47="","",IF(ED47=0,"N",(EJ47/ED47-1)*100))</f>
        <v>-17.958179581795807</v>
      </c>
      <c r="EK96" s="622" t="str">
        <f t="shared" si="324"/>
        <v/>
      </c>
      <c r="EL96" s="563" t="str">
        <f ca="1">IF(ROUND(EL47,2)=0,"ok","!")</f>
        <v>ok</v>
      </c>
      <c r="EM96" s="623">
        <f t="shared" ca="1" si="325"/>
        <v>26.119999999999987</v>
      </c>
      <c r="EN96" s="642">
        <f t="shared" ca="1" si="326"/>
        <v>2.0000000000000018</v>
      </c>
      <c r="EO96" s="642">
        <f t="shared" ca="1" si="327"/>
        <v>33.130567343173453</v>
      </c>
      <c r="EP96" s="642">
        <f ca="1">IF(EP47="","",IF(EJ47=0,"N",(EP47/EJ47-1)*100))</f>
        <v>-100</v>
      </c>
      <c r="EQ96" s="622" t="str">
        <f t="shared" si="328"/>
        <v/>
      </c>
      <c r="ER96" s="563" t="str">
        <f ca="1">IF(ROUND(ER47,2)=0,"ok","!")</f>
        <v>ok</v>
      </c>
      <c r="ES96" s="623">
        <f t="shared" ca="1" si="329"/>
        <v>-14.427000000000023</v>
      </c>
      <c r="ET96" s="642">
        <f t="shared" ca="1" si="330"/>
        <v>2.0000000000000018</v>
      </c>
      <c r="EU96" s="642">
        <f t="shared" ca="1" si="331"/>
        <v>-16.397884376853533</v>
      </c>
      <c r="EV96" s="642" t="str">
        <f ca="1">IF(EV47="","",IF(EP47=0,"N",(EV47/EP47-1)*100))</f>
        <v>N</v>
      </c>
      <c r="EW96" s="622" t="str">
        <f t="shared" si="332"/>
        <v/>
      </c>
      <c r="EX96" s="563" t="str">
        <f ca="1">IF(ROUND(EX47,2)=0,"ok","!")</f>
        <v>ok</v>
      </c>
      <c r="EY96" s="623">
        <f t="shared" ca="1" si="333"/>
        <v>0</v>
      </c>
      <c r="EZ96" s="642">
        <f t="shared" ca="1" si="334"/>
        <v>2.0000000000000018</v>
      </c>
      <c r="FA96" s="642">
        <f t="shared" ca="1" si="335"/>
        <v>-0.29276273074391179</v>
      </c>
      <c r="FB96" s="642" t="str">
        <f ca="1">IF(FB47="","",IF(EV47=0,"N",(FB47/EV47-1)*100))</f>
        <v>N</v>
      </c>
      <c r="FC96" s="622" t="str">
        <f t="shared" si="336"/>
        <v/>
      </c>
      <c r="FD96" s="563" t="str">
        <f ca="1">IF(ROUND(FD47,2)=0,"ok","!")</f>
        <v>ok</v>
      </c>
    </row>
    <row r="97" spans="2:160" ht="13.15">
      <c r="B97" s="643" t="s">
        <v>1793</v>
      </c>
      <c r="C97" s="3857" t="s">
        <v>235</v>
      </c>
      <c r="D97" s="3857"/>
      <c r="E97" s="644"/>
      <c r="F97" s="644"/>
      <c r="G97" s="644"/>
      <c r="H97" s="644"/>
      <c r="I97" s="644"/>
      <c r="J97" s="563"/>
      <c r="K97" s="644">
        <f t="shared" ca="1" si="240"/>
        <v>-4.8465348202550658</v>
      </c>
      <c r="L97" s="644">
        <f t="shared" ca="1" si="240"/>
        <v>-32.422556637682931</v>
      </c>
      <c r="M97" s="644">
        <f t="shared" ca="1" si="240"/>
        <v>-42.835032117853487</v>
      </c>
      <c r="N97" s="644">
        <f t="shared" ca="1" si="240"/>
        <v>-54.595721537345945</v>
      </c>
      <c r="O97" s="644">
        <f t="shared" ca="1" si="240"/>
        <v>-2.7125131995775598</v>
      </c>
      <c r="P97" s="563" t="str">
        <f ca="1">IF(ROUND(P48,2)=0,"ok","!")</f>
        <v>!</v>
      </c>
      <c r="Q97" s="644">
        <f t="shared" ca="1" si="241"/>
        <v>35.72098787288558</v>
      </c>
      <c r="R97" s="644">
        <f t="shared" ca="1" si="242"/>
        <v>-67.283160450231776</v>
      </c>
      <c r="S97" s="644">
        <f t="shared" ca="1" si="243"/>
        <v>31.352496387637686</v>
      </c>
      <c r="T97" s="644">
        <f ca="1">IF(T48="","",IF(N48=0,"N",(T48/N48-1)*100))</f>
        <v>-47.105210620882296</v>
      </c>
      <c r="U97" s="644">
        <f t="shared" ca="1" si="244"/>
        <v>13.562512719625474</v>
      </c>
      <c r="V97" s="563" t="str">
        <f ca="1">IF(ROUND(V48,2)=0,"ok","!")</f>
        <v>!</v>
      </c>
      <c r="W97" s="644">
        <f t="shared" ca="1" si="245"/>
        <v>17.369752941483462</v>
      </c>
      <c r="X97" s="644">
        <f t="shared" ca="1" si="246"/>
        <v>-57.885860766325095</v>
      </c>
      <c r="Y97" s="644">
        <f t="shared" ca="1" si="247"/>
        <v>-29.572154818865059</v>
      </c>
      <c r="Z97" s="644">
        <f ca="1">IF(Z48="","",IF(T48=0,"N",(Z48/T48-1)*100))</f>
        <v>-155.96024407120819</v>
      </c>
      <c r="AA97" s="644">
        <f t="shared" ca="1" si="248"/>
        <v>-4.8363973058944794</v>
      </c>
      <c r="AB97" s="563" t="str">
        <f ca="1">IF(ROUND(AB48,2)=0,"ok","!")</f>
        <v>!</v>
      </c>
      <c r="AC97" s="644">
        <f t="shared" ca="1" si="249"/>
        <v>-97.504945653382407</v>
      </c>
      <c r="AD97" s="644">
        <f t="shared" ca="1" si="250"/>
        <v>-1138.7794329649259</v>
      </c>
      <c r="AE97" s="644">
        <f t="shared" ca="1" si="251"/>
        <v>-23.990415965303701</v>
      </c>
      <c r="AF97" s="644">
        <f ca="1">IF(AF48="","",IF(Z48=0,"N",(AF48/Z48-1)*100))</f>
        <v>-4.6031924460435913</v>
      </c>
      <c r="AG97" s="644">
        <f t="shared" ca="1" si="252"/>
        <v>-26.203460316214798</v>
      </c>
      <c r="AH97" s="563" t="str">
        <f ca="1">IF(ROUND(AH48,2)=0,"ok","!")</f>
        <v>!</v>
      </c>
      <c r="AI97" s="644">
        <f t="shared" ca="1" si="253"/>
        <v>4369.2204899785738</v>
      </c>
      <c r="AJ97" s="644">
        <f t="shared" ca="1" si="254"/>
        <v>-144.65775392823522</v>
      </c>
      <c r="AK97" s="644">
        <f t="shared" ca="1" si="255"/>
        <v>-110.75953155238112</v>
      </c>
      <c r="AL97" s="644">
        <f ca="1">IF(AL48="","",IF(AF48=0,"N",(AL48/AF48-1)*100))</f>
        <v>352.2830377658666</v>
      </c>
      <c r="AM97" s="644">
        <f t="shared" ca="1" si="256"/>
        <v>25.827751196172244</v>
      </c>
      <c r="AN97" s="563" t="str">
        <f ca="1">IF(ROUND(AN48,2)=0,"ok","!")</f>
        <v>!</v>
      </c>
      <c r="AO97" s="644">
        <f t="shared" ca="1" si="257"/>
        <v>13.632467558355588</v>
      </c>
      <c r="AP97" s="644">
        <f t="shared" ca="1" si="258"/>
        <v>188.17029798694961</v>
      </c>
      <c r="AQ97" s="644">
        <f t="shared" ca="1" si="259"/>
        <v>-12.367884294458387</v>
      </c>
      <c r="AR97" s="644">
        <f ca="1">IF(AR48="","",IF(AL48=0,"N",(AR48/AL48-1)*100))</f>
        <v>-54.040851418596738</v>
      </c>
      <c r="AS97" s="644">
        <f t="shared" ca="1" si="260"/>
        <v>16.531041650822576</v>
      </c>
      <c r="AT97" s="563" t="str">
        <f ca="1">IF(ROUND(AT48,2)=0,"ok","!")</f>
        <v>!</v>
      </c>
      <c r="AU97" s="644">
        <f t="shared" ca="1" si="261"/>
        <v>12.189944918078455</v>
      </c>
      <c r="AV97" s="644">
        <f t="shared" ca="1" si="262"/>
        <v>-6.0677953916391196</v>
      </c>
      <c r="AW97" s="644">
        <f t="shared" ca="1" si="263"/>
        <v>-1937.7274650868142</v>
      </c>
      <c r="AX97" s="644">
        <f ca="1">IF(AX48="","",IF(AR48=0,"N",(AX48/AR48-1)*100))</f>
        <v>-205.81899606020238</v>
      </c>
      <c r="AY97" s="644">
        <f t="shared" ca="1" si="264"/>
        <v>4.5589685578373507</v>
      </c>
      <c r="AZ97" s="563" t="str">
        <f ca="1">IF(ROUND(AZ48,2)=0,"ok","!")</f>
        <v>!</v>
      </c>
      <c r="BA97" s="644">
        <f t="shared" ca="1" si="265"/>
        <v>31.154718161207096</v>
      </c>
      <c r="BB97" s="644">
        <f t="shared" ca="1" si="266"/>
        <v>-19.425203780949907</v>
      </c>
      <c r="BC97" s="644">
        <f t="shared" ca="1" si="267"/>
        <v>59.56177821786752</v>
      </c>
      <c r="BD97" s="644">
        <f ca="1">IF(BD48="","",IF(AX48=0,"N",(BD48/AX48-1)*100))</f>
        <v>-8.9676970054107343</v>
      </c>
      <c r="BE97" s="644">
        <f t="shared" ca="1" si="268"/>
        <v>-21.950052361104287</v>
      </c>
      <c r="BF97" s="563" t="str">
        <f ca="1">IF(ROUND(BF48,2)=0,"ok","!")</f>
        <v>!</v>
      </c>
      <c r="BG97" s="644">
        <f t="shared" ca="1" si="269"/>
        <v>3.6814496900336557</v>
      </c>
      <c r="BH97" s="644">
        <f t="shared" ca="1" si="270"/>
        <v>-38.71447795456325</v>
      </c>
      <c r="BI97" s="644">
        <f t="shared" ca="1" si="271"/>
        <v>-9.6239744265085196</v>
      </c>
      <c r="BJ97" s="644">
        <f ca="1">IF(BJ48="","",IF(BD48=0,"N",(BJ48/BD48-1)*100))</f>
        <v>-129.36797504854923</v>
      </c>
      <c r="BK97" s="644">
        <f t="shared" ca="1" si="272"/>
        <v>58.863880719026731</v>
      </c>
      <c r="BL97" s="563" t="str">
        <f ca="1">IF(ROUND(BL48,2)=0,"ok","!")</f>
        <v>!</v>
      </c>
      <c r="BM97" s="644">
        <f t="shared" ca="1" si="273"/>
        <v>10.633796338883039</v>
      </c>
      <c r="BN97" s="644">
        <f t="shared" ca="1" si="274"/>
        <v>-13.055720596212883</v>
      </c>
      <c r="BO97" s="644">
        <f t="shared" ca="1" si="275"/>
        <v>-15.810737440516331</v>
      </c>
      <c r="BP97" s="644">
        <f ca="1">IF(BP48="","",IF(BJ48=0,"N",(BP48/BJ48-1)*100))</f>
        <v>434.34525598637794</v>
      </c>
      <c r="BQ97" s="644">
        <f t="shared" ca="1" si="276"/>
        <v>-14.098340483368531</v>
      </c>
      <c r="BR97" s="563" t="str">
        <f ca="1">IF(ROUND(BR48,2)=0,"ok","!")</f>
        <v>!</v>
      </c>
      <c r="BS97" s="644">
        <f t="shared" ca="1" si="277"/>
        <v>22.012451151575817</v>
      </c>
      <c r="BT97" s="644">
        <f t="shared" ca="1" si="278"/>
        <v>58.686157411534182</v>
      </c>
      <c r="BU97" s="644">
        <f t="shared" ca="1" si="279"/>
        <v>7.0123859562604363</v>
      </c>
      <c r="BV97" s="644">
        <f ca="1">IF(BV48="","",IF(BP48=0,"N",(BV48/BP48-1)*100))</f>
        <v>28.524553278458132</v>
      </c>
      <c r="BW97" s="644">
        <f t="shared" ca="1" si="280"/>
        <v>-22.894107995129652</v>
      </c>
      <c r="BX97" s="563" t="str">
        <f ca="1">IF(ROUND(BX48,2)=0,"ok","!")</f>
        <v>!</v>
      </c>
      <c r="BY97" s="644">
        <f t="shared" ca="1" si="281"/>
        <v>12.58140218321806</v>
      </c>
      <c r="BZ97" s="644">
        <f t="shared" ca="1" si="282"/>
        <v>70.276545151565756</v>
      </c>
      <c r="CA97" s="644">
        <f t="shared" ca="1" si="283"/>
        <v>-44.456556418164276</v>
      </c>
      <c r="CB97" s="644">
        <f ca="1">IF(CB48="","",IF(BV48=0,"N",(CB48/BV48-1)*100))</f>
        <v>61.519271729932477</v>
      </c>
      <c r="CC97" s="644">
        <f t="shared" ca="1" si="284"/>
        <v>-1.6703259584527563</v>
      </c>
      <c r="CD97" s="563" t="str">
        <f ca="1">IF(ROUND(CD48,2)=0,"ok","!")</f>
        <v>!</v>
      </c>
      <c r="CE97" s="644">
        <f t="shared" ca="1" si="285"/>
        <v>-1.0634393998430913</v>
      </c>
      <c r="CF97" s="644">
        <f t="shared" ca="1" si="286"/>
        <v>58.754384614538409</v>
      </c>
      <c r="CG97" s="644">
        <f t="shared" ca="1" si="287"/>
        <v>-16.132944010977145</v>
      </c>
      <c r="CH97" s="644">
        <f ca="1">IF(CH48="","",IF(CB48=0,"N",(CH48/CB48-1)*100))</f>
        <v>-41.668247301629755</v>
      </c>
      <c r="CI97" s="644">
        <f t="shared" ca="1" si="288"/>
        <v>-34.483262053211028</v>
      </c>
      <c r="CJ97" s="563" t="str">
        <f ca="1">IF(ROUND(CJ48,2)=0,"ok","!")</f>
        <v>!</v>
      </c>
      <c r="CK97" s="644">
        <f t="shared" ca="1" si="289"/>
        <v>-21.363949219945088</v>
      </c>
      <c r="CL97" s="644">
        <f t="shared" ca="1" si="290"/>
        <v>5.7398736632131353</v>
      </c>
      <c r="CM97" s="644">
        <f t="shared" ca="1" si="291"/>
        <v>45.6128001217593</v>
      </c>
      <c r="CN97" s="644">
        <f ca="1">IF(CN48="","",IF(CH48=0,"N",(CN48/CH48-1)*100))</f>
        <v>-136.46681737945534</v>
      </c>
      <c r="CO97" s="644">
        <f t="shared" ca="1" si="292"/>
        <v>43.385022742465964</v>
      </c>
      <c r="CP97" s="563" t="str">
        <f ca="1">IF(ROUND(CP48,2)=0,"ok","!")</f>
        <v>!</v>
      </c>
      <c r="CQ97" s="644">
        <f t="shared" ca="1" si="293"/>
        <v>7.1271924492703143</v>
      </c>
      <c r="CR97" s="644">
        <f t="shared" ca="1" si="294"/>
        <v>8.679902792425187</v>
      </c>
      <c r="CS97" s="644">
        <f t="shared" ca="1" si="295"/>
        <v>-27.457308230006205</v>
      </c>
      <c r="CT97" s="644">
        <f ca="1">IF(CT48="","",IF(CN48=0,"N",(CT48/CN48-1)*100))</f>
        <v>-95.201902254679766</v>
      </c>
      <c r="CU97" s="644">
        <f t="shared" ca="1" si="296"/>
        <v>-26.946529295071763</v>
      </c>
      <c r="CV97" s="563" t="str">
        <f ca="1">IF(ROUND(CV48,2)=0,"ok","!")</f>
        <v>!</v>
      </c>
      <c r="CW97" s="644">
        <f t="shared" ca="1" si="297"/>
        <v>-20.351238731582256</v>
      </c>
      <c r="CX97" s="644">
        <f t="shared" ca="1" si="298"/>
        <v>15.77624552478991</v>
      </c>
      <c r="CY97" s="644">
        <f t="shared" ca="1" si="299"/>
        <v>-116.58081481214589</v>
      </c>
      <c r="CZ97" s="644">
        <f ca="1">IF(CZ48="","",IF(CT48=0,"N",(CZ48/CT48-1)*100))</f>
        <v>555.92920353961233</v>
      </c>
      <c r="DA97" s="644">
        <f t="shared" ca="1" si="300"/>
        <v>-1.7657143572221146</v>
      </c>
      <c r="DB97" s="563" t="str">
        <f ca="1">IF(ROUND(DB48,2)=0,"ok","!")</f>
        <v>!</v>
      </c>
      <c r="DC97" s="644">
        <f t="shared" ca="1" si="301"/>
        <v>10.723139436146223</v>
      </c>
      <c r="DD97" s="644">
        <f t="shared" ca="1" si="302"/>
        <v>31.726439306779696</v>
      </c>
      <c r="DE97" s="644">
        <f t="shared" ca="1" si="303"/>
        <v>151.53160981968955</v>
      </c>
      <c r="DF97" s="644">
        <f ca="1">IF(DF48="","",IF(CZ48=0,"N",(DF48/CZ48-1)*100))</f>
        <v>380.15380464112354</v>
      </c>
      <c r="DG97" s="644">
        <f t="shared" ca="1" si="304"/>
        <v>-2.7681528662422905</v>
      </c>
      <c r="DH97" s="563" t="str">
        <f ca="1">IF(ROUND(DH48,2)=0,"ok","!")</f>
        <v>!</v>
      </c>
      <c r="DI97" s="644">
        <f t="shared" ca="1" si="305"/>
        <v>-7.3998775008105593</v>
      </c>
      <c r="DJ97" s="644">
        <f t="shared" ca="1" si="306"/>
        <v>7.4275190489742959</v>
      </c>
      <c r="DK97" s="644">
        <f t="shared" ca="1" si="307"/>
        <v>74.136292969426492</v>
      </c>
      <c r="DL97" s="644">
        <f ca="1">IF(DL48="","",IF(DF48=0,"N",(DL48/DF48-1)*100))</f>
        <v>44.968951080389672</v>
      </c>
      <c r="DM97" s="644">
        <f t="shared" ca="1" si="308"/>
        <v>-24.062258440656372</v>
      </c>
      <c r="DN97" s="563" t="str">
        <f ca="1">IF(ROUND(DN48,2)=0,"ok","!")</f>
        <v>!</v>
      </c>
      <c r="DO97" s="644">
        <f t="shared" ca="1" si="309"/>
        <v>-1.1472402868105358</v>
      </c>
      <c r="DP97" s="644">
        <f t="shared" ca="1" si="310"/>
        <v>15.972717841559847</v>
      </c>
      <c r="DQ97" s="644">
        <f t="shared" ca="1" si="311"/>
        <v>89.02859410262171</v>
      </c>
      <c r="DR97" s="644">
        <f ca="1">IF(DR48="","",IF(DL48=0,"N",(DR48/DL48-1)*100))</f>
        <v>18.574225185586535</v>
      </c>
      <c r="DS97" s="644">
        <f t="shared" ca="1" si="312"/>
        <v>5.7245389140971215</v>
      </c>
      <c r="DT97" s="563" t="str">
        <f ca="1">IF(ROUND(DT48,2)=0,"ok","!")</f>
        <v>!</v>
      </c>
      <c r="DU97" s="644">
        <f t="shared" ca="1" si="313"/>
        <v>2.0714550791138375</v>
      </c>
      <c r="DV97" s="644">
        <f t="shared" ca="1" si="314"/>
        <v>-15.647561888568617</v>
      </c>
      <c r="DW97" s="644">
        <f t="shared" ca="1" si="315"/>
        <v>19.498307575240204</v>
      </c>
      <c r="DX97" s="644">
        <f ca="1">IF(DX48="","",IF(DR48=0,"N",(DX48/DR48-1)*100))</f>
        <v>-110.94873806721569</v>
      </c>
      <c r="DY97" s="644">
        <f t="shared" ca="1" si="316"/>
        <v>79.182101535599415</v>
      </c>
      <c r="DZ97" s="563" t="str">
        <f ca="1">IF(ROUND(DZ48,2)=0,"ok","!")</f>
        <v>!</v>
      </c>
      <c r="EA97" s="644">
        <f t="shared" ca="1" si="317"/>
        <v>0.92105987990920291</v>
      </c>
      <c r="EB97" s="644">
        <f t="shared" ca="1" si="318"/>
        <v>9.1141563501252687</v>
      </c>
      <c r="EC97" s="644">
        <f t="shared" ca="1" si="319"/>
        <v>70.943305081024818</v>
      </c>
      <c r="ED97" s="644">
        <f ca="1">IF(ED48="","",IF(DX48=0,"N",(ED48/DX48-1)*100))</f>
        <v>627.85906240670329</v>
      </c>
      <c r="EE97" s="644">
        <f t="shared" ca="1" si="320"/>
        <v>0.78687807943476074</v>
      </c>
      <c r="EF97" s="563" t="str">
        <f ca="1">IF(ROUND(EF48,2)=0,"ok","!")</f>
        <v>!</v>
      </c>
      <c r="EG97" s="644">
        <f t="shared" ca="1" si="321"/>
        <v>-10.726411283719472</v>
      </c>
      <c r="EH97" s="644">
        <f t="shared" ca="1" si="322"/>
        <v>-7.6570211475361809</v>
      </c>
      <c r="EI97" s="644">
        <f t="shared" ca="1" si="323"/>
        <v>12.691551810509827</v>
      </c>
      <c r="EJ97" s="644">
        <f ca="1">IF(EJ48="","",IF(ED48=0,"N",(EJ48/ED48-1)*100))</f>
        <v>45.797095503773335</v>
      </c>
      <c r="EK97" s="644">
        <f t="shared" ca="1" si="324"/>
        <v>-53.362851850178558</v>
      </c>
      <c r="EL97" s="563" t="str">
        <f ca="1">IF(ROUND(EL48,2)=0,"ok","!")</f>
        <v>!</v>
      </c>
      <c r="EM97" s="644">
        <f t="shared" ca="1" si="325"/>
        <v>-10.593431599174984</v>
      </c>
      <c r="EN97" s="644">
        <f t="shared" ca="1" si="326"/>
        <v>6.8538344133775242</v>
      </c>
      <c r="EO97" s="644">
        <f t="shared" ca="1" si="327"/>
        <v>9.2692646681611368</v>
      </c>
      <c r="EP97" s="644">
        <f ca="1">IF(EP48="","",IF(EJ48=0,"N",(EP48/EJ48-1)*100))</f>
        <v>-27.329245889158184</v>
      </c>
      <c r="EQ97" s="644">
        <f t="shared" ca="1" si="328"/>
        <v>-34.375546520639503</v>
      </c>
      <c r="ER97" s="563" t="str">
        <f ca="1">IF(ROUND(ER48,2)=0,"ok","!")</f>
        <v>!</v>
      </c>
      <c r="ES97" s="644">
        <f t="shared" ca="1" si="329"/>
        <v>-4.9785019038625418</v>
      </c>
      <c r="ET97" s="644">
        <f t="shared" ca="1" si="330"/>
        <v>-3.5660314975883733</v>
      </c>
      <c r="EU97" s="644">
        <f t="shared" ca="1" si="331"/>
        <v>-3.5994348426360179</v>
      </c>
      <c r="EV97" s="644">
        <f ca="1">IF(EV48="","",IF(EP48=0,"N",(EV48/EP48-1)*100))</f>
        <v>-7.6885534782327962</v>
      </c>
      <c r="EW97" s="644">
        <f t="shared" ca="1" si="332"/>
        <v>-24.82146440442181</v>
      </c>
      <c r="EX97" s="563" t="str">
        <f ca="1">IF(ROUND(EX48,2)=0,"ok","!")</f>
        <v>!</v>
      </c>
      <c r="EY97" s="644">
        <f t="shared" ca="1" si="333"/>
        <v>-2.3686302753362032</v>
      </c>
      <c r="EZ97" s="644">
        <f t="shared" ca="1" si="334"/>
        <v>-2.2769128060259436</v>
      </c>
      <c r="FA97" s="644">
        <f t="shared" ca="1" si="335"/>
        <v>-3.9736904309244925</v>
      </c>
      <c r="FB97" s="644">
        <f ca="1">IF(FB48="","",IF(EV48=0,"N",(FB48/EV48-1)*100))</f>
        <v>-9.1212326533948946</v>
      </c>
      <c r="FC97" s="644">
        <f t="shared" ca="1" si="336"/>
        <v>-17.395883390227731</v>
      </c>
      <c r="FD97" s="563" t="str">
        <f ca="1">IF(ROUND(FD48,2)=0,"ok","!")</f>
        <v>!</v>
      </c>
    </row>
    <row r="98" spans="2:160" ht="13.15">
      <c r="B98" s="607"/>
      <c r="C98" s="3858"/>
      <c r="D98" s="3859"/>
      <c r="E98" s="610"/>
      <c r="F98" s="645"/>
      <c r="G98" s="645"/>
      <c r="H98" s="645"/>
      <c r="I98" s="645"/>
      <c r="J98" s="610"/>
      <c r="K98" s="610"/>
      <c r="L98" s="645"/>
      <c r="M98" s="645"/>
      <c r="N98" s="645"/>
      <c r="O98" s="645"/>
      <c r="P98" s="610"/>
      <c r="Q98" s="610"/>
      <c r="R98" s="645"/>
      <c r="S98" s="645"/>
      <c r="T98" s="645"/>
      <c r="U98" s="645"/>
      <c r="V98" s="610"/>
      <c r="W98" s="610"/>
      <c r="X98" s="645"/>
      <c r="Y98" s="645"/>
      <c r="Z98" s="645"/>
      <c r="AA98" s="645"/>
      <c r="AB98" s="610"/>
      <c r="AC98" s="610"/>
      <c r="AD98" s="645"/>
      <c r="AE98" s="645"/>
      <c r="AF98" s="645"/>
      <c r="AG98" s="645"/>
      <c r="AH98" s="610"/>
      <c r="AI98" s="610"/>
      <c r="AJ98" s="645"/>
      <c r="AK98" s="645"/>
      <c r="AL98" s="645"/>
      <c r="AM98" s="645"/>
      <c r="AN98" s="610"/>
      <c r="AO98" s="610"/>
      <c r="AP98" s="645"/>
      <c r="AQ98" s="645"/>
      <c r="AR98" s="645"/>
      <c r="AS98" s="645"/>
      <c r="AT98" s="610"/>
      <c r="AU98" s="610"/>
      <c r="AV98" s="645"/>
      <c r="AW98" s="645"/>
      <c r="AX98" s="645"/>
      <c r="AY98" s="645"/>
      <c r="AZ98" s="610"/>
      <c r="BA98" s="610"/>
      <c r="BB98" s="645"/>
      <c r="BC98" s="645"/>
      <c r="BD98" s="645"/>
      <c r="BE98" s="645"/>
      <c r="BF98" s="610"/>
      <c r="BG98" s="610"/>
      <c r="BH98" s="645"/>
      <c r="BI98" s="645"/>
      <c r="BJ98" s="645"/>
      <c r="BK98" s="645"/>
      <c r="BL98" s="610"/>
      <c r="BM98" s="610"/>
      <c r="BN98" s="645"/>
      <c r="BO98" s="645"/>
      <c r="BP98" s="645"/>
      <c r="BQ98" s="645"/>
      <c r="BR98" s="610"/>
      <c r="BS98" s="610"/>
      <c r="BT98" s="645"/>
      <c r="BU98" s="645"/>
      <c r="BV98" s="645"/>
      <c r="BW98" s="645"/>
      <c r="BX98" s="610"/>
      <c r="BY98" s="610"/>
      <c r="BZ98" s="645"/>
      <c r="CA98" s="645"/>
      <c r="CB98" s="645"/>
      <c r="CC98" s="645"/>
      <c r="CD98" s="610"/>
      <c r="CE98" s="610"/>
      <c r="CF98" s="645"/>
      <c r="CG98" s="645"/>
      <c r="CH98" s="645"/>
      <c r="CI98" s="645"/>
      <c r="CJ98" s="610"/>
      <c r="CK98" s="610"/>
      <c r="CL98" s="645"/>
      <c r="CM98" s="645"/>
      <c r="CN98" s="645"/>
      <c r="CO98" s="645"/>
      <c r="CP98" s="610"/>
      <c r="CQ98" s="610"/>
      <c r="CR98" s="645"/>
      <c r="CS98" s="645"/>
      <c r="CT98" s="645"/>
      <c r="CU98" s="645"/>
      <c r="CV98" s="610"/>
      <c r="CW98" s="610"/>
      <c r="CX98" s="645"/>
      <c r="CY98" s="645"/>
      <c r="CZ98" s="645"/>
      <c r="DA98" s="645"/>
      <c r="DB98" s="610"/>
      <c r="DC98" s="610"/>
      <c r="DD98" s="645"/>
      <c r="DE98" s="645"/>
      <c r="DF98" s="645"/>
      <c r="DG98" s="645"/>
      <c r="DH98" s="610"/>
      <c r="DI98" s="610"/>
      <c r="DJ98" s="645"/>
      <c r="DK98" s="645"/>
      <c r="DL98" s="645"/>
      <c r="DM98" s="645"/>
      <c r="DN98" s="610"/>
      <c r="DO98" s="610"/>
      <c r="DP98" s="645"/>
      <c r="DQ98" s="645"/>
      <c r="DR98" s="645"/>
      <c r="DS98" s="645"/>
      <c r="DT98" s="610"/>
      <c r="DU98" s="610"/>
      <c r="DV98" s="645"/>
      <c r="DW98" s="645"/>
      <c r="DX98" s="645"/>
      <c r="DY98" s="645"/>
      <c r="DZ98" s="610"/>
      <c r="EA98" s="610"/>
      <c r="EB98" s="645"/>
      <c r="EC98" s="645"/>
      <c r="ED98" s="645"/>
      <c r="EE98" s="645"/>
      <c r="EF98" s="610"/>
      <c r="EG98" s="610"/>
      <c r="EH98" s="645"/>
      <c r="EI98" s="645"/>
      <c r="EJ98" s="645"/>
      <c r="EK98" s="645"/>
      <c r="EL98" s="610"/>
      <c r="EM98" s="610"/>
      <c r="EN98" s="645"/>
      <c r="EO98" s="645"/>
      <c r="EP98" s="645"/>
      <c r="EQ98" s="645"/>
      <c r="ER98" s="610"/>
      <c r="ES98" s="610"/>
      <c r="ET98" s="645"/>
      <c r="EU98" s="645"/>
      <c r="EV98" s="645"/>
      <c r="EW98" s="645"/>
      <c r="EX98" s="610"/>
      <c r="EY98" s="610"/>
      <c r="EZ98" s="645"/>
      <c r="FA98" s="645"/>
      <c r="FB98" s="645"/>
      <c r="FC98" s="645"/>
      <c r="FD98" s="610"/>
    </row>
    <row r="99" spans="2:160" ht="60" customHeight="1">
      <c r="C99" s="611"/>
      <c r="J99"/>
    </row>
    <row r="100" spans="2:160">
      <c r="C100" s="3866" t="s">
        <v>2023</v>
      </c>
      <c r="D100" s="3866"/>
      <c r="E100" s="3852" t="s">
        <v>2024</v>
      </c>
      <c r="F100" s="3821"/>
      <c r="G100" s="3821"/>
      <c r="H100" s="3821"/>
      <c r="I100" s="3821"/>
      <c r="J100" s="3848"/>
      <c r="K100" s="3862" t="s">
        <v>2025</v>
      </c>
      <c r="L100" s="3863"/>
      <c r="M100" s="3863"/>
      <c r="N100" s="3863"/>
      <c r="O100" s="3863"/>
      <c r="P100" s="3863"/>
    </row>
    <row r="101" spans="2:160">
      <c r="C101" s="3866"/>
      <c r="D101" s="3866"/>
      <c r="E101" s="3849"/>
      <c r="F101" s="3850"/>
      <c r="G101" s="3850"/>
      <c r="H101" s="3850"/>
      <c r="I101" s="3850"/>
      <c r="J101" s="3851"/>
      <c r="K101" s="3849"/>
      <c r="L101" s="3850"/>
      <c r="M101" s="3850"/>
      <c r="N101" s="3850"/>
      <c r="O101" s="3850"/>
      <c r="P101" s="3850"/>
    </row>
    <row r="102" spans="2:160" ht="13.15">
      <c r="C102" s="3867"/>
      <c r="D102" s="3867"/>
      <c r="E102" s="549" t="s">
        <v>663</v>
      </c>
      <c r="F102" s="549" t="s">
        <v>664</v>
      </c>
      <c r="G102" s="549" t="s">
        <v>665</v>
      </c>
      <c r="H102" s="549" t="s">
        <v>666</v>
      </c>
      <c r="I102" s="549" t="s">
        <v>667</v>
      </c>
      <c r="J102" s="549" t="s">
        <v>668</v>
      </c>
      <c r="K102" s="549" t="s">
        <v>663</v>
      </c>
      <c r="L102" s="549" t="s">
        <v>664</v>
      </c>
      <c r="M102" s="549" t="s">
        <v>665</v>
      </c>
      <c r="N102" s="549" t="s">
        <v>666</v>
      </c>
      <c r="O102" s="549" t="s">
        <v>667</v>
      </c>
      <c r="P102" s="549" t="s">
        <v>668</v>
      </c>
    </row>
    <row r="103" spans="2:160" ht="12.75" customHeight="1">
      <c r="B103" s="551"/>
      <c r="C103" s="3864" t="s">
        <v>669</v>
      </c>
      <c r="D103" s="3865"/>
      <c r="E103" s="646">
        <v>47</v>
      </c>
      <c r="F103" s="647"/>
      <c r="G103" s="647"/>
      <c r="H103" s="647"/>
      <c r="I103" s="647"/>
      <c r="J103" s="648"/>
      <c r="K103" s="649" t="s">
        <v>2026</v>
      </c>
      <c r="L103" s="650"/>
      <c r="M103" s="650"/>
      <c r="N103" s="650"/>
      <c r="O103" s="650"/>
      <c r="P103" s="648"/>
    </row>
    <row r="104" spans="2:160" ht="12.75" customHeight="1">
      <c r="B104" s="555" t="s">
        <v>301</v>
      </c>
      <c r="C104" s="3855" t="s">
        <v>2021</v>
      </c>
      <c r="D104" s="3856"/>
      <c r="E104" s="651">
        <v>50</v>
      </c>
      <c r="F104" s="652"/>
      <c r="G104" s="652"/>
      <c r="H104" s="652"/>
      <c r="I104" s="652"/>
      <c r="J104" s="648"/>
      <c r="K104" s="653" t="s">
        <v>605</v>
      </c>
      <c r="L104" s="654"/>
      <c r="M104" s="654"/>
      <c r="N104" s="654"/>
      <c r="O104" s="654"/>
      <c r="P104" s="648"/>
    </row>
    <row r="105" spans="2:160" ht="12.75" customHeight="1">
      <c r="B105" s="555" t="s">
        <v>1791</v>
      </c>
      <c r="C105" s="3855" t="s">
        <v>2022</v>
      </c>
      <c r="D105" s="3856"/>
      <c r="E105" s="655">
        <v>51</v>
      </c>
      <c r="F105" s="652"/>
      <c r="G105" s="652"/>
      <c r="H105" s="652"/>
      <c r="I105" s="652"/>
      <c r="J105" s="648"/>
      <c r="K105" s="656" t="s">
        <v>1725</v>
      </c>
      <c r="L105" s="654"/>
      <c r="M105" s="654"/>
      <c r="N105" s="654"/>
      <c r="O105" s="654"/>
      <c r="P105" s="648"/>
    </row>
    <row r="106" spans="2:160" ht="12.75" customHeight="1">
      <c r="B106" s="555" t="s">
        <v>1793</v>
      </c>
      <c r="C106" s="3853" t="s">
        <v>629</v>
      </c>
      <c r="D106" s="3853"/>
      <c r="E106" s="657">
        <v>57</v>
      </c>
      <c r="F106" s="658"/>
      <c r="G106" s="658">
        <v>100</v>
      </c>
      <c r="H106" s="658"/>
      <c r="I106" s="659"/>
      <c r="J106" s="648"/>
      <c r="K106" s="660" t="s">
        <v>2027</v>
      </c>
      <c r="L106" s="661" t="s">
        <v>1272</v>
      </c>
      <c r="M106" s="661" t="s">
        <v>1841</v>
      </c>
      <c r="N106" s="661" t="s">
        <v>752</v>
      </c>
      <c r="O106" s="662"/>
      <c r="P106" s="648"/>
    </row>
    <row r="107" spans="2:160" ht="12.75" customHeight="1">
      <c r="B107" s="555" t="s">
        <v>301</v>
      </c>
      <c r="C107" s="3855" t="s">
        <v>1767</v>
      </c>
      <c r="D107" s="3855"/>
      <c r="E107" s="663"/>
      <c r="F107" s="664"/>
      <c r="G107" s="664">
        <v>102</v>
      </c>
      <c r="H107" s="652"/>
      <c r="I107" s="652"/>
      <c r="J107" s="648"/>
      <c r="K107" s="665"/>
      <c r="L107" s="666" t="s">
        <v>1274</v>
      </c>
      <c r="M107" s="666" t="s">
        <v>467</v>
      </c>
      <c r="N107" s="654">
        <v>0</v>
      </c>
      <c r="O107" s="654"/>
      <c r="P107" s="648"/>
    </row>
    <row r="108" spans="2:160" ht="12.75" customHeight="1">
      <c r="B108" s="555" t="s">
        <v>1791</v>
      </c>
      <c r="C108" s="3855" t="s">
        <v>1867</v>
      </c>
      <c r="D108" s="3855"/>
      <c r="E108" s="663"/>
      <c r="F108" s="664"/>
      <c r="G108" s="664">
        <v>101</v>
      </c>
      <c r="H108" s="652"/>
      <c r="I108" s="652"/>
      <c r="J108" s="648"/>
      <c r="K108" s="665"/>
      <c r="L108" s="666" t="s">
        <v>1275</v>
      </c>
      <c r="M108" s="666" t="s">
        <v>415</v>
      </c>
      <c r="N108" s="654">
        <v>0</v>
      </c>
      <c r="O108" s="654"/>
      <c r="P108" s="648"/>
    </row>
    <row r="109" spans="2:160" ht="12.75" customHeight="1">
      <c r="B109" s="555" t="s">
        <v>301</v>
      </c>
      <c r="C109" s="3855" t="s">
        <v>1868</v>
      </c>
      <c r="D109" s="3856"/>
      <c r="E109" s="663"/>
      <c r="F109" s="664"/>
      <c r="G109" s="664">
        <v>103</v>
      </c>
      <c r="H109" s="664">
        <v>120</v>
      </c>
      <c r="I109" s="667" t="s">
        <v>2028</v>
      </c>
      <c r="J109" s="648"/>
      <c r="K109" s="665"/>
      <c r="L109" s="666" t="s">
        <v>2029</v>
      </c>
      <c r="M109" s="666" t="s">
        <v>2030</v>
      </c>
      <c r="N109" s="666" t="s">
        <v>2031</v>
      </c>
      <c r="O109" s="668" t="s">
        <v>1719</v>
      </c>
      <c r="P109" s="648"/>
    </row>
    <row r="110" spans="2:160" ht="12.75" customHeight="1">
      <c r="B110" s="555" t="s">
        <v>1793</v>
      </c>
      <c r="C110" s="3853" t="s">
        <v>1869</v>
      </c>
      <c r="D110" s="3854"/>
      <c r="E110" s="669"/>
      <c r="F110" s="669">
        <v>89</v>
      </c>
      <c r="G110" s="669">
        <v>104</v>
      </c>
      <c r="H110" s="669" t="s">
        <v>2032</v>
      </c>
      <c r="I110" s="669"/>
      <c r="J110" s="648"/>
      <c r="K110" s="670"/>
      <c r="L110" s="670" t="s">
        <v>52</v>
      </c>
      <c r="M110" s="670" t="s">
        <v>1210</v>
      </c>
      <c r="N110" s="670" t="s">
        <v>2033</v>
      </c>
      <c r="O110" s="670"/>
      <c r="P110" s="648"/>
    </row>
    <row r="111" spans="2:160" ht="12.75" customHeight="1">
      <c r="B111" s="555" t="s">
        <v>1791</v>
      </c>
      <c r="C111" s="3855" t="s">
        <v>1870</v>
      </c>
      <c r="D111" s="3856"/>
      <c r="E111" s="663"/>
      <c r="F111" s="663">
        <v>87</v>
      </c>
      <c r="G111" s="652"/>
      <c r="H111" s="652"/>
      <c r="I111" s="664" t="s">
        <v>2028</v>
      </c>
      <c r="J111" s="648"/>
      <c r="K111" s="665"/>
      <c r="L111" s="665" t="s">
        <v>1558</v>
      </c>
      <c r="M111" s="654"/>
      <c r="N111" s="654"/>
      <c r="O111" s="666" t="s">
        <v>1720</v>
      </c>
      <c r="P111" s="648"/>
    </row>
    <row r="112" spans="2:160" ht="13.15">
      <c r="B112" s="574"/>
      <c r="C112" s="575"/>
      <c r="D112" s="576" t="s">
        <v>1871</v>
      </c>
      <c r="E112" s="671"/>
      <c r="F112" s="672">
        <v>88</v>
      </c>
      <c r="G112" s="673"/>
      <c r="H112" s="673"/>
      <c r="I112" s="673"/>
      <c r="J112" s="648"/>
      <c r="K112" s="665"/>
      <c r="L112" s="666" t="s">
        <v>1560</v>
      </c>
      <c r="M112" s="654"/>
      <c r="N112" s="654"/>
      <c r="O112" s="654"/>
      <c r="P112" s="648"/>
    </row>
    <row r="113" spans="2:16" ht="13.15">
      <c r="B113" s="574"/>
      <c r="C113" s="575"/>
      <c r="D113" s="576" t="s">
        <v>1878</v>
      </c>
      <c r="E113" s="671"/>
      <c r="F113" s="672"/>
      <c r="G113" s="673"/>
      <c r="H113" s="673"/>
      <c r="I113" s="673"/>
      <c r="J113" s="648"/>
      <c r="K113" s="665"/>
      <c r="L113" s="666" t="s">
        <v>976</v>
      </c>
      <c r="M113" s="654"/>
      <c r="N113" s="654"/>
      <c r="O113" s="654"/>
      <c r="P113" s="648"/>
    </row>
    <row r="114" spans="2:16" ht="12.75" customHeight="1">
      <c r="B114" s="555" t="s">
        <v>1791</v>
      </c>
      <c r="C114" s="3855" t="s">
        <v>1879</v>
      </c>
      <c r="D114" s="3856"/>
      <c r="E114" s="663"/>
      <c r="F114" s="652"/>
      <c r="G114" s="652"/>
      <c r="H114" s="664">
        <v>113</v>
      </c>
      <c r="I114" s="664" t="s">
        <v>977</v>
      </c>
      <c r="J114" s="648"/>
      <c r="K114" s="665"/>
      <c r="L114" s="654"/>
      <c r="M114" s="654"/>
      <c r="N114" s="666" t="s">
        <v>149</v>
      </c>
      <c r="O114" s="666" t="s">
        <v>2040</v>
      </c>
      <c r="P114" s="648"/>
    </row>
    <row r="115" spans="2:16" ht="12.75" customHeight="1" thickBot="1">
      <c r="B115" s="555" t="s">
        <v>301</v>
      </c>
      <c r="C115" s="3855" t="s">
        <v>1801</v>
      </c>
      <c r="D115" s="3856"/>
      <c r="E115" s="663"/>
      <c r="F115" s="652"/>
      <c r="G115" s="652"/>
      <c r="H115" s="664">
        <v>123</v>
      </c>
      <c r="I115" s="664" t="s">
        <v>2041</v>
      </c>
      <c r="J115" s="648"/>
      <c r="K115" s="665"/>
      <c r="L115" s="654"/>
      <c r="M115" s="654"/>
      <c r="N115" s="666" t="s">
        <v>2042</v>
      </c>
      <c r="O115" s="666" t="s">
        <v>2043</v>
      </c>
      <c r="P115" s="648"/>
    </row>
    <row r="116" spans="2:16" ht="12.75" customHeight="1">
      <c r="B116" s="555" t="s">
        <v>1791</v>
      </c>
      <c r="C116" s="3855" t="s">
        <v>1802</v>
      </c>
      <c r="D116" s="3856"/>
      <c r="E116" s="663"/>
      <c r="F116" s="664">
        <v>90</v>
      </c>
      <c r="G116" s="664">
        <v>105</v>
      </c>
      <c r="H116" s="674"/>
      <c r="I116" s="664" t="s">
        <v>2028</v>
      </c>
      <c r="J116" s="648"/>
      <c r="K116" s="665"/>
      <c r="L116" s="666" t="s">
        <v>2044</v>
      </c>
      <c r="M116" s="666" t="s">
        <v>1212</v>
      </c>
      <c r="N116" s="675"/>
      <c r="O116" s="666" t="s">
        <v>1722</v>
      </c>
      <c r="P116" s="648"/>
    </row>
    <row r="117" spans="2:16" ht="13.15">
      <c r="B117" s="579"/>
      <c r="C117" s="586"/>
      <c r="D117" s="587" t="s">
        <v>947</v>
      </c>
      <c r="E117" s="680"/>
      <c r="F117" s="652"/>
      <c r="G117" s="652"/>
      <c r="H117" s="676" t="s">
        <v>2032</v>
      </c>
      <c r="I117" s="652"/>
      <c r="J117" s="648"/>
      <c r="K117" s="665"/>
      <c r="L117" s="654"/>
      <c r="M117" s="654"/>
      <c r="N117" s="677" t="s">
        <v>1550</v>
      </c>
      <c r="O117" s="654"/>
      <c r="P117" s="648"/>
    </row>
    <row r="118" spans="2:16" ht="13.15">
      <c r="B118" s="579"/>
      <c r="C118" s="586"/>
      <c r="D118" s="587" t="s">
        <v>948</v>
      </c>
      <c r="E118" s="680"/>
      <c r="F118" s="652"/>
      <c r="G118" s="652"/>
      <c r="H118" s="676" t="s">
        <v>963</v>
      </c>
      <c r="I118" s="652"/>
      <c r="J118" s="648"/>
      <c r="K118" s="665"/>
      <c r="L118" s="654"/>
      <c r="M118" s="654"/>
      <c r="N118" s="677"/>
      <c r="O118" s="654"/>
      <c r="P118" s="648"/>
    </row>
    <row r="119" spans="2:16" ht="13.5" thickBot="1">
      <c r="B119" s="579"/>
      <c r="C119" s="586"/>
      <c r="D119" s="587" t="s">
        <v>1803</v>
      </c>
      <c r="E119" s="680"/>
      <c r="F119" s="652"/>
      <c r="G119" s="652"/>
      <c r="H119" s="678">
        <v>122</v>
      </c>
      <c r="I119" s="652"/>
      <c r="J119" s="648"/>
      <c r="K119" s="665"/>
      <c r="L119" s="654"/>
      <c r="M119" s="654"/>
      <c r="N119" s="679" t="s">
        <v>2045</v>
      </c>
      <c r="O119" s="654"/>
      <c r="P119" s="648"/>
    </row>
    <row r="120" spans="2:16" ht="12.75" customHeight="1">
      <c r="B120" s="555" t="s">
        <v>1793</v>
      </c>
      <c r="C120" s="3853" t="s">
        <v>1804</v>
      </c>
      <c r="D120" s="3854"/>
      <c r="E120" s="669"/>
      <c r="F120" s="669"/>
      <c r="G120" s="669"/>
      <c r="H120" s="669"/>
      <c r="I120" s="669"/>
      <c r="J120" s="648"/>
      <c r="K120" s="670"/>
      <c r="L120" s="670" t="s">
        <v>2046</v>
      </c>
      <c r="M120" s="670" t="s">
        <v>2047</v>
      </c>
      <c r="N120" s="670" t="s">
        <v>2048</v>
      </c>
      <c r="O120" s="670"/>
      <c r="P120" s="648"/>
    </row>
    <row r="121" spans="2:16" ht="13.5" customHeight="1" thickBot="1">
      <c r="B121" s="555" t="s">
        <v>1791</v>
      </c>
      <c r="C121" s="3855" t="s">
        <v>820</v>
      </c>
      <c r="D121" s="3856"/>
      <c r="E121" s="663"/>
      <c r="F121" s="652"/>
      <c r="G121" s="652"/>
      <c r="H121" s="664">
        <v>114</v>
      </c>
      <c r="I121" s="681" t="s">
        <v>950</v>
      </c>
      <c r="J121" s="648"/>
      <c r="K121" s="665"/>
      <c r="L121" s="654"/>
      <c r="M121" s="654"/>
      <c r="N121" s="666" t="s">
        <v>951</v>
      </c>
      <c r="O121" s="682" t="s">
        <v>952</v>
      </c>
      <c r="P121" s="648"/>
    </row>
    <row r="122" spans="2:16" ht="12.75" customHeight="1">
      <c r="B122" s="555" t="s">
        <v>1791</v>
      </c>
      <c r="C122" s="3855" t="s">
        <v>821</v>
      </c>
      <c r="D122" s="3856"/>
      <c r="E122" s="663"/>
      <c r="F122" s="664" t="s">
        <v>953</v>
      </c>
      <c r="G122" s="664" t="s">
        <v>954</v>
      </c>
      <c r="H122" s="674">
        <v>115</v>
      </c>
      <c r="I122" s="664" t="s">
        <v>950</v>
      </c>
      <c r="J122" s="648"/>
      <c r="K122" s="665"/>
      <c r="L122" s="666" t="s">
        <v>955</v>
      </c>
      <c r="M122" s="666" t="s">
        <v>956</v>
      </c>
      <c r="N122" s="675" t="s">
        <v>957</v>
      </c>
      <c r="O122" s="666" t="s">
        <v>958</v>
      </c>
      <c r="P122" s="648"/>
    </row>
    <row r="123" spans="2:16" ht="13.15">
      <c r="B123" s="579"/>
      <c r="C123" s="580"/>
      <c r="D123" s="581" t="s">
        <v>822</v>
      </c>
      <c r="E123" s="680"/>
      <c r="F123" s="683"/>
      <c r="G123" s="683"/>
      <c r="H123" s="676"/>
      <c r="I123" s="683"/>
      <c r="J123" s="648"/>
      <c r="K123" s="665"/>
      <c r="L123" s="684"/>
      <c r="M123" s="684"/>
      <c r="N123" s="677" t="s">
        <v>450</v>
      </c>
      <c r="O123" s="684"/>
      <c r="P123" s="648"/>
    </row>
    <row r="124" spans="2:16" ht="13.5" thickBot="1">
      <c r="B124" s="579"/>
      <c r="C124" s="580"/>
      <c r="D124" s="581" t="s">
        <v>1662</v>
      </c>
      <c r="E124" s="680"/>
      <c r="F124" s="683"/>
      <c r="G124" s="683"/>
      <c r="H124" s="678">
        <v>116</v>
      </c>
      <c r="I124" s="683"/>
      <c r="J124" s="648"/>
      <c r="K124" s="665"/>
      <c r="L124" s="684"/>
      <c r="M124" s="684"/>
      <c r="N124" s="679" t="s">
        <v>1548</v>
      </c>
      <c r="O124" s="684"/>
      <c r="P124" s="648"/>
    </row>
    <row r="125" spans="2:16" ht="12.75" customHeight="1">
      <c r="B125" s="555" t="s">
        <v>1791</v>
      </c>
      <c r="C125" s="3855" t="s">
        <v>1663</v>
      </c>
      <c r="D125" s="3856"/>
      <c r="E125" s="663"/>
      <c r="F125" s="664" t="s">
        <v>959</v>
      </c>
      <c r="G125" s="652"/>
      <c r="H125" s="652"/>
      <c r="I125" s="664" t="s">
        <v>950</v>
      </c>
      <c r="J125" s="648"/>
      <c r="K125" s="665"/>
      <c r="L125" s="666" t="s">
        <v>955</v>
      </c>
      <c r="M125" s="654"/>
      <c r="N125" s="654"/>
      <c r="O125" s="666" t="s">
        <v>958</v>
      </c>
      <c r="P125" s="648"/>
    </row>
    <row r="126" spans="2:16" ht="12.75" customHeight="1">
      <c r="B126" s="555" t="s">
        <v>1791</v>
      </c>
      <c r="C126" s="3855" t="s">
        <v>1664</v>
      </c>
      <c r="D126" s="3856"/>
      <c r="E126" s="663"/>
      <c r="F126" s="664" t="s">
        <v>959</v>
      </c>
      <c r="G126" s="664" t="s">
        <v>954</v>
      </c>
      <c r="H126" s="664" t="s">
        <v>2032</v>
      </c>
      <c r="I126" s="664" t="s">
        <v>950</v>
      </c>
      <c r="J126" s="648"/>
      <c r="K126" s="665"/>
      <c r="L126" s="666" t="s">
        <v>1279</v>
      </c>
      <c r="M126" s="666" t="s">
        <v>739</v>
      </c>
      <c r="N126" s="666" t="s">
        <v>1592</v>
      </c>
      <c r="O126" s="666" t="s">
        <v>1732</v>
      </c>
      <c r="P126" s="648"/>
    </row>
    <row r="127" spans="2:16" ht="12.75" customHeight="1">
      <c r="B127" s="555" t="s">
        <v>1793</v>
      </c>
      <c r="C127" s="3853" t="s">
        <v>1665</v>
      </c>
      <c r="D127" s="3854"/>
      <c r="E127" s="669"/>
      <c r="F127" s="669"/>
      <c r="G127" s="669"/>
      <c r="H127" s="669"/>
      <c r="I127" s="669"/>
      <c r="J127" s="648"/>
      <c r="K127" s="670"/>
      <c r="L127" s="670" t="s">
        <v>960</v>
      </c>
      <c r="M127" s="670" t="s">
        <v>961</v>
      </c>
      <c r="N127" s="670" t="s">
        <v>962</v>
      </c>
      <c r="O127" s="670"/>
      <c r="P127" s="648"/>
    </row>
    <row r="128" spans="2:16" ht="12.75" customHeight="1">
      <c r="B128" s="555" t="s">
        <v>301</v>
      </c>
      <c r="C128" s="3856" t="s">
        <v>1666</v>
      </c>
      <c r="D128" s="3856"/>
      <c r="E128" s="663"/>
      <c r="F128" s="664">
        <v>92</v>
      </c>
      <c r="G128" s="664">
        <v>107</v>
      </c>
      <c r="H128" s="664" t="s">
        <v>963</v>
      </c>
      <c r="I128" s="664" t="s">
        <v>950</v>
      </c>
      <c r="J128" s="648"/>
      <c r="K128" s="665"/>
      <c r="L128" s="666" t="s">
        <v>1565</v>
      </c>
      <c r="M128" s="666" t="s">
        <v>1241</v>
      </c>
      <c r="N128" s="666" t="s">
        <v>1547</v>
      </c>
      <c r="O128" s="666" t="s">
        <v>1730</v>
      </c>
      <c r="P128" s="648"/>
    </row>
    <row r="129" spans="2:16" ht="12.75" customHeight="1">
      <c r="B129" s="555" t="s">
        <v>301</v>
      </c>
      <c r="C129" s="3856" t="s">
        <v>1667</v>
      </c>
      <c r="D129" s="3856"/>
      <c r="E129" s="663"/>
      <c r="F129" s="664" t="s">
        <v>959</v>
      </c>
      <c r="G129" s="652"/>
      <c r="H129" s="652"/>
      <c r="I129" s="664" t="s">
        <v>950</v>
      </c>
      <c r="J129" s="648"/>
      <c r="K129" s="665"/>
      <c r="L129" s="666" t="s">
        <v>964</v>
      </c>
      <c r="M129" s="654"/>
      <c r="N129" s="654"/>
      <c r="O129" s="666" t="s">
        <v>965</v>
      </c>
      <c r="P129" s="648"/>
    </row>
    <row r="130" spans="2:16" ht="12.75" customHeight="1">
      <c r="B130" s="555" t="s">
        <v>301</v>
      </c>
      <c r="C130" s="3856" t="s">
        <v>1668</v>
      </c>
      <c r="D130" s="3856"/>
      <c r="E130" s="663"/>
      <c r="F130" s="664" t="s">
        <v>953</v>
      </c>
      <c r="G130" s="664" t="s">
        <v>954</v>
      </c>
      <c r="H130" s="664">
        <v>121</v>
      </c>
      <c r="I130" s="664" t="s">
        <v>950</v>
      </c>
      <c r="J130" s="648"/>
      <c r="K130" s="665"/>
      <c r="L130" s="666" t="s">
        <v>964</v>
      </c>
      <c r="M130" s="666" t="s">
        <v>742</v>
      </c>
      <c r="N130" s="666" t="s">
        <v>966</v>
      </c>
      <c r="O130" s="666" t="s">
        <v>965</v>
      </c>
      <c r="P130" s="648"/>
    </row>
    <row r="131" spans="2:16" ht="12.75" customHeight="1">
      <c r="B131" s="555" t="s">
        <v>301</v>
      </c>
      <c r="C131" s="3856" t="s">
        <v>1669</v>
      </c>
      <c r="D131" s="3856"/>
      <c r="E131" s="663"/>
      <c r="F131" s="664" t="s">
        <v>953</v>
      </c>
      <c r="G131" s="664" t="s">
        <v>954</v>
      </c>
      <c r="H131" s="664" t="s">
        <v>963</v>
      </c>
      <c r="I131" s="664" t="s">
        <v>950</v>
      </c>
      <c r="J131" s="648"/>
      <c r="K131" s="665"/>
      <c r="L131" s="666" t="s">
        <v>1281</v>
      </c>
      <c r="M131" s="666" t="s">
        <v>740</v>
      </c>
      <c r="N131" s="666" t="s">
        <v>1593</v>
      </c>
      <c r="O131" s="666" t="s">
        <v>1731</v>
      </c>
      <c r="P131" s="648"/>
    </row>
    <row r="132" spans="2:16" ht="12.75" customHeight="1">
      <c r="B132" s="555" t="s">
        <v>1793</v>
      </c>
      <c r="C132" s="3853" t="s">
        <v>1670</v>
      </c>
      <c r="D132" s="3854"/>
      <c r="E132" s="669"/>
      <c r="F132" s="669"/>
      <c r="G132" s="669"/>
      <c r="H132" s="669"/>
      <c r="I132" s="669"/>
      <c r="J132" s="648"/>
      <c r="K132" s="670"/>
      <c r="L132" s="670" t="s">
        <v>967</v>
      </c>
      <c r="M132" s="670" t="s">
        <v>823</v>
      </c>
      <c r="N132" s="670" t="s">
        <v>824</v>
      </c>
      <c r="O132" s="670"/>
      <c r="P132" s="648"/>
    </row>
    <row r="133" spans="2:16" ht="13.5" customHeight="1" thickBot="1">
      <c r="B133" s="555" t="s">
        <v>1791</v>
      </c>
      <c r="C133" s="3855" t="s">
        <v>1671</v>
      </c>
      <c r="D133" s="3856"/>
      <c r="E133" s="663"/>
      <c r="F133" s="664">
        <v>94</v>
      </c>
      <c r="G133" s="664">
        <v>108</v>
      </c>
      <c r="H133" s="664" t="s">
        <v>825</v>
      </c>
      <c r="I133" s="652"/>
      <c r="J133" s="648"/>
      <c r="K133" s="665"/>
      <c r="L133" s="666" t="s">
        <v>1282</v>
      </c>
      <c r="M133" s="666" t="s">
        <v>1842</v>
      </c>
      <c r="N133" s="666" t="s">
        <v>825</v>
      </c>
      <c r="O133" s="654"/>
      <c r="P133" s="648"/>
    </row>
    <row r="134" spans="2:16" ht="12.75" customHeight="1">
      <c r="B134" s="555" t="s">
        <v>301</v>
      </c>
      <c r="C134" s="3855" t="s">
        <v>1998</v>
      </c>
      <c r="D134" s="3856"/>
      <c r="E134" s="663"/>
      <c r="F134" s="685">
        <v>95</v>
      </c>
      <c r="G134" s="686"/>
      <c r="H134" s="674"/>
      <c r="I134" s="687"/>
      <c r="J134" s="648"/>
      <c r="K134" s="665"/>
      <c r="L134" s="688" t="s">
        <v>2014</v>
      </c>
      <c r="M134" s="689"/>
      <c r="N134" s="675" t="s">
        <v>2016</v>
      </c>
      <c r="O134" s="690"/>
      <c r="P134" s="648"/>
    </row>
    <row r="135" spans="2:16" ht="13.15">
      <c r="B135" s="555"/>
      <c r="C135" s="598"/>
      <c r="D135" s="599" t="s">
        <v>681</v>
      </c>
      <c r="E135" s="680"/>
      <c r="F135" s="652"/>
      <c r="G135" s="686"/>
      <c r="H135" s="691">
        <v>119</v>
      </c>
      <c r="I135" s="687"/>
      <c r="J135" s="648"/>
      <c r="K135" s="665"/>
      <c r="L135" s="654"/>
      <c r="M135" s="689"/>
      <c r="N135" s="692" t="s">
        <v>906</v>
      </c>
      <c r="O135" s="690"/>
      <c r="P135" s="648"/>
    </row>
    <row r="136" spans="2:16" ht="13.5" thickBot="1">
      <c r="B136" s="579"/>
      <c r="C136" s="598"/>
      <c r="D136" s="599" t="s">
        <v>682</v>
      </c>
      <c r="E136" s="680"/>
      <c r="F136" s="652"/>
      <c r="G136" s="686"/>
      <c r="H136" s="693">
        <v>118</v>
      </c>
      <c r="I136" s="687"/>
      <c r="J136" s="648"/>
      <c r="K136" s="665"/>
      <c r="L136" s="654"/>
      <c r="M136" s="689"/>
      <c r="N136" s="694" t="s">
        <v>907</v>
      </c>
      <c r="O136" s="690"/>
      <c r="P136" s="648"/>
    </row>
    <row r="137" spans="2:16" ht="12.75" customHeight="1">
      <c r="B137" s="555" t="s">
        <v>1793</v>
      </c>
      <c r="C137" s="3853" t="s">
        <v>1660</v>
      </c>
      <c r="D137" s="3854"/>
      <c r="E137" s="669"/>
      <c r="F137" s="669"/>
      <c r="G137" s="669"/>
      <c r="H137" s="669"/>
      <c r="I137" s="669"/>
      <c r="J137" s="648"/>
      <c r="K137" s="670"/>
      <c r="L137" s="670" t="s">
        <v>826</v>
      </c>
      <c r="M137" s="670" t="s">
        <v>827</v>
      </c>
      <c r="N137" s="670" t="s">
        <v>828</v>
      </c>
      <c r="O137" s="670"/>
      <c r="P137" s="648"/>
    </row>
    <row r="138" spans="2:16" ht="12.75" customHeight="1">
      <c r="B138" s="555" t="s">
        <v>1791</v>
      </c>
      <c r="C138" s="3855" t="s">
        <v>1661</v>
      </c>
      <c r="D138" s="3856"/>
      <c r="E138" s="663"/>
      <c r="F138" s="664" t="s">
        <v>829</v>
      </c>
      <c r="G138" s="664" t="s">
        <v>830</v>
      </c>
      <c r="H138" s="663"/>
      <c r="I138" s="664">
        <v>142</v>
      </c>
      <c r="J138" s="648"/>
      <c r="K138" s="665"/>
      <c r="L138" s="666" t="s">
        <v>657</v>
      </c>
      <c r="M138" s="666" t="s">
        <v>1301</v>
      </c>
      <c r="N138" s="665" t="s">
        <v>831</v>
      </c>
      <c r="O138" s="666" t="s">
        <v>1723</v>
      </c>
      <c r="P138" s="648"/>
    </row>
    <row r="139" spans="2:16" ht="13.15">
      <c r="B139" s="579"/>
      <c r="C139" s="598"/>
      <c r="D139" s="599" t="s">
        <v>647</v>
      </c>
      <c r="E139" s="663"/>
      <c r="F139" s="652"/>
      <c r="G139" s="652"/>
      <c r="H139" s="695">
        <v>130</v>
      </c>
      <c r="I139" s="652"/>
      <c r="J139" s="648"/>
      <c r="K139" s="665"/>
      <c r="L139" s="654"/>
      <c r="M139" s="654"/>
      <c r="N139" s="666" t="s">
        <v>1594</v>
      </c>
      <c r="O139" s="654"/>
      <c r="P139" s="648"/>
    </row>
    <row r="140" spans="2:16" ht="13.15">
      <c r="B140" s="579"/>
      <c r="C140" s="598"/>
      <c r="D140" s="599" t="s">
        <v>1206</v>
      </c>
      <c r="E140" s="663"/>
      <c r="F140" s="652"/>
      <c r="G140" s="652"/>
      <c r="H140" s="695">
        <v>148</v>
      </c>
      <c r="I140" s="652"/>
      <c r="J140" s="648"/>
      <c r="K140" s="665"/>
      <c r="L140" s="654"/>
      <c r="M140" s="654"/>
      <c r="N140" s="666"/>
      <c r="O140" s="654"/>
      <c r="P140" s="648"/>
    </row>
    <row r="141" spans="2:16" ht="13.15">
      <c r="B141" s="579"/>
      <c r="C141" s="598"/>
      <c r="D141" s="599" t="s">
        <v>2039</v>
      </c>
      <c r="E141" s="663"/>
      <c r="F141" s="652"/>
      <c r="G141" s="652"/>
      <c r="H141" s="695" t="s">
        <v>864</v>
      </c>
      <c r="I141" s="652"/>
      <c r="J141" s="648"/>
      <c r="K141" s="665"/>
      <c r="L141" s="654"/>
      <c r="M141" s="654"/>
      <c r="N141" s="666" t="s">
        <v>1595</v>
      </c>
      <c r="O141" s="654"/>
      <c r="P141" s="648"/>
    </row>
    <row r="142" spans="2:16" ht="13.15">
      <c r="B142" s="579"/>
      <c r="C142" s="598"/>
      <c r="D142" s="599" t="s">
        <v>1339</v>
      </c>
      <c r="E142" s="663"/>
      <c r="F142" s="652"/>
      <c r="G142" s="652"/>
      <c r="H142" s="695" t="s">
        <v>865</v>
      </c>
      <c r="I142" s="652"/>
      <c r="J142" s="648"/>
      <c r="K142" s="665"/>
      <c r="L142" s="654"/>
      <c r="M142" s="654"/>
      <c r="N142" s="666" t="s">
        <v>1225</v>
      </c>
      <c r="O142" s="654"/>
      <c r="P142" s="648"/>
    </row>
    <row r="143" spans="2:16" ht="12.75" customHeight="1">
      <c r="B143" s="555" t="s">
        <v>301</v>
      </c>
      <c r="C143" s="3855" t="s">
        <v>1340</v>
      </c>
      <c r="D143" s="3856"/>
      <c r="E143" s="663"/>
      <c r="F143" s="664" t="s">
        <v>829</v>
      </c>
      <c r="G143" s="664" t="s">
        <v>830</v>
      </c>
      <c r="H143" s="664" t="s">
        <v>865</v>
      </c>
      <c r="I143" s="664"/>
      <c r="J143" s="648"/>
      <c r="K143" s="665"/>
      <c r="L143" s="666" t="s">
        <v>1285</v>
      </c>
      <c r="M143" s="666" t="s">
        <v>743</v>
      </c>
      <c r="N143" s="666" t="s">
        <v>866</v>
      </c>
      <c r="O143" s="666" t="s">
        <v>867</v>
      </c>
      <c r="P143" s="648"/>
    </row>
    <row r="144" spans="2:16" ht="12.75" customHeight="1">
      <c r="B144" s="555" t="s">
        <v>301</v>
      </c>
      <c r="C144" s="3855" t="s">
        <v>1341</v>
      </c>
      <c r="D144" s="3856"/>
      <c r="E144" s="685"/>
      <c r="F144" s="685" t="s">
        <v>868</v>
      </c>
      <c r="G144" s="685" t="s">
        <v>869</v>
      </c>
      <c r="H144" s="685">
        <v>126</v>
      </c>
      <c r="I144" s="652"/>
      <c r="J144" s="648"/>
      <c r="K144" s="688"/>
      <c r="L144" s="688" t="s">
        <v>1571</v>
      </c>
      <c r="M144" s="688" t="s">
        <v>744</v>
      </c>
      <c r="N144" s="688" t="s">
        <v>1226</v>
      </c>
      <c r="O144" s="654"/>
      <c r="P144" s="648"/>
    </row>
    <row r="145" spans="2:16" ht="12.75" customHeight="1">
      <c r="B145" s="555" t="s">
        <v>301</v>
      </c>
      <c r="C145" s="3860" t="s">
        <v>234</v>
      </c>
      <c r="D145" s="3861"/>
      <c r="E145" s="685"/>
      <c r="F145" s="664" t="s">
        <v>868</v>
      </c>
      <c r="G145" s="664" t="s">
        <v>869</v>
      </c>
      <c r="H145" s="664" t="s">
        <v>865</v>
      </c>
      <c r="I145" s="652"/>
      <c r="J145" s="648"/>
      <c r="K145" s="688"/>
      <c r="L145" s="666" t="s">
        <v>870</v>
      </c>
      <c r="M145" s="666" t="s">
        <v>871</v>
      </c>
      <c r="N145" s="666" t="s">
        <v>872</v>
      </c>
      <c r="O145" s="654"/>
      <c r="P145" s="648"/>
    </row>
    <row r="146" spans="2:16" ht="12.75" customHeight="1">
      <c r="B146" s="643" t="s">
        <v>1793</v>
      </c>
      <c r="C146" s="3857" t="s">
        <v>235</v>
      </c>
      <c r="D146" s="3857"/>
      <c r="E146" s="696"/>
      <c r="F146" s="696"/>
      <c r="G146" s="696"/>
      <c r="H146" s="696"/>
      <c r="I146" s="696"/>
      <c r="J146" s="648"/>
      <c r="K146" s="697"/>
      <c r="L146" s="697" t="s">
        <v>873</v>
      </c>
      <c r="M146" s="697" t="s">
        <v>1834</v>
      </c>
      <c r="N146" s="697" t="s">
        <v>1701</v>
      </c>
      <c r="O146" s="697" t="s">
        <v>1702</v>
      </c>
      <c r="P146" s="648"/>
    </row>
    <row r="147" spans="2:16" ht="12.75" customHeight="1">
      <c r="B147" s="607"/>
      <c r="C147" s="3858"/>
      <c r="D147" s="3859"/>
      <c r="E147" s="698"/>
      <c r="F147" s="699"/>
      <c r="G147" s="699"/>
      <c r="H147" s="699"/>
      <c r="I147" s="699"/>
      <c r="J147" s="699"/>
      <c r="K147" s="698"/>
      <c r="L147" s="699"/>
      <c r="M147" s="699"/>
      <c r="N147" s="699"/>
      <c r="O147" s="699"/>
      <c r="P147" s="699"/>
    </row>
  </sheetData>
  <mergeCells count="151">
    <mergeCell ref="EG2:EL3"/>
    <mergeCell ref="EG51:EL52"/>
    <mergeCell ref="EA2:EF3"/>
    <mergeCell ref="EA51:EF52"/>
    <mergeCell ref="DU2:DZ3"/>
    <mergeCell ref="DU51:DZ52"/>
    <mergeCell ref="DO2:DT3"/>
    <mergeCell ref="DO51:DT52"/>
    <mergeCell ref="CQ2:CV3"/>
    <mergeCell ref="CQ51:CV52"/>
    <mergeCell ref="CE2:CJ3"/>
    <mergeCell ref="CE51:CJ52"/>
    <mergeCell ref="CK2:CP3"/>
    <mergeCell ref="CK51:CP52"/>
    <mergeCell ref="DI2:DN3"/>
    <mergeCell ref="DI51:DN52"/>
    <mergeCell ref="AO2:AT3"/>
    <mergeCell ref="AU2:AZ3"/>
    <mergeCell ref="BY2:CD3"/>
    <mergeCell ref="BG2:BL3"/>
    <mergeCell ref="BM2:BR3"/>
    <mergeCell ref="BS2:BX3"/>
    <mergeCell ref="BA2:BF3"/>
    <mergeCell ref="BS51:BX52"/>
    <mergeCell ref="BY51:CD52"/>
    <mergeCell ref="CW2:DB3"/>
    <mergeCell ref="CW51:DB52"/>
    <mergeCell ref="DC2:DH3"/>
    <mergeCell ref="DC51:DH52"/>
    <mergeCell ref="AI2:AN3"/>
    <mergeCell ref="E2:J3"/>
    <mergeCell ref="K2:P3"/>
    <mergeCell ref="Q2:V3"/>
    <mergeCell ref="W2:AB3"/>
    <mergeCell ref="C13:D13"/>
    <mergeCell ref="C16:D16"/>
    <mergeCell ref="C17:D17"/>
    <mergeCell ref="C18:D18"/>
    <mergeCell ref="C5:D5"/>
    <mergeCell ref="C6:D6"/>
    <mergeCell ref="C7:D7"/>
    <mergeCell ref="C8:D8"/>
    <mergeCell ref="C9:D9"/>
    <mergeCell ref="C10:D10"/>
    <mergeCell ref="C11:D11"/>
    <mergeCell ref="C12:D12"/>
    <mergeCell ref="AC2:AH3"/>
    <mergeCell ref="C22:D22"/>
    <mergeCell ref="C23:D23"/>
    <mergeCell ref="C24:D24"/>
    <mergeCell ref="C27:D27"/>
    <mergeCell ref="C28:D28"/>
    <mergeCell ref="C29:D29"/>
    <mergeCell ref="C30:D30"/>
    <mergeCell ref="C31:D31"/>
    <mergeCell ref="C32:D32"/>
    <mergeCell ref="C33:D33"/>
    <mergeCell ref="C34:D34"/>
    <mergeCell ref="C35:D35"/>
    <mergeCell ref="C36:D36"/>
    <mergeCell ref="C39:D39"/>
    <mergeCell ref="C40:D40"/>
    <mergeCell ref="C45:D45"/>
    <mergeCell ref="BG51:BL52"/>
    <mergeCell ref="BM51:BR52"/>
    <mergeCell ref="W51:AB52"/>
    <mergeCell ref="AC51:AH52"/>
    <mergeCell ref="C46:D46"/>
    <mergeCell ref="C47:D47"/>
    <mergeCell ref="C48:D48"/>
    <mergeCell ref="C49:D49"/>
    <mergeCell ref="C55:D55"/>
    <mergeCell ref="AU51:AZ52"/>
    <mergeCell ref="BA51:BF52"/>
    <mergeCell ref="AI51:AN52"/>
    <mergeCell ref="AO51:AT52"/>
    <mergeCell ref="E51:J52"/>
    <mergeCell ref="K51:P52"/>
    <mergeCell ref="Q51:V52"/>
    <mergeCell ref="C54:D54"/>
    <mergeCell ref="C56:D56"/>
    <mergeCell ref="C57:D57"/>
    <mergeCell ref="C58:D58"/>
    <mergeCell ref="C59:D59"/>
    <mergeCell ref="C60:D60"/>
    <mergeCell ref="C61:D61"/>
    <mergeCell ref="C62:D62"/>
    <mergeCell ref="C65:D65"/>
    <mergeCell ref="C66:D66"/>
    <mergeCell ref="C147:D147"/>
    <mergeCell ref="C138:D138"/>
    <mergeCell ref="C143:D143"/>
    <mergeCell ref="C144:D144"/>
    <mergeCell ref="C145:D145"/>
    <mergeCell ref="C130:D130"/>
    <mergeCell ref="C131:D131"/>
    <mergeCell ref="C134:D134"/>
    <mergeCell ref="C137:D137"/>
    <mergeCell ref="C146:D146"/>
    <mergeCell ref="C127:D127"/>
    <mergeCell ref="C107:D107"/>
    <mergeCell ref="C108:D108"/>
    <mergeCell ref="C109:D109"/>
    <mergeCell ref="C110:D110"/>
    <mergeCell ref="C111:D111"/>
    <mergeCell ref="C114:D114"/>
    <mergeCell ref="C115:D115"/>
    <mergeCell ref="C116:D116"/>
    <mergeCell ref="C120:D120"/>
    <mergeCell ref="C121:D121"/>
    <mergeCell ref="C67:D67"/>
    <mergeCell ref="C71:D71"/>
    <mergeCell ref="E100:J101"/>
    <mergeCell ref="K100:P101"/>
    <mergeCell ref="C103:D103"/>
    <mergeCell ref="C104:D104"/>
    <mergeCell ref="C105:D105"/>
    <mergeCell ref="C106:D106"/>
    <mergeCell ref="C126:D126"/>
    <mergeCell ref="C100:D102"/>
    <mergeCell ref="C72:D72"/>
    <mergeCell ref="C73:D73"/>
    <mergeCell ref="C76:D76"/>
    <mergeCell ref="C77:D77"/>
    <mergeCell ref="C78:D78"/>
    <mergeCell ref="C79:D79"/>
    <mergeCell ref="C80:D80"/>
    <mergeCell ref="EY2:FD3"/>
    <mergeCell ref="EY51:FD52"/>
    <mergeCell ref="ES2:EX3"/>
    <mergeCell ref="ES51:EX52"/>
    <mergeCell ref="EM2:ER3"/>
    <mergeCell ref="EM51:ER52"/>
    <mergeCell ref="C132:D132"/>
    <mergeCell ref="C133:D133"/>
    <mergeCell ref="C122:D122"/>
    <mergeCell ref="C125:D125"/>
    <mergeCell ref="C128:D128"/>
    <mergeCell ref="C129:D129"/>
    <mergeCell ref="C81:D81"/>
    <mergeCell ref="C82:D82"/>
    <mergeCell ref="C83:D83"/>
    <mergeCell ref="C84:D84"/>
    <mergeCell ref="C85:D85"/>
    <mergeCell ref="C88:D88"/>
    <mergeCell ref="C97:D97"/>
    <mergeCell ref="C98:D98"/>
    <mergeCell ref="C89:D89"/>
    <mergeCell ref="C94:D94"/>
    <mergeCell ref="C95:D95"/>
    <mergeCell ref="C96:D96"/>
  </mergeCells>
  <phoneticPr fontId="67" type="noConversion"/>
  <conditionalFormatting sqref="J103:J146 P103:P146">
    <cfRule type="cellIs" dxfId="32" priority="25" stopIfTrue="1" operator="notBetween">
      <formula>-0.05</formula>
      <formula>0.05</formula>
    </cfRule>
  </conditionalFormatting>
  <conditionalFormatting sqref="CD89 CD94 CD79:CD82 CD84 V89 V94 V79:V82 V84 AB89 AB94 AB79:AB82 AB84 AB96:AB97 AH89 AH94 AH79:AH82 AH84 AH96:AH97 AN89 AN94 AN79:AN82 AN84 AN96:AN97 AT89 AT94 AT79:AT82 AT84 AT96:AT97 AZ89 AZ94 AZ79:AZ82 AZ84 AZ96:AZ97 BX89 BX94 BX79:BX82 BX84 BF89 J96:J97 BF94 BF79:BF82 BF84 BF96:BF97 BR89 CD96:CD97 BR94 BR79:BR82 BR84 BR96:BR97 J89 V96:V97 J94 J79:J82 J84 P89 BX96:BX97 P94 P79:P82 P84 P96:P97 BL89 BL94 BL79:BL82 BL84 BL96:BL97 CJ89 CJ94 CJ79:CJ82 CJ84 CJ96:CJ97 DH89 DH94 DH79:DH82 DH84 DH96:DH97 CD57 J57 CD62 CD65:CD67 V57 AB57 V62 V65:V67 AH57 AB62 AB65:AB67 AN57 AH62 AH65:AH67 AT57 AN62 AN65:AN67 AZ57 AT62 AT65:AT67 BF57 AZ62 AZ65:AZ67 BX57 BR57 BX62 BX65:BX67 BF62 BF65:BF67 BR62 BR65:BR67 P57 J62 J65:J67 P62 P65:P67 BL57 BL62 BL65:BL67 CJ57 CJ62 CJ65:CJ67 DH57 DH62 DH65:DH67 CP89 CP94 CP79:CP82 CP84 CP96:CP97 CP57 CP62 CP65:CP67 DN89 DN94 DN79:DN82 DN84 DN96:DN97 DN57 DN62 DN65:DN67 CV89 CV94 CV79:CV82 CV84 CV96:CV97 CV57 CV62 CV65:CV67">
    <cfRule type="cellIs" dxfId="31" priority="26" stopIfTrue="1" operator="equal">
      <formula>"!"</formula>
    </cfRule>
  </conditionalFormatting>
  <conditionalFormatting sqref="CD90:CD93 CD68:CD78 CD83 CD95 V90:V93 V68:V78 V83 V95 V85:V88 CD85:CD88 AB90:AB93 AB68:AB78 AB83 AB95 AB85:AB88 AH90:AH93 AH68:AH78 AH83 AH95 AH85:AH88 AN90:AN93 AN68:AN78 AN83 AN95 AN85:AN88 AT90:AT93 AT68:AT78 AT83 AT95 AZ90:AZ93 AZ68:AZ78 AZ83 AZ95 BX90:BX93 BX68:BX78 BX83 BX95 BX85:BX88 BF90:BF93 BF68:BF78 BF83 BF95 BR90:BR93 BR68:BR78 BR83 BR95 BR85:BR88 P90:P93 P68:P78 P83 P95 P85:P88 J90:J93 J68:J78 J83 J95 J85:J88 BF85:BF88 AZ85:AZ88 AT85:AT88 BL90:BL93 BL68:BL78 BL83 BL95 BL85:BL88 CJ90:CJ93 CJ68:CJ78 CJ83 CJ95 CJ85:CJ88 DH90:DH93 DH68:DH78 DH83 DH95 DH85:DH88 CD58:CD61 CD54:CD56 CD63:CD64 AN58:AN61 BR58:BR61 V58:V61 V54:V56 V63:V64 AH58:AH61 AB58:AB61 BX58:BX61 P58:P61 J58:J61 AB54:AB56 AB63:AB64 AH54:AH56 AH63:AH64 AN54:AN56 AN63:AN64 AT58:AT61 AT54:AT56 AT63:AT64 AZ58:AZ61 AZ54:AZ56 AZ63:AZ64 BX54:BX56 BX63:BX64 BF58:BF61 BF54:BF56 BF63:BF64 BR54:BR56 BR63:BR64 P54:P56 P63:P64 J54:J56 J63:J64 BL58:BL61 BL54:BL56 BL63:BL64 CJ58:CJ61 CJ54:CJ56 CJ63:CJ64 DH58:DH61 DH54:DH56 DH63:DH64 CP90:CP93 CP68:CP78 CP83 CP95 CP85:CP88 CP58:CP61 CP54:CP56 CP63:CP64 DN90:DN93 DN68:DN78 DN83 DN95 DN85:DN88 DN58:DN61 DN54:DN56 DN63:DN64 CV90:CV93 CV68:CV78 CV83 CV95 CV85:CV88 CV58:CV61 CV54:CV56 CV63:CV64">
    <cfRule type="cellIs" dxfId="30" priority="27" stopIfTrue="1" operator="notBetween">
      <formula>-0.0005</formula>
      <formula>0.0005</formula>
    </cfRule>
  </conditionalFormatting>
  <conditionalFormatting sqref="CJ5:CJ48 CD5:CD48 J5:J48 BR5:BR48 P5:P48 V5:V48 AB5:AB48 AH5:AH48 AN5:AN48 AT5:AT48 AZ5:AZ48 BF5:BF48 BL5:BL48 BX5:BX48 DH5:DH48 CP5:CP48 DN5:DN48 CV5:CV48">
    <cfRule type="cellIs" dxfId="29" priority="28" stopIfTrue="1" operator="notBetween">
      <formula>-0.005</formula>
      <formula>0.005</formula>
    </cfRule>
  </conditionalFormatting>
  <conditionalFormatting sqref="DB89 DB94 DB79:DB82 DB84 DB96:DB97 DB57 DB62 DB65:DB67">
    <cfRule type="cellIs" dxfId="28" priority="22" stopIfTrue="1" operator="equal">
      <formula>"!"</formula>
    </cfRule>
  </conditionalFormatting>
  <conditionalFormatting sqref="DB90:DB93 DB68:DB78 DB83 DB95 DB85:DB88 DB58:DB61 DB54:DB56 DB63:DB64">
    <cfRule type="cellIs" dxfId="27" priority="23" stopIfTrue="1" operator="notBetween">
      <formula>-0.0005</formula>
      <formula>0.0005</formula>
    </cfRule>
  </conditionalFormatting>
  <conditionalFormatting sqref="DB5:DB48">
    <cfRule type="cellIs" dxfId="26" priority="24" stopIfTrue="1" operator="notBetween">
      <formula>-0.005</formula>
      <formula>0.005</formula>
    </cfRule>
  </conditionalFormatting>
  <conditionalFormatting sqref="DT89 DT94 DT79:DT82 DT84 DT96:DT97 DT57 DT62 DT65:DT67">
    <cfRule type="cellIs" dxfId="25" priority="19" stopIfTrue="1" operator="equal">
      <formula>"!"</formula>
    </cfRule>
  </conditionalFormatting>
  <conditionalFormatting sqref="DT90:DT93 DT68:DT78 DT83 DT95 DT85:DT88 DT58:DT61 DT54:DT56 DT63:DT64">
    <cfRule type="cellIs" dxfId="24" priority="20" stopIfTrue="1" operator="notBetween">
      <formula>-0.0005</formula>
      <formula>0.0005</formula>
    </cfRule>
  </conditionalFormatting>
  <conditionalFormatting sqref="DT5:DT48">
    <cfRule type="cellIs" dxfId="23" priority="21" stopIfTrue="1" operator="notBetween">
      <formula>-0.005</formula>
      <formula>0.005</formula>
    </cfRule>
  </conditionalFormatting>
  <conditionalFormatting sqref="DZ89 DZ94 DZ79:DZ82 DZ84 DZ96:DZ97 DZ57 DZ62 DZ65:DZ67">
    <cfRule type="cellIs" dxfId="22" priority="16" stopIfTrue="1" operator="equal">
      <formula>"!"</formula>
    </cfRule>
  </conditionalFormatting>
  <conditionalFormatting sqref="DZ90:DZ93 DZ68:DZ78 DZ83 DZ95 DZ85:DZ88 DZ58:DZ61 DZ54:DZ56 DZ63:DZ64">
    <cfRule type="cellIs" dxfId="21" priority="17" stopIfTrue="1" operator="notBetween">
      <formula>-0.0005</formula>
      <formula>0.0005</formula>
    </cfRule>
  </conditionalFormatting>
  <conditionalFormatting sqref="DZ5:DZ48">
    <cfRule type="cellIs" dxfId="20" priority="18" stopIfTrue="1" operator="notBetween">
      <formula>-0.005</formula>
      <formula>0.005</formula>
    </cfRule>
  </conditionalFormatting>
  <conditionalFormatting sqref="EF89 EF94 EF79:EF82 EF84 EF96:EF97 EF57 EF62 EF65:EF67">
    <cfRule type="cellIs" dxfId="19" priority="13" stopIfTrue="1" operator="equal">
      <formula>"!"</formula>
    </cfRule>
  </conditionalFormatting>
  <conditionalFormatting sqref="EF90:EF93 EF68:EF78 EF83 EF95 EF85:EF88 EF58:EF61 EF54:EF56 EF63:EF64">
    <cfRule type="cellIs" dxfId="18" priority="14" stopIfTrue="1" operator="notBetween">
      <formula>-0.0005</formula>
      <formula>0.0005</formula>
    </cfRule>
  </conditionalFormatting>
  <conditionalFormatting sqref="EF5:EF48">
    <cfRule type="cellIs" dxfId="17" priority="15" stopIfTrue="1" operator="notBetween">
      <formula>-0.005</formula>
      <formula>0.005</formula>
    </cfRule>
  </conditionalFormatting>
  <conditionalFormatting sqref="EL89 EL94 EL79:EL82 EL84 EL96:EL97 EL57 EL62 EL65:EL67">
    <cfRule type="cellIs" dxfId="16" priority="10" stopIfTrue="1" operator="equal">
      <formula>"!"</formula>
    </cfRule>
  </conditionalFormatting>
  <conditionalFormatting sqref="EL90:EL93 EL68:EL78 EL83 EL95 EL85:EL88 EL58:EL61 EL54:EL56 EL63:EL64">
    <cfRule type="cellIs" dxfId="15" priority="11" stopIfTrue="1" operator="notBetween">
      <formula>-0.0005</formula>
      <formula>0.0005</formula>
    </cfRule>
  </conditionalFormatting>
  <conditionalFormatting sqref="EL5:EL48">
    <cfRule type="cellIs" dxfId="14" priority="12" stopIfTrue="1" operator="notBetween">
      <formula>-0.005</formula>
      <formula>0.005</formula>
    </cfRule>
  </conditionalFormatting>
  <conditionalFormatting sqref="ER89 ER94 ER79:ER82 ER84 ER96:ER97 ER57 ER62 ER65:ER67">
    <cfRule type="cellIs" dxfId="13" priority="7" stopIfTrue="1" operator="equal">
      <formula>"!"</formula>
    </cfRule>
  </conditionalFormatting>
  <conditionalFormatting sqref="ER90:ER93 ER68:ER78 ER83 ER95 ER85:ER88 ER58:ER61 ER54:ER56 ER63:ER64">
    <cfRule type="cellIs" dxfId="12" priority="8" stopIfTrue="1" operator="notBetween">
      <formula>-0.0005</formula>
      <formula>0.0005</formula>
    </cfRule>
  </conditionalFormatting>
  <conditionalFormatting sqref="ER5:ER48">
    <cfRule type="cellIs" dxfId="11" priority="9" stopIfTrue="1" operator="notBetween">
      <formula>-0.005</formula>
      <formula>0.005</formula>
    </cfRule>
  </conditionalFormatting>
  <conditionalFormatting sqref="EX89 EX94 EX79:EX82 EX84 EX96:EX97 EX57 EX62 EX65:EX67">
    <cfRule type="cellIs" dxfId="10" priority="4" stopIfTrue="1" operator="equal">
      <formula>"!"</formula>
    </cfRule>
  </conditionalFormatting>
  <conditionalFormatting sqref="EX90:EX93 EX68:EX78 EX83 EX95 EX85:EX88 EX58:EX61 EX54:EX56 EX63:EX64">
    <cfRule type="cellIs" dxfId="9" priority="5" stopIfTrue="1" operator="notBetween">
      <formula>-0.0005</formula>
      <formula>0.0005</formula>
    </cfRule>
  </conditionalFormatting>
  <conditionalFormatting sqref="EX5:EX48">
    <cfRule type="cellIs" dxfId="8" priority="6" stopIfTrue="1" operator="notBetween">
      <formula>-0.005</formula>
      <formula>0.005</formula>
    </cfRule>
  </conditionalFormatting>
  <conditionalFormatting sqref="FD89 FD94 FD79:FD82 FD84 FD96:FD97 FD57 FD62 FD65:FD67">
    <cfRule type="cellIs" dxfId="7" priority="1" stopIfTrue="1" operator="equal">
      <formula>"!"</formula>
    </cfRule>
  </conditionalFormatting>
  <conditionalFormatting sqref="FD90:FD93 FD68:FD78 FD83 FD95 FD85:FD88 FD58:FD61 FD54:FD56 FD63:FD64">
    <cfRule type="cellIs" dxfId="6" priority="2" stopIfTrue="1" operator="notBetween">
      <formula>-0.0005</formula>
      <formula>0.0005</formula>
    </cfRule>
  </conditionalFormatting>
  <conditionalFormatting sqref="FD5:FD48">
    <cfRule type="cellIs" dxfId="5" priority="3" stopIfTrue="1" operator="notBetween">
      <formula>-0.005</formula>
      <formula>0.005</formula>
    </cfRule>
  </conditionalFormatting>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tabColor indexed="42"/>
    <pageSetUpPr fitToPage="1"/>
  </sheetPr>
  <dimension ref="A1:N423"/>
  <sheetViews>
    <sheetView workbookViewId="0"/>
  </sheetViews>
  <sheetFormatPr defaultRowHeight="12.75"/>
  <sheetData>
    <row r="1" spans="1:14">
      <c r="A1" s="1553"/>
      <c r="B1" s="1553"/>
      <c r="C1" s="1553"/>
      <c r="D1" s="1553"/>
      <c r="E1" s="1553"/>
      <c r="F1" s="1553"/>
      <c r="G1" s="1553"/>
      <c r="H1" s="1553"/>
      <c r="I1" s="1553"/>
      <c r="J1" s="1553"/>
      <c r="K1" s="1553"/>
      <c r="L1" s="1553"/>
      <c r="M1" s="1553"/>
      <c r="N1" s="1553"/>
    </row>
    <row r="2" spans="1:14" ht="17.649999999999999">
      <c r="A2" s="1554" t="s">
        <v>1259</v>
      </c>
      <c r="B2" s="1553"/>
      <c r="C2" s="1553"/>
      <c r="D2" s="1553"/>
      <c r="E2" s="1553"/>
      <c r="F2" s="1553"/>
      <c r="G2" s="1553"/>
      <c r="H2" s="1553"/>
      <c r="I2" s="1553"/>
      <c r="J2" s="1553"/>
      <c r="K2" s="1553"/>
      <c r="L2" s="1553"/>
      <c r="M2" s="1553"/>
      <c r="N2" s="1553"/>
    </row>
    <row r="3" spans="1:14">
      <c r="A3" s="1553"/>
      <c r="B3" s="1553"/>
      <c r="C3" s="1553"/>
      <c r="D3" s="1553"/>
      <c r="E3" s="1553"/>
      <c r="F3" s="1553"/>
      <c r="G3" s="1553"/>
      <c r="H3" s="1553"/>
      <c r="I3" s="1553"/>
      <c r="J3" s="1553"/>
      <c r="K3" s="1553"/>
      <c r="L3" s="1553"/>
      <c r="M3" s="1553"/>
      <c r="N3" s="1553"/>
    </row>
    <row r="67" spans="1:14">
      <c r="A67" s="1553"/>
      <c r="B67" s="1553"/>
      <c r="C67" s="1553"/>
      <c r="D67" s="1553"/>
      <c r="E67" s="1553"/>
      <c r="F67" s="1553"/>
      <c r="G67" s="1553"/>
      <c r="H67" s="1553"/>
      <c r="I67" s="1553"/>
      <c r="J67" s="1553"/>
      <c r="K67" s="1553"/>
      <c r="L67" s="1553"/>
      <c r="M67" s="1553"/>
      <c r="N67" s="1553"/>
    </row>
    <row r="68" spans="1:14" ht="17.649999999999999">
      <c r="A68" s="1554" t="s">
        <v>1135</v>
      </c>
      <c r="B68" s="1553"/>
      <c r="C68" s="1553"/>
      <c r="D68" s="1553"/>
      <c r="E68" s="1553"/>
      <c r="F68" s="1553"/>
      <c r="G68" s="1553"/>
      <c r="H68" s="1553"/>
      <c r="I68" s="1553"/>
      <c r="J68" s="1553"/>
      <c r="K68" s="1553"/>
      <c r="L68" s="1553"/>
      <c r="M68" s="1553"/>
      <c r="N68" s="1553"/>
    </row>
    <row r="69" spans="1:14">
      <c r="A69" s="1553"/>
      <c r="B69" s="1553"/>
      <c r="C69" s="1553"/>
      <c r="D69" s="1553"/>
      <c r="E69" s="1553"/>
      <c r="F69" s="1553"/>
      <c r="G69" s="1553"/>
      <c r="H69" s="1553"/>
      <c r="I69" s="1553"/>
      <c r="J69" s="1553"/>
      <c r="K69" s="1553"/>
      <c r="L69" s="1553"/>
      <c r="M69" s="1553"/>
      <c r="N69" s="1553"/>
    </row>
    <row r="91" spans="1:14">
      <c r="A91" s="1553"/>
      <c r="B91" s="1553"/>
      <c r="C91" s="1553"/>
      <c r="D91" s="1553"/>
      <c r="E91" s="1553"/>
      <c r="F91" s="1553"/>
      <c r="G91" s="1553"/>
      <c r="H91" s="1553"/>
      <c r="I91" s="1553"/>
      <c r="J91" s="1553"/>
      <c r="K91" s="1553"/>
      <c r="L91" s="1553"/>
      <c r="M91" s="1553"/>
      <c r="N91" s="1553"/>
    </row>
    <row r="92" spans="1:14" ht="17.649999999999999">
      <c r="A92" s="1554" t="s">
        <v>34</v>
      </c>
      <c r="B92" s="1553"/>
      <c r="C92" s="1553"/>
      <c r="D92" s="1553"/>
      <c r="E92" s="1553"/>
      <c r="F92" s="1553"/>
      <c r="G92" s="1553"/>
      <c r="H92" s="1553"/>
      <c r="I92" s="1553"/>
      <c r="J92" s="1553"/>
      <c r="K92" s="1553"/>
      <c r="L92" s="1553"/>
      <c r="M92" s="1553"/>
      <c r="N92" s="1553"/>
    </row>
    <row r="93" spans="1:14">
      <c r="A93" s="1553"/>
      <c r="B93" s="1553"/>
      <c r="C93" s="1553"/>
      <c r="D93" s="1553"/>
      <c r="E93" s="1553"/>
      <c r="F93" s="1553"/>
      <c r="G93" s="1553"/>
      <c r="H93" s="1553"/>
      <c r="I93" s="1553"/>
      <c r="J93" s="1553"/>
      <c r="K93" s="1553"/>
      <c r="L93" s="1553"/>
      <c r="M93" s="1553"/>
      <c r="N93" s="1553"/>
    </row>
    <row r="136" spans="1:14">
      <c r="A136" s="1553"/>
      <c r="B136" s="1553"/>
      <c r="C136" s="1553"/>
      <c r="D136" s="1553"/>
      <c r="E136" s="1553"/>
      <c r="F136" s="1553"/>
      <c r="G136" s="1553"/>
      <c r="H136" s="1553"/>
      <c r="I136" s="1553"/>
      <c r="J136" s="1553"/>
      <c r="K136" s="1553"/>
      <c r="L136" s="1553"/>
      <c r="M136" s="1553"/>
      <c r="N136" s="1553"/>
    </row>
    <row r="137" spans="1:14" ht="17.649999999999999">
      <c r="A137" s="1554" t="s">
        <v>1260</v>
      </c>
      <c r="B137" s="1553"/>
      <c r="C137" s="1553"/>
      <c r="D137" s="1553"/>
      <c r="E137" s="1553"/>
      <c r="F137" s="1553"/>
      <c r="G137" s="1553"/>
      <c r="H137" s="1553"/>
      <c r="I137" s="1553"/>
      <c r="J137" s="1553"/>
      <c r="K137" s="1553"/>
      <c r="L137" s="1553"/>
      <c r="M137" s="1553"/>
      <c r="N137" s="1553"/>
    </row>
    <row r="138" spans="1:14">
      <c r="A138" s="1553"/>
      <c r="B138" s="1553"/>
      <c r="C138" s="1553"/>
      <c r="D138" s="1553"/>
      <c r="E138" s="1553"/>
      <c r="F138" s="1553"/>
      <c r="G138" s="1553"/>
      <c r="H138" s="1553"/>
      <c r="I138" s="1553"/>
      <c r="J138" s="1553"/>
      <c r="K138" s="1553"/>
      <c r="L138" s="1553"/>
      <c r="M138" s="1553"/>
      <c r="N138" s="1553"/>
    </row>
    <row r="265" spans="1:14">
      <c r="A265" s="1553"/>
      <c r="B265" s="1553"/>
      <c r="C265" s="1553"/>
      <c r="D265" s="1553"/>
      <c r="E265" s="1553"/>
      <c r="F265" s="1553"/>
      <c r="G265" s="1553"/>
      <c r="H265" s="1553"/>
      <c r="I265" s="1553"/>
      <c r="J265" s="1553"/>
      <c r="K265" s="1553"/>
      <c r="L265" s="1553"/>
      <c r="M265" s="1553"/>
      <c r="N265" s="1553"/>
    </row>
    <row r="266" spans="1:14" ht="17.649999999999999">
      <c r="A266" s="1554" t="s">
        <v>40</v>
      </c>
      <c r="B266" s="1553"/>
      <c r="C266" s="1553"/>
      <c r="D266" s="1553"/>
      <c r="E266" s="1553"/>
      <c r="F266" s="1553"/>
      <c r="G266" s="1553"/>
      <c r="H266" s="1553"/>
      <c r="I266" s="1553"/>
      <c r="J266" s="1553"/>
      <c r="K266" s="1553"/>
      <c r="L266" s="1553"/>
      <c r="M266" s="1553"/>
      <c r="N266" s="1553"/>
    </row>
    <row r="267" spans="1:14">
      <c r="A267" s="1553"/>
      <c r="B267" s="1553"/>
      <c r="C267" s="1553"/>
      <c r="D267" s="1553"/>
      <c r="E267" s="1553"/>
      <c r="F267" s="1553"/>
      <c r="G267" s="1553"/>
      <c r="H267" s="1553"/>
      <c r="I267" s="1553"/>
      <c r="J267" s="1553"/>
      <c r="K267" s="1553"/>
      <c r="L267" s="1553"/>
      <c r="M267" s="1553"/>
      <c r="N267" s="1553"/>
    </row>
    <row r="331" spans="1:14">
      <c r="A331" s="1553"/>
      <c r="B331" s="1553"/>
      <c r="C331" s="1553"/>
      <c r="D331" s="1553"/>
      <c r="E331" s="1553"/>
      <c r="F331" s="1553"/>
      <c r="G331" s="1553"/>
      <c r="H331" s="1553"/>
      <c r="I331" s="1553"/>
      <c r="J331" s="1553"/>
      <c r="K331" s="1553"/>
      <c r="L331" s="1553"/>
      <c r="M331" s="1553"/>
      <c r="N331" s="1553"/>
    </row>
    <row r="332" spans="1:14" ht="17.649999999999999">
      <c r="A332" s="1554" t="s">
        <v>1777</v>
      </c>
      <c r="B332" s="1553"/>
      <c r="C332" s="1553"/>
      <c r="D332" s="1553"/>
      <c r="E332" s="1553"/>
      <c r="F332" s="1553"/>
      <c r="G332" s="1553"/>
      <c r="H332" s="1553"/>
      <c r="I332" s="1553"/>
      <c r="J332" s="1553"/>
      <c r="K332" s="1553"/>
      <c r="L332" s="1553"/>
      <c r="M332" s="1553"/>
      <c r="N332" s="1553"/>
    </row>
    <row r="333" spans="1:14">
      <c r="A333" s="1553"/>
      <c r="B333" s="1553"/>
      <c r="C333" s="1553"/>
      <c r="D333" s="1553"/>
      <c r="E333" s="1553"/>
      <c r="F333" s="1553"/>
      <c r="G333" s="1553"/>
      <c r="H333" s="1553"/>
      <c r="I333" s="1553"/>
      <c r="J333" s="1553"/>
      <c r="K333" s="1553"/>
      <c r="L333" s="1553"/>
      <c r="M333" s="1553"/>
      <c r="N333" s="1553"/>
    </row>
    <row r="397" spans="1:14">
      <c r="A397" s="1553"/>
      <c r="B397" s="1553"/>
      <c r="C397" s="1553"/>
      <c r="D397" s="1553"/>
      <c r="E397" s="1553"/>
      <c r="F397" s="1553"/>
      <c r="G397" s="1553"/>
      <c r="H397" s="1553"/>
      <c r="I397" s="1553"/>
      <c r="J397" s="1553"/>
      <c r="K397" s="1553"/>
      <c r="L397" s="1553"/>
      <c r="M397" s="1553"/>
      <c r="N397" s="1553"/>
    </row>
    <row r="398" spans="1:14" ht="17.649999999999999">
      <c r="A398" s="1554" t="s">
        <v>457</v>
      </c>
      <c r="B398" s="1553"/>
      <c r="C398" s="1553"/>
      <c r="D398" s="1553"/>
      <c r="E398" s="1553"/>
      <c r="F398" s="1553"/>
      <c r="G398" s="1553"/>
      <c r="H398" s="1553"/>
      <c r="I398" s="1553"/>
      <c r="J398" s="1553"/>
      <c r="K398" s="1553"/>
      <c r="L398" s="1553"/>
      <c r="M398" s="1553"/>
      <c r="N398" s="1553"/>
    </row>
    <row r="399" spans="1:14">
      <c r="A399" s="1553"/>
      <c r="B399" s="1553"/>
      <c r="C399" s="1553"/>
      <c r="D399" s="1553"/>
      <c r="E399" s="1553"/>
      <c r="F399" s="1553"/>
      <c r="G399" s="1553"/>
      <c r="H399" s="1553"/>
      <c r="I399" s="1553"/>
      <c r="J399" s="1553"/>
      <c r="K399" s="1553"/>
      <c r="L399" s="1553"/>
      <c r="M399" s="1553"/>
      <c r="N399" s="1553"/>
    </row>
    <row r="421" spans="1:14">
      <c r="A421" s="1553"/>
      <c r="B421" s="1553"/>
      <c r="C421" s="1553"/>
      <c r="D421" s="1553"/>
      <c r="E421" s="1553"/>
      <c r="F421" s="1553"/>
      <c r="G421" s="1553"/>
      <c r="H421" s="1553"/>
      <c r="I421" s="1553"/>
      <c r="J421" s="1553"/>
      <c r="K421" s="1553"/>
      <c r="L421" s="1553"/>
      <c r="M421" s="1553"/>
      <c r="N421" s="1553"/>
    </row>
    <row r="422" spans="1:14" ht="17.649999999999999">
      <c r="A422" s="1554" t="s">
        <v>41</v>
      </c>
      <c r="B422" s="1553"/>
      <c r="C422" s="1553"/>
      <c r="D422" s="1553"/>
      <c r="E422" s="1553"/>
      <c r="F422" s="1553"/>
      <c r="G422" s="1553"/>
      <c r="H422" s="1553"/>
      <c r="I422" s="1553"/>
      <c r="J422" s="1553"/>
      <c r="K422" s="1553"/>
      <c r="L422" s="1553"/>
      <c r="M422" s="1553"/>
      <c r="N422" s="1553"/>
    </row>
    <row r="423" spans="1:14">
      <c r="A423" s="1553"/>
      <c r="B423" s="1553"/>
      <c r="C423" s="1553"/>
      <c r="D423" s="1553"/>
      <c r="E423" s="1553"/>
      <c r="F423" s="1553"/>
      <c r="G423" s="1553"/>
      <c r="H423" s="1553"/>
      <c r="I423" s="1553"/>
      <c r="J423" s="1553"/>
      <c r="K423" s="1553"/>
      <c r="L423" s="1553"/>
      <c r="M423" s="1553"/>
      <c r="N423" s="1553"/>
    </row>
  </sheetData>
  <phoneticPr fontId="67" type="noConversion"/>
  <printOptions horizontalCentered="1"/>
  <pageMargins left="0.74803149606299213" right="0.55118110236220474" top="0.5" bottom="0.44" header="0.35433070866141736" footer="0.31496062992125984"/>
  <pageSetup paperSize="9" scale="70" fitToHeight="0" orientation="portrait" r:id="rId1"/>
  <headerFooter alignWithMargins="0"/>
  <rowBreaks count="6" manualBreakCount="6">
    <brk id="90" max="13" man="1"/>
    <brk id="180" max="13" man="1"/>
    <brk id="264" max="13" man="1"/>
    <brk id="330" max="13" man="1"/>
    <brk id="420" max="13" man="1"/>
    <brk id="489" max="14" man="1"/>
  </rowBreaks>
  <colBreaks count="1" manualBreakCount="1">
    <brk id="14" max="1048575" man="1"/>
  </colBreaks>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tabColor indexed="32"/>
    <pageSetUpPr autoPageBreaks="0" fitToPage="1"/>
  </sheetPr>
  <dimension ref="A1:EN336"/>
  <sheetViews>
    <sheetView topLeftCell="A256" workbookViewId="0">
      <selection activeCell="P109" sqref="P109"/>
    </sheetView>
  </sheetViews>
  <sheetFormatPr defaultColWidth="9.1328125" defaultRowHeight="12.75"/>
  <cols>
    <col min="1" max="1" width="5" style="15" bestFit="1" customWidth="1"/>
    <col min="2" max="2" width="41.1328125" style="16" customWidth="1"/>
    <col min="3" max="7" width="10" style="16" customWidth="1"/>
    <col min="8" max="8" width="10.1328125" style="16" customWidth="1"/>
    <col min="9" max="11" width="10.1328125" style="17" customWidth="1"/>
    <col min="12" max="16" width="8.3984375" style="16" customWidth="1"/>
    <col min="17" max="24" width="8.3984375" style="16" hidden="1" customWidth="1"/>
    <col min="25" max="27" width="8.3984375" style="16" customWidth="1"/>
    <col min="28" max="28" width="41.1328125" style="16" customWidth="1"/>
    <col min="29" max="44" width="8.3984375" style="16" customWidth="1"/>
    <col min="45" max="45" width="41.1328125" style="16" customWidth="1"/>
    <col min="46" max="52" width="8.3984375" style="16" customWidth="1"/>
    <col min="53" max="59" width="9.1328125" style="16"/>
    <col min="60" max="77" width="9.1328125" style="16" hidden="1" customWidth="1"/>
    <col min="78" max="78" width="9.1328125" style="16"/>
    <col min="79" max="143" width="9.1328125" style="16" hidden="1" customWidth="1"/>
    <col min="144" max="16384" width="9.1328125" style="16"/>
  </cols>
  <sheetData>
    <row r="1" hidden="1"/>
    <row r="2" hidden="1"/>
    <row r="3" hidden="1"/>
    <row r="4" hidden="1"/>
    <row r="5" hidden="1"/>
    <row r="6" hidden="1"/>
    <row r="7" hidden="1"/>
    <row r="8" hidden="1"/>
    <row r="9" hidden="1"/>
    <row r="10" hidden="1"/>
    <row r="11" hidden="1"/>
    <row r="12" hidden="1"/>
    <row r="13" hidden="1"/>
    <row r="14" hidden="1"/>
    <row r="15" hidden="1"/>
    <row r="16" hidden="1"/>
    <row r="17" hidden="1"/>
    <row r="18" hidden="1"/>
    <row r="19" hidden="1"/>
    <row r="20" hidden="1"/>
    <row r="21" hidden="1"/>
    <row r="22" hidden="1"/>
    <row r="23" hidden="1"/>
    <row r="24" hidden="1"/>
    <row r="25" hidden="1"/>
    <row r="26" hidden="1"/>
    <row r="27" hidden="1"/>
    <row r="28" hidden="1"/>
    <row r="29" hidden="1"/>
    <row r="30" hidden="1"/>
    <row r="31" hidden="1"/>
    <row r="32" hidden="1"/>
    <row r="33" hidden="1"/>
    <row r="34" hidden="1"/>
    <row r="35" hidden="1"/>
    <row r="36" hidden="1"/>
    <row r="37" hidden="1"/>
    <row r="38" hidden="1"/>
    <row r="39" hidden="1"/>
    <row r="40" hidden="1"/>
    <row r="41" hidden="1"/>
    <row r="42" hidden="1"/>
    <row r="43" hidden="1"/>
    <row r="44" hidden="1"/>
    <row r="45" hidden="1"/>
    <row r="46" hidden="1"/>
    <row r="47" hidden="1"/>
    <row r="48"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spans="1:144" hidden="1"/>
    <row r="82" spans="1:144" hidden="1"/>
    <row r="83" spans="1:144" hidden="1"/>
    <row r="84" spans="1:144" hidden="1"/>
    <row r="85" spans="1:144" hidden="1"/>
    <row r="86" spans="1:144" hidden="1"/>
    <row r="87" spans="1:144" hidden="1"/>
    <row r="88" spans="1:144" hidden="1"/>
    <row r="89" spans="1:144" hidden="1"/>
    <row r="90" spans="1:144" hidden="1"/>
    <row r="91" spans="1:144" s="1068" customFormat="1" ht="15.75" customHeight="1">
      <c r="A91" s="1070"/>
      <c r="I91" s="1069"/>
      <c r="J91" s="1069"/>
      <c r="K91" s="1069"/>
      <c r="Z91" s="2126"/>
      <c r="AR91" s="2039"/>
      <c r="BZ91" s="2126"/>
      <c r="EN91" s="2039"/>
    </row>
    <row r="92" spans="1:144" s="1068" customFormat="1" ht="15">
      <c r="A92" s="1070"/>
      <c r="B92" s="2065" t="s">
        <v>1433</v>
      </c>
      <c r="I92" s="1069"/>
      <c r="J92" s="1069"/>
      <c r="K92" s="1069"/>
      <c r="Z92" s="2126" t="s">
        <v>916</v>
      </c>
      <c r="AR92" s="2039" t="s">
        <v>917</v>
      </c>
      <c r="BZ92" s="2126" t="s">
        <v>916</v>
      </c>
      <c r="EN92" s="2039" t="s">
        <v>917</v>
      </c>
    </row>
    <row r="93" spans="1:144" s="1684" customFormat="1" ht="15">
      <c r="B93" s="2040" t="s">
        <v>1941</v>
      </c>
      <c r="C93" s="1686" t="s">
        <v>990</v>
      </c>
      <c r="D93" s="1687"/>
      <c r="E93" s="1688"/>
      <c r="F93" s="1687"/>
      <c r="G93" s="1687"/>
      <c r="H93" s="1689"/>
      <c r="I93" s="1685"/>
      <c r="J93" s="1685"/>
      <c r="K93" s="1685"/>
      <c r="Z93" s="2127" t="s">
        <v>915</v>
      </c>
      <c r="AR93" s="2039" t="s">
        <v>918</v>
      </c>
      <c r="BZ93" s="2127" t="s">
        <v>915</v>
      </c>
      <c r="EN93" s="2039" t="s">
        <v>1940</v>
      </c>
    </row>
    <row r="94" spans="1:144" s="1684" customFormat="1" ht="15">
      <c r="B94" s="2040" t="s">
        <v>1942</v>
      </c>
      <c r="C94" s="1693" t="s">
        <v>991</v>
      </c>
      <c r="D94" s="1694"/>
      <c r="E94" s="1695" t="s">
        <v>921</v>
      </c>
      <c r="F94" s="1693" t="s">
        <v>1757</v>
      </c>
      <c r="G94" s="1694"/>
      <c r="H94" s="1695" t="s">
        <v>923</v>
      </c>
      <c r="I94" s="1685"/>
      <c r="J94" s="1685"/>
      <c r="K94" s="1685"/>
      <c r="AR94" s="1072" t="s">
        <v>919</v>
      </c>
      <c r="EN94" s="1072" t="s">
        <v>891</v>
      </c>
    </row>
    <row r="95" spans="1:144" s="1684" customFormat="1" ht="15">
      <c r="B95" s="2131" t="s">
        <v>1943</v>
      </c>
      <c r="C95" s="1690" t="s">
        <v>694</v>
      </c>
      <c r="D95" s="1691"/>
      <c r="E95" s="1692" t="s">
        <v>922</v>
      </c>
      <c r="F95" s="1690" t="s">
        <v>1893</v>
      </c>
      <c r="G95" s="1691"/>
      <c r="H95" s="1692">
        <v>2020</v>
      </c>
      <c r="I95" s="1685"/>
      <c r="J95" s="1685"/>
      <c r="K95" s="1685"/>
      <c r="AR95" s="1072" t="s">
        <v>920</v>
      </c>
      <c r="EN95" s="1072" t="s">
        <v>1944</v>
      </c>
    </row>
    <row r="96" spans="1:144" s="1068" customFormat="1" ht="6" customHeight="1">
      <c r="A96" s="1074"/>
      <c r="B96" s="1071"/>
      <c r="I96" s="1069"/>
      <c r="J96" s="1069"/>
      <c r="K96" s="1069"/>
      <c r="L96" s="1069"/>
      <c r="M96" s="1069"/>
      <c r="N96" s="1069"/>
      <c r="O96" s="1069"/>
      <c r="P96" s="1069"/>
      <c r="Q96" s="1069"/>
      <c r="R96" s="1069"/>
      <c r="S96" s="1069"/>
      <c r="T96" s="1069"/>
      <c r="U96" s="1069"/>
      <c r="V96" s="1069"/>
      <c r="W96" s="1069"/>
      <c r="X96" s="1069"/>
      <c r="Y96" s="1069"/>
      <c r="AA96" s="1069"/>
      <c r="AB96" s="1069"/>
      <c r="AC96" s="1069"/>
      <c r="AD96" s="1069"/>
      <c r="AE96" s="1069"/>
      <c r="AF96" s="1069"/>
      <c r="AG96" s="1069"/>
      <c r="AH96" s="1069"/>
      <c r="AI96" s="1069"/>
      <c r="AJ96" s="1069"/>
      <c r="AK96" s="1069"/>
      <c r="AL96" s="1069"/>
      <c r="AM96" s="1069"/>
      <c r="AN96" s="1069"/>
      <c r="AO96" s="1069"/>
      <c r="AP96" s="1069"/>
      <c r="AQ96" s="1069"/>
      <c r="AR96" s="1069"/>
      <c r="AS96" s="1069"/>
      <c r="AT96" s="1069"/>
      <c r="AU96" s="1069"/>
      <c r="AV96" s="1069"/>
      <c r="AW96" s="1069"/>
      <c r="AX96" s="1069"/>
      <c r="AY96" s="1069"/>
      <c r="AZ96" s="1069"/>
      <c r="EN96" s="1069"/>
    </row>
    <row r="97" spans="1:144" s="1068" customFormat="1" ht="6" customHeight="1">
      <c r="A97" s="1074"/>
      <c r="B97" s="1071"/>
      <c r="G97" s="1067"/>
      <c r="I97" s="1069"/>
      <c r="J97" s="1069"/>
      <c r="K97" s="1069"/>
      <c r="L97" s="1069"/>
      <c r="M97" s="1069"/>
      <c r="N97" s="1069"/>
      <c r="O97" s="1069"/>
      <c r="P97" s="1069"/>
      <c r="Q97" s="1069"/>
      <c r="R97" s="1069"/>
      <c r="S97" s="1069"/>
      <c r="T97" s="1069"/>
      <c r="U97" s="1069"/>
      <c r="V97" s="1069"/>
      <c r="W97" s="1069"/>
      <c r="X97" s="1069"/>
      <c r="Y97" s="1069"/>
      <c r="AA97" s="1069"/>
      <c r="AB97" s="1069"/>
      <c r="AC97" s="1069"/>
      <c r="AD97" s="1069"/>
      <c r="AE97" s="1069"/>
      <c r="AF97" s="1069"/>
      <c r="AG97" s="1069"/>
      <c r="AH97" s="1069"/>
      <c r="AI97" s="1069"/>
      <c r="AJ97" s="1069"/>
      <c r="AK97" s="1069"/>
      <c r="AL97" s="1069"/>
      <c r="AM97" s="1069"/>
      <c r="AN97" s="1069"/>
      <c r="AO97" s="1069"/>
      <c r="AP97" s="1069"/>
      <c r="AQ97" s="1069"/>
      <c r="AR97" s="1069"/>
      <c r="AS97" s="1069"/>
      <c r="AT97" s="1069"/>
      <c r="AU97" s="1069"/>
      <c r="AV97" s="1069"/>
      <c r="AW97" s="1069"/>
      <c r="AX97" s="1069"/>
      <c r="AY97" s="1069"/>
      <c r="AZ97" s="1069"/>
    </row>
    <row r="98" spans="1:144" s="1072" customFormat="1" ht="13.15">
      <c r="B98" s="1071"/>
      <c r="C98" s="1073">
        <v>1</v>
      </c>
      <c r="D98" s="1073">
        <f t="shared" ref="D98:O98" si="0">C98+1</f>
        <v>2</v>
      </c>
      <c r="E98" s="1073">
        <f t="shared" si="0"/>
        <v>3</v>
      </c>
      <c r="F98" s="1073">
        <f t="shared" si="0"/>
        <v>4</v>
      </c>
      <c r="G98" s="1073">
        <f t="shared" si="0"/>
        <v>5</v>
      </c>
      <c r="H98" s="1073">
        <f t="shared" si="0"/>
        <v>6</v>
      </c>
      <c r="I98" s="1073">
        <f t="shared" si="0"/>
        <v>7</v>
      </c>
      <c r="J98" s="1073">
        <f t="shared" si="0"/>
        <v>8</v>
      </c>
      <c r="K98" s="1073">
        <f t="shared" si="0"/>
        <v>9</v>
      </c>
      <c r="L98" s="1073">
        <f t="shared" si="0"/>
        <v>10</v>
      </c>
      <c r="M98" s="1073">
        <f t="shared" si="0"/>
        <v>11</v>
      </c>
      <c r="N98" s="1073">
        <f t="shared" si="0"/>
        <v>12</v>
      </c>
      <c r="O98" s="1073">
        <f t="shared" si="0"/>
        <v>13</v>
      </c>
      <c r="P98" s="1073"/>
      <c r="Q98" s="1073"/>
      <c r="R98" s="1073"/>
      <c r="S98" s="1073"/>
      <c r="T98" s="1073"/>
      <c r="U98" s="1073"/>
      <c r="V98" s="1073"/>
      <c r="W98" s="1073"/>
      <c r="X98" s="1073"/>
      <c r="Y98" s="1073"/>
      <c r="AB98" s="1071"/>
      <c r="AC98" s="1073">
        <v>1</v>
      </c>
      <c r="AD98" s="1073">
        <f t="shared" ref="AD98:AO98" si="1">AC98+1</f>
        <v>2</v>
      </c>
      <c r="AE98" s="1073">
        <f t="shared" si="1"/>
        <v>3</v>
      </c>
      <c r="AF98" s="1073">
        <f t="shared" si="1"/>
        <v>4</v>
      </c>
      <c r="AG98" s="1073">
        <f t="shared" si="1"/>
        <v>5</v>
      </c>
      <c r="AH98" s="1073">
        <f t="shared" si="1"/>
        <v>6</v>
      </c>
      <c r="AI98" s="1073">
        <f t="shared" si="1"/>
        <v>7</v>
      </c>
      <c r="AJ98" s="1073">
        <f t="shared" si="1"/>
        <v>8</v>
      </c>
      <c r="AK98" s="1073">
        <f t="shared" si="1"/>
        <v>9</v>
      </c>
      <c r="AL98" s="1073">
        <f t="shared" si="1"/>
        <v>10</v>
      </c>
      <c r="AM98" s="1073">
        <f t="shared" si="1"/>
        <v>11</v>
      </c>
      <c r="AN98" s="1073">
        <f t="shared" si="1"/>
        <v>12</v>
      </c>
      <c r="AO98" s="1073">
        <f t="shared" si="1"/>
        <v>13</v>
      </c>
      <c r="AP98" s="1073"/>
      <c r="AQ98" s="1073"/>
      <c r="AR98" s="1073" t="s">
        <v>878</v>
      </c>
      <c r="AS98" s="1073"/>
      <c r="AT98" s="1073"/>
      <c r="AU98" s="1073"/>
      <c r="AV98" s="1073"/>
      <c r="AW98" s="1073"/>
      <c r="AX98" s="1073"/>
      <c r="AY98" s="1073"/>
      <c r="AZ98" s="1073"/>
      <c r="BH98" s="2140"/>
      <c r="BI98" s="2140"/>
      <c r="BJ98" s="2140"/>
      <c r="BK98" s="2140"/>
      <c r="BL98" s="2140"/>
      <c r="BM98" s="2140"/>
      <c r="BN98" s="2140"/>
      <c r="BO98" s="2140"/>
      <c r="BP98" s="2140"/>
      <c r="BQ98" s="2140"/>
      <c r="BR98" s="2140"/>
      <c r="BS98" s="2140"/>
      <c r="BT98" s="2140"/>
      <c r="BU98" s="2140"/>
      <c r="BV98" s="2140"/>
      <c r="BW98" s="2140"/>
      <c r="BX98" s="2140"/>
      <c r="BY98" s="2140"/>
      <c r="CA98" s="2140" t="s">
        <v>2602</v>
      </c>
      <c r="CB98" s="2140"/>
      <c r="CC98" s="2140"/>
      <c r="CD98" s="2140"/>
      <c r="CE98" s="2140"/>
      <c r="CF98" s="2140"/>
      <c r="CG98" s="2140"/>
      <c r="CH98" s="2140"/>
      <c r="CI98" s="2140"/>
      <c r="CJ98" s="2140"/>
      <c r="CK98" s="2140"/>
      <c r="CL98" s="2140"/>
      <c r="CM98" s="2140"/>
      <c r="CN98" s="2140" t="s">
        <v>2591</v>
      </c>
      <c r="CO98" s="2140"/>
      <c r="CP98" s="2140"/>
      <c r="CQ98" s="2140"/>
      <c r="CR98" s="2140"/>
      <c r="CS98" s="2140"/>
      <c r="CT98" s="2140"/>
      <c r="CU98" s="2140"/>
      <c r="CV98" s="2140"/>
      <c r="CW98" s="2140"/>
      <c r="CX98" s="2140"/>
      <c r="CY98" s="2140"/>
      <c r="CZ98" s="2140"/>
      <c r="DA98" s="2140" t="s">
        <v>2617</v>
      </c>
      <c r="DB98" s="2140"/>
      <c r="DC98" s="2140"/>
      <c r="DD98" s="2140"/>
      <c r="DE98" s="2140"/>
      <c r="DF98" s="2140"/>
      <c r="DG98" s="2140"/>
      <c r="DH98" s="2140"/>
      <c r="DI98" s="2140"/>
      <c r="DJ98" s="2140"/>
      <c r="DK98" s="2140"/>
      <c r="DL98" s="2140"/>
      <c r="DM98" s="2140"/>
      <c r="DN98" s="2140" t="s">
        <v>2608</v>
      </c>
      <c r="DO98" s="2140"/>
      <c r="DP98" s="2140"/>
      <c r="DQ98" s="2140"/>
      <c r="DR98" s="2140"/>
      <c r="DS98" s="2140"/>
      <c r="DT98" s="2140"/>
      <c r="DU98" s="2140"/>
      <c r="DV98" s="2140"/>
      <c r="DW98" s="2140"/>
      <c r="DX98" s="2140"/>
      <c r="DY98" s="2140"/>
      <c r="DZ98" s="2140"/>
      <c r="EA98" s="2140" t="s">
        <v>2618</v>
      </c>
      <c r="EB98" s="2140"/>
      <c r="EC98" s="2140"/>
      <c r="ED98" s="2140"/>
      <c r="EE98" s="2140"/>
      <c r="EF98" s="2140"/>
      <c r="EG98" s="2140"/>
      <c r="EH98" s="2140"/>
      <c r="EI98" s="2140"/>
      <c r="EJ98" s="2140"/>
      <c r="EK98" s="2140"/>
      <c r="EL98" s="2140"/>
      <c r="EM98" s="2140"/>
      <c r="EN98" s="2140"/>
    </row>
    <row r="99" spans="1:144" ht="13.15">
      <c r="D99" s="3234" t="str">
        <f>Last_forecast_year-2 &amp; "Q1"</f>
        <v>2018Q1</v>
      </c>
      <c r="E99" s="3234" t="str">
        <f>Last_forecast_year-2 &amp; "Q2"</f>
        <v>2018Q2</v>
      </c>
      <c r="F99" s="3234" t="str">
        <f>Last_forecast_year-2 &amp; "Q3"</f>
        <v>2018Q3</v>
      </c>
      <c r="G99" s="3234" t="str">
        <f>Last_forecast_year-2 &amp; "Q4"</f>
        <v>2018Q4</v>
      </c>
      <c r="H99" s="3234" t="str">
        <f>Last_forecast_year-1 &amp; "Q1"</f>
        <v>2019Q1</v>
      </c>
      <c r="I99" s="3234" t="str">
        <f>Last_forecast_year-1 &amp; "Q2"</f>
        <v>2019Q2</v>
      </c>
      <c r="J99" s="3234" t="str">
        <f>Last_forecast_year-1 &amp; "Q3"</f>
        <v>2019Q3</v>
      </c>
      <c r="K99" s="3234" t="str">
        <f>Last_forecast_year-1 &amp; "Q4"</f>
        <v>2019Q4</v>
      </c>
      <c r="L99" s="3234" t="str">
        <f>Last_forecast_year &amp; "Q1"</f>
        <v>2020Q1</v>
      </c>
      <c r="M99" s="3234" t="str">
        <f>Last_forecast_year &amp; "Q2"</f>
        <v>2020Q2</v>
      </c>
      <c r="N99" s="3234" t="str">
        <f>Last_forecast_year &amp; "Q3"</f>
        <v>2020Q3</v>
      </c>
      <c r="O99" s="3234" t="str">
        <f>Last_forecast_year &amp; "Q4"</f>
        <v>2020Q4</v>
      </c>
      <c r="P99" s="18"/>
      <c r="Q99" s="18"/>
      <c r="R99" s="18"/>
      <c r="S99" s="18"/>
      <c r="T99" s="18"/>
      <c r="U99" s="18"/>
      <c r="V99" s="18"/>
      <c r="W99" s="18"/>
      <c r="X99" s="18"/>
      <c r="Y99" s="18"/>
      <c r="Z99" s="18"/>
      <c r="AA99" s="15"/>
      <c r="AD99" s="18" t="str">
        <f>Last_forecast_year-2 &amp; "Q1"</f>
        <v>2018Q1</v>
      </c>
      <c r="AE99" s="18" t="str">
        <f>Last_forecast_year-2 &amp; "Q2"</f>
        <v>2018Q2</v>
      </c>
      <c r="AF99" s="18" t="str">
        <f>Last_forecast_year-2 &amp; "Q3"</f>
        <v>2018Q3</v>
      </c>
      <c r="AG99" s="18" t="str">
        <f>Last_forecast_year-2 &amp; "Q4"</f>
        <v>2018Q4</v>
      </c>
      <c r="AH99" s="18" t="str">
        <f>Last_forecast_year-1 &amp; "Q1"</f>
        <v>2019Q1</v>
      </c>
      <c r="AI99" s="18" t="str">
        <f>Last_forecast_year-1 &amp; "Q2"</f>
        <v>2019Q2</v>
      </c>
      <c r="AJ99" s="18" t="str">
        <f>Last_forecast_year-1 &amp; "Q3"</f>
        <v>2019Q3</v>
      </c>
      <c r="AK99" s="18" t="str">
        <f>Last_forecast_year-1 &amp; "Q4"</f>
        <v>2019Q4</v>
      </c>
      <c r="AL99" s="18" t="str">
        <f>Last_forecast_year &amp; "Q1"</f>
        <v>2020Q1</v>
      </c>
      <c r="AM99" s="18" t="str">
        <f>Last_forecast_year &amp; "Q2"</f>
        <v>2020Q2</v>
      </c>
      <c r="AN99" s="18" t="str">
        <f>Last_forecast_year &amp; "Q3"</f>
        <v>2020Q3</v>
      </c>
      <c r="AO99" s="18" t="str">
        <f>Last_forecast_year &amp; "Q4"</f>
        <v>2020Q4</v>
      </c>
      <c r="AP99" s="18"/>
      <c r="AQ99" s="18"/>
      <c r="AR99" s="15"/>
      <c r="AU99" s="18" t="s">
        <v>879</v>
      </c>
      <c r="AV99" s="18" t="s">
        <v>880</v>
      </c>
      <c r="AW99" s="18" t="s">
        <v>881</v>
      </c>
      <c r="AX99" s="18" t="s">
        <v>882</v>
      </c>
      <c r="AY99" s="18" t="s">
        <v>883</v>
      </c>
      <c r="AZ99" s="18" t="s">
        <v>884</v>
      </c>
      <c r="BA99" s="18" t="s">
        <v>885</v>
      </c>
      <c r="BB99" s="18" t="s">
        <v>886</v>
      </c>
      <c r="BC99" s="18" t="s">
        <v>887</v>
      </c>
      <c r="BD99" s="18" t="s">
        <v>888</v>
      </c>
      <c r="BE99" s="18" t="s">
        <v>889</v>
      </c>
      <c r="BF99" s="18" t="s">
        <v>890</v>
      </c>
    </row>
    <row r="100" spans="1:144" ht="13.15">
      <c r="C100" s="3233">
        <f>Last_forecast_year-4</f>
        <v>2016</v>
      </c>
      <c r="D100" s="3233">
        <f>C100+1</f>
        <v>2017</v>
      </c>
      <c r="E100" s="3233">
        <f>D100+1</f>
        <v>2018</v>
      </c>
      <c r="F100" s="3233">
        <f>E100+1</f>
        <v>2019</v>
      </c>
      <c r="G100" s="3233">
        <f>F100+1</f>
        <v>2020</v>
      </c>
      <c r="H100" s="19"/>
      <c r="I100" s="19"/>
      <c r="J100" s="19"/>
      <c r="K100" s="19"/>
      <c r="L100" s="20"/>
      <c r="M100" s="20"/>
      <c r="N100" s="20"/>
      <c r="O100" s="20"/>
      <c r="P100"/>
      <c r="Q100"/>
      <c r="AA100" s="15"/>
      <c r="AC100" s="19">
        <f>Last_forecast_year-4</f>
        <v>2016</v>
      </c>
      <c r="AD100" s="19">
        <f>AC100+1</f>
        <v>2017</v>
      </c>
      <c r="AE100" s="19">
        <f>AD100+1</f>
        <v>2018</v>
      </c>
      <c r="AF100" s="19">
        <f>AE100+1</f>
        <v>2019</v>
      </c>
      <c r="AG100" s="19">
        <f>AF100+1</f>
        <v>2020</v>
      </c>
      <c r="AH100" s="19"/>
      <c r="AI100" s="19"/>
      <c r="AJ100" s="19"/>
      <c r="AK100" s="19"/>
      <c r="AL100" s="20"/>
      <c r="AM100" s="20"/>
      <c r="AN100" s="20"/>
      <c r="AO100" s="20"/>
      <c r="AR100" s="15"/>
      <c r="AT100" s="19">
        <v>2004</v>
      </c>
      <c r="AU100" s="19">
        <v>2005</v>
      </c>
      <c r="AV100" s="19">
        <v>2006</v>
      </c>
      <c r="AW100" s="19">
        <v>2007</v>
      </c>
      <c r="AX100" s="19">
        <v>2008</v>
      </c>
      <c r="AY100" s="19"/>
      <c r="AZ100" s="19"/>
      <c r="BA100" s="19"/>
      <c r="BB100" s="19"/>
      <c r="BC100" s="20"/>
      <c r="BD100" s="20"/>
      <c r="BE100" s="20"/>
      <c r="BF100" s="20"/>
    </row>
    <row r="101" spans="1:144" ht="13.15">
      <c r="A101" s="22">
        <v>1</v>
      </c>
      <c r="B101" s="23" t="s">
        <v>1257</v>
      </c>
      <c r="C101" s="24">
        <f ca="1">OFFSET('VVP2'!F165,0,Last_forecast_year - 3-InputY!$G$3)</f>
        <v>1943.1999999518584</v>
      </c>
      <c r="D101" s="24">
        <f ca="1">OFFSET('VVP2'!G165,0,Last_forecast_year - 3-InputY!$G$3)</f>
        <v>2006.0415340095806</v>
      </c>
      <c r="E101" s="24">
        <f ca="1">OFFSET('VVP2'!H165,0,Last_forecast_year - 3-InputY!$G$3)</f>
        <v>2089.7812479999998</v>
      </c>
      <c r="F101" s="24">
        <f ca="1">OFFSET('VVP2'!I165,0,Last_forecast_year - 3-InputY!$G$3)</f>
        <v>2174.8271946467326</v>
      </c>
      <c r="G101" s="24">
        <f ca="1">OFFSET('VVP2'!J165,0,Last_forecast_year - 3-InputY!$G$3)</f>
        <v>2258.2470413517967</v>
      </c>
      <c r="H101" s="25">
        <v>-9999</v>
      </c>
      <c r="I101" s="25">
        <v>-9999</v>
      </c>
      <c r="J101" s="25">
        <v>-9999</v>
      </c>
      <c r="K101" s="25">
        <v>-9999</v>
      </c>
      <c r="L101" s="25">
        <v>-9999</v>
      </c>
      <c r="M101" s="25">
        <v>-9999</v>
      </c>
      <c r="N101" s="25">
        <v>-9999</v>
      </c>
      <c r="O101" s="25">
        <v>-9999</v>
      </c>
      <c r="P101" s="26"/>
      <c r="Q101"/>
      <c r="AA101" s="22">
        <v>1</v>
      </c>
      <c r="AB101" s="1080" t="str">
        <f>+B101</f>
        <v>VOL. PRIVATE CONSUMPTION EXPEND.</v>
      </c>
      <c r="AC101" s="1080">
        <f>CHOOSE(Tables!$U$2,Transfer!CA101,Transfer!CN101,Transfer!DA101,Transfer!DN101,Transfer!EA101)</f>
        <v>1872.826047722421</v>
      </c>
      <c r="AD101" s="1080">
        <f>CHOOSE(Tables!$U$2,Transfer!CB101,Transfer!CO101,Transfer!DB101,Transfer!DO101,Transfer!EB101)</f>
        <v>1930.0599003483269</v>
      </c>
      <c r="AE101" s="1080">
        <f>CHOOSE(Tables!$U$2,Transfer!CC101,Transfer!CP101,Transfer!DC101,Transfer!DP101,Transfer!EC101)</f>
        <v>1996.2401750233098</v>
      </c>
      <c r="AF101" s="1080">
        <f>CHOOSE(Tables!$U$2,Transfer!CD101,Transfer!CQ101,Transfer!DD101,Transfer!DQ101,Transfer!ED101)</f>
        <v>2075.8647062</v>
      </c>
      <c r="AG101" s="1080">
        <f>CHOOSE(Tables!$U$2,Transfer!CE101,Transfer!CR101,Transfer!DE101,Transfer!DR101,Transfer!EE101)</f>
        <v>2162.477462442077</v>
      </c>
      <c r="AH101" s="1080">
        <f>CHOOSE(Tables!$U$2,Transfer!CF101,Transfer!CS101,Transfer!DF101,Transfer!DS101,Transfer!EF101)</f>
        <v>-9999</v>
      </c>
      <c r="AI101" s="1080">
        <f>CHOOSE(Tables!$U$2,Transfer!CG101,Transfer!CT101,Transfer!DG101,Transfer!DT101,Transfer!EG101)</f>
        <v>-9999</v>
      </c>
      <c r="AJ101" s="1080">
        <f>CHOOSE(Tables!$U$2,Transfer!CH101,Transfer!CU101,Transfer!DH101,Transfer!DU101,Transfer!EH101)</f>
        <v>-9999</v>
      </c>
      <c r="AK101" s="1080">
        <f>CHOOSE(Tables!$U$2,Transfer!CI101,Transfer!CV101,Transfer!DI101,Transfer!DV101,Transfer!EI101)</f>
        <v>-9999</v>
      </c>
      <c r="AL101" s="1080">
        <f>CHOOSE(Tables!$U$2,Transfer!CJ101,Transfer!CW101,Transfer!DJ101,Transfer!DW101,Transfer!EJ101)</f>
        <v>-9999</v>
      </c>
      <c r="AM101" s="1080">
        <f>CHOOSE(Tables!$U$2,Transfer!CK101,Transfer!CX101,Transfer!DK101,Transfer!DX101,Transfer!EK101)</f>
        <v>-9999</v>
      </c>
      <c r="AN101" s="1080">
        <f>CHOOSE(Tables!$U$2,Transfer!CL101,Transfer!CY101,Transfer!DL101,Transfer!DY101,Transfer!EL101)</f>
        <v>-9999</v>
      </c>
      <c r="AO101" s="1080">
        <f>CHOOSE(Tables!$U$2,Transfer!CM101,Transfer!CZ101,Transfer!DM101,Transfer!DZ101,Transfer!EM101)</f>
        <v>-9999</v>
      </c>
      <c r="AR101" s="22">
        <v>1</v>
      </c>
      <c r="AS101" s="23" t="s">
        <v>1257</v>
      </c>
      <c r="AT101" s="24">
        <f t="shared" ref="AT101:BF120" ca="1" si="2">C101-AC101</f>
        <v>70.373952229437464</v>
      </c>
      <c r="AU101" s="24">
        <f t="shared" ca="1" si="2"/>
        <v>75.981633661253682</v>
      </c>
      <c r="AV101" s="24">
        <f t="shared" ca="1" si="2"/>
        <v>93.541072976689975</v>
      </c>
      <c r="AW101" s="24">
        <f t="shared" ca="1" si="2"/>
        <v>98.96248844673255</v>
      </c>
      <c r="AX101" s="24">
        <f t="shared" ca="1" si="2"/>
        <v>95.769578909719712</v>
      </c>
      <c r="AY101" s="25">
        <f t="shared" si="2"/>
        <v>0</v>
      </c>
      <c r="AZ101" s="25">
        <f t="shared" si="2"/>
        <v>0</v>
      </c>
      <c r="BA101" s="25">
        <f t="shared" si="2"/>
        <v>0</v>
      </c>
      <c r="BB101" s="25">
        <f t="shared" si="2"/>
        <v>0</v>
      </c>
      <c r="BC101" s="25">
        <f t="shared" si="2"/>
        <v>0</v>
      </c>
      <c r="BD101" s="25">
        <f t="shared" si="2"/>
        <v>0</v>
      </c>
      <c r="BE101" s="25">
        <f t="shared" si="2"/>
        <v>0</v>
      </c>
      <c r="BF101" s="25">
        <f t="shared" si="2"/>
        <v>0</v>
      </c>
      <c r="CA101" s="16">
        <v>1943.1999999518584</v>
      </c>
      <c r="CB101" s="16">
        <v>2006.0415340095806</v>
      </c>
      <c r="CC101" s="16">
        <v>2089.7812479999998</v>
      </c>
      <c r="CD101" s="16">
        <v>2174.8271946467326</v>
      </c>
      <c r="CE101" s="16">
        <v>2258.2470413517967</v>
      </c>
      <c r="CF101" s="16">
        <v>-9999</v>
      </c>
      <c r="CG101" s="16">
        <v>-9999</v>
      </c>
      <c r="CH101" s="16">
        <v>-9999</v>
      </c>
      <c r="CI101" s="16">
        <v>-9999</v>
      </c>
      <c r="CJ101" s="16">
        <v>-9999</v>
      </c>
      <c r="CK101" s="16">
        <v>-9999</v>
      </c>
      <c r="CL101" s="16">
        <v>-9999</v>
      </c>
      <c r="CM101" s="16">
        <v>-9999</v>
      </c>
      <c r="CN101" s="16">
        <v>1872.826047722421</v>
      </c>
      <c r="CO101" s="16">
        <v>1930.0599003483269</v>
      </c>
      <c r="CP101" s="16">
        <v>1996.2401750233098</v>
      </c>
      <c r="CQ101" s="16">
        <v>2075.8647062</v>
      </c>
      <c r="CR101" s="16">
        <v>2162.477462442077</v>
      </c>
      <c r="CS101" s="16">
        <v>-9999</v>
      </c>
      <c r="CT101" s="16">
        <v>-9999</v>
      </c>
      <c r="CU101" s="16">
        <v>-9999</v>
      </c>
      <c r="CV101" s="16">
        <v>-9999</v>
      </c>
      <c r="CW101" s="16">
        <v>-9999</v>
      </c>
      <c r="CX101" s="16">
        <v>-9999</v>
      </c>
      <c r="CY101" s="16">
        <v>-9999</v>
      </c>
      <c r="CZ101" s="16">
        <v>-9999</v>
      </c>
      <c r="DA101" s="16">
        <v>1943.1999999518584</v>
      </c>
      <c r="DB101" s="16">
        <v>2006.0415340095806</v>
      </c>
      <c r="DC101" s="16">
        <v>2089.7812479999998</v>
      </c>
      <c r="DD101" s="16">
        <v>2174.6146638938112</v>
      </c>
      <c r="DE101" s="16">
        <v>2256.9205670001961</v>
      </c>
      <c r="DF101" s="16">
        <v>-9999</v>
      </c>
      <c r="DG101" s="16">
        <v>-9999</v>
      </c>
      <c r="DH101" s="16">
        <v>-9999</v>
      </c>
      <c r="DI101" s="16">
        <v>-9999</v>
      </c>
      <c r="DJ101" s="16">
        <v>-9999</v>
      </c>
      <c r="DK101" s="16">
        <v>-9999</v>
      </c>
      <c r="DL101" s="16">
        <v>-9999</v>
      </c>
      <c r="DM101" s="16">
        <v>-9999</v>
      </c>
      <c r="DN101" s="16">
        <v>1943.1999999518584</v>
      </c>
      <c r="DO101" s="16">
        <v>2006.0415340095806</v>
      </c>
      <c r="DP101" s="16">
        <v>2093.0465312000001</v>
      </c>
      <c r="DQ101" s="16">
        <v>2178.0124993061454</v>
      </c>
      <c r="DR101" s="16">
        <v>2260.4470053861337</v>
      </c>
      <c r="DS101" s="16">
        <v>-9999</v>
      </c>
      <c r="DT101" s="16">
        <v>-9999</v>
      </c>
      <c r="DU101" s="16">
        <v>-9999</v>
      </c>
      <c r="DV101" s="16">
        <v>-9999</v>
      </c>
      <c r="DW101" s="16">
        <v>-9999</v>
      </c>
      <c r="DX101" s="16">
        <v>-9999</v>
      </c>
      <c r="DY101" s="16">
        <v>-9999</v>
      </c>
      <c r="DZ101" s="16">
        <v>-9999</v>
      </c>
      <c r="EA101" s="2256">
        <v>1943.1999999518584</v>
      </c>
      <c r="EB101" s="2256">
        <v>2006.0415340095806</v>
      </c>
      <c r="EC101" s="2256">
        <v>2089.7812479999998</v>
      </c>
      <c r="ED101" s="2256">
        <v>2174.8271946467326</v>
      </c>
      <c r="EE101" s="2256">
        <v>2258.2470413517967</v>
      </c>
      <c r="EF101" s="2257">
        <v>-9999</v>
      </c>
      <c r="EG101" s="2257">
        <v>-9999</v>
      </c>
      <c r="EH101" s="2257">
        <v>-9999</v>
      </c>
      <c r="EI101" s="2257">
        <v>-9999</v>
      </c>
      <c r="EJ101" s="2257">
        <v>-9999</v>
      </c>
      <c r="EK101" s="2257">
        <v>-9999</v>
      </c>
      <c r="EL101" s="2257">
        <v>-9999</v>
      </c>
      <c r="EM101" s="2257">
        <v>-9999</v>
      </c>
    </row>
    <row r="102" spans="1:144" ht="13.15">
      <c r="A102" s="22">
        <v>2</v>
      </c>
      <c r="B102" s="1" t="s">
        <v>698</v>
      </c>
      <c r="C102" s="24">
        <f ca="1">OFFSET('VVP2'!F166,0,Last_forecast_year - 3-InputY!$G$3)</f>
        <v>1125.7660002252285</v>
      </c>
      <c r="D102" s="24">
        <f ca="1">OFFSET('VVP2'!G166,0,Last_forecast_year - 3-InputY!$G$3)</f>
        <v>1153.4962405963208</v>
      </c>
      <c r="E102" s="24">
        <f ca="1">OFFSET('VVP2'!H166,0,Last_forecast_year - 3-InputY!$G$3)</f>
        <v>1208.3228793999999</v>
      </c>
      <c r="F102" s="24">
        <f ca="1">OFFSET('VVP2'!I166,0,Last_forecast_year - 3-InputY!$G$3)</f>
        <v>1260.6505100152963</v>
      </c>
      <c r="G102" s="24">
        <f ca="1">OFFSET('VVP2'!J166,0,Last_forecast_year - 3-InputY!$G$3)</f>
        <v>1308.0010474316748</v>
      </c>
      <c r="H102" s="25">
        <v>-9999</v>
      </c>
      <c r="I102" s="25">
        <v>-9999</v>
      </c>
      <c r="J102" s="25">
        <v>-9999</v>
      </c>
      <c r="K102" s="25">
        <v>-9999</v>
      </c>
      <c r="L102" s="25">
        <v>-9999</v>
      </c>
      <c r="M102" s="25">
        <v>-9999</v>
      </c>
      <c r="N102" s="25">
        <v>-9999</v>
      </c>
      <c r="O102" s="25">
        <v>-9999</v>
      </c>
      <c r="P102" s="26"/>
      <c r="Q102"/>
      <c r="AA102" s="22">
        <v>2</v>
      </c>
      <c r="AB102" s="1080" t="str">
        <f t="shared" ref="AB102:AB165" si="3">+B102</f>
        <v xml:space="preserve">VOL. GOVERNMENT CONSUMPTION EXPEND. </v>
      </c>
      <c r="AC102" s="1080">
        <f>CHOOSE(Tables!$U$2,Transfer!CA102,Transfer!CN102,Transfer!DA102,Transfer!DN102,Transfer!EA102)</f>
        <v>1056.3626856134806</v>
      </c>
      <c r="AD102" s="1080">
        <f>CHOOSE(Tables!$U$2,Transfer!CB102,Transfer!CO102,Transfer!DB102,Transfer!DO102,Transfer!EB102)</f>
        <v>1119.7915395311297</v>
      </c>
      <c r="AE102" s="1080">
        <f>CHOOSE(Tables!$U$2,Transfer!CC102,Transfer!CP102,Transfer!DC102,Transfer!DP102,Transfer!EC102)</f>
        <v>1156.1980326359107</v>
      </c>
      <c r="AF102" s="1080">
        <f>CHOOSE(Tables!$U$2,Transfer!CD102,Transfer!CQ102,Transfer!DD102,Transfer!DQ102,Transfer!ED102)</f>
        <v>1214.3675920000001</v>
      </c>
      <c r="AG102" s="1080">
        <f>CHOOSE(Tables!$U$2,Transfer!CE102,Transfer!CR102,Transfer!DE102,Transfer!DR102,Transfer!EE102)</f>
        <v>1266.0780356760627</v>
      </c>
      <c r="AH102" s="1080">
        <f>CHOOSE(Tables!$U$2,Transfer!CF102,Transfer!CS102,Transfer!DF102,Transfer!DS102,Transfer!EF102)</f>
        <v>-9999</v>
      </c>
      <c r="AI102" s="1080">
        <f>CHOOSE(Tables!$U$2,Transfer!CG102,Transfer!CT102,Transfer!DG102,Transfer!DT102,Transfer!EG102)</f>
        <v>-9999</v>
      </c>
      <c r="AJ102" s="1080">
        <f>CHOOSE(Tables!$U$2,Transfer!CH102,Transfer!CU102,Transfer!DH102,Transfer!DU102,Transfer!EH102)</f>
        <v>-9999</v>
      </c>
      <c r="AK102" s="1080">
        <f>CHOOSE(Tables!$U$2,Transfer!CI102,Transfer!CV102,Transfer!DI102,Transfer!DV102,Transfer!EI102)</f>
        <v>-9999</v>
      </c>
      <c r="AL102" s="1080">
        <f>CHOOSE(Tables!$U$2,Transfer!CJ102,Transfer!CW102,Transfer!DJ102,Transfer!DW102,Transfer!EJ102)</f>
        <v>-9999</v>
      </c>
      <c r="AM102" s="1080">
        <f>CHOOSE(Tables!$U$2,Transfer!CK102,Transfer!CX102,Transfer!DK102,Transfer!DX102,Transfer!EK102)</f>
        <v>-9999</v>
      </c>
      <c r="AN102" s="1080">
        <f>CHOOSE(Tables!$U$2,Transfer!CL102,Transfer!CY102,Transfer!DL102,Transfer!DY102,Transfer!EL102)</f>
        <v>-9999</v>
      </c>
      <c r="AO102" s="1080">
        <f>CHOOSE(Tables!$U$2,Transfer!CM102,Transfer!CZ102,Transfer!DM102,Transfer!DZ102,Transfer!EM102)</f>
        <v>-9999</v>
      </c>
      <c r="AR102" s="22">
        <v>2</v>
      </c>
      <c r="AS102" s="1" t="s">
        <v>698</v>
      </c>
      <c r="AT102" s="24">
        <f t="shared" ca="1" si="2"/>
        <v>69.403314611747874</v>
      </c>
      <c r="AU102" s="24">
        <f t="shared" ca="1" si="2"/>
        <v>33.704701065191102</v>
      </c>
      <c r="AV102" s="24">
        <f t="shared" ca="1" si="2"/>
        <v>52.12484676408917</v>
      </c>
      <c r="AW102" s="24">
        <f t="shared" ca="1" si="2"/>
        <v>46.282918015296218</v>
      </c>
      <c r="AX102" s="24">
        <f t="shared" ca="1" si="2"/>
        <v>41.923011755612151</v>
      </c>
      <c r="AY102" s="25">
        <f t="shared" si="2"/>
        <v>0</v>
      </c>
      <c r="AZ102" s="25">
        <f t="shared" si="2"/>
        <v>0</v>
      </c>
      <c r="BA102" s="25">
        <f t="shared" si="2"/>
        <v>0</v>
      </c>
      <c r="BB102" s="25">
        <f t="shared" si="2"/>
        <v>0</v>
      </c>
      <c r="BC102" s="25">
        <f t="shared" si="2"/>
        <v>0</v>
      </c>
      <c r="BD102" s="25">
        <f t="shared" si="2"/>
        <v>0</v>
      </c>
      <c r="BE102" s="25">
        <f t="shared" si="2"/>
        <v>0</v>
      </c>
      <c r="BF102" s="25">
        <f t="shared" si="2"/>
        <v>0</v>
      </c>
      <c r="CA102" s="16">
        <v>1125.7660002252285</v>
      </c>
      <c r="CB102" s="16">
        <v>1153.4962405963208</v>
      </c>
      <c r="CC102" s="16">
        <v>1208.3228793999999</v>
      </c>
      <c r="CD102" s="16">
        <v>1260.6505100152963</v>
      </c>
      <c r="CE102" s="16">
        <v>1308.0010474316748</v>
      </c>
      <c r="CF102" s="16">
        <v>-9999</v>
      </c>
      <c r="CG102" s="16">
        <v>-9999</v>
      </c>
      <c r="CH102" s="16">
        <v>-9999</v>
      </c>
      <c r="CI102" s="16">
        <v>-9999</v>
      </c>
      <c r="CJ102" s="16">
        <v>-9999</v>
      </c>
      <c r="CK102" s="16">
        <v>-9999</v>
      </c>
      <c r="CL102" s="16">
        <v>-9999</v>
      </c>
      <c r="CM102" s="16">
        <v>-9999</v>
      </c>
      <c r="CN102" s="16">
        <v>1056.3626856134806</v>
      </c>
      <c r="CO102" s="16">
        <v>1119.7915395311297</v>
      </c>
      <c r="CP102" s="16">
        <v>1156.1980326359107</v>
      </c>
      <c r="CQ102" s="16">
        <v>1214.3675920000001</v>
      </c>
      <c r="CR102" s="16">
        <v>1266.0780356760627</v>
      </c>
      <c r="CS102" s="16">
        <v>-9999</v>
      </c>
      <c r="CT102" s="16">
        <v>-9999</v>
      </c>
      <c r="CU102" s="16">
        <v>-9999</v>
      </c>
      <c r="CV102" s="16">
        <v>-9999</v>
      </c>
      <c r="CW102" s="16">
        <v>-9999</v>
      </c>
      <c r="CX102" s="16">
        <v>-9999</v>
      </c>
      <c r="CY102" s="16">
        <v>-9999</v>
      </c>
      <c r="CZ102" s="16">
        <v>-9999</v>
      </c>
      <c r="DA102" s="16">
        <v>1125.7660002252285</v>
      </c>
      <c r="DB102" s="16">
        <v>1153.4962405963208</v>
      </c>
      <c r="DC102" s="16">
        <v>1208.3228793999999</v>
      </c>
      <c r="DD102" s="16">
        <v>1260.6505100152963</v>
      </c>
      <c r="DE102" s="16">
        <v>1308.0010474316748</v>
      </c>
      <c r="DF102" s="16">
        <v>-9999</v>
      </c>
      <c r="DG102" s="16">
        <v>-9999</v>
      </c>
      <c r="DH102" s="16">
        <v>-9999</v>
      </c>
      <c r="DI102" s="16">
        <v>-9999</v>
      </c>
      <c r="DJ102" s="16">
        <v>-9999</v>
      </c>
      <c r="DK102" s="16">
        <v>-9999</v>
      </c>
      <c r="DL102" s="16">
        <v>-9999</v>
      </c>
      <c r="DM102" s="16">
        <v>-9999</v>
      </c>
      <c r="DN102" s="16">
        <v>1125.7660002252285</v>
      </c>
      <c r="DO102" s="16">
        <v>1153.4962405963208</v>
      </c>
      <c r="DP102" s="16">
        <v>1208.3228793999999</v>
      </c>
      <c r="DQ102" s="16">
        <v>1260.6505100152963</v>
      </c>
      <c r="DR102" s="16">
        <v>1308.0010474316748</v>
      </c>
      <c r="DS102" s="16">
        <v>-9999</v>
      </c>
      <c r="DT102" s="16">
        <v>-9999</v>
      </c>
      <c r="DU102" s="16">
        <v>-9999</v>
      </c>
      <c r="DV102" s="16">
        <v>-9999</v>
      </c>
      <c r="DW102" s="16">
        <v>-9999</v>
      </c>
      <c r="DX102" s="16">
        <v>-9999</v>
      </c>
      <c r="DY102" s="16">
        <v>-9999</v>
      </c>
      <c r="DZ102" s="16">
        <v>-9999</v>
      </c>
      <c r="EA102" s="2256">
        <v>1125.7660002252285</v>
      </c>
      <c r="EB102" s="2256">
        <v>1153.4962405963208</v>
      </c>
      <c r="EC102" s="2256">
        <v>1208.3228793999999</v>
      </c>
      <c r="ED102" s="2256">
        <v>1260.6505100152963</v>
      </c>
      <c r="EE102" s="2256">
        <v>1308.0010474316748</v>
      </c>
      <c r="EF102" s="2257">
        <v>-9999</v>
      </c>
      <c r="EG102" s="2257">
        <v>-9999</v>
      </c>
      <c r="EH102" s="2257">
        <v>-9999</v>
      </c>
      <c r="EI102" s="2257">
        <v>-9999</v>
      </c>
      <c r="EJ102" s="2257">
        <v>-9999</v>
      </c>
      <c r="EK102" s="2257">
        <v>-9999</v>
      </c>
      <c r="EL102" s="2257">
        <v>-9999</v>
      </c>
      <c r="EM102" s="2257">
        <v>-9999</v>
      </c>
    </row>
    <row r="103" spans="1:144" ht="13.15">
      <c r="A103" s="22">
        <v>3</v>
      </c>
      <c r="B103" s="3359" t="s">
        <v>700</v>
      </c>
      <c r="C103" s="24">
        <f ca="1">OFFSET('VVP2'!F167,0,Last_forecast_year - 3-InputY!$G$3)</f>
        <v>1032.6519937594187</v>
      </c>
      <c r="D103" s="24">
        <f ca="1">OFFSET('VVP2'!G167,0,Last_forecast_year - 3-InputY!$G$3)</f>
        <v>1113.3623115524583</v>
      </c>
      <c r="E103" s="24">
        <f ca="1">OFFSET('VVP2'!H167,0,Last_forecast_year - 3-InputY!$G$3)</f>
        <v>1183.0519985000001</v>
      </c>
      <c r="F103" s="24">
        <f ca="1">OFFSET('VVP2'!I167,0,Last_forecast_year - 3-InputY!$G$3)</f>
        <v>1255.1855524673097</v>
      </c>
      <c r="G103" s="24">
        <f ca="1">OFFSET('VVP2'!J167,0,Last_forecast_year - 3-InputY!$G$3)</f>
        <v>1312.6626811448639</v>
      </c>
      <c r="H103" s="25">
        <v>-9999</v>
      </c>
      <c r="I103" s="25">
        <v>-9999</v>
      </c>
      <c r="J103" s="25">
        <v>-9999</v>
      </c>
      <c r="K103" s="25">
        <v>-9999</v>
      </c>
      <c r="L103" s="25">
        <v>-9999</v>
      </c>
      <c r="M103" s="25">
        <v>-9999</v>
      </c>
      <c r="N103" s="25">
        <v>-9999</v>
      </c>
      <c r="O103" s="25">
        <v>-9999</v>
      </c>
      <c r="P103" s="3302"/>
      <c r="Q103"/>
      <c r="AA103" s="22">
        <v>3</v>
      </c>
      <c r="AB103" s="1080" t="str">
        <f t="shared" si="3"/>
        <v>VOL. G.F.C.F. TOTAL</v>
      </c>
      <c r="AC103" s="1080">
        <f>CHOOSE(Tables!$U$2,Transfer!CA103,Transfer!CN103,Transfer!DA103,Transfer!DN103,Transfer!EA103)</f>
        <v>970.46116943286154</v>
      </c>
      <c r="AD103" s="1080">
        <f>CHOOSE(Tables!$U$2,Transfer!CB103,Transfer!CO103,Transfer!DB103,Transfer!DO103,Transfer!EB103)</f>
        <v>1045.4819099951021</v>
      </c>
      <c r="AE103" s="1080">
        <f>CHOOSE(Tables!$U$2,Transfer!CC103,Transfer!CP103,Transfer!DC103,Transfer!DP103,Transfer!EC103)</f>
        <v>1123.5229848808865</v>
      </c>
      <c r="AF103" s="1080">
        <f>CHOOSE(Tables!$U$2,Transfer!CD103,Transfer!CQ103,Transfer!DD103,Transfer!DQ103,Transfer!ED103)</f>
        <v>1190.7286645000001</v>
      </c>
      <c r="AG103" s="1080">
        <f>CHOOSE(Tables!$U$2,Transfer!CE103,Transfer!CR103,Transfer!DE103,Transfer!DR103,Transfer!EE103)</f>
        <v>1243.5104067807915</v>
      </c>
      <c r="AH103" s="1080">
        <f>CHOOSE(Tables!$U$2,Transfer!CF103,Transfer!CS103,Transfer!DF103,Transfer!DS103,Transfer!EF103)</f>
        <v>-9999</v>
      </c>
      <c r="AI103" s="1080">
        <f>CHOOSE(Tables!$U$2,Transfer!CG103,Transfer!CT103,Transfer!DG103,Transfer!DT103,Transfer!EG103)</f>
        <v>-9999</v>
      </c>
      <c r="AJ103" s="1080">
        <f>CHOOSE(Tables!$U$2,Transfer!CH103,Transfer!CU103,Transfer!DH103,Transfer!DU103,Transfer!EH103)</f>
        <v>-9999</v>
      </c>
      <c r="AK103" s="1080">
        <f>CHOOSE(Tables!$U$2,Transfer!CI103,Transfer!CV103,Transfer!DI103,Transfer!DV103,Transfer!EI103)</f>
        <v>-9999</v>
      </c>
      <c r="AL103" s="1080">
        <f>CHOOSE(Tables!$U$2,Transfer!CJ103,Transfer!CW103,Transfer!DJ103,Transfer!DW103,Transfer!EJ103)</f>
        <v>-9999</v>
      </c>
      <c r="AM103" s="1080">
        <f>CHOOSE(Tables!$U$2,Transfer!CK103,Transfer!CX103,Transfer!DK103,Transfer!DX103,Transfer!EK103)</f>
        <v>-9999</v>
      </c>
      <c r="AN103" s="1080">
        <f>CHOOSE(Tables!$U$2,Transfer!CL103,Transfer!CY103,Transfer!DL103,Transfer!DY103,Transfer!EL103)</f>
        <v>-9999</v>
      </c>
      <c r="AO103" s="1080">
        <f>CHOOSE(Tables!$U$2,Transfer!CM103,Transfer!CZ103,Transfer!DM103,Transfer!DZ103,Transfer!EM103)</f>
        <v>-9999</v>
      </c>
      <c r="AR103" s="22">
        <v>3</v>
      </c>
      <c r="AS103" s="27" t="s">
        <v>700</v>
      </c>
      <c r="AT103" s="24">
        <f t="shared" ca="1" si="2"/>
        <v>62.190824326557163</v>
      </c>
      <c r="AU103" s="24">
        <f t="shared" ca="1" si="2"/>
        <v>67.880401557356208</v>
      </c>
      <c r="AV103" s="24">
        <f t="shared" ca="1" si="2"/>
        <v>59.529013619113584</v>
      </c>
      <c r="AW103" s="24">
        <f t="shared" ca="1" si="2"/>
        <v>64.456887967309513</v>
      </c>
      <c r="AX103" s="24">
        <f t="shared" ca="1" si="2"/>
        <v>69.152274364072355</v>
      </c>
      <c r="AY103" s="25">
        <f t="shared" si="2"/>
        <v>0</v>
      </c>
      <c r="AZ103" s="25">
        <f t="shared" si="2"/>
        <v>0</v>
      </c>
      <c r="BA103" s="25">
        <f t="shared" si="2"/>
        <v>0</v>
      </c>
      <c r="BB103" s="25">
        <f t="shared" si="2"/>
        <v>0</v>
      </c>
      <c r="BC103" s="25">
        <f t="shared" si="2"/>
        <v>0</v>
      </c>
      <c r="BD103" s="25">
        <f t="shared" si="2"/>
        <v>0</v>
      </c>
      <c r="BE103" s="25">
        <f t="shared" si="2"/>
        <v>0</v>
      </c>
      <c r="BF103" s="25">
        <f t="shared" si="2"/>
        <v>0</v>
      </c>
      <c r="CA103" s="16">
        <v>1032.6519937594187</v>
      </c>
      <c r="CB103" s="16">
        <v>1113.3623115524583</v>
      </c>
      <c r="CC103" s="16">
        <v>1183.0519985000001</v>
      </c>
      <c r="CD103" s="16">
        <v>1255.1855524673097</v>
      </c>
      <c r="CE103" s="16">
        <v>1312.6626811448639</v>
      </c>
      <c r="CF103" s="16">
        <v>-9999</v>
      </c>
      <c r="CG103" s="16">
        <v>-9999</v>
      </c>
      <c r="CH103" s="16">
        <v>-9999</v>
      </c>
      <c r="CI103" s="16">
        <v>-9999</v>
      </c>
      <c r="CJ103" s="16">
        <v>-9999</v>
      </c>
      <c r="CK103" s="16">
        <v>-9999</v>
      </c>
      <c r="CL103" s="16">
        <v>-9999</v>
      </c>
      <c r="CM103" s="16">
        <v>-9999</v>
      </c>
      <c r="CN103" s="16">
        <v>970.46116943286154</v>
      </c>
      <c r="CO103" s="16">
        <v>1045.4819099951021</v>
      </c>
      <c r="CP103" s="16">
        <v>1123.5229848808865</v>
      </c>
      <c r="CQ103" s="16">
        <v>1190.7286645000001</v>
      </c>
      <c r="CR103" s="16">
        <v>1243.5104067807915</v>
      </c>
      <c r="CS103" s="16">
        <v>-9999</v>
      </c>
      <c r="CT103" s="16">
        <v>-9999</v>
      </c>
      <c r="CU103" s="16">
        <v>-9999</v>
      </c>
      <c r="CV103" s="16">
        <v>-9999</v>
      </c>
      <c r="CW103" s="16">
        <v>-9999</v>
      </c>
      <c r="CX103" s="16">
        <v>-9999</v>
      </c>
      <c r="CY103" s="16">
        <v>-9999</v>
      </c>
      <c r="CZ103" s="16">
        <v>-9999</v>
      </c>
      <c r="DA103" s="16">
        <v>1032.6519937594187</v>
      </c>
      <c r="DB103" s="16">
        <v>1113.3623115524583</v>
      </c>
      <c r="DC103" s="16">
        <v>1183.1957525</v>
      </c>
      <c r="DD103" s="16">
        <v>1258.7659150108991</v>
      </c>
      <c r="DE103" s="16">
        <v>1317.3526847320454</v>
      </c>
      <c r="DF103" s="16">
        <v>-9999</v>
      </c>
      <c r="DG103" s="16">
        <v>-9999</v>
      </c>
      <c r="DH103" s="16">
        <v>-9999</v>
      </c>
      <c r="DI103" s="16">
        <v>-9999</v>
      </c>
      <c r="DJ103" s="16">
        <v>-9999</v>
      </c>
      <c r="DK103" s="16">
        <v>-9999</v>
      </c>
      <c r="DL103" s="16">
        <v>-9999</v>
      </c>
      <c r="DM103" s="16">
        <v>-9999</v>
      </c>
      <c r="DN103" s="16">
        <v>1032.6519937594187</v>
      </c>
      <c r="DO103" s="16">
        <v>1113.3623115524583</v>
      </c>
      <c r="DP103" s="16">
        <v>1183.1957525</v>
      </c>
      <c r="DQ103" s="16">
        <v>1258.7659150108991</v>
      </c>
      <c r="DR103" s="16">
        <v>1317.3526847320454</v>
      </c>
      <c r="DS103" s="16">
        <v>-9999</v>
      </c>
      <c r="DT103" s="16">
        <v>-9999</v>
      </c>
      <c r="DU103" s="16">
        <v>-9999</v>
      </c>
      <c r="DV103" s="16">
        <v>-9999</v>
      </c>
      <c r="DW103" s="16">
        <v>-9999</v>
      </c>
      <c r="DX103" s="16">
        <v>-9999</v>
      </c>
      <c r="DY103" s="16">
        <v>-9999</v>
      </c>
      <c r="DZ103" s="16">
        <v>-9999</v>
      </c>
      <c r="EA103" s="2256">
        <v>1032.6519937594187</v>
      </c>
      <c r="EB103" s="2256">
        <v>1113.3623115524583</v>
      </c>
      <c r="EC103" s="2256">
        <v>1183.0519985000001</v>
      </c>
      <c r="ED103" s="2256">
        <v>1255.1855524673097</v>
      </c>
      <c r="EE103" s="2256">
        <v>1312.6626811448639</v>
      </c>
      <c r="EF103" s="2257">
        <v>-9999</v>
      </c>
      <c r="EG103" s="2257">
        <v>-9999</v>
      </c>
      <c r="EH103" s="2257">
        <v>-9999</v>
      </c>
      <c r="EI103" s="2257">
        <v>-9999</v>
      </c>
      <c r="EJ103" s="2257">
        <v>-9999</v>
      </c>
      <c r="EK103" s="2257">
        <v>-9999</v>
      </c>
      <c r="EL103" s="2257">
        <v>-9999</v>
      </c>
      <c r="EM103" s="2257">
        <v>-9999</v>
      </c>
    </row>
    <row r="104" spans="1:144" ht="13.15">
      <c r="A104" s="22">
        <v>4</v>
      </c>
      <c r="B104" s="1" t="s">
        <v>701</v>
      </c>
      <c r="C104" s="24">
        <f ca="1">OFFSET('VVP2'!F168,0,Last_forecast_year - 3-InputY!$G$3)</f>
        <v>442.21200644149195</v>
      </c>
      <c r="D104" s="24">
        <f ca="1">OFFSET('VVP2'!G168,0,Last_forecast_year - 3-InputY!$G$3)</f>
        <v>493.1752835839344</v>
      </c>
      <c r="E104" s="24">
        <f ca="1">OFFSET('VVP2'!H168,0,Last_forecast_year - 3-InputY!$G$3)</f>
        <v>525.3200945000001</v>
      </c>
      <c r="F104" s="24">
        <f ca="1">OFFSET('VVP2'!I168,0,Last_forecast_year - 3-InputY!$G$3)</f>
        <v>542.47952414735767</v>
      </c>
      <c r="G104" s="24">
        <f ca="1">OFFSET('VVP2'!J168,0,Last_forecast_year - 3-InputY!$G$3)</f>
        <v>559.51059974063946</v>
      </c>
      <c r="H104" s="25">
        <v>-9999</v>
      </c>
      <c r="I104" s="25">
        <v>-9999</v>
      </c>
      <c r="J104" s="25">
        <v>-9999</v>
      </c>
      <c r="K104" s="25">
        <v>-9999</v>
      </c>
      <c r="L104" s="25">
        <v>-9999</v>
      </c>
      <c r="M104" s="25">
        <v>-9999</v>
      </c>
      <c r="N104" s="25">
        <v>-9999</v>
      </c>
      <c r="O104" s="25">
        <v>-9999</v>
      </c>
      <c r="P104" s="26"/>
      <c r="Q104"/>
      <c r="AA104" s="22">
        <v>4</v>
      </c>
      <c r="AB104" s="1080" t="str">
        <f t="shared" si="3"/>
        <v>VOL. G.F.C.F. CONSTRUCTION</v>
      </c>
      <c r="AC104" s="1080">
        <f>CHOOSE(Tables!$U$2,Transfer!CA104,Transfer!CN104,Transfer!DA104,Transfer!DN104,Transfer!EA104)</f>
        <v>403.5681443015377</v>
      </c>
      <c r="AD104" s="1080">
        <f>CHOOSE(Tables!$U$2,Transfer!CB104,Transfer!CO104,Transfer!DB104,Transfer!DO104,Transfer!EB104)</f>
        <v>448.08752406587075</v>
      </c>
      <c r="AE104" s="1080">
        <f>CHOOSE(Tables!$U$2,Transfer!CC104,Transfer!CP104,Transfer!DC104,Transfer!DP104,Transfer!EC104)</f>
        <v>499.0101486745848</v>
      </c>
      <c r="AF104" s="1080">
        <f>CHOOSE(Tables!$U$2,Transfer!CD104,Transfer!CQ104,Transfer!DD104,Transfer!DQ104,Transfer!ED104)</f>
        <v>524.41361649999999</v>
      </c>
      <c r="AG104" s="1080">
        <f>CHOOSE(Tables!$U$2,Transfer!CE104,Transfer!CR104,Transfer!DE104,Transfer!DR104,Transfer!EE104)</f>
        <v>537.31378162853889</v>
      </c>
      <c r="AH104" s="1080">
        <f>CHOOSE(Tables!$U$2,Transfer!CF104,Transfer!CS104,Transfer!DF104,Transfer!DS104,Transfer!EF104)</f>
        <v>-9999</v>
      </c>
      <c r="AI104" s="1080">
        <f>CHOOSE(Tables!$U$2,Transfer!CG104,Transfer!CT104,Transfer!DG104,Transfer!DT104,Transfer!EG104)</f>
        <v>-9999</v>
      </c>
      <c r="AJ104" s="1080">
        <f>CHOOSE(Tables!$U$2,Transfer!CH104,Transfer!CU104,Transfer!DH104,Transfer!DU104,Transfer!EH104)</f>
        <v>-9999</v>
      </c>
      <c r="AK104" s="1080">
        <f>CHOOSE(Tables!$U$2,Transfer!CI104,Transfer!CV104,Transfer!DI104,Transfer!DV104,Transfer!EI104)</f>
        <v>-9999</v>
      </c>
      <c r="AL104" s="1080">
        <f>CHOOSE(Tables!$U$2,Transfer!CJ104,Transfer!CW104,Transfer!DJ104,Transfer!DW104,Transfer!EJ104)</f>
        <v>-9999</v>
      </c>
      <c r="AM104" s="1080">
        <f>CHOOSE(Tables!$U$2,Transfer!CK104,Transfer!CX104,Transfer!DK104,Transfer!DX104,Transfer!EK104)</f>
        <v>-9999</v>
      </c>
      <c r="AN104" s="1080">
        <f>CHOOSE(Tables!$U$2,Transfer!CL104,Transfer!CY104,Transfer!DL104,Transfer!DY104,Transfer!EL104)</f>
        <v>-9999</v>
      </c>
      <c r="AO104" s="1080">
        <f>CHOOSE(Tables!$U$2,Transfer!CM104,Transfer!CZ104,Transfer!DM104,Transfer!DZ104,Transfer!EM104)</f>
        <v>-9999</v>
      </c>
      <c r="AR104" s="22">
        <v>4</v>
      </c>
      <c r="AS104" s="1" t="s">
        <v>701</v>
      </c>
      <c r="AT104" s="24">
        <f t="shared" ca="1" si="2"/>
        <v>38.643862139954251</v>
      </c>
      <c r="AU104" s="24">
        <f t="shared" ca="1" si="2"/>
        <v>45.087759518063649</v>
      </c>
      <c r="AV104" s="24">
        <f t="shared" ca="1" si="2"/>
        <v>26.309945825415298</v>
      </c>
      <c r="AW104" s="24">
        <f t="shared" ca="1" si="2"/>
        <v>18.065907647357676</v>
      </c>
      <c r="AX104" s="24">
        <f t="shared" ca="1" si="2"/>
        <v>22.196818112100573</v>
      </c>
      <c r="AY104" s="25">
        <f t="shared" si="2"/>
        <v>0</v>
      </c>
      <c r="AZ104" s="25">
        <f t="shared" si="2"/>
        <v>0</v>
      </c>
      <c r="BA104" s="25">
        <f t="shared" si="2"/>
        <v>0</v>
      </c>
      <c r="BB104" s="25">
        <f t="shared" si="2"/>
        <v>0</v>
      </c>
      <c r="BC104" s="25">
        <f t="shared" si="2"/>
        <v>0</v>
      </c>
      <c r="BD104" s="25">
        <f t="shared" si="2"/>
        <v>0</v>
      </c>
      <c r="BE104" s="25">
        <f t="shared" si="2"/>
        <v>0</v>
      </c>
      <c r="BF104" s="25">
        <f t="shared" si="2"/>
        <v>0</v>
      </c>
      <c r="CA104" s="16">
        <v>442.21200644149195</v>
      </c>
      <c r="CB104" s="16">
        <v>493.1752835839344</v>
      </c>
      <c r="CC104" s="16">
        <v>525.3200945000001</v>
      </c>
      <c r="CD104" s="16">
        <v>542.47952414735767</v>
      </c>
      <c r="CE104" s="16">
        <v>559.51059974063946</v>
      </c>
      <c r="CF104" s="16">
        <v>-9999</v>
      </c>
      <c r="CG104" s="16">
        <v>-9999</v>
      </c>
      <c r="CH104" s="16">
        <v>-9999</v>
      </c>
      <c r="CI104" s="16">
        <v>-9999</v>
      </c>
      <c r="CJ104" s="16">
        <v>-9999</v>
      </c>
      <c r="CK104" s="16">
        <v>-9999</v>
      </c>
      <c r="CL104" s="16">
        <v>-9999</v>
      </c>
      <c r="CM104" s="16">
        <v>-9999</v>
      </c>
      <c r="CN104" s="16">
        <v>403.5681443015377</v>
      </c>
      <c r="CO104" s="16">
        <v>448.08752406587075</v>
      </c>
      <c r="CP104" s="16">
        <v>499.0101486745848</v>
      </c>
      <c r="CQ104" s="16">
        <v>524.41361649999999</v>
      </c>
      <c r="CR104" s="16">
        <v>537.31378162853889</v>
      </c>
      <c r="CS104" s="16">
        <v>-9999</v>
      </c>
      <c r="CT104" s="16">
        <v>-9999</v>
      </c>
      <c r="CU104" s="16">
        <v>-9999</v>
      </c>
      <c r="CV104" s="16">
        <v>-9999</v>
      </c>
      <c r="CW104" s="16">
        <v>-9999</v>
      </c>
      <c r="CX104" s="16">
        <v>-9999</v>
      </c>
      <c r="CY104" s="16">
        <v>-9999</v>
      </c>
      <c r="CZ104" s="16">
        <v>-9999</v>
      </c>
      <c r="DA104" s="16">
        <v>442.21200644149195</v>
      </c>
      <c r="DB104" s="16">
        <v>493.1752835839344</v>
      </c>
      <c r="DC104" s="16">
        <v>525.46384850000004</v>
      </c>
      <c r="DD104" s="16">
        <v>546.54578296519242</v>
      </c>
      <c r="DE104" s="16">
        <v>564.35418859256765</v>
      </c>
      <c r="DF104" s="16">
        <v>-9999</v>
      </c>
      <c r="DG104" s="16">
        <v>-9999</v>
      </c>
      <c r="DH104" s="16">
        <v>-9999</v>
      </c>
      <c r="DI104" s="16">
        <v>-9999</v>
      </c>
      <c r="DJ104" s="16">
        <v>-9999</v>
      </c>
      <c r="DK104" s="16">
        <v>-9999</v>
      </c>
      <c r="DL104" s="16">
        <v>-9999</v>
      </c>
      <c r="DM104" s="16">
        <v>-9999</v>
      </c>
      <c r="DN104" s="16">
        <v>442.21200644149195</v>
      </c>
      <c r="DO104" s="16">
        <v>493.1752835839344</v>
      </c>
      <c r="DP104" s="16">
        <v>525.46384850000004</v>
      </c>
      <c r="DQ104" s="16">
        <v>546.54578296519242</v>
      </c>
      <c r="DR104" s="16">
        <v>564.35418859256765</v>
      </c>
      <c r="DS104" s="16">
        <v>-9999</v>
      </c>
      <c r="DT104" s="16">
        <v>-9999</v>
      </c>
      <c r="DU104" s="16">
        <v>-9999</v>
      </c>
      <c r="DV104" s="16">
        <v>-9999</v>
      </c>
      <c r="DW104" s="16">
        <v>-9999</v>
      </c>
      <c r="DX104" s="16">
        <v>-9999</v>
      </c>
      <c r="DY104" s="16">
        <v>-9999</v>
      </c>
      <c r="DZ104" s="16">
        <v>-9999</v>
      </c>
      <c r="EA104" s="2256">
        <v>442.21200644149195</v>
      </c>
      <c r="EB104" s="2256">
        <v>493.1752835839344</v>
      </c>
      <c r="EC104" s="2256">
        <v>525.3200945000001</v>
      </c>
      <c r="ED104" s="2256">
        <v>542.47952414735767</v>
      </c>
      <c r="EE104" s="2256">
        <v>559.51059974063946</v>
      </c>
      <c r="EF104" s="2257">
        <v>-9999</v>
      </c>
      <c r="EG104" s="2257">
        <v>-9999</v>
      </c>
      <c r="EH104" s="2257">
        <v>-9999</v>
      </c>
      <c r="EI104" s="2257">
        <v>-9999</v>
      </c>
      <c r="EJ104" s="2257">
        <v>-9999</v>
      </c>
      <c r="EK104" s="2257">
        <v>-9999</v>
      </c>
      <c r="EL104" s="2257">
        <v>-9999</v>
      </c>
      <c r="EM104" s="2257">
        <v>-9999</v>
      </c>
    </row>
    <row r="105" spans="1:144" ht="13.15">
      <c r="A105" s="22">
        <v>5</v>
      </c>
      <c r="B105" s="1" t="s">
        <v>703</v>
      </c>
      <c r="C105" s="24">
        <f ca="1">OFFSET('VVP2'!F169,0,Last_forecast_year - 3-InputY!$G$3)</f>
        <v>318.69800076561222</v>
      </c>
      <c r="D105" s="24">
        <f ca="1">OFFSET('VVP2'!G169,0,Last_forecast_year - 3-InputY!$G$3)</f>
        <v>338.34666774569848</v>
      </c>
      <c r="E105" s="24">
        <f ca="1">OFFSET('VVP2'!H169,0,Last_forecast_year - 3-InputY!$G$3)</f>
        <v>359.73663599999998</v>
      </c>
      <c r="F105" s="24">
        <f ca="1">OFFSET('VVP2'!I169,0,Last_forecast_year - 3-InputY!$G$3)</f>
        <v>389.65143530816994</v>
      </c>
      <c r="G105" s="24">
        <f ca="1">OFFSET('VVP2'!J169,0,Last_forecast_year - 3-InputY!$G$3)</f>
        <v>414.17638888504268</v>
      </c>
      <c r="H105" s="25">
        <v>-9999</v>
      </c>
      <c r="I105" s="25">
        <v>-9999</v>
      </c>
      <c r="J105" s="25">
        <v>-9999</v>
      </c>
      <c r="K105" s="25">
        <v>-9999</v>
      </c>
      <c r="L105" s="25">
        <v>-9999</v>
      </c>
      <c r="M105" s="25">
        <v>-9999</v>
      </c>
      <c r="N105" s="25">
        <v>-9999</v>
      </c>
      <c r="O105" s="25">
        <v>-9999</v>
      </c>
      <c r="P105" s="26"/>
      <c r="Q105"/>
      <c r="AA105" s="22">
        <v>5</v>
      </c>
      <c r="AB105" s="1080" t="str">
        <f t="shared" si="3"/>
        <v>VOL. G.F.C.F. EQUIPMENT</v>
      </c>
      <c r="AC105" s="1080">
        <f>CHOOSE(Tables!$U$2,Transfer!CA105,Transfer!CN105,Transfer!DA105,Transfer!DN105,Transfer!EA105)</f>
        <v>292.04108884513442</v>
      </c>
      <c r="AD105" s="1080">
        <f>CHOOSE(Tables!$U$2,Transfer!CB105,Transfer!CO105,Transfer!DB105,Transfer!DO105,Transfer!EB105)</f>
        <v>317.23953439345092</v>
      </c>
      <c r="AE105" s="1080">
        <f>CHOOSE(Tables!$U$2,Transfer!CC105,Transfer!CP105,Transfer!DC105,Transfer!DP105,Transfer!EC105)</f>
        <v>334.80297611341877</v>
      </c>
      <c r="AF105" s="1080">
        <f>CHOOSE(Tables!$U$2,Transfer!CD105,Transfer!CQ105,Transfer!DD105,Transfer!DQ105,Transfer!ED105)</f>
        <v>359.81337000000002</v>
      </c>
      <c r="AG105" s="1080">
        <f>CHOOSE(Tables!$U$2,Transfer!CE105,Transfer!CR105,Transfer!DE105,Transfer!DR105,Transfer!EE105)</f>
        <v>381.402963789414</v>
      </c>
      <c r="AH105" s="1080">
        <f>CHOOSE(Tables!$U$2,Transfer!CF105,Transfer!CS105,Transfer!DF105,Transfer!DS105,Transfer!EF105)</f>
        <v>-9999</v>
      </c>
      <c r="AI105" s="1080">
        <f>CHOOSE(Tables!$U$2,Transfer!CG105,Transfer!CT105,Transfer!DG105,Transfer!DT105,Transfer!EG105)</f>
        <v>-9999</v>
      </c>
      <c r="AJ105" s="1080">
        <f>CHOOSE(Tables!$U$2,Transfer!CH105,Transfer!CU105,Transfer!DH105,Transfer!DU105,Transfer!EH105)</f>
        <v>-9999</v>
      </c>
      <c r="AK105" s="1080">
        <f>CHOOSE(Tables!$U$2,Transfer!CI105,Transfer!CV105,Transfer!DI105,Transfer!DV105,Transfer!EI105)</f>
        <v>-9999</v>
      </c>
      <c r="AL105" s="1080">
        <f>CHOOSE(Tables!$U$2,Transfer!CJ105,Transfer!CW105,Transfer!DJ105,Transfer!DW105,Transfer!EJ105)</f>
        <v>-9999</v>
      </c>
      <c r="AM105" s="1080">
        <f>CHOOSE(Tables!$U$2,Transfer!CK105,Transfer!CX105,Transfer!DK105,Transfer!DX105,Transfer!EK105)</f>
        <v>-9999</v>
      </c>
      <c r="AN105" s="1080">
        <f>CHOOSE(Tables!$U$2,Transfer!CL105,Transfer!CY105,Transfer!DL105,Transfer!DY105,Transfer!EL105)</f>
        <v>-9999</v>
      </c>
      <c r="AO105" s="1080">
        <f>CHOOSE(Tables!$U$2,Transfer!CM105,Transfer!CZ105,Transfer!DM105,Transfer!DZ105,Transfer!EM105)</f>
        <v>-9999</v>
      </c>
      <c r="AR105" s="22">
        <v>5</v>
      </c>
      <c r="AS105" s="1" t="s">
        <v>703</v>
      </c>
      <c r="AT105" s="24">
        <f t="shared" ca="1" si="2"/>
        <v>26.656911920477796</v>
      </c>
      <c r="AU105" s="24">
        <f t="shared" ca="1" si="2"/>
        <v>21.107133352247558</v>
      </c>
      <c r="AV105" s="24">
        <f t="shared" ca="1" si="2"/>
        <v>24.933659886581211</v>
      </c>
      <c r="AW105" s="24">
        <f t="shared" ca="1" si="2"/>
        <v>29.838065308169917</v>
      </c>
      <c r="AX105" s="24">
        <f t="shared" ca="1" si="2"/>
        <v>32.773425095628681</v>
      </c>
      <c r="AY105" s="25">
        <f t="shared" si="2"/>
        <v>0</v>
      </c>
      <c r="AZ105" s="25">
        <f t="shared" si="2"/>
        <v>0</v>
      </c>
      <c r="BA105" s="25">
        <f t="shared" si="2"/>
        <v>0</v>
      </c>
      <c r="BB105" s="25">
        <f t="shared" si="2"/>
        <v>0</v>
      </c>
      <c r="BC105" s="25">
        <f t="shared" si="2"/>
        <v>0</v>
      </c>
      <c r="BD105" s="25">
        <f t="shared" si="2"/>
        <v>0</v>
      </c>
      <c r="BE105" s="25">
        <f t="shared" si="2"/>
        <v>0</v>
      </c>
      <c r="BF105" s="25">
        <f t="shared" si="2"/>
        <v>0</v>
      </c>
      <c r="CA105" s="16">
        <v>318.69800076561222</v>
      </c>
      <c r="CB105" s="16">
        <v>338.34666774569848</v>
      </c>
      <c r="CC105" s="16">
        <v>359.73663599999998</v>
      </c>
      <c r="CD105" s="16">
        <v>389.65143530816994</v>
      </c>
      <c r="CE105" s="16">
        <v>414.17638888504268</v>
      </c>
      <c r="CF105" s="16">
        <v>-9999</v>
      </c>
      <c r="CG105" s="16">
        <v>-9999</v>
      </c>
      <c r="CH105" s="16">
        <v>-9999</v>
      </c>
      <c r="CI105" s="16">
        <v>-9999</v>
      </c>
      <c r="CJ105" s="16">
        <v>-9999</v>
      </c>
      <c r="CK105" s="16">
        <v>-9999</v>
      </c>
      <c r="CL105" s="16">
        <v>-9999</v>
      </c>
      <c r="CM105" s="16">
        <v>-9999</v>
      </c>
      <c r="CN105" s="16">
        <v>292.04108884513442</v>
      </c>
      <c r="CO105" s="16">
        <v>317.23953439345092</v>
      </c>
      <c r="CP105" s="16">
        <v>334.80297611341877</v>
      </c>
      <c r="CQ105" s="16">
        <v>359.81337000000002</v>
      </c>
      <c r="CR105" s="16">
        <v>381.402963789414</v>
      </c>
      <c r="CS105" s="16">
        <v>-9999</v>
      </c>
      <c r="CT105" s="16">
        <v>-9999</v>
      </c>
      <c r="CU105" s="16">
        <v>-9999</v>
      </c>
      <c r="CV105" s="16">
        <v>-9999</v>
      </c>
      <c r="CW105" s="16">
        <v>-9999</v>
      </c>
      <c r="CX105" s="16">
        <v>-9999</v>
      </c>
      <c r="CY105" s="16">
        <v>-9999</v>
      </c>
      <c r="CZ105" s="16">
        <v>-9999</v>
      </c>
      <c r="DA105" s="16">
        <v>318.69800076561222</v>
      </c>
      <c r="DB105" s="16">
        <v>338.34666774569848</v>
      </c>
      <c r="DC105" s="16">
        <v>359.73663599999998</v>
      </c>
      <c r="DD105" s="16">
        <v>389.16553903392469</v>
      </c>
      <c r="DE105" s="16">
        <v>413.65990993487418</v>
      </c>
      <c r="DF105" s="16">
        <v>-9999</v>
      </c>
      <c r="DG105" s="16">
        <v>-9999</v>
      </c>
      <c r="DH105" s="16">
        <v>-9999</v>
      </c>
      <c r="DI105" s="16">
        <v>-9999</v>
      </c>
      <c r="DJ105" s="16">
        <v>-9999</v>
      </c>
      <c r="DK105" s="16">
        <v>-9999</v>
      </c>
      <c r="DL105" s="16">
        <v>-9999</v>
      </c>
      <c r="DM105" s="16">
        <v>-9999</v>
      </c>
      <c r="DN105" s="16">
        <v>318.69800076561222</v>
      </c>
      <c r="DO105" s="16">
        <v>338.34666774569848</v>
      </c>
      <c r="DP105" s="16">
        <v>359.73663599999998</v>
      </c>
      <c r="DQ105" s="16">
        <v>389.16553903392469</v>
      </c>
      <c r="DR105" s="16">
        <v>413.65990993487418</v>
      </c>
      <c r="DS105" s="16">
        <v>-9999</v>
      </c>
      <c r="DT105" s="16">
        <v>-9999</v>
      </c>
      <c r="DU105" s="16">
        <v>-9999</v>
      </c>
      <c r="DV105" s="16">
        <v>-9999</v>
      </c>
      <c r="DW105" s="16">
        <v>-9999</v>
      </c>
      <c r="DX105" s="16">
        <v>-9999</v>
      </c>
      <c r="DY105" s="16">
        <v>-9999</v>
      </c>
      <c r="DZ105" s="16">
        <v>-9999</v>
      </c>
      <c r="EA105" s="2256">
        <v>318.69800076561222</v>
      </c>
      <c r="EB105" s="2256">
        <v>338.34666774569848</v>
      </c>
      <c r="EC105" s="2256">
        <v>359.73663599999998</v>
      </c>
      <c r="ED105" s="2256">
        <v>389.65143530816994</v>
      </c>
      <c r="EE105" s="2256">
        <v>414.17638888504268</v>
      </c>
      <c r="EF105" s="2257">
        <v>-9999</v>
      </c>
      <c r="EG105" s="2257">
        <v>-9999</v>
      </c>
      <c r="EH105" s="2257">
        <v>-9999</v>
      </c>
      <c r="EI105" s="2257">
        <v>-9999</v>
      </c>
      <c r="EJ105" s="2257">
        <v>-9999</v>
      </c>
      <c r="EK105" s="2257">
        <v>-9999</v>
      </c>
      <c r="EL105" s="2257">
        <v>-9999</v>
      </c>
      <c r="EM105" s="2257">
        <v>-9999</v>
      </c>
    </row>
    <row r="106" spans="1:144" ht="13.15">
      <c r="A106" s="22">
        <v>6</v>
      </c>
      <c r="B106" s="1" t="s">
        <v>704</v>
      </c>
      <c r="C106" s="24">
        <f ca="1">OFFSET('VVP2'!F170,0,Last_forecast_year - 3-InputY!$G$3)</f>
        <v>271.74200039759739</v>
      </c>
      <c r="D106" s="24">
        <f ca="1">OFFSET('VVP2'!G170,0,Last_forecast_year - 3-InputY!$G$3)</f>
        <v>281.83918770711443</v>
      </c>
      <c r="E106" s="24">
        <f ca="1">OFFSET('VVP2'!H170,0,Last_forecast_year - 3-InputY!$G$3)</f>
        <v>297.99526800000001</v>
      </c>
      <c r="F106" s="24">
        <f ca="1">OFFSET('VVP2'!I170,0,Last_forecast_year - 3-InputY!$G$3)</f>
        <v>323.054593011782</v>
      </c>
      <c r="G106" s="24">
        <f ca="1">OFFSET('VVP2'!J170,0,Last_forecast_year - 3-InputY!$G$3)</f>
        <v>338.97569251918168</v>
      </c>
      <c r="H106" s="25">
        <v>-9999</v>
      </c>
      <c r="I106" s="25">
        <v>-9999</v>
      </c>
      <c r="J106" s="25">
        <v>-9999</v>
      </c>
      <c r="K106" s="25">
        <v>-9999</v>
      </c>
      <c r="L106" s="25">
        <v>-9999</v>
      </c>
      <c r="M106" s="25">
        <v>-9999</v>
      </c>
      <c r="N106" s="25">
        <v>-9999</v>
      </c>
      <c r="O106" s="25">
        <v>-9999</v>
      </c>
      <c r="P106" s="26"/>
      <c r="Q106"/>
      <c r="AA106" s="22">
        <v>6</v>
      </c>
      <c r="AB106" s="1080" t="str">
        <f t="shared" si="3"/>
        <v>VOL. G.F.C.F. OTHER</v>
      </c>
      <c r="AC106" s="1080">
        <f>CHOOSE(Tables!$U$2,Transfer!CA106,Transfer!CN106,Transfer!DA106,Transfer!DN106,Transfer!EA106)</f>
        <v>274.85143992669271</v>
      </c>
      <c r="AD106" s="1080">
        <f>CHOOSE(Tables!$U$2,Transfer!CB106,Transfer!CO106,Transfer!DB106,Transfer!DO106,Transfer!EB106)</f>
        <v>280.15362702657762</v>
      </c>
      <c r="AE106" s="1080">
        <f>CHOOSE(Tables!$U$2,Transfer!CC106,Transfer!CP106,Transfer!DC106,Transfer!DP106,Transfer!EC106)</f>
        <v>289.71041327847439</v>
      </c>
      <c r="AF106" s="1080">
        <f>CHOOSE(Tables!$U$2,Transfer!CD106,Transfer!CQ106,Transfer!DD106,Transfer!DQ106,Transfer!ED106)</f>
        <v>306.50167800000003</v>
      </c>
      <c r="AG106" s="1080">
        <f>CHOOSE(Tables!$U$2,Transfer!CE106,Transfer!CR106,Transfer!DE106,Transfer!DR106,Transfer!EE106)</f>
        <v>324.79366136283863</v>
      </c>
      <c r="AH106" s="1080">
        <f>CHOOSE(Tables!$U$2,Transfer!CF106,Transfer!CS106,Transfer!DF106,Transfer!DS106,Transfer!EF106)</f>
        <v>-9999</v>
      </c>
      <c r="AI106" s="1080">
        <f>CHOOSE(Tables!$U$2,Transfer!CG106,Transfer!CT106,Transfer!DG106,Transfer!DT106,Transfer!EG106)</f>
        <v>-9999</v>
      </c>
      <c r="AJ106" s="1080">
        <f>CHOOSE(Tables!$U$2,Transfer!CH106,Transfer!CU106,Transfer!DH106,Transfer!DU106,Transfer!EH106)</f>
        <v>-9999</v>
      </c>
      <c r="AK106" s="1080">
        <f>CHOOSE(Tables!$U$2,Transfer!CI106,Transfer!CV106,Transfer!DI106,Transfer!DV106,Transfer!EI106)</f>
        <v>-9999</v>
      </c>
      <c r="AL106" s="1080">
        <f>CHOOSE(Tables!$U$2,Transfer!CJ106,Transfer!CW106,Transfer!DJ106,Transfer!DW106,Transfer!EJ106)</f>
        <v>-9999</v>
      </c>
      <c r="AM106" s="1080">
        <f>CHOOSE(Tables!$U$2,Transfer!CK106,Transfer!CX106,Transfer!DK106,Transfer!DX106,Transfer!EK106)</f>
        <v>-9999</v>
      </c>
      <c r="AN106" s="1080">
        <f>CHOOSE(Tables!$U$2,Transfer!CL106,Transfer!CY106,Transfer!DL106,Transfer!DY106,Transfer!EL106)</f>
        <v>-9999</v>
      </c>
      <c r="AO106" s="1080">
        <f>CHOOSE(Tables!$U$2,Transfer!CM106,Transfer!CZ106,Transfer!DM106,Transfer!DZ106,Transfer!EM106)</f>
        <v>-9999</v>
      </c>
      <c r="AR106" s="22">
        <v>6</v>
      </c>
      <c r="AS106" s="1" t="s">
        <v>704</v>
      </c>
      <c r="AT106" s="24">
        <f t="shared" ca="1" si="2"/>
        <v>-3.1094395290953116</v>
      </c>
      <c r="AU106" s="24">
        <f t="shared" ca="1" si="2"/>
        <v>1.6855606805368097</v>
      </c>
      <c r="AV106" s="24">
        <f t="shared" ca="1" si="2"/>
        <v>8.284854721525619</v>
      </c>
      <c r="AW106" s="24">
        <f t="shared" ca="1" si="2"/>
        <v>16.552915011781977</v>
      </c>
      <c r="AX106" s="24">
        <f t="shared" ca="1" si="2"/>
        <v>14.182031156343044</v>
      </c>
      <c r="AY106" s="25">
        <f t="shared" si="2"/>
        <v>0</v>
      </c>
      <c r="AZ106" s="25">
        <f t="shared" si="2"/>
        <v>0</v>
      </c>
      <c r="BA106" s="25">
        <f t="shared" si="2"/>
        <v>0</v>
      </c>
      <c r="BB106" s="25">
        <f t="shared" si="2"/>
        <v>0</v>
      </c>
      <c r="BC106" s="25">
        <f t="shared" si="2"/>
        <v>0</v>
      </c>
      <c r="BD106" s="25">
        <f t="shared" si="2"/>
        <v>0</v>
      </c>
      <c r="BE106" s="25">
        <f t="shared" si="2"/>
        <v>0</v>
      </c>
      <c r="BF106" s="25">
        <f t="shared" si="2"/>
        <v>0</v>
      </c>
      <c r="CA106" s="16">
        <v>271.74200039759739</v>
      </c>
      <c r="CB106" s="16">
        <v>281.83918770711443</v>
      </c>
      <c r="CC106" s="16">
        <v>297.99526800000001</v>
      </c>
      <c r="CD106" s="16">
        <v>323.054593011782</v>
      </c>
      <c r="CE106" s="16">
        <v>338.97569251918168</v>
      </c>
      <c r="CF106" s="16">
        <v>-9999</v>
      </c>
      <c r="CG106" s="16">
        <v>-9999</v>
      </c>
      <c r="CH106" s="16">
        <v>-9999</v>
      </c>
      <c r="CI106" s="16">
        <v>-9999</v>
      </c>
      <c r="CJ106" s="16">
        <v>-9999</v>
      </c>
      <c r="CK106" s="16">
        <v>-9999</v>
      </c>
      <c r="CL106" s="16">
        <v>-9999</v>
      </c>
      <c r="CM106" s="16">
        <v>-9999</v>
      </c>
      <c r="CN106" s="16">
        <v>274.85143992669271</v>
      </c>
      <c r="CO106" s="16">
        <v>280.15362702657762</v>
      </c>
      <c r="CP106" s="16">
        <v>289.71041327847439</v>
      </c>
      <c r="CQ106" s="16">
        <v>306.50167800000003</v>
      </c>
      <c r="CR106" s="16">
        <v>324.79366136283863</v>
      </c>
      <c r="CS106" s="16">
        <v>-9999</v>
      </c>
      <c r="CT106" s="16">
        <v>-9999</v>
      </c>
      <c r="CU106" s="16">
        <v>-9999</v>
      </c>
      <c r="CV106" s="16">
        <v>-9999</v>
      </c>
      <c r="CW106" s="16">
        <v>-9999</v>
      </c>
      <c r="CX106" s="16">
        <v>-9999</v>
      </c>
      <c r="CY106" s="16">
        <v>-9999</v>
      </c>
      <c r="CZ106" s="16">
        <v>-9999</v>
      </c>
      <c r="DA106" s="16">
        <v>271.74200039759739</v>
      </c>
      <c r="DB106" s="16">
        <v>281.83918770711443</v>
      </c>
      <c r="DC106" s="16">
        <v>297.99526800000001</v>
      </c>
      <c r="DD106" s="16">
        <v>323.054593011782</v>
      </c>
      <c r="DE106" s="16">
        <v>339.33858620460364</v>
      </c>
      <c r="DF106" s="16">
        <v>-9999</v>
      </c>
      <c r="DG106" s="16">
        <v>-9999</v>
      </c>
      <c r="DH106" s="16">
        <v>-9999</v>
      </c>
      <c r="DI106" s="16">
        <v>-9999</v>
      </c>
      <c r="DJ106" s="16">
        <v>-9999</v>
      </c>
      <c r="DK106" s="16">
        <v>-9999</v>
      </c>
      <c r="DL106" s="16">
        <v>-9999</v>
      </c>
      <c r="DM106" s="16">
        <v>-9999</v>
      </c>
      <c r="DN106" s="16">
        <v>271.74200039759739</v>
      </c>
      <c r="DO106" s="16">
        <v>281.83918770711443</v>
      </c>
      <c r="DP106" s="16">
        <v>297.99526800000001</v>
      </c>
      <c r="DQ106" s="16">
        <v>323.054593011782</v>
      </c>
      <c r="DR106" s="16">
        <v>339.33858620460364</v>
      </c>
      <c r="DS106" s="16">
        <v>-9999</v>
      </c>
      <c r="DT106" s="16">
        <v>-9999</v>
      </c>
      <c r="DU106" s="16">
        <v>-9999</v>
      </c>
      <c r="DV106" s="16">
        <v>-9999</v>
      </c>
      <c r="DW106" s="16">
        <v>-9999</v>
      </c>
      <c r="DX106" s="16">
        <v>-9999</v>
      </c>
      <c r="DY106" s="16">
        <v>-9999</v>
      </c>
      <c r="DZ106" s="16">
        <v>-9999</v>
      </c>
      <c r="EA106" s="2256">
        <v>271.74200039759739</v>
      </c>
      <c r="EB106" s="2256">
        <v>281.83918770711443</v>
      </c>
      <c r="EC106" s="2256">
        <v>297.99526800000001</v>
      </c>
      <c r="ED106" s="2256">
        <v>323.054593011782</v>
      </c>
      <c r="EE106" s="2256">
        <v>338.97569251918168</v>
      </c>
      <c r="EF106" s="2257">
        <v>-9999</v>
      </c>
      <c r="EG106" s="2257">
        <v>-9999</v>
      </c>
      <c r="EH106" s="2257">
        <v>-9999</v>
      </c>
      <c r="EI106" s="2257">
        <v>-9999</v>
      </c>
      <c r="EJ106" s="2257">
        <v>-9999</v>
      </c>
      <c r="EK106" s="2257">
        <v>-9999</v>
      </c>
      <c r="EL106" s="2257">
        <v>-9999</v>
      </c>
      <c r="EM106" s="2257">
        <v>-9999</v>
      </c>
    </row>
    <row r="107" spans="1:144" ht="13.15">
      <c r="A107" s="22">
        <v>7</v>
      </c>
      <c r="B107" s="1" t="s">
        <v>946</v>
      </c>
      <c r="C107" s="24">
        <f ca="1">OFFSET('VVP2'!F171,0,Last_forecast_year - 3-InputY!$G$3)</f>
        <v>25.31300688985084</v>
      </c>
      <c r="D107" s="24">
        <f ca="1">OFFSET('VVP2'!G171,0,Last_forecast_year - 3-InputY!$G$3)</f>
        <v>31.512262532056411</v>
      </c>
      <c r="E107" s="24">
        <f ca="1">OFFSET('VVP2'!H171,0,Last_forecast_year - 3-InputY!$G$3)</f>
        <v>36.9084</v>
      </c>
      <c r="F107" s="24">
        <f ca="1">OFFSET('VVP2'!I171,0,Last_forecast_year - 3-InputY!$G$3)</f>
        <v>32.196304571999995</v>
      </c>
      <c r="G107" s="24">
        <f ca="1">OFFSET('VVP2'!J171,0,Last_forecast_year - 3-InputY!$G$3)</f>
        <v>33.19439001373199</v>
      </c>
      <c r="H107" s="25">
        <v>-9999</v>
      </c>
      <c r="I107" s="25">
        <v>-9999</v>
      </c>
      <c r="J107" s="25">
        <v>-9999</v>
      </c>
      <c r="K107" s="25">
        <v>-9999</v>
      </c>
      <c r="L107" s="25">
        <v>-9999</v>
      </c>
      <c r="M107" s="25">
        <v>-9999</v>
      </c>
      <c r="N107" s="25">
        <v>-9999</v>
      </c>
      <c r="O107" s="25">
        <v>-9999</v>
      </c>
      <c r="P107" s="26"/>
      <c r="Q107"/>
      <c r="AA107" s="22">
        <v>7</v>
      </c>
      <c r="AB107" s="1080" t="str">
        <f t="shared" si="3"/>
        <v>VOL. CHANGE IN INVENTORIES</v>
      </c>
      <c r="AC107" s="1080">
        <f>CHOOSE(Tables!$U$2,Transfer!CA107,Transfer!CN107,Transfer!DA107,Transfer!DN107,Transfer!EA107)</f>
        <v>28.582528833298056</v>
      </c>
      <c r="AD107" s="1080">
        <f>CHOOSE(Tables!$U$2,Transfer!CB107,Transfer!CO107,Transfer!DB107,Transfer!DO107,Transfer!EB107)</f>
        <v>31.027457033998417</v>
      </c>
      <c r="AE107" s="1080">
        <f>CHOOSE(Tables!$U$2,Transfer!CC107,Transfer!CP107,Transfer!DC107,Transfer!DP107,Transfer!EC107)</f>
        <v>36.696391521836631</v>
      </c>
      <c r="AF107" s="1080">
        <f>CHOOSE(Tables!$U$2,Transfer!CD107,Transfer!CQ107,Transfer!DD107,Transfer!DQ107,Transfer!ED107)</f>
        <v>35.235999999999997</v>
      </c>
      <c r="AG107" s="1080">
        <f>CHOOSE(Tables!$U$2,Transfer!CE107,Transfer!CR107,Transfer!DE107,Transfer!DR107,Transfer!EE107)</f>
        <v>35.235999999999997</v>
      </c>
      <c r="AH107" s="1080">
        <f>CHOOSE(Tables!$U$2,Transfer!CF107,Transfer!CS107,Transfer!DF107,Transfer!DS107,Transfer!EF107)</f>
        <v>-9999</v>
      </c>
      <c r="AI107" s="1080">
        <f>CHOOSE(Tables!$U$2,Transfer!CG107,Transfer!CT107,Transfer!DG107,Transfer!DT107,Transfer!EG107)</f>
        <v>-9999</v>
      </c>
      <c r="AJ107" s="1080">
        <f>CHOOSE(Tables!$U$2,Transfer!CH107,Transfer!CU107,Transfer!DH107,Transfer!DU107,Transfer!EH107)</f>
        <v>-9999</v>
      </c>
      <c r="AK107" s="1080">
        <f>CHOOSE(Tables!$U$2,Transfer!CI107,Transfer!CV107,Transfer!DI107,Transfer!DV107,Transfer!EI107)</f>
        <v>-9999</v>
      </c>
      <c r="AL107" s="1080">
        <f>CHOOSE(Tables!$U$2,Transfer!CJ107,Transfer!CW107,Transfer!DJ107,Transfer!DW107,Transfer!EJ107)</f>
        <v>-9999</v>
      </c>
      <c r="AM107" s="1080">
        <f>CHOOSE(Tables!$U$2,Transfer!CK107,Transfer!CX107,Transfer!DK107,Transfer!DX107,Transfer!EK107)</f>
        <v>-9999</v>
      </c>
      <c r="AN107" s="1080">
        <f>CHOOSE(Tables!$U$2,Transfer!CL107,Transfer!CY107,Transfer!DL107,Transfer!DY107,Transfer!EL107)</f>
        <v>-9999</v>
      </c>
      <c r="AO107" s="1080">
        <f>CHOOSE(Tables!$U$2,Transfer!CM107,Transfer!CZ107,Transfer!DM107,Transfer!DZ107,Transfer!EM107)</f>
        <v>-9999</v>
      </c>
      <c r="AR107" s="22">
        <v>7</v>
      </c>
      <c r="AS107" s="1" t="s">
        <v>946</v>
      </c>
      <c r="AT107" s="24">
        <f t="shared" ca="1" si="2"/>
        <v>-3.2695219434472165</v>
      </c>
      <c r="AU107" s="24">
        <f t="shared" ca="1" si="2"/>
        <v>0.48480549805799455</v>
      </c>
      <c r="AV107" s="24">
        <f t="shared" ca="1" si="2"/>
        <v>0.21200847816336932</v>
      </c>
      <c r="AW107" s="24">
        <f t="shared" ca="1" si="2"/>
        <v>-3.0396954280000017</v>
      </c>
      <c r="AX107" s="24">
        <f t="shared" ca="1" si="2"/>
        <v>-2.041609986268007</v>
      </c>
      <c r="AY107" s="25">
        <f t="shared" si="2"/>
        <v>0</v>
      </c>
      <c r="AZ107" s="25">
        <f t="shared" si="2"/>
        <v>0</v>
      </c>
      <c r="BA107" s="25">
        <f t="shared" si="2"/>
        <v>0</v>
      </c>
      <c r="BB107" s="25">
        <f t="shared" si="2"/>
        <v>0</v>
      </c>
      <c r="BC107" s="25">
        <f t="shared" si="2"/>
        <v>0</v>
      </c>
      <c r="BD107" s="25">
        <f t="shared" si="2"/>
        <v>0</v>
      </c>
      <c r="BE107" s="25">
        <f t="shared" si="2"/>
        <v>0</v>
      </c>
      <c r="BF107" s="25">
        <f t="shared" si="2"/>
        <v>0</v>
      </c>
      <c r="CA107" s="16">
        <v>25.31300688985084</v>
      </c>
      <c r="CB107" s="16">
        <v>31.512262532056411</v>
      </c>
      <c r="CC107" s="16">
        <v>36.9084</v>
      </c>
      <c r="CD107" s="16">
        <v>32.196304571999995</v>
      </c>
      <c r="CE107" s="16">
        <v>33.19439001373199</v>
      </c>
      <c r="CF107" s="16">
        <v>-9999</v>
      </c>
      <c r="CG107" s="16">
        <v>-9999</v>
      </c>
      <c r="CH107" s="16">
        <v>-9999</v>
      </c>
      <c r="CI107" s="16">
        <v>-9999</v>
      </c>
      <c r="CJ107" s="16">
        <v>-9999</v>
      </c>
      <c r="CK107" s="16">
        <v>-9999</v>
      </c>
      <c r="CL107" s="16">
        <v>-9999</v>
      </c>
      <c r="CM107" s="16">
        <v>-9999</v>
      </c>
      <c r="CN107" s="16">
        <v>28.582528833298056</v>
      </c>
      <c r="CO107" s="16">
        <v>31.027457033998417</v>
      </c>
      <c r="CP107" s="16">
        <v>36.696391521836631</v>
      </c>
      <c r="CQ107" s="16">
        <v>35.235999999999997</v>
      </c>
      <c r="CR107" s="16">
        <v>35.235999999999997</v>
      </c>
      <c r="CS107" s="16">
        <v>-9999</v>
      </c>
      <c r="CT107" s="16">
        <v>-9999</v>
      </c>
      <c r="CU107" s="16">
        <v>-9999</v>
      </c>
      <c r="CV107" s="16">
        <v>-9999</v>
      </c>
      <c r="CW107" s="16">
        <v>-9999</v>
      </c>
      <c r="CX107" s="16">
        <v>-9999</v>
      </c>
      <c r="CY107" s="16">
        <v>-9999</v>
      </c>
      <c r="CZ107" s="16">
        <v>-9999</v>
      </c>
      <c r="DA107" s="16">
        <v>25.31300688985084</v>
      </c>
      <c r="DB107" s="16">
        <v>31.512262532056411</v>
      </c>
      <c r="DC107" s="16">
        <v>36.9084</v>
      </c>
      <c r="DD107" s="16">
        <v>32.196304571999995</v>
      </c>
      <c r="DE107" s="16">
        <v>33.19439001373199</v>
      </c>
      <c r="DF107" s="16">
        <v>-9999</v>
      </c>
      <c r="DG107" s="16">
        <v>-9999</v>
      </c>
      <c r="DH107" s="16">
        <v>-9999</v>
      </c>
      <c r="DI107" s="16">
        <v>-9999</v>
      </c>
      <c r="DJ107" s="16">
        <v>-9999</v>
      </c>
      <c r="DK107" s="16">
        <v>-9999</v>
      </c>
      <c r="DL107" s="16">
        <v>-9999</v>
      </c>
      <c r="DM107" s="16">
        <v>-9999</v>
      </c>
      <c r="DN107" s="16">
        <v>25.31300688985084</v>
      </c>
      <c r="DO107" s="16">
        <v>31.512262532056411</v>
      </c>
      <c r="DP107" s="16">
        <v>36.9084</v>
      </c>
      <c r="DQ107" s="16">
        <v>32.196304571999995</v>
      </c>
      <c r="DR107" s="16">
        <v>33.19439001373199</v>
      </c>
      <c r="DS107" s="16">
        <v>-9999</v>
      </c>
      <c r="DT107" s="16">
        <v>-9999</v>
      </c>
      <c r="DU107" s="16">
        <v>-9999</v>
      </c>
      <c r="DV107" s="16">
        <v>-9999</v>
      </c>
      <c r="DW107" s="16">
        <v>-9999</v>
      </c>
      <c r="DX107" s="16">
        <v>-9999</v>
      </c>
      <c r="DY107" s="16">
        <v>-9999</v>
      </c>
      <c r="DZ107" s="16">
        <v>-9999</v>
      </c>
      <c r="EA107" s="2256">
        <v>25.31300688985084</v>
      </c>
      <c r="EB107" s="2256">
        <v>31.512262532056411</v>
      </c>
      <c r="EC107" s="2256">
        <v>36.9084</v>
      </c>
      <c r="ED107" s="2256">
        <v>32.196304571999995</v>
      </c>
      <c r="EE107" s="2256">
        <v>33.19439001373199</v>
      </c>
      <c r="EF107" s="2257">
        <v>-9999</v>
      </c>
      <c r="EG107" s="2257">
        <v>-9999</v>
      </c>
      <c r="EH107" s="2257">
        <v>-9999</v>
      </c>
      <c r="EI107" s="2257">
        <v>-9999</v>
      </c>
      <c r="EJ107" s="2257">
        <v>-9999</v>
      </c>
      <c r="EK107" s="2257">
        <v>-9999</v>
      </c>
      <c r="EL107" s="2257">
        <v>-9999</v>
      </c>
      <c r="EM107" s="2257">
        <v>-9999</v>
      </c>
    </row>
    <row r="108" spans="1:144" ht="13.15">
      <c r="A108" s="22">
        <v>8</v>
      </c>
      <c r="B108" s="29" t="s">
        <v>72</v>
      </c>
      <c r="C108" s="24">
        <f ca="1">OFFSET('VVP2'!F172,0,Last_forecast_year - 3-InputY!$G$3)</f>
        <v>1329.7309981940457</v>
      </c>
      <c r="D108" s="24">
        <f ca="1">OFFSET('VVP2'!G172,0,Last_forecast_year - 3-InputY!$G$3)</f>
        <v>1373.9064326571938</v>
      </c>
      <c r="E108" s="24">
        <f ca="1">OFFSET('VVP2'!H172,0,Last_forecast_year - 3-InputY!$G$3)</f>
        <v>1480.9275735000001</v>
      </c>
      <c r="F108" s="24">
        <f ca="1">OFFSET('VVP2'!I172,0,Last_forecast_year - 3-InputY!$G$3)</f>
        <v>1614.718272808924</v>
      </c>
      <c r="G108" s="24">
        <f ca="1">OFFSET('VVP2'!J172,0,Last_forecast_year - 3-InputY!$G$3)</f>
        <v>1703.5726992757643</v>
      </c>
      <c r="H108" s="25">
        <v>-9999</v>
      </c>
      <c r="I108" s="25">
        <v>-9999</v>
      </c>
      <c r="J108" s="25">
        <v>-9999</v>
      </c>
      <c r="K108" s="25">
        <v>-9999</v>
      </c>
      <c r="L108" s="25">
        <v>-9999</v>
      </c>
      <c r="M108" s="25">
        <v>-9999</v>
      </c>
      <c r="N108" s="25">
        <v>-9999</v>
      </c>
      <c r="O108" s="25">
        <v>-9999</v>
      </c>
      <c r="P108" s="26"/>
      <c r="Q108"/>
      <c r="AA108" s="22">
        <v>8</v>
      </c>
      <c r="AB108" s="1080" t="str">
        <f t="shared" si="3"/>
        <v>VOL. EXPORTS OF GOODS (FOB)</v>
      </c>
      <c r="AC108" s="1080">
        <f>CHOOSE(Tables!$U$2,Transfer!CA108,Transfer!CN108,Transfer!DA108,Transfer!DN108,Transfer!EA108)</f>
        <v>1279.2297709961265</v>
      </c>
      <c r="AD108" s="1080">
        <f>CHOOSE(Tables!$U$2,Transfer!CB108,Transfer!CO108,Transfer!DB108,Transfer!DO108,Transfer!EB108)</f>
        <v>1345.9194838691337</v>
      </c>
      <c r="AE108" s="1080">
        <f>CHOOSE(Tables!$U$2,Transfer!CC108,Transfer!CP108,Transfer!DC108,Transfer!DP108,Transfer!EC108)</f>
        <v>1389.7534078180968</v>
      </c>
      <c r="AF108" s="1080">
        <f>CHOOSE(Tables!$U$2,Transfer!CD108,Transfer!CQ108,Transfer!DD108,Transfer!DQ108,Transfer!ED108)</f>
        <v>1514.6891508000001</v>
      </c>
      <c r="AG108" s="1080">
        <f>CHOOSE(Tables!$U$2,Transfer!CE108,Transfer!CR108,Transfer!DE108,Transfer!DR108,Transfer!EE108)</f>
        <v>1638.4453131769633</v>
      </c>
      <c r="AH108" s="1080">
        <f>CHOOSE(Tables!$U$2,Transfer!CF108,Transfer!CS108,Transfer!DF108,Transfer!DS108,Transfer!EF108)</f>
        <v>-9999</v>
      </c>
      <c r="AI108" s="1080">
        <f>CHOOSE(Tables!$U$2,Transfer!CG108,Transfer!CT108,Transfer!DG108,Transfer!DT108,Transfer!EG108)</f>
        <v>-9999</v>
      </c>
      <c r="AJ108" s="1080">
        <f>CHOOSE(Tables!$U$2,Transfer!CH108,Transfer!CU108,Transfer!DH108,Transfer!DU108,Transfer!EH108)</f>
        <v>-9999</v>
      </c>
      <c r="AK108" s="1080">
        <f>CHOOSE(Tables!$U$2,Transfer!CI108,Transfer!CV108,Transfer!DI108,Transfer!DV108,Transfer!EI108)</f>
        <v>-9999</v>
      </c>
      <c r="AL108" s="1080">
        <f>CHOOSE(Tables!$U$2,Transfer!CJ108,Transfer!CW108,Transfer!DJ108,Transfer!DW108,Transfer!EJ108)</f>
        <v>-9999</v>
      </c>
      <c r="AM108" s="1080">
        <f>CHOOSE(Tables!$U$2,Transfer!CK108,Transfer!CX108,Transfer!DK108,Transfer!DX108,Transfer!EK108)</f>
        <v>-9999</v>
      </c>
      <c r="AN108" s="1080">
        <f>CHOOSE(Tables!$U$2,Transfer!CL108,Transfer!CY108,Transfer!DL108,Transfer!DY108,Transfer!EL108)</f>
        <v>-9999</v>
      </c>
      <c r="AO108" s="1080">
        <f>CHOOSE(Tables!$U$2,Transfer!CM108,Transfer!CZ108,Transfer!DM108,Transfer!DZ108,Transfer!EM108)</f>
        <v>-9999</v>
      </c>
      <c r="AR108" s="22">
        <v>8</v>
      </c>
      <c r="AS108" s="29" t="s">
        <v>72</v>
      </c>
      <c r="AT108" s="24">
        <f t="shared" ca="1" si="2"/>
        <v>50.501227197919206</v>
      </c>
      <c r="AU108" s="24">
        <f t="shared" ca="1" si="2"/>
        <v>27.98694878806009</v>
      </c>
      <c r="AV108" s="24">
        <f t="shared" ca="1" si="2"/>
        <v>91.174165681903332</v>
      </c>
      <c r="AW108" s="24">
        <f t="shared" ca="1" si="2"/>
        <v>100.02912200892388</v>
      </c>
      <c r="AX108" s="24">
        <f t="shared" ca="1" si="2"/>
        <v>65.127386098801026</v>
      </c>
      <c r="AY108" s="25">
        <f t="shared" si="2"/>
        <v>0</v>
      </c>
      <c r="AZ108" s="25">
        <f t="shared" si="2"/>
        <v>0</v>
      </c>
      <c r="BA108" s="25">
        <f t="shared" si="2"/>
        <v>0</v>
      </c>
      <c r="BB108" s="25">
        <f t="shared" si="2"/>
        <v>0</v>
      </c>
      <c r="BC108" s="25">
        <f t="shared" si="2"/>
        <v>0</v>
      </c>
      <c r="BD108" s="25">
        <f t="shared" si="2"/>
        <v>0</v>
      </c>
      <c r="BE108" s="25">
        <f t="shared" si="2"/>
        <v>0</v>
      </c>
      <c r="BF108" s="25">
        <f t="shared" si="2"/>
        <v>0</v>
      </c>
      <c r="CA108" s="16">
        <v>1329.7309981940457</v>
      </c>
      <c r="CB108" s="16">
        <v>1373.9064326571938</v>
      </c>
      <c r="CC108" s="16">
        <v>1480.9275735000001</v>
      </c>
      <c r="CD108" s="16">
        <v>1614.718272808924</v>
      </c>
      <c r="CE108" s="16">
        <v>1703.5726992757643</v>
      </c>
      <c r="CF108" s="16">
        <v>-9999</v>
      </c>
      <c r="CG108" s="16">
        <v>-9999</v>
      </c>
      <c r="CH108" s="16">
        <v>-9999</v>
      </c>
      <c r="CI108" s="16">
        <v>-9999</v>
      </c>
      <c r="CJ108" s="16">
        <v>-9999</v>
      </c>
      <c r="CK108" s="16">
        <v>-9999</v>
      </c>
      <c r="CL108" s="16">
        <v>-9999</v>
      </c>
      <c r="CM108" s="16">
        <v>-9999</v>
      </c>
      <c r="CN108" s="16">
        <v>1279.2297709961265</v>
      </c>
      <c r="CO108" s="16">
        <v>1345.9194838691337</v>
      </c>
      <c r="CP108" s="16">
        <v>1389.7534078180968</v>
      </c>
      <c r="CQ108" s="16">
        <v>1514.6891508000001</v>
      </c>
      <c r="CR108" s="16">
        <v>1638.4453131769633</v>
      </c>
      <c r="CS108" s="16">
        <v>-9999</v>
      </c>
      <c r="CT108" s="16">
        <v>-9999</v>
      </c>
      <c r="CU108" s="16">
        <v>-9999</v>
      </c>
      <c r="CV108" s="16">
        <v>-9999</v>
      </c>
      <c r="CW108" s="16">
        <v>-9999</v>
      </c>
      <c r="CX108" s="16">
        <v>-9999</v>
      </c>
      <c r="CY108" s="16">
        <v>-9999</v>
      </c>
      <c r="CZ108" s="16">
        <v>-9999</v>
      </c>
      <c r="DA108" s="16">
        <v>1329.7309981940457</v>
      </c>
      <c r="DB108" s="16">
        <v>1373.9064326571938</v>
      </c>
      <c r="DC108" s="16">
        <v>1480.9275735000001</v>
      </c>
      <c r="DD108" s="16">
        <v>1611.1248020518258</v>
      </c>
      <c r="DE108" s="16">
        <v>1699.7814876566695</v>
      </c>
      <c r="DF108" s="16">
        <v>-9999</v>
      </c>
      <c r="DG108" s="16">
        <v>-9999</v>
      </c>
      <c r="DH108" s="16">
        <v>-9999</v>
      </c>
      <c r="DI108" s="16">
        <v>-9999</v>
      </c>
      <c r="DJ108" s="16">
        <v>-9999</v>
      </c>
      <c r="DK108" s="16">
        <v>-9999</v>
      </c>
      <c r="DL108" s="16">
        <v>-9999</v>
      </c>
      <c r="DM108" s="16">
        <v>-9999</v>
      </c>
      <c r="DN108" s="16">
        <v>1329.7309981940457</v>
      </c>
      <c r="DO108" s="16">
        <v>1373.9064326571938</v>
      </c>
      <c r="DP108" s="16">
        <v>1476.6371024999999</v>
      </c>
      <c r="DQ108" s="16">
        <v>1606.4571300033897</v>
      </c>
      <c r="DR108" s="16">
        <v>1697.1739247803941</v>
      </c>
      <c r="DS108" s="16">
        <v>-9999</v>
      </c>
      <c r="DT108" s="16">
        <v>-9999</v>
      </c>
      <c r="DU108" s="16">
        <v>-9999</v>
      </c>
      <c r="DV108" s="16">
        <v>-9999</v>
      </c>
      <c r="DW108" s="16">
        <v>-9999</v>
      </c>
      <c r="DX108" s="16">
        <v>-9999</v>
      </c>
      <c r="DY108" s="16">
        <v>-9999</v>
      </c>
      <c r="DZ108" s="16">
        <v>-9999</v>
      </c>
      <c r="EA108" s="2256">
        <v>1329.7309981940457</v>
      </c>
      <c r="EB108" s="2256">
        <v>1373.9064326571938</v>
      </c>
      <c r="EC108" s="2256">
        <v>1480.9275735000001</v>
      </c>
      <c r="ED108" s="2256">
        <v>1614.718272808924</v>
      </c>
      <c r="EE108" s="2256">
        <v>1703.5726992757643</v>
      </c>
      <c r="EF108" s="2257">
        <v>-9999</v>
      </c>
      <c r="EG108" s="2257">
        <v>-9999</v>
      </c>
      <c r="EH108" s="2257">
        <v>-9999</v>
      </c>
      <c r="EI108" s="2257">
        <v>-9999</v>
      </c>
      <c r="EJ108" s="2257">
        <v>-9999</v>
      </c>
      <c r="EK108" s="2257">
        <v>-9999</v>
      </c>
      <c r="EL108" s="2257">
        <v>-9999</v>
      </c>
      <c r="EM108" s="2257">
        <v>-9999</v>
      </c>
    </row>
    <row r="109" spans="1:144" ht="13.15">
      <c r="A109" s="22">
        <v>9</v>
      </c>
      <c r="B109" s="29" t="s">
        <v>73</v>
      </c>
      <c r="C109" s="24">
        <f ca="1">OFFSET('VVP2'!F173,0,Last_forecast_year - 3-InputY!$G$3)</f>
        <v>640.12799041609833</v>
      </c>
      <c r="D109" s="24">
        <f ca="1">OFFSET('VVP2'!G173,0,Last_forecast_year - 3-InputY!$G$3)</f>
        <v>636.21698495744249</v>
      </c>
      <c r="E109" s="24">
        <f ca="1">OFFSET('VVP2'!H173,0,Last_forecast_year - 3-InputY!$G$3)</f>
        <v>667.12231810000003</v>
      </c>
      <c r="F109" s="24">
        <f ca="1">OFFSET('VVP2'!I173,0,Last_forecast_year - 3-InputY!$G$3)</f>
        <v>716.61325425387122</v>
      </c>
      <c r="G109" s="24">
        <f ca="1">OFFSET('VVP2'!J173,0,Last_forecast_year - 3-InputY!$G$3)</f>
        <v>754.86730234074014</v>
      </c>
      <c r="H109" s="25">
        <v>-9999</v>
      </c>
      <c r="I109" s="25">
        <v>-9999</v>
      </c>
      <c r="J109" s="25">
        <v>-9999</v>
      </c>
      <c r="K109" s="25">
        <v>-9999</v>
      </c>
      <c r="L109" s="25">
        <v>-9999</v>
      </c>
      <c r="M109" s="25">
        <v>-9999</v>
      </c>
      <c r="N109" s="25">
        <v>-9999</v>
      </c>
      <c r="O109" s="25">
        <v>-9999</v>
      </c>
      <c r="P109" s="26"/>
      <c r="Q109"/>
      <c r="AA109" s="22">
        <v>9</v>
      </c>
      <c r="AB109" s="1080" t="str">
        <f t="shared" si="3"/>
        <v>VOL. EXPORTS OF SERVICES</v>
      </c>
      <c r="AC109" s="1080">
        <f>CHOOSE(Tables!$U$2,Transfer!CA109,Transfer!CN109,Transfer!DA109,Transfer!DN109,Transfer!EA109)</f>
        <v>594.43580801373412</v>
      </c>
      <c r="AD109" s="1080">
        <f>CHOOSE(Tables!$U$2,Transfer!CB109,Transfer!CO109,Transfer!DB109,Transfer!DO109,Transfer!EB109)</f>
        <v>629.85195018982279</v>
      </c>
      <c r="AE109" s="1080">
        <f>CHOOSE(Tables!$U$2,Transfer!CC109,Transfer!CP109,Transfer!DC109,Transfer!DP109,Transfer!EC109)</f>
        <v>631.97754415441341</v>
      </c>
      <c r="AF109" s="1080">
        <f>CHOOSE(Tables!$U$2,Transfer!CD109,Transfer!CQ109,Transfer!DD109,Transfer!DQ109,Transfer!ED109)</f>
        <v>668.58490800000004</v>
      </c>
      <c r="AG109" s="1080">
        <f>CHOOSE(Tables!$U$2,Transfer!CE109,Transfer!CR109,Transfer!DE109,Transfer!DR109,Transfer!EE109)</f>
        <v>712.05830447288395</v>
      </c>
      <c r="AH109" s="1080">
        <f>CHOOSE(Tables!$U$2,Transfer!CF109,Transfer!CS109,Transfer!DF109,Transfer!DS109,Transfer!EF109)</f>
        <v>-9999</v>
      </c>
      <c r="AI109" s="1080">
        <f>CHOOSE(Tables!$U$2,Transfer!CG109,Transfer!CT109,Transfer!DG109,Transfer!DT109,Transfer!EG109)</f>
        <v>-9999</v>
      </c>
      <c r="AJ109" s="1080">
        <f>CHOOSE(Tables!$U$2,Transfer!CH109,Transfer!CU109,Transfer!DH109,Transfer!DU109,Transfer!EH109)</f>
        <v>-9999</v>
      </c>
      <c r="AK109" s="1080">
        <f>CHOOSE(Tables!$U$2,Transfer!CI109,Transfer!CV109,Transfer!DI109,Transfer!DV109,Transfer!EI109)</f>
        <v>-9999</v>
      </c>
      <c r="AL109" s="1080">
        <f>CHOOSE(Tables!$U$2,Transfer!CJ109,Transfer!CW109,Transfer!DJ109,Transfer!DW109,Transfer!EJ109)</f>
        <v>-9999</v>
      </c>
      <c r="AM109" s="1080">
        <f>CHOOSE(Tables!$U$2,Transfer!CK109,Transfer!CX109,Transfer!DK109,Transfer!DX109,Transfer!EK109)</f>
        <v>-9999</v>
      </c>
      <c r="AN109" s="1080">
        <f>CHOOSE(Tables!$U$2,Transfer!CL109,Transfer!CY109,Transfer!DL109,Transfer!DY109,Transfer!EL109)</f>
        <v>-9999</v>
      </c>
      <c r="AO109" s="1080">
        <f>CHOOSE(Tables!$U$2,Transfer!CM109,Transfer!CZ109,Transfer!DM109,Transfer!DZ109,Transfer!EM109)</f>
        <v>-9999</v>
      </c>
      <c r="AR109" s="22">
        <v>9</v>
      </c>
      <c r="AS109" s="29" t="s">
        <v>73</v>
      </c>
      <c r="AT109" s="24">
        <f t="shared" ca="1" si="2"/>
        <v>45.69218240236421</v>
      </c>
      <c r="AU109" s="24">
        <f t="shared" ca="1" si="2"/>
        <v>6.3650347676197043</v>
      </c>
      <c r="AV109" s="24">
        <f t="shared" ca="1" si="2"/>
        <v>35.144773945586621</v>
      </c>
      <c r="AW109" s="24">
        <f t="shared" ca="1" si="2"/>
        <v>48.028346253871177</v>
      </c>
      <c r="AX109" s="24">
        <f t="shared" ca="1" si="2"/>
        <v>42.808997867856192</v>
      </c>
      <c r="AY109" s="25">
        <f t="shared" si="2"/>
        <v>0</v>
      </c>
      <c r="AZ109" s="25">
        <f t="shared" si="2"/>
        <v>0</v>
      </c>
      <c r="BA109" s="25">
        <f t="shared" si="2"/>
        <v>0</v>
      </c>
      <c r="BB109" s="25">
        <f t="shared" si="2"/>
        <v>0</v>
      </c>
      <c r="BC109" s="25">
        <f t="shared" si="2"/>
        <v>0</v>
      </c>
      <c r="BD109" s="25">
        <f t="shared" si="2"/>
        <v>0</v>
      </c>
      <c r="BE109" s="25">
        <f t="shared" si="2"/>
        <v>0</v>
      </c>
      <c r="BF109" s="25">
        <f t="shared" si="2"/>
        <v>0</v>
      </c>
      <c r="CA109" s="16">
        <v>640.12799041609833</v>
      </c>
      <c r="CB109" s="16">
        <v>636.21698495744249</v>
      </c>
      <c r="CC109" s="16">
        <v>667.12231810000003</v>
      </c>
      <c r="CD109" s="16">
        <v>716.61325425387122</v>
      </c>
      <c r="CE109" s="16">
        <v>754.86730234074014</v>
      </c>
      <c r="CF109" s="16">
        <v>-9999</v>
      </c>
      <c r="CG109" s="16">
        <v>-9999</v>
      </c>
      <c r="CH109" s="16">
        <v>-9999</v>
      </c>
      <c r="CI109" s="16">
        <v>-9999</v>
      </c>
      <c r="CJ109" s="16">
        <v>-9999</v>
      </c>
      <c r="CK109" s="16">
        <v>-9999</v>
      </c>
      <c r="CL109" s="16">
        <v>-9999</v>
      </c>
      <c r="CM109" s="16">
        <v>-9999</v>
      </c>
      <c r="CN109" s="16">
        <v>594.43580801373412</v>
      </c>
      <c r="CO109" s="16">
        <v>629.85195018982279</v>
      </c>
      <c r="CP109" s="16">
        <v>631.97754415441341</v>
      </c>
      <c r="CQ109" s="16">
        <v>668.58490800000004</v>
      </c>
      <c r="CR109" s="16">
        <v>712.05830447288395</v>
      </c>
      <c r="CS109" s="16">
        <v>-9999</v>
      </c>
      <c r="CT109" s="16">
        <v>-9999</v>
      </c>
      <c r="CU109" s="16">
        <v>-9999</v>
      </c>
      <c r="CV109" s="16">
        <v>-9999</v>
      </c>
      <c r="CW109" s="16">
        <v>-9999</v>
      </c>
      <c r="CX109" s="16">
        <v>-9999</v>
      </c>
      <c r="CY109" s="16">
        <v>-9999</v>
      </c>
      <c r="CZ109" s="16">
        <v>-9999</v>
      </c>
      <c r="DA109" s="16">
        <v>640.12799041609833</v>
      </c>
      <c r="DB109" s="16">
        <v>636.21698495744249</v>
      </c>
      <c r="DC109" s="16">
        <v>667.12231810000003</v>
      </c>
      <c r="DD109" s="16">
        <v>716.61325425387122</v>
      </c>
      <c r="DE109" s="16">
        <v>754.86730234074014</v>
      </c>
      <c r="DF109" s="16">
        <v>-9999</v>
      </c>
      <c r="DG109" s="16">
        <v>-9999</v>
      </c>
      <c r="DH109" s="16">
        <v>-9999</v>
      </c>
      <c r="DI109" s="16">
        <v>-9999</v>
      </c>
      <c r="DJ109" s="16">
        <v>-9999</v>
      </c>
      <c r="DK109" s="16">
        <v>-9999</v>
      </c>
      <c r="DL109" s="16">
        <v>-9999</v>
      </c>
      <c r="DM109" s="16">
        <v>-9999</v>
      </c>
      <c r="DN109" s="16">
        <v>640.12799041609833</v>
      </c>
      <c r="DO109" s="16">
        <v>636.21698495744249</v>
      </c>
      <c r="DP109" s="16">
        <v>667.12231810000003</v>
      </c>
      <c r="DQ109" s="16">
        <v>716.61325425387122</v>
      </c>
      <c r="DR109" s="16">
        <v>754.86730234074014</v>
      </c>
      <c r="DS109" s="16">
        <v>-9999</v>
      </c>
      <c r="DT109" s="16">
        <v>-9999</v>
      </c>
      <c r="DU109" s="16">
        <v>-9999</v>
      </c>
      <c r="DV109" s="16">
        <v>-9999</v>
      </c>
      <c r="DW109" s="16">
        <v>-9999</v>
      </c>
      <c r="DX109" s="16">
        <v>-9999</v>
      </c>
      <c r="DY109" s="16">
        <v>-9999</v>
      </c>
      <c r="DZ109" s="16">
        <v>-9999</v>
      </c>
      <c r="EA109" s="2256">
        <v>640.12799041609833</v>
      </c>
      <c r="EB109" s="2256">
        <v>636.21698495744249</v>
      </c>
      <c r="EC109" s="2256">
        <v>667.12231810000003</v>
      </c>
      <c r="ED109" s="2256">
        <v>716.61325425387122</v>
      </c>
      <c r="EE109" s="2256">
        <v>754.86730234074014</v>
      </c>
      <c r="EF109" s="2257">
        <v>-9999</v>
      </c>
      <c r="EG109" s="2257">
        <v>-9999</v>
      </c>
      <c r="EH109" s="2257">
        <v>-9999</v>
      </c>
      <c r="EI109" s="2257">
        <v>-9999</v>
      </c>
      <c r="EJ109" s="2257">
        <v>-9999</v>
      </c>
      <c r="EK109" s="2257">
        <v>-9999</v>
      </c>
      <c r="EL109" s="2257">
        <v>-9999</v>
      </c>
      <c r="EM109" s="2257">
        <v>-9999</v>
      </c>
    </row>
    <row r="110" spans="1:144" ht="13.15">
      <c r="A110" s="22">
        <v>10</v>
      </c>
      <c r="B110" s="29" t="s">
        <v>969</v>
      </c>
      <c r="C110" s="24">
        <f ca="1">OFFSET('VVP2'!F174,0,Last_forecast_year - 3-InputY!$G$3)</f>
        <v>1241.2610007782423</v>
      </c>
      <c r="D110" s="24">
        <f ca="1">OFFSET('VVP2'!G174,0,Last_forecast_year - 3-InputY!$G$3)</f>
        <v>1262.2438072276314</v>
      </c>
      <c r="E110" s="24">
        <f ca="1">OFFSET('VVP2'!H174,0,Last_forecast_year - 3-InputY!$G$3)</f>
        <v>1374.4994307000002</v>
      </c>
      <c r="F110" s="24">
        <f ca="1">OFFSET('VVP2'!I174,0,Last_forecast_year - 3-InputY!$G$3)</f>
        <v>1508.7649334889547</v>
      </c>
      <c r="G110" s="24">
        <f ca="1">OFFSET('VVP2'!J174,0,Last_forecast_year - 3-InputY!$G$3)</f>
        <v>1598.0016200379241</v>
      </c>
      <c r="H110" s="25">
        <v>-9999</v>
      </c>
      <c r="I110" s="25">
        <v>-9999</v>
      </c>
      <c r="J110" s="25">
        <v>-9999</v>
      </c>
      <c r="K110" s="25">
        <v>-9999</v>
      </c>
      <c r="L110" s="25">
        <v>-9999</v>
      </c>
      <c r="M110" s="25">
        <v>-9999</v>
      </c>
      <c r="N110" s="25">
        <v>-9999</v>
      </c>
      <c r="O110" s="25">
        <v>-9999</v>
      </c>
      <c r="P110" s="26"/>
      <c r="Q110"/>
      <c r="AA110" s="22">
        <v>10</v>
      </c>
      <c r="AB110" s="1080" t="str">
        <f t="shared" si="3"/>
        <v>VOL. IMPORTS OF GOODS (FOB)</v>
      </c>
      <c r="AC110" s="1080">
        <f>CHOOSE(Tables!$U$2,Transfer!CA110,Transfer!CN110,Transfer!DA110,Transfer!DN110,Transfer!EA110)</f>
        <v>1173.1388238686709</v>
      </c>
      <c r="AD110" s="1080">
        <f>CHOOSE(Tables!$U$2,Transfer!CB110,Transfer!CO110,Transfer!DB110,Transfer!DO110,Transfer!EB110)</f>
        <v>1231.0678375673806</v>
      </c>
      <c r="AE110" s="1080">
        <f>CHOOSE(Tables!$U$2,Transfer!CC110,Transfer!CP110,Transfer!DC110,Transfer!DP110,Transfer!EC110)</f>
        <v>1253.1267280670509</v>
      </c>
      <c r="AF110" s="1080">
        <f>CHOOSE(Tables!$U$2,Transfer!CD110,Transfer!CQ110,Transfer!DD110,Transfer!DQ110,Transfer!ED110)</f>
        <v>1372.2338909999999</v>
      </c>
      <c r="AG110" s="1080">
        <f>CHOOSE(Tables!$U$2,Transfer!CE110,Transfer!CR110,Transfer!DE110,Transfer!DR110,Transfer!EE110)</f>
        <v>1490.8625503132262</v>
      </c>
      <c r="AH110" s="1080">
        <f>CHOOSE(Tables!$U$2,Transfer!CF110,Transfer!CS110,Transfer!DF110,Transfer!DS110,Transfer!EF110)</f>
        <v>-9999</v>
      </c>
      <c r="AI110" s="1080">
        <f>CHOOSE(Tables!$U$2,Transfer!CG110,Transfer!CT110,Transfer!DG110,Transfer!DT110,Transfer!EG110)</f>
        <v>-9999</v>
      </c>
      <c r="AJ110" s="1080">
        <f>CHOOSE(Tables!$U$2,Transfer!CH110,Transfer!CU110,Transfer!DH110,Transfer!DU110,Transfer!EH110)</f>
        <v>-9999</v>
      </c>
      <c r="AK110" s="1080">
        <f>CHOOSE(Tables!$U$2,Transfer!CI110,Transfer!CV110,Transfer!DI110,Transfer!DV110,Transfer!EI110)</f>
        <v>-9999</v>
      </c>
      <c r="AL110" s="1080">
        <f>CHOOSE(Tables!$U$2,Transfer!CJ110,Transfer!CW110,Transfer!DJ110,Transfer!DW110,Transfer!EJ110)</f>
        <v>-9999</v>
      </c>
      <c r="AM110" s="1080">
        <f>CHOOSE(Tables!$U$2,Transfer!CK110,Transfer!CX110,Transfer!DK110,Transfer!DX110,Transfer!EK110)</f>
        <v>-9999</v>
      </c>
      <c r="AN110" s="1080">
        <f>CHOOSE(Tables!$U$2,Transfer!CL110,Transfer!CY110,Transfer!DL110,Transfer!DY110,Transfer!EL110)</f>
        <v>-9999</v>
      </c>
      <c r="AO110" s="1080">
        <f>CHOOSE(Tables!$U$2,Transfer!CM110,Transfer!CZ110,Transfer!DM110,Transfer!DZ110,Transfer!EM110)</f>
        <v>-9999</v>
      </c>
      <c r="AR110" s="22">
        <v>10</v>
      </c>
      <c r="AS110" s="29" t="s">
        <v>969</v>
      </c>
      <c r="AT110" s="24">
        <f t="shared" ca="1" si="2"/>
        <v>68.122176909571408</v>
      </c>
      <c r="AU110" s="24">
        <f t="shared" ca="1" si="2"/>
        <v>31.175969660250757</v>
      </c>
      <c r="AV110" s="24">
        <f t="shared" ca="1" si="2"/>
        <v>121.37270263294931</v>
      </c>
      <c r="AW110" s="24">
        <f t="shared" ca="1" si="2"/>
        <v>136.53104248895488</v>
      </c>
      <c r="AX110" s="24">
        <f t="shared" ca="1" si="2"/>
        <v>107.13906972469795</v>
      </c>
      <c r="AY110" s="25">
        <f t="shared" si="2"/>
        <v>0</v>
      </c>
      <c r="AZ110" s="25">
        <f t="shared" si="2"/>
        <v>0</v>
      </c>
      <c r="BA110" s="25">
        <f t="shared" si="2"/>
        <v>0</v>
      </c>
      <c r="BB110" s="25">
        <f t="shared" si="2"/>
        <v>0</v>
      </c>
      <c r="BC110" s="25">
        <f t="shared" si="2"/>
        <v>0</v>
      </c>
      <c r="BD110" s="25">
        <f t="shared" si="2"/>
        <v>0</v>
      </c>
      <c r="BE110" s="25">
        <f t="shared" si="2"/>
        <v>0</v>
      </c>
      <c r="BF110" s="25">
        <f t="shared" si="2"/>
        <v>0</v>
      </c>
      <c r="CA110" s="16">
        <v>1241.2610007782423</v>
      </c>
      <c r="CB110" s="16">
        <v>1262.2438072276314</v>
      </c>
      <c r="CC110" s="16">
        <v>1374.4994307000002</v>
      </c>
      <c r="CD110" s="16">
        <v>1508.7649334889547</v>
      </c>
      <c r="CE110" s="16">
        <v>1598.0016200379241</v>
      </c>
      <c r="CF110" s="16">
        <v>-9999</v>
      </c>
      <c r="CG110" s="16">
        <v>-9999</v>
      </c>
      <c r="CH110" s="16">
        <v>-9999</v>
      </c>
      <c r="CI110" s="16">
        <v>-9999</v>
      </c>
      <c r="CJ110" s="16">
        <v>-9999</v>
      </c>
      <c r="CK110" s="16">
        <v>-9999</v>
      </c>
      <c r="CL110" s="16">
        <v>-9999</v>
      </c>
      <c r="CM110" s="16">
        <v>-9999</v>
      </c>
      <c r="CN110" s="16">
        <v>1173.1388238686709</v>
      </c>
      <c r="CO110" s="16">
        <v>1231.0678375673806</v>
      </c>
      <c r="CP110" s="16">
        <v>1253.1267280670509</v>
      </c>
      <c r="CQ110" s="16">
        <v>1372.2338909999999</v>
      </c>
      <c r="CR110" s="16">
        <v>1490.8625503132262</v>
      </c>
      <c r="CS110" s="16">
        <v>-9999</v>
      </c>
      <c r="CT110" s="16">
        <v>-9999</v>
      </c>
      <c r="CU110" s="16">
        <v>-9999</v>
      </c>
      <c r="CV110" s="16">
        <v>-9999</v>
      </c>
      <c r="CW110" s="16">
        <v>-9999</v>
      </c>
      <c r="CX110" s="16">
        <v>-9999</v>
      </c>
      <c r="CY110" s="16">
        <v>-9999</v>
      </c>
      <c r="CZ110" s="16">
        <v>-9999</v>
      </c>
      <c r="DA110" s="16">
        <v>1241.2610007782423</v>
      </c>
      <c r="DB110" s="16">
        <v>1262.2438072276314</v>
      </c>
      <c r="DC110" s="16">
        <v>1374.4994307000002</v>
      </c>
      <c r="DD110" s="16">
        <v>1508.7649334889547</v>
      </c>
      <c r="DE110" s="16">
        <v>1598.0016200379241</v>
      </c>
      <c r="DF110" s="16">
        <v>-9999</v>
      </c>
      <c r="DG110" s="16">
        <v>-9999</v>
      </c>
      <c r="DH110" s="16">
        <v>-9999</v>
      </c>
      <c r="DI110" s="16">
        <v>-9999</v>
      </c>
      <c r="DJ110" s="16">
        <v>-9999</v>
      </c>
      <c r="DK110" s="16">
        <v>-9999</v>
      </c>
      <c r="DL110" s="16">
        <v>-9999</v>
      </c>
      <c r="DM110" s="16">
        <v>-9999</v>
      </c>
      <c r="DN110" s="16">
        <v>1241.2610007782423</v>
      </c>
      <c r="DO110" s="16">
        <v>1262.2438072276314</v>
      </c>
      <c r="DP110" s="16">
        <v>1373.3100743999998</v>
      </c>
      <c r="DQ110" s="16">
        <v>1507.0218604699264</v>
      </c>
      <c r="DR110" s="16">
        <v>1599.4189380380722</v>
      </c>
      <c r="DS110" s="16">
        <v>-9999</v>
      </c>
      <c r="DT110" s="16">
        <v>-9999</v>
      </c>
      <c r="DU110" s="16">
        <v>-9999</v>
      </c>
      <c r="DV110" s="16">
        <v>-9999</v>
      </c>
      <c r="DW110" s="16">
        <v>-9999</v>
      </c>
      <c r="DX110" s="16">
        <v>-9999</v>
      </c>
      <c r="DY110" s="16">
        <v>-9999</v>
      </c>
      <c r="DZ110" s="16">
        <v>-9999</v>
      </c>
      <c r="EA110" s="2256">
        <v>1241.2610007782423</v>
      </c>
      <c r="EB110" s="2256">
        <v>1262.2438072276314</v>
      </c>
      <c r="EC110" s="2256">
        <v>1374.4994307000002</v>
      </c>
      <c r="ED110" s="2256">
        <v>1508.7649334889547</v>
      </c>
      <c r="EE110" s="2256">
        <v>1598.0016200379241</v>
      </c>
      <c r="EF110" s="2257">
        <v>-9999</v>
      </c>
      <c r="EG110" s="2257">
        <v>-9999</v>
      </c>
      <c r="EH110" s="2257">
        <v>-9999</v>
      </c>
      <c r="EI110" s="2257">
        <v>-9999</v>
      </c>
      <c r="EJ110" s="2257">
        <v>-9999</v>
      </c>
      <c r="EK110" s="2257">
        <v>-9999</v>
      </c>
      <c r="EL110" s="2257">
        <v>-9999</v>
      </c>
      <c r="EM110" s="2257">
        <v>-9999</v>
      </c>
    </row>
    <row r="111" spans="1:144" ht="13.15">
      <c r="A111" s="22">
        <v>11</v>
      </c>
      <c r="B111" s="29" t="s">
        <v>970</v>
      </c>
      <c r="C111" s="24">
        <f ca="1">OFFSET('VVP2'!F175,0,Last_forecast_year - 3-InputY!$G$3)</f>
        <v>541.21799987145334</v>
      </c>
      <c r="D111" s="24">
        <f ca="1">OFFSET('VVP2'!G175,0,Last_forecast_year - 3-InputY!$G$3)</f>
        <v>574.07714544180521</v>
      </c>
      <c r="E111" s="24">
        <f ca="1">OFFSET('VVP2'!H175,0,Last_forecast_year - 3-InputY!$G$3)</f>
        <v>603.94616550000001</v>
      </c>
      <c r="F111" s="24">
        <f ca="1">OFFSET('VVP2'!I175,0,Last_forecast_year - 3-InputY!$G$3)</f>
        <v>657.67907466068539</v>
      </c>
      <c r="G111" s="24">
        <f ca="1">OFFSET('VVP2'!J175,0,Last_forecast_year - 3-InputY!$G$3)</f>
        <v>699.96883883356088</v>
      </c>
      <c r="H111" s="25">
        <v>-9999</v>
      </c>
      <c r="I111" s="25">
        <v>-9999</v>
      </c>
      <c r="J111" s="25">
        <v>-9999</v>
      </c>
      <c r="K111" s="25">
        <v>-9999</v>
      </c>
      <c r="L111" s="25">
        <v>-9999</v>
      </c>
      <c r="M111" s="25">
        <v>-9999</v>
      </c>
      <c r="N111" s="25">
        <v>-9999</v>
      </c>
      <c r="O111" s="25">
        <v>-9999</v>
      </c>
      <c r="P111" s="26"/>
      <c r="Q111"/>
      <c r="AA111" s="22">
        <v>11</v>
      </c>
      <c r="AB111" s="1080" t="str">
        <f t="shared" si="3"/>
        <v>VOL. IMPORTS OF SERVICES</v>
      </c>
      <c r="AC111" s="1080">
        <f>CHOOSE(Tables!$U$2,Transfer!CA111,Transfer!CN111,Transfer!DA111,Transfer!DN111,Transfer!EA111)</f>
        <v>513.89697093371547</v>
      </c>
      <c r="AD111" s="1080">
        <f>CHOOSE(Tables!$U$2,Transfer!CB111,Transfer!CO111,Transfer!DB111,Transfer!DO111,Transfer!EB111)</f>
        <v>535.34028979417189</v>
      </c>
      <c r="AE111" s="1080">
        <f>CHOOSE(Tables!$U$2,Transfer!CC111,Transfer!CP111,Transfer!DC111,Transfer!DP111,Transfer!EC111)</f>
        <v>570.57427095004834</v>
      </c>
      <c r="AF111" s="1080">
        <f>CHOOSE(Tables!$U$2,Transfer!CD111,Transfer!CQ111,Transfer!DD111,Transfer!DQ111,Transfer!ED111)</f>
        <v>602.94546000000003</v>
      </c>
      <c r="AG111" s="1080">
        <f>CHOOSE(Tables!$U$2,Transfer!CE111,Transfer!CR111,Transfer!DE111,Transfer!DR111,Transfer!EE111)</f>
        <v>648.37378273824004</v>
      </c>
      <c r="AH111" s="1080">
        <f>CHOOSE(Tables!$U$2,Transfer!CF111,Transfer!CS111,Transfer!DF111,Transfer!DS111,Transfer!EF111)</f>
        <v>-9999</v>
      </c>
      <c r="AI111" s="1080">
        <f>CHOOSE(Tables!$U$2,Transfer!CG111,Transfer!CT111,Transfer!DG111,Transfer!DT111,Transfer!EG111)</f>
        <v>-9999</v>
      </c>
      <c r="AJ111" s="1080">
        <f>CHOOSE(Tables!$U$2,Transfer!CH111,Transfer!CU111,Transfer!DH111,Transfer!DU111,Transfer!EH111)</f>
        <v>-9999</v>
      </c>
      <c r="AK111" s="1080">
        <f>CHOOSE(Tables!$U$2,Transfer!CI111,Transfer!CV111,Transfer!DI111,Transfer!DV111,Transfer!EI111)</f>
        <v>-9999</v>
      </c>
      <c r="AL111" s="1080">
        <f>CHOOSE(Tables!$U$2,Transfer!CJ111,Transfer!CW111,Transfer!DJ111,Transfer!DW111,Transfer!EJ111)</f>
        <v>-9999</v>
      </c>
      <c r="AM111" s="1080">
        <f>CHOOSE(Tables!$U$2,Transfer!CK111,Transfer!CX111,Transfer!DK111,Transfer!DX111,Transfer!EK111)</f>
        <v>-9999</v>
      </c>
      <c r="AN111" s="1080">
        <f>CHOOSE(Tables!$U$2,Transfer!CL111,Transfer!CY111,Transfer!DL111,Transfer!DY111,Transfer!EL111)</f>
        <v>-9999</v>
      </c>
      <c r="AO111" s="1080">
        <f>CHOOSE(Tables!$U$2,Transfer!CM111,Transfer!CZ111,Transfer!DM111,Transfer!DZ111,Transfer!EM111)</f>
        <v>-9999</v>
      </c>
      <c r="AR111" s="22">
        <v>11</v>
      </c>
      <c r="AS111" s="29" t="s">
        <v>970</v>
      </c>
      <c r="AT111" s="24">
        <f t="shared" ca="1" si="2"/>
        <v>27.321028937737879</v>
      </c>
      <c r="AU111" s="24">
        <f t="shared" ca="1" si="2"/>
        <v>38.73685564763332</v>
      </c>
      <c r="AV111" s="24">
        <f t="shared" ca="1" si="2"/>
        <v>33.371894549951662</v>
      </c>
      <c r="AW111" s="24">
        <f t="shared" ca="1" si="2"/>
        <v>54.733614660685362</v>
      </c>
      <c r="AX111" s="24">
        <f t="shared" ca="1" si="2"/>
        <v>51.595056095320842</v>
      </c>
      <c r="AY111" s="25">
        <f t="shared" si="2"/>
        <v>0</v>
      </c>
      <c r="AZ111" s="25">
        <f t="shared" si="2"/>
        <v>0</v>
      </c>
      <c r="BA111" s="25">
        <f t="shared" si="2"/>
        <v>0</v>
      </c>
      <c r="BB111" s="25">
        <f t="shared" si="2"/>
        <v>0</v>
      </c>
      <c r="BC111" s="25">
        <f t="shared" si="2"/>
        <v>0</v>
      </c>
      <c r="BD111" s="25">
        <f t="shared" si="2"/>
        <v>0</v>
      </c>
      <c r="BE111" s="25">
        <f t="shared" si="2"/>
        <v>0</v>
      </c>
      <c r="BF111" s="25">
        <f t="shared" si="2"/>
        <v>0</v>
      </c>
      <c r="CA111" s="16">
        <v>541.21799987145334</v>
      </c>
      <c r="CB111" s="16">
        <v>574.07714544180521</v>
      </c>
      <c r="CC111" s="16">
        <v>603.94616550000001</v>
      </c>
      <c r="CD111" s="16">
        <v>657.67907466068539</v>
      </c>
      <c r="CE111" s="16">
        <v>699.96883883356088</v>
      </c>
      <c r="CF111" s="16">
        <v>-9999</v>
      </c>
      <c r="CG111" s="16">
        <v>-9999</v>
      </c>
      <c r="CH111" s="16">
        <v>-9999</v>
      </c>
      <c r="CI111" s="16">
        <v>-9999</v>
      </c>
      <c r="CJ111" s="16">
        <v>-9999</v>
      </c>
      <c r="CK111" s="16">
        <v>-9999</v>
      </c>
      <c r="CL111" s="16">
        <v>-9999</v>
      </c>
      <c r="CM111" s="16">
        <v>-9999</v>
      </c>
      <c r="CN111" s="16">
        <v>513.89697093371547</v>
      </c>
      <c r="CO111" s="16">
        <v>535.34028979417189</v>
      </c>
      <c r="CP111" s="16">
        <v>570.57427095004834</v>
      </c>
      <c r="CQ111" s="16">
        <v>602.94546000000003</v>
      </c>
      <c r="CR111" s="16">
        <v>648.37378273824004</v>
      </c>
      <c r="CS111" s="16">
        <v>-9999</v>
      </c>
      <c r="CT111" s="16">
        <v>-9999</v>
      </c>
      <c r="CU111" s="16">
        <v>-9999</v>
      </c>
      <c r="CV111" s="16">
        <v>-9999</v>
      </c>
      <c r="CW111" s="16">
        <v>-9999</v>
      </c>
      <c r="CX111" s="16">
        <v>-9999</v>
      </c>
      <c r="CY111" s="16">
        <v>-9999</v>
      </c>
      <c r="CZ111" s="16">
        <v>-9999</v>
      </c>
      <c r="DA111" s="16">
        <v>541.21799987145334</v>
      </c>
      <c r="DB111" s="16">
        <v>574.07714544180521</v>
      </c>
      <c r="DC111" s="16">
        <v>603.94616550000001</v>
      </c>
      <c r="DD111" s="16">
        <v>657.67907466068539</v>
      </c>
      <c r="DE111" s="16">
        <v>699.96883883356088</v>
      </c>
      <c r="DF111" s="16">
        <v>-9999</v>
      </c>
      <c r="DG111" s="16">
        <v>-9999</v>
      </c>
      <c r="DH111" s="16">
        <v>-9999</v>
      </c>
      <c r="DI111" s="16">
        <v>-9999</v>
      </c>
      <c r="DJ111" s="16">
        <v>-9999</v>
      </c>
      <c r="DK111" s="16">
        <v>-9999</v>
      </c>
      <c r="DL111" s="16">
        <v>-9999</v>
      </c>
      <c r="DM111" s="16">
        <v>-9999</v>
      </c>
      <c r="DN111" s="16">
        <v>541.21799987145334</v>
      </c>
      <c r="DO111" s="16">
        <v>574.07714544180521</v>
      </c>
      <c r="DP111" s="16">
        <v>603.94616550000001</v>
      </c>
      <c r="DQ111" s="16">
        <v>657.55115886283249</v>
      </c>
      <c r="DR111" s="16">
        <v>699.83269785547407</v>
      </c>
      <c r="DS111" s="16">
        <v>-9999</v>
      </c>
      <c r="DT111" s="16">
        <v>-9999</v>
      </c>
      <c r="DU111" s="16">
        <v>-9999</v>
      </c>
      <c r="DV111" s="16">
        <v>-9999</v>
      </c>
      <c r="DW111" s="16">
        <v>-9999</v>
      </c>
      <c r="DX111" s="16">
        <v>-9999</v>
      </c>
      <c r="DY111" s="16">
        <v>-9999</v>
      </c>
      <c r="DZ111" s="16">
        <v>-9999</v>
      </c>
      <c r="EA111" s="2256">
        <v>541.21799987145334</v>
      </c>
      <c r="EB111" s="2256">
        <v>574.07714544180521</v>
      </c>
      <c r="EC111" s="2256">
        <v>603.94616550000001</v>
      </c>
      <c r="ED111" s="2256">
        <v>657.67907466068539</v>
      </c>
      <c r="EE111" s="2256">
        <v>699.96883883356088</v>
      </c>
      <c r="EF111" s="2257">
        <v>-9999</v>
      </c>
      <c r="EG111" s="2257">
        <v>-9999</v>
      </c>
      <c r="EH111" s="2257">
        <v>-9999</v>
      </c>
      <c r="EI111" s="2257">
        <v>-9999</v>
      </c>
      <c r="EJ111" s="2257">
        <v>-9999</v>
      </c>
      <c r="EK111" s="2257">
        <v>-9999</v>
      </c>
      <c r="EL111" s="2257">
        <v>-9999</v>
      </c>
      <c r="EM111" s="2257">
        <v>-9999</v>
      </c>
    </row>
    <row r="112" spans="1:144" ht="13.15">
      <c r="A112" s="22">
        <v>12</v>
      </c>
      <c r="B112" s="1" t="s">
        <v>972</v>
      </c>
      <c r="C112" s="24">
        <f ca="1">OFFSET('VVP2'!F176,0,Last_forecast_year - 3-InputY!$G$3)</f>
        <v>4314.3109972979628</v>
      </c>
      <c r="D112" s="24">
        <f ca="1">OFFSET('VVP2'!G176,0,Last_forecast_year - 3-InputY!$G$3)</f>
        <v>4478.2150204918016</v>
      </c>
      <c r="E112" s="24">
        <f ca="1">OFFSET('VVP2'!H176,0,Last_forecast_year - 3-InputY!$G$3)</f>
        <v>4687.6688213000007</v>
      </c>
      <c r="F112" s="24">
        <f ca="1">OFFSET('VVP2'!I176,0,Last_forecast_year - 3-InputY!$G$3)</f>
        <v>4887.7470806144938</v>
      </c>
      <c r="G112" s="24">
        <f ca="1">OFFSET('VVP2'!J176,0,Last_forecast_year - 3-InputY!$G$3)</f>
        <v>5072.5747026870877</v>
      </c>
      <c r="H112" s="25">
        <v>-9999</v>
      </c>
      <c r="I112" s="25">
        <v>-9999</v>
      </c>
      <c r="J112" s="25">
        <v>-9999</v>
      </c>
      <c r="K112" s="25">
        <v>-9999</v>
      </c>
      <c r="L112" s="25">
        <v>-9999</v>
      </c>
      <c r="M112" s="25">
        <v>-9999</v>
      </c>
      <c r="N112" s="25">
        <v>-9999</v>
      </c>
      <c r="O112" s="25">
        <v>-9999</v>
      </c>
      <c r="P112" s="26"/>
      <c r="Q112"/>
      <c r="AA112" s="22">
        <v>12</v>
      </c>
      <c r="AB112" s="1080" t="str">
        <f t="shared" si="3"/>
        <v>VOL. GROSS DOMESTIC PRODUCT</v>
      </c>
      <c r="AC112" s="1080">
        <f>CHOOSE(Tables!$U$2,Transfer!CA112,Transfer!CN112,Transfer!DA112,Transfer!DN112,Transfer!EA112)</f>
        <v>4114.8626980340196</v>
      </c>
      <c r="AD112" s="1080">
        <f>CHOOSE(Tables!$U$2,Transfer!CB112,Transfer!CO112,Transfer!DB112,Transfer!DO112,Transfer!EB112)</f>
        <v>4335.7230318203374</v>
      </c>
      <c r="AE112" s="1080">
        <f>CHOOSE(Tables!$U$2,Transfer!CC112,Transfer!CP112,Transfer!DC112,Transfer!DP112,Transfer!EC112)</f>
        <v>4510.687376524882</v>
      </c>
      <c r="AF112" s="1080">
        <f>CHOOSE(Tables!$U$2,Transfer!CD112,Transfer!CQ112,Transfer!DD112,Transfer!DQ112,Transfer!ED112)</f>
        <v>4724.2916704999998</v>
      </c>
      <c r="AG112" s="1080">
        <f>CHOOSE(Tables!$U$2,Transfer!CE112,Transfer!CR112,Transfer!DE112,Transfer!DR112,Transfer!EE112)</f>
        <v>4918.5691894973115</v>
      </c>
      <c r="AH112" s="1080">
        <f>CHOOSE(Tables!$U$2,Transfer!CF112,Transfer!CS112,Transfer!DF112,Transfer!DS112,Transfer!EF112)</f>
        <v>-9999</v>
      </c>
      <c r="AI112" s="1080">
        <f>CHOOSE(Tables!$U$2,Transfer!CG112,Transfer!CT112,Transfer!DG112,Transfer!DT112,Transfer!EG112)</f>
        <v>-9999</v>
      </c>
      <c r="AJ112" s="1080">
        <f>CHOOSE(Tables!$U$2,Transfer!CH112,Transfer!CU112,Transfer!DH112,Transfer!DU112,Transfer!EH112)</f>
        <v>-9999</v>
      </c>
      <c r="AK112" s="1080">
        <f>CHOOSE(Tables!$U$2,Transfer!CI112,Transfer!CV112,Transfer!DI112,Transfer!DV112,Transfer!EI112)</f>
        <v>-9999</v>
      </c>
      <c r="AL112" s="1080">
        <f>CHOOSE(Tables!$U$2,Transfer!CJ112,Transfer!CW112,Transfer!DJ112,Transfer!DW112,Transfer!EJ112)</f>
        <v>-9999</v>
      </c>
      <c r="AM112" s="1080">
        <f>CHOOSE(Tables!$U$2,Transfer!CK112,Transfer!CX112,Transfer!DK112,Transfer!DX112,Transfer!EK112)</f>
        <v>-9999</v>
      </c>
      <c r="AN112" s="1080">
        <f>CHOOSE(Tables!$U$2,Transfer!CL112,Transfer!CY112,Transfer!DL112,Transfer!DY112,Transfer!EL112)</f>
        <v>-9999</v>
      </c>
      <c r="AO112" s="1080">
        <f>CHOOSE(Tables!$U$2,Transfer!CM112,Transfer!CZ112,Transfer!DM112,Transfer!DZ112,Transfer!EM112)</f>
        <v>-9999</v>
      </c>
      <c r="AR112" s="22">
        <v>12</v>
      </c>
      <c r="AS112" s="1" t="s">
        <v>972</v>
      </c>
      <c r="AT112" s="24">
        <f t="shared" ca="1" si="2"/>
        <v>199.44829926394323</v>
      </c>
      <c r="AU112" s="24">
        <f t="shared" ca="1" si="2"/>
        <v>142.49198867146424</v>
      </c>
      <c r="AV112" s="24">
        <f t="shared" ca="1" si="2"/>
        <v>176.98144477511869</v>
      </c>
      <c r="AW112" s="24">
        <f t="shared" ca="1" si="2"/>
        <v>163.45541011449404</v>
      </c>
      <c r="AX112" s="24">
        <f t="shared" ca="1" si="2"/>
        <v>154.00551318977614</v>
      </c>
      <c r="AY112" s="25">
        <f t="shared" si="2"/>
        <v>0</v>
      </c>
      <c r="AZ112" s="25">
        <f t="shared" si="2"/>
        <v>0</v>
      </c>
      <c r="BA112" s="25">
        <f t="shared" si="2"/>
        <v>0</v>
      </c>
      <c r="BB112" s="25">
        <f t="shared" si="2"/>
        <v>0</v>
      </c>
      <c r="BC112" s="25">
        <f t="shared" si="2"/>
        <v>0</v>
      </c>
      <c r="BD112" s="25">
        <f t="shared" si="2"/>
        <v>0</v>
      </c>
      <c r="BE112" s="25">
        <f t="shared" si="2"/>
        <v>0</v>
      </c>
      <c r="BF112" s="25">
        <f t="shared" si="2"/>
        <v>0</v>
      </c>
      <c r="CA112" s="16">
        <v>4314.3109972979628</v>
      </c>
      <c r="CB112" s="16">
        <v>4478.2150204918016</v>
      </c>
      <c r="CC112" s="16">
        <v>4687.6688213000007</v>
      </c>
      <c r="CD112" s="16">
        <v>4887.7470806144938</v>
      </c>
      <c r="CE112" s="16">
        <v>5072.5747026870877</v>
      </c>
      <c r="CF112" s="16">
        <v>-9999</v>
      </c>
      <c r="CG112" s="16">
        <v>-9999</v>
      </c>
      <c r="CH112" s="16">
        <v>-9999</v>
      </c>
      <c r="CI112" s="16">
        <v>-9999</v>
      </c>
      <c r="CJ112" s="16">
        <v>-9999</v>
      </c>
      <c r="CK112" s="16">
        <v>-9999</v>
      </c>
      <c r="CL112" s="16">
        <v>-9999</v>
      </c>
      <c r="CM112" s="16">
        <v>-9999</v>
      </c>
      <c r="CN112" s="16">
        <v>4114.8626980340196</v>
      </c>
      <c r="CO112" s="16">
        <v>4335.7230318203374</v>
      </c>
      <c r="CP112" s="16">
        <v>4510.687376524882</v>
      </c>
      <c r="CQ112" s="16">
        <v>4724.2916704999998</v>
      </c>
      <c r="CR112" s="16">
        <v>4918.5691894973115</v>
      </c>
      <c r="CS112" s="16">
        <v>-9999</v>
      </c>
      <c r="CT112" s="16">
        <v>-9999</v>
      </c>
      <c r="CU112" s="16">
        <v>-9999</v>
      </c>
      <c r="CV112" s="16">
        <v>-9999</v>
      </c>
      <c r="CW112" s="16">
        <v>-9999</v>
      </c>
      <c r="CX112" s="16">
        <v>-9999</v>
      </c>
      <c r="CY112" s="16">
        <v>-9999</v>
      </c>
      <c r="CZ112" s="16">
        <v>-9999</v>
      </c>
      <c r="DA112" s="16">
        <v>4314.3109972979628</v>
      </c>
      <c r="DB112" s="16">
        <v>4478.2150204918016</v>
      </c>
      <c r="DC112" s="16">
        <v>4687.8125752999995</v>
      </c>
      <c r="DD112" s="16">
        <v>4887.521441648063</v>
      </c>
      <c r="DE112" s="16">
        <v>5072.1470203035733</v>
      </c>
      <c r="DF112" s="16">
        <v>-9999</v>
      </c>
      <c r="DG112" s="16">
        <v>-9999</v>
      </c>
      <c r="DH112" s="16">
        <v>-9999</v>
      </c>
      <c r="DI112" s="16">
        <v>-9999</v>
      </c>
      <c r="DJ112" s="16">
        <v>-9999</v>
      </c>
      <c r="DK112" s="16">
        <v>-9999</v>
      </c>
      <c r="DL112" s="16">
        <v>-9999</v>
      </c>
      <c r="DM112" s="16">
        <v>-9999</v>
      </c>
      <c r="DN112" s="16">
        <v>4314.3109972979628</v>
      </c>
      <c r="DO112" s="16">
        <v>4478.2150204918016</v>
      </c>
      <c r="DP112" s="16">
        <v>4687.9767437999999</v>
      </c>
      <c r="DQ112" s="16">
        <v>4888.1225938288435</v>
      </c>
      <c r="DR112" s="16">
        <v>5071.7847187911739</v>
      </c>
      <c r="DS112" s="16">
        <v>-9999</v>
      </c>
      <c r="DT112" s="16">
        <v>-9999</v>
      </c>
      <c r="DU112" s="16">
        <v>-9999</v>
      </c>
      <c r="DV112" s="16">
        <v>-9999</v>
      </c>
      <c r="DW112" s="16">
        <v>-9999</v>
      </c>
      <c r="DX112" s="16">
        <v>-9999</v>
      </c>
      <c r="DY112" s="16">
        <v>-9999</v>
      </c>
      <c r="DZ112" s="16">
        <v>-9999</v>
      </c>
      <c r="EA112" s="2256">
        <v>4314.3109972979628</v>
      </c>
      <c r="EB112" s="2256">
        <v>4478.2150204918016</v>
      </c>
      <c r="EC112" s="2256">
        <v>4687.6688213000007</v>
      </c>
      <c r="ED112" s="2256">
        <v>4887.7470806144938</v>
      </c>
      <c r="EE112" s="2256">
        <v>5072.5747026870877</v>
      </c>
      <c r="EF112" s="2257">
        <v>-9999</v>
      </c>
      <c r="EG112" s="2257">
        <v>-9999</v>
      </c>
      <c r="EH112" s="2257">
        <v>-9999</v>
      </c>
      <c r="EI112" s="2257">
        <v>-9999</v>
      </c>
      <c r="EJ112" s="2257">
        <v>-9999</v>
      </c>
      <c r="EK112" s="2257">
        <v>-9999</v>
      </c>
      <c r="EL112" s="2257">
        <v>-9999</v>
      </c>
      <c r="EM112" s="2257">
        <v>-9999</v>
      </c>
    </row>
    <row r="113" spans="1:143" ht="13.15">
      <c r="A113" s="22">
        <v>13</v>
      </c>
      <c r="B113" s="30" t="s">
        <v>973</v>
      </c>
      <c r="C113" s="25">
        <v>-9999</v>
      </c>
      <c r="D113" s="25">
        <v>-9999</v>
      </c>
      <c r="E113" s="25">
        <v>-9999</v>
      </c>
      <c r="F113" s="25">
        <v>-9999</v>
      </c>
      <c r="G113" s="25">
        <v>-9999</v>
      </c>
      <c r="H113" s="25">
        <v>-9999</v>
      </c>
      <c r="I113" s="25">
        <v>-9999</v>
      </c>
      <c r="J113" s="25">
        <v>-9999</v>
      </c>
      <c r="K113" s="25">
        <v>-9999</v>
      </c>
      <c r="L113" s="25">
        <v>-9999</v>
      </c>
      <c r="M113" s="25">
        <v>-9999</v>
      </c>
      <c r="N113" s="25">
        <v>-9999</v>
      </c>
      <c r="O113" s="25">
        <v>-9999</v>
      </c>
      <c r="P113" s="26"/>
      <c r="Q113"/>
      <c r="AA113" s="22">
        <v>13</v>
      </c>
      <c r="AB113" s="1080" t="str">
        <f t="shared" si="3"/>
        <v>FOR FUTURE USE</v>
      </c>
      <c r="AC113" s="1080">
        <f>CHOOSE(Tables!$U$2,Transfer!CA113,Transfer!CN113,Transfer!DA113,Transfer!DN113,Transfer!EA113)</f>
        <v>-9999</v>
      </c>
      <c r="AD113" s="1080">
        <f>CHOOSE(Tables!$U$2,Transfer!CB113,Transfer!CO113,Transfer!DB113,Transfer!DO113,Transfer!EB113)</f>
        <v>-9999</v>
      </c>
      <c r="AE113" s="1080">
        <f>CHOOSE(Tables!$U$2,Transfer!CC113,Transfer!CP113,Transfer!DC113,Transfer!DP113,Transfer!EC113)</f>
        <v>-9999</v>
      </c>
      <c r="AF113" s="1080">
        <f>CHOOSE(Tables!$U$2,Transfer!CD113,Transfer!CQ113,Transfer!DD113,Transfer!DQ113,Transfer!ED113)</f>
        <v>-9999</v>
      </c>
      <c r="AG113" s="1080">
        <f>CHOOSE(Tables!$U$2,Transfer!CE113,Transfer!CR113,Transfer!DE113,Transfer!DR113,Transfer!EE113)</f>
        <v>-9999</v>
      </c>
      <c r="AH113" s="1080">
        <f>CHOOSE(Tables!$U$2,Transfer!CF113,Transfer!CS113,Transfer!DF113,Transfer!DS113,Transfer!EF113)</f>
        <v>-9999</v>
      </c>
      <c r="AI113" s="1080">
        <f>CHOOSE(Tables!$U$2,Transfer!CG113,Transfer!CT113,Transfer!DG113,Transfer!DT113,Transfer!EG113)</f>
        <v>-9999</v>
      </c>
      <c r="AJ113" s="1080">
        <f>CHOOSE(Tables!$U$2,Transfer!CH113,Transfer!CU113,Transfer!DH113,Transfer!DU113,Transfer!EH113)</f>
        <v>-9999</v>
      </c>
      <c r="AK113" s="1080">
        <f>CHOOSE(Tables!$U$2,Transfer!CI113,Transfer!CV113,Transfer!DI113,Transfer!DV113,Transfer!EI113)</f>
        <v>-9999</v>
      </c>
      <c r="AL113" s="1080">
        <f>CHOOSE(Tables!$U$2,Transfer!CJ113,Transfer!CW113,Transfer!DJ113,Transfer!DW113,Transfer!EJ113)</f>
        <v>-9999</v>
      </c>
      <c r="AM113" s="1080">
        <f>CHOOSE(Tables!$U$2,Transfer!CK113,Transfer!CX113,Transfer!DK113,Transfer!DX113,Transfer!EK113)</f>
        <v>-9999</v>
      </c>
      <c r="AN113" s="1080">
        <f>CHOOSE(Tables!$U$2,Transfer!CL113,Transfer!CY113,Transfer!DL113,Transfer!DY113,Transfer!EL113)</f>
        <v>-9999</v>
      </c>
      <c r="AO113" s="1080">
        <f>CHOOSE(Tables!$U$2,Transfer!CM113,Transfer!CZ113,Transfer!DM113,Transfer!DZ113,Transfer!EM113)</f>
        <v>-9999</v>
      </c>
      <c r="AR113" s="22">
        <v>13</v>
      </c>
      <c r="AS113" s="30" t="s">
        <v>973</v>
      </c>
      <c r="AT113" s="25">
        <f t="shared" si="2"/>
        <v>0</v>
      </c>
      <c r="AU113" s="25">
        <f t="shared" si="2"/>
        <v>0</v>
      </c>
      <c r="AV113" s="25">
        <f t="shared" si="2"/>
        <v>0</v>
      </c>
      <c r="AW113" s="25">
        <f t="shared" si="2"/>
        <v>0</v>
      </c>
      <c r="AX113" s="25">
        <f t="shared" si="2"/>
        <v>0</v>
      </c>
      <c r="AY113" s="25">
        <f t="shared" si="2"/>
        <v>0</v>
      </c>
      <c r="AZ113" s="25">
        <f t="shared" si="2"/>
        <v>0</v>
      </c>
      <c r="BA113" s="25">
        <f t="shared" si="2"/>
        <v>0</v>
      </c>
      <c r="BB113" s="25">
        <f t="shared" si="2"/>
        <v>0</v>
      </c>
      <c r="BC113" s="25">
        <f t="shared" si="2"/>
        <v>0</v>
      </c>
      <c r="BD113" s="25">
        <f t="shared" si="2"/>
        <v>0</v>
      </c>
      <c r="BE113" s="25">
        <f t="shared" si="2"/>
        <v>0</v>
      </c>
      <c r="BF113" s="25">
        <f t="shared" si="2"/>
        <v>0</v>
      </c>
      <c r="CA113" s="16">
        <v>-9999</v>
      </c>
      <c r="CB113" s="16">
        <v>-9999</v>
      </c>
      <c r="CC113" s="16">
        <v>-9999</v>
      </c>
      <c r="CD113" s="16">
        <v>-9999</v>
      </c>
      <c r="CE113" s="16">
        <v>-9999</v>
      </c>
      <c r="CF113" s="16">
        <v>-9999</v>
      </c>
      <c r="CG113" s="16">
        <v>-9999</v>
      </c>
      <c r="CH113" s="16">
        <v>-9999</v>
      </c>
      <c r="CI113" s="16">
        <v>-9999</v>
      </c>
      <c r="CJ113" s="16">
        <v>-9999</v>
      </c>
      <c r="CK113" s="16">
        <v>-9999</v>
      </c>
      <c r="CL113" s="16">
        <v>-9999</v>
      </c>
      <c r="CM113" s="16">
        <v>-9999</v>
      </c>
      <c r="CN113" s="16">
        <v>-9999</v>
      </c>
      <c r="CO113" s="16">
        <v>-9999</v>
      </c>
      <c r="CP113" s="16">
        <v>-9999</v>
      </c>
      <c r="CQ113" s="16">
        <v>-9999</v>
      </c>
      <c r="CR113" s="16">
        <v>-9999</v>
      </c>
      <c r="CS113" s="16">
        <v>-9999</v>
      </c>
      <c r="CT113" s="16">
        <v>-9999</v>
      </c>
      <c r="CU113" s="16">
        <v>-9999</v>
      </c>
      <c r="CV113" s="16">
        <v>-9999</v>
      </c>
      <c r="CW113" s="16">
        <v>-9999</v>
      </c>
      <c r="CX113" s="16">
        <v>-9999</v>
      </c>
      <c r="CY113" s="16">
        <v>-9999</v>
      </c>
      <c r="CZ113" s="16">
        <v>-9999</v>
      </c>
      <c r="DA113" s="16">
        <v>-9999</v>
      </c>
      <c r="DB113" s="16">
        <v>-9999</v>
      </c>
      <c r="DC113" s="16">
        <v>-9999</v>
      </c>
      <c r="DD113" s="16">
        <v>-9999</v>
      </c>
      <c r="DE113" s="16">
        <v>-9999</v>
      </c>
      <c r="DF113" s="16">
        <v>-9999</v>
      </c>
      <c r="DG113" s="16">
        <v>-9999</v>
      </c>
      <c r="DH113" s="16">
        <v>-9999</v>
      </c>
      <c r="DI113" s="16">
        <v>-9999</v>
      </c>
      <c r="DJ113" s="16">
        <v>-9999</v>
      </c>
      <c r="DK113" s="16">
        <v>-9999</v>
      </c>
      <c r="DL113" s="16">
        <v>-9999</v>
      </c>
      <c r="DM113" s="16">
        <v>-9999</v>
      </c>
      <c r="DN113" s="16">
        <v>-9999</v>
      </c>
      <c r="DO113" s="16">
        <v>-9999</v>
      </c>
      <c r="DP113" s="16">
        <v>-9999</v>
      </c>
      <c r="DQ113" s="16">
        <v>-9999</v>
      </c>
      <c r="DR113" s="16">
        <v>-9999</v>
      </c>
      <c r="DS113" s="16">
        <v>-9999</v>
      </c>
      <c r="DT113" s="16">
        <v>-9999</v>
      </c>
      <c r="DU113" s="16">
        <v>-9999</v>
      </c>
      <c r="DV113" s="16">
        <v>-9999</v>
      </c>
      <c r="DW113" s="16">
        <v>-9999</v>
      </c>
      <c r="DX113" s="16">
        <v>-9999</v>
      </c>
      <c r="DY113" s="16">
        <v>-9999</v>
      </c>
      <c r="DZ113" s="16">
        <v>-9999</v>
      </c>
      <c r="EA113" s="2257">
        <v>-9999</v>
      </c>
      <c r="EB113" s="2257">
        <v>-9999</v>
      </c>
      <c r="EC113" s="2257">
        <v>-9999</v>
      </c>
      <c r="ED113" s="2257">
        <v>-9999</v>
      </c>
      <c r="EE113" s="2257">
        <v>-9999</v>
      </c>
      <c r="EF113" s="2257">
        <v>-9999</v>
      </c>
      <c r="EG113" s="2257">
        <v>-9999</v>
      </c>
      <c r="EH113" s="2257">
        <v>-9999</v>
      </c>
      <c r="EI113" s="2257">
        <v>-9999</v>
      </c>
      <c r="EJ113" s="2257">
        <v>-9999</v>
      </c>
      <c r="EK113" s="2257">
        <v>-9999</v>
      </c>
      <c r="EL113" s="2257">
        <v>-9999</v>
      </c>
      <c r="EM113" s="2257">
        <v>-9999</v>
      </c>
    </row>
    <row r="114" spans="1:143" ht="13.15">
      <c r="A114" s="22">
        <v>14</v>
      </c>
      <c r="B114" s="30" t="s">
        <v>973</v>
      </c>
      <c r="C114" s="25">
        <v>-9999</v>
      </c>
      <c r="D114" s="25">
        <v>-9999</v>
      </c>
      <c r="E114" s="25">
        <v>-9999</v>
      </c>
      <c r="F114" s="25">
        <v>-9999</v>
      </c>
      <c r="G114" s="25">
        <v>-9999</v>
      </c>
      <c r="H114" s="25">
        <v>-9999</v>
      </c>
      <c r="I114" s="25">
        <v>-9999</v>
      </c>
      <c r="J114" s="25">
        <v>-9999</v>
      </c>
      <c r="K114" s="25">
        <v>-9999</v>
      </c>
      <c r="L114" s="25">
        <v>-9999</v>
      </c>
      <c r="M114" s="25">
        <v>-9999</v>
      </c>
      <c r="N114" s="25">
        <v>-9999</v>
      </c>
      <c r="O114" s="25">
        <v>-9999</v>
      </c>
      <c r="P114" s="26"/>
      <c r="Q114"/>
      <c r="AA114" s="22">
        <v>14</v>
      </c>
      <c r="AB114" s="1080" t="str">
        <f t="shared" si="3"/>
        <v>FOR FUTURE USE</v>
      </c>
      <c r="AC114" s="1080">
        <f>CHOOSE(Tables!$U$2,Transfer!CA114,Transfer!CN114,Transfer!DA114,Transfer!DN114,Transfer!EA114)</f>
        <v>-9999</v>
      </c>
      <c r="AD114" s="1080">
        <f>CHOOSE(Tables!$U$2,Transfer!CB114,Transfer!CO114,Transfer!DB114,Transfer!DO114,Transfer!EB114)</f>
        <v>-9999</v>
      </c>
      <c r="AE114" s="1080">
        <f>CHOOSE(Tables!$U$2,Transfer!CC114,Transfer!CP114,Transfer!DC114,Transfer!DP114,Transfer!EC114)</f>
        <v>-9999</v>
      </c>
      <c r="AF114" s="1080">
        <f>CHOOSE(Tables!$U$2,Transfer!CD114,Transfer!CQ114,Transfer!DD114,Transfer!DQ114,Transfer!ED114)</f>
        <v>-9999</v>
      </c>
      <c r="AG114" s="1080">
        <f>CHOOSE(Tables!$U$2,Transfer!CE114,Transfer!CR114,Transfer!DE114,Transfer!DR114,Transfer!EE114)</f>
        <v>-9999</v>
      </c>
      <c r="AH114" s="1080">
        <f>CHOOSE(Tables!$U$2,Transfer!CF114,Transfer!CS114,Transfer!DF114,Transfer!DS114,Transfer!EF114)</f>
        <v>-9999</v>
      </c>
      <c r="AI114" s="1080">
        <f>CHOOSE(Tables!$U$2,Transfer!CG114,Transfer!CT114,Transfer!DG114,Transfer!DT114,Transfer!EG114)</f>
        <v>-9999</v>
      </c>
      <c r="AJ114" s="1080">
        <f>CHOOSE(Tables!$U$2,Transfer!CH114,Transfer!CU114,Transfer!DH114,Transfer!DU114,Transfer!EH114)</f>
        <v>-9999</v>
      </c>
      <c r="AK114" s="1080">
        <f>CHOOSE(Tables!$U$2,Transfer!CI114,Transfer!CV114,Transfer!DI114,Transfer!DV114,Transfer!EI114)</f>
        <v>-9999</v>
      </c>
      <c r="AL114" s="1080">
        <f>CHOOSE(Tables!$U$2,Transfer!CJ114,Transfer!CW114,Transfer!DJ114,Transfer!DW114,Transfer!EJ114)</f>
        <v>-9999</v>
      </c>
      <c r="AM114" s="1080">
        <f>CHOOSE(Tables!$U$2,Transfer!CK114,Transfer!CX114,Transfer!DK114,Transfer!DX114,Transfer!EK114)</f>
        <v>-9999</v>
      </c>
      <c r="AN114" s="1080">
        <f>CHOOSE(Tables!$U$2,Transfer!CL114,Transfer!CY114,Transfer!DL114,Transfer!DY114,Transfer!EL114)</f>
        <v>-9999</v>
      </c>
      <c r="AO114" s="1080">
        <f>CHOOSE(Tables!$U$2,Transfer!CM114,Transfer!CZ114,Transfer!DM114,Transfer!DZ114,Transfer!EM114)</f>
        <v>-9999</v>
      </c>
      <c r="AR114" s="22">
        <v>14</v>
      </c>
      <c r="AS114" s="30" t="s">
        <v>973</v>
      </c>
      <c r="AT114" s="25">
        <f t="shared" si="2"/>
        <v>0</v>
      </c>
      <c r="AU114" s="25">
        <f t="shared" si="2"/>
        <v>0</v>
      </c>
      <c r="AV114" s="25">
        <f t="shared" si="2"/>
        <v>0</v>
      </c>
      <c r="AW114" s="25">
        <f t="shared" si="2"/>
        <v>0</v>
      </c>
      <c r="AX114" s="25">
        <f t="shared" si="2"/>
        <v>0</v>
      </c>
      <c r="AY114" s="25">
        <f t="shared" si="2"/>
        <v>0</v>
      </c>
      <c r="AZ114" s="25">
        <f t="shared" si="2"/>
        <v>0</v>
      </c>
      <c r="BA114" s="25">
        <f t="shared" si="2"/>
        <v>0</v>
      </c>
      <c r="BB114" s="25">
        <f t="shared" si="2"/>
        <v>0</v>
      </c>
      <c r="BC114" s="25">
        <f t="shared" si="2"/>
        <v>0</v>
      </c>
      <c r="BD114" s="25">
        <f t="shared" si="2"/>
        <v>0</v>
      </c>
      <c r="BE114" s="25">
        <f t="shared" si="2"/>
        <v>0</v>
      </c>
      <c r="BF114" s="25">
        <f t="shared" si="2"/>
        <v>0</v>
      </c>
      <c r="CA114" s="16">
        <v>-9999</v>
      </c>
      <c r="CB114" s="16">
        <v>-9999</v>
      </c>
      <c r="CC114" s="16">
        <v>-9999</v>
      </c>
      <c r="CD114" s="16">
        <v>-9999</v>
      </c>
      <c r="CE114" s="16">
        <v>-9999</v>
      </c>
      <c r="CF114" s="16">
        <v>-9999</v>
      </c>
      <c r="CG114" s="16">
        <v>-9999</v>
      </c>
      <c r="CH114" s="16">
        <v>-9999</v>
      </c>
      <c r="CI114" s="16">
        <v>-9999</v>
      </c>
      <c r="CJ114" s="16">
        <v>-9999</v>
      </c>
      <c r="CK114" s="16">
        <v>-9999</v>
      </c>
      <c r="CL114" s="16">
        <v>-9999</v>
      </c>
      <c r="CM114" s="16">
        <v>-9999</v>
      </c>
      <c r="CN114" s="16">
        <v>-9999</v>
      </c>
      <c r="CO114" s="16">
        <v>-9999</v>
      </c>
      <c r="CP114" s="16">
        <v>-9999</v>
      </c>
      <c r="CQ114" s="16">
        <v>-9999</v>
      </c>
      <c r="CR114" s="16">
        <v>-9999</v>
      </c>
      <c r="CS114" s="16">
        <v>-9999</v>
      </c>
      <c r="CT114" s="16">
        <v>-9999</v>
      </c>
      <c r="CU114" s="16">
        <v>-9999</v>
      </c>
      <c r="CV114" s="16">
        <v>-9999</v>
      </c>
      <c r="CW114" s="16">
        <v>-9999</v>
      </c>
      <c r="CX114" s="16">
        <v>-9999</v>
      </c>
      <c r="CY114" s="16">
        <v>-9999</v>
      </c>
      <c r="CZ114" s="16">
        <v>-9999</v>
      </c>
      <c r="DA114" s="16">
        <v>-9999</v>
      </c>
      <c r="DB114" s="16">
        <v>-9999</v>
      </c>
      <c r="DC114" s="16">
        <v>-9999</v>
      </c>
      <c r="DD114" s="16">
        <v>-9999</v>
      </c>
      <c r="DE114" s="16">
        <v>-9999</v>
      </c>
      <c r="DF114" s="16">
        <v>-9999</v>
      </c>
      <c r="DG114" s="16">
        <v>-9999</v>
      </c>
      <c r="DH114" s="16">
        <v>-9999</v>
      </c>
      <c r="DI114" s="16">
        <v>-9999</v>
      </c>
      <c r="DJ114" s="16">
        <v>-9999</v>
      </c>
      <c r="DK114" s="16">
        <v>-9999</v>
      </c>
      <c r="DL114" s="16">
        <v>-9999</v>
      </c>
      <c r="DM114" s="16">
        <v>-9999</v>
      </c>
      <c r="DN114" s="16">
        <v>-9999</v>
      </c>
      <c r="DO114" s="16">
        <v>-9999</v>
      </c>
      <c r="DP114" s="16">
        <v>-9999</v>
      </c>
      <c r="DQ114" s="16">
        <v>-9999</v>
      </c>
      <c r="DR114" s="16">
        <v>-9999</v>
      </c>
      <c r="DS114" s="16">
        <v>-9999</v>
      </c>
      <c r="DT114" s="16">
        <v>-9999</v>
      </c>
      <c r="DU114" s="16">
        <v>-9999</v>
      </c>
      <c r="DV114" s="16">
        <v>-9999</v>
      </c>
      <c r="DW114" s="16">
        <v>-9999</v>
      </c>
      <c r="DX114" s="16">
        <v>-9999</v>
      </c>
      <c r="DY114" s="16">
        <v>-9999</v>
      </c>
      <c r="DZ114" s="16">
        <v>-9999</v>
      </c>
      <c r="EA114" s="2257">
        <v>-9999</v>
      </c>
      <c r="EB114" s="2257">
        <v>-9999</v>
      </c>
      <c r="EC114" s="2257">
        <v>-9999</v>
      </c>
      <c r="ED114" s="2257">
        <v>-9999</v>
      </c>
      <c r="EE114" s="2257">
        <v>-9999</v>
      </c>
      <c r="EF114" s="2257">
        <v>-9999</v>
      </c>
      <c r="EG114" s="2257">
        <v>-9999</v>
      </c>
      <c r="EH114" s="2257">
        <v>-9999</v>
      </c>
      <c r="EI114" s="2257">
        <v>-9999</v>
      </c>
      <c r="EJ114" s="2257">
        <v>-9999</v>
      </c>
      <c r="EK114" s="2257">
        <v>-9999</v>
      </c>
      <c r="EL114" s="2257">
        <v>-9999</v>
      </c>
      <c r="EM114" s="2257">
        <v>-9999</v>
      </c>
    </row>
    <row r="115" spans="1:143" ht="13.15">
      <c r="A115" s="22">
        <v>15</v>
      </c>
      <c r="B115" s="27" t="s">
        <v>1865</v>
      </c>
      <c r="C115" s="25">
        <v>-9999</v>
      </c>
      <c r="D115" s="1080">
        <f ca="1">OFFSET('Q1'!G6,0,(Last_forecast_year - 3-InputY!$G$3)*4+4)</f>
        <v>0.49077426875407948</v>
      </c>
      <c r="E115" s="1080">
        <f ca="1">OFFSET('Q1'!H6,0,(Last_forecast_year - 3-InputY!$G$3)*4+4)</f>
        <v>0.85425419505966715</v>
      </c>
      <c r="F115" s="1080">
        <f ca="1">OFFSET('Q1'!I6,0,(Last_forecast_year - 3-InputY!$G$3)*4+4)</f>
        <v>0.32</v>
      </c>
      <c r="G115" s="1080">
        <f ca="1">OFFSET('Q1'!J6,0,(Last_forecast_year - 3-InputY!$G$3)*4+4)</f>
        <v>0.66</v>
      </c>
      <c r="H115" s="1080">
        <f ca="1">OFFSET('Q1'!K6,0,(Last_forecast_year - 3-InputY!$G$3)*4+4)</f>
        <v>0.74</v>
      </c>
      <c r="I115" s="1080">
        <f ca="1">OFFSET('Q1'!L6,0,(Last_forecast_year - 3-InputY!$G$3)*4+4)</f>
        <v>0.52</v>
      </c>
      <c r="J115" s="1080">
        <f ca="1">OFFSET('Q1'!M6,0,(Last_forecast_year - 3-InputY!$G$3)*4+4)</f>
        <v>0.43</v>
      </c>
      <c r="K115" s="1080">
        <f ca="1">OFFSET('Q1'!N6,0,(Last_forecast_year - 3-InputY!$G$3)*4+4)</f>
        <v>0.35</v>
      </c>
      <c r="L115" s="1080">
        <f ca="1">OFFSET('Q1'!O6,0,(Last_forecast_year - 3-InputY!$G$3)*4+4)</f>
        <v>0.71</v>
      </c>
      <c r="M115" s="1080">
        <f ca="1">OFFSET('Q1'!P6,0,(Last_forecast_year - 3-InputY!$G$3)*4+4)</f>
        <v>0.53</v>
      </c>
      <c r="N115" s="1080">
        <f ca="1">OFFSET('Q1'!Q6,0,(Last_forecast_year - 3-InputY!$G$3)*4+4)</f>
        <v>0.55000000000000004</v>
      </c>
      <c r="O115" s="1080">
        <f ca="1">OFFSET('Q1'!R6,0,(Last_forecast_year - 3-InputY!$G$3)*4+4)</f>
        <v>0.39</v>
      </c>
      <c r="P115" s="26"/>
      <c r="Q115"/>
      <c r="AA115" s="22">
        <v>15</v>
      </c>
      <c r="AB115" s="1080" t="str">
        <f t="shared" si="3"/>
        <v>QUART. VOL. PRIV. CONS. EXP. (cols 2-13)</v>
      </c>
      <c r="AC115" s="1080">
        <f>CHOOSE(Tables!$U$2,Transfer!CA115,Transfer!CN115,Transfer!DA115,Transfer!DN115,Transfer!EA115)</f>
        <v>-9999</v>
      </c>
      <c r="AD115" s="1080">
        <f>CHOOSE(Tables!$U$2,Transfer!CB115,Transfer!CO115,Transfer!DB115,Transfer!DO115,Transfer!EB115)</f>
        <v>0.84027165692830419</v>
      </c>
      <c r="AE115" s="1080">
        <f>CHOOSE(Tables!$U$2,Transfer!CC115,Transfer!CP115,Transfer!DC115,Transfer!DP115,Transfer!EC115)</f>
        <v>0.69009418948708934</v>
      </c>
      <c r="AF115" s="1080">
        <f>CHOOSE(Tables!$U$2,Transfer!CD115,Transfer!CQ115,Transfer!DD115,Transfer!DQ115,Transfer!ED115)</f>
        <v>0.46949715951665194</v>
      </c>
      <c r="AG115" s="1080">
        <f>CHOOSE(Tables!$U$2,Transfer!CE115,Transfer!CR115,Transfer!DE115,Transfer!DR115,Transfer!EE115)</f>
        <v>0.61340958437643422</v>
      </c>
      <c r="AH115" s="1080">
        <f>CHOOSE(Tables!$U$2,Transfer!CF115,Transfer!CS115,Transfer!DF115,Transfer!DS115,Transfer!EF115)</f>
        <v>0.45</v>
      </c>
      <c r="AI115" s="1080">
        <f>CHOOSE(Tables!$U$2,Transfer!CG115,Transfer!CT115,Transfer!DG115,Transfer!DT115,Transfer!EG115)</f>
        <v>0.65</v>
      </c>
      <c r="AJ115" s="1080">
        <f>CHOOSE(Tables!$U$2,Transfer!CH115,Transfer!CU115,Transfer!DH115,Transfer!DU115,Transfer!EH115)</f>
        <v>0.61</v>
      </c>
      <c r="AK115" s="1080">
        <f>CHOOSE(Tables!$U$2,Transfer!CI115,Transfer!CV115,Transfer!DI115,Transfer!DV115,Transfer!EI115)</f>
        <v>0.53</v>
      </c>
      <c r="AL115" s="1080">
        <f>CHOOSE(Tables!$U$2,Transfer!CJ115,Transfer!CW115,Transfer!DJ115,Transfer!DW115,Transfer!EJ115)</f>
        <v>0.6</v>
      </c>
      <c r="AM115" s="1080">
        <f>CHOOSE(Tables!$U$2,Transfer!CK115,Transfer!CX115,Transfer!DK115,Transfer!DX115,Transfer!EK115)</f>
        <v>0.55000000000000004</v>
      </c>
      <c r="AN115" s="1080">
        <f>CHOOSE(Tables!$U$2,Transfer!CL115,Transfer!CY115,Transfer!DL115,Transfer!DY115,Transfer!EL115)</f>
        <v>0.48</v>
      </c>
      <c r="AO115" s="1080">
        <f>CHOOSE(Tables!$U$2,Transfer!CM115,Transfer!CZ115,Transfer!DM115,Transfer!DZ115,Transfer!EM115)</f>
        <v>0.39</v>
      </c>
      <c r="AR115" s="22">
        <v>15</v>
      </c>
      <c r="AS115" s="27" t="s">
        <v>1865</v>
      </c>
      <c r="AT115" s="25">
        <f t="shared" si="2"/>
        <v>0</v>
      </c>
      <c r="AU115" s="1080">
        <f t="shared" ca="1" si="2"/>
        <v>-0.34949738817422471</v>
      </c>
      <c r="AV115" s="1080">
        <f t="shared" ca="1" si="2"/>
        <v>0.16416000557257782</v>
      </c>
      <c r="AW115" s="1080">
        <f t="shared" ca="1" si="2"/>
        <v>-0.14949715951665193</v>
      </c>
      <c r="AX115" s="1080">
        <f t="shared" ca="1" si="2"/>
        <v>4.6590415623565806E-2</v>
      </c>
      <c r="AY115" s="1080">
        <f t="shared" ca="1" si="2"/>
        <v>0.28999999999999998</v>
      </c>
      <c r="AZ115" s="1080">
        <f t="shared" ca="1" si="2"/>
        <v>-0.13</v>
      </c>
      <c r="BA115" s="1080">
        <f t="shared" ca="1" si="2"/>
        <v>-0.18</v>
      </c>
      <c r="BB115" s="1080">
        <f t="shared" ca="1" si="2"/>
        <v>-0.18000000000000005</v>
      </c>
      <c r="BC115" s="1080">
        <f t="shared" ca="1" si="2"/>
        <v>0.10999999999999999</v>
      </c>
      <c r="BD115" s="1080">
        <f t="shared" ca="1" si="2"/>
        <v>-2.0000000000000018E-2</v>
      </c>
      <c r="BE115" s="1080">
        <f t="shared" ca="1" si="2"/>
        <v>7.0000000000000062E-2</v>
      </c>
      <c r="BF115" s="1080">
        <f t="shared" ca="1" si="2"/>
        <v>0</v>
      </c>
      <c r="CA115" s="16">
        <v>-9999</v>
      </c>
      <c r="CB115" s="16">
        <v>0.49077426875407948</v>
      </c>
      <c r="CC115" s="16">
        <v>0.85425419505966715</v>
      </c>
      <c r="CD115" s="16">
        <v>0.32</v>
      </c>
      <c r="CE115" s="16">
        <v>0.66</v>
      </c>
      <c r="CF115" s="16">
        <v>0.74</v>
      </c>
      <c r="CG115" s="16">
        <v>0.52</v>
      </c>
      <c r="CH115" s="16">
        <v>0.43</v>
      </c>
      <c r="CI115" s="16">
        <v>0.35</v>
      </c>
      <c r="CJ115" s="16">
        <v>0.71</v>
      </c>
      <c r="CK115" s="16">
        <v>0.53</v>
      </c>
      <c r="CL115" s="16">
        <v>0.55000000000000004</v>
      </c>
      <c r="CM115" s="16">
        <v>0.39</v>
      </c>
      <c r="CN115" s="16">
        <v>-9999</v>
      </c>
      <c r="CO115" s="16">
        <v>0.84027165692830419</v>
      </c>
      <c r="CP115" s="16">
        <v>0.69009418948708934</v>
      </c>
      <c r="CQ115" s="16">
        <v>0.46949715951665194</v>
      </c>
      <c r="CR115" s="16">
        <v>0.61340958437643422</v>
      </c>
      <c r="CS115" s="16">
        <v>0.45</v>
      </c>
      <c r="CT115" s="16">
        <v>0.65</v>
      </c>
      <c r="CU115" s="16">
        <v>0.61</v>
      </c>
      <c r="CV115" s="16">
        <v>0.53</v>
      </c>
      <c r="CW115" s="16">
        <v>0.6</v>
      </c>
      <c r="CX115" s="16">
        <v>0.55000000000000004</v>
      </c>
      <c r="CY115" s="16">
        <v>0.48</v>
      </c>
      <c r="CZ115" s="16">
        <v>0.39</v>
      </c>
      <c r="DA115" s="16">
        <v>-9999</v>
      </c>
      <c r="DB115" s="16">
        <v>0.49077426875407948</v>
      </c>
      <c r="DC115" s="16">
        <v>0.85425419505966715</v>
      </c>
      <c r="DD115" s="16">
        <v>0.32</v>
      </c>
      <c r="DE115" s="16">
        <v>0.66</v>
      </c>
      <c r="DF115" s="16">
        <v>0.74</v>
      </c>
      <c r="DG115" s="16">
        <v>0.52</v>
      </c>
      <c r="DH115" s="16">
        <v>0.43</v>
      </c>
      <c r="DI115" s="16">
        <v>0.35</v>
      </c>
      <c r="DJ115" s="16">
        <v>0.71</v>
      </c>
      <c r="DK115" s="16">
        <v>0.53</v>
      </c>
      <c r="DL115" s="16">
        <v>0.44</v>
      </c>
      <c r="DM115" s="16">
        <v>0.39</v>
      </c>
      <c r="DN115" s="16">
        <v>-9999</v>
      </c>
      <c r="DO115" s="16">
        <v>0.49077426875407948</v>
      </c>
      <c r="DP115" s="16">
        <v>0.85425419505966715</v>
      </c>
      <c r="DQ115" s="16">
        <v>0.62</v>
      </c>
      <c r="DR115" s="16">
        <v>0.66</v>
      </c>
      <c r="DS115" s="16">
        <v>0.61</v>
      </c>
      <c r="DT115" s="16">
        <v>0.49</v>
      </c>
      <c r="DU115" s="16">
        <v>0.43</v>
      </c>
      <c r="DV115" s="16">
        <v>0.35</v>
      </c>
      <c r="DW115" s="16">
        <v>0.72</v>
      </c>
      <c r="DX115" s="16">
        <v>0.53</v>
      </c>
      <c r="DY115" s="16">
        <v>0.44</v>
      </c>
      <c r="DZ115" s="16">
        <v>0.39</v>
      </c>
      <c r="EA115" s="2257">
        <v>-9999</v>
      </c>
      <c r="EB115" s="2256">
        <v>0.49077426875407948</v>
      </c>
      <c r="EC115" s="2256">
        <v>0.85425419505966715</v>
      </c>
      <c r="ED115" s="2256">
        <v>0.32</v>
      </c>
      <c r="EE115" s="2256">
        <v>0.66</v>
      </c>
      <c r="EF115" s="2256">
        <v>0.74</v>
      </c>
      <c r="EG115" s="2256">
        <v>0.52</v>
      </c>
      <c r="EH115" s="2256">
        <v>0.43</v>
      </c>
      <c r="EI115" s="2256">
        <v>0.35</v>
      </c>
      <c r="EJ115" s="2256">
        <v>0.71</v>
      </c>
      <c r="EK115" s="2256">
        <v>0.53</v>
      </c>
      <c r="EL115" s="2256">
        <v>0.55000000000000004</v>
      </c>
      <c r="EM115" s="2256">
        <v>0.39</v>
      </c>
    </row>
    <row r="116" spans="1:143" ht="13.15">
      <c r="A116" s="22">
        <v>16</v>
      </c>
      <c r="B116" s="27" t="s">
        <v>1877</v>
      </c>
      <c r="C116" s="25">
        <v>-9999</v>
      </c>
      <c r="D116" s="1080">
        <f ca="1">OFFSET('Q1'!G7,0,(Last_forecast_year - 3-InputY!$G$3)*4+4)</f>
        <v>0.18852218590648118</v>
      </c>
      <c r="E116" s="1080">
        <f ca="1">OFFSET('Q1'!H7,0,(Last_forecast_year - 3-InputY!$G$3)*4+4)</f>
        <v>0.31118609032760869</v>
      </c>
      <c r="F116" s="1080">
        <f ca="1">OFFSET('Q1'!I7,0,(Last_forecast_year - 3-InputY!$G$3)*4+4)</f>
        <v>0.32</v>
      </c>
      <c r="G116" s="1080">
        <f ca="1">OFFSET('Q1'!J7,0,(Last_forecast_year - 3-InputY!$G$3)*4+4)</f>
        <v>0.19</v>
      </c>
      <c r="H116" s="1080">
        <f ca="1">OFFSET('Q1'!K7,0,(Last_forecast_year - 3-InputY!$G$3)*4+4)</f>
        <v>0.38</v>
      </c>
      <c r="I116" s="1080">
        <f ca="1">OFFSET('Q1'!L7,0,(Last_forecast_year - 3-InputY!$G$3)*4+4)</f>
        <v>0.11</v>
      </c>
      <c r="J116" s="1080">
        <f ca="1">OFFSET('Q1'!M7,0,(Last_forecast_year - 3-InputY!$G$3)*4+4)</f>
        <v>0.08</v>
      </c>
      <c r="K116" s="1080">
        <f ca="1">OFFSET('Q1'!N7,0,(Last_forecast_year - 3-InputY!$G$3)*4+4)</f>
        <v>0.05</v>
      </c>
      <c r="L116" s="1080">
        <f ca="1">OFFSET('Q1'!O7,0,(Last_forecast_year - 3-InputY!$G$3)*4+4)</f>
        <v>0.42</v>
      </c>
      <c r="M116" s="1080">
        <f ca="1">OFFSET('Q1'!P7,0,(Last_forecast_year - 3-InputY!$G$3)*4+4)</f>
        <v>0.3</v>
      </c>
      <c r="N116" s="1080">
        <f ca="1">OFFSET('Q1'!Q7,0,(Last_forecast_year - 3-InputY!$G$3)*4+4)</f>
        <v>0.26</v>
      </c>
      <c r="O116" s="1080">
        <f ca="1">OFFSET('Q1'!R7,0,(Last_forecast_year - 3-InputY!$G$3)*4+4)</f>
        <v>0.19</v>
      </c>
      <c r="P116" s="26"/>
      <c r="Q116"/>
      <c r="AA116" s="22">
        <v>16</v>
      </c>
      <c r="AB116" s="1080" t="str">
        <f t="shared" si="3"/>
        <v>QUART. VOL. GVMNT CONS. EXP. (cols 2-13)</v>
      </c>
      <c r="AC116" s="1080">
        <f>CHOOSE(Tables!$U$2,Transfer!CA116,Transfer!CN116,Transfer!DA116,Transfer!DN116,Transfer!EA116)</f>
        <v>-9999</v>
      </c>
      <c r="AD116" s="1080">
        <f>CHOOSE(Tables!$U$2,Transfer!CB116,Transfer!CO116,Transfer!DB116,Transfer!DO116,Transfer!EB116)</f>
        <v>0.13681698586549551</v>
      </c>
      <c r="AE116" s="1080">
        <f>CHOOSE(Tables!$U$2,Transfer!CC116,Transfer!CP116,Transfer!DC116,Transfer!DP116,Transfer!EC116)</f>
        <v>0.26873835955947278</v>
      </c>
      <c r="AF116" s="1080">
        <f>CHOOSE(Tables!$U$2,Transfer!CD116,Transfer!CQ116,Transfer!DD116,Transfer!DQ116,Transfer!ED116)</f>
        <v>0.47257639043778443</v>
      </c>
      <c r="AG116" s="1080">
        <f>CHOOSE(Tables!$U$2,Transfer!CE116,Transfer!CR116,Transfer!DE116,Transfer!DR116,Transfer!EE116)</f>
        <v>0.21257298224488519</v>
      </c>
      <c r="AH116" s="1080">
        <f>CHOOSE(Tables!$U$2,Transfer!CF116,Transfer!CS116,Transfer!DF116,Transfer!DS116,Transfer!EF116)</f>
        <v>0.49</v>
      </c>
      <c r="AI116" s="1080">
        <f>CHOOSE(Tables!$U$2,Transfer!CG116,Transfer!CT116,Transfer!DG116,Transfer!DT116,Transfer!EG116)</f>
        <v>0.33</v>
      </c>
      <c r="AJ116" s="1080">
        <f>CHOOSE(Tables!$U$2,Transfer!CH116,Transfer!CU116,Transfer!DH116,Transfer!DU116,Transfer!EH116)</f>
        <v>0.19</v>
      </c>
      <c r="AK116" s="1080">
        <f>CHOOSE(Tables!$U$2,Transfer!CI116,Transfer!CV116,Transfer!DI116,Transfer!DV116,Transfer!EI116)</f>
        <v>0.21</v>
      </c>
      <c r="AL116" s="1080">
        <f>CHOOSE(Tables!$U$2,Transfer!CJ116,Transfer!CW116,Transfer!DJ116,Transfer!DW116,Transfer!EJ116)</f>
        <v>0.38</v>
      </c>
      <c r="AM116" s="1080">
        <f>CHOOSE(Tables!$U$2,Transfer!CK116,Transfer!CX116,Transfer!DK116,Transfer!DX116,Transfer!EK116)</f>
        <v>0.11</v>
      </c>
      <c r="AN116" s="1080">
        <f>CHOOSE(Tables!$U$2,Transfer!CL116,Transfer!CY116,Transfer!DL116,Transfer!DY116,Transfer!EL116)</f>
        <v>0.05</v>
      </c>
      <c r="AO116" s="1080">
        <f>CHOOSE(Tables!$U$2,Transfer!CM116,Transfer!CZ116,Transfer!DM116,Transfer!DZ116,Transfer!EM116)</f>
        <v>0.01</v>
      </c>
      <c r="AR116" s="22">
        <v>16</v>
      </c>
      <c r="AS116" s="27" t="s">
        <v>1877</v>
      </c>
      <c r="AT116" s="25">
        <f t="shared" si="2"/>
        <v>0</v>
      </c>
      <c r="AU116" s="1080">
        <f t="shared" ca="1" si="2"/>
        <v>5.1705200040985666E-2</v>
      </c>
      <c r="AV116" s="1080">
        <f t="shared" ca="1" si="2"/>
        <v>4.2447730768135905E-2</v>
      </c>
      <c r="AW116" s="1080">
        <f t="shared" ca="1" si="2"/>
        <v>-0.15257639043778443</v>
      </c>
      <c r="AX116" s="1080">
        <f t="shared" ca="1" si="2"/>
        <v>-2.2572982244885187E-2</v>
      </c>
      <c r="AY116" s="1080">
        <f t="shared" ca="1" si="2"/>
        <v>-0.10999999999999999</v>
      </c>
      <c r="AZ116" s="1080">
        <f t="shared" ca="1" si="2"/>
        <v>-0.22000000000000003</v>
      </c>
      <c r="BA116" s="1080">
        <f t="shared" ca="1" si="2"/>
        <v>-0.11</v>
      </c>
      <c r="BB116" s="1080">
        <f t="shared" ca="1" si="2"/>
        <v>-0.15999999999999998</v>
      </c>
      <c r="BC116" s="1080">
        <f t="shared" ca="1" si="2"/>
        <v>3.999999999999998E-2</v>
      </c>
      <c r="BD116" s="1080">
        <f t="shared" ca="1" si="2"/>
        <v>0.19</v>
      </c>
      <c r="BE116" s="1080">
        <f t="shared" ca="1" si="2"/>
        <v>0.21000000000000002</v>
      </c>
      <c r="BF116" s="1080">
        <f t="shared" ca="1" si="2"/>
        <v>0.18</v>
      </c>
      <c r="CA116" s="16">
        <v>-9999</v>
      </c>
      <c r="CB116" s="16">
        <v>0.18852218590648118</v>
      </c>
      <c r="CC116" s="16">
        <v>0.31118609032760869</v>
      </c>
      <c r="CD116" s="16">
        <v>0.32</v>
      </c>
      <c r="CE116" s="16">
        <v>0.19</v>
      </c>
      <c r="CF116" s="16">
        <v>0.38</v>
      </c>
      <c r="CG116" s="16">
        <v>0.11</v>
      </c>
      <c r="CH116" s="16">
        <v>0.08</v>
      </c>
      <c r="CI116" s="16">
        <v>0.05</v>
      </c>
      <c r="CJ116" s="16">
        <v>0.42</v>
      </c>
      <c r="CK116" s="16">
        <v>0.3</v>
      </c>
      <c r="CL116" s="16">
        <v>0.26</v>
      </c>
      <c r="CM116" s="16">
        <v>0.19</v>
      </c>
      <c r="CN116" s="16">
        <v>-9999</v>
      </c>
      <c r="CO116" s="16">
        <v>0.13681698586549551</v>
      </c>
      <c r="CP116" s="16">
        <v>0.26873835955947278</v>
      </c>
      <c r="CQ116" s="16">
        <v>0.47257639043778443</v>
      </c>
      <c r="CR116" s="16">
        <v>0.21257298224488519</v>
      </c>
      <c r="CS116" s="16">
        <v>0.49</v>
      </c>
      <c r="CT116" s="16">
        <v>0.33</v>
      </c>
      <c r="CU116" s="16">
        <v>0.19</v>
      </c>
      <c r="CV116" s="16">
        <v>0.21</v>
      </c>
      <c r="CW116" s="16">
        <v>0.38</v>
      </c>
      <c r="CX116" s="16">
        <v>0.11</v>
      </c>
      <c r="CY116" s="16">
        <v>0.05</v>
      </c>
      <c r="CZ116" s="16">
        <v>0.01</v>
      </c>
      <c r="DA116" s="16">
        <v>-9999</v>
      </c>
      <c r="DB116" s="16">
        <v>0.18852218590648118</v>
      </c>
      <c r="DC116" s="16">
        <v>0.31118609032760869</v>
      </c>
      <c r="DD116" s="16">
        <v>0.32</v>
      </c>
      <c r="DE116" s="16">
        <v>0.19</v>
      </c>
      <c r="DF116" s="16">
        <v>0.38</v>
      </c>
      <c r="DG116" s="16">
        <v>0.11</v>
      </c>
      <c r="DH116" s="16">
        <v>0.08</v>
      </c>
      <c r="DI116" s="16">
        <v>0.05</v>
      </c>
      <c r="DJ116" s="16">
        <v>0.42</v>
      </c>
      <c r="DK116" s="16">
        <v>0.3</v>
      </c>
      <c r="DL116" s="16">
        <v>0.26</v>
      </c>
      <c r="DM116" s="16">
        <v>0.19</v>
      </c>
      <c r="DN116" s="16">
        <v>-9999</v>
      </c>
      <c r="DO116" s="16">
        <v>0.18852218590648118</v>
      </c>
      <c r="DP116" s="16">
        <v>0.31118609032760869</v>
      </c>
      <c r="DQ116" s="16">
        <v>0.32</v>
      </c>
      <c r="DR116" s="16">
        <v>0.19</v>
      </c>
      <c r="DS116" s="16">
        <v>0.38</v>
      </c>
      <c r="DT116" s="16">
        <v>0.11</v>
      </c>
      <c r="DU116" s="16">
        <v>0.08</v>
      </c>
      <c r="DV116" s="16">
        <v>0.05</v>
      </c>
      <c r="DW116" s="16">
        <v>0.42</v>
      </c>
      <c r="DX116" s="16">
        <v>0.3</v>
      </c>
      <c r="DY116" s="16">
        <v>0.26</v>
      </c>
      <c r="DZ116" s="16">
        <v>0.19</v>
      </c>
      <c r="EA116" s="2257">
        <v>-9999</v>
      </c>
      <c r="EB116" s="2256">
        <v>0.18852218590648118</v>
      </c>
      <c r="EC116" s="2256">
        <v>0.31118609032760869</v>
      </c>
      <c r="ED116" s="2256">
        <v>0.32</v>
      </c>
      <c r="EE116" s="2256">
        <v>0.19</v>
      </c>
      <c r="EF116" s="2256">
        <v>0.38</v>
      </c>
      <c r="EG116" s="2256">
        <v>0.11</v>
      </c>
      <c r="EH116" s="2256">
        <v>0.08</v>
      </c>
      <c r="EI116" s="2256">
        <v>0.05</v>
      </c>
      <c r="EJ116" s="2256">
        <v>0.42</v>
      </c>
      <c r="EK116" s="2256">
        <v>0.3</v>
      </c>
      <c r="EL116" s="2256">
        <v>0.26</v>
      </c>
      <c r="EM116" s="2256">
        <v>0.19</v>
      </c>
    </row>
    <row r="117" spans="1:143" ht="13.15">
      <c r="A117" s="22">
        <v>17</v>
      </c>
      <c r="B117" s="31" t="s">
        <v>1897</v>
      </c>
      <c r="C117" s="25">
        <v>-9999</v>
      </c>
      <c r="D117" s="1080">
        <f ca="1">OFFSET('Q1'!G8,0,(Last_forecast_year - 3-InputY!$G$3)*4+4)</f>
        <v>2.4601178204925356</v>
      </c>
      <c r="E117" s="1080">
        <f ca="1">OFFSET('Q1'!H8,0,(Last_forecast_year - 3-InputY!$G$3)*4+4)</f>
        <v>-0.51308796836075921</v>
      </c>
      <c r="F117" s="1080">
        <f ca="1">OFFSET('Q1'!I8,0,(Last_forecast_year - 3-InputY!$G$3)*4+4)</f>
        <v>0.5</v>
      </c>
      <c r="G117" s="1080">
        <f ca="1">OFFSET('Q1'!J8,0,(Last_forecast_year - 3-InputY!$G$3)*4+4)</f>
        <v>0.41</v>
      </c>
      <c r="H117" s="1080">
        <f ca="1">OFFSET('Q1'!K8,0,(Last_forecast_year - 3-InputY!$G$3)*4+4)</f>
        <v>0.71</v>
      </c>
      <c r="I117" s="1080">
        <f ca="1">OFFSET('Q1'!L8,0,(Last_forecast_year - 3-InputY!$G$3)*4+4)</f>
        <v>0.63</v>
      </c>
      <c r="J117" s="1080">
        <f ca="1">OFFSET('Q1'!M8,0,(Last_forecast_year - 3-InputY!$G$3)*4+4)</f>
        <v>0.52</v>
      </c>
      <c r="K117" s="1080">
        <f ca="1">OFFSET('Q1'!N8,0,(Last_forecast_year - 3-InputY!$G$3)*4+4)</f>
        <v>0.48</v>
      </c>
      <c r="L117" s="1080">
        <f ca="1">OFFSET('Q1'!O8,0,(Last_forecast_year - 3-InputY!$G$3)*4+4)</f>
        <v>0.55000000000000004</v>
      </c>
      <c r="M117" s="1080">
        <f ca="1">OFFSET('Q1'!P8,0,(Last_forecast_year - 3-InputY!$G$3)*4+4)</f>
        <v>0.65</v>
      </c>
      <c r="N117" s="1080">
        <f ca="1">OFFSET('Q1'!Q8,0,(Last_forecast_year - 3-InputY!$G$3)*4+4)</f>
        <v>0.42</v>
      </c>
      <c r="O117" s="1080">
        <f ca="1">OFFSET('Q1'!R8,0,(Last_forecast_year - 3-InputY!$G$3)*4+4)</f>
        <v>0.35</v>
      </c>
      <c r="P117" s="26"/>
      <c r="Q117"/>
      <c r="AA117" s="22">
        <v>17</v>
      </c>
      <c r="AB117" s="1080" t="str">
        <f t="shared" si="3"/>
        <v>QUART. VOL. G.F.C.F. TOTAL (cols 2-13)</v>
      </c>
      <c r="AC117" s="1080">
        <f>CHOOSE(Tables!$U$2,Transfer!CA117,Transfer!CN117,Transfer!DA117,Transfer!DN117,Transfer!EA117)</f>
        <v>-9999</v>
      </c>
      <c r="AD117" s="1080">
        <f>CHOOSE(Tables!$U$2,Transfer!CB117,Transfer!CO117,Transfer!DB117,Transfer!DO117,Transfer!EB117)</f>
        <v>2.4570124945329397</v>
      </c>
      <c r="AE117" s="1080">
        <f>CHOOSE(Tables!$U$2,Transfer!CC117,Transfer!CP117,Transfer!DC117,Transfer!DP117,Transfer!EC117)</f>
        <v>1.3182738247414783</v>
      </c>
      <c r="AF117" s="1080">
        <f>CHOOSE(Tables!$U$2,Transfer!CD117,Transfer!CQ117,Transfer!DD117,Transfer!DQ117,Transfer!ED117)</f>
        <v>3.8482298875586851</v>
      </c>
      <c r="AG117" s="1080">
        <f>CHOOSE(Tables!$U$2,Transfer!CE117,Transfer!CR117,Transfer!DE117,Transfer!DR117,Transfer!EE117)</f>
        <v>-1.3247604289077675</v>
      </c>
      <c r="AH117" s="1080">
        <f>CHOOSE(Tables!$U$2,Transfer!CF117,Transfer!CS117,Transfer!DF117,Transfer!DS117,Transfer!EF117)</f>
        <v>1.23</v>
      </c>
      <c r="AI117" s="1080">
        <f>CHOOSE(Tables!$U$2,Transfer!CG117,Transfer!CT117,Transfer!DG117,Transfer!DT117,Transfer!EG117)</f>
        <v>0.88</v>
      </c>
      <c r="AJ117" s="1080">
        <f>CHOOSE(Tables!$U$2,Transfer!CH117,Transfer!CU117,Transfer!DH117,Transfer!DU117,Transfer!EH117)</f>
        <v>0.73</v>
      </c>
      <c r="AK117" s="1080">
        <f>CHOOSE(Tables!$U$2,Transfer!CI117,Transfer!CV117,Transfer!DI117,Transfer!DV117,Transfer!EI117)</f>
        <v>0.66</v>
      </c>
      <c r="AL117" s="1080">
        <f>CHOOSE(Tables!$U$2,Transfer!CJ117,Transfer!CW117,Transfer!DJ117,Transfer!DW117,Transfer!EJ117)</f>
        <v>0.49</v>
      </c>
      <c r="AM117" s="1080">
        <f>CHOOSE(Tables!$U$2,Transfer!CK117,Transfer!CX117,Transfer!DK117,Transfer!DX117,Transfer!EK117)</f>
        <v>0.33</v>
      </c>
      <c r="AN117" s="1080">
        <f>CHOOSE(Tables!$U$2,Transfer!CL117,Transfer!CY117,Transfer!DL117,Transfer!DY117,Transfer!EL117)</f>
        <v>0.18</v>
      </c>
      <c r="AO117" s="1080">
        <f>CHOOSE(Tables!$U$2,Transfer!CM117,Transfer!CZ117,Transfer!DM117,Transfer!DZ117,Transfer!EM117)</f>
        <v>0.06</v>
      </c>
      <c r="AR117" s="22">
        <v>17</v>
      </c>
      <c r="AS117" s="31" t="s">
        <v>1897</v>
      </c>
      <c r="AT117" s="25">
        <f t="shared" si="2"/>
        <v>0</v>
      </c>
      <c r="AU117" s="1080">
        <f t="shared" ca="1" si="2"/>
        <v>3.1053259595958949E-3</v>
      </c>
      <c r="AV117" s="1080">
        <f t="shared" ca="1" si="2"/>
        <v>-1.8313617931022375</v>
      </c>
      <c r="AW117" s="1080">
        <f t="shared" ca="1" si="2"/>
        <v>-3.3482298875586851</v>
      </c>
      <c r="AX117" s="1080">
        <f t="shared" ca="1" si="2"/>
        <v>1.7347604289077674</v>
      </c>
      <c r="AY117" s="1080">
        <f t="shared" ca="1" si="2"/>
        <v>-0.52</v>
      </c>
      <c r="AZ117" s="1080">
        <f t="shared" ca="1" si="2"/>
        <v>-0.25</v>
      </c>
      <c r="BA117" s="1080">
        <f t="shared" ca="1" si="2"/>
        <v>-0.20999999999999996</v>
      </c>
      <c r="BB117" s="1080">
        <f t="shared" ca="1" si="2"/>
        <v>-0.18000000000000005</v>
      </c>
      <c r="BC117" s="1080">
        <f t="shared" ca="1" si="2"/>
        <v>6.0000000000000053E-2</v>
      </c>
      <c r="BD117" s="1080">
        <f t="shared" ca="1" si="2"/>
        <v>0.32</v>
      </c>
      <c r="BE117" s="1080">
        <f t="shared" ca="1" si="2"/>
        <v>0.24</v>
      </c>
      <c r="BF117" s="1080">
        <f t="shared" ca="1" si="2"/>
        <v>0.28999999999999998</v>
      </c>
      <c r="CA117" s="16">
        <v>-9999</v>
      </c>
      <c r="CB117" s="16">
        <v>2.4601178204925356</v>
      </c>
      <c r="CC117" s="16">
        <v>-0.51308796836075921</v>
      </c>
      <c r="CD117" s="16">
        <v>0.5</v>
      </c>
      <c r="CE117" s="16">
        <v>0.41</v>
      </c>
      <c r="CF117" s="16">
        <v>0.71</v>
      </c>
      <c r="CG117" s="16">
        <v>0.63</v>
      </c>
      <c r="CH117" s="16">
        <v>0.52</v>
      </c>
      <c r="CI117" s="16">
        <v>0.48</v>
      </c>
      <c r="CJ117" s="16">
        <v>0.55000000000000004</v>
      </c>
      <c r="CK117" s="16">
        <v>0.65</v>
      </c>
      <c r="CL117" s="16">
        <v>0.42</v>
      </c>
      <c r="CM117" s="16">
        <v>0.35</v>
      </c>
      <c r="CN117" s="16">
        <v>-9999</v>
      </c>
      <c r="CO117" s="16">
        <v>2.4570124945329397</v>
      </c>
      <c r="CP117" s="16">
        <v>1.3182738247414783</v>
      </c>
      <c r="CQ117" s="16">
        <v>3.8482298875586851</v>
      </c>
      <c r="CR117" s="16">
        <v>-1.3247604289077675</v>
      </c>
      <c r="CS117" s="16">
        <v>1.23</v>
      </c>
      <c r="CT117" s="16">
        <v>0.88</v>
      </c>
      <c r="CU117" s="16">
        <v>0.73</v>
      </c>
      <c r="CV117" s="16">
        <v>0.66</v>
      </c>
      <c r="CW117" s="16">
        <v>0.49</v>
      </c>
      <c r="CX117" s="16">
        <v>0.33</v>
      </c>
      <c r="CY117" s="16">
        <v>0.18</v>
      </c>
      <c r="CZ117" s="16">
        <v>0.06</v>
      </c>
      <c r="DA117" s="16">
        <v>-9999</v>
      </c>
      <c r="DB117" s="16">
        <v>2.4601178204925356</v>
      </c>
      <c r="DC117" s="16">
        <v>-0.51308796836075921</v>
      </c>
      <c r="DD117" s="16">
        <v>0.5</v>
      </c>
      <c r="DE117" s="16">
        <v>0.41</v>
      </c>
      <c r="DF117" s="16">
        <v>0.78</v>
      </c>
      <c r="DG117" s="16">
        <v>0.72</v>
      </c>
      <c r="DH117" s="16">
        <v>0.65</v>
      </c>
      <c r="DI117" s="16">
        <v>0.65</v>
      </c>
      <c r="DJ117" s="16">
        <v>0.55000000000000004</v>
      </c>
      <c r="DK117" s="16">
        <v>0.49</v>
      </c>
      <c r="DL117" s="16">
        <v>0.42</v>
      </c>
      <c r="DM117" s="16">
        <v>0.35</v>
      </c>
      <c r="DN117" s="16">
        <v>-9999</v>
      </c>
      <c r="DO117" s="16">
        <v>2.4601178204925356</v>
      </c>
      <c r="DP117" s="16">
        <v>-0.51308796836075921</v>
      </c>
      <c r="DQ117" s="16">
        <v>0.5</v>
      </c>
      <c r="DR117" s="16">
        <v>0.41</v>
      </c>
      <c r="DS117" s="16">
        <v>0.8</v>
      </c>
      <c r="DT117" s="16">
        <v>0.72</v>
      </c>
      <c r="DU117" s="16">
        <v>0.65</v>
      </c>
      <c r="DV117" s="16">
        <v>0.65</v>
      </c>
      <c r="DW117" s="16">
        <v>0.55000000000000004</v>
      </c>
      <c r="DX117" s="16">
        <v>0.49</v>
      </c>
      <c r="DY117" s="16">
        <v>0.42</v>
      </c>
      <c r="DZ117" s="16">
        <v>0.41</v>
      </c>
      <c r="EA117" s="2257">
        <v>-9999</v>
      </c>
      <c r="EB117" s="2256">
        <v>2.4601178204925356</v>
      </c>
      <c r="EC117" s="2256">
        <v>-0.51308796836075921</v>
      </c>
      <c r="ED117" s="2256">
        <v>0.5</v>
      </c>
      <c r="EE117" s="2256">
        <v>0.41</v>
      </c>
      <c r="EF117" s="2256">
        <v>0.71</v>
      </c>
      <c r="EG117" s="2256">
        <v>0.63</v>
      </c>
      <c r="EH117" s="2256">
        <v>0.52</v>
      </c>
      <c r="EI117" s="2256">
        <v>0.48</v>
      </c>
      <c r="EJ117" s="2256">
        <v>0.55000000000000004</v>
      </c>
      <c r="EK117" s="2256">
        <v>0.65</v>
      </c>
      <c r="EL117" s="2256">
        <v>0.42</v>
      </c>
      <c r="EM117" s="2256">
        <v>0.35</v>
      </c>
    </row>
    <row r="118" spans="1:143" ht="13.15">
      <c r="A118" s="22">
        <v>18</v>
      </c>
      <c r="B118" s="31" t="s">
        <v>1898</v>
      </c>
      <c r="C118" s="25">
        <v>-9999</v>
      </c>
      <c r="D118" s="1080">
        <f ca="1">OFFSET('Q1'!G9,0,(Last_forecast_year - 3-InputY!$G$3)*4+4)</f>
        <v>0.70887817615747917</v>
      </c>
      <c r="E118" s="1080">
        <f ca="1">OFFSET('Q1'!H9,0,(Last_forecast_year - 3-InputY!$G$3)*4+4)</f>
        <v>1.2869502052488491</v>
      </c>
      <c r="F118" s="1080">
        <f ca="1">OFFSET('Q1'!I9,0,(Last_forecast_year - 3-InputY!$G$3)*4+4)</f>
        <v>0.36807132961220779</v>
      </c>
      <c r="G118" s="1080">
        <f ca="1">OFFSET('Q1'!J9,0,(Last_forecast_year - 3-InputY!$G$3)*4+4)</f>
        <v>0.47605012399969693</v>
      </c>
      <c r="H118" s="1080">
        <f ca="1">OFFSET('Q1'!K9,0,(Last_forecast_year - 3-InputY!$G$3)*4+4)</f>
        <v>0.64254735494379445</v>
      </c>
      <c r="I118" s="1080">
        <f ca="1">OFFSET('Q1'!L9,0,(Last_forecast_year - 3-InputY!$G$3)*4+4)</f>
        <v>0.44782452243838627</v>
      </c>
      <c r="J118" s="1080">
        <f ca="1">OFFSET('Q1'!M9,0,(Last_forecast_year - 3-InputY!$G$3)*4+4)</f>
        <v>0.36767852739945034</v>
      </c>
      <c r="K118" s="1080">
        <f ca="1">OFFSET('Q1'!N9,0,(Last_forecast_year - 3-InputY!$G$3)*4+4)</f>
        <v>0.31100734637281979</v>
      </c>
      <c r="L118" s="1080">
        <f ca="1">OFFSET('Q1'!O9,0,(Last_forecast_year - 3-InputY!$G$3)*4+4)</f>
        <v>0.59577368524738072</v>
      </c>
      <c r="M118" s="1080">
        <f ca="1">OFFSET('Q1'!P9,0,(Last_forecast_year - 3-InputY!$G$3)*4+4)</f>
        <v>0.50584688193292138</v>
      </c>
      <c r="N118" s="1080">
        <f ca="1">OFFSET('Q1'!Q9,0,(Last_forecast_year - 3-InputY!$G$3)*4+4)</f>
        <v>0.44407239423216671</v>
      </c>
      <c r="O118" s="1080">
        <f ca="1">OFFSET('Q1'!R9,0,(Last_forecast_year - 3-InputY!$G$3)*4+4)</f>
        <v>0.33039716192603147</v>
      </c>
      <c r="P118" s="26"/>
      <c r="Q118"/>
      <c r="AA118" s="22">
        <v>18</v>
      </c>
      <c r="AB118" s="1080" t="str">
        <f t="shared" si="3"/>
        <v>QUART. VOL. FINAL DOM. DEMAND (cols 2-13)</v>
      </c>
      <c r="AC118" s="1080">
        <f>CHOOSE(Tables!$U$2,Transfer!CA118,Transfer!CN118,Transfer!DA118,Transfer!DN118,Transfer!EA118)</f>
        <v>-9999</v>
      </c>
      <c r="AD118" s="1080">
        <f>CHOOSE(Tables!$U$2,Transfer!CB118,Transfer!CO118,Transfer!DB118,Transfer!DO118,Transfer!EB118)</f>
        <v>1.4455690218906359</v>
      </c>
      <c r="AE118" s="1080">
        <f>CHOOSE(Tables!$U$2,Transfer!CC118,Transfer!CP118,Transfer!DC118,Transfer!DP118,Transfer!EC118)</f>
        <v>0.99842473700793022</v>
      </c>
      <c r="AF118" s="1080">
        <f>CHOOSE(Tables!$U$2,Transfer!CD118,Transfer!CQ118,Transfer!DD118,Transfer!DQ118,Transfer!ED118)</f>
        <v>0.90456985811329105</v>
      </c>
      <c r="AG118" s="1080">
        <f>CHOOSE(Tables!$U$2,Transfer!CE118,Transfer!CR118,Transfer!DE118,Transfer!DR118,Transfer!EE118)</f>
        <v>0.52922047827190788</v>
      </c>
      <c r="AH118" s="1080">
        <f>CHOOSE(Tables!$U$2,Transfer!CF118,Transfer!CS118,Transfer!DF118,Transfer!DS118,Transfer!EF118)</f>
        <v>0.66964476828627384</v>
      </c>
      <c r="AI118" s="1080">
        <f>CHOOSE(Tables!$U$2,Transfer!CG118,Transfer!CT118,Transfer!DG118,Transfer!DT118,Transfer!EG118)</f>
        <v>0.63205255518894443</v>
      </c>
      <c r="AJ118" s="1080">
        <f>CHOOSE(Tables!$U$2,Transfer!CH118,Transfer!CU118,Transfer!DH118,Transfer!DU118,Transfer!EH118)</f>
        <v>0.53769097522090381</v>
      </c>
      <c r="AK118" s="1080">
        <f>CHOOSE(Tables!$U$2,Transfer!CI118,Transfer!CV118,Transfer!DI118,Transfer!DV118,Transfer!EI118)</f>
        <v>0.48569987474588833</v>
      </c>
      <c r="AL118" s="1080">
        <f>CHOOSE(Tables!$U$2,Transfer!CJ118,Transfer!CW118,Transfer!DJ118,Transfer!DW118,Transfer!EJ118)</f>
        <v>0.51552840984281478</v>
      </c>
      <c r="AM118" s="1080">
        <f>CHOOSE(Tables!$U$2,Transfer!CK118,Transfer!CX118,Transfer!DK118,Transfer!DX118,Transfer!EK118)</f>
        <v>0.38121915219374325</v>
      </c>
      <c r="AN118" s="1080">
        <f>CHOOSE(Tables!$U$2,Transfer!CL118,Transfer!CY118,Transfer!DL118,Transfer!DY118,Transfer!EL118)</f>
        <v>0.29227993500169258</v>
      </c>
      <c r="AO118" s="1080">
        <f>CHOOSE(Tables!$U$2,Transfer!CM118,Transfer!CZ118,Transfer!DM118,Transfer!DZ118,Transfer!EM118)</f>
        <v>0.20680742071841174</v>
      </c>
      <c r="AR118" s="22">
        <v>18</v>
      </c>
      <c r="AS118" s="31" t="s">
        <v>1898</v>
      </c>
      <c r="AT118" s="25">
        <f t="shared" si="2"/>
        <v>0</v>
      </c>
      <c r="AU118" s="1080">
        <f t="shared" ca="1" si="2"/>
        <v>-0.73669084573315669</v>
      </c>
      <c r="AV118" s="1080">
        <f t="shared" ca="1" si="2"/>
        <v>0.28852546824091885</v>
      </c>
      <c r="AW118" s="1080">
        <f t="shared" ca="1" si="2"/>
        <v>-0.53649852850108326</v>
      </c>
      <c r="AX118" s="1080">
        <f t="shared" ca="1" si="2"/>
        <v>-5.3170354272210951E-2</v>
      </c>
      <c r="AY118" s="1080">
        <f t="shared" ca="1" si="2"/>
        <v>-2.7097413342479393E-2</v>
      </c>
      <c r="AZ118" s="1080">
        <f t="shared" ca="1" si="2"/>
        <v>-0.18422803275055816</v>
      </c>
      <c r="BA118" s="1080">
        <f t="shared" ca="1" si="2"/>
        <v>-0.17001244782145347</v>
      </c>
      <c r="BB118" s="1080">
        <f t="shared" ca="1" si="2"/>
        <v>-0.17469252837306853</v>
      </c>
      <c r="BC118" s="1080">
        <f t="shared" ca="1" si="2"/>
        <v>8.0245275404565941E-2</v>
      </c>
      <c r="BD118" s="1080">
        <f t="shared" ca="1" si="2"/>
        <v>0.12462772973917813</v>
      </c>
      <c r="BE118" s="1080">
        <f t="shared" ca="1" si="2"/>
        <v>0.15179245923047413</v>
      </c>
      <c r="BF118" s="1080">
        <f t="shared" ca="1" si="2"/>
        <v>0.12358974120761973</v>
      </c>
      <c r="CA118" s="16">
        <v>-9999</v>
      </c>
      <c r="CB118" s="16">
        <v>0.70887817615747917</v>
      </c>
      <c r="CC118" s="16">
        <v>1.2869502052488491</v>
      </c>
      <c r="CD118" s="16">
        <v>0.36807132961220779</v>
      </c>
      <c r="CE118" s="16">
        <v>0.47605012399969693</v>
      </c>
      <c r="CF118" s="16">
        <v>0.64254735494379445</v>
      </c>
      <c r="CG118" s="16">
        <v>0.44782452243838627</v>
      </c>
      <c r="CH118" s="16">
        <v>0.36767852739945034</v>
      </c>
      <c r="CI118" s="16">
        <v>0.31100734637281979</v>
      </c>
      <c r="CJ118" s="16">
        <v>0.59577368524738072</v>
      </c>
      <c r="CK118" s="16">
        <v>0.50584688193292138</v>
      </c>
      <c r="CL118" s="16">
        <v>0.44407239423216671</v>
      </c>
      <c r="CM118" s="16">
        <v>0.33039716192603147</v>
      </c>
      <c r="CN118" s="16">
        <v>-9999</v>
      </c>
      <c r="CO118" s="16">
        <v>1.4455690218906359</v>
      </c>
      <c r="CP118" s="16">
        <v>0.99842473700793022</v>
      </c>
      <c r="CQ118" s="16">
        <v>0.90456985811329105</v>
      </c>
      <c r="CR118" s="16">
        <v>0.52922047827190788</v>
      </c>
      <c r="CS118" s="16">
        <v>0.66964476828627384</v>
      </c>
      <c r="CT118" s="16">
        <v>0.63205255518894443</v>
      </c>
      <c r="CU118" s="16">
        <v>0.53769097522090381</v>
      </c>
      <c r="CV118" s="16">
        <v>0.48569987474588833</v>
      </c>
      <c r="CW118" s="16">
        <v>0.51552840984281478</v>
      </c>
      <c r="CX118" s="16">
        <v>0.38121915219374325</v>
      </c>
      <c r="CY118" s="16">
        <v>0.29227993500169258</v>
      </c>
      <c r="CZ118" s="16">
        <v>0.20680742071841174</v>
      </c>
      <c r="DA118" s="16">
        <v>-9999</v>
      </c>
      <c r="DB118" s="16">
        <v>0.70887817615747917</v>
      </c>
      <c r="DC118" s="16">
        <v>1.2869502052488491</v>
      </c>
      <c r="DD118" s="16">
        <v>0.36807132961220779</v>
      </c>
      <c r="DE118" s="16">
        <v>0.47605012399969693</v>
      </c>
      <c r="DF118" s="16">
        <v>0.66125402841058345</v>
      </c>
      <c r="DG118" s="16">
        <v>0.47193818735494764</v>
      </c>
      <c r="DH118" s="16">
        <v>0.40261120842196357</v>
      </c>
      <c r="DI118" s="16">
        <v>0.35684680677193464</v>
      </c>
      <c r="DJ118" s="16">
        <v>0.59571738423529053</v>
      </c>
      <c r="DK118" s="16">
        <v>0.46289806701587494</v>
      </c>
      <c r="DL118" s="16">
        <v>0.39060240752340647</v>
      </c>
      <c r="DM118" s="16">
        <v>0.33038116254683025</v>
      </c>
      <c r="DN118" s="16">
        <v>-9999</v>
      </c>
      <c r="DO118" s="16">
        <v>0.70887817615747917</v>
      </c>
      <c r="DP118" s="16">
        <v>1.2869502052488491</v>
      </c>
      <c r="DQ118" s="16">
        <v>0.51317426147755651</v>
      </c>
      <c r="DR118" s="16">
        <v>0.476315677908625</v>
      </c>
      <c r="DS118" s="16">
        <v>0.603645113917614</v>
      </c>
      <c r="DT118" s="16">
        <v>0.45743763632842399</v>
      </c>
      <c r="DU118" s="16">
        <v>0.40264291025447124</v>
      </c>
      <c r="DV118" s="16">
        <v>0.35685780076060053</v>
      </c>
      <c r="DW118" s="16">
        <v>0.60064595604182947</v>
      </c>
      <c r="DX118" s="16">
        <v>0.46294824291249037</v>
      </c>
      <c r="DY118" s="16">
        <v>0.39063987414312201</v>
      </c>
      <c r="DZ118" s="16">
        <v>0.34659749971652976</v>
      </c>
      <c r="EA118" s="2257">
        <v>-9999</v>
      </c>
      <c r="EB118" s="2256">
        <v>0.70887817615747917</v>
      </c>
      <c r="EC118" s="2256">
        <v>1.2869502052488491</v>
      </c>
      <c r="ED118" s="2256">
        <v>0.36807132961220779</v>
      </c>
      <c r="EE118" s="2256">
        <v>0.47605012399969693</v>
      </c>
      <c r="EF118" s="2256">
        <v>0.64254735494379445</v>
      </c>
      <c r="EG118" s="2256">
        <v>0.44782452243838627</v>
      </c>
      <c r="EH118" s="2256">
        <v>0.36767852739945034</v>
      </c>
      <c r="EI118" s="2256">
        <v>0.31100734637281979</v>
      </c>
      <c r="EJ118" s="2256">
        <v>0.59577368524738072</v>
      </c>
      <c r="EK118" s="2256">
        <v>0.50584688193292138</v>
      </c>
      <c r="EL118" s="2256">
        <v>0.44407239423216671</v>
      </c>
      <c r="EM118" s="2256">
        <v>0.33039716192603147</v>
      </c>
    </row>
    <row r="119" spans="1:143" ht="13.15">
      <c r="A119" s="22">
        <v>19</v>
      </c>
      <c r="B119" s="31" t="s">
        <v>2036</v>
      </c>
      <c r="C119" s="25">
        <v>-9999</v>
      </c>
      <c r="D119" s="1080">
        <f ca="1">OFFSET('Q1'!G10,0,(Last_forecast_year - 3-InputY!$G$3)*4+4)</f>
        <v>0.62079825686999546</v>
      </c>
      <c r="E119" s="1080">
        <f ca="1">OFFSET('Q1'!H10,0,(Last_forecast_year - 3-InputY!$G$3)*4+4)</f>
        <v>1.5457349479050868</v>
      </c>
      <c r="F119" s="1080">
        <f ca="1">OFFSET('Q1'!I10,0,(Last_forecast_year - 3-InputY!$G$3)*4+4)</f>
        <v>1.1392274399101172</v>
      </c>
      <c r="G119" s="1080">
        <f ca="1">OFFSET('Q1'!J10,0,(Last_forecast_year - 3-InputY!$G$3)*4+4)</f>
        <v>0.75643428010060354</v>
      </c>
      <c r="H119" s="1080">
        <f ca="1">OFFSET('Q1'!K10,0,(Last_forecast_year - 3-InputY!$G$3)*4+4)</f>
        <v>0.84820068842145613</v>
      </c>
      <c r="I119" s="1080">
        <f ca="1">OFFSET('Q1'!L10,0,(Last_forecast_year - 3-InputY!$G$3)*4+4)</f>
        <v>0.84478278935385764</v>
      </c>
      <c r="J119" s="1080">
        <f ca="1">OFFSET('Q1'!M10,0,(Last_forecast_year - 3-InputY!$G$3)*4+4)</f>
        <v>0.84193609937917235</v>
      </c>
      <c r="K119" s="1080">
        <f ca="1">OFFSET('Q1'!N10,0,(Last_forecast_year - 3-InputY!$G$3)*4+4)</f>
        <v>0.93298104952654282</v>
      </c>
      <c r="L119" s="1080">
        <f ca="1">OFFSET('Q1'!O10,0,(Last_forecast_year - 3-InputY!$G$3)*4+4)</f>
        <v>0.92957655481314938</v>
      </c>
      <c r="M119" s="1080">
        <f ca="1">OFFSET('Q1'!P10,0,(Last_forecast_year - 3-InputY!$G$3)*4+4)</f>
        <v>1.0181544438258585</v>
      </c>
      <c r="N119" s="1080">
        <f ca="1">OFFSET('Q1'!Q10,0,(Last_forecast_year - 3-InputY!$G$3)*4+4)</f>
        <v>1.0138647182542915</v>
      </c>
      <c r="O119" s="1080">
        <f ca="1">OFFSET('Q1'!R10,0,(Last_forecast_year - 3-InputY!$G$3)*4+4)</f>
        <v>1.0105185754332144</v>
      </c>
      <c r="P119" s="26"/>
      <c r="Q119"/>
      <c r="AA119" s="22">
        <v>19</v>
      </c>
      <c r="AB119" s="1080" t="str">
        <f t="shared" si="3"/>
        <v>QUART. VOL. CHANGE IN INVENTORIES (cols 2-13)</v>
      </c>
      <c r="AC119" s="1080">
        <f>CHOOSE(Tables!$U$2,Transfer!CA119,Transfer!CN119,Transfer!DA119,Transfer!DN119,Transfer!EA119)</f>
        <v>-9999</v>
      </c>
      <c r="AD119" s="1080">
        <f>CHOOSE(Tables!$U$2,Transfer!CB119,Transfer!CO119,Transfer!DB119,Transfer!DO119,Transfer!EB119)</f>
        <v>0.87598898937182246</v>
      </c>
      <c r="AE119" s="1080">
        <f>CHOOSE(Tables!$U$2,Transfer!CC119,Transfer!CP119,Transfer!DC119,Transfer!DP119,Transfer!EC119)</f>
        <v>1.0605199067719129</v>
      </c>
      <c r="AF119" s="1080">
        <f>CHOOSE(Tables!$U$2,Transfer!CD119,Transfer!CQ119,Transfer!DD119,Transfer!DQ119,Transfer!ED119)</f>
        <v>0.58021992819751178</v>
      </c>
      <c r="AG119" s="1080">
        <f>CHOOSE(Tables!$U$2,Transfer!CE119,Transfer!CR119,Transfer!DE119,Transfer!DR119,Transfer!EE119)</f>
        <v>1.1324833048974334</v>
      </c>
      <c r="AH119" s="1080">
        <f>CHOOSE(Tables!$U$2,Transfer!CF119,Transfer!CS119,Transfer!DF119,Transfer!DS119,Transfer!EF119)</f>
        <v>1.1359997837552669</v>
      </c>
      <c r="AI119" s="1080">
        <f>CHOOSE(Tables!$U$2,Transfer!CG119,Transfer!CT119,Transfer!DG119,Transfer!DT119,Transfer!EG119)</f>
        <v>1.0354133793024567</v>
      </c>
      <c r="AJ119" s="1080">
        <f>CHOOSE(Tables!$U$2,Transfer!CH119,Transfer!CU119,Transfer!DH119,Transfer!DU119,Transfer!EH119)</f>
        <v>1.0310206433493883</v>
      </c>
      <c r="AK119" s="1080">
        <f>CHOOSE(Tables!$U$2,Transfer!CI119,Transfer!CV119,Transfer!DI119,Transfer!DV119,Transfer!EI119)</f>
        <v>0.93389417667195174</v>
      </c>
      <c r="AL119" s="1080">
        <f>CHOOSE(Tables!$U$2,Transfer!CJ119,Transfer!CW119,Transfer!DJ119,Transfer!DW119,Transfer!EJ119)</f>
        <v>0.74388513189001937</v>
      </c>
      <c r="AM119" s="1080">
        <f>CHOOSE(Tables!$U$2,Transfer!CK119,Transfer!CX119,Transfer!DK119,Transfer!DX119,Transfer!EK119)</f>
        <v>0.74086744187064402</v>
      </c>
      <c r="AN119" s="1080">
        <f>CHOOSE(Tables!$U$2,Transfer!CL119,Transfer!CY119,Transfer!DL119,Transfer!DY119,Transfer!EL119)</f>
        <v>0.73769531390041954</v>
      </c>
      <c r="AO119" s="1080">
        <f>CHOOSE(Tables!$U$2,Transfer!CM119,Transfer!CZ119,Transfer!DM119,Transfer!DZ119,Transfer!EM119)</f>
        <v>0.73449869887804287</v>
      </c>
      <c r="AR119" s="22">
        <v>19</v>
      </c>
      <c r="AS119" s="31" t="s">
        <v>2036</v>
      </c>
      <c r="AT119" s="25">
        <f t="shared" si="2"/>
        <v>0</v>
      </c>
      <c r="AU119" s="1080">
        <f t="shared" ca="1" si="2"/>
        <v>-0.255190732501827</v>
      </c>
      <c r="AV119" s="1080">
        <f t="shared" ca="1" si="2"/>
        <v>0.48521504113317393</v>
      </c>
      <c r="AW119" s="1080">
        <f t="shared" ca="1" si="2"/>
        <v>0.55900751171260543</v>
      </c>
      <c r="AX119" s="1080">
        <f t="shared" ca="1" si="2"/>
        <v>-0.37604902479682989</v>
      </c>
      <c r="AY119" s="1080">
        <f t="shared" ca="1" si="2"/>
        <v>-0.28779909533381076</v>
      </c>
      <c r="AZ119" s="1080">
        <f t="shared" ca="1" si="2"/>
        <v>-0.19063058994859905</v>
      </c>
      <c r="BA119" s="1080">
        <f t="shared" ca="1" si="2"/>
        <v>-0.1890845439702159</v>
      </c>
      <c r="BB119" s="1080">
        <f t="shared" ca="1" si="2"/>
        <v>-9.131271454089207E-4</v>
      </c>
      <c r="BC119" s="1080">
        <f t="shared" ca="1" si="2"/>
        <v>0.18569142292313001</v>
      </c>
      <c r="BD119" s="1080">
        <f t="shared" ca="1" si="2"/>
        <v>0.2772870019552145</v>
      </c>
      <c r="BE119" s="1080">
        <f t="shared" ca="1" si="2"/>
        <v>0.27616940435387194</v>
      </c>
      <c r="BF119" s="1080">
        <f t="shared" ca="1" si="2"/>
        <v>0.27601987655517157</v>
      </c>
      <c r="CA119" s="16">
        <v>-9999</v>
      </c>
      <c r="CB119" s="16">
        <v>0.62079825686999546</v>
      </c>
      <c r="CC119" s="16">
        <v>1.5457349479050868</v>
      </c>
      <c r="CD119" s="16">
        <v>1.1392274399101172</v>
      </c>
      <c r="CE119" s="16">
        <v>0.75643428010060354</v>
      </c>
      <c r="CF119" s="16">
        <v>0.84820068842145613</v>
      </c>
      <c r="CG119" s="16">
        <v>0.84478278935385764</v>
      </c>
      <c r="CH119" s="16">
        <v>0.84193609937917235</v>
      </c>
      <c r="CI119" s="16">
        <v>0.93298104952654282</v>
      </c>
      <c r="CJ119" s="16">
        <v>0.92957655481314938</v>
      </c>
      <c r="CK119" s="16">
        <v>1.0181544438258585</v>
      </c>
      <c r="CL119" s="16">
        <v>1.0138647182542915</v>
      </c>
      <c r="CM119" s="16">
        <v>1.0105185754332144</v>
      </c>
      <c r="CN119" s="16">
        <v>-9999</v>
      </c>
      <c r="CO119" s="16">
        <v>0.87598898937182246</v>
      </c>
      <c r="CP119" s="16">
        <v>1.0605199067719129</v>
      </c>
      <c r="CQ119" s="16">
        <v>0.58021992819751178</v>
      </c>
      <c r="CR119" s="16">
        <v>1.1324833048974334</v>
      </c>
      <c r="CS119" s="16">
        <v>1.1359997837552669</v>
      </c>
      <c r="CT119" s="16">
        <v>1.0354133793024567</v>
      </c>
      <c r="CU119" s="16">
        <v>1.0310206433493883</v>
      </c>
      <c r="CV119" s="16">
        <v>0.93389417667195174</v>
      </c>
      <c r="CW119" s="16">
        <v>0.74388513189001937</v>
      </c>
      <c r="CX119" s="16">
        <v>0.74086744187064402</v>
      </c>
      <c r="CY119" s="16">
        <v>0.73769531390041954</v>
      </c>
      <c r="CZ119" s="16">
        <v>0.73449869887804287</v>
      </c>
      <c r="DA119" s="16">
        <v>-9999</v>
      </c>
      <c r="DB119" s="16">
        <v>0.62079825686999546</v>
      </c>
      <c r="DC119" s="16">
        <v>1.5457349479050868</v>
      </c>
      <c r="DD119" s="16">
        <v>1.1392274399101172</v>
      </c>
      <c r="DE119" s="16">
        <v>0.75643428010060354</v>
      </c>
      <c r="DF119" s="16">
        <v>0.84779557653144344</v>
      </c>
      <c r="DG119" s="16">
        <v>0.84512885820566241</v>
      </c>
      <c r="DH119" s="16">
        <v>0.84226378324230555</v>
      </c>
      <c r="DI119" s="16">
        <v>0.93294515126106836</v>
      </c>
      <c r="DJ119" s="16">
        <v>0.92940163665425768</v>
      </c>
      <c r="DK119" s="16">
        <v>1.0181678258891451</v>
      </c>
      <c r="DL119" s="16">
        <v>1.0143912626939879</v>
      </c>
      <c r="DM119" s="16">
        <v>1.0110458704036205</v>
      </c>
      <c r="DN119" s="16">
        <v>-9999</v>
      </c>
      <c r="DO119" s="16">
        <v>0.62079825686999546</v>
      </c>
      <c r="DP119" s="16">
        <v>1.5457349479050868</v>
      </c>
      <c r="DQ119" s="16">
        <v>1.1382181072228994</v>
      </c>
      <c r="DR119" s="16">
        <v>0.75676395044597766</v>
      </c>
      <c r="DS119" s="16">
        <v>0.84819773094682238</v>
      </c>
      <c r="DT119" s="16">
        <v>0.84496278191783258</v>
      </c>
      <c r="DU119" s="16">
        <v>0.84188364308283836</v>
      </c>
      <c r="DV119" s="16">
        <v>0.93242798836296625</v>
      </c>
      <c r="DW119" s="16">
        <v>0.9289855476190918</v>
      </c>
      <c r="DX119" s="16">
        <v>1.0180258251750571</v>
      </c>
      <c r="DY119" s="16">
        <v>1.014252384065238</v>
      </c>
      <c r="DZ119" s="16">
        <v>1.0107556086233167</v>
      </c>
      <c r="EA119" s="2257">
        <v>-9999</v>
      </c>
      <c r="EB119" s="2256">
        <v>0.62079825686999546</v>
      </c>
      <c r="EC119" s="2256">
        <v>1.5457349479050868</v>
      </c>
      <c r="ED119" s="2256">
        <v>1.1392274399101172</v>
      </c>
      <c r="EE119" s="2256">
        <v>0.75643428010060354</v>
      </c>
      <c r="EF119" s="2256">
        <v>0.84820068842145613</v>
      </c>
      <c r="EG119" s="2256">
        <v>0.84478278935385764</v>
      </c>
      <c r="EH119" s="2256">
        <v>0.84193609937917235</v>
      </c>
      <c r="EI119" s="2256">
        <v>0.93298104952654282</v>
      </c>
      <c r="EJ119" s="2256">
        <v>0.92957655481314938</v>
      </c>
      <c r="EK119" s="2256">
        <v>1.0181544438258585</v>
      </c>
      <c r="EL119" s="2256">
        <v>1.0138647182542915</v>
      </c>
      <c r="EM119" s="2256">
        <v>1.0105185754332144</v>
      </c>
    </row>
    <row r="120" spans="1:143" ht="13.15">
      <c r="A120" s="22">
        <v>20</v>
      </c>
      <c r="B120" s="31" t="s">
        <v>2037</v>
      </c>
      <c r="C120" s="25">
        <v>-9999</v>
      </c>
      <c r="D120" s="1080">
        <f ca="1">OFFSET('Q1'!G11,0,(Last_forecast_year - 3-InputY!$G$3)*4+4)</f>
        <v>0.86823099301969187</v>
      </c>
      <c r="E120" s="1080">
        <f ca="1">OFFSET('Q1'!H11,0,(Last_forecast_year - 3-InputY!$G$3)*4+4)</f>
        <v>0.31488978405880275</v>
      </c>
      <c r="F120" s="1080">
        <f ca="1">OFFSET('Q1'!I11,0,(Last_forecast_year - 3-InputY!$G$3)*4+4)</f>
        <v>-4.8709418819823949E-2</v>
      </c>
      <c r="G120" s="1080">
        <f ca="1">OFFSET('Q1'!J11,0,(Last_forecast_year - 3-InputY!$G$3)*4+4)</f>
        <v>8.2689695087010268E-2</v>
      </c>
      <c r="H120" s="1080">
        <f ca="1">OFFSET('Q1'!K11,0,(Last_forecast_year - 3-InputY!$G$3)*4+4)</f>
        <v>0.73444292775006503</v>
      </c>
      <c r="I120" s="1080">
        <f ca="1">OFFSET('Q1'!L11,0,(Last_forecast_year - 3-InputY!$G$3)*4+4)</f>
        <v>0.44394850613538561</v>
      </c>
      <c r="J120" s="1080">
        <f ca="1">OFFSET('Q1'!M11,0,(Last_forecast_year - 3-InputY!$G$3)*4+4)</f>
        <v>0.36451025718467456</v>
      </c>
      <c r="K120" s="1080">
        <f ca="1">OFFSET('Q1'!N11,0,(Last_forecast_year - 3-InputY!$G$3)*4+4)</f>
        <v>0.40373338472212578</v>
      </c>
      <c r="L120" s="1080">
        <f ca="1">OFFSET('Q1'!O11,0,(Last_forecast_year - 3-InputY!$G$3)*4+4)</f>
        <v>0.59011308191282286</v>
      </c>
      <c r="M120" s="1080">
        <f ca="1">OFFSET('Q1'!P11,0,(Last_forecast_year - 3-InputY!$G$3)*4+4)</f>
        <v>0.59552414415939792</v>
      </c>
      <c r="N120" s="1080">
        <f ca="1">OFFSET('Q1'!Q11,0,(Last_forecast_year - 3-InputY!$G$3)*4+4)</f>
        <v>0.4394857620603585</v>
      </c>
      <c r="O120" s="1080">
        <f ca="1">OFFSET('Q1'!R11,0,(Last_forecast_year - 3-InputY!$G$3)*4+4)</f>
        <v>0.32699956414378489</v>
      </c>
      <c r="P120" s="26"/>
      <c r="Q120"/>
      <c r="AA120" s="22">
        <v>20</v>
      </c>
      <c r="AB120" s="1080" t="str">
        <f t="shared" si="3"/>
        <v>QUART. VOL. DOMESTIC DEMAND (cols 2-13)</v>
      </c>
      <c r="AC120" s="1080">
        <f>CHOOSE(Tables!$U$2,Transfer!CA120,Transfer!CN120,Transfer!DA120,Transfer!DN120,Transfer!EA120)</f>
        <v>-9999</v>
      </c>
      <c r="AD120" s="1080">
        <f>CHOOSE(Tables!$U$2,Transfer!CB120,Transfer!CO120,Transfer!DB120,Transfer!DO120,Transfer!EB120)</f>
        <v>0.99820508560124477</v>
      </c>
      <c r="AE120" s="1080">
        <f>CHOOSE(Tables!$U$2,Transfer!CC120,Transfer!CP120,Transfer!DC120,Transfer!DP120,Transfer!EC120)</f>
        <v>0.80018868843443336</v>
      </c>
      <c r="AF120" s="1080">
        <f>CHOOSE(Tables!$U$2,Transfer!CD120,Transfer!CQ120,Transfer!DD120,Transfer!DQ120,Transfer!ED120)</f>
        <v>1.4178392149239549</v>
      </c>
      <c r="AG120" s="1080">
        <f>CHOOSE(Tables!$U$2,Transfer!CE120,Transfer!CR120,Transfer!DE120,Transfer!DR120,Transfer!EE120)</f>
        <v>-5.8564288872253734E-2</v>
      </c>
      <c r="AH120" s="1080">
        <f>CHOOSE(Tables!$U$2,Transfer!CF120,Transfer!CS120,Transfer!DF120,Transfer!DS120,Transfer!EF120)</f>
        <v>0.67409977102309682</v>
      </c>
      <c r="AI120" s="1080">
        <f>CHOOSE(Tables!$U$2,Transfer!CG120,Transfer!CT120,Transfer!DG120,Transfer!DT120,Transfer!EG120)</f>
        <v>0.52643760493652092</v>
      </c>
      <c r="AJ120" s="1080">
        <f>CHOOSE(Tables!$U$2,Transfer!CH120,Transfer!CU120,Transfer!DH120,Transfer!DU120,Transfer!EH120)</f>
        <v>0.53191506671205302</v>
      </c>
      <c r="AK120" s="1080">
        <f>CHOOSE(Tables!$U$2,Transfer!CI120,Transfer!CV120,Transfer!DI120,Transfer!DV120,Transfer!EI120)</f>
        <v>0.38337166949379542</v>
      </c>
      <c r="AL120" s="1080">
        <f>CHOOSE(Tables!$U$2,Transfer!CJ120,Transfer!CW120,Transfer!DJ120,Transfer!DW120,Transfer!EJ120)</f>
        <v>0.31700494513575067</v>
      </c>
      <c r="AM120" s="1080">
        <f>CHOOSE(Tables!$U$2,Transfer!CK120,Transfer!CX120,Transfer!DK120,Transfer!DX120,Transfer!EK120)</f>
        <v>0.37827731063117503</v>
      </c>
      <c r="AN120" s="1080">
        <f>CHOOSE(Tables!$U$2,Transfer!CL120,Transfer!CY120,Transfer!DL120,Transfer!DY120,Transfer!EL120)</f>
        <v>0.29003293107025713</v>
      </c>
      <c r="AO120" s="1080">
        <f>CHOOSE(Tables!$U$2,Transfer!CM120,Transfer!CZ120,Transfer!DM120,Transfer!DZ120,Transfer!EM120)</f>
        <v>0.20522211445883573</v>
      </c>
      <c r="AR120" s="22">
        <v>20</v>
      </c>
      <c r="AS120" s="31" t="s">
        <v>2037</v>
      </c>
      <c r="AT120" s="25">
        <f t="shared" si="2"/>
        <v>0</v>
      </c>
      <c r="AU120" s="1080">
        <f t="shared" ca="1" si="2"/>
        <v>-0.1299740925815529</v>
      </c>
      <c r="AV120" s="1080">
        <f t="shared" ca="1" si="2"/>
        <v>-0.48529890437563061</v>
      </c>
      <c r="AW120" s="1080">
        <f t="shared" ca="1" si="2"/>
        <v>-1.466548633743779</v>
      </c>
      <c r="AX120" s="1080">
        <f t="shared" ca="1" si="2"/>
        <v>0.141253983959264</v>
      </c>
      <c r="AY120" s="1080">
        <f t="shared" ca="1" si="2"/>
        <v>6.0343156726968217E-2</v>
      </c>
      <c r="AZ120" s="1080">
        <f t="shared" ca="1" si="2"/>
        <v>-8.2489098801135308E-2</v>
      </c>
      <c r="BA120" s="1080">
        <f t="shared" ca="1" si="2"/>
        <v>-0.16740480952737846</v>
      </c>
      <c r="BB120" s="1080">
        <f t="shared" ref="BB120:BF134" ca="1" si="4">K120-AK120</f>
        <v>2.0361715228330357E-2</v>
      </c>
      <c r="BC120" s="1080">
        <f t="shared" ca="1" si="4"/>
        <v>0.27310813677707219</v>
      </c>
      <c r="BD120" s="1080">
        <f t="shared" ca="1" si="4"/>
        <v>0.21724683352822288</v>
      </c>
      <c r="BE120" s="1080">
        <f t="shared" ca="1" si="4"/>
        <v>0.14945283099010137</v>
      </c>
      <c r="BF120" s="1080">
        <f t="shared" ca="1" si="4"/>
        <v>0.12177744968494916</v>
      </c>
      <c r="CA120" s="16">
        <v>-9999</v>
      </c>
      <c r="CB120" s="16">
        <v>0.86823099301969187</v>
      </c>
      <c r="CC120" s="16">
        <v>0.31488978405880275</v>
      </c>
      <c r="CD120" s="16">
        <v>-4.8709418819823949E-2</v>
      </c>
      <c r="CE120" s="16">
        <v>8.2689695087010268E-2</v>
      </c>
      <c r="CF120" s="16">
        <v>0.73444292775006503</v>
      </c>
      <c r="CG120" s="16">
        <v>0.44394850613538561</v>
      </c>
      <c r="CH120" s="16">
        <v>0.36451025718467456</v>
      </c>
      <c r="CI120" s="16">
        <v>0.40373338472212578</v>
      </c>
      <c r="CJ120" s="16">
        <v>0.59011308191282286</v>
      </c>
      <c r="CK120" s="16">
        <v>0.59552414415939792</v>
      </c>
      <c r="CL120" s="16">
        <v>0.4394857620603585</v>
      </c>
      <c r="CM120" s="16">
        <v>0.32699956414378489</v>
      </c>
      <c r="CN120" s="16">
        <v>-9999</v>
      </c>
      <c r="CO120" s="16">
        <v>0.99820508560124477</v>
      </c>
      <c r="CP120" s="16">
        <v>0.80018868843443336</v>
      </c>
      <c r="CQ120" s="16">
        <v>1.4178392149239549</v>
      </c>
      <c r="CR120" s="16">
        <v>-5.8564288872253734E-2</v>
      </c>
      <c r="CS120" s="16">
        <v>0.67409977102309682</v>
      </c>
      <c r="CT120" s="16">
        <v>0.52643760493652092</v>
      </c>
      <c r="CU120" s="16">
        <v>0.53191506671205302</v>
      </c>
      <c r="CV120" s="16">
        <v>0.38337166949379542</v>
      </c>
      <c r="CW120" s="16">
        <v>0.31700494513575067</v>
      </c>
      <c r="CX120" s="16">
        <v>0.37827731063117503</v>
      </c>
      <c r="CY120" s="16">
        <v>0.29003293107025713</v>
      </c>
      <c r="CZ120" s="16">
        <v>0.20522211445883573</v>
      </c>
      <c r="DA120" s="16">
        <v>-9999</v>
      </c>
      <c r="DB120" s="16">
        <v>0.86823099301969187</v>
      </c>
      <c r="DC120" s="16">
        <v>0.31488978405880275</v>
      </c>
      <c r="DD120" s="16">
        <v>-4.8709418819823949E-2</v>
      </c>
      <c r="DE120" s="16">
        <v>8.2689695087010268E-2</v>
      </c>
      <c r="DF120" s="16">
        <v>0.75300462400083734</v>
      </c>
      <c r="DG120" s="16">
        <v>0.46785421469111543</v>
      </c>
      <c r="DH120" s="16">
        <v>0.39914338926999982</v>
      </c>
      <c r="DI120" s="16">
        <v>0.44910846968018325</v>
      </c>
      <c r="DJ120" s="16">
        <v>0.59006421157352784</v>
      </c>
      <c r="DK120" s="16">
        <v>0.55287129774186305</v>
      </c>
      <c r="DL120" s="16">
        <v>0.38657124771514612</v>
      </c>
      <c r="DM120" s="16">
        <v>0.32698463801529393</v>
      </c>
      <c r="DN120" s="16">
        <v>-9999</v>
      </c>
      <c r="DO120" s="16">
        <v>0.86823099301969187</v>
      </c>
      <c r="DP120" s="16">
        <v>0.31488978405880275</v>
      </c>
      <c r="DQ120" s="16">
        <v>9.4109757937202165E-2</v>
      </c>
      <c r="DR120" s="16">
        <v>8.3513429697172709E-2</v>
      </c>
      <c r="DS120" s="16">
        <v>0.69570987109361937</v>
      </c>
      <c r="DT120" s="16">
        <v>0.45348257748641163</v>
      </c>
      <c r="DU120" s="16">
        <v>0.39917732877556922</v>
      </c>
      <c r="DV120" s="16">
        <v>0.44905254526944544</v>
      </c>
      <c r="DW120" s="16">
        <v>0.59495013800448426</v>
      </c>
      <c r="DX120" s="16">
        <v>0.55285151717350367</v>
      </c>
      <c r="DY120" s="16">
        <v>0.38661144030853622</v>
      </c>
      <c r="DZ120" s="16">
        <v>0.34303701361996763</v>
      </c>
      <c r="EA120" s="2257">
        <v>-9999</v>
      </c>
      <c r="EB120" s="2256">
        <v>0.86823099301969187</v>
      </c>
      <c r="EC120" s="2256">
        <v>0.31488978405880275</v>
      </c>
      <c r="ED120" s="2256">
        <v>-4.8709418819823949E-2</v>
      </c>
      <c r="EE120" s="2256">
        <v>8.2689695087010268E-2</v>
      </c>
      <c r="EF120" s="2256">
        <v>0.73444292775006503</v>
      </c>
      <c r="EG120" s="2256">
        <v>0.44394850613538561</v>
      </c>
      <c r="EH120" s="2256">
        <v>0.36451025718467456</v>
      </c>
      <c r="EI120" s="2256">
        <v>0.40373338472212578</v>
      </c>
      <c r="EJ120" s="2256">
        <v>0.59011308191282286</v>
      </c>
      <c r="EK120" s="2256">
        <v>0.59552414415939792</v>
      </c>
      <c r="EL120" s="2256">
        <v>0.4394857620603585</v>
      </c>
      <c r="EM120" s="2256">
        <v>0.32699956414378489</v>
      </c>
    </row>
    <row r="121" spans="1:143" ht="13.15">
      <c r="A121" s="22">
        <v>21</v>
      </c>
      <c r="B121" s="31" t="s">
        <v>2038</v>
      </c>
      <c r="C121" s="25">
        <v>-9999</v>
      </c>
      <c r="D121" s="1080">
        <f ca="1">OFFSET('Q1'!G12,0,(Last_forecast_year - 3-InputY!$G$3)*4+4)</f>
        <v>1.6754481058645077E-2</v>
      </c>
      <c r="E121" s="1080">
        <f ca="1">OFFSET('Q1'!H12,0,(Last_forecast_year - 3-InputY!$G$3)*4+4)</f>
        <v>0.40267124188804182</v>
      </c>
      <c r="F121" s="1080">
        <f ca="1">OFFSET('Q1'!I12,0,(Last_forecast_year - 3-InputY!$G$3)*4+4)</f>
        <v>1.08</v>
      </c>
      <c r="G121" s="1080">
        <f ca="1">OFFSET('Q1'!J12,0,(Last_forecast_year - 3-InputY!$G$3)*4+4)</f>
        <v>0.95</v>
      </c>
      <c r="H121" s="1080">
        <f ca="1">OFFSET('Q1'!K12,0,(Last_forecast_year - 3-InputY!$G$3)*4+4)</f>
        <v>0.71</v>
      </c>
      <c r="I121" s="1080">
        <f ca="1">OFFSET('Q1'!L12,0,(Last_forecast_year - 3-InputY!$G$3)*4+4)</f>
        <v>0.88</v>
      </c>
      <c r="J121" s="1080">
        <f ca="1">OFFSET('Q1'!M12,0,(Last_forecast_year - 3-InputY!$G$3)*4+4)</f>
        <v>0.65</v>
      </c>
      <c r="K121" s="1080">
        <f ca="1">OFFSET('Q1'!N12,0,(Last_forecast_year - 3-InputY!$G$3)*4+4)</f>
        <v>0.59</v>
      </c>
      <c r="L121" s="1080">
        <f ca="1">OFFSET('Q1'!O12,0,(Last_forecast_year - 3-InputY!$G$3)*4+4)</f>
        <v>0.88</v>
      </c>
      <c r="M121" s="1080">
        <f ca="1">OFFSET('Q1'!P12,0,(Last_forecast_year - 3-InputY!$G$3)*4+4)</f>
        <v>0.78</v>
      </c>
      <c r="N121" s="1080">
        <f ca="1">OFFSET('Q1'!Q12,0,(Last_forecast_year - 3-InputY!$G$3)*4+4)</f>
        <v>0.76</v>
      </c>
      <c r="O121" s="1080">
        <f ca="1">OFFSET('Q1'!R12,0,(Last_forecast_year - 3-InputY!$G$3)*4+4)</f>
        <v>0.63</v>
      </c>
      <c r="P121" s="26"/>
      <c r="Q121"/>
      <c r="AA121" s="22">
        <v>21</v>
      </c>
      <c r="AB121" s="1080" t="str">
        <f t="shared" si="3"/>
        <v>QUART. VOL. EXPORTS G AND S (cols 2-13)</v>
      </c>
      <c r="AC121" s="1080">
        <f>CHOOSE(Tables!$U$2,Transfer!CA121,Transfer!CN121,Transfer!DA121,Transfer!DN121,Transfer!EA121)</f>
        <v>-9999</v>
      </c>
      <c r="AD121" s="1080">
        <f>CHOOSE(Tables!$U$2,Transfer!CB121,Transfer!CO121,Transfer!DB121,Transfer!DO121,Transfer!EB121)</f>
        <v>-0.83422120328575655</v>
      </c>
      <c r="AE121" s="1080">
        <f>CHOOSE(Tables!$U$2,Transfer!CC121,Transfer!CP121,Transfer!DC121,Transfer!DP121,Transfer!EC121)</f>
        <v>2.8620272514829459</v>
      </c>
      <c r="AF121" s="1080">
        <f>CHOOSE(Tables!$U$2,Transfer!CD121,Transfer!CQ121,Transfer!DD121,Transfer!DQ121,Transfer!ED121)</f>
        <v>0.23983377949203799</v>
      </c>
      <c r="AG121" s="1080">
        <f>CHOOSE(Tables!$U$2,Transfer!CE121,Transfer!CR121,Transfer!DE121,Transfer!DR121,Transfer!EE121)</f>
        <v>2.4413276213831159</v>
      </c>
      <c r="AH121" s="1080">
        <f>CHOOSE(Tables!$U$2,Transfer!CF121,Transfer!CS121,Transfer!DF121,Transfer!DS121,Transfer!EF121)</f>
        <v>0.92</v>
      </c>
      <c r="AI121" s="1080">
        <f>CHOOSE(Tables!$U$2,Transfer!CG121,Transfer!CT121,Transfer!DG121,Transfer!DT121,Transfer!EG121)</f>
        <v>0.77</v>
      </c>
      <c r="AJ121" s="1080">
        <f>CHOOSE(Tables!$U$2,Transfer!CH121,Transfer!CU121,Transfer!DH121,Transfer!DU121,Transfer!EH121)</f>
        <v>0.65</v>
      </c>
      <c r="AK121" s="1080">
        <f>CHOOSE(Tables!$U$2,Transfer!CI121,Transfer!CV121,Transfer!DI121,Transfer!DV121,Transfer!EI121)</f>
        <v>0.55000000000000004</v>
      </c>
      <c r="AL121" s="1080">
        <f>CHOOSE(Tables!$U$2,Transfer!CJ121,Transfer!CW121,Transfer!DJ121,Transfer!DW121,Transfer!EJ121)</f>
        <v>1.1299999999999999</v>
      </c>
      <c r="AM121" s="1080">
        <f>CHOOSE(Tables!$U$2,Transfer!CK121,Transfer!CX121,Transfer!DK121,Transfer!DX121,Transfer!EK121)</f>
        <v>1.18</v>
      </c>
      <c r="AN121" s="1080">
        <f>CHOOSE(Tables!$U$2,Transfer!CL121,Transfer!CY121,Transfer!DL121,Transfer!DY121,Transfer!EL121)</f>
        <v>1.02</v>
      </c>
      <c r="AO121" s="1080">
        <f>CHOOSE(Tables!$U$2,Transfer!CM121,Transfer!CZ121,Transfer!DM121,Transfer!DZ121,Transfer!EM121)</f>
        <v>0.94</v>
      </c>
      <c r="AR121" s="22">
        <v>21</v>
      </c>
      <c r="AS121" s="31" t="s">
        <v>2038</v>
      </c>
      <c r="AT121" s="25">
        <f t="shared" ref="AT121:BF145" si="5">C121-AC121</f>
        <v>0</v>
      </c>
      <c r="AU121" s="1080">
        <f t="shared" ca="1" si="5"/>
        <v>0.85097568434440163</v>
      </c>
      <c r="AV121" s="1080">
        <f t="shared" ca="1" si="5"/>
        <v>-2.4593560095949041</v>
      </c>
      <c r="AW121" s="1080">
        <f t="shared" ca="1" si="5"/>
        <v>0.84016622050796208</v>
      </c>
      <c r="AX121" s="1080">
        <f t="shared" ca="1" si="5"/>
        <v>-1.4913276213831159</v>
      </c>
      <c r="AY121" s="1080">
        <f t="shared" ca="1" si="5"/>
        <v>-0.21000000000000008</v>
      </c>
      <c r="AZ121" s="1080">
        <f t="shared" ca="1" si="5"/>
        <v>0.10999999999999999</v>
      </c>
      <c r="BA121" s="1080">
        <f t="shared" ca="1" si="5"/>
        <v>0</v>
      </c>
      <c r="BB121" s="1080">
        <f t="shared" ca="1" si="4"/>
        <v>3.9999999999999925E-2</v>
      </c>
      <c r="BC121" s="1080">
        <f t="shared" ca="1" si="4"/>
        <v>-0.24999999999999989</v>
      </c>
      <c r="BD121" s="1080">
        <f t="shared" ca="1" si="4"/>
        <v>-0.39999999999999991</v>
      </c>
      <c r="BE121" s="1080">
        <f t="shared" ca="1" si="4"/>
        <v>-0.26</v>
      </c>
      <c r="BF121" s="1080">
        <f t="shared" ca="1" si="4"/>
        <v>-0.30999999999999994</v>
      </c>
      <c r="CA121" s="16">
        <v>-9999</v>
      </c>
      <c r="CB121" s="16">
        <v>1.6754481058645077E-2</v>
      </c>
      <c r="CC121" s="16">
        <v>0.40267124188804182</v>
      </c>
      <c r="CD121" s="16">
        <v>1.08</v>
      </c>
      <c r="CE121" s="16">
        <v>0.95</v>
      </c>
      <c r="CF121" s="16">
        <v>0.71</v>
      </c>
      <c r="CG121" s="16">
        <v>0.88</v>
      </c>
      <c r="CH121" s="16">
        <v>0.65</v>
      </c>
      <c r="CI121" s="16">
        <v>0.59</v>
      </c>
      <c r="CJ121" s="16">
        <v>0.88</v>
      </c>
      <c r="CK121" s="16">
        <v>0.78</v>
      </c>
      <c r="CL121" s="16">
        <v>0.76</v>
      </c>
      <c r="CM121" s="16">
        <v>0.63</v>
      </c>
      <c r="CN121" s="16">
        <v>-9999</v>
      </c>
      <c r="CO121" s="16">
        <v>-0.83422120328575655</v>
      </c>
      <c r="CP121" s="16">
        <v>2.8620272514829459</v>
      </c>
      <c r="CQ121" s="16">
        <v>0.23983377949203799</v>
      </c>
      <c r="CR121" s="16">
        <v>2.4413276213831159</v>
      </c>
      <c r="CS121" s="16">
        <v>0.92</v>
      </c>
      <c r="CT121" s="16">
        <v>0.77</v>
      </c>
      <c r="CU121" s="16">
        <v>0.65</v>
      </c>
      <c r="CV121" s="16">
        <v>0.55000000000000004</v>
      </c>
      <c r="CW121" s="16">
        <v>1.1299999999999999</v>
      </c>
      <c r="CX121" s="16">
        <v>1.18</v>
      </c>
      <c r="CY121" s="16">
        <v>1.02</v>
      </c>
      <c r="CZ121" s="16">
        <v>0.94</v>
      </c>
      <c r="DA121" s="16">
        <v>-9999</v>
      </c>
      <c r="DB121" s="16">
        <v>1.6754481058645077E-2</v>
      </c>
      <c r="DC121" s="16">
        <v>0.40267124188804182</v>
      </c>
      <c r="DD121" s="16">
        <v>1.08</v>
      </c>
      <c r="DE121" s="16">
        <v>0.95</v>
      </c>
      <c r="DF121" s="16">
        <v>0.77</v>
      </c>
      <c r="DG121" s="16">
        <v>0.66</v>
      </c>
      <c r="DH121" s="16">
        <v>0.59</v>
      </c>
      <c r="DI121" s="16">
        <v>0.59</v>
      </c>
      <c r="DJ121" s="16">
        <v>0.91</v>
      </c>
      <c r="DK121" s="16">
        <v>0.82</v>
      </c>
      <c r="DL121" s="16">
        <v>0.76</v>
      </c>
      <c r="DM121" s="16">
        <v>0.63</v>
      </c>
      <c r="DN121" s="16">
        <v>-9999</v>
      </c>
      <c r="DO121" s="16">
        <v>1.6754481058645077E-2</v>
      </c>
      <c r="DP121" s="16">
        <v>0.40267124188804182</v>
      </c>
      <c r="DQ121" s="16">
        <v>0.8</v>
      </c>
      <c r="DR121" s="16">
        <v>0.77</v>
      </c>
      <c r="DS121" s="16">
        <v>0.87</v>
      </c>
      <c r="DT121" s="16">
        <v>0.82</v>
      </c>
      <c r="DU121" s="16">
        <v>0.64</v>
      </c>
      <c r="DV121" s="16">
        <v>0.61</v>
      </c>
      <c r="DW121" s="16">
        <v>0.88</v>
      </c>
      <c r="DX121" s="16">
        <v>0.76</v>
      </c>
      <c r="DY121" s="16">
        <v>0.76</v>
      </c>
      <c r="DZ121" s="16">
        <v>0.63</v>
      </c>
      <c r="EA121" s="2257">
        <v>-9999</v>
      </c>
      <c r="EB121" s="2256">
        <v>1.6754481058645077E-2</v>
      </c>
      <c r="EC121" s="2256">
        <v>0.40267124188804182</v>
      </c>
      <c r="ED121" s="2256">
        <v>1.08</v>
      </c>
      <c r="EE121" s="2256">
        <v>0.95</v>
      </c>
      <c r="EF121" s="2256">
        <v>0.71</v>
      </c>
      <c r="EG121" s="2256">
        <v>0.88</v>
      </c>
      <c r="EH121" s="2256">
        <v>0.65</v>
      </c>
      <c r="EI121" s="2256">
        <v>0.59</v>
      </c>
      <c r="EJ121" s="2256">
        <v>0.88</v>
      </c>
      <c r="EK121" s="2256">
        <v>0.78</v>
      </c>
      <c r="EL121" s="2256">
        <v>0.76</v>
      </c>
      <c r="EM121" s="2256">
        <v>0.63</v>
      </c>
    </row>
    <row r="122" spans="1:143" ht="13.15">
      <c r="A122" s="22">
        <v>22</v>
      </c>
      <c r="B122" s="31" t="s">
        <v>1056</v>
      </c>
      <c r="C122" s="25">
        <v>-9999</v>
      </c>
      <c r="D122" s="1080">
        <f ca="1">OFFSET('Q1'!G13,0,(Last_forecast_year - 3-InputY!$G$3)*4+4)</f>
        <v>0.57351117440500587</v>
      </c>
      <c r="E122" s="1080">
        <f ca="1">OFFSET('Q1'!H13,0,(Last_forecast_year - 3-InputY!$G$3)*4+4)</f>
        <v>0.34510520182786664</v>
      </c>
      <c r="F122" s="1080">
        <f ca="1">OFFSET('Q1'!I13,0,(Last_forecast_year - 3-InputY!$G$3)*4+4)</f>
        <v>0.34002861904447018</v>
      </c>
      <c r="G122" s="1080">
        <f ca="1">OFFSET('Q1'!J13,0,(Last_forecast_year - 3-InputY!$G$3)*4+4)</f>
        <v>0.383602319405422</v>
      </c>
      <c r="H122" s="1080">
        <f ca="1">OFFSET('Q1'!K13,0,(Last_forecast_year - 3-InputY!$G$3)*4+4)</f>
        <v>0.72591462375418048</v>
      </c>
      <c r="I122" s="1080">
        <f ca="1">OFFSET('Q1'!L13,0,(Last_forecast_year - 3-InputY!$G$3)*4+4)</f>
        <v>0.59606580447937196</v>
      </c>
      <c r="J122" s="1080">
        <f ca="1">OFFSET('Q1'!M13,0,(Last_forecast_year - 3-InputY!$G$3)*4+4)</f>
        <v>0.46438493964670896</v>
      </c>
      <c r="K122" s="1080">
        <f ca="1">OFFSET('Q1'!N13,0,(Last_forecast_year - 3-InputY!$G$3)*4+4)</f>
        <v>0.46901660582402693</v>
      </c>
      <c r="L122" s="1080">
        <f ca="1">OFFSET('Q1'!O13,0,(Last_forecast_year - 3-InputY!$G$3)*4+4)</f>
        <v>0.69183576937864744</v>
      </c>
      <c r="M122" s="1080">
        <f ca="1">OFFSET('Q1'!P13,0,(Last_forecast_year - 3-InputY!$G$3)*4+4)</f>
        <v>0.66037856076563273</v>
      </c>
      <c r="N122" s="1080">
        <f ca="1">OFFSET('Q1'!Q13,0,(Last_forecast_year - 3-InputY!$G$3)*4+4)</f>
        <v>0.55229980007213553</v>
      </c>
      <c r="O122" s="1080">
        <f ca="1">OFFSET('Q1'!R13,0,(Last_forecast_year - 3-InputY!$G$3)*4+4)</f>
        <v>0.43386941955108188</v>
      </c>
      <c r="P122" s="26"/>
      <c r="Q122"/>
      <c r="AA122" s="22">
        <v>22</v>
      </c>
      <c r="AB122" s="1080" t="str">
        <f t="shared" si="3"/>
        <v>QUART. VOL. FINAL DEMAND (cols 2-13)</v>
      </c>
      <c r="AC122" s="1080">
        <f>CHOOSE(Tables!$U$2,Transfer!CA122,Transfer!CN122,Transfer!DA122,Transfer!DN122,Transfer!EA122)</f>
        <v>-9999</v>
      </c>
      <c r="AD122" s="1080">
        <f>CHOOSE(Tables!$U$2,Transfer!CB122,Transfer!CO122,Transfer!DB122,Transfer!DO122,Transfer!EB122)</f>
        <v>0.3658325314709554</v>
      </c>
      <c r="AE122" s="1080">
        <f>CHOOSE(Tables!$U$2,Transfer!CC122,Transfer!CP122,Transfer!DC122,Transfer!DP122,Transfer!EC122)</f>
        <v>1.5032239247791956</v>
      </c>
      <c r="AF122" s="1080">
        <f>CHOOSE(Tables!$U$2,Transfer!CD122,Transfer!CQ122,Transfer!DD122,Transfer!DQ122,Transfer!ED122)</f>
        <v>1.0107918274365679</v>
      </c>
      <c r="AG122" s="1080">
        <f>CHOOSE(Tables!$U$2,Transfer!CE122,Transfer!CR122,Transfer!DE122,Transfer!DR122,Transfer!EE122)</f>
        <v>0.79865408402988169</v>
      </c>
      <c r="AH122" s="1080">
        <f>CHOOSE(Tables!$U$2,Transfer!CF122,Transfer!CS122,Transfer!DF122,Transfer!DS122,Transfer!EF122)</f>
        <v>0.75979361762380138</v>
      </c>
      <c r="AI122" s="1080">
        <f>CHOOSE(Tables!$U$2,Transfer!CG122,Transfer!CT122,Transfer!DG122,Transfer!DT122,Transfer!EG122)</f>
        <v>0.61145169547612666</v>
      </c>
      <c r="AJ122" s="1080">
        <f>CHOOSE(Tables!$U$2,Transfer!CH122,Transfer!CU122,Transfer!DH122,Transfer!DU122,Transfer!EH122)</f>
        <v>0.57319690316420024</v>
      </c>
      <c r="AK122" s="1080">
        <f>CHOOSE(Tables!$U$2,Transfer!CI122,Transfer!CV122,Transfer!DI122,Transfer!DV122,Transfer!EI122)</f>
        <v>0.44166849246194223</v>
      </c>
      <c r="AL122" s="1080">
        <f>CHOOSE(Tables!$U$2,Transfer!CJ122,Transfer!CW122,Transfer!DJ122,Transfer!DW122,Transfer!EJ122)</f>
        <v>0.60174732129979369</v>
      </c>
      <c r="AM122" s="1080">
        <f>CHOOSE(Tables!$U$2,Transfer!CK122,Transfer!CX122,Transfer!DK122,Transfer!DX122,Transfer!EK122)</f>
        <v>0.66054609889441729</v>
      </c>
      <c r="AN122" s="1080">
        <f>CHOOSE(Tables!$U$2,Transfer!CL122,Transfer!CY122,Transfer!DL122,Transfer!DY122,Transfer!EL122)</f>
        <v>0.54836441897044852</v>
      </c>
      <c r="AO122" s="1080">
        <f>CHOOSE(Tables!$U$2,Transfer!CM122,Transfer!CZ122,Transfer!DM122,Transfer!DZ122,Transfer!EM122)</f>
        <v>0.46647584931483982</v>
      </c>
      <c r="AR122" s="22">
        <v>22</v>
      </c>
      <c r="AS122" s="31" t="s">
        <v>1056</v>
      </c>
      <c r="AT122" s="25">
        <f t="shared" si="5"/>
        <v>0</v>
      </c>
      <c r="AU122" s="1080">
        <f t="shared" ca="1" si="5"/>
        <v>0.20767864293405047</v>
      </c>
      <c r="AV122" s="1080">
        <f t="shared" ca="1" si="5"/>
        <v>-1.158118722951329</v>
      </c>
      <c r="AW122" s="1080">
        <f t="shared" ca="1" si="5"/>
        <v>-0.6707632083920978</v>
      </c>
      <c r="AX122" s="1080">
        <f t="shared" ca="1" si="5"/>
        <v>-0.4150517646244597</v>
      </c>
      <c r="AY122" s="1080">
        <f t="shared" ca="1" si="5"/>
        <v>-3.3878993869620899E-2</v>
      </c>
      <c r="AZ122" s="1080">
        <f t="shared" ca="1" si="5"/>
        <v>-1.5385890996754692E-2</v>
      </c>
      <c r="BA122" s="1080">
        <f t="shared" ca="1" si="5"/>
        <v>-0.10881196351749128</v>
      </c>
      <c r="BB122" s="1080">
        <f t="shared" ca="1" si="4"/>
        <v>2.7348113362084703E-2</v>
      </c>
      <c r="BC122" s="1080">
        <f t="shared" ca="1" si="4"/>
        <v>9.0088448078853745E-2</v>
      </c>
      <c r="BD122" s="1080">
        <f t="shared" ca="1" si="4"/>
        <v>-1.675381287845612E-4</v>
      </c>
      <c r="BE122" s="1080">
        <f t="shared" ca="1" si="4"/>
        <v>3.9353811016870077E-3</v>
      </c>
      <c r="BF122" s="1080">
        <f t="shared" ca="1" si="4"/>
        <v>-3.2606429763757938E-2</v>
      </c>
      <c r="CA122" s="16">
        <v>-9999</v>
      </c>
      <c r="CB122" s="16">
        <v>0.57351117440500587</v>
      </c>
      <c r="CC122" s="16">
        <v>0.34510520182786664</v>
      </c>
      <c r="CD122" s="16">
        <v>0.34002861904447018</v>
      </c>
      <c r="CE122" s="16">
        <v>0.383602319405422</v>
      </c>
      <c r="CF122" s="16">
        <v>0.72591462375418048</v>
      </c>
      <c r="CG122" s="16">
        <v>0.59606580447937196</v>
      </c>
      <c r="CH122" s="16">
        <v>0.46438493964670896</v>
      </c>
      <c r="CI122" s="16">
        <v>0.46901660582402693</v>
      </c>
      <c r="CJ122" s="16">
        <v>0.69183576937864744</v>
      </c>
      <c r="CK122" s="16">
        <v>0.66037856076563273</v>
      </c>
      <c r="CL122" s="16">
        <v>0.55229980007213553</v>
      </c>
      <c r="CM122" s="16">
        <v>0.43386941955108188</v>
      </c>
      <c r="CN122" s="16">
        <v>-9999</v>
      </c>
      <c r="CO122" s="16">
        <v>0.3658325314709554</v>
      </c>
      <c r="CP122" s="16">
        <v>1.5032239247791956</v>
      </c>
      <c r="CQ122" s="16">
        <v>1.0107918274365679</v>
      </c>
      <c r="CR122" s="16">
        <v>0.79865408402988169</v>
      </c>
      <c r="CS122" s="16">
        <v>0.75979361762380138</v>
      </c>
      <c r="CT122" s="16">
        <v>0.61145169547612666</v>
      </c>
      <c r="CU122" s="16">
        <v>0.57319690316420024</v>
      </c>
      <c r="CV122" s="16">
        <v>0.44166849246194223</v>
      </c>
      <c r="CW122" s="16">
        <v>0.60174732129979369</v>
      </c>
      <c r="CX122" s="16">
        <v>0.66054609889441729</v>
      </c>
      <c r="CY122" s="16">
        <v>0.54836441897044852</v>
      </c>
      <c r="CZ122" s="16">
        <v>0.46647584931483982</v>
      </c>
      <c r="DA122" s="16">
        <v>-9999</v>
      </c>
      <c r="DB122" s="16">
        <v>0.57351117440500587</v>
      </c>
      <c r="DC122" s="16">
        <v>0.34510520182786664</v>
      </c>
      <c r="DD122" s="16">
        <v>0.34002861904447018</v>
      </c>
      <c r="DE122" s="16">
        <v>0.383602319405422</v>
      </c>
      <c r="DF122" s="16">
        <v>0.75893442645851683</v>
      </c>
      <c r="DG122" s="16">
        <v>0.53490255066294012</v>
      </c>
      <c r="DH122" s="16">
        <v>0.46582474378465771</v>
      </c>
      <c r="DI122" s="16">
        <v>0.49839389929252914</v>
      </c>
      <c r="DJ122" s="16">
        <v>0.70208333521671995</v>
      </c>
      <c r="DK122" s="16">
        <v>0.64659418352127429</v>
      </c>
      <c r="DL122" s="16">
        <v>0.51781555090672637</v>
      </c>
      <c r="DM122" s="16">
        <v>0.43373822371201892</v>
      </c>
      <c r="DN122" s="16">
        <v>-9999</v>
      </c>
      <c r="DO122" s="16">
        <v>0.57351117440500587</v>
      </c>
      <c r="DP122" s="16">
        <v>0.34510520182786664</v>
      </c>
      <c r="DQ122" s="16">
        <v>0.33722493273034104</v>
      </c>
      <c r="DR122" s="16">
        <v>0.3210362719004487</v>
      </c>
      <c r="DS122" s="16">
        <v>0.75628374872965909</v>
      </c>
      <c r="DT122" s="16">
        <v>0.58100809323684044</v>
      </c>
      <c r="DU122" s="16">
        <v>0.48316790158827011</v>
      </c>
      <c r="DV122" s="16">
        <v>0.50527303138724722</v>
      </c>
      <c r="DW122" s="16">
        <v>0.69462453565445048</v>
      </c>
      <c r="DX122" s="16">
        <v>0.62541921211689866</v>
      </c>
      <c r="DY122" s="16">
        <v>0.51759085187083143</v>
      </c>
      <c r="DZ122" s="16">
        <v>0.44394231842487986</v>
      </c>
      <c r="EA122" s="2257">
        <v>-9999</v>
      </c>
      <c r="EB122" s="2256">
        <v>0.57351117440500587</v>
      </c>
      <c r="EC122" s="2256">
        <v>0.34510520182786664</v>
      </c>
      <c r="ED122" s="2256">
        <v>0.34002861904447018</v>
      </c>
      <c r="EE122" s="2256">
        <v>0.383602319405422</v>
      </c>
      <c r="EF122" s="2256">
        <v>0.72591462375418048</v>
      </c>
      <c r="EG122" s="2256">
        <v>0.59606580447937196</v>
      </c>
      <c r="EH122" s="2256">
        <v>0.46438493964670896</v>
      </c>
      <c r="EI122" s="2256">
        <v>0.46901660582402693</v>
      </c>
      <c r="EJ122" s="2256">
        <v>0.69183576937864744</v>
      </c>
      <c r="EK122" s="2256">
        <v>0.66037856076563273</v>
      </c>
      <c r="EL122" s="2256">
        <v>0.55229980007213553</v>
      </c>
      <c r="EM122" s="2256">
        <v>0.43386941955108188</v>
      </c>
    </row>
    <row r="123" spans="1:143" ht="13.15">
      <c r="A123" s="22">
        <v>23</v>
      </c>
      <c r="B123" s="31" t="s">
        <v>1057</v>
      </c>
      <c r="C123" s="25">
        <v>-9999</v>
      </c>
      <c r="D123" s="1080">
        <f ca="1">OFFSET('Q1'!G14,0,(Last_forecast_year - 3-InputY!$G$3)*4+4)</f>
        <v>0.88212718145459501</v>
      </c>
      <c r="E123" s="1080">
        <f ca="1">OFFSET('Q1'!H14,0,(Last_forecast_year - 3-InputY!$G$3)*4+4)</f>
        <v>0.79031962162392499</v>
      </c>
      <c r="F123" s="1080">
        <f ca="1">OFFSET('Q1'!I14,0,(Last_forecast_year - 3-InputY!$G$3)*4+4)</f>
        <v>0.49</v>
      </c>
      <c r="G123" s="1080">
        <f ca="1">OFFSET('Q1'!J14,0,(Last_forecast_year - 3-InputY!$G$3)*4+4)</f>
        <v>0.33</v>
      </c>
      <c r="H123" s="1080">
        <f ca="1">OFFSET('Q1'!K14,0,(Last_forecast_year - 3-InputY!$G$3)*4+4)</f>
        <v>1.05</v>
      </c>
      <c r="I123" s="1080">
        <f ca="1">OFFSET('Q1'!L14,0,(Last_forecast_year - 3-InputY!$G$3)*4+4)</f>
        <v>0.99</v>
      </c>
      <c r="J123" s="1080">
        <f ca="1">OFFSET('Q1'!M14,0,(Last_forecast_year - 3-InputY!$G$3)*4+4)</f>
        <v>0.92</v>
      </c>
      <c r="K123" s="1080">
        <f ca="1">OFFSET('Q1'!N14,0,(Last_forecast_year - 3-InputY!$G$3)*4+4)</f>
        <v>0.88</v>
      </c>
      <c r="L123" s="1080">
        <f ca="1">OFFSET('Q1'!O14,0,(Last_forecast_year - 3-InputY!$G$3)*4+4)</f>
        <v>0.77</v>
      </c>
      <c r="M123" s="1080">
        <f ca="1">OFFSET('Q1'!P14,0,(Last_forecast_year - 3-InputY!$G$3)*4+4)</f>
        <v>0.74</v>
      </c>
      <c r="N123" s="1080">
        <f ca="1">OFFSET('Q1'!Q14,0,(Last_forecast_year - 3-InputY!$G$3)*4+4)</f>
        <v>0.62</v>
      </c>
      <c r="O123" s="1080">
        <f ca="1">OFFSET('Q1'!R14,0,(Last_forecast_year - 3-InputY!$G$3)*4+4)</f>
        <v>0.45</v>
      </c>
      <c r="P123" s="26"/>
      <c r="Q123"/>
      <c r="AA123" s="22">
        <v>23</v>
      </c>
      <c r="AB123" s="1080" t="str">
        <f t="shared" si="3"/>
        <v>QUART. VOL. IMPORTS G AND S (cols 2-13)</v>
      </c>
      <c r="AC123" s="1080">
        <f>CHOOSE(Tables!$U$2,Transfer!CA123,Transfer!CN123,Transfer!DA123,Transfer!DN123,Transfer!EA123)</f>
        <v>-9999</v>
      </c>
      <c r="AD123" s="1080">
        <f>CHOOSE(Tables!$U$2,Transfer!CB123,Transfer!CO123,Transfer!DB123,Transfer!DO123,Transfer!EB123)</f>
        <v>1.7326055051833933</v>
      </c>
      <c r="AE123" s="1080">
        <f>CHOOSE(Tables!$U$2,Transfer!CC123,Transfer!CP123,Transfer!DC123,Transfer!DP123,Transfer!EC123)</f>
        <v>1.9836362968097099</v>
      </c>
      <c r="AF123" s="1080">
        <f>CHOOSE(Tables!$U$2,Transfer!CD123,Transfer!CQ123,Transfer!DD123,Transfer!DQ123,Transfer!ED123)</f>
        <v>1.3933232464882206</v>
      </c>
      <c r="AG123" s="1080">
        <f>CHOOSE(Tables!$U$2,Transfer!CE123,Transfer!CR123,Transfer!DE123,Transfer!DR123,Transfer!EE123)</f>
        <v>1.1850500595899538</v>
      </c>
      <c r="AH123" s="1080">
        <f>CHOOSE(Tables!$U$2,Transfer!CF123,Transfer!CS123,Transfer!DF123,Transfer!DS123,Transfer!EF123)</f>
        <v>0.76</v>
      </c>
      <c r="AI123" s="1080">
        <f>CHOOSE(Tables!$U$2,Transfer!CG123,Transfer!CT123,Transfer!DG123,Transfer!DT123,Transfer!EG123)</f>
        <v>1.08</v>
      </c>
      <c r="AJ123" s="1080">
        <f>CHOOSE(Tables!$U$2,Transfer!CH123,Transfer!CU123,Transfer!DH123,Transfer!DU123,Transfer!EH123)</f>
        <v>0.88</v>
      </c>
      <c r="AK123" s="1080">
        <f>CHOOSE(Tables!$U$2,Transfer!CI123,Transfer!CV123,Transfer!DI123,Transfer!DV123,Transfer!EI123)</f>
        <v>0.6</v>
      </c>
      <c r="AL123" s="1080">
        <f>CHOOSE(Tables!$U$2,Transfer!CJ123,Transfer!CW123,Transfer!DJ123,Transfer!DW123,Transfer!EJ123)</f>
        <v>0.95</v>
      </c>
      <c r="AM123" s="1080">
        <f>CHOOSE(Tables!$U$2,Transfer!CK123,Transfer!CX123,Transfer!DK123,Transfer!DX123,Transfer!EK123)</f>
        <v>0.99</v>
      </c>
      <c r="AN123" s="1080">
        <f>CHOOSE(Tables!$U$2,Transfer!CL123,Transfer!CY123,Transfer!DL123,Transfer!DY123,Transfer!EL123)</f>
        <v>0.79</v>
      </c>
      <c r="AO123" s="1080">
        <f>CHOOSE(Tables!$U$2,Transfer!CM123,Transfer!CZ123,Transfer!DM123,Transfer!DZ123,Transfer!EM123)</f>
        <v>0.72</v>
      </c>
      <c r="AR123" s="22">
        <v>23</v>
      </c>
      <c r="AS123" s="31" t="s">
        <v>1057</v>
      </c>
      <c r="AT123" s="25">
        <f t="shared" si="5"/>
        <v>0</v>
      </c>
      <c r="AU123" s="1080">
        <f t="shared" ca="1" si="5"/>
        <v>-0.85047832372879828</v>
      </c>
      <c r="AV123" s="1080">
        <f t="shared" ca="1" si="5"/>
        <v>-1.1933166751857849</v>
      </c>
      <c r="AW123" s="1080">
        <f t="shared" ca="1" si="5"/>
        <v>-0.9033232464882206</v>
      </c>
      <c r="AX123" s="1080">
        <f t="shared" ca="1" si="5"/>
        <v>-0.85505005958995373</v>
      </c>
      <c r="AY123" s="1080">
        <f t="shared" ca="1" si="5"/>
        <v>0.29000000000000004</v>
      </c>
      <c r="AZ123" s="1080">
        <f t="shared" ca="1" si="5"/>
        <v>-9.000000000000008E-2</v>
      </c>
      <c r="BA123" s="1080">
        <f t="shared" ca="1" si="5"/>
        <v>4.0000000000000036E-2</v>
      </c>
      <c r="BB123" s="1080">
        <f t="shared" ca="1" si="4"/>
        <v>0.28000000000000003</v>
      </c>
      <c r="BC123" s="1080">
        <f t="shared" ca="1" si="4"/>
        <v>-0.17999999999999994</v>
      </c>
      <c r="BD123" s="1080">
        <f t="shared" ca="1" si="4"/>
        <v>-0.25</v>
      </c>
      <c r="BE123" s="1080">
        <f t="shared" ca="1" si="4"/>
        <v>-0.17000000000000004</v>
      </c>
      <c r="BF123" s="1080">
        <f t="shared" ca="1" si="4"/>
        <v>-0.26999999999999996</v>
      </c>
      <c r="CA123" s="16">
        <v>-9999</v>
      </c>
      <c r="CB123" s="16">
        <v>0.88212718145459501</v>
      </c>
      <c r="CC123" s="16">
        <v>0.79031962162392499</v>
      </c>
      <c r="CD123" s="16">
        <v>0.49</v>
      </c>
      <c r="CE123" s="16">
        <v>0.33</v>
      </c>
      <c r="CF123" s="16">
        <v>1.05</v>
      </c>
      <c r="CG123" s="16">
        <v>0.99</v>
      </c>
      <c r="CH123" s="16">
        <v>0.92</v>
      </c>
      <c r="CI123" s="16">
        <v>0.88</v>
      </c>
      <c r="CJ123" s="16">
        <v>0.77</v>
      </c>
      <c r="CK123" s="16">
        <v>0.74</v>
      </c>
      <c r="CL123" s="16">
        <v>0.62</v>
      </c>
      <c r="CM123" s="16">
        <v>0.45</v>
      </c>
      <c r="CN123" s="16">
        <v>-9999</v>
      </c>
      <c r="CO123" s="16">
        <v>1.7326055051833933</v>
      </c>
      <c r="CP123" s="16">
        <v>1.9836362968097099</v>
      </c>
      <c r="CQ123" s="16">
        <v>1.3933232464882206</v>
      </c>
      <c r="CR123" s="16">
        <v>1.1850500595899538</v>
      </c>
      <c r="CS123" s="16">
        <v>0.76</v>
      </c>
      <c r="CT123" s="16">
        <v>1.08</v>
      </c>
      <c r="CU123" s="16">
        <v>0.88</v>
      </c>
      <c r="CV123" s="16">
        <v>0.6</v>
      </c>
      <c r="CW123" s="16">
        <v>0.95</v>
      </c>
      <c r="CX123" s="16">
        <v>0.99</v>
      </c>
      <c r="CY123" s="16">
        <v>0.79</v>
      </c>
      <c r="CZ123" s="16">
        <v>0.72</v>
      </c>
      <c r="DA123" s="16">
        <v>-9999</v>
      </c>
      <c r="DB123" s="16">
        <v>0.88212718145459501</v>
      </c>
      <c r="DC123" s="16">
        <v>0.79031962162392499</v>
      </c>
      <c r="DD123" s="16">
        <v>0.49</v>
      </c>
      <c r="DE123" s="16">
        <v>0.33</v>
      </c>
      <c r="DF123" s="16">
        <v>1.05</v>
      </c>
      <c r="DG123" s="16">
        <v>0.99</v>
      </c>
      <c r="DH123" s="16">
        <v>0.92</v>
      </c>
      <c r="DI123" s="16">
        <v>0.88</v>
      </c>
      <c r="DJ123" s="16">
        <v>0.77</v>
      </c>
      <c r="DK123" s="16">
        <v>0.74</v>
      </c>
      <c r="DL123" s="16">
        <v>0.62</v>
      </c>
      <c r="DM123" s="16">
        <v>0.45</v>
      </c>
      <c r="DN123" s="16">
        <v>-9999</v>
      </c>
      <c r="DO123" s="16">
        <v>0.88212718145459501</v>
      </c>
      <c r="DP123" s="16">
        <v>0.79031962162392499</v>
      </c>
      <c r="DQ123" s="16">
        <v>0.28999999999999998</v>
      </c>
      <c r="DR123" s="16">
        <v>0.42</v>
      </c>
      <c r="DS123" s="16">
        <v>1.05</v>
      </c>
      <c r="DT123" s="16">
        <v>0.99</v>
      </c>
      <c r="DU123" s="16">
        <v>0.92</v>
      </c>
      <c r="DV123" s="16">
        <v>0.88</v>
      </c>
      <c r="DW123" s="16">
        <v>0.77</v>
      </c>
      <c r="DX123" s="16">
        <v>0.74</v>
      </c>
      <c r="DY123" s="16">
        <v>0.62</v>
      </c>
      <c r="DZ123" s="16">
        <v>0.45</v>
      </c>
      <c r="EA123" s="2257">
        <v>-9999</v>
      </c>
      <c r="EB123" s="2256">
        <v>0.88212718145459501</v>
      </c>
      <c r="EC123" s="2256">
        <v>0.79031962162392499</v>
      </c>
      <c r="ED123" s="2256">
        <v>0.49</v>
      </c>
      <c r="EE123" s="2256">
        <v>0.33</v>
      </c>
      <c r="EF123" s="2256">
        <v>1.05</v>
      </c>
      <c r="EG123" s="2256">
        <v>0.99</v>
      </c>
      <c r="EH123" s="2256">
        <v>0.92</v>
      </c>
      <c r="EI123" s="2256">
        <v>0.88</v>
      </c>
      <c r="EJ123" s="2256">
        <v>0.77</v>
      </c>
      <c r="EK123" s="2256">
        <v>0.74</v>
      </c>
      <c r="EL123" s="2256">
        <v>0.62</v>
      </c>
      <c r="EM123" s="2256">
        <v>0.45</v>
      </c>
    </row>
    <row r="124" spans="1:143" ht="13.15">
      <c r="A124" s="22">
        <v>24</v>
      </c>
      <c r="B124" s="31" t="s">
        <v>1058</v>
      </c>
      <c r="C124" s="25">
        <v>-9999</v>
      </c>
      <c r="D124" s="1080">
        <f ca="1">OFFSET('Q1'!G15,0,(Last_forecast_year - 3-InputY!$G$3)*4+4)</f>
        <v>0.54930177229954857</v>
      </c>
      <c r="E124" s="1080">
        <f ca="1">OFFSET('Q1'!H15,0,(Last_forecast_year - 3-InputY!$G$3)*4+4)</f>
        <v>0.76488268205716636</v>
      </c>
      <c r="F124" s="1080">
        <f ca="1">OFFSET('Q1'!I15,0,(Last_forecast_year - 3-InputY!$G$3)*4+4)</f>
        <v>0.25200539014402779</v>
      </c>
      <c r="G124" s="1080">
        <f ca="1">OFFSET('Q1'!J15,0,(Last_forecast_year - 3-InputY!$G$3)*4+4)</f>
        <v>0.40329740728684005</v>
      </c>
      <c r="H124" s="1080">
        <f ca="1">OFFSET('Q1'!K15,0,(Last_forecast_year - 3-InputY!$G$3)*4+4)</f>
        <v>0.32868125784137892</v>
      </c>
      <c r="I124" s="1080">
        <f ca="1">OFFSET('Q1'!L15,0,(Last_forecast_year - 3-InputY!$G$3)*4+4)</f>
        <v>0.40458909801095455</v>
      </c>
      <c r="J124" s="1080">
        <f ca="1">OFFSET('Q1'!M15,0,(Last_forecast_year - 3-InputY!$G$3)*4+4)</f>
        <v>0.33811235517571259</v>
      </c>
      <c r="K124" s="1080">
        <f ca="1">OFFSET('Q1'!N15,0,(Last_forecast_year - 3-InputY!$G$3)*4+4)</f>
        <v>0.26833399675958436</v>
      </c>
      <c r="L124" s="1080">
        <f ca="1">OFFSET('Q1'!O15,0,(Last_forecast_year - 3-InputY!$G$3)*4+4)</f>
        <v>0.36624145647452533</v>
      </c>
      <c r="M124" s="1080">
        <f ca="1">OFFSET('Q1'!P15,0,(Last_forecast_year - 3-InputY!$G$3)*4+4)</f>
        <v>0.43016720058188795</v>
      </c>
      <c r="N124" s="1080">
        <f ca="1">OFFSET('Q1'!Q15,0,(Last_forecast_year - 3-InputY!$G$3)*4+4)</f>
        <v>0.42310630741280164</v>
      </c>
      <c r="O124" s="1080">
        <f ca="1">OFFSET('Q1'!R15,0,(Last_forecast_year - 3-InputY!$G$3)*4+4)</f>
        <v>0.33113125304427005</v>
      </c>
      <c r="P124" s="26"/>
      <c r="Q124"/>
      <c r="AA124" s="22">
        <v>24</v>
      </c>
      <c r="AB124" s="1080" t="str">
        <f t="shared" si="3"/>
        <v>QUART. VOL. GROSS DOM. PRODUCT (cols 2-13)</v>
      </c>
      <c r="AC124" s="1080">
        <f>CHOOSE(Tables!$U$2,Transfer!CA124,Transfer!CN124,Transfer!DA124,Transfer!DN124,Transfer!EA124)</f>
        <v>-9999</v>
      </c>
      <c r="AD124" s="1080">
        <f>CHOOSE(Tables!$U$2,Transfer!CB124,Transfer!CO124,Transfer!DB124,Transfer!DO124,Transfer!EB124)</f>
        <v>0.42072803394428426</v>
      </c>
      <c r="AE124" s="1080">
        <f>CHOOSE(Tables!$U$2,Transfer!CC124,Transfer!CP124,Transfer!DC124,Transfer!DP124,Transfer!EC124)</f>
        <v>1.1564141480078671</v>
      </c>
      <c r="AF124" s="1080">
        <f>CHOOSE(Tables!$U$2,Transfer!CD124,Transfer!CQ124,Transfer!DD124,Transfer!DQ124,Transfer!ED124)</f>
        <v>0.8126137182127291</v>
      </c>
      <c r="AG124" s="1080">
        <f>CHOOSE(Tables!$U$2,Transfer!CE124,Transfer!CR124,Transfer!DE124,Transfer!DR124,Transfer!EE124)</f>
        <v>0.86166838598287221</v>
      </c>
      <c r="AH124" s="1080">
        <f>CHOOSE(Tables!$U$2,Transfer!CF124,Transfer!CS124,Transfer!DF124,Transfer!DS124,Transfer!EF124)</f>
        <v>0.73643068445070625</v>
      </c>
      <c r="AI124" s="1080">
        <f>CHOOSE(Tables!$U$2,Transfer!CG124,Transfer!CT124,Transfer!DG124,Transfer!DT124,Transfer!EG124)</f>
        <v>0.57172873413382508</v>
      </c>
      <c r="AJ124" s="1080">
        <f>CHOOSE(Tables!$U$2,Transfer!CH124,Transfer!CU124,Transfer!DH124,Transfer!DU124,Transfer!EH124)</f>
        <v>0.42605703206854972</v>
      </c>
      <c r="AK124" s="1080">
        <f>CHOOSE(Tables!$U$2,Transfer!CI124,Transfer!CV124,Transfer!DI124,Transfer!DV124,Transfer!EI124)</f>
        <v>0.36377968370508995</v>
      </c>
      <c r="AL124" s="1080">
        <f>CHOOSE(Tables!$U$2,Transfer!CJ124,Transfer!CW124,Transfer!DJ124,Transfer!DW124,Transfer!EJ124)</f>
        <v>0.43423497917411957</v>
      </c>
      <c r="AM124" s="1080">
        <f>CHOOSE(Tables!$U$2,Transfer!CK124,Transfer!CX124,Transfer!DK124,Transfer!DX124,Transfer!EK124)</f>
        <v>0.40731848220456612</v>
      </c>
      <c r="AN124" s="1080">
        <f>CHOOSE(Tables!$U$2,Transfer!CL124,Transfer!CY124,Transfer!DL124,Transfer!DY124,Transfer!EL124)</f>
        <v>0.43000516750641982</v>
      </c>
      <c r="AO124" s="1080">
        <f>CHOOSE(Tables!$U$2,Transfer!CM124,Transfer!CZ124,Transfer!DM124,Transfer!DZ124,Transfer!EM124)</f>
        <v>0.43521044043504098</v>
      </c>
      <c r="AR124" s="22">
        <v>24</v>
      </c>
      <c r="AS124" s="31" t="s">
        <v>1058</v>
      </c>
      <c r="AT124" s="25">
        <f t="shared" si="5"/>
        <v>0</v>
      </c>
      <c r="AU124" s="1080">
        <f t="shared" ca="1" si="5"/>
        <v>0.12857373835526431</v>
      </c>
      <c r="AV124" s="1080">
        <f t="shared" ca="1" si="5"/>
        <v>-0.39153146595070076</v>
      </c>
      <c r="AW124" s="1080">
        <f t="shared" ca="1" si="5"/>
        <v>-0.56060832806870131</v>
      </c>
      <c r="AX124" s="1080">
        <f t="shared" ca="1" si="5"/>
        <v>-0.45837097869603216</v>
      </c>
      <c r="AY124" s="1080">
        <f t="shared" ca="1" si="5"/>
        <v>-0.40774942660932734</v>
      </c>
      <c r="AZ124" s="1080">
        <f t="shared" ca="1" si="5"/>
        <v>-0.16713963612287053</v>
      </c>
      <c r="BA124" s="1080">
        <f t="shared" ca="1" si="5"/>
        <v>-8.7944676892837137E-2</v>
      </c>
      <c r="BB124" s="1080">
        <f t="shared" ca="1" si="4"/>
        <v>-9.5445686945505592E-2</v>
      </c>
      <c r="BC124" s="1080">
        <f t="shared" ca="1" si="4"/>
        <v>-6.7993522699594244E-2</v>
      </c>
      <c r="BD124" s="1080">
        <f t="shared" ca="1" si="4"/>
        <v>2.2848718377321831E-2</v>
      </c>
      <c r="BE124" s="1080">
        <f t="shared" ca="1" si="4"/>
        <v>-6.8988600936181754E-3</v>
      </c>
      <c r="BF124" s="1080">
        <f t="shared" ca="1" si="4"/>
        <v>-0.10407918739077093</v>
      </c>
      <c r="CA124" s="16">
        <v>-9999</v>
      </c>
      <c r="CB124" s="16">
        <v>0.54930177229954857</v>
      </c>
      <c r="CC124" s="16">
        <v>0.76488268205716636</v>
      </c>
      <c r="CD124" s="16">
        <v>0.25200539014402779</v>
      </c>
      <c r="CE124" s="16">
        <v>0.40329740728684005</v>
      </c>
      <c r="CF124" s="16">
        <v>0.32868125784137892</v>
      </c>
      <c r="CG124" s="16">
        <v>0.40458909801095455</v>
      </c>
      <c r="CH124" s="16">
        <v>0.33811235517571259</v>
      </c>
      <c r="CI124" s="16">
        <v>0.26833399675958436</v>
      </c>
      <c r="CJ124" s="16">
        <v>0.36624145647452533</v>
      </c>
      <c r="CK124" s="16">
        <v>0.43016720058188795</v>
      </c>
      <c r="CL124" s="16">
        <v>0.42310630741280164</v>
      </c>
      <c r="CM124" s="16">
        <v>0.33113125304427005</v>
      </c>
      <c r="CN124" s="16">
        <v>-9999</v>
      </c>
      <c r="CO124" s="16">
        <v>0.42072803394428426</v>
      </c>
      <c r="CP124" s="16">
        <v>1.1564141480078671</v>
      </c>
      <c r="CQ124" s="16">
        <v>0.8126137182127291</v>
      </c>
      <c r="CR124" s="16">
        <v>0.86166838598287221</v>
      </c>
      <c r="CS124" s="16">
        <v>0.73643068445070625</v>
      </c>
      <c r="CT124" s="16">
        <v>0.57172873413382508</v>
      </c>
      <c r="CU124" s="16">
        <v>0.42605703206854972</v>
      </c>
      <c r="CV124" s="16">
        <v>0.36377968370508995</v>
      </c>
      <c r="CW124" s="16">
        <v>0.43423497917411957</v>
      </c>
      <c r="CX124" s="16">
        <v>0.40731848220456612</v>
      </c>
      <c r="CY124" s="16">
        <v>0.43000516750641982</v>
      </c>
      <c r="CZ124" s="16">
        <v>0.43521044043504098</v>
      </c>
      <c r="DA124" s="16">
        <v>-9999</v>
      </c>
      <c r="DB124" s="16">
        <v>0.54930177229954857</v>
      </c>
      <c r="DC124" s="16">
        <v>0.76488268205716636</v>
      </c>
      <c r="DD124" s="16">
        <v>0.25200539014402779</v>
      </c>
      <c r="DE124" s="16">
        <v>0.40329740728684005</v>
      </c>
      <c r="DF124" s="16">
        <v>0.37662246302334612</v>
      </c>
      <c r="DG124" s="16">
        <v>0.31553984932461976</v>
      </c>
      <c r="DH124" s="16">
        <v>0.34016361861455291</v>
      </c>
      <c r="DI124" s="16">
        <v>0.31121837998868696</v>
      </c>
      <c r="DJ124" s="16">
        <v>0.38126838463155011</v>
      </c>
      <c r="DK124" s="16">
        <v>0.40994955098814234</v>
      </c>
      <c r="DL124" s="16">
        <v>0.37229847437048047</v>
      </c>
      <c r="DM124" s="16">
        <v>0.33088432367878173</v>
      </c>
      <c r="DN124" s="16">
        <v>-9999</v>
      </c>
      <c r="DO124" s="16">
        <v>0.54930177229954857</v>
      </c>
      <c r="DP124" s="16">
        <v>0.76488268205716636</v>
      </c>
      <c r="DQ124" s="16">
        <v>0.34090542200726492</v>
      </c>
      <c r="DR124" s="16">
        <v>0.27064199275721457</v>
      </c>
      <c r="DS124" s="16">
        <v>0.37275663321725272</v>
      </c>
      <c r="DT124" s="16">
        <v>0.38285106731534846</v>
      </c>
      <c r="DU124" s="16">
        <v>0.3657439909057647</v>
      </c>
      <c r="DV124" s="16">
        <v>0.32155638467485925</v>
      </c>
      <c r="DW124" s="16">
        <v>0.37055912793231283</v>
      </c>
      <c r="DX124" s="16">
        <v>0.37899600486857032</v>
      </c>
      <c r="DY124" s="16">
        <v>0.37204163077189101</v>
      </c>
      <c r="DZ124" s="16">
        <v>0.34595657071683217</v>
      </c>
      <c r="EA124" s="2257">
        <v>-9999</v>
      </c>
      <c r="EB124" s="2256">
        <v>0.54930177229954857</v>
      </c>
      <c r="EC124" s="2256">
        <v>0.76488268205716636</v>
      </c>
      <c r="ED124" s="2256">
        <v>0.25200539014402779</v>
      </c>
      <c r="EE124" s="2256">
        <v>0.40329740728684005</v>
      </c>
      <c r="EF124" s="2256">
        <v>0.32868125784137892</v>
      </c>
      <c r="EG124" s="2256">
        <v>0.40458909801095455</v>
      </c>
      <c r="EH124" s="2256">
        <v>0.33811235517571259</v>
      </c>
      <c r="EI124" s="2256">
        <v>0.26833399675958436</v>
      </c>
      <c r="EJ124" s="2256">
        <v>0.36624145647452533</v>
      </c>
      <c r="EK124" s="2256">
        <v>0.43016720058188795</v>
      </c>
      <c r="EL124" s="2256">
        <v>0.42310630741280164</v>
      </c>
      <c r="EM124" s="2256">
        <v>0.33113125304427005</v>
      </c>
    </row>
    <row r="125" spans="1:143" ht="13.15">
      <c r="A125" s="3181">
        <v>25</v>
      </c>
      <c r="B125" s="3244" t="s">
        <v>110</v>
      </c>
      <c r="C125" s="25">
        <v>-9999</v>
      </c>
      <c r="D125" s="1080">
        <f ca="1">OFFSET('Q1'!G317,0,(Last_forecast_year - 3-InputY!$G$3)*4+4)</f>
        <v>1.725490196078411</v>
      </c>
      <c r="E125" s="1080">
        <f ca="1">OFFSET('Q1'!H317,0,(Last_forecast_year - 3-InputY!$G$3)*4+4)</f>
        <v>1.9725974152171659</v>
      </c>
      <c r="F125" s="1080">
        <f ca="1">OFFSET('Q1'!I317,0,(Last_forecast_year - 3-InputY!$G$3)*4+4)</f>
        <v>2.2320997197796686</v>
      </c>
      <c r="G125" s="1080">
        <f ca="1">OFFSET('Q1'!J317,0,(Last_forecast_year - 3-InputY!$G$3)*4+4)</f>
        <v>2.4169975008585709</v>
      </c>
      <c r="H125" s="1080">
        <f ca="1">OFFSET('Q1'!K317,0,(Last_forecast_year - 3-InputY!$G$3)*4+4)</f>
        <v>2.2737771719108224</v>
      </c>
      <c r="I125" s="1080">
        <f ca="1">OFFSET('Q1'!L317,0,(Last_forecast_year - 3-InputY!$G$3)*4+4)</f>
        <v>1.9853869429720845</v>
      </c>
      <c r="J125" s="1080">
        <f ca="1">OFFSET('Q1'!M317,0,(Last_forecast_year - 3-InputY!$G$3)*4+4)</f>
        <v>1.7005707106350343</v>
      </c>
      <c r="K125" s="1080">
        <f ca="1">OFFSET('Q1'!N317,0,(Last_forecast_year - 3-InputY!$G$3)*4+4)</f>
        <v>1.6633556682615449</v>
      </c>
      <c r="L125" s="1080">
        <f ca="1">OFFSET('Q1'!O317,0,(Last_forecast_year - 3-InputY!$G$3)*4+4)</f>
        <v>1.5062973100673673</v>
      </c>
      <c r="M125" s="1080">
        <f ca="1">OFFSET('Q1'!P317,0,(Last_forecast_year - 3-InputY!$G$3)*4+4)</f>
        <v>1.5741852142702868</v>
      </c>
      <c r="N125" s="1080">
        <f ca="1">OFFSET('Q1'!Q317,0,(Last_forecast_year - 3-InputY!$G$3)*4+4)</f>
        <v>1.6578690505000111</v>
      </c>
      <c r="O125" s="1080">
        <f ca="1">OFFSET('Q1'!R317,0,(Last_forecast_year - 3-InputY!$G$3)*4+4)</f>
        <v>1.649929533784757</v>
      </c>
      <c r="P125" s="26"/>
      <c r="Q125"/>
      <c r="AA125" s="22">
        <v>25</v>
      </c>
      <c r="AB125" s="1080" t="str">
        <f t="shared" si="3"/>
        <v>QUART. HICP (cols 2-13)</v>
      </c>
      <c r="AC125" s="1080">
        <f>CHOOSE(Tables!$U$2,Transfer!CA125,Transfer!CN125,Transfer!DA125,Transfer!DN125,Transfer!EA125)</f>
        <v>-9999</v>
      </c>
      <c r="AD125" s="1080">
        <f>CHOOSE(Tables!$U$2,Transfer!CB125,Transfer!CO125,Transfer!DB125,Transfer!DO125,Transfer!EB125)</f>
        <v>1.6239912324399768</v>
      </c>
      <c r="AE125" s="1080">
        <f>CHOOSE(Tables!$U$2,Transfer!CC125,Transfer!CP125,Transfer!DC125,Transfer!DP125,Transfer!EC125)</f>
        <v>1.847392207963594</v>
      </c>
      <c r="AF125" s="1080">
        <f>CHOOSE(Tables!$U$2,Transfer!CD125,Transfer!CQ125,Transfer!DD125,Transfer!DQ125,Transfer!ED125)</f>
        <v>2.2325397609404405</v>
      </c>
      <c r="AG125" s="1080">
        <f>CHOOSE(Tables!$U$2,Transfer!CE125,Transfer!CR125,Transfer!DE125,Transfer!DR125,Transfer!EE125)</f>
        <v>1.7598953222113067</v>
      </c>
      <c r="AH125" s="1080">
        <f>CHOOSE(Tables!$U$2,Transfer!CF125,Transfer!CS125,Transfer!DF125,Transfer!DS125,Transfer!EF125)</f>
        <v>1.725490196078411</v>
      </c>
      <c r="AI125" s="1080">
        <f>CHOOSE(Tables!$U$2,Transfer!CG125,Transfer!CT125,Transfer!DG125,Transfer!DT125,Transfer!EG125)</f>
        <v>2.0302915567193196</v>
      </c>
      <c r="AJ125" s="1080">
        <f>CHOOSE(Tables!$U$2,Transfer!CH125,Transfer!CU125,Transfer!DH125,Transfer!DU125,Transfer!EH125)</f>
        <v>2.1270368383515148</v>
      </c>
      <c r="AK125" s="1080">
        <f>CHOOSE(Tables!$U$2,Transfer!CI125,Transfer!CV125,Transfer!DI125,Transfer!DV125,Transfer!EI125)</f>
        <v>1.8857032258840007</v>
      </c>
      <c r="AL125" s="1080">
        <f>CHOOSE(Tables!$U$2,Transfer!CJ125,Transfer!CW125,Transfer!DJ125,Transfer!DW125,Transfer!EJ125)</f>
        <v>1.7106406541398229</v>
      </c>
      <c r="AM125" s="1080">
        <f>CHOOSE(Tables!$U$2,Transfer!CK125,Transfer!CX125,Transfer!DK125,Transfer!DX125,Transfer!EK125)</f>
        <v>1.6400369407282085</v>
      </c>
      <c r="AN125" s="1080">
        <f>CHOOSE(Tables!$U$2,Transfer!CL125,Transfer!CY125,Transfer!DL125,Transfer!DY125,Transfer!EL125)</f>
        <v>1.6515905417761303</v>
      </c>
      <c r="AO125" s="1080">
        <f>CHOOSE(Tables!$U$2,Transfer!CM125,Transfer!CZ125,Transfer!DM125,Transfer!DZ125,Transfer!EM125)</f>
        <v>1.660094512723532</v>
      </c>
      <c r="AR125" s="22">
        <v>25</v>
      </c>
      <c r="AS125" s="16" t="s">
        <v>110</v>
      </c>
      <c r="AT125" s="25">
        <f t="shared" si="5"/>
        <v>0</v>
      </c>
      <c r="AU125" s="1080">
        <f t="shared" ca="1" si="5"/>
        <v>0.10149896363843425</v>
      </c>
      <c r="AV125" s="1080">
        <f t="shared" ca="1" si="5"/>
        <v>0.12520520725357187</v>
      </c>
      <c r="AW125" s="1080">
        <f t="shared" ca="1" si="5"/>
        <v>-4.4004116077189792E-4</v>
      </c>
      <c r="AX125" s="1080">
        <f t="shared" ca="1" si="5"/>
        <v>0.65710217864726417</v>
      </c>
      <c r="AY125" s="1080">
        <f t="shared" ca="1" si="5"/>
        <v>0.54828697583241137</v>
      </c>
      <c r="AZ125" s="1080">
        <f t="shared" ca="1" si="5"/>
        <v>-4.4904613747235089E-2</v>
      </c>
      <c r="BA125" s="1080">
        <f t="shared" ca="1" si="5"/>
        <v>-0.42646612771648051</v>
      </c>
      <c r="BB125" s="1080">
        <f t="shared" ca="1" si="4"/>
        <v>-0.22234755762245584</v>
      </c>
      <c r="BC125" s="1080">
        <f t="shared" ca="1" si="4"/>
        <v>-0.20434334407245558</v>
      </c>
      <c r="BD125" s="1080">
        <f t="shared" ca="1" si="4"/>
        <v>-6.58517264579217E-2</v>
      </c>
      <c r="BE125" s="1080">
        <f t="shared" ca="1" si="4"/>
        <v>6.2785087238808046E-3</v>
      </c>
      <c r="BF125" s="1080">
        <f t="shared" ca="1" si="4"/>
        <v>-1.0164978938774993E-2</v>
      </c>
      <c r="CA125" s="16">
        <v>-9999</v>
      </c>
      <c r="CB125" s="16">
        <v>1.725490196078411</v>
      </c>
      <c r="CC125" s="16">
        <v>1.9725974152171659</v>
      </c>
      <c r="CD125" s="16">
        <v>2.2320997197796686</v>
      </c>
      <c r="CE125" s="16">
        <v>2.4169975008585709</v>
      </c>
      <c r="CF125" s="16">
        <v>2.2737771719108224</v>
      </c>
      <c r="CG125" s="16">
        <v>1.9853869429720845</v>
      </c>
      <c r="CH125" s="16">
        <v>1.7005707106350343</v>
      </c>
      <c r="CI125" s="16">
        <v>1.6633556682615449</v>
      </c>
      <c r="CJ125" s="16">
        <v>1.5062973100673673</v>
      </c>
      <c r="CK125" s="16">
        <v>1.5741852142702868</v>
      </c>
      <c r="CL125" s="16">
        <v>1.6578690505000111</v>
      </c>
      <c r="CM125" s="16">
        <v>1.649929533784757</v>
      </c>
      <c r="CN125" s="16">
        <v>-9999</v>
      </c>
      <c r="CO125" s="16">
        <v>1.6239912324399768</v>
      </c>
      <c r="CP125" s="16">
        <v>1.847392207963594</v>
      </c>
      <c r="CQ125" s="16">
        <v>2.2325397609404405</v>
      </c>
      <c r="CR125" s="16">
        <v>1.7598953222113067</v>
      </c>
      <c r="CS125" s="16">
        <v>1.725490196078411</v>
      </c>
      <c r="CT125" s="16">
        <v>2.0302915567193196</v>
      </c>
      <c r="CU125" s="16">
        <v>2.1270368383515148</v>
      </c>
      <c r="CV125" s="16">
        <v>1.8857032258840007</v>
      </c>
      <c r="CW125" s="16">
        <v>1.7106406541398229</v>
      </c>
      <c r="CX125" s="16">
        <v>1.6400369407282085</v>
      </c>
      <c r="CY125" s="16">
        <v>1.6515905417761303</v>
      </c>
      <c r="CZ125" s="16">
        <v>1.660094512723532</v>
      </c>
      <c r="DA125" s="16">
        <v>-9999</v>
      </c>
      <c r="DB125" s="16">
        <v>1.725490196078411</v>
      </c>
      <c r="DC125" s="16">
        <v>1.9725974152171659</v>
      </c>
      <c r="DD125" s="16">
        <v>2.2376360531545458</v>
      </c>
      <c r="DE125" s="16">
        <v>2.2547787258709207</v>
      </c>
      <c r="DF125" s="16">
        <v>2.0897523443859995</v>
      </c>
      <c r="DG125" s="16">
        <v>1.8206894577258907</v>
      </c>
      <c r="DH125" s="16">
        <v>1.6199547611028891</v>
      </c>
      <c r="DI125" s="16">
        <v>1.6305849887863246</v>
      </c>
      <c r="DJ125" s="16">
        <v>1.5096353516474323</v>
      </c>
      <c r="DK125" s="16">
        <v>1.5277332202648068</v>
      </c>
      <c r="DL125" s="16">
        <v>1.5018615869883973</v>
      </c>
      <c r="DM125" s="16">
        <v>1.4325416736540149</v>
      </c>
      <c r="DN125" s="16">
        <v>-9999</v>
      </c>
      <c r="DO125" s="16">
        <v>1.725490196078411</v>
      </c>
      <c r="DP125" s="16">
        <v>1.9725974152171659</v>
      </c>
      <c r="DQ125" s="16">
        <v>2.2376360531545458</v>
      </c>
      <c r="DR125" s="16">
        <v>2.2547787258709207</v>
      </c>
      <c r="DS125" s="16">
        <v>2.0897523443859995</v>
      </c>
      <c r="DT125" s="16">
        <v>1.8206894577258907</v>
      </c>
      <c r="DU125" s="16">
        <v>1.6199547611028891</v>
      </c>
      <c r="DV125" s="16">
        <v>1.6305849887863246</v>
      </c>
      <c r="DW125" s="16">
        <v>1.5096353516474323</v>
      </c>
      <c r="DX125" s="16">
        <v>1.5277332202648068</v>
      </c>
      <c r="DY125" s="16">
        <v>1.5018615869883973</v>
      </c>
      <c r="DZ125" s="16">
        <v>1.4325416736540149</v>
      </c>
      <c r="EA125" s="2257">
        <v>-9999</v>
      </c>
      <c r="EB125" s="2256">
        <v>1.725490196078411</v>
      </c>
      <c r="EC125" s="2256">
        <v>1.9725974152171659</v>
      </c>
      <c r="ED125" s="2256">
        <v>2.2320997197796686</v>
      </c>
      <c r="EE125" s="2256">
        <v>2.4169975008585709</v>
      </c>
      <c r="EF125" s="2256">
        <v>2.2737771719108224</v>
      </c>
      <c r="EG125" s="2256">
        <v>1.9853869429720845</v>
      </c>
      <c r="EH125" s="2256">
        <v>1.7005707106350343</v>
      </c>
      <c r="EI125" s="2256">
        <v>1.6633556682615449</v>
      </c>
      <c r="EJ125" s="2256">
        <v>1.5062973100673673</v>
      </c>
      <c r="EK125" s="2256">
        <v>1.5741852142702868</v>
      </c>
      <c r="EL125" s="2256">
        <v>1.6578690505000111</v>
      </c>
      <c r="EM125" s="2256">
        <v>1.649929533784757</v>
      </c>
    </row>
    <row r="126" spans="1:143" ht="13.15">
      <c r="A126" s="22">
        <v>26</v>
      </c>
      <c r="B126" s="30" t="s">
        <v>973</v>
      </c>
      <c r="C126" s="25">
        <v>-9999</v>
      </c>
      <c r="D126" s="25">
        <v>-9999</v>
      </c>
      <c r="E126" s="25">
        <v>-9999</v>
      </c>
      <c r="F126" s="25">
        <v>-9999</v>
      </c>
      <c r="G126" s="25">
        <v>-9999</v>
      </c>
      <c r="H126" s="25">
        <v>-9999</v>
      </c>
      <c r="I126" s="25">
        <v>-9999</v>
      </c>
      <c r="J126" s="25">
        <v>-9999</v>
      </c>
      <c r="K126" s="25">
        <v>-9999</v>
      </c>
      <c r="L126" s="25">
        <v>-9999</v>
      </c>
      <c r="M126" s="25">
        <v>-9999</v>
      </c>
      <c r="N126" s="25">
        <v>-9999</v>
      </c>
      <c r="O126" s="25">
        <v>-9999</v>
      </c>
      <c r="P126" s="26"/>
      <c r="Q126"/>
      <c r="AA126" s="22">
        <v>26</v>
      </c>
      <c r="AB126" s="1080" t="str">
        <f t="shared" si="3"/>
        <v>FOR FUTURE USE</v>
      </c>
      <c r="AC126" s="1080">
        <f>CHOOSE(Tables!$U$2,Transfer!CA126,Transfer!CN126,Transfer!DA126,Transfer!DN126,Transfer!EA126)</f>
        <v>-9999</v>
      </c>
      <c r="AD126" s="1080">
        <f>CHOOSE(Tables!$U$2,Transfer!CB126,Transfer!CO126,Transfer!DB126,Transfer!DO126,Transfer!EB126)</f>
        <v>-9999</v>
      </c>
      <c r="AE126" s="1080">
        <f>CHOOSE(Tables!$U$2,Transfer!CC126,Transfer!CP126,Transfer!DC126,Transfer!DP126,Transfer!EC126)</f>
        <v>-9999</v>
      </c>
      <c r="AF126" s="1080">
        <f>CHOOSE(Tables!$U$2,Transfer!CD126,Transfer!CQ126,Transfer!DD126,Transfer!DQ126,Transfer!ED126)</f>
        <v>-9999</v>
      </c>
      <c r="AG126" s="1080">
        <f>CHOOSE(Tables!$U$2,Transfer!CE126,Transfer!CR126,Transfer!DE126,Transfer!DR126,Transfer!EE126)</f>
        <v>-9999</v>
      </c>
      <c r="AH126" s="1080">
        <f>CHOOSE(Tables!$U$2,Transfer!CF126,Transfer!CS126,Transfer!DF126,Transfer!DS126,Transfer!EF126)</f>
        <v>-9999</v>
      </c>
      <c r="AI126" s="1080">
        <f>CHOOSE(Tables!$U$2,Transfer!CG126,Transfer!CT126,Transfer!DG126,Transfer!DT126,Transfer!EG126)</f>
        <v>-9999</v>
      </c>
      <c r="AJ126" s="1080">
        <f>CHOOSE(Tables!$U$2,Transfer!CH126,Transfer!CU126,Transfer!DH126,Transfer!DU126,Transfer!EH126)</f>
        <v>-9999</v>
      </c>
      <c r="AK126" s="1080">
        <f>CHOOSE(Tables!$U$2,Transfer!CI126,Transfer!CV126,Transfer!DI126,Transfer!DV126,Transfer!EI126)</f>
        <v>-9999</v>
      </c>
      <c r="AL126" s="1080">
        <f>CHOOSE(Tables!$U$2,Transfer!CJ126,Transfer!CW126,Transfer!DJ126,Transfer!DW126,Transfer!EJ126)</f>
        <v>-9999</v>
      </c>
      <c r="AM126" s="1080">
        <f>CHOOSE(Tables!$U$2,Transfer!CK126,Transfer!CX126,Transfer!DK126,Transfer!DX126,Transfer!EK126)</f>
        <v>-9999</v>
      </c>
      <c r="AN126" s="1080">
        <f>CHOOSE(Tables!$U$2,Transfer!CL126,Transfer!CY126,Transfer!DL126,Transfer!DY126,Transfer!EL126)</f>
        <v>-9999</v>
      </c>
      <c r="AO126" s="1080">
        <f>CHOOSE(Tables!$U$2,Transfer!CM126,Transfer!CZ126,Transfer!DM126,Transfer!DZ126,Transfer!EM126)</f>
        <v>-9999</v>
      </c>
      <c r="AR126" s="22">
        <v>26</v>
      </c>
      <c r="AS126" s="30" t="s">
        <v>973</v>
      </c>
      <c r="AT126" s="25">
        <f t="shared" si="5"/>
        <v>0</v>
      </c>
      <c r="AU126" s="25">
        <f t="shared" si="5"/>
        <v>0</v>
      </c>
      <c r="AV126" s="25">
        <f t="shared" si="5"/>
        <v>0</v>
      </c>
      <c r="AW126" s="25">
        <f t="shared" si="5"/>
        <v>0</v>
      </c>
      <c r="AX126" s="25">
        <f t="shared" si="5"/>
        <v>0</v>
      </c>
      <c r="AY126" s="25">
        <f t="shared" si="5"/>
        <v>0</v>
      </c>
      <c r="AZ126" s="25">
        <f t="shared" si="5"/>
        <v>0</v>
      </c>
      <c r="BA126" s="25">
        <f t="shared" si="5"/>
        <v>0</v>
      </c>
      <c r="BB126" s="25">
        <f t="shared" si="4"/>
        <v>0</v>
      </c>
      <c r="BC126" s="25">
        <f t="shared" si="4"/>
        <v>0</v>
      </c>
      <c r="BD126" s="25">
        <f t="shared" si="4"/>
        <v>0</v>
      </c>
      <c r="BE126" s="25">
        <f t="shared" si="4"/>
        <v>0</v>
      </c>
      <c r="BF126" s="25">
        <f t="shared" si="4"/>
        <v>0</v>
      </c>
      <c r="CA126" s="16">
        <v>-9999</v>
      </c>
      <c r="CB126" s="16">
        <v>-9999</v>
      </c>
      <c r="CC126" s="16">
        <v>-9999</v>
      </c>
      <c r="CD126" s="16">
        <v>-9999</v>
      </c>
      <c r="CE126" s="16">
        <v>-9999</v>
      </c>
      <c r="CF126" s="16">
        <v>-9999</v>
      </c>
      <c r="CG126" s="16">
        <v>-9999</v>
      </c>
      <c r="CH126" s="16">
        <v>-9999</v>
      </c>
      <c r="CI126" s="16">
        <v>-9999</v>
      </c>
      <c r="CJ126" s="16">
        <v>-9999</v>
      </c>
      <c r="CK126" s="16">
        <v>-9999</v>
      </c>
      <c r="CL126" s="16">
        <v>-9999</v>
      </c>
      <c r="CM126" s="16">
        <v>-9999</v>
      </c>
      <c r="CN126" s="16">
        <v>-9999</v>
      </c>
      <c r="CO126" s="16">
        <v>-9999</v>
      </c>
      <c r="CP126" s="16">
        <v>-9999</v>
      </c>
      <c r="CQ126" s="16">
        <v>-9999</v>
      </c>
      <c r="CR126" s="16">
        <v>-9999</v>
      </c>
      <c r="CS126" s="16">
        <v>-9999</v>
      </c>
      <c r="CT126" s="16">
        <v>-9999</v>
      </c>
      <c r="CU126" s="16">
        <v>-9999</v>
      </c>
      <c r="CV126" s="16">
        <v>-9999</v>
      </c>
      <c r="CW126" s="16">
        <v>-9999</v>
      </c>
      <c r="CX126" s="16">
        <v>-9999</v>
      </c>
      <c r="CY126" s="16">
        <v>-9999</v>
      </c>
      <c r="CZ126" s="16">
        <v>-9999</v>
      </c>
      <c r="DA126" s="16">
        <v>-9999</v>
      </c>
      <c r="DB126" s="16">
        <v>-9999</v>
      </c>
      <c r="DC126" s="16">
        <v>-9999</v>
      </c>
      <c r="DD126" s="16">
        <v>-9999</v>
      </c>
      <c r="DE126" s="16">
        <v>-9999</v>
      </c>
      <c r="DF126" s="16">
        <v>-9999</v>
      </c>
      <c r="DG126" s="16">
        <v>-9999</v>
      </c>
      <c r="DH126" s="16">
        <v>-9999</v>
      </c>
      <c r="DI126" s="16">
        <v>-9999</v>
      </c>
      <c r="DJ126" s="16">
        <v>-9999</v>
      </c>
      <c r="DK126" s="16">
        <v>-9999</v>
      </c>
      <c r="DL126" s="16">
        <v>-9999</v>
      </c>
      <c r="DM126" s="16">
        <v>-9999</v>
      </c>
      <c r="DN126" s="16">
        <v>-9999</v>
      </c>
      <c r="DO126" s="16">
        <v>-9999</v>
      </c>
      <c r="DP126" s="16">
        <v>-9999</v>
      </c>
      <c r="DQ126" s="16">
        <v>-9999</v>
      </c>
      <c r="DR126" s="16">
        <v>-9999</v>
      </c>
      <c r="DS126" s="16">
        <v>-9999</v>
      </c>
      <c r="DT126" s="16">
        <v>-9999</v>
      </c>
      <c r="DU126" s="16">
        <v>-9999</v>
      </c>
      <c r="DV126" s="16">
        <v>-9999</v>
      </c>
      <c r="DW126" s="16">
        <v>-9999</v>
      </c>
      <c r="DX126" s="16">
        <v>-9999</v>
      </c>
      <c r="DY126" s="16">
        <v>-9999</v>
      </c>
      <c r="DZ126" s="16">
        <v>-9999</v>
      </c>
      <c r="EA126" s="2257">
        <v>-9999</v>
      </c>
      <c r="EB126" s="2257">
        <v>-9999</v>
      </c>
      <c r="EC126" s="2257">
        <v>-9999</v>
      </c>
      <c r="ED126" s="2257">
        <v>-9999</v>
      </c>
      <c r="EE126" s="2257">
        <v>-9999</v>
      </c>
      <c r="EF126" s="2257">
        <v>-9999</v>
      </c>
      <c r="EG126" s="2257">
        <v>-9999</v>
      </c>
      <c r="EH126" s="2257">
        <v>-9999</v>
      </c>
      <c r="EI126" s="2257">
        <v>-9999</v>
      </c>
      <c r="EJ126" s="2257">
        <v>-9999</v>
      </c>
      <c r="EK126" s="2257">
        <v>-9999</v>
      </c>
      <c r="EL126" s="2257">
        <v>-9999</v>
      </c>
      <c r="EM126" s="2257">
        <v>-9999</v>
      </c>
    </row>
    <row r="127" spans="1:143" ht="13.15">
      <c r="A127" s="22">
        <v>27</v>
      </c>
      <c r="B127" s="30" t="s">
        <v>973</v>
      </c>
      <c r="C127" s="25">
        <v>-9999</v>
      </c>
      <c r="D127" s="25">
        <v>-9999</v>
      </c>
      <c r="E127" s="25">
        <v>-9999</v>
      </c>
      <c r="F127" s="25">
        <v>-9999</v>
      </c>
      <c r="G127" s="25">
        <v>-9999</v>
      </c>
      <c r="H127" s="25">
        <v>-9999</v>
      </c>
      <c r="I127" s="25">
        <v>-9999</v>
      </c>
      <c r="J127" s="25">
        <v>-9999</v>
      </c>
      <c r="K127" s="25">
        <v>-9999</v>
      </c>
      <c r="L127" s="25">
        <v>-9999</v>
      </c>
      <c r="M127" s="25">
        <v>-9999</v>
      </c>
      <c r="N127" s="25">
        <v>-9999</v>
      </c>
      <c r="O127" s="25">
        <v>-9999</v>
      </c>
      <c r="P127" s="26"/>
      <c r="Q127"/>
      <c r="AA127" s="22">
        <v>27</v>
      </c>
      <c r="AB127" s="1080" t="str">
        <f t="shared" si="3"/>
        <v>FOR FUTURE USE</v>
      </c>
      <c r="AC127" s="1080">
        <f>CHOOSE(Tables!$U$2,Transfer!CA127,Transfer!CN127,Transfer!DA127,Transfer!DN127,Transfer!EA127)</f>
        <v>-9999</v>
      </c>
      <c r="AD127" s="1080">
        <f>CHOOSE(Tables!$U$2,Transfer!CB127,Transfer!CO127,Transfer!DB127,Transfer!DO127,Transfer!EB127)</f>
        <v>-9999</v>
      </c>
      <c r="AE127" s="1080">
        <f>CHOOSE(Tables!$U$2,Transfer!CC127,Transfer!CP127,Transfer!DC127,Transfer!DP127,Transfer!EC127)</f>
        <v>-9999</v>
      </c>
      <c r="AF127" s="1080">
        <f>CHOOSE(Tables!$U$2,Transfer!CD127,Transfer!CQ127,Transfer!DD127,Transfer!DQ127,Transfer!ED127)</f>
        <v>-9999</v>
      </c>
      <c r="AG127" s="1080">
        <f>CHOOSE(Tables!$U$2,Transfer!CE127,Transfer!CR127,Transfer!DE127,Transfer!DR127,Transfer!EE127)</f>
        <v>-9999</v>
      </c>
      <c r="AH127" s="1080">
        <f>CHOOSE(Tables!$U$2,Transfer!CF127,Transfer!CS127,Transfer!DF127,Transfer!DS127,Transfer!EF127)</f>
        <v>-9999</v>
      </c>
      <c r="AI127" s="1080">
        <f>CHOOSE(Tables!$U$2,Transfer!CG127,Transfer!CT127,Transfer!DG127,Transfer!DT127,Transfer!EG127)</f>
        <v>-9999</v>
      </c>
      <c r="AJ127" s="1080">
        <f>CHOOSE(Tables!$U$2,Transfer!CH127,Transfer!CU127,Transfer!DH127,Transfer!DU127,Transfer!EH127)</f>
        <v>-9999</v>
      </c>
      <c r="AK127" s="1080">
        <f>CHOOSE(Tables!$U$2,Transfer!CI127,Transfer!CV127,Transfer!DI127,Transfer!DV127,Transfer!EI127)</f>
        <v>-9999</v>
      </c>
      <c r="AL127" s="1080">
        <f>CHOOSE(Tables!$U$2,Transfer!CJ127,Transfer!CW127,Transfer!DJ127,Transfer!DW127,Transfer!EJ127)</f>
        <v>-9999</v>
      </c>
      <c r="AM127" s="1080">
        <f>CHOOSE(Tables!$U$2,Transfer!CK127,Transfer!CX127,Transfer!DK127,Transfer!DX127,Transfer!EK127)</f>
        <v>-9999</v>
      </c>
      <c r="AN127" s="1080">
        <f>CHOOSE(Tables!$U$2,Transfer!CL127,Transfer!CY127,Transfer!DL127,Transfer!DY127,Transfer!EL127)</f>
        <v>-9999</v>
      </c>
      <c r="AO127" s="1080">
        <f>CHOOSE(Tables!$U$2,Transfer!CM127,Transfer!CZ127,Transfer!DM127,Transfer!DZ127,Transfer!EM127)</f>
        <v>-9999</v>
      </c>
      <c r="AR127" s="22">
        <v>27</v>
      </c>
      <c r="AS127" s="30" t="s">
        <v>973</v>
      </c>
      <c r="AT127" s="25">
        <f t="shared" si="5"/>
        <v>0</v>
      </c>
      <c r="AU127" s="25">
        <f t="shared" si="5"/>
        <v>0</v>
      </c>
      <c r="AV127" s="25">
        <f t="shared" si="5"/>
        <v>0</v>
      </c>
      <c r="AW127" s="25">
        <f t="shared" si="5"/>
        <v>0</v>
      </c>
      <c r="AX127" s="25">
        <f t="shared" si="5"/>
        <v>0</v>
      </c>
      <c r="AY127" s="25">
        <f t="shared" si="5"/>
        <v>0</v>
      </c>
      <c r="AZ127" s="25">
        <f t="shared" si="5"/>
        <v>0</v>
      </c>
      <c r="BA127" s="25">
        <f t="shared" si="5"/>
        <v>0</v>
      </c>
      <c r="BB127" s="25">
        <f t="shared" si="4"/>
        <v>0</v>
      </c>
      <c r="BC127" s="25">
        <f t="shared" si="4"/>
        <v>0</v>
      </c>
      <c r="BD127" s="25">
        <f t="shared" si="4"/>
        <v>0</v>
      </c>
      <c r="BE127" s="25">
        <f t="shared" si="4"/>
        <v>0</v>
      </c>
      <c r="BF127" s="25">
        <f t="shared" si="4"/>
        <v>0</v>
      </c>
      <c r="CA127" s="16">
        <v>-9999</v>
      </c>
      <c r="CB127" s="16">
        <v>-9999</v>
      </c>
      <c r="CC127" s="16">
        <v>-9999</v>
      </c>
      <c r="CD127" s="16">
        <v>-9999</v>
      </c>
      <c r="CE127" s="16">
        <v>-9999</v>
      </c>
      <c r="CF127" s="16">
        <v>-9999</v>
      </c>
      <c r="CG127" s="16">
        <v>-9999</v>
      </c>
      <c r="CH127" s="16">
        <v>-9999</v>
      </c>
      <c r="CI127" s="16">
        <v>-9999</v>
      </c>
      <c r="CJ127" s="16">
        <v>-9999</v>
      </c>
      <c r="CK127" s="16">
        <v>-9999</v>
      </c>
      <c r="CL127" s="16">
        <v>-9999</v>
      </c>
      <c r="CM127" s="16">
        <v>-9999</v>
      </c>
      <c r="CN127" s="16">
        <v>-9999</v>
      </c>
      <c r="CO127" s="16">
        <v>-9999</v>
      </c>
      <c r="CP127" s="16">
        <v>-9999</v>
      </c>
      <c r="CQ127" s="16">
        <v>-9999</v>
      </c>
      <c r="CR127" s="16">
        <v>-9999</v>
      </c>
      <c r="CS127" s="16">
        <v>-9999</v>
      </c>
      <c r="CT127" s="16">
        <v>-9999</v>
      </c>
      <c r="CU127" s="16">
        <v>-9999</v>
      </c>
      <c r="CV127" s="16">
        <v>-9999</v>
      </c>
      <c r="CW127" s="16">
        <v>-9999</v>
      </c>
      <c r="CX127" s="16">
        <v>-9999</v>
      </c>
      <c r="CY127" s="16">
        <v>-9999</v>
      </c>
      <c r="CZ127" s="16">
        <v>-9999</v>
      </c>
      <c r="DA127" s="16">
        <v>-9999</v>
      </c>
      <c r="DB127" s="16">
        <v>-9999</v>
      </c>
      <c r="DC127" s="16">
        <v>-9999</v>
      </c>
      <c r="DD127" s="16">
        <v>-9999</v>
      </c>
      <c r="DE127" s="16">
        <v>-9999</v>
      </c>
      <c r="DF127" s="16">
        <v>-9999</v>
      </c>
      <c r="DG127" s="16">
        <v>-9999</v>
      </c>
      <c r="DH127" s="16">
        <v>-9999</v>
      </c>
      <c r="DI127" s="16">
        <v>-9999</v>
      </c>
      <c r="DJ127" s="16">
        <v>-9999</v>
      </c>
      <c r="DK127" s="16">
        <v>-9999</v>
      </c>
      <c r="DL127" s="16">
        <v>-9999</v>
      </c>
      <c r="DM127" s="16">
        <v>-9999</v>
      </c>
      <c r="DN127" s="16">
        <v>-9999</v>
      </c>
      <c r="DO127" s="16">
        <v>-9999</v>
      </c>
      <c r="DP127" s="16">
        <v>-9999</v>
      </c>
      <c r="DQ127" s="16">
        <v>-9999</v>
      </c>
      <c r="DR127" s="16">
        <v>-9999</v>
      </c>
      <c r="DS127" s="16">
        <v>-9999</v>
      </c>
      <c r="DT127" s="16">
        <v>-9999</v>
      </c>
      <c r="DU127" s="16">
        <v>-9999</v>
      </c>
      <c r="DV127" s="16">
        <v>-9999</v>
      </c>
      <c r="DW127" s="16">
        <v>-9999</v>
      </c>
      <c r="DX127" s="16">
        <v>-9999</v>
      </c>
      <c r="DY127" s="16">
        <v>-9999</v>
      </c>
      <c r="DZ127" s="16">
        <v>-9999</v>
      </c>
      <c r="EA127" s="2257">
        <v>-9999</v>
      </c>
      <c r="EB127" s="2257">
        <v>-9999</v>
      </c>
      <c r="EC127" s="2257">
        <v>-9999</v>
      </c>
      <c r="ED127" s="2257">
        <v>-9999</v>
      </c>
      <c r="EE127" s="2257">
        <v>-9999</v>
      </c>
      <c r="EF127" s="2257">
        <v>-9999</v>
      </c>
      <c r="EG127" s="2257">
        <v>-9999</v>
      </c>
      <c r="EH127" s="2257">
        <v>-9999</v>
      </c>
      <c r="EI127" s="2257">
        <v>-9999</v>
      </c>
      <c r="EJ127" s="2257">
        <v>-9999</v>
      </c>
      <c r="EK127" s="2257">
        <v>-9999</v>
      </c>
      <c r="EL127" s="2257">
        <v>-9999</v>
      </c>
      <c r="EM127" s="2257">
        <v>-9999</v>
      </c>
    </row>
    <row r="128" spans="1:143" ht="13.15">
      <c r="A128" s="22">
        <v>28</v>
      </c>
      <c r="B128" s="3360" t="s">
        <v>111</v>
      </c>
      <c r="C128" s="24">
        <f ca="1">OFFSET('VVP2'!F177,0,Last_forecast_year - 3-InputY!$G$3)</f>
        <v>189.84800557812764</v>
      </c>
      <c r="D128" s="24">
        <f ca="1">OFFSET('VVP2'!G177,0,Last_forecast_year - 3-InputY!$G$3)</f>
        <v>203.28180170651078</v>
      </c>
      <c r="E128" s="24">
        <f ca="1">OFFSET('VVP2'!H177,0,Last_forecast_year - 3-InputY!$G$3)</f>
        <v>218.33621699999998</v>
      </c>
      <c r="F128" s="24">
        <f ca="1">OFFSET('VVP2'!I177,0,Last_forecast_year - 3-InputY!$G$3)</f>
        <v>232.30798819826396</v>
      </c>
      <c r="G128" s="24">
        <f ca="1">OFFSET('VVP2'!J177,0,Last_forecast_year - 3-InputY!$G$3)</f>
        <v>243.11611734918813</v>
      </c>
      <c r="H128" s="25">
        <v>-9999</v>
      </c>
      <c r="I128" s="25">
        <v>-9999</v>
      </c>
      <c r="J128" s="25">
        <v>-9999</v>
      </c>
      <c r="K128" s="25">
        <v>-9999</v>
      </c>
      <c r="L128" s="25">
        <v>-9999</v>
      </c>
      <c r="M128" s="25">
        <v>-9999</v>
      </c>
      <c r="N128" s="25">
        <v>-9999</v>
      </c>
      <c r="O128" s="25">
        <v>-9999</v>
      </c>
      <c r="P128" s="32"/>
      <c r="Q128"/>
      <c r="AA128" s="22">
        <v>28</v>
      </c>
      <c r="AB128" s="1080" t="str">
        <f t="shared" si="3"/>
        <v xml:space="preserve">VOL. FIXED INVESTMENT GOVERNMENT  </v>
      </c>
      <c r="AC128" s="1080">
        <f>CHOOSE(Tables!$U$2,Transfer!CA128,Transfer!CN128,Transfer!DA128,Transfer!DN128,Transfer!EA128)</f>
        <v>173.74062038031624</v>
      </c>
      <c r="AD128" s="1080">
        <f>CHOOSE(Tables!$U$2,Transfer!CB128,Transfer!CO128,Transfer!DB128,Transfer!DO128,Transfer!EB128)</f>
        <v>189.77837265046495</v>
      </c>
      <c r="AE128" s="1080">
        <f>CHOOSE(Tables!$U$2,Transfer!CC128,Transfer!CP128,Transfer!DC128,Transfer!DP128,Transfer!EC128)</f>
        <v>200.85111662038443</v>
      </c>
      <c r="AF128" s="1080">
        <f>CHOOSE(Tables!$U$2,Transfer!CD128,Transfer!CQ128,Transfer!DD128,Transfer!DQ128,Transfer!ED128)</f>
        <v>216.46403999999998</v>
      </c>
      <c r="AG128" s="1080">
        <f>CHOOSE(Tables!$U$2,Transfer!CE128,Transfer!CR128,Transfer!DE128,Transfer!DR128,Transfer!EE128)</f>
        <v>229.42330914671999</v>
      </c>
      <c r="AH128" s="1080">
        <f>CHOOSE(Tables!$U$2,Transfer!CF128,Transfer!CS128,Transfer!DF128,Transfer!DS128,Transfer!EF128)</f>
        <v>-9999</v>
      </c>
      <c r="AI128" s="1080">
        <f>CHOOSE(Tables!$U$2,Transfer!CG128,Transfer!CT128,Transfer!DG128,Transfer!DT128,Transfer!EG128)</f>
        <v>-9999</v>
      </c>
      <c r="AJ128" s="1080">
        <f>CHOOSE(Tables!$U$2,Transfer!CH128,Transfer!CU128,Transfer!DH128,Transfer!DU128,Transfer!EH128)</f>
        <v>-9999</v>
      </c>
      <c r="AK128" s="1080">
        <f>CHOOSE(Tables!$U$2,Transfer!CI128,Transfer!CV128,Transfer!DI128,Transfer!DV128,Transfer!EI128)</f>
        <v>-9999</v>
      </c>
      <c r="AL128" s="1080">
        <f>CHOOSE(Tables!$U$2,Transfer!CJ128,Transfer!CW128,Transfer!DJ128,Transfer!DW128,Transfer!EJ128)</f>
        <v>-9999</v>
      </c>
      <c r="AM128" s="1080">
        <f>CHOOSE(Tables!$U$2,Transfer!CK128,Transfer!CX128,Transfer!DK128,Transfer!DX128,Transfer!EK128)</f>
        <v>-9999</v>
      </c>
      <c r="AN128" s="1080">
        <f>CHOOSE(Tables!$U$2,Transfer!CL128,Transfer!CY128,Transfer!DL128,Transfer!DY128,Transfer!EL128)</f>
        <v>-9999</v>
      </c>
      <c r="AO128" s="1080">
        <f>CHOOSE(Tables!$U$2,Transfer!CM128,Transfer!CZ128,Transfer!DM128,Transfer!DZ128,Transfer!EM128)</f>
        <v>-9999</v>
      </c>
      <c r="AR128" s="22">
        <v>28</v>
      </c>
      <c r="AS128" s="1" t="s">
        <v>111</v>
      </c>
      <c r="AT128" s="24">
        <f t="shared" ca="1" si="5"/>
        <v>16.107385197811396</v>
      </c>
      <c r="AU128" s="24">
        <f t="shared" ca="1" si="5"/>
        <v>13.503429056045832</v>
      </c>
      <c r="AV128" s="24">
        <f t="shared" ca="1" si="5"/>
        <v>17.485100379615545</v>
      </c>
      <c r="AW128" s="24">
        <f t="shared" ca="1" si="5"/>
        <v>15.843948198263973</v>
      </c>
      <c r="AX128" s="24">
        <f t="shared" ca="1" si="5"/>
        <v>13.692808202468143</v>
      </c>
      <c r="AY128" s="25">
        <f t="shared" si="5"/>
        <v>0</v>
      </c>
      <c r="AZ128" s="25">
        <f t="shared" si="5"/>
        <v>0</v>
      </c>
      <c r="BA128" s="25">
        <f t="shared" si="5"/>
        <v>0</v>
      </c>
      <c r="BB128" s="25">
        <f t="shared" si="4"/>
        <v>0</v>
      </c>
      <c r="BC128" s="25">
        <f t="shared" si="4"/>
        <v>0</v>
      </c>
      <c r="BD128" s="25">
        <f t="shared" si="4"/>
        <v>0</v>
      </c>
      <c r="BE128" s="25">
        <f t="shared" si="4"/>
        <v>0</v>
      </c>
      <c r="BF128" s="25">
        <f t="shared" si="4"/>
        <v>0</v>
      </c>
      <c r="CA128" s="16">
        <v>189.84800557812764</v>
      </c>
      <c r="CB128" s="16">
        <v>203.28180170651078</v>
      </c>
      <c r="CC128" s="16">
        <v>218.33621699999998</v>
      </c>
      <c r="CD128" s="16">
        <v>232.30798819826396</v>
      </c>
      <c r="CE128" s="16">
        <v>243.11611734918813</v>
      </c>
      <c r="CF128" s="16">
        <v>-9999</v>
      </c>
      <c r="CG128" s="16">
        <v>-9999</v>
      </c>
      <c r="CH128" s="16">
        <v>-9999</v>
      </c>
      <c r="CI128" s="16">
        <v>-9999</v>
      </c>
      <c r="CJ128" s="16">
        <v>-9999</v>
      </c>
      <c r="CK128" s="16">
        <v>-9999</v>
      </c>
      <c r="CL128" s="16">
        <v>-9999</v>
      </c>
      <c r="CM128" s="16">
        <v>-9999</v>
      </c>
      <c r="CN128" s="16">
        <v>173.74062038031624</v>
      </c>
      <c r="CO128" s="16">
        <v>189.77837265046495</v>
      </c>
      <c r="CP128" s="16">
        <v>200.85111662038443</v>
      </c>
      <c r="CQ128" s="16">
        <v>216.46403999999998</v>
      </c>
      <c r="CR128" s="16">
        <v>229.42330914671999</v>
      </c>
      <c r="CS128" s="16">
        <v>-9999</v>
      </c>
      <c r="CT128" s="16">
        <v>-9999</v>
      </c>
      <c r="CU128" s="16">
        <v>-9999</v>
      </c>
      <c r="CV128" s="16">
        <v>-9999</v>
      </c>
      <c r="CW128" s="16">
        <v>-9999</v>
      </c>
      <c r="CX128" s="16">
        <v>-9999</v>
      </c>
      <c r="CY128" s="16">
        <v>-9999</v>
      </c>
      <c r="CZ128" s="16">
        <v>-9999</v>
      </c>
      <c r="DA128" s="16">
        <v>189.84800557812764</v>
      </c>
      <c r="DB128" s="16">
        <v>203.28180170651078</v>
      </c>
      <c r="DC128" s="16">
        <v>218.33621699999998</v>
      </c>
      <c r="DD128" s="16">
        <v>232.30798819826396</v>
      </c>
      <c r="DE128" s="16">
        <v>243.11611734918813</v>
      </c>
      <c r="DF128" s="16">
        <v>-9999</v>
      </c>
      <c r="DG128" s="16">
        <v>-9999</v>
      </c>
      <c r="DH128" s="16">
        <v>-9999</v>
      </c>
      <c r="DI128" s="16">
        <v>-9999</v>
      </c>
      <c r="DJ128" s="16">
        <v>-9999</v>
      </c>
      <c r="DK128" s="16">
        <v>-9999</v>
      </c>
      <c r="DL128" s="16">
        <v>-9999</v>
      </c>
      <c r="DM128" s="16">
        <v>-9999</v>
      </c>
      <c r="DN128" s="16">
        <v>189.84800557812764</v>
      </c>
      <c r="DO128" s="16">
        <v>203.28180170651078</v>
      </c>
      <c r="DP128" s="16">
        <v>218.33621699999998</v>
      </c>
      <c r="DQ128" s="16">
        <v>232.30798819826396</v>
      </c>
      <c r="DR128" s="16">
        <v>243.11611734918813</v>
      </c>
      <c r="DS128" s="16">
        <v>-9999</v>
      </c>
      <c r="DT128" s="16">
        <v>-9999</v>
      </c>
      <c r="DU128" s="16">
        <v>-9999</v>
      </c>
      <c r="DV128" s="16">
        <v>-9999</v>
      </c>
      <c r="DW128" s="16">
        <v>-9999</v>
      </c>
      <c r="DX128" s="16">
        <v>-9999</v>
      </c>
      <c r="DY128" s="16">
        <v>-9999</v>
      </c>
      <c r="DZ128" s="16">
        <v>-9999</v>
      </c>
      <c r="EA128" s="2256">
        <v>189.84800557812764</v>
      </c>
      <c r="EB128" s="2256">
        <v>203.28180170651078</v>
      </c>
      <c r="EC128" s="2256">
        <v>218.33621699999998</v>
      </c>
      <c r="ED128" s="2256">
        <v>232.30798819826396</v>
      </c>
      <c r="EE128" s="2256">
        <v>243.11611734918813</v>
      </c>
      <c r="EF128" s="2257">
        <v>-9999</v>
      </c>
      <c r="EG128" s="2257">
        <v>-9999</v>
      </c>
      <c r="EH128" s="2257">
        <v>-9999</v>
      </c>
      <c r="EI128" s="2257">
        <v>-9999</v>
      </c>
      <c r="EJ128" s="2257">
        <v>-9999</v>
      </c>
      <c r="EK128" s="2257">
        <v>-9999</v>
      </c>
      <c r="EL128" s="2257">
        <v>-9999</v>
      </c>
      <c r="EM128" s="2257">
        <v>-9999</v>
      </c>
    </row>
    <row r="129" spans="1:143" ht="13.15">
      <c r="A129" s="22">
        <v>29</v>
      </c>
      <c r="B129" s="30" t="s">
        <v>973</v>
      </c>
      <c r="C129" s="25">
        <v>-9999</v>
      </c>
      <c r="D129" s="25">
        <v>-9999</v>
      </c>
      <c r="E129" s="25">
        <v>-9999</v>
      </c>
      <c r="F129" s="25">
        <v>-9999</v>
      </c>
      <c r="G129" s="25">
        <v>-9999</v>
      </c>
      <c r="H129" s="25">
        <v>-9999</v>
      </c>
      <c r="I129" s="25">
        <v>-9999</v>
      </c>
      <c r="J129" s="25">
        <v>-9999</v>
      </c>
      <c r="K129" s="25">
        <v>-9999</v>
      </c>
      <c r="L129" s="25">
        <v>-9999</v>
      </c>
      <c r="M129" s="25">
        <v>-9999</v>
      </c>
      <c r="N129" s="25">
        <v>-9999</v>
      </c>
      <c r="O129" s="25">
        <v>-9999</v>
      </c>
      <c r="P129" s="32"/>
      <c r="Q129"/>
      <c r="AA129" s="22">
        <v>29</v>
      </c>
      <c r="AB129" s="1080" t="str">
        <f t="shared" si="3"/>
        <v>FOR FUTURE USE</v>
      </c>
      <c r="AC129" s="1080">
        <f>CHOOSE(Tables!$U$2,Transfer!CA129,Transfer!CN129,Transfer!DA129,Transfer!DN129,Transfer!EA129)</f>
        <v>-9999</v>
      </c>
      <c r="AD129" s="1080">
        <f>CHOOSE(Tables!$U$2,Transfer!CB129,Transfer!CO129,Transfer!DB129,Transfer!DO129,Transfer!EB129)</f>
        <v>-9999</v>
      </c>
      <c r="AE129" s="1080">
        <f>CHOOSE(Tables!$U$2,Transfer!CC129,Transfer!CP129,Transfer!DC129,Transfer!DP129,Transfer!EC129)</f>
        <v>-9999</v>
      </c>
      <c r="AF129" s="1080">
        <f>CHOOSE(Tables!$U$2,Transfer!CD129,Transfer!CQ129,Transfer!DD129,Transfer!DQ129,Transfer!ED129)</f>
        <v>-9999</v>
      </c>
      <c r="AG129" s="1080">
        <f>CHOOSE(Tables!$U$2,Transfer!CE129,Transfer!CR129,Transfer!DE129,Transfer!DR129,Transfer!EE129)</f>
        <v>-9999</v>
      </c>
      <c r="AH129" s="1080">
        <f>CHOOSE(Tables!$U$2,Transfer!CF129,Transfer!CS129,Transfer!DF129,Transfer!DS129,Transfer!EF129)</f>
        <v>-9999</v>
      </c>
      <c r="AI129" s="1080">
        <f>CHOOSE(Tables!$U$2,Transfer!CG129,Transfer!CT129,Transfer!DG129,Transfer!DT129,Transfer!EG129)</f>
        <v>-9999</v>
      </c>
      <c r="AJ129" s="1080">
        <f>CHOOSE(Tables!$U$2,Transfer!CH129,Transfer!CU129,Transfer!DH129,Transfer!DU129,Transfer!EH129)</f>
        <v>-9999</v>
      </c>
      <c r="AK129" s="1080">
        <f>CHOOSE(Tables!$U$2,Transfer!CI129,Transfer!CV129,Transfer!DI129,Transfer!DV129,Transfer!EI129)</f>
        <v>-9999</v>
      </c>
      <c r="AL129" s="1080">
        <f>CHOOSE(Tables!$U$2,Transfer!CJ129,Transfer!CW129,Transfer!DJ129,Transfer!DW129,Transfer!EJ129)</f>
        <v>-9999</v>
      </c>
      <c r="AM129" s="1080">
        <f>CHOOSE(Tables!$U$2,Transfer!CK129,Transfer!CX129,Transfer!DK129,Transfer!DX129,Transfer!EK129)</f>
        <v>-9999</v>
      </c>
      <c r="AN129" s="1080">
        <f>CHOOSE(Tables!$U$2,Transfer!CL129,Transfer!CY129,Transfer!DL129,Transfer!DY129,Transfer!EL129)</f>
        <v>-9999</v>
      </c>
      <c r="AO129" s="1080">
        <f>CHOOSE(Tables!$U$2,Transfer!CM129,Transfer!CZ129,Transfer!DM129,Transfer!DZ129,Transfer!EM129)</f>
        <v>-9999</v>
      </c>
      <c r="AR129" s="22">
        <v>29</v>
      </c>
      <c r="AS129" s="31" t="s">
        <v>113</v>
      </c>
      <c r="AT129" s="24">
        <f t="shared" si="5"/>
        <v>0</v>
      </c>
      <c r="AU129" s="24">
        <f t="shared" si="5"/>
        <v>0</v>
      </c>
      <c r="AV129" s="24">
        <f t="shared" si="5"/>
        <v>0</v>
      </c>
      <c r="AW129" s="24">
        <f t="shared" si="5"/>
        <v>0</v>
      </c>
      <c r="AX129" s="24">
        <f t="shared" si="5"/>
        <v>0</v>
      </c>
      <c r="AY129" s="25">
        <f t="shared" si="5"/>
        <v>0</v>
      </c>
      <c r="AZ129" s="25">
        <f t="shared" si="5"/>
        <v>0</v>
      </c>
      <c r="BA129" s="25">
        <f t="shared" si="5"/>
        <v>0</v>
      </c>
      <c r="BB129" s="25">
        <f t="shared" si="4"/>
        <v>0</v>
      </c>
      <c r="BC129" s="25">
        <f t="shared" si="4"/>
        <v>0</v>
      </c>
      <c r="BD129" s="25">
        <f t="shared" si="4"/>
        <v>0</v>
      </c>
      <c r="BE129" s="25">
        <f t="shared" si="4"/>
        <v>0</v>
      </c>
      <c r="BF129" s="25">
        <f t="shared" si="4"/>
        <v>0</v>
      </c>
      <c r="CA129" s="16">
        <v>-9999</v>
      </c>
      <c r="CB129" s="16">
        <v>-9999</v>
      </c>
      <c r="CC129" s="16">
        <v>-9999</v>
      </c>
      <c r="CD129" s="16">
        <v>-9999</v>
      </c>
      <c r="CE129" s="16">
        <v>-9999</v>
      </c>
      <c r="CF129" s="16">
        <v>-9999</v>
      </c>
      <c r="CG129" s="16">
        <v>-9999</v>
      </c>
      <c r="CH129" s="16">
        <v>-9999</v>
      </c>
      <c r="CI129" s="16">
        <v>-9999</v>
      </c>
      <c r="CJ129" s="16">
        <v>-9999</v>
      </c>
      <c r="CK129" s="16">
        <v>-9999</v>
      </c>
      <c r="CL129" s="16">
        <v>-9999</v>
      </c>
      <c r="CM129" s="16">
        <v>-9999</v>
      </c>
      <c r="CN129" s="16">
        <v>-9999</v>
      </c>
      <c r="CO129" s="16">
        <v>-9999</v>
      </c>
      <c r="CP129" s="16">
        <v>-9999</v>
      </c>
      <c r="CQ129" s="16">
        <v>-9999</v>
      </c>
      <c r="CR129" s="16">
        <v>-9999</v>
      </c>
      <c r="CS129" s="16">
        <v>-9999</v>
      </c>
      <c r="CT129" s="16">
        <v>-9999</v>
      </c>
      <c r="CU129" s="16">
        <v>-9999</v>
      </c>
      <c r="CV129" s="16">
        <v>-9999</v>
      </c>
      <c r="CW129" s="16">
        <v>-9999</v>
      </c>
      <c r="CX129" s="16">
        <v>-9999</v>
      </c>
      <c r="CY129" s="16">
        <v>-9999</v>
      </c>
      <c r="CZ129" s="16">
        <v>-9999</v>
      </c>
      <c r="DA129" s="16">
        <v>-9999</v>
      </c>
      <c r="DB129" s="16">
        <v>-9999</v>
      </c>
      <c r="DC129" s="16">
        <v>-9999</v>
      </c>
      <c r="DD129" s="16">
        <v>-9999</v>
      </c>
      <c r="DE129" s="16">
        <v>-9999</v>
      </c>
      <c r="DF129" s="16">
        <v>-9999</v>
      </c>
      <c r="DG129" s="16">
        <v>-9999</v>
      </c>
      <c r="DH129" s="16">
        <v>-9999</v>
      </c>
      <c r="DI129" s="16">
        <v>-9999</v>
      </c>
      <c r="DJ129" s="16">
        <v>-9999</v>
      </c>
      <c r="DK129" s="16">
        <v>-9999</v>
      </c>
      <c r="DL129" s="16">
        <v>-9999</v>
      </c>
      <c r="DM129" s="16">
        <v>-9999</v>
      </c>
      <c r="DN129" s="16">
        <v>-9999</v>
      </c>
      <c r="DO129" s="16">
        <v>-9999</v>
      </c>
      <c r="DP129" s="16">
        <v>-9999</v>
      </c>
      <c r="DQ129" s="16">
        <v>-9999</v>
      </c>
      <c r="DR129" s="16">
        <v>-9999</v>
      </c>
      <c r="DS129" s="16">
        <v>-9999</v>
      </c>
      <c r="DT129" s="16">
        <v>-9999</v>
      </c>
      <c r="DU129" s="16">
        <v>-9999</v>
      </c>
      <c r="DV129" s="16">
        <v>-9999</v>
      </c>
      <c r="DW129" s="16">
        <v>-9999</v>
      </c>
      <c r="DX129" s="16">
        <v>-9999</v>
      </c>
      <c r="DY129" s="16">
        <v>-9999</v>
      </c>
      <c r="DZ129" s="16">
        <v>-9999</v>
      </c>
      <c r="EA129" s="2257">
        <v>-9999</v>
      </c>
      <c r="EB129" s="2257">
        <v>-9999</v>
      </c>
      <c r="EC129" s="2257">
        <v>-9999</v>
      </c>
      <c r="ED129" s="2257">
        <v>-9999</v>
      </c>
      <c r="EE129" s="2257">
        <v>-9999</v>
      </c>
      <c r="EF129" s="2257">
        <v>-9999</v>
      </c>
      <c r="EG129" s="2257">
        <v>-9999</v>
      </c>
      <c r="EH129" s="2257">
        <v>-9999</v>
      </c>
      <c r="EI129" s="2257">
        <v>-9999</v>
      </c>
      <c r="EJ129" s="2257">
        <v>-9999</v>
      </c>
      <c r="EK129" s="2257">
        <v>-9999</v>
      </c>
      <c r="EL129" s="2257">
        <v>-9999</v>
      </c>
      <c r="EM129" s="2257">
        <v>-9999</v>
      </c>
    </row>
    <row r="130" spans="1:143" ht="13.15">
      <c r="A130" s="22">
        <v>30</v>
      </c>
      <c r="B130" s="30" t="s">
        <v>973</v>
      </c>
      <c r="C130" s="25">
        <v>-9999</v>
      </c>
      <c r="D130" s="25">
        <v>-9999</v>
      </c>
      <c r="E130" s="25">
        <v>-9999</v>
      </c>
      <c r="F130" s="25">
        <v>-9999</v>
      </c>
      <c r="G130" s="25">
        <v>-9999</v>
      </c>
      <c r="H130" s="25">
        <v>-9999</v>
      </c>
      <c r="I130" s="25">
        <v>-9999</v>
      </c>
      <c r="J130" s="25">
        <v>-9999</v>
      </c>
      <c r="K130" s="25">
        <v>-9999</v>
      </c>
      <c r="L130" s="25">
        <v>-9999</v>
      </c>
      <c r="M130" s="25">
        <v>-9999</v>
      </c>
      <c r="N130" s="25">
        <v>-9999</v>
      </c>
      <c r="O130" s="25">
        <v>-9999</v>
      </c>
      <c r="P130" s="32"/>
      <c r="Q130"/>
      <c r="AA130" s="22">
        <v>30</v>
      </c>
      <c r="AB130" s="1080" t="str">
        <f t="shared" si="3"/>
        <v>FOR FUTURE USE</v>
      </c>
      <c r="AC130" s="1080">
        <f>CHOOSE(Tables!$U$2,Transfer!CA130,Transfer!CN130,Transfer!DA130,Transfer!DN130,Transfer!EA130)</f>
        <v>-9999</v>
      </c>
      <c r="AD130" s="1080">
        <f>CHOOSE(Tables!$U$2,Transfer!CB130,Transfer!CO130,Transfer!DB130,Transfer!DO130,Transfer!EB130)</f>
        <v>-9999</v>
      </c>
      <c r="AE130" s="1080">
        <f>CHOOSE(Tables!$U$2,Transfer!CC130,Transfer!CP130,Transfer!DC130,Transfer!DP130,Transfer!EC130)</f>
        <v>-9999</v>
      </c>
      <c r="AF130" s="1080">
        <f>CHOOSE(Tables!$U$2,Transfer!CD130,Transfer!CQ130,Transfer!DD130,Transfer!DQ130,Transfer!ED130)</f>
        <v>-9999</v>
      </c>
      <c r="AG130" s="1080">
        <f>CHOOSE(Tables!$U$2,Transfer!CE130,Transfer!CR130,Transfer!DE130,Transfer!DR130,Transfer!EE130)</f>
        <v>-9999</v>
      </c>
      <c r="AH130" s="1080">
        <f>CHOOSE(Tables!$U$2,Transfer!CF130,Transfer!CS130,Transfer!DF130,Transfer!DS130,Transfer!EF130)</f>
        <v>-9999</v>
      </c>
      <c r="AI130" s="1080">
        <f>CHOOSE(Tables!$U$2,Transfer!CG130,Transfer!CT130,Transfer!DG130,Transfer!DT130,Transfer!EG130)</f>
        <v>-9999</v>
      </c>
      <c r="AJ130" s="1080">
        <f>CHOOSE(Tables!$U$2,Transfer!CH130,Transfer!CU130,Transfer!DH130,Transfer!DU130,Transfer!EH130)</f>
        <v>-9999</v>
      </c>
      <c r="AK130" s="1080">
        <f>CHOOSE(Tables!$U$2,Transfer!CI130,Transfer!CV130,Transfer!DI130,Transfer!DV130,Transfer!EI130)</f>
        <v>-9999</v>
      </c>
      <c r="AL130" s="1080">
        <f>CHOOSE(Tables!$U$2,Transfer!CJ130,Transfer!CW130,Transfer!DJ130,Transfer!DW130,Transfer!EJ130)</f>
        <v>-9999</v>
      </c>
      <c r="AM130" s="1080">
        <f>CHOOSE(Tables!$U$2,Transfer!CK130,Transfer!CX130,Transfer!DK130,Transfer!DX130,Transfer!EK130)</f>
        <v>-9999</v>
      </c>
      <c r="AN130" s="1080">
        <f>CHOOSE(Tables!$U$2,Transfer!CL130,Transfer!CY130,Transfer!DL130,Transfer!DY130,Transfer!EL130)</f>
        <v>-9999</v>
      </c>
      <c r="AO130" s="1080">
        <f>CHOOSE(Tables!$U$2,Transfer!CM130,Transfer!CZ130,Transfer!DM130,Transfer!DZ130,Transfer!EM130)</f>
        <v>-9999</v>
      </c>
      <c r="AR130" s="22">
        <v>30</v>
      </c>
      <c r="AS130" s="31" t="s">
        <v>114</v>
      </c>
      <c r="AT130" s="24">
        <f t="shared" si="5"/>
        <v>0</v>
      </c>
      <c r="AU130" s="24">
        <f t="shared" si="5"/>
        <v>0</v>
      </c>
      <c r="AV130" s="24">
        <f t="shared" si="5"/>
        <v>0</v>
      </c>
      <c r="AW130" s="24">
        <f t="shared" si="5"/>
        <v>0</v>
      </c>
      <c r="AX130" s="24">
        <f t="shared" si="5"/>
        <v>0</v>
      </c>
      <c r="AY130" s="25">
        <f t="shared" si="5"/>
        <v>0</v>
      </c>
      <c r="AZ130" s="25">
        <f t="shared" si="5"/>
        <v>0</v>
      </c>
      <c r="BA130" s="25">
        <f t="shared" si="5"/>
        <v>0</v>
      </c>
      <c r="BB130" s="25">
        <f t="shared" si="4"/>
        <v>0</v>
      </c>
      <c r="BC130" s="25">
        <f t="shared" si="4"/>
        <v>0</v>
      </c>
      <c r="BD130" s="25">
        <f t="shared" si="4"/>
        <v>0</v>
      </c>
      <c r="BE130" s="25">
        <f t="shared" si="4"/>
        <v>0</v>
      </c>
      <c r="BF130" s="25">
        <f t="shared" si="4"/>
        <v>0</v>
      </c>
      <c r="CA130" s="16">
        <v>-9999</v>
      </c>
      <c r="CB130" s="16">
        <v>-9999</v>
      </c>
      <c r="CC130" s="16">
        <v>-9999</v>
      </c>
      <c r="CD130" s="16">
        <v>-9999</v>
      </c>
      <c r="CE130" s="16">
        <v>-9999</v>
      </c>
      <c r="CF130" s="16">
        <v>-9999</v>
      </c>
      <c r="CG130" s="16">
        <v>-9999</v>
      </c>
      <c r="CH130" s="16">
        <v>-9999</v>
      </c>
      <c r="CI130" s="16">
        <v>-9999</v>
      </c>
      <c r="CJ130" s="16">
        <v>-9999</v>
      </c>
      <c r="CK130" s="16">
        <v>-9999</v>
      </c>
      <c r="CL130" s="16">
        <v>-9999</v>
      </c>
      <c r="CM130" s="16">
        <v>-9999</v>
      </c>
      <c r="CN130" s="16">
        <v>-9999</v>
      </c>
      <c r="CO130" s="16">
        <v>-9999</v>
      </c>
      <c r="CP130" s="16">
        <v>-9999</v>
      </c>
      <c r="CQ130" s="16">
        <v>-9999</v>
      </c>
      <c r="CR130" s="16">
        <v>-9999</v>
      </c>
      <c r="CS130" s="16">
        <v>-9999</v>
      </c>
      <c r="CT130" s="16">
        <v>-9999</v>
      </c>
      <c r="CU130" s="16">
        <v>-9999</v>
      </c>
      <c r="CV130" s="16">
        <v>-9999</v>
      </c>
      <c r="CW130" s="16">
        <v>-9999</v>
      </c>
      <c r="CX130" s="16">
        <v>-9999</v>
      </c>
      <c r="CY130" s="16">
        <v>-9999</v>
      </c>
      <c r="CZ130" s="16">
        <v>-9999</v>
      </c>
      <c r="DA130" s="16">
        <v>-9999</v>
      </c>
      <c r="DB130" s="16">
        <v>-9999</v>
      </c>
      <c r="DC130" s="16">
        <v>-9999</v>
      </c>
      <c r="DD130" s="16">
        <v>-9999</v>
      </c>
      <c r="DE130" s="16">
        <v>-9999</v>
      </c>
      <c r="DF130" s="16">
        <v>-9999</v>
      </c>
      <c r="DG130" s="16">
        <v>-9999</v>
      </c>
      <c r="DH130" s="16">
        <v>-9999</v>
      </c>
      <c r="DI130" s="16">
        <v>-9999</v>
      </c>
      <c r="DJ130" s="16">
        <v>-9999</v>
      </c>
      <c r="DK130" s="16">
        <v>-9999</v>
      </c>
      <c r="DL130" s="16">
        <v>-9999</v>
      </c>
      <c r="DM130" s="16">
        <v>-9999</v>
      </c>
      <c r="DN130" s="16">
        <v>-9999</v>
      </c>
      <c r="DO130" s="16">
        <v>-9999</v>
      </c>
      <c r="DP130" s="16">
        <v>-9999</v>
      </c>
      <c r="DQ130" s="16">
        <v>-9999</v>
      </c>
      <c r="DR130" s="16">
        <v>-9999</v>
      </c>
      <c r="DS130" s="16">
        <v>-9999</v>
      </c>
      <c r="DT130" s="16">
        <v>-9999</v>
      </c>
      <c r="DU130" s="16">
        <v>-9999</v>
      </c>
      <c r="DV130" s="16">
        <v>-9999</v>
      </c>
      <c r="DW130" s="16">
        <v>-9999</v>
      </c>
      <c r="DX130" s="16">
        <v>-9999</v>
      </c>
      <c r="DY130" s="16">
        <v>-9999</v>
      </c>
      <c r="DZ130" s="16">
        <v>-9999</v>
      </c>
      <c r="EA130" s="2257">
        <v>-9999</v>
      </c>
      <c r="EB130" s="2257">
        <v>-9999</v>
      </c>
      <c r="EC130" s="2257">
        <v>-9999</v>
      </c>
      <c r="ED130" s="2257">
        <v>-9999</v>
      </c>
      <c r="EE130" s="2257">
        <v>-9999</v>
      </c>
      <c r="EF130" s="2257">
        <v>-9999</v>
      </c>
      <c r="EG130" s="2257">
        <v>-9999</v>
      </c>
      <c r="EH130" s="2257">
        <v>-9999</v>
      </c>
      <c r="EI130" s="2257">
        <v>-9999</v>
      </c>
      <c r="EJ130" s="2257">
        <v>-9999</v>
      </c>
      <c r="EK130" s="2257">
        <v>-9999</v>
      </c>
      <c r="EL130" s="2257">
        <v>-9999</v>
      </c>
      <c r="EM130" s="2257">
        <v>-9999</v>
      </c>
    </row>
    <row r="131" spans="1:143" ht="13.15">
      <c r="A131" s="22">
        <v>31</v>
      </c>
      <c r="B131" s="3360" t="s">
        <v>115</v>
      </c>
      <c r="C131" s="24">
        <f ca="1">OFFSET('VVP2'!F178,0,Last_forecast_year - 3-InputY!$G$3)</f>
        <v>212.10300747434235</v>
      </c>
      <c r="D131" s="24">
        <f ca="1">OFFSET('VVP2'!G178,0,Last_forecast_year - 3-InputY!$G$3)</f>
        <v>250.84455729234074</v>
      </c>
      <c r="E131" s="24">
        <f ca="1">OFFSET('VVP2'!H178,0,Last_forecast_year - 3-InputY!$G$3)</f>
        <v>264.92912250000001</v>
      </c>
      <c r="F131" s="24">
        <f ca="1">OFFSET('VVP2'!I178,0,Last_forecast_year - 3-InputY!$G$3)</f>
        <v>261.62700352850044</v>
      </c>
      <c r="G131" s="24">
        <f ca="1">OFFSET('VVP2'!J178,0,Last_forecast_year - 3-InputY!$G$3)</f>
        <v>260.45658896551538</v>
      </c>
      <c r="H131" s="25">
        <v>-9999</v>
      </c>
      <c r="I131" s="25">
        <v>-9999</v>
      </c>
      <c r="J131" s="25">
        <v>-9999</v>
      </c>
      <c r="K131" s="25">
        <v>-9999</v>
      </c>
      <c r="L131" s="25">
        <v>-9999</v>
      </c>
      <c r="M131" s="25">
        <v>-9999</v>
      </c>
      <c r="N131" s="25">
        <v>-9999</v>
      </c>
      <c r="O131" s="25">
        <v>-9999</v>
      </c>
      <c r="P131" s="32"/>
      <c r="Q131"/>
      <c r="AA131" s="22">
        <v>31</v>
      </c>
      <c r="AB131" s="1080" t="str">
        <f t="shared" si="3"/>
        <v>VOL. FIXED INVESTMENT HOUSING</v>
      </c>
      <c r="AC131" s="1080">
        <f>CHOOSE(Tables!$U$2,Transfer!CA131,Transfer!CN131,Transfer!DA131,Transfer!DN131,Transfer!EA131)</f>
        <v>185.31288770678918</v>
      </c>
      <c r="AD131" s="1080">
        <f>CHOOSE(Tables!$U$2,Transfer!CB131,Transfer!CO131,Transfer!DB131,Transfer!DO131,Transfer!EB131)</f>
        <v>218.61663837488499</v>
      </c>
      <c r="AE131" s="1080">
        <f>CHOOSE(Tables!$U$2,Transfer!CC131,Transfer!CP131,Transfer!DC131,Transfer!DP131,Transfer!EC131)</f>
        <v>259.18451414537282</v>
      </c>
      <c r="AF131" s="1080">
        <f>CHOOSE(Tables!$U$2,Transfer!CD131,Transfer!CQ131,Transfer!DD131,Transfer!DQ131,Transfer!ED131)</f>
        <v>268.01280220000001</v>
      </c>
      <c r="AG131" s="1080">
        <f>CHOOSE(Tables!$U$2,Transfer!CE131,Transfer!CR131,Transfer!DE131,Transfer!DR131,Transfer!EE131)</f>
        <v>262.36413757955262</v>
      </c>
      <c r="AH131" s="1080">
        <f>CHOOSE(Tables!$U$2,Transfer!CF131,Transfer!CS131,Transfer!DF131,Transfer!DS131,Transfer!EF131)</f>
        <v>-9999</v>
      </c>
      <c r="AI131" s="1080">
        <f>CHOOSE(Tables!$U$2,Transfer!CG131,Transfer!CT131,Transfer!DG131,Transfer!DT131,Transfer!EG131)</f>
        <v>-9999</v>
      </c>
      <c r="AJ131" s="1080">
        <f>CHOOSE(Tables!$U$2,Transfer!CH131,Transfer!CU131,Transfer!DH131,Transfer!DU131,Transfer!EH131)</f>
        <v>-9999</v>
      </c>
      <c r="AK131" s="1080">
        <f>CHOOSE(Tables!$U$2,Transfer!CI131,Transfer!CV131,Transfer!DI131,Transfer!DV131,Transfer!EI131)</f>
        <v>-9999</v>
      </c>
      <c r="AL131" s="1080">
        <f>CHOOSE(Tables!$U$2,Transfer!CJ131,Transfer!CW131,Transfer!DJ131,Transfer!DW131,Transfer!EJ131)</f>
        <v>-9999</v>
      </c>
      <c r="AM131" s="1080">
        <f>CHOOSE(Tables!$U$2,Transfer!CK131,Transfer!CX131,Transfer!DK131,Transfer!DX131,Transfer!EK131)</f>
        <v>-9999</v>
      </c>
      <c r="AN131" s="1080">
        <f>CHOOSE(Tables!$U$2,Transfer!CL131,Transfer!CY131,Transfer!DL131,Transfer!DY131,Transfer!EL131)</f>
        <v>-9999</v>
      </c>
      <c r="AO131" s="1080">
        <f>CHOOSE(Tables!$U$2,Transfer!CM131,Transfer!CZ131,Transfer!DM131,Transfer!DZ131,Transfer!EM131)</f>
        <v>-9999</v>
      </c>
      <c r="AR131" s="22">
        <v>31</v>
      </c>
      <c r="AS131" s="1" t="s">
        <v>115</v>
      </c>
      <c r="AT131" s="24">
        <f t="shared" ca="1" si="5"/>
        <v>26.790119767553165</v>
      </c>
      <c r="AU131" s="24">
        <f t="shared" ca="1" si="5"/>
        <v>32.227918917455753</v>
      </c>
      <c r="AV131" s="24">
        <f t="shared" ca="1" si="5"/>
        <v>5.7446083546271893</v>
      </c>
      <c r="AW131" s="24">
        <f t="shared" ca="1" si="5"/>
        <v>-6.3857986714995718</v>
      </c>
      <c r="AX131" s="24">
        <f t="shared" ca="1" si="5"/>
        <v>-1.9075486140372391</v>
      </c>
      <c r="AY131" s="25">
        <f t="shared" si="5"/>
        <v>0</v>
      </c>
      <c r="AZ131" s="25">
        <f t="shared" si="5"/>
        <v>0</v>
      </c>
      <c r="BA131" s="25">
        <f t="shared" si="5"/>
        <v>0</v>
      </c>
      <c r="BB131" s="25">
        <f t="shared" si="4"/>
        <v>0</v>
      </c>
      <c r="BC131" s="25">
        <f t="shared" si="4"/>
        <v>0</v>
      </c>
      <c r="BD131" s="25">
        <f t="shared" si="4"/>
        <v>0</v>
      </c>
      <c r="BE131" s="25">
        <f t="shared" si="4"/>
        <v>0</v>
      </c>
      <c r="BF131" s="25">
        <f t="shared" si="4"/>
        <v>0</v>
      </c>
      <c r="CA131" s="16">
        <v>212.10300747434235</v>
      </c>
      <c r="CB131" s="16">
        <v>250.84455729234074</v>
      </c>
      <c r="CC131" s="16">
        <v>264.92912250000001</v>
      </c>
      <c r="CD131" s="16">
        <v>261.62700352850044</v>
      </c>
      <c r="CE131" s="16">
        <v>260.45658896551538</v>
      </c>
      <c r="CF131" s="16">
        <v>-9999</v>
      </c>
      <c r="CG131" s="16">
        <v>-9999</v>
      </c>
      <c r="CH131" s="16">
        <v>-9999</v>
      </c>
      <c r="CI131" s="16">
        <v>-9999</v>
      </c>
      <c r="CJ131" s="16">
        <v>-9999</v>
      </c>
      <c r="CK131" s="16">
        <v>-9999</v>
      </c>
      <c r="CL131" s="16">
        <v>-9999</v>
      </c>
      <c r="CM131" s="16">
        <v>-9999</v>
      </c>
      <c r="CN131" s="16">
        <v>185.31288770678918</v>
      </c>
      <c r="CO131" s="16">
        <v>218.61663837488499</v>
      </c>
      <c r="CP131" s="16">
        <v>259.18451414537282</v>
      </c>
      <c r="CQ131" s="16">
        <v>268.01280220000001</v>
      </c>
      <c r="CR131" s="16">
        <v>262.36413757955262</v>
      </c>
      <c r="CS131" s="16">
        <v>-9999</v>
      </c>
      <c r="CT131" s="16">
        <v>-9999</v>
      </c>
      <c r="CU131" s="16">
        <v>-9999</v>
      </c>
      <c r="CV131" s="16">
        <v>-9999</v>
      </c>
      <c r="CW131" s="16">
        <v>-9999</v>
      </c>
      <c r="CX131" s="16">
        <v>-9999</v>
      </c>
      <c r="CY131" s="16">
        <v>-9999</v>
      </c>
      <c r="CZ131" s="16">
        <v>-9999</v>
      </c>
      <c r="DA131" s="16">
        <v>212.10300747434235</v>
      </c>
      <c r="DB131" s="16">
        <v>250.84455729234074</v>
      </c>
      <c r="DC131" s="16">
        <v>265.45007249999998</v>
      </c>
      <c r="DD131" s="16">
        <v>267.07452607267243</v>
      </c>
      <c r="DE131" s="16">
        <v>266.77095848335722</v>
      </c>
      <c r="DF131" s="16">
        <v>-9999</v>
      </c>
      <c r="DG131" s="16">
        <v>-9999</v>
      </c>
      <c r="DH131" s="16">
        <v>-9999</v>
      </c>
      <c r="DI131" s="16">
        <v>-9999</v>
      </c>
      <c r="DJ131" s="16">
        <v>-9999</v>
      </c>
      <c r="DK131" s="16">
        <v>-9999</v>
      </c>
      <c r="DL131" s="16">
        <v>-9999</v>
      </c>
      <c r="DM131" s="16">
        <v>-9999</v>
      </c>
      <c r="DN131" s="16">
        <v>212.10300747434235</v>
      </c>
      <c r="DO131" s="16">
        <v>250.84455729234074</v>
      </c>
      <c r="DP131" s="16">
        <v>265.45007249999998</v>
      </c>
      <c r="DQ131" s="16">
        <v>267.07452607267243</v>
      </c>
      <c r="DR131" s="16">
        <v>266.77095848335722</v>
      </c>
      <c r="DS131" s="16">
        <v>-9999</v>
      </c>
      <c r="DT131" s="16">
        <v>-9999</v>
      </c>
      <c r="DU131" s="16">
        <v>-9999</v>
      </c>
      <c r="DV131" s="16">
        <v>-9999</v>
      </c>
      <c r="DW131" s="16">
        <v>-9999</v>
      </c>
      <c r="DX131" s="16">
        <v>-9999</v>
      </c>
      <c r="DY131" s="16">
        <v>-9999</v>
      </c>
      <c r="DZ131" s="16">
        <v>-9999</v>
      </c>
      <c r="EA131" s="2256">
        <v>212.10300747434235</v>
      </c>
      <c r="EB131" s="2256">
        <v>250.84455729234074</v>
      </c>
      <c r="EC131" s="2256">
        <v>264.92912250000001</v>
      </c>
      <c r="ED131" s="2256">
        <v>261.62700352850044</v>
      </c>
      <c r="EE131" s="2256">
        <v>260.45658896551538</v>
      </c>
      <c r="EF131" s="2257">
        <v>-9999</v>
      </c>
      <c r="EG131" s="2257">
        <v>-9999</v>
      </c>
      <c r="EH131" s="2257">
        <v>-9999</v>
      </c>
      <c r="EI131" s="2257">
        <v>-9999</v>
      </c>
      <c r="EJ131" s="2257">
        <v>-9999</v>
      </c>
      <c r="EK131" s="2257">
        <v>-9999</v>
      </c>
      <c r="EL131" s="2257">
        <v>-9999</v>
      </c>
      <c r="EM131" s="2257">
        <v>-9999</v>
      </c>
    </row>
    <row r="132" spans="1:143" ht="13.15">
      <c r="A132" s="22">
        <v>32</v>
      </c>
      <c r="B132" s="30" t="s">
        <v>973</v>
      </c>
      <c r="C132" s="25">
        <v>-9999</v>
      </c>
      <c r="D132" s="25">
        <v>-9999</v>
      </c>
      <c r="E132" s="25">
        <v>-9999</v>
      </c>
      <c r="F132" s="25">
        <v>-9999</v>
      </c>
      <c r="G132" s="25">
        <v>-9999</v>
      </c>
      <c r="H132" s="25">
        <v>-9999</v>
      </c>
      <c r="I132" s="25">
        <v>-9999</v>
      </c>
      <c r="J132" s="25">
        <v>-9999</v>
      </c>
      <c r="K132" s="25">
        <v>-9999</v>
      </c>
      <c r="L132" s="25">
        <v>-9999</v>
      </c>
      <c r="M132" s="25">
        <v>-9999</v>
      </c>
      <c r="N132" s="25">
        <v>-9999</v>
      </c>
      <c r="O132" s="25">
        <v>-9999</v>
      </c>
      <c r="P132" s="32"/>
      <c r="Q132"/>
      <c r="AA132" s="22">
        <v>32</v>
      </c>
      <c r="AB132" s="1080" t="str">
        <f t="shared" si="3"/>
        <v>FOR FUTURE USE</v>
      </c>
      <c r="AC132" s="1080">
        <f>CHOOSE(Tables!$U$2,Transfer!CA132,Transfer!CN132,Transfer!DA132,Transfer!DN132,Transfer!EA132)</f>
        <v>-9999</v>
      </c>
      <c r="AD132" s="1080">
        <f>CHOOSE(Tables!$U$2,Transfer!CB132,Transfer!CO132,Transfer!DB132,Transfer!DO132,Transfer!EB132)</f>
        <v>-9999</v>
      </c>
      <c r="AE132" s="1080">
        <f>CHOOSE(Tables!$U$2,Transfer!CC132,Transfer!CP132,Transfer!DC132,Transfer!DP132,Transfer!EC132)</f>
        <v>-9999</v>
      </c>
      <c r="AF132" s="1080">
        <f>CHOOSE(Tables!$U$2,Transfer!CD132,Transfer!CQ132,Transfer!DD132,Transfer!DQ132,Transfer!ED132)</f>
        <v>-9999</v>
      </c>
      <c r="AG132" s="1080">
        <f>CHOOSE(Tables!$U$2,Transfer!CE132,Transfer!CR132,Transfer!DE132,Transfer!DR132,Transfer!EE132)</f>
        <v>-9999</v>
      </c>
      <c r="AH132" s="1080">
        <f>CHOOSE(Tables!$U$2,Transfer!CF132,Transfer!CS132,Transfer!DF132,Transfer!DS132,Transfer!EF132)</f>
        <v>-9999</v>
      </c>
      <c r="AI132" s="1080">
        <f>CHOOSE(Tables!$U$2,Transfer!CG132,Transfer!CT132,Transfer!DG132,Transfer!DT132,Transfer!EG132)</f>
        <v>-9999</v>
      </c>
      <c r="AJ132" s="1080">
        <f>CHOOSE(Tables!$U$2,Transfer!CH132,Transfer!CU132,Transfer!DH132,Transfer!DU132,Transfer!EH132)</f>
        <v>-9999</v>
      </c>
      <c r="AK132" s="1080">
        <f>CHOOSE(Tables!$U$2,Transfer!CI132,Transfer!CV132,Transfer!DI132,Transfer!DV132,Transfer!EI132)</f>
        <v>-9999</v>
      </c>
      <c r="AL132" s="1080">
        <f>CHOOSE(Tables!$U$2,Transfer!CJ132,Transfer!CW132,Transfer!DJ132,Transfer!DW132,Transfer!EJ132)</f>
        <v>-9999</v>
      </c>
      <c r="AM132" s="1080">
        <f>CHOOSE(Tables!$U$2,Transfer!CK132,Transfer!CX132,Transfer!DK132,Transfer!DX132,Transfer!EK132)</f>
        <v>-9999</v>
      </c>
      <c r="AN132" s="1080">
        <f>CHOOSE(Tables!$U$2,Transfer!CL132,Transfer!CY132,Transfer!DL132,Transfer!DY132,Transfer!EL132)</f>
        <v>-9999</v>
      </c>
      <c r="AO132" s="1080">
        <f>CHOOSE(Tables!$U$2,Transfer!CM132,Transfer!CZ132,Transfer!DM132,Transfer!DZ132,Transfer!EM132)</f>
        <v>-9999</v>
      </c>
      <c r="AR132" s="22">
        <v>32</v>
      </c>
      <c r="AS132" s="1" t="s">
        <v>300</v>
      </c>
      <c r="AT132" s="24">
        <f t="shared" si="5"/>
        <v>0</v>
      </c>
      <c r="AU132" s="24">
        <f t="shared" si="5"/>
        <v>0</v>
      </c>
      <c r="AV132" s="24">
        <f t="shared" si="5"/>
        <v>0</v>
      </c>
      <c r="AW132" s="24">
        <f t="shared" si="5"/>
        <v>0</v>
      </c>
      <c r="AX132" s="24">
        <f t="shared" si="5"/>
        <v>0</v>
      </c>
      <c r="AY132" s="25">
        <f t="shared" si="5"/>
        <v>0</v>
      </c>
      <c r="AZ132" s="25">
        <f t="shared" si="5"/>
        <v>0</v>
      </c>
      <c r="BA132" s="25">
        <f t="shared" si="5"/>
        <v>0</v>
      </c>
      <c r="BB132" s="25">
        <f t="shared" si="4"/>
        <v>0</v>
      </c>
      <c r="BC132" s="25">
        <f t="shared" si="4"/>
        <v>0</v>
      </c>
      <c r="BD132" s="25">
        <f t="shared" si="4"/>
        <v>0</v>
      </c>
      <c r="BE132" s="25">
        <f t="shared" si="4"/>
        <v>0</v>
      </c>
      <c r="BF132" s="25">
        <f t="shared" si="4"/>
        <v>0</v>
      </c>
      <c r="CA132" s="16">
        <v>-9999</v>
      </c>
      <c r="CB132" s="16">
        <v>-9999</v>
      </c>
      <c r="CC132" s="16">
        <v>-9999</v>
      </c>
      <c r="CD132" s="16">
        <v>-9999</v>
      </c>
      <c r="CE132" s="16">
        <v>-9999</v>
      </c>
      <c r="CF132" s="16">
        <v>-9999</v>
      </c>
      <c r="CG132" s="16">
        <v>-9999</v>
      </c>
      <c r="CH132" s="16">
        <v>-9999</v>
      </c>
      <c r="CI132" s="16">
        <v>-9999</v>
      </c>
      <c r="CJ132" s="16">
        <v>-9999</v>
      </c>
      <c r="CK132" s="16">
        <v>-9999</v>
      </c>
      <c r="CL132" s="16">
        <v>-9999</v>
      </c>
      <c r="CM132" s="16">
        <v>-9999</v>
      </c>
      <c r="CN132" s="16">
        <v>-9999</v>
      </c>
      <c r="CO132" s="16">
        <v>-9999</v>
      </c>
      <c r="CP132" s="16">
        <v>-9999</v>
      </c>
      <c r="CQ132" s="16">
        <v>-9999</v>
      </c>
      <c r="CR132" s="16">
        <v>-9999</v>
      </c>
      <c r="CS132" s="16">
        <v>-9999</v>
      </c>
      <c r="CT132" s="16">
        <v>-9999</v>
      </c>
      <c r="CU132" s="16">
        <v>-9999</v>
      </c>
      <c r="CV132" s="16">
        <v>-9999</v>
      </c>
      <c r="CW132" s="16">
        <v>-9999</v>
      </c>
      <c r="CX132" s="16">
        <v>-9999</v>
      </c>
      <c r="CY132" s="16">
        <v>-9999</v>
      </c>
      <c r="CZ132" s="16">
        <v>-9999</v>
      </c>
      <c r="DA132" s="16">
        <v>-9999</v>
      </c>
      <c r="DB132" s="16">
        <v>-9999</v>
      </c>
      <c r="DC132" s="16">
        <v>-9999</v>
      </c>
      <c r="DD132" s="16">
        <v>-9999</v>
      </c>
      <c r="DE132" s="16">
        <v>-9999</v>
      </c>
      <c r="DF132" s="16">
        <v>-9999</v>
      </c>
      <c r="DG132" s="16">
        <v>-9999</v>
      </c>
      <c r="DH132" s="16">
        <v>-9999</v>
      </c>
      <c r="DI132" s="16">
        <v>-9999</v>
      </c>
      <c r="DJ132" s="16">
        <v>-9999</v>
      </c>
      <c r="DK132" s="16">
        <v>-9999</v>
      </c>
      <c r="DL132" s="16">
        <v>-9999</v>
      </c>
      <c r="DM132" s="16">
        <v>-9999</v>
      </c>
      <c r="DN132" s="16">
        <v>-9999</v>
      </c>
      <c r="DO132" s="16">
        <v>-9999</v>
      </c>
      <c r="DP132" s="16">
        <v>-9999</v>
      </c>
      <c r="DQ132" s="16">
        <v>-9999</v>
      </c>
      <c r="DR132" s="16">
        <v>-9999</v>
      </c>
      <c r="DS132" s="16">
        <v>-9999</v>
      </c>
      <c r="DT132" s="16">
        <v>-9999</v>
      </c>
      <c r="DU132" s="16">
        <v>-9999</v>
      </c>
      <c r="DV132" s="16">
        <v>-9999</v>
      </c>
      <c r="DW132" s="16">
        <v>-9999</v>
      </c>
      <c r="DX132" s="16">
        <v>-9999</v>
      </c>
      <c r="DY132" s="16">
        <v>-9999</v>
      </c>
      <c r="DZ132" s="16">
        <v>-9999</v>
      </c>
      <c r="EA132" s="2256">
        <v>-9999</v>
      </c>
      <c r="EB132" s="2256">
        <v>-9999</v>
      </c>
      <c r="EC132" s="2256">
        <v>-9999</v>
      </c>
      <c r="ED132" s="2256">
        <v>-9999</v>
      </c>
      <c r="EE132" s="2256">
        <v>-9999</v>
      </c>
      <c r="EF132" s="2257">
        <v>-9999</v>
      </c>
      <c r="EG132" s="2257">
        <v>-9999</v>
      </c>
      <c r="EH132" s="2257">
        <v>-9999</v>
      </c>
      <c r="EI132" s="2257">
        <v>-9999</v>
      </c>
      <c r="EJ132" s="2257">
        <v>-9999</v>
      </c>
      <c r="EK132" s="2257">
        <v>-9999</v>
      </c>
      <c r="EL132" s="2257">
        <v>-9999</v>
      </c>
      <c r="EM132" s="2257">
        <v>-9999</v>
      </c>
    </row>
    <row r="133" spans="1:143" ht="13.15">
      <c r="A133" s="22">
        <v>33</v>
      </c>
      <c r="B133" s="3361" t="s">
        <v>1347</v>
      </c>
      <c r="C133" s="24">
        <f ca="1">OFFSET('VVP2'!F205,0,Last_forecast_year - 3-InputY!$G$3)</f>
        <v>224.84800000000001</v>
      </c>
      <c r="D133" s="24">
        <f ca="1">OFFSET('VVP2'!G205,0,Last_forecast_year - 3-InputY!$G$3)</f>
        <v>260.47500000000002</v>
      </c>
      <c r="E133" s="24">
        <f ca="1">OFFSET('VVP2'!H205,0,Last_forecast_year - 3-InputY!$G$3)</f>
        <v>275.0494149795</v>
      </c>
      <c r="F133" s="24">
        <f ca="1">OFFSET('VVP2'!I205,0,Last_forecast_year - 3-InputY!$G$3)</f>
        <v>264.55722596801968</v>
      </c>
      <c r="G133" s="24">
        <f ca="1">OFFSET('VVP2'!J205,0,Last_forecast_year - 3-InputY!$G$3)</f>
        <v>263.03510919627399</v>
      </c>
      <c r="H133" s="25">
        <v>-9999</v>
      </c>
      <c r="I133" s="25">
        <v>-9999</v>
      </c>
      <c r="J133" s="25">
        <v>-9999</v>
      </c>
      <c r="K133" s="25">
        <v>-9999</v>
      </c>
      <c r="L133" s="25">
        <v>-9999</v>
      </c>
      <c r="M133" s="25">
        <v>-9999</v>
      </c>
      <c r="N133" s="25">
        <v>-9999</v>
      </c>
      <c r="O133" s="25">
        <v>-9999</v>
      </c>
      <c r="P133" s="32"/>
      <c r="Q133"/>
      <c r="AA133" s="22">
        <v>33</v>
      </c>
      <c r="AB133" s="1080" t="str">
        <f t="shared" si="3"/>
        <v xml:space="preserve">VAL. FIXED INVESTMENT HOUSING </v>
      </c>
      <c r="AC133" s="1080">
        <f>CHOOSE(Tables!$U$2,Transfer!CA133,Transfer!CN133,Transfer!DA133,Transfer!DN133,Transfer!EA133)</f>
        <v>191.25899999999999</v>
      </c>
      <c r="AD133" s="1080">
        <f>CHOOSE(Tables!$U$2,Transfer!CB133,Transfer!CO133,Transfer!DB133,Transfer!DO133,Transfer!EB133)</f>
        <v>226.97800000000001</v>
      </c>
      <c r="AE133" s="1080">
        <f>CHOOSE(Tables!$U$2,Transfer!CC133,Transfer!CP133,Transfer!DC133,Transfer!DP133,Transfer!EC133)</f>
        <v>263.97399999999999</v>
      </c>
      <c r="AF133" s="1080">
        <f>CHOOSE(Tables!$U$2,Transfer!CD133,Transfer!CQ133,Transfer!DD133,Transfer!DQ133,Transfer!ED133)</f>
        <v>273.23905184290004</v>
      </c>
      <c r="AG133" s="1080">
        <f>CHOOSE(Tables!$U$2,Transfer!CE133,Transfer!CR133,Transfer!DE133,Transfer!DR133,Transfer!EE133)</f>
        <v>267.34905619356408</v>
      </c>
      <c r="AH133" s="1080">
        <f>CHOOSE(Tables!$U$2,Transfer!CF133,Transfer!CS133,Transfer!DF133,Transfer!DS133,Transfer!EF133)</f>
        <v>-9999</v>
      </c>
      <c r="AI133" s="1080">
        <f>CHOOSE(Tables!$U$2,Transfer!CG133,Transfer!CT133,Transfer!DG133,Transfer!DT133,Transfer!EG133)</f>
        <v>-9999</v>
      </c>
      <c r="AJ133" s="1080">
        <f>CHOOSE(Tables!$U$2,Transfer!CH133,Transfer!CU133,Transfer!DH133,Transfer!DU133,Transfer!EH133)</f>
        <v>-9999</v>
      </c>
      <c r="AK133" s="1080">
        <f>CHOOSE(Tables!$U$2,Transfer!CI133,Transfer!CV133,Transfer!DI133,Transfer!DV133,Transfer!EI133)</f>
        <v>-9999</v>
      </c>
      <c r="AL133" s="1080">
        <f>CHOOSE(Tables!$U$2,Transfer!CJ133,Transfer!CW133,Transfer!DJ133,Transfer!DW133,Transfer!EJ133)</f>
        <v>-9999</v>
      </c>
      <c r="AM133" s="1080">
        <f>CHOOSE(Tables!$U$2,Transfer!CK133,Transfer!CX133,Transfer!DK133,Transfer!DX133,Transfer!EK133)</f>
        <v>-9999</v>
      </c>
      <c r="AN133" s="1080">
        <f>CHOOSE(Tables!$U$2,Transfer!CL133,Transfer!CY133,Transfer!DL133,Transfer!DY133,Transfer!EL133)</f>
        <v>-9999</v>
      </c>
      <c r="AO133" s="1080">
        <f>CHOOSE(Tables!$U$2,Transfer!CM133,Transfer!CZ133,Transfer!DM133,Transfer!DZ133,Transfer!EM133)</f>
        <v>-9999</v>
      </c>
      <c r="AR133" s="22">
        <v>33</v>
      </c>
      <c r="AS133" s="1" t="s">
        <v>1347</v>
      </c>
      <c r="AT133" s="24">
        <f t="shared" ca="1" si="5"/>
        <v>33.589000000000027</v>
      </c>
      <c r="AU133" s="24">
        <f t="shared" ca="1" si="5"/>
        <v>33.497000000000014</v>
      </c>
      <c r="AV133" s="24">
        <f t="shared" ca="1" si="5"/>
        <v>11.07541497950001</v>
      </c>
      <c r="AW133" s="24">
        <f t="shared" ca="1" si="5"/>
        <v>-8.6818258748803601</v>
      </c>
      <c r="AX133" s="24">
        <f t="shared" ca="1" si="5"/>
        <v>-4.3139469972900883</v>
      </c>
      <c r="AY133" s="25">
        <f t="shared" si="5"/>
        <v>0</v>
      </c>
      <c r="AZ133" s="25">
        <f t="shared" si="5"/>
        <v>0</v>
      </c>
      <c r="BA133" s="25">
        <f t="shared" si="5"/>
        <v>0</v>
      </c>
      <c r="BB133" s="25">
        <f t="shared" si="4"/>
        <v>0</v>
      </c>
      <c r="BC133" s="25">
        <f t="shared" si="4"/>
        <v>0</v>
      </c>
      <c r="BD133" s="25">
        <f t="shared" si="4"/>
        <v>0</v>
      </c>
      <c r="BE133" s="25">
        <f t="shared" si="4"/>
        <v>0</v>
      </c>
      <c r="BF133" s="25">
        <f t="shared" si="4"/>
        <v>0</v>
      </c>
      <c r="CA133" s="16">
        <v>224.84800000000001</v>
      </c>
      <c r="CB133" s="16">
        <v>260.47500000000002</v>
      </c>
      <c r="CC133" s="16">
        <v>275.0494149795</v>
      </c>
      <c r="CD133" s="16">
        <v>264.55722596801968</v>
      </c>
      <c r="CE133" s="16">
        <v>263.03510919627399</v>
      </c>
      <c r="CF133" s="16">
        <v>-9999</v>
      </c>
      <c r="CG133" s="16">
        <v>-9999</v>
      </c>
      <c r="CH133" s="16">
        <v>-9999</v>
      </c>
      <c r="CI133" s="16">
        <v>-9999</v>
      </c>
      <c r="CJ133" s="16">
        <v>-9999</v>
      </c>
      <c r="CK133" s="16">
        <v>-9999</v>
      </c>
      <c r="CL133" s="16">
        <v>-9999</v>
      </c>
      <c r="CM133" s="16">
        <v>-9999</v>
      </c>
      <c r="CN133" s="16">
        <v>191.25899999999999</v>
      </c>
      <c r="CO133" s="16">
        <v>226.97800000000001</v>
      </c>
      <c r="CP133" s="16">
        <v>263.97399999999999</v>
      </c>
      <c r="CQ133" s="16">
        <v>273.23905184290004</v>
      </c>
      <c r="CR133" s="16">
        <v>267.34905619356408</v>
      </c>
      <c r="CS133" s="16">
        <v>-9999</v>
      </c>
      <c r="CT133" s="16">
        <v>-9999</v>
      </c>
      <c r="CU133" s="16">
        <v>-9999</v>
      </c>
      <c r="CV133" s="16">
        <v>-9999</v>
      </c>
      <c r="CW133" s="16">
        <v>-9999</v>
      </c>
      <c r="CX133" s="16">
        <v>-9999</v>
      </c>
      <c r="CY133" s="16">
        <v>-9999</v>
      </c>
      <c r="CZ133" s="16">
        <v>-9999</v>
      </c>
      <c r="DA133" s="16">
        <v>224.84800000000001</v>
      </c>
      <c r="DB133" s="16">
        <v>260.47500000000002</v>
      </c>
      <c r="DC133" s="16">
        <v>275.59026526949998</v>
      </c>
      <c r="DD133" s="16">
        <v>270.06576076468639</v>
      </c>
      <c r="DE133" s="16">
        <v>269.41199097234244</v>
      </c>
      <c r="DF133" s="16">
        <v>-9999</v>
      </c>
      <c r="DG133" s="16">
        <v>-9999</v>
      </c>
      <c r="DH133" s="16">
        <v>-9999</v>
      </c>
      <c r="DI133" s="16">
        <v>-9999</v>
      </c>
      <c r="DJ133" s="16">
        <v>-9999</v>
      </c>
      <c r="DK133" s="16">
        <v>-9999</v>
      </c>
      <c r="DL133" s="16">
        <v>-9999</v>
      </c>
      <c r="DM133" s="16">
        <v>-9999</v>
      </c>
      <c r="DN133" s="16">
        <v>224.84800000000001</v>
      </c>
      <c r="DO133" s="16">
        <v>260.47500000000002</v>
      </c>
      <c r="DP133" s="16">
        <v>275.59026526949998</v>
      </c>
      <c r="DQ133" s="16">
        <v>270.06576076468639</v>
      </c>
      <c r="DR133" s="16">
        <v>269.41199097234244</v>
      </c>
      <c r="DS133" s="16">
        <v>-9999</v>
      </c>
      <c r="DT133" s="16">
        <v>-9999</v>
      </c>
      <c r="DU133" s="16">
        <v>-9999</v>
      </c>
      <c r="DV133" s="16">
        <v>-9999</v>
      </c>
      <c r="DW133" s="16">
        <v>-9999</v>
      </c>
      <c r="DX133" s="16">
        <v>-9999</v>
      </c>
      <c r="DY133" s="16">
        <v>-9999</v>
      </c>
      <c r="DZ133" s="16">
        <v>-9999</v>
      </c>
      <c r="EA133" s="2256">
        <v>224.84800000000001</v>
      </c>
      <c r="EB133" s="2256">
        <v>260.47500000000002</v>
      </c>
      <c r="EC133" s="2256">
        <v>275.0494149795</v>
      </c>
      <c r="ED133" s="2256">
        <v>264.55722596801968</v>
      </c>
      <c r="EE133" s="2256">
        <v>263.03510919627399</v>
      </c>
      <c r="EF133" s="2257">
        <v>-9999</v>
      </c>
      <c r="EG133" s="2257">
        <v>-9999</v>
      </c>
      <c r="EH133" s="2257">
        <v>-9999</v>
      </c>
      <c r="EI133" s="2257">
        <v>-9999</v>
      </c>
      <c r="EJ133" s="2257">
        <v>-9999</v>
      </c>
      <c r="EK133" s="2257">
        <v>-9999</v>
      </c>
      <c r="EL133" s="2257">
        <v>-9999</v>
      </c>
      <c r="EM133" s="2257">
        <v>-9999</v>
      </c>
    </row>
    <row r="134" spans="1:143" ht="13.15">
      <c r="A134" s="22">
        <v>34</v>
      </c>
      <c r="B134" s="30" t="s">
        <v>973</v>
      </c>
      <c r="C134" s="25">
        <v>-9999</v>
      </c>
      <c r="D134" s="25">
        <v>-9999</v>
      </c>
      <c r="E134" s="25">
        <v>-9999</v>
      </c>
      <c r="F134" s="25">
        <v>-9999</v>
      </c>
      <c r="G134" s="25">
        <v>-9999</v>
      </c>
      <c r="H134" s="25">
        <v>-9999</v>
      </c>
      <c r="I134" s="25">
        <v>-9999</v>
      </c>
      <c r="J134" s="25">
        <v>-9999</v>
      </c>
      <c r="K134" s="25">
        <v>-9999</v>
      </c>
      <c r="L134" s="25">
        <v>-9999</v>
      </c>
      <c r="M134" s="25">
        <v>-9999</v>
      </c>
      <c r="N134" s="25">
        <v>-9999</v>
      </c>
      <c r="O134" s="25">
        <v>-9999</v>
      </c>
      <c r="P134" s="32"/>
      <c r="Q134"/>
      <c r="AA134" s="22">
        <v>34</v>
      </c>
      <c r="AB134" s="1080" t="str">
        <f t="shared" si="3"/>
        <v>FOR FUTURE USE</v>
      </c>
      <c r="AC134" s="1080">
        <f>CHOOSE(Tables!$U$2,Transfer!CA134,Transfer!CN134,Transfer!DA134,Transfer!DN134,Transfer!EA134)</f>
        <v>-9999</v>
      </c>
      <c r="AD134" s="1080">
        <f>CHOOSE(Tables!$U$2,Transfer!CB134,Transfer!CO134,Transfer!DB134,Transfer!DO134,Transfer!EB134)</f>
        <v>-9999</v>
      </c>
      <c r="AE134" s="1080">
        <f>CHOOSE(Tables!$U$2,Transfer!CC134,Transfer!CP134,Transfer!DC134,Transfer!DP134,Transfer!EC134)</f>
        <v>-9999</v>
      </c>
      <c r="AF134" s="1080">
        <f>CHOOSE(Tables!$U$2,Transfer!CD134,Transfer!CQ134,Transfer!DD134,Transfer!DQ134,Transfer!ED134)</f>
        <v>-9999</v>
      </c>
      <c r="AG134" s="1080">
        <f>CHOOSE(Tables!$U$2,Transfer!CE134,Transfer!CR134,Transfer!DE134,Transfer!DR134,Transfer!EE134)</f>
        <v>-9999</v>
      </c>
      <c r="AH134" s="1080">
        <f>CHOOSE(Tables!$U$2,Transfer!CF134,Transfer!CS134,Transfer!DF134,Transfer!DS134,Transfer!EF134)</f>
        <v>-9999</v>
      </c>
      <c r="AI134" s="1080">
        <f>CHOOSE(Tables!$U$2,Transfer!CG134,Transfer!CT134,Transfer!DG134,Transfer!DT134,Transfer!EG134)</f>
        <v>-9999</v>
      </c>
      <c r="AJ134" s="1080">
        <f>CHOOSE(Tables!$U$2,Transfer!CH134,Transfer!CU134,Transfer!DH134,Transfer!DU134,Transfer!EH134)</f>
        <v>-9999</v>
      </c>
      <c r="AK134" s="1080">
        <f>CHOOSE(Tables!$U$2,Transfer!CI134,Transfer!CV134,Transfer!DI134,Transfer!DV134,Transfer!EI134)</f>
        <v>-9999</v>
      </c>
      <c r="AL134" s="1080">
        <f>CHOOSE(Tables!$U$2,Transfer!CJ134,Transfer!CW134,Transfer!DJ134,Transfer!DW134,Transfer!EJ134)</f>
        <v>-9999</v>
      </c>
      <c r="AM134" s="1080">
        <f>CHOOSE(Tables!$U$2,Transfer!CK134,Transfer!CX134,Transfer!DK134,Transfer!DX134,Transfer!EK134)</f>
        <v>-9999</v>
      </c>
      <c r="AN134" s="1080">
        <f>CHOOSE(Tables!$U$2,Transfer!CL134,Transfer!CY134,Transfer!DL134,Transfer!DY134,Transfer!EL134)</f>
        <v>-9999</v>
      </c>
      <c r="AO134" s="1080">
        <f>CHOOSE(Tables!$U$2,Transfer!CM134,Transfer!CZ134,Transfer!DM134,Transfer!DZ134,Transfer!EM134)</f>
        <v>-9999</v>
      </c>
      <c r="AR134" s="22">
        <v>34</v>
      </c>
      <c r="AS134" s="33" t="s">
        <v>1348</v>
      </c>
      <c r="AT134" s="24">
        <f t="shared" si="5"/>
        <v>0</v>
      </c>
      <c r="AU134" s="24">
        <f t="shared" si="5"/>
        <v>0</v>
      </c>
      <c r="AV134" s="24">
        <f t="shared" si="5"/>
        <v>0</v>
      </c>
      <c r="AW134" s="24">
        <f t="shared" si="5"/>
        <v>0</v>
      </c>
      <c r="AX134" s="24">
        <f t="shared" si="5"/>
        <v>0</v>
      </c>
      <c r="AY134" s="25">
        <f t="shared" si="5"/>
        <v>0</v>
      </c>
      <c r="AZ134" s="25">
        <f t="shared" si="5"/>
        <v>0</v>
      </c>
      <c r="BA134" s="25">
        <f t="shared" si="5"/>
        <v>0</v>
      </c>
      <c r="BB134" s="25">
        <f t="shared" si="4"/>
        <v>0</v>
      </c>
      <c r="BC134" s="25">
        <f t="shared" si="4"/>
        <v>0</v>
      </c>
      <c r="BD134" s="25">
        <f t="shared" si="4"/>
        <v>0</v>
      </c>
      <c r="BE134" s="25">
        <f t="shared" si="4"/>
        <v>0</v>
      </c>
      <c r="BF134" s="25">
        <f t="shared" si="4"/>
        <v>0</v>
      </c>
      <c r="CA134" s="16">
        <v>-9999</v>
      </c>
      <c r="CB134" s="16">
        <v>-9999</v>
      </c>
      <c r="CC134" s="16">
        <v>-9999</v>
      </c>
      <c r="CD134" s="16">
        <v>-9999</v>
      </c>
      <c r="CE134" s="16">
        <v>-9999</v>
      </c>
      <c r="CF134" s="16">
        <v>-9999</v>
      </c>
      <c r="CG134" s="16">
        <v>-9999</v>
      </c>
      <c r="CH134" s="16">
        <v>-9999</v>
      </c>
      <c r="CI134" s="16">
        <v>-9999</v>
      </c>
      <c r="CJ134" s="16">
        <v>-9999</v>
      </c>
      <c r="CK134" s="16">
        <v>-9999</v>
      </c>
      <c r="CL134" s="16">
        <v>-9999</v>
      </c>
      <c r="CM134" s="16">
        <v>-9999</v>
      </c>
      <c r="CN134" s="16">
        <v>-9999</v>
      </c>
      <c r="CO134" s="16">
        <v>-9999</v>
      </c>
      <c r="CP134" s="16">
        <v>-9999</v>
      </c>
      <c r="CQ134" s="16">
        <v>-9999</v>
      </c>
      <c r="CR134" s="16">
        <v>-9999</v>
      </c>
      <c r="CS134" s="16">
        <v>-9999</v>
      </c>
      <c r="CT134" s="16">
        <v>-9999</v>
      </c>
      <c r="CU134" s="16">
        <v>-9999</v>
      </c>
      <c r="CV134" s="16">
        <v>-9999</v>
      </c>
      <c r="CW134" s="16">
        <v>-9999</v>
      </c>
      <c r="CX134" s="16">
        <v>-9999</v>
      </c>
      <c r="CY134" s="16">
        <v>-9999</v>
      </c>
      <c r="CZ134" s="16">
        <v>-9999</v>
      </c>
      <c r="DA134" s="16">
        <v>-9999</v>
      </c>
      <c r="DB134" s="16">
        <v>-9999</v>
      </c>
      <c r="DC134" s="16">
        <v>-9999</v>
      </c>
      <c r="DD134" s="16">
        <v>-9999</v>
      </c>
      <c r="DE134" s="16">
        <v>-9999</v>
      </c>
      <c r="DF134" s="16">
        <v>-9999</v>
      </c>
      <c r="DG134" s="16">
        <v>-9999</v>
      </c>
      <c r="DH134" s="16">
        <v>-9999</v>
      </c>
      <c r="DI134" s="16">
        <v>-9999</v>
      </c>
      <c r="DJ134" s="16">
        <v>-9999</v>
      </c>
      <c r="DK134" s="16">
        <v>-9999</v>
      </c>
      <c r="DL134" s="16">
        <v>-9999</v>
      </c>
      <c r="DM134" s="16">
        <v>-9999</v>
      </c>
      <c r="DN134" s="16">
        <v>-9999</v>
      </c>
      <c r="DO134" s="16">
        <v>-9999</v>
      </c>
      <c r="DP134" s="16">
        <v>-9999</v>
      </c>
      <c r="DQ134" s="16">
        <v>-9999</v>
      </c>
      <c r="DR134" s="16">
        <v>-9999</v>
      </c>
      <c r="DS134" s="16">
        <v>-9999</v>
      </c>
      <c r="DT134" s="16">
        <v>-9999</v>
      </c>
      <c r="DU134" s="16">
        <v>-9999</v>
      </c>
      <c r="DV134" s="16">
        <v>-9999</v>
      </c>
      <c r="DW134" s="16">
        <v>-9999</v>
      </c>
      <c r="DX134" s="16">
        <v>-9999</v>
      </c>
      <c r="DY134" s="16">
        <v>-9999</v>
      </c>
      <c r="DZ134" s="16">
        <v>-9999</v>
      </c>
      <c r="EA134" s="2256">
        <v>-9999</v>
      </c>
      <c r="EB134" s="2256">
        <v>-9999</v>
      </c>
      <c r="EC134" s="2256">
        <v>-9999</v>
      </c>
      <c r="ED134" s="2256">
        <v>-9999</v>
      </c>
      <c r="EE134" s="2256">
        <v>-9999</v>
      </c>
      <c r="EF134" s="2257">
        <v>-9999</v>
      </c>
      <c r="EG134" s="2257">
        <v>-9999</v>
      </c>
      <c r="EH134" s="2257">
        <v>-9999</v>
      </c>
      <c r="EI134" s="2257">
        <v>-9999</v>
      </c>
      <c r="EJ134" s="2257">
        <v>-9999</v>
      </c>
      <c r="EK134" s="2257">
        <v>-9999</v>
      </c>
      <c r="EL134" s="2257">
        <v>-9999</v>
      </c>
      <c r="EM134" s="2257">
        <v>-9999</v>
      </c>
    </row>
    <row r="135" spans="1:143" ht="13.15">
      <c r="A135" s="22">
        <v>35</v>
      </c>
      <c r="B135" s="30" t="s">
        <v>973</v>
      </c>
      <c r="C135" s="25">
        <v>-9999</v>
      </c>
      <c r="D135" s="25">
        <v>-9999</v>
      </c>
      <c r="E135" s="25">
        <v>-9999</v>
      </c>
      <c r="F135" s="25">
        <v>-9999</v>
      </c>
      <c r="G135" s="25">
        <v>-9999</v>
      </c>
      <c r="H135" s="25">
        <v>-9999</v>
      </c>
      <c r="I135" s="25">
        <v>-9999</v>
      </c>
      <c r="J135" s="25">
        <v>-9999</v>
      </c>
      <c r="K135" s="25">
        <v>-9999</v>
      </c>
      <c r="L135" s="25">
        <v>-9999</v>
      </c>
      <c r="M135" s="25">
        <v>-9999</v>
      </c>
      <c r="N135" s="25">
        <v>-9999</v>
      </c>
      <c r="O135" s="25">
        <v>-9999</v>
      </c>
      <c r="P135" s="32"/>
      <c r="Q135"/>
      <c r="AA135" s="22">
        <v>35</v>
      </c>
      <c r="AB135" s="1080" t="str">
        <f t="shared" si="3"/>
        <v>FOR FUTURE USE</v>
      </c>
      <c r="AC135" s="1080">
        <f>CHOOSE(Tables!$U$2,Transfer!CA135,Transfer!CN135,Transfer!DA135,Transfer!DN135,Transfer!EA135)</f>
        <v>-9999</v>
      </c>
      <c r="AD135" s="1080">
        <f>CHOOSE(Tables!$U$2,Transfer!CB135,Transfer!CO135,Transfer!DB135,Transfer!DO135,Transfer!EB135)</f>
        <v>-9999</v>
      </c>
      <c r="AE135" s="1080">
        <f>CHOOSE(Tables!$U$2,Transfer!CC135,Transfer!CP135,Transfer!DC135,Transfer!DP135,Transfer!EC135)</f>
        <v>-9999</v>
      </c>
      <c r="AF135" s="1080">
        <f>CHOOSE(Tables!$U$2,Transfer!CD135,Transfer!CQ135,Transfer!DD135,Transfer!DQ135,Transfer!ED135)</f>
        <v>-9999</v>
      </c>
      <c r="AG135" s="1080">
        <f>CHOOSE(Tables!$U$2,Transfer!CE135,Transfer!CR135,Transfer!DE135,Transfer!DR135,Transfer!EE135)</f>
        <v>-9999</v>
      </c>
      <c r="AH135" s="1080">
        <f>CHOOSE(Tables!$U$2,Transfer!CF135,Transfer!CS135,Transfer!DF135,Transfer!DS135,Transfer!EF135)</f>
        <v>-9999</v>
      </c>
      <c r="AI135" s="1080">
        <f>CHOOSE(Tables!$U$2,Transfer!CG135,Transfer!CT135,Transfer!DG135,Transfer!DT135,Transfer!EG135)</f>
        <v>-9999</v>
      </c>
      <c r="AJ135" s="1080">
        <f>CHOOSE(Tables!$U$2,Transfer!CH135,Transfer!CU135,Transfer!DH135,Transfer!DU135,Transfer!EH135)</f>
        <v>-9999</v>
      </c>
      <c r="AK135" s="1080">
        <f>CHOOSE(Tables!$U$2,Transfer!CI135,Transfer!CV135,Transfer!DI135,Transfer!DV135,Transfer!EI135)</f>
        <v>-9999</v>
      </c>
      <c r="AL135" s="1080">
        <f>CHOOSE(Tables!$U$2,Transfer!CJ135,Transfer!CW135,Transfer!DJ135,Transfer!DW135,Transfer!EJ135)</f>
        <v>-9999</v>
      </c>
      <c r="AM135" s="1080">
        <f>CHOOSE(Tables!$U$2,Transfer!CK135,Transfer!CX135,Transfer!DK135,Transfer!DX135,Transfer!EK135)</f>
        <v>-9999</v>
      </c>
      <c r="AN135" s="1080">
        <f>CHOOSE(Tables!$U$2,Transfer!CL135,Transfer!CY135,Transfer!DL135,Transfer!DY135,Transfer!EL135)</f>
        <v>-9999</v>
      </c>
      <c r="AO135" s="1080">
        <f>CHOOSE(Tables!$U$2,Transfer!CM135,Transfer!CZ135,Transfer!DM135,Transfer!DZ135,Transfer!EM135)</f>
        <v>-9999</v>
      </c>
      <c r="AR135" s="22">
        <v>35</v>
      </c>
      <c r="AS135" s="30" t="s">
        <v>973</v>
      </c>
      <c r="AT135" s="25">
        <f t="shared" si="5"/>
        <v>0</v>
      </c>
      <c r="AU135" s="25">
        <f t="shared" si="5"/>
        <v>0</v>
      </c>
      <c r="AV135" s="25">
        <f t="shared" si="5"/>
        <v>0</v>
      </c>
      <c r="AW135" s="25">
        <f t="shared" si="5"/>
        <v>0</v>
      </c>
      <c r="AX135" s="25">
        <f t="shared" si="5"/>
        <v>0</v>
      </c>
      <c r="AY135" s="25">
        <f t="shared" si="5"/>
        <v>0</v>
      </c>
      <c r="AZ135" s="25">
        <f t="shared" si="5"/>
        <v>0</v>
      </c>
      <c r="BA135" s="25">
        <f t="shared" si="5"/>
        <v>0</v>
      </c>
      <c r="BB135" s="25">
        <f t="shared" si="5"/>
        <v>0</v>
      </c>
      <c r="BC135" s="25">
        <f t="shared" si="5"/>
        <v>0</v>
      </c>
      <c r="BD135" s="25">
        <f t="shared" si="5"/>
        <v>0</v>
      </c>
      <c r="BE135" s="25">
        <f t="shared" si="5"/>
        <v>0</v>
      </c>
      <c r="BF135" s="25">
        <f t="shared" si="5"/>
        <v>0</v>
      </c>
      <c r="CA135" s="16">
        <v>-9999</v>
      </c>
      <c r="CB135" s="16">
        <v>-9999</v>
      </c>
      <c r="CC135" s="16">
        <v>-9999</v>
      </c>
      <c r="CD135" s="16">
        <v>-9999</v>
      </c>
      <c r="CE135" s="16">
        <v>-9999</v>
      </c>
      <c r="CF135" s="16">
        <v>-9999</v>
      </c>
      <c r="CG135" s="16">
        <v>-9999</v>
      </c>
      <c r="CH135" s="16">
        <v>-9999</v>
      </c>
      <c r="CI135" s="16">
        <v>-9999</v>
      </c>
      <c r="CJ135" s="16">
        <v>-9999</v>
      </c>
      <c r="CK135" s="16">
        <v>-9999</v>
      </c>
      <c r="CL135" s="16">
        <v>-9999</v>
      </c>
      <c r="CM135" s="16">
        <v>-9999</v>
      </c>
      <c r="CN135" s="16">
        <v>-9999</v>
      </c>
      <c r="CO135" s="16">
        <v>-9999</v>
      </c>
      <c r="CP135" s="16">
        <v>-9999</v>
      </c>
      <c r="CQ135" s="16">
        <v>-9999</v>
      </c>
      <c r="CR135" s="16">
        <v>-9999</v>
      </c>
      <c r="CS135" s="16">
        <v>-9999</v>
      </c>
      <c r="CT135" s="16">
        <v>-9999</v>
      </c>
      <c r="CU135" s="16">
        <v>-9999</v>
      </c>
      <c r="CV135" s="16">
        <v>-9999</v>
      </c>
      <c r="CW135" s="16">
        <v>-9999</v>
      </c>
      <c r="CX135" s="16">
        <v>-9999</v>
      </c>
      <c r="CY135" s="16">
        <v>-9999</v>
      </c>
      <c r="CZ135" s="16">
        <v>-9999</v>
      </c>
      <c r="DA135" s="16">
        <v>-9999</v>
      </c>
      <c r="DB135" s="16">
        <v>-9999</v>
      </c>
      <c r="DC135" s="16">
        <v>-9999</v>
      </c>
      <c r="DD135" s="16">
        <v>-9999</v>
      </c>
      <c r="DE135" s="16">
        <v>-9999</v>
      </c>
      <c r="DF135" s="16">
        <v>-9999</v>
      </c>
      <c r="DG135" s="16">
        <v>-9999</v>
      </c>
      <c r="DH135" s="16">
        <v>-9999</v>
      </c>
      <c r="DI135" s="16">
        <v>-9999</v>
      </c>
      <c r="DJ135" s="16">
        <v>-9999</v>
      </c>
      <c r="DK135" s="16">
        <v>-9999</v>
      </c>
      <c r="DL135" s="16">
        <v>-9999</v>
      </c>
      <c r="DM135" s="16">
        <v>-9999</v>
      </c>
      <c r="DN135" s="16">
        <v>-9999</v>
      </c>
      <c r="DO135" s="16">
        <v>-9999</v>
      </c>
      <c r="DP135" s="16">
        <v>-9999</v>
      </c>
      <c r="DQ135" s="16">
        <v>-9999</v>
      </c>
      <c r="DR135" s="16">
        <v>-9999</v>
      </c>
      <c r="DS135" s="16">
        <v>-9999</v>
      </c>
      <c r="DT135" s="16">
        <v>-9999</v>
      </c>
      <c r="DU135" s="16">
        <v>-9999</v>
      </c>
      <c r="DV135" s="16">
        <v>-9999</v>
      </c>
      <c r="DW135" s="16">
        <v>-9999</v>
      </c>
      <c r="DX135" s="16">
        <v>-9999</v>
      </c>
      <c r="DY135" s="16">
        <v>-9999</v>
      </c>
      <c r="DZ135" s="16">
        <v>-9999</v>
      </c>
      <c r="EA135" s="2257">
        <v>-9999</v>
      </c>
      <c r="EB135" s="2257">
        <v>-9999</v>
      </c>
      <c r="EC135" s="2257">
        <v>-9999</v>
      </c>
      <c r="ED135" s="2257">
        <v>-9999</v>
      </c>
      <c r="EE135" s="2257">
        <v>-9999</v>
      </c>
      <c r="EF135" s="2257">
        <v>-9999</v>
      </c>
      <c r="EG135" s="2257">
        <v>-9999</v>
      </c>
      <c r="EH135" s="2257">
        <v>-9999</v>
      </c>
      <c r="EI135" s="2257">
        <v>-9999</v>
      </c>
      <c r="EJ135" s="2257">
        <v>-9999</v>
      </c>
      <c r="EK135" s="2257">
        <v>-9999</v>
      </c>
      <c r="EL135" s="2257">
        <v>-9999</v>
      </c>
      <c r="EM135" s="2257">
        <v>-9999</v>
      </c>
    </row>
    <row r="136" spans="1:143" ht="13.15">
      <c r="A136" s="22">
        <v>36</v>
      </c>
      <c r="B136" s="1" t="s">
        <v>2013</v>
      </c>
      <c r="C136" s="24">
        <f ca="1">OFFSET('VVP2'!F185,0,Last_forecast_year - 3-InputY!$G$3)</f>
        <v>1962.61</v>
      </c>
      <c r="D136" s="24">
        <f ca="1">OFFSET('VVP2'!G185,0,Last_forecast_year - 3-InputY!$G$3)</f>
        <v>2040.8019999999999</v>
      </c>
      <c r="E136" s="24">
        <f ca="1">OFFSET('VVP2'!H185,0,Last_forecast_year - 3-InputY!$G$3)</f>
        <v>2125.3075292159997</v>
      </c>
      <c r="F136" s="24">
        <f ca="1">OFFSET('VVP2'!I185,0,Last_forecast_year - 3-InputY!$G$3)</f>
        <v>2211.7992569557268</v>
      </c>
      <c r="G136" s="24">
        <f ca="1">OFFSET('VVP2'!J185,0,Last_forecast_year - 3-InputY!$G$3)</f>
        <v>2298.8954880961292</v>
      </c>
      <c r="H136" s="25">
        <v>-9999</v>
      </c>
      <c r="I136" s="25">
        <v>-9999</v>
      </c>
      <c r="J136" s="25">
        <v>-9999</v>
      </c>
      <c r="K136" s="25">
        <v>-9999</v>
      </c>
      <c r="L136" s="25">
        <v>-9999</v>
      </c>
      <c r="M136" s="25">
        <v>-9999</v>
      </c>
      <c r="N136" s="25">
        <v>-9999</v>
      </c>
      <c r="O136" s="25">
        <v>-9999</v>
      </c>
      <c r="P136" s="32"/>
      <c r="Q136"/>
      <c r="AA136" s="22">
        <v>36</v>
      </c>
      <c r="AB136" s="1080" t="str">
        <f t="shared" si="3"/>
        <v xml:space="preserve">VAL. PRIVATE CONSUMPTION EXPEND. </v>
      </c>
      <c r="AC136" s="1080">
        <f>CHOOSE(Tables!$U$2,Transfer!CA136,Transfer!CN136,Transfer!DA136,Transfer!DN136,Transfer!EA136)</f>
        <v>1889.1010000000001</v>
      </c>
      <c r="AD136" s="1080">
        <f>CHOOSE(Tables!$U$2,Transfer!CB136,Transfer!CO136,Transfer!DB136,Transfer!DO136,Transfer!EB136)</f>
        <v>1949.7529999999999</v>
      </c>
      <c r="AE136" s="1080">
        <f>CHOOSE(Tables!$U$2,Transfer!CC136,Transfer!CP136,Transfer!DC136,Transfer!DP136,Transfer!EC136)</f>
        <v>2029.9870000000001</v>
      </c>
      <c r="AF136" s="1080">
        <f>CHOOSE(Tables!$U$2,Transfer!CD136,Transfer!CQ136,Transfer!DD136,Transfer!DQ136,Transfer!ED136)</f>
        <v>2115.3061356178</v>
      </c>
      <c r="AG136" s="1080">
        <f>CHOOSE(Tables!$U$2,Transfer!CE136,Transfer!CR136,Transfer!DE136,Transfer!DR136,Transfer!EE136)</f>
        <v>2207.8894891533605</v>
      </c>
      <c r="AH136" s="1080">
        <f>CHOOSE(Tables!$U$2,Transfer!CF136,Transfer!CS136,Transfer!DF136,Transfer!DS136,Transfer!EF136)</f>
        <v>-9999</v>
      </c>
      <c r="AI136" s="1080">
        <f>CHOOSE(Tables!$U$2,Transfer!CG136,Transfer!CT136,Transfer!DG136,Transfer!DT136,Transfer!EG136)</f>
        <v>-9999</v>
      </c>
      <c r="AJ136" s="1080">
        <f>CHOOSE(Tables!$U$2,Transfer!CH136,Transfer!CU136,Transfer!DH136,Transfer!DU136,Transfer!EH136)</f>
        <v>-9999</v>
      </c>
      <c r="AK136" s="1080">
        <f>CHOOSE(Tables!$U$2,Transfer!CI136,Transfer!CV136,Transfer!DI136,Transfer!DV136,Transfer!EI136)</f>
        <v>-9999</v>
      </c>
      <c r="AL136" s="1080">
        <f>CHOOSE(Tables!$U$2,Transfer!CJ136,Transfer!CW136,Transfer!DJ136,Transfer!DW136,Transfer!EJ136)</f>
        <v>-9999</v>
      </c>
      <c r="AM136" s="1080">
        <f>CHOOSE(Tables!$U$2,Transfer!CK136,Transfer!CX136,Transfer!DK136,Transfer!DX136,Transfer!EK136)</f>
        <v>-9999</v>
      </c>
      <c r="AN136" s="1080">
        <f>CHOOSE(Tables!$U$2,Transfer!CL136,Transfer!CY136,Transfer!DL136,Transfer!DY136,Transfer!EL136)</f>
        <v>-9999</v>
      </c>
      <c r="AO136" s="1080">
        <f>CHOOSE(Tables!$U$2,Transfer!CM136,Transfer!CZ136,Transfer!DM136,Transfer!DZ136,Transfer!EM136)</f>
        <v>-9999</v>
      </c>
      <c r="AR136" s="22">
        <v>36</v>
      </c>
      <c r="AS136" s="1" t="s">
        <v>2013</v>
      </c>
      <c r="AT136" s="24">
        <f t="shared" ca="1" si="5"/>
        <v>73.508999999999787</v>
      </c>
      <c r="AU136" s="24">
        <f t="shared" ca="1" si="5"/>
        <v>91.048999999999978</v>
      </c>
      <c r="AV136" s="24">
        <f t="shared" ca="1" si="5"/>
        <v>95.320529215999613</v>
      </c>
      <c r="AW136" s="24">
        <f t="shared" ca="1" si="5"/>
        <v>96.493121337926823</v>
      </c>
      <c r="AX136" s="24">
        <f t="shared" ca="1" si="5"/>
        <v>91.005998942768656</v>
      </c>
      <c r="AY136" s="25">
        <f t="shared" si="5"/>
        <v>0</v>
      </c>
      <c r="AZ136" s="25">
        <f t="shared" si="5"/>
        <v>0</v>
      </c>
      <c r="BA136" s="25">
        <f t="shared" si="5"/>
        <v>0</v>
      </c>
      <c r="BB136" s="25">
        <f t="shared" si="5"/>
        <v>0</v>
      </c>
      <c r="BC136" s="25">
        <f t="shared" si="5"/>
        <v>0</v>
      </c>
      <c r="BD136" s="25">
        <f t="shared" si="5"/>
        <v>0</v>
      </c>
      <c r="BE136" s="25">
        <f t="shared" si="5"/>
        <v>0</v>
      </c>
      <c r="BF136" s="25">
        <f t="shared" si="5"/>
        <v>0</v>
      </c>
      <c r="CA136" s="16">
        <v>1962.61</v>
      </c>
      <c r="CB136" s="16">
        <v>2040.8019999999999</v>
      </c>
      <c r="CC136" s="16">
        <v>2125.3075292159997</v>
      </c>
      <c r="CD136" s="16">
        <v>2211.7992569557268</v>
      </c>
      <c r="CE136" s="16">
        <v>2298.8954880961292</v>
      </c>
      <c r="CF136" s="16">
        <v>-9999</v>
      </c>
      <c r="CG136" s="16">
        <v>-9999</v>
      </c>
      <c r="CH136" s="16">
        <v>-9999</v>
      </c>
      <c r="CI136" s="16">
        <v>-9999</v>
      </c>
      <c r="CJ136" s="16">
        <v>-9999</v>
      </c>
      <c r="CK136" s="16">
        <v>-9999</v>
      </c>
      <c r="CL136" s="16">
        <v>-9999</v>
      </c>
      <c r="CM136" s="16">
        <v>-9999</v>
      </c>
      <c r="CN136" s="16">
        <v>1889.1010000000001</v>
      </c>
      <c r="CO136" s="16">
        <v>1949.7529999999999</v>
      </c>
      <c r="CP136" s="16">
        <v>2029.9870000000001</v>
      </c>
      <c r="CQ136" s="16">
        <v>2115.3061356178</v>
      </c>
      <c r="CR136" s="16">
        <v>2207.8894891533605</v>
      </c>
      <c r="CS136" s="16">
        <v>-9999</v>
      </c>
      <c r="CT136" s="16">
        <v>-9999</v>
      </c>
      <c r="CU136" s="16">
        <v>-9999</v>
      </c>
      <c r="CV136" s="16">
        <v>-9999</v>
      </c>
      <c r="CW136" s="16">
        <v>-9999</v>
      </c>
      <c r="CX136" s="16">
        <v>-9999</v>
      </c>
      <c r="CY136" s="16">
        <v>-9999</v>
      </c>
      <c r="CZ136" s="16">
        <v>-9999</v>
      </c>
      <c r="DA136" s="16">
        <v>1962.61</v>
      </c>
      <c r="DB136" s="16">
        <v>2040.8019999999999</v>
      </c>
      <c r="DC136" s="16">
        <v>2125.3075292159997</v>
      </c>
      <c r="DD136" s="16">
        <v>2211.5831131800055</v>
      </c>
      <c r="DE136" s="16">
        <v>2297.5451372061993</v>
      </c>
      <c r="DF136" s="16">
        <v>-9999</v>
      </c>
      <c r="DG136" s="16">
        <v>-9999</v>
      </c>
      <c r="DH136" s="16">
        <v>-9999</v>
      </c>
      <c r="DI136" s="16">
        <v>-9999</v>
      </c>
      <c r="DJ136" s="16">
        <v>-9999</v>
      </c>
      <c r="DK136" s="16">
        <v>-9999</v>
      </c>
      <c r="DL136" s="16">
        <v>-9999</v>
      </c>
      <c r="DM136" s="16">
        <v>-9999</v>
      </c>
      <c r="DN136" s="16">
        <v>1962.61</v>
      </c>
      <c r="DO136" s="16">
        <v>2040.8019999999999</v>
      </c>
      <c r="DP136" s="16">
        <v>2128.6283222304</v>
      </c>
      <c r="DQ136" s="16">
        <v>2215.0387117943496</v>
      </c>
      <c r="DR136" s="16">
        <v>2301.1350514830842</v>
      </c>
      <c r="DS136" s="16">
        <v>-9999</v>
      </c>
      <c r="DT136" s="16">
        <v>-9999</v>
      </c>
      <c r="DU136" s="16">
        <v>-9999</v>
      </c>
      <c r="DV136" s="16">
        <v>-9999</v>
      </c>
      <c r="DW136" s="16">
        <v>-9999</v>
      </c>
      <c r="DX136" s="16">
        <v>-9999</v>
      </c>
      <c r="DY136" s="16">
        <v>-9999</v>
      </c>
      <c r="DZ136" s="16">
        <v>-9999</v>
      </c>
      <c r="EA136" s="2256">
        <v>1962.61</v>
      </c>
      <c r="EB136" s="2256">
        <v>2040.8019999999999</v>
      </c>
      <c r="EC136" s="2256">
        <v>2125.3075292159997</v>
      </c>
      <c r="ED136" s="2256">
        <v>2211.7992569557268</v>
      </c>
      <c r="EE136" s="2256">
        <v>2298.8954880961292</v>
      </c>
      <c r="EF136" s="2257">
        <v>-9999</v>
      </c>
      <c r="EG136" s="2257">
        <v>-9999</v>
      </c>
      <c r="EH136" s="2257">
        <v>-9999</v>
      </c>
      <c r="EI136" s="2257">
        <v>-9999</v>
      </c>
      <c r="EJ136" s="2257">
        <v>-9999</v>
      </c>
      <c r="EK136" s="2257">
        <v>-9999</v>
      </c>
      <c r="EL136" s="2257">
        <v>-9999</v>
      </c>
      <c r="EM136" s="2257">
        <v>-9999</v>
      </c>
    </row>
    <row r="137" spans="1:143" ht="13.15">
      <c r="A137" s="22">
        <v>37</v>
      </c>
      <c r="B137" s="1" t="s">
        <v>2015</v>
      </c>
      <c r="C137" s="24">
        <f ca="1">OFFSET('VVP2'!F193,0,Last_forecast_year - 3-InputY!$G$3)</f>
        <v>1153.528</v>
      </c>
      <c r="D137" s="24">
        <f ca="1">OFFSET('VVP2'!G193,0,Last_forecast_year - 3-InputY!$G$3)</f>
        <v>1195.6489999999999</v>
      </c>
      <c r="E137" s="24">
        <f ca="1">OFFSET('VVP2'!H193,0,Last_forecast_year - 3-InputY!$G$3)</f>
        <v>1249.4058572996</v>
      </c>
      <c r="F137" s="24">
        <f ca="1">OFFSET('VVP2'!I193,0,Last_forecast_year - 3-InputY!$G$3)</f>
        <v>1295.9487242957246</v>
      </c>
      <c r="G137" s="24">
        <f ca="1">OFFSET('VVP2'!J193,0,Last_forecast_year - 3-InputY!$G$3)</f>
        <v>1342.0090746648987</v>
      </c>
      <c r="H137" s="25">
        <v>-9999</v>
      </c>
      <c r="I137" s="25">
        <v>-9999</v>
      </c>
      <c r="J137" s="25">
        <v>-9999</v>
      </c>
      <c r="K137" s="25">
        <v>-9999</v>
      </c>
      <c r="L137" s="25">
        <v>-9999</v>
      </c>
      <c r="M137" s="25">
        <v>-9999</v>
      </c>
      <c r="N137" s="25">
        <v>-9999</v>
      </c>
      <c r="O137" s="25">
        <v>-9999</v>
      </c>
      <c r="P137" s="32"/>
      <c r="Q137"/>
      <c r="AA137" s="22">
        <v>37</v>
      </c>
      <c r="AB137" s="1080" t="str">
        <f t="shared" si="3"/>
        <v xml:space="preserve">VAL. GOVERNMENT CONSUMPTION EXPEND. </v>
      </c>
      <c r="AC137" s="1080">
        <f>CHOOSE(Tables!$U$2,Transfer!CA137,Transfer!CN137,Transfer!DA137,Transfer!DN137,Transfer!EA137)</f>
        <v>1086.6300000000001</v>
      </c>
      <c r="AD137" s="1080">
        <f>CHOOSE(Tables!$U$2,Transfer!CB137,Transfer!CO137,Transfer!DB137,Transfer!DO137,Transfer!EB137)</f>
        <v>1151.7449999999999</v>
      </c>
      <c r="AE137" s="1080">
        <f>CHOOSE(Tables!$U$2,Transfer!CC137,Transfer!CP137,Transfer!DC137,Transfer!DP137,Transfer!EC137)</f>
        <v>1198.192</v>
      </c>
      <c r="AF137" s="1080">
        <f>CHOOSE(Tables!$U$2,Transfer!CD137,Transfer!CQ137,Transfer!DD137,Transfer!DQ137,Transfer!ED137)</f>
        <v>1255.6560901280002</v>
      </c>
      <c r="AG137" s="1080">
        <f>CHOOSE(Tables!$U$2,Transfer!CE137,Transfer!CR137,Transfer!DE137,Transfer!DR137,Transfer!EE137)</f>
        <v>1306.5925328176968</v>
      </c>
      <c r="AH137" s="1080">
        <f>CHOOSE(Tables!$U$2,Transfer!CF137,Transfer!CS137,Transfer!DF137,Transfer!DS137,Transfer!EF137)</f>
        <v>-9999</v>
      </c>
      <c r="AI137" s="1080">
        <f>CHOOSE(Tables!$U$2,Transfer!CG137,Transfer!CT137,Transfer!DG137,Transfer!DT137,Transfer!EG137)</f>
        <v>-9999</v>
      </c>
      <c r="AJ137" s="1080">
        <f>CHOOSE(Tables!$U$2,Transfer!CH137,Transfer!CU137,Transfer!DH137,Transfer!DU137,Transfer!EH137)</f>
        <v>-9999</v>
      </c>
      <c r="AK137" s="1080">
        <f>CHOOSE(Tables!$U$2,Transfer!CI137,Transfer!CV137,Transfer!DI137,Transfer!DV137,Transfer!EI137)</f>
        <v>-9999</v>
      </c>
      <c r="AL137" s="1080">
        <f>CHOOSE(Tables!$U$2,Transfer!CJ137,Transfer!CW137,Transfer!DJ137,Transfer!DW137,Transfer!EJ137)</f>
        <v>-9999</v>
      </c>
      <c r="AM137" s="1080">
        <f>CHOOSE(Tables!$U$2,Transfer!CK137,Transfer!CX137,Transfer!DK137,Transfer!DX137,Transfer!EK137)</f>
        <v>-9999</v>
      </c>
      <c r="AN137" s="1080">
        <f>CHOOSE(Tables!$U$2,Transfer!CL137,Transfer!CY137,Transfer!DL137,Transfer!DY137,Transfer!EL137)</f>
        <v>-9999</v>
      </c>
      <c r="AO137" s="1080">
        <f>CHOOSE(Tables!$U$2,Transfer!CM137,Transfer!CZ137,Transfer!DM137,Transfer!DZ137,Transfer!EM137)</f>
        <v>-9999</v>
      </c>
      <c r="AR137" s="22">
        <v>37</v>
      </c>
      <c r="AS137" s="1" t="s">
        <v>2015</v>
      </c>
      <c r="AT137" s="24">
        <f t="shared" ca="1" si="5"/>
        <v>66.897999999999911</v>
      </c>
      <c r="AU137" s="24">
        <f t="shared" ca="1" si="5"/>
        <v>43.903999999999996</v>
      </c>
      <c r="AV137" s="24">
        <f t="shared" ca="1" si="5"/>
        <v>51.213857299600022</v>
      </c>
      <c r="AW137" s="24">
        <f t="shared" ca="1" si="5"/>
        <v>40.292634167724373</v>
      </c>
      <c r="AX137" s="24">
        <f t="shared" ca="1" si="5"/>
        <v>35.41654184720187</v>
      </c>
      <c r="AY137" s="25">
        <f t="shared" si="5"/>
        <v>0</v>
      </c>
      <c r="AZ137" s="25">
        <f t="shared" si="5"/>
        <v>0</v>
      </c>
      <c r="BA137" s="25">
        <f t="shared" si="5"/>
        <v>0</v>
      </c>
      <c r="BB137" s="25">
        <f t="shared" si="5"/>
        <v>0</v>
      </c>
      <c r="BC137" s="25">
        <f t="shared" si="5"/>
        <v>0</v>
      </c>
      <c r="BD137" s="25">
        <f t="shared" si="5"/>
        <v>0</v>
      </c>
      <c r="BE137" s="25">
        <f t="shared" si="5"/>
        <v>0</v>
      </c>
      <c r="BF137" s="25">
        <f t="shared" si="5"/>
        <v>0</v>
      </c>
      <c r="CA137" s="16">
        <v>1153.528</v>
      </c>
      <c r="CB137" s="16">
        <v>1195.6489999999999</v>
      </c>
      <c r="CC137" s="16">
        <v>1249.4058572996</v>
      </c>
      <c r="CD137" s="16">
        <v>1295.9487242957246</v>
      </c>
      <c r="CE137" s="16">
        <v>1342.0090746648987</v>
      </c>
      <c r="CF137" s="16">
        <v>-9999</v>
      </c>
      <c r="CG137" s="16">
        <v>-9999</v>
      </c>
      <c r="CH137" s="16">
        <v>-9999</v>
      </c>
      <c r="CI137" s="16">
        <v>-9999</v>
      </c>
      <c r="CJ137" s="16">
        <v>-9999</v>
      </c>
      <c r="CK137" s="16">
        <v>-9999</v>
      </c>
      <c r="CL137" s="16">
        <v>-9999</v>
      </c>
      <c r="CM137" s="16">
        <v>-9999</v>
      </c>
      <c r="CN137" s="16">
        <v>1086.6300000000001</v>
      </c>
      <c r="CO137" s="16">
        <v>1151.7449999999999</v>
      </c>
      <c r="CP137" s="16">
        <v>1198.192</v>
      </c>
      <c r="CQ137" s="16">
        <v>1255.6560901280002</v>
      </c>
      <c r="CR137" s="16">
        <v>1306.5925328176968</v>
      </c>
      <c r="CS137" s="16">
        <v>-9999</v>
      </c>
      <c r="CT137" s="16">
        <v>-9999</v>
      </c>
      <c r="CU137" s="16">
        <v>-9999</v>
      </c>
      <c r="CV137" s="16">
        <v>-9999</v>
      </c>
      <c r="CW137" s="16">
        <v>-9999</v>
      </c>
      <c r="CX137" s="16">
        <v>-9999</v>
      </c>
      <c r="CY137" s="16">
        <v>-9999</v>
      </c>
      <c r="CZ137" s="16">
        <v>-9999</v>
      </c>
      <c r="DA137" s="16">
        <v>1153.528</v>
      </c>
      <c r="DB137" s="16">
        <v>1195.6489999999999</v>
      </c>
      <c r="DC137" s="16">
        <v>1249.4058572996</v>
      </c>
      <c r="DD137" s="16">
        <v>1295.9487242957246</v>
      </c>
      <c r="DE137" s="16">
        <v>1342.0090746648987</v>
      </c>
      <c r="DF137" s="16">
        <v>-9999</v>
      </c>
      <c r="DG137" s="16">
        <v>-9999</v>
      </c>
      <c r="DH137" s="16">
        <v>-9999</v>
      </c>
      <c r="DI137" s="16">
        <v>-9999</v>
      </c>
      <c r="DJ137" s="16">
        <v>-9999</v>
      </c>
      <c r="DK137" s="16">
        <v>-9999</v>
      </c>
      <c r="DL137" s="16">
        <v>-9999</v>
      </c>
      <c r="DM137" s="16">
        <v>-9999</v>
      </c>
      <c r="DN137" s="16">
        <v>1153.528</v>
      </c>
      <c r="DO137" s="16">
        <v>1195.6489999999999</v>
      </c>
      <c r="DP137" s="16">
        <v>1249.4058572996</v>
      </c>
      <c r="DQ137" s="16">
        <v>1295.9487242957246</v>
      </c>
      <c r="DR137" s="16">
        <v>1319.7730568585598</v>
      </c>
      <c r="DS137" s="16">
        <v>-9999</v>
      </c>
      <c r="DT137" s="16">
        <v>-9999</v>
      </c>
      <c r="DU137" s="16">
        <v>-9999</v>
      </c>
      <c r="DV137" s="16">
        <v>-9999</v>
      </c>
      <c r="DW137" s="16">
        <v>-9999</v>
      </c>
      <c r="DX137" s="16">
        <v>-9999</v>
      </c>
      <c r="DY137" s="16">
        <v>-9999</v>
      </c>
      <c r="DZ137" s="16">
        <v>-9999</v>
      </c>
      <c r="EA137" s="2256">
        <v>1153.528</v>
      </c>
      <c r="EB137" s="2256">
        <v>1195.6489999999999</v>
      </c>
      <c r="EC137" s="2256">
        <v>1249.4058572996</v>
      </c>
      <c r="ED137" s="2256">
        <v>1295.9487242957246</v>
      </c>
      <c r="EE137" s="2256">
        <v>1342.0090746648987</v>
      </c>
      <c r="EF137" s="2257">
        <v>-9999</v>
      </c>
      <c r="EG137" s="2257">
        <v>-9999</v>
      </c>
      <c r="EH137" s="2257">
        <v>-9999</v>
      </c>
      <c r="EI137" s="2257">
        <v>-9999</v>
      </c>
      <c r="EJ137" s="2257">
        <v>-9999</v>
      </c>
      <c r="EK137" s="2257">
        <v>-9999</v>
      </c>
      <c r="EL137" s="2257">
        <v>-9999</v>
      </c>
      <c r="EM137" s="2257">
        <v>-9999</v>
      </c>
    </row>
    <row r="138" spans="1:143" ht="13.15">
      <c r="A138" s="22">
        <v>38</v>
      </c>
      <c r="B138" s="3362" t="s">
        <v>2017</v>
      </c>
      <c r="C138" s="24">
        <f ca="1">OFFSET('VVP2'!F212,0,Last_forecast_year - 3-InputY!$G$3)</f>
        <v>1049.8009999999999</v>
      </c>
      <c r="D138" s="24">
        <f ca="1">OFFSET('VVP2'!G212,0,Last_forecast_year - 3-InputY!$G$3)</f>
        <v>1142.6130000000001</v>
      </c>
      <c r="E138" s="24">
        <f ca="1">OFFSET('VVP2'!H212,0,Last_forecast_year - 3-InputY!$G$3)</f>
        <v>1230.7812447398999</v>
      </c>
      <c r="F138" s="24">
        <f ca="1">OFFSET('VVP2'!I212,0,Last_forecast_year - 3-InputY!$G$3)</f>
        <v>1285.1201335360051</v>
      </c>
      <c r="G138" s="24">
        <f ca="1">OFFSET('VVP2'!J212,0,Last_forecast_year - 3-InputY!$G$3)</f>
        <v>1330.758614191782</v>
      </c>
      <c r="H138" s="25">
        <v>-9999</v>
      </c>
      <c r="I138" s="25">
        <v>-9999</v>
      </c>
      <c r="J138" s="25">
        <v>-9999</v>
      </c>
      <c r="K138" s="25">
        <v>-9999</v>
      </c>
      <c r="L138" s="25">
        <v>-9999</v>
      </c>
      <c r="M138" s="25">
        <v>-9999</v>
      </c>
      <c r="N138" s="25">
        <v>-9999</v>
      </c>
      <c r="O138" s="25">
        <v>-9999</v>
      </c>
      <c r="P138" s="32"/>
      <c r="Q138"/>
      <c r="AA138" s="22">
        <v>38</v>
      </c>
      <c r="AB138" s="1080" t="str">
        <f t="shared" si="3"/>
        <v>VAL. G.F.C.F. TOTAL</v>
      </c>
      <c r="AC138" s="1080">
        <f>CHOOSE(Tables!$U$2,Transfer!CA138,Transfer!CN138,Transfer!DA138,Transfer!DN138,Transfer!EA138)</f>
        <v>989.73</v>
      </c>
      <c r="AD138" s="1080">
        <f>CHOOSE(Tables!$U$2,Transfer!CB138,Transfer!CO138,Transfer!DB138,Transfer!DO138,Transfer!EB138)</f>
        <v>1059.5450000000001</v>
      </c>
      <c r="AE138" s="1080">
        <f>CHOOSE(Tables!$U$2,Transfer!CC138,Transfer!CP138,Transfer!DC138,Transfer!DP138,Transfer!EC138)</f>
        <v>1148.6220000000001</v>
      </c>
      <c r="AF138" s="1080">
        <f>CHOOSE(Tables!$U$2,Transfer!CD138,Transfer!CQ138,Transfer!DD138,Transfer!DQ138,Transfer!ED138)</f>
        <v>1219.95335129413</v>
      </c>
      <c r="AG138" s="1080">
        <f>CHOOSE(Tables!$U$2,Transfer!CE138,Transfer!CR138,Transfer!DE138,Transfer!DR138,Transfer!EE138)</f>
        <v>1264.3258485792428</v>
      </c>
      <c r="AH138" s="1080">
        <f>CHOOSE(Tables!$U$2,Transfer!CF138,Transfer!CS138,Transfer!DF138,Transfer!DS138,Transfer!EF138)</f>
        <v>-9999</v>
      </c>
      <c r="AI138" s="1080">
        <f>CHOOSE(Tables!$U$2,Transfer!CG138,Transfer!CT138,Transfer!DG138,Transfer!DT138,Transfer!EG138)</f>
        <v>-9999</v>
      </c>
      <c r="AJ138" s="1080">
        <f>CHOOSE(Tables!$U$2,Transfer!CH138,Transfer!CU138,Transfer!DH138,Transfer!DU138,Transfer!EH138)</f>
        <v>-9999</v>
      </c>
      <c r="AK138" s="1080">
        <f>CHOOSE(Tables!$U$2,Transfer!CI138,Transfer!CV138,Transfer!DI138,Transfer!DV138,Transfer!EI138)</f>
        <v>-9999</v>
      </c>
      <c r="AL138" s="1080">
        <f>CHOOSE(Tables!$U$2,Transfer!CJ138,Transfer!CW138,Transfer!DJ138,Transfer!DW138,Transfer!EJ138)</f>
        <v>-9999</v>
      </c>
      <c r="AM138" s="1080">
        <f>CHOOSE(Tables!$U$2,Transfer!CK138,Transfer!CX138,Transfer!DK138,Transfer!DX138,Transfer!EK138)</f>
        <v>-9999</v>
      </c>
      <c r="AN138" s="1080">
        <f>CHOOSE(Tables!$U$2,Transfer!CL138,Transfer!CY138,Transfer!DL138,Transfer!DY138,Transfer!EL138)</f>
        <v>-9999</v>
      </c>
      <c r="AO138" s="1080">
        <f>CHOOSE(Tables!$U$2,Transfer!CM138,Transfer!CZ138,Transfer!DM138,Transfer!DZ138,Transfer!EM138)</f>
        <v>-9999</v>
      </c>
      <c r="AR138" s="22">
        <v>38</v>
      </c>
      <c r="AS138" s="31" t="s">
        <v>2017</v>
      </c>
      <c r="AT138" s="24">
        <f t="shared" ca="1" si="5"/>
        <v>60.070999999999913</v>
      </c>
      <c r="AU138" s="24">
        <f t="shared" ca="1" si="5"/>
        <v>83.067999999999984</v>
      </c>
      <c r="AV138" s="24">
        <f t="shared" ca="1" si="5"/>
        <v>82.159244739899805</v>
      </c>
      <c r="AW138" s="24">
        <f t="shared" ca="1" si="5"/>
        <v>65.166782241875126</v>
      </c>
      <c r="AX138" s="24">
        <f t="shared" ca="1" si="5"/>
        <v>66.432765612539242</v>
      </c>
      <c r="AY138" s="25">
        <f t="shared" si="5"/>
        <v>0</v>
      </c>
      <c r="AZ138" s="25">
        <f t="shared" si="5"/>
        <v>0</v>
      </c>
      <c r="BA138" s="25">
        <f t="shared" si="5"/>
        <v>0</v>
      </c>
      <c r="BB138" s="25">
        <f t="shared" si="5"/>
        <v>0</v>
      </c>
      <c r="BC138" s="25">
        <f t="shared" si="5"/>
        <v>0</v>
      </c>
      <c r="BD138" s="25">
        <f t="shared" si="5"/>
        <v>0</v>
      </c>
      <c r="BE138" s="25">
        <f t="shared" si="5"/>
        <v>0</v>
      </c>
      <c r="BF138" s="25">
        <f t="shared" si="5"/>
        <v>0</v>
      </c>
      <c r="CA138" s="16">
        <v>1049.8009999999999</v>
      </c>
      <c r="CB138" s="16">
        <v>1142.6130000000001</v>
      </c>
      <c r="CC138" s="16">
        <v>1230.7812447398999</v>
      </c>
      <c r="CD138" s="16">
        <v>1285.1201335360051</v>
      </c>
      <c r="CE138" s="16">
        <v>1330.758614191782</v>
      </c>
      <c r="CF138" s="16">
        <v>-9999</v>
      </c>
      <c r="CG138" s="16">
        <v>-9999</v>
      </c>
      <c r="CH138" s="16">
        <v>-9999</v>
      </c>
      <c r="CI138" s="16">
        <v>-9999</v>
      </c>
      <c r="CJ138" s="16">
        <v>-9999</v>
      </c>
      <c r="CK138" s="16">
        <v>-9999</v>
      </c>
      <c r="CL138" s="16">
        <v>-9999</v>
      </c>
      <c r="CM138" s="16">
        <v>-9999</v>
      </c>
      <c r="CN138" s="16">
        <v>989.73</v>
      </c>
      <c r="CO138" s="16">
        <v>1059.5450000000001</v>
      </c>
      <c r="CP138" s="16">
        <v>1148.6220000000001</v>
      </c>
      <c r="CQ138" s="16">
        <v>1219.95335129413</v>
      </c>
      <c r="CR138" s="16">
        <v>1264.3258485792428</v>
      </c>
      <c r="CS138" s="16">
        <v>-9999</v>
      </c>
      <c r="CT138" s="16">
        <v>-9999</v>
      </c>
      <c r="CU138" s="16">
        <v>-9999</v>
      </c>
      <c r="CV138" s="16">
        <v>-9999</v>
      </c>
      <c r="CW138" s="16">
        <v>-9999</v>
      </c>
      <c r="CX138" s="16">
        <v>-9999</v>
      </c>
      <c r="CY138" s="16">
        <v>-9999</v>
      </c>
      <c r="CZ138" s="16">
        <v>-9999</v>
      </c>
      <c r="DA138" s="16">
        <v>1049.8009999999999</v>
      </c>
      <c r="DB138" s="16">
        <v>1142.6130000000001</v>
      </c>
      <c r="DC138" s="16">
        <v>1230.9294339938999</v>
      </c>
      <c r="DD138" s="16">
        <v>1288.7002878503999</v>
      </c>
      <c r="DE138" s="16">
        <v>1335.4773663037083</v>
      </c>
      <c r="DF138" s="16">
        <v>-9999</v>
      </c>
      <c r="DG138" s="16">
        <v>-9999</v>
      </c>
      <c r="DH138" s="16">
        <v>-9999</v>
      </c>
      <c r="DI138" s="16">
        <v>-9999</v>
      </c>
      <c r="DJ138" s="16">
        <v>-9999</v>
      </c>
      <c r="DK138" s="16">
        <v>-9999</v>
      </c>
      <c r="DL138" s="16">
        <v>-9999</v>
      </c>
      <c r="DM138" s="16">
        <v>-9999</v>
      </c>
      <c r="DN138" s="16">
        <v>1049.8009999999999</v>
      </c>
      <c r="DO138" s="16">
        <v>1142.6130000000001</v>
      </c>
      <c r="DP138" s="16">
        <v>1230.9294339938999</v>
      </c>
      <c r="DQ138" s="16">
        <v>1288.7002878503999</v>
      </c>
      <c r="DR138" s="16">
        <v>1335.4773663037083</v>
      </c>
      <c r="DS138" s="16">
        <v>-9999</v>
      </c>
      <c r="DT138" s="16">
        <v>-9999</v>
      </c>
      <c r="DU138" s="16">
        <v>-9999</v>
      </c>
      <c r="DV138" s="16">
        <v>-9999</v>
      </c>
      <c r="DW138" s="16">
        <v>-9999</v>
      </c>
      <c r="DX138" s="16">
        <v>-9999</v>
      </c>
      <c r="DY138" s="16">
        <v>-9999</v>
      </c>
      <c r="DZ138" s="16">
        <v>-9999</v>
      </c>
      <c r="EA138" s="2256">
        <v>1049.8009999999999</v>
      </c>
      <c r="EB138" s="2256">
        <v>1142.6130000000001</v>
      </c>
      <c r="EC138" s="2256">
        <v>1230.7812447398999</v>
      </c>
      <c r="ED138" s="2256">
        <v>1285.1201335360051</v>
      </c>
      <c r="EE138" s="2256">
        <v>1330.758614191782</v>
      </c>
      <c r="EF138" s="2257">
        <v>-9999</v>
      </c>
      <c r="EG138" s="2257">
        <v>-9999</v>
      </c>
      <c r="EH138" s="2257">
        <v>-9999</v>
      </c>
      <c r="EI138" s="2257">
        <v>-9999</v>
      </c>
      <c r="EJ138" s="2257">
        <v>-9999</v>
      </c>
      <c r="EK138" s="2257">
        <v>-9999</v>
      </c>
      <c r="EL138" s="2257">
        <v>-9999</v>
      </c>
      <c r="EM138" s="2257">
        <v>-9999</v>
      </c>
    </row>
    <row r="139" spans="1:143" ht="13.15">
      <c r="A139" s="22">
        <v>39</v>
      </c>
      <c r="B139" s="1" t="s">
        <v>2018</v>
      </c>
      <c r="C139" s="24">
        <f ca="1">OFFSET('VVP2'!F206,0,Last_forecast_year - 3-InputY!$G$3)</f>
        <v>456.26600000000002</v>
      </c>
      <c r="D139" s="24">
        <f ca="1">OFFSET('VVP2'!G206,0,Last_forecast_year - 3-InputY!$G$3)</f>
        <v>511.93900000000002</v>
      </c>
      <c r="E139" s="24">
        <f ca="1">OFFSET('VVP2'!H206,0,Last_forecast_year - 3-InputY!$G$3)</f>
        <v>546.11641683150003</v>
      </c>
      <c r="F139" s="24">
        <f ca="1">OFFSET('VVP2'!I206,0,Last_forecast_year - 3-InputY!$G$3)</f>
        <v>555.23958480853685</v>
      </c>
      <c r="G139" s="24">
        <f ca="1">OFFSET('VVP2'!J206,0,Last_forecast_year - 3-InputY!$G$3)</f>
        <v>568.36925419767567</v>
      </c>
      <c r="H139" s="25">
        <v>-9999</v>
      </c>
      <c r="I139" s="25">
        <v>-9999</v>
      </c>
      <c r="J139" s="25">
        <v>-9999</v>
      </c>
      <c r="K139" s="25">
        <v>-9999</v>
      </c>
      <c r="L139" s="25">
        <v>-9999</v>
      </c>
      <c r="M139" s="25">
        <v>-9999</v>
      </c>
      <c r="N139" s="25">
        <v>-9999</v>
      </c>
      <c r="O139" s="25">
        <v>-9999</v>
      </c>
      <c r="P139" s="32"/>
      <c r="Q139"/>
      <c r="AA139" s="22">
        <v>39</v>
      </c>
      <c r="AB139" s="1080" t="str">
        <f t="shared" si="3"/>
        <v>VAL. G.F.C.F. CONSTRUCTION</v>
      </c>
      <c r="AC139" s="1080">
        <f>CHOOSE(Tables!$U$2,Transfer!CA139,Transfer!CN139,Transfer!DA139,Transfer!DN139,Transfer!EA139)</f>
        <v>410.77699999999999</v>
      </c>
      <c r="AD139" s="1080">
        <f>CHOOSE(Tables!$U$2,Transfer!CB139,Transfer!CO139,Transfer!DB139,Transfer!DO139,Transfer!EB139)</f>
        <v>458.036</v>
      </c>
      <c r="AE139" s="1080">
        <f>CHOOSE(Tables!$U$2,Transfer!CC139,Transfer!CP139,Transfer!DC139,Transfer!DP139,Transfer!EC139)</f>
        <v>512.93100000000004</v>
      </c>
      <c r="AF139" s="1080">
        <f>CHOOSE(Tables!$U$2,Transfer!CD139,Transfer!CQ139,Transfer!DD139,Transfer!DQ139,Transfer!ED139)</f>
        <v>539.92153879632997</v>
      </c>
      <c r="AG139" s="1080">
        <f>CHOOSE(Tables!$U$2,Transfer!CE139,Transfer!CR139,Transfer!DE139,Transfer!DR139,Transfer!EE139)</f>
        <v>548.07264276757905</v>
      </c>
      <c r="AH139" s="1080">
        <f>CHOOSE(Tables!$U$2,Transfer!CF139,Transfer!CS139,Transfer!DF139,Transfer!DS139,Transfer!EF139)</f>
        <v>-9999</v>
      </c>
      <c r="AI139" s="1080">
        <f>CHOOSE(Tables!$U$2,Transfer!CG139,Transfer!CT139,Transfer!DG139,Transfer!DT139,Transfer!EG139)</f>
        <v>-9999</v>
      </c>
      <c r="AJ139" s="1080">
        <f>CHOOSE(Tables!$U$2,Transfer!CH139,Transfer!CU139,Transfer!DH139,Transfer!DU139,Transfer!EH139)</f>
        <v>-9999</v>
      </c>
      <c r="AK139" s="1080">
        <f>CHOOSE(Tables!$U$2,Transfer!CI139,Transfer!CV139,Transfer!DI139,Transfer!DV139,Transfer!EI139)</f>
        <v>-9999</v>
      </c>
      <c r="AL139" s="1080">
        <f>CHOOSE(Tables!$U$2,Transfer!CJ139,Transfer!CW139,Transfer!DJ139,Transfer!DW139,Transfer!EJ139)</f>
        <v>-9999</v>
      </c>
      <c r="AM139" s="1080">
        <f>CHOOSE(Tables!$U$2,Transfer!CK139,Transfer!CX139,Transfer!DK139,Transfer!DX139,Transfer!EK139)</f>
        <v>-9999</v>
      </c>
      <c r="AN139" s="1080">
        <f>CHOOSE(Tables!$U$2,Transfer!CL139,Transfer!CY139,Transfer!DL139,Transfer!DY139,Transfer!EL139)</f>
        <v>-9999</v>
      </c>
      <c r="AO139" s="1080">
        <f>CHOOSE(Tables!$U$2,Transfer!CM139,Transfer!CZ139,Transfer!DM139,Transfer!DZ139,Transfer!EM139)</f>
        <v>-9999</v>
      </c>
      <c r="AR139" s="22">
        <v>39</v>
      </c>
      <c r="AS139" s="1" t="s">
        <v>2018</v>
      </c>
      <c r="AT139" s="24">
        <f t="shared" ca="1" si="5"/>
        <v>45.489000000000033</v>
      </c>
      <c r="AU139" s="24">
        <f t="shared" ca="1" si="5"/>
        <v>53.90300000000002</v>
      </c>
      <c r="AV139" s="24">
        <f t="shared" ca="1" si="5"/>
        <v>33.185416831499992</v>
      </c>
      <c r="AW139" s="24">
        <f t="shared" ca="1" si="5"/>
        <v>15.318046012206878</v>
      </c>
      <c r="AX139" s="24">
        <f t="shared" ca="1" si="5"/>
        <v>20.296611430096618</v>
      </c>
      <c r="AY139" s="25">
        <f t="shared" si="5"/>
        <v>0</v>
      </c>
      <c r="AZ139" s="25">
        <f t="shared" si="5"/>
        <v>0</v>
      </c>
      <c r="BA139" s="25">
        <f t="shared" si="5"/>
        <v>0</v>
      </c>
      <c r="BB139" s="25">
        <f t="shared" si="5"/>
        <v>0</v>
      </c>
      <c r="BC139" s="25">
        <f t="shared" si="5"/>
        <v>0</v>
      </c>
      <c r="BD139" s="25">
        <f t="shared" si="5"/>
        <v>0</v>
      </c>
      <c r="BE139" s="25">
        <f t="shared" si="5"/>
        <v>0</v>
      </c>
      <c r="BF139" s="25">
        <f t="shared" si="5"/>
        <v>0</v>
      </c>
      <c r="CA139" s="16">
        <v>456.26600000000002</v>
      </c>
      <c r="CB139" s="16">
        <v>511.93900000000002</v>
      </c>
      <c r="CC139" s="16">
        <v>546.11641683150003</v>
      </c>
      <c r="CD139" s="16">
        <v>555.23958480853685</v>
      </c>
      <c r="CE139" s="16">
        <v>568.36925419767567</v>
      </c>
      <c r="CF139" s="16">
        <v>-9999</v>
      </c>
      <c r="CG139" s="16">
        <v>-9999</v>
      </c>
      <c r="CH139" s="16">
        <v>-9999</v>
      </c>
      <c r="CI139" s="16">
        <v>-9999</v>
      </c>
      <c r="CJ139" s="16">
        <v>-9999</v>
      </c>
      <c r="CK139" s="16">
        <v>-9999</v>
      </c>
      <c r="CL139" s="16">
        <v>-9999</v>
      </c>
      <c r="CM139" s="16">
        <v>-9999</v>
      </c>
      <c r="CN139" s="16">
        <v>410.77699999999999</v>
      </c>
      <c r="CO139" s="16">
        <v>458.036</v>
      </c>
      <c r="CP139" s="16">
        <v>512.93100000000004</v>
      </c>
      <c r="CQ139" s="16">
        <v>539.92153879632997</v>
      </c>
      <c r="CR139" s="16">
        <v>548.07264276757905</v>
      </c>
      <c r="CS139" s="16">
        <v>-9999</v>
      </c>
      <c r="CT139" s="16">
        <v>-9999</v>
      </c>
      <c r="CU139" s="16">
        <v>-9999</v>
      </c>
      <c r="CV139" s="16">
        <v>-9999</v>
      </c>
      <c r="CW139" s="16">
        <v>-9999</v>
      </c>
      <c r="CX139" s="16">
        <v>-9999</v>
      </c>
      <c r="CY139" s="16">
        <v>-9999</v>
      </c>
      <c r="CZ139" s="16">
        <v>-9999</v>
      </c>
      <c r="DA139" s="16">
        <v>456.26600000000002</v>
      </c>
      <c r="DB139" s="16">
        <v>511.93900000000002</v>
      </c>
      <c r="DC139" s="16">
        <v>546.26460608549996</v>
      </c>
      <c r="DD139" s="16">
        <v>559.31851164844454</v>
      </c>
      <c r="DE139" s="16">
        <v>573.24446891384628</v>
      </c>
      <c r="DF139" s="16">
        <v>-9999</v>
      </c>
      <c r="DG139" s="16">
        <v>-9999</v>
      </c>
      <c r="DH139" s="16">
        <v>-9999</v>
      </c>
      <c r="DI139" s="16">
        <v>-9999</v>
      </c>
      <c r="DJ139" s="16">
        <v>-9999</v>
      </c>
      <c r="DK139" s="16">
        <v>-9999</v>
      </c>
      <c r="DL139" s="16">
        <v>-9999</v>
      </c>
      <c r="DM139" s="16">
        <v>-9999</v>
      </c>
      <c r="DN139" s="16">
        <v>456.26600000000002</v>
      </c>
      <c r="DO139" s="16">
        <v>511.93900000000002</v>
      </c>
      <c r="DP139" s="16">
        <v>546.26460608549996</v>
      </c>
      <c r="DQ139" s="16">
        <v>559.31851164844454</v>
      </c>
      <c r="DR139" s="16">
        <v>573.24446891384628</v>
      </c>
      <c r="DS139" s="16">
        <v>-9999</v>
      </c>
      <c r="DT139" s="16">
        <v>-9999</v>
      </c>
      <c r="DU139" s="16">
        <v>-9999</v>
      </c>
      <c r="DV139" s="16">
        <v>-9999</v>
      </c>
      <c r="DW139" s="16">
        <v>-9999</v>
      </c>
      <c r="DX139" s="16">
        <v>-9999</v>
      </c>
      <c r="DY139" s="16">
        <v>-9999</v>
      </c>
      <c r="DZ139" s="16">
        <v>-9999</v>
      </c>
      <c r="EA139" s="2256">
        <v>456.26600000000002</v>
      </c>
      <c r="EB139" s="2256">
        <v>511.93900000000002</v>
      </c>
      <c r="EC139" s="2256">
        <v>546.11641683150003</v>
      </c>
      <c r="ED139" s="2256">
        <v>555.23958480853685</v>
      </c>
      <c r="EE139" s="2256">
        <v>568.36925419767567</v>
      </c>
      <c r="EF139" s="2257">
        <v>-9999</v>
      </c>
      <c r="EG139" s="2257">
        <v>-9999</v>
      </c>
      <c r="EH139" s="2257">
        <v>-9999</v>
      </c>
      <c r="EI139" s="2257">
        <v>-9999</v>
      </c>
      <c r="EJ139" s="2257">
        <v>-9999</v>
      </c>
      <c r="EK139" s="2257">
        <v>-9999</v>
      </c>
      <c r="EL139" s="2257">
        <v>-9999</v>
      </c>
      <c r="EM139" s="2257">
        <v>-9999</v>
      </c>
    </row>
    <row r="140" spans="1:143" ht="13.15">
      <c r="A140" s="22">
        <v>40</v>
      </c>
      <c r="B140" s="1" t="s">
        <v>1003</v>
      </c>
      <c r="C140" s="24">
        <f ca="1">OFFSET('VVP2'!F210,0,Last_forecast_year - 3-InputY!$G$3)</f>
        <v>319.94400000000002</v>
      </c>
      <c r="D140" s="24">
        <f ca="1">OFFSET('VVP2'!G210,0,Last_forecast_year - 3-InputY!$G$3)</f>
        <v>343.58800000000002</v>
      </c>
      <c r="E140" s="24">
        <f ca="1">OFFSET('VVP2'!H210,0,Last_forecast_year - 3-InputY!$G$3)</f>
        <v>373.76636480399986</v>
      </c>
      <c r="F140" s="24">
        <f ca="1">OFFSET('VVP2'!I210,0,Last_forecast_year - 3-InputY!$G$3)</f>
        <v>399.97719834383645</v>
      </c>
      <c r="G140" s="24">
        <f ca="1">OFFSET('VVP2'!J210,0,Last_forecast_year - 3-InputY!$G$3)</f>
        <v>419.68493485721376</v>
      </c>
      <c r="H140" s="25">
        <v>-9999</v>
      </c>
      <c r="I140" s="25">
        <v>-9999</v>
      </c>
      <c r="J140" s="25">
        <v>-9999</v>
      </c>
      <c r="K140" s="25">
        <v>-9999</v>
      </c>
      <c r="L140" s="25">
        <v>-9999</v>
      </c>
      <c r="M140" s="25">
        <v>-9999</v>
      </c>
      <c r="N140" s="25">
        <v>-9999</v>
      </c>
      <c r="O140" s="25">
        <v>-9999</v>
      </c>
      <c r="P140" s="32"/>
      <c r="Q140"/>
      <c r="AA140" s="22">
        <v>40</v>
      </c>
      <c r="AB140" s="1080" t="str">
        <f t="shared" si="3"/>
        <v>VAL. G.F.C.F. EQUIPMENT</v>
      </c>
      <c r="AC140" s="1080">
        <f>CHOOSE(Tables!$U$2,Transfer!CA140,Transfer!CN140,Transfer!DA140,Transfer!DN140,Transfer!EA140)</f>
        <v>302.709</v>
      </c>
      <c r="AD140" s="1080">
        <f>CHOOSE(Tables!$U$2,Transfer!CB140,Transfer!CO140,Transfer!DB140,Transfer!DO140,Transfer!EB140)</f>
        <v>319.416</v>
      </c>
      <c r="AE140" s="1080">
        <f>CHOOSE(Tables!$U$2,Transfer!CC140,Transfer!CP140,Transfer!DC140,Transfer!DP140,Transfer!EC140)</f>
        <v>340.41</v>
      </c>
      <c r="AF140" s="1080">
        <f>CHOOSE(Tables!$U$2,Transfer!CD140,Transfer!CQ140,Transfer!DD140,Transfer!DQ140,Transfer!ED140)</f>
        <v>367.36945077000001</v>
      </c>
      <c r="AG140" s="1080">
        <f>CHOOSE(Tables!$U$2,Transfer!CE140,Transfer!CR140,Transfer!DE140,Transfer!DR140,Transfer!EE140)</f>
        <v>387.88681417383401</v>
      </c>
      <c r="AH140" s="1080">
        <f>CHOOSE(Tables!$U$2,Transfer!CF140,Transfer!CS140,Transfer!DF140,Transfer!DS140,Transfer!EF140)</f>
        <v>-9999</v>
      </c>
      <c r="AI140" s="1080">
        <f>CHOOSE(Tables!$U$2,Transfer!CG140,Transfer!CT140,Transfer!DG140,Transfer!DT140,Transfer!EG140)</f>
        <v>-9999</v>
      </c>
      <c r="AJ140" s="1080">
        <f>CHOOSE(Tables!$U$2,Transfer!CH140,Transfer!CU140,Transfer!DH140,Transfer!DU140,Transfer!EH140)</f>
        <v>-9999</v>
      </c>
      <c r="AK140" s="1080">
        <f>CHOOSE(Tables!$U$2,Transfer!CI140,Transfer!CV140,Transfer!DI140,Transfer!DV140,Transfer!EI140)</f>
        <v>-9999</v>
      </c>
      <c r="AL140" s="1080">
        <f>CHOOSE(Tables!$U$2,Transfer!CJ140,Transfer!CW140,Transfer!DJ140,Transfer!DW140,Transfer!EJ140)</f>
        <v>-9999</v>
      </c>
      <c r="AM140" s="1080">
        <f>CHOOSE(Tables!$U$2,Transfer!CK140,Transfer!CX140,Transfer!DK140,Transfer!DX140,Transfer!EK140)</f>
        <v>-9999</v>
      </c>
      <c r="AN140" s="1080">
        <f>CHOOSE(Tables!$U$2,Transfer!CL140,Transfer!CY140,Transfer!DL140,Transfer!DY140,Transfer!EL140)</f>
        <v>-9999</v>
      </c>
      <c r="AO140" s="1080">
        <f>CHOOSE(Tables!$U$2,Transfer!CM140,Transfer!CZ140,Transfer!DM140,Transfer!DZ140,Transfer!EM140)</f>
        <v>-9999</v>
      </c>
      <c r="AR140" s="22">
        <v>40</v>
      </c>
      <c r="AS140" s="1" t="s">
        <v>1003</v>
      </c>
      <c r="AT140" s="24">
        <f t="shared" ca="1" si="5"/>
        <v>17.235000000000014</v>
      </c>
      <c r="AU140" s="24">
        <f t="shared" ca="1" si="5"/>
        <v>24.172000000000025</v>
      </c>
      <c r="AV140" s="24">
        <f t="shared" ca="1" si="5"/>
        <v>33.356364803999838</v>
      </c>
      <c r="AW140" s="24">
        <f t="shared" ca="1" si="5"/>
        <v>32.607747573836434</v>
      </c>
      <c r="AX140" s="24">
        <f t="shared" ca="1" si="5"/>
        <v>31.79812068337975</v>
      </c>
      <c r="AY140" s="25">
        <f t="shared" si="5"/>
        <v>0</v>
      </c>
      <c r="AZ140" s="25">
        <f t="shared" si="5"/>
        <v>0</v>
      </c>
      <c r="BA140" s="25">
        <f t="shared" si="5"/>
        <v>0</v>
      </c>
      <c r="BB140" s="25">
        <f t="shared" si="5"/>
        <v>0</v>
      </c>
      <c r="BC140" s="25">
        <f t="shared" si="5"/>
        <v>0</v>
      </c>
      <c r="BD140" s="25">
        <f t="shared" si="5"/>
        <v>0</v>
      </c>
      <c r="BE140" s="25">
        <f t="shared" si="5"/>
        <v>0</v>
      </c>
      <c r="BF140" s="25">
        <f t="shared" si="5"/>
        <v>0</v>
      </c>
      <c r="CA140" s="16">
        <v>319.94400000000002</v>
      </c>
      <c r="CB140" s="16">
        <v>343.58800000000002</v>
      </c>
      <c r="CC140" s="16">
        <v>373.76636480399986</v>
      </c>
      <c r="CD140" s="16">
        <v>399.97719834383645</v>
      </c>
      <c r="CE140" s="16">
        <v>419.68493485721376</v>
      </c>
      <c r="CF140" s="16">
        <v>-9999</v>
      </c>
      <c r="CG140" s="16">
        <v>-9999</v>
      </c>
      <c r="CH140" s="16">
        <v>-9999</v>
      </c>
      <c r="CI140" s="16">
        <v>-9999</v>
      </c>
      <c r="CJ140" s="16">
        <v>-9999</v>
      </c>
      <c r="CK140" s="16">
        <v>-9999</v>
      </c>
      <c r="CL140" s="16">
        <v>-9999</v>
      </c>
      <c r="CM140" s="16">
        <v>-9999</v>
      </c>
      <c r="CN140" s="16">
        <v>302.709</v>
      </c>
      <c r="CO140" s="16">
        <v>319.416</v>
      </c>
      <c r="CP140" s="16">
        <v>340.41</v>
      </c>
      <c r="CQ140" s="16">
        <v>367.36945077000001</v>
      </c>
      <c r="CR140" s="16">
        <v>387.88681417383401</v>
      </c>
      <c r="CS140" s="16">
        <v>-9999</v>
      </c>
      <c r="CT140" s="16">
        <v>-9999</v>
      </c>
      <c r="CU140" s="16">
        <v>-9999</v>
      </c>
      <c r="CV140" s="16">
        <v>-9999</v>
      </c>
      <c r="CW140" s="16">
        <v>-9999</v>
      </c>
      <c r="CX140" s="16">
        <v>-9999</v>
      </c>
      <c r="CY140" s="16">
        <v>-9999</v>
      </c>
      <c r="CZ140" s="16">
        <v>-9999</v>
      </c>
      <c r="DA140" s="16">
        <v>319.94400000000002</v>
      </c>
      <c r="DB140" s="16">
        <v>343.58800000000002</v>
      </c>
      <c r="DC140" s="16">
        <v>373.76636480399986</v>
      </c>
      <c r="DD140" s="16">
        <v>399.47842581832361</v>
      </c>
      <c r="DE140" s="16">
        <v>419.16158673700801</v>
      </c>
      <c r="DF140" s="16">
        <v>-9999</v>
      </c>
      <c r="DG140" s="16">
        <v>-9999</v>
      </c>
      <c r="DH140" s="16">
        <v>-9999</v>
      </c>
      <c r="DI140" s="16">
        <v>-9999</v>
      </c>
      <c r="DJ140" s="16">
        <v>-9999</v>
      </c>
      <c r="DK140" s="16">
        <v>-9999</v>
      </c>
      <c r="DL140" s="16">
        <v>-9999</v>
      </c>
      <c r="DM140" s="16">
        <v>-9999</v>
      </c>
      <c r="DN140" s="16">
        <v>319.94400000000002</v>
      </c>
      <c r="DO140" s="16">
        <v>343.58800000000002</v>
      </c>
      <c r="DP140" s="16">
        <v>373.76636480399986</v>
      </c>
      <c r="DQ140" s="16">
        <v>399.47842581832361</v>
      </c>
      <c r="DR140" s="16">
        <v>419.16158673700801</v>
      </c>
      <c r="DS140" s="16">
        <v>-9999</v>
      </c>
      <c r="DT140" s="16">
        <v>-9999</v>
      </c>
      <c r="DU140" s="16">
        <v>-9999</v>
      </c>
      <c r="DV140" s="16">
        <v>-9999</v>
      </c>
      <c r="DW140" s="16">
        <v>-9999</v>
      </c>
      <c r="DX140" s="16">
        <v>-9999</v>
      </c>
      <c r="DY140" s="16">
        <v>-9999</v>
      </c>
      <c r="DZ140" s="16">
        <v>-9999</v>
      </c>
      <c r="EA140" s="2256">
        <v>319.94400000000002</v>
      </c>
      <c r="EB140" s="2256">
        <v>343.58800000000002</v>
      </c>
      <c r="EC140" s="2256">
        <v>373.76636480399986</v>
      </c>
      <c r="ED140" s="2256">
        <v>399.97719834383645</v>
      </c>
      <c r="EE140" s="2256">
        <v>419.68493485721376</v>
      </c>
      <c r="EF140" s="2257">
        <v>-9999</v>
      </c>
      <c r="EG140" s="2257">
        <v>-9999</v>
      </c>
      <c r="EH140" s="2257">
        <v>-9999</v>
      </c>
      <c r="EI140" s="2257">
        <v>-9999</v>
      </c>
      <c r="EJ140" s="2257">
        <v>-9999</v>
      </c>
      <c r="EK140" s="2257">
        <v>-9999</v>
      </c>
      <c r="EL140" s="2257">
        <v>-9999</v>
      </c>
      <c r="EM140" s="2257">
        <v>-9999</v>
      </c>
    </row>
    <row r="141" spans="1:143" ht="13.15">
      <c r="A141" s="22">
        <v>41</v>
      </c>
      <c r="B141" s="1" t="s">
        <v>593</v>
      </c>
      <c r="C141" s="24">
        <f ca="1">OFFSET('VVP2'!F211,0,Last_forecast_year - 3-InputY!$G$3)</f>
        <v>273.59100000000001</v>
      </c>
      <c r="D141" s="24">
        <f ca="1">OFFSET('VVP2'!G211,0,Last_forecast_year - 3-InputY!$G$3)</f>
        <v>287.08600000000001</v>
      </c>
      <c r="E141" s="24">
        <f ca="1">OFFSET('VVP2'!H211,0,Last_forecast_year - 3-InputY!$G$3)</f>
        <v>310.89846310439998</v>
      </c>
      <c r="F141" s="24">
        <f ca="1">OFFSET('VVP2'!I211,0,Last_forecast_year - 3-InputY!$G$3)</f>
        <v>329.90335038363179</v>
      </c>
      <c r="G141" s="24">
        <f ca="1">OFFSET('VVP2'!J211,0,Last_forecast_year - 3-InputY!$G$3)</f>
        <v>342.70442513689267</v>
      </c>
      <c r="H141" s="25">
        <v>-9999</v>
      </c>
      <c r="I141" s="25">
        <v>-9999</v>
      </c>
      <c r="J141" s="25">
        <v>-9999</v>
      </c>
      <c r="K141" s="25">
        <v>-9999</v>
      </c>
      <c r="L141" s="25">
        <v>-9999</v>
      </c>
      <c r="M141" s="25">
        <v>-9999</v>
      </c>
      <c r="N141" s="25">
        <v>-9999</v>
      </c>
      <c r="O141" s="25">
        <v>-9999</v>
      </c>
      <c r="P141" s="32"/>
      <c r="Q141"/>
      <c r="AA141" s="22">
        <v>41</v>
      </c>
      <c r="AB141" s="1080" t="str">
        <f t="shared" si="3"/>
        <v>VAL. G.F.C.F. OTHER</v>
      </c>
      <c r="AC141" s="1080">
        <f>CHOOSE(Tables!$U$2,Transfer!CA141,Transfer!CN141,Transfer!DA141,Transfer!DN141,Transfer!EA141)</f>
        <v>276.24400000000003</v>
      </c>
      <c r="AD141" s="1080">
        <f>CHOOSE(Tables!$U$2,Transfer!CB141,Transfer!CO141,Transfer!DB141,Transfer!DO141,Transfer!EB141)</f>
        <v>282.09300000000002</v>
      </c>
      <c r="AE141" s="1080">
        <f>CHOOSE(Tables!$U$2,Transfer!CC141,Transfer!CP141,Transfer!DC141,Transfer!DP141,Transfer!EC141)</f>
        <v>295.28100000000001</v>
      </c>
      <c r="AF141" s="1080">
        <f>CHOOSE(Tables!$U$2,Transfer!CD141,Transfer!CQ141,Transfer!DD141,Transfer!DQ141,Transfer!ED141)</f>
        <v>312.66236172780003</v>
      </c>
      <c r="AG141" s="1080">
        <f>CHOOSE(Tables!$U$2,Transfer!CE141,Transfer!CR141,Transfer!DE141,Transfer!DR141,Transfer!EE141)</f>
        <v>328.36639163782985</v>
      </c>
      <c r="AH141" s="1080">
        <f>CHOOSE(Tables!$U$2,Transfer!CF141,Transfer!CS141,Transfer!DF141,Transfer!DS141,Transfer!EF141)</f>
        <v>-9999</v>
      </c>
      <c r="AI141" s="1080">
        <f>CHOOSE(Tables!$U$2,Transfer!CG141,Transfer!CT141,Transfer!DG141,Transfer!DT141,Transfer!EG141)</f>
        <v>-9999</v>
      </c>
      <c r="AJ141" s="1080">
        <f>CHOOSE(Tables!$U$2,Transfer!CH141,Transfer!CU141,Transfer!DH141,Transfer!DU141,Transfer!EH141)</f>
        <v>-9999</v>
      </c>
      <c r="AK141" s="1080">
        <f>CHOOSE(Tables!$U$2,Transfer!CI141,Transfer!CV141,Transfer!DI141,Transfer!DV141,Transfer!EI141)</f>
        <v>-9999</v>
      </c>
      <c r="AL141" s="1080">
        <f>CHOOSE(Tables!$U$2,Transfer!CJ141,Transfer!CW141,Transfer!DJ141,Transfer!DW141,Transfer!EJ141)</f>
        <v>-9999</v>
      </c>
      <c r="AM141" s="1080">
        <f>CHOOSE(Tables!$U$2,Transfer!CK141,Transfer!CX141,Transfer!DK141,Transfer!DX141,Transfer!EK141)</f>
        <v>-9999</v>
      </c>
      <c r="AN141" s="1080">
        <f>CHOOSE(Tables!$U$2,Transfer!CL141,Transfer!CY141,Transfer!DL141,Transfer!DY141,Transfer!EL141)</f>
        <v>-9999</v>
      </c>
      <c r="AO141" s="1080">
        <f>CHOOSE(Tables!$U$2,Transfer!CM141,Transfer!CZ141,Transfer!DM141,Transfer!DZ141,Transfer!EM141)</f>
        <v>-9999</v>
      </c>
      <c r="AR141" s="22">
        <v>41</v>
      </c>
      <c r="AS141" s="1" t="s">
        <v>593</v>
      </c>
      <c r="AT141" s="24">
        <f t="shared" ca="1" si="5"/>
        <v>-2.65300000000002</v>
      </c>
      <c r="AU141" s="24">
        <f t="shared" ca="1" si="5"/>
        <v>4.992999999999995</v>
      </c>
      <c r="AV141" s="24">
        <f t="shared" ca="1" si="5"/>
        <v>15.617463104399974</v>
      </c>
      <c r="AW141" s="24">
        <f t="shared" ca="1" si="5"/>
        <v>17.240988655831757</v>
      </c>
      <c r="AX141" s="24">
        <f t="shared" ca="1" si="5"/>
        <v>14.338033499062817</v>
      </c>
      <c r="AY141" s="25">
        <f t="shared" si="5"/>
        <v>0</v>
      </c>
      <c r="AZ141" s="25">
        <f t="shared" si="5"/>
        <v>0</v>
      </c>
      <c r="BA141" s="25">
        <f t="shared" si="5"/>
        <v>0</v>
      </c>
      <c r="BB141" s="25">
        <f t="shared" si="5"/>
        <v>0</v>
      </c>
      <c r="BC141" s="25">
        <f t="shared" si="5"/>
        <v>0</v>
      </c>
      <c r="BD141" s="25">
        <f t="shared" si="5"/>
        <v>0</v>
      </c>
      <c r="BE141" s="25">
        <f t="shared" si="5"/>
        <v>0</v>
      </c>
      <c r="BF141" s="25">
        <f t="shared" si="5"/>
        <v>0</v>
      </c>
      <c r="CA141" s="16">
        <v>273.59100000000001</v>
      </c>
      <c r="CB141" s="16">
        <v>287.08600000000001</v>
      </c>
      <c r="CC141" s="16">
        <v>310.89846310439998</v>
      </c>
      <c r="CD141" s="16">
        <v>329.90335038363179</v>
      </c>
      <c r="CE141" s="16">
        <v>342.70442513689267</v>
      </c>
      <c r="CF141" s="16">
        <v>-9999</v>
      </c>
      <c r="CG141" s="16">
        <v>-9999</v>
      </c>
      <c r="CH141" s="16">
        <v>-9999</v>
      </c>
      <c r="CI141" s="16">
        <v>-9999</v>
      </c>
      <c r="CJ141" s="16">
        <v>-9999</v>
      </c>
      <c r="CK141" s="16">
        <v>-9999</v>
      </c>
      <c r="CL141" s="16">
        <v>-9999</v>
      </c>
      <c r="CM141" s="16">
        <v>-9999</v>
      </c>
      <c r="CN141" s="16">
        <v>276.24400000000003</v>
      </c>
      <c r="CO141" s="16">
        <v>282.09300000000002</v>
      </c>
      <c r="CP141" s="16">
        <v>295.28100000000001</v>
      </c>
      <c r="CQ141" s="16">
        <v>312.66236172780003</v>
      </c>
      <c r="CR141" s="16">
        <v>328.36639163782985</v>
      </c>
      <c r="CS141" s="16">
        <v>-9999</v>
      </c>
      <c r="CT141" s="16">
        <v>-9999</v>
      </c>
      <c r="CU141" s="16">
        <v>-9999</v>
      </c>
      <c r="CV141" s="16">
        <v>-9999</v>
      </c>
      <c r="CW141" s="16">
        <v>-9999</v>
      </c>
      <c r="CX141" s="16">
        <v>-9999</v>
      </c>
      <c r="CY141" s="16">
        <v>-9999</v>
      </c>
      <c r="CZ141" s="16">
        <v>-9999</v>
      </c>
      <c r="DA141" s="16">
        <v>273.59100000000001</v>
      </c>
      <c r="DB141" s="16">
        <v>287.08600000000001</v>
      </c>
      <c r="DC141" s="16">
        <v>310.89846310439998</v>
      </c>
      <c r="DD141" s="16">
        <v>329.90335038363179</v>
      </c>
      <c r="DE141" s="16">
        <v>343.07131065285427</v>
      </c>
      <c r="DF141" s="16">
        <v>-9999</v>
      </c>
      <c r="DG141" s="16">
        <v>-9999</v>
      </c>
      <c r="DH141" s="16">
        <v>-9999</v>
      </c>
      <c r="DI141" s="16">
        <v>-9999</v>
      </c>
      <c r="DJ141" s="16">
        <v>-9999</v>
      </c>
      <c r="DK141" s="16">
        <v>-9999</v>
      </c>
      <c r="DL141" s="16">
        <v>-9999</v>
      </c>
      <c r="DM141" s="16">
        <v>-9999</v>
      </c>
      <c r="DN141" s="16">
        <v>273.59100000000001</v>
      </c>
      <c r="DO141" s="16">
        <v>287.08600000000001</v>
      </c>
      <c r="DP141" s="16">
        <v>310.89846310439998</v>
      </c>
      <c r="DQ141" s="16">
        <v>329.90335038363179</v>
      </c>
      <c r="DR141" s="16">
        <v>343.07131065285427</v>
      </c>
      <c r="DS141" s="16">
        <v>-9999</v>
      </c>
      <c r="DT141" s="16">
        <v>-9999</v>
      </c>
      <c r="DU141" s="16">
        <v>-9999</v>
      </c>
      <c r="DV141" s="16">
        <v>-9999</v>
      </c>
      <c r="DW141" s="16">
        <v>-9999</v>
      </c>
      <c r="DX141" s="16">
        <v>-9999</v>
      </c>
      <c r="DY141" s="16">
        <v>-9999</v>
      </c>
      <c r="DZ141" s="16">
        <v>-9999</v>
      </c>
      <c r="EA141" s="2256">
        <v>273.59100000000001</v>
      </c>
      <c r="EB141" s="2256">
        <v>287.08600000000001</v>
      </c>
      <c r="EC141" s="2256">
        <v>310.89846310439998</v>
      </c>
      <c r="ED141" s="2256">
        <v>329.90335038363179</v>
      </c>
      <c r="EE141" s="2256">
        <v>342.70442513689267</v>
      </c>
      <c r="EF141" s="2257">
        <v>-9999</v>
      </c>
      <c r="EG141" s="2257">
        <v>-9999</v>
      </c>
      <c r="EH141" s="2257">
        <v>-9999</v>
      </c>
      <c r="EI141" s="2257">
        <v>-9999</v>
      </c>
      <c r="EJ141" s="2257">
        <v>-9999</v>
      </c>
      <c r="EK141" s="2257">
        <v>-9999</v>
      </c>
      <c r="EL141" s="2257">
        <v>-9999</v>
      </c>
      <c r="EM141" s="2257">
        <v>-9999</v>
      </c>
    </row>
    <row r="142" spans="1:143" ht="13.15">
      <c r="A142" s="22">
        <v>42</v>
      </c>
      <c r="B142" s="1" t="s">
        <v>595</v>
      </c>
      <c r="C142" s="24">
        <f ca="1">OFFSET('VVP2'!F260,0,Last_forecast_year - 3-InputY!$G$3)</f>
        <v>25.434999999999999</v>
      </c>
      <c r="D142" s="24">
        <f ca="1">OFFSET('VVP2'!G260,0,Last_forecast_year - 3-InputY!$G$3)</f>
        <v>30.757000000000001</v>
      </c>
      <c r="E142" s="24">
        <f ca="1">OFFSET('VVP2'!H260,0,Last_forecast_year - 3-InputY!$G$3)</f>
        <v>38.790728399999999</v>
      </c>
      <c r="F142" s="24">
        <f ca="1">OFFSET('VVP2'!I260,0,Last_forecast_year - 3-InputY!$G$3)</f>
        <v>33.19439001373199</v>
      </c>
      <c r="G142" s="24">
        <f ca="1">OFFSET('VVP2'!J260,0,Last_forecast_year - 3-InputY!$G$3)</f>
        <v>33.19439001373199</v>
      </c>
      <c r="H142" s="25">
        <v>-9999</v>
      </c>
      <c r="I142" s="25">
        <v>-9999</v>
      </c>
      <c r="J142" s="25">
        <v>-9999</v>
      </c>
      <c r="K142" s="25">
        <v>-9999</v>
      </c>
      <c r="L142" s="25">
        <v>-9999</v>
      </c>
      <c r="M142" s="25">
        <v>-9999</v>
      </c>
      <c r="N142" s="25">
        <v>-9999</v>
      </c>
      <c r="O142" s="25">
        <v>-9999</v>
      </c>
      <c r="P142" s="32"/>
      <c r="Q142"/>
      <c r="AA142" s="22">
        <v>42</v>
      </c>
      <c r="AB142" s="1080" t="str">
        <f t="shared" si="3"/>
        <v>VAL. CHANGE IN INVENTORIES</v>
      </c>
      <c r="AC142" s="1080">
        <f>CHOOSE(Tables!$U$2,Transfer!CA142,Transfer!CN142,Transfer!DA142,Transfer!DN142,Transfer!EA142)</f>
        <v>30.216000000000001</v>
      </c>
      <c r="AD142" s="1080">
        <f>CHOOSE(Tables!$U$2,Transfer!CB142,Transfer!CO142,Transfer!DB142,Transfer!DO142,Transfer!EB142)</f>
        <v>30.617999999999999</v>
      </c>
      <c r="AE142" s="1080">
        <f>CHOOSE(Tables!$U$2,Transfer!CC142,Transfer!CP142,Transfer!DC142,Transfer!DP142,Transfer!EC142)</f>
        <v>35.235999999999997</v>
      </c>
      <c r="AF142" s="1080">
        <f>CHOOSE(Tables!$U$2,Transfer!CD142,Transfer!CQ142,Transfer!DD142,Transfer!DQ142,Transfer!ED142)</f>
        <v>35.235999999999997</v>
      </c>
      <c r="AG142" s="1080">
        <f>CHOOSE(Tables!$U$2,Transfer!CE142,Transfer!CR142,Transfer!DE142,Transfer!DR142,Transfer!EE142)</f>
        <v>35.235999999999997</v>
      </c>
      <c r="AH142" s="1080">
        <f>CHOOSE(Tables!$U$2,Transfer!CF142,Transfer!CS142,Transfer!DF142,Transfer!DS142,Transfer!EF142)</f>
        <v>-9999</v>
      </c>
      <c r="AI142" s="1080">
        <f>CHOOSE(Tables!$U$2,Transfer!CG142,Transfer!CT142,Transfer!DG142,Transfer!DT142,Transfer!EG142)</f>
        <v>-9999</v>
      </c>
      <c r="AJ142" s="1080">
        <f>CHOOSE(Tables!$U$2,Transfer!CH142,Transfer!CU142,Transfer!DH142,Transfer!DU142,Transfer!EH142)</f>
        <v>-9999</v>
      </c>
      <c r="AK142" s="1080">
        <f>CHOOSE(Tables!$U$2,Transfer!CI142,Transfer!CV142,Transfer!DI142,Transfer!DV142,Transfer!EI142)</f>
        <v>-9999</v>
      </c>
      <c r="AL142" s="1080">
        <f>CHOOSE(Tables!$U$2,Transfer!CJ142,Transfer!CW142,Transfer!DJ142,Transfer!DW142,Transfer!EJ142)</f>
        <v>-9999</v>
      </c>
      <c r="AM142" s="1080">
        <f>CHOOSE(Tables!$U$2,Transfer!CK142,Transfer!CX142,Transfer!DK142,Transfer!DX142,Transfer!EK142)</f>
        <v>-9999</v>
      </c>
      <c r="AN142" s="1080">
        <f>CHOOSE(Tables!$U$2,Transfer!CL142,Transfer!CY142,Transfer!DL142,Transfer!DY142,Transfer!EL142)</f>
        <v>-9999</v>
      </c>
      <c r="AO142" s="1080">
        <f>CHOOSE(Tables!$U$2,Transfer!CM142,Transfer!CZ142,Transfer!DM142,Transfer!DZ142,Transfer!EM142)</f>
        <v>-9999</v>
      </c>
      <c r="AR142" s="22">
        <v>42</v>
      </c>
      <c r="AS142" s="1" t="s">
        <v>595</v>
      </c>
      <c r="AT142" s="24">
        <f t="shared" ca="1" si="5"/>
        <v>-4.7810000000000024</v>
      </c>
      <c r="AU142" s="24">
        <f t="shared" ca="1" si="5"/>
        <v>0.1390000000000029</v>
      </c>
      <c r="AV142" s="24">
        <f t="shared" ca="1" si="5"/>
        <v>3.5547284000000019</v>
      </c>
      <c r="AW142" s="24">
        <f t="shared" ca="1" si="5"/>
        <v>-2.041609986268007</v>
      </c>
      <c r="AX142" s="24">
        <f t="shared" ca="1" si="5"/>
        <v>-2.041609986268007</v>
      </c>
      <c r="AY142" s="25">
        <f t="shared" si="5"/>
        <v>0</v>
      </c>
      <c r="AZ142" s="25">
        <f t="shared" si="5"/>
        <v>0</v>
      </c>
      <c r="BA142" s="25">
        <f t="shared" si="5"/>
        <v>0</v>
      </c>
      <c r="BB142" s="25">
        <f t="shared" si="5"/>
        <v>0</v>
      </c>
      <c r="BC142" s="25">
        <f t="shared" si="5"/>
        <v>0</v>
      </c>
      <c r="BD142" s="25">
        <f t="shared" si="5"/>
        <v>0</v>
      </c>
      <c r="BE142" s="25">
        <f t="shared" si="5"/>
        <v>0</v>
      </c>
      <c r="BF142" s="25">
        <f t="shared" si="5"/>
        <v>0</v>
      </c>
      <c r="CA142" s="16">
        <v>25.434999999999999</v>
      </c>
      <c r="CB142" s="16">
        <v>30.757000000000001</v>
      </c>
      <c r="CC142" s="16">
        <v>38.790728399999999</v>
      </c>
      <c r="CD142" s="16">
        <v>33.19439001373199</v>
      </c>
      <c r="CE142" s="16">
        <v>33.19439001373199</v>
      </c>
      <c r="CF142" s="16">
        <v>-9999</v>
      </c>
      <c r="CG142" s="16">
        <v>-9999</v>
      </c>
      <c r="CH142" s="16">
        <v>-9999</v>
      </c>
      <c r="CI142" s="16">
        <v>-9999</v>
      </c>
      <c r="CJ142" s="16">
        <v>-9999</v>
      </c>
      <c r="CK142" s="16">
        <v>-9999</v>
      </c>
      <c r="CL142" s="16">
        <v>-9999</v>
      </c>
      <c r="CM142" s="16">
        <v>-9999</v>
      </c>
      <c r="CN142" s="16">
        <v>30.216000000000001</v>
      </c>
      <c r="CO142" s="16">
        <v>30.617999999999999</v>
      </c>
      <c r="CP142" s="16">
        <v>35.235999999999997</v>
      </c>
      <c r="CQ142" s="16">
        <v>35.235999999999997</v>
      </c>
      <c r="CR142" s="16">
        <v>35.235999999999997</v>
      </c>
      <c r="CS142" s="16">
        <v>-9999</v>
      </c>
      <c r="CT142" s="16">
        <v>-9999</v>
      </c>
      <c r="CU142" s="16">
        <v>-9999</v>
      </c>
      <c r="CV142" s="16">
        <v>-9999</v>
      </c>
      <c r="CW142" s="16">
        <v>-9999</v>
      </c>
      <c r="CX142" s="16">
        <v>-9999</v>
      </c>
      <c r="CY142" s="16">
        <v>-9999</v>
      </c>
      <c r="CZ142" s="16">
        <v>-9999</v>
      </c>
      <c r="DA142" s="16">
        <v>25.434999999999999</v>
      </c>
      <c r="DB142" s="16">
        <v>30.757000000000001</v>
      </c>
      <c r="DC142" s="16">
        <v>38.790728399999999</v>
      </c>
      <c r="DD142" s="16">
        <v>33.19439001373199</v>
      </c>
      <c r="DE142" s="16">
        <v>33.19439001373199</v>
      </c>
      <c r="DF142" s="16">
        <v>-9999</v>
      </c>
      <c r="DG142" s="16">
        <v>-9999</v>
      </c>
      <c r="DH142" s="16">
        <v>-9999</v>
      </c>
      <c r="DI142" s="16">
        <v>-9999</v>
      </c>
      <c r="DJ142" s="16">
        <v>-9999</v>
      </c>
      <c r="DK142" s="16">
        <v>-9999</v>
      </c>
      <c r="DL142" s="16">
        <v>-9999</v>
      </c>
      <c r="DM142" s="16">
        <v>-9999</v>
      </c>
      <c r="DN142" s="16">
        <v>25.434999999999999</v>
      </c>
      <c r="DO142" s="16">
        <v>30.757000000000001</v>
      </c>
      <c r="DP142" s="16">
        <v>38.790728399999999</v>
      </c>
      <c r="DQ142" s="16">
        <v>33.19439001373199</v>
      </c>
      <c r="DR142" s="16">
        <v>33.19439001373199</v>
      </c>
      <c r="DS142" s="16">
        <v>-9999</v>
      </c>
      <c r="DT142" s="16">
        <v>-9999</v>
      </c>
      <c r="DU142" s="16">
        <v>-9999</v>
      </c>
      <c r="DV142" s="16">
        <v>-9999</v>
      </c>
      <c r="DW142" s="16">
        <v>-9999</v>
      </c>
      <c r="DX142" s="16">
        <v>-9999</v>
      </c>
      <c r="DY142" s="16">
        <v>-9999</v>
      </c>
      <c r="DZ142" s="16">
        <v>-9999</v>
      </c>
      <c r="EA142" s="2256">
        <v>25.434999999999999</v>
      </c>
      <c r="EB142" s="2256">
        <v>30.757000000000001</v>
      </c>
      <c r="EC142" s="2256">
        <v>38.790728399999999</v>
      </c>
      <c r="ED142" s="2256">
        <v>33.19439001373199</v>
      </c>
      <c r="EE142" s="2256">
        <v>33.19439001373199</v>
      </c>
      <c r="EF142" s="2257">
        <v>-9999</v>
      </c>
      <c r="EG142" s="2257">
        <v>-9999</v>
      </c>
      <c r="EH142" s="2257">
        <v>-9999</v>
      </c>
      <c r="EI142" s="2257">
        <v>-9999</v>
      </c>
      <c r="EJ142" s="2257">
        <v>-9999</v>
      </c>
      <c r="EK142" s="2257">
        <v>-9999</v>
      </c>
      <c r="EL142" s="2257">
        <v>-9999</v>
      </c>
      <c r="EM142" s="2257">
        <v>-9999</v>
      </c>
    </row>
    <row r="143" spans="1:143" ht="13.15">
      <c r="A143" s="22">
        <v>43</v>
      </c>
      <c r="B143" s="29" t="s">
        <v>597</v>
      </c>
      <c r="C143" s="24">
        <f ca="1">OFFSET('VVP2'!F278,0,Last_forecast_year - 3-InputY!$G$3)</f>
        <v>1309.0509999999999</v>
      </c>
      <c r="D143" s="24">
        <f ca="1">OFFSET('VVP2'!G278,0,Last_forecast_year - 3-InputY!$G$3)</f>
        <v>1430.1569999999999</v>
      </c>
      <c r="E143" s="24">
        <f ca="1">OFFSET('VVP2'!H278,0,Last_forecast_year - 3-InputY!$G$3)</f>
        <v>1562.3785900425</v>
      </c>
      <c r="F143" s="24">
        <f ca="1">OFFSET('VVP2'!I278,0,Last_forecast_year - 3-InputY!$G$3)</f>
        <v>1653.6329831836192</v>
      </c>
      <c r="G143" s="24">
        <f ca="1">OFFSET('VVP2'!J278,0,Last_forecast_year - 3-InputY!$G$3)</f>
        <v>1723.3341425873634</v>
      </c>
      <c r="H143" s="25">
        <v>-9999</v>
      </c>
      <c r="I143" s="25">
        <v>-9999</v>
      </c>
      <c r="J143" s="25">
        <v>-9999</v>
      </c>
      <c r="K143" s="25">
        <v>-9999</v>
      </c>
      <c r="L143" s="25">
        <v>-9999</v>
      </c>
      <c r="M143" s="25">
        <v>-9999</v>
      </c>
      <c r="N143" s="25">
        <v>-9999</v>
      </c>
      <c r="O143" s="25">
        <v>-9999</v>
      </c>
      <c r="P143" s="32"/>
      <c r="Q143"/>
      <c r="AA143" s="22">
        <v>43</v>
      </c>
      <c r="AB143" s="1080" t="str">
        <f t="shared" si="3"/>
        <v>VAL. EXPORTS OF GOODS (FOB)</v>
      </c>
      <c r="AC143" s="1080">
        <f>CHOOSE(Tables!$U$2,Transfer!CA143,Transfer!CN143,Transfer!DA143,Transfer!DN143,Transfer!EA143)</f>
        <v>1299.6780000000001</v>
      </c>
      <c r="AD143" s="1080">
        <f>CHOOSE(Tables!$U$2,Transfer!CB143,Transfer!CO143,Transfer!DB143,Transfer!DO143,Transfer!EB143)</f>
        <v>1322.221</v>
      </c>
      <c r="AE143" s="1080">
        <f>CHOOSE(Tables!$U$2,Transfer!CC143,Transfer!CP143,Transfer!DC143,Transfer!DP143,Transfer!EC143)</f>
        <v>1445.452</v>
      </c>
      <c r="AF143" s="1080">
        <f>CHOOSE(Tables!$U$2,Transfer!CD143,Transfer!CQ143,Transfer!DD143,Transfer!DQ143,Transfer!ED143)</f>
        <v>1575.2767168320001</v>
      </c>
      <c r="AG143" s="1080">
        <f>CHOOSE(Tables!$U$2,Transfer!CE143,Transfer!CR143,Transfer!DE143,Transfer!DR143,Transfer!EE143)</f>
        <v>1674.4911100668564</v>
      </c>
      <c r="AH143" s="1080">
        <f>CHOOSE(Tables!$U$2,Transfer!CF143,Transfer!CS143,Transfer!DF143,Transfer!DS143,Transfer!EF143)</f>
        <v>-9999</v>
      </c>
      <c r="AI143" s="1080">
        <f>CHOOSE(Tables!$U$2,Transfer!CG143,Transfer!CT143,Transfer!DG143,Transfer!DT143,Transfer!EG143)</f>
        <v>-9999</v>
      </c>
      <c r="AJ143" s="1080">
        <f>CHOOSE(Tables!$U$2,Transfer!CH143,Transfer!CU143,Transfer!DH143,Transfer!DU143,Transfer!EH143)</f>
        <v>-9999</v>
      </c>
      <c r="AK143" s="1080">
        <f>CHOOSE(Tables!$U$2,Transfer!CI143,Transfer!CV143,Transfer!DI143,Transfer!DV143,Transfer!EI143)</f>
        <v>-9999</v>
      </c>
      <c r="AL143" s="1080">
        <f>CHOOSE(Tables!$U$2,Transfer!CJ143,Transfer!CW143,Transfer!DJ143,Transfer!DW143,Transfer!EJ143)</f>
        <v>-9999</v>
      </c>
      <c r="AM143" s="1080">
        <f>CHOOSE(Tables!$U$2,Transfer!CK143,Transfer!CX143,Transfer!DK143,Transfer!DX143,Transfer!EK143)</f>
        <v>-9999</v>
      </c>
      <c r="AN143" s="1080">
        <f>CHOOSE(Tables!$U$2,Transfer!CL143,Transfer!CY143,Transfer!DL143,Transfer!DY143,Transfer!EL143)</f>
        <v>-9999</v>
      </c>
      <c r="AO143" s="1080">
        <f>CHOOSE(Tables!$U$2,Transfer!CM143,Transfer!CZ143,Transfer!DM143,Transfer!DZ143,Transfer!EM143)</f>
        <v>-9999</v>
      </c>
      <c r="AR143" s="22">
        <v>43</v>
      </c>
      <c r="AS143" s="29" t="s">
        <v>597</v>
      </c>
      <c r="AT143" s="24">
        <f t="shared" ca="1" si="5"/>
        <v>9.3729999999998199</v>
      </c>
      <c r="AU143" s="24">
        <f t="shared" ca="1" si="5"/>
        <v>107.93599999999992</v>
      </c>
      <c r="AV143" s="24">
        <f t="shared" ca="1" si="5"/>
        <v>116.92659004250004</v>
      </c>
      <c r="AW143" s="24">
        <f t="shared" ca="1" si="5"/>
        <v>78.35626635161907</v>
      </c>
      <c r="AX143" s="24">
        <f t="shared" ca="1" si="5"/>
        <v>48.843032520506995</v>
      </c>
      <c r="AY143" s="25">
        <f t="shared" si="5"/>
        <v>0</v>
      </c>
      <c r="AZ143" s="25">
        <f t="shared" si="5"/>
        <v>0</v>
      </c>
      <c r="BA143" s="25">
        <f t="shared" si="5"/>
        <v>0</v>
      </c>
      <c r="BB143" s="25">
        <f t="shared" si="5"/>
        <v>0</v>
      </c>
      <c r="BC143" s="25">
        <f t="shared" si="5"/>
        <v>0</v>
      </c>
      <c r="BD143" s="25">
        <f t="shared" si="5"/>
        <v>0</v>
      </c>
      <c r="BE143" s="25">
        <f t="shared" si="5"/>
        <v>0</v>
      </c>
      <c r="BF143" s="25">
        <f t="shared" si="5"/>
        <v>0</v>
      </c>
      <c r="CA143" s="16">
        <v>1309.0509999999999</v>
      </c>
      <c r="CB143" s="16">
        <v>1430.1569999999999</v>
      </c>
      <c r="CC143" s="16">
        <v>1562.3785900425</v>
      </c>
      <c r="CD143" s="16">
        <v>1653.6329831836192</v>
      </c>
      <c r="CE143" s="16">
        <v>1723.3341425873634</v>
      </c>
      <c r="CF143" s="16">
        <v>-9999</v>
      </c>
      <c r="CG143" s="16">
        <v>-9999</v>
      </c>
      <c r="CH143" s="16">
        <v>-9999</v>
      </c>
      <c r="CI143" s="16">
        <v>-9999</v>
      </c>
      <c r="CJ143" s="16">
        <v>-9999</v>
      </c>
      <c r="CK143" s="16">
        <v>-9999</v>
      </c>
      <c r="CL143" s="16">
        <v>-9999</v>
      </c>
      <c r="CM143" s="16">
        <v>-9999</v>
      </c>
      <c r="CN143" s="16">
        <v>1299.6780000000001</v>
      </c>
      <c r="CO143" s="16">
        <v>1322.221</v>
      </c>
      <c r="CP143" s="16">
        <v>1445.452</v>
      </c>
      <c r="CQ143" s="16">
        <v>1575.2767168320001</v>
      </c>
      <c r="CR143" s="16">
        <v>1674.4911100668564</v>
      </c>
      <c r="CS143" s="16">
        <v>-9999</v>
      </c>
      <c r="CT143" s="16">
        <v>-9999</v>
      </c>
      <c r="CU143" s="16">
        <v>-9999</v>
      </c>
      <c r="CV143" s="16">
        <v>-9999</v>
      </c>
      <c r="CW143" s="16">
        <v>-9999</v>
      </c>
      <c r="CX143" s="16">
        <v>-9999</v>
      </c>
      <c r="CY143" s="16">
        <v>-9999</v>
      </c>
      <c r="CZ143" s="16">
        <v>-9999</v>
      </c>
      <c r="DA143" s="16">
        <v>1309.0509999999999</v>
      </c>
      <c r="DB143" s="16">
        <v>1430.1569999999999</v>
      </c>
      <c r="DC143" s="16">
        <v>1562.3785900425</v>
      </c>
      <c r="DD143" s="16">
        <v>1649.9529097812747</v>
      </c>
      <c r="DE143" s="16">
        <v>1719.4989529134864</v>
      </c>
      <c r="DF143" s="16">
        <v>-9999</v>
      </c>
      <c r="DG143" s="16">
        <v>-9999</v>
      </c>
      <c r="DH143" s="16">
        <v>-9999</v>
      </c>
      <c r="DI143" s="16">
        <v>-9999</v>
      </c>
      <c r="DJ143" s="16">
        <v>-9999</v>
      </c>
      <c r="DK143" s="16">
        <v>-9999</v>
      </c>
      <c r="DL143" s="16">
        <v>-9999</v>
      </c>
      <c r="DM143" s="16">
        <v>-9999</v>
      </c>
      <c r="DN143" s="16">
        <v>1309.0509999999999</v>
      </c>
      <c r="DO143" s="16">
        <v>1430.1569999999999</v>
      </c>
      <c r="DP143" s="16">
        <v>1557.8521431375</v>
      </c>
      <c r="DQ143" s="16">
        <v>1647.4217868184764</v>
      </c>
      <c r="DR143" s="16">
        <v>1716.8611423078469</v>
      </c>
      <c r="DS143" s="16">
        <v>-9999</v>
      </c>
      <c r="DT143" s="16">
        <v>-9999</v>
      </c>
      <c r="DU143" s="16">
        <v>-9999</v>
      </c>
      <c r="DV143" s="16">
        <v>-9999</v>
      </c>
      <c r="DW143" s="16">
        <v>-9999</v>
      </c>
      <c r="DX143" s="16">
        <v>-9999</v>
      </c>
      <c r="DY143" s="16">
        <v>-9999</v>
      </c>
      <c r="DZ143" s="16">
        <v>-9999</v>
      </c>
      <c r="EA143" s="2256">
        <v>1309.0509999999999</v>
      </c>
      <c r="EB143" s="2256">
        <v>1430.1569999999999</v>
      </c>
      <c r="EC143" s="2256">
        <v>1562.3785900425</v>
      </c>
      <c r="ED143" s="2256">
        <v>1653.6329831836192</v>
      </c>
      <c r="EE143" s="2256">
        <v>1723.3341425873634</v>
      </c>
      <c r="EF143" s="2257">
        <v>-9999</v>
      </c>
      <c r="EG143" s="2257">
        <v>-9999</v>
      </c>
      <c r="EH143" s="2257">
        <v>-9999</v>
      </c>
      <c r="EI143" s="2257">
        <v>-9999</v>
      </c>
      <c r="EJ143" s="2257">
        <v>-9999</v>
      </c>
      <c r="EK143" s="2257">
        <v>-9999</v>
      </c>
      <c r="EL143" s="2257">
        <v>-9999</v>
      </c>
      <c r="EM143" s="2257">
        <v>-9999</v>
      </c>
    </row>
    <row r="144" spans="1:143" ht="13.15">
      <c r="A144" s="22">
        <v>44</v>
      </c>
      <c r="B144" s="29" t="s">
        <v>598</v>
      </c>
      <c r="C144" s="24">
        <f ca="1">OFFSET('VVP2'!F277,0,Last_forecast_year - 3-InputY!$G$3)</f>
        <v>638.101</v>
      </c>
      <c r="D144" s="24">
        <f ca="1">OFFSET('VVP2'!G277,0,Last_forecast_year - 3-InputY!$G$3)</f>
        <v>646.49900000000002</v>
      </c>
      <c r="E144" s="24">
        <f ca="1">OFFSET('VVP2'!H277,0,Last_forecast_year - 3-InputY!$G$3)</f>
        <v>695.80857777829999</v>
      </c>
      <c r="F144" s="24">
        <f ca="1">OFFSET('VVP2'!I277,0,Last_forecast_year - 3-InputY!$G$3)</f>
        <v>732.9520364508594</v>
      </c>
      <c r="G144" s="24">
        <f ca="1">OFFSET('VVP2'!J277,0,Last_forecast_year - 3-InputY!$G$3)</f>
        <v>763.39730285719065</v>
      </c>
      <c r="H144" s="25">
        <v>-9999</v>
      </c>
      <c r="I144" s="25">
        <v>-9999</v>
      </c>
      <c r="J144" s="25">
        <v>-9999</v>
      </c>
      <c r="K144" s="25">
        <v>-9999</v>
      </c>
      <c r="L144" s="25">
        <v>-9999</v>
      </c>
      <c r="M144" s="25">
        <v>-9999</v>
      </c>
      <c r="N144" s="25">
        <v>-9999</v>
      </c>
      <c r="O144" s="25">
        <v>-9999</v>
      </c>
      <c r="P144" s="32"/>
      <c r="Q144"/>
      <c r="AA144" s="22">
        <v>44</v>
      </c>
      <c r="AB144" s="1080" t="str">
        <f t="shared" si="3"/>
        <v>VAL. EXPORTS OF SERVICES</v>
      </c>
      <c r="AC144" s="1080">
        <f>CHOOSE(Tables!$U$2,Transfer!CA144,Transfer!CN144,Transfer!DA144,Transfer!DN144,Transfer!EA144)</f>
        <v>613.41</v>
      </c>
      <c r="AD144" s="1080">
        <f>CHOOSE(Tables!$U$2,Transfer!CB144,Transfer!CO144,Transfer!DB144,Transfer!DO144,Transfer!EB144)</f>
        <v>627.92700000000002</v>
      </c>
      <c r="AE144" s="1080">
        <f>CHOOSE(Tables!$U$2,Transfer!CC144,Transfer!CP144,Transfer!DC144,Transfer!DP144,Transfer!EC144)</f>
        <v>640.40700000000004</v>
      </c>
      <c r="AF144" s="1080">
        <f>CHOOSE(Tables!$U$2,Transfer!CD144,Transfer!CQ144,Transfer!DD144,Transfer!DQ144,Transfer!ED144)</f>
        <v>690.64820996399999</v>
      </c>
      <c r="AG144" s="1080">
        <f>CHOOSE(Tables!$U$2,Transfer!CE144,Transfer!CR144,Transfer!DE144,Transfer!DR144,Transfer!EE144)</f>
        <v>723.0952081922137</v>
      </c>
      <c r="AH144" s="1080">
        <f>CHOOSE(Tables!$U$2,Transfer!CF144,Transfer!CS144,Transfer!DF144,Transfer!DS144,Transfer!EF144)</f>
        <v>-9999</v>
      </c>
      <c r="AI144" s="1080">
        <f>CHOOSE(Tables!$U$2,Transfer!CG144,Transfer!CT144,Transfer!DG144,Transfer!DT144,Transfer!EG144)</f>
        <v>-9999</v>
      </c>
      <c r="AJ144" s="1080">
        <f>CHOOSE(Tables!$U$2,Transfer!CH144,Transfer!CU144,Transfer!DH144,Transfer!DU144,Transfer!EH144)</f>
        <v>-9999</v>
      </c>
      <c r="AK144" s="1080">
        <f>CHOOSE(Tables!$U$2,Transfer!CI144,Transfer!CV144,Transfer!DI144,Transfer!DV144,Transfer!EI144)</f>
        <v>-9999</v>
      </c>
      <c r="AL144" s="1080">
        <f>CHOOSE(Tables!$U$2,Transfer!CJ144,Transfer!CW144,Transfer!DJ144,Transfer!DW144,Transfer!EJ144)</f>
        <v>-9999</v>
      </c>
      <c r="AM144" s="1080">
        <f>CHOOSE(Tables!$U$2,Transfer!CK144,Transfer!CX144,Transfer!DK144,Transfer!DX144,Transfer!EK144)</f>
        <v>-9999</v>
      </c>
      <c r="AN144" s="1080">
        <f>CHOOSE(Tables!$U$2,Transfer!CL144,Transfer!CY144,Transfer!DL144,Transfer!DY144,Transfer!EL144)</f>
        <v>-9999</v>
      </c>
      <c r="AO144" s="1080">
        <f>CHOOSE(Tables!$U$2,Transfer!CM144,Transfer!CZ144,Transfer!DM144,Transfer!DZ144,Transfer!EM144)</f>
        <v>-9999</v>
      </c>
      <c r="AR144" s="22">
        <v>44</v>
      </c>
      <c r="AS144" s="29" t="s">
        <v>598</v>
      </c>
      <c r="AT144" s="24">
        <f t="shared" ca="1" si="5"/>
        <v>24.691000000000031</v>
      </c>
      <c r="AU144" s="24">
        <f t="shared" ca="1" si="5"/>
        <v>18.572000000000003</v>
      </c>
      <c r="AV144" s="24">
        <f t="shared" ca="1" si="5"/>
        <v>55.401577778299952</v>
      </c>
      <c r="AW144" s="24">
        <f t="shared" ca="1" si="5"/>
        <v>42.303826486859407</v>
      </c>
      <c r="AX144" s="24">
        <f t="shared" ca="1" si="5"/>
        <v>40.302094664976948</v>
      </c>
      <c r="AY144" s="25">
        <f t="shared" si="5"/>
        <v>0</v>
      </c>
      <c r="AZ144" s="25">
        <f t="shared" si="5"/>
        <v>0</v>
      </c>
      <c r="BA144" s="25">
        <f t="shared" si="5"/>
        <v>0</v>
      </c>
      <c r="BB144" s="25">
        <f t="shared" si="5"/>
        <v>0</v>
      </c>
      <c r="BC144" s="25">
        <f t="shared" si="5"/>
        <v>0</v>
      </c>
      <c r="BD144" s="25">
        <f t="shared" si="5"/>
        <v>0</v>
      </c>
      <c r="BE144" s="25">
        <f t="shared" si="5"/>
        <v>0</v>
      </c>
      <c r="BF144" s="25">
        <f t="shared" si="5"/>
        <v>0</v>
      </c>
      <c r="CA144" s="16">
        <v>638.101</v>
      </c>
      <c r="CB144" s="16">
        <v>646.49900000000002</v>
      </c>
      <c r="CC144" s="16">
        <v>695.80857777829999</v>
      </c>
      <c r="CD144" s="16">
        <v>732.9520364508594</v>
      </c>
      <c r="CE144" s="16">
        <v>763.39730285719065</v>
      </c>
      <c r="CF144" s="16">
        <v>-9999</v>
      </c>
      <c r="CG144" s="16">
        <v>-9999</v>
      </c>
      <c r="CH144" s="16">
        <v>-9999</v>
      </c>
      <c r="CI144" s="16">
        <v>-9999</v>
      </c>
      <c r="CJ144" s="16">
        <v>-9999</v>
      </c>
      <c r="CK144" s="16">
        <v>-9999</v>
      </c>
      <c r="CL144" s="16">
        <v>-9999</v>
      </c>
      <c r="CM144" s="16">
        <v>-9999</v>
      </c>
      <c r="CN144" s="16">
        <v>613.41</v>
      </c>
      <c r="CO144" s="16">
        <v>627.92700000000002</v>
      </c>
      <c r="CP144" s="16">
        <v>640.40700000000004</v>
      </c>
      <c r="CQ144" s="16">
        <v>690.64820996399999</v>
      </c>
      <c r="CR144" s="16">
        <v>723.0952081922137</v>
      </c>
      <c r="CS144" s="16">
        <v>-9999</v>
      </c>
      <c r="CT144" s="16">
        <v>-9999</v>
      </c>
      <c r="CU144" s="16">
        <v>-9999</v>
      </c>
      <c r="CV144" s="16">
        <v>-9999</v>
      </c>
      <c r="CW144" s="16">
        <v>-9999</v>
      </c>
      <c r="CX144" s="16">
        <v>-9999</v>
      </c>
      <c r="CY144" s="16">
        <v>-9999</v>
      </c>
      <c r="CZ144" s="16">
        <v>-9999</v>
      </c>
      <c r="DA144" s="16">
        <v>638.101</v>
      </c>
      <c r="DB144" s="16">
        <v>646.49900000000002</v>
      </c>
      <c r="DC144" s="16">
        <v>695.80857777829999</v>
      </c>
      <c r="DD144" s="16">
        <v>732.9520364508594</v>
      </c>
      <c r="DE144" s="16">
        <v>763.39730285719065</v>
      </c>
      <c r="DF144" s="16">
        <v>-9999</v>
      </c>
      <c r="DG144" s="16">
        <v>-9999</v>
      </c>
      <c r="DH144" s="16">
        <v>-9999</v>
      </c>
      <c r="DI144" s="16">
        <v>-9999</v>
      </c>
      <c r="DJ144" s="16">
        <v>-9999</v>
      </c>
      <c r="DK144" s="16">
        <v>-9999</v>
      </c>
      <c r="DL144" s="16">
        <v>-9999</v>
      </c>
      <c r="DM144" s="16">
        <v>-9999</v>
      </c>
      <c r="DN144" s="16">
        <v>638.101</v>
      </c>
      <c r="DO144" s="16">
        <v>646.49900000000002</v>
      </c>
      <c r="DP144" s="16">
        <v>695.80857777829999</v>
      </c>
      <c r="DQ144" s="16">
        <v>732.9520364508594</v>
      </c>
      <c r="DR144" s="16">
        <v>763.39730285719065</v>
      </c>
      <c r="DS144" s="16">
        <v>-9999</v>
      </c>
      <c r="DT144" s="16">
        <v>-9999</v>
      </c>
      <c r="DU144" s="16">
        <v>-9999</v>
      </c>
      <c r="DV144" s="16">
        <v>-9999</v>
      </c>
      <c r="DW144" s="16">
        <v>-9999</v>
      </c>
      <c r="DX144" s="16">
        <v>-9999</v>
      </c>
      <c r="DY144" s="16">
        <v>-9999</v>
      </c>
      <c r="DZ144" s="16">
        <v>-9999</v>
      </c>
      <c r="EA144" s="2256">
        <v>638.101</v>
      </c>
      <c r="EB144" s="2256">
        <v>646.49900000000002</v>
      </c>
      <c r="EC144" s="2256">
        <v>695.80857777829999</v>
      </c>
      <c r="ED144" s="2256">
        <v>732.9520364508594</v>
      </c>
      <c r="EE144" s="2256">
        <v>763.39730285719065</v>
      </c>
      <c r="EF144" s="2257">
        <v>-9999</v>
      </c>
      <c r="EG144" s="2257">
        <v>-9999</v>
      </c>
      <c r="EH144" s="2257">
        <v>-9999</v>
      </c>
      <c r="EI144" s="2257">
        <v>-9999</v>
      </c>
      <c r="EJ144" s="2257">
        <v>-9999</v>
      </c>
      <c r="EK144" s="2257">
        <v>-9999</v>
      </c>
      <c r="EL144" s="2257">
        <v>-9999</v>
      </c>
      <c r="EM144" s="2257">
        <v>-9999</v>
      </c>
    </row>
    <row r="145" spans="1:143" ht="13.15">
      <c r="A145" s="22">
        <v>45</v>
      </c>
      <c r="B145" s="29" t="s">
        <v>600</v>
      </c>
      <c r="C145" s="24">
        <f ca="1">OFFSET('VVP2'!F310,0,Last_forecast_year - 3-InputY!$G$3)</f>
        <v>1213.4359999999999</v>
      </c>
      <c r="D145" s="24">
        <f ca="1">OFFSET('VVP2'!G310,0,Last_forecast_year - 3-InputY!$G$3)</f>
        <v>1321.5070000000001</v>
      </c>
      <c r="E145" s="24">
        <f ca="1">OFFSET('VVP2'!H310,0,Last_forecast_year - 3-InputY!$G$3)</f>
        <v>1459.7183954034003</v>
      </c>
      <c r="F145" s="24">
        <f ca="1">OFFSET('VVP2'!I310,0,Last_forecast_year - 3-InputY!$G$3)</f>
        <v>1549.652463186505</v>
      </c>
      <c r="G145" s="24">
        <f ca="1">OFFSET('VVP2'!J310,0,Last_forecast_year - 3-InputY!$G$3)</f>
        <v>1619.2550415844285</v>
      </c>
      <c r="H145" s="25">
        <v>-9999</v>
      </c>
      <c r="I145" s="25">
        <v>-9999</v>
      </c>
      <c r="J145" s="25">
        <v>-9999</v>
      </c>
      <c r="K145" s="25">
        <v>-9999</v>
      </c>
      <c r="L145" s="25">
        <v>-9999</v>
      </c>
      <c r="M145" s="25">
        <v>-9999</v>
      </c>
      <c r="N145" s="25">
        <v>-9999</v>
      </c>
      <c r="O145" s="25">
        <v>-9999</v>
      </c>
      <c r="P145" s="32"/>
      <c r="Q145"/>
      <c r="AA145" s="22">
        <v>45</v>
      </c>
      <c r="AB145" s="1080" t="str">
        <f t="shared" si="3"/>
        <v>VAL. IMPORTS OF GOODS (FOB)</v>
      </c>
      <c r="AC145" s="1080">
        <f>CHOOSE(Tables!$U$2,Transfer!CA145,Transfer!CN145,Transfer!DA145,Transfer!DN145,Transfer!EA145)</f>
        <v>1172.4559999999999</v>
      </c>
      <c r="AD145" s="1080">
        <f>CHOOSE(Tables!$U$2,Transfer!CB145,Transfer!CO145,Transfer!DB145,Transfer!DO145,Transfer!EB145)</f>
        <v>1202.972</v>
      </c>
      <c r="AE145" s="1080">
        <f>CHOOSE(Tables!$U$2,Transfer!CC145,Transfer!CP145,Transfer!DC145,Transfer!DP145,Transfer!EC145)</f>
        <v>1311.135</v>
      </c>
      <c r="AF145" s="1080">
        <f>CHOOSE(Tables!$U$2,Transfer!CD145,Transfer!CQ145,Transfer!DD145,Transfer!DQ145,Transfer!ED145)</f>
        <v>1439.4733516589997</v>
      </c>
      <c r="AG145" s="1080">
        <f>CHOOSE(Tables!$U$2,Transfer!CE145,Transfer!CR145,Transfer!DE145,Transfer!DR145,Transfer!EE145)</f>
        <v>1516.2072136685508</v>
      </c>
      <c r="AH145" s="1080">
        <f>CHOOSE(Tables!$U$2,Transfer!CF145,Transfer!CS145,Transfer!DF145,Transfer!DS145,Transfer!EF145)</f>
        <v>-9999</v>
      </c>
      <c r="AI145" s="1080">
        <f>CHOOSE(Tables!$U$2,Transfer!CG145,Transfer!CT145,Transfer!DG145,Transfer!DT145,Transfer!EG145)</f>
        <v>-9999</v>
      </c>
      <c r="AJ145" s="1080">
        <f>CHOOSE(Tables!$U$2,Transfer!CH145,Transfer!CU145,Transfer!DH145,Transfer!DU145,Transfer!EH145)</f>
        <v>-9999</v>
      </c>
      <c r="AK145" s="1080">
        <f>CHOOSE(Tables!$U$2,Transfer!CI145,Transfer!CV145,Transfer!DI145,Transfer!DV145,Transfer!EI145)</f>
        <v>-9999</v>
      </c>
      <c r="AL145" s="1080">
        <f>CHOOSE(Tables!$U$2,Transfer!CJ145,Transfer!CW145,Transfer!DJ145,Transfer!DW145,Transfer!EJ145)</f>
        <v>-9999</v>
      </c>
      <c r="AM145" s="1080">
        <f>CHOOSE(Tables!$U$2,Transfer!CK145,Transfer!CX145,Transfer!DK145,Transfer!DX145,Transfer!EK145)</f>
        <v>-9999</v>
      </c>
      <c r="AN145" s="1080">
        <f>CHOOSE(Tables!$U$2,Transfer!CL145,Transfer!CY145,Transfer!DL145,Transfer!DY145,Transfer!EL145)</f>
        <v>-9999</v>
      </c>
      <c r="AO145" s="1080">
        <f>CHOOSE(Tables!$U$2,Transfer!CM145,Transfer!CZ145,Transfer!DM145,Transfer!DZ145,Transfer!EM145)</f>
        <v>-9999</v>
      </c>
      <c r="AR145" s="22">
        <v>45</v>
      </c>
      <c r="AS145" s="29" t="s">
        <v>600</v>
      </c>
      <c r="AT145" s="24">
        <f t="shared" ca="1" si="5"/>
        <v>40.980000000000018</v>
      </c>
      <c r="AU145" s="24">
        <f t="shared" ca="1" si="5"/>
        <v>118.53500000000008</v>
      </c>
      <c r="AV145" s="24">
        <f t="shared" ca="1" si="5"/>
        <v>148.58339540340035</v>
      </c>
      <c r="AW145" s="24">
        <f t="shared" ca="1" si="5"/>
        <v>110.17911152750526</v>
      </c>
      <c r="AX145" s="24">
        <f t="shared" ca="1" si="5"/>
        <v>103.04782791587763</v>
      </c>
      <c r="AY145" s="25">
        <f t="shared" si="5"/>
        <v>0</v>
      </c>
      <c r="AZ145" s="25">
        <f t="shared" si="5"/>
        <v>0</v>
      </c>
      <c r="BA145" s="25">
        <f t="shared" si="5"/>
        <v>0</v>
      </c>
      <c r="BB145" s="25">
        <f t="shared" si="5"/>
        <v>0</v>
      </c>
      <c r="BC145" s="25">
        <f t="shared" si="5"/>
        <v>0</v>
      </c>
      <c r="BD145" s="25">
        <f t="shared" si="5"/>
        <v>0</v>
      </c>
      <c r="BE145" s="25">
        <f t="shared" si="5"/>
        <v>0</v>
      </c>
      <c r="BF145" s="25">
        <f t="shared" si="5"/>
        <v>0</v>
      </c>
      <c r="CA145" s="16">
        <v>1213.4359999999999</v>
      </c>
      <c r="CB145" s="16">
        <v>1321.5070000000001</v>
      </c>
      <c r="CC145" s="16">
        <v>1459.7183954034003</v>
      </c>
      <c r="CD145" s="16">
        <v>1549.652463186505</v>
      </c>
      <c r="CE145" s="16">
        <v>1619.2550415844285</v>
      </c>
      <c r="CF145" s="16">
        <v>-9999</v>
      </c>
      <c r="CG145" s="16">
        <v>-9999</v>
      </c>
      <c r="CH145" s="16">
        <v>-9999</v>
      </c>
      <c r="CI145" s="16">
        <v>-9999</v>
      </c>
      <c r="CJ145" s="16">
        <v>-9999</v>
      </c>
      <c r="CK145" s="16">
        <v>-9999</v>
      </c>
      <c r="CL145" s="16">
        <v>-9999</v>
      </c>
      <c r="CM145" s="16">
        <v>-9999</v>
      </c>
      <c r="CN145" s="16">
        <v>1172.4559999999999</v>
      </c>
      <c r="CO145" s="16">
        <v>1202.972</v>
      </c>
      <c r="CP145" s="16">
        <v>1311.135</v>
      </c>
      <c r="CQ145" s="16">
        <v>1439.4733516589997</v>
      </c>
      <c r="CR145" s="16">
        <v>1516.2072136685508</v>
      </c>
      <c r="CS145" s="16">
        <v>-9999</v>
      </c>
      <c r="CT145" s="16">
        <v>-9999</v>
      </c>
      <c r="CU145" s="16">
        <v>-9999</v>
      </c>
      <c r="CV145" s="16">
        <v>-9999</v>
      </c>
      <c r="CW145" s="16">
        <v>-9999</v>
      </c>
      <c r="CX145" s="16">
        <v>-9999</v>
      </c>
      <c r="CY145" s="16">
        <v>-9999</v>
      </c>
      <c r="CZ145" s="16">
        <v>-9999</v>
      </c>
      <c r="DA145" s="16">
        <v>1213.4359999999999</v>
      </c>
      <c r="DB145" s="16">
        <v>1321.5070000000001</v>
      </c>
      <c r="DC145" s="16">
        <v>1459.7183954034003</v>
      </c>
      <c r="DD145" s="16">
        <v>1549.652463186505</v>
      </c>
      <c r="DE145" s="16">
        <v>1619.2550415844285</v>
      </c>
      <c r="DF145" s="16">
        <v>-9999</v>
      </c>
      <c r="DG145" s="16">
        <v>-9999</v>
      </c>
      <c r="DH145" s="16">
        <v>-9999</v>
      </c>
      <c r="DI145" s="16">
        <v>-9999</v>
      </c>
      <c r="DJ145" s="16">
        <v>-9999</v>
      </c>
      <c r="DK145" s="16">
        <v>-9999</v>
      </c>
      <c r="DL145" s="16">
        <v>-9999</v>
      </c>
      <c r="DM145" s="16">
        <v>-9999</v>
      </c>
      <c r="DN145" s="16">
        <v>1213.4359999999999</v>
      </c>
      <c r="DO145" s="16">
        <v>1321.5070000000001</v>
      </c>
      <c r="DP145" s="16">
        <v>1458.4552990128</v>
      </c>
      <c r="DQ145" s="16">
        <v>1551.0268987956481</v>
      </c>
      <c r="DR145" s="16">
        <v>1620.6912099139784</v>
      </c>
      <c r="DS145" s="16">
        <v>-9999</v>
      </c>
      <c r="DT145" s="16">
        <v>-9999</v>
      </c>
      <c r="DU145" s="16">
        <v>-9999</v>
      </c>
      <c r="DV145" s="16">
        <v>-9999</v>
      </c>
      <c r="DW145" s="16">
        <v>-9999</v>
      </c>
      <c r="DX145" s="16">
        <v>-9999</v>
      </c>
      <c r="DY145" s="16">
        <v>-9999</v>
      </c>
      <c r="DZ145" s="16">
        <v>-9999</v>
      </c>
      <c r="EA145" s="2256">
        <v>1213.4359999999999</v>
      </c>
      <c r="EB145" s="2256">
        <v>1321.5070000000001</v>
      </c>
      <c r="EC145" s="2256">
        <v>1459.7183954034003</v>
      </c>
      <c r="ED145" s="2256">
        <v>1549.652463186505</v>
      </c>
      <c r="EE145" s="2256">
        <v>1619.2550415844285</v>
      </c>
      <c r="EF145" s="2257">
        <v>-9999</v>
      </c>
      <c r="EG145" s="2257">
        <v>-9999</v>
      </c>
      <c r="EH145" s="2257">
        <v>-9999</v>
      </c>
      <c r="EI145" s="2257">
        <v>-9999</v>
      </c>
      <c r="EJ145" s="2257">
        <v>-9999</v>
      </c>
      <c r="EK145" s="2257">
        <v>-9999</v>
      </c>
      <c r="EL145" s="2257">
        <v>-9999</v>
      </c>
      <c r="EM145" s="2257">
        <v>-9999</v>
      </c>
    </row>
    <row r="146" spans="1:143" ht="12" customHeight="1">
      <c r="A146" s="22">
        <v>46</v>
      </c>
      <c r="B146" s="29" t="s">
        <v>601</v>
      </c>
      <c r="C146" s="24">
        <f ca="1">OFFSET('VVP2'!F309,0,Last_forecast_year - 3-InputY!$G$3)</f>
        <v>539.59299999999996</v>
      </c>
      <c r="D146" s="24">
        <f ca="1">OFFSET('VVP2'!G309,0,Last_forecast_year - 3-InputY!$G$3)</f>
        <v>586.07100000000003</v>
      </c>
      <c r="E146" s="24">
        <f ca="1">OFFSET('VVP2'!H309,0,Last_forecast_year - 3-InputY!$G$3)</f>
        <v>639.57898926450014</v>
      </c>
      <c r="F146" s="24">
        <f ca="1">OFFSET('VVP2'!I309,0,Last_forecast_year - 3-InputY!$G$3)</f>
        <v>678.19866179009898</v>
      </c>
      <c r="G146" s="24">
        <f ca="1">OFFSET('VVP2'!J309,0,Last_forecast_year - 3-InputY!$G$3)</f>
        <v>710.81835583548138</v>
      </c>
      <c r="H146" s="25">
        <v>-9999</v>
      </c>
      <c r="I146" s="25">
        <v>-9999</v>
      </c>
      <c r="J146" s="25">
        <v>-9999</v>
      </c>
      <c r="K146" s="25">
        <v>-9999</v>
      </c>
      <c r="L146" s="25">
        <v>-9999</v>
      </c>
      <c r="M146" s="25">
        <v>-9999</v>
      </c>
      <c r="N146" s="25">
        <v>-9999</v>
      </c>
      <c r="O146" s="25">
        <v>-9999</v>
      </c>
      <c r="P146" s="32"/>
      <c r="Q146"/>
      <c r="AA146" s="22">
        <v>46</v>
      </c>
      <c r="AB146" s="1080" t="str">
        <f t="shared" si="3"/>
        <v>VAL. IMPORTS OF SERVICES</v>
      </c>
      <c r="AC146" s="1080">
        <f>CHOOSE(Tables!$U$2,Transfer!CA146,Transfer!CN146,Transfer!DA146,Transfer!DN146,Transfer!EA146)</f>
        <v>536.44899999999996</v>
      </c>
      <c r="AD146" s="1080">
        <f>CHOOSE(Tables!$U$2,Transfer!CB146,Transfer!CO146,Transfer!DB146,Transfer!DO146,Transfer!EB146)</f>
        <v>534.03499999999997</v>
      </c>
      <c r="AE146" s="1080">
        <f>CHOOSE(Tables!$U$2,Transfer!CC146,Transfer!CP146,Transfer!DC146,Transfer!DP146,Transfer!EC146)</f>
        <v>582.55600000000004</v>
      </c>
      <c r="AF146" s="1080">
        <f>CHOOSE(Tables!$U$2,Transfer!CD146,Transfer!CQ146,Transfer!DD146,Transfer!DQ146,Transfer!ED146)</f>
        <v>628.26916932000006</v>
      </c>
      <c r="AG146" s="1080">
        <f>CHOOSE(Tables!$U$2,Transfer!CE146,Transfer!CR146,Transfer!DE146,Transfer!DR146,Transfer!EE146)</f>
        <v>661.40609577127861</v>
      </c>
      <c r="AH146" s="1080">
        <f>CHOOSE(Tables!$U$2,Transfer!CF146,Transfer!CS146,Transfer!DF146,Transfer!DS146,Transfer!EF146)</f>
        <v>-9999</v>
      </c>
      <c r="AI146" s="1080">
        <f>CHOOSE(Tables!$U$2,Transfer!CG146,Transfer!CT146,Transfer!DG146,Transfer!DT146,Transfer!EG146)</f>
        <v>-9999</v>
      </c>
      <c r="AJ146" s="1080">
        <f>CHOOSE(Tables!$U$2,Transfer!CH146,Transfer!CU146,Transfer!DH146,Transfer!DU146,Transfer!EH146)</f>
        <v>-9999</v>
      </c>
      <c r="AK146" s="1080">
        <f>CHOOSE(Tables!$U$2,Transfer!CI146,Transfer!CV146,Transfer!DI146,Transfer!DV146,Transfer!EI146)</f>
        <v>-9999</v>
      </c>
      <c r="AL146" s="1080">
        <f>CHOOSE(Tables!$U$2,Transfer!CJ146,Transfer!CW146,Transfer!DJ146,Transfer!DW146,Transfer!EJ146)</f>
        <v>-9999</v>
      </c>
      <c r="AM146" s="1080">
        <f>CHOOSE(Tables!$U$2,Transfer!CK146,Transfer!CX146,Transfer!DK146,Transfer!DX146,Transfer!EK146)</f>
        <v>-9999</v>
      </c>
      <c r="AN146" s="1080">
        <f>CHOOSE(Tables!$U$2,Transfer!CL146,Transfer!CY146,Transfer!DL146,Transfer!DY146,Transfer!EL146)</f>
        <v>-9999</v>
      </c>
      <c r="AO146" s="1080">
        <f>CHOOSE(Tables!$U$2,Transfer!CM146,Transfer!CZ146,Transfer!DM146,Transfer!DZ146,Transfer!EM146)</f>
        <v>-9999</v>
      </c>
      <c r="AR146" s="22">
        <v>46</v>
      </c>
      <c r="AS146" s="29" t="s">
        <v>601</v>
      </c>
      <c r="AT146" s="24">
        <f t="shared" ref="AT146:BF165" ca="1" si="6">C146-AC146</f>
        <v>3.1440000000000055</v>
      </c>
      <c r="AU146" s="24">
        <f t="shared" ca="1" si="6"/>
        <v>52.036000000000058</v>
      </c>
      <c r="AV146" s="24">
        <f t="shared" ca="1" si="6"/>
        <v>57.022989264500097</v>
      </c>
      <c r="AW146" s="24">
        <f t="shared" ca="1" si="6"/>
        <v>49.929492470098921</v>
      </c>
      <c r="AX146" s="24">
        <f t="shared" ca="1" si="6"/>
        <v>49.412260064202769</v>
      </c>
      <c r="AY146" s="25">
        <f t="shared" si="6"/>
        <v>0</v>
      </c>
      <c r="AZ146" s="25">
        <f t="shared" si="6"/>
        <v>0</v>
      </c>
      <c r="BA146" s="25">
        <f t="shared" si="6"/>
        <v>0</v>
      </c>
      <c r="BB146" s="25">
        <f t="shared" si="6"/>
        <v>0</v>
      </c>
      <c r="BC146" s="25">
        <f t="shared" si="6"/>
        <v>0</v>
      </c>
      <c r="BD146" s="25">
        <f t="shared" si="6"/>
        <v>0</v>
      </c>
      <c r="BE146" s="25">
        <f t="shared" si="6"/>
        <v>0</v>
      </c>
      <c r="BF146" s="25">
        <f t="shared" si="6"/>
        <v>0</v>
      </c>
      <c r="CA146" s="16">
        <v>539.59299999999996</v>
      </c>
      <c r="CB146" s="16">
        <v>586.07100000000003</v>
      </c>
      <c r="CC146" s="16">
        <v>639.57898926450014</v>
      </c>
      <c r="CD146" s="16">
        <v>678.19866179009898</v>
      </c>
      <c r="CE146" s="16">
        <v>710.81835583548138</v>
      </c>
      <c r="CF146" s="16">
        <v>-9999</v>
      </c>
      <c r="CG146" s="16">
        <v>-9999</v>
      </c>
      <c r="CH146" s="16">
        <v>-9999</v>
      </c>
      <c r="CI146" s="16">
        <v>-9999</v>
      </c>
      <c r="CJ146" s="16">
        <v>-9999</v>
      </c>
      <c r="CK146" s="16">
        <v>-9999</v>
      </c>
      <c r="CL146" s="16">
        <v>-9999</v>
      </c>
      <c r="CM146" s="16">
        <v>-9999</v>
      </c>
      <c r="CN146" s="16">
        <v>536.44899999999996</v>
      </c>
      <c r="CO146" s="16">
        <v>534.03499999999997</v>
      </c>
      <c r="CP146" s="16">
        <v>582.55600000000004</v>
      </c>
      <c r="CQ146" s="16">
        <v>628.26916932000006</v>
      </c>
      <c r="CR146" s="16">
        <v>661.40609577127861</v>
      </c>
      <c r="CS146" s="16">
        <v>-9999</v>
      </c>
      <c r="CT146" s="16">
        <v>-9999</v>
      </c>
      <c r="CU146" s="16">
        <v>-9999</v>
      </c>
      <c r="CV146" s="16">
        <v>-9999</v>
      </c>
      <c r="CW146" s="16">
        <v>-9999</v>
      </c>
      <c r="CX146" s="16">
        <v>-9999</v>
      </c>
      <c r="CY146" s="16">
        <v>-9999</v>
      </c>
      <c r="CZ146" s="16">
        <v>-9999</v>
      </c>
      <c r="DA146" s="16">
        <v>539.59299999999996</v>
      </c>
      <c r="DB146" s="16">
        <v>586.07100000000003</v>
      </c>
      <c r="DC146" s="16">
        <v>639.57898926450014</v>
      </c>
      <c r="DD146" s="16">
        <v>678.19866179009898</v>
      </c>
      <c r="DE146" s="16">
        <v>710.81835583548138</v>
      </c>
      <c r="DF146" s="16">
        <v>-9999</v>
      </c>
      <c r="DG146" s="16">
        <v>-9999</v>
      </c>
      <c r="DH146" s="16">
        <v>-9999</v>
      </c>
      <c r="DI146" s="16">
        <v>-9999</v>
      </c>
      <c r="DJ146" s="16">
        <v>-9999</v>
      </c>
      <c r="DK146" s="16">
        <v>-9999</v>
      </c>
      <c r="DL146" s="16">
        <v>-9999</v>
      </c>
      <c r="DM146" s="16">
        <v>-9999</v>
      </c>
      <c r="DN146" s="16">
        <v>539.59299999999996</v>
      </c>
      <c r="DO146" s="16">
        <v>586.07100000000003</v>
      </c>
      <c r="DP146" s="16">
        <v>639.57898926450014</v>
      </c>
      <c r="DQ146" s="16">
        <v>678.06675501935297</v>
      </c>
      <c r="DR146" s="16">
        <v>710.68010467223405</v>
      </c>
      <c r="DS146" s="16">
        <v>-9999</v>
      </c>
      <c r="DT146" s="16">
        <v>-9999</v>
      </c>
      <c r="DU146" s="16">
        <v>-9999</v>
      </c>
      <c r="DV146" s="16">
        <v>-9999</v>
      </c>
      <c r="DW146" s="16">
        <v>-9999</v>
      </c>
      <c r="DX146" s="16">
        <v>-9999</v>
      </c>
      <c r="DY146" s="16">
        <v>-9999</v>
      </c>
      <c r="DZ146" s="16">
        <v>-9999</v>
      </c>
      <c r="EA146" s="2256">
        <v>539.59299999999996</v>
      </c>
      <c r="EB146" s="2256">
        <v>586.07100000000003</v>
      </c>
      <c r="EC146" s="2256">
        <v>639.57898926450014</v>
      </c>
      <c r="ED146" s="2256">
        <v>678.19866179009898</v>
      </c>
      <c r="EE146" s="2256">
        <v>710.81835583548138</v>
      </c>
      <c r="EF146" s="2257">
        <v>-9999</v>
      </c>
      <c r="EG146" s="2257">
        <v>-9999</v>
      </c>
      <c r="EH146" s="2257">
        <v>-9999</v>
      </c>
      <c r="EI146" s="2257">
        <v>-9999</v>
      </c>
      <c r="EJ146" s="2257">
        <v>-9999</v>
      </c>
      <c r="EK146" s="2257">
        <v>-9999</v>
      </c>
      <c r="EL146" s="2257">
        <v>-9999</v>
      </c>
      <c r="EM146" s="2257">
        <v>-9999</v>
      </c>
    </row>
    <row r="147" spans="1:143" ht="13.15">
      <c r="A147" s="22">
        <v>47</v>
      </c>
      <c r="B147" s="1" t="s">
        <v>603</v>
      </c>
      <c r="C147" s="1389">
        <f ca="1">OFFSET('VVP2'!F341,0,Last_forecast_year - 3-InputY!$G$3)</f>
        <v>4385.4970000000003</v>
      </c>
      <c r="D147" s="1389">
        <f ca="1">OFFSET('VVP2'!G341,0,Last_forecast_year - 3-InputY!$G$3)</f>
        <v>4578.8990000000003</v>
      </c>
      <c r="E147" s="1389">
        <f ca="1">OFFSET('VVP2'!H341,0,Last_forecast_year - 3-InputY!$G$3)</f>
        <v>4803.175142808399</v>
      </c>
      <c r="F147" s="1389">
        <f ca="1">OFFSET('VVP2'!I341,0,Last_forecast_year - 3-InputY!$G$3)</f>
        <v>4984.7963994590627</v>
      </c>
      <c r="G147" s="1389">
        <f ca="1">OFFSET('VVP2'!J341,0,Last_forecast_year - 3-InputY!$G$3)</f>
        <v>5161.5156149911854</v>
      </c>
      <c r="H147" s="25">
        <v>-9999</v>
      </c>
      <c r="I147" s="25">
        <v>-9999</v>
      </c>
      <c r="J147" s="25">
        <v>-9999</v>
      </c>
      <c r="K147" s="25">
        <v>-9999</v>
      </c>
      <c r="L147" s="25">
        <v>-9999</v>
      </c>
      <c r="M147" s="25">
        <v>-9999</v>
      </c>
      <c r="N147" s="25">
        <v>-9999</v>
      </c>
      <c r="O147" s="25">
        <v>-9999</v>
      </c>
      <c r="P147" s="32"/>
      <c r="Q147"/>
      <c r="AA147" s="22">
        <v>47</v>
      </c>
      <c r="AB147" s="1080" t="str">
        <f t="shared" si="3"/>
        <v>VAL. GROSS DOMESTIC PRODUCT</v>
      </c>
      <c r="AC147" s="1080">
        <f>CHOOSE(Tables!$U$2,Transfer!CA147,Transfer!CN147,Transfer!DA147,Transfer!DN147,Transfer!EA147)</f>
        <v>4199.8599999999997</v>
      </c>
      <c r="AD147" s="1080">
        <f>CHOOSE(Tables!$U$2,Transfer!CB147,Transfer!CO147,Transfer!DB147,Transfer!DO147,Transfer!EB147)</f>
        <v>4404.8019999999997</v>
      </c>
      <c r="AE147" s="1080">
        <f>CHOOSE(Tables!$U$2,Transfer!CC147,Transfer!CP147,Transfer!DC147,Transfer!DP147,Transfer!EC147)</f>
        <v>4604.2049999999999</v>
      </c>
      <c r="AF147" s="1080">
        <f>CHOOSE(Tables!$U$2,Transfer!CD147,Transfer!CQ147,Transfer!DD147,Transfer!DQ147,Transfer!ED147)</f>
        <v>4824.3339828569297</v>
      </c>
      <c r="AG147" s="1080">
        <f>CHOOSE(Tables!$U$2,Transfer!CE147,Transfer!CR147,Transfer!DE147,Transfer!DR147,Transfer!EE147)</f>
        <v>5034.0168793695402</v>
      </c>
      <c r="AH147" s="1080">
        <f>CHOOSE(Tables!$U$2,Transfer!CF147,Transfer!CS147,Transfer!DF147,Transfer!DS147,Transfer!EF147)</f>
        <v>-9999</v>
      </c>
      <c r="AI147" s="1080">
        <f>CHOOSE(Tables!$U$2,Transfer!CG147,Transfer!CT147,Transfer!DG147,Transfer!DT147,Transfer!EG147)</f>
        <v>-9999</v>
      </c>
      <c r="AJ147" s="1080">
        <f>CHOOSE(Tables!$U$2,Transfer!CH147,Transfer!CU147,Transfer!DH147,Transfer!DU147,Transfer!EH147)</f>
        <v>-9999</v>
      </c>
      <c r="AK147" s="1080">
        <f>CHOOSE(Tables!$U$2,Transfer!CI147,Transfer!CV147,Transfer!DI147,Transfer!DV147,Transfer!EI147)</f>
        <v>-9999</v>
      </c>
      <c r="AL147" s="1080">
        <f>CHOOSE(Tables!$U$2,Transfer!CJ147,Transfer!CW147,Transfer!DJ147,Transfer!DW147,Transfer!EJ147)</f>
        <v>-9999</v>
      </c>
      <c r="AM147" s="1080">
        <f>CHOOSE(Tables!$U$2,Transfer!CK147,Transfer!CX147,Transfer!DK147,Transfer!DX147,Transfer!EK147)</f>
        <v>-9999</v>
      </c>
      <c r="AN147" s="1080">
        <f>CHOOSE(Tables!$U$2,Transfer!CL147,Transfer!CY147,Transfer!DL147,Transfer!DY147,Transfer!EL147)</f>
        <v>-9999</v>
      </c>
      <c r="AO147" s="1080">
        <f>CHOOSE(Tables!$U$2,Transfer!CM147,Transfer!CZ147,Transfer!DM147,Transfer!DZ147,Transfer!EM147)</f>
        <v>-9999</v>
      </c>
      <c r="AR147" s="22">
        <v>47</v>
      </c>
      <c r="AS147" s="1" t="s">
        <v>603</v>
      </c>
      <c r="AT147" s="1389">
        <f t="shared" ca="1" si="6"/>
        <v>185.63700000000063</v>
      </c>
      <c r="AU147" s="1389">
        <f t="shared" ca="1" si="6"/>
        <v>174.09700000000066</v>
      </c>
      <c r="AV147" s="1389">
        <f t="shared" ca="1" si="6"/>
        <v>198.97014280839903</v>
      </c>
      <c r="AW147" s="1389">
        <f t="shared" ca="1" si="6"/>
        <v>160.46241660213309</v>
      </c>
      <c r="AX147" s="1389">
        <f t="shared" ca="1" si="6"/>
        <v>127.49873562164521</v>
      </c>
      <c r="AY147" s="25">
        <f t="shared" si="6"/>
        <v>0</v>
      </c>
      <c r="AZ147" s="25">
        <f t="shared" si="6"/>
        <v>0</v>
      </c>
      <c r="BA147" s="25">
        <f t="shared" si="6"/>
        <v>0</v>
      </c>
      <c r="BB147" s="25">
        <f t="shared" si="6"/>
        <v>0</v>
      </c>
      <c r="BC147" s="25">
        <f t="shared" si="6"/>
        <v>0</v>
      </c>
      <c r="BD147" s="25">
        <f t="shared" si="6"/>
        <v>0</v>
      </c>
      <c r="BE147" s="25">
        <f t="shared" si="6"/>
        <v>0</v>
      </c>
      <c r="BF147" s="25">
        <f t="shared" si="6"/>
        <v>0</v>
      </c>
      <c r="CA147" s="16">
        <v>4385.4970000000003</v>
      </c>
      <c r="CB147" s="16">
        <v>4578.8990000000003</v>
      </c>
      <c r="CC147" s="16">
        <v>4803.175142808399</v>
      </c>
      <c r="CD147" s="16">
        <v>4984.7963994590627</v>
      </c>
      <c r="CE147" s="16">
        <v>5161.5156149911854</v>
      </c>
      <c r="CF147" s="16">
        <v>-9999</v>
      </c>
      <c r="CG147" s="16">
        <v>-9999</v>
      </c>
      <c r="CH147" s="16">
        <v>-9999</v>
      </c>
      <c r="CI147" s="16">
        <v>-9999</v>
      </c>
      <c r="CJ147" s="16">
        <v>-9999</v>
      </c>
      <c r="CK147" s="16">
        <v>-9999</v>
      </c>
      <c r="CL147" s="16">
        <v>-9999</v>
      </c>
      <c r="CM147" s="16">
        <v>-9999</v>
      </c>
      <c r="CN147" s="16">
        <v>4199.8599999999997</v>
      </c>
      <c r="CO147" s="16">
        <v>4404.8019999999997</v>
      </c>
      <c r="CP147" s="16">
        <v>4604.2049999999999</v>
      </c>
      <c r="CQ147" s="16">
        <v>4824.3339828569297</v>
      </c>
      <c r="CR147" s="16">
        <v>5034.0168793695402</v>
      </c>
      <c r="CS147" s="16">
        <v>-9999</v>
      </c>
      <c r="CT147" s="16">
        <v>-9999</v>
      </c>
      <c r="CU147" s="16">
        <v>-9999</v>
      </c>
      <c r="CV147" s="16">
        <v>-9999</v>
      </c>
      <c r="CW147" s="16">
        <v>-9999</v>
      </c>
      <c r="CX147" s="16">
        <v>-9999</v>
      </c>
      <c r="CY147" s="16">
        <v>-9999</v>
      </c>
      <c r="CZ147" s="16">
        <v>-9999</v>
      </c>
      <c r="DA147" s="16">
        <v>4385.4970000000003</v>
      </c>
      <c r="DB147" s="16">
        <v>4578.8990000000003</v>
      </c>
      <c r="DC147" s="16">
        <v>4803.3233320623995</v>
      </c>
      <c r="DD147" s="16">
        <v>4984.4803365953931</v>
      </c>
      <c r="DE147" s="16">
        <v>5161.048826539306</v>
      </c>
      <c r="DF147" s="16">
        <v>-9999</v>
      </c>
      <c r="DG147" s="16">
        <v>-9999</v>
      </c>
      <c r="DH147" s="16">
        <v>-9999</v>
      </c>
      <c r="DI147" s="16">
        <v>-9999</v>
      </c>
      <c r="DJ147" s="16">
        <v>-9999</v>
      </c>
      <c r="DK147" s="16">
        <v>-9999</v>
      </c>
      <c r="DL147" s="16">
        <v>-9999</v>
      </c>
      <c r="DM147" s="16">
        <v>-9999</v>
      </c>
      <c r="DN147" s="16">
        <v>4385.4970000000003</v>
      </c>
      <c r="DO147" s="16">
        <v>4578.8990000000003</v>
      </c>
      <c r="DP147" s="16">
        <v>4803.3807745623999</v>
      </c>
      <c r="DQ147" s="16">
        <v>4984.162283408541</v>
      </c>
      <c r="DR147" s="16">
        <v>5138.4669952379081</v>
      </c>
      <c r="DS147" s="16">
        <v>-9999</v>
      </c>
      <c r="DT147" s="16">
        <v>-9999</v>
      </c>
      <c r="DU147" s="16">
        <v>-9999</v>
      </c>
      <c r="DV147" s="16">
        <v>-9999</v>
      </c>
      <c r="DW147" s="16">
        <v>-9999</v>
      </c>
      <c r="DX147" s="16">
        <v>-9999</v>
      </c>
      <c r="DY147" s="16">
        <v>-9999</v>
      </c>
      <c r="DZ147" s="16">
        <v>-9999</v>
      </c>
      <c r="EA147" s="2256">
        <v>4385.4970000000003</v>
      </c>
      <c r="EB147" s="2256">
        <v>4578.8990000000003</v>
      </c>
      <c r="EC147" s="2256">
        <v>4803.175142808399</v>
      </c>
      <c r="ED147" s="2256">
        <v>4984.7963994590627</v>
      </c>
      <c r="EE147" s="2256">
        <v>5161.5156149911854</v>
      </c>
      <c r="EF147" s="2257">
        <v>-9999</v>
      </c>
      <c r="EG147" s="2257">
        <v>-9999</v>
      </c>
      <c r="EH147" s="2257">
        <v>-9999</v>
      </c>
      <c r="EI147" s="2257">
        <v>-9999</v>
      </c>
      <c r="EJ147" s="2257">
        <v>-9999</v>
      </c>
      <c r="EK147" s="2257">
        <v>-9999</v>
      </c>
      <c r="EL147" s="2257">
        <v>-9999</v>
      </c>
      <c r="EM147" s="2257">
        <v>-9999</v>
      </c>
    </row>
    <row r="148" spans="1:143" ht="13.15">
      <c r="A148" s="22">
        <v>48</v>
      </c>
      <c r="B148" s="30" t="s">
        <v>973</v>
      </c>
      <c r="C148" s="25">
        <v>-9999</v>
      </c>
      <c r="D148" s="25">
        <v>-9999</v>
      </c>
      <c r="E148" s="25">
        <v>-9999</v>
      </c>
      <c r="F148" s="25">
        <v>-9999</v>
      </c>
      <c r="G148" s="25">
        <v>-9999</v>
      </c>
      <c r="H148" s="25">
        <v>-9999</v>
      </c>
      <c r="I148" s="25">
        <v>-9999</v>
      </c>
      <c r="J148" s="25">
        <v>-9999</v>
      </c>
      <c r="K148" s="25">
        <v>-9999</v>
      </c>
      <c r="L148" s="25">
        <v>-9999</v>
      </c>
      <c r="M148" s="25">
        <v>-9999</v>
      </c>
      <c r="N148" s="25">
        <v>-9999</v>
      </c>
      <c r="O148" s="25">
        <v>-9999</v>
      </c>
      <c r="P148" s="32"/>
      <c r="Q148"/>
      <c r="AA148" s="22">
        <v>48</v>
      </c>
      <c r="AB148" s="1080" t="str">
        <f t="shared" si="3"/>
        <v>FOR FUTURE USE</v>
      </c>
      <c r="AC148" s="1080">
        <f>CHOOSE(Tables!$U$2,Transfer!CA148,Transfer!CN148,Transfer!DA148,Transfer!DN148,Transfer!EA148)</f>
        <v>-9999</v>
      </c>
      <c r="AD148" s="1080">
        <f>CHOOSE(Tables!$U$2,Transfer!CB148,Transfer!CO148,Transfer!DB148,Transfer!DO148,Transfer!EB148)</f>
        <v>-9999</v>
      </c>
      <c r="AE148" s="1080">
        <f>CHOOSE(Tables!$U$2,Transfer!CC148,Transfer!CP148,Transfer!DC148,Transfer!DP148,Transfer!EC148)</f>
        <v>-9999</v>
      </c>
      <c r="AF148" s="1080">
        <f>CHOOSE(Tables!$U$2,Transfer!CD148,Transfer!CQ148,Transfer!DD148,Transfer!DQ148,Transfer!ED148)</f>
        <v>-9999</v>
      </c>
      <c r="AG148" s="1080">
        <f>CHOOSE(Tables!$U$2,Transfer!CE148,Transfer!CR148,Transfer!DE148,Transfer!DR148,Transfer!EE148)</f>
        <v>-9999</v>
      </c>
      <c r="AH148" s="1080">
        <f>CHOOSE(Tables!$U$2,Transfer!CF148,Transfer!CS148,Transfer!DF148,Transfer!DS148,Transfer!EF148)</f>
        <v>-9999</v>
      </c>
      <c r="AI148" s="1080">
        <f>CHOOSE(Tables!$U$2,Transfer!CG148,Transfer!CT148,Transfer!DG148,Transfer!DT148,Transfer!EG148)</f>
        <v>-9999</v>
      </c>
      <c r="AJ148" s="1080">
        <f>CHOOSE(Tables!$U$2,Transfer!CH148,Transfer!CU148,Transfer!DH148,Transfer!DU148,Transfer!EH148)</f>
        <v>-9999</v>
      </c>
      <c r="AK148" s="1080">
        <f>CHOOSE(Tables!$U$2,Transfer!CI148,Transfer!CV148,Transfer!DI148,Transfer!DV148,Transfer!EI148)</f>
        <v>-9999</v>
      </c>
      <c r="AL148" s="1080">
        <f>CHOOSE(Tables!$U$2,Transfer!CJ148,Transfer!CW148,Transfer!DJ148,Transfer!DW148,Transfer!EJ148)</f>
        <v>-9999</v>
      </c>
      <c r="AM148" s="1080">
        <f>CHOOSE(Tables!$U$2,Transfer!CK148,Transfer!CX148,Transfer!DK148,Transfer!DX148,Transfer!EK148)</f>
        <v>-9999</v>
      </c>
      <c r="AN148" s="1080">
        <f>CHOOSE(Tables!$U$2,Transfer!CL148,Transfer!CY148,Transfer!DL148,Transfer!DY148,Transfer!EL148)</f>
        <v>-9999</v>
      </c>
      <c r="AO148" s="1080">
        <f>CHOOSE(Tables!$U$2,Transfer!CM148,Transfer!CZ148,Transfer!DM148,Transfer!DZ148,Transfer!EM148)</f>
        <v>-9999</v>
      </c>
      <c r="AR148" s="22">
        <v>48</v>
      </c>
      <c r="AS148" s="30" t="s">
        <v>973</v>
      </c>
      <c r="AT148" s="25">
        <f t="shared" si="6"/>
        <v>0</v>
      </c>
      <c r="AU148" s="25">
        <f t="shared" si="6"/>
        <v>0</v>
      </c>
      <c r="AV148" s="25">
        <f t="shared" si="6"/>
        <v>0</v>
      </c>
      <c r="AW148" s="25">
        <f t="shared" si="6"/>
        <v>0</v>
      </c>
      <c r="AX148" s="25">
        <f t="shared" si="6"/>
        <v>0</v>
      </c>
      <c r="AY148" s="25">
        <f t="shared" si="6"/>
        <v>0</v>
      </c>
      <c r="AZ148" s="25">
        <f t="shared" si="6"/>
        <v>0</v>
      </c>
      <c r="BA148" s="25">
        <f t="shared" si="6"/>
        <v>0</v>
      </c>
      <c r="BB148" s="25">
        <f t="shared" si="6"/>
        <v>0</v>
      </c>
      <c r="BC148" s="25">
        <f t="shared" si="6"/>
        <v>0</v>
      </c>
      <c r="BD148" s="25">
        <f t="shared" si="6"/>
        <v>0</v>
      </c>
      <c r="BE148" s="25">
        <f t="shared" si="6"/>
        <v>0</v>
      </c>
      <c r="BF148" s="25">
        <f t="shared" si="6"/>
        <v>0</v>
      </c>
      <c r="CA148" s="16">
        <v>-9999</v>
      </c>
      <c r="CB148" s="16">
        <v>-9999</v>
      </c>
      <c r="CC148" s="16">
        <v>-9999</v>
      </c>
      <c r="CD148" s="16">
        <v>-9999</v>
      </c>
      <c r="CE148" s="16">
        <v>-9999</v>
      </c>
      <c r="CF148" s="16">
        <v>-9999</v>
      </c>
      <c r="CG148" s="16">
        <v>-9999</v>
      </c>
      <c r="CH148" s="16">
        <v>-9999</v>
      </c>
      <c r="CI148" s="16">
        <v>-9999</v>
      </c>
      <c r="CJ148" s="16">
        <v>-9999</v>
      </c>
      <c r="CK148" s="16">
        <v>-9999</v>
      </c>
      <c r="CL148" s="16">
        <v>-9999</v>
      </c>
      <c r="CM148" s="16">
        <v>-9999</v>
      </c>
      <c r="CN148" s="16">
        <v>-9999</v>
      </c>
      <c r="CO148" s="16">
        <v>-9999</v>
      </c>
      <c r="CP148" s="16">
        <v>-9999</v>
      </c>
      <c r="CQ148" s="16">
        <v>-9999</v>
      </c>
      <c r="CR148" s="16">
        <v>-9999</v>
      </c>
      <c r="CS148" s="16">
        <v>-9999</v>
      </c>
      <c r="CT148" s="16">
        <v>-9999</v>
      </c>
      <c r="CU148" s="16">
        <v>-9999</v>
      </c>
      <c r="CV148" s="16">
        <v>-9999</v>
      </c>
      <c r="CW148" s="16">
        <v>-9999</v>
      </c>
      <c r="CX148" s="16">
        <v>-9999</v>
      </c>
      <c r="CY148" s="16">
        <v>-9999</v>
      </c>
      <c r="CZ148" s="16">
        <v>-9999</v>
      </c>
      <c r="DA148" s="16">
        <v>-9999</v>
      </c>
      <c r="DB148" s="16">
        <v>-9999</v>
      </c>
      <c r="DC148" s="16">
        <v>-9999</v>
      </c>
      <c r="DD148" s="16">
        <v>-9999</v>
      </c>
      <c r="DE148" s="16">
        <v>-9999</v>
      </c>
      <c r="DF148" s="16">
        <v>-9999</v>
      </c>
      <c r="DG148" s="16">
        <v>-9999</v>
      </c>
      <c r="DH148" s="16">
        <v>-9999</v>
      </c>
      <c r="DI148" s="16">
        <v>-9999</v>
      </c>
      <c r="DJ148" s="16">
        <v>-9999</v>
      </c>
      <c r="DK148" s="16">
        <v>-9999</v>
      </c>
      <c r="DL148" s="16">
        <v>-9999</v>
      </c>
      <c r="DM148" s="16">
        <v>-9999</v>
      </c>
      <c r="DN148" s="16">
        <v>-9999</v>
      </c>
      <c r="DO148" s="16">
        <v>-9999</v>
      </c>
      <c r="DP148" s="16">
        <v>-9999</v>
      </c>
      <c r="DQ148" s="16">
        <v>-9999</v>
      </c>
      <c r="DR148" s="16">
        <v>-9999</v>
      </c>
      <c r="DS148" s="16">
        <v>-9999</v>
      </c>
      <c r="DT148" s="16">
        <v>-9999</v>
      </c>
      <c r="DU148" s="16">
        <v>-9999</v>
      </c>
      <c r="DV148" s="16">
        <v>-9999</v>
      </c>
      <c r="DW148" s="16">
        <v>-9999</v>
      </c>
      <c r="DX148" s="16">
        <v>-9999</v>
      </c>
      <c r="DY148" s="16">
        <v>-9999</v>
      </c>
      <c r="DZ148" s="16">
        <v>-9999</v>
      </c>
      <c r="EA148" s="2257">
        <v>-9999</v>
      </c>
      <c r="EB148" s="2257">
        <v>-9999</v>
      </c>
      <c r="EC148" s="2257">
        <v>-9999</v>
      </c>
      <c r="ED148" s="2257">
        <v>-9999</v>
      </c>
      <c r="EE148" s="2257">
        <v>-9999</v>
      </c>
      <c r="EF148" s="2257">
        <v>-9999</v>
      </c>
      <c r="EG148" s="2257">
        <v>-9999</v>
      </c>
      <c r="EH148" s="2257">
        <v>-9999</v>
      </c>
      <c r="EI148" s="2257">
        <v>-9999</v>
      </c>
      <c r="EJ148" s="2257">
        <v>-9999</v>
      </c>
      <c r="EK148" s="2257">
        <v>-9999</v>
      </c>
      <c r="EL148" s="2257">
        <v>-9999</v>
      </c>
      <c r="EM148" s="2257">
        <v>-9999</v>
      </c>
    </row>
    <row r="149" spans="1:143" ht="13.15">
      <c r="A149" s="22">
        <v>49</v>
      </c>
      <c r="B149" s="30" t="s">
        <v>973</v>
      </c>
      <c r="C149" s="25">
        <v>-9999</v>
      </c>
      <c r="D149" s="25">
        <v>-9999</v>
      </c>
      <c r="E149" s="25">
        <v>-9999</v>
      </c>
      <c r="F149" s="25">
        <v>-9999</v>
      </c>
      <c r="G149" s="25">
        <v>-9999</v>
      </c>
      <c r="H149" s="25">
        <v>-9999</v>
      </c>
      <c r="I149" s="25">
        <v>-9999</v>
      </c>
      <c r="J149" s="25">
        <v>-9999</v>
      </c>
      <c r="K149" s="25">
        <v>-9999</v>
      </c>
      <c r="L149" s="25">
        <v>-9999</v>
      </c>
      <c r="M149" s="25">
        <v>-9999</v>
      </c>
      <c r="N149" s="25">
        <v>-9999</v>
      </c>
      <c r="O149" s="25">
        <v>-9999</v>
      </c>
      <c r="P149" s="32"/>
      <c r="Q149"/>
      <c r="AA149" s="22">
        <v>49</v>
      </c>
      <c r="AB149" s="1080" t="str">
        <f t="shared" si="3"/>
        <v>FOR FUTURE USE</v>
      </c>
      <c r="AC149" s="1080">
        <f>CHOOSE(Tables!$U$2,Transfer!CA149,Transfer!CN149,Transfer!DA149,Transfer!DN149,Transfer!EA149)</f>
        <v>-9999</v>
      </c>
      <c r="AD149" s="1080">
        <f>CHOOSE(Tables!$U$2,Transfer!CB149,Transfer!CO149,Transfer!DB149,Transfer!DO149,Transfer!EB149)</f>
        <v>-9999</v>
      </c>
      <c r="AE149" s="1080">
        <f>CHOOSE(Tables!$U$2,Transfer!CC149,Transfer!CP149,Transfer!DC149,Transfer!DP149,Transfer!EC149)</f>
        <v>-9999</v>
      </c>
      <c r="AF149" s="1080">
        <f>CHOOSE(Tables!$U$2,Transfer!CD149,Transfer!CQ149,Transfer!DD149,Transfer!DQ149,Transfer!ED149)</f>
        <v>-9999</v>
      </c>
      <c r="AG149" s="1080">
        <f>CHOOSE(Tables!$U$2,Transfer!CE149,Transfer!CR149,Transfer!DE149,Transfer!DR149,Transfer!EE149)</f>
        <v>-9999</v>
      </c>
      <c r="AH149" s="1080">
        <f>CHOOSE(Tables!$U$2,Transfer!CF149,Transfer!CS149,Transfer!DF149,Transfer!DS149,Transfer!EF149)</f>
        <v>-9999</v>
      </c>
      <c r="AI149" s="1080">
        <f>CHOOSE(Tables!$U$2,Transfer!CG149,Transfer!CT149,Transfer!DG149,Transfer!DT149,Transfer!EG149)</f>
        <v>-9999</v>
      </c>
      <c r="AJ149" s="1080">
        <f>CHOOSE(Tables!$U$2,Transfer!CH149,Transfer!CU149,Transfer!DH149,Transfer!DU149,Transfer!EH149)</f>
        <v>-9999</v>
      </c>
      <c r="AK149" s="1080">
        <f>CHOOSE(Tables!$U$2,Transfer!CI149,Transfer!CV149,Transfer!DI149,Transfer!DV149,Transfer!EI149)</f>
        <v>-9999</v>
      </c>
      <c r="AL149" s="1080">
        <f>CHOOSE(Tables!$U$2,Transfer!CJ149,Transfer!CW149,Transfer!DJ149,Transfer!DW149,Transfer!EJ149)</f>
        <v>-9999</v>
      </c>
      <c r="AM149" s="1080">
        <f>CHOOSE(Tables!$U$2,Transfer!CK149,Transfer!CX149,Transfer!DK149,Transfer!DX149,Transfer!EK149)</f>
        <v>-9999</v>
      </c>
      <c r="AN149" s="1080">
        <f>CHOOSE(Tables!$U$2,Transfer!CL149,Transfer!CY149,Transfer!DL149,Transfer!DY149,Transfer!EL149)</f>
        <v>-9999</v>
      </c>
      <c r="AO149" s="1080">
        <f>CHOOSE(Tables!$U$2,Transfer!CM149,Transfer!CZ149,Transfer!DM149,Transfer!DZ149,Transfer!EM149)</f>
        <v>-9999</v>
      </c>
      <c r="AR149" s="22">
        <v>49</v>
      </c>
      <c r="AS149" s="30" t="s">
        <v>973</v>
      </c>
      <c r="AT149" s="25">
        <f t="shared" si="6"/>
        <v>0</v>
      </c>
      <c r="AU149" s="25">
        <f t="shared" si="6"/>
        <v>0</v>
      </c>
      <c r="AV149" s="25">
        <f t="shared" si="6"/>
        <v>0</v>
      </c>
      <c r="AW149" s="25">
        <f t="shared" si="6"/>
        <v>0</v>
      </c>
      <c r="AX149" s="25">
        <f t="shared" si="6"/>
        <v>0</v>
      </c>
      <c r="AY149" s="25">
        <f t="shared" si="6"/>
        <v>0</v>
      </c>
      <c r="AZ149" s="25">
        <f t="shared" si="6"/>
        <v>0</v>
      </c>
      <c r="BA149" s="25">
        <f t="shared" si="6"/>
        <v>0</v>
      </c>
      <c r="BB149" s="25">
        <f t="shared" si="6"/>
        <v>0</v>
      </c>
      <c r="BC149" s="25">
        <f t="shared" si="6"/>
        <v>0</v>
      </c>
      <c r="BD149" s="25">
        <f t="shared" si="6"/>
        <v>0</v>
      </c>
      <c r="BE149" s="25">
        <f t="shared" si="6"/>
        <v>0</v>
      </c>
      <c r="BF149" s="25">
        <f t="shared" si="6"/>
        <v>0</v>
      </c>
      <c r="CA149" s="16">
        <v>-9999</v>
      </c>
      <c r="CB149" s="16">
        <v>-9999</v>
      </c>
      <c r="CC149" s="16">
        <v>-9999</v>
      </c>
      <c r="CD149" s="16">
        <v>-9999</v>
      </c>
      <c r="CE149" s="16">
        <v>-9999</v>
      </c>
      <c r="CF149" s="16">
        <v>-9999</v>
      </c>
      <c r="CG149" s="16">
        <v>-9999</v>
      </c>
      <c r="CH149" s="16">
        <v>-9999</v>
      </c>
      <c r="CI149" s="16">
        <v>-9999</v>
      </c>
      <c r="CJ149" s="16">
        <v>-9999</v>
      </c>
      <c r="CK149" s="16">
        <v>-9999</v>
      </c>
      <c r="CL149" s="16">
        <v>-9999</v>
      </c>
      <c r="CM149" s="16">
        <v>-9999</v>
      </c>
      <c r="CN149" s="16">
        <v>-9999</v>
      </c>
      <c r="CO149" s="16">
        <v>-9999</v>
      </c>
      <c r="CP149" s="16">
        <v>-9999</v>
      </c>
      <c r="CQ149" s="16">
        <v>-9999</v>
      </c>
      <c r="CR149" s="16">
        <v>-9999</v>
      </c>
      <c r="CS149" s="16">
        <v>-9999</v>
      </c>
      <c r="CT149" s="16">
        <v>-9999</v>
      </c>
      <c r="CU149" s="16">
        <v>-9999</v>
      </c>
      <c r="CV149" s="16">
        <v>-9999</v>
      </c>
      <c r="CW149" s="16">
        <v>-9999</v>
      </c>
      <c r="CX149" s="16">
        <v>-9999</v>
      </c>
      <c r="CY149" s="16">
        <v>-9999</v>
      </c>
      <c r="CZ149" s="16">
        <v>-9999</v>
      </c>
      <c r="DA149" s="16">
        <v>-9999</v>
      </c>
      <c r="DB149" s="16">
        <v>-9999</v>
      </c>
      <c r="DC149" s="16">
        <v>-9999</v>
      </c>
      <c r="DD149" s="16">
        <v>-9999</v>
      </c>
      <c r="DE149" s="16">
        <v>-9999</v>
      </c>
      <c r="DF149" s="16">
        <v>-9999</v>
      </c>
      <c r="DG149" s="16">
        <v>-9999</v>
      </c>
      <c r="DH149" s="16">
        <v>-9999</v>
      </c>
      <c r="DI149" s="16">
        <v>-9999</v>
      </c>
      <c r="DJ149" s="16">
        <v>-9999</v>
      </c>
      <c r="DK149" s="16">
        <v>-9999</v>
      </c>
      <c r="DL149" s="16">
        <v>-9999</v>
      </c>
      <c r="DM149" s="16">
        <v>-9999</v>
      </c>
      <c r="DN149" s="16">
        <v>-9999</v>
      </c>
      <c r="DO149" s="16">
        <v>-9999</v>
      </c>
      <c r="DP149" s="16">
        <v>-9999</v>
      </c>
      <c r="DQ149" s="16">
        <v>-9999</v>
      </c>
      <c r="DR149" s="16">
        <v>-9999</v>
      </c>
      <c r="DS149" s="16">
        <v>-9999</v>
      </c>
      <c r="DT149" s="16">
        <v>-9999</v>
      </c>
      <c r="DU149" s="16">
        <v>-9999</v>
      </c>
      <c r="DV149" s="16">
        <v>-9999</v>
      </c>
      <c r="DW149" s="16">
        <v>-9999</v>
      </c>
      <c r="DX149" s="16">
        <v>-9999</v>
      </c>
      <c r="DY149" s="16">
        <v>-9999</v>
      </c>
      <c r="DZ149" s="16">
        <v>-9999</v>
      </c>
      <c r="EA149" s="2257">
        <v>-9999</v>
      </c>
      <c r="EB149" s="2257">
        <v>-9999</v>
      </c>
      <c r="EC149" s="2257">
        <v>-9999</v>
      </c>
      <c r="ED149" s="2257">
        <v>-9999</v>
      </c>
      <c r="EE149" s="2257">
        <v>-9999</v>
      </c>
      <c r="EF149" s="2257">
        <v>-9999</v>
      </c>
      <c r="EG149" s="2257">
        <v>-9999</v>
      </c>
      <c r="EH149" s="2257">
        <v>-9999</v>
      </c>
      <c r="EI149" s="2257">
        <v>-9999</v>
      </c>
      <c r="EJ149" s="2257">
        <v>-9999</v>
      </c>
      <c r="EK149" s="2257">
        <v>-9999</v>
      </c>
      <c r="EL149" s="2257">
        <v>-9999</v>
      </c>
      <c r="EM149" s="2257">
        <v>-9999</v>
      </c>
    </row>
    <row r="150" spans="1:143" ht="13.15">
      <c r="A150" s="22">
        <v>50</v>
      </c>
      <c r="B150" s="1" t="s">
        <v>604</v>
      </c>
      <c r="C150" s="24">
        <f ca="1">OFFSET(Sector1!F8,0,Last_forecast_year - 3-InputY!$G$3)</f>
        <v>532.404</v>
      </c>
      <c r="D150" s="24">
        <f ca="1">OFFSET(Sector1!G8,0,Last_forecast_year - 3-InputY!$G$3)</f>
        <v>554.44600000000003</v>
      </c>
      <c r="E150" s="24">
        <f ca="1">OFFSET(Sector1!H8,0,Last_forecast_year - 3-InputY!$G$3)</f>
        <v>581.83099683663374</v>
      </c>
      <c r="F150" s="24">
        <f ca="1">OFFSET(Sector1!I8,0,Last_forecast_year - 3-InputY!$G$3)</f>
        <v>607.37640427372526</v>
      </c>
      <c r="G150" s="24">
        <f ca="1">OFFSET(Sector1!J8,0,Last_forecast_year - 3-InputY!$G$3)</f>
        <v>628.8625714624518</v>
      </c>
      <c r="H150" s="25">
        <v>-9999</v>
      </c>
      <c r="I150" s="25">
        <v>-9999</v>
      </c>
      <c r="J150" s="25">
        <v>-9999</v>
      </c>
      <c r="K150" s="25">
        <v>-9999</v>
      </c>
      <c r="L150" s="25">
        <v>-9999</v>
      </c>
      <c r="M150" s="25">
        <v>-9999</v>
      </c>
      <c r="N150" s="25">
        <v>-9999</v>
      </c>
      <c r="O150" s="25">
        <v>-9999</v>
      </c>
      <c r="P150" s="32"/>
      <c r="Q150"/>
      <c r="AA150" s="22">
        <v>50</v>
      </c>
      <c r="AB150" s="1080" t="str">
        <f t="shared" si="3"/>
        <v>TAXES ON PRODUCTS</v>
      </c>
      <c r="AC150" s="1080">
        <f>CHOOSE(Tables!$U$2,Transfer!CA150,Transfer!CN150,Transfer!DA150,Transfer!DN150,Transfer!EA150)</f>
        <v>502.49</v>
      </c>
      <c r="AD150" s="1080">
        <f>CHOOSE(Tables!$U$2,Transfer!CB150,Transfer!CO150,Transfer!DB150,Transfer!DO150,Transfer!EB150)</f>
        <v>533.93700000000001</v>
      </c>
      <c r="AE150" s="1080">
        <f>CHOOSE(Tables!$U$2,Transfer!CC150,Transfer!CP150,Transfer!DC150,Transfer!DP150,Transfer!EC150)</f>
        <v>556.83299999999997</v>
      </c>
      <c r="AF150" s="1080">
        <f>CHOOSE(Tables!$U$2,Transfer!CD150,Transfer!CQ150,Transfer!DD150,Transfer!DQ150,Transfer!ED150)</f>
        <v>583.94375494127246</v>
      </c>
      <c r="AG150" s="1080">
        <f>CHOOSE(Tables!$U$2,Transfer!CE150,Transfer!CR150,Transfer!DE150,Transfer!DR150,Transfer!EE150)</f>
        <v>609.49282080435535</v>
      </c>
      <c r="AH150" s="1080">
        <f>CHOOSE(Tables!$U$2,Transfer!CF150,Transfer!CS150,Transfer!DF150,Transfer!DS150,Transfer!EF150)</f>
        <v>-9999</v>
      </c>
      <c r="AI150" s="1080">
        <f>CHOOSE(Tables!$U$2,Transfer!CG150,Transfer!CT150,Transfer!DG150,Transfer!DT150,Transfer!EG150)</f>
        <v>-9999</v>
      </c>
      <c r="AJ150" s="1080">
        <f>CHOOSE(Tables!$U$2,Transfer!CH150,Transfer!CU150,Transfer!DH150,Transfer!DU150,Transfer!EH150)</f>
        <v>-9999</v>
      </c>
      <c r="AK150" s="1080">
        <f>CHOOSE(Tables!$U$2,Transfer!CI150,Transfer!CV150,Transfer!DI150,Transfer!DV150,Transfer!EI150)</f>
        <v>-9999</v>
      </c>
      <c r="AL150" s="1080">
        <f>CHOOSE(Tables!$U$2,Transfer!CJ150,Transfer!CW150,Transfer!DJ150,Transfer!DW150,Transfer!EJ150)</f>
        <v>-9999</v>
      </c>
      <c r="AM150" s="1080">
        <f>CHOOSE(Tables!$U$2,Transfer!CK150,Transfer!CX150,Transfer!DK150,Transfer!DX150,Transfer!EK150)</f>
        <v>-9999</v>
      </c>
      <c r="AN150" s="1080">
        <f>CHOOSE(Tables!$U$2,Transfer!CL150,Transfer!CY150,Transfer!DL150,Transfer!DY150,Transfer!EL150)</f>
        <v>-9999</v>
      </c>
      <c r="AO150" s="1080">
        <f>CHOOSE(Tables!$U$2,Transfer!CM150,Transfer!CZ150,Transfer!DM150,Transfer!DZ150,Transfer!EM150)</f>
        <v>-9999</v>
      </c>
      <c r="AR150" s="22">
        <v>50</v>
      </c>
      <c r="AS150" s="1" t="s">
        <v>604</v>
      </c>
      <c r="AT150" s="24">
        <f t="shared" ca="1" si="6"/>
        <v>29.913999999999987</v>
      </c>
      <c r="AU150" s="24">
        <f t="shared" ca="1" si="6"/>
        <v>20.509000000000015</v>
      </c>
      <c r="AV150" s="24">
        <f t="shared" ca="1" si="6"/>
        <v>24.997996836633774</v>
      </c>
      <c r="AW150" s="24">
        <f t="shared" ca="1" si="6"/>
        <v>23.432649332452797</v>
      </c>
      <c r="AX150" s="24">
        <f t="shared" ca="1" si="6"/>
        <v>19.36975065809645</v>
      </c>
      <c r="AY150" s="25">
        <f t="shared" si="6"/>
        <v>0</v>
      </c>
      <c r="AZ150" s="25">
        <f t="shared" si="6"/>
        <v>0</v>
      </c>
      <c r="BA150" s="25">
        <f t="shared" si="6"/>
        <v>0</v>
      </c>
      <c r="BB150" s="25">
        <f t="shared" si="6"/>
        <v>0</v>
      </c>
      <c r="BC150" s="25">
        <f t="shared" si="6"/>
        <v>0</v>
      </c>
      <c r="BD150" s="25">
        <f t="shared" si="6"/>
        <v>0</v>
      </c>
      <c r="BE150" s="25">
        <f t="shared" si="6"/>
        <v>0</v>
      </c>
      <c r="BF150" s="25">
        <f t="shared" si="6"/>
        <v>0</v>
      </c>
      <c r="CA150" s="16">
        <v>532.404</v>
      </c>
      <c r="CB150" s="16">
        <v>554.44600000000003</v>
      </c>
      <c r="CC150" s="16">
        <v>581.65111318469519</v>
      </c>
      <c r="CD150" s="16">
        <v>607.18990350542015</v>
      </c>
      <c r="CE150" s="16">
        <v>628.66966023693681</v>
      </c>
      <c r="CF150" s="16">
        <v>-9999</v>
      </c>
      <c r="CG150" s="16">
        <v>-9999</v>
      </c>
      <c r="CH150" s="16">
        <v>-9999</v>
      </c>
      <c r="CI150" s="16">
        <v>-9999</v>
      </c>
      <c r="CJ150" s="16">
        <v>-9999</v>
      </c>
      <c r="CK150" s="16">
        <v>-9999</v>
      </c>
      <c r="CL150" s="16">
        <v>-9999</v>
      </c>
      <c r="CM150" s="16">
        <v>-9999</v>
      </c>
      <c r="CN150" s="16">
        <v>502.49</v>
      </c>
      <c r="CO150" s="16">
        <v>533.93700000000001</v>
      </c>
      <c r="CP150" s="16">
        <v>556.83299999999997</v>
      </c>
      <c r="CQ150" s="16">
        <v>583.94375494127246</v>
      </c>
      <c r="CR150" s="16">
        <v>609.49282080435535</v>
      </c>
      <c r="CS150" s="16">
        <v>-9999</v>
      </c>
      <c r="CT150" s="16">
        <v>-9999</v>
      </c>
      <c r="CU150" s="16">
        <v>-9999</v>
      </c>
      <c r="CV150" s="16">
        <v>-9999</v>
      </c>
      <c r="CW150" s="16">
        <v>-9999</v>
      </c>
      <c r="CX150" s="16">
        <v>-9999</v>
      </c>
      <c r="CY150" s="16">
        <v>-9999</v>
      </c>
      <c r="CZ150" s="16">
        <v>-9999</v>
      </c>
      <c r="DA150" s="16">
        <v>532.404</v>
      </c>
      <c r="DB150" s="16">
        <v>554.44600000000003</v>
      </c>
      <c r="DC150" s="16">
        <v>581.23984014210339</v>
      </c>
      <c r="DD150" s="16">
        <v>606.19781226640885</v>
      </c>
      <c r="DE150" s="16">
        <v>627.28069278945725</v>
      </c>
      <c r="DF150" s="16">
        <v>-9999</v>
      </c>
      <c r="DG150" s="16">
        <v>-9999</v>
      </c>
      <c r="DH150" s="16">
        <v>-9999</v>
      </c>
      <c r="DI150" s="16">
        <v>-9999</v>
      </c>
      <c r="DJ150" s="16">
        <v>-9999</v>
      </c>
      <c r="DK150" s="16">
        <v>-9999</v>
      </c>
      <c r="DL150" s="16">
        <v>-9999</v>
      </c>
      <c r="DM150" s="16">
        <v>-9999</v>
      </c>
      <c r="DN150" s="16">
        <v>532.404</v>
      </c>
      <c r="DO150" s="16">
        <v>554.44600000000003</v>
      </c>
      <c r="DP150" s="16">
        <v>580.40292040579379</v>
      </c>
      <c r="DQ150" s="16">
        <v>602.32632704012144</v>
      </c>
      <c r="DR150" s="16">
        <v>615.31095621646182</v>
      </c>
      <c r="DS150" s="16">
        <v>-9999</v>
      </c>
      <c r="DT150" s="16">
        <v>-9999</v>
      </c>
      <c r="DU150" s="16">
        <v>-9999</v>
      </c>
      <c r="DV150" s="16">
        <v>-9999</v>
      </c>
      <c r="DW150" s="16">
        <v>-9999</v>
      </c>
      <c r="DX150" s="16">
        <v>-9999</v>
      </c>
      <c r="DY150" s="16">
        <v>-9999</v>
      </c>
      <c r="DZ150" s="16">
        <v>-9999</v>
      </c>
      <c r="EA150" s="2256">
        <v>532.404</v>
      </c>
      <c r="EB150" s="2256">
        <v>554.44600000000003</v>
      </c>
      <c r="EC150" s="2256">
        <v>581.83099683663374</v>
      </c>
      <c r="ED150" s="2256">
        <v>607.37640427372526</v>
      </c>
      <c r="EE150" s="2256">
        <v>628.8625714624518</v>
      </c>
      <c r="EF150" s="2257">
        <v>-9999</v>
      </c>
      <c r="EG150" s="2257">
        <v>-9999</v>
      </c>
      <c r="EH150" s="2257">
        <v>-9999</v>
      </c>
      <c r="EI150" s="2257">
        <v>-9999</v>
      </c>
      <c r="EJ150" s="2257">
        <v>-9999</v>
      </c>
      <c r="EK150" s="2257">
        <v>-9999</v>
      </c>
      <c r="EL150" s="2257">
        <v>-9999</v>
      </c>
      <c r="EM150" s="2257">
        <v>-9999</v>
      </c>
    </row>
    <row r="151" spans="1:143" ht="13.15">
      <c r="A151" s="22">
        <v>51</v>
      </c>
      <c r="B151" s="1" t="s">
        <v>606</v>
      </c>
      <c r="C151" s="24">
        <f ca="1">OFFSET(Sector1!F45,0,Last_forecast_year - 3-InputY!$G$3)</f>
        <v>23.283000000000001</v>
      </c>
      <c r="D151" s="24">
        <f ca="1">OFFSET(Sector1!G45,0,Last_forecast_year - 3-InputY!$G$3)</f>
        <v>24.643000000000001</v>
      </c>
      <c r="E151" s="24">
        <f ca="1">OFFSET(Sector1!H45,0,Last_forecast_year - 3-InputY!$G$3)</f>
        <v>25.875150000000001</v>
      </c>
      <c r="F151" s="24">
        <f ca="1">OFFSET(Sector1!I45,0,Last_forecast_year - 3-InputY!$G$3)</f>
        <v>27.168907500000003</v>
      </c>
      <c r="G151" s="24">
        <f ca="1">OFFSET(Sector1!J45,0,Last_forecast_year - 3-InputY!$G$3)</f>
        <v>28.527352875000005</v>
      </c>
      <c r="H151" s="25">
        <v>-9999</v>
      </c>
      <c r="I151" s="25">
        <v>-9999</v>
      </c>
      <c r="J151" s="25">
        <v>-9999</v>
      </c>
      <c r="K151" s="25">
        <v>-9999</v>
      </c>
      <c r="L151" s="25">
        <v>-9999</v>
      </c>
      <c r="M151" s="25">
        <v>-9999</v>
      </c>
      <c r="N151" s="25">
        <v>-9999</v>
      </c>
      <c r="O151" s="25">
        <v>-9999</v>
      </c>
      <c r="P151" s="32"/>
      <c r="Q151"/>
      <c r="AA151" s="22">
        <v>51</v>
      </c>
      <c r="AB151" s="1080" t="str">
        <f t="shared" si="3"/>
        <v>SUBSIDIES ON PRODUCTS</v>
      </c>
      <c r="AC151" s="1080">
        <f>CHOOSE(Tables!$U$2,Transfer!CA151,Transfer!CN151,Transfer!DA151,Transfer!DN151,Transfer!EA151)</f>
        <v>22.387</v>
      </c>
      <c r="AD151" s="1080">
        <f>CHOOSE(Tables!$U$2,Transfer!CB151,Transfer!CO151,Transfer!DB151,Transfer!DO151,Transfer!EB151)</f>
        <v>23.396000000000001</v>
      </c>
      <c r="AE151" s="1080">
        <f>CHOOSE(Tables!$U$2,Transfer!CC151,Transfer!CP151,Transfer!DC151,Transfer!DP151,Transfer!EC151)</f>
        <v>24.524999999999999</v>
      </c>
      <c r="AF151" s="1080">
        <f>CHOOSE(Tables!$U$2,Transfer!CD151,Transfer!CQ151,Transfer!DD151,Transfer!DQ151,Transfer!ED151)</f>
        <v>25.751249999999999</v>
      </c>
      <c r="AG151" s="1080">
        <f>CHOOSE(Tables!$U$2,Transfer!CE151,Transfer!CR151,Transfer!DE151,Transfer!DR151,Transfer!EE151)</f>
        <v>27.038812499999999</v>
      </c>
      <c r="AH151" s="1080">
        <f>CHOOSE(Tables!$U$2,Transfer!CF151,Transfer!CS151,Transfer!DF151,Transfer!DS151,Transfer!EF151)</f>
        <v>-9999</v>
      </c>
      <c r="AI151" s="1080">
        <f>CHOOSE(Tables!$U$2,Transfer!CG151,Transfer!CT151,Transfer!DG151,Transfer!DT151,Transfer!EG151)</f>
        <v>-9999</v>
      </c>
      <c r="AJ151" s="1080">
        <f>CHOOSE(Tables!$U$2,Transfer!CH151,Transfer!CU151,Transfer!DH151,Transfer!DU151,Transfer!EH151)</f>
        <v>-9999</v>
      </c>
      <c r="AK151" s="1080">
        <f>CHOOSE(Tables!$U$2,Transfer!CI151,Transfer!CV151,Transfer!DI151,Transfer!DV151,Transfer!EI151)</f>
        <v>-9999</v>
      </c>
      <c r="AL151" s="1080">
        <f>CHOOSE(Tables!$U$2,Transfer!CJ151,Transfer!CW151,Transfer!DJ151,Transfer!DW151,Transfer!EJ151)</f>
        <v>-9999</v>
      </c>
      <c r="AM151" s="1080">
        <f>CHOOSE(Tables!$U$2,Transfer!CK151,Transfer!CX151,Transfer!DK151,Transfer!DX151,Transfer!EK151)</f>
        <v>-9999</v>
      </c>
      <c r="AN151" s="1080">
        <f>CHOOSE(Tables!$U$2,Transfer!CL151,Transfer!CY151,Transfer!DL151,Transfer!DY151,Transfer!EL151)</f>
        <v>-9999</v>
      </c>
      <c r="AO151" s="1080">
        <f>CHOOSE(Tables!$U$2,Transfer!CM151,Transfer!CZ151,Transfer!DM151,Transfer!DZ151,Transfer!EM151)</f>
        <v>-9999</v>
      </c>
      <c r="AR151" s="22">
        <v>51</v>
      </c>
      <c r="AS151" s="1" t="s">
        <v>606</v>
      </c>
      <c r="AT151" s="24">
        <f t="shared" ca="1" si="6"/>
        <v>0.8960000000000008</v>
      </c>
      <c r="AU151" s="24">
        <f t="shared" ca="1" si="6"/>
        <v>1.2469999999999999</v>
      </c>
      <c r="AV151" s="24">
        <f t="shared" ca="1" si="6"/>
        <v>1.3501500000000028</v>
      </c>
      <c r="AW151" s="24">
        <f t="shared" ca="1" si="6"/>
        <v>1.4176575000000042</v>
      </c>
      <c r="AX151" s="24">
        <f t="shared" ca="1" si="6"/>
        <v>1.4885403750000066</v>
      </c>
      <c r="AY151" s="25">
        <f t="shared" si="6"/>
        <v>0</v>
      </c>
      <c r="AZ151" s="25">
        <f t="shared" si="6"/>
        <v>0</v>
      </c>
      <c r="BA151" s="25">
        <f t="shared" si="6"/>
        <v>0</v>
      </c>
      <c r="BB151" s="25">
        <f t="shared" si="6"/>
        <v>0</v>
      </c>
      <c r="BC151" s="25">
        <f t="shared" si="6"/>
        <v>0</v>
      </c>
      <c r="BD151" s="25">
        <f t="shared" si="6"/>
        <v>0</v>
      </c>
      <c r="BE151" s="25">
        <f t="shared" si="6"/>
        <v>0</v>
      </c>
      <c r="BF151" s="25">
        <f t="shared" si="6"/>
        <v>0</v>
      </c>
      <c r="CA151" s="16">
        <v>23.283000000000001</v>
      </c>
      <c r="CB151" s="16">
        <v>24.643000000000001</v>
      </c>
      <c r="CC151" s="16">
        <v>25.875150000000001</v>
      </c>
      <c r="CD151" s="16">
        <v>27.168907500000003</v>
      </c>
      <c r="CE151" s="16">
        <v>28.527352875000005</v>
      </c>
      <c r="CF151" s="16">
        <v>-9999</v>
      </c>
      <c r="CG151" s="16">
        <v>-9999</v>
      </c>
      <c r="CH151" s="16">
        <v>-9999</v>
      </c>
      <c r="CI151" s="16">
        <v>-9999</v>
      </c>
      <c r="CJ151" s="16">
        <v>-9999</v>
      </c>
      <c r="CK151" s="16">
        <v>-9999</v>
      </c>
      <c r="CL151" s="16">
        <v>-9999</v>
      </c>
      <c r="CM151" s="16">
        <v>-9999</v>
      </c>
      <c r="CN151" s="16">
        <v>22.387</v>
      </c>
      <c r="CO151" s="16">
        <v>23.396000000000001</v>
      </c>
      <c r="CP151" s="16">
        <v>24.524999999999999</v>
      </c>
      <c r="CQ151" s="16">
        <v>25.751249999999999</v>
      </c>
      <c r="CR151" s="16">
        <v>27.038812499999999</v>
      </c>
      <c r="CS151" s="16">
        <v>-9999</v>
      </c>
      <c r="CT151" s="16">
        <v>-9999</v>
      </c>
      <c r="CU151" s="16">
        <v>-9999</v>
      </c>
      <c r="CV151" s="16">
        <v>-9999</v>
      </c>
      <c r="CW151" s="16">
        <v>-9999</v>
      </c>
      <c r="CX151" s="16">
        <v>-9999</v>
      </c>
      <c r="CY151" s="16">
        <v>-9999</v>
      </c>
      <c r="CZ151" s="16">
        <v>-9999</v>
      </c>
      <c r="DA151" s="16">
        <v>23.283000000000001</v>
      </c>
      <c r="DB151" s="16">
        <v>24.643000000000001</v>
      </c>
      <c r="DC151" s="16">
        <v>25.875150000000001</v>
      </c>
      <c r="DD151" s="16">
        <v>27.168907500000003</v>
      </c>
      <c r="DE151" s="16">
        <v>28.527352875000005</v>
      </c>
      <c r="DF151" s="16">
        <v>-9999</v>
      </c>
      <c r="DG151" s="16">
        <v>-9999</v>
      </c>
      <c r="DH151" s="16">
        <v>-9999</v>
      </c>
      <c r="DI151" s="16">
        <v>-9999</v>
      </c>
      <c r="DJ151" s="16">
        <v>-9999</v>
      </c>
      <c r="DK151" s="16">
        <v>-9999</v>
      </c>
      <c r="DL151" s="16">
        <v>-9999</v>
      </c>
      <c r="DM151" s="16">
        <v>-9999</v>
      </c>
      <c r="DN151" s="16">
        <v>23.283000000000001</v>
      </c>
      <c r="DO151" s="16">
        <v>24.643000000000001</v>
      </c>
      <c r="DP151" s="16">
        <v>25.875150000000001</v>
      </c>
      <c r="DQ151" s="16">
        <v>27.168907500000003</v>
      </c>
      <c r="DR151" s="16">
        <v>28.527352875000005</v>
      </c>
      <c r="DS151" s="16">
        <v>-9999</v>
      </c>
      <c r="DT151" s="16">
        <v>-9999</v>
      </c>
      <c r="DU151" s="16">
        <v>-9999</v>
      </c>
      <c r="DV151" s="16">
        <v>-9999</v>
      </c>
      <c r="DW151" s="16">
        <v>-9999</v>
      </c>
      <c r="DX151" s="16">
        <v>-9999</v>
      </c>
      <c r="DY151" s="16">
        <v>-9999</v>
      </c>
      <c r="DZ151" s="16">
        <v>-9999</v>
      </c>
      <c r="EA151" s="2256">
        <v>23.283000000000001</v>
      </c>
      <c r="EB151" s="2256">
        <v>24.643000000000001</v>
      </c>
      <c r="EC151" s="2256">
        <v>25.875150000000001</v>
      </c>
      <c r="ED151" s="2256">
        <v>27.168907500000003</v>
      </c>
      <c r="EE151" s="2256">
        <v>28.527352875000005</v>
      </c>
      <c r="EF151" s="2257">
        <v>-9999</v>
      </c>
      <c r="EG151" s="2257">
        <v>-9999</v>
      </c>
      <c r="EH151" s="2257">
        <v>-9999</v>
      </c>
      <c r="EI151" s="2257">
        <v>-9999</v>
      </c>
      <c r="EJ151" s="2257">
        <v>-9999</v>
      </c>
      <c r="EK151" s="2257">
        <v>-9999</v>
      </c>
      <c r="EL151" s="2257">
        <v>-9999</v>
      </c>
      <c r="EM151" s="2257">
        <v>-9999</v>
      </c>
    </row>
    <row r="152" spans="1:143" ht="13.15">
      <c r="A152" s="22">
        <v>52</v>
      </c>
      <c r="B152" s="30" t="s">
        <v>973</v>
      </c>
      <c r="C152" s="25">
        <v>-9999</v>
      </c>
      <c r="D152" s="25">
        <v>-9999</v>
      </c>
      <c r="E152" s="25">
        <v>-9999</v>
      </c>
      <c r="F152" s="25">
        <v>-9999</v>
      </c>
      <c r="G152" s="25">
        <v>-9999</v>
      </c>
      <c r="H152" s="25">
        <v>-9999</v>
      </c>
      <c r="I152" s="25">
        <v>-9999</v>
      </c>
      <c r="J152" s="25">
        <v>-9999</v>
      </c>
      <c r="K152" s="25">
        <v>-9999</v>
      </c>
      <c r="L152" s="25">
        <v>-9999</v>
      </c>
      <c r="M152" s="25">
        <v>-9999</v>
      </c>
      <c r="N152" s="25">
        <v>-9999</v>
      </c>
      <c r="O152" s="25">
        <v>-9999</v>
      </c>
      <c r="P152" s="32"/>
      <c r="Q152"/>
      <c r="AA152" s="22">
        <v>52</v>
      </c>
      <c r="AB152" s="1080" t="str">
        <f t="shared" si="3"/>
        <v>FOR FUTURE USE</v>
      </c>
      <c r="AC152" s="1080">
        <f>CHOOSE(Tables!$U$2,Transfer!CA152,Transfer!CN152,Transfer!DA152,Transfer!DN152,Transfer!EA152)</f>
        <v>-9999</v>
      </c>
      <c r="AD152" s="1080">
        <f>CHOOSE(Tables!$U$2,Transfer!CB152,Transfer!CO152,Transfer!DB152,Transfer!DO152,Transfer!EB152)</f>
        <v>-9999</v>
      </c>
      <c r="AE152" s="1080">
        <f>CHOOSE(Tables!$U$2,Transfer!CC152,Transfer!CP152,Transfer!DC152,Transfer!DP152,Transfer!EC152)</f>
        <v>-9999</v>
      </c>
      <c r="AF152" s="1080">
        <f>CHOOSE(Tables!$U$2,Transfer!CD152,Transfer!CQ152,Transfer!DD152,Transfer!DQ152,Transfer!ED152)</f>
        <v>-9999</v>
      </c>
      <c r="AG152" s="1080">
        <f>CHOOSE(Tables!$U$2,Transfer!CE152,Transfer!CR152,Transfer!DE152,Transfer!DR152,Transfer!EE152)</f>
        <v>-9999</v>
      </c>
      <c r="AH152" s="1080">
        <f>CHOOSE(Tables!$U$2,Transfer!CF152,Transfer!CS152,Transfer!DF152,Transfer!DS152,Transfer!EF152)</f>
        <v>-9999</v>
      </c>
      <c r="AI152" s="1080">
        <f>CHOOSE(Tables!$U$2,Transfer!CG152,Transfer!CT152,Transfer!DG152,Transfer!DT152,Transfer!EG152)</f>
        <v>-9999</v>
      </c>
      <c r="AJ152" s="1080">
        <f>CHOOSE(Tables!$U$2,Transfer!CH152,Transfer!CU152,Transfer!DH152,Transfer!DU152,Transfer!EH152)</f>
        <v>-9999</v>
      </c>
      <c r="AK152" s="1080">
        <f>CHOOSE(Tables!$U$2,Transfer!CI152,Transfer!CV152,Transfer!DI152,Transfer!DV152,Transfer!EI152)</f>
        <v>-9999</v>
      </c>
      <c r="AL152" s="1080">
        <f>CHOOSE(Tables!$U$2,Transfer!CJ152,Transfer!CW152,Transfer!DJ152,Transfer!DW152,Transfer!EJ152)</f>
        <v>-9999</v>
      </c>
      <c r="AM152" s="1080">
        <f>CHOOSE(Tables!$U$2,Transfer!CK152,Transfer!CX152,Transfer!DK152,Transfer!DX152,Transfer!EK152)</f>
        <v>-9999</v>
      </c>
      <c r="AN152" s="1080">
        <f>CHOOSE(Tables!$U$2,Transfer!CL152,Transfer!CY152,Transfer!DL152,Transfer!DY152,Transfer!EL152)</f>
        <v>-9999</v>
      </c>
      <c r="AO152" s="1080">
        <f>CHOOSE(Tables!$U$2,Transfer!CM152,Transfer!CZ152,Transfer!DM152,Transfer!DZ152,Transfer!EM152)</f>
        <v>-9999</v>
      </c>
      <c r="AR152" s="22">
        <v>52</v>
      </c>
      <c r="AS152" s="30" t="s">
        <v>973</v>
      </c>
      <c r="AT152" s="25">
        <f t="shared" si="6"/>
        <v>0</v>
      </c>
      <c r="AU152" s="25">
        <f t="shared" si="6"/>
        <v>0</v>
      </c>
      <c r="AV152" s="25">
        <f t="shared" si="6"/>
        <v>0</v>
      </c>
      <c r="AW152" s="25">
        <f t="shared" si="6"/>
        <v>0</v>
      </c>
      <c r="AX152" s="25">
        <f t="shared" si="6"/>
        <v>0</v>
      </c>
      <c r="AY152" s="25">
        <f t="shared" si="6"/>
        <v>0</v>
      </c>
      <c r="AZ152" s="25">
        <f t="shared" si="6"/>
        <v>0</v>
      </c>
      <c r="BA152" s="25">
        <f t="shared" si="6"/>
        <v>0</v>
      </c>
      <c r="BB152" s="25">
        <f t="shared" si="6"/>
        <v>0</v>
      </c>
      <c r="BC152" s="25">
        <f t="shared" si="6"/>
        <v>0</v>
      </c>
      <c r="BD152" s="25">
        <f t="shared" si="6"/>
        <v>0</v>
      </c>
      <c r="BE152" s="25">
        <f t="shared" si="6"/>
        <v>0</v>
      </c>
      <c r="BF152" s="25">
        <f t="shared" si="6"/>
        <v>0</v>
      </c>
      <c r="CA152" s="16">
        <v>-9999</v>
      </c>
      <c r="CB152" s="16">
        <v>-9999</v>
      </c>
      <c r="CC152" s="16">
        <v>-9999</v>
      </c>
      <c r="CD152" s="16">
        <v>-9999</v>
      </c>
      <c r="CE152" s="16">
        <v>-9999</v>
      </c>
      <c r="CF152" s="16">
        <v>-9999</v>
      </c>
      <c r="CG152" s="16">
        <v>-9999</v>
      </c>
      <c r="CH152" s="16">
        <v>-9999</v>
      </c>
      <c r="CI152" s="16">
        <v>-9999</v>
      </c>
      <c r="CJ152" s="16">
        <v>-9999</v>
      </c>
      <c r="CK152" s="16">
        <v>-9999</v>
      </c>
      <c r="CL152" s="16">
        <v>-9999</v>
      </c>
      <c r="CM152" s="16">
        <v>-9999</v>
      </c>
      <c r="CN152" s="16">
        <v>-9999</v>
      </c>
      <c r="CO152" s="16">
        <v>-9999</v>
      </c>
      <c r="CP152" s="16">
        <v>-9999</v>
      </c>
      <c r="CQ152" s="16">
        <v>-9999</v>
      </c>
      <c r="CR152" s="16">
        <v>-9999</v>
      </c>
      <c r="CS152" s="16">
        <v>-9999</v>
      </c>
      <c r="CT152" s="16">
        <v>-9999</v>
      </c>
      <c r="CU152" s="16">
        <v>-9999</v>
      </c>
      <c r="CV152" s="16">
        <v>-9999</v>
      </c>
      <c r="CW152" s="16">
        <v>-9999</v>
      </c>
      <c r="CX152" s="16">
        <v>-9999</v>
      </c>
      <c r="CY152" s="16">
        <v>-9999</v>
      </c>
      <c r="CZ152" s="16">
        <v>-9999</v>
      </c>
      <c r="DA152" s="16">
        <v>-9999</v>
      </c>
      <c r="DB152" s="16">
        <v>-9999</v>
      </c>
      <c r="DC152" s="16">
        <v>-9999</v>
      </c>
      <c r="DD152" s="16">
        <v>-9999</v>
      </c>
      <c r="DE152" s="16">
        <v>-9999</v>
      </c>
      <c r="DF152" s="16">
        <v>-9999</v>
      </c>
      <c r="DG152" s="16">
        <v>-9999</v>
      </c>
      <c r="DH152" s="16">
        <v>-9999</v>
      </c>
      <c r="DI152" s="16">
        <v>-9999</v>
      </c>
      <c r="DJ152" s="16">
        <v>-9999</v>
      </c>
      <c r="DK152" s="16">
        <v>-9999</v>
      </c>
      <c r="DL152" s="16">
        <v>-9999</v>
      </c>
      <c r="DM152" s="16">
        <v>-9999</v>
      </c>
      <c r="DN152" s="16">
        <v>-9999</v>
      </c>
      <c r="DO152" s="16">
        <v>-9999</v>
      </c>
      <c r="DP152" s="16">
        <v>-9999</v>
      </c>
      <c r="DQ152" s="16">
        <v>-9999</v>
      </c>
      <c r="DR152" s="16">
        <v>-9999</v>
      </c>
      <c r="DS152" s="16">
        <v>-9999</v>
      </c>
      <c r="DT152" s="16">
        <v>-9999</v>
      </c>
      <c r="DU152" s="16">
        <v>-9999</v>
      </c>
      <c r="DV152" s="16">
        <v>-9999</v>
      </c>
      <c r="DW152" s="16">
        <v>-9999</v>
      </c>
      <c r="DX152" s="16">
        <v>-9999</v>
      </c>
      <c r="DY152" s="16">
        <v>-9999</v>
      </c>
      <c r="DZ152" s="16">
        <v>-9999</v>
      </c>
      <c r="EA152" s="2257">
        <v>-9999</v>
      </c>
      <c r="EB152" s="2257">
        <v>-9999</v>
      </c>
      <c r="EC152" s="2257">
        <v>-9999</v>
      </c>
      <c r="ED152" s="2257">
        <v>-9999</v>
      </c>
      <c r="EE152" s="2257">
        <v>-9999</v>
      </c>
      <c r="EF152" s="2257">
        <v>-9999</v>
      </c>
      <c r="EG152" s="2257">
        <v>-9999</v>
      </c>
      <c r="EH152" s="2257">
        <v>-9999</v>
      </c>
      <c r="EI152" s="2257">
        <v>-9999</v>
      </c>
      <c r="EJ152" s="2257">
        <v>-9999</v>
      </c>
      <c r="EK152" s="2257">
        <v>-9999</v>
      </c>
      <c r="EL152" s="2257">
        <v>-9999</v>
      </c>
      <c r="EM152" s="2257">
        <v>-9999</v>
      </c>
    </row>
    <row r="153" spans="1:143" ht="13.15">
      <c r="A153" s="22">
        <v>53</v>
      </c>
      <c r="B153" s="30" t="s">
        <v>973</v>
      </c>
      <c r="C153" s="25">
        <v>-9999</v>
      </c>
      <c r="D153" s="25">
        <v>-9999</v>
      </c>
      <c r="E153" s="25">
        <v>-9999</v>
      </c>
      <c r="F153" s="25">
        <v>-9999</v>
      </c>
      <c r="G153" s="25">
        <v>-9999</v>
      </c>
      <c r="H153" s="25">
        <v>-9999</v>
      </c>
      <c r="I153" s="25">
        <v>-9999</v>
      </c>
      <c r="J153" s="25">
        <v>-9999</v>
      </c>
      <c r="K153" s="25">
        <v>-9999</v>
      </c>
      <c r="L153" s="25">
        <v>-9999</v>
      </c>
      <c r="M153" s="25">
        <v>-9999</v>
      </c>
      <c r="N153" s="25">
        <v>-9999</v>
      </c>
      <c r="O153" s="25">
        <v>-9999</v>
      </c>
      <c r="P153" s="32"/>
      <c r="Q153"/>
      <c r="AA153" s="22">
        <v>53</v>
      </c>
      <c r="AB153" s="1080" t="str">
        <f t="shared" si="3"/>
        <v>FOR FUTURE USE</v>
      </c>
      <c r="AC153" s="1080">
        <f>CHOOSE(Tables!$U$2,Transfer!CA153,Transfer!CN153,Transfer!DA153,Transfer!DN153,Transfer!EA153)</f>
        <v>-9999</v>
      </c>
      <c r="AD153" s="1080">
        <f>CHOOSE(Tables!$U$2,Transfer!CB153,Transfer!CO153,Transfer!DB153,Transfer!DO153,Transfer!EB153)</f>
        <v>-9999</v>
      </c>
      <c r="AE153" s="1080">
        <f>CHOOSE(Tables!$U$2,Transfer!CC153,Transfer!CP153,Transfer!DC153,Transfer!DP153,Transfer!EC153)</f>
        <v>-9999</v>
      </c>
      <c r="AF153" s="1080">
        <f>CHOOSE(Tables!$U$2,Transfer!CD153,Transfer!CQ153,Transfer!DD153,Transfer!DQ153,Transfer!ED153)</f>
        <v>-9999</v>
      </c>
      <c r="AG153" s="1080">
        <f>CHOOSE(Tables!$U$2,Transfer!CE153,Transfer!CR153,Transfer!DE153,Transfer!DR153,Transfer!EE153)</f>
        <v>-9999</v>
      </c>
      <c r="AH153" s="1080">
        <f>CHOOSE(Tables!$U$2,Transfer!CF153,Transfer!CS153,Transfer!DF153,Transfer!DS153,Transfer!EF153)</f>
        <v>-9999</v>
      </c>
      <c r="AI153" s="1080">
        <f>CHOOSE(Tables!$U$2,Transfer!CG153,Transfer!CT153,Transfer!DG153,Transfer!DT153,Transfer!EG153)</f>
        <v>-9999</v>
      </c>
      <c r="AJ153" s="1080">
        <f>CHOOSE(Tables!$U$2,Transfer!CH153,Transfer!CU153,Transfer!DH153,Transfer!DU153,Transfer!EH153)</f>
        <v>-9999</v>
      </c>
      <c r="AK153" s="1080">
        <f>CHOOSE(Tables!$U$2,Transfer!CI153,Transfer!CV153,Transfer!DI153,Transfer!DV153,Transfer!EI153)</f>
        <v>-9999</v>
      </c>
      <c r="AL153" s="1080">
        <f>CHOOSE(Tables!$U$2,Transfer!CJ153,Transfer!CW153,Transfer!DJ153,Transfer!DW153,Transfer!EJ153)</f>
        <v>-9999</v>
      </c>
      <c r="AM153" s="1080">
        <f>CHOOSE(Tables!$U$2,Transfer!CK153,Transfer!CX153,Transfer!DK153,Transfer!DX153,Transfer!EK153)</f>
        <v>-9999</v>
      </c>
      <c r="AN153" s="1080">
        <f>CHOOSE(Tables!$U$2,Transfer!CL153,Transfer!CY153,Transfer!DL153,Transfer!DY153,Transfer!EL153)</f>
        <v>-9999</v>
      </c>
      <c r="AO153" s="1080">
        <f>CHOOSE(Tables!$U$2,Transfer!CM153,Transfer!CZ153,Transfer!DM153,Transfer!DZ153,Transfer!EM153)</f>
        <v>-9999</v>
      </c>
      <c r="AR153" s="22">
        <v>53</v>
      </c>
      <c r="AS153" s="30" t="s">
        <v>973</v>
      </c>
      <c r="AT153" s="25">
        <f t="shared" si="6"/>
        <v>0</v>
      </c>
      <c r="AU153" s="25">
        <f t="shared" si="6"/>
        <v>0</v>
      </c>
      <c r="AV153" s="25">
        <f t="shared" si="6"/>
        <v>0</v>
      </c>
      <c r="AW153" s="25">
        <f t="shared" si="6"/>
        <v>0</v>
      </c>
      <c r="AX153" s="25">
        <f t="shared" si="6"/>
        <v>0</v>
      </c>
      <c r="AY153" s="25">
        <f t="shared" si="6"/>
        <v>0</v>
      </c>
      <c r="AZ153" s="25">
        <f t="shared" si="6"/>
        <v>0</v>
      </c>
      <c r="BA153" s="25">
        <f t="shared" si="6"/>
        <v>0</v>
      </c>
      <c r="BB153" s="25">
        <f t="shared" si="6"/>
        <v>0</v>
      </c>
      <c r="BC153" s="25">
        <f t="shared" si="6"/>
        <v>0</v>
      </c>
      <c r="BD153" s="25">
        <f t="shared" si="6"/>
        <v>0</v>
      </c>
      <c r="BE153" s="25">
        <f t="shared" si="6"/>
        <v>0</v>
      </c>
      <c r="BF153" s="25">
        <f t="shared" si="6"/>
        <v>0</v>
      </c>
      <c r="CA153" s="16">
        <v>-9999</v>
      </c>
      <c r="CB153" s="16">
        <v>-9999</v>
      </c>
      <c r="CC153" s="16">
        <v>-9999</v>
      </c>
      <c r="CD153" s="16">
        <v>-9999</v>
      </c>
      <c r="CE153" s="16">
        <v>-9999</v>
      </c>
      <c r="CF153" s="16">
        <v>-9999</v>
      </c>
      <c r="CG153" s="16">
        <v>-9999</v>
      </c>
      <c r="CH153" s="16">
        <v>-9999</v>
      </c>
      <c r="CI153" s="16">
        <v>-9999</v>
      </c>
      <c r="CJ153" s="16">
        <v>-9999</v>
      </c>
      <c r="CK153" s="16">
        <v>-9999</v>
      </c>
      <c r="CL153" s="16">
        <v>-9999</v>
      </c>
      <c r="CM153" s="16">
        <v>-9999</v>
      </c>
      <c r="CN153" s="16">
        <v>-9999</v>
      </c>
      <c r="CO153" s="16">
        <v>-9999</v>
      </c>
      <c r="CP153" s="16">
        <v>-9999</v>
      </c>
      <c r="CQ153" s="16">
        <v>-9999</v>
      </c>
      <c r="CR153" s="16">
        <v>-9999</v>
      </c>
      <c r="CS153" s="16">
        <v>-9999</v>
      </c>
      <c r="CT153" s="16">
        <v>-9999</v>
      </c>
      <c r="CU153" s="16">
        <v>-9999</v>
      </c>
      <c r="CV153" s="16">
        <v>-9999</v>
      </c>
      <c r="CW153" s="16">
        <v>-9999</v>
      </c>
      <c r="CX153" s="16">
        <v>-9999</v>
      </c>
      <c r="CY153" s="16">
        <v>-9999</v>
      </c>
      <c r="CZ153" s="16">
        <v>-9999</v>
      </c>
      <c r="DA153" s="16">
        <v>-9999</v>
      </c>
      <c r="DB153" s="16">
        <v>-9999</v>
      </c>
      <c r="DC153" s="16">
        <v>-9999</v>
      </c>
      <c r="DD153" s="16">
        <v>-9999</v>
      </c>
      <c r="DE153" s="16">
        <v>-9999</v>
      </c>
      <c r="DF153" s="16">
        <v>-9999</v>
      </c>
      <c r="DG153" s="16">
        <v>-9999</v>
      </c>
      <c r="DH153" s="16">
        <v>-9999</v>
      </c>
      <c r="DI153" s="16">
        <v>-9999</v>
      </c>
      <c r="DJ153" s="16">
        <v>-9999</v>
      </c>
      <c r="DK153" s="16">
        <v>-9999</v>
      </c>
      <c r="DL153" s="16">
        <v>-9999</v>
      </c>
      <c r="DM153" s="16">
        <v>-9999</v>
      </c>
      <c r="DN153" s="16">
        <v>-9999</v>
      </c>
      <c r="DO153" s="16">
        <v>-9999</v>
      </c>
      <c r="DP153" s="16">
        <v>-9999</v>
      </c>
      <c r="DQ153" s="16">
        <v>-9999</v>
      </c>
      <c r="DR153" s="16">
        <v>-9999</v>
      </c>
      <c r="DS153" s="16">
        <v>-9999</v>
      </c>
      <c r="DT153" s="16">
        <v>-9999</v>
      </c>
      <c r="DU153" s="16">
        <v>-9999</v>
      </c>
      <c r="DV153" s="16">
        <v>-9999</v>
      </c>
      <c r="DW153" s="16">
        <v>-9999</v>
      </c>
      <c r="DX153" s="16">
        <v>-9999</v>
      </c>
      <c r="DY153" s="16">
        <v>-9999</v>
      </c>
      <c r="DZ153" s="16">
        <v>-9999</v>
      </c>
      <c r="EA153" s="2257">
        <v>-9999</v>
      </c>
      <c r="EB153" s="2257">
        <v>-9999</v>
      </c>
      <c r="EC153" s="2257">
        <v>-9999</v>
      </c>
      <c r="ED153" s="2257">
        <v>-9999</v>
      </c>
      <c r="EE153" s="2257">
        <v>-9999</v>
      </c>
      <c r="EF153" s="2257">
        <v>-9999</v>
      </c>
      <c r="EG153" s="2257">
        <v>-9999</v>
      </c>
      <c r="EH153" s="2257">
        <v>-9999</v>
      </c>
      <c r="EI153" s="2257">
        <v>-9999</v>
      </c>
      <c r="EJ153" s="2257">
        <v>-9999</v>
      </c>
      <c r="EK153" s="2257">
        <v>-9999</v>
      </c>
      <c r="EL153" s="2257">
        <v>-9999</v>
      </c>
      <c r="EM153" s="2257">
        <v>-9999</v>
      </c>
    </row>
    <row r="154" spans="1:143" ht="13.15">
      <c r="A154" s="3182">
        <v>54</v>
      </c>
      <c r="B154" s="29" t="s">
        <v>1627</v>
      </c>
      <c r="C154" s="35">
        <f ca="1">OFFSET('VVP2'!F363,0,Last_forecast_year - 3-InputY!$G$3)</f>
        <v>101.135833333333</v>
      </c>
      <c r="D154" s="35">
        <f ca="1">OFFSET('VVP2'!G363,0,Last_forecast_year - 3-InputY!$G$3)</f>
        <v>103.023333333333</v>
      </c>
      <c r="E154" s="35">
        <f ca="1">OFFSET('VVP2'!H363,0,Last_forecast_year - 3-InputY!$G$3)</f>
        <v>105.17489965213888</v>
      </c>
      <c r="F154" s="35">
        <f ca="1">OFFSET('VVP2'!I363,0,Last_forecast_year - 3-InputY!$G$3)</f>
        <v>107.17700392876583</v>
      </c>
      <c r="G154" s="35">
        <f ca="1">OFFSET('VVP2'!J363,0,Last_forecast_year - 3-InputY!$G$3)</f>
        <v>108.88911326812098</v>
      </c>
      <c r="H154" s="25">
        <v>-9999</v>
      </c>
      <c r="I154" s="25">
        <v>-9999</v>
      </c>
      <c r="J154" s="25">
        <v>-9999</v>
      </c>
      <c r="K154" s="25">
        <v>-9999</v>
      </c>
      <c r="L154" s="25">
        <v>-9999</v>
      </c>
      <c r="M154" s="25">
        <v>-9999</v>
      </c>
      <c r="N154" s="25">
        <v>-9999</v>
      </c>
      <c r="O154" s="25">
        <v>-9999</v>
      </c>
      <c r="P154" s="32"/>
      <c r="Q154"/>
      <c r="AA154" s="22">
        <v>54</v>
      </c>
      <c r="AB154" s="1080" t="str">
        <f t="shared" si="3"/>
        <v>CONSUMER PRICE HARMONIZED INDEX</v>
      </c>
      <c r="AC154" s="1080">
        <f>CHOOSE(Tables!$U$2,Transfer!CA154,Transfer!CN154,Transfer!DA154,Transfer!DN154,Transfer!EA154)</f>
        <v>100</v>
      </c>
      <c r="AD154" s="1080">
        <f>CHOOSE(Tables!$U$2,Transfer!CB154,Transfer!CO154,Transfer!DB154,Transfer!DO154,Transfer!EB154)</f>
        <v>101.135833333333</v>
      </c>
      <c r="AE154" s="1080">
        <f>CHOOSE(Tables!$U$2,Transfer!CC154,Transfer!CP154,Transfer!DC154,Transfer!DP154,Transfer!EC154)</f>
        <v>103.023333333333</v>
      </c>
      <c r="AF154" s="1080">
        <f>CHOOSE(Tables!$U$2,Transfer!CD154,Transfer!CQ154,Transfer!DD154,Transfer!DQ154,Transfer!ED154)</f>
        <v>105.02483133251376</v>
      </c>
      <c r="AG154" s="1080">
        <f>CHOOSE(Tables!$U$2,Transfer!CE154,Transfer!CR154,Transfer!DE154,Transfer!DR154,Transfer!EE154)</f>
        <v>106.77394239360207</v>
      </c>
      <c r="AH154" s="1080">
        <f>CHOOSE(Tables!$U$2,Transfer!CF154,Transfer!CS154,Transfer!DF154,Transfer!DS154,Transfer!EF154)</f>
        <v>-9999</v>
      </c>
      <c r="AI154" s="1080">
        <f>CHOOSE(Tables!$U$2,Transfer!CG154,Transfer!CT154,Transfer!DG154,Transfer!DT154,Transfer!EG154)</f>
        <v>-9999</v>
      </c>
      <c r="AJ154" s="1080">
        <f>CHOOSE(Tables!$U$2,Transfer!CH154,Transfer!CU154,Transfer!DH154,Transfer!DU154,Transfer!EH154)</f>
        <v>-9999</v>
      </c>
      <c r="AK154" s="1080">
        <f>CHOOSE(Tables!$U$2,Transfer!CI154,Transfer!CV154,Transfer!DI154,Transfer!DV154,Transfer!EI154)</f>
        <v>-9999</v>
      </c>
      <c r="AL154" s="1080">
        <f>CHOOSE(Tables!$U$2,Transfer!CJ154,Transfer!CW154,Transfer!DJ154,Transfer!DW154,Transfer!EJ154)</f>
        <v>-9999</v>
      </c>
      <c r="AM154" s="1080">
        <f>CHOOSE(Tables!$U$2,Transfer!CK154,Transfer!CX154,Transfer!DK154,Transfer!DX154,Transfer!EK154)</f>
        <v>-9999</v>
      </c>
      <c r="AN154" s="1080">
        <f>CHOOSE(Tables!$U$2,Transfer!CL154,Transfer!CY154,Transfer!DL154,Transfer!DY154,Transfer!EL154)</f>
        <v>-9999</v>
      </c>
      <c r="AO154" s="1080">
        <f>CHOOSE(Tables!$U$2,Transfer!CM154,Transfer!CZ154,Transfer!DM154,Transfer!DZ154,Transfer!EM154)</f>
        <v>-9999</v>
      </c>
      <c r="AR154" s="22">
        <v>54</v>
      </c>
      <c r="AS154" s="1" t="s">
        <v>1627</v>
      </c>
      <c r="AT154" s="24">
        <f t="shared" ca="1" si="6"/>
        <v>1.1358333333329966</v>
      </c>
      <c r="AU154" s="24">
        <f t="shared" ca="1" si="6"/>
        <v>1.8875000000000028</v>
      </c>
      <c r="AV154" s="24">
        <f t="shared" ca="1" si="6"/>
        <v>2.1515663188058767</v>
      </c>
      <c r="AW154" s="24">
        <f t="shared" ca="1" si="6"/>
        <v>2.1521725962520719</v>
      </c>
      <c r="AX154" s="24">
        <f t="shared" ca="1" si="6"/>
        <v>2.1151708745189097</v>
      </c>
      <c r="AY154" s="25">
        <f t="shared" si="6"/>
        <v>0</v>
      </c>
      <c r="AZ154" s="25">
        <f t="shared" si="6"/>
        <v>0</v>
      </c>
      <c r="BA154" s="25">
        <f t="shared" si="6"/>
        <v>0</v>
      </c>
      <c r="BB154" s="25">
        <f t="shared" si="6"/>
        <v>0</v>
      </c>
      <c r="BC154" s="25">
        <f t="shared" si="6"/>
        <v>0</v>
      </c>
      <c r="BD154" s="25">
        <f t="shared" si="6"/>
        <v>0</v>
      </c>
      <c r="BE154" s="25">
        <f t="shared" si="6"/>
        <v>0</v>
      </c>
      <c r="BF154" s="25">
        <f t="shared" si="6"/>
        <v>0</v>
      </c>
      <c r="CA154" s="16">
        <v>101.135833333333</v>
      </c>
      <c r="CB154" s="16">
        <v>103.023333333333</v>
      </c>
      <c r="CC154" s="16">
        <v>105.17489965213888</v>
      </c>
      <c r="CD154" s="16">
        <v>107.17700392876583</v>
      </c>
      <c r="CE154" s="16">
        <v>108.88911326812098</v>
      </c>
      <c r="CF154" s="16">
        <v>-9999</v>
      </c>
      <c r="CG154" s="16">
        <v>-9999</v>
      </c>
      <c r="CH154" s="16">
        <v>-9999</v>
      </c>
      <c r="CI154" s="16">
        <v>-9999</v>
      </c>
      <c r="CJ154" s="16">
        <v>-9999</v>
      </c>
      <c r="CK154" s="16">
        <v>-9999</v>
      </c>
      <c r="CL154" s="16">
        <v>-9999</v>
      </c>
      <c r="CM154" s="16">
        <v>-9999</v>
      </c>
      <c r="CN154" s="16">
        <v>100</v>
      </c>
      <c r="CO154" s="16">
        <v>101.135833333333</v>
      </c>
      <c r="CP154" s="16">
        <v>103.023333333333</v>
      </c>
      <c r="CQ154" s="16">
        <v>105.02483133251376</v>
      </c>
      <c r="CR154" s="16">
        <v>106.77394239360207</v>
      </c>
      <c r="CS154" s="16">
        <v>-9999</v>
      </c>
      <c r="CT154" s="16">
        <v>-9999</v>
      </c>
      <c r="CU154" s="16">
        <v>-9999</v>
      </c>
      <c r="CV154" s="16">
        <v>-9999</v>
      </c>
      <c r="CW154" s="16">
        <v>-9999</v>
      </c>
      <c r="CX154" s="16">
        <v>-9999</v>
      </c>
      <c r="CY154" s="16">
        <v>-9999</v>
      </c>
      <c r="CZ154" s="16">
        <v>-9999</v>
      </c>
      <c r="DA154" s="16">
        <v>101.135833333333</v>
      </c>
      <c r="DB154" s="16">
        <v>103.023333333333</v>
      </c>
      <c r="DC154" s="16">
        <v>105.134279526222</v>
      </c>
      <c r="DD154" s="16">
        <v>107.01475337822569</v>
      </c>
      <c r="DE154" s="16">
        <v>108.61226166703351</v>
      </c>
      <c r="DF154" s="16">
        <v>-9999</v>
      </c>
      <c r="DG154" s="16">
        <v>-9999</v>
      </c>
      <c r="DH154" s="16">
        <v>-9999</v>
      </c>
      <c r="DI154" s="16">
        <v>-9999</v>
      </c>
      <c r="DJ154" s="16">
        <v>-9999</v>
      </c>
      <c r="DK154" s="16">
        <v>-9999</v>
      </c>
      <c r="DL154" s="16">
        <v>-9999</v>
      </c>
      <c r="DM154" s="16">
        <v>-9999</v>
      </c>
      <c r="DN154" s="16">
        <v>101.135833333333</v>
      </c>
      <c r="DO154" s="16">
        <v>103.023333333333</v>
      </c>
      <c r="DP154" s="16">
        <v>105.134279526222</v>
      </c>
      <c r="DQ154" s="16">
        <v>107.01475337822569</v>
      </c>
      <c r="DR154" s="16">
        <v>108.61226166703351</v>
      </c>
      <c r="DS154" s="16">
        <v>-9999</v>
      </c>
      <c r="DT154" s="16">
        <v>-9999</v>
      </c>
      <c r="DU154" s="16">
        <v>-9999</v>
      </c>
      <c r="DV154" s="16">
        <v>-9999</v>
      </c>
      <c r="DW154" s="16">
        <v>-9999</v>
      </c>
      <c r="DX154" s="16">
        <v>-9999</v>
      </c>
      <c r="DY154" s="16">
        <v>-9999</v>
      </c>
      <c r="DZ154" s="16">
        <v>-9999</v>
      </c>
      <c r="EA154" s="2256">
        <v>101.135833333333</v>
      </c>
      <c r="EB154" s="2256">
        <v>103.023333333333</v>
      </c>
      <c r="EC154" s="2256">
        <v>105.17489965213888</v>
      </c>
      <c r="ED154" s="2256">
        <v>107.17700392876583</v>
      </c>
      <c r="EE154" s="2256">
        <v>108.88911326812098</v>
      </c>
      <c r="EF154" s="2257">
        <v>-9999</v>
      </c>
      <c r="EG154" s="2257">
        <v>-9999</v>
      </c>
      <c r="EH154" s="2257">
        <v>-9999</v>
      </c>
      <c r="EI154" s="2257">
        <v>-9999</v>
      </c>
      <c r="EJ154" s="2257">
        <v>-9999</v>
      </c>
      <c r="EK154" s="2257">
        <v>-9999</v>
      </c>
      <c r="EL154" s="2257">
        <v>-9999</v>
      </c>
      <c r="EM154" s="2257">
        <v>-9999</v>
      </c>
    </row>
    <row r="155" spans="1:143" ht="13.15">
      <c r="A155" s="22">
        <v>55</v>
      </c>
      <c r="B155" s="1" t="s">
        <v>1597</v>
      </c>
      <c r="C155" s="34">
        <v>-9999</v>
      </c>
      <c r="D155" s="34">
        <v>-9999</v>
      </c>
      <c r="E155" s="34">
        <v>-9999</v>
      </c>
      <c r="F155" s="34">
        <v>-9999</v>
      </c>
      <c r="G155" s="34">
        <v>-9999</v>
      </c>
      <c r="H155" s="25">
        <v>-9999</v>
      </c>
      <c r="I155" s="25">
        <v>-9999</v>
      </c>
      <c r="J155" s="25">
        <v>-9999</v>
      </c>
      <c r="K155" s="25">
        <v>-9999</v>
      </c>
      <c r="L155" s="25">
        <v>-9999</v>
      </c>
      <c r="M155" s="25">
        <v>-9999</v>
      </c>
      <c r="N155" s="25">
        <v>-9999</v>
      </c>
      <c r="O155" s="25">
        <v>-9999</v>
      </c>
      <c r="P155" s="32"/>
      <c r="Q155"/>
      <c r="AA155" s="22">
        <v>55</v>
      </c>
      <c r="AB155" s="1080" t="str">
        <f t="shared" si="3"/>
        <v>CONSUMER PRICE GENERAL INDEX</v>
      </c>
      <c r="AC155" s="1080">
        <f>CHOOSE(Tables!$U$2,Transfer!CA155,Transfer!CN155,Transfer!DA155,Transfer!DN155,Transfer!EA155)</f>
        <v>-9999</v>
      </c>
      <c r="AD155" s="1080">
        <f>CHOOSE(Tables!$U$2,Transfer!CB155,Transfer!CO155,Transfer!DB155,Transfer!DO155,Transfer!EB155)</f>
        <v>-9999</v>
      </c>
      <c r="AE155" s="1080">
        <f>CHOOSE(Tables!$U$2,Transfer!CC155,Transfer!CP155,Transfer!DC155,Transfer!DP155,Transfer!EC155)</f>
        <v>-9999</v>
      </c>
      <c r="AF155" s="1080">
        <f>CHOOSE(Tables!$U$2,Transfer!CD155,Transfer!CQ155,Transfer!DD155,Transfer!DQ155,Transfer!ED155)</f>
        <v>-9999</v>
      </c>
      <c r="AG155" s="1080">
        <f>CHOOSE(Tables!$U$2,Transfer!CE155,Transfer!CR155,Transfer!DE155,Transfer!DR155,Transfer!EE155)</f>
        <v>-9999</v>
      </c>
      <c r="AH155" s="1080">
        <f>CHOOSE(Tables!$U$2,Transfer!CF155,Transfer!CS155,Transfer!DF155,Transfer!DS155,Transfer!EF155)</f>
        <v>-9999</v>
      </c>
      <c r="AI155" s="1080">
        <f>CHOOSE(Tables!$U$2,Transfer!CG155,Transfer!CT155,Transfer!DG155,Transfer!DT155,Transfer!EG155)</f>
        <v>-9999</v>
      </c>
      <c r="AJ155" s="1080">
        <f>CHOOSE(Tables!$U$2,Transfer!CH155,Transfer!CU155,Transfer!DH155,Transfer!DU155,Transfer!EH155)</f>
        <v>-9999</v>
      </c>
      <c r="AK155" s="1080">
        <f>CHOOSE(Tables!$U$2,Transfer!CI155,Transfer!CV155,Transfer!DI155,Transfer!DV155,Transfer!EI155)</f>
        <v>-9999</v>
      </c>
      <c r="AL155" s="1080">
        <f>CHOOSE(Tables!$U$2,Transfer!CJ155,Transfer!CW155,Transfer!DJ155,Transfer!DW155,Transfer!EJ155)</f>
        <v>-9999</v>
      </c>
      <c r="AM155" s="1080">
        <f>CHOOSE(Tables!$U$2,Transfer!CK155,Transfer!CX155,Transfer!DK155,Transfer!DX155,Transfer!EK155)</f>
        <v>-9999</v>
      </c>
      <c r="AN155" s="1080">
        <f>CHOOSE(Tables!$U$2,Transfer!CL155,Transfer!CY155,Transfer!DL155,Transfer!DY155,Transfer!EL155)</f>
        <v>-9999</v>
      </c>
      <c r="AO155" s="1080">
        <f>CHOOSE(Tables!$U$2,Transfer!CM155,Transfer!CZ155,Transfer!DM155,Transfer!DZ155,Transfer!EM155)</f>
        <v>-9999</v>
      </c>
      <c r="AR155" s="22">
        <v>55</v>
      </c>
      <c r="AS155" s="1" t="s">
        <v>1597</v>
      </c>
      <c r="AT155" s="24">
        <f t="shared" si="6"/>
        <v>0</v>
      </c>
      <c r="AU155" s="24">
        <f t="shared" si="6"/>
        <v>0</v>
      </c>
      <c r="AV155" s="24">
        <f t="shared" si="6"/>
        <v>0</v>
      </c>
      <c r="AW155" s="24">
        <f t="shared" si="6"/>
        <v>0</v>
      </c>
      <c r="AX155" s="24">
        <f t="shared" si="6"/>
        <v>0</v>
      </c>
      <c r="AY155" s="25">
        <f t="shared" si="6"/>
        <v>0</v>
      </c>
      <c r="AZ155" s="25">
        <f t="shared" si="6"/>
        <v>0</v>
      </c>
      <c r="BA155" s="25">
        <f t="shared" si="6"/>
        <v>0</v>
      </c>
      <c r="BB155" s="25">
        <f t="shared" si="6"/>
        <v>0</v>
      </c>
      <c r="BC155" s="25">
        <f t="shared" si="6"/>
        <v>0</v>
      </c>
      <c r="BD155" s="25">
        <f t="shared" si="6"/>
        <v>0</v>
      </c>
      <c r="BE155" s="25">
        <f t="shared" si="6"/>
        <v>0</v>
      </c>
      <c r="BF155" s="25">
        <f t="shared" si="6"/>
        <v>0</v>
      </c>
      <c r="CA155" s="16">
        <v>-9999</v>
      </c>
      <c r="CB155" s="16">
        <v>-9999</v>
      </c>
      <c r="CC155" s="16">
        <v>-9999</v>
      </c>
      <c r="CD155" s="16">
        <v>-9999</v>
      </c>
      <c r="CE155" s="16">
        <v>-9999</v>
      </c>
      <c r="CF155" s="16">
        <v>-9999</v>
      </c>
      <c r="CG155" s="16">
        <v>-9999</v>
      </c>
      <c r="CH155" s="16">
        <v>-9999</v>
      </c>
      <c r="CI155" s="16">
        <v>-9999</v>
      </c>
      <c r="CJ155" s="16">
        <v>-9999</v>
      </c>
      <c r="CK155" s="16">
        <v>-9999</v>
      </c>
      <c r="CL155" s="16">
        <v>-9999</v>
      </c>
      <c r="CM155" s="16">
        <v>-9999</v>
      </c>
      <c r="CN155" s="16">
        <v>-9999</v>
      </c>
      <c r="CO155" s="16">
        <v>-9999</v>
      </c>
      <c r="CP155" s="16">
        <v>-9999</v>
      </c>
      <c r="CQ155" s="16">
        <v>-9999</v>
      </c>
      <c r="CR155" s="16">
        <v>-9999</v>
      </c>
      <c r="CS155" s="16">
        <v>-9999</v>
      </c>
      <c r="CT155" s="16">
        <v>-9999</v>
      </c>
      <c r="CU155" s="16">
        <v>-9999</v>
      </c>
      <c r="CV155" s="16">
        <v>-9999</v>
      </c>
      <c r="CW155" s="16">
        <v>-9999</v>
      </c>
      <c r="CX155" s="16">
        <v>-9999</v>
      </c>
      <c r="CY155" s="16">
        <v>-9999</v>
      </c>
      <c r="CZ155" s="16">
        <v>-9999</v>
      </c>
      <c r="DA155" s="16">
        <v>-9999</v>
      </c>
      <c r="DB155" s="16">
        <v>-9999</v>
      </c>
      <c r="DC155" s="16">
        <v>-9999</v>
      </c>
      <c r="DD155" s="16">
        <v>-9999</v>
      </c>
      <c r="DE155" s="16">
        <v>-9999</v>
      </c>
      <c r="DF155" s="16">
        <v>-9999</v>
      </c>
      <c r="DG155" s="16">
        <v>-9999</v>
      </c>
      <c r="DH155" s="16">
        <v>-9999</v>
      </c>
      <c r="DI155" s="16">
        <v>-9999</v>
      </c>
      <c r="DJ155" s="16">
        <v>-9999</v>
      </c>
      <c r="DK155" s="16">
        <v>-9999</v>
      </c>
      <c r="DL155" s="16">
        <v>-9999</v>
      </c>
      <c r="DM155" s="16">
        <v>-9999</v>
      </c>
      <c r="DN155" s="16">
        <v>-9999</v>
      </c>
      <c r="DO155" s="16">
        <v>-9999</v>
      </c>
      <c r="DP155" s="16">
        <v>-9999</v>
      </c>
      <c r="DQ155" s="16">
        <v>-9999</v>
      </c>
      <c r="DR155" s="16">
        <v>-9999</v>
      </c>
      <c r="DS155" s="16">
        <v>-9999</v>
      </c>
      <c r="DT155" s="16">
        <v>-9999</v>
      </c>
      <c r="DU155" s="16">
        <v>-9999</v>
      </c>
      <c r="DV155" s="16">
        <v>-9999</v>
      </c>
      <c r="DW155" s="16">
        <v>-9999</v>
      </c>
      <c r="DX155" s="16">
        <v>-9999</v>
      </c>
      <c r="DY155" s="16">
        <v>-9999</v>
      </c>
      <c r="DZ155" s="16">
        <v>-9999</v>
      </c>
      <c r="EA155" s="2256">
        <v>-9999</v>
      </c>
      <c r="EB155" s="2256">
        <v>-9999</v>
      </c>
      <c r="EC155" s="2256">
        <v>-9999</v>
      </c>
      <c r="ED155" s="2256">
        <v>-9999</v>
      </c>
      <c r="EE155" s="2256">
        <v>-9999</v>
      </c>
      <c r="EF155" s="2257">
        <v>-9999</v>
      </c>
      <c r="EG155" s="2257">
        <v>-9999</v>
      </c>
      <c r="EH155" s="2257">
        <v>-9999</v>
      </c>
      <c r="EI155" s="2257">
        <v>-9999</v>
      </c>
      <c r="EJ155" s="2257">
        <v>-9999</v>
      </c>
      <c r="EK155" s="2257">
        <v>-9999</v>
      </c>
      <c r="EL155" s="2257">
        <v>-9999</v>
      </c>
      <c r="EM155" s="2257">
        <v>-9999</v>
      </c>
    </row>
    <row r="156" spans="1:143" ht="13.15">
      <c r="A156" s="22">
        <v>56</v>
      </c>
      <c r="B156" s="30" t="s">
        <v>973</v>
      </c>
      <c r="C156" s="25">
        <v>-9999</v>
      </c>
      <c r="D156" s="25">
        <v>-9999</v>
      </c>
      <c r="E156" s="25">
        <v>-9999</v>
      </c>
      <c r="F156" s="25">
        <v>-9999</v>
      </c>
      <c r="G156" s="25">
        <v>-9999</v>
      </c>
      <c r="H156" s="25">
        <v>-9999</v>
      </c>
      <c r="I156" s="25">
        <v>-9999</v>
      </c>
      <c r="J156" s="25">
        <v>-9999</v>
      </c>
      <c r="K156" s="25">
        <v>-9999</v>
      </c>
      <c r="L156" s="25">
        <v>-9999</v>
      </c>
      <c r="M156" s="25">
        <v>-9999</v>
      </c>
      <c r="N156" s="25">
        <v>-9999</v>
      </c>
      <c r="O156" s="25">
        <v>-9999</v>
      </c>
      <c r="P156" s="32"/>
      <c r="Q156"/>
      <c r="AA156" s="22">
        <v>56</v>
      </c>
      <c r="AB156" s="1080" t="str">
        <f t="shared" si="3"/>
        <v>FOR FUTURE USE</v>
      </c>
      <c r="AC156" s="1080">
        <f>CHOOSE(Tables!$U$2,Transfer!CA156,Transfer!CN156,Transfer!DA156,Transfer!DN156,Transfer!EA156)</f>
        <v>-9999</v>
      </c>
      <c r="AD156" s="1080">
        <f>CHOOSE(Tables!$U$2,Transfer!CB156,Transfer!CO156,Transfer!DB156,Transfer!DO156,Transfer!EB156)</f>
        <v>-9999</v>
      </c>
      <c r="AE156" s="1080">
        <f>CHOOSE(Tables!$U$2,Transfer!CC156,Transfer!CP156,Transfer!DC156,Transfer!DP156,Transfer!EC156)</f>
        <v>-9999</v>
      </c>
      <c r="AF156" s="1080">
        <f>CHOOSE(Tables!$U$2,Transfer!CD156,Transfer!CQ156,Transfer!DD156,Transfer!DQ156,Transfer!ED156)</f>
        <v>-9999</v>
      </c>
      <c r="AG156" s="1080">
        <f>CHOOSE(Tables!$U$2,Transfer!CE156,Transfer!CR156,Transfer!DE156,Transfer!DR156,Transfer!EE156)</f>
        <v>-9999</v>
      </c>
      <c r="AH156" s="1080">
        <f>CHOOSE(Tables!$U$2,Transfer!CF156,Transfer!CS156,Transfer!DF156,Transfer!DS156,Transfer!EF156)</f>
        <v>-9999</v>
      </c>
      <c r="AI156" s="1080">
        <f>CHOOSE(Tables!$U$2,Transfer!CG156,Transfer!CT156,Transfer!DG156,Transfer!DT156,Transfer!EG156)</f>
        <v>-9999</v>
      </c>
      <c r="AJ156" s="1080">
        <f>CHOOSE(Tables!$U$2,Transfer!CH156,Transfer!CU156,Transfer!DH156,Transfer!DU156,Transfer!EH156)</f>
        <v>-9999</v>
      </c>
      <c r="AK156" s="1080">
        <f>CHOOSE(Tables!$U$2,Transfer!CI156,Transfer!CV156,Transfer!DI156,Transfer!DV156,Transfer!EI156)</f>
        <v>-9999</v>
      </c>
      <c r="AL156" s="1080">
        <f>CHOOSE(Tables!$U$2,Transfer!CJ156,Transfer!CW156,Transfer!DJ156,Transfer!DW156,Transfer!EJ156)</f>
        <v>-9999</v>
      </c>
      <c r="AM156" s="1080">
        <f>CHOOSE(Tables!$U$2,Transfer!CK156,Transfer!CX156,Transfer!DK156,Transfer!DX156,Transfer!EK156)</f>
        <v>-9999</v>
      </c>
      <c r="AN156" s="1080">
        <f>CHOOSE(Tables!$U$2,Transfer!CL156,Transfer!CY156,Transfer!DL156,Transfer!DY156,Transfer!EL156)</f>
        <v>-9999</v>
      </c>
      <c r="AO156" s="1080">
        <f>CHOOSE(Tables!$U$2,Transfer!CM156,Transfer!CZ156,Transfer!DM156,Transfer!DZ156,Transfer!EM156)</f>
        <v>-9999</v>
      </c>
      <c r="AR156" s="22">
        <v>56</v>
      </c>
      <c r="AS156" s="30" t="s">
        <v>973</v>
      </c>
      <c r="AT156" s="25">
        <f t="shared" si="6"/>
        <v>0</v>
      </c>
      <c r="AU156" s="25">
        <f t="shared" si="6"/>
        <v>0</v>
      </c>
      <c r="AV156" s="25">
        <f t="shared" si="6"/>
        <v>0</v>
      </c>
      <c r="AW156" s="25">
        <f t="shared" si="6"/>
        <v>0</v>
      </c>
      <c r="AX156" s="25">
        <f t="shared" si="6"/>
        <v>0</v>
      </c>
      <c r="AY156" s="25">
        <f t="shared" si="6"/>
        <v>0</v>
      </c>
      <c r="AZ156" s="25">
        <f t="shared" si="6"/>
        <v>0</v>
      </c>
      <c r="BA156" s="25">
        <f t="shared" si="6"/>
        <v>0</v>
      </c>
      <c r="BB156" s="25">
        <f t="shared" si="6"/>
        <v>0</v>
      </c>
      <c r="BC156" s="25">
        <f t="shared" si="6"/>
        <v>0</v>
      </c>
      <c r="BD156" s="25">
        <f t="shared" si="6"/>
        <v>0</v>
      </c>
      <c r="BE156" s="25">
        <f t="shared" si="6"/>
        <v>0</v>
      </c>
      <c r="BF156" s="25">
        <f t="shared" si="6"/>
        <v>0</v>
      </c>
      <c r="CA156" s="16">
        <v>-9999</v>
      </c>
      <c r="CB156" s="16">
        <v>-9999</v>
      </c>
      <c r="CC156" s="16">
        <v>-9999</v>
      </c>
      <c r="CD156" s="16">
        <v>-9999</v>
      </c>
      <c r="CE156" s="16">
        <v>-9999</v>
      </c>
      <c r="CF156" s="16">
        <v>-9999</v>
      </c>
      <c r="CG156" s="16">
        <v>-9999</v>
      </c>
      <c r="CH156" s="16">
        <v>-9999</v>
      </c>
      <c r="CI156" s="16">
        <v>-9999</v>
      </c>
      <c r="CJ156" s="16">
        <v>-9999</v>
      </c>
      <c r="CK156" s="16">
        <v>-9999</v>
      </c>
      <c r="CL156" s="16">
        <v>-9999</v>
      </c>
      <c r="CM156" s="16">
        <v>-9999</v>
      </c>
      <c r="CN156" s="16">
        <v>-9999</v>
      </c>
      <c r="CO156" s="16">
        <v>-9999</v>
      </c>
      <c r="CP156" s="16">
        <v>-9999</v>
      </c>
      <c r="CQ156" s="16">
        <v>-9999</v>
      </c>
      <c r="CR156" s="16">
        <v>-9999</v>
      </c>
      <c r="CS156" s="16">
        <v>-9999</v>
      </c>
      <c r="CT156" s="16">
        <v>-9999</v>
      </c>
      <c r="CU156" s="16">
        <v>-9999</v>
      </c>
      <c r="CV156" s="16">
        <v>-9999</v>
      </c>
      <c r="CW156" s="16">
        <v>-9999</v>
      </c>
      <c r="CX156" s="16">
        <v>-9999</v>
      </c>
      <c r="CY156" s="16">
        <v>-9999</v>
      </c>
      <c r="CZ156" s="16">
        <v>-9999</v>
      </c>
      <c r="DA156" s="16">
        <v>-9999</v>
      </c>
      <c r="DB156" s="16">
        <v>-9999</v>
      </c>
      <c r="DC156" s="16">
        <v>-9999</v>
      </c>
      <c r="DD156" s="16">
        <v>-9999</v>
      </c>
      <c r="DE156" s="16">
        <v>-9999</v>
      </c>
      <c r="DF156" s="16">
        <v>-9999</v>
      </c>
      <c r="DG156" s="16">
        <v>-9999</v>
      </c>
      <c r="DH156" s="16">
        <v>-9999</v>
      </c>
      <c r="DI156" s="16">
        <v>-9999</v>
      </c>
      <c r="DJ156" s="16">
        <v>-9999</v>
      </c>
      <c r="DK156" s="16">
        <v>-9999</v>
      </c>
      <c r="DL156" s="16">
        <v>-9999</v>
      </c>
      <c r="DM156" s="16">
        <v>-9999</v>
      </c>
      <c r="DN156" s="16">
        <v>-9999</v>
      </c>
      <c r="DO156" s="16">
        <v>-9999</v>
      </c>
      <c r="DP156" s="16">
        <v>-9999</v>
      </c>
      <c r="DQ156" s="16">
        <v>-9999</v>
      </c>
      <c r="DR156" s="16">
        <v>-9999</v>
      </c>
      <c r="DS156" s="16">
        <v>-9999</v>
      </c>
      <c r="DT156" s="16">
        <v>-9999</v>
      </c>
      <c r="DU156" s="16">
        <v>-9999</v>
      </c>
      <c r="DV156" s="16">
        <v>-9999</v>
      </c>
      <c r="DW156" s="16">
        <v>-9999</v>
      </c>
      <c r="DX156" s="16">
        <v>-9999</v>
      </c>
      <c r="DY156" s="16">
        <v>-9999</v>
      </c>
      <c r="DZ156" s="16">
        <v>-9999</v>
      </c>
      <c r="EA156" s="2257">
        <v>-9999</v>
      </c>
      <c r="EB156" s="2257">
        <v>-9999</v>
      </c>
      <c r="EC156" s="2257">
        <v>-9999</v>
      </c>
      <c r="ED156" s="2257">
        <v>-9999</v>
      </c>
      <c r="EE156" s="2257">
        <v>-9999</v>
      </c>
      <c r="EF156" s="2257">
        <v>-9999</v>
      </c>
      <c r="EG156" s="2257">
        <v>-9999</v>
      </c>
      <c r="EH156" s="2257">
        <v>-9999</v>
      </c>
      <c r="EI156" s="2257">
        <v>-9999</v>
      </c>
      <c r="EJ156" s="2257">
        <v>-9999</v>
      </c>
      <c r="EK156" s="2257">
        <v>-9999</v>
      </c>
      <c r="EL156" s="2257">
        <v>-9999</v>
      </c>
      <c r="EM156" s="2257">
        <v>-9999</v>
      </c>
    </row>
    <row r="157" spans="1:143" ht="13.15">
      <c r="A157" s="22">
        <v>57</v>
      </c>
      <c r="B157" s="1" t="s">
        <v>1703</v>
      </c>
      <c r="C157" s="24">
        <f ca="1">OFFSET(Sector1!F88,0,Last_forecast_year - 3-InputY!$G$3)</f>
        <v>3876.3760000000002</v>
      </c>
      <c r="D157" s="24">
        <f ca="1">OFFSET(Sector1!G88,0,Last_forecast_year - 3-InputY!$G$3)</f>
        <v>4049.096</v>
      </c>
      <c r="E157" s="24">
        <f ca="1">OFFSET(Sector1!H88,0,Last_forecast_year - 3-InputY!$G$3)</f>
        <v>4247.219295971765</v>
      </c>
      <c r="F157" s="24">
        <f ca="1">OFFSET(Sector1!I88,0,Last_forecast_year - 3-InputY!$G$3)</f>
        <v>4404.5889026853374</v>
      </c>
      <c r="G157" s="24">
        <f ca="1">OFFSET(Sector1!J88,0,Last_forecast_year - 3-InputY!$G$3)</f>
        <v>4561.1803964037335</v>
      </c>
      <c r="H157" s="25">
        <v>-9999</v>
      </c>
      <c r="I157" s="25">
        <v>-9999</v>
      </c>
      <c r="J157" s="25">
        <v>-9999</v>
      </c>
      <c r="K157" s="25">
        <v>-9999</v>
      </c>
      <c r="L157" s="25">
        <v>-9999</v>
      </c>
      <c r="M157" s="25">
        <v>-9999</v>
      </c>
      <c r="N157" s="25">
        <v>-9999</v>
      </c>
      <c r="O157" s="25">
        <v>-9999</v>
      </c>
      <c r="P157" s="32"/>
      <c r="Q157"/>
      <c r="AA157" s="22">
        <v>57</v>
      </c>
      <c r="AB157" s="1080" t="str">
        <f t="shared" si="3"/>
        <v>VAL GROSS VALUE ADDED</v>
      </c>
      <c r="AC157" s="1080">
        <f>CHOOSE(Tables!$U$2,Transfer!CA157,Transfer!CN157,Transfer!DA157,Transfer!DN157,Transfer!EA157)</f>
        <v>3719.7570000000001</v>
      </c>
      <c r="AD157" s="1080">
        <f>CHOOSE(Tables!$U$2,Transfer!CB157,Transfer!CO157,Transfer!DB157,Transfer!DO157,Transfer!EB157)</f>
        <v>3894.261</v>
      </c>
      <c r="AE157" s="1080">
        <f>CHOOSE(Tables!$U$2,Transfer!CC157,Transfer!CP157,Transfer!DC157,Transfer!DP157,Transfer!EC157)</f>
        <v>4071.8969999999999</v>
      </c>
      <c r="AF157" s="1080">
        <f>CHOOSE(Tables!$U$2,Transfer!CD157,Transfer!CQ157,Transfer!DD157,Transfer!DQ157,Transfer!ED157)</f>
        <v>4266.1414779156576</v>
      </c>
      <c r="AG157" s="1080">
        <f>CHOOSE(Tables!$U$2,Transfer!CE157,Transfer!CR157,Transfer!DE157,Transfer!DR157,Transfer!EE157)</f>
        <v>4451.5628710651845</v>
      </c>
      <c r="AH157" s="1080">
        <f>CHOOSE(Tables!$U$2,Transfer!CF157,Transfer!CS157,Transfer!DF157,Transfer!DS157,Transfer!EF157)</f>
        <v>-9999</v>
      </c>
      <c r="AI157" s="1080">
        <f>CHOOSE(Tables!$U$2,Transfer!CG157,Transfer!CT157,Transfer!DG157,Transfer!DT157,Transfer!EG157)</f>
        <v>-9999</v>
      </c>
      <c r="AJ157" s="1080">
        <f>CHOOSE(Tables!$U$2,Transfer!CH157,Transfer!CU157,Transfer!DH157,Transfer!DU157,Transfer!EH157)</f>
        <v>-9999</v>
      </c>
      <c r="AK157" s="1080">
        <f>CHOOSE(Tables!$U$2,Transfer!CI157,Transfer!CV157,Transfer!DI157,Transfer!DV157,Transfer!EI157)</f>
        <v>-9999</v>
      </c>
      <c r="AL157" s="1080">
        <f>CHOOSE(Tables!$U$2,Transfer!CJ157,Transfer!CW157,Transfer!DJ157,Transfer!DW157,Transfer!EJ157)</f>
        <v>-9999</v>
      </c>
      <c r="AM157" s="1080">
        <f>CHOOSE(Tables!$U$2,Transfer!CK157,Transfer!CX157,Transfer!DK157,Transfer!DX157,Transfer!EK157)</f>
        <v>-9999</v>
      </c>
      <c r="AN157" s="1080">
        <f>CHOOSE(Tables!$U$2,Transfer!CL157,Transfer!CY157,Transfer!DL157,Transfer!DY157,Transfer!EL157)</f>
        <v>-9999</v>
      </c>
      <c r="AO157" s="1080">
        <f>CHOOSE(Tables!$U$2,Transfer!CM157,Transfer!CZ157,Transfer!DM157,Transfer!DZ157,Transfer!EM157)</f>
        <v>-9999</v>
      </c>
      <c r="AR157" s="22">
        <v>57</v>
      </c>
      <c r="AS157" s="1" t="s">
        <v>1703</v>
      </c>
      <c r="AT157" s="24">
        <f t="shared" ca="1" si="6"/>
        <v>156.61900000000014</v>
      </c>
      <c r="AU157" s="24">
        <f t="shared" ca="1" si="6"/>
        <v>154.83500000000004</v>
      </c>
      <c r="AV157" s="24">
        <f t="shared" ca="1" si="6"/>
        <v>175.32229597176502</v>
      </c>
      <c r="AW157" s="24">
        <f t="shared" ca="1" si="6"/>
        <v>138.44742476967986</v>
      </c>
      <c r="AX157" s="24">
        <f t="shared" ca="1" si="6"/>
        <v>109.61752533854906</v>
      </c>
      <c r="AY157" s="25">
        <f t="shared" si="6"/>
        <v>0</v>
      </c>
      <c r="AZ157" s="25">
        <f t="shared" si="6"/>
        <v>0</v>
      </c>
      <c r="BA157" s="25">
        <f t="shared" si="6"/>
        <v>0</v>
      </c>
      <c r="BB157" s="25">
        <f t="shared" si="6"/>
        <v>0</v>
      </c>
      <c r="BC157" s="25">
        <f t="shared" si="6"/>
        <v>0</v>
      </c>
      <c r="BD157" s="25">
        <f t="shared" si="6"/>
        <v>0</v>
      </c>
      <c r="BE157" s="25">
        <f t="shared" si="6"/>
        <v>0</v>
      </c>
      <c r="BF157" s="25">
        <f t="shared" si="6"/>
        <v>0</v>
      </c>
      <c r="CA157" s="16">
        <v>3876.3760000000002</v>
      </c>
      <c r="CB157" s="16">
        <v>4049.096</v>
      </c>
      <c r="CC157" s="16">
        <v>4247.3991796237033</v>
      </c>
      <c r="CD157" s="16">
        <v>4404.7754034536429</v>
      </c>
      <c r="CE157" s="16">
        <v>4561.3733076292492</v>
      </c>
      <c r="CF157" s="16">
        <v>-9999</v>
      </c>
      <c r="CG157" s="16">
        <v>-9999</v>
      </c>
      <c r="CH157" s="16">
        <v>-9999</v>
      </c>
      <c r="CI157" s="16">
        <v>-9999</v>
      </c>
      <c r="CJ157" s="16">
        <v>-9999</v>
      </c>
      <c r="CK157" s="16">
        <v>-9999</v>
      </c>
      <c r="CL157" s="16">
        <v>-9999</v>
      </c>
      <c r="CM157" s="16">
        <v>-9999</v>
      </c>
      <c r="CN157" s="16">
        <v>3719.7570000000001</v>
      </c>
      <c r="CO157" s="16">
        <v>3894.261</v>
      </c>
      <c r="CP157" s="16">
        <v>4071.8969999999999</v>
      </c>
      <c r="CQ157" s="16">
        <v>4266.1414779156576</v>
      </c>
      <c r="CR157" s="16">
        <v>4451.5628710651845</v>
      </c>
      <c r="CS157" s="16">
        <v>-9999</v>
      </c>
      <c r="CT157" s="16">
        <v>-9999</v>
      </c>
      <c r="CU157" s="16">
        <v>-9999</v>
      </c>
      <c r="CV157" s="16">
        <v>-9999</v>
      </c>
      <c r="CW157" s="16">
        <v>-9999</v>
      </c>
      <c r="CX157" s="16">
        <v>-9999</v>
      </c>
      <c r="CY157" s="16">
        <v>-9999</v>
      </c>
      <c r="CZ157" s="16">
        <v>-9999</v>
      </c>
      <c r="DA157" s="16">
        <v>3876.3760000000002</v>
      </c>
      <c r="DB157" s="16">
        <v>4049.096</v>
      </c>
      <c r="DC157" s="16">
        <v>4247.958641920296</v>
      </c>
      <c r="DD157" s="16">
        <v>4405.4514318289848</v>
      </c>
      <c r="DE157" s="16">
        <v>4562.2954866248492</v>
      </c>
      <c r="DF157" s="16">
        <v>-9999</v>
      </c>
      <c r="DG157" s="16">
        <v>-9999</v>
      </c>
      <c r="DH157" s="16">
        <v>-9999</v>
      </c>
      <c r="DI157" s="16">
        <v>-9999</v>
      </c>
      <c r="DJ157" s="16">
        <v>-9999</v>
      </c>
      <c r="DK157" s="16">
        <v>-9999</v>
      </c>
      <c r="DL157" s="16">
        <v>-9999</v>
      </c>
      <c r="DM157" s="16">
        <v>-9999</v>
      </c>
      <c r="DN157" s="16">
        <v>3876.3760000000002</v>
      </c>
      <c r="DO157" s="16">
        <v>4049.096</v>
      </c>
      <c r="DP157" s="16">
        <v>4248.8530041566064</v>
      </c>
      <c r="DQ157" s="16">
        <v>4409.0048638684202</v>
      </c>
      <c r="DR157" s="16">
        <v>4551.6833918964467</v>
      </c>
      <c r="DS157" s="16">
        <v>-9999</v>
      </c>
      <c r="DT157" s="16">
        <v>-9999</v>
      </c>
      <c r="DU157" s="16">
        <v>-9999</v>
      </c>
      <c r="DV157" s="16">
        <v>-9999</v>
      </c>
      <c r="DW157" s="16">
        <v>-9999</v>
      </c>
      <c r="DX157" s="16">
        <v>-9999</v>
      </c>
      <c r="DY157" s="16">
        <v>-9999</v>
      </c>
      <c r="DZ157" s="16">
        <v>-9999</v>
      </c>
      <c r="EA157" s="2256">
        <v>3876.3760000000002</v>
      </c>
      <c r="EB157" s="2256">
        <v>4049.096</v>
      </c>
      <c r="EC157" s="2256">
        <v>4247.219295971765</v>
      </c>
      <c r="ED157" s="2256">
        <v>4404.5889026853374</v>
      </c>
      <c r="EE157" s="2256">
        <v>4561.1803964037335</v>
      </c>
      <c r="EF157" s="2257">
        <v>-9999</v>
      </c>
      <c r="EG157" s="2257">
        <v>-9999</v>
      </c>
      <c r="EH157" s="2257">
        <v>-9999</v>
      </c>
      <c r="EI157" s="2257">
        <v>-9999</v>
      </c>
      <c r="EJ157" s="2257">
        <v>-9999</v>
      </c>
      <c r="EK157" s="2257">
        <v>-9999</v>
      </c>
      <c r="EL157" s="2257">
        <v>-9999</v>
      </c>
      <c r="EM157" s="2257">
        <v>-9999</v>
      </c>
    </row>
    <row r="158" spans="1:143" ht="13.15">
      <c r="A158" s="22">
        <v>58</v>
      </c>
      <c r="B158" s="1" t="s">
        <v>1704</v>
      </c>
      <c r="C158" s="1389">
        <f ca="1">OFFSET('VVP2'!F179,0,Last_forecast_year - 3-InputY!$G$3)</f>
        <v>3816.6330078375222</v>
      </c>
      <c r="D158" s="1389">
        <f ca="1">OFFSET('VVP2'!G179,0,Last_forecast_year - 3-InputY!$G$3)</f>
        <v>3959.9459822966428</v>
      </c>
      <c r="E158" s="1389">
        <f ca="1">OFFSET('VVP2'!H179,0,Last_forecast_year - 3-InputY!$G$3)</f>
        <v>4145.0825503959322</v>
      </c>
      <c r="F158" s="1389">
        <f ca="1">OFFSET('VVP2'!I179,0,Last_forecast_year - 3-InputY!$G$3)</f>
        <v>4318.8356805793464</v>
      </c>
      <c r="G158" s="1389">
        <f ca="1">OFFSET('VVP2'!J179,0,Last_forecast_year - 3-InputY!$G$3)</f>
        <v>4482.5841901922358</v>
      </c>
      <c r="H158" s="25">
        <v>-9999</v>
      </c>
      <c r="I158" s="25">
        <v>-9999</v>
      </c>
      <c r="J158" s="25">
        <v>-9999</v>
      </c>
      <c r="K158" s="25">
        <v>-9999</v>
      </c>
      <c r="L158" s="25">
        <v>-9999</v>
      </c>
      <c r="M158" s="25">
        <v>-9999</v>
      </c>
      <c r="N158" s="25">
        <v>-9999</v>
      </c>
      <c r="O158" s="25">
        <v>-9999</v>
      </c>
      <c r="P158" s="32"/>
      <c r="Q158"/>
      <c r="AA158" s="22">
        <v>58</v>
      </c>
      <c r="AB158" s="1080" t="str">
        <f t="shared" si="3"/>
        <v>VOL GROSS VALUE ADDED</v>
      </c>
      <c r="AC158" s="1080">
        <f>CHOOSE(Tables!$U$2,Transfer!CA158,Transfer!CN158,Transfer!DA158,Transfer!DN158,Transfer!EA158)</f>
        <v>3639.4146912257429</v>
      </c>
      <c r="AD158" s="1080">
        <f>CHOOSE(Tables!$U$2,Transfer!CB158,Transfer!CO158,Transfer!DB158,Transfer!DO158,Transfer!EB158)</f>
        <v>3831.7221412813342</v>
      </c>
      <c r="AE158" s="1080">
        <f>CHOOSE(Tables!$U$2,Transfer!CC158,Transfer!CP158,Transfer!DC158,Transfer!DP158,Transfer!EC158)</f>
        <v>3989.0427312564707</v>
      </c>
      <c r="AF158" s="1080">
        <f>CHOOSE(Tables!$U$2,Transfer!CD158,Transfer!CQ158,Transfer!DD158,Transfer!DQ158,Transfer!ED158)</f>
        <v>4177.6744149367905</v>
      </c>
      <c r="AG158" s="1080">
        <f>CHOOSE(Tables!$U$2,Transfer!CE158,Transfer!CR158,Transfer!DE158,Transfer!DR158,Transfer!EE158)</f>
        <v>4349.4728975707321</v>
      </c>
      <c r="AH158" s="1080">
        <f>CHOOSE(Tables!$U$2,Transfer!CF158,Transfer!CS158,Transfer!DF158,Transfer!DS158,Transfer!EF158)</f>
        <v>-9999</v>
      </c>
      <c r="AI158" s="1080">
        <f>CHOOSE(Tables!$U$2,Transfer!CG158,Transfer!CT158,Transfer!DG158,Transfer!DT158,Transfer!EG158)</f>
        <v>-9999</v>
      </c>
      <c r="AJ158" s="1080">
        <f>CHOOSE(Tables!$U$2,Transfer!CH158,Transfer!CU158,Transfer!DH158,Transfer!DU158,Transfer!EH158)</f>
        <v>-9999</v>
      </c>
      <c r="AK158" s="1080">
        <f>CHOOSE(Tables!$U$2,Transfer!CI158,Transfer!CV158,Transfer!DI158,Transfer!DV158,Transfer!EI158)</f>
        <v>-9999</v>
      </c>
      <c r="AL158" s="1080">
        <f>CHOOSE(Tables!$U$2,Transfer!CJ158,Transfer!CW158,Transfer!DJ158,Transfer!DW158,Transfer!EJ158)</f>
        <v>-9999</v>
      </c>
      <c r="AM158" s="1080">
        <f>CHOOSE(Tables!$U$2,Transfer!CK158,Transfer!CX158,Transfer!DK158,Transfer!DX158,Transfer!EK158)</f>
        <v>-9999</v>
      </c>
      <c r="AN158" s="1080">
        <f>CHOOSE(Tables!$U$2,Transfer!CL158,Transfer!CY158,Transfer!DL158,Transfer!DY158,Transfer!EL158)</f>
        <v>-9999</v>
      </c>
      <c r="AO158" s="1080">
        <f>CHOOSE(Tables!$U$2,Transfer!CM158,Transfer!CZ158,Transfer!DM158,Transfer!DZ158,Transfer!EM158)</f>
        <v>-9999</v>
      </c>
      <c r="AR158" s="22">
        <v>58</v>
      </c>
      <c r="AS158" s="1" t="s">
        <v>1704</v>
      </c>
      <c r="AT158" s="24">
        <f t="shared" ca="1" si="6"/>
        <v>177.2183166117793</v>
      </c>
      <c r="AU158" s="24">
        <f t="shared" ca="1" si="6"/>
        <v>128.22384101530861</v>
      </c>
      <c r="AV158" s="24">
        <f t="shared" ca="1" si="6"/>
        <v>156.03981913946154</v>
      </c>
      <c r="AW158" s="24">
        <f t="shared" ca="1" si="6"/>
        <v>141.16126564255592</v>
      </c>
      <c r="AX158" s="24">
        <f t="shared" ca="1" si="6"/>
        <v>133.11129262150371</v>
      </c>
      <c r="AY158" s="25">
        <f t="shared" si="6"/>
        <v>0</v>
      </c>
      <c r="AZ158" s="25">
        <f t="shared" si="6"/>
        <v>0</v>
      </c>
      <c r="BA158" s="25">
        <f t="shared" si="6"/>
        <v>0</v>
      </c>
      <c r="BB158" s="25">
        <f t="shared" si="6"/>
        <v>0</v>
      </c>
      <c r="BC158" s="25">
        <f t="shared" si="6"/>
        <v>0</v>
      </c>
      <c r="BD158" s="25">
        <f t="shared" si="6"/>
        <v>0</v>
      </c>
      <c r="BE158" s="25">
        <f t="shared" si="6"/>
        <v>0</v>
      </c>
      <c r="BF158" s="25">
        <f t="shared" si="6"/>
        <v>0</v>
      </c>
      <c r="CA158" s="16">
        <v>3816.6330078375222</v>
      </c>
      <c r="CB158" s="16">
        <v>3959.9459822966428</v>
      </c>
      <c r="CC158" s="16">
        <v>4145.258108222074</v>
      </c>
      <c r="CD158" s="16">
        <v>4319.0185503523053</v>
      </c>
      <c r="CE158" s="16">
        <v>4482.7737772584005</v>
      </c>
      <c r="CF158" s="16">
        <v>-9999</v>
      </c>
      <c r="CG158" s="16">
        <v>-9999</v>
      </c>
      <c r="CH158" s="16">
        <v>-9999</v>
      </c>
      <c r="CI158" s="16">
        <v>-9999</v>
      </c>
      <c r="CJ158" s="16">
        <v>-9999</v>
      </c>
      <c r="CK158" s="16">
        <v>-9999</v>
      </c>
      <c r="CL158" s="16">
        <v>-9999</v>
      </c>
      <c r="CM158" s="16">
        <v>-9999</v>
      </c>
      <c r="CN158" s="16">
        <v>3639.4146912257429</v>
      </c>
      <c r="CO158" s="16">
        <v>3831.7221412813342</v>
      </c>
      <c r="CP158" s="16">
        <v>3989.0427312564707</v>
      </c>
      <c r="CQ158" s="16">
        <v>4177.6744149367905</v>
      </c>
      <c r="CR158" s="16">
        <v>4349.4728975707321</v>
      </c>
      <c r="CS158" s="16">
        <v>-9999</v>
      </c>
      <c r="CT158" s="16">
        <v>-9999</v>
      </c>
      <c r="CU158" s="16">
        <v>-9999</v>
      </c>
      <c r="CV158" s="16">
        <v>-9999</v>
      </c>
      <c r="CW158" s="16">
        <v>-9999</v>
      </c>
      <c r="CX158" s="16">
        <v>-9999</v>
      </c>
      <c r="CY158" s="16">
        <v>-9999</v>
      </c>
      <c r="CZ158" s="16">
        <v>-9999</v>
      </c>
      <c r="DA158" s="16">
        <v>3816.6330078375222</v>
      </c>
      <c r="DB158" s="16">
        <v>3959.9459822966428</v>
      </c>
      <c r="DC158" s="16">
        <v>4145.8033457843385</v>
      </c>
      <c r="DD158" s="16">
        <v>4319.7558981465245</v>
      </c>
      <c r="DE158" s="16">
        <v>4483.7075245702354</v>
      </c>
      <c r="DF158" s="16">
        <v>-9999</v>
      </c>
      <c r="DG158" s="16">
        <v>-9999</v>
      </c>
      <c r="DH158" s="16">
        <v>-9999</v>
      </c>
      <c r="DI158" s="16">
        <v>-9999</v>
      </c>
      <c r="DJ158" s="16">
        <v>-9999</v>
      </c>
      <c r="DK158" s="16">
        <v>-9999</v>
      </c>
      <c r="DL158" s="16">
        <v>-9999</v>
      </c>
      <c r="DM158" s="16">
        <v>-9999</v>
      </c>
      <c r="DN158" s="16">
        <v>3816.6330078375222</v>
      </c>
      <c r="DO158" s="16">
        <v>3959.9459822966428</v>
      </c>
      <c r="DP158" s="16">
        <v>4146.7718272086322</v>
      </c>
      <c r="DQ158" s="16">
        <v>4324.0478672050367</v>
      </c>
      <c r="DR158" s="16">
        <v>4492.6158508345443</v>
      </c>
      <c r="DS158" s="16">
        <v>-9999</v>
      </c>
      <c r="DT158" s="16">
        <v>-9999</v>
      </c>
      <c r="DU158" s="16">
        <v>-9999</v>
      </c>
      <c r="DV158" s="16">
        <v>-9999</v>
      </c>
      <c r="DW158" s="16">
        <v>-9999</v>
      </c>
      <c r="DX158" s="16">
        <v>-9999</v>
      </c>
      <c r="DY158" s="16">
        <v>-9999</v>
      </c>
      <c r="DZ158" s="16">
        <v>-9999</v>
      </c>
      <c r="EA158" s="2256">
        <v>3816.6330078375222</v>
      </c>
      <c r="EB158" s="2256">
        <v>3959.9459822966428</v>
      </c>
      <c r="EC158" s="2256">
        <v>4145.0825503959322</v>
      </c>
      <c r="ED158" s="2256">
        <v>4318.8356805793464</v>
      </c>
      <c r="EE158" s="2256">
        <v>4482.5841901922358</v>
      </c>
      <c r="EF158" s="2257">
        <v>-9999</v>
      </c>
      <c r="EG158" s="2257">
        <v>-9999</v>
      </c>
      <c r="EH158" s="2257">
        <v>-9999</v>
      </c>
      <c r="EI158" s="2257">
        <v>-9999</v>
      </c>
      <c r="EJ158" s="2257">
        <v>-9999</v>
      </c>
      <c r="EK158" s="2257">
        <v>-9999</v>
      </c>
      <c r="EL158" s="2257">
        <v>-9999</v>
      </c>
      <c r="EM158" s="2257">
        <v>-9999</v>
      </c>
    </row>
    <row r="159" spans="1:143" ht="13.15">
      <c r="A159" s="22">
        <v>59</v>
      </c>
      <c r="B159" s="1" t="s">
        <v>783</v>
      </c>
      <c r="C159" s="20">
        <f ca="1">OFFSET(Labour1!F33,0,Last_forecast_year - 3-InputY!$G$3)</f>
        <v>4896.5</v>
      </c>
      <c r="D159" s="20">
        <f ca="1">OFFSET(Labour1!G33,0,Last_forecast_year - 3-InputY!$G$3)</f>
        <v>5011.3</v>
      </c>
      <c r="E159" s="20">
        <f ca="1">OFFSET(Labour1!H33,0,Last_forecast_year - 3-InputY!$G$3)</f>
        <v>5094.5333799999999</v>
      </c>
      <c r="F159" s="20">
        <f ca="1">OFFSET(Labour1!I33,0,Last_forecast_year - 3-InputY!$G$3)</f>
        <v>5138.2908682299994</v>
      </c>
      <c r="G159" s="20">
        <f ca="1">OFFSET(Labour1!J33,0,Last_forecast_year - 3-InputY!$G$3)</f>
        <v>5172.2271197432647</v>
      </c>
      <c r="H159" s="25">
        <v>-9999</v>
      </c>
      <c r="I159" s="25">
        <v>-9999</v>
      </c>
      <c r="J159" s="25">
        <v>-9999</v>
      </c>
      <c r="K159" s="25">
        <v>-9999</v>
      </c>
      <c r="L159" s="25">
        <v>-9999</v>
      </c>
      <c r="M159" s="25">
        <v>-9999</v>
      </c>
      <c r="N159" s="25">
        <v>-9999</v>
      </c>
      <c r="O159" s="25">
        <v>-9999</v>
      </c>
      <c r="P159" s="32"/>
      <c r="Q159"/>
      <c r="AA159" s="22">
        <v>59</v>
      </c>
      <c r="AB159" s="1080" t="str">
        <f t="shared" si="3"/>
        <v>TOT. EMPLOYMENT PERSONS</v>
      </c>
      <c r="AC159" s="1080">
        <f>CHOOSE(Tables!$U$2,Transfer!CA159,Transfer!CN159,Transfer!DA159,Transfer!DN159,Transfer!EA159)</f>
        <v>4807.3999999999996</v>
      </c>
      <c r="AD159" s="1080">
        <f>CHOOSE(Tables!$U$2,Transfer!CB159,Transfer!CO159,Transfer!DB159,Transfer!DO159,Transfer!EB159)</f>
        <v>4889.8</v>
      </c>
      <c r="AE159" s="1080">
        <f>CHOOSE(Tables!$U$2,Transfer!CC159,Transfer!CP159,Transfer!DC159,Transfer!DP159,Transfer!EC159)</f>
        <v>5003.5</v>
      </c>
      <c r="AF159" s="1080">
        <f>CHOOSE(Tables!$U$2,Transfer!CD159,Transfer!CQ159,Transfer!DD159,Transfer!DQ159,Transfer!ED159)</f>
        <v>5085.5630000000001</v>
      </c>
      <c r="AG159" s="1080">
        <f>CHOOSE(Tables!$U$2,Transfer!CE159,Transfer!CR159,Transfer!DE159,Transfer!DR159,Transfer!EE159)</f>
        <v>5149.7881854999996</v>
      </c>
      <c r="AH159" s="1080">
        <f>CHOOSE(Tables!$U$2,Transfer!CF159,Transfer!CS159,Transfer!DF159,Transfer!DS159,Transfer!EF159)</f>
        <v>-9999</v>
      </c>
      <c r="AI159" s="1080">
        <f>CHOOSE(Tables!$U$2,Transfer!CG159,Transfer!CT159,Transfer!DG159,Transfer!DT159,Transfer!EG159)</f>
        <v>-9999</v>
      </c>
      <c r="AJ159" s="1080">
        <f>CHOOSE(Tables!$U$2,Transfer!CH159,Transfer!CU159,Transfer!DH159,Transfer!DU159,Transfer!EH159)</f>
        <v>-9999</v>
      </c>
      <c r="AK159" s="1080">
        <f>CHOOSE(Tables!$U$2,Transfer!CI159,Transfer!CV159,Transfer!DI159,Transfer!DV159,Transfer!EI159)</f>
        <v>-9999</v>
      </c>
      <c r="AL159" s="1080">
        <f>CHOOSE(Tables!$U$2,Transfer!CJ159,Transfer!CW159,Transfer!DJ159,Transfer!DW159,Transfer!EJ159)</f>
        <v>-9999</v>
      </c>
      <c r="AM159" s="1080">
        <f>CHOOSE(Tables!$U$2,Transfer!CK159,Transfer!CX159,Transfer!DK159,Transfer!DX159,Transfer!EK159)</f>
        <v>-9999</v>
      </c>
      <c r="AN159" s="1080">
        <f>CHOOSE(Tables!$U$2,Transfer!CL159,Transfer!CY159,Transfer!DL159,Transfer!DY159,Transfer!EL159)</f>
        <v>-9999</v>
      </c>
      <c r="AO159" s="1080">
        <f>CHOOSE(Tables!$U$2,Transfer!CM159,Transfer!CZ159,Transfer!DM159,Transfer!DZ159,Transfer!EM159)</f>
        <v>-9999</v>
      </c>
      <c r="AR159" s="22">
        <v>59</v>
      </c>
      <c r="AS159" s="1" t="s">
        <v>783</v>
      </c>
      <c r="AT159" s="20">
        <f t="shared" ca="1" si="6"/>
        <v>89.100000000000364</v>
      </c>
      <c r="AU159" s="20">
        <f t="shared" ca="1" si="6"/>
        <v>121.5</v>
      </c>
      <c r="AV159" s="20">
        <f t="shared" ca="1" si="6"/>
        <v>91.033379999999852</v>
      </c>
      <c r="AW159" s="20">
        <f t="shared" ca="1" si="6"/>
        <v>52.727868229999331</v>
      </c>
      <c r="AX159" s="20">
        <f t="shared" ca="1" si="6"/>
        <v>22.438934243265066</v>
      </c>
      <c r="AY159" s="25">
        <f t="shared" si="6"/>
        <v>0</v>
      </c>
      <c r="AZ159" s="25">
        <f t="shared" si="6"/>
        <v>0</v>
      </c>
      <c r="BA159" s="25">
        <f t="shared" si="6"/>
        <v>0</v>
      </c>
      <c r="BB159" s="25">
        <f t="shared" si="6"/>
        <v>0</v>
      </c>
      <c r="BC159" s="25">
        <f t="shared" si="6"/>
        <v>0</v>
      </c>
      <c r="BD159" s="25">
        <f t="shared" si="6"/>
        <v>0</v>
      </c>
      <c r="BE159" s="25">
        <f t="shared" si="6"/>
        <v>0</v>
      </c>
      <c r="BF159" s="25">
        <f t="shared" si="6"/>
        <v>0</v>
      </c>
      <c r="CA159" s="16">
        <v>4896.5</v>
      </c>
      <c r="CB159" s="16">
        <v>5011.3</v>
      </c>
      <c r="CC159" s="16">
        <v>5097.4073799999996</v>
      </c>
      <c r="CD159" s="16">
        <v>5141.1936082299999</v>
      </c>
      <c r="CE159" s="16">
        <v>5175.1591774172648</v>
      </c>
      <c r="CF159" s="16">
        <v>-9999</v>
      </c>
      <c r="CG159" s="16">
        <v>-9999</v>
      </c>
      <c r="CH159" s="16">
        <v>-9999</v>
      </c>
      <c r="CI159" s="16">
        <v>-9999</v>
      </c>
      <c r="CJ159" s="16">
        <v>-9999</v>
      </c>
      <c r="CK159" s="16">
        <v>-9999</v>
      </c>
      <c r="CL159" s="16">
        <v>-9999</v>
      </c>
      <c r="CM159" s="16">
        <v>-9999</v>
      </c>
      <c r="CN159" s="16">
        <v>4807.3999999999996</v>
      </c>
      <c r="CO159" s="16">
        <v>4889.8</v>
      </c>
      <c r="CP159" s="16">
        <v>5003.5</v>
      </c>
      <c r="CQ159" s="16">
        <v>5085.5630000000001</v>
      </c>
      <c r="CR159" s="16">
        <v>5149.7881854999996</v>
      </c>
      <c r="CS159" s="16">
        <v>-9999</v>
      </c>
      <c r="CT159" s="16">
        <v>-9999</v>
      </c>
      <c r="CU159" s="16">
        <v>-9999</v>
      </c>
      <c r="CV159" s="16">
        <v>-9999</v>
      </c>
      <c r="CW159" s="16">
        <v>-9999</v>
      </c>
      <c r="CX159" s="16">
        <v>-9999</v>
      </c>
      <c r="CY159" s="16">
        <v>-9999</v>
      </c>
      <c r="CZ159" s="16">
        <v>-9999</v>
      </c>
      <c r="DA159" s="16">
        <v>4896.5</v>
      </c>
      <c r="DB159" s="16">
        <v>5011.3</v>
      </c>
      <c r="DC159" s="16">
        <v>5101.4505399999998</v>
      </c>
      <c r="DD159" s="16">
        <v>5143.8994256739998</v>
      </c>
      <c r="DE159" s="16">
        <v>5171.8042969002072</v>
      </c>
      <c r="DF159" s="16">
        <v>-9999</v>
      </c>
      <c r="DG159" s="16">
        <v>-9999</v>
      </c>
      <c r="DH159" s="16">
        <v>-9999</v>
      </c>
      <c r="DI159" s="16">
        <v>-9999</v>
      </c>
      <c r="DJ159" s="16">
        <v>-9999</v>
      </c>
      <c r="DK159" s="16">
        <v>-9999</v>
      </c>
      <c r="DL159" s="16">
        <v>-9999</v>
      </c>
      <c r="DM159" s="16">
        <v>-9999</v>
      </c>
      <c r="DN159" s="16">
        <v>4896.5</v>
      </c>
      <c r="DO159" s="16">
        <v>5011.3</v>
      </c>
      <c r="DP159" s="16">
        <v>5098.57654</v>
      </c>
      <c r="DQ159" s="16">
        <v>5142.6074189740002</v>
      </c>
      <c r="DR159" s="16">
        <v>5176.7228765658674</v>
      </c>
      <c r="DS159" s="16">
        <v>-9999</v>
      </c>
      <c r="DT159" s="16">
        <v>-9999</v>
      </c>
      <c r="DU159" s="16">
        <v>-9999</v>
      </c>
      <c r="DV159" s="16">
        <v>-9999</v>
      </c>
      <c r="DW159" s="16">
        <v>-9999</v>
      </c>
      <c r="DX159" s="16">
        <v>-9999</v>
      </c>
      <c r="DY159" s="16">
        <v>-9999</v>
      </c>
      <c r="DZ159" s="16">
        <v>-9999</v>
      </c>
      <c r="EA159" s="2256">
        <v>4896.5</v>
      </c>
      <c r="EB159" s="2256">
        <v>5011.3</v>
      </c>
      <c r="EC159" s="2256">
        <v>5094.5333799999999</v>
      </c>
      <c r="ED159" s="2256">
        <v>5138.2908682299994</v>
      </c>
      <c r="EE159" s="2256">
        <v>5172.2271197432647</v>
      </c>
      <c r="EF159" s="2257">
        <v>-9999</v>
      </c>
      <c r="EG159" s="2257">
        <v>-9999</v>
      </c>
      <c r="EH159" s="2257">
        <v>-9999</v>
      </c>
      <c r="EI159" s="2257">
        <v>-9999</v>
      </c>
      <c r="EJ159" s="2257">
        <v>-9999</v>
      </c>
      <c r="EK159" s="2257">
        <v>-9999</v>
      </c>
      <c r="EL159" s="2257">
        <v>-9999</v>
      </c>
      <c r="EM159" s="2257">
        <v>-9999</v>
      </c>
    </row>
    <row r="160" spans="1:143" ht="13.15">
      <c r="A160" s="22">
        <v>60</v>
      </c>
      <c r="B160" s="31" t="s">
        <v>986</v>
      </c>
      <c r="C160" s="34">
        <v>-9999</v>
      </c>
      <c r="D160" s="34">
        <v>-9999</v>
      </c>
      <c r="E160" s="34">
        <v>-9999</v>
      </c>
      <c r="F160" s="34">
        <v>-9999</v>
      </c>
      <c r="G160" s="34">
        <v>-9999</v>
      </c>
      <c r="H160" s="25">
        <v>-9999</v>
      </c>
      <c r="I160" s="25">
        <v>-9999</v>
      </c>
      <c r="J160" s="25">
        <v>-9999</v>
      </c>
      <c r="K160" s="25">
        <v>-9999</v>
      </c>
      <c r="L160" s="25">
        <v>-9999</v>
      </c>
      <c r="M160" s="25">
        <v>-9999</v>
      </c>
      <c r="N160" s="25">
        <v>-9999</v>
      </c>
      <c r="O160" s="25">
        <v>-9999</v>
      </c>
      <c r="P160" s="32"/>
      <c r="Q160"/>
      <c r="AA160" s="22">
        <v>60</v>
      </c>
      <c r="AB160" s="1080" t="str">
        <f t="shared" si="3"/>
        <v>TOT. EMPLOYMENT F.T.E.</v>
      </c>
      <c r="AC160" s="1080">
        <f>CHOOSE(Tables!$U$2,Transfer!CA160,Transfer!CN160,Transfer!DA160,Transfer!DN160,Transfer!EA160)</f>
        <v>-9999</v>
      </c>
      <c r="AD160" s="1080">
        <f>CHOOSE(Tables!$U$2,Transfer!CB160,Transfer!CO160,Transfer!DB160,Transfer!DO160,Transfer!EB160)</f>
        <v>-9999</v>
      </c>
      <c r="AE160" s="1080">
        <f>CHOOSE(Tables!$U$2,Transfer!CC160,Transfer!CP160,Transfer!DC160,Transfer!DP160,Transfer!EC160)</f>
        <v>-9999</v>
      </c>
      <c r="AF160" s="1080">
        <f>CHOOSE(Tables!$U$2,Transfer!CD160,Transfer!CQ160,Transfer!DD160,Transfer!DQ160,Transfer!ED160)</f>
        <v>-9999</v>
      </c>
      <c r="AG160" s="1080">
        <f>CHOOSE(Tables!$U$2,Transfer!CE160,Transfer!CR160,Transfer!DE160,Transfer!DR160,Transfer!EE160)</f>
        <v>-9999</v>
      </c>
      <c r="AH160" s="1080">
        <f>CHOOSE(Tables!$U$2,Transfer!CF160,Transfer!CS160,Transfer!DF160,Transfer!DS160,Transfer!EF160)</f>
        <v>-9999</v>
      </c>
      <c r="AI160" s="1080">
        <f>CHOOSE(Tables!$U$2,Transfer!CG160,Transfer!CT160,Transfer!DG160,Transfer!DT160,Transfer!EG160)</f>
        <v>-9999</v>
      </c>
      <c r="AJ160" s="1080">
        <f>CHOOSE(Tables!$U$2,Transfer!CH160,Transfer!CU160,Transfer!DH160,Transfer!DU160,Transfer!EH160)</f>
        <v>-9999</v>
      </c>
      <c r="AK160" s="1080">
        <f>CHOOSE(Tables!$U$2,Transfer!CI160,Transfer!CV160,Transfer!DI160,Transfer!DV160,Transfer!EI160)</f>
        <v>-9999</v>
      </c>
      <c r="AL160" s="1080">
        <f>CHOOSE(Tables!$U$2,Transfer!CJ160,Transfer!CW160,Transfer!DJ160,Transfer!DW160,Transfer!EJ160)</f>
        <v>-9999</v>
      </c>
      <c r="AM160" s="1080">
        <f>CHOOSE(Tables!$U$2,Transfer!CK160,Transfer!CX160,Transfer!DK160,Transfer!DX160,Transfer!EK160)</f>
        <v>-9999</v>
      </c>
      <c r="AN160" s="1080">
        <f>CHOOSE(Tables!$U$2,Transfer!CL160,Transfer!CY160,Transfer!DL160,Transfer!DY160,Transfer!EL160)</f>
        <v>-9999</v>
      </c>
      <c r="AO160" s="1080">
        <f>CHOOSE(Tables!$U$2,Transfer!CM160,Transfer!CZ160,Transfer!DM160,Transfer!DZ160,Transfer!EM160)</f>
        <v>-9999</v>
      </c>
      <c r="AR160" s="22">
        <v>60</v>
      </c>
      <c r="AS160" s="31" t="s">
        <v>986</v>
      </c>
      <c r="AT160" s="2128">
        <f t="shared" si="6"/>
        <v>0</v>
      </c>
      <c r="AU160" s="34">
        <f t="shared" si="6"/>
        <v>0</v>
      </c>
      <c r="AV160" s="2128">
        <f t="shared" si="6"/>
        <v>0</v>
      </c>
      <c r="AW160" s="2128">
        <f t="shared" si="6"/>
        <v>0</v>
      </c>
      <c r="AX160" s="2128">
        <f t="shared" si="6"/>
        <v>0</v>
      </c>
      <c r="AY160" s="25">
        <f t="shared" si="6"/>
        <v>0</v>
      </c>
      <c r="AZ160" s="25">
        <f t="shared" si="6"/>
        <v>0</v>
      </c>
      <c r="BA160" s="25">
        <f t="shared" si="6"/>
        <v>0</v>
      </c>
      <c r="BB160" s="25">
        <f t="shared" si="6"/>
        <v>0</v>
      </c>
      <c r="BC160" s="25">
        <f t="shared" si="6"/>
        <v>0</v>
      </c>
      <c r="BD160" s="25">
        <f t="shared" si="6"/>
        <v>0</v>
      </c>
      <c r="BE160" s="25">
        <f t="shared" si="6"/>
        <v>0</v>
      </c>
      <c r="BF160" s="25">
        <f t="shared" si="6"/>
        <v>0</v>
      </c>
      <c r="CA160" s="16">
        <v>-9999</v>
      </c>
      <c r="CB160" s="16">
        <v>-9999</v>
      </c>
      <c r="CC160" s="16">
        <v>-9999</v>
      </c>
      <c r="CD160" s="16">
        <v>-9999</v>
      </c>
      <c r="CE160" s="16">
        <v>-9999</v>
      </c>
      <c r="CF160" s="16">
        <v>-9999</v>
      </c>
      <c r="CG160" s="16">
        <v>-9999</v>
      </c>
      <c r="CH160" s="16">
        <v>-9999</v>
      </c>
      <c r="CI160" s="16">
        <v>-9999</v>
      </c>
      <c r="CJ160" s="16">
        <v>-9999</v>
      </c>
      <c r="CK160" s="16">
        <v>-9999</v>
      </c>
      <c r="CL160" s="16">
        <v>-9999</v>
      </c>
      <c r="CM160" s="16">
        <v>-9999</v>
      </c>
      <c r="CN160" s="16">
        <v>-9999</v>
      </c>
      <c r="CO160" s="16">
        <v>-9999</v>
      </c>
      <c r="CP160" s="16">
        <v>-9999</v>
      </c>
      <c r="CQ160" s="16">
        <v>-9999</v>
      </c>
      <c r="CR160" s="16">
        <v>-9999</v>
      </c>
      <c r="CS160" s="16">
        <v>-9999</v>
      </c>
      <c r="CT160" s="16">
        <v>-9999</v>
      </c>
      <c r="CU160" s="16">
        <v>-9999</v>
      </c>
      <c r="CV160" s="16">
        <v>-9999</v>
      </c>
      <c r="CW160" s="16">
        <v>-9999</v>
      </c>
      <c r="CX160" s="16">
        <v>-9999</v>
      </c>
      <c r="CY160" s="16">
        <v>-9999</v>
      </c>
      <c r="CZ160" s="16">
        <v>-9999</v>
      </c>
      <c r="DA160" s="16">
        <v>-9999</v>
      </c>
      <c r="DB160" s="16">
        <v>-9999</v>
      </c>
      <c r="DC160" s="16">
        <v>-9999</v>
      </c>
      <c r="DD160" s="16">
        <v>-9999</v>
      </c>
      <c r="DE160" s="16">
        <v>-9999</v>
      </c>
      <c r="DF160" s="16">
        <v>-9999</v>
      </c>
      <c r="DG160" s="16">
        <v>-9999</v>
      </c>
      <c r="DH160" s="16">
        <v>-9999</v>
      </c>
      <c r="DI160" s="16">
        <v>-9999</v>
      </c>
      <c r="DJ160" s="16">
        <v>-9999</v>
      </c>
      <c r="DK160" s="16">
        <v>-9999</v>
      </c>
      <c r="DL160" s="16">
        <v>-9999</v>
      </c>
      <c r="DM160" s="16">
        <v>-9999</v>
      </c>
      <c r="DN160" s="16">
        <v>-9999</v>
      </c>
      <c r="DO160" s="16">
        <v>-9999</v>
      </c>
      <c r="DP160" s="16">
        <v>-9999</v>
      </c>
      <c r="DQ160" s="16">
        <v>-9999</v>
      </c>
      <c r="DR160" s="16">
        <v>-9999</v>
      </c>
      <c r="DS160" s="16">
        <v>-9999</v>
      </c>
      <c r="DT160" s="16">
        <v>-9999</v>
      </c>
      <c r="DU160" s="16">
        <v>-9999</v>
      </c>
      <c r="DV160" s="16">
        <v>-9999</v>
      </c>
      <c r="DW160" s="16">
        <v>-9999</v>
      </c>
      <c r="DX160" s="16">
        <v>-9999</v>
      </c>
      <c r="DY160" s="16">
        <v>-9999</v>
      </c>
      <c r="DZ160" s="16">
        <v>-9999</v>
      </c>
      <c r="EA160" s="2257">
        <v>-9999</v>
      </c>
      <c r="EB160" s="2257">
        <v>-9999</v>
      </c>
      <c r="EC160" s="2257">
        <v>-9999</v>
      </c>
      <c r="ED160" s="2257">
        <v>-9999</v>
      </c>
      <c r="EE160" s="2257">
        <v>-9999</v>
      </c>
      <c r="EF160" s="2257">
        <v>-9999</v>
      </c>
      <c r="EG160" s="2257">
        <v>-9999</v>
      </c>
      <c r="EH160" s="2257">
        <v>-9999</v>
      </c>
      <c r="EI160" s="2257">
        <v>-9999</v>
      </c>
      <c r="EJ160" s="2257">
        <v>-9999</v>
      </c>
      <c r="EK160" s="2257">
        <v>-9999</v>
      </c>
      <c r="EL160" s="2257">
        <v>-9999</v>
      </c>
      <c r="EM160" s="2257">
        <v>-9999</v>
      </c>
    </row>
    <row r="161" spans="1:143" ht="13.15">
      <c r="A161" s="22">
        <v>61</v>
      </c>
      <c r="B161" s="1" t="s">
        <v>1847</v>
      </c>
      <c r="C161" s="24">
        <f ca="1">OFFSET(Labour1!F213,0,Last_forecast_year - 3-InputY!$G$3)</f>
        <v>2062.7570000000001</v>
      </c>
      <c r="D161" s="24">
        <f ca="1">OFFSET(Labour1!G213,0,Last_forecast_year - 3-InputY!$G$3)</f>
        <v>2157.2220000000002</v>
      </c>
      <c r="E161" s="24">
        <f ca="1">OFFSET(Labour1!H213,0,Last_forecast_year - 3-InputY!$G$3)</f>
        <v>2253.8903473306004</v>
      </c>
      <c r="F161" s="24">
        <f ca="1">OFFSET(Labour1!I213,0,Last_forecast_year - 3-InputY!$G$3)</f>
        <v>2334.7706369596426</v>
      </c>
      <c r="G161" s="24">
        <f ca="1">OFFSET(Labour1!J213,0,Last_forecast_year - 3-InputY!$G$3)</f>
        <v>2408.5692444957795</v>
      </c>
      <c r="H161" s="25">
        <v>-9999</v>
      </c>
      <c r="I161" s="25">
        <v>-9999</v>
      </c>
      <c r="J161" s="25">
        <v>-9999</v>
      </c>
      <c r="K161" s="25">
        <v>-9999</v>
      </c>
      <c r="L161" s="25">
        <v>-9999</v>
      </c>
      <c r="M161" s="25">
        <v>-9999</v>
      </c>
      <c r="N161" s="25">
        <v>-9999</v>
      </c>
      <c r="O161" s="25">
        <v>-9999</v>
      </c>
      <c r="P161" s="32"/>
      <c r="Q161"/>
      <c r="AA161" s="22">
        <v>61</v>
      </c>
      <c r="AB161" s="1080" t="str">
        <f t="shared" si="3"/>
        <v>TOT. COMPENSATION OF EMPLOYEES</v>
      </c>
      <c r="AC161" s="1080">
        <f>CHOOSE(Tables!$U$2,Transfer!CA161,Transfer!CN161,Transfer!DA161,Transfer!DN161,Transfer!EA161)</f>
        <v>1967.078</v>
      </c>
      <c r="AD161" s="1080">
        <f>CHOOSE(Tables!$U$2,Transfer!CB161,Transfer!CO161,Transfer!DB161,Transfer!DO161,Transfer!EB161)</f>
        <v>2065.1419999999998</v>
      </c>
      <c r="AE161" s="1080">
        <f>CHOOSE(Tables!$U$2,Transfer!CC161,Transfer!CP161,Transfer!DC161,Transfer!DP161,Transfer!EC161)</f>
        <v>2161.7460000000001</v>
      </c>
      <c r="AF161" s="1080">
        <f>CHOOSE(Tables!$U$2,Transfer!CD161,Transfer!CQ161,Transfer!DD161,Transfer!DQ161,Transfer!ED161)</f>
        <v>2257.3294039729999</v>
      </c>
      <c r="AG161" s="1080">
        <f>CHOOSE(Tables!$U$2,Transfer!CE161,Transfer!CR161,Transfer!DE161,Transfer!DR161,Transfer!EE161)</f>
        <v>2343.0555097084439</v>
      </c>
      <c r="AH161" s="1080">
        <f>CHOOSE(Tables!$U$2,Transfer!CF161,Transfer!CS161,Transfer!DF161,Transfer!DS161,Transfer!EF161)</f>
        <v>-9999</v>
      </c>
      <c r="AI161" s="1080">
        <f>CHOOSE(Tables!$U$2,Transfer!CG161,Transfer!CT161,Transfer!DG161,Transfer!DT161,Transfer!EG161)</f>
        <v>-9999</v>
      </c>
      <c r="AJ161" s="1080">
        <f>CHOOSE(Tables!$U$2,Transfer!CH161,Transfer!CU161,Transfer!DH161,Transfer!DU161,Transfer!EH161)</f>
        <v>-9999</v>
      </c>
      <c r="AK161" s="1080">
        <f>CHOOSE(Tables!$U$2,Transfer!CI161,Transfer!CV161,Transfer!DI161,Transfer!DV161,Transfer!EI161)</f>
        <v>-9999</v>
      </c>
      <c r="AL161" s="1080">
        <f>CHOOSE(Tables!$U$2,Transfer!CJ161,Transfer!CW161,Transfer!DJ161,Transfer!DW161,Transfer!EJ161)</f>
        <v>-9999</v>
      </c>
      <c r="AM161" s="1080">
        <f>CHOOSE(Tables!$U$2,Transfer!CK161,Transfer!CX161,Transfer!DK161,Transfer!DX161,Transfer!EK161)</f>
        <v>-9999</v>
      </c>
      <c r="AN161" s="1080">
        <f>CHOOSE(Tables!$U$2,Transfer!CL161,Transfer!CY161,Transfer!DL161,Transfer!DY161,Transfer!EL161)</f>
        <v>-9999</v>
      </c>
      <c r="AO161" s="1080">
        <f>CHOOSE(Tables!$U$2,Transfer!CM161,Transfer!CZ161,Transfer!DM161,Transfer!DZ161,Transfer!EM161)</f>
        <v>-9999</v>
      </c>
      <c r="AR161" s="22">
        <v>61</v>
      </c>
      <c r="AS161" s="1" t="s">
        <v>1847</v>
      </c>
      <c r="AT161" s="24">
        <f t="shared" ca="1" si="6"/>
        <v>95.679000000000087</v>
      </c>
      <c r="AU161" s="24">
        <f t="shared" ca="1" si="6"/>
        <v>92.080000000000382</v>
      </c>
      <c r="AV161" s="24">
        <f t="shared" ca="1" si="6"/>
        <v>92.14434733060034</v>
      </c>
      <c r="AW161" s="24">
        <f t="shared" ca="1" si="6"/>
        <v>77.441232986642717</v>
      </c>
      <c r="AX161" s="24">
        <f t="shared" ca="1" si="6"/>
        <v>65.513734787335579</v>
      </c>
      <c r="AY161" s="25">
        <f t="shared" si="6"/>
        <v>0</v>
      </c>
      <c r="AZ161" s="25">
        <f t="shared" si="6"/>
        <v>0</v>
      </c>
      <c r="BA161" s="25">
        <f t="shared" si="6"/>
        <v>0</v>
      </c>
      <c r="BB161" s="25">
        <f t="shared" si="6"/>
        <v>0</v>
      </c>
      <c r="BC161" s="25">
        <f t="shared" si="6"/>
        <v>0</v>
      </c>
      <c r="BD161" s="25">
        <f t="shared" si="6"/>
        <v>0</v>
      </c>
      <c r="BE161" s="25">
        <f t="shared" si="6"/>
        <v>0</v>
      </c>
      <c r="BF161" s="25">
        <f t="shared" si="6"/>
        <v>0</v>
      </c>
      <c r="CA161" s="16">
        <v>2062.7570000000001</v>
      </c>
      <c r="CB161" s="16">
        <v>2157.2220000000002</v>
      </c>
      <c r="CC161" s="16">
        <v>2255.0859375325999</v>
      </c>
      <c r="CD161" s="16">
        <v>2336.0152932241626</v>
      </c>
      <c r="CE161" s="16">
        <v>2409.8617434521707</v>
      </c>
      <c r="CF161" s="16">
        <v>-9999</v>
      </c>
      <c r="CG161" s="16">
        <v>-9999</v>
      </c>
      <c r="CH161" s="16">
        <v>-9999</v>
      </c>
      <c r="CI161" s="16">
        <v>-9999</v>
      </c>
      <c r="CJ161" s="16">
        <v>-9999</v>
      </c>
      <c r="CK161" s="16">
        <v>-9999</v>
      </c>
      <c r="CL161" s="16">
        <v>-9999</v>
      </c>
      <c r="CM161" s="16">
        <v>-9999</v>
      </c>
      <c r="CN161" s="16">
        <v>1967.078</v>
      </c>
      <c r="CO161" s="16">
        <v>2065.1419999999998</v>
      </c>
      <c r="CP161" s="16">
        <v>2161.7460000000001</v>
      </c>
      <c r="CQ161" s="16">
        <v>2257.3294039729999</v>
      </c>
      <c r="CR161" s="16">
        <v>2343.0555097084439</v>
      </c>
      <c r="CS161" s="16">
        <v>-9999</v>
      </c>
      <c r="CT161" s="16">
        <v>-9999</v>
      </c>
      <c r="CU161" s="16">
        <v>-9999</v>
      </c>
      <c r="CV161" s="16">
        <v>-9999</v>
      </c>
      <c r="CW161" s="16">
        <v>-9999</v>
      </c>
      <c r="CX161" s="16">
        <v>-9999</v>
      </c>
      <c r="CY161" s="16">
        <v>-9999</v>
      </c>
      <c r="CZ161" s="16">
        <v>-9999</v>
      </c>
      <c r="DA161" s="16">
        <v>2062.7570000000001</v>
      </c>
      <c r="DB161" s="16">
        <v>2157.2220000000002</v>
      </c>
      <c r="DC161" s="16">
        <v>2257.0273939238004</v>
      </c>
      <c r="DD161" s="16">
        <v>2337.3474018573625</v>
      </c>
      <c r="DE161" s="16">
        <v>2408.554350377492</v>
      </c>
      <c r="DF161" s="16">
        <v>-9999</v>
      </c>
      <c r="DG161" s="16">
        <v>-9999</v>
      </c>
      <c r="DH161" s="16">
        <v>-9999</v>
      </c>
      <c r="DI161" s="16">
        <v>-9999</v>
      </c>
      <c r="DJ161" s="16">
        <v>-9999</v>
      </c>
      <c r="DK161" s="16">
        <v>-9999</v>
      </c>
      <c r="DL161" s="16">
        <v>-9999</v>
      </c>
      <c r="DM161" s="16">
        <v>-9999</v>
      </c>
      <c r="DN161" s="16">
        <v>2062.7570000000001</v>
      </c>
      <c r="DO161" s="16">
        <v>2157.2220000000002</v>
      </c>
      <c r="DP161" s="16">
        <v>2256.3294670178002</v>
      </c>
      <c r="DQ161" s="16">
        <v>2337.3126959404181</v>
      </c>
      <c r="DR161" s="16">
        <v>2411.2623398062783</v>
      </c>
      <c r="DS161" s="16">
        <v>-9999</v>
      </c>
      <c r="DT161" s="16">
        <v>-9999</v>
      </c>
      <c r="DU161" s="16">
        <v>-9999</v>
      </c>
      <c r="DV161" s="16">
        <v>-9999</v>
      </c>
      <c r="DW161" s="16">
        <v>-9999</v>
      </c>
      <c r="DX161" s="16">
        <v>-9999</v>
      </c>
      <c r="DY161" s="16">
        <v>-9999</v>
      </c>
      <c r="DZ161" s="16">
        <v>-9999</v>
      </c>
      <c r="EA161" s="2256">
        <v>2062.7570000000001</v>
      </c>
      <c r="EB161" s="2256">
        <v>2157.2220000000002</v>
      </c>
      <c r="EC161" s="2256">
        <v>2253.8903473306004</v>
      </c>
      <c r="ED161" s="2256">
        <v>2334.7706369596426</v>
      </c>
      <c r="EE161" s="2256">
        <v>2408.5692444957795</v>
      </c>
      <c r="EF161" s="2257">
        <v>-9999</v>
      </c>
      <c r="EG161" s="2257">
        <v>-9999</v>
      </c>
      <c r="EH161" s="2257">
        <v>-9999</v>
      </c>
      <c r="EI161" s="2257">
        <v>-9999</v>
      </c>
      <c r="EJ161" s="2257">
        <v>-9999</v>
      </c>
      <c r="EK161" s="2257">
        <v>-9999</v>
      </c>
      <c r="EL161" s="2257">
        <v>-9999</v>
      </c>
      <c r="EM161" s="2257">
        <v>-9999</v>
      </c>
    </row>
    <row r="162" spans="1:143" ht="13.15">
      <c r="A162" s="22">
        <v>62</v>
      </c>
      <c r="B162" s="31" t="s">
        <v>1848</v>
      </c>
      <c r="C162" s="24">
        <f ca="1">OFFSET(Labour1!F134,0,Last_forecast_year - 3-InputY!$G$3)</f>
        <v>1721.615</v>
      </c>
      <c r="D162" s="24">
        <f ca="1">OFFSET(Labour1!G134,0,Last_forecast_year - 3-InputY!$G$3)</f>
        <v>1804.124</v>
      </c>
      <c r="E162" s="24">
        <f ca="1">OFFSET(Labour1!H134,0,Last_forecast_year - 3-InputY!$G$3)</f>
        <v>1885.620382906</v>
      </c>
      <c r="F162" s="24">
        <f ca="1">OFFSET(Labour1!I134,0,Last_forecast_year - 3-InputY!$G$3)</f>
        <v>1955.6785528683345</v>
      </c>
      <c r="G162" s="24">
        <f ca="1">OFFSET(Labour1!J134,0,Last_forecast_year - 3-InputY!$G$3)</f>
        <v>2019.558938356123</v>
      </c>
      <c r="H162" s="25">
        <v>-9999</v>
      </c>
      <c r="I162" s="25">
        <v>-9999</v>
      </c>
      <c r="J162" s="25">
        <v>-9999</v>
      </c>
      <c r="K162" s="25">
        <v>-9999</v>
      </c>
      <c r="L162" s="25">
        <v>-9999</v>
      </c>
      <c r="M162" s="25">
        <v>-9999</v>
      </c>
      <c r="N162" s="25">
        <v>-9999</v>
      </c>
      <c r="O162" s="25">
        <v>-9999</v>
      </c>
      <c r="P162" s="32"/>
      <c r="Q162"/>
      <c r="AA162" s="22">
        <v>62</v>
      </c>
      <c r="AB162" s="1080" t="str">
        <f t="shared" si="3"/>
        <v>TOT. WAGES AND SALARIES</v>
      </c>
      <c r="AC162" s="1080">
        <f>CHOOSE(Tables!$U$2,Transfer!CA162,Transfer!CN162,Transfer!DA162,Transfer!DN162,Transfer!EA162)</f>
        <v>1642.875</v>
      </c>
      <c r="AD162" s="1080">
        <f>CHOOSE(Tables!$U$2,Transfer!CB162,Transfer!CO162,Transfer!DB162,Transfer!DO162,Transfer!EB162)</f>
        <v>1724</v>
      </c>
      <c r="AE162" s="1080">
        <f>CHOOSE(Tables!$U$2,Transfer!CC162,Transfer!CP162,Transfer!DC162,Transfer!DP162,Transfer!EC162)</f>
        <v>1806.623</v>
      </c>
      <c r="AF162" s="1080">
        <f>CHOOSE(Tables!$U$2,Transfer!CD162,Transfer!CQ162,Transfer!DD162,Transfer!DQ162,Transfer!ED162)</f>
        <v>1886.5777032830001</v>
      </c>
      <c r="AG162" s="1080">
        <f>CHOOSE(Tables!$U$2,Transfer!CE162,Transfer!CR162,Transfer!DE162,Transfer!DR162,Transfer!EE162)</f>
        <v>1960.2700798999663</v>
      </c>
      <c r="AH162" s="1080">
        <f>CHOOSE(Tables!$U$2,Transfer!CF162,Transfer!CS162,Transfer!DF162,Transfer!DS162,Transfer!EF162)</f>
        <v>-9999</v>
      </c>
      <c r="AI162" s="1080">
        <f>CHOOSE(Tables!$U$2,Transfer!CG162,Transfer!CT162,Transfer!DG162,Transfer!DT162,Transfer!EG162)</f>
        <v>-9999</v>
      </c>
      <c r="AJ162" s="1080">
        <f>CHOOSE(Tables!$U$2,Transfer!CH162,Transfer!CU162,Transfer!DH162,Transfer!DU162,Transfer!EH162)</f>
        <v>-9999</v>
      </c>
      <c r="AK162" s="1080">
        <f>CHOOSE(Tables!$U$2,Transfer!CI162,Transfer!CV162,Transfer!DI162,Transfer!DV162,Transfer!EI162)</f>
        <v>-9999</v>
      </c>
      <c r="AL162" s="1080">
        <f>CHOOSE(Tables!$U$2,Transfer!CJ162,Transfer!CW162,Transfer!DJ162,Transfer!DW162,Transfer!EJ162)</f>
        <v>-9999</v>
      </c>
      <c r="AM162" s="1080">
        <f>CHOOSE(Tables!$U$2,Transfer!CK162,Transfer!CX162,Transfer!DK162,Transfer!DX162,Transfer!EK162)</f>
        <v>-9999</v>
      </c>
      <c r="AN162" s="1080">
        <f>CHOOSE(Tables!$U$2,Transfer!CL162,Transfer!CY162,Transfer!DL162,Transfer!DY162,Transfer!EL162)</f>
        <v>-9999</v>
      </c>
      <c r="AO162" s="1080">
        <f>CHOOSE(Tables!$U$2,Transfer!CM162,Transfer!CZ162,Transfer!DM162,Transfer!DZ162,Transfer!EM162)</f>
        <v>-9999</v>
      </c>
      <c r="AR162" s="22">
        <v>62</v>
      </c>
      <c r="AS162" s="31" t="s">
        <v>1848</v>
      </c>
      <c r="AT162" s="24">
        <f t="shared" ca="1" si="6"/>
        <v>78.740000000000009</v>
      </c>
      <c r="AU162" s="24">
        <f t="shared" ca="1" si="6"/>
        <v>80.124000000000024</v>
      </c>
      <c r="AV162" s="24">
        <f t="shared" ca="1" si="6"/>
        <v>78.997382905999984</v>
      </c>
      <c r="AW162" s="24">
        <f t="shared" ca="1" si="6"/>
        <v>69.100849585334345</v>
      </c>
      <c r="AX162" s="24">
        <f t="shared" ca="1" si="6"/>
        <v>59.288858456156731</v>
      </c>
      <c r="AY162" s="25">
        <f t="shared" si="6"/>
        <v>0</v>
      </c>
      <c r="AZ162" s="25">
        <f t="shared" si="6"/>
        <v>0</v>
      </c>
      <c r="BA162" s="25">
        <f t="shared" si="6"/>
        <v>0</v>
      </c>
      <c r="BB162" s="25">
        <f t="shared" si="6"/>
        <v>0</v>
      </c>
      <c r="BC162" s="25">
        <f t="shared" si="6"/>
        <v>0</v>
      </c>
      <c r="BD162" s="25">
        <f t="shared" si="6"/>
        <v>0</v>
      </c>
      <c r="BE162" s="25">
        <f t="shared" si="6"/>
        <v>0</v>
      </c>
      <c r="BF162" s="25">
        <f t="shared" si="6"/>
        <v>0</v>
      </c>
      <c r="CA162" s="16">
        <v>1721.615</v>
      </c>
      <c r="CB162" s="16">
        <v>1804.124</v>
      </c>
      <c r="CC162" s="16">
        <v>1886.6264539459999</v>
      </c>
      <c r="CD162" s="16">
        <v>1956.7272008347472</v>
      </c>
      <c r="CE162" s="16">
        <v>2020.648895607012</v>
      </c>
      <c r="CF162" s="16">
        <v>-9999</v>
      </c>
      <c r="CG162" s="16">
        <v>-9999</v>
      </c>
      <c r="CH162" s="16">
        <v>-9999</v>
      </c>
      <c r="CI162" s="16">
        <v>-9999</v>
      </c>
      <c r="CJ162" s="16">
        <v>-9999</v>
      </c>
      <c r="CK162" s="16">
        <v>-9999</v>
      </c>
      <c r="CL162" s="16">
        <v>-9999</v>
      </c>
      <c r="CM162" s="16">
        <v>-9999</v>
      </c>
      <c r="CN162" s="16">
        <v>1642.875</v>
      </c>
      <c r="CO162" s="16">
        <v>1724</v>
      </c>
      <c r="CP162" s="16">
        <v>1806.623</v>
      </c>
      <c r="CQ162" s="16">
        <v>1886.5777032830001</v>
      </c>
      <c r="CR162" s="16">
        <v>1960.2700798999663</v>
      </c>
      <c r="CS162" s="16">
        <v>-9999</v>
      </c>
      <c r="CT162" s="16">
        <v>-9999</v>
      </c>
      <c r="CU162" s="16">
        <v>-9999</v>
      </c>
      <c r="CV162" s="16">
        <v>-9999</v>
      </c>
      <c r="CW162" s="16">
        <v>-9999</v>
      </c>
      <c r="CX162" s="16">
        <v>-9999</v>
      </c>
      <c r="CY162" s="16">
        <v>-9999</v>
      </c>
      <c r="CZ162" s="16">
        <v>-9999</v>
      </c>
      <c r="DA162" s="16">
        <v>1721.615</v>
      </c>
      <c r="DB162" s="16">
        <v>1804.124</v>
      </c>
      <c r="DC162" s="16">
        <v>1888.247182478</v>
      </c>
      <c r="DD162" s="16">
        <v>1957.8405894999303</v>
      </c>
      <c r="DE162" s="16">
        <v>2019.537312029016</v>
      </c>
      <c r="DF162" s="16">
        <v>-9999</v>
      </c>
      <c r="DG162" s="16">
        <v>-9999</v>
      </c>
      <c r="DH162" s="16">
        <v>-9999</v>
      </c>
      <c r="DI162" s="16">
        <v>-9999</v>
      </c>
      <c r="DJ162" s="16">
        <v>-9999</v>
      </c>
      <c r="DK162" s="16">
        <v>-9999</v>
      </c>
      <c r="DL162" s="16">
        <v>-9999</v>
      </c>
      <c r="DM162" s="16">
        <v>-9999</v>
      </c>
      <c r="DN162" s="16">
        <v>1721.615</v>
      </c>
      <c r="DO162" s="16">
        <v>1804.124</v>
      </c>
      <c r="DP162" s="16">
        <v>1887.7387747339999</v>
      </c>
      <c r="DQ162" s="16">
        <v>1957.8931266824056</v>
      </c>
      <c r="DR162" s="16">
        <v>2021.9055340913674</v>
      </c>
      <c r="DS162" s="16">
        <v>-9999</v>
      </c>
      <c r="DT162" s="16">
        <v>-9999</v>
      </c>
      <c r="DU162" s="16">
        <v>-9999</v>
      </c>
      <c r="DV162" s="16">
        <v>-9999</v>
      </c>
      <c r="DW162" s="16">
        <v>-9999</v>
      </c>
      <c r="DX162" s="16">
        <v>-9999</v>
      </c>
      <c r="DY162" s="16">
        <v>-9999</v>
      </c>
      <c r="DZ162" s="16">
        <v>-9999</v>
      </c>
      <c r="EA162" s="2256">
        <v>1721.615</v>
      </c>
      <c r="EB162" s="2256">
        <v>1804.124</v>
      </c>
      <c r="EC162" s="2256">
        <v>1885.620382906</v>
      </c>
      <c r="ED162" s="2256">
        <v>1955.6785528683345</v>
      </c>
      <c r="EE162" s="2256">
        <v>2019.558938356123</v>
      </c>
      <c r="EF162" s="2257">
        <v>-9999</v>
      </c>
      <c r="EG162" s="2257">
        <v>-9999</v>
      </c>
      <c r="EH162" s="2257">
        <v>-9999</v>
      </c>
      <c r="EI162" s="2257">
        <v>-9999</v>
      </c>
      <c r="EJ162" s="2257">
        <v>-9999</v>
      </c>
      <c r="EK162" s="2257">
        <v>-9999</v>
      </c>
      <c r="EL162" s="2257">
        <v>-9999</v>
      </c>
      <c r="EM162" s="2257">
        <v>-9999</v>
      </c>
    </row>
    <row r="163" spans="1:143" ht="13.15">
      <c r="A163" s="22">
        <v>63</v>
      </c>
      <c r="B163" s="1" t="s">
        <v>1849</v>
      </c>
      <c r="C163" s="20">
        <f ca="1">OFFSET(Labour1!F31,0,Last_forecast_year - 3-InputY!$G$3)</f>
        <v>4687.5</v>
      </c>
      <c r="D163" s="20">
        <f ca="1">OFFSET(Labour1!G31,0,Last_forecast_year - 3-InputY!$G$3)</f>
        <v>4806.3</v>
      </c>
      <c r="E163" s="20">
        <f ca="1">OFFSET(Labour1!H31,0,Last_forecast_year - 3-InputY!$G$3)</f>
        <v>4889.5333799999999</v>
      </c>
      <c r="F163" s="20">
        <f ca="1">OFFSET(Labour1!I31,0,Last_forecast_year - 3-InputY!$G$3)</f>
        <v>4933.2908682299994</v>
      </c>
      <c r="G163" s="20">
        <f ca="1">OFFSET(Labour1!J31,0,Last_forecast_year - 3-InputY!$G$3)</f>
        <v>4967.2271197432647</v>
      </c>
      <c r="H163" s="25">
        <v>-9999</v>
      </c>
      <c r="I163" s="25">
        <v>-9999</v>
      </c>
      <c r="J163" s="25">
        <v>-9999</v>
      </c>
      <c r="K163" s="25">
        <v>-9999</v>
      </c>
      <c r="L163" s="25">
        <v>-9999</v>
      </c>
      <c r="M163" s="25">
        <v>-9999</v>
      </c>
      <c r="N163" s="25">
        <v>-9999</v>
      </c>
      <c r="O163" s="25">
        <v>-9999</v>
      </c>
      <c r="P163" s="32"/>
      <c r="Q163"/>
      <c r="AA163" s="22">
        <v>63</v>
      </c>
      <c r="AB163" s="1080" t="str">
        <f t="shared" si="3"/>
        <v>TOT. WAGE AND SALARY EARNERS PERSONS</v>
      </c>
      <c r="AC163" s="1080">
        <f>CHOOSE(Tables!$U$2,Transfer!CA163,Transfer!CN163,Transfer!DA163,Transfer!DN163,Transfer!EA163)</f>
        <v>4582.3</v>
      </c>
      <c r="AD163" s="1080">
        <f>CHOOSE(Tables!$U$2,Transfer!CB163,Transfer!CO163,Transfer!DB163,Transfer!DO163,Transfer!EB163)</f>
        <v>4680.5</v>
      </c>
      <c r="AE163" s="1080">
        <f>CHOOSE(Tables!$U$2,Transfer!CC163,Transfer!CP163,Transfer!DC163,Transfer!DP163,Transfer!EC163)</f>
        <v>4798.3999999999996</v>
      </c>
      <c r="AF163" s="1080">
        <f>CHOOSE(Tables!$U$2,Transfer!CD163,Transfer!CQ163,Transfer!DD163,Transfer!DQ163,Transfer!ED163)</f>
        <v>4880.4629999999997</v>
      </c>
      <c r="AG163" s="1080">
        <f>CHOOSE(Tables!$U$2,Transfer!CE163,Transfer!CR163,Transfer!DE163,Transfer!DR163,Transfer!EE163)</f>
        <v>4944.6881854999992</v>
      </c>
      <c r="AH163" s="1080">
        <f>CHOOSE(Tables!$U$2,Transfer!CF163,Transfer!CS163,Transfer!DF163,Transfer!DS163,Transfer!EF163)</f>
        <v>-9999</v>
      </c>
      <c r="AI163" s="1080">
        <f>CHOOSE(Tables!$U$2,Transfer!CG163,Transfer!CT163,Transfer!DG163,Transfer!DT163,Transfer!EG163)</f>
        <v>-9999</v>
      </c>
      <c r="AJ163" s="1080">
        <f>CHOOSE(Tables!$U$2,Transfer!CH163,Transfer!CU163,Transfer!DH163,Transfer!DU163,Transfer!EH163)</f>
        <v>-9999</v>
      </c>
      <c r="AK163" s="1080">
        <f>CHOOSE(Tables!$U$2,Transfer!CI163,Transfer!CV163,Transfer!DI163,Transfer!DV163,Transfer!EI163)</f>
        <v>-9999</v>
      </c>
      <c r="AL163" s="1080">
        <f>CHOOSE(Tables!$U$2,Transfer!CJ163,Transfer!CW163,Transfer!DJ163,Transfer!DW163,Transfer!EJ163)</f>
        <v>-9999</v>
      </c>
      <c r="AM163" s="1080">
        <f>CHOOSE(Tables!$U$2,Transfer!CK163,Transfer!CX163,Transfer!DK163,Transfer!DX163,Transfer!EK163)</f>
        <v>-9999</v>
      </c>
      <c r="AN163" s="1080">
        <f>CHOOSE(Tables!$U$2,Transfer!CL163,Transfer!CY163,Transfer!DL163,Transfer!DY163,Transfer!EL163)</f>
        <v>-9999</v>
      </c>
      <c r="AO163" s="1080">
        <f>CHOOSE(Tables!$U$2,Transfer!CM163,Transfer!CZ163,Transfer!DM163,Transfer!DZ163,Transfer!EM163)</f>
        <v>-9999</v>
      </c>
      <c r="AR163" s="22">
        <v>63</v>
      </c>
      <c r="AS163" s="1" t="s">
        <v>1849</v>
      </c>
      <c r="AT163" s="20">
        <f t="shared" ca="1" si="6"/>
        <v>105.19999999999982</v>
      </c>
      <c r="AU163" s="20">
        <f t="shared" ca="1" si="6"/>
        <v>125.80000000000018</v>
      </c>
      <c r="AV163" s="20">
        <f t="shared" ca="1" si="6"/>
        <v>91.133380000000216</v>
      </c>
      <c r="AW163" s="20">
        <f t="shared" ca="1" si="6"/>
        <v>52.827868229999694</v>
      </c>
      <c r="AX163" s="20">
        <f t="shared" ca="1" si="6"/>
        <v>22.53893424326543</v>
      </c>
      <c r="AY163" s="25">
        <f t="shared" si="6"/>
        <v>0</v>
      </c>
      <c r="AZ163" s="25">
        <f t="shared" si="6"/>
        <v>0</v>
      </c>
      <c r="BA163" s="25">
        <f t="shared" si="6"/>
        <v>0</v>
      </c>
      <c r="BB163" s="25">
        <f t="shared" si="6"/>
        <v>0</v>
      </c>
      <c r="BC163" s="25">
        <f t="shared" si="6"/>
        <v>0</v>
      </c>
      <c r="BD163" s="25">
        <f t="shared" si="6"/>
        <v>0</v>
      </c>
      <c r="BE163" s="25">
        <f t="shared" si="6"/>
        <v>0</v>
      </c>
      <c r="BF163" s="25">
        <f t="shared" si="6"/>
        <v>0</v>
      </c>
      <c r="CA163" s="16">
        <v>4687.5</v>
      </c>
      <c r="CB163" s="16">
        <v>4806.3</v>
      </c>
      <c r="CC163" s="16">
        <v>4892.4073799999996</v>
      </c>
      <c r="CD163" s="16">
        <v>4936.1936082299999</v>
      </c>
      <c r="CE163" s="16">
        <v>4970.1591774172648</v>
      </c>
      <c r="CF163" s="16">
        <v>-9999</v>
      </c>
      <c r="CG163" s="16">
        <v>-9999</v>
      </c>
      <c r="CH163" s="16">
        <v>-9999</v>
      </c>
      <c r="CI163" s="16">
        <v>-9999</v>
      </c>
      <c r="CJ163" s="16">
        <v>-9999</v>
      </c>
      <c r="CK163" s="16">
        <v>-9999</v>
      </c>
      <c r="CL163" s="16">
        <v>-9999</v>
      </c>
      <c r="CM163" s="16">
        <v>-9999</v>
      </c>
      <c r="CN163" s="16">
        <v>4582.3</v>
      </c>
      <c r="CO163" s="16">
        <v>4680.5</v>
      </c>
      <c r="CP163" s="16">
        <v>4798.3999999999996</v>
      </c>
      <c r="CQ163" s="16">
        <v>4880.4629999999997</v>
      </c>
      <c r="CR163" s="16">
        <v>4944.6881854999992</v>
      </c>
      <c r="CS163" s="16">
        <v>-9999</v>
      </c>
      <c r="CT163" s="16">
        <v>-9999</v>
      </c>
      <c r="CU163" s="16">
        <v>-9999</v>
      </c>
      <c r="CV163" s="16">
        <v>-9999</v>
      </c>
      <c r="CW163" s="16">
        <v>-9999</v>
      </c>
      <c r="CX163" s="16">
        <v>-9999</v>
      </c>
      <c r="CY163" s="16">
        <v>-9999</v>
      </c>
      <c r="CZ163" s="16">
        <v>-9999</v>
      </c>
      <c r="DA163" s="16">
        <v>4687.5</v>
      </c>
      <c r="DB163" s="16">
        <v>4806.3</v>
      </c>
      <c r="DC163" s="16">
        <v>4896.4505399999998</v>
      </c>
      <c r="DD163" s="16">
        <v>4938.8994256739998</v>
      </c>
      <c r="DE163" s="16">
        <v>4966.8042969002072</v>
      </c>
      <c r="DF163" s="16">
        <v>-9999</v>
      </c>
      <c r="DG163" s="16">
        <v>-9999</v>
      </c>
      <c r="DH163" s="16">
        <v>-9999</v>
      </c>
      <c r="DI163" s="16">
        <v>-9999</v>
      </c>
      <c r="DJ163" s="16">
        <v>-9999</v>
      </c>
      <c r="DK163" s="16">
        <v>-9999</v>
      </c>
      <c r="DL163" s="16">
        <v>-9999</v>
      </c>
      <c r="DM163" s="16">
        <v>-9999</v>
      </c>
      <c r="DN163" s="16">
        <v>4687.5</v>
      </c>
      <c r="DO163" s="16">
        <v>4806.3</v>
      </c>
      <c r="DP163" s="16">
        <v>4893.57654</v>
      </c>
      <c r="DQ163" s="16">
        <v>4937.6074189740002</v>
      </c>
      <c r="DR163" s="16">
        <v>4971.7228765658674</v>
      </c>
      <c r="DS163" s="16">
        <v>-9999</v>
      </c>
      <c r="DT163" s="16">
        <v>-9999</v>
      </c>
      <c r="DU163" s="16">
        <v>-9999</v>
      </c>
      <c r="DV163" s="16">
        <v>-9999</v>
      </c>
      <c r="DW163" s="16">
        <v>-9999</v>
      </c>
      <c r="DX163" s="16">
        <v>-9999</v>
      </c>
      <c r="DY163" s="16">
        <v>-9999</v>
      </c>
      <c r="DZ163" s="16">
        <v>-9999</v>
      </c>
      <c r="EA163" s="2256">
        <v>4687.5</v>
      </c>
      <c r="EB163" s="2256">
        <v>4806.3</v>
      </c>
      <c r="EC163" s="2256">
        <v>4889.5333799999999</v>
      </c>
      <c r="ED163" s="2256">
        <v>4933.2908682299994</v>
      </c>
      <c r="EE163" s="2256">
        <v>4967.2271197432647</v>
      </c>
      <c r="EF163" s="2257">
        <v>-9999</v>
      </c>
      <c r="EG163" s="2257">
        <v>-9999</v>
      </c>
      <c r="EH163" s="2257">
        <v>-9999</v>
      </c>
      <c r="EI163" s="2257">
        <v>-9999</v>
      </c>
      <c r="EJ163" s="2257">
        <v>-9999</v>
      </c>
      <c r="EK163" s="2257">
        <v>-9999</v>
      </c>
      <c r="EL163" s="2257">
        <v>-9999</v>
      </c>
      <c r="EM163" s="2257">
        <v>-9999</v>
      </c>
    </row>
    <row r="164" spans="1:143" ht="13.15">
      <c r="A164" s="22">
        <v>64</v>
      </c>
      <c r="B164" s="1" t="s">
        <v>1851</v>
      </c>
      <c r="C164" s="34">
        <v>-9999</v>
      </c>
      <c r="D164" s="34">
        <v>-9999</v>
      </c>
      <c r="E164" s="34">
        <v>-9999</v>
      </c>
      <c r="F164" s="34">
        <v>-9999</v>
      </c>
      <c r="G164" s="34">
        <v>-9999</v>
      </c>
      <c r="H164" s="25">
        <v>-9999</v>
      </c>
      <c r="I164" s="25">
        <v>-9999</v>
      </c>
      <c r="J164" s="25">
        <v>-9999</v>
      </c>
      <c r="K164" s="25">
        <v>-9999</v>
      </c>
      <c r="L164" s="25">
        <v>-9999</v>
      </c>
      <c r="M164" s="25">
        <v>-9999</v>
      </c>
      <c r="N164" s="25">
        <v>-9999</v>
      </c>
      <c r="O164" s="25">
        <v>-9999</v>
      </c>
      <c r="P164" s="32"/>
      <c r="Q164"/>
      <c r="AA164" s="22">
        <v>64</v>
      </c>
      <c r="AB164" s="1080" t="str">
        <f t="shared" si="3"/>
        <v>TOT. WAGE AND SALARY EARNERS F.T.E.</v>
      </c>
      <c r="AC164" s="1080">
        <f>CHOOSE(Tables!$U$2,Transfer!CA164,Transfer!CN164,Transfer!DA164,Transfer!DN164,Transfer!EA164)</f>
        <v>-9999</v>
      </c>
      <c r="AD164" s="1080">
        <f>CHOOSE(Tables!$U$2,Transfer!CB164,Transfer!CO164,Transfer!DB164,Transfer!DO164,Transfer!EB164)</f>
        <v>-9999</v>
      </c>
      <c r="AE164" s="1080">
        <f>CHOOSE(Tables!$U$2,Transfer!CC164,Transfer!CP164,Transfer!DC164,Transfer!DP164,Transfer!EC164)</f>
        <v>-9999</v>
      </c>
      <c r="AF164" s="1080">
        <f>CHOOSE(Tables!$U$2,Transfer!CD164,Transfer!CQ164,Transfer!DD164,Transfer!DQ164,Transfer!ED164)</f>
        <v>-9999</v>
      </c>
      <c r="AG164" s="1080">
        <f>CHOOSE(Tables!$U$2,Transfer!CE164,Transfer!CR164,Transfer!DE164,Transfer!DR164,Transfer!EE164)</f>
        <v>-9999</v>
      </c>
      <c r="AH164" s="1080">
        <f>CHOOSE(Tables!$U$2,Transfer!CF164,Transfer!CS164,Transfer!DF164,Transfer!DS164,Transfer!EF164)</f>
        <v>-9999</v>
      </c>
      <c r="AI164" s="1080">
        <f>CHOOSE(Tables!$U$2,Transfer!CG164,Transfer!CT164,Transfer!DG164,Transfer!DT164,Transfer!EG164)</f>
        <v>-9999</v>
      </c>
      <c r="AJ164" s="1080">
        <f>CHOOSE(Tables!$U$2,Transfer!CH164,Transfer!CU164,Transfer!DH164,Transfer!DU164,Transfer!EH164)</f>
        <v>-9999</v>
      </c>
      <c r="AK164" s="1080">
        <f>CHOOSE(Tables!$U$2,Transfer!CI164,Transfer!CV164,Transfer!DI164,Transfer!DV164,Transfer!EI164)</f>
        <v>-9999</v>
      </c>
      <c r="AL164" s="1080">
        <f>CHOOSE(Tables!$U$2,Transfer!CJ164,Transfer!CW164,Transfer!DJ164,Transfer!DW164,Transfer!EJ164)</f>
        <v>-9999</v>
      </c>
      <c r="AM164" s="1080">
        <f>CHOOSE(Tables!$U$2,Transfer!CK164,Transfer!CX164,Transfer!DK164,Transfer!DX164,Transfer!EK164)</f>
        <v>-9999</v>
      </c>
      <c r="AN164" s="1080">
        <f>CHOOSE(Tables!$U$2,Transfer!CL164,Transfer!CY164,Transfer!DL164,Transfer!DY164,Transfer!EL164)</f>
        <v>-9999</v>
      </c>
      <c r="AO164" s="1080">
        <f>CHOOSE(Tables!$U$2,Transfer!CM164,Transfer!CZ164,Transfer!DM164,Transfer!DZ164,Transfer!EM164)</f>
        <v>-9999</v>
      </c>
      <c r="AR164" s="22">
        <v>64</v>
      </c>
      <c r="AS164" s="1" t="s">
        <v>1851</v>
      </c>
      <c r="AT164" s="2128">
        <f t="shared" si="6"/>
        <v>0</v>
      </c>
      <c r="AU164" s="2128">
        <f t="shared" si="6"/>
        <v>0</v>
      </c>
      <c r="AV164" s="2128">
        <f t="shared" si="6"/>
        <v>0</v>
      </c>
      <c r="AW164" s="2128">
        <f t="shared" si="6"/>
        <v>0</v>
      </c>
      <c r="AX164" s="2128">
        <f t="shared" si="6"/>
        <v>0</v>
      </c>
      <c r="AY164" s="25">
        <f t="shared" si="6"/>
        <v>0</v>
      </c>
      <c r="AZ164" s="25">
        <f t="shared" si="6"/>
        <v>0</v>
      </c>
      <c r="BA164" s="25">
        <f t="shared" si="6"/>
        <v>0</v>
      </c>
      <c r="BB164" s="25">
        <f t="shared" si="6"/>
        <v>0</v>
      </c>
      <c r="BC164" s="25">
        <f t="shared" si="6"/>
        <v>0</v>
      </c>
      <c r="BD164" s="25">
        <f t="shared" si="6"/>
        <v>0</v>
      </c>
      <c r="BE164" s="25">
        <f t="shared" si="6"/>
        <v>0</v>
      </c>
      <c r="BF164" s="25">
        <f t="shared" si="6"/>
        <v>0</v>
      </c>
      <c r="CA164" s="16">
        <v>-9999</v>
      </c>
      <c r="CB164" s="16">
        <v>-9999</v>
      </c>
      <c r="CC164" s="16">
        <v>-9999</v>
      </c>
      <c r="CD164" s="16">
        <v>-9999</v>
      </c>
      <c r="CE164" s="16">
        <v>-9999</v>
      </c>
      <c r="CF164" s="16">
        <v>-9999</v>
      </c>
      <c r="CG164" s="16">
        <v>-9999</v>
      </c>
      <c r="CH164" s="16">
        <v>-9999</v>
      </c>
      <c r="CI164" s="16">
        <v>-9999</v>
      </c>
      <c r="CJ164" s="16">
        <v>-9999</v>
      </c>
      <c r="CK164" s="16">
        <v>-9999</v>
      </c>
      <c r="CL164" s="16">
        <v>-9999</v>
      </c>
      <c r="CM164" s="16">
        <v>-9999</v>
      </c>
      <c r="CN164" s="16">
        <v>-9999</v>
      </c>
      <c r="CO164" s="16">
        <v>-9999</v>
      </c>
      <c r="CP164" s="16">
        <v>-9999</v>
      </c>
      <c r="CQ164" s="16">
        <v>-9999</v>
      </c>
      <c r="CR164" s="16">
        <v>-9999</v>
      </c>
      <c r="CS164" s="16">
        <v>-9999</v>
      </c>
      <c r="CT164" s="16">
        <v>-9999</v>
      </c>
      <c r="CU164" s="16">
        <v>-9999</v>
      </c>
      <c r="CV164" s="16">
        <v>-9999</v>
      </c>
      <c r="CW164" s="16">
        <v>-9999</v>
      </c>
      <c r="CX164" s="16">
        <v>-9999</v>
      </c>
      <c r="CY164" s="16">
        <v>-9999</v>
      </c>
      <c r="CZ164" s="16">
        <v>-9999</v>
      </c>
      <c r="DA164" s="16">
        <v>-9999</v>
      </c>
      <c r="DB164" s="16">
        <v>-9999</v>
      </c>
      <c r="DC164" s="16">
        <v>-9999</v>
      </c>
      <c r="DD164" s="16">
        <v>-9999</v>
      </c>
      <c r="DE164" s="16">
        <v>-9999</v>
      </c>
      <c r="DF164" s="16">
        <v>-9999</v>
      </c>
      <c r="DG164" s="16">
        <v>-9999</v>
      </c>
      <c r="DH164" s="16">
        <v>-9999</v>
      </c>
      <c r="DI164" s="16">
        <v>-9999</v>
      </c>
      <c r="DJ164" s="16">
        <v>-9999</v>
      </c>
      <c r="DK164" s="16">
        <v>-9999</v>
      </c>
      <c r="DL164" s="16">
        <v>-9999</v>
      </c>
      <c r="DM164" s="16">
        <v>-9999</v>
      </c>
      <c r="DN164" s="16">
        <v>-9999</v>
      </c>
      <c r="DO164" s="16">
        <v>-9999</v>
      </c>
      <c r="DP164" s="16">
        <v>-9999</v>
      </c>
      <c r="DQ164" s="16">
        <v>-9999</v>
      </c>
      <c r="DR164" s="16">
        <v>-9999</v>
      </c>
      <c r="DS164" s="16">
        <v>-9999</v>
      </c>
      <c r="DT164" s="16">
        <v>-9999</v>
      </c>
      <c r="DU164" s="16">
        <v>-9999</v>
      </c>
      <c r="DV164" s="16">
        <v>-9999</v>
      </c>
      <c r="DW164" s="16">
        <v>-9999</v>
      </c>
      <c r="DX164" s="16">
        <v>-9999</v>
      </c>
      <c r="DY164" s="16">
        <v>-9999</v>
      </c>
      <c r="DZ164" s="16">
        <v>-9999</v>
      </c>
      <c r="EA164" s="2257">
        <v>-9999</v>
      </c>
      <c r="EB164" s="2257">
        <v>-9999</v>
      </c>
      <c r="EC164" s="2257">
        <v>-9999</v>
      </c>
      <c r="ED164" s="2257">
        <v>-9999</v>
      </c>
      <c r="EE164" s="2257">
        <v>-9999</v>
      </c>
      <c r="EF164" s="2257">
        <v>-9999</v>
      </c>
      <c r="EG164" s="2257">
        <v>-9999</v>
      </c>
      <c r="EH164" s="2257">
        <v>-9999</v>
      </c>
      <c r="EI164" s="2257">
        <v>-9999</v>
      </c>
      <c r="EJ164" s="2257">
        <v>-9999</v>
      </c>
      <c r="EK164" s="2257">
        <v>-9999</v>
      </c>
      <c r="EL164" s="2257">
        <v>-9999</v>
      </c>
      <c r="EM164" s="2257">
        <v>-9999</v>
      </c>
    </row>
    <row r="165" spans="1:143" ht="13.15">
      <c r="A165" s="22">
        <v>65</v>
      </c>
      <c r="B165" s="36" t="s">
        <v>973</v>
      </c>
      <c r="C165" s="25">
        <v>-9999</v>
      </c>
      <c r="D165" s="25">
        <v>-9999</v>
      </c>
      <c r="E165" s="25">
        <v>-9999</v>
      </c>
      <c r="F165" s="25">
        <v>-9999</v>
      </c>
      <c r="G165" s="25">
        <v>-9999</v>
      </c>
      <c r="H165" s="25">
        <v>-9999</v>
      </c>
      <c r="I165" s="25">
        <v>-9999</v>
      </c>
      <c r="J165" s="25">
        <v>-9999</v>
      </c>
      <c r="K165" s="25">
        <v>-9999</v>
      </c>
      <c r="L165" s="25">
        <v>-9999</v>
      </c>
      <c r="M165" s="25">
        <v>-9999</v>
      </c>
      <c r="N165" s="25">
        <v>-9999</v>
      </c>
      <c r="O165" s="25">
        <v>-9999</v>
      </c>
      <c r="P165" s="32"/>
      <c r="Q165"/>
      <c r="AA165" s="22">
        <v>65</v>
      </c>
      <c r="AB165" s="1080" t="str">
        <f t="shared" si="3"/>
        <v>FOR FUTURE USE</v>
      </c>
      <c r="AC165" s="1080">
        <f>CHOOSE(Tables!$U$2,Transfer!CA165,Transfer!CN165,Transfer!DA165,Transfer!DN165,Transfer!EA165)</f>
        <v>-9999</v>
      </c>
      <c r="AD165" s="1080">
        <f>CHOOSE(Tables!$U$2,Transfer!CB165,Transfer!CO165,Transfer!DB165,Transfer!DO165,Transfer!EB165)</f>
        <v>-9999</v>
      </c>
      <c r="AE165" s="1080">
        <f>CHOOSE(Tables!$U$2,Transfer!CC165,Transfer!CP165,Transfer!DC165,Transfer!DP165,Transfer!EC165)</f>
        <v>-9999</v>
      </c>
      <c r="AF165" s="1080">
        <f>CHOOSE(Tables!$U$2,Transfer!CD165,Transfer!CQ165,Transfer!DD165,Transfer!DQ165,Transfer!ED165)</f>
        <v>-9999</v>
      </c>
      <c r="AG165" s="1080">
        <f>CHOOSE(Tables!$U$2,Transfer!CE165,Transfer!CR165,Transfer!DE165,Transfer!DR165,Transfer!EE165)</f>
        <v>-9999</v>
      </c>
      <c r="AH165" s="1080">
        <f>CHOOSE(Tables!$U$2,Transfer!CF165,Transfer!CS165,Transfer!DF165,Transfer!DS165,Transfer!EF165)</f>
        <v>-9999</v>
      </c>
      <c r="AI165" s="1080">
        <f>CHOOSE(Tables!$U$2,Transfer!CG165,Transfer!CT165,Transfer!DG165,Transfer!DT165,Transfer!EG165)</f>
        <v>-9999</v>
      </c>
      <c r="AJ165" s="1080">
        <f>CHOOSE(Tables!$U$2,Transfer!CH165,Transfer!CU165,Transfer!DH165,Transfer!DU165,Transfer!EH165)</f>
        <v>-9999</v>
      </c>
      <c r="AK165" s="1080">
        <f>CHOOSE(Tables!$U$2,Transfer!CI165,Transfer!CV165,Transfer!DI165,Transfer!DV165,Transfer!EI165)</f>
        <v>-9999</v>
      </c>
      <c r="AL165" s="1080">
        <f>CHOOSE(Tables!$U$2,Transfer!CJ165,Transfer!CW165,Transfer!DJ165,Transfer!DW165,Transfer!EJ165)</f>
        <v>-9999</v>
      </c>
      <c r="AM165" s="1080">
        <f>CHOOSE(Tables!$U$2,Transfer!CK165,Transfer!CX165,Transfer!DK165,Transfer!DX165,Transfer!EK165)</f>
        <v>-9999</v>
      </c>
      <c r="AN165" s="1080">
        <f>CHOOSE(Tables!$U$2,Transfer!CL165,Transfer!CY165,Transfer!DL165,Transfer!DY165,Transfer!EL165)</f>
        <v>-9999</v>
      </c>
      <c r="AO165" s="1080">
        <f>CHOOSE(Tables!$U$2,Transfer!CM165,Transfer!CZ165,Transfer!DM165,Transfer!DZ165,Transfer!EM165)</f>
        <v>-9999</v>
      </c>
      <c r="AR165" s="22">
        <v>65</v>
      </c>
      <c r="AS165" s="1" t="s">
        <v>801</v>
      </c>
      <c r="AT165" s="1389">
        <f t="shared" si="6"/>
        <v>0</v>
      </c>
      <c r="AU165" s="1389">
        <f t="shared" si="6"/>
        <v>0</v>
      </c>
      <c r="AV165" s="1389">
        <f t="shared" si="6"/>
        <v>0</v>
      </c>
      <c r="AW165" s="1389">
        <f t="shared" si="6"/>
        <v>0</v>
      </c>
      <c r="AX165" s="1389">
        <f t="shared" si="6"/>
        <v>0</v>
      </c>
      <c r="AY165" s="25">
        <f t="shared" si="6"/>
        <v>0</v>
      </c>
      <c r="AZ165" s="25">
        <f t="shared" si="6"/>
        <v>0</v>
      </c>
      <c r="BA165" s="25">
        <f t="shared" si="6"/>
        <v>0</v>
      </c>
      <c r="BB165" s="25">
        <f t="shared" ref="AZ165:BF201" si="7">K165-AK165</f>
        <v>0</v>
      </c>
      <c r="BC165" s="25">
        <f t="shared" si="7"/>
        <v>0</v>
      </c>
      <c r="BD165" s="25">
        <f t="shared" si="7"/>
        <v>0</v>
      </c>
      <c r="BE165" s="25">
        <f t="shared" si="7"/>
        <v>0</v>
      </c>
      <c r="BF165" s="25">
        <f t="shared" si="7"/>
        <v>0</v>
      </c>
      <c r="CA165" s="16">
        <v>-9999</v>
      </c>
      <c r="CB165" s="16">
        <v>-9999</v>
      </c>
      <c r="CC165" s="16">
        <v>-9999</v>
      </c>
      <c r="CD165" s="16">
        <v>-9999</v>
      </c>
      <c r="CE165" s="16">
        <v>-9999</v>
      </c>
      <c r="CF165" s="16">
        <v>-9999</v>
      </c>
      <c r="CG165" s="16">
        <v>-9999</v>
      </c>
      <c r="CH165" s="16">
        <v>-9999</v>
      </c>
      <c r="CI165" s="16">
        <v>-9999</v>
      </c>
      <c r="CJ165" s="16">
        <v>-9999</v>
      </c>
      <c r="CK165" s="16">
        <v>-9999</v>
      </c>
      <c r="CL165" s="16">
        <v>-9999</v>
      </c>
      <c r="CM165" s="16">
        <v>-9999</v>
      </c>
      <c r="CN165" s="16">
        <v>-9999</v>
      </c>
      <c r="CO165" s="16">
        <v>-9999</v>
      </c>
      <c r="CP165" s="16">
        <v>-9999</v>
      </c>
      <c r="CQ165" s="16">
        <v>-9999</v>
      </c>
      <c r="CR165" s="16">
        <v>-9999</v>
      </c>
      <c r="CS165" s="16">
        <v>-9999</v>
      </c>
      <c r="CT165" s="16">
        <v>-9999</v>
      </c>
      <c r="CU165" s="16">
        <v>-9999</v>
      </c>
      <c r="CV165" s="16">
        <v>-9999</v>
      </c>
      <c r="CW165" s="16">
        <v>-9999</v>
      </c>
      <c r="CX165" s="16">
        <v>-9999</v>
      </c>
      <c r="CY165" s="16">
        <v>-9999</v>
      </c>
      <c r="CZ165" s="16">
        <v>-9999</v>
      </c>
      <c r="DA165" s="16">
        <v>-9999</v>
      </c>
      <c r="DB165" s="16">
        <v>-9999</v>
      </c>
      <c r="DC165" s="16">
        <v>-9999</v>
      </c>
      <c r="DD165" s="16">
        <v>-9999</v>
      </c>
      <c r="DE165" s="16">
        <v>-9999</v>
      </c>
      <c r="DF165" s="16">
        <v>-9999</v>
      </c>
      <c r="DG165" s="16">
        <v>-9999</v>
      </c>
      <c r="DH165" s="16">
        <v>-9999</v>
      </c>
      <c r="DI165" s="16">
        <v>-9999</v>
      </c>
      <c r="DJ165" s="16">
        <v>-9999</v>
      </c>
      <c r="DK165" s="16">
        <v>-9999</v>
      </c>
      <c r="DL165" s="16">
        <v>-9999</v>
      </c>
      <c r="DM165" s="16">
        <v>-9999</v>
      </c>
      <c r="DN165" s="16">
        <v>-9999</v>
      </c>
      <c r="DO165" s="16">
        <v>-9999</v>
      </c>
      <c r="DP165" s="16">
        <v>-9999</v>
      </c>
      <c r="DQ165" s="16">
        <v>-9999</v>
      </c>
      <c r="DR165" s="16">
        <v>-9999</v>
      </c>
      <c r="DS165" s="16">
        <v>-9999</v>
      </c>
      <c r="DT165" s="16">
        <v>-9999</v>
      </c>
      <c r="DU165" s="16">
        <v>-9999</v>
      </c>
      <c r="DV165" s="16">
        <v>-9999</v>
      </c>
      <c r="DW165" s="16">
        <v>-9999</v>
      </c>
      <c r="DX165" s="16">
        <v>-9999</v>
      </c>
      <c r="DY165" s="16">
        <v>-9999</v>
      </c>
      <c r="DZ165" s="16">
        <v>-9999</v>
      </c>
      <c r="EA165" s="2256">
        <v>-9999</v>
      </c>
      <c r="EB165" s="2256">
        <v>-9999</v>
      </c>
      <c r="EC165" s="2256">
        <v>-9999</v>
      </c>
      <c r="ED165" s="2256">
        <v>-9999</v>
      </c>
      <c r="EE165" s="2256">
        <v>-9999</v>
      </c>
      <c r="EF165" s="2257">
        <v>-9999</v>
      </c>
      <c r="EG165" s="2257">
        <v>-9999</v>
      </c>
      <c r="EH165" s="2257">
        <v>-9999</v>
      </c>
      <c r="EI165" s="2257">
        <v>-9999</v>
      </c>
      <c r="EJ165" s="2257">
        <v>-9999</v>
      </c>
      <c r="EK165" s="2257">
        <v>-9999</v>
      </c>
      <c r="EL165" s="2257">
        <v>-9999</v>
      </c>
      <c r="EM165" s="2257">
        <v>-9999</v>
      </c>
    </row>
    <row r="166" spans="1:143" ht="13.15">
      <c r="A166" s="22">
        <v>66</v>
      </c>
      <c r="B166" s="36" t="s">
        <v>973</v>
      </c>
      <c r="C166" s="25">
        <v>-9999</v>
      </c>
      <c r="D166" s="25">
        <v>-9999</v>
      </c>
      <c r="E166" s="25">
        <v>-9999</v>
      </c>
      <c r="F166" s="25">
        <v>-9999</v>
      </c>
      <c r="G166" s="25">
        <v>-9999</v>
      </c>
      <c r="H166" s="25">
        <v>-9999</v>
      </c>
      <c r="I166" s="25">
        <v>-9999</v>
      </c>
      <c r="J166" s="25">
        <v>-9999</v>
      </c>
      <c r="K166" s="25">
        <v>-9999</v>
      </c>
      <c r="L166" s="25">
        <v>-9999</v>
      </c>
      <c r="M166" s="25">
        <v>-9999</v>
      </c>
      <c r="N166" s="25">
        <v>-9999</v>
      </c>
      <c r="O166" s="25">
        <v>-9999</v>
      </c>
      <c r="P166" s="32"/>
      <c r="Q166"/>
      <c r="AA166" s="22">
        <v>66</v>
      </c>
      <c r="AB166" s="1080" t="str">
        <f t="shared" ref="AB166:AB229" si="8">+B166</f>
        <v>FOR FUTURE USE</v>
      </c>
      <c r="AC166" s="1080">
        <f>CHOOSE(Tables!$U$2,Transfer!CA166,Transfer!CN166,Transfer!DA166,Transfer!DN166,Transfer!EA166)</f>
        <v>-9999</v>
      </c>
      <c r="AD166" s="1080">
        <f>CHOOSE(Tables!$U$2,Transfer!CB166,Transfer!CO166,Transfer!DB166,Transfer!DO166,Transfer!EB166)</f>
        <v>-9999</v>
      </c>
      <c r="AE166" s="1080">
        <f>CHOOSE(Tables!$U$2,Transfer!CC166,Transfer!CP166,Transfer!DC166,Transfer!DP166,Transfer!EC166)</f>
        <v>-9999</v>
      </c>
      <c r="AF166" s="1080">
        <f>CHOOSE(Tables!$U$2,Transfer!CD166,Transfer!CQ166,Transfer!DD166,Transfer!DQ166,Transfer!ED166)</f>
        <v>-9999</v>
      </c>
      <c r="AG166" s="1080">
        <f>CHOOSE(Tables!$U$2,Transfer!CE166,Transfer!CR166,Transfer!DE166,Transfer!DR166,Transfer!EE166)</f>
        <v>-9999</v>
      </c>
      <c r="AH166" s="1080">
        <f>CHOOSE(Tables!$U$2,Transfer!CF166,Transfer!CS166,Transfer!DF166,Transfer!DS166,Transfer!EF166)</f>
        <v>-9999</v>
      </c>
      <c r="AI166" s="1080">
        <f>CHOOSE(Tables!$U$2,Transfer!CG166,Transfer!CT166,Transfer!DG166,Transfer!DT166,Transfer!EG166)</f>
        <v>-9999</v>
      </c>
      <c r="AJ166" s="1080">
        <f>CHOOSE(Tables!$U$2,Transfer!CH166,Transfer!CU166,Transfer!DH166,Transfer!DU166,Transfer!EH166)</f>
        <v>-9999</v>
      </c>
      <c r="AK166" s="1080">
        <f>CHOOSE(Tables!$U$2,Transfer!CI166,Transfer!CV166,Transfer!DI166,Transfer!DV166,Transfer!EI166)</f>
        <v>-9999</v>
      </c>
      <c r="AL166" s="1080">
        <f>CHOOSE(Tables!$U$2,Transfer!CJ166,Transfer!CW166,Transfer!DJ166,Transfer!DW166,Transfer!EJ166)</f>
        <v>-9999</v>
      </c>
      <c r="AM166" s="1080">
        <f>CHOOSE(Tables!$U$2,Transfer!CK166,Transfer!CX166,Transfer!DK166,Transfer!DX166,Transfer!EK166)</f>
        <v>-9999</v>
      </c>
      <c r="AN166" s="1080">
        <f>CHOOSE(Tables!$U$2,Transfer!CL166,Transfer!CY166,Transfer!DL166,Transfer!DY166,Transfer!EL166)</f>
        <v>-9999</v>
      </c>
      <c r="AO166" s="1080">
        <f>CHOOSE(Tables!$U$2,Transfer!CM166,Transfer!CZ166,Transfer!DM166,Transfer!DZ166,Transfer!EM166)</f>
        <v>-9999</v>
      </c>
      <c r="AR166" s="22">
        <v>66</v>
      </c>
      <c r="AS166" s="1" t="s">
        <v>802</v>
      </c>
      <c r="AT166" s="24">
        <f t="shared" ref="AT166:BB181" si="9">C166-AC166</f>
        <v>0</v>
      </c>
      <c r="AU166" s="24">
        <f t="shared" si="9"/>
        <v>0</v>
      </c>
      <c r="AV166" s="24">
        <f t="shared" si="9"/>
        <v>0</v>
      </c>
      <c r="AW166" s="24">
        <f t="shared" si="9"/>
        <v>0</v>
      </c>
      <c r="AX166" s="1389">
        <f t="shared" si="9"/>
        <v>0</v>
      </c>
      <c r="AY166" s="25">
        <f t="shared" si="9"/>
        <v>0</v>
      </c>
      <c r="AZ166" s="25">
        <f t="shared" si="7"/>
        <v>0</v>
      </c>
      <c r="BA166" s="25">
        <f t="shared" si="7"/>
        <v>0</v>
      </c>
      <c r="BB166" s="25">
        <f t="shared" si="7"/>
        <v>0</v>
      </c>
      <c r="BC166" s="25">
        <f t="shared" si="7"/>
        <v>0</v>
      </c>
      <c r="BD166" s="25">
        <f t="shared" si="7"/>
        <v>0</v>
      </c>
      <c r="BE166" s="25">
        <f t="shared" si="7"/>
        <v>0</v>
      </c>
      <c r="BF166" s="25">
        <f t="shared" si="7"/>
        <v>0</v>
      </c>
      <c r="CA166" s="16">
        <v>-9999</v>
      </c>
      <c r="CB166" s="16">
        <v>-9999</v>
      </c>
      <c r="CC166" s="16">
        <v>-9999</v>
      </c>
      <c r="CD166" s="16">
        <v>-9999</v>
      </c>
      <c r="CE166" s="16">
        <v>-9999</v>
      </c>
      <c r="CF166" s="16">
        <v>-9999</v>
      </c>
      <c r="CG166" s="16">
        <v>-9999</v>
      </c>
      <c r="CH166" s="16">
        <v>-9999</v>
      </c>
      <c r="CI166" s="16">
        <v>-9999</v>
      </c>
      <c r="CJ166" s="16">
        <v>-9999</v>
      </c>
      <c r="CK166" s="16">
        <v>-9999</v>
      </c>
      <c r="CL166" s="16">
        <v>-9999</v>
      </c>
      <c r="CM166" s="16">
        <v>-9999</v>
      </c>
      <c r="CN166" s="16">
        <v>-9999</v>
      </c>
      <c r="CO166" s="16">
        <v>-9999</v>
      </c>
      <c r="CP166" s="16">
        <v>-9999</v>
      </c>
      <c r="CQ166" s="16">
        <v>-9999</v>
      </c>
      <c r="CR166" s="16">
        <v>-9999</v>
      </c>
      <c r="CS166" s="16">
        <v>-9999</v>
      </c>
      <c r="CT166" s="16">
        <v>-9999</v>
      </c>
      <c r="CU166" s="16">
        <v>-9999</v>
      </c>
      <c r="CV166" s="16">
        <v>-9999</v>
      </c>
      <c r="CW166" s="16">
        <v>-9999</v>
      </c>
      <c r="CX166" s="16">
        <v>-9999</v>
      </c>
      <c r="CY166" s="16">
        <v>-9999</v>
      </c>
      <c r="CZ166" s="16">
        <v>-9999</v>
      </c>
      <c r="DA166" s="16">
        <v>-9999</v>
      </c>
      <c r="DB166" s="16">
        <v>-9999</v>
      </c>
      <c r="DC166" s="16">
        <v>-9999</v>
      </c>
      <c r="DD166" s="16">
        <v>-9999</v>
      </c>
      <c r="DE166" s="16">
        <v>-9999</v>
      </c>
      <c r="DF166" s="16">
        <v>-9999</v>
      </c>
      <c r="DG166" s="16">
        <v>-9999</v>
      </c>
      <c r="DH166" s="16">
        <v>-9999</v>
      </c>
      <c r="DI166" s="16">
        <v>-9999</v>
      </c>
      <c r="DJ166" s="16">
        <v>-9999</v>
      </c>
      <c r="DK166" s="16">
        <v>-9999</v>
      </c>
      <c r="DL166" s="16">
        <v>-9999</v>
      </c>
      <c r="DM166" s="16">
        <v>-9999</v>
      </c>
      <c r="DN166" s="16">
        <v>-9999</v>
      </c>
      <c r="DO166" s="16">
        <v>-9999</v>
      </c>
      <c r="DP166" s="16">
        <v>-9999</v>
      </c>
      <c r="DQ166" s="16">
        <v>-9999</v>
      </c>
      <c r="DR166" s="16">
        <v>-9999</v>
      </c>
      <c r="DS166" s="16">
        <v>-9999</v>
      </c>
      <c r="DT166" s="16">
        <v>-9999</v>
      </c>
      <c r="DU166" s="16">
        <v>-9999</v>
      </c>
      <c r="DV166" s="16">
        <v>-9999</v>
      </c>
      <c r="DW166" s="16">
        <v>-9999</v>
      </c>
      <c r="DX166" s="16">
        <v>-9999</v>
      </c>
      <c r="DY166" s="16">
        <v>-9999</v>
      </c>
      <c r="DZ166" s="16">
        <v>-9999</v>
      </c>
      <c r="EA166" s="2256">
        <v>-9999</v>
      </c>
      <c r="EB166" s="2256">
        <v>-9999</v>
      </c>
      <c r="EC166" s="2256">
        <v>-9999</v>
      </c>
      <c r="ED166" s="2256">
        <v>-9999</v>
      </c>
      <c r="EE166" s="2256">
        <v>-9999</v>
      </c>
      <c r="EF166" s="2257">
        <v>-9999</v>
      </c>
      <c r="EG166" s="2257">
        <v>-9999</v>
      </c>
      <c r="EH166" s="2257">
        <v>-9999</v>
      </c>
      <c r="EI166" s="2257">
        <v>-9999</v>
      </c>
      <c r="EJ166" s="2257">
        <v>-9999</v>
      </c>
      <c r="EK166" s="2257">
        <v>-9999</v>
      </c>
      <c r="EL166" s="2257">
        <v>-9999</v>
      </c>
      <c r="EM166" s="2257">
        <v>-9999</v>
      </c>
    </row>
    <row r="167" spans="1:143" ht="13.15">
      <c r="A167" s="22">
        <v>67</v>
      </c>
      <c r="B167" s="36" t="s">
        <v>973</v>
      </c>
      <c r="C167" s="25">
        <v>-9999</v>
      </c>
      <c r="D167" s="25">
        <v>-9999</v>
      </c>
      <c r="E167" s="25">
        <v>-9999</v>
      </c>
      <c r="F167" s="25">
        <v>-9999</v>
      </c>
      <c r="G167" s="25">
        <v>-9999</v>
      </c>
      <c r="H167" s="25">
        <v>-9999</v>
      </c>
      <c r="I167" s="25">
        <v>-9999</v>
      </c>
      <c r="J167" s="25">
        <v>-9999</v>
      </c>
      <c r="K167" s="25">
        <v>-9999</v>
      </c>
      <c r="L167" s="25">
        <v>-9999</v>
      </c>
      <c r="M167" s="25">
        <v>-9999</v>
      </c>
      <c r="N167" s="25">
        <v>-9999</v>
      </c>
      <c r="O167" s="25">
        <v>-9999</v>
      </c>
      <c r="P167" s="32"/>
      <c r="Q167"/>
      <c r="AA167" s="22">
        <v>67</v>
      </c>
      <c r="AB167" s="1080" t="str">
        <f t="shared" si="8"/>
        <v>FOR FUTURE USE</v>
      </c>
      <c r="AC167" s="1080">
        <f>CHOOSE(Tables!$U$2,Transfer!CA167,Transfer!CN167,Transfer!DA167,Transfer!DN167,Transfer!EA167)</f>
        <v>-9999</v>
      </c>
      <c r="AD167" s="1080">
        <f>CHOOSE(Tables!$U$2,Transfer!CB167,Transfer!CO167,Transfer!DB167,Transfer!DO167,Transfer!EB167)</f>
        <v>-9999</v>
      </c>
      <c r="AE167" s="1080">
        <f>CHOOSE(Tables!$U$2,Transfer!CC167,Transfer!CP167,Transfer!DC167,Transfer!DP167,Transfer!EC167)</f>
        <v>-9999</v>
      </c>
      <c r="AF167" s="1080">
        <f>CHOOSE(Tables!$U$2,Transfer!CD167,Transfer!CQ167,Transfer!DD167,Transfer!DQ167,Transfer!ED167)</f>
        <v>-9999</v>
      </c>
      <c r="AG167" s="1080">
        <f>CHOOSE(Tables!$U$2,Transfer!CE167,Transfer!CR167,Transfer!DE167,Transfer!DR167,Transfer!EE167)</f>
        <v>-9999</v>
      </c>
      <c r="AH167" s="1080">
        <f>CHOOSE(Tables!$U$2,Transfer!CF167,Transfer!CS167,Transfer!DF167,Transfer!DS167,Transfer!EF167)</f>
        <v>-9999</v>
      </c>
      <c r="AI167" s="1080">
        <f>CHOOSE(Tables!$U$2,Transfer!CG167,Transfer!CT167,Transfer!DG167,Transfer!DT167,Transfer!EG167)</f>
        <v>-9999</v>
      </c>
      <c r="AJ167" s="1080">
        <f>CHOOSE(Tables!$U$2,Transfer!CH167,Transfer!CU167,Transfer!DH167,Transfer!DU167,Transfer!EH167)</f>
        <v>-9999</v>
      </c>
      <c r="AK167" s="1080">
        <f>CHOOSE(Tables!$U$2,Transfer!CI167,Transfer!CV167,Transfer!DI167,Transfer!DV167,Transfer!EI167)</f>
        <v>-9999</v>
      </c>
      <c r="AL167" s="1080">
        <f>CHOOSE(Tables!$U$2,Transfer!CJ167,Transfer!CW167,Transfer!DJ167,Transfer!DW167,Transfer!EJ167)</f>
        <v>-9999</v>
      </c>
      <c r="AM167" s="1080">
        <f>CHOOSE(Tables!$U$2,Transfer!CK167,Transfer!CX167,Transfer!DK167,Transfer!DX167,Transfer!EK167)</f>
        <v>-9999</v>
      </c>
      <c r="AN167" s="1080">
        <f>CHOOSE(Tables!$U$2,Transfer!CL167,Transfer!CY167,Transfer!DL167,Transfer!DY167,Transfer!EL167)</f>
        <v>-9999</v>
      </c>
      <c r="AO167" s="1080">
        <f>CHOOSE(Tables!$U$2,Transfer!CM167,Transfer!CZ167,Transfer!DM167,Transfer!DZ167,Transfer!EM167)</f>
        <v>-9999</v>
      </c>
      <c r="AR167" s="22">
        <v>67</v>
      </c>
      <c r="AS167" s="1" t="s">
        <v>1852</v>
      </c>
      <c r="AT167" s="20">
        <f t="shared" si="9"/>
        <v>0</v>
      </c>
      <c r="AU167" s="20">
        <f t="shared" si="9"/>
        <v>0</v>
      </c>
      <c r="AV167" s="20">
        <f t="shared" si="9"/>
        <v>0</v>
      </c>
      <c r="AW167" s="20">
        <f t="shared" si="9"/>
        <v>0</v>
      </c>
      <c r="AX167" s="20">
        <f t="shared" si="9"/>
        <v>0</v>
      </c>
      <c r="AY167" s="25">
        <f t="shared" si="9"/>
        <v>0</v>
      </c>
      <c r="AZ167" s="25">
        <f t="shared" si="7"/>
        <v>0</v>
      </c>
      <c r="BA167" s="25">
        <f t="shared" si="7"/>
        <v>0</v>
      </c>
      <c r="BB167" s="25">
        <f t="shared" si="7"/>
        <v>0</v>
      </c>
      <c r="BC167" s="25">
        <f t="shared" si="7"/>
        <v>0</v>
      </c>
      <c r="BD167" s="25">
        <f t="shared" si="7"/>
        <v>0</v>
      </c>
      <c r="BE167" s="25">
        <f t="shared" si="7"/>
        <v>0</v>
      </c>
      <c r="BF167" s="25">
        <f t="shared" si="7"/>
        <v>0</v>
      </c>
      <c r="CA167" s="16">
        <v>-9999</v>
      </c>
      <c r="CB167" s="16">
        <v>-9999</v>
      </c>
      <c r="CC167" s="16">
        <v>-9999</v>
      </c>
      <c r="CD167" s="16">
        <v>-9999</v>
      </c>
      <c r="CE167" s="16">
        <v>-9999</v>
      </c>
      <c r="CF167" s="16">
        <v>-9999</v>
      </c>
      <c r="CG167" s="16">
        <v>-9999</v>
      </c>
      <c r="CH167" s="16">
        <v>-9999</v>
      </c>
      <c r="CI167" s="16">
        <v>-9999</v>
      </c>
      <c r="CJ167" s="16">
        <v>-9999</v>
      </c>
      <c r="CK167" s="16">
        <v>-9999</v>
      </c>
      <c r="CL167" s="16">
        <v>-9999</v>
      </c>
      <c r="CM167" s="16">
        <v>-9999</v>
      </c>
      <c r="CN167" s="16">
        <v>-9999</v>
      </c>
      <c r="CO167" s="16">
        <v>-9999</v>
      </c>
      <c r="CP167" s="16">
        <v>-9999</v>
      </c>
      <c r="CQ167" s="16">
        <v>-9999</v>
      </c>
      <c r="CR167" s="16">
        <v>-9999</v>
      </c>
      <c r="CS167" s="16">
        <v>-9999</v>
      </c>
      <c r="CT167" s="16">
        <v>-9999</v>
      </c>
      <c r="CU167" s="16">
        <v>-9999</v>
      </c>
      <c r="CV167" s="16">
        <v>-9999</v>
      </c>
      <c r="CW167" s="16">
        <v>-9999</v>
      </c>
      <c r="CX167" s="16">
        <v>-9999</v>
      </c>
      <c r="CY167" s="16">
        <v>-9999</v>
      </c>
      <c r="CZ167" s="16">
        <v>-9999</v>
      </c>
      <c r="DA167" s="16">
        <v>-9999</v>
      </c>
      <c r="DB167" s="16">
        <v>-9999</v>
      </c>
      <c r="DC167" s="16">
        <v>-9999</v>
      </c>
      <c r="DD167" s="16">
        <v>-9999</v>
      </c>
      <c r="DE167" s="16">
        <v>-9999</v>
      </c>
      <c r="DF167" s="16">
        <v>-9999</v>
      </c>
      <c r="DG167" s="16">
        <v>-9999</v>
      </c>
      <c r="DH167" s="16">
        <v>-9999</v>
      </c>
      <c r="DI167" s="16">
        <v>-9999</v>
      </c>
      <c r="DJ167" s="16">
        <v>-9999</v>
      </c>
      <c r="DK167" s="16">
        <v>-9999</v>
      </c>
      <c r="DL167" s="16">
        <v>-9999</v>
      </c>
      <c r="DM167" s="16">
        <v>-9999</v>
      </c>
      <c r="DN167" s="16">
        <v>-9999</v>
      </c>
      <c r="DO167" s="16">
        <v>-9999</v>
      </c>
      <c r="DP167" s="16">
        <v>-9999</v>
      </c>
      <c r="DQ167" s="16">
        <v>-9999</v>
      </c>
      <c r="DR167" s="16">
        <v>-9999</v>
      </c>
      <c r="DS167" s="16">
        <v>-9999</v>
      </c>
      <c r="DT167" s="16">
        <v>-9999</v>
      </c>
      <c r="DU167" s="16">
        <v>-9999</v>
      </c>
      <c r="DV167" s="16">
        <v>-9999</v>
      </c>
      <c r="DW167" s="16">
        <v>-9999</v>
      </c>
      <c r="DX167" s="16">
        <v>-9999</v>
      </c>
      <c r="DY167" s="16">
        <v>-9999</v>
      </c>
      <c r="DZ167" s="16">
        <v>-9999</v>
      </c>
      <c r="EA167" s="2256">
        <v>-9999</v>
      </c>
      <c r="EB167" s="2256">
        <v>-9999</v>
      </c>
      <c r="EC167" s="2256">
        <v>-9999</v>
      </c>
      <c r="ED167" s="2256">
        <v>-9999</v>
      </c>
      <c r="EE167" s="2256">
        <v>-9999</v>
      </c>
      <c r="EF167" s="2257">
        <v>-9999</v>
      </c>
      <c r="EG167" s="2257">
        <v>-9999</v>
      </c>
      <c r="EH167" s="2257">
        <v>-9999</v>
      </c>
      <c r="EI167" s="2257">
        <v>-9999</v>
      </c>
      <c r="EJ167" s="2257">
        <v>-9999</v>
      </c>
      <c r="EK167" s="2257">
        <v>-9999</v>
      </c>
      <c r="EL167" s="2257">
        <v>-9999</v>
      </c>
      <c r="EM167" s="2257">
        <v>-9999</v>
      </c>
    </row>
    <row r="168" spans="1:143" ht="13.15">
      <c r="A168" s="22">
        <v>68</v>
      </c>
      <c r="B168" s="36" t="s">
        <v>973</v>
      </c>
      <c r="C168" s="25">
        <v>-9999</v>
      </c>
      <c r="D168" s="25">
        <v>-9999</v>
      </c>
      <c r="E168" s="25">
        <v>-9999</v>
      </c>
      <c r="F168" s="25">
        <v>-9999</v>
      </c>
      <c r="G168" s="25">
        <v>-9999</v>
      </c>
      <c r="H168" s="25">
        <v>-9999</v>
      </c>
      <c r="I168" s="25">
        <v>-9999</v>
      </c>
      <c r="J168" s="25">
        <v>-9999</v>
      </c>
      <c r="K168" s="25">
        <v>-9999</v>
      </c>
      <c r="L168" s="25">
        <v>-9999</v>
      </c>
      <c r="M168" s="25">
        <v>-9999</v>
      </c>
      <c r="N168" s="25">
        <v>-9999</v>
      </c>
      <c r="O168" s="25">
        <v>-9999</v>
      </c>
      <c r="P168" s="32"/>
      <c r="Q168"/>
      <c r="AA168" s="22">
        <v>68</v>
      </c>
      <c r="AB168" s="1080" t="str">
        <f t="shared" si="8"/>
        <v>FOR FUTURE USE</v>
      </c>
      <c r="AC168" s="1080">
        <f>CHOOSE(Tables!$U$2,Transfer!CA168,Transfer!CN168,Transfer!DA168,Transfer!DN168,Transfer!EA168)</f>
        <v>-9999</v>
      </c>
      <c r="AD168" s="1080">
        <f>CHOOSE(Tables!$U$2,Transfer!CB168,Transfer!CO168,Transfer!DB168,Transfer!DO168,Transfer!EB168)</f>
        <v>-9999</v>
      </c>
      <c r="AE168" s="1080">
        <f>CHOOSE(Tables!$U$2,Transfer!CC168,Transfer!CP168,Transfer!DC168,Transfer!DP168,Transfer!EC168)</f>
        <v>-9999</v>
      </c>
      <c r="AF168" s="1080">
        <f>CHOOSE(Tables!$U$2,Transfer!CD168,Transfer!CQ168,Transfer!DD168,Transfer!DQ168,Transfer!ED168)</f>
        <v>-9999</v>
      </c>
      <c r="AG168" s="1080">
        <f>CHOOSE(Tables!$U$2,Transfer!CE168,Transfer!CR168,Transfer!DE168,Transfer!DR168,Transfer!EE168)</f>
        <v>-9999</v>
      </c>
      <c r="AH168" s="1080">
        <f>CHOOSE(Tables!$U$2,Transfer!CF168,Transfer!CS168,Transfer!DF168,Transfer!DS168,Transfer!EF168)</f>
        <v>-9999</v>
      </c>
      <c r="AI168" s="1080">
        <f>CHOOSE(Tables!$U$2,Transfer!CG168,Transfer!CT168,Transfer!DG168,Transfer!DT168,Transfer!EG168)</f>
        <v>-9999</v>
      </c>
      <c r="AJ168" s="1080">
        <f>CHOOSE(Tables!$U$2,Transfer!CH168,Transfer!CU168,Transfer!DH168,Transfer!DU168,Transfer!EH168)</f>
        <v>-9999</v>
      </c>
      <c r="AK168" s="1080">
        <f>CHOOSE(Tables!$U$2,Transfer!CI168,Transfer!CV168,Transfer!DI168,Transfer!DV168,Transfer!EI168)</f>
        <v>-9999</v>
      </c>
      <c r="AL168" s="1080">
        <f>CHOOSE(Tables!$U$2,Transfer!CJ168,Transfer!CW168,Transfer!DJ168,Transfer!DW168,Transfer!EJ168)</f>
        <v>-9999</v>
      </c>
      <c r="AM168" s="1080">
        <f>CHOOSE(Tables!$U$2,Transfer!CK168,Transfer!CX168,Transfer!DK168,Transfer!DX168,Transfer!EK168)</f>
        <v>-9999</v>
      </c>
      <c r="AN168" s="1080">
        <f>CHOOSE(Tables!$U$2,Transfer!CL168,Transfer!CY168,Transfer!DL168,Transfer!DY168,Transfer!EL168)</f>
        <v>-9999</v>
      </c>
      <c r="AO168" s="1080">
        <f>CHOOSE(Tables!$U$2,Transfer!CM168,Transfer!CZ168,Transfer!DM168,Transfer!DZ168,Transfer!EM168)</f>
        <v>-9999</v>
      </c>
      <c r="AR168" s="22">
        <v>68</v>
      </c>
      <c r="AS168" s="31" t="s">
        <v>985</v>
      </c>
      <c r="AT168" s="2128">
        <f t="shared" si="9"/>
        <v>0</v>
      </c>
      <c r="AU168" s="2128">
        <f t="shared" si="9"/>
        <v>0</v>
      </c>
      <c r="AV168" s="2128">
        <f t="shared" si="9"/>
        <v>0</v>
      </c>
      <c r="AW168" s="2128">
        <f t="shared" si="9"/>
        <v>0</v>
      </c>
      <c r="AX168" s="2128">
        <f t="shared" si="9"/>
        <v>0</v>
      </c>
      <c r="AY168" s="25">
        <f t="shared" si="9"/>
        <v>0</v>
      </c>
      <c r="AZ168" s="25">
        <f t="shared" si="7"/>
        <v>0</v>
      </c>
      <c r="BA168" s="25">
        <f t="shared" si="7"/>
        <v>0</v>
      </c>
      <c r="BB168" s="25">
        <f t="shared" si="7"/>
        <v>0</v>
      </c>
      <c r="BC168" s="25">
        <f t="shared" si="7"/>
        <v>0</v>
      </c>
      <c r="BD168" s="25">
        <f t="shared" si="7"/>
        <v>0</v>
      </c>
      <c r="BE168" s="25">
        <f t="shared" si="7"/>
        <v>0</v>
      </c>
      <c r="BF168" s="25">
        <f t="shared" si="7"/>
        <v>0</v>
      </c>
      <c r="CA168" s="16">
        <v>-9999</v>
      </c>
      <c r="CB168" s="16">
        <v>-9999</v>
      </c>
      <c r="CC168" s="16">
        <v>-9999</v>
      </c>
      <c r="CD168" s="16">
        <v>-9999</v>
      </c>
      <c r="CE168" s="16">
        <v>-9999</v>
      </c>
      <c r="CF168" s="16">
        <v>-9999</v>
      </c>
      <c r="CG168" s="16">
        <v>-9999</v>
      </c>
      <c r="CH168" s="16">
        <v>-9999</v>
      </c>
      <c r="CI168" s="16">
        <v>-9999</v>
      </c>
      <c r="CJ168" s="16">
        <v>-9999</v>
      </c>
      <c r="CK168" s="16">
        <v>-9999</v>
      </c>
      <c r="CL168" s="16">
        <v>-9999</v>
      </c>
      <c r="CM168" s="16">
        <v>-9999</v>
      </c>
      <c r="CN168" s="16">
        <v>-9999</v>
      </c>
      <c r="CO168" s="16">
        <v>-9999</v>
      </c>
      <c r="CP168" s="16">
        <v>-9999</v>
      </c>
      <c r="CQ168" s="16">
        <v>-9999</v>
      </c>
      <c r="CR168" s="16">
        <v>-9999</v>
      </c>
      <c r="CS168" s="16">
        <v>-9999</v>
      </c>
      <c r="CT168" s="16">
        <v>-9999</v>
      </c>
      <c r="CU168" s="16">
        <v>-9999</v>
      </c>
      <c r="CV168" s="16">
        <v>-9999</v>
      </c>
      <c r="CW168" s="16">
        <v>-9999</v>
      </c>
      <c r="CX168" s="16">
        <v>-9999</v>
      </c>
      <c r="CY168" s="16">
        <v>-9999</v>
      </c>
      <c r="CZ168" s="16">
        <v>-9999</v>
      </c>
      <c r="DA168" s="16">
        <v>-9999</v>
      </c>
      <c r="DB168" s="16">
        <v>-9999</v>
      </c>
      <c r="DC168" s="16">
        <v>-9999</v>
      </c>
      <c r="DD168" s="16">
        <v>-9999</v>
      </c>
      <c r="DE168" s="16">
        <v>-9999</v>
      </c>
      <c r="DF168" s="16">
        <v>-9999</v>
      </c>
      <c r="DG168" s="16">
        <v>-9999</v>
      </c>
      <c r="DH168" s="16">
        <v>-9999</v>
      </c>
      <c r="DI168" s="16">
        <v>-9999</v>
      </c>
      <c r="DJ168" s="16">
        <v>-9999</v>
      </c>
      <c r="DK168" s="16">
        <v>-9999</v>
      </c>
      <c r="DL168" s="16">
        <v>-9999</v>
      </c>
      <c r="DM168" s="16">
        <v>-9999</v>
      </c>
      <c r="DN168" s="16">
        <v>-9999</v>
      </c>
      <c r="DO168" s="16">
        <v>-9999</v>
      </c>
      <c r="DP168" s="16">
        <v>-9999</v>
      </c>
      <c r="DQ168" s="16">
        <v>-9999</v>
      </c>
      <c r="DR168" s="16">
        <v>-9999</v>
      </c>
      <c r="DS168" s="16">
        <v>-9999</v>
      </c>
      <c r="DT168" s="16">
        <v>-9999</v>
      </c>
      <c r="DU168" s="16">
        <v>-9999</v>
      </c>
      <c r="DV168" s="16">
        <v>-9999</v>
      </c>
      <c r="DW168" s="16">
        <v>-9999</v>
      </c>
      <c r="DX168" s="16">
        <v>-9999</v>
      </c>
      <c r="DY168" s="16">
        <v>-9999</v>
      </c>
      <c r="DZ168" s="16">
        <v>-9999</v>
      </c>
      <c r="EA168" s="2257">
        <v>-9999</v>
      </c>
      <c r="EB168" s="2257">
        <v>-9999</v>
      </c>
      <c r="EC168" s="2257">
        <v>-9999</v>
      </c>
      <c r="ED168" s="2257">
        <v>-9999</v>
      </c>
      <c r="EE168" s="2257">
        <v>-9999</v>
      </c>
      <c r="EF168" s="2257">
        <v>-9999</v>
      </c>
      <c r="EG168" s="2257">
        <v>-9999</v>
      </c>
      <c r="EH168" s="2257">
        <v>-9999</v>
      </c>
      <c r="EI168" s="2257">
        <v>-9999</v>
      </c>
      <c r="EJ168" s="2257">
        <v>-9999</v>
      </c>
      <c r="EK168" s="2257">
        <v>-9999</v>
      </c>
      <c r="EL168" s="2257">
        <v>-9999</v>
      </c>
      <c r="EM168" s="2257">
        <v>-9999</v>
      </c>
    </row>
    <row r="169" spans="1:143" ht="13.15">
      <c r="A169" s="22">
        <v>69</v>
      </c>
      <c r="B169" s="36" t="s">
        <v>973</v>
      </c>
      <c r="C169" s="25">
        <v>-9999</v>
      </c>
      <c r="D169" s="25">
        <v>-9999</v>
      </c>
      <c r="E169" s="25">
        <v>-9999</v>
      </c>
      <c r="F169" s="25">
        <v>-9999</v>
      </c>
      <c r="G169" s="25">
        <v>-9999</v>
      </c>
      <c r="H169" s="25">
        <v>-9999</v>
      </c>
      <c r="I169" s="25">
        <v>-9999</v>
      </c>
      <c r="J169" s="25">
        <v>-9999</v>
      </c>
      <c r="K169" s="25">
        <v>-9999</v>
      </c>
      <c r="L169" s="25">
        <v>-9999</v>
      </c>
      <c r="M169" s="25">
        <v>-9999</v>
      </c>
      <c r="N169" s="25">
        <v>-9999</v>
      </c>
      <c r="O169" s="25">
        <v>-9999</v>
      </c>
      <c r="P169" s="32"/>
      <c r="Q169"/>
      <c r="AA169" s="22">
        <v>69</v>
      </c>
      <c r="AB169" s="1080" t="str">
        <f t="shared" si="8"/>
        <v>FOR FUTURE USE</v>
      </c>
      <c r="AC169" s="1080">
        <f>CHOOSE(Tables!$U$2,Transfer!CA169,Transfer!CN169,Transfer!DA169,Transfer!DN169,Transfer!EA169)</f>
        <v>-9999</v>
      </c>
      <c r="AD169" s="1080">
        <f>CHOOSE(Tables!$U$2,Transfer!CB169,Transfer!CO169,Transfer!DB169,Transfer!DO169,Transfer!EB169)</f>
        <v>-9999</v>
      </c>
      <c r="AE169" s="1080">
        <f>CHOOSE(Tables!$U$2,Transfer!CC169,Transfer!CP169,Transfer!DC169,Transfer!DP169,Transfer!EC169)</f>
        <v>-9999</v>
      </c>
      <c r="AF169" s="1080">
        <f>CHOOSE(Tables!$U$2,Transfer!CD169,Transfer!CQ169,Transfer!DD169,Transfer!DQ169,Transfer!ED169)</f>
        <v>-9999</v>
      </c>
      <c r="AG169" s="1080">
        <f>CHOOSE(Tables!$U$2,Transfer!CE169,Transfer!CR169,Transfer!DE169,Transfer!DR169,Transfer!EE169)</f>
        <v>-9999</v>
      </c>
      <c r="AH169" s="1080">
        <f>CHOOSE(Tables!$U$2,Transfer!CF169,Transfer!CS169,Transfer!DF169,Transfer!DS169,Transfer!EF169)</f>
        <v>-9999</v>
      </c>
      <c r="AI169" s="1080">
        <f>CHOOSE(Tables!$U$2,Transfer!CG169,Transfer!CT169,Transfer!DG169,Transfer!DT169,Transfer!EG169)</f>
        <v>-9999</v>
      </c>
      <c r="AJ169" s="1080">
        <f>CHOOSE(Tables!$U$2,Transfer!CH169,Transfer!CU169,Transfer!DH169,Transfer!DU169,Transfer!EH169)</f>
        <v>-9999</v>
      </c>
      <c r="AK169" s="1080">
        <f>CHOOSE(Tables!$U$2,Transfer!CI169,Transfer!CV169,Transfer!DI169,Transfer!DV169,Transfer!EI169)</f>
        <v>-9999</v>
      </c>
      <c r="AL169" s="1080">
        <f>CHOOSE(Tables!$U$2,Transfer!CJ169,Transfer!CW169,Transfer!DJ169,Transfer!DW169,Transfer!EJ169)</f>
        <v>-9999</v>
      </c>
      <c r="AM169" s="1080">
        <f>CHOOSE(Tables!$U$2,Transfer!CK169,Transfer!CX169,Transfer!DK169,Transfer!DX169,Transfer!EK169)</f>
        <v>-9999</v>
      </c>
      <c r="AN169" s="1080">
        <f>CHOOSE(Tables!$U$2,Transfer!CL169,Transfer!CY169,Transfer!DL169,Transfer!DY169,Transfer!EL169)</f>
        <v>-9999</v>
      </c>
      <c r="AO169" s="1080">
        <f>CHOOSE(Tables!$U$2,Transfer!CM169,Transfer!CZ169,Transfer!DM169,Transfer!DZ169,Transfer!EM169)</f>
        <v>-9999</v>
      </c>
      <c r="AR169" s="22">
        <v>69</v>
      </c>
      <c r="AS169" s="27" t="s">
        <v>1853</v>
      </c>
      <c r="AT169" s="24">
        <f t="shared" si="9"/>
        <v>0</v>
      </c>
      <c r="AU169" s="24">
        <f t="shared" si="9"/>
        <v>0</v>
      </c>
      <c r="AV169" s="24">
        <f t="shared" si="9"/>
        <v>0</v>
      </c>
      <c r="AW169" s="24">
        <f t="shared" si="9"/>
        <v>0</v>
      </c>
      <c r="AX169" s="24">
        <f t="shared" si="9"/>
        <v>0</v>
      </c>
      <c r="AY169" s="25">
        <f t="shared" si="9"/>
        <v>0</v>
      </c>
      <c r="AZ169" s="25">
        <f t="shared" si="7"/>
        <v>0</v>
      </c>
      <c r="BA169" s="25">
        <f t="shared" si="7"/>
        <v>0</v>
      </c>
      <c r="BB169" s="25">
        <f t="shared" si="7"/>
        <v>0</v>
      </c>
      <c r="BC169" s="25">
        <f t="shared" si="7"/>
        <v>0</v>
      </c>
      <c r="BD169" s="25">
        <f t="shared" si="7"/>
        <v>0</v>
      </c>
      <c r="BE169" s="25">
        <f t="shared" si="7"/>
        <v>0</v>
      </c>
      <c r="BF169" s="25">
        <f t="shared" si="7"/>
        <v>0</v>
      </c>
      <c r="CA169" s="16">
        <v>-9999</v>
      </c>
      <c r="CB169" s="16">
        <v>-9999</v>
      </c>
      <c r="CC169" s="16">
        <v>-9999</v>
      </c>
      <c r="CD169" s="16">
        <v>-9999</v>
      </c>
      <c r="CE169" s="16">
        <v>-9999</v>
      </c>
      <c r="CF169" s="16">
        <v>-9999</v>
      </c>
      <c r="CG169" s="16">
        <v>-9999</v>
      </c>
      <c r="CH169" s="16">
        <v>-9999</v>
      </c>
      <c r="CI169" s="16">
        <v>-9999</v>
      </c>
      <c r="CJ169" s="16">
        <v>-9999</v>
      </c>
      <c r="CK169" s="16">
        <v>-9999</v>
      </c>
      <c r="CL169" s="16">
        <v>-9999</v>
      </c>
      <c r="CM169" s="16">
        <v>-9999</v>
      </c>
      <c r="CN169" s="16">
        <v>-9999</v>
      </c>
      <c r="CO169" s="16">
        <v>-9999</v>
      </c>
      <c r="CP169" s="16">
        <v>-9999</v>
      </c>
      <c r="CQ169" s="16">
        <v>-9999</v>
      </c>
      <c r="CR169" s="16">
        <v>-9999</v>
      </c>
      <c r="CS169" s="16">
        <v>-9999</v>
      </c>
      <c r="CT169" s="16">
        <v>-9999</v>
      </c>
      <c r="CU169" s="16">
        <v>-9999</v>
      </c>
      <c r="CV169" s="16">
        <v>-9999</v>
      </c>
      <c r="CW169" s="16">
        <v>-9999</v>
      </c>
      <c r="CX169" s="16">
        <v>-9999</v>
      </c>
      <c r="CY169" s="16">
        <v>-9999</v>
      </c>
      <c r="CZ169" s="16">
        <v>-9999</v>
      </c>
      <c r="DA169" s="16">
        <v>-9999</v>
      </c>
      <c r="DB169" s="16">
        <v>-9999</v>
      </c>
      <c r="DC169" s="16">
        <v>-9999</v>
      </c>
      <c r="DD169" s="16">
        <v>-9999</v>
      </c>
      <c r="DE169" s="16">
        <v>-9999</v>
      </c>
      <c r="DF169" s="16">
        <v>-9999</v>
      </c>
      <c r="DG169" s="16">
        <v>-9999</v>
      </c>
      <c r="DH169" s="16">
        <v>-9999</v>
      </c>
      <c r="DI169" s="16">
        <v>-9999</v>
      </c>
      <c r="DJ169" s="16">
        <v>-9999</v>
      </c>
      <c r="DK169" s="16">
        <v>-9999</v>
      </c>
      <c r="DL169" s="16">
        <v>-9999</v>
      </c>
      <c r="DM169" s="16">
        <v>-9999</v>
      </c>
      <c r="DN169" s="16">
        <v>-9999</v>
      </c>
      <c r="DO169" s="16">
        <v>-9999</v>
      </c>
      <c r="DP169" s="16">
        <v>-9999</v>
      </c>
      <c r="DQ169" s="16">
        <v>-9999</v>
      </c>
      <c r="DR169" s="16">
        <v>-9999</v>
      </c>
      <c r="DS169" s="16">
        <v>-9999</v>
      </c>
      <c r="DT169" s="16">
        <v>-9999</v>
      </c>
      <c r="DU169" s="16">
        <v>-9999</v>
      </c>
      <c r="DV169" s="16">
        <v>-9999</v>
      </c>
      <c r="DW169" s="16">
        <v>-9999</v>
      </c>
      <c r="DX169" s="16">
        <v>-9999</v>
      </c>
      <c r="DY169" s="16">
        <v>-9999</v>
      </c>
      <c r="DZ169" s="16">
        <v>-9999</v>
      </c>
      <c r="EA169" s="2256">
        <v>-9999</v>
      </c>
      <c r="EB169" s="2256">
        <v>-9999</v>
      </c>
      <c r="EC169" s="2256">
        <v>-9999</v>
      </c>
      <c r="ED169" s="2256">
        <v>-9999</v>
      </c>
      <c r="EE169" s="2256">
        <v>-9999</v>
      </c>
      <c r="EF169" s="2257">
        <v>-9999</v>
      </c>
      <c r="EG169" s="2257">
        <v>-9999</v>
      </c>
      <c r="EH169" s="2257">
        <v>-9999</v>
      </c>
      <c r="EI169" s="2257">
        <v>-9999</v>
      </c>
      <c r="EJ169" s="2257">
        <v>-9999</v>
      </c>
      <c r="EK169" s="2257">
        <v>-9999</v>
      </c>
      <c r="EL169" s="2257">
        <v>-9999</v>
      </c>
      <c r="EM169" s="2257">
        <v>-9999</v>
      </c>
    </row>
    <row r="170" spans="1:143" ht="13.15">
      <c r="A170" s="22">
        <v>70</v>
      </c>
      <c r="B170" s="36" t="s">
        <v>973</v>
      </c>
      <c r="C170" s="25">
        <v>-9999</v>
      </c>
      <c r="D170" s="25">
        <v>-9999</v>
      </c>
      <c r="E170" s="25">
        <v>-9999</v>
      </c>
      <c r="F170" s="25">
        <v>-9999</v>
      </c>
      <c r="G170" s="25">
        <v>-9999</v>
      </c>
      <c r="H170" s="25">
        <v>-9999</v>
      </c>
      <c r="I170" s="25">
        <v>-9999</v>
      </c>
      <c r="J170" s="25">
        <v>-9999</v>
      </c>
      <c r="K170" s="25">
        <v>-9999</v>
      </c>
      <c r="L170" s="25">
        <v>-9999</v>
      </c>
      <c r="M170" s="25">
        <v>-9999</v>
      </c>
      <c r="N170" s="25">
        <v>-9999</v>
      </c>
      <c r="O170" s="25">
        <v>-9999</v>
      </c>
      <c r="P170" s="32"/>
      <c r="Q170"/>
      <c r="AA170" s="22">
        <v>70</v>
      </c>
      <c r="AB170" s="1080" t="str">
        <f t="shared" si="8"/>
        <v>FOR FUTURE USE</v>
      </c>
      <c r="AC170" s="1080">
        <f>CHOOSE(Tables!$U$2,Transfer!CA170,Transfer!CN170,Transfer!DA170,Transfer!DN170,Transfer!EA170)</f>
        <v>-9999</v>
      </c>
      <c r="AD170" s="1080">
        <f>CHOOSE(Tables!$U$2,Transfer!CB170,Transfer!CO170,Transfer!DB170,Transfer!DO170,Transfer!EB170)</f>
        <v>-9999</v>
      </c>
      <c r="AE170" s="1080">
        <f>CHOOSE(Tables!$U$2,Transfer!CC170,Transfer!CP170,Transfer!DC170,Transfer!DP170,Transfer!EC170)</f>
        <v>-9999</v>
      </c>
      <c r="AF170" s="1080">
        <f>CHOOSE(Tables!$U$2,Transfer!CD170,Transfer!CQ170,Transfer!DD170,Transfer!DQ170,Transfer!ED170)</f>
        <v>-9999</v>
      </c>
      <c r="AG170" s="1080">
        <f>CHOOSE(Tables!$U$2,Transfer!CE170,Transfer!CR170,Transfer!DE170,Transfer!DR170,Transfer!EE170)</f>
        <v>-9999</v>
      </c>
      <c r="AH170" s="1080">
        <f>CHOOSE(Tables!$U$2,Transfer!CF170,Transfer!CS170,Transfer!DF170,Transfer!DS170,Transfer!EF170)</f>
        <v>-9999</v>
      </c>
      <c r="AI170" s="1080">
        <f>CHOOSE(Tables!$U$2,Transfer!CG170,Transfer!CT170,Transfer!DG170,Transfer!DT170,Transfer!EG170)</f>
        <v>-9999</v>
      </c>
      <c r="AJ170" s="1080">
        <f>CHOOSE(Tables!$U$2,Transfer!CH170,Transfer!CU170,Transfer!DH170,Transfer!DU170,Transfer!EH170)</f>
        <v>-9999</v>
      </c>
      <c r="AK170" s="1080">
        <f>CHOOSE(Tables!$U$2,Transfer!CI170,Transfer!CV170,Transfer!DI170,Transfer!DV170,Transfer!EI170)</f>
        <v>-9999</v>
      </c>
      <c r="AL170" s="1080">
        <f>CHOOSE(Tables!$U$2,Transfer!CJ170,Transfer!CW170,Transfer!DJ170,Transfer!DW170,Transfer!EJ170)</f>
        <v>-9999</v>
      </c>
      <c r="AM170" s="1080">
        <f>CHOOSE(Tables!$U$2,Transfer!CK170,Transfer!CX170,Transfer!DK170,Transfer!DX170,Transfer!EK170)</f>
        <v>-9999</v>
      </c>
      <c r="AN170" s="1080">
        <f>CHOOSE(Tables!$U$2,Transfer!CL170,Transfer!CY170,Transfer!DL170,Transfer!DY170,Transfer!EL170)</f>
        <v>-9999</v>
      </c>
      <c r="AO170" s="1080">
        <f>CHOOSE(Tables!$U$2,Transfer!CM170,Transfer!CZ170,Transfer!DM170,Transfer!DZ170,Transfer!EM170)</f>
        <v>-9999</v>
      </c>
      <c r="AR170" s="22">
        <v>70</v>
      </c>
      <c r="AS170" s="31" t="s">
        <v>1854</v>
      </c>
      <c r="AT170" s="2129">
        <f t="shared" si="9"/>
        <v>0</v>
      </c>
      <c r="AU170" s="2129">
        <f t="shared" si="9"/>
        <v>0</v>
      </c>
      <c r="AV170" s="2129">
        <f t="shared" si="9"/>
        <v>0</v>
      </c>
      <c r="AW170" s="2129">
        <f t="shared" si="9"/>
        <v>0</v>
      </c>
      <c r="AX170" s="2129">
        <f t="shared" si="9"/>
        <v>0</v>
      </c>
      <c r="AY170" s="25">
        <f t="shared" si="9"/>
        <v>0</v>
      </c>
      <c r="AZ170" s="25">
        <f t="shared" si="7"/>
        <v>0</v>
      </c>
      <c r="BA170" s="25">
        <f t="shared" si="7"/>
        <v>0</v>
      </c>
      <c r="BB170" s="25">
        <f t="shared" si="7"/>
        <v>0</v>
      </c>
      <c r="BC170" s="25">
        <f t="shared" si="7"/>
        <v>0</v>
      </c>
      <c r="BD170" s="25">
        <f t="shared" si="7"/>
        <v>0</v>
      </c>
      <c r="BE170" s="25">
        <f t="shared" si="7"/>
        <v>0</v>
      </c>
      <c r="BF170" s="25">
        <f t="shared" si="7"/>
        <v>0</v>
      </c>
      <c r="CA170" s="16">
        <v>-9999</v>
      </c>
      <c r="CB170" s="16">
        <v>-9999</v>
      </c>
      <c r="CC170" s="16">
        <v>-9999</v>
      </c>
      <c r="CD170" s="16">
        <v>-9999</v>
      </c>
      <c r="CE170" s="16">
        <v>-9999</v>
      </c>
      <c r="CF170" s="16">
        <v>-9999</v>
      </c>
      <c r="CG170" s="16">
        <v>-9999</v>
      </c>
      <c r="CH170" s="16">
        <v>-9999</v>
      </c>
      <c r="CI170" s="16">
        <v>-9999</v>
      </c>
      <c r="CJ170" s="16">
        <v>-9999</v>
      </c>
      <c r="CK170" s="16">
        <v>-9999</v>
      </c>
      <c r="CL170" s="16">
        <v>-9999</v>
      </c>
      <c r="CM170" s="16">
        <v>-9999</v>
      </c>
      <c r="CN170" s="16">
        <v>-9999</v>
      </c>
      <c r="CO170" s="16">
        <v>-9999</v>
      </c>
      <c r="CP170" s="16">
        <v>-9999</v>
      </c>
      <c r="CQ170" s="16">
        <v>-9999</v>
      </c>
      <c r="CR170" s="16">
        <v>-9999</v>
      </c>
      <c r="CS170" s="16">
        <v>-9999</v>
      </c>
      <c r="CT170" s="16">
        <v>-9999</v>
      </c>
      <c r="CU170" s="16">
        <v>-9999</v>
      </c>
      <c r="CV170" s="16">
        <v>-9999</v>
      </c>
      <c r="CW170" s="16">
        <v>-9999</v>
      </c>
      <c r="CX170" s="16">
        <v>-9999</v>
      </c>
      <c r="CY170" s="16">
        <v>-9999</v>
      </c>
      <c r="CZ170" s="16">
        <v>-9999</v>
      </c>
      <c r="DA170" s="16">
        <v>-9999</v>
      </c>
      <c r="DB170" s="16">
        <v>-9999</v>
      </c>
      <c r="DC170" s="16">
        <v>-9999</v>
      </c>
      <c r="DD170" s="16">
        <v>-9999</v>
      </c>
      <c r="DE170" s="16">
        <v>-9999</v>
      </c>
      <c r="DF170" s="16">
        <v>-9999</v>
      </c>
      <c r="DG170" s="16">
        <v>-9999</v>
      </c>
      <c r="DH170" s="16">
        <v>-9999</v>
      </c>
      <c r="DI170" s="16">
        <v>-9999</v>
      </c>
      <c r="DJ170" s="16">
        <v>-9999</v>
      </c>
      <c r="DK170" s="16">
        <v>-9999</v>
      </c>
      <c r="DL170" s="16">
        <v>-9999</v>
      </c>
      <c r="DM170" s="16">
        <v>-9999</v>
      </c>
      <c r="DN170" s="16">
        <v>-9999</v>
      </c>
      <c r="DO170" s="16">
        <v>-9999</v>
      </c>
      <c r="DP170" s="16">
        <v>-9999</v>
      </c>
      <c r="DQ170" s="16">
        <v>-9999</v>
      </c>
      <c r="DR170" s="16">
        <v>-9999</v>
      </c>
      <c r="DS170" s="16">
        <v>-9999</v>
      </c>
      <c r="DT170" s="16">
        <v>-9999</v>
      </c>
      <c r="DU170" s="16">
        <v>-9999</v>
      </c>
      <c r="DV170" s="16">
        <v>-9999</v>
      </c>
      <c r="DW170" s="16">
        <v>-9999</v>
      </c>
      <c r="DX170" s="16">
        <v>-9999</v>
      </c>
      <c r="DY170" s="16">
        <v>-9999</v>
      </c>
      <c r="DZ170" s="16">
        <v>-9999</v>
      </c>
      <c r="EA170" s="2257">
        <v>-9999</v>
      </c>
      <c r="EB170" s="2257">
        <v>-9999</v>
      </c>
      <c r="EC170" s="2257">
        <v>-9999</v>
      </c>
      <c r="ED170" s="2257">
        <v>-9999</v>
      </c>
      <c r="EE170" s="2257">
        <v>-9999</v>
      </c>
      <c r="EF170" s="2257">
        <v>-9999</v>
      </c>
      <c r="EG170" s="2257">
        <v>-9999</v>
      </c>
      <c r="EH170" s="2257">
        <v>-9999</v>
      </c>
      <c r="EI170" s="2257">
        <v>-9999</v>
      </c>
      <c r="EJ170" s="2257">
        <v>-9999</v>
      </c>
      <c r="EK170" s="2257">
        <v>-9999</v>
      </c>
      <c r="EL170" s="2257">
        <v>-9999</v>
      </c>
      <c r="EM170" s="2257">
        <v>-9999</v>
      </c>
    </row>
    <row r="171" spans="1:143" ht="13.15">
      <c r="A171" s="22">
        <v>71</v>
      </c>
      <c r="B171" s="36" t="s">
        <v>973</v>
      </c>
      <c r="C171" s="25">
        <v>-9999</v>
      </c>
      <c r="D171" s="25">
        <v>-9999</v>
      </c>
      <c r="E171" s="25">
        <v>-9999</v>
      </c>
      <c r="F171" s="25">
        <v>-9999</v>
      </c>
      <c r="G171" s="25">
        <v>-9999</v>
      </c>
      <c r="H171" s="25">
        <v>-9999</v>
      </c>
      <c r="I171" s="25">
        <v>-9999</v>
      </c>
      <c r="J171" s="25">
        <v>-9999</v>
      </c>
      <c r="K171" s="25">
        <v>-9999</v>
      </c>
      <c r="L171" s="25">
        <v>-9999</v>
      </c>
      <c r="M171" s="25">
        <v>-9999</v>
      </c>
      <c r="N171" s="25">
        <v>-9999</v>
      </c>
      <c r="O171" s="25">
        <v>-9999</v>
      </c>
      <c r="P171" s="32"/>
      <c r="Q171"/>
      <c r="AA171" s="22">
        <v>71</v>
      </c>
      <c r="AB171" s="1080" t="str">
        <f t="shared" si="8"/>
        <v>FOR FUTURE USE</v>
      </c>
      <c r="AC171" s="1080">
        <f>CHOOSE(Tables!$U$2,Transfer!CA171,Transfer!CN171,Transfer!DA171,Transfer!DN171,Transfer!EA171)</f>
        <v>-9999</v>
      </c>
      <c r="AD171" s="1080">
        <f>CHOOSE(Tables!$U$2,Transfer!CB171,Transfer!CO171,Transfer!DB171,Transfer!DO171,Transfer!EB171)</f>
        <v>-9999</v>
      </c>
      <c r="AE171" s="1080">
        <f>CHOOSE(Tables!$U$2,Transfer!CC171,Transfer!CP171,Transfer!DC171,Transfer!DP171,Transfer!EC171)</f>
        <v>-9999</v>
      </c>
      <c r="AF171" s="1080">
        <f>CHOOSE(Tables!$U$2,Transfer!CD171,Transfer!CQ171,Transfer!DD171,Transfer!DQ171,Transfer!ED171)</f>
        <v>-9999</v>
      </c>
      <c r="AG171" s="1080">
        <f>CHOOSE(Tables!$U$2,Transfer!CE171,Transfer!CR171,Transfer!DE171,Transfer!DR171,Transfer!EE171)</f>
        <v>-9999</v>
      </c>
      <c r="AH171" s="1080">
        <f>CHOOSE(Tables!$U$2,Transfer!CF171,Transfer!CS171,Transfer!DF171,Transfer!DS171,Transfer!EF171)</f>
        <v>-9999</v>
      </c>
      <c r="AI171" s="1080">
        <f>CHOOSE(Tables!$U$2,Transfer!CG171,Transfer!CT171,Transfer!DG171,Transfer!DT171,Transfer!EG171)</f>
        <v>-9999</v>
      </c>
      <c r="AJ171" s="1080">
        <f>CHOOSE(Tables!$U$2,Transfer!CH171,Transfer!CU171,Transfer!DH171,Transfer!DU171,Transfer!EH171)</f>
        <v>-9999</v>
      </c>
      <c r="AK171" s="1080">
        <f>CHOOSE(Tables!$U$2,Transfer!CI171,Transfer!CV171,Transfer!DI171,Transfer!DV171,Transfer!EI171)</f>
        <v>-9999</v>
      </c>
      <c r="AL171" s="1080">
        <f>CHOOSE(Tables!$U$2,Transfer!CJ171,Transfer!CW171,Transfer!DJ171,Transfer!DW171,Transfer!EJ171)</f>
        <v>-9999</v>
      </c>
      <c r="AM171" s="1080">
        <f>CHOOSE(Tables!$U$2,Transfer!CK171,Transfer!CX171,Transfer!DK171,Transfer!DX171,Transfer!EK171)</f>
        <v>-9999</v>
      </c>
      <c r="AN171" s="1080">
        <f>CHOOSE(Tables!$U$2,Transfer!CL171,Transfer!CY171,Transfer!DL171,Transfer!DY171,Transfer!EL171)</f>
        <v>-9999</v>
      </c>
      <c r="AO171" s="1080">
        <f>CHOOSE(Tables!$U$2,Transfer!CM171,Transfer!CZ171,Transfer!DM171,Transfer!DZ171,Transfer!EM171)</f>
        <v>-9999</v>
      </c>
      <c r="AR171" s="22">
        <v>71</v>
      </c>
      <c r="AS171" s="27" t="s">
        <v>1855</v>
      </c>
      <c r="AT171" s="20">
        <f t="shared" si="9"/>
        <v>0</v>
      </c>
      <c r="AU171" s="20">
        <f t="shared" si="9"/>
        <v>0</v>
      </c>
      <c r="AV171" s="20">
        <f t="shared" si="9"/>
        <v>0</v>
      </c>
      <c r="AW171" s="20">
        <f t="shared" si="9"/>
        <v>0</v>
      </c>
      <c r="AX171" s="20">
        <f t="shared" si="9"/>
        <v>0</v>
      </c>
      <c r="AY171" s="25">
        <f t="shared" si="9"/>
        <v>0</v>
      </c>
      <c r="AZ171" s="25">
        <f t="shared" si="7"/>
        <v>0</v>
      </c>
      <c r="BA171" s="25">
        <f t="shared" si="7"/>
        <v>0</v>
      </c>
      <c r="BB171" s="25">
        <f t="shared" si="7"/>
        <v>0</v>
      </c>
      <c r="BC171" s="25">
        <f t="shared" si="7"/>
        <v>0</v>
      </c>
      <c r="BD171" s="25">
        <f t="shared" si="7"/>
        <v>0</v>
      </c>
      <c r="BE171" s="25">
        <f t="shared" si="7"/>
        <v>0</v>
      </c>
      <c r="BF171" s="25">
        <f t="shared" si="7"/>
        <v>0</v>
      </c>
      <c r="CA171" s="16">
        <v>-9999</v>
      </c>
      <c r="CB171" s="16">
        <v>-9999</v>
      </c>
      <c r="CC171" s="16">
        <v>-9999</v>
      </c>
      <c r="CD171" s="16">
        <v>-9999</v>
      </c>
      <c r="CE171" s="16">
        <v>-9999</v>
      </c>
      <c r="CF171" s="16">
        <v>-9999</v>
      </c>
      <c r="CG171" s="16">
        <v>-9999</v>
      </c>
      <c r="CH171" s="16">
        <v>-9999</v>
      </c>
      <c r="CI171" s="16">
        <v>-9999</v>
      </c>
      <c r="CJ171" s="16">
        <v>-9999</v>
      </c>
      <c r="CK171" s="16">
        <v>-9999</v>
      </c>
      <c r="CL171" s="16">
        <v>-9999</v>
      </c>
      <c r="CM171" s="16">
        <v>-9999</v>
      </c>
      <c r="CN171" s="16">
        <v>-9999</v>
      </c>
      <c r="CO171" s="16">
        <v>-9999</v>
      </c>
      <c r="CP171" s="16">
        <v>-9999</v>
      </c>
      <c r="CQ171" s="16">
        <v>-9999</v>
      </c>
      <c r="CR171" s="16">
        <v>-9999</v>
      </c>
      <c r="CS171" s="16">
        <v>-9999</v>
      </c>
      <c r="CT171" s="16">
        <v>-9999</v>
      </c>
      <c r="CU171" s="16">
        <v>-9999</v>
      </c>
      <c r="CV171" s="16">
        <v>-9999</v>
      </c>
      <c r="CW171" s="16">
        <v>-9999</v>
      </c>
      <c r="CX171" s="16">
        <v>-9999</v>
      </c>
      <c r="CY171" s="16">
        <v>-9999</v>
      </c>
      <c r="CZ171" s="16">
        <v>-9999</v>
      </c>
      <c r="DA171" s="16">
        <v>-9999</v>
      </c>
      <c r="DB171" s="16">
        <v>-9999</v>
      </c>
      <c r="DC171" s="16">
        <v>-9999</v>
      </c>
      <c r="DD171" s="16">
        <v>-9999</v>
      </c>
      <c r="DE171" s="16">
        <v>-9999</v>
      </c>
      <c r="DF171" s="16">
        <v>-9999</v>
      </c>
      <c r="DG171" s="16">
        <v>-9999</v>
      </c>
      <c r="DH171" s="16">
        <v>-9999</v>
      </c>
      <c r="DI171" s="16">
        <v>-9999</v>
      </c>
      <c r="DJ171" s="16">
        <v>-9999</v>
      </c>
      <c r="DK171" s="16">
        <v>-9999</v>
      </c>
      <c r="DL171" s="16">
        <v>-9999</v>
      </c>
      <c r="DM171" s="16">
        <v>-9999</v>
      </c>
      <c r="DN171" s="16">
        <v>-9999</v>
      </c>
      <c r="DO171" s="16">
        <v>-9999</v>
      </c>
      <c r="DP171" s="16">
        <v>-9999</v>
      </c>
      <c r="DQ171" s="16">
        <v>-9999</v>
      </c>
      <c r="DR171" s="16">
        <v>-9999</v>
      </c>
      <c r="DS171" s="16">
        <v>-9999</v>
      </c>
      <c r="DT171" s="16">
        <v>-9999</v>
      </c>
      <c r="DU171" s="16">
        <v>-9999</v>
      </c>
      <c r="DV171" s="16">
        <v>-9999</v>
      </c>
      <c r="DW171" s="16">
        <v>-9999</v>
      </c>
      <c r="DX171" s="16">
        <v>-9999</v>
      </c>
      <c r="DY171" s="16">
        <v>-9999</v>
      </c>
      <c r="DZ171" s="16">
        <v>-9999</v>
      </c>
      <c r="EA171" s="2256">
        <v>-9999</v>
      </c>
      <c r="EB171" s="2256">
        <v>-9999</v>
      </c>
      <c r="EC171" s="2256">
        <v>-9999</v>
      </c>
      <c r="ED171" s="2256">
        <v>-9999</v>
      </c>
      <c r="EE171" s="2256">
        <v>-9999</v>
      </c>
      <c r="EF171" s="2257">
        <v>-9999</v>
      </c>
      <c r="EG171" s="2257">
        <v>-9999</v>
      </c>
      <c r="EH171" s="2257">
        <v>-9999</v>
      </c>
      <c r="EI171" s="2257">
        <v>-9999</v>
      </c>
      <c r="EJ171" s="2257">
        <v>-9999</v>
      </c>
      <c r="EK171" s="2257">
        <v>-9999</v>
      </c>
      <c r="EL171" s="2257">
        <v>-9999</v>
      </c>
      <c r="EM171" s="2257">
        <v>-9999</v>
      </c>
    </row>
    <row r="172" spans="1:143" ht="13.15">
      <c r="A172" s="22">
        <v>72</v>
      </c>
      <c r="B172" s="36" t="s">
        <v>973</v>
      </c>
      <c r="C172" s="25">
        <v>-9999</v>
      </c>
      <c r="D172" s="25">
        <v>-9999</v>
      </c>
      <c r="E172" s="25">
        <v>-9999</v>
      </c>
      <c r="F172" s="25">
        <v>-9999</v>
      </c>
      <c r="G172" s="25">
        <v>-9999</v>
      </c>
      <c r="H172" s="25">
        <v>-9999</v>
      </c>
      <c r="I172" s="25">
        <v>-9999</v>
      </c>
      <c r="J172" s="25">
        <v>-9999</v>
      </c>
      <c r="K172" s="25">
        <v>-9999</v>
      </c>
      <c r="L172" s="25">
        <v>-9999</v>
      </c>
      <c r="M172" s="25">
        <v>-9999</v>
      </c>
      <c r="N172" s="25">
        <v>-9999</v>
      </c>
      <c r="O172" s="25">
        <v>-9999</v>
      </c>
      <c r="P172" s="32"/>
      <c r="Q172"/>
      <c r="AA172" s="22">
        <v>72</v>
      </c>
      <c r="AB172" s="1080" t="str">
        <f t="shared" si="8"/>
        <v>FOR FUTURE USE</v>
      </c>
      <c r="AC172" s="1080">
        <f>CHOOSE(Tables!$U$2,Transfer!CA172,Transfer!CN172,Transfer!DA172,Transfer!DN172,Transfer!EA172)</f>
        <v>-9999</v>
      </c>
      <c r="AD172" s="1080">
        <f>CHOOSE(Tables!$U$2,Transfer!CB172,Transfer!CO172,Transfer!DB172,Transfer!DO172,Transfer!EB172)</f>
        <v>-9999</v>
      </c>
      <c r="AE172" s="1080">
        <f>CHOOSE(Tables!$U$2,Transfer!CC172,Transfer!CP172,Transfer!DC172,Transfer!DP172,Transfer!EC172)</f>
        <v>-9999</v>
      </c>
      <c r="AF172" s="1080">
        <f>CHOOSE(Tables!$U$2,Transfer!CD172,Transfer!CQ172,Transfer!DD172,Transfer!DQ172,Transfer!ED172)</f>
        <v>-9999</v>
      </c>
      <c r="AG172" s="1080">
        <f>CHOOSE(Tables!$U$2,Transfer!CE172,Transfer!CR172,Transfer!DE172,Transfer!DR172,Transfer!EE172)</f>
        <v>-9999</v>
      </c>
      <c r="AH172" s="1080">
        <f>CHOOSE(Tables!$U$2,Transfer!CF172,Transfer!CS172,Transfer!DF172,Transfer!DS172,Transfer!EF172)</f>
        <v>-9999</v>
      </c>
      <c r="AI172" s="1080">
        <f>CHOOSE(Tables!$U$2,Transfer!CG172,Transfer!CT172,Transfer!DG172,Transfer!DT172,Transfer!EG172)</f>
        <v>-9999</v>
      </c>
      <c r="AJ172" s="1080">
        <f>CHOOSE(Tables!$U$2,Transfer!CH172,Transfer!CU172,Transfer!DH172,Transfer!DU172,Transfer!EH172)</f>
        <v>-9999</v>
      </c>
      <c r="AK172" s="1080">
        <f>CHOOSE(Tables!$U$2,Transfer!CI172,Transfer!CV172,Transfer!DI172,Transfer!DV172,Transfer!EI172)</f>
        <v>-9999</v>
      </c>
      <c r="AL172" s="1080">
        <f>CHOOSE(Tables!$U$2,Transfer!CJ172,Transfer!CW172,Transfer!DJ172,Transfer!DW172,Transfer!EJ172)</f>
        <v>-9999</v>
      </c>
      <c r="AM172" s="1080">
        <f>CHOOSE(Tables!$U$2,Transfer!CK172,Transfer!CX172,Transfer!DK172,Transfer!DX172,Transfer!EK172)</f>
        <v>-9999</v>
      </c>
      <c r="AN172" s="1080">
        <f>CHOOSE(Tables!$U$2,Transfer!CL172,Transfer!CY172,Transfer!DL172,Transfer!DY172,Transfer!EL172)</f>
        <v>-9999</v>
      </c>
      <c r="AO172" s="1080">
        <f>CHOOSE(Tables!$U$2,Transfer!CM172,Transfer!CZ172,Transfer!DM172,Transfer!DZ172,Transfer!EM172)</f>
        <v>-9999</v>
      </c>
      <c r="AR172" s="22">
        <v>72</v>
      </c>
      <c r="AS172" s="31" t="s">
        <v>1856</v>
      </c>
      <c r="AT172" s="2130">
        <f t="shared" si="9"/>
        <v>0</v>
      </c>
      <c r="AU172" s="2130">
        <f t="shared" si="9"/>
        <v>0</v>
      </c>
      <c r="AV172" s="2130">
        <f t="shared" si="9"/>
        <v>0</v>
      </c>
      <c r="AW172" s="2130">
        <f t="shared" si="9"/>
        <v>0</v>
      </c>
      <c r="AX172" s="2130">
        <f t="shared" si="9"/>
        <v>0</v>
      </c>
      <c r="AY172" s="25">
        <f t="shared" si="9"/>
        <v>0</v>
      </c>
      <c r="AZ172" s="25">
        <f t="shared" si="7"/>
        <v>0</v>
      </c>
      <c r="BA172" s="25">
        <f t="shared" si="7"/>
        <v>0</v>
      </c>
      <c r="BB172" s="25">
        <f t="shared" si="7"/>
        <v>0</v>
      </c>
      <c r="BC172" s="25">
        <f t="shared" si="7"/>
        <v>0</v>
      </c>
      <c r="BD172" s="25">
        <f t="shared" si="7"/>
        <v>0</v>
      </c>
      <c r="BE172" s="25">
        <f t="shared" si="7"/>
        <v>0</v>
      </c>
      <c r="BF172" s="25">
        <f t="shared" si="7"/>
        <v>0</v>
      </c>
      <c r="CA172" s="16">
        <v>-9999</v>
      </c>
      <c r="CB172" s="16">
        <v>-9999</v>
      </c>
      <c r="CC172" s="16">
        <v>-9999</v>
      </c>
      <c r="CD172" s="16">
        <v>-9999</v>
      </c>
      <c r="CE172" s="16">
        <v>-9999</v>
      </c>
      <c r="CF172" s="16">
        <v>-9999</v>
      </c>
      <c r="CG172" s="16">
        <v>-9999</v>
      </c>
      <c r="CH172" s="16">
        <v>-9999</v>
      </c>
      <c r="CI172" s="16">
        <v>-9999</v>
      </c>
      <c r="CJ172" s="16">
        <v>-9999</v>
      </c>
      <c r="CK172" s="16">
        <v>-9999</v>
      </c>
      <c r="CL172" s="16">
        <v>-9999</v>
      </c>
      <c r="CM172" s="16">
        <v>-9999</v>
      </c>
      <c r="CN172" s="16">
        <v>-9999</v>
      </c>
      <c r="CO172" s="16">
        <v>-9999</v>
      </c>
      <c r="CP172" s="16">
        <v>-9999</v>
      </c>
      <c r="CQ172" s="16">
        <v>-9999</v>
      </c>
      <c r="CR172" s="16">
        <v>-9999</v>
      </c>
      <c r="CS172" s="16">
        <v>-9999</v>
      </c>
      <c r="CT172" s="16">
        <v>-9999</v>
      </c>
      <c r="CU172" s="16">
        <v>-9999</v>
      </c>
      <c r="CV172" s="16">
        <v>-9999</v>
      </c>
      <c r="CW172" s="16">
        <v>-9999</v>
      </c>
      <c r="CX172" s="16">
        <v>-9999</v>
      </c>
      <c r="CY172" s="16">
        <v>-9999</v>
      </c>
      <c r="CZ172" s="16">
        <v>-9999</v>
      </c>
      <c r="DA172" s="16">
        <v>-9999</v>
      </c>
      <c r="DB172" s="16">
        <v>-9999</v>
      </c>
      <c r="DC172" s="16">
        <v>-9999</v>
      </c>
      <c r="DD172" s="16">
        <v>-9999</v>
      </c>
      <c r="DE172" s="16">
        <v>-9999</v>
      </c>
      <c r="DF172" s="16">
        <v>-9999</v>
      </c>
      <c r="DG172" s="16">
        <v>-9999</v>
      </c>
      <c r="DH172" s="16">
        <v>-9999</v>
      </c>
      <c r="DI172" s="16">
        <v>-9999</v>
      </c>
      <c r="DJ172" s="16">
        <v>-9999</v>
      </c>
      <c r="DK172" s="16">
        <v>-9999</v>
      </c>
      <c r="DL172" s="16">
        <v>-9999</v>
      </c>
      <c r="DM172" s="16">
        <v>-9999</v>
      </c>
      <c r="DN172" s="16">
        <v>-9999</v>
      </c>
      <c r="DO172" s="16">
        <v>-9999</v>
      </c>
      <c r="DP172" s="16">
        <v>-9999</v>
      </c>
      <c r="DQ172" s="16">
        <v>-9999</v>
      </c>
      <c r="DR172" s="16">
        <v>-9999</v>
      </c>
      <c r="DS172" s="16">
        <v>-9999</v>
      </c>
      <c r="DT172" s="16">
        <v>-9999</v>
      </c>
      <c r="DU172" s="16">
        <v>-9999</v>
      </c>
      <c r="DV172" s="16">
        <v>-9999</v>
      </c>
      <c r="DW172" s="16">
        <v>-9999</v>
      </c>
      <c r="DX172" s="16">
        <v>-9999</v>
      </c>
      <c r="DY172" s="16">
        <v>-9999</v>
      </c>
      <c r="DZ172" s="16">
        <v>-9999</v>
      </c>
      <c r="EA172" s="2257">
        <v>-9999</v>
      </c>
      <c r="EB172" s="2257">
        <v>-9999</v>
      </c>
      <c r="EC172" s="2257">
        <v>-9999</v>
      </c>
      <c r="ED172" s="2257">
        <v>-9999</v>
      </c>
      <c r="EE172" s="2257">
        <v>-9999</v>
      </c>
      <c r="EF172" s="2257">
        <v>-9999</v>
      </c>
      <c r="EG172" s="2257">
        <v>-9999</v>
      </c>
      <c r="EH172" s="2257">
        <v>-9999</v>
      </c>
      <c r="EI172" s="2257">
        <v>-9999</v>
      </c>
      <c r="EJ172" s="2257">
        <v>-9999</v>
      </c>
      <c r="EK172" s="2257">
        <v>-9999</v>
      </c>
      <c r="EL172" s="2257">
        <v>-9999</v>
      </c>
      <c r="EM172" s="2257">
        <v>-9999</v>
      </c>
    </row>
    <row r="173" spans="1:143" ht="13.15">
      <c r="A173" s="22">
        <v>73</v>
      </c>
      <c r="B173" s="36" t="s">
        <v>973</v>
      </c>
      <c r="C173" s="25">
        <v>-9999</v>
      </c>
      <c r="D173" s="25">
        <v>-9999</v>
      </c>
      <c r="E173" s="25">
        <v>-9999</v>
      </c>
      <c r="F173" s="25">
        <v>-9999</v>
      </c>
      <c r="G173" s="25">
        <v>-9999</v>
      </c>
      <c r="H173" s="25">
        <v>-9999</v>
      </c>
      <c r="I173" s="25">
        <v>-9999</v>
      </c>
      <c r="J173" s="25">
        <v>-9999</v>
      </c>
      <c r="K173" s="25">
        <v>-9999</v>
      </c>
      <c r="L173" s="25">
        <v>-9999</v>
      </c>
      <c r="M173" s="25">
        <v>-9999</v>
      </c>
      <c r="N173" s="25">
        <v>-9999</v>
      </c>
      <c r="O173" s="25">
        <v>-9999</v>
      </c>
      <c r="P173" s="32"/>
      <c r="Q173"/>
      <c r="AA173" s="22">
        <v>73</v>
      </c>
      <c r="AB173" s="1080" t="str">
        <f t="shared" si="8"/>
        <v>FOR FUTURE USE</v>
      </c>
      <c r="AC173" s="1080">
        <f>CHOOSE(Tables!$U$2,Transfer!CA173,Transfer!CN173,Transfer!DA173,Transfer!DN173,Transfer!EA173)</f>
        <v>-9999</v>
      </c>
      <c r="AD173" s="1080">
        <f>CHOOSE(Tables!$U$2,Transfer!CB173,Transfer!CO173,Transfer!DB173,Transfer!DO173,Transfer!EB173)</f>
        <v>-9999</v>
      </c>
      <c r="AE173" s="1080">
        <f>CHOOSE(Tables!$U$2,Transfer!CC173,Transfer!CP173,Transfer!DC173,Transfer!DP173,Transfer!EC173)</f>
        <v>-9999</v>
      </c>
      <c r="AF173" s="1080">
        <f>CHOOSE(Tables!$U$2,Transfer!CD173,Transfer!CQ173,Transfer!DD173,Transfer!DQ173,Transfer!ED173)</f>
        <v>-9999</v>
      </c>
      <c r="AG173" s="1080">
        <f>CHOOSE(Tables!$U$2,Transfer!CE173,Transfer!CR173,Transfer!DE173,Transfer!DR173,Transfer!EE173)</f>
        <v>-9999</v>
      </c>
      <c r="AH173" s="1080">
        <f>CHOOSE(Tables!$U$2,Transfer!CF173,Transfer!CS173,Transfer!DF173,Transfer!DS173,Transfer!EF173)</f>
        <v>-9999</v>
      </c>
      <c r="AI173" s="1080">
        <f>CHOOSE(Tables!$U$2,Transfer!CG173,Transfer!CT173,Transfer!DG173,Transfer!DT173,Transfer!EG173)</f>
        <v>-9999</v>
      </c>
      <c r="AJ173" s="1080">
        <f>CHOOSE(Tables!$U$2,Transfer!CH173,Transfer!CU173,Transfer!DH173,Transfer!DU173,Transfer!EH173)</f>
        <v>-9999</v>
      </c>
      <c r="AK173" s="1080">
        <f>CHOOSE(Tables!$U$2,Transfer!CI173,Transfer!CV173,Transfer!DI173,Transfer!DV173,Transfer!EI173)</f>
        <v>-9999</v>
      </c>
      <c r="AL173" s="1080">
        <f>CHOOSE(Tables!$U$2,Transfer!CJ173,Transfer!CW173,Transfer!DJ173,Transfer!DW173,Transfer!EJ173)</f>
        <v>-9999</v>
      </c>
      <c r="AM173" s="1080">
        <f>CHOOSE(Tables!$U$2,Transfer!CK173,Transfer!CX173,Transfer!DK173,Transfer!DX173,Transfer!EK173)</f>
        <v>-9999</v>
      </c>
      <c r="AN173" s="1080">
        <f>CHOOSE(Tables!$U$2,Transfer!CL173,Transfer!CY173,Transfer!DL173,Transfer!DY173,Transfer!EL173)</f>
        <v>-9999</v>
      </c>
      <c r="AO173" s="1080">
        <f>CHOOSE(Tables!$U$2,Transfer!CM173,Transfer!CZ173,Transfer!DM173,Transfer!DZ173,Transfer!EM173)</f>
        <v>-9999</v>
      </c>
      <c r="AR173" s="22">
        <v>73</v>
      </c>
      <c r="AS173" s="36" t="s">
        <v>973</v>
      </c>
      <c r="AT173" s="25">
        <f t="shared" si="9"/>
        <v>0</v>
      </c>
      <c r="AU173" s="25">
        <f t="shared" si="9"/>
        <v>0</v>
      </c>
      <c r="AV173" s="25">
        <f t="shared" si="9"/>
        <v>0</v>
      </c>
      <c r="AW173" s="25">
        <f t="shared" si="9"/>
        <v>0</v>
      </c>
      <c r="AX173" s="25">
        <f t="shared" si="9"/>
        <v>0</v>
      </c>
      <c r="AY173" s="25">
        <f t="shared" si="9"/>
        <v>0</v>
      </c>
      <c r="AZ173" s="25">
        <f t="shared" si="7"/>
        <v>0</v>
      </c>
      <c r="BA173" s="25">
        <f t="shared" si="7"/>
        <v>0</v>
      </c>
      <c r="BB173" s="25">
        <f t="shared" si="7"/>
        <v>0</v>
      </c>
      <c r="BC173" s="25">
        <f t="shared" si="7"/>
        <v>0</v>
      </c>
      <c r="BD173" s="25">
        <f t="shared" si="7"/>
        <v>0</v>
      </c>
      <c r="BE173" s="25">
        <f t="shared" si="7"/>
        <v>0</v>
      </c>
      <c r="BF173" s="25">
        <f t="shared" si="7"/>
        <v>0</v>
      </c>
      <c r="CA173" s="16">
        <v>-9999</v>
      </c>
      <c r="CB173" s="16">
        <v>-9999</v>
      </c>
      <c r="CC173" s="16">
        <v>-9999</v>
      </c>
      <c r="CD173" s="16">
        <v>-9999</v>
      </c>
      <c r="CE173" s="16">
        <v>-9999</v>
      </c>
      <c r="CF173" s="16">
        <v>-9999</v>
      </c>
      <c r="CG173" s="16">
        <v>-9999</v>
      </c>
      <c r="CH173" s="16">
        <v>-9999</v>
      </c>
      <c r="CI173" s="16">
        <v>-9999</v>
      </c>
      <c r="CJ173" s="16">
        <v>-9999</v>
      </c>
      <c r="CK173" s="16">
        <v>-9999</v>
      </c>
      <c r="CL173" s="16">
        <v>-9999</v>
      </c>
      <c r="CM173" s="16">
        <v>-9999</v>
      </c>
      <c r="CN173" s="16">
        <v>-9999</v>
      </c>
      <c r="CO173" s="16">
        <v>-9999</v>
      </c>
      <c r="CP173" s="16">
        <v>-9999</v>
      </c>
      <c r="CQ173" s="16">
        <v>-9999</v>
      </c>
      <c r="CR173" s="16">
        <v>-9999</v>
      </c>
      <c r="CS173" s="16">
        <v>-9999</v>
      </c>
      <c r="CT173" s="16">
        <v>-9999</v>
      </c>
      <c r="CU173" s="16">
        <v>-9999</v>
      </c>
      <c r="CV173" s="16">
        <v>-9999</v>
      </c>
      <c r="CW173" s="16">
        <v>-9999</v>
      </c>
      <c r="CX173" s="16">
        <v>-9999</v>
      </c>
      <c r="CY173" s="16">
        <v>-9999</v>
      </c>
      <c r="CZ173" s="16">
        <v>-9999</v>
      </c>
      <c r="DA173" s="16">
        <v>-9999</v>
      </c>
      <c r="DB173" s="16">
        <v>-9999</v>
      </c>
      <c r="DC173" s="16">
        <v>-9999</v>
      </c>
      <c r="DD173" s="16">
        <v>-9999</v>
      </c>
      <c r="DE173" s="16">
        <v>-9999</v>
      </c>
      <c r="DF173" s="16">
        <v>-9999</v>
      </c>
      <c r="DG173" s="16">
        <v>-9999</v>
      </c>
      <c r="DH173" s="16">
        <v>-9999</v>
      </c>
      <c r="DI173" s="16">
        <v>-9999</v>
      </c>
      <c r="DJ173" s="16">
        <v>-9999</v>
      </c>
      <c r="DK173" s="16">
        <v>-9999</v>
      </c>
      <c r="DL173" s="16">
        <v>-9999</v>
      </c>
      <c r="DM173" s="16">
        <v>-9999</v>
      </c>
      <c r="DN173" s="16">
        <v>-9999</v>
      </c>
      <c r="DO173" s="16">
        <v>-9999</v>
      </c>
      <c r="DP173" s="16">
        <v>-9999</v>
      </c>
      <c r="DQ173" s="16">
        <v>-9999</v>
      </c>
      <c r="DR173" s="16">
        <v>-9999</v>
      </c>
      <c r="DS173" s="16">
        <v>-9999</v>
      </c>
      <c r="DT173" s="16">
        <v>-9999</v>
      </c>
      <c r="DU173" s="16">
        <v>-9999</v>
      </c>
      <c r="DV173" s="16">
        <v>-9999</v>
      </c>
      <c r="DW173" s="16">
        <v>-9999</v>
      </c>
      <c r="DX173" s="16">
        <v>-9999</v>
      </c>
      <c r="DY173" s="16">
        <v>-9999</v>
      </c>
      <c r="DZ173" s="16">
        <v>-9999</v>
      </c>
      <c r="EA173" s="2257">
        <v>-9999</v>
      </c>
      <c r="EB173" s="2257">
        <v>-9999</v>
      </c>
      <c r="EC173" s="2257">
        <v>-9999</v>
      </c>
      <c r="ED173" s="2257">
        <v>-9999</v>
      </c>
      <c r="EE173" s="2257">
        <v>-9999</v>
      </c>
      <c r="EF173" s="2257">
        <v>-9999</v>
      </c>
      <c r="EG173" s="2257">
        <v>-9999</v>
      </c>
      <c r="EH173" s="2257">
        <v>-9999</v>
      </c>
      <c r="EI173" s="2257">
        <v>-9999</v>
      </c>
      <c r="EJ173" s="2257">
        <v>-9999</v>
      </c>
      <c r="EK173" s="2257">
        <v>-9999</v>
      </c>
      <c r="EL173" s="2257">
        <v>-9999</v>
      </c>
      <c r="EM173" s="2257">
        <v>-9999</v>
      </c>
    </row>
    <row r="174" spans="1:143" ht="13.15">
      <c r="A174" s="22">
        <v>74</v>
      </c>
      <c r="B174" s="36" t="s">
        <v>973</v>
      </c>
      <c r="C174" s="25">
        <v>-9999</v>
      </c>
      <c r="D174" s="25">
        <v>-9999</v>
      </c>
      <c r="E174" s="25">
        <v>-9999</v>
      </c>
      <c r="F174" s="25">
        <v>-9999</v>
      </c>
      <c r="G174" s="25">
        <v>-9999</v>
      </c>
      <c r="H174" s="25">
        <v>-9999</v>
      </c>
      <c r="I174" s="25">
        <v>-9999</v>
      </c>
      <c r="J174" s="25">
        <v>-9999</v>
      </c>
      <c r="K174" s="25">
        <v>-9999</v>
      </c>
      <c r="L174" s="25">
        <v>-9999</v>
      </c>
      <c r="M174" s="25">
        <v>-9999</v>
      </c>
      <c r="N174" s="25">
        <v>-9999</v>
      </c>
      <c r="O174" s="25">
        <v>-9999</v>
      </c>
      <c r="P174" s="32"/>
      <c r="Q174"/>
      <c r="AA174" s="22">
        <v>74</v>
      </c>
      <c r="AB174" s="1080" t="str">
        <f t="shared" si="8"/>
        <v>FOR FUTURE USE</v>
      </c>
      <c r="AC174" s="1080">
        <f>CHOOSE(Tables!$U$2,Transfer!CA174,Transfer!CN174,Transfer!DA174,Transfer!DN174,Transfer!EA174)</f>
        <v>-9999</v>
      </c>
      <c r="AD174" s="1080">
        <f>CHOOSE(Tables!$U$2,Transfer!CB174,Transfer!CO174,Transfer!DB174,Transfer!DO174,Transfer!EB174)</f>
        <v>-9999</v>
      </c>
      <c r="AE174" s="1080">
        <f>CHOOSE(Tables!$U$2,Transfer!CC174,Transfer!CP174,Transfer!DC174,Transfer!DP174,Transfer!EC174)</f>
        <v>-9999</v>
      </c>
      <c r="AF174" s="1080">
        <f>CHOOSE(Tables!$U$2,Transfer!CD174,Transfer!CQ174,Transfer!DD174,Transfer!DQ174,Transfer!ED174)</f>
        <v>-9999</v>
      </c>
      <c r="AG174" s="1080">
        <f>CHOOSE(Tables!$U$2,Transfer!CE174,Transfer!CR174,Transfer!DE174,Transfer!DR174,Transfer!EE174)</f>
        <v>-9999</v>
      </c>
      <c r="AH174" s="1080">
        <f>CHOOSE(Tables!$U$2,Transfer!CF174,Transfer!CS174,Transfer!DF174,Transfer!DS174,Transfer!EF174)</f>
        <v>-9999</v>
      </c>
      <c r="AI174" s="1080">
        <f>CHOOSE(Tables!$U$2,Transfer!CG174,Transfer!CT174,Transfer!DG174,Transfer!DT174,Transfer!EG174)</f>
        <v>-9999</v>
      </c>
      <c r="AJ174" s="1080">
        <f>CHOOSE(Tables!$U$2,Transfer!CH174,Transfer!CU174,Transfer!DH174,Transfer!DU174,Transfer!EH174)</f>
        <v>-9999</v>
      </c>
      <c r="AK174" s="1080">
        <f>CHOOSE(Tables!$U$2,Transfer!CI174,Transfer!CV174,Transfer!DI174,Transfer!DV174,Transfer!EI174)</f>
        <v>-9999</v>
      </c>
      <c r="AL174" s="1080">
        <f>CHOOSE(Tables!$U$2,Transfer!CJ174,Transfer!CW174,Transfer!DJ174,Transfer!DW174,Transfer!EJ174)</f>
        <v>-9999</v>
      </c>
      <c r="AM174" s="1080">
        <f>CHOOSE(Tables!$U$2,Transfer!CK174,Transfer!CX174,Transfer!DK174,Transfer!DX174,Transfer!EK174)</f>
        <v>-9999</v>
      </c>
      <c r="AN174" s="1080">
        <f>CHOOSE(Tables!$U$2,Transfer!CL174,Transfer!CY174,Transfer!DL174,Transfer!DY174,Transfer!EL174)</f>
        <v>-9999</v>
      </c>
      <c r="AO174" s="1080">
        <f>CHOOSE(Tables!$U$2,Transfer!CM174,Transfer!CZ174,Transfer!DM174,Transfer!DZ174,Transfer!EM174)</f>
        <v>-9999</v>
      </c>
      <c r="AR174" s="22">
        <v>74</v>
      </c>
      <c r="AS174" s="36" t="s">
        <v>973</v>
      </c>
      <c r="AT174" s="25">
        <f t="shared" si="9"/>
        <v>0</v>
      </c>
      <c r="AU174" s="25">
        <f t="shared" si="9"/>
        <v>0</v>
      </c>
      <c r="AV174" s="25">
        <f t="shared" si="9"/>
        <v>0</v>
      </c>
      <c r="AW174" s="25">
        <f t="shared" si="9"/>
        <v>0</v>
      </c>
      <c r="AX174" s="25">
        <f t="shared" si="9"/>
        <v>0</v>
      </c>
      <c r="AY174" s="25">
        <f t="shared" si="9"/>
        <v>0</v>
      </c>
      <c r="AZ174" s="25">
        <f t="shared" si="7"/>
        <v>0</v>
      </c>
      <c r="BA174" s="25">
        <f t="shared" si="7"/>
        <v>0</v>
      </c>
      <c r="BB174" s="25">
        <f t="shared" si="7"/>
        <v>0</v>
      </c>
      <c r="BC174" s="25">
        <f t="shared" si="7"/>
        <v>0</v>
      </c>
      <c r="BD174" s="25">
        <f t="shared" si="7"/>
        <v>0</v>
      </c>
      <c r="BE174" s="25">
        <f t="shared" si="7"/>
        <v>0</v>
      </c>
      <c r="BF174" s="25">
        <f t="shared" si="7"/>
        <v>0</v>
      </c>
      <c r="CA174" s="16">
        <v>-9999</v>
      </c>
      <c r="CB174" s="16">
        <v>-9999</v>
      </c>
      <c r="CC174" s="16">
        <v>-9999</v>
      </c>
      <c r="CD174" s="16">
        <v>-9999</v>
      </c>
      <c r="CE174" s="16">
        <v>-9999</v>
      </c>
      <c r="CF174" s="16">
        <v>-9999</v>
      </c>
      <c r="CG174" s="16">
        <v>-9999</v>
      </c>
      <c r="CH174" s="16">
        <v>-9999</v>
      </c>
      <c r="CI174" s="16">
        <v>-9999</v>
      </c>
      <c r="CJ174" s="16">
        <v>-9999</v>
      </c>
      <c r="CK174" s="16">
        <v>-9999</v>
      </c>
      <c r="CL174" s="16">
        <v>-9999</v>
      </c>
      <c r="CM174" s="16">
        <v>-9999</v>
      </c>
      <c r="CN174" s="16">
        <v>-9999</v>
      </c>
      <c r="CO174" s="16">
        <v>-9999</v>
      </c>
      <c r="CP174" s="16">
        <v>-9999</v>
      </c>
      <c r="CQ174" s="16">
        <v>-9999</v>
      </c>
      <c r="CR174" s="16">
        <v>-9999</v>
      </c>
      <c r="CS174" s="16">
        <v>-9999</v>
      </c>
      <c r="CT174" s="16">
        <v>-9999</v>
      </c>
      <c r="CU174" s="16">
        <v>-9999</v>
      </c>
      <c r="CV174" s="16">
        <v>-9999</v>
      </c>
      <c r="CW174" s="16">
        <v>-9999</v>
      </c>
      <c r="CX174" s="16">
        <v>-9999</v>
      </c>
      <c r="CY174" s="16">
        <v>-9999</v>
      </c>
      <c r="CZ174" s="16">
        <v>-9999</v>
      </c>
      <c r="DA174" s="16">
        <v>-9999</v>
      </c>
      <c r="DB174" s="16">
        <v>-9999</v>
      </c>
      <c r="DC174" s="16">
        <v>-9999</v>
      </c>
      <c r="DD174" s="16">
        <v>-9999</v>
      </c>
      <c r="DE174" s="16">
        <v>-9999</v>
      </c>
      <c r="DF174" s="16">
        <v>-9999</v>
      </c>
      <c r="DG174" s="16">
        <v>-9999</v>
      </c>
      <c r="DH174" s="16">
        <v>-9999</v>
      </c>
      <c r="DI174" s="16">
        <v>-9999</v>
      </c>
      <c r="DJ174" s="16">
        <v>-9999</v>
      </c>
      <c r="DK174" s="16">
        <v>-9999</v>
      </c>
      <c r="DL174" s="16">
        <v>-9999</v>
      </c>
      <c r="DM174" s="16">
        <v>-9999</v>
      </c>
      <c r="DN174" s="16">
        <v>-9999</v>
      </c>
      <c r="DO174" s="16">
        <v>-9999</v>
      </c>
      <c r="DP174" s="16">
        <v>-9999</v>
      </c>
      <c r="DQ174" s="16">
        <v>-9999</v>
      </c>
      <c r="DR174" s="16">
        <v>-9999</v>
      </c>
      <c r="DS174" s="16">
        <v>-9999</v>
      </c>
      <c r="DT174" s="16">
        <v>-9999</v>
      </c>
      <c r="DU174" s="16">
        <v>-9999</v>
      </c>
      <c r="DV174" s="16">
        <v>-9999</v>
      </c>
      <c r="DW174" s="16">
        <v>-9999</v>
      </c>
      <c r="DX174" s="16">
        <v>-9999</v>
      </c>
      <c r="DY174" s="16">
        <v>-9999</v>
      </c>
      <c r="DZ174" s="16">
        <v>-9999</v>
      </c>
      <c r="EA174" s="2257">
        <v>-9999</v>
      </c>
      <c r="EB174" s="2257">
        <v>-9999</v>
      </c>
      <c r="EC174" s="2257">
        <v>-9999</v>
      </c>
      <c r="ED174" s="2257">
        <v>-9999</v>
      </c>
      <c r="EE174" s="2257">
        <v>-9999</v>
      </c>
      <c r="EF174" s="2257">
        <v>-9999</v>
      </c>
      <c r="EG174" s="2257">
        <v>-9999</v>
      </c>
      <c r="EH174" s="2257">
        <v>-9999</v>
      </c>
      <c r="EI174" s="2257">
        <v>-9999</v>
      </c>
      <c r="EJ174" s="2257">
        <v>-9999</v>
      </c>
      <c r="EK174" s="2257">
        <v>-9999</v>
      </c>
      <c r="EL174" s="2257">
        <v>-9999</v>
      </c>
      <c r="EM174" s="2257">
        <v>-9999</v>
      </c>
    </row>
    <row r="175" spans="1:143" ht="13.15">
      <c r="A175" s="22">
        <v>75</v>
      </c>
      <c r="B175" s="27" t="s">
        <v>937</v>
      </c>
      <c r="C175" s="20">
        <f ca="1">OFFSET(Labour1!F5,0,Last_forecast_year - 3-InputY!$G$3)</f>
        <v>9923.0849999999991</v>
      </c>
      <c r="D175" s="20">
        <f ca="1">OFFSET(Labour1!G5,0,Last_forecast_year - 3-InputY!$G$3)</f>
        <v>10057.6975</v>
      </c>
      <c r="E175" s="20">
        <f ca="1">OFFSET(Labour1!H5,0,Last_forecast_year - 3-InputY!$G$3)</f>
        <v>10225.145</v>
      </c>
      <c r="F175" s="20">
        <f ca="1">OFFSET(Labour1!I5,0,Last_forecast_year - 3-InputY!$G$3)</f>
        <v>10322.200999999999</v>
      </c>
      <c r="G175" s="20">
        <f ca="1">OFFSET(Labour1!J5,0,Last_forecast_year - 3-InputY!$G$3)</f>
        <v>10421.343999999999</v>
      </c>
      <c r="H175" s="25">
        <v>-9999</v>
      </c>
      <c r="I175" s="25">
        <v>-9999</v>
      </c>
      <c r="J175" s="25">
        <v>-9999</v>
      </c>
      <c r="K175" s="25">
        <v>-9999</v>
      </c>
      <c r="L175" s="25">
        <v>-9999</v>
      </c>
      <c r="M175" s="25">
        <v>-9999</v>
      </c>
      <c r="N175" s="25">
        <v>-9999</v>
      </c>
      <c r="O175" s="25">
        <v>-9999</v>
      </c>
      <c r="P175" s="32"/>
      <c r="Q175"/>
      <c r="AA175" s="22">
        <v>75</v>
      </c>
      <c r="AB175" s="1080" t="str">
        <f t="shared" si="8"/>
        <v>TOTAL POPULATION</v>
      </c>
      <c r="AC175" s="1080">
        <f>CHOOSE(Tables!$U$2,Transfer!CA175,Transfer!CN175,Transfer!DA175,Transfer!DN175,Transfer!EA175)</f>
        <v>9799.1859999999997</v>
      </c>
      <c r="AD175" s="1080">
        <f>CHOOSE(Tables!$U$2,Transfer!CB175,Transfer!CO175,Transfer!DB175,Transfer!DO175,Transfer!EB175)</f>
        <v>9923.0849999999991</v>
      </c>
      <c r="AE175" s="1080">
        <f>CHOOSE(Tables!$U$2,Transfer!CC175,Transfer!CP175,Transfer!DC175,Transfer!DP175,Transfer!EC175)</f>
        <v>10057.6975</v>
      </c>
      <c r="AF175" s="1080">
        <f>CHOOSE(Tables!$U$2,Transfer!CD175,Transfer!CQ175,Transfer!DD175,Transfer!DQ175,Transfer!ED175)</f>
        <v>10193.430657265833</v>
      </c>
      <c r="AG175" s="1080">
        <f>CHOOSE(Tables!$U$2,Transfer!CE175,Transfer!CR175,Transfer!DE175,Transfer!DR175,Transfer!EE175)</f>
        <v>10296.540542839941</v>
      </c>
      <c r="AH175" s="1080">
        <f>CHOOSE(Tables!$U$2,Transfer!CF175,Transfer!CS175,Transfer!DF175,Transfer!DS175,Transfer!EF175)</f>
        <v>-9999</v>
      </c>
      <c r="AI175" s="1080">
        <f>CHOOSE(Tables!$U$2,Transfer!CG175,Transfer!CT175,Transfer!DG175,Transfer!DT175,Transfer!EG175)</f>
        <v>-9999</v>
      </c>
      <c r="AJ175" s="1080">
        <f>CHOOSE(Tables!$U$2,Transfer!CH175,Transfer!CU175,Transfer!DH175,Transfer!DU175,Transfer!EH175)</f>
        <v>-9999</v>
      </c>
      <c r="AK175" s="1080">
        <f>CHOOSE(Tables!$U$2,Transfer!CI175,Transfer!CV175,Transfer!DI175,Transfer!DV175,Transfer!EI175)</f>
        <v>-9999</v>
      </c>
      <c r="AL175" s="1080">
        <f>CHOOSE(Tables!$U$2,Transfer!CJ175,Transfer!CW175,Transfer!DJ175,Transfer!DW175,Transfer!EJ175)</f>
        <v>-9999</v>
      </c>
      <c r="AM175" s="1080">
        <f>CHOOSE(Tables!$U$2,Transfer!CK175,Transfer!CX175,Transfer!DK175,Transfer!DX175,Transfer!EK175)</f>
        <v>-9999</v>
      </c>
      <c r="AN175" s="1080">
        <f>CHOOSE(Tables!$U$2,Transfer!CL175,Transfer!CY175,Transfer!DL175,Transfer!DY175,Transfer!EL175)</f>
        <v>-9999</v>
      </c>
      <c r="AO175" s="1080">
        <f>CHOOSE(Tables!$U$2,Transfer!CM175,Transfer!CZ175,Transfer!DM175,Transfer!DZ175,Transfer!EM175)</f>
        <v>-9999</v>
      </c>
      <c r="AR175" s="22">
        <v>75</v>
      </c>
      <c r="AS175" s="27" t="s">
        <v>937</v>
      </c>
      <c r="AT175" s="20">
        <f t="shared" ca="1" si="9"/>
        <v>123.89899999999943</v>
      </c>
      <c r="AU175" s="20">
        <f t="shared" ca="1" si="9"/>
        <v>134.61250000000109</v>
      </c>
      <c r="AV175" s="20">
        <f t="shared" ca="1" si="9"/>
        <v>167.44750000000022</v>
      </c>
      <c r="AW175" s="20">
        <f t="shared" ca="1" si="9"/>
        <v>128.77034273416575</v>
      </c>
      <c r="AX175" s="20">
        <f t="shared" ca="1" si="9"/>
        <v>124.80345716005831</v>
      </c>
      <c r="AY175" s="25">
        <f t="shared" si="9"/>
        <v>0</v>
      </c>
      <c r="AZ175" s="25">
        <f t="shared" si="7"/>
        <v>0</v>
      </c>
      <c r="BA175" s="25">
        <f t="shared" si="7"/>
        <v>0</v>
      </c>
      <c r="BB175" s="25">
        <f t="shared" si="7"/>
        <v>0</v>
      </c>
      <c r="BC175" s="25">
        <f t="shared" si="7"/>
        <v>0</v>
      </c>
      <c r="BD175" s="25">
        <f t="shared" si="7"/>
        <v>0</v>
      </c>
      <c r="BE175" s="25">
        <f t="shared" si="7"/>
        <v>0</v>
      </c>
      <c r="BF175" s="25">
        <f t="shared" si="7"/>
        <v>0</v>
      </c>
      <c r="CA175" s="16">
        <v>9923.0849999999991</v>
      </c>
      <c r="CB175" s="16">
        <v>10057.6975</v>
      </c>
      <c r="CC175" s="16">
        <v>10225.145</v>
      </c>
      <c r="CD175" s="16">
        <v>10322.200999999999</v>
      </c>
      <c r="CE175" s="16">
        <v>10421.343999999999</v>
      </c>
      <c r="CF175" s="16">
        <v>-9999</v>
      </c>
      <c r="CG175" s="16">
        <v>-9999</v>
      </c>
      <c r="CH175" s="16">
        <v>-9999</v>
      </c>
      <c r="CI175" s="16">
        <v>-9999</v>
      </c>
      <c r="CJ175" s="16">
        <v>-9999</v>
      </c>
      <c r="CK175" s="16">
        <v>-9999</v>
      </c>
      <c r="CL175" s="16">
        <v>-9999</v>
      </c>
      <c r="CM175" s="16">
        <v>-9999</v>
      </c>
      <c r="CN175" s="16">
        <v>9799.1859999999997</v>
      </c>
      <c r="CO175" s="16">
        <v>9923.0849999999991</v>
      </c>
      <c r="CP175" s="16">
        <v>10057.6975</v>
      </c>
      <c r="CQ175" s="16">
        <v>10193.430657265833</v>
      </c>
      <c r="CR175" s="16">
        <v>10296.540542839941</v>
      </c>
      <c r="CS175" s="16">
        <v>-9999</v>
      </c>
      <c r="CT175" s="16">
        <v>-9999</v>
      </c>
      <c r="CU175" s="16">
        <v>-9999</v>
      </c>
      <c r="CV175" s="16">
        <v>-9999</v>
      </c>
      <c r="CW175" s="16">
        <v>-9999</v>
      </c>
      <c r="CX175" s="16">
        <v>-9999</v>
      </c>
      <c r="CY175" s="16">
        <v>-9999</v>
      </c>
      <c r="CZ175" s="16">
        <v>-9999</v>
      </c>
      <c r="DA175" s="16">
        <v>9923.0849999999991</v>
      </c>
      <c r="DB175" s="16">
        <v>10057.6975</v>
      </c>
      <c r="DC175" s="16">
        <v>10225.145</v>
      </c>
      <c r="DD175" s="16">
        <v>10322.200999999999</v>
      </c>
      <c r="DE175" s="16">
        <v>10421.343999999999</v>
      </c>
      <c r="DF175" s="16">
        <v>-9999</v>
      </c>
      <c r="DG175" s="16">
        <v>-9999</v>
      </c>
      <c r="DH175" s="16">
        <v>-9999</v>
      </c>
      <c r="DI175" s="16">
        <v>-9999</v>
      </c>
      <c r="DJ175" s="16">
        <v>-9999</v>
      </c>
      <c r="DK175" s="16">
        <v>-9999</v>
      </c>
      <c r="DL175" s="16">
        <v>-9999</v>
      </c>
      <c r="DM175" s="16">
        <v>-9999</v>
      </c>
      <c r="DN175" s="16">
        <v>9923.0849999999991</v>
      </c>
      <c r="DO175" s="16">
        <v>10057.6975</v>
      </c>
      <c r="DP175" s="16">
        <v>10225.145</v>
      </c>
      <c r="DQ175" s="16">
        <v>10322.200999999999</v>
      </c>
      <c r="DR175" s="16">
        <v>10421.343999999999</v>
      </c>
      <c r="DS175" s="16">
        <v>-9999</v>
      </c>
      <c r="DT175" s="16">
        <v>-9999</v>
      </c>
      <c r="DU175" s="16">
        <v>-9999</v>
      </c>
      <c r="DV175" s="16">
        <v>-9999</v>
      </c>
      <c r="DW175" s="16">
        <v>-9999</v>
      </c>
      <c r="DX175" s="16">
        <v>-9999</v>
      </c>
      <c r="DY175" s="16">
        <v>-9999</v>
      </c>
      <c r="DZ175" s="16">
        <v>-9999</v>
      </c>
      <c r="EA175" s="2256">
        <v>9923.0849999999991</v>
      </c>
      <c r="EB175" s="2256">
        <v>10057.6975</v>
      </c>
      <c r="EC175" s="2256">
        <v>10225.145</v>
      </c>
      <c r="ED175" s="2256">
        <v>10322.200999999999</v>
      </c>
      <c r="EE175" s="2256">
        <v>10421.343999999999</v>
      </c>
      <c r="EF175" s="2257">
        <v>-9999</v>
      </c>
      <c r="EG175" s="2257">
        <v>-9999</v>
      </c>
      <c r="EH175" s="2257">
        <v>-9999</v>
      </c>
      <c r="EI175" s="2257">
        <v>-9999</v>
      </c>
      <c r="EJ175" s="2257">
        <v>-9999</v>
      </c>
      <c r="EK175" s="2257">
        <v>-9999</v>
      </c>
      <c r="EL175" s="2257">
        <v>-9999</v>
      </c>
      <c r="EM175" s="2257">
        <v>-9999</v>
      </c>
    </row>
    <row r="176" spans="1:143" ht="13.15">
      <c r="A176" s="22">
        <v>76</v>
      </c>
      <c r="B176" s="27" t="s">
        <v>1872</v>
      </c>
      <c r="C176" s="20">
        <f ca="1">OFFSET(Labour1!F7,0,Last_forecast_year - 3-InputY!$G$3)</f>
        <v>6221.9745000000003</v>
      </c>
      <c r="D176" s="20">
        <f ca="1">OFFSET(Labour1!G7,0,Last_forecast_year - 3-InputY!$G$3)</f>
        <v>6288.3604999999998</v>
      </c>
      <c r="E176" s="20">
        <f ca="1">OFFSET(Labour1!H7,0,Last_forecast_year - 3-InputY!$G$3)</f>
        <v>6372.4819525517032</v>
      </c>
      <c r="F176" s="20">
        <f ca="1">OFFSET(Labour1!I7,0,Last_forecast_year - 3-InputY!$G$3)</f>
        <v>6423.9734930411896</v>
      </c>
      <c r="G176" s="20">
        <f ca="1">OFFSET(Labour1!J7,0,Last_forecast_year - 3-InputY!$G$3)</f>
        <v>6474.9159424573345</v>
      </c>
      <c r="H176" s="25">
        <v>-9999</v>
      </c>
      <c r="I176" s="25">
        <v>-9999</v>
      </c>
      <c r="J176" s="25">
        <v>-9999</v>
      </c>
      <c r="K176" s="25">
        <v>-9999</v>
      </c>
      <c r="L176" s="25">
        <v>-9999</v>
      </c>
      <c r="M176" s="25">
        <v>-9999</v>
      </c>
      <c r="N176" s="25">
        <v>-9999</v>
      </c>
      <c r="O176" s="25">
        <v>-9999</v>
      </c>
      <c r="P176" s="32"/>
      <c r="Q176"/>
      <c r="AA176" s="22">
        <v>76</v>
      </c>
      <c r="AB176" s="1080" t="str">
        <f t="shared" si="8"/>
        <v>POPULATION OF WORKING AGE (15-64)</v>
      </c>
      <c r="AC176" s="1080">
        <f>CHOOSE(Tables!$U$2,Transfer!CA176,Transfer!CN176,Transfer!DA176,Transfer!DN176,Transfer!EA176)</f>
        <v>6169.5424999999996</v>
      </c>
      <c r="AD176" s="1080">
        <f>CHOOSE(Tables!$U$2,Transfer!CB176,Transfer!CO176,Transfer!DB176,Transfer!DO176,Transfer!EB176)</f>
        <v>6221.9745000000003</v>
      </c>
      <c r="AE176" s="1080">
        <f>CHOOSE(Tables!$U$2,Transfer!CC176,Transfer!CP176,Transfer!DC176,Transfer!DP176,Transfer!EC176)</f>
        <v>6288.3604999999998</v>
      </c>
      <c r="AF176" s="1080">
        <f>CHOOSE(Tables!$U$2,Transfer!CD176,Transfer!CQ176,Transfer!DD176,Transfer!DQ176,Transfer!ED176)</f>
        <v>6340.6837483023583</v>
      </c>
      <c r="AG176" s="1080">
        <f>CHOOSE(Tables!$U$2,Transfer!CE176,Transfer!CR176,Transfer!DE176,Transfer!DR176,Transfer!EE176)</f>
        <v>6387.3277988414429</v>
      </c>
      <c r="AH176" s="1080">
        <f>CHOOSE(Tables!$U$2,Transfer!CF176,Transfer!CS176,Transfer!DF176,Transfer!DS176,Transfer!EF176)</f>
        <v>-9999</v>
      </c>
      <c r="AI176" s="1080">
        <f>CHOOSE(Tables!$U$2,Transfer!CG176,Transfer!CT176,Transfer!DG176,Transfer!DT176,Transfer!EG176)</f>
        <v>-9999</v>
      </c>
      <c r="AJ176" s="1080">
        <f>CHOOSE(Tables!$U$2,Transfer!CH176,Transfer!CU176,Transfer!DH176,Transfer!DU176,Transfer!EH176)</f>
        <v>-9999</v>
      </c>
      <c r="AK176" s="1080">
        <f>CHOOSE(Tables!$U$2,Transfer!CI176,Transfer!CV176,Transfer!DI176,Transfer!DV176,Transfer!EI176)</f>
        <v>-9999</v>
      </c>
      <c r="AL176" s="1080">
        <f>CHOOSE(Tables!$U$2,Transfer!CJ176,Transfer!CW176,Transfer!DJ176,Transfer!DW176,Transfer!EJ176)</f>
        <v>-9999</v>
      </c>
      <c r="AM176" s="1080">
        <f>CHOOSE(Tables!$U$2,Transfer!CK176,Transfer!CX176,Transfer!DK176,Transfer!DX176,Transfer!EK176)</f>
        <v>-9999</v>
      </c>
      <c r="AN176" s="1080">
        <f>CHOOSE(Tables!$U$2,Transfer!CL176,Transfer!CY176,Transfer!DL176,Transfer!DY176,Transfer!EL176)</f>
        <v>-9999</v>
      </c>
      <c r="AO176" s="1080">
        <f>CHOOSE(Tables!$U$2,Transfer!CM176,Transfer!CZ176,Transfer!DM176,Transfer!DZ176,Transfer!EM176)</f>
        <v>-9999</v>
      </c>
      <c r="AR176" s="22">
        <v>76</v>
      </c>
      <c r="AS176" s="27" t="s">
        <v>1872</v>
      </c>
      <c r="AT176" s="20">
        <f t="shared" ca="1" si="9"/>
        <v>52.432000000000698</v>
      </c>
      <c r="AU176" s="20">
        <f ca="1">D176-AD176</f>
        <v>66.385999999999513</v>
      </c>
      <c r="AV176" s="20">
        <f ca="1">E176-AE176</f>
        <v>84.121452551703442</v>
      </c>
      <c r="AW176" s="20">
        <f t="shared" ca="1" si="9"/>
        <v>83.289744738831359</v>
      </c>
      <c r="AX176" s="20">
        <f t="shared" ca="1" si="9"/>
        <v>87.588143615891568</v>
      </c>
      <c r="AY176" s="25">
        <f t="shared" si="9"/>
        <v>0</v>
      </c>
      <c r="AZ176" s="25">
        <f t="shared" si="9"/>
        <v>0</v>
      </c>
      <c r="BA176" s="25">
        <f t="shared" si="9"/>
        <v>0</v>
      </c>
      <c r="BB176" s="25">
        <f t="shared" si="9"/>
        <v>0</v>
      </c>
      <c r="BC176" s="25">
        <f t="shared" si="7"/>
        <v>0</v>
      </c>
      <c r="BD176" s="25">
        <f t="shared" si="7"/>
        <v>0</v>
      </c>
      <c r="BE176" s="25">
        <f t="shared" si="7"/>
        <v>0</v>
      </c>
      <c r="BF176" s="25">
        <f t="shared" si="7"/>
        <v>0</v>
      </c>
      <c r="CA176" s="16">
        <v>6221.9745000000003</v>
      </c>
      <c r="CB176" s="16">
        <v>6288.3604999999998</v>
      </c>
      <c r="CC176" s="16">
        <v>6372.4819525517032</v>
      </c>
      <c r="CD176" s="16">
        <v>6423.9734930411896</v>
      </c>
      <c r="CE176" s="16">
        <v>6474.9159424573345</v>
      </c>
      <c r="CF176" s="16">
        <v>-9999</v>
      </c>
      <c r="CG176" s="16">
        <v>-9999</v>
      </c>
      <c r="CH176" s="16">
        <v>-9999</v>
      </c>
      <c r="CI176" s="16">
        <v>-9999</v>
      </c>
      <c r="CJ176" s="16">
        <v>-9999</v>
      </c>
      <c r="CK176" s="16">
        <v>-9999</v>
      </c>
      <c r="CL176" s="16">
        <v>-9999</v>
      </c>
      <c r="CM176" s="16">
        <v>-9999</v>
      </c>
      <c r="CN176" s="16">
        <v>6169.5424999999996</v>
      </c>
      <c r="CO176" s="16">
        <v>6221.9745000000003</v>
      </c>
      <c r="CP176" s="16">
        <v>6288.3604999999998</v>
      </c>
      <c r="CQ176" s="16">
        <v>6340.6837483023583</v>
      </c>
      <c r="CR176" s="16">
        <v>6387.3277988414429</v>
      </c>
      <c r="CS176" s="16">
        <v>-9999</v>
      </c>
      <c r="CT176" s="16">
        <v>-9999</v>
      </c>
      <c r="CU176" s="16">
        <v>-9999</v>
      </c>
      <c r="CV176" s="16">
        <v>-9999</v>
      </c>
      <c r="CW176" s="16">
        <v>-9999</v>
      </c>
      <c r="CX176" s="16">
        <v>-9999</v>
      </c>
      <c r="CY176" s="16">
        <v>-9999</v>
      </c>
      <c r="CZ176" s="16">
        <v>-9999</v>
      </c>
      <c r="DA176" s="16">
        <v>6221.9745000000003</v>
      </c>
      <c r="DB176" s="16">
        <v>6288.3604999999998</v>
      </c>
      <c r="DC176" s="16">
        <v>6372.4819525517032</v>
      </c>
      <c r="DD176" s="16">
        <v>6423.9734930411896</v>
      </c>
      <c r="DE176" s="16">
        <v>6474.9159424573345</v>
      </c>
      <c r="DF176" s="16">
        <v>-9999</v>
      </c>
      <c r="DG176" s="16">
        <v>-9999</v>
      </c>
      <c r="DH176" s="16">
        <v>-9999</v>
      </c>
      <c r="DI176" s="16">
        <v>-9999</v>
      </c>
      <c r="DJ176" s="16">
        <v>-9999</v>
      </c>
      <c r="DK176" s="16">
        <v>-9999</v>
      </c>
      <c r="DL176" s="16">
        <v>-9999</v>
      </c>
      <c r="DM176" s="16">
        <v>-9999</v>
      </c>
      <c r="DN176" s="16">
        <v>6221.9745000000003</v>
      </c>
      <c r="DO176" s="16">
        <v>6288.3604999999998</v>
      </c>
      <c r="DP176" s="16">
        <v>6372.4819525517032</v>
      </c>
      <c r="DQ176" s="16">
        <v>6423.9734930411896</v>
      </c>
      <c r="DR176" s="16">
        <v>6474.9159424573345</v>
      </c>
      <c r="DS176" s="16">
        <v>-9999</v>
      </c>
      <c r="DT176" s="16">
        <v>-9999</v>
      </c>
      <c r="DU176" s="16">
        <v>-9999</v>
      </c>
      <c r="DV176" s="16">
        <v>-9999</v>
      </c>
      <c r="DW176" s="16">
        <v>-9999</v>
      </c>
      <c r="DX176" s="16">
        <v>-9999</v>
      </c>
      <c r="DY176" s="16">
        <v>-9999</v>
      </c>
      <c r="DZ176" s="16">
        <v>-9999</v>
      </c>
      <c r="EA176" s="2256">
        <v>6221.9745000000003</v>
      </c>
      <c r="EB176" s="2256">
        <v>6288.3604999999998</v>
      </c>
      <c r="EC176" s="2256">
        <v>6372.4819525517032</v>
      </c>
      <c r="ED176" s="2256">
        <v>6423.9734930411896</v>
      </c>
      <c r="EE176" s="2256">
        <v>6474.9159424573345</v>
      </c>
      <c r="EF176" s="2257">
        <v>-9999</v>
      </c>
      <c r="EG176" s="2257">
        <v>-9999</v>
      </c>
      <c r="EH176" s="2257">
        <v>-9999</v>
      </c>
      <c r="EI176" s="2257">
        <v>-9999</v>
      </c>
      <c r="EJ176" s="2257">
        <v>-9999</v>
      </c>
      <c r="EK176" s="2257">
        <v>-9999</v>
      </c>
      <c r="EL176" s="2257">
        <v>-9999</v>
      </c>
      <c r="EM176" s="2257">
        <v>-9999</v>
      </c>
    </row>
    <row r="177" spans="1:143" ht="13.15">
      <c r="A177" s="22">
        <v>77</v>
      </c>
      <c r="B177" s="27" t="s">
        <v>2065</v>
      </c>
      <c r="C177" s="20">
        <f ca="1">OFFSET(Labour1!F9,0,Last_forecast_year - 3-InputY!$G$3)</f>
        <v>7328.6130000000003</v>
      </c>
      <c r="D177" s="20">
        <f ca="1">OFFSET(Labour1!G9,0,Last_forecast_year - 3-InputY!$G$3)</f>
        <v>7403.3869999999997</v>
      </c>
      <c r="E177" s="20">
        <f ca="1">OFFSET(Labour1!H9,0,Last_forecast_year - 3-InputY!$G$3)</f>
        <v>7476.8797211174178</v>
      </c>
      <c r="F177" s="20">
        <f ca="1">OFFSET(Labour1!I9,0,Last_forecast_year - 3-InputY!$G$3)</f>
        <v>7516.0529307369898</v>
      </c>
      <c r="G177" s="20">
        <f ca="1">OFFSET(Labour1!J9,0,Last_forecast_year - 3-InputY!$G$3)</f>
        <v>7555.130245106574</v>
      </c>
      <c r="H177" s="25">
        <v>-9999</v>
      </c>
      <c r="I177" s="25">
        <v>-9999</v>
      </c>
      <c r="J177" s="25">
        <v>-9999</v>
      </c>
      <c r="K177" s="25">
        <v>-9999</v>
      </c>
      <c r="L177" s="25">
        <v>-9999</v>
      </c>
      <c r="M177" s="25">
        <v>-9999</v>
      </c>
      <c r="N177" s="25">
        <v>-9999</v>
      </c>
      <c r="O177" s="25">
        <v>-9999</v>
      </c>
      <c r="P177" s="32"/>
      <c r="Q177"/>
      <c r="AA177" s="22">
        <v>77</v>
      </c>
      <c r="AB177" s="1080" t="str">
        <f t="shared" si="8"/>
        <v>POPULATION OF WORKING AGE (15-74)</v>
      </c>
      <c r="AC177" s="1080">
        <f>CHOOSE(Tables!$U$2,Transfer!CA177,Transfer!CN177,Transfer!DA177,Transfer!DN177,Transfer!EA177)</f>
        <v>7258.79</v>
      </c>
      <c r="AD177" s="1080">
        <f>CHOOSE(Tables!$U$2,Transfer!CB177,Transfer!CO177,Transfer!DB177,Transfer!DO177,Transfer!EB177)</f>
        <v>7328.6130000000003</v>
      </c>
      <c r="AE177" s="1080">
        <f>CHOOSE(Tables!$U$2,Transfer!CC177,Transfer!CP177,Transfer!DC177,Transfer!DP177,Transfer!EC177)</f>
        <v>7403.3869999999997</v>
      </c>
      <c r="AF177" s="1080">
        <f>CHOOSE(Tables!$U$2,Transfer!CD177,Transfer!CQ177,Transfer!DD177,Transfer!DQ177,Transfer!ED177)</f>
        <v>7452.9842944924967</v>
      </c>
      <c r="AG177" s="1080">
        <f>CHOOSE(Tables!$U$2,Transfer!CE177,Transfer!CR177,Transfer!DE177,Transfer!DR177,Transfer!EE177)</f>
        <v>7487.5390577497519</v>
      </c>
      <c r="AH177" s="1080">
        <f>CHOOSE(Tables!$U$2,Transfer!CF177,Transfer!CS177,Transfer!DF177,Transfer!DS177,Transfer!EF177)</f>
        <v>-9999</v>
      </c>
      <c r="AI177" s="1080">
        <f>CHOOSE(Tables!$U$2,Transfer!CG177,Transfer!CT177,Transfer!DG177,Transfer!DT177,Transfer!EG177)</f>
        <v>-9999</v>
      </c>
      <c r="AJ177" s="1080">
        <f>CHOOSE(Tables!$U$2,Transfer!CH177,Transfer!CU177,Transfer!DH177,Transfer!DU177,Transfer!EH177)</f>
        <v>-9999</v>
      </c>
      <c r="AK177" s="1080">
        <f>CHOOSE(Tables!$U$2,Transfer!CI177,Transfer!CV177,Transfer!DI177,Transfer!DV177,Transfer!EI177)</f>
        <v>-9999</v>
      </c>
      <c r="AL177" s="1080">
        <f>CHOOSE(Tables!$U$2,Transfer!CJ177,Transfer!CW177,Transfer!DJ177,Transfer!DW177,Transfer!EJ177)</f>
        <v>-9999</v>
      </c>
      <c r="AM177" s="1080">
        <f>CHOOSE(Tables!$U$2,Transfer!CK177,Transfer!CX177,Transfer!DK177,Transfer!DX177,Transfer!EK177)</f>
        <v>-9999</v>
      </c>
      <c r="AN177" s="1080">
        <f>CHOOSE(Tables!$U$2,Transfer!CL177,Transfer!CY177,Transfer!DL177,Transfer!DY177,Transfer!EL177)</f>
        <v>-9999</v>
      </c>
      <c r="AO177" s="1080">
        <f>CHOOSE(Tables!$U$2,Transfer!CM177,Transfer!CZ177,Transfer!DM177,Transfer!DZ177,Transfer!EM177)</f>
        <v>-9999</v>
      </c>
      <c r="AR177" s="22">
        <v>77</v>
      </c>
      <c r="AS177" s="27" t="s">
        <v>1873</v>
      </c>
      <c r="AT177" s="20">
        <f t="shared" ca="1" si="9"/>
        <v>69.82300000000032</v>
      </c>
      <c r="AU177" s="20">
        <f t="shared" ca="1" si="9"/>
        <v>74.773999999999432</v>
      </c>
      <c r="AV177" s="20">
        <f t="shared" ca="1" si="9"/>
        <v>73.492721117418114</v>
      </c>
      <c r="AW177" s="20">
        <f t="shared" ca="1" si="9"/>
        <v>63.068636244493064</v>
      </c>
      <c r="AX177" s="20">
        <f t="shared" ca="1" si="9"/>
        <v>67.591187356822047</v>
      </c>
      <c r="AY177" s="25">
        <f t="shared" si="9"/>
        <v>0</v>
      </c>
      <c r="AZ177" s="25">
        <f t="shared" si="9"/>
        <v>0</v>
      </c>
      <c r="BA177" s="25">
        <f t="shared" si="9"/>
        <v>0</v>
      </c>
      <c r="BB177" s="25">
        <f t="shared" si="9"/>
        <v>0</v>
      </c>
      <c r="BC177" s="25">
        <f t="shared" si="7"/>
        <v>0</v>
      </c>
      <c r="BD177" s="25">
        <f t="shared" si="7"/>
        <v>0</v>
      </c>
      <c r="BE177" s="25">
        <f t="shared" si="7"/>
        <v>0</v>
      </c>
      <c r="BF177" s="25">
        <f t="shared" si="7"/>
        <v>0</v>
      </c>
      <c r="CA177" s="16">
        <v>7328.6130000000003</v>
      </c>
      <c r="CB177" s="16">
        <v>7403.3869999999997</v>
      </c>
      <c r="CC177" s="16">
        <v>7476.8797211174178</v>
      </c>
      <c r="CD177" s="16">
        <v>7516.0529307369898</v>
      </c>
      <c r="CE177" s="16">
        <v>7555.130245106574</v>
      </c>
      <c r="CF177" s="16">
        <v>-9999</v>
      </c>
      <c r="CG177" s="16">
        <v>-9999</v>
      </c>
      <c r="CH177" s="16">
        <v>-9999</v>
      </c>
      <c r="CI177" s="16">
        <v>-9999</v>
      </c>
      <c r="CJ177" s="16">
        <v>-9999</v>
      </c>
      <c r="CK177" s="16">
        <v>-9999</v>
      </c>
      <c r="CL177" s="16">
        <v>-9999</v>
      </c>
      <c r="CM177" s="16">
        <v>-9999</v>
      </c>
      <c r="CN177" s="16">
        <v>7258.79</v>
      </c>
      <c r="CO177" s="16">
        <v>7328.6130000000003</v>
      </c>
      <c r="CP177" s="16">
        <v>7403.3869999999997</v>
      </c>
      <c r="CQ177" s="16">
        <v>7452.9842944924967</v>
      </c>
      <c r="CR177" s="16">
        <v>7487.5390577497519</v>
      </c>
      <c r="CS177" s="16">
        <v>-9999</v>
      </c>
      <c r="CT177" s="16">
        <v>-9999</v>
      </c>
      <c r="CU177" s="16">
        <v>-9999</v>
      </c>
      <c r="CV177" s="16">
        <v>-9999</v>
      </c>
      <c r="CW177" s="16">
        <v>-9999</v>
      </c>
      <c r="CX177" s="16">
        <v>-9999</v>
      </c>
      <c r="CY177" s="16">
        <v>-9999</v>
      </c>
      <c r="CZ177" s="16">
        <v>-9999</v>
      </c>
      <c r="DA177" s="16">
        <v>7328.6130000000003</v>
      </c>
      <c r="DB177" s="16">
        <v>7403.3869999999997</v>
      </c>
      <c r="DC177" s="16">
        <v>7476.8797211174178</v>
      </c>
      <c r="DD177" s="16">
        <v>7516.0529307369898</v>
      </c>
      <c r="DE177" s="16">
        <v>7555.130245106574</v>
      </c>
      <c r="DF177" s="16">
        <v>-9999</v>
      </c>
      <c r="DG177" s="16">
        <v>-9999</v>
      </c>
      <c r="DH177" s="16">
        <v>-9999</v>
      </c>
      <c r="DI177" s="16">
        <v>-9999</v>
      </c>
      <c r="DJ177" s="16">
        <v>-9999</v>
      </c>
      <c r="DK177" s="16">
        <v>-9999</v>
      </c>
      <c r="DL177" s="16">
        <v>-9999</v>
      </c>
      <c r="DM177" s="16">
        <v>-9999</v>
      </c>
      <c r="DN177" s="16">
        <v>7328.6130000000003</v>
      </c>
      <c r="DO177" s="16">
        <v>7403.3869999999997</v>
      </c>
      <c r="DP177" s="16">
        <v>7476.8797211174178</v>
      </c>
      <c r="DQ177" s="16">
        <v>7516.0529307369898</v>
      </c>
      <c r="DR177" s="16">
        <v>7555.130245106574</v>
      </c>
      <c r="DS177" s="16">
        <v>-9999</v>
      </c>
      <c r="DT177" s="16">
        <v>-9999</v>
      </c>
      <c r="DU177" s="16">
        <v>-9999</v>
      </c>
      <c r="DV177" s="16">
        <v>-9999</v>
      </c>
      <c r="DW177" s="16">
        <v>-9999</v>
      </c>
      <c r="DX177" s="16">
        <v>-9999</v>
      </c>
      <c r="DY177" s="16">
        <v>-9999</v>
      </c>
      <c r="DZ177" s="16">
        <v>-9999</v>
      </c>
      <c r="EA177" s="2256">
        <v>7328.6130000000003</v>
      </c>
      <c r="EB177" s="2256">
        <v>7403.3869999999997</v>
      </c>
      <c r="EC177" s="2256">
        <v>7476.8797211174178</v>
      </c>
      <c r="ED177" s="2256">
        <v>7516.0529307369898</v>
      </c>
      <c r="EE177" s="2256">
        <v>7555.130245106574</v>
      </c>
      <c r="EF177" s="2257">
        <v>-9999</v>
      </c>
      <c r="EG177" s="2257">
        <v>-9999</v>
      </c>
      <c r="EH177" s="2257">
        <v>-9999</v>
      </c>
      <c r="EI177" s="2257">
        <v>-9999</v>
      </c>
      <c r="EJ177" s="2257">
        <v>-9999</v>
      </c>
      <c r="EK177" s="2257">
        <v>-9999</v>
      </c>
      <c r="EL177" s="2257">
        <v>-9999</v>
      </c>
      <c r="EM177" s="2257">
        <v>-9999</v>
      </c>
    </row>
    <row r="178" spans="1:143" ht="13.15">
      <c r="A178" s="22">
        <v>78</v>
      </c>
      <c r="B178" s="27" t="s">
        <v>1874</v>
      </c>
      <c r="C178" s="20">
        <f ca="1">OFFSET(Labour1!F37,0,Last_forecast_year - 3-InputY!$G$3)</f>
        <v>366</v>
      </c>
      <c r="D178" s="20">
        <f ca="1">OFFSET(Labour1!G37,0,Last_forecast_year - 3-InputY!$G$3)</f>
        <v>358</v>
      </c>
      <c r="E178" s="20">
        <f ca="1">OFFSET(Labour1!H37,0,Last_forecast_year - 3-InputY!$G$3)</f>
        <v>340.93816000000061</v>
      </c>
      <c r="F178" s="20">
        <f ca="1">OFFSET(Labour1!I37,0,Last_forecast_year - 3-InputY!$G$3)</f>
        <v>340.7484440900007</v>
      </c>
      <c r="G178" s="20">
        <f ca="1">OFFSET(Labour1!J37,0,Last_forecast_year - 3-InputY!$G$3)</f>
        <v>342.49419810681502</v>
      </c>
      <c r="H178" s="25">
        <v>-9999</v>
      </c>
      <c r="I178" s="25">
        <v>-9999</v>
      </c>
      <c r="J178" s="25">
        <v>-9999</v>
      </c>
      <c r="K178" s="25">
        <v>-9999</v>
      </c>
      <c r="L178" s="25">
        <v>-9999</v>
      </c>
      <c r="M178" s="25">
        <v>-9999</v>
      </c>
      <c r="N178" s="25">
        <v>-9999</v>
      </c>
      <c r="O178" s="25">
        <v>-9999</v>
      </c>
      <c r="P178" s="32"/>
      <c r="Q178"/>
      <c r="AA178" s="22">
        <v>78</v>
      </c>
      <c r="AB178" s="1080" t="str">
        <f t="shared" si="8"/>
        <v>REGISTERED UNEMPLOYED PERSONS</v>
      </c>
      <c r="AC178" s="1080">
        <f>CHOOSE(Tables!$U$2,Transfer!CA178,Transfer!CN178,Transfer!DA178,Transfer!DN178,Transfer!EA178)</f>
        <v>387</v>
      </c>
      <c r="AD178" s="1080">
        <f>CHOOSE(Tables!$U$2,Transfer!CB178,Transfer!CO178,Transfer!DB178,Transfer!DO178,Transfer!EB178)</f>
        <v>366</v>
      </c>
      <c r="AE178" s="1080">
        <f>CHOOSE(Tables!$U$2,Transfer!CC178,Transfer!CP178,Transfer!DC178,Transfer!DP178,Transfer!EC178)</f>
        <v>358</v>
      </c>
      <c r="AF178" s="1080">
        <f>CHOOSE(Tables!$U$2,Transfer!CD178,Transfer!CQ178,Transfer!DD178,Transfer!DQ178,Transfer!ED178)</f>
        <v>345.8743999999997</v>
      </c>
      <c r="AG178" s="1080">
        <f>CHOOSE(Tables!$U$2,Transfer!CE178,Transfer!CR178,Transfer!DE178,Transfer!DR178,Transfer!EE178)</f>
        <v>345.95611582000038</v>
      </c>
      <c r="AH178" s="1080">
        <f>CHOOSE(Tables!$U$2,Transfer!CF178,Transfer!CS178,Transfer!DF178,Transfer!DS178,Transfer!EF178)</f>
        <v>-9999</v>
      </c>
      <c r="AI178" s="1080">
        <f>CHOOSE(Tables!$U$2,Transfer!CG178,Transfer!CT178,Transfer!DG178,Transfer!DT178,Transfer!EG178)</f>
        <v>-9999</v>
      </c>
      <c r="AJ178" s="1080">
        <f>CHOOSE(Tables!$U$2,Transfer!CH178,Transfer!CU178,Transfer!DH178,Transfer!DU178,Transfer!EH178)</f>
        <v>-9999</v>
      </c>
      <c r="AK178" s="1080">
        <f>CHOOSE(Tables!$U$2,Transfer!CI178,Transfer!CV178,Transfer!DI178,Transfer!DV178,Transfer!EI178)</f>
        <v>-9999</v>
      </c>
      <c r="AL178" s="1080">
        <f>CHOOSE(Tables!$U$2,Transfer!CJ178,Transfer!CW178,Transfer!DJ178,Transfer!DW178,Transfer!EJ178)</f>
        <v>-9999</v>
      </c>
      <c r="AM178" s="1080">
        <f>CHOOSE(Tables!$U$2,Transfer!CK178,Transfer!CX178,Transfer!DK178,Transfer!DX178,Transfer!EK178)</f>
        <v>-9999</v>
      </c>
      <c r="AN178" s="1080">
        <f>CHOOSE(Tables!$U$2,Transfer!CL178,Transfer!CY178,Transfer!DL178,Transfer!DY178,Transfer!EL178)</f>
        <v>-9999</v>
      </c>
      <c r="AO178" s="1080">
        <f>CHOOSE(Tables!$U$2,Transfer!CM178,Transfer!CZ178,Transfer!DM178,Transfer!DZ178,Transfer!EM178)</f>
        <v>-9999</v>
      </c>
      <c r="AR178" s="22">
        <v>78</v>
      </c>
      <c r="AS178" s="27" t="s">
        <v>1874</v>
      </c>
      <c r="AT178" s="20">
        <f t="shared" ca="1" si="9"/>
        <v>-21</v>
      </c>
      <c r="AU178" s="20">
        <f t="shared" ca="1" si="9"/>
        <v>-8</v>
      </c>
      <c r="AV178" s="20">
        <f t="shared" ca="1" si="9"/>
        <v>-17.061839999999393</v>
      </c>
      <c r="AW178" s="20">
        <f t="shared" ca="1" si="9"/>
        <v>-5.1259559099989929</v>
      </c>
      <c r="AX178" s="20">
        <f t="shared" ca="1" si="9"/>
        <v>-3.4619177131853576</v>
      </c>
      <c r="AY178" s="25">
        <f t="shared" si="9"/>
        <v>0</v>
      </c>
      <c r="AZ178" s="25">
        <f t="shared" si="9"/>
        <v>0</v>
      </c>
      <c r="BA178" s="25">
        <f t="shared" si="9"/>
        <v>0</v>
      </c>
      <c r="BB178" s="25">
        <f t="shared" si="9"/>
        <v>0</v>
      </c>
      <c r="BC178" s="25">
        <f t="shared" si="7"/>
        <v>0</v>
      </c>
      <c r="BD178" s="25">
        <f t="shared" si="7"/>
        <v>0</v>
      </c>
      <c r="BE178" s="25">
        <f t="shared" si="7"/>
        <v>0</v>
      </c>
      <c r="BF178" s="25">
        <f t="shared" si="7"/>
        <v>0</v>
      </c>
      <c r="CA178" s="16">
        <v>366</v>
      </c>
      <c r="CB178" s="16">
        <v>358</v>
      </c>
      <c r="CC178" s="16">
        <v>336.45022000000063</v>
      </c>
      <c r="CD178" s="16">
        <v>336.21885257000031</v>
      </c>
      <c r="CE178" s="16">
        <v>337.92471437793483</v>
      </c>
      <c r="CF178" s="16">
        <v>-9999</v>
      </c>
      <c r="CG178" s="16">
        <v>-9999</v>
      </c>
      <c r="CH178" s="16">
        <v>-9999</v>
      </c>
      <c r="CI178" s="16">
        <v>-9999</v>
      </c>
      <c r="CJ178" s="16">
        <v>-9999</v>
      </c>
      <c r="CK178" s="16">
        <v>-9999</v>
      </c>
      <c r="CL178" s="16">
        <v>-9999</v>
      </c>
      <c r="CM178" s="16">
        <v>-9999</v>
      </c>
      <c r="CN178" s="16">
        <v>387</v>
      </c>
      <c r="CO178" s="16">
        <v>366</v>
      </c>
      <c r="CP178" s="16">
        <v>358</v>
      </c>
      <c r="CQ178" s="16">
        <v>345.8743999999997</v>
      </c>
      <c r="CR178" s="16">
        <v>345.95611582000038</v>
      </c>
      <c r="CS178" s="16">
        <v>-9999</v>
      </c>
      <c r="CT178" s="16">
        <v>-9999</v>
      </c>
      <c r="CU178" s="16">
        <v>-9999</v>
      </c>
      <c r="CV178" s="16">
        <v>-9999</v>
      </c>
      <c r="CW178" s="16">
        <v>-9999</v>
      </c>
      <c r="CX178" s="16">
        <v>-9999</v>
      </c>
      <c r="CY178" s="16">
        <v>-9999</v>
      </c>
      <c r="CZ178" s="16">
        <v>-9999</v>
      </c>
      <c r="DA178" s="16">
        <v>366</v>
      </c>
      <c r="DB178" s="16">
        <v>358</v>
      </c>
      <c r="DC178" s="16">
        <v>332.40706000000046</v>
      </c>
      <c r="DD178" s="16">
        <v>334.05747088600037</v>
      </c>
      <c r="DE178" s="16">
        <v>344.57179793571231</v>
      </c>
      <c r="DF178" s="16">
        <v>-9999</v>
      </c>
      <c r="DG178" s="16">
        <v>-9999</v>
      </c>
      <c r="DH178" s="16">
        <v>-9999</v>
      </c>
      <c r="DI178" s="16">
        <v>-9999</v>
      </c>
      <c r="DJ178" s="16">
        <v>-9999</v>
      </c>
      <c r="DK178" s="16">
        <v>-9999</v>
      </c>
      <c r="DL178" s="16">
        <v>-9999</v>
      </c>
      <c r="DM178" s="16">
        <v>-9999</v>
      </c>
      <c r="DN178" s="16">
        <v>366</v>
      </c>
      <c r="DO178" s="16">
        <v>358</v>
      </c>
      <c r="DP178" s="16">
        <v>335.28106000000025</v>
      </c>
      <c r="DQ178" s="16">
        <v>335.34947758599992</v>
      </c>
      <c r="DR178" s="16">
        <v>339.65321827005209</v>
      </c>
      <c r="DS178" s="16">
        <v>-9999</v>
      </c>
      <c r="DT178" s="16">
        <v>-9999</v>
      </c>
      <c r="DU178" s="16">
        <v>-9999</v>
      </c>
      <c r="DV178" s="16">
        <v>-9999</v>
      </c>
      <c r="DW178" s="16">
        <v>-9999</v>
      </c>
      <c r="DX178" s="16">
        <v>-9999</v>
      </c>
      <c r="DY178" s="16">
        <v>-9999</v>
      </c>
      <c r="DZ178" s="16">
        <v>-9999</v>
      </c>
      <c r="EA178" s="2256">
        <v>366</v>
      </c>
      <c r="EB178" s="2256">
        <v>358</v>
      </c>
      <c r="EC178" s="2256">
        <v>340.93816000000061</v>
      </c>
      <c r="ED178" s="2256">
        <v>340.7484440900007</v>
      </c>
      <c r="EE178" s="2256">
        <v>342.49419810681502</v>
      </c>
      <c r="EF178" s="2257">
        <v>-9999</v>
      </c>
      <c r="EG178" s="2257">
        <v>-9999</v>
      </c>
      <c r="EH178" s="2257">
        <v>-9999</v>
      </c>
      <c r="EI178" s="2257">
        <v>-9999</v>
      </c>
      <c r="EJ178" s="2257">
        <v>-9999</v>
      </c>
      <c r="EK178" s="2257">
        <v>-9999</v>
      </c>
      <c r="EL178" s="2257">
        <v>-9999</v>
      </c>
      <c r="EM178" s="2257">
        <v>-9999</v>
      </c>
    </row>
    <row r="179" spans="1:143" ht="13.15">
      <c r="A179" s="22">
        <v>79</v>
      </c>
      <c r="B179" s="27" t="s">
        <v>1876</v>
      </c>
      <c r="C179" s="20">
        <f ca="1">OFFSET(Labour1!F35,0,Last_forecast_year - 3-InputY!$G$3)</f>
        <v>4910.1000000000004</v>
      </c>
      <c r="D179" s="20">
        <f ca="1">OFFSET(Labour1!G35,0,Last_forecast_year - 3-InputY!$G$3)</f>
        <v>5021.8</v>
      </c>
      <c r="E179" s="20">
        <f ca="1">OFFSET(Labour1!H35,0,Last_forecast_year - 3-InputY!$G$3)</f>
        <v>5105.0333799999999</v>
      </c>
      <c r="F179" s="20">
        <f ca="1">OFFSET(Labour1!I35,0,Last_forecast_year - 3-InputY!$G$3)</f>
        <v>5148.7908682299994</v>
      </c>
      <c r="G179" s="20">
        <f ca="1">OFFSET(Labour1!J35,0,Last_forecast_year - 3-InputY!$G$3)</f>
        <v>5182.7271197432647</v>
      </c>
      <c r="H179" s="25">
        <v>-9999</v>
      </c>
      <c r="I179" s="25">
        <v>-9999</v>
      </c>
      <c r="J179" s="25">
        <v>-9999</v>
      </c>
      <c r="K179" s="25">
        <v>-9999</v>
      </c>
      <c r="L179" s="25">
        <v>-9999</v>
      </c>
      <c r="M179" s="25">
        <v>-9999</v>
      </c>
      <c r="N179" s="25">
        <v>-9999</v>
      </c>
      <c r="O179" s="25">
        <v>-9999</v>
      </c>
      <c r="P179" s="32"/>
      <c r="Q179"/>
      <c r="AA179" s="22">
        <v>79</v>
      </c>
      <c r="AB179" s="1080" t="str">
        <f t="shared" si="8"/>
        <v>TOTAL EMPLOYMENT LAB. FORCE STATISTICS</v>
      </c>
      <c r="AC179" s="1080">
        <f>CHOOSE(Tables!$U$2,Transfer!CA179,Transfer!CN179,Transfer!DA179,Transfer!DN179,Transfer!EA179)</f>
        <v>4837.2</v>
      </c>
      <c r="AD179" s="1080">
        <f>CHOOSE(Tables!$U$2,Transfer!CB179,Transfer!CO179,Transfer!DB179,Transfer!DO179,Transfer!EB179)</f>
        <v>4910.1000000000004</v>
      </c>
      <c r="AE179" s="1080">
        <f>CHOOSE(Tables!$U$2,Transfer!CC179,Transfer!CP179,Transfer!DC179,Transfer!DP179,Transfer!EC179)</f>
        <v>5021.8</v>
      </c>
      <c r="AF179" s="1080">
        <f>CHOOSE(Tables!$U$2,Transfer!CD179,Transfer!CQ179,Transfer!DD179,Transfer!DQ179,Transfer!ED179)</f>
        <v>5103.8630000000003</v>
      </c>
      <c r="AG179" s="1080">
        <f>CHOOSE(Tables!$U$2,Transfer!CE179,Transfer!CR179,Transfer!DE179,Transfer!DR179,Transfer!EE179)</f>
        <v>5168.0881854999998</v>
      </c>
      <c r="AH179" s="1080">
        <f>CHOOSE(Tables!$U$2,Transfer!CF179,Transfer!CS179,Transfer!DF179,Transfer!DS179,Transfer!EF179)</f>
        <v>-9999</v>
      </c>
      <c r="AI179" s="1080">
        <f>CHOOSE(Tables!$U$2,Transfer!CG179,Transfer!CT179,Transfer!DG179,Transfer!DT179,Transfer!EG179)</f>
        <v>-9999</v>
      </c>
      <c r="AJ179" s="1080">
        <f>CHOOSE(Tables!$U$2,Transfer!CH179,Transfer!CU179,Transfer!DH179,Transfer!DU179,Transfer!EH179)</f>
        <v>-9999</v>
      </c>
      <c r="AK179" s="1080">
        <f>CHOOSE(Tables!$U$2,Transfer!CI179,Transfer!CV179,Transfer!DI179,Transfer!DV179,Transfer!EI179)</f>
        <v>-9999</v>
      </c>
      <c r="AL179" s="1080">
        <f>CHOOSE(Tables!$U$2,Transfer!CJ179,Transfer!CW179,Transfer!DJ179,Transfer!DW179,Transfer!EJ179)</f>
        <v>-9999</v>
      </c>
      <c r="AM179" s="1080">
        <f>CHOOSE(Tables!$U$2,Transfer!CK179,Transfer!CX179,Transfer!DK179,Transfer!DX179,Transfer!EK179)</f>
        <v>-9999</v>
      </c>
      <c r="AN179" s="1080">
        <f>CHOOSE(Tables!$U$2,Transfer!CL179,Transfer!CY179,Transfer!DL179,Transfer!DY179,Transfer!EL179)</f>
        <v>-9999</v>
      </c>
      <c r="AO179" s="1080">
        <f>CHOOSE(Tables!$U$2,Transfer!CM179,Transfer!CZ179,Transfer!DM179,Transfer!DZ179,Transfer!EM179)</f>
        <v>-9999</v>
      </c>
      <c r="AR179" s="22">
        <v>79</v>
      </c>
      <c r="AS179" s="27" t="s">
        <v>1876</v>
      </c>
      <c r="AT179" s="20">
        <f t="shared" ca="1" si="9"/>
        <v>72.900000000000546</v>
      </c>
      <c r="AU179" s="20">
        <f t="shared" ca="1" si="9"/>
        <v>111.69999999999982</v>
      </c>
      <c r="AV179" s="20">
        <f t="shared" ca="1" si="9"/>
        <v>83.23337999999967</v>
      </c>
      <c r="AW179" s="20">
        <f t="shared" ca="1" si="9"/>
        <v>44.927868229999149</v>
      </c>
      <c r="AX179" s="20">
        <f t="shared" ca="1" si="9"/>
        <v>14.638934243264885</v>
      </c>
      <c r="AY179" s="25">
        <f t="shared" si="9"/>
        <v>0</v>
      </c>
      <c r="AZ179" s="25">
        <f t="shared" si="9"/>
        <v>0</v>
      </c>
      <c r="BA179" s="25">
        <f t="shared" si="9"/>
        <v>0</v>
      </c>
      <c r="BB179" s="25">
        <f t="shared" si="9"/>
        <v>0</v>
      </c>
      <c r="BC179" s="25">
        <f t="shared" si="7"/>
        <v>0</v>
      </c>
      <c r="BD179" s="25">
        <f t="shared" si="7"/>
        <v>0</v>
      </c>
      <c r="BE179" s="25">
        <f t="shared" si="7"/>
        <v>0</v>
      </c>
      <c r="BF179" s="25">
        <f t="shared" si="7"/>
        <v>0</v>
      </c>
      <c r="CA179" s="16">
        <v>4910.1000000000004</v>
      </c>
      <c r="CB179" s="16">
        <v>5021.8</v>
      </c>
      <c r="CC179" s="16">
        <v>5107.9073799999996</v>
      </c>
      <c r="CD179" s="16">
        <v>5151.6936082299999</v>
      </c>
      <c r="CE179" s="16">
        <v>5185.6591774172648</v>
      </c>
      <c r="CF179" s="16">
        <v>-9999</v>
      </c>
      <c r="CG179" s="16">
        <v>-9999</v>
      </c>
      <c r="CH179" s="16">
        <v>-9999</v>
      </c>
      <c r="CI179" s="16">
        <v>-9999</v>
      </c>
      <c r="CJ179" s="16">
        <v>-9999</v>
      </c>
      <c r="CK179" s="16">
        <v>-9999</v>
      </c>
      <c r="CL179" s="16">
        <v>-9999</v>
      </c>
      <c r="CM179" s="16">
        <v>-9999</v>
      </c>
      <c r="CN179" s="16">
        <v>4837.2</v>
      </c>
      <c r="CO179" s="16">
        <v>4910.1000000000004</v>
      </c>
      <c r="CP179" s="16">
        <v>5021.8</v>
      </c>
      <c r="CQ179" s="16">
        <v>5103.8630000000003</v>
      </c>
      <c r="CR179" s="16">
        <v>5168.0881854999998</v>
      </c>
      <c r="CS179" s="16">
        <v>-9999</v>
      </c>
      <c r="CT179" s="16">
        <v>-9999</v>
      </c>
      <c r="CU179" s="16">
        <v>-9999</v>
      </c>
      <c r="CV179" s="16">
        <v>-9999</v>
      </c>
      <c r="CW179" s="16">
        <v>-9999</v>
      </c>
      <c r="CX179" s="16">
        <v>-9999</v>
      </c>
      <c r="CY179" s="16">
        <v>-9999</v>
      </c>
      <c r="CZ179" s="16">
        <v>-9999</v>
      </c>
      <c r="DA179" s="16">
        <v>4910.1000000000004</v>
      </c>
      <c r="DB179" s="16">
        <v>5021.8</v>
      </c>
      <c r="DC179" s="16">
        <v>5111.9505399999998</v>
      </c>
      <c r="DD179" s="16">
        <v>5154.3994256739998</v>
      </c>
      <c r="DE179" s="16">
        <v>5182.3042969002072</v>
      </c>
      <c r="DF179" s="16">
        <v>-9999</v>
      </c>
      <c r="DG179" s="16">
        <v>-9999</v>
      </c>
      <c r="DH179" s="16">
        <v>-9999</v>
      </c>
      <c r="DI179" s="16">
        <v>-9999</v>
      </c>
      <c r="DJ179" s="16">
        <v>-9999</v>
      </c>
      <c r="DK179" s="16">
        <v>-9999</v>
      </c>
      <c r="DL179" s="16">
        <v>-9999</v>
      </c>
      <c r="DM179" s="16">
        <v>-9999</v>
      </c>
      <c r="DN179" s="16">
        <v>4910.1000000000004</v>
      </c>
      <c r="DO179" s="16">
        <v>5021.8</v>
      </c>
      <c r="DP179" s="16">
        <v>5109.07654</v>
      </c>
      <c r="DQ179" s="16">
        <v>5153.1074189740002</v>
      </c>
      <c r="DR179" s="16">
        <v>5187.2228765658674</v>
      </c>
      <c r="DS179" s="16">
        <v>-9999</v>
      </c>
      <c r="DT179" s="16">
        <v>-9999</v>
      </c>
      <c r="DU179" s="16">
        <v>-9999</v>
      </c>
      <c r="DV179" s="16">
        <v>-9999</v>
      </c>
      <c r="DW179" s="16">
        <v>-9999</v>
      </c>
      <c r="DX179" s="16">
        <v>-9999</v>
      </c>
      <c r="DY179" s="16">
        <v>-9999</v>
      </c>
      <c r="DZ179" s="16">
        <v>-9999</v>
      </c>
      <c r="EA179" s="2256">
        <v>4910.1000000000004</v>
      </c>
      <c r="EB179" s="2256">
        <v>5021.8</v>
      </c>
      <c r="EC179" s="2256">
        <v>5105.0333799999999</v>
      </c>
      <c r="ED179" s="2256">
        <v>5148.7908682299994</v>
      </c>
      <c r="EE179" s="2256">
        <v>5182.7271197432647</v>
      </c>
      <c r="EF179" s="2257">
        <v>-9999</v>
      </c>
      <c r="EG179" s="2257">
        <v>-9999</v>
      </c>
      <c r="EH179" s="2257">
        <v>-9999</v>
      </c>
      <c r="EI179" s="2257">
        <v>-9999</v>
      </c>
      <c r="EJ179" s="2257">
        <v>-9999</v>
      </c>
      <c r="EK179" s="2257">
        <v>-9999</v>
      </c>
      <c r="EL179" s="2257">
        <v>-9999</v>
      </c>
      <c r="EM179" s="2257">
        <v>-9999</v>
      </c>
    </row>
    <row r="180" spans="1:143" ht="13.15">
      <c r="A180" s="22">
        <v>80</v>
      </c>
      <c r="B180" s="36" t="s">
        <v>1399</v>
      </c>
      <c r="C180" s="25">
        <v>-9999</v>
      </c>
      <c r="D180" s="25">
        <v>-9999</v>
      </c>
      <c r="E180" s="25">
        <v>-9999</v>
      </c>
      <c r="F180" s="25">
        <v>-9999</v>
      </c>
      <c r="G180" s="25">
        <v>-9999</v>
      </c>
      <c r="H180" s="25">
        <v>-9999</v>
      </c>
      <c r="I180" s="25">
        <v>-9999</v>
      </c>
      <c r="J180" s="25">
        <v>-9999</v>
      </c>
      <c r="K180" s="25">
        <v>-9999</v>
      </c>
      <c r="L180" s="25">
        <v>-9999</v>
      </c>
      <c r="M180" s="25">
        <v>-9999</v>
      </c>
      <c r="N180" s="25">
        <v>-9999</v>
      </c>
      <c r="O180" s="25">
        <v>-9999</v>
      </c>
      <c r="P180" s="26"/>
      <c r="Q180"/>
      <c r="AA180" s="22">
        <v>80</v>
      </c>
      <c r="AB180" s="1080" t="str">
        <f t="shared" si="8"/>
        <v>FOR INTERNAL CALCULATIONS BY A4</v>
      </c>
      <c r="AC180" s="1080">
        <f>CHOOSE(Tables!$U$2,Transfer!CA180,Transfer!CN180,Transfer!DA180,Transfer!DN180,Transfer!EA180)</f>
        <v>-9999</v>
      </c>
      <c r="AD180" s="1080">
        <f>CHOOSE(Tables!$U$2,Transfer!CB180,Transfer!CO180,Transfer!DB180,Transfer!DO180,Transfer!EB180)</f>
        <v>-9999</v>
      </c>
      <c r="AE180" s="1080">
        <f>CHOOSE(Tables!$U$2,Transfer!CC180,Transfer!CP180,Transfer!DC180,Transfer!DP180,Transfer!EC180)</f>
        <v>-9999</v>
      </c>
      <c r="AF180" s="1080">
        <f>CHOOSE(Tables!$U$2,Transfer!CD180,Transfer!CQ180,Transfer!DD180,Transfer!DQ180,Transfer!ED180)</f>
        <v>-9999</v>
      </c>
      <c r="AG180" s="1080">
        <f>CHOOSE(Tables!$U$2,Transfer!CE180,Transfer!CR180,Transfer!DE180,Transfer!DR180,Transfer!EE180)</f>
        <v>-9999</v>
      </c>
      <c r="AH180" s="1080">
        <f>CHOOSE(Tables!$U$2,Transfer!CF180,Transfer!CS180,Transfer!DF180,Transfer!DS180,Transfer!EF180)</f>
        <v>-9999</v>
      </c>
      <c r="AI180" s="1080">
        <f>CHOOSE(Tables!$U$2,Transfer!CG180,Transfer!CT180,Transfer!DG180,Transfer!DT180,Transfer!EG180)</f>
        <v>-9999</v>
      </c>
      <c r="AJ180" s="1080">
        <f>CHOOSE(Tables!$U$2,Transfer!CH180,Transfer!CU180,Transfer!DH180,Transfer!DU180,Transfer!EH180)</f>
        <v>-9999</v>
      </c>
      <c r="AK180" s="1080">
        <f>CHOOSE(Tables!$U$2,Transfer!CI180,Transfer!CV180,Transfer!DI180,Transfer!DV180,Transfer!EI180)</f>
        <v>-9999</v>
      </c>
      <c r="AL180" s="1080">
        <f>CHOOSE(Tables!$U$2,Transfer!CJ180,Transfer!CW180,Transfer!DJ180,Transfer!DW180,Transfer!EJ180)</f>
        <v>-9999</v>
      </c>
      <c r="AM180" s="1080">
        <f>CHOOSE(Tables!$U$2,Transfer!CK180,Transfer!CX180,Transfer!DK180,Transfer!DX180,Transfer!EK180)</f>
        <v>-9999</v>
      </c>
      <c r="AN180" s="1080">
        <f>CHOOSE(Tables!$U$2,Transfer!CL180,Transfer!CY180,Transfer!DL180,Transfer!DY180,Transfer!EL180)</f>
        <v>-9999</v>
      </c>
      <c r="AO180" s="1080">
        <f>CHOOSE(Tables!$U$2,Transfer!CM180,Transfer!CZ180,Transfer!DM180,Transfer!DZ180,Transfer!EM180)</f>
        <v>-9999</v>
      </c>
      <c r="AR180" s="22">
        <v>80</v>
      </c>
      <c r="AS180" s="27" t="s">
        <v>613</v>
      </c>
      <c r="AT180" s="2129">
        <f t="shared" si="9"/>
        <v>0</v>
      </c>
      <c r="AU180" s="2129">
        <f t="shared" si="9"/>
        <v>0</v>
      </c>
      <c r="AV180" s="2129">
        <f t="shared" si="9"/>
        <v>0</v>
      </c>
      <c r="AW180" s="2129">
        <f t="shared" si="9"/>
        <v>0</v>
      </c>
      <c r="AX180" s="2129">
        <f t="shared" si="9"/>
        <v>0</v>
      </c>
      <c r="AY180" s="25">
        <f t="shared" si="9"/>
        <v>0</v>
      </c>
      <c r="AZ180" s="25">
        <f t="shared" si="9"/>
        <v>0</v>
      </c>
      <c r="BA180" s="25">
        <f t="shared" si="9"/>
        <v>0</v>
      </c>
      <c r="BB180" s="25">
        <f t="shared" si="9"/>
        <v>0</v>
      </c>
      <c r="BC180" s="25">
        <f t="shared" si="7"/>
        <v>0</v>
      </c>
      <c r="BD180" s="25">
        <f t="shared" si="7"/>
        <v>0</v>
      </c>
      <c r="BE180" s="25">
        <f t="shared" si="7"/>
        <v>0</v>
      </c>
      <c r="BF180" s="25">
        <f t="shared" si="7"/>
        <v>0</v>
      </c>
      <c r="CA180" s="16">
        <v>-9999</v>
      </c>
      <c r="CB180" s="16">
        <v>-9999</v>
      </c>
      <c r="CC180" s="16">
        <v>-9999</v>
      </c>
      <c r="CD180" s="16">
        <v>-9999</v>
      </c>
      <c r="CE180" s="16">
        <v>-9999</v>
      </c>
      <c r="CF180" s="16">
        <v>-9999</v>
      </c>
      <c r="CG180" s="16">
        <v>-9999</v>
      </c>
      <c r="CH180" s="16">
        <v>-9999</v>
      </c>
      <c r="CI180" s="16">
        <v>-9999</v>
      </c>
      <c r="CJ180" s="16">
        <v>-9999</v>
      </c>
      <c r="CK180" s="16">
        <v>-9999</v>
      </c>
      <c r="CL180" s="16">
        <v>-9999</v>
      </c>
      <c r="CM180" s="16">
        <v>-9999</v>
      </c>
      <c r="CN180" s="16">
        <v>-9999</v>
      </c>
      <c r="CO180" s="16">
        <v>-9999</v>
      </c>
      <c r="CP180" s="16">
        <v>-9999</v>
      </c>
      <c r="CQ180" s="16">
        <v>-9999</v>
      </c>
      <c r="CR180" s="16">
        <v>-9999</v>
      </c>
      <c r="CS180" s="16">
        <v>-9999</v>
      </c>
      <c r="CT180" s="16">
        <v>-9999</v>
      </c>
      <c r="CU180" s="16">
        <v>-9999</v>
      </c>
      <c r="CV180" s="16">
        <v>-9999</v>
      </c>
      <c r="CW180" s="16">
        <v>-9999</v>
      </c>
      <c r="CX180" s="16">
        <v>-9999</v>
      </c>
      <c r="CY180" s="16">
        <v>-9999</v>
      </c>
      <c r="CZ180" s="16">
        <v>-9999</v>
      </c>
      <c r="DA180" s="16">
        <v>-9999</v>
      </c>
      <c r="DB180" s="16">
        <v>-9999</v>
      </c>
      <c r="DC180" s="16">
        <v>-9999</v>
      </c>
      <c r="DD180" s="16">
        <v>-9999</v>
      </c>
      <c r="DE180" s="16">
        <v>-9999</v>
      </c>
      <c r="DF180" s="16">
        <v>-9999</v>
      </c>
      <c r="DG180" s="16">
        <v>-9999</v>
      </c>
      <c r="DH180" s="16">
        <v>-9999</v>
      </c>
      <c r="DI180" s="16">
        <v>-9999</v>
      </c>
      <c r="DJ180" s="16">
        <v>-9999</v>
      </c>
      <c r="DK180" s="16">
        <v>-9999</v>
      </c>
      <c r="DL180" s="16">
        <v>-9999</v>
      </c>
      <c r="DM180" s="16">
        <v>-9999</v>
      </c>
      <c r="DN180" s="16">
        <v>-9999</v>
      </c>
      <c r="DO180" s="16">
        <v>-9999</v>
      </c>
      <c r="DP180" s="16">
        <v>-9999</v>
      </c>
      <c r="DQ180" s="16">
        <v>-9999</v>
      </c>
      <c r="DR180" s="16">
        <v>-9999</v>
      </c>
      <c r="DS180" s="16">
        <v>-9999</v>
      </c>
      <c r="DT180" s="16">
        <v>-9999</v>
      </c>
      <c r="DU180" s="16">
        <v>-9999</v>
      </c>
      <c r="DV180" s="16">
        <v>-9999</v>
      </c>
      <c r="DW180" s="16">
        <v>-9999</v>
      </c>
      <c r="DX180" s="16">
        <v>-9999</v>
      </c>
      <c r="DY180" s="16">
        <v>-9999</v>
      </c>
      <c r="DZ180" s="16">
        <v>-9999</v>
      </c>
      <c r="EA180" s="2257">
        <v>-9999</v>
      </c>
      <c r="EB180" s="2257">
        <v>-9999</v>
      </c>
      <c r="EC180" s="2257">
        <v>-9999</v>
      </c>
      <c r="ED180" s="2257">
        <v>-9999</v>
      </c>
      <c r="EE180" s="2257">
        <v>-9999</v>
      </c>
      <c r="EF180" s="2257">
        <v>-9999</v>
      </c>
      <c r="EG180" s="2257">
        <v>-9999</v>
      </c>
      <c r="EH180" s="2257">
        <v>-9999</v>
      </c>
      <c r="EI180" s="2257">
        <v>-9999</v>
      </c>
      <c r="EJ180" s="2257">
        <v>-9999</v>
      </c>
      <c r="EK180" s="2257">
        <v>-9999</v>
      </c>
      <c r="EL180" s="2257">
        <v>-9999</v>
      </c>
      <c r="EM180" s="2257">
        <v>-9999</v>
      </c>
    </row>
    <row r="181" spans="1:143" ht="13.15">
      <c r="A181" s="22">
        <v>81</v>
      </c>
      <c r="B181" s="36" t="s">
        <v>1399</v>
      </c>
      <c r="C181" s="25">
        <v>-9999</v>
      </c>
      <c r="D181" s="25">
        <v>-9999</v>
      </c>
      <c r="E181" s="25">
        <v>-9999</v>
      </c>
      <c r="F181" s="25">
        <v>-9999</v>
      </c>
      <c r="G181" s="25">
        <v>-9999</v>
      </c>
      <c r="H181" s="25">
        <v>-9999</v>
      </c>
      <c r="I181" s="25">
        <v>-9999</v>
      </c>
      <c r="J181" s="25">
        <v>-9999</v>
      </c>
      <c r="K181" s="25">
        <v>-9999</v>
      </c>
      <c r="L181" s="25">
        <v>-9999</v>
      </c>
      <c r="M181" s="25">
        <v>-9999</v>
      </c>
      <c r="N181" s="25">
        <v>-9999</v>
      </c>
      <c r="O181" s="25">
        <v>-9999</v>
      </c>
      <c r="P181" s="26"/>
      <c r="Q181"/>
      <c r="AA181" s="22">
        <v>81</v>
      </c>
      <c r="AB181" s="1080" t="str">
        <f t="shared" si="8"/>
        <v>FOR INTERNAL CALCULATIONS BY A4</v>
      </c>
      <c r="AC181" s="1080">
        <f>CHOOSE(Tables!$U$2,Transfer!CA181,Transfer!CN181,Transfer!DA181,Transfer!DN181,Transfer!EA181)</f>
        <v>-9999</v>
      </c>
      <c r="AD181" s="1080">
        <f>CHOOSE(Tables!$U$2,Transfer!CB181,Transfer!CO181,Transfer!DB181,Transfer!DO181,Transfer!EB181)</f>
        <v>-9999</v>
      </c>
      <c r="AE181" s="1080">
        <f>CHOOSE(Tables!$U$2,Transfer!CC181,Transfer!CP181,Transfer!DC181,Transfer!DP181,Transfer!EC181)</f>
        <v>-9999</v>
      </c>
      <c r="AF181" s="1080">
        <f>CHOOSE(Tables!$U$2,Transfer!CD181,Transfer!CQ181,Transfer!DD181,Transfer!DQ181,Transfer!ED181)</f>
        <v>-9999</v>
      </c>
      <c r="AG181" s="1080">
        <f>CHOOSE(Tables!$U$2,Transfer!CE181,Transfer!CR181,Transfer!DE181,Transfer!DR181,Transfer!EE181)</f>
        <v>-9999</v>
      </c>
      <c r="AH181" s="1080">
        <f>CHOOSE(Tables!$U$2,Transfer!CF181,Transfer!CS181,Transfer!DF181,Transfer!DS181,Transfer!EF181)</f>
        <v>-9999</v>
      </c>
      <c r="AI181" s="1080">
        <f>CHOOSE(Tables!$U$2,Transfer!CG181,Transfer!CT181,Transfer!DG181,Transfer!DT181,Transfer!EG181)</f>
        <v>-9999</v>
      </c>
      <c r="AJ181" s="1080">
        <f>CHOOSE(Tables!$U$2,Transfer!CH181,Transfer!CU181,Transfer!DH181,Transfer!DU181,Transfer!EH181)</f>
        <v>-9999</v>
      </c>
      <c r="AK181" s="1080">
        <f>CHOOSE(Tables!$U$2,Transfer!CI181,Transfer!CV181,Transfer!DI181,Transfer!DV181,Transfer!EI181)</f>
        <v>-9999</v>
      </c>
      <c r="AL181" s="1080">
        <f>CHOOSE(Tables!$U$2,Transfer!CJ181,Transfer!CW181,Transfer!DJ181,Transfer!DW181,Transfer!EJ181)</f>
        <v>-9999</v>
      </c>
      <c r="AM181" s="1080">
        <f>CHOOSE(Tables!$U$2,Transfer!CK181,Transfer!CX181,Transfer!DK181,Transfer!DX181,Transfer!EK181)</f>
        <v>-9999</v>
      </c>
      <c r="AN181" s="1080">
        <f>CHOOSE(Tables!$U$2,Transfer!CL181,Transfer!CY181,Transfer!DL181,Transfer!DY181,Transfer!EL181)</f>
        <v>-9999</v>
      </c>
      <c r="AO181" s="1080">
        <f>CHOOSE(Tables!$U$2,Transfer!CM181,Transfer!CZ181,Transfer!DM181,Transfer!DZ181,Transfer!EM181)</f>
        <v>-9999</v>
      </c>
      <c r="AR181" s="22">
        <v>81</v>
      </c>
      <c r="AS181" s="31" t="s">
        <v>555</v>
      </c>
      <c r="AT181" s="2129">
        <f t="shared" si="9"/>
        <v>0</v>
      </c>
      <c r="AU181" s="2129">
        <f t="shared" si="9"/>
        <v>0</v>
      </c>
      <c r="AV181" s="2129">
        <f t="shared" si="9"/>
        <v>0</v>
      </c>
      <c r="AW181" s="2129">
        <f t="shared" si="9"/>
        <v>0</v>
      </c>
      <c r="AX181" s="2129">
        <f t="shared" si="9"/>
        <v>0</v>
      </c>
      <c r="AY181" s="25">
        <f t="shared" si="9"/>
        <v>0</v>
      </c>
      <c r="AZ181" s="25">
        <f t="shared" si="9"/>
        <v>0</v>
      </c>
      <c r="BA181" s="25">
        <f t="shared" si="9"/>
        <v>0</v>
      </c>
      <c r="BB181" s="25">
        <f t="shared" si="9"/>
        <v>0</v>
      </c>
      <c r="BC181" s="25">
        <f t="shared" si="7"/>
        <v>0</v>
      </c>
      <c r="BD181" s="25">
        <f t="shared" si="7"/>
        <v>0</v>
      </c>
      <c r="BE181" s="25">
        <f t="shared" si="7"/>
        <v>0</v>
      </c>
      <c r="BF181" s="25">
        <f t="shared" si="7"/>
        <v>0</v>
      </c>
      <c r="CA181" s="16">
        <v>-9999</v>
      </c>
      <c r="CB181" s="16">
        <v>-9999</v>
      </c>
      <c r="CC181" s="16">
        <v>-9999</v>
      </c>
      <c r="CD181" s="16">
        <v>-9999</v>
      </c>
      <c r="CE181" s="16">
        <v>-9999</v>
      </c>
      <c r="CF181" s="16">
        <v>-9999</v>
      </c>
      <c r="CG181" s="16">
        <v>-9999</v>
      </c>
      <c r="CH181" s="16">
        <v>-9999</v>
      </c>
      <c r="CI181" s="16">
        <v>-9999</v>
      </c>
      <c r="CJ181" s="16">
        <v>-9999</v>
      </c>
      <c r="CK181" s="16">
        <v>-9999</v>
      </c>
      <c r="CL181" s="16">
        <v>-9999</v>
      </c>
      <c r="CM181" s="16">
        <v>-9999</v>
      </c>
      <c r="CN181" s="16">
        <v>-9999</v>
      </c>
      <c r="CO181" s="16">
        <v>-9999</v>
      </c>
      <c r="CP181" s="16">
        <v>-9999</v>
      </c>
      <c r="CQ181" s="16">
        <v>-9999</v>
      </c>
      <c r="CR181" s="16">
        <v>-9999</v>
      </c>
      <c r="CS181" s="16">
        <v>-9999</v>
      </c>
      <c r="CT181" s="16">
        <v>-9999</v>
      </c>
      <c r="CU181" s="16">
        <v>-9999</v>
      </c>
      <c r="CV181" s="16">
        <v>-9999</v>
      </c>
      <c r="CW181" s="16">
        <v>-9999</v>
      </c>
      <c r="CX181" s="16">
        <v>-9999</v>
      </c>
      <c r="CY181" s="16">
        <v>-9999</v>
      </c>
      <c r="CZ181" s="16">
        <v>-9999</v>
      </c>
      <c r="DA181" s="16">
        <v>-9999</v>
      </c>
      <c r="DB181" s="16">
        <v>-9999</v>
      </c>
      <c r="DC181" s="16">
        <v>-9999</v>
      </c>
      <c r="DD181" s="16">
        <v>-9999</v>
      </c>
      <c r="DE181" s="16">
        <v>-9999</v>
      </c>
      <c r="DF181" s="16">
        <v>-9999</v>
      </c>
      <c r="DG181" s="16">
        <v>-9999</v>
      </c>
      <c r="DH181" s="16">
        <v>-9999</v>
      </c>
      <c r="DI181" s="16">
        <v>-9999</v>
      </c>
      <c r="DJ181" s="16">
        <v>-9999</v>
      </c>
      <c r="DK181" s="16">
        <v>-9999</v>
      </c>
      <c r="DL181" s="16">
        <v>-9999</v>
      </c>
      <c r="DM181" s="16">
        <v>-9999</v>
      </c>
      <c r="DN181" s="16">
        <v>-9999</v>
      </c>
      <c r="DO181" s="16">
        <v>-9999</v>
      </c>
      <c r="DP181" s="16">
        <v>-9999</v>
      </c>
      <c r="DQ181" s="16">
        <v>-9999</v>
      </c>
      <c r="DR181" s="16">
        <v>-9999</v>
      </c>
      <c r="DS181" s="16">
        <v>-9999</v>
      </c>
      <c r="DT181" s="16">
        <v>-9999</v>
      </c>
      <c r="DU181" s="16">
        <v>-9999</v>
      </c>
      <c r="DV181" s="16">
        <v>-9999</v>
      </c>
      <c r="DW181" s="16">
        <v>-9999</v>
      </c>
      <c r="DX181" s="16">
        <v>-9999</v>
      </c>
      <c r="DY181" s="16">
        <v>-9999</v>
      </c>
      <c r="DZ181" s="16">
        <v>-9999</v>
      </c>
      <c r="EA181" s="2257">
        <v>-9999</v>
      </c>
      <c r="EB181" s="2257">
        <v>-9999</v>
      </c>
      <c r="EC181" s="2257">
        <v>-9999</v>
      </c>
      <c r="ED181" s="2257">
        <v>-9999</v>
      </c>
      <c r="EE181" s="2257">
        <v>-9999</v>
      </c>
      <c r="EF181" s="2257">
        <v>-9999</v>
      </c>
      <c r="EG181" s="2257">
        <v>-9999</v>
      </c>
      <c r="EH181" s="2257">
        <v>-9999</v>
      </c>
      <c r="EI181" s="2257">
        <v>-9999</v>
      </c>
      <c r="EJ181" s="2257">
        <v>-9999</v>
      </c>
      <c r="EK181" s="2257">
        <v>-9999</v>
      </c>
      <c r="EL181" s="2257">
        <v>-9999</v>
      </c>
      <c r="EM181" s="2257">
        <v>-9999</v>
      </c>
    </row>
    <row r="182" spans="1:143" ht="13.15">
      <c r="A182" s="22">
        <v>82</v>
      </c>
      <c r="B182" s="36" t="s">
        <v>1399</v>
      </c>
      <c r="C182" s="25">
        <v>-9999</v>
      </c>
      <c r="D182" s="25">
        <v>-9999</v>
      </c>
      <c r="E182" s="25">
        <v>-9999</v>
      </c>
      <c r="F182" s="25">
        <v>-9999</v>
      </c>
      <c r="G182" s="25">
        <v>-9999</v>
      </c>
      <c r="H182" s="25">
        <v>-9999</v>
      </c>
      <c r="I182" s="25">
        <v>-9999</v>
      </c>
      <c r="J182" s="25">
        <v>-9999</v>
      </c>
      <c r="K182" s="25">
        <v>-9999</v>
      </c>
      <c r="L182" s="25">
        <v>-9999</v>
      </c>
      <c r="M182" s="25">
        <v>-9999</v>
      </c>
      <c r="N182" s="25">
        <v>-9999</v>
      </c>
      <c r="O182" s="25">
        <v>-9999</v>
      </c>
      <c r="P182" s="26"/>
      <c r="Q182"/>
      <c r="AA182" s="22">
        <v>82</v>
      </c>
      <c r="AB182" s="1080" t="str">
        <f t="shared" si="8"/>
        <v>FOR INTERNAL CALCULATIONS BY A4</v>
      </c>
      <c r="AC182" s="1080">
        <f>CHOOSE(Tables!$U$2,Transfer!CA182,Transfer!CN182,Transfer!DA182,Transfer!DN182,Transfer!EA182)</f>
        <v>-9999</v>
      </c>
      <c r="AD182" s="1080">
        <f>CHOOSE(Tables!$U$2,Transfer!CB182,Transfer!CO182,Transfer!DB182,Transfer!DO182,Transfer!EB182)</f>
        <v>-9999</v>
      </c>
      <c r="AE182" s="1080">
        <f>CHOOSE(Tables!$U$2,Transfer!CC182,Transfer!CP182,Transfer!DC182,Transfer!DP182,Transfer!EC182)</f>
        <v>-9999</v>
      </c>
      <c r="AF182" s="1080">
        <f>CHOOSE(Tables!$U$2,Transfer!CD182,Transfer!CQ182,Transfer!DD182,Transfer!DQ182,Transfer!ED182)</f>
        <v>-9999</v>
      </c>
      <c r="AG182" s="1080">
        <f>CHOOSE(Tables!$U$2,Transfer!CE182,Transfer!CR182,Transfer!DE182,Transfer!DR182,Transfer!EE182)</f>
        <v>-9999</v>
      </c>
      <c r="AH182" s="1080">
        <f>CHOOSE(Tables!$U$2,Transfer!CF182,Transfer!CS182,Transfer!DF182,Transfer!DS182,Transfer!EF182)</f>
        <v>-9999</v>
      </c>
      <c r="AI182" s="1080">
        <f>CHOOSE(Tables!$U$2,Transfer!CG182,Transfer!CT182,Transfer!DG182,Transfer!DT182,Transfer!EG182)</f>
        <v>-9999</v>
      </c>
      <c r="AJ182" s="1080">
        <f>CHOOSE(Tables!$U$2,Transfer!CH182,Transfer!CU182,Transfer!DH182,Transfer!DU182,Transfer!EH182)</f>
        <v>-9999</v>
      </c>
      <c r="AK182" s="1080">
        <f>CHOOSE(Tables!$U$2,Transfer!CI182,Transfer!CV182,Transfer!DI182,Transfer!DV182,Transfer!EI182)</f>
        <v>-9999</v>
      </c>
      <c r="AL182" s="1080">
        <f>CHOOSE(Tables!$U$2,Transfer!CJ182,Transfer!CW182,Transfer!DJ182,Transfer!DW182,Transfer!EJ182)</f>
        <v>-9999</v>
      </c>
      <c r="AM182" s="1080">
        <f>CHOOSE(Tables!$U$2,Transfer!CK182,Transfer!CX182,Transfer!DK182,Transfer!DX182,Transfer!EK182)</f>
        <v>-9999</v>
      </c>
      <c r="AN182" s="1080">
        <f>CHOOSE(Tables!$U$2,Transfer!CL182,Transfer!CY182,Transfer!DL182,Transfer!DY182,Transfer!EL182)</f>
        <v>-9999</v>
      </c>
      <c r="AO182" s="1080">
        <f>CHOOSE(Tables!$U$2,Transfer!CM182,Transfer!CZ182,Transfer!DM182,Transfer!DZ182,Transfer!EM182)</f>
        <v>-9999</v>
      </c>
      <c r="AR182" s="22">
        <v>82</v>
      </c>
      <c r="AS182" s="31" t="s">
        <v>556</v>
      </c>
      <c r="AT182" s="2129">
        <f t="shared" ref="AT182:AT213" si="10">C182-AC182</f>
        <v>0</v>
      </c>
      <c r="AU182" s="2129">
        <f t="shared" ref="AU182:AU213" si="11">D182-AD182</f>
        <v>0</v>
      </c>
      <c r="AV182" s="2129">
        <f t="shared" ref="AV182:AV213" si="12">E182-AE182</f>
        <v>0</v>
      </c>
      <c r="AW182" s="2129">
        <f t="shared" ref="AW182:AW213" si="13">F182-AF182</f>
        <v>0</v>
      </c>
      <c r="AX182" s="2129">
        <f t="shared" ref="AX182:AX213" si="14">G182-AG182</f>
        <v>0</v>
      </c>
      <c r="AY182" s="25">
        <f t="shared" ref="AY182:AY213" si="15">H182-AH182</f>
        <v>0</v>
      </c>
      <c r="AZ182" s="25">
        <f t="shared" ref="AZ182:AZ213" si="16">I182-AI182</f>
        <v>0</v>
      </c>
      <c r="BA182" s="25">
        <f t="shared" ref="BA182:BA213" si="17">J182-AJ182</f>
        <v>0</v>
      </c>
      <c r="BB182" s="25">
        <f t="shared" ref="BB182:BB213" si="18">K182-AK182</f>
        <v>0</v>
      </c>
      <c r="BC182" s="25">
        <f t="shared" si="7"/>
        <v>0</v>
      </c>
      <c r="BD182" s="25">
        <f t="shared" si="7"/>
        <v>0</v>
      </c>
      <c r="BE182" s="25">
        <f t="shared" si="7"/>
        <v>0</v>
      </c>
      <c r="BF182" s="25">
        <f t="shared" si="7"/>
        <v>0</v>
      </c>
      <c r="CA182" s="16">
        <v>-9999</v>
      </c>
      <c r="CB182" s="16">
        <v>-9999</v>
      </c>
      <c r="CC182" s="16">
        <v>-9999</v>
      </c>
      <c r="CD182" s="16">
        <v>-9999</v>
      </c>
      <c r="CE182" s="16">
        <v>-9999</v>
      </c>
      <c r="CF182" s="16">
        <v>-9999</v>
      </c>
      <c r="CG182" s="16">
        <v>-9999</v>
      </c>
      <c r="CH182" s="16">
        <v>-9999</v>
      </c>
      <c r="CI182" s="16">
        <v>-9999</v>
      </c>
      <c r="CJ182" s="16">
        <v>-9999</v>
      </c>
      <c r="CK182" s="16">
        <v>-9999</v>
      </c>
      <c r="CL182" s="16">
        <v>-9999</v>
      </c>
      <c r="CM182" s="16">
        <v>-9999</v>
      </c>
      <c r="CN182" s="16">
        <v>-9999</v>
      </c>
      <c r="CO182" s="16">
        <v>-9999</v>
      </c>
      <c r="CP182" s="16">
        <v>-9999</v>
      </c>
      <c r="CQ182" s="16">
        <v>-9999</v>
      </c>
      <c r="CR182" s="16">
        <v>-9999</v>
      </c>
      <c r="CS182" s="16">
        <v>-9999</v>
      </c>
      <c r="CT182" s="16">
        <v>-9999</v>
      </c>
      <c r="CU182" s="16">
        <v>-9999</v>
      </c>
      <c r="CV182" s="16">
        <v>-9999</v>
      </c>
      <c r="CW182" s="16">
        <v>-9999</v>
      </c>
      <c r="CX182" s="16">
        <v>-9999</v>
      </c>
      <c r="CY182" s="16">
        <v>-9999</v>
      </c>
      <c r="CZ182" s="16">
        <v>-9999</v>
      </c>
      <c r="DA182" s="16">
        <v>-9999</v>
      </c>
      <c r="DB182" s="16">
        <v>-9999</v>
      </c>
      <c r="DC182" s="16">
        <v>-9999</v>
      </c>
      <c r="DD182" s="16">
        <v>-9999</v>
      </c>
      <c r="DE182" s="16">
        <v>-9999</v>
      </c>
      <c r="DF182" s="16">
        <v>-9999</v>
      </c>
      <c r="DG182" s="16">
        <v>-9999</v>
      </c>
      <c r="DH182" s="16">
        <v>-9999</v>
      </c>
      <c r="DI182" s="16">
        <v>-9999</v>
      </c>
      <c r="DJ182" s="16">
        <v>-9999</v>
      </c>
      <c r="DK182" s="16">
        <v>-9999</v>
      </c>
      <c r="DL182" s="16">
        <v>-9999</v>
      </c>
      <c r="DM182" s="16">
        <v>-9999</v>
      </c>
      <c r="DN182" s="16">
        <v>-9999</v>
      </c>
      <c r="DO182" s="16">
        <v>-9999</v>
      </c>
      <c r="DP182" s="16">
        <v>-9999</v>
      </c>
      <c r="DQ182" s="16">
        <v>-9999</v>
      </c>
      <c r="DR182" s="16">
        <v>-9999</v>
      </c>
      <c r="DS182" s="16">
        <v>-9999</v>
      </c>
      <c r="DT182" s="16">
        <v>-9999</v>
      </c>
      <c r="DU182" s="16">
        <v>-9999</v>
      </c>
      <c r="DV182" s="16">
        <v>-9999</v>
      </c>
      <c r="DW182" s="16">
        <v>-9999</v>
      </c>
      <c r="DX182" s="16">
        <v>-9999</v>
      </c>
      <c r="DY182" s="16">
        <v>-9999</v>
      </c>
      <c r="DZ182" s="16">
        <v>-9999</v>
      </c>
      <c r="EA182" s="2257">
        <v>-9999</v>
      </c>
      <c r="EB182" s="2257">
        <v>-9999</v>
      </c>
      <c r="EC182" s="2257">
        <v>-9999</v>
      </c>
      <c r="ED182" s="2257">
        <v>-9999</v>
      </c>
      <c r="EE182" s="2257">
        <v>-9999</v>
      </c>
      <c r="EF182" s="2257">
        <v>-9999</v>
      </c>
      <c r="EG182" s="2257">
        <v>-9999</v>
      </c>
      <c r="EH182" s="2257">
        <v>-9999</v>
      </c>
      <c r="EI182" s="2257">
        <v>-9999</v>
      </c>
      <c r="EJ182" s="2257">
        <v>-9999</v>
      </c>
      <c r="EK182" s="2257">
        <v>-9999</v>
      </c>
      <c r="EL182" s="2257">
        <v>-9999</v>
      </c>
      <c r="EM182" s="2257">
        <v>-9999</v>
      </c>
    </row>
    <row r="183" spans="1:143" ht="13.15">
      <c r="A183" s="22">
        <v>83</v>
      </c>
      <c r="B183" s="1075" t="s">
        <v>2012</v>
      </c>
      <c r="C183" s="20">
        <f ca="1">OFFSET(Labour1!F78,0,Last_forecast_year - 3-InputY!$G$3)</f>
        <v>4701.1000000000004</v>
      </c>
      <c r="D183" s="20">
        <f ca="1">OFFSET(Labour1!G78,0,Last_forecast_year - 3-InputY!$G$3)</f>
        <v>4816.8</v>
      </c>
      <c r="E183" s="20">
        <f ca="1">OFFSET(Labour1!H78,0,Last_forecast_year - 3-InputY!$G$3)</f>
        <v>4900.0333799999999</v>
      </c>
      <c r="F183" s="20">
        <f ca="1">OFFSET(Labour1!I78,0,Last_forecast_year - 3-InputY!$G$3)</f>
        <v>4943.7908682299994</v>
      </c>
      <c r="G183" s="20">
        <f ca="1">OFFSET(Labour1!J78,0,Last_forecast_year - 3-InputY!$G$3)</f>
        <v>4977.7271197432647</v>
      </c>
      <c r="H183" s="25">
        <v>-9999</v>
      </c>
      <c r="I183" s="25">
        <v>-9999</v>
      </c>
      <c r="J183" s="25">
        <v>-9999</v>
      </c>
      <c r="K183" s="25">
        <v>-9999</v>
      </c>
      <c r="L183" s="25">
        <v>-9999</v>
      </c>
      <c r="M183" s="25">
        <v>-9999</v>
      </c>
      <c r="N183" s="25">
        <v>-9999</v>
      </c>
      <c r="O183" s="25">
        <v>-9999</v>
      </c>
      <c r="P183" s="26"/>
      <c r="Q183"/>
      <c r="AA183" s="22">
        <v>83</v>
      </c>
      <c r="AB183" s="1080" t="str">
        <f t="shared" si="8"/>
        <v>EMPLOYEES LAB. FORCE STATISTICS</v>
      </c>
      <c r="AC183" s="1080">
        <f>CHOOSE(Tables!$U$2,Transfer!CA183,Transfer!CN183,Transfer!DA183,Transfer!DN183,Transfer!EA183)</f>
        <v>4612.1000000000004</v>
      </c>
      <c r="AD183" s="1080">
        <f>CHOOSE(Tables!$U$2,Transfer!CB183,Transfer!CO183,Transfer!DB183,Transfer!DO183,Transfer!EB183)</f>
        <v>4700.8</v>
      </c>
      <c r="AE183" s="1080">
        <f>CHOOSE(Tables!$U$2,Transfer!CC183,Transfer!CP183,Transfer!DC183,Transfer!DP183,Transfer!EC183)</f>
        <v>4816.7</v>
      </c>
      <c r="AF183" s="1080">
        <f>CHOOSE(Tables!$U$2,Transfer!CD183,Transfer!CQ183,Transfer!DD183,Transfer!DQ183,Transfer!ED183)</f>
        <v>4898.7629999999999</v>
      </c>
      <c r="AG183" s="1080">
        <f>CHOOSE(Tables!$U$2,Transfer!CE183,Transfer!CR183,Transfer!DE183,Transfer!DR183,Transfer!EE183)</f>
        <v>4962.9881854999994</v>
      </c>
      <c r="AH183" s="1080">
        <f>CHOOSE(Tables!$U$2,Transfer!CF183,Transfer!CS183,Transfer!DF183,Transfer!DS183,Transfer!EF183)</f>
        <v>-9999</v>
      </c>
      <c r="AI183" s="1080">
        <f>CHOOSE(Tables!$U$2,Transfer!CG183,Transfer!CT183,Transfer!DG183,Transfer!DT183,Transfer!EG183)</f>
        <v>-9999</v>
      </c>
      <c r="AJ183" s="1080">
        <f>CHOOSE(Tables!$U$2,Transfer!CH183,Transfer!CU183,Transfer!DH183,Transfer!DU183,Transfer!EH183)</f>
        <v>-9999</v>
      </c>
      <c r="AK183" s="1080">
        <f>CHOOSE(Tables!$U$2,Transfer!CI183,Transfer!CV183,Transfer!DI183,Transfer!DV183,Transfer!EI183)</f>
        <v>-9999</v>
      </c>
      <c r="AL183" s="1080">
        <f>CHOOSE(Tables!$U$2,Transfer!CJ183,Transfer!CW183,Transfer!DJ183,Transfer!DW183,Transfer!EJ183)</f>
        <v>-9999</v>
      </c>
      <c r="AM183" s="1080">
        <f>CHOOSE(Tables!$U$2,Transfer!CK183,Transfer!CX183,Transfer!DK183,Transfer!DX183,Transfer!EK183)</f>
        <v>-9999</v>
      </c>
      <c r="AN183" s="1080">
        <f>CHOOSE(Tables!$U$2,Transfer!CL183,Transfer!CY183,Transfer!DL183,Transfer!DY183,Transfer!EL183)</f>
        <v>-9999</v>
      </c>
      <c r="AO183" s="1080">
        <f>CHOOSE(Tables!$U$2,Transfer!CM183,Transfer!CZ183,Transfer!DM183,Transfer!DZ183,Transfer!EM183)</f>
        <v>-9999</v>
      </c>
      <c r="AR183" s="22">
        <v>83</v>
      </c>
      <c r="AS183" s="1608" t="s">
        <v>2012</v>
      </c>
      <c r="AT183" s="20">
        <f t="shared" ca="1" si="10"/>
        <v>89</v>
      </c>
      <c r="AU183" s="20">
        <f t="shared" ca="1" si="11"/>
        <v>116</v>
      </c>
      <c r="AV183" s="20">
        <f t="shared" ca="1" si="12"/>
        <v>83.333380000000034</v>
      </c>
      <c r="AW183" s="20">
        <f t="shared" ca="1" si="13"/>
        <v>45.027868229999513</v>
      </c>
      <c r="AX183" s="20">
        <f t="shared" ca="1" si="14"/>
        <v>14.738934243265248</v>
      </c>
      <c r="AY183" s="25">
        <f t="shared" si="15"/>
        <v>0</v>
      </c>
      <c r="AZ183" s="25">
        <f t="shared" si="16"/>
        <v>0</v>
      </c>
      <c r="BA183" s="25">
        <f t="shared" si="17"/>
        <v>0</v>
      </c>
      <c r="BB183" s="25">
        <f t="shared" si="18"/>
        <v>0</v>
      </c>
      <c r="BC183" s="25">
        <f t="shared" si="7"/>
        <v>0</v>
      </c>
      <c r="BD183" s="25">
        <f t="shared" si="7"/>
        <v>0</v>
      </c>
      <c r="BE183" s="25">
        <f t="shared" si="7"/>
        <v>0</v>
      </c>
      <c r="BF183" s="25">
        <f t="shared" si="7"/>
        <v>0</v>
      </c>
      <c r="CA183" s="16">
        <v>4701.1000000000004</v>
      </c>
      <c r="CB183" s="16">
        <v>4816.8</v>
      </c>
      <c r="CC183" s="16">
        <v>4902.9073799999996</v>
      </c>
      <c r="CD183" s="16">
        <v>4946.6936082299999</v>
      </c>
      <c r="CE183" s="16">
        <v>4980.6591774172648</v>
      </c>
      <c r="CF183" s="16">
        <v>-9999</v>
      </c>
      <c r="CG183" s="16">
        <v>-9999</v>
      </c>
      <c r="CH183" s="16">
        <v>-9999</v>
      </c>
      <c r="CI183" s="16">
        <v>-9999</v>
      </c>
      <c r="CJ183" s="16">
        <v>-9999</v>
      </c>
      <c r="CK183" s="16">
        <v>-9999</v>
      </c>
      <c r="CL183" s="16">
        <v>-9999</v>
      </c>
      <c r="CM183" s="16">
        <v>-9999</v>
      </c>
      <c r="CN183" s="16">
        <v>4612.1000000000004</v>
      </c>
      <c r="CO183" s="16">
        <v>4700.8</v>
      </c>
      <c r="CP183" s="16">
        <v>4816.7</v>
      </c>
      <c r="CQ183" s="16">
        <v>4898.7629999999999</v>
      </c>
      <c r="CR183" s="16">
        <v>4962.9881854999994</v>
      </c>
      <c r="CS183" s="16">
        <v>-9999</v>
      </c>
      <c r="CT183" s="16">
        <v>-9999</v>
      </c>
      <c r="CU183" s="16">
        <v>-9999</v>
      </c>
      <c r="CV183" s="16">
        <v>-9999</v>
      </c>
      <c r="CW183" s="16">
        <v>-9999</v>
      </c>
      <c r="CX183" s="16">
        <v>-9999</v>
      </c>
      <c r="CY183" s="16">
        <v>-9999</v>
      </c>
      <c r="CZ183" s="16">
        <v>-9999</v>
      </c>
      <c r="DA183" s="16">
        <v>4701.1000000000004</v>
      </c>
      <c r="DB183" s="16">
        <v>4816.8</v>
      </c>
      <c r="DC183" s="16">
        <v>4906.9505399999998</v>
      </c>
      <c r="DD183" s="16">
        <v>4949.3994256739998</v>
      </c>
      <c r="DE183" s="16">
        <v>4977.3042969002072</v>
      </c>
      <c r="DF183" s="16">
        <v>-9999</v>
      </c>
      <c r="DG183" s="16">
        <v>-9999</v>
      </c>
      <c r="DH183" s="16">
        <v>-9999</v>
      </c>
      <c r="DI183" s="16">
        <v>-9999</v>
      </c>
      <c r="DJ183" s="16">
        <v>-9999</v>
      </c>
      <c r="DK183" s="16">
        <v>-9999</v>
      </c>
      <c r="DL183" s="16">
        <v>-9999</v>
      </c>
      <c r="DM183" s="16">
        <v>-9999</v>
      </c>
      <c r="DN183" s="16">
        <v>4701.1000000000004</v>
      </c>
      <c r="DO183" s="16">
        <v>4816.8</v>
      </c>
      <c r="DP183" s="16">
        <v>4904.07654</v>
      </c>
      <c r="DQ183" s="16">
        <v>4948.1074189740002</v>
      </c>
      <c r="DR183" s="16">
        <v>4982.2228765658674</v>
      </c>
      <c r="DS183" s="16">
        <v>-9999</v>
      </c>
      <c r="DT183" s="16">
        <v>-9999</v>
      </c>
      <c r="DU183" s="16">
        <v>-9999</v>
      </c>
      <c r="DV183" s="16">
        <v>-9999</v>
      </c>
      <c r="DW183" s="16">
        <v>-9999</v>
      </c>
      <c r="DX183" s="16">
        <v>-9999</v>
      </c>
      <c r="DY183" s="16">
        <v>-9999</v>
      </c>
      <c r="DZ183" s="16">
        <v>-9999</v>
      </c>
      <c r="EA183" s="2256">
        <v>4701.1000000000004</v>
      </c>
      <c r="EB183" s="2256">
        <v>4816.8</v>
      </c>
      <c r="EC183" s="2256">
        <v>4900.0333799999999</v>
      </c>
      <c r="ED183" s="2256">
        <v>4943.7908682299994</v>
      </c>
      <c r="EE183" s="2256">
        <v>4977.7271197432647</v>
      </c>
      <c r="EF183" s="2257">
        <v>-9999</v>
      </c>
      <c r="EG183" s="2257">
        <v>-9999</v>
      </c>
      <c r="EH183" s="2257">
        <v>-9999</v>
      </c>
      <c r="EI183" s="2257">
        <v>-9999</v>
      </c>
      <c r="EJ183" s="2257">
        <v>-9999</v>
      </c>
      <c r="EK183" s="2257">
        <v>-9999</v>
      </c>
      <c r="EL183" s="2257">
        <v>-9999</v>
      </c>
      <c r="EM183" s="2257">
        <v>-9999</v>
      </c>
    </row>
    <row r="184" spans="1:143" ht="13.15">
      <c r="A184" s="22">
        <v>84</v>
      </c>
      <c r="B184" s="30" t="s">
        <v>973</v>
      </c>
      <c r="C184" s="25">
        <v>-9999</v>
      </c>
      <c r="D184" s="25">
        <v>-9999</v>
      </c>
      <c r="E184" s="25">
        <v>-9999</v>
      </c>
      <c r="F184" s="25">
        <v>-9999</v>
      </c>
      <c r="G184" s="25">
        <v>-9999</v>
      </c>
      <c r="H184" s="25">
        <v>-9999</v>
      </c>
      <c r="I184" s="25">
        <v>-9999</v>
      </c>
      <c r="J184" s="25">
        <v>-9999</v>
      </c>
      <c r="K184" s="25">
        <v>-9999</v>
      </c>
      <c r="L184" s="25">
        <v>-9999</v>
      </c>
      <c r="M184" s="25">
        <v>-9999</v>
      </c>
      <c r="N184" s="25">
        <v>-9999</v>
      </c>
      <c r="O184" s="25">
        <v>-9999</v>
      </c>
      <c r="P184" s="26"/>
      <c r="Q184"/>
      <c r="AA184" s="22">
        <v>84</v>
      </c>
      <c r="AB184" s="1080" t="str">
        <f t="shared" si="8"/>
        <v>FOR FUTURE USE</v>
      </c>
      <c r="AC184" s="1080">
        <f>CHOOSE(Tables!$U$2,Transfer!CA184,Transfer!CN184,Transfer!DA184,Transfer!DN184,Transfer!EA184)</f>
        <v>-9999</v>
      </c>
      <c r="AD184" s="1080">
        <f>CHOOSE(Tables!$U$2,Transfer!CB184,Transfer!CO184,Transfer!DB184,Transfer!DO184,Transfer!EB184)</f>
        <v>-9999</v>
      </c>
      <c r="AE184" s="1080">
        <f>CHOOSE(Tables!$U$2,Transfer!CC184,Transfer!CP184,Transfer!DC184,Transfer!DP184,Transfer!EC184)</f>
        <v>-9999</v>
      </c>
      <c r="AF184" s="1080">
        <f>CHOOSE(Tables!$U$2,Transfer!CD184,Transfer!CQ184,Transfer!DD184,Transfer!DQ184,Transfer!ED184)</f>
        <v>-9999</v>
      </c>
      <c r="AG184" s="1080">
        <f>CHOOSE(Tables!$U$2,Transfer!CE184,Transfer!CR184,Transfer!DE184,Transfer!DR184,Transfer!EE184)</f>
        <v>-9999</v>
      </c>
      <c r="AH184" s="1080">
        <f>CHOOSE(Tables!$U$2,Transfer!CF184,Transfer!CS184,Transfer!DF184,Transfer!DS184,Transfer!EF184)</f>
        <v>-9999</v>
      </c>
      <c r="AI184" s="1080">
        <f>CHOOSE(Tables!$U$2,Transfer!CG184,Transfer!CT184,Transfer!DG184,Transfer!DT184,Transfer!EG184)</f>
        <v>-9999</v>
      </c>
      <c r="AJ184" s="1080">
        <f>CHOOSE(Tables!$U$2,Transfer!CH184,Transfer!CU184,Transfer!DH184,Transfer!DU184,Transfer!EH184)</f>
        <v>-9999</v>
      </c>
      <c r="AK184" s="1080">
        <f>CHOOSE(Tables!$U$2,Transfer!CI184,Transfer!CV184,Transfer!DI184,Transfer!DV184,Transfer!EI184)</f>
        <v>-9999</v>
      </c>
      <c r="AL184" s="1080">
        <f>CHOOSE(Tables!$U$2,Transfer!CJ184,Transfer!CW184,Transfer!DJ184,Transfer!DW184,Transfer!EJ184)</f>
        <v>-9999</v>
      </c>
      <c r="AM184" s="1080">
        <f>CHOOSE(Tables!$U$2,Transfer!CK184,Transfer!CX184,Transfer!DK184,Transfer!DX184,Transfer!EK184)</f>
        <v>-9999</v>
      </c>
      <c r="AN184" s="1080">
        <f>CHOOSE(Tables!$U$2,Transfer!CL184,Transfer!CY184,Transfer!DL184,Transfer!DY184,Transfer!EL184)</f>
        <v>-9999</v>
      </c>
      <c r="AO184" s="1080">
        <f>CHOOSE(Tables!$U$2,Transfer!CM184,Transfer!CZ184,Transfer!DM184,Transfer!DZ184,Transfer!EM184)</f>
        <v>-9999</v>
      </c>
      <c r="AR184" s="22">
        <v>84</v>
      </c>
      <c r="AS184" s="30" t="s">
        <v>973</v>
      </c>
      <c r="AT184" s="25">
        <f t="shared" si="10"/>
        <v>0</v>
      </c>
      <c r="AU184" s="25">
        <f t="shared" si="11"/>
        <v>0</v>
      </c>
      <c r="AV184" s="25">
        <f t="shared" si="12"/>
        <v>0</v>
      </c>
      <c r="AW184" s="25">
        <f t="shared" si="13"/>
        <v>0</v>
      </c>
      <c r="AX184" s="25">
        <f t="shared" si="14"/>
        <v>0</v>
      </c>
      <c r="AY184" s="25">
        <f t="shared" si="15"/>
        <v>0</v>
      </c>
      <c r="AZ184" s="25">
        <f t="shared" si="16"/>
        <v>0</v>
      </c>
      <c r="BA184" s="25">
        <f t="shared" si="17"/>
        <v>0</v>
      </c>
      <c r="BB184" s="25">
        <f t="shared" si="18"/>
        <v>0</v>
      </c>
      <c r="BC184" s="25">
        <f t="shared" si="7"/>
        <v>0</v>
      </c>
      <c r="BD184" s="25">
        <f t="shared" si="7"/>
        <v>0</v>
      </c>
      <c r="BE184" s="25">
        <f t="shared" si="7"/>
        <v>0</v>
      </c>
      <c r="BF184" s="25">
        <f t="shared" si="7"/>
        <v>0</v>
      </c>
      <c r="CA184" s="16">
        <v>-9999</v>
      </c>
      <c r="CB184" s="16">
        <v>-9999</v>
      </c>
      <c r="CC184" s="16">
        <v>-9999</v>
      </c>
      <c r="CD184" s="16">
        <v>-9999</v>
      </c>
      <c r="CE184" s="16">
        <v>-9999</v>
      </c>
      <c r="CF184" s="16">
        <v>-9999</v>
      </c>
      <c r="CG184" s="16">
        <v>-9999</v>
      </c>
      <c r="CH184" s="16">
        <v>-9999</v>
      </c>
      <c r="CI184" s="16">
        <v>-9999</v>
      </c>
      <c r="CJ184" s="16">
        <v>-9999</v>
      </c>
      <c r="CK184" s="16">
        <v>-9999</v>
      </c>
      <c r="CL184" s="16">
        <v>-9999</v>
      </c>
      <c r="CM184" s="16">
        <v>-9999</v>
      </c>
      <c r="CN184" s="16">
        <v>-9999</v>
      </c>
      <c r="CO184" s="16">
        <v>-9999</v>
      </c>
      <c r="CP184" s="16">
        <v>-9999</v>
      </c>
      <c r="CQ184" s="16">
        <v>-9999</v>
      </c>
      <c r="CR184" s="16">
        <v>-9999</v>
      </c>
      <c r="CS184" s="16">
        <v>-9999</v>
      </c>
      <c r="CT184" s="16">
        <v>-9999</v>
      </c>
      <c r="CU184" s="16">
        <v>-9999</v>
      </c>
      <c r="CV184" s="16">
        <v>-9999</v>
      </c>
      <c r="CW184" s="16">
        <v>-9999</v>
      </c>
      <c r="CX184" s="16">
        <v>-9999</v>
      </c>
      <c r="CY184" s="16">
        <v>-9999</v>
      </c>
      <c r="CZ184" s="16">
        <v>-9999</v>
      </c>
      <c r="DA184" s="16">
        <v>-9999</v>
      </c>
      <c r="DB184" s="16">
        <v>-9999</v>
      </c>
      <c r="DC184" s="16">
        <v>-9999</v>
      </c>
      <c r="DD184" s="16">
        <v>-9999</v>
      </c>
      <c r="DE184" s="16">
        <v>-9999</v>
      </c>
      <c r="DF184" s="16">
        <v>-9999</v>
      </c>
      <c r="DG184" s="16">
        <v>-9999</v>
      </c>
      <c r="DH184" s="16">
        <v>-9999</v>
      </c>
      <c r="DI184" s="16">
        <v>-9999</v>
      </c>
      <c r="DJ184" s="16">
        <v>-9999</v>
      </c>
      <c r="DK184" s="16">
        <v>-9999</v>
      </c>
      <c r="DL184" s="16">
        <v>-9999</v>
      </c>
      <c r="DM184" s="16">
        <v>-9999</v>
      </c>
      <c r="DN184" s="16">
        <v>-9999</v>
      </c>
      <c r="DO184" s="16">
        <v>-9999</v>
      </c>
      <c r="DP184" s="16">
        <v>-9999</v>
      </c>
      <c r="DQ184" s="16">
        <v>-9999</v>
      </c>
      <c r="DR184" s="16">
        <v>-9999</v>
      </c>
      <c r="DS184" s="16">
        <v>-9999</v>
      </c>
      <c r="DT184" s="16">
        <v>-9999</v>
      </c>
      <c r="DU184" s="16">
        <v>-9999</v>
      </c>
      <c r="DV184" s="16">
        <v>-9999</v>
      </c>
      <c r="DW184" s="16">
        <v>-9999</v>
      </c>
      <c r="DX184" s="16">
        <v>-9999</v>
      </c>
      <c r="DY184" s="16">
        <v>-9999</v>
      </c>
      <c r="DZ184" s="16">
        <v>-9999</v>
      </c>
      <c r="EA184" s="2257">
        <v>-9999</v>
      </c>
      <c r="EB184" s="2257">
        <v>-9999</v>
      </c>
      <c r="EC184" s="2257">
        <v>-9999</v>
      </c>
      <c r="ED184" s="2257">
        <v>-9999</v>
      </c>
      <c r="EE184" s="2257">
        <v>-9999</v>
      </c>
      <c r="EF184" s="2257">
        <v>-9999</v>
      </c>
      <c r="EG184" s="2257">
        <v>-9999</v>
      </c>
      <c r="EH184" s="2257">
        <v>-9999</v>
      </c>
      <c r="EI184" s="2257">
        <v>-9999</v>
      </c>
      <c r="EJ184" s="2257">
        <v>-9999</v>
      </c>
      <c r="EK184" s="2257">
        <v>-9999</v>
      </c>
      <c r="EL184" s="2257">
        <v>-9999</v>
      </c>
      <c r="EM184" s="2257">
        <v>-9999</v>
      </c>
    </row>
    <row r="185" spans="1:143" ht="13.15">
      <c r="A185" s="22">
        <v>85</v>
      </c>
      <c r="B185" s="33" t="s">
        <v>557</v>
      </c>
      <c r="C185" s="20">
        <f ca="1">OFFSET(Labour1!F89,0,Last_forecast_year - 3-InputY!$G$3)</f>
        <v>1622.2873481057898</v>
      </c>
      <c r="D185" s="20">
        <f ca="1">OFFSET(Labour1!G89,0,Last_forecast_year - 3-InputY!$G$3)</f>
        <v>1608.6883642966893</v>
      </c>
      <c r="E185" s="20">
        <f ca="1">OFFSET(Labour1!H89,0,Last_forecast_year - 3-InputY!$G$3)</f>
        <v>1611.9057410252826</v>
      </c>
      <c r="F185" s="20">
        <f ca="1">OFFSET(Labour1!I89,0,Last_forecast_year - 3-InputY!$G$3)</f>
        <v>1612.066931599385</v>
      </c>
      <c r="G185" s="20">
        <f ca="1">OFFSET(Labour1!J89,0,Last_forecast_year - 3-InputY!$G$3)</f>
        <v>1610.6160713609456</v>
      </c>
      <c r="H185" s="25">
        <v>-9999</v>
      </c>
      <c r="I185" s="25">
        <v>-9999</v>
      </c>
      <c r="J185" s="25">
        <v>-9999</v>
      </c>
      <c r="K185" s="25">
        <v>-9999</v>
      </c>
      <c r="L185" s="25">
        <v>-9999</v>
      </c>
      <c r="M185" s="25">
        <v>-9999</v>
      </c>
      <c r="N185" s="25">
        <v>-9999</v>
      </c>
      <c r="O185" s="25">
        <v>-9999</v>
      </c>
      <c r="P185" s="26"/>
      <c r="Q185"/>
      <c r="AA185" s="22">
        <v>85</v>
      </c>
      <c r="AB185" s="1080" t="str">
        <f t="shared" si="8"/>
        <v>AV. HOURS WORKED</v>
      </c>
      <c r="AC185" s="1080">
        <f>CHOOSE(Tables!$U$2,Transfer!CA185,Transfer!CN185,Transfer!DA185,Transfer!DN185,Transfer!EA185)</f>
        <v>1610.0719723759207</v>
      </c>
      <c r="AD185" s="1080">
        <f>CHOOSE(Tables!$U$2,Transfer!CB185,Transfer!CO185,Transfer!DB185,Transfer!DO185,Transfer!EB185)</f>
        <v>1626.4591598838399</v>
      </c>
      <c r="AE185" s="1080">
        <f>CHOOSE(Tables!$U$2,Transfer!CC185,Transfer!CP185,Transfer!DC185,Transfer!DP185,Transfer!EC185)</f>
        <v>1609.2894973518537</v>
      </c>
      <c r="AF185" s="1080">
        <f>CHOOSE(Tables!$U$2,Transfer!CD185,Transfer!CQ185,Transfer!DD185,Transfer!DQ185,Transfer!ED185)</f>
        <v>1612.5080763465573</v>
      </c>
      <c r="AG185" s="1080">
        <f>CHOOSE(Tables!$U$2,Transfer!CE185,Transfer!CR185,Transfer!DE185,Transfer!DR185,Transfer!EE185)</f>
        <v>1612.6693271541919</v>
      </c>
      <c r="AH185" s="1080">
        <f>CHOOSE(Tables!$U$2,Transfer!CF185,Transfer!CS185,Transfer!DF185,Transfer!DS185,Transfer!EF185)</f>
        <v>-9999</v>
      </c>
      <c r="AI185" s="1080">
        <f>CHOOSE(Tables!$U$2,Transfer!CG185,Transfer!CT185,Transfer!DG185,Transfer!DT185,Transfer!EG185)</f>
        <v>-9999</v>
      </c>
      <c r="AJ185" s="1080">
        <f>CHOOSE(Tables!$U$2,Transfer!CH185,Transfer!CU185,Transfer!DH185,Transfer!DU185,Transfer!EH185)</f>
        <v>-9999</v>
      </c>
      <c r="AK185" s="1080">
        <f>CHOOSE(Tables!$U$2,Transfer!CI185,Transfer!CV185,Transfer!DI185,Transfer!DV185,Transfer!EI185)</f>
        <v>-9999</v>
      </c>
      <c r="AL185" s="1080">
        <f>CHOOSE(Tables!$U$2,Transfer!CJ185,Transfer!CW185,Transfer!DJ185,Transfer!DW185,Transfer!EJ185)</f>
        <v>-9999</v>
      </c>
      <c r="AM185" s="1080">
        <f>CHOOSE(Tables!$U$2,Transfer!CK185,Transfer!CX185,Transfer!DK185,Transfer!DX185,Transfer!EK185)</f>
        <v>-9999</v>
      </c>
      <c r="AN185" s="1080">
        <f>CHOOSE(Tables!$U$2,Transfer!CL185,Transfer!CY185,Transfer!DL185,Transfer!DY185,Transfer!EL185)</f>
        <v>-9999</v>
      </c>
      <c r="AO185" s="1080">
        <f>CHOOSE(Tables!$U$2,Transfer!CM185,Transfer!CZ185,Transfer!DM185,Transfer!DZ185,Transfer!EM185)</f>
        <v>-9999</v>
      </c>
      <c r="AR185" s="22">
        <v>85</v>
      </c>
      <c r="AS185" s="33" t="s">
        <v>557</v>
      </c>
      <c r="AT185" s="20">
        <f t="shared" ca="1" si="10"/>
        <v>12.215375729869038</v>
      </c>
      <c r="AU185" s="20">
        <f t="shared" ca="1" si="11"/>
        <v>-17.770795587150587</v>
      </c>
      <c r="AV185" s="20">
        <f t="shared" ca="1" si="12"/>
        <v>2.6162436734289258</v>
      </c>
      <c r="AW185" s="20">
        <f t="shared" ca="1" si="13"/>
        <v>-0.44114474717230223</v>
      </c>
      <c r="AX185" s="20">
        <f t="shared" ca="1" si="14"/>
        <v>-2.0532557932463078</v>
      </c>
      <c r="AY185" s="25">
        <f t="shared" si="15"/>
        <v>0</v>
      </c>
      <c r="AZ185" s="25">
        <f t="shared" si="16"/>
        <v>0</v>
      </c>
      <c r="BA185" s="25">
        <f t="shared" si="17"/>
        <v>0</v>
      </c>
      <c r="BB185" s="25">
        <f t="shared" si="18"/>
        <v>0</v>
      </c>
      <c r="BC185" s="25">
        <f t="shared" si="7"/>
        <v>0</v>
      </c>
      <c r="BD185" s="25">
        <f t="shared" si="7"/>
        <v>0</v>
      </c>
      <c r="BE185" s="25">
        <f t="shared" si="7"/>
        <v>0</v>
      </c>
      <c r="BF185" s="25">
        <f t="shared" si="7"/>
        <v>0</v>
      </c>
      <c r="CA185" s="16">
        <v>1622.2873481057898</v>
      </c>
      <c r="CB185" s="16">
        <v>1608.6883642966893</v>
      </c>
      <c r="CC185" s="16">
        <v>1611.9057410252826</v>
      </c>
      <c r="CD185" s="16">
        <v>1612.066931599385</v>
      </c>
      <c r="CE185" s="16">
        <v>1610.6160713609456</v>
      </c>
      <c r="CF185" s="16">
        <v>-9999</v>
      </c>
      <c r="CG185" s="16">
        <v>-9999</v>
      </c>
      <c r="CH185" s="16">
        <v>-9999</v>
      </c>
      <c r="CI185" s="16">
        <v>-9999</v>
      </c>
      <c r="CJ185" s="16">
        <v>-9999</v>
      </c>
      <c r="CK185" s="16">
        <v>-9999</v>
      </c>
      <c r="CL185" s="16">
        <v>-9999</v>
      </c>
      <c r="CM185" s="16">
        <v>-9999</v>
      </c>
      <c r="CN185" s="16">
        <v>1610.0719723759207</v>
      </c>
      <c r="CO185" s="16">
        <v>1626.4591598838399</v>
      </c>
      <c r="CP185" s="16">
        <v>1609.2894973518537</v>
      </c>
      <c r="CQ185" s="16">
        <v>1612.5080763465573</v>
      </c>
      <c r="CR185" s="16">
        <v>1612.6693271541919</v>
      </c>
      <c r="CS185" s="16">
        <v>-9999</v>
      </c>
      <c r="CT185" s="16">
        <v>-9999</v>
      </c>
      <c r="CU185" s="16">
        <v>-9999</v>
      </c>
      <c r="CV185" s="16">
        <v>-9999</v>
      </c>
      <c r="CW185" s="16">
        <v>-9999</v>
      </c>
      <c r="CX185" s="16">
        <v>-9999</v>
      </c>
      <c r="CY185" s="16">
        <v>-9999</v>
      </c>
      <c r="CZ185" s="16">
        <v>-9999</v>
      </c>
      <c r="DA185" s="16">
        <v>1622.2873481057898</v>
      </c>
      <c r="DB185" s="16">
        <v>1608.6883642966893</v>
      </c>
      <c r="DC185" s="16">
        <v>1611.9057410252826</v>
      </c>
      <c r="DD185" s="16">
        <v>1612.066931599385</v>
      </c>
      <c r="DE185" s="16">
        <v>1610.6160713609456</v>
      </c>
      <c r="DF185" s="16">
        <v>-9999</v>
      </c>
      <c r="DG185" s="16">
        <v>-9999</v>
      </c>
      <c r="DH185" s="16">
        <v>-9999</v>
      </c>
      <c r="DI185" s="16">
        <v>-9999</v>
      </c>
      <c r="DJ185" s="16">
        <v>-9999</v>
      </c>
      <c r="DK185" s="16">
        <v>-9999</v>
      </c>
      <c r="DL185" s="16">
        <v>-9999</v>
      </c>
      <c r="DM185" s="16">
        <v>-9999</v>
      </c>
      <c r="DN185" s="16">
        <v>1622.2873481057898</v>
      </c>
      <c r="DO185" s="16">
        <v>1608.6883642966893</v>
      </c>
      <c r="DP185" s="16">
        <v>1611.9057410252826</v>
      </c>
      <c r="DQ185" s="16">
        <v>1612.066931599385</v>
      </c>
      <c r="DR185" s="16">
        <v>1610.6160713609456</v>
      </c>
      <c r="DS185" s="16">
        <v>-9999</v>
      </c>
      <c r="DT185" s="16">
        <v>-9999</v>
      </c>
      <c r="DU185" s="16">
        <v>-9999</v>
      </c>
      <c r="DV185" s="16">
        <v>-9999</v>
      </c>
      <c r="DW185" s="16">
        <v>-9999</v>
      </c>
      <c r="DX185" s="16">
        <v>-9999</v>
      </c>
      <c r="DY185" s="16">
        <v>-9999</v>
      </c>
      <c r="DZ185" s="16">
        <v>-9999</v>
      </c>
      <c r="EA185" s="2256">
        <v>1622.2873481057898</v>
      </c>
      <c r="EB185" s="2256">
        <v>1608.6883642966893</v>
      </c>
      <c r="EC185" s="2256">
        <v>1611.9057410252826</v>
      </c>
      <c r="ED185" s="2256">
        <v>1612.066931599385</v>
      </c>
      <c r="EE185" s="2256">
        <v>1610.6160713609456</v>
      </c>
      <c r="EF185" s="2257">
        <v>-9999</v>
      </c>
      <c r="EG185" s="2257">
        <v>-9999</v>
      </c>
      <c r="EH185" s="2257">
        <v>-9999</v>
      </c>
      <c r="EI185" s="2257">
        <v>-9999</v>
      </c>
      <c r="EJ185" s="2257">
        <v>-9999</v>
      </c>
      <c r="EK185" s="2257">
        <v>-9999</v>
      </c>
      <c r="EL185" s="2257">
        <v>-9999</v>
      </c>
      <c r="EM185" s="2257">
        <v>-9999</v>
      </c>
    </row>
    <row r="186" spans="1:143" ht="13.15">
      <c r="A186" s="22">
        <v>86</v>
      </c>
      <c r="B186" s="30" t="s">
        <v>973</v>
      </c>
      <c r="C186" s="25">
        <v>-9999</v>
      </c>
      <c r="D186" s="25">
        <v>-9999</v>
      </c>
      <c r="E186" s="25">
        <v>-9999</v>
      </c>
      <c r="F186" s="25">
        <v>-9999</v>
      </c>
      <c r="G186" s="25">
        <v>-9999</v>
      </c>
      <c r="H186" s="25">
        <v>-9999</v>
      </c>
      <c r="I186" s="25">
        <v>-9999</v>
      </c>
      <c r="J186" s="25">
        <v>-9999</v>
      </c>
      <c r="K186" s="25">
        <v>-9999</v>
      </c>
      <c r="L186" s="25">
        <v>-9999</v>
      </c>
      <c r="M186" s="25">
        <v>-9999</v>
      </c>
      <c r="N186" s="25">
        <v>-9999</v>
      </c>
      <c r="O186" s="25">
        <v>-9999</v>
      </c>
      <c r="P186" s="26"/>
      <c r="Q186"/>
      <c r="AA186" s="22">
        <v>86</v>
      </c>
      <c r="AB186" s="1080" t="str">
        <f t="shared" si="8"/>
        <v>FOR FUTURE USE</v>
      </c>
      <c r="AC186" s="1080">
        <f>CHOOSE(Tables!$U$2,Transfer!CA186,Transfer!CN186,Transfer!DA186,Transfer!DN186,Transfer!EA186)</f>
        <v>-9999</v>
      </c>
      <c r="AD186" s="1080">
        <f>CHOOSE(Tables!$U$2,Transfer!CB186,Transfer!CO186,Transfer!DB186,Transfer!DO186,Transfer!EB186)</f>
        <v>-9999</v>
      </c>
      <c r="AE186" s="1080">
        <f>CHOOSE(Tables!$U$2,Transfer!CC186,Transfer!CP186,Transfer!DC186,Transfer!DP186,Transfer!EC186)</f>
        <v>-9999</v>
      </c>
      <c r="AF186" s="1080">
        <f>CHOOSE(Tables!$U$2,Transfer!CD186,Transfer!CQ186,Transfer!DD186,Transfer!DQ186,Transfer!ED186)</f>
        <v>-9999</v>
      </c>
      <c r="AG186" s="1080">
        <f>CHOOSE(Tables!$U$2,Transfer!CE186,Transfer!CR186,Transfer!DE186,Transfer!DR186,Transfer!EE186)</f>
        <v>-9999</v>
      </c>
      <c r="AH186" s="1080">
        <f>CHOOSE(Tables!$U$2,Transfer!CF186,Transfer!CS186,Transfer!DF186,Transfer!DS186,Transfer!EF186)</f>
        <v>-9999</v>
      </c>
      <c r="AI186" s="1080">
        <f>CHOOSE(Tables!$U$2,Transfer!CG186,Transfer!CT186,Transfer!DG186,Transfer!DT186,Transfer!EG186)</f>
        <v>-9999</v>
      </c>
      <c r="AJ186" s="1080">
        <f>CHOOSE(Tables!$U$2,Transfer!CH186,Transfer!CU186,Transfer!DH186,Transfer!DU186,Transfer!EH186)</f>
        <v>-9999</v>
      </c>
      <c r="AK186" s="1080">
        <f>CHOOSE(Tables!$U$2,Transfer!CI186,Transfer!CV186,Transfer!DI186,Transfer!DV186,Transfer!EI186)</f>
        <v>-9999</v>
      </c>
      <c r="AL186" s="1080">
        <f>CHOOSE(Tables!$U$2,Transfer!CJ186,Transfer!CW186,Transfer!DJ186,Transfer!DW186,Transfer!EJ186)</f>
        <v>-9999</v>
      </c>
      <c r="AM186" s="1080">
        <f>CHOOSE(Tables!$U$2,Transfer!CK186,Transfer!CX186,Transfer!DK186,Transfer!DX186,Transfer!EK186)</f>
        <v>-9999</v>
      </c>
      <c r="AN186" s="1080">
        <f>CHOOSE(Tables!$U$2,Transfer!CL186,Transfer!CY186,Transfer!DL186,Transfer!DY186,Transfer!EL186)</f>
        <v>-9999</v>
      </c>
      <c r="AO186" s="1080">
        <f>CHOOSE(Tables!$U$2,Transfer!CM186,Transfer!CZ186,Transfer!DM186,Transfer!DZ186,Transfer!EM186)</f>
        <v>-9999</v>
      </c>
      <c r="AR186" s="22">
        <v>86</v>
      </c>
      <c r="AS186" s="30" t="s">
        <v>973</v>
      </c>
      <c r="AT186" s="25">
        <f t="shared" si="10"/>
        <v>0</v>
      </c>
      <c r="AU186" s="25">
        <f t="shared" si="11"/>
        <v>0</v>
      </c>
      <c r="AV186" s="25">
        <f t="shared" si="12"/>
        <v>0</v>
      </c>
      <c r="AW186" s="25">
        <f t="shared" si="13"/>
        <v>0</v>
      </c>
      <c r="AX186" s="25">
        <f t="shared" si="14"/>
        <v>0</v>
      </c>
      <c r="AY186" s="25">
        <f t="shared" si="15"/>
        <v>0</v>
      </c>
      <c r="AZ186" s="25">
        <f t="shared" si="16"/>
        <v>0</v>
      </c>
      <c r="BA186" s="25">
        <f t="shared" si="17"/>
        <v>0</v>
      </c>
      <c r="BB186" s="25">
        <f t="shared" si="18"/>
        <v>0</v>
      </c>
      <c r="BC186" s="25">
        <f t="shared" si="7"/>
        <v>0</v>
      </c>
      <c r="BD186" s="25">
        <f t="shared" si="7"/>
        <v>0</v>
      </c>
      <c r="BE186" s="25">
        <f t="shared" si="7"/>
        <v>0</v>
      </c>
      <c r="BF186" s="25">
        <f t="shared" si="7"/>
        <v>0</v>
      </c>
      <c r="CA186" s="16">
        <v>-9999</v>
      </c>
      <c r="CB186" s="16">
        <v>-9999</v>
      </c>
      <c r="CC186" s="16">
        <v>-9999</v>
      </c>
      <c r="CD186" s="16">
        <v>-9999</v>
      </c>
      <c r="CE186" s="16">
        <v>-9999</v>
      </c>
      <c r="CF186" s="16">
        <v>-9999</v>
      </c>
      <c r="CG186" s="16">
        <v>-9999</v>
      </c>
      <c r="CH186" s="16">
        <v>-9999</v>
      </c>
      <c r="CI186" s="16">
        <v>-9999</v>
      </c>
      <c r="CJ186" s="16">
        <v>-9999</v>
      </c>
      <c r="CK186" s="16">
        <v>-9999</v>
      </c>
      <c r="CL186" s="16">
        <v>-9999</v>
      </c>
      <c r="CM186" s="16">
        <v>-9999</v>
      </c>
      <c r="CN186" s="16">
        <v>-9999</v>
      </c>
      <c r="CO186" s="16">
        <v>-9999</v>
      </c>
      <c r="CP186" s="16">
        <v>-9999</v>
      </c>
      <c r="CQ186" s="16">
        <v>-9999</v>
      </c>
      <c r="CR186" s="16">
        <v>-9999</v>
      </c>
      <c r="CS186" s="16">
        <v>-9999</v>
      </c>
      <c r="CT186" s="16">
        <v>-9999</v>
      </c>
      <c r="CU186" s="16">
        <v>-9999</v>
      </c>
      <c r="CV186" s="16">
        <v>-9999</v>
      </c>
      <c r="CW186" s="16">
        <v>-9999</v>
      </c>
      <c r="CX186" s="16">
        <v>-9999</v>
      </c>
      <c r="CY186" s="16">
        <v>-9999</v>
      </c>
      <c r="CZ186" s="16">
        <v>-9999</v>
      </c>
      <c r="DA186" s="16">
        <v>-9999</v>
      </c>
      <c r="DB186" s="16">
        <v>-9999</v>
      </c>
      <c r="DC186" s="16">
        <v>-9999</v>
      </c>
      <c r="DD186" s="16">
        <v>-9999</v>
      </c>
      <c r="DE186" s="16">
        <v>-9999</v>
      </c>
      <c r="DF186" s="16">
        <v>-9999</v>
      </c>
      <c r="DG186" s="16">
        <v>-9999</v>
      </c>
      <c r="DH186" s="16">
        <v>-9999</v>
      </c>
      <c r="DI186" s="16">
        <v>-9999</v>
      </c>
      <c r="DJ186" s="16">
        <v>-9999</v>
      </c>
      <c r="DK186" s="16">
        <v>-9999</v>
      </c>
      <c r="DL186" s="16">
        <v>-9999</v>
      </c>
      <c r="DM186" s="16">
        <v>-9999</v>
      </c>
      <c r="DN186" s="16">
        <v>-9999</v>
      </c>
      <c r="DO186" s="16">
        <v>-9999</v>
      </c>
      <c r="DP186" s="16">
        <v>-9999</v>
      </c>
      <c r="DQ186" s="16">
        <v>-9999</v>
      </c>
      <c r="DR186" s="16">
        <v>-9999</v>
      </c>
      <c r="DS186" s="16">
        <v>-9999</v>
      </c>
      <c r="DT186" s="16">
        <v>-9999</v>
      </c>
      <c r="DU186" s="16">
        <v>-9999</v>
      </c>
      <c r="DV186" s="16">
        <v>-9999</v>
      </c>
      <c r="DW186" s="16">
        <v>-9999</v>
      </c>
      <c r="DX186" s="16">
        <v>-9999</v>
      </c>
      <c r="DY186" s="16">
        <v>-9999</v>
      </c>
      <c r="DZ186" s="16">
        <v>-9999</v>
      </c>
      <c r="EA186" s="2257">
        <v>-9999</v>
      </c>
      <c r="EB186" s="2257">
        <v>-9999</v>
      </c>
      <c r="EC186" s="2257">
        <v>-9999</v>
      </c>
      <c r="ED186" s="2257">
        <v>-9999</v>
      </c>
      <c r="EE186" s="2257">
        <v>-9999</v>
      </c>
      <c r="EF186" s="2257">
        <v>-9999</v>
      </c>
      <c r="EG186" s="2257">
        <v>-9999</v>
      </c>
      <c r="EH186" s="2257">
        <v>-9999</v>
      </c>
      <c r="EI186" s="2257">
        <v>-9999</v>
      </c>
      <c r="EJ186" s="2257">
        <v>-9999</v>
      </c>
      <c r="EK186" s="2257">
        <v>-9999</v>
      </c>
      <c r="EL186" s="2257">
        <v>-9999</v>
      </c>
      <c r="EM186" s="2257">
        <v>-9999</v>
      </c>
    </row>
    <row r="187" spans="1:143" ht="13.15">
      <c r="A187" s="22">
        <v>87</v>
      </c>
      <c r="B187" s="1" t="s">
        <v>558</v>
      </c>
      <c r="C187" s="24">
        <f ca="1">OFFSET(Labour1!F216,0,Last_forecast_year - 3-InputY!$G$3)</f>
        <v>2072.2469999999998</v>
      </c>
      <c r="D187" s="24">
        <f ca="1">OFFSET(Labour1!G216,0,Last_forecast_year - 3-InputY!$G$3)</f>
        <v>2164.6790000000001</v>
      </c>
      <c r="E187" s="24">
        <f ca="1">OFFSET(Labour1!H216,0,Last_forecast_year - 3-InputY!$G$3)</f>
        <v>2260.8083473306006</v>
      </c>
      <c r="F187" s="24">
        <f ca="1">OFFSET(Labour1!I216,0,Last_forecast_year - 3-InputY!$G$3)</f>
        <v>2341.6886369596423</v>
      </c>
      <c r="G187" s="24">
        <f ca="1">OFFSET(Labour1!J216,0,Last_forecast_year - 3-InputY!$G$3)</f>
        <v>2415.4872444957791</v>
      </c>
      <c r="H187" s="25">
        <v>-9999</v>
      </c>
      <c r="I187" s="25">
        <v>-9999</v>
      </c>
      <c r="J187" s="25">
        <v>-9999</v>
      </c>
      <c r="K187" s="25">
        <v>-9999</v>
      </c>
      <c r="L187" s="25">
        <v>-9999</v>
      </c>
      <c r="M187" s="25">
        <v>-9999</v>
      </c>
      <c r="N187" s="25">
        <v>-9999</v>
      </c>
      <c r="O187" s="25">
        <v>-9999</v>
      </c>
      <c r="P187"/>
      <c r="Q187"/>
      <c r="AA187" s="22">
        <v>87</v>
      </c>
      <c r="AB187" s="1080" t="str">
        <f t="shared" si="8"/>
        <v>HH COMPENSATION OF EMPLOYEES</v>
      </c>
      <c r="AC187" s="1080">
        <f>CHOOSE(Tables!$U$2,Transfer!CA187,Transfer!CN187,Transfer!DA187,Transfer!DN187,Transfer!EA187)</f>
        <v>1982.71</v>
      </c>
      <c r="AD187" s="1080">
        <f>CHOOSE(Tables!$U$2,Transfer!CB187,Transfer!CO187,Transfer!DB187,Transfer!DO187,Transfer!EB187)</f>
        <v>2076.8829999999998</v>
      </c>
      <c r="AE187" s="1080">
        <f>CHOOSE(Tables!$U$2,Transfer!CC187,Transfer!CP187,Transfer!DC187,Transfer!DP187,Transfer!EC187)</f>
        <v>2172.875</v>
      </c>
      <c r="AF187" s="1080">
        <f>CHOOSE(Tables!$U$2,Transfer!CD187,Transfer!CQ187,Transfer!DD187,Transfer!DQ187,Transfer!ED187)</f>
        <v>2267.6384039730001</v>
      </c>
      <c r="AG187" s="1080">
        <f>CHOOSE(Tables!$U$2,Transfer!CE187,Transfer!CR187,Transfer!DE187,Transfer!DR187,Transfer!EE187)</f>
        <v>2353.3645097084436</v>
      </c>
      <c r="AH187" s="1080">
        <f>CHOOSE(Tables!$U$2,Transfer!CF187,Transfer!CS187,Transfer!DF187,Transfer!DS187,Transfer!EF187)</f>
        <v>-9999</v>
      </c>
      <c r="AI187" s="1080">
        <f>CHOOSE(Tables!$U$2,Transfer!CG187,Transfer!CT187,Transfer!DG187,Transfer!DT187,Transfer!EG187)</f>
        <v>-9999</v>
      </c>
      <c r="AJ187" s="1080">
        <f>CHOOSE(Tables!$U$2,Transfer!CH187,Transfer!CU187,Transfer!DH187,Transfer!DU187,Transfer!EH187)</f>
        <v>-9999</v>
      </c>
      <c r="AK187" s="1080">
        <f>CHOOSE(Tables!$U$2,Transfer!CI187,Transfer!CV187,Transfer!DI187,Transfer!DV187,Transfer!EI187)</f>
        <v>-9999</v>
      </c>
      <c r="AL187" s="1080">
        <f>CHOOSE(Tables!$U$2,Transfer!CJ187,Transfer!CW187,Transfer!DJ187,Transfer!DW187,Transfer!EJ187)</f>
        <v>-9999</v>
      </c>
      <c r="AM187" s="1080">
        <f>CHOOSE(Tables!$U$2,Transfer!CK187,Transfer!CX187,Transfer!DK187,Transfer!DX187,Transfer!EK187)</f>
        <v>-9999</v>
      </c>
      <c r="AN187" s="1080">
        <f>CHOOSE(Tables!$U$2,Transfer!CL187,Transfer!CY187,Transfer!DL187,Transfer!DY187,Transfer!EL187)</f>
        <v>-9999</v>
      </c>
      <c r="AO187" s="1080">
        <f>CHOOSE(Tables!$U$2,Transfer!CM187,Transfer!CZ187,Transfer!DM187,Transfer!DZ187,Transfer!EM187)</f>
        <v>-9999</v>
      </c>
      <c r="AR187" s="22">
        <v>87</v>
      </c>
      <c r="AS187" s="1" t="s">
        <v>558</v>
      </c>
      <c r="AT187" s="24">
        <f t="shared" ca="1" si="10"/>
        <v>89.536999999999807</v>
      </c>
      <c r="AU187" s="24">
        <f t="shared" ca="1" si="11"/>
        <v>87.796000000000276</v>
      </c>
      <c r="AV187" s="24">
        <f t="shared" ca="1" si="12"/>
        <v>87.933347330600554</v>
      </c>
      <c r="AW187" s="24">
        <f t="shared" ca="1" si="13"/>
        <v>74.050232986642186</v>
      </c>
      <c r="AX187" s="24">
        <f t="shared" ca="1" si="14"/>
        <v>62.122734787335503</v>
      </c>
      <c r="AY187" s="25">
        <f t="shared" si="15"/>
        <v>0</v>
      </c>
      <c r="AZ187" s="25">
        <f t="shared" si="16"/>
        <v>0</v>
      </c>
      <c r="BA187" s="25">
        <f t="shared" si="17"/>
        <v>0</v>
      </c>
      <c r="BB187" s="25">
        <f t="shared" si="18"/>
        <v>0</v>
      </c>
      <c r="BC187" s="25">
        <f t="shared" si="7"/>
        <v>0</v>
      </c>
      <c r="BD187" s="25">
        <f t="shared" si="7"/>
        <v>0</v>
      </c>
      <c r="BE187" s="25">
        <f t="shared" si="7"/>
        <v>0</v>
      </c>
      <c r="BF187" s="25">
        <f t="shared" si="7"/>
        <v>0</v>
      </c>
      <c r="CA187" s="16">
        <v>2072.2469999999998</v>
      </c>
      <c r="CB187" s="16">
        <v>2164.6790000000001</v>
      </c>
      <c r="CC187" s="16">
        <v>2262.0039375325996</v>
      </c>
      <c r="CD187" s="16">
        <v>2342.9332932241623</v>
      </c>
      <c r="CE187" s="16">
        <v>2416.7797434521708</v>
      </c>
      <c r="CF187" s="16">
        <v>-9999</v>
      </c>
      <c r="CG187" s="16">
        <v>-9999</v>
      </c>
      <c r="CH187" s="16">
        <v>-9999</v>
      </c>
      <c r="CI187" s="16">
        <v>-9999</v>
      </c>
      <c r="CJ187" s="16">
        <v>-9999</v>
      </c>
      <c r="CK187" s="16">
        <v>-9999</v>
      </c>
      <c r="CL187" s="16">
        <v>-9999</v>
      </c>
      <c r="CM187" s="16">
        <v>-9999</v>
      </c>
      <c r="CN187" s="16">
        <v>1982.71</v>
      </c>
      <c r="CO187" s="16">
        <v>2076.8829999999998</v>
      </c>
      <c r="CP187" s="16">
        <v>2172.875</v>
      </c>
      <c r="CQ187" s="16">
        <v>2267.6384039730001</v>
      </c>
      <c r="CR187" s="16">
        <v>2353.3645097084436</v>
      </c>
      <c r="CS187" s="16">
        <v>-9999</v>
      </c>
      <c r="CT187" s="16">
        <v>-9999</v>
      </c>
      <c r="CU187" s="16">
        <v>-9999</v>
      </c>
      <c r="CV187" s="16">
        <v>-9999</v>
      </c>
      <c r="CW187" s="16">
        <v>-9999</v>
      </c>
      <c r="CX187" s="16">
        <v>-9999</v>
      </c>
      <c r="CY187" s="16">
        <v>-9999</v>
      </c>
      <c r="CZ187" s="16">
        <v>-9999</v>
      </c>
      <c r="DA187" s="16">
        <v>2072.2469999999998</v>
      </c>
      <c r="DB187" s="16">
        <v>2164.6790000000001</v>
      </c>
      <c r="DC187" s="16">
        <v>2263.9453939238001</v>
      </c>
      <c r="DD187" s="16">
        <v>2344.2654018573621</v>
      </c>
      <c r="DE187" s="16">
        <v>2415.4723503774921</v>
      </c>
      <c r="DF187" s="16">
        <v>-9999</v>
      </c>
      <c r="DG187" s="16">
        <v>-9999</v>
      </c>
      <c r="DH187" s="16">
        <v>-9999</v>
      </c>
      <c r="DI187" s="16">
        <v>-9999</v>
      </c>
      <c r="DJ187" s="16">
        <v>-9999</v>
      </c>
      <c r="DK187" s="16">
        <v>-9999</v>
      </c>
      <c r="DL187" s="16">
        <v>-9999</v>
      </c>
      <c r="DM187" s="16">
        <v>-9999</v>
      </c>
      <c r="DN187" s="16">
        <v>2072.2469999999998</v>
      </c>
      <c r="DO187" s="16">
        <v>2164.6790000000001</v>
      </c>
      <c r="DP187" s="16">
        <v>2263.2474670177999</v>
      </c>
      <c r="DQ187" s="16">
        <v>2344.2306959404177</v>
      </c>
      <c r="DR187" s="16">
        <v>2418.1803398062784</v>
      </c>
      <c r="DS187" s="16">
        <v>-9999</v>
      </c>
      <c r="DT187" s="16">
        <v>-9999</v>
      </c>
      <c r="DU187" s="16">
        <v>-9999</v>
      </c>
      <c r="DV187" s="16">
        <v>-9999</v>
      </c>
      <c r="DW187" s="16">
        <v>-9999</v>
      </c>
      <c r="DX187" s="16">
        <v>-9999</v>
      </c>
      <c r="DY187" s="16">
        <v>-9999</v>
      </c>
      <c r="DZ187" s="16">
        <v>-9999</v>
      </c>
      <c r="EA187" s="2256">
        <v>2072.2469999999998</v>
      </c>
      <c r="EB187" s="2256">
        <v>2164.6790000000001</v>
      </c>
      <c r="EC187" s="2256">
        <v>2260.8083473306006</v>
      </c>
      <c r="ED187" s="2256">
        <v>2341.6886369596423</v>
      </c>
      <c r="EE187" s="2256">
        <v>2415.4872444957791</v>
      </c>
      <c r="EF187" s="2257">
        <v>-9999</v>
      </c>
      <c r="EG187" s="2257">
        <v>-9999</v>
      </c>
      <c r="EH187" s="2257">
        <v>-9999</v>
      </c>
      <c r="EI187" s="2257">
        <v>-9999</v>
      </c>
      <c r="EJ187" s="2257">
        <v>-9999</v>
      </c>
      <c r="EK187" s="2257">
        <v>-9999</v>
      </c>
      <c r="EL187" s="2257">
        <v>-9999</v>
      </c>
      <c r="EM187" s="2257">
        <v>-9999</v>
      </c>
    </row>
    <row r="188" spans="1:143" ht="13.15">
      <c r="A188" s="22">
        <v>88</v>
      </c>
      <c r="B188" s="1" t="s">
        <v>1559</v>
      </c>
      <c r="C188" s="24">
        <f ca="1">OFFSET(Labour1!F136,0,Last_forecast_year - 3-InputY!$G$3)</f>
        <v>1730.4110000000001</v>
      </c>
      <c r="D188" s="24">
        <f ca="1">OFFSET(Labour1!G136,0,Last_forecast_year - 3-InputY!$G$3)</f>
        <v>1811.0419999999999</v>
      </c>
      <c r="E188" s="24">
        <f ca="1">OFFSET(Labour1!H136,0,Last_forecast_year - 3-InputY!$G$3)</f>
        <v>1892.5383829059999</v>
      </c>
      <c r="F188" s="24">
        <f ca="1">OFFSET(Labour1!I136,0,Last_forecast_year - 3-InputY!$G$3)</f>
        <v>1962.5965528683344</v>
      </c>
      <c r="G188" s="24">
        <f ca="1">OFFSET(Labour1!J136,0,Last_forecast_year - 3-InputY!$G$3)</f>
        <v>2026.4769383561229</v>
      </c>
      <c r="H188" s="25">
        <v>-9999</v>
      </c>
      <c r="I188" s="25">
        <v>-9999</v>
      </c>
      <c r="J188" s="25">
        <v>-9999</v>
      </c>
      <c r="K188" s="25">
        <v>-9999</v>
      </c>
      <c r="L188" s="25">
        <v>-9999</v>
      </c>
      <c r="M188" s="25">
        <v>-9999</v>
      </c>
      <c r="N188" s="25">
        <v>-9999</v>
      </c>
      <c r="O188" s="25">
        <v>-9999</v>
      </c>
      <c r="P188"/>
      <c r="Q188"/>
      <c r="AA188" s="22">
        <v>88</v>
      </c>
      <c r="AB188" s="1080" t="str">
        <f t="shared" si="8"/>
        <v>HH GROSS WAGES AND SALARIES</v>
      </c>
      <c r="AC188" s="1080">
        <f>CHOOSE(Tables!$U$2,Transfer!CA188,Transfer!CN188,Transfer!DA188,Transfer!DN188,Transfer!EA188)</f>
        <v>1657.348</v>
      </c>
      <c r="AD188" s="1080">
        <f>CHOOSE(Tables!$U$2,Transfer!CB188,Transfer!CO188,Transfer!DB188,Transfer!DO188,Transfer!EB188)</f>
        <v>1734.874</v>
      </c>
      <c r="AE188" s="1080">
        <f>CHOOSE(Tables!$U$2,Transfer!CC188,Transfer!CP188,Transfer!DC188,Transfer!DP188,Transfer!EC188)</f>
        <v>1816.932</v>
      </c>
      <c r="AF188" s="1080">
        <f>CHOOSE(Tables!$U$2,Transfer!CD188,Transfer!CQ188,Transfer!DD188,Transfer!DQ188,Transfer!ED188)</f>
        <v>1896.8867032830001</v>
      </c>
      <c r="AG188" s="1080">
        <f>CHOOSE(Tables!$U$2,Transfer!CE188,Transfer!CR188,Transfer!DE188,Transfer!DR188,Transfer!EE188)</f>
        <v>1970.5790798999662</v>
      </c>
      <c r="AH188" s="1080">
        <f>CHOOSE(Tables!$U$2,Transfer!CF188,Transfer!CS188,Transfer!DF188,Transfer!DS188,Transfer!EF188)</f>
        <v>-9999</v>
      </c>
      <c r="AI188" s="1080">
        <f>CHOOSE(Tables!$U$2,Transfer!CG188,Transfer!CT188,Transfer!DG188,Transfer!DT188,Transfer!EG188)</f>
        <v>-9999</v>
      </c>
      <c r="AJ188" s="1080">
        <f>CHOOSE(Tables!$U$2,Transfer!CH188,Transfer!CU188,Transfer!DH188,Transfer!DU188,Transfer!EH188)</f>
        <v>-9999</v>
      </c>
      <c r="AK188" s="1080">
        <f>CHOOSE(Tables!$U$2,Transfer!CI188,Transfer!CV188,Transfer!DI188,Transfer!DV188,Transfer!EI188)</f>
        <v>-9999</v>
      </c>
      <c r="AL188" s="1080">
        <f>CHOOSE(Tables!$U$2,Transfer!CJ188,Transfer!CW188,Transfer!DJ188,Transfer!DW188,Transfer!EJ188)</f>
        <v>-9999</v>
      </c>
      <c r="AM188" s="1080">
        <f>CHOOSE(Tables!$U$2,Transfer!CK188,Transfer!CX188,Transfer!DK188,Transfer!DX188,Transfer!EK188)</f>
        <v>-9999</v>
      </c>
      <c r="AN188" s="1080">
        <f>CHOOSE(Tables!$U$2,Transfer!CL188,Transfer!CY188,Transfer!DL188,Transfer!DY188,Transfer!EL188)</f>
        <v>-9999</v>
      </c>
      <c r="AO188" s="1080">
        <f>CHOOSE(Tables!$U$2,Transfer!CM188,Transfer!CZ188,Transfer!DM188,Transfer!DZ188,Transfer!EM188)</f>
        <v>-9999</v>
      </c>
      <c r="AR188" s="22">
        <v>88</v>
      </c>
      <c r="AS188" s="1" t="s">
        <v>1559</v>
      </c>
      <c r="AT188" s="24">
        <f t="shared" ca="1" si="10"/>
        <v>73.063000000000102</v>
      </c>
      <c r="AU188" s="24">
        <f t="shared" ca="1" si="11"/>
        <v>76.167999999999893</v>
      </c>
      <c r="AV188" s="24">
        <f t="shared" ca="1" si="12"/>
        <v>75.606382905999908</v>
      </c>
      <c r="AW188" s="24">
        <f t="shared" ca="1" si="13"/>
        <v>65.709849585334268</v>
      </c>
      <c r="AX188" s="24">
        <f t="shared" ca="1" si="14"/>
        <v>55.897858456156655</v>
      </c>
      <c r="AY188" s="25">
        <f t="shared" si="15"/>
        <v>0</v>
      </c>
      <c r="AZ188" s="25">
        <f t="shared" si="16"/>
        <v>0</v>
      </c>
      <c r="BA188" s="25">
        <f t="shared" si="17"/>
        <v>0</v>
      </c>
      <c r="BB188" s="25">
        <f t="shared" si="18"/>
        <v>0</v>
      </c>
      <c r="BC188" s="25">
        <f t="shared" si="7"/>
        <v>0</v>
      </c>
      <c r="BD188" s="25">
        <f t="shared" si="7"/>
        <v>0</v>
      </c>
      <c r="BE188" s="25">
        <f t="shared" si="7"/>
        <v>0</v>
      </c>
      <c r="BF188" s="25">
        <f t="shared" si="7"/>
        <v>0</v>
      </c>
      <c r="CA188" s="16">
        <v>1730.4110000000001</v>
      </c>
      <c r="CB188" s="16">
        <v>1811.0419999999999</v>
      </c>
      <c r="CC188" s="16">
        <v>1893.5444539459997</v>
      </c>
      <c r="CD188" s="16">
        <v>1963.6452008347471</v>
      </c>
      <c r="CE188" s="16">
        <v>2027.5668956070119</v>
      </c>
      <c r="CF188" s="16">
        <v>-9999</v>
      </c>
      <c r="CG188" s="16">
        <v>-9999</v>
      </c>
      <c r="CH188" s="16">
        <v>-9999</v>
      </c>
      <c r="CI188" s="16">
        <v>-9999</v>
      </c>
      <c r="CJ188" s="16">
        <v>-9999</v>
      </c>
      <c r="CK188" s="16">
        <v>-9999</v>
      </c>
      <c r="CL188" s="16">
        <v>-9999</v>
      </c>
      <c r="CM188" s="16">
        <v>-9999</v>
      </c>
      <c r="CN188" s="16">
        <v>1657.348</v>
      </c>
      <c r="CO188" s="16">
        <v>1734.874</v>
      </c>
      <c r="CP188" s="16">
        <v>1816.932</v>
      </c>
      <c r="CQ188" s="16">
        <v>1896.8867032830001</v>
      </c>
      <c r="CR188" s="16">
        <v>1970.5790798999662</v>
      </c>
      <c r="CS188" s="16">
        <v>-9999</v>
      </c>
      <c r="CT188" s="16">
        <v>-9999</v>
      </c>
      <c r="CU188" s="16">
        <v>-9999</v>
      </c>
      <c r="CV188" s="16">
        <v>-9999</v>
      </c>
      <c r="CW188" s="16">
        <v>-9999</v>
      </c>
      <c r="CX188" s="16">
        <v>-9999</v>
      </c>
      <c r="CY188" s="16">
        <v>-9999</v>
      </c>
      <c r="CZ188" s="16">
        <v>-9999</v>
      </c>
      <c r="DA188" s="16">
        <v>1730.4110000000001</v>
      </c>
      <c r="DB188" s="16">
        <v>1811.0419999999999</v>
      </c>
      <c r="DC188" s="16">
        <v>1895.1651824779999</v>
      </c>
      <c r="DD188" s="16">
        <v>1964.7585894999302</v>
      </c>
      <c r="DE188" s="16">
        <v>2026.4553120290159</v>
      </c>
      <c r="DF188" s="16">
        <v>-9999</v>
      </c>
      <c r="DG188" s="16">
        <v>-9999</v>
      </c>
      <c r="DH188" s="16">
        <v>-9999</v>
      </c>
      <c r="DI188" s="16">
        <v>-9999</v>
      </c>
      <c r="DJ188" s="16">
        <v>-9999</v>
      </c>
      <c r="DK188" s="16">
        <v>-9999</v>
      </c>
      <c r="DL188" s="16">
        <v>-9999</v>
      </c>
      <c r="DM188" s="16">
        <v>-9999</v>
      </c>
      <c r="DN188" s="16">
        <v>1730.4110000000001</v>
      </c>
      <c r="DO188" s="16">
        <v>1811.0419999999999</v>
      </c>
      <c r="DP188" s="16">
        <v>1894.6567747339998</v>
      </c>
      <c r="DQ188" s="16">
        <v>1964.8111266824055</v>
      </c>
      <c r="DR188" s="16">
        <v>2028.8235340913673</v>
      </c>
      <c r="DS188" s="16">
        <v>-9999</v>
      </c>
      <c r="DT188" s="16">
        <v>-9999</v>
      </c>
      <c r="DU188" s="16">
        <v>-9999</v>
      </c>
      <c r="DV188" s="16">
        <v>-9999</v>
      </c>
      <c r="DW188" s="16">
        <v>-9999</v>
      </c>
      <c r="DX188" s="16">
        <v>-9999</v>
      </c>
      <c r="DY188" s="16">
        <v>-9999</v>
      </c>
      <c r="DZ188" s="16">
        <v>-9999</v>
      </c>
      <c r="EA188" s="2256">
        <v>1730.4110000000001</v>
      </c>
      <c r="EB188" s="2256">
        <v>1811.0419999999999</v>
      </c>
      <c r="EC188" s="2256">
        <v>1892.5383829059999</v>
      </c>
      <c r="ED188" s="2256">
        <v>1962.5965528683344</v>
      </c>
      <c r="EE188" s="2256">
        <v>2026.4769383561229</v>
      </c>
      <c r="EF188" s="2257">
        <v>-9999</v>
      </c>
      <c r="EG188" s="2257">
        <v>-9999</v>
      </c>
      <c r="EH188" s="2257">
        <v>-9999</v>
      </c>
      <c r="EI188" s="2257">
        <v>-9999</v>
      </c>
      <c r="EJ188" s="2257">
        <v>-9999</v>
      </c>
      <c r="EK188" s="2257">
        <v>-9999</v>
      </c>
      <c r="EL188" s="2257">
        <v>-9999</v>
      </c>
      <c r="EM188" s="2257">
        <v>-9999</v>
      </c>
    </row>
    <row r="189" spans="1:143" ht="13.15">
      <c r="A189" s="22">
        <v>89</v>
      </c>
      <c r="B189" s="1" t="s">
        <v>51</v>
      </c>
      <c r="C189" s="24">
        <f ca="1">OFFSET(Sector1!F107,0,Last_forecast_year - 3-InputY!$G$3)</f>
        <v>217.71799999999996</v>
      </c>
      <c r="D189" s="24">
        <f ca="1">OFFSET(Sector1!G107,0,Last_forecast_year - 3-InputY!$G$3)</f>
        <v>233.49800000000005</v>
      </c>
      <c r="E189" s="24">
        <f ca="1">OFFSET(Sector1!H107,0,Last_forecast_year - 3-InputY!$G$3)</f>
        <v>242.55772240000005</v>
      </c>
      <c r="F189" s="24">
        <f ca="1">OFFSET(Sector1!I107,0,Last_forecast_year - 3-InputY!$G$3)</f>
        <v>251.96896202912004</v>
      </c>
      <c r="G189" s="24">
        <f ca="1">OFFSET(Sector1!J107,0,Last_forecast_year - 3-InputY!$G$3)</f>
        <v>261.74535775584985</v>
      </c>
      <c r="H189" s="25">
        <v>-9999</v>
      </c>
      <c r="I189" s="25">
        <v>-9999</v>
      </c>
      <c r="J189" s="25">
        <v>-9999</v>
      </c>
      <c r="K189" s="25">
        <v>-9999</v>
      </c>
      <c r="L189" s="25">
        <v>-9999</v>
      </c>
      <c r="M189" s="25">
        <v>-9999</v>
      </c>
      <c r="N189" s="25">
        <v>-9999</v>
      </c>
      <c r="O189" s="25">
        <v>-9999</v>
      </c>
      <c r="P189"/>
      <c r="Q189"/>
      <c r="AA189" s="22">
        <v>89</v>
      </c>
      <c r="AB189" s="1080" t="str">
        <f t="shared" si="8"/>
        <v>HH GROSS OPERATION SURPLUS</v>
      </c>
      <c r="AC189" s="1080">
        <f>CHOOSE(Tables!$U$2,Transfer!CA189,Transfer!CN189,Transfer!DA189,Transfer!DN189,Transfer!EA189)</f>
        <v>207.93600000000001</v>
      </c>
      <c r="AD189" s="1080">
        <f>CHOOSE(Tables!$U$2,Transfer!CB189,Transfer!CO189,Transfer!DB189,Transfer!DO189,Transfer!EB189)</f>
        <v>230.96999999999994</v>
      </c>
      <c r="AE189" s="1080">
        <f>CHOOSE(Tables!$U$2,Transfer!CC189,Transfer!CP189,Transfer!DC189,Transfer!DP189,Transfer!EC189)</f>
        <v>245.61500000000001</v>
      </c>
      <c r="AF189" s="1080">
        <f>CHOOSE(Tables!$U$2,Transfer!CD189,Transfer!CQ189,Transfer!DD189,Transfer!DQ189,Transfer!ED189)</f>
        <v>255.14486199999999</v>
      </c>
      <c r="AG189" s="1080">
        <f>CHOOSE(Tables!$U$2,Transfer!CE189,Transfer!CR189,Transfer!DE189,Transfer!DR189,Transfer!EE189)</f>
        <v>265.0444826456</v>
      </c>
      <c r="AH189" s="1080">
        <f>CHOOSE(Tables!$U$2,Transfer!CF189,Transfer!CS189,Transfer!DF189,Transfer!DS189,Transfer!EF189)</f>
        <v>-9999</v>
      </c>
      <c r="AI189" s="1080">
        <f>CHOOSE(Tables!$U$2,Transfer!CG189,Transfer!CT189,Transfer!DG189,Transfer!DT189,Transfer!EG189)</f>
        <v>-9999</v>
      </c>
      <c r="AJ189" s="1080">
        <f>CHOOSE(Tables!$U$2,Transfer!CH189,Transfer!CU189,Transfer!DH189,Transfer!DU189,Transfer!EH189)</f>
        <v>-9999</v>
      </c>
      <c r="AK189" s="1080">
        <f>CHOOSE(Tables!$U$2,Transfer!CI189,Transfer!CV189,Transfer!DI189,Transfer!DV189,Transfer!EI189)</f>
        <v>-9999</v>
      </c>
      <c r="AL189" s="1080">
        <f>CHOOSE(Tables!$U$2,Transfer!CJ189,Transfer!CW189,Transfer!DJ189,Transfer!DW189,Transfer!EJ189)</f>
        <v>-9999</v>
      </c>
      <c r="AM189" s="1080">
        <f>CHOOSE(Tables!$U$2,Transfer!CK189,Transfer!CX189,Transfer!DK189,Transfer!DX189,Transfer!EK189)</f>
        <v>-9999</v>
      </c>
      <c r="AN189" s="1080">
        <f>CHOOSE(Tables!$U$2,Transfer!CL189,Transfer!CY189,Transfer!DL189,Transfer!DY189,Transfer!EL189)</f>
        <v>-9999</v>
      </c>
      <c r="AO189" s="1080">
        <f>CHOOSE(Tables!$U$2,Transfer!CM189,Transfer!CZ189,Transfer!DM189,Transfer!DZ189,Transfer!EM189)</f>
        <v>-9999</v>
      </c>
      <c r="AR189" s="22">
        <v>89</v>
      </c>
      <c r="AS189" s="1" t="s">
        <v>51</v>
      </c>
      <c r="AT189" s="24">
        <f t="shared" ca="1" si="10"/>
        <v>9.7819999999999538</v>
      </c>
      <c r="AU189" s="24">
        <f t="shared" ca="1" si="11"/>
        <v>2.5280000000001053</v>
      </c>
      <c r="AV189" s="24">
        <f t="shared" ca="1" si="12"/>
        <v>-3.0572775999999635</v>
      </c>
      <c r="AW189" s="24">
        <f t="shared" ca="1" si="13"/>
        <v>-3.1758999708799536</v>
      </c>
      <c r="AX189" s="24">
        <f t="shared" ca="1" si="14"/>
        <v>-3.2991248897501464</v>
      </c>
      <c r="AY189" s="25">
        <f t="shared" si="15"/>
        <v>0</v>
      </c>
      <c r="AZ189" s="25">
        <f t="shared" si="16"/>
        <v>0</v>
      </c>
      <c r="BA189" s="25">
        <f t="shared" si="17"/>
        <v>0</v>
      </c>
      <c r="BB189" s="25">
        <f t="shared" si="18"/>
        <v>0</v>
      </c>
      <c r="BC189" s="25">
        <f t="shared" si="7"/>
        <v>0</v>
      </c>
      <c r="BD189" s="25">
        <f t="shared" si="7"/>
        <v>0</v>
      </c>
      <c r="BE189" s="25">
        <f t="shared" si="7"/>
        <v>0</v>
      </c>
      <c r="BF189" s="25">
        <f t="shared" si="7"/>
        <v>0</v>
      </c>
      <c r="CA189" s="16">
        <v>217.71799999999996</v>
      </c>
      <c r="CB189" s="16">
        <v>233.49800000000005</v>
      </c>
      <c r="CC189" s="16">
        <v>242.55772240000005</v>
      </c>
      <c r="CD189" s="16">
        <v>251.96896202912004</v>
      </c>
      <c r="CE189" s="16">
        <v>261.74535775584985</v>
      </c>
      <c r="CF189" s="16">
        <v>-9999</v>
      </c>
      <c r="CG189" s="16">
        <v>-9999</v>
      </c>
      <c r="CH189" s="16">
        <v>-9999</v>
      </c>
      <c r="CI189" s="16">
        <v>-9999</v>
      </c>
      <c r="CJ189" s="16">
        <v>-9999</v>
      </c>
      <c r="CK189" s="16">
        <v>-9999</v>
      </c>
      <c r="CL189" s="16">
        <v>-9999</v>
      </c>
      <c r="CM189" s="16">
        <v>-9999</v>
      </c>
      <c r="CN189" s="16">
        <v>207.93600000000001</v>
      </c>
      <c r="CO189" s="16">
        <v>230.96999999999994</v>
      </c>
      <c r="CP189" s="16">
        <v>245.61500000000001</v>
      </c>
      <c r="CQ189" s="16">
        <v>255.14486199999999</v>
      </c>
      <c r="CR189" s="16">
        <v>265.0444826456</v>
      </c>
      <c r="CS189" s="16">
        <v>-9999</v>
      </c>
      <c r="CT189" s="16">
        <v>-9999</v>
      </c>
      <c r="CU189" s="16">
        <v>-9999</v>
      </c>
      <c r="CV189" s="16">
        <v>-9999</v>
      </c>
      <c r="CW189" s="16">
        <v>-9999</v>
      </c>
      <c r="CX189" s="16">
        <v>-9999</v>
      </c>
      <c r="CY189" s="16">
        <v>-9999</v>
      </c>
      <c r="CZ189" s="16">
        <v>-9999</v>
      </c>
      <c r="DA189" s="16">
        <v>217.71799999999996</v>
      </c>
      <c r="DB189" s="16">
        <v>233.49800000000005</v>
      </c>
      <c r="DC189" s="16">
        <v>242.55772240000005</v>
      </c>
      <c r="DD189" s="16">
        <v>251.96896202912004</v>
      </c>
      <c r="DE189" s="16">
        <v>261.74535775584985</v>
      </c>
      <c r="DF189" s="16">
        <v>-9999</v>
      </c>
      <c r="DG189" s="16">
        <v>-9999</v>
      </c>
      <c r="DH189" s="16">
        <v>-9999</v>
      </c>
      <c r="DI189" s="16">
        <v>-9999</v>
      </c>
      <c r="DJ189" s="16">
        <v>-9999</v>
      </c>
      <c r="DK189" s="16">
        <v>-9999</v>
      </c>
      <c r="DL189" s="16">
        <v>-9999</v>
      </c>
      <c r="DM189" s="16">
        <v>-9999</v>
      </c>
      <c r="DN189" s="16">
        <v>217.71799999999996</v>
      </c>
      <c r="DO189" s="16">
        <v>233.49800000000005</v>
      </c>
      <c r="DP189" s="16">
        <v>242.55772240000005</v>
      </c>
      <c r="DQ189" s="16">
        <v>251.96896202912004</v>
      </c>
      <c r="DR189" s="16">
        <v>261.74535775584985</v>
      </c>
      <c r="DS189" s="16">
        <v>-9999</v>
      </c>
      <c r="DT189" s="16">
        <v>-9999</v>
      </c>
      <c r="DU189" s="16">
        <v>-9999</v>
      </c>
      <c r="DV189" s="16">
        <v>-9999</v>
      </c>
      <c r="DW189" s="16">
        <v>-9999</v>
      </c>
      <c r="DX189" s="16">
        <v>-9999</v>
      </c>
      <c r="DY189" s="16">
        <v>-9999</v>
      </c>
      <c r="DZ189" s="16">
        <v>-9999</v>
      </c>
      <c r="EA189" s="2256">
        <v>217.71799999999996</v>
      </c>
      <c r="EB189" s="2256">
        <v>233.49800000000005</v>
      </c>
      <c r="EC189" s="2256">
        <v>242.55772240000005</v>
      </c>
      <c r="ED189" s="2256">
        <v>251.96896202912004</v>
      </c>
      <c r="EE189" s="2256">
        <v>261.74535775584985</v>
      </c>
      <c r="EF189" s="2257">
        <v>-9999</v>
      </c>
      <c r="EG189" s="2257">
        <v>-9999</v>
      </c>
      <c r="EH189" s="2257">
        <v>-9999</v>
      </c>
      <c r="EI189" s="2257">
        <v>-9999</v>
      </c>
      <c r="EJ189" s="2257">
        <v>-9999</v>
      </c>
      <c r="EK189" s="2257">
        <v>-9999</v>
      </c>
      <c r="EL189" s="2257">
        <v>-9999</v>
      </c>
      <c r="EM189" s="2257">
        <v>-9999</v>
      </c>
    </row>
    <row r="190" spans="1:143" ht="13.15">
      <c r="A190" s="22">
        <v>90</v>
      </c>
      <c r="B190" s="1" t="s">
        <v>616</v>
      </c>
      <c r="C190" s="24">
        <f ca="1">OFFSET(Sector1!F141,0,Last_forecast_year - 3-InputY!$G$3)</f>
        <v>309.34100000000001</v>
      </c>
      <c r="D190" s="24">
        <f ca="1">OFFSET(Sector1!G141,0,Last_forecast_year - 3-InputY!$G$3)</f>
        <v>297.733</v>
      </c>
      <c r="E190" s="24">
        <f ca="1">OFFSET(Sector1!H141,0,Last_forecast_year - 3-InputY!$G$3)</f>
        <v>309.61443096784745</v>
      </c>
      <c r="F190" s="24">
        <f ca="1">OFFSET(Sector1!I141,0,Last_forecast_year - 3-InputY!$G$3)</f>
        <v>322.09475333787179</v>
      </c>
      <c r="G190" s="24">
        <f ca="1">OFFSET(Sector1!J141,0,Last_forecast_year - 3-InputY!$G$3)</f>
        <v>341.08544438531953</v>
      </c>
      <c r="H190" s="25">
        <v>-9999</v>
      </c>
      <c r="I190" s="25">
        <v>-9999</v>
      </c>
      <c r="J190" s="25">
        <v>-9999</v>
      </c>
      <c r="K190" s="25">
        <v>-9999</v>
      </c>
      <c r="L190" s="25">
        <v>-9999</v>
      </c>
      <c r="M190" s="25">
        <v>-9999</v>
      </c>
      <c r="N190" s="25">
        <v>-9999</v>
      </c>
      <c r="O190" s="25">
        <v>-9999</v>
      </c>
      <c r="P190"/>
      <c r="Q190"/>
      <c r="AA190" s="22">
        <v>90</v>
      </c>
      <c r="AB190" s="1080" t="str">
        <f t="shared" si="8"/>
        <v>HH OTHER NON-LABOUR INCOME (NET)</v>
      </c>
      <c r="AC190" s="1080">
        <f>CHOOSE(Tables!$U$2,Transfer!CA190,Transfer!CN190,Transfer!DA190,Transfer!DN190,Transfer!EA190)</f>
        <v>262.38400000000001</v>
      </c>
      <c r="AD190" s="1080">
        <f>CHOOSE(Tables!$U$2,Transfer!CB190,Transfer!CO190,Transfer!DB190,Transfer!DO190,Transfer!EB190)</f>
        <v>295.77600000000001</v>
      </c>
      <c r="AE190" s="1080">
        <f>CHOOSE(Tables!$U$2,Transfer!CC190,Transfer!CP190,Transfer!DC190,Transfer!DP190,Transfer!EC190)</f>
        <v>281.298</v>
      </c>
      <c r="AF190" s="1080">
        <f>CHOOSE(Tables!$U$2,Transfer!CD190,Transfer!CQ190,Transfer!DD190,Transfer!DQ190,Transfer!ED190)</f>
        <v>291.24046524197456</v>
      </c>
      <c r="AG190" s="1080">
        <f>CHOOSE(Tables!$U$2,Transfer!CE190,Transfer!CR190,Transfer!DE190,Transfer!DR190,Transfer!EE190)</f>
        <v>303.04723418490983</v>
      </c>
      <c r="AH190" s="1080">
        <f>CHOOSE(Tables!$U$2,Transfer!CF190,Transfer!CS190,Transfer!DF190,Transfer!DS190,Transfer!EF190)</f>
        <v>-9999</v>
      </c>
      <c r="AI190" s="1080">
        <f>CHOOSE(Tables!$U$2,Transfer!CG190,Transfer!CT190,Transfer!DG190,Transfer!DT190,Transfer!EG190)</f>
        <v>-9999</v>
      </c>
      <c r="AJ190" s="1080">
        <f>CHOOSE(Tables!$U$2,Transfer!CH190,Transfer!CU190,Transfer!DH190,Transfer!DU190,Transfer!EH190)</f>
        <v>-9999</v>
      </c>
      <c r="AK190" s="1080">
        <f>CHOOSE(Tables!$U$2,Transfer!CI190,Transfer!CV190,Transfer!DI190,Transfer!DV190,Transfer!EI190)</f>
        <v>-9999</v>
      </c>
      <c r="AL190" s="1080">
        <f>CHOOSE(Tables!$U$2,Transfer!CJ190,Transfer!CW190,Transfer!DJ190,Transfer!DW190,Transfer!EJ190)</f>
        <v>-9999</v>
      </c>
      <c r="AM190" s="1080">
        <f>CHOOSE(Tables!$U$2,Transfer!CK190,Transfer!CX190,Transfer!DK190,Transfer!DX190,Transfer!EK190)</f>
        <v>-9999</v>
      </c>
      <c r="AN190" s="1080">
        <f>CHOOSE(Tables!$U$2,Transfer!CL190,Transfer!CY190,Transfer!DL190,Transfer!DY190,Transfer!EL190)</f>
        <v>-9999</v>
      </c>
      <c r="AO190" s="1080">
        <f>CHOOSE(Tables!$U$2,Transfer!CM190,Transfer!CZ190,Transfer!DM190,Transfer!DZ190,Transfer!EM190)</f>
        <v>-9999</v>
      </c>
      <c r="AR190" s="22">
        <v>90</v>
      </c>
      <c r="AS190" s="1" t="s">
        <v>616</v>
      </c>
      <c r="AT190" s="24">
        <f t="shared" ca="1" si="10"/>
        <v>46.956999999999994</v>
      </c>
      <c r="AU190" s="24">
        <f t="shared" ca="1" si="11"/>
        <v>1.9569999999999936</v>
      </c>
      <c r="AV190" s="24">
        <f t="shared" ca="1" si="12"/>
        <v>28.316430967847452</v>
      </c>
      <c r="AW190" s="24">
        <f t="shared" ca="1" si="13"/>
        <v>30.854288095897232</v>
      </c>
      <c r="AX190" s="24">
        <f t="shared" ca="1" si="14"/>
        <v>38.038210200409708</v>
      </c>
      <c r="AY190" s="25">
        <f t="shared" si="15"/>
        <v>0</v>
      </c>
      <c r="AZ190" s="25">
        <f t="shared" si="16"/>
        <v>0</v>
      </c>
      <c r="BA190" s="25">
        <f t="shared" si="17"/>
        <v>0</v>
      </c>
      <c r="BB190" s="25">
        <f t="shared" si="18"/>
        <v>0</v>
      </c>
      <c r="BC190" s="25">
        <f t="shared" si="7"/>
        <v>0</v>
      </c>
      <c r="BD190" s="25">
        <f t="shared" si="7"/>
        <v>0</v>
      </c>
      <c r="BE190" s="25">
        <f t="shared" si="7"/>
        <v>0</v>
      </c>
      <c r="BF190" s="25">
        <f t="shared" si="7"/>
        <v>0</v>
      </c>
      <c r="CA190" s="16">
        <v>309.34100000000001</v>
      </c>
      <c r="CB190" s="16">
        <v>297.733</v>
      </c>
      <c r="CC190" s="16">
        <v>309.61443096784745</v>
      </c>
      <c r="CD190" s="16">
        <v>322.09475333787179</v>
      </c>
      <c r="CE190" s="16">
        <v>341.08544438531953</v>
      </c>
      <c r="CF190" s="16">
        <v>-9999</v>
      </c>
      <c r="CG190" s="16">
        <v>-9999</v>
      </c>
      <c r="CH190" s="16">
        <v>-9999</v>
      </c>
      <c r="CI190" s="16">
        <v>-9999</v>
      </c>
      <c r="CJ190" s="16">
        <v>-9999</v>
      </c>
      <c r="CK190" s="16">
        <v>-9999</v>
      </c>
      <c r="CL190" s="16">
        <v>-9999</v>
      </c>
      <c r="CM190" s="16">
        <v>-9999</v>
      </c>
      <c r="CN190" s="16">
        <v>262.38400000000001</v>
      </c>
      <c r="CO190" s="16">
        <v>295.77600000000001</v>
      </c>
      <c r="CP190" s="16">
        <v>281.298</v>
      </c>
      <c r="CQ190" s="16">
        <v>291.24046524197456</v>
      </c>
      <c r="CR190" s="16">
        <v>303.04723418490983</v>
      </c>
      <c r="CS190" s="16">
        <v>-9999</v>
      </c>
      <c r="CT190" s="16">
        <v>-9999</v>
      </c>
      <c r="CU190" s="16">
        <v>-9999</v>
      </c>
      <c r="CV190" s="16">
        <v>-9999</v>
      </c>
      <c r="CW190" s="16">
        <v>-9999</v>
      </c>
      <c r="CX190" s="16">
        <v>-9999</v>
      </c>
      <c r="CY190" s="16">
        <v>-9999</v>
      </c>
      <c r="CZ190" s="16">
        <v>-9999</v>
      </c>
      <c r="DA190" s="16">
        <v>309.34100000000001</v>
      </c>
      <c r="DB190" s="16">
        <v>297.733</v>
      </c>
      <c r="DC190" s="16">
        <v>309.61467660690568</v>
      </c>
      <c r="DD190" s="16">
        <v>322.09422943089436</v>
      </c>
      <c r="DE190" s="16">
        <v>341.0846706350469</v>
      </c>
      <c r="DF190" s="16">
        <v>-9999</v>
      </c>
      <c r="DG190" s="16">
        <v>-9999</v>
      </c>
      <c r="DH190" s="16">
        <v>-9999</v>
      </c>
      <c r="DI190" s="16">
        <v>-9999</v>
      </c>
      <c r="DJ190" s="16">
        <v>-9999</v>
      </c>
      <c r="DK190" s="16">
        <v>-9999</v>
      </c>
      <c r="DL190" s="16">
        <v>-9999</v>
      </c>
      <c r="DM190" s="16">
        <v>-9999</v>
      </c>
      <c r="DN190" s="16">
        <v>309.34100000000001</v>
      </c>
      <c r="DO190" s="16">
        <v>297.733</v>
      </c>
      <c r="DP190" s="16">
        <v>309.61477182380713</v>
      </c>
      <c r="DQ190" s="16">
        <v>322.09370222474973</v>
      </c>
      <c r="DR190" s="16">
        <v>341.04723890755571</v>
      </c>
      <c r="DS190" s="16">
        <v>-9999</v>
      </c>
      <c r="DT190" s="16">
        <v>-9999</v>
      </c>
      <c r="DU190" s="16">
        <v>-9999</v>
      </c>
      <c r="DV190" s="16">
        <v>-9999</v>
      </c>
      <c r="DW190" s="16">
        <v>-9999</v>
      </c>
      <c r="DX190" s="16">
        <v>-9999</v>
      </c>
      <c r="DY190" s="16">
        <v>-9999</v>
      </c>
      <c r="DZ190" s="16">
        <v>-9999</v>
      </c>
      <c r="EA190" s="2256">
        <v>309.34100000000001</v>
      </c>
      <c r="EB190" s="2256">
        <v>297.733</v>
      </c>
      <c r="EC190" s="2256">
        <v>309.61443096784745</v>
      </c>
      <c r="ED190" s="2256">
        <v>322.09475333787179</v>
      </c>
      <c r="EE190" s="2256">
        <v>341.08544438531953</v>
      </c>
      <c r="EF190" s="2257">
        <v>-9999</v>
      </c>
      <c r="EG190" s="2257">
        <v>-9999</v>
      </c>
      <c r="EH190" s="2257">
        <v>-9999</v>
      </c>
      <c r="EI190" s="2257">
        <v>-9999</v>
      </c>
      <c r="EJ190" s="2257">
        <v>-9999</v>
      </c>
      <c r="EK190" s="2257">
        <v>-9999</v>
      </c>
      <c r="EL190" s="2257">
        <v>-9999</v>
      </c>
      <c r="EM190" s="2257">
        <v>-9999</v>
      </c>
    </row>
    <row r="191" spans="1:143" ht="13.15">
      <c r="A191" s="22">
        <v>91</v>
      </c>
      <c r="B191" s="1" t="s">
        <v>618</v>
      </c>
      <c r="C191" s="24">
        <f ca="1">OFFSET(Sector1!F709,0,Last_forecast_year - 3-InputY!$G$3)</f>
        <v>880.58699999999999</v>
      </c>
      <c r="D191" s="24">
        <f ca="1">OFFSET(Sector1!G709,0,Last_forecast_year - 3-InputY!$G$3)</f>
        <v>907.50199999999995</v>
      </c>
      <c r="E191" s="24">
        <f ca="1">OFFSET(Sector1!H709,0,Last_forecast_year - 3-InputY!$G$3)</f>
        <v>941.67197449999992</v>
      </c>
      <c r="F191" s="24">
        <f ca="1">OFFSET(Sector1!I709,0,Last_forecast_year - 3-InputY!$G$3)</f>
        <v>959.9048601715001</v>
      </c>
      <c r="G191" s="24">
        <f ca="1">OFFSET(Sector1!J709,0,Last_forecast_year - 3-InputY!$G$3)</f>
        <v>981.65581115624582</v>
      </c>
      <c r="H191" s="25">
        <v>-9999</v>
      </c>
      <c r="I191" s="25">
        <v>-9999</v>
      </c>
      <c r="J191" s="25">
        <v>-9999</v>
      </c>
      <c r="K191" s="25">
        <v>-9999</v>
      </c>
      <c r="L191" s="25">
        <v>-9999</v>
      </c>
      <c r="M191" s="25">
        <v>-9999</v>
      </c>
      <c r="N191" s="25">
        <v>-9999</v>
      </c>
      <c r="O191" s="25">
        <v>-9999</v>
      </c>
      <c r="P191"/>
      <c r="Q191"/>
      <c r="AA191" s="22">
        <v>91</v>
      </c>
      <c r="AB191" s="1080" t="str">
        <f t="shared" si="8"/>
        <v>HH CURRENT TRANSFERS RECEIVED</v>
      </c>
      <c r="AC191" s="1080">
        <f>CHOOSE(Tables!$U$2,Transfer!CA191,Transfer!CN191,Transfer!DA191,Transfer!DN191,Transfer!EA191)</f>
        <v>851.09400000000005</v>
      </c>
      <c r="AD191" s="1080">
        <f>CHOOSE(Tables!$U$2,Transfer!CB191,Transfer!CO191,Transfer!DB191,Transfer!DO191,Transfer!EB191)</f>
        <v>877.04000000000008</v>
      </c>
      <c r="AE191" s="1080">
        <f>CHOOSE(Tables!$U$2,Transfer!CC191,Transfer!CP191,Transfer!DC191,Transfer!DP191,Transfer!EC191)</f>
        <v>907.76400000000001</v>
      </c>
      <c r="AF191" s="1080">
        <f>CHOOSE(Tables!$U$2,Transfer!CD191,Transfer!CQ191,Transfer!DD191,Transfer!DQ191,Transfer!ED191)</f>
        <v>946.34301099999993</v>
      </c>
      <c r="AG191" s="1080">
        <f>CHOOSE(Tables!$U$2,Transfer!CE191,Transfer!CR191,Transfer!DE191,Transfer!DR191,Transfer!EE191)</f>
        <v>973.92511911000008</v>
      </c>
      <c r="AH191" s="1080">
        <f>CHOOSE(Tables!$U$2,Transfer!CF191,Transfer!CS191,Transfer!DF191,Transfer!DS191,Transfer!EF191)</f>
        <v>-9999</v>
      </c>
      <c r="AI191" s="1080">
        <f>CHOOSE(Tables!$U$2,Transfer!CG191,Transfer!CT191,Transfer!DG191,Transfer!DT191,Transfer!EG191)</f>
        <v>-9999</v>
      </c>
      <c r="AJ191" s="1080">
        <f>CHOOSE(Tables!$U$2,Transfer!CH191,Transfer!CU191,Transfer!DH191,Transfer!DU191,Transfer!EH191)</f>
        <v>-9999</v>
      </c>
      <c r="AK191" s="1080">
        <f>CHOOSE(Tables!$U$2,Transfer!CI191,Transfer!CV191,Transfer!DI191,Transfer!DV191,Transfer!EI191)</f>
        <v>-9999</v>
      </c>
      <c r="AL191" s="1080">
        <f>CHOOSE(Tables!$U$2,Transfer!CJ191,Transfer!CW191,Transfer!DJ191,Transfer!DW191,Transfer!EJ191)</f>
        <v>-9999</v>
      </c>
      <c r="AM191" s="1080">
        <f>CHOOSE(Tables!$U$2,Transfer!CK191,Transfer!CX191,Transfer!DK191,Transfer!DX191,Transfer!EK191)</f>
        <v>-9999</v>
      </c>
      <c r="AN191" s="1080">
        <f>CHOOSE(Tables!$U$2,Transfer!CL191,Transfer!CY191,Transfer!DL191,Transfer!DY191,Transfer!EL191)</f>
        <v>-9999</v>
      </c>
      <c r="AO191" s="1080">
        <f>CHOOSE(Tables!$U$2,Transfer!CM191,Transfer!CZ191,Transfer!DM191,Transfer!DZ191,Transfer!EM191)</f>
        <v>-9999</v>
      </c>
      <c r="AR191" s="22">
        <v>91</v>
      </c>
      <c r="AS191" s="1" t="s">
        <v>618</v>
      </c>
      <c r="AT191" s="24">
        <f t="shared" ca="1" si="10"/>
        <v>29.492999999999938</v>
      </c>
      <c r="AU191" s="24">
        <f t="shared" ca="1" si="11"/>
        <v>30.461999999999875</v>
      </c>
      <c r="AV191" s="24">
        <f t="shared" ca="1" si="12"/>
        <v>33.907974499999909</v>
      </c>
      <c r="AW191" s="24">
        <f t="shared" ca="1" si="13"/>
        <v>13.561849171500171</v>
      </c>
      <c r="AX191" s="24">
        <f t="shared" ca="1" si="14"/>
        <v>7.7306920462457356</v>
      </c>
      <c r="AY191" s="25">
        <f t="shared" si="15"/>
        <v>0</v>
      </c>
      <c r="AZ191" s="25">
        <f t="shared" si="16"/>
        <v>0</v>
      </c>
      <c r="BA191" s="25">
        <f t="shared" si="17"/>
        <v>0</v>
      </c>
      <c r="BB191" s="25">
        <f t="shared" si="18"/>
        <v>0</v>
      </c>
      <c r="BC191" s="25">
        <f t="shared" si="7"/>
        <v>0</v>
      </c>
      <c r="BD191" s="25">
        <f t="shared" si="7"/>
        <v>0</v>
      </c>
      <c r="BE191" s="25">
        <f t="shared" si="7"/>
        <v>0</v>
      </c>
      <c r="BF191" s="25">
        <f t="shared" si="7"/>
        <v>0</v>
      </c>
      <c r="CA191" s="16">
        <v>880.58699999999999</v>
      </c>
      <c r="CB191" s="16">
        <v>907.50199999999995</v>
      </c>
      <c r="CC191" s="16">
        <v>941.67197449999992</v>
      </c>
      <c r="CD191" s="16">
        <v>959.9048601715001</v>
      </c>
      <c r="CE191" s="16">
        <v>981.65581115624582</v>
      </c>
      <c r="CF191" s="16">
        <v>-9999</v>
      </c>
      <c r="CG191" s="16">
        <v>-9999</v>
      </c>
      <c r="CH191" s="16">
        <v>-9999</v>
      </c>
      <c r="CI191" s="16">
        <v>-9999</v>
      </c>
      <c r="CJ191" s="16">
        <v>-9999</v>
      </c>
      <c r="CK191" s="16">
        <v>-9999</v>
      </c>
      <c r="CL191" s="16">
        <v>-9999</v>
      </c>
      <c r="CM191" s="16">
        <v>-9999</v>
      </c>
      <c r="CN191" s="16">
        <v>851.09400000000005</v>
      </c>
      <c r="CO191" s="16">
        <v>877.04000000000008</v>
      </c>
      <c r="CP191" s="16">
        <v>907.76400000000001</v>
      </c>
      <c r="CQ191" s="16">
        <v>946.34301099999993</v>
      </c>
      <c r="CR191" s="16">
        <v>973.92511911000008</v>
      </c>
      <c r="CS191" s="16">
        <v>-9999</v>
      </c>
      <c r="CT191" s="16">
        <v>-9999</v>
      </c>
      <c r="CU191" s="16">
        <v>-9999</v>
      </c>
      <c r="CV191" s="16">
        <v>-9999</v>
      </c>
      <c r="CW191" s="16">
        <v>-9999</v>
      </c>
      <c r="CX191" s="16">
        <v>-9999</v>
      </c>
      <c r="CY191" s="16">
        <v>-9999</v>
      </c>
      <c r="CZ191" s="16">
        <v>-9999</v>
      </c>
      <c r="DA191" s="16">
        <v>880.58699999999999</v>
      </c>
      <c r="DB191" s="16">
        <v>907.50199999999995</v>
      </c>
      <c r="DC191" s="16">
        <v>943.74203899999986</v>
      </c>
      <c r="DD191" s="16">
        <v>971.22367713400013</v>
      </c>
      <c r="DE191" s="16">
        <v>999.53049281789595</v>
      </c>
      <c r="DF191" s="16">
        <v>-9999</v>
      </c>
      <c r="DG191" s="16">
        <v>-9999</v>
      </c>
      <c r="DH191" s="16">
        <v>-9999</v>
      </c>
      <c r="DI191" s="16">
        <v>-9999</v>
      </c>
      <c r="DJ191" s="16">
        <v>-9999</v>
      </c>
      <c r="DK191" s="16">
        <v>-9999</v>
      </c>
      <c r="DL191" s="16">
        <v>-9999</v>
      </c>
      <c r="DM191" s="16">
        <v>-9999</v>
      </c>
      <c r="DN191" s="16">
        <v>880.58699999999999</v>
      </c>
      <c r="DO191" s="16">
        <v>907.50199999999995</v>
      </c>
      <c r="DP191" s="16">
        <v>946.10782699999993</v>
      </c>
      <c r="DQ191" s="16">
        <v>973.66043877399989</v>
      </c>
      <c r="DR191" s="16">
        <v>1008.3942132833959</v>
      </c>
      <c r="DS191" s="16">
        <v>-9999</v>
      </c>
      <c r="DT191" s="16">
        <v>-9999</v>
      </c>
      <c r="DU191" s="16">
        <v>-9999</v>
      </c>
      <c r="DV191" s="16">
        <v>-9999</v>
      </c>
      <c r="DW191" s="16">
        <v>-9999</v>
      </c>
      <c r="DX191" s="16">
        <v>-9999</v>
      </c>
      <c r="DY191" s="16">
        <v>-9999</v>
      </c>
      <c r="DZ191" s="16">
        <v>-9999</v>
      </c>
      <c r="EA191" s="2256">
        <v>880.58699999999999</v>
      </c>
      <c r="EB191" s="2256">
        <v>907.50199999999995</v>
      </c>
      <c r="EC191" s="2256">
        <v>941.67197449999992</v>
      </c>
      <c r="ED191" s="2256">
        <v>959.9048601715001</v>
      </c>
      <c r="EE191" s="2256">
        <v>981.65581115624582</v>
      </c>
      <c r="EF191" s="2257">
        <v>-9999</v>
      </c>
      <c r="EG191" s="2257">
        <v>-9999</v>
      </c>
      <c r="EH191" s="2257">
        <v>-9999</v>
      </c>
      <c r="EI191" s="2257">
        <v>-9999</v>
      </c>
      <c r="EJ191" s="2257">
        <v>-9999</v>
      </c>
      <c r="EK191" s="2257">
        <v>-9999</v>
      </c>
      <c r="EL191" s="2257">
        <v>-9999</v>
      </c>
      <c r="EM191" s="2257">
        <v>-9999</v>
      </c>
    </row>
    <row r="192" spans="1:143" ht="13.15">
      <c r="A192" s="22">
        <v>92</v>
      </c>
      <c r="B192" s="1" t="s">
        <v>1564</v>
      </c>
      <c r="C192" s="24">
        <f ca="1">OFFSET(Sector1!F199,0,Last_forecast_year - 3-InputY!$G$3)</f>
        <v>700.55200000000002</v>
      </c>
      <c r="D192" s="24">
        <f ca="1">OFFSET(Sector1!G199,0,Last_forecast_year - 3-InputY!$G$3)</f>
        <v>735.09299999999996</v>
      </c>
      <c r="E192" s="24">
        <f ca="1">OFFSET(Sector1!H199,0,Last_forecast_year - 3-InputY!$G$3)</f>
        <v>756.57994268260916</v>
      </c>
      <c r="F192" s="24">
        <f ca="1">OFFSET(Sector1!I199,0,Last_forecast_year - 3-InputY!$G$3)</f>
        <v>780.90266659148301</v>
      </c>
      <c r="G192" s="24">
        <f ca="1">OFFSET(Sector1!J199,0,Last_forecast_year - 3-InputY!$G$3)</f>
        <v>803.35586821466859</v>
      </c>
      <c r="H192" s="25">
        <v>-9999</v>
      </c>
      <c r="I192" s="25">
        <v>-9999</v>
      </c>
      <c r="J192" s="25">
        <v>-9999</v>
      </c>
      <c r="K192" s="25">
        <v>-9999</v>
      </c>
      <c r="L192" s="25">
        <v>-9999</v>
      </c>
      <c r="M192" s="25">
        <v>-9999</v>
      </c>
      <c r="N192" s="25">
        <v>-9999</v>
      </c>
      <c r="O192" s="25">
        <v>-9999</v>
      </c>
      <c r="P192"/>
      <c r="Q192"/>
      <c r="AA192" s="22">
        <v>92</v>
      </c>
      <c r="AB192" s="1080" t="str">
        <f t="shared" si="8"/>
        <v>HH CURRENT TAXES ON INCOME AND WEALTH</v>
      </c>
      <c r="AC192" s="1080">
        <f>CHOOSE(Tables!$U$2,Transfer!CA192,Transfer!CN192,Transfer!DA192,Transfer!DN192,Transfer!EA192)</f>
        <v>650.71100000000001</v>
      </c>
      <c r="AD192" s="1080">
        <f>CHOOSE(Tables!$U$2,Transfer!CB192,Transfer!CO192,Transfer!DB192,Transfer!DO192,Transfer!EB192)</f>
        <v>701.23199999999997</v>
      </c>
      <c r="AE192" s="1080">
        <f>CHOOSE(Tables!$U$2,Transfer!CC192,Transfer!CP192,Transfer!DC192,Transfer!DP192,Transfer!EC192)</f>
        <v>729.56799999999998</v>
      </c>
      <c r="AF192" s="1080">
        <f>CHOOSE(Tables!$U$2,Transfer!CD192,Transfer!CQ192,Transfer!DD192,Transfer!DQ192,Transfer!ED192)</f>
        <v>752.93012455252688</v>
      </c>
      <c r="AG192" s="1080">
        <f>CHOOSE(Tables!$U$2,Transfer!CE192,Transfer!CR192,Transfer!DE192,Transfer!DR192,Transfer!EE192)</f>
        <v>785.12670295604687</v>
      </c>
      <c r="AH192" s="1080">
        <f>CHOOSE(Tables!$U$2,Transfer!CF192,Transfer!CS192,Transfer!DF192,Transfer!DS192,Transfer!EF192)</f>
        <v>-9999</v>
      </c>
      <c r="AI192" s="1080">
        <f>CHOOSE(Tables!$U$2,Transfer!CG192,Transfer!CT192,Transfer!DG192,Transfer!DT192,Transfer!EG192)</f>
        <v>-9999</v>
      </c>
      <c r="AJ192" s="1080">
        <f>CHOOSE(Tables!$U$2,Transfer!CH192,Transfer!CU192,Transfer!DH192,Transfer!DU192,Transfer!EH192)</f>
        <v>-9999</v>
      </c>
      <c r="AK192" s="1080">
        <f>CHOOSE(Tables!$U$2,Transfer!CI192,Transfer!CV192,Transfer!DI192,Transfer!DV192,Transfer!EI192)</f>
        <v>-9999</v>
      </c>
      <c r="AL192" s="1080">
        <f>CHOOSE(Tables!$U$2,Transfer!CJ192,Transfer!CW192,Transfer!DJ192,Transfer!DW192,Transfer!EJ192)</f>
        <v>-9999</v>
      </c>
      <c r="AM192" s="1080">
        <f>CHOOSE(Tables!$U$2,Transfer!CK192,Transfer!CX192,Transfer!DK192,Transfer!DX192,Transfer!EK192)</f>
        <v>-9999</v>
      </c>
      <c r="AN192" s="1080">
        <f>CHOOSE(Tables!$U$2,Transfer!CL192,Transfer!CY192,Transfer!DL192,Transfer!DY192,Transfer!EL192)</f>
        <v>-9999</v>
      </c>
      <c r="AO192" s="1080">
        <f>CHOOSE(Tables!$U$2,Transfer!CM192,Transfer!CZ192,Transfer!DM192,Transfer!DZ192,Transfer!EM192)</f>
        <v>-9999</v>
      </c>
      <c r="AR192" s="22">
        <v>92</v>
      </c>
      <c r="AS192" s="1" t="s">
        <v>1564</v>
      </c>
      <c r="AT192" s="24">
        <f t="shared" ca="1" si="10"/>
        <v>49.841000000000008</v>
      </c>
      <c r="AU192" s="24">
        <f t="shared" ca="1" si="11"/>
        <v>33.86099999999999</v>
      </c>
      <c r="AV192" s="24">
        <f t="shared" ca="1" si="12"/>
        <v>27.011942682609174</v>
      </c>
      <c r="AW192" s="24">
        <f t="shared" ca="1" si="13"/>
        <v>27.972542038956135</v>
      </c>
      <c r="AX192" s="24">
        <f t="shared" ca="1" si="14"/>
        <v>18.22916525862172</v>
      </c>
      <c r="AY192" s="25">
        <f t="shared" si="15"/>
        <v>0</v>
      </c>
      <c r="AZ192" s="25">
        <f t="shared" si="16"/>
        <v>0</v>
      </c>
      <c r="BA192" s="25">
        <f t="shared" si="17"/>
        <v>0</v>
      </c>
      <c r="BB192" s="25">
        <f t="shared" si="18"/>
        <v>0</v>
      </c>
      <c r="BC192" s="25">
        <f t="shared" si="7"/>
        <v>0</v>
      </c>
      <c r="BD192" s="25">
        <f t="shared" si="7"/>
        <v>0</v>
      </c>
      <c r="BE192" s="25">
        <f t="shared" si="7"/>
        <v>0</v>
      </c>
      <c r="BF192" s="25">
        <f t="shared" si="7"/>
        <v>0</v>
      </c>
      <c r="CA192" s="16">
        <v>700.55200000000002</v>
      </c>
      <c r="CB192" s="16">
        <v>735.09299999999996</v>
      </c>
      <c r="CC192" s="16">
        <v>756.61468495291228</v>
      </c>
      <c r="CD192" s="16">
        <v>780.93189043432085</v>
      </c>
      <c r="CE192" s="16">
        <v>803.37924599111841</v>
      </c>
      <c r="CF192" s="16">
        <v>-9999</v>
      </c>
      <c r="CG192" s="16">
        <v>-9999</v>
      </c>
      <c r="CH192" s="16">
        <v>-9999</v>
      </c>
      <c r="CI192" s="16">
        <v>-9999</v>
      </c>
      <c r="CJ192" s="16">
        <v>-9999</v>
      </c>
      <c r="CK192" s="16">
        <v>-9999</v>
      </c>
      <c r="CL192" s="16">
        <v>-9999</v>
      </c>
      <c r="CM192" s="16">
        <v>-9999</v>
      </c>
      <c r="CN192" s="16">
        <v>650.71100000000001</v>
      </c>
      <c r="CO192" s="16">
        <v>701.23199999999997</v>
      </c>
      <c r="CP192" s="16">
        <v>729.56799999999998</v>
      </c>
      <c r="CQ192" s="16">
        <v>752.93012455252688</v>
      </c>
      <c r="CR192" s="16">
        <v>785.12670295604687</v>
      </c>
      <c r="CS192" s="16">
        <v>-9999</v>
      </c>
      <c r="CT192" s="16">
        <v>-9999</v>
      </c>
      <c r="CU192" s="16">
        <v>-9999</v>
      </c>
      <c r="CV192" s="16">
        <v>-9999</v>
      </c>
      <c r="CW192" s="16">
        <v>-9999</v>
      </c>
      <c r="CX192" s="16">
        <v>-9999</v>
      </c>
      <c r="CY192" s="16">
        <v>-9999</v>
      </c>
      <c r="CZ192" s="16">
        <v>-9999</v>
      </c>
      <c r="DA192" s="16">
        <v>700.55200000000002</v>
      </c>
      <c r="DB192" s="16">
        <v>735.09299999999996</v>
      </c>
      <c r="DC192" s="16">
        <v>756.67110110839121</v>
      </c>
      <c r="DD192" s="16">
        <v>780.95782577817999</v>
      </c>
      <c r="DE192" s="16">
        <v>803.30441371838288</v>
      </c>
      <c r="DF192" s="16">
        <v>-9999</v>
      </c>
      <c r="DG192" s="16">
        <v>-9999</v>
      </c>
      <c r="DH192" s="16">
        <v>-9999</v>
      </c>
      <c r="DI192" s="16">
        <v>-9999</v>
      </c>
      <c r="DJ192" s="16">
        <v>-9999</v>
      </c>
      <c r="DK192" s="16">
        <v>-9999</v>
      </c>
      <c r="DL192" s="16">
        <v>-9999</v>
      </c>
      <c r="DM192" s="16">
        <v>-9999</v>
      </c>
      <c r="DN192" s="16">
        <v>700.55200000000002</v>
      </c>
      <c r="DO192" s="16">
        <v>735.09299999999996</v>
      </c>
      <c r="DP192" s="16">
        <v>756.15931002494506</v>
      </c>
      <c r="DQ192" s="16">
        <v>782.64433556922711</v>
      </c>
      <c r="DR192" s="16">
        <v>809.88228713579679</v>
      </c>
      <c r="DS192" s="16">
        <v>-9999</v>
      </c>
      <c r="DT192" s="16">
        <v>-9999</v>
      </c>
      <c r="DU192" s="16">
        <v>-9999</v>
      </c>
      <c r="DV192" s="16">
        <v>-9999</v>
      </c>
      <c r="DW192" s="16">
        <v>-9999</v>
      </c>
      <c r="DX192" s="16">
        <v>-9999</v>
      </c>
      <c r="DY192" s="16">
        <v>-9999</v>
      </c>
      <c r="DZ192" s="16">
        <v>-9999</v>
      </c>
      <c r="EA192" s="2256">
        <v>700.55200000000002</v>
      </c>
      <c r="EB192" s="2256">
        <v>735.09299999999996</v>
      </c>
      <c r="EC192" s="2256">
        <v>756.57994268260916</v>
      </c>
      <c r="ED192" s="2256">
        <v>780.90266659148301</v>
      </c>
      <c r="EE192" s="2256">
        <v>803.35586821466859</v>
      </c>
      <c r="EF192" s="2257">
        <v>-9999</v>
      </c>
      <c r="EG192" s="2257">
        <v>-9999</v>
      </c>
      <c r="EH192" s="2257">
        <v>-9999</v>
      </c>
      <c r="EI192" s="2257">
        <v>-9999</v>
      </c>
      <c r="EJ192" s="2257">
        <v>-9999</v>
      </c>
      <c r="EK192" s="2257">
        <v>-9999</v>
      </c>
      <c r="EL192" s="2257">
        <v>-9999</v>
      </c>
      <c r="EM192" s="2257">
        <v>-9999</v>
      </c>
    </row>
    <row r="193" spans="1:143" ht="13.15">
      <c r="A193" s="22">
        <v>93</v>
      </c>
      <c r="B193" s="1" t="s">
        <v>1566</v>
      </c>
      <c r="C193" s="24">
        <f ca="1">OFFSET(Sector1!F715,0,Last_forecast_year - 3-InputY!$G$3)</f>
        <v>544.33699999999999</v>
      </c>
      <c r="D193" s="24">
        <f ca="1">OFFSET(Sector1!G715,0,Last_forecast_year - 3-InputY!$G$3)</f>
        <v>550.97800000000007</v>
      </c>
      <c r="E193" s="24">
        <f ca="1">OFFSET(Sector1!H715,0,Last_forecast_year - 3-InputY!$G$3)</f>
        <v>572.10992206435515</v>
      </c>
      <c r="F193" s="24">
        <f ca="1">OFFSET(Sector1!I715,0,Last_forecast_year - 3-InputY!$G$3)</f>
        <v>591.09704641792268</v>
      </c>
      <c r="G193" s="24">
        <f ca="1">OFFSET(Sector1!J715,0,Last_forecast_year - 3-InputY!$G$3)</f>
        <v>612.20191232993625</v>
      </c>
      <c r="H193" s="25">
        <v>-9999</v>
      </c>
      <c r="I193" s="25">
        <v>-9999</v>
      </c>
      <c r="J193" s="25">
        <v>-9999</v>
      </c>
      <c r="K193" s="25">
        <v>-9999</v>
      </c>
      <c r="L193" s="25">
        <v>-9999</v>
      </c>
      <c r="M193" s="25">
        <v>-9999</v>
      </c>
      <c r="N193" s="25">
        <v>-9999</v>
      </c>
      <c r="O193" s="25">
        <v>-9999</v>
      </c>
      <c r="P193"/>
      <c r="Q193"/>
      <c r="AA193" s="22">
        <v>93</v>
      </c>
      <c r="AB193" s="1080" t="str">
        <f t="shared" si="8"/>
        <v>HH CURRENT TRANSFERS PAID</v>
      </c>
      <c r="AC193" s="1080">
        <f>CHOOSE(Tables!$U$2,Transfer!CA193,Transfer!CN193,Transfer!DA193,Transfer!DN193,Transfer!EA193)</f>
        <v>518.77599999999995</v>
      </c>
      <c r="AD193" s="1080">
        <f>CHOOSE(Tables!$U$2,Transfer!CB193,Transfer!CO193,Transfer!DB193,Transfer!DO193,Transfer!EB193)</f>
        <v>551.2360000000001</v>
      </c>
      <c r="AE193" s="1080">
        <f>CHOOSE(Tables!$U$2,Transfer!CC193,Transfer!CP193,Transfer!DC193,Transfer!DP193,Transfer!EC193)</f>
        <v>563.41200000000003</v>
      </c>
      <c r="AF193" s="1080">
        <f>CHOOSE(Tables!$U$2,Transfer!CD193,Transfer!CQ193,Transfer!DD193,Transfer!DQ193,Transfer!ED193)</f>
        <v>585.95499780194552</v>
      </c>
      <c r="AG193" s="1080">
        <f>CHOOSE(Tables!$U$2,Transfer!CE193,Transfer!CR193,Transfer!DE193,Transfer!DR193,Transfer!EE193)</f>
        <v>606.64134112541649</v>
      </c>
      <c r="AH193" s="1080">
        <f>CHOOSE(Tables!$U$2,Transfer!CF193,Transfer!CS193,Transfer!DF193,Transfer!DS193,Transfer!EF193)</f>
        <v>-9999</v>
      </c>
      <c r="AI193" s="1080">
        <f>CHOOSE(Tables!$U$2,Transfer!CG193,Transfer!CT193,Transfer!DG193,Transfer!DT193,Transfer!EG193)</f>
        <v>-9999</v>
      </c>
      <c r="AJ193" s="1080">
        <f>CHOOSE(Tables!$U$2,Transfer!CH193,Transfer!CU193,Transfer!DH193,Transfer!DU193,Transfer!EH193)</f>
        <v>-9999</v>
      </c>
      <c r="AK193" s="1080">
        <f>CHOOSE(Tables!$U$2,Transfer!CI193,Transfer!CV193,Transfer!DI193,Transfer!DV193,Transfer!EI193)</f>
        <v>-9999</v>
      </c>
      <c r="AL193" s="1080">
        <f>CHOOSE(Tables!$U$2,Transfer!CJ193,Transfer!CW193,Transfer!DJ193,Transfer!DW193,Transfer!EJ193)</f>
        <v>-9999</v>
      </c>
      <c r="AM193" s="1080">
        <f>CHOOSE(Tables!$U$2,Transfer!CK193,Transfer!CX193,Transfer!DK193,Transfer!DX193,Transfer!EK193)</f>
        <v>-9999</v>
      </c>
      <c r="AN193" s="1080">
        <f>CHOOSE(Tables!$U$2,Transfer!CL193,Transfer!CY193,Transfer!DL193,Transfer!DY193,Transfer!EL193)</f>
        <v>-9999</v>
      </c>
      <c r="AO193" s="1080">
        <f>CHOOSE(Tables!$U$2,Transfer!CM193,Transfer!CZ193,Transfer!DM193,Transfer!DZ193,Transfer!EM193)</f>
        <v>-9999</v>
      </c>
      <c r="AR193" s="22">
        <v>93</v>
      </c>
      <c r="AS193" s="1" t="s">
        <v>1566</v>
      </c>
      <c r="AT193" s="24">
        <f t="shared" ca="1" si="10"/>
        <v>25.561000000000035</v>
      </c>
      <c r="AU193" s="24">
        <f t="shared" ca="1" si="11"/>
        <v>-0.2580000000000382</v>
      </c>
      <c r="AV193" s="24">
        <f t="shared" ca="1" si="12"/>
        <v>8.6979220643551116</v>
      </c>
      <c r="AW193" s="24">
        <f t="shared" ca="1" si="13"/>
        <v>5.1420486159771599</v>
      </c>
      <c r="AX193" s="24">
        <f t="shared" ca="1" si="14"/>
        <v>5.5605712045197606</v>
      </c>
      <c r="AY193" s="25">
        <f t="shared" si="15"/>
        <v>0</v>
      </c>
      <c r="AZ193" s="25">
        <f t="shared" si="16"/>
        <v>0</v>
      </c>
      <c r="BA193" s="25">
        <f t="shared" si="17"/>
        <v>0</v>
      </c>
      <c r="BB193" s="25">
        <f t="shared" si="18"/>
        <v>0</v>
      </c>
      <c r="BC193" s="25">
        <f t="shared" si="7"/>
        <v>0</v>
      </c>
      <c r="BD193" s="25">
        <f t="shared" si="7"/>
        <v>0</v>
      </c>
      <c r="BE193" s="25">
        <f t="shared" si="7"/>
        <v>0</v>
      </c>
      <c r="BF193" s="25">
        <f t="shared" si="7"/>
        <v>0</v>
      </c>
      <c r="CA193" s="16">
        <v>544.33699999999999</v>
      </c>
      <c r="CB193" s="16">
        <v>550.97800000000007</v>
      </c>
      <c r="CC193" s="16">
        <v>572.0830851397476</v>
      </c>
      <c r="CD193" s="16">
        <v>591.07187419654019</v>
      </c>
      <c r="CE193" s="16">
        <v>612.17839880329075</v>
      </c>
      <c r="CF193" s="16">
        <v>-9999</v>
      </c>
      <c r="CG193" s="16">
        <v>-9999</v>
      </c>
      <c r="CH193" s="16">
        <v>-9999</v>
      </c>
      <c r="CI193" s="16">
        <v>-9999</v>
      </c>
      <c r="CJ193" s="16">
        <v>-9999</v>
      </c>
      <c r="CK193" s="16">
        <v>-9999</v>
      </c>
      <c r="CL193" s="16">
        <v>-9999</v>
      </c>
      <c r="CM193" s="16">
        <v>-9999</v>
      </c>
      <c r="CN193" s="16">
        <v>518.77599999999995</v>
      </c>
      <c r="CO193" s="16">
        <v>551.2360000000001</v>
      </c>
      <c r="CP193" s="16">
        <v>563.41200000000003</v>
      </c>
      <c r="CQ193" s="16">
        <v>585.95499780194552</v>
      </c>
      <c r="CR193" s="16">
        <v>606.64134112541649</v>
      </c>
      <c r="CS193" s="16">
        <v>-9999</v>
      </c>
      <c r="CT193" s="16">
        <v>-9999</v>
      </c>
      <c r="CU193" s="16">
        <v>-9999</v>
      </c>
      <c r="CV193" s="16">
        <v>-9999</v>
      </c>
      <c r="CW193" s="16">
        <v>-9999</v>
      </c>
      <c r="CX193" s="16">
        <v>-9999</v>
      </c>
      <c r="CY193" s="16">
        <v>-9999</v>
      </c>
      <c r="CZ193" s="16">
        <v>-9999</v>
      </c>
      <c r="DA193" s="16">
        <v>544.33699999999999</v>
      </c>
      <c r="DB193" s="16">
        <v>550.97800000000007</v>
      </c>
      <c r="DC193" s="16">
        <v>572.0830851397476</v>
      </c>
      <c r="DD193" s="16">
        <v>591.07187419654019</v>
      </c>
      <c r="DE193" s="16">
        <v>612.23824596414136</v>
      </c>
      <c r="DF193" s="16">
        <v>-9999</v>
      </c>
      <c r="DG193" s="16">
        <v>-9999</v>
      </c>
      <c r="DH193" s="16">
        <v>-9999</v>
      </c>
      <c r="DI193" s="16">
        <v>-9999</v>
      </c>
      <c r="DJ193" s="16">
        <v>-9999</v>
      </c>
      <c r="DK193" s="16">
        <v>-9999</v>
      </c>
      <c r="DL193" s="16">
        <v>-9999</v>
      </c>
      <c r="DM193" s="16">
        <v>-9999</v>
      </c>
      <c r="DN193" s="16">
        <v>544.33699999999999</v>
      </c>
      <c r="DO193" s="16">
        <v>550.97800000000007</v>
      </c>
      <c r="DP193" s="16">
        <v>572.09875121975267</v>
      </c>
      <c r="DQ193" s="16">
        <v>591.07111271894371</v>
      </c>
      <c r="DR193" s="16">
        <v>599.48437466104565</v>
      </c>
      <c r="DS193" s="16">
        <v>-9999</v>
      </c>
      <c r="DT193" s="16">
        <v>-9999</v>
      </c>
      <c r="DU193" s="16">
        <v>-9999</v>
      </c>
      <c r="DV193" s="16">
        <v>-9999</v>
      </c>
      <c r="DW193" s="16">
        <v>-9999</v>
      </c>
      <c r="DX193" s="16">
        <v>-9999</v>
      </c>
      <c r="DY193" s="16">
        <v>-9999</v>
      </c>
      <c r="DZ193" s="16">
        <v>-9999</v>
      </c>
      <c r="EA193" s="2256">
        <v>544.33699999999999</v>
      </c>
      <c r="EB193" s="2256">
        <v>550.97800000000007</v>
      </c>
      <c r="EC193" s="2256">
        <v>572.10992206435515</v>
      </c>
      <c r="ED193" s="2256">
        <v>591.09704641792268</v>
      </c>
      <c r="EE193" s="2256">
        <v>612.20191232993625</v>
      </c>
      <c r="EF193" s="2257">
        <v>-9999</v>
      </c>
      <c r="EG193" s="2257">
        <v>-9999</v>
      </c>
      <c r="EH193" s="2257">
        <v>-9999</v>
      </c>
      <c r="EI193" s="2257">
        <v>-9999</v>
      </c>
      <c r="EJ193" s="2257">
        <v>-9999</v>
      </c>
      <c r="EK193" s="2257">
        <v>-9999</v>
      </c>
      <c r="EL193" s="2257">
        <v>-9999</v>
      </c>
      <c r="EM193" s="2257">
        <v>-9999</v>
      </c>
    </row>
    <row r="194" spans="1:143" ht="13.15">
      <c r="A194" s="22">
        <v>94</v>
      </c>
      <c r="B194" s="1" t="s">
        <v>1568</v>
      </c>
      <c r="C194" s="24">
        <f ca="1">OFFSET(Sector1!F394,0,Last_forecast_year - 3-InputY!$G$3)</f>
        <v>172.18100000000001</v>
      </c>
      <c r="D194" s="24">
        <f ca="1">OFFSET(Sector1!G394,0,Last_forecast_year - 3-InputY!$G$3)</f>
        <v>159.636</v>
      </c>
      <c r="E194" s="24">
        <f ca="1">OFFSET(Sector1!H394,0,Last_forecast_year - 3-InputY!$G$3)</f>
        <v>163.22351999999998</v>
      </c>
      <c r="F194" s="24">
        <f ca="1">OFFSET(Sector1!I394,0,Last_forecast_year - 3-InputY!$G$3)</f>
        <v>166.95837599999999</v>
      </c>
      <c r="G194" s="24">
        <f ca="1">OFFSET(Sector1!J394,0,Last_forecast_year - 3-InputY!$G$3)</f>
        <v>170.79615225599997</v>
      </c>
      <c r="H194" s="25">
        <v>-9999</v>
      </c>
      <c r="I194" s="25">
        <v>-9999</v>
      </c>
      <c r="J194" s="25">
        <v>-9999</v>
      </c>
      <c r="K194" s="25">
        <v>-9999</v>
      </c>
      <c r="L194" s="25">
        <v>-9999</v>
      </c>
      <c r="M194" s="25">
        <v>-9999</v>
      </c>
      <c r="N194" s="25">
        <v>-9999</v>
      </c>
      <c r="O194" s="25">
        <v>-9999</v>
      </c>
      <c r="P194"/>
      <c r="Q194"/>
      <c r="AA194" s="22">
        <v>94</v>
      </c>
      <c r="AB194" s="1080" t="str">
        <f t="shared" si="8"/>
        <v>HH CHANGE IN NET EQUITY IN PENSION FUNDS</v>
      </c>
      <c r="AC194" s="1080">
        <f>CHOOSE(Tables!$U$2,Transfer!CA194,Transfer!CN194,Transfer!DA194,Transfer!DN194,Transfer!EA194)</f>
        <v>156.988</v>
      </c>
      <c r="AD194" s="1080">
        <f>CHOOSE(Tables!$U$2,Transfer!CB194,Transfer!CO194,Transfer!DB194,Transfer!DO194,Transfer!EB194)</f>
        <v>176.57599999999999</v>
      </c>
      <c r="AE194" s="1080">
        <f>CHOOSE(Tables!$U$2,Transfer!CC194,Transfer!CP194,Transfer!DC194,Transfer!DP194,Transfer!EC194)</f>
        <v>167.48500000000001</v>
      </c>
      <c r="AF194" s="1080">
        <f>CHOOSE(Tables!$U$2,Transfer!CD194,Transfer!CQ194,Transfer!DD194,Transfer!DQ194,Transfer!ED194)</f>
        <v>171.22410000000002</v>
      </c>
      <c r="AG194" s="1080">
        <f>CHOOSE(Tables!$U$2,Transfer!CE194,Transfer!CR194,Transfer!DE194,Transfer!DR194,Transfer!EE194)</f>
        <v>175.11324360000003</v>
      </c>
      <c r="AH194" s="1080">
        <f>CHOOSE(Tables!$U$2,Transfer!CF194,Transfer!CS194,Transfer!DF194,Transfer!DS194,Transfer!EF194)</f>
        <v>-9999</v>
      </c>
      <c r="AI194" s="1080">
        <f>CHOOSE(Tables!$U$2,Transfer!CG194,Transfer!CT194,Transfer!DG194,Transfer!DT194,Transfer!EG194)</f>
        <v>-9999</v>
      </c>
      <c r="AJ194" s="1080">
        <f>CHOOSE(Tables!$U$2,Transfer!CH194,Transfer!CU194,Transfer!DH194,Transfer!DU194,Transfer!EH194)</f>
        <v>-9999</v>
      </c>
      <c r="AK194" s="1080">
        <f>CHOOSE(Tables!$U$2,Transfer!CI194,Transfer!CV194,Transfer!DI194,Transfer!DV194,Transfer!EI194)</f>
        <v>-9999</v>
      </c>
      <c r="AL194" s="1080">
        <f>CHOOSE(Tables!$U$2,Transfer!CJ194,Transfer!CW194,Transfer!DJ194,Transfer!DW194,Transfer!EJ194)</f>
        <v>-9999</v>
      </c>
      <c r="AM194" s="1080">
        <f>CHOOSE(Tables!$U$2,Transfer!CK194,Transfer!CX194,Transfer!DK194,Transfer!DX194,Transfer!EK194)</f>
        <v>-9999</v>
      </c>
      <c r="AN194" s="1080">
        <f>CHOOSE(Tables!$U$2,Transfer!CL194,Transfer!CY194,Transfer!DL194,Transfer!DY194,Transfer!EL194)</f>
        <v>-9999</v>
      </c>
      <c r="AO194" s="1080">
        <f>CHOOSE(Tables!$U$2,Transfer!CM194,Transfer!CZ194,Transfer!DM194,Transfer!DZ194,Transfer!EM194)</f>
        <v>-9999</v>
      </c>
      <c r="AR194" s="22">
        <v>94</v>
      </c>
      <c r="AS194" s="1" t="s">
        <v>1568</v>
      </c>
      <c r="AT194" s="24">
        <f t="shared" ca="1" si="10"/>
        <v>15.193000000000012</v>
      </c>
      <c r="AU194" s="24">
        <f t="shared" ca="1" si="11"/>
        <v>-16.939999999999998</v>
      </c>
      <c r="AV194" s="24">
        <f t="shared" ca="1" si="12"/>
        <v>-4.2614800000000344</v>
      </c>
      <c r="AW194" s="24">
        <f t="shared" ca="1" si="13"/>
        <v>-4.2657240000000343</v>
      </c>
      <c r="AX194" s="24">
        <f t="shared" ca="1" si="14"/>
        <v>-4.3170913440000618</v>
      </c>
      <c r="AY194" s="25">
        <f t="shared" si="15"/>
        <v>0</v>
      </c>
      <c r="AZ194" s="25">
        <f t="shared" si="16"/>
        <v>0</v>
      </c>
      <c r="BA194" s="25">
        <f t="shared" si="17"/>
        <v>0</v>
      </c>
      <c r="BB194" s="25">
        <f t="shared" si="18"/>
        <v>0</v>
      </c>
      <c r="BC194" s="25">
        <f t="shared" si="7"/>
        <v>0</v>
      </c>
      <c r="BD194" s="25">
        <f t="shared" si="7"/>
        <v>0</v>
      </c>
      <c r="BE194" s="25">
        <f t="shared" si="7"/>
        <v>0</v>
      </c>
      <c r="BF194" s="25">
        <f t="shared" si="7"/>
        <v>0</v>
      </c>
      <c r="CA194" s="16">
        <v>172.18100000000001</v>
      </c>
      <c r="CB194" s="16">
        <v>159.636</v>
      </c>
      <c r="CC194" s="16">
        <v>163.22351999999998</v>
      </c>
      <c r="CD194" s="16">
        <v>166.95837599999999</v>
      </c>
      <c r="CE194" s="16">
        <v>170.79615225599997</v>
      </c>
      <c r="CF194" s="16">
        <v>-9999</v>
      </c>
      <c r="CG194" s="16">
        <v>-9999</v>
      </c>
      <c r="CH194" s="16">
        <v>-9999</v>
      </c>
      <c r="CI194" s="16">
        <v>-9999</v>
      </c>
      <c r="CJ194" s="16">
        <v>-9999</v>
      </c>
      <c r="CK194" s="16">
        <v>-9999</v>
      </c>
      <c r="CL194" s="16">
        <v>-9999</v>
      </c>
      <c r="CM194" s="16">
        <v>-9999</v>
      </c>
      <c r="CN194" s="16">
        <v>156.988</v>
      </c>
      <c r="CO194" s="16">
        <v>176.57599999999999</v>
      </c>
      <c r="CP194" s="16">
        <v>167.48500000000001</v>
      </c>
      <c r="CQ194" s="16">
        <v>171.22410000000002</v>
      </c>
      <c r="CR194" s="16">
        <v>175.11324360000003</v>
      </c>
      <c r="CS194" s="16">
        <v>-9999</v>
      </c>
      <c r="CT194" s="16">
        <v>-9999</v>
      </c>
      <c r="CU194" s="16">
        <v>-9999</v>
      </c>
      <c r="CV194" s="16">
        <v>-9999</v>
      </c>
      <c r="CW194" s="16">
        <v>-9999</v>
      </c>
      <c r="CX194" s="16">
        <v>-9999</v>
      </c>
      <c r="CY194" s="16">
        <v>-9999</v>
      </c>
      <c r="CZ194" s="16">
        <v>-9999</v>
      </c>
      <c r="DA194" s="16">
        <v>172.18100000000001</v>
      </c>
      <c r="DB194" s="16">
        <v>159.636</v>
      </c>
      <c r="DC194" s="16">
        <v>163.22351999999998</v>
      </c>
      <c r="DD194" s="16">
        <v>166.95837599999999</v>
      </c>
      <c r="DE194" s="16">
        <v>170.79615225599997</v>
      </c>
      <c r="DF194" s="16">
        <v>-9999</v>
      </c>
      <c r="DG194" s="16">
        <v>-9999</v>
      </c>
      <c r="DH194" s="16">
        <v>-9999</v>
      </c>
      <c r="DI194" s="16">
        <v>-9999</v>
      </c>
      <c r="DJ194" s="16">
        <v>-9999</v>
      </c>
      <c r="DK194" s="16">
        <v>-9999</v>
      </c>
      <c r="DL194" s="16">
        <v>-9999</v>
      </c>
      <c r="DM194" s="16">
        <v>-9999</v>
      </c>
      <c r="DN194" s="16">
        <v>172.18100000000001</v>
      </c>
      <c r="DO194" s="16">
        <v>159.636</v>
      </c>
      <c r="DP194" s="16">
        <v>163.22351999999998</v>
      </c>
      <c r="DQ194" s="16">
        <v>166.95837599999999</v>
      </c>
      <c r="DR194" s="16">
        <v>170.79615225599997</v>
      </c>
      <c r="DS194" s="16">
        <v>-9999</v>
      </c>
      <c r="DT194" s="16">
        <v>-9999</v>
      </c>
      <c r="DU194" s="16">
        <v>-9999</v>
      </c>
      <c r="DV194" s="16">
        <v>-9999</v>
      </c>
      <c r="DW194" s="16">
        <v>-9999</v>
      </c>
      <c r="DX194" s="16">
        <v>-9999</v>
      </c>
      <c r="DY194" s="16">
        <v>-9999</v>
      </c>
      <c r="DZ194" s="16">
        <v>-9999</v>
      </c>
      <c r="EA194" s="2256">
        <v>172.18100000000001</v>
      </c>
      <c r="EB194" s="2256">
        <v>159.636</v>
      </c>
      <c r="EC194" s="2256">
        <v>163.22351999999998</v>
      </c>
      <c r="ED194" s="2256">
        <v>166.95837599999999</v>
      </c>
      <c r="EE194" s="2256">
        <v>170.79615225599997</v>
      </c>
      <c r="EF194" s="2257">
        <v>-9999</v>
      </c>
      <c r="EG194" s="2257">
        <v>-9999</v>
      </c>
      <c r="EH194" s="2257">
        <v>-9999</v>
      </c>
      <c r="EI194" s="2257">
        <v>-9999</v>
      </c>
      <c r="EJ194" s="2257">
        <v>-9999</v>
      </c>
      <c r="EK194" s="2257">
        <v>-9999</v>
      </c>
      <c r="EL194" s="2257">
        <v>-9999</v>
      </c>
      <c r="EM194" s="2257">
        <v>-9999</v>
      </c>
    </row>
    <row r="195" spans="1:143" ht="13.15">
      <c r="A195" s="22">
        <v>95</v>
      </c>
      <c r="B195" s="1" t="s">
        <v>1569</v>
      </c>
      <c r="C195" s="24">
        <f ca="1">OFFSET('VVP2'!F185,0,Last_forecast_year - 3-InputY!$G$3)</f>
        <v>1962.61</v>
      </c>
      <c r="D195" s="24">
        <f ca="1">OFFSET('VVP2'!G185,0,Last_forecast_year - 3-InputY!$G$3)</f>
        <v>2040.8019999999999</v>
      </c>
      <c r="E195" s="24">
        <f ca="1">OFFSET('VVP2'!H185,0,Last_forecast_year - 3-InputY!$G$3)</f>
        <v>2125.3075292159997</v>
      </c>
      <c r="F195" s="24">
        <f ca="1">OFFSET('VVP2'!I185,0,Last_forecast_year - 3-InputY!$G$3)</f>
        <v>2211.7992569557268</v>
      </c>
      <c r="G195" s="24">
        <f ca="1">OFFSET('VVP2'!J185,0,Last_forecast_year - 3-InputY!$G$3)</f>
        <v>2298.8954880961292</v>
      </c>
      <c r="H195" s="25">
        <v>-9999</v>
      </c>
      <c r="I195" s="25">
        <v>-9999</v>
      </c>
      <c r="J195" s="25">
        <v>-9999</v>
      </c>
      <c r="K195" s="25">
        <v>-9999</v>
      </c>
      <c r="L195" s="25">
        <v>-9999</v>
      </c>
      <c r="M195" s="25">
        <v>-9999</v>
      </c>
      <c r="N195" s="25">
        <v>-9999</v>
      </c>
      <c r="O195" s="25">
        <v>-9999</v>
      </c>
      <c r="P195"/>
      <c r="Q195"/>
      <c r="AA195" s="22">
        <v>95</v>
      </c>
      <c r="AB195" s="1080" t="str">
        <f t="shared" si="8"/>
        <v>HH FINAL CONSUMPTION EXPENDITURE</v>
      </c>
      <c r="AC195" s="1080">
        <f>CHOOSE(Tables!$U$2,Transfer!CA195,Transfer!CN195,Transfer!DA195,Transfer!DN195,Transfer!EA195)</f>
        <v>1889.1010000000001</v>
      </c>
      <c r="AD195" s="1080">
        <f>CHOOSE(Tables!$U$2,Transfer!CB195,Transfer!CO195,Transfer!DB195,Transfer!DO195,Transfer!EB195)</f>
        <v>1949.7529999999999</v>
      </c>
      <c r="AE195" s="1080">
        <f>CHOOSE(Tables!$U$2,Transfer!CC195,Transfer!CP195,Transfer!DC195,Transfer!DP195,Transfer!EC195)</f>
        <v>2029.9870000000001</v>
      </c>
      <c r="AF195" s="1080">
        <f>CHOOSE(Tables!$U$2,Transfer!CD195,Transfer!CQ195,Transfer!DD195,Transfer!DQ195,Transfer!ED195)</f>
        <v>2115.3061356178</v>
      </c>
      <c r="AG195" s="1080">
        <f>CHOOSE(Tables!$U$2,Transfer!CE195,Transfer!CR195,Transfer!DE195,Transfer!DR195,Transfer!EE195)</f>
        <v>2207.8894891533605</v>
      </c>
      <c r="AH195" s="1080">
        <f>CHOOSE(Tables!$U$2,Transfer!CF195,Transfer!CS195,Transfer!DF195,Transfer!DS195,Transfer!EF195)</f>
        <v>-9999</v>
      </c>
      <c r="AI195" s="1080">
        <f>CHOOSE(Tables!$U$2,Transfer!CG195,Transfer!CT195,Transfer!DG195,Transfer!DT195,Transfer!EG195)</f>
        <v>-9999</v>
      </c>
      <c r="AJ195" s="1080">
        <f>CHOOSE(Tables!$U$2,Transfer!CH195,Transfer!CU195,Transfer!DH195,Transfer!DU195,Transfer!EH195)</f>
        <v>-9999</v>
      </c>
      <c r="AK195" s="1080">
        <f>CHOOSE(Tables!$U$2,Transfer!CI195,Transfer!CV195,Transfer!DI195,Transfer!DV195,Transfer!EI195)</f>
        <v>-9999</v>
      </c>
      <c r="AL195" s="1080">
        <f>CHOOSE(Tables!$U$2,Transfer!CJ195,Transfer!CW195,Transfer!DJ195,Transfer!DW195,Transfer!EJ195)</f>
        <v>-9999</v>
      </c>
      <c r="AM195" s="1080">
        <f>CHOOSE(Tables!$U$2,Transfer!CK195,Transfer!CX195,Transfer!DK195,Transfer!DX195,Transfer!EK195)</f>
        <v>-9999</v>
      </c>
      <c r="AN195" s="1080">
        <f>CHOOSE(Tables!$U$2,Transfer!CL195,Transfer!CY195,Transfer!DL195,Transfer!DY195,Transfer!EL195)</f>
        <v>-9999</v>
      </c>
      <c r="AO195" s="1080">
        <f>CHOOSE(Tables!$U$2,Transfer!CM195,Transfer!CZ195,Transfer!DM195,Transfer!DZ195,Transfer!EM195)</f>
        <v>-9999</v>
      </c>
      <c r="AR195" s="22">
        <v>95</v>
      </c>
      <c r="AS195" s="1" t="s">
        <v>1569</v>
      </c>
      <c r="AT195" s="24">
        <f t="shared" ca="1" si="10"/>
        <v>73.508999999999787</v>
      </c>
      <c r="AU195" s="24">
        <f t="shared" ca="1" si="11"/>
        <v>91.048999999999978</v>
      </c>
      <c r="AV195" s="24">
        <f t="shared" ca="1" si="12"/>
        <v>95.320529215999613</v>
      </c>
      <c r="AW195" s="24">
        <f t="shared" ca="1" si="13"/>
        <v>96.493121337926823</v>
      </c>
      <c r="AX195" s="24">
        <f t="shared" ca="1" si="14"/>
        <v>91.005998942768656</v>
      </c>
      <c r="AY195" s="25">
        <f t="shared" si="15"/>
        <v>0</v>
      </c>
      <c r="AZ195" s="25">
        <f t="shared" si="16"/>
        <v>0</v>
      </c>
      <c r="BA195" s="25">
        <f t="shared" si="17"/>
        <v>0</v>
      </c>
      <c r="BB195" s="25">
        <f t="shared" si="18"/>
        <v>0</v>
      </c>
      <c r="BC195" s="25">
        <f t="shared" si="7"/>
        <v>0</v>
      </c>
      <c r="BD195" s="25">
        <f t="shared" si="7"/>
        <v>0</v>
      </c>
      <c r="BE195" s="25">
        <f t="shared" si="7"/>
        <v>0</v>
      </c>
      <c r="BF195" s="25">
        <f t="shared" si="7"/>
        <v>0</v>
      </c>
      <c r="CA195" s="16">
        <v>1962.61</v>
      </c>
      <c r="CB195" s="16">
        <v>2040.8019999999999</v>
      </c>
      <c r="CC195" s="16">
        <v>2125.3075292159997</v>
      </c>
      <c r="CD195" s="16">
        <v>2211.7992569557268</v>
      </c>
      <c r="CE195" s="16">
        <v>2298.8954880961292</v>
      </c>
      <c r="CF195" s="16">
        <v>-9999</v>
      </c>
      <c r="CG195" s="16">
        <v>-9999</v>
      </c>
      <c r="CH195" s="16">
        <v>-9999</v>
      </c>
      <c r="CI195" s="16">
        <v>-9999</v>
      </c>
      <c r="CJ195" s="16">
        <v>-9999</v>
      </c>
      <c r="CK195" s="16">
        <v>-9999</v>
      </c>
      <c r="CL195" s="16">
        <v>-9999</v>
      </c>
      <c r="CM195" s="16">
        <v>-9999</v>
      </c>
      <c r="CN195" s="16">
        <v>1889.1010000000001</v>
      </c>
      <c r="CO195" s="16">
        <v>1949.7529999999999</v>
      </c>
      <c r="CP195" s="16">
        <v>2029.9870000000001</v>
      </c>
      <c r="CQ195" s="16">
        <v>2115.3061356178</v>
      </c>
      <c r="CR195" s="16">
        <v>2207.8894891533605</v>
      </c>
      <c r="CS195" s="16">
        <v>-9999</v>
      </c>
      <c r="CT195" s="16">
        <v>-9999</v>
      </c>
      <c r="CU195" s="16">
        <v>-9999</v>
      </c>
      <c r="CV195" s="16">
        <v>-9999</v>
      </c>
      <c r="CW195" s="16">
        <v>-9999</v>
      </c>
      <c r="CX195" s="16">
        <v>-9999</v>
      </c>
      <c r="CY195" s="16">
        <v>-9999</v>
      </c>
      <c r="CZ195" s="16">
        <v>-9999</v>
      </c>
      <c r="DA195" s="16">
        <v>1962.61</v>
      </c>
      <c r="DB195" s="16">
        <v>2040.8019999999999</v>
      </c>
      <c r="DC195" s="16">
        <v>2125.3075292159997</v>
      </c>
      <c r="DD195" s="16">
        <v>2211.5831131800055</v>
      </c>
      <c r="DE195" s="16">
        <v>2297.5451372061993</v>
      </c>
      <c r="DF195" s="16">
        <v>-9999</v>
      </c>
      <c r="DG195" s="16">
        <v>-9999</v>
      </c>
      <c r="DH195" s="16">
        <v>-9999</v>
      </c>
      <c r="DI195" s="16">
        <v>-9999</v>
      </c>
      <c r="DJ195" s="16">
        <v>-9999</v>
      </c>
      <c r="DK195" s="16">
        <v>-9999</v>
      </c>
      <c r="DL195" s="16">
        <v>-9999</v>
      </c>
      <c r="DM195" s="16">
        <v>-9999</v>
      </c>
      <c r="DN195" s="16">
        <v>1962.61</v>
      </c>
      <c r="DO195" s="16">
        <v>2040.8019999999999</v>
      </c>
      <c r="DP195" s="16">
        <v>2128.6283222304</v>
      </c>
      <c r="DQ195" s="16">
        <v>2215.0387117943496</v>
      </c>
      <c r="DR195" s="16">
        <v>2301.1350514830842</v>
      </c>
      <c r="DS195" s="16">
        <v>-9999</v>
      </c>
      <c r="DT195" s="16">
        <v>-9999</v>
      </c>
      <c r="DU195" s="16">
        <v>-9999</v>
      </c>
      <c r="DV195" s="16">
        <v>-9999</v>
      </c>
      <c r="DW195" s="16">
        <v>-9999</v>
      </c>
      <c r="DX195" s="16">
        <v>-9999</v>
      </c>
      <c r="DY195" s="16">
        <v>-9999</v>
      </c>
      <c r="DZ195" s="16">
        <v>-9999</v>
      </c>
      <c r="EA195" s="2256">
        <v>1962.61</v>
      </c>
      <c r="EB195" s="2256">
        <v>2040.8019999999999</v>
      </c>
      <c r="EC195" s="2256">
        <v>2125.3075292159997</v>
      </c>
      <c r="ED195" s="2256">
        <v>2211.7992569557268</v>
      </c>
      <c r="EE195" s="2256">
        <v>2298.8954880961292</v>
      </c>
      <c r="EF195" s="2257">
        <v>-9999</v>
      </c>
      <c r="EG195" s="2257">
        <v>-9999</v>
      </c>
      <c r="EH195" s="2257">
        <v>-9999</v>
      </c>
      <c r="EI195" s="2257">
        <v>-9999</v>
      </c>
      <c r="EJ195" s="2257">
        <v>-9999</v>
      </c>
      <c r="EK195" s="2257">
        <v>-9999</v>
      </c>
      <c r="EL195" s="2257">
        <v>-9999</v>
      </c>
      <c r="EM195" s="2257">
        <v>-9999</v>
      </c>
    </row>
    <row r="196" spans="1:143" ht="13.15">
      <c r="A196" s="22">
        <v>96</v>
      </c>
      <c r="B196" s="1" t="s">
        <v>1570</v>
      </c>
      <c r="C196" s="24">
        <f ca="1">OFFSET(Sector1!F720,0,Last_forecast_year - 3-InputY!$G$3)</f>
        <v>146.267</v>
      </c>
      <c r="D196" s="24">
        <f ca="1">OFFSET(Sector1!G720,0,Last_forecast_year - 3-InputY!$G$3)</f>
        <v>158.58800000000002</v>
      </c>
      <c r="E196" s="24">
        <f ca="1">OFFSET(Sector1!H720,0,Last_forecast_year - 3-InputY!$G$3)</f>
        <v>167.94032000000004</v>
      </c>
      <c r="F196" s="24">
        <f ca="1">OFFSET(Sector1!I720,0,Last_forecast_year - 3-InputY!$G$3)</f>
        <v>173.10075964000004</v>
      </c>
      <c r="G196" s="24">
        <f ca="1">OFFSET(Sector1!J720,0,Last_forecast_year - 3-InputY!$G$3)</f>
        <v>176.90049917288005</v>
      </c>
      <c r="H196" s="25">
        <v>-9999</v>
      </c>
      <c r="I196" s="25">
        <v>-9999</v>
      </c>
      <c r="J196" s="25">
        <v>-9999</v>
      </c>
      <c r="K196" s="25">
        <v>-9999</v>
      </c>
      <c r="L196" s="25">
        <v>-9999</v>
      </c>
      <c r="M196" s="25">
        <v>-9999</v>
      </c>
      <c r="N196" s="25">
        <v>-9999</v>
      </c>
      <c r="O196" s="25">
        <v>-9999</v>
      </c>
      <c r="P196"/>
      <c r="Q196"/>
      <c r="AA196" s="22">
        <v>96</v>
      </c>
      <c r="AB196" s="1080" t="str">
        <f t="shared" si="8"/>
        <v>HH GROSS CAPITAL FORMATION</v>
      </c>
      <c r="AC196" s="1080">
        <f>CHOOSE(Tables!$U$2,Transfer!CA196,Transfer!CN196,Transfer!DA196,Transfer!DN196,Transfer!EA196)</f>
        <v>129.53200000000001</v>
      </c>
      <c r="AD196" s="1080">
        <f>CHOOSE(Tables!$U$2,Transfer!CB196,Transfer!CO196,Transfer!DB196,Transfer!DO196,Transfer!EB196)</f>
        <v>137.78700000000001</v>
      </c>
      <c r="AE196" s="1080">
        <f>CHOOSE(Tables!$U$2,Transfer!CC196,Transfer!CP196,Transfer!DC196,Transfer!DP196,Transfer!EC196)</f>
        <v>149.02100000000002</v>
      </c>
      <c r="AF196" s="1080">
        <f>CHOOSE(Tables!$U$2,Transfer!CD196,Transfer!CQ196,Transfer!DD196,Transfer!DQ196,Transfer!ED196)</f>
        <v>156.61457200000001</v>
      </c>
      <c r="AG196" s="1080">
        <f>CHOOSE(Tables!$U$2,Transfer!CE196,Transfer!CR196,Transfer!DE196,Transfer!DR196,Transfer!EE196)</f>
        <v>160.050178184</v>
      </c>
      <c r="AH196" s="1080">
        <f>CHOOSE(Tables!$U$2,Transfer!CF196,Transfer!CS196,Transfer!DF196,Transfer!DS196,Transfer!EF196)</f>
        <v>-9999</v>
      </c>
      <c r="AI196" s="1080">
        <f>CHOOSE(Tables!$U$2,Transfer!CG196,Transfer!CT196,Transfer!DG196,Transfer!DT196,Transfer!EG196)</f>
        <v>-9999</v>
      </c>
      <c r="AJ196" s="1080">
        <f>CHOOSE(Tables!$U$2,Transfer!CH196,Transfer!CU196,Transfer!DH196,Transfer!DU196,Transfer!EH196)</f>
        <v>-9999</v>
      </c>
      <c r="AK196" s="1080">
        <f>CHOOSE(Tables!$U$2,Transfer!CI196,Transfer!CV196,Transfer!DI196,Transfer!DV196,Transfer!EI196)</f>
        <v>-9999</v>
      </c>
      <c r="AL196" s="1080">
        <f>CHOOSE(Tables!$U$2,Transfer!CJ196,Transfer!CW196,Transfer!DJ196,Transfer!DW196,Transfer!EJ196)</f>
        <v>-9999</v>
      </c>
      <c r="AM196" s="1080">
        <f>CHOOSE(Tables!$U$2,Transfer!CK196,Transfer!CX196,Transfer!DK196,Transfer!DX196,Transfer!EK196)</f>
        <v>-9999</v>
      </c>
      <c r="AN196" s="1080">
        <f>CHOOSE(Tables!$U$2,Transfer!CL196,Transfer!CY196,Transfer!DL196,Transfer!DY196,Transfer!EL196)</f>
        <v>-9999</v>
      </c>
      <c r="AO196" s="1080">
        <f>CHOOSE(Tables!$U$2,Transfer!CM196,Transfer!CZ196,Transfer!DM196,Transfer!DZ196,Transfer!EM196)</f>
        <v>-9999</v>
      </c>
      <c r="AR196" s="22">
        <v>96</v>
      </c>
      <c r="AS196" s="1" t="s">
        <v>1570</v>
      </c>
      <c r="AT196" s="24">
        <f t="shared" ca="1" si="10"/>
        <v>16.734999999999985</v>
      </c>
      <c r="AU196" s="24">
        <f t="shared" ca="1" si="11"/>
        <v>20.801000000000016</v>
      </c>
      <c r="AV196" s="24">
        <f t="shared" ca="1" si="12"/>
        <v>18.919320000000027</v>
      </c>
      <c r="AW196" s="24">
        <f t="shared" ca="1" si="13"/>
        <v>16.486187640000026</v>
      </c>
      <c r="AX196" s="24">
        <f t="shared" ca="1" si="14"/>
        <v>16.850320988880043</v>
      </c>
      <c r="AY196" s="25">
        <f t="shared" si="15"/>
        <v>0</v>
      </c>
      <c r="AZ196" s="25">
        <f t="shared" si="16"/>
        <v>0</v>
      </c>
      <c r="BA196" s="25">
        <f t="shared" si="17"/>
        <v>0</v>
      </c>
      <c r="BB196" s="25">
        <f t="shared" si="18"/>
        <v>0</v>
      </c>
      <c r="BC196" s="25">
        <f t="shared" si="7"/>
        <v>0</v>
      </c>
      <c r="BD196" s="25">
        <f t="shared" si="7"/>
        <v>0</v>
      </c>
      <c r="BE196" s="25">
        <f t="shared" si="7"/>
        <v>0</v>
      </c>
      <c r="BF196" s="25">
        <f t="shared" si="7"/>
        <v>0</v>
      </c>
      <c r="CA196" s="16">
        <v>146.267</v>
      </c>
      <c r="CB196" s="16">
        <v>158.58800000000002</v>
      </c>
      <c r="CC196" s="16">
        <v>167.94032000000004</v>
      </c>
      <c r="CD196" s="16">
        <v>173.10075964000004</v>
      </c>
      <c r="CE196" s="16">
        <v>176.90049917288005</v>
      </c>
      <c r="CF196" s="16">
        <v>-9999</v>
      </c>
      <c r="CG196" s="16">
        <v>-9999</v>
      </c>
      <c r="CH196" s="16">
        <v>-9999</v>
      </c>
      <c r="CI196" s="16">
        <v>-9999</v>
      </c>
      <c r="CJ196" s="16">
        <v>-9999</v>
      </c>
      <c r="CK196" s="16">
        <v>-9999</v>
      </c>
      <c r="CL196" s="16">
        <v>-9999</v>
      </c>
      <c r="CM196" s="16">
        <v>-9999</v>
      </c>
      <c r="CN196" s="16">
        <v>129.53200000000001</v>
      </c>
      <c r="CO196" s="16">
        <v>137.78700000000001</v>
      </c>
      <c r="CP196" s="16">
        <v>149.02100000000002</v>
      </c>
      <c r="CQ196" s="16">
        <v>156.61457200000001</v>
      </c>
      <c r="CR196" s="16">
        <v>160.050178184</v>
      </c>
      <c r="CS196" s="16">
        <v>-9999</v>
      </c>
      <c r="CT196" s="16">
        <v>-9999</v>
      </c>
      <c r="CU196" s="16">
        <v>-9999</v>
      </c>
      <c r="CV196" s="16">
        <v>-9999</v>
      </c>
      <c r="CW196" s="16">
        <v>-9999</v>
      </c>
      <c r="CX196" s="16">
        <v>-9999</v>
      </c>
      <c r="CY196" s="16">
        <v>-9999</v>
      </c>
      <c r="CZ196" s="16">
        <v>-9999</v>
      </c>
      <c r="DA196" s="16">
        <v>146.267</v>
      </c>
      <c r="DB196" s="16">
        <v>158.58800000000002</v>
      </c>
      <c r="DC196" s="16">
        <v>167.94032000000004</v>
      </c>
      <c r="DD196" s="16">
        <v>173.10075964000004</v>
      </c>
      <c r="DE196" s="16">
        <v>176.90049917288005</v>
      </c>
      <c r="DF196" s="16">
        <v>-9999</v>
      </c>
      <c r="DG196" s="16">
        <v>-9999</v>
      </c>
      <c r="DH196" s="16">
        <v>-9999</v>
      </c>
      <c r="DI196" s="16">
        <v>-9999</v>
      </c>
      <c r="DJ196" s="16">
        <v>-9999</v>
      </c>
      <c r="DK196" s="16">
        <v>-9999</v>
      </c>
      <c r="DL196" s="16">
        <v>-9999</v>
      </c>
      <c r="DM196" s="16">
        <v>-9999</v>
      </c>
      <c r="DN196" s="16">
        <v>146.267</v>
      </c>
      <c r="DO196" s="16">
        <v>158.58800000000002</v>
      </c>
      <c r="DP196" s="16">
        <v>167.94032000000004</v>
      </c>
      <c r="DQ196" s="16">
        <v>173.10075964000004</v>
      </c>
      <c r="DR196" s="16">
        <v>176.90049917288005</v>
      </c>
      <c r="DS196" s="16">
        <v>-9999</v>
      </c>
      <c r="DT196" s="16">
        <v>-9999</v>
      </c>
      <c r="DU196" s="16">
        <v>-9999</v>
      </c>
      <c r="DV196" s="16">
        <v>-9999</v>
      </c>
      <c r="DW196" s="16">
        <v>-9999</v>
      </c>
      <c r="DX196" s="16">
        <v>-9999</v>
      </c>
      <c r="DY196" s="16">
        <v>-9999</v>
      </c>
      <c r="DZ196" s="16">
        <v>-9999</v>
      </c>
      <c r="EA196" s="2256">
        <v>146.267</v>
      </c>
      <c r="EB196" s="2256">
        <v>158.58800000000002</v>
      </c>
      <c r="EC196" s="2256">
        <v>167.94032000000004</v>
      </c>
      <c r="ED196" s="2256">
        <v>173.10075964000004</v>
      </c>
      <c r="EE196" s="2256">
        <v>176.90049917288005</v>
      </c>
      <c r="EF196" s="2257">
        <v>-9999</v>
      </c>
      <c r="EG196" s="2257">
        <v>-9999</v>
      </c>
      <c r="EH196" s="2257">
        <v>-9999</v>
      </c>
      <c r="EI196" s="2257">
        <v>-9999</v>
      </c>
      <c r="EJ196" s="2257">
        <v>-9999</v>
      </c>
      <c r="EK196" s="2257">
        <v>-9999</v>
      </c>
      <c r="EL196" s="2257">
        <v>-9999</v>
      </c>
      <c r="EM196" s="2257">
        <v>-9999</v>
      </c>
    </row>
    <row r="197" spans="1:143" ht="13.15">
      <c r="A197" s="22">
        <v>97</v>
      </c>
      <c r="B197" s="1" t="s">
        <v>1572</v>
      </c>
      <c r="C197" s="24">
        <f ca="1">OFFSET(Sector1!F725,0,Last_forecast_year - 3-InputY!$G$3)</f>
        <v>8.1560000000000006</v>
      </c>
      <c r="D197" s="24">
        <f ca="1">OFFSET(Sector1!G725,0,Last_forecast_year - 3-InputY!$G$3)</f>
        <v>9.652000000000001</v>
      </c>
      <c r="E197" s="24">
        <f ca="1">OFFSET(Sector1!H725,0,Last_forecast_year - 3-InputY!$G$3)</f>
        <v>9.6394599999999997</v>
      </c>
      <c r="F197" s="24">
        <f ca="1">OFFSET(Sector1!I725,0,Last_forecast_year - 3-InputY!$G$3)</f>
        <v>9.6265438000000003</v>
      </c>
      <c r="G197" s="24">
        <f ca="1">OFFSET(Sector1!J725,0,Last_forecast_year - 3-InputY!$G$3)</f>
        <v>9.6132401139999999</v>
      </c>
      <c r="H197" s="25">
        <v>-9999</v>
      </c>
      <c r="I197" s="25">
        <v>-9999</v>
      </c>
      <c r="J197" s="25">
        <v>-9999</v>
      </c>
      <c r="K197" s="25">
        <v>-9999</v>
      </c>
      <c r="L197" s="25">
        <v>-9999</v>
      </c>
      <c r="M197" s="25">
        <v>-9999</v>
      </c>
      <c r="N197" s="25">
        <v>-9999</v>
      </c>
      <c r="O197" s="25">
        <v>-9999</v>
      </c>
      <c r="P197"/>
      <c r="Q197"/>
      <c r="AA197" s="22">
        <v>97</v>
      </c>
      <c r="AB197" s="1080" t="str">
        <f t="shared" si="8"/>
        <v>HH OTHER CAPITAL EXPENDITURE (PAID-REC.)</v>
      </c>
      <c r="AC197" s="1080">
        <f>CHOOSE(Tables!$U$2,Transfer!CA197,Transfer!CN197,Transfer!DA197,Transfer!DN197,Transfer!EA197)</f>
        <v>6.5760000000000005</v>
      </c>
      <c r="AD197" s="1080">
        <f>CHOOSE(Tables!$U$2,Transfer!CB197,Transfer!CO197,Transfer!DB197,Transfer!DO197,Transfer!EB197)</f>
        <v>8.7959999999999994</v>
      </c>
      <c r="AE197" s="1080">
        <f>CHOOSE(Tables!$U$2,Transfer!CC197,Transfer!CP197,Transfer!DC197,Transfer!DP197,Transfer!EC197)</f>
        <v>10.093999999999999</v>
      </c>
      <c r="AF197" s="1080">
        <f>CHOOSE(Tables!$U$2,Transfer!CD197,Transfer!CQ197,Transfer!DD197,Transfer!DQ197,Transfer!ED197)</f>
        <v>10.077829999999999</v>
      </c>
      <c r="AG197" s="1080">
        <f>CHOOSE(Tables!$U$2,Transfer!CE197,Transfer!CR197,Transfer!DE197,Transfer!DR197,Transfer!EE197)</f>
        <v>10.061174899999999</v>
      </c>
      <c r="AH197" s="1080">
        <f>CHOOSE(Tables!$U$2,Transfer!CF197,Transfer!CS197,Transfer!DF197,Transfer!DS197,Transfer!EF197)</f>
        <v>-9999</v>
      </c>
      <c r="AI197" s="1080">
        <f>CHOOSE(Tables!$U$2,Transfer!CG197,Transfer!CT197,Transfer!DG197,Transfer!DT197,Transfer!EG197)</f>
        <v>-9999</v>
      </c>
      <c r="AJ197" s="1080">
        <f>CHOOSE(Tables!$U$2,Transfer!CH197,Transfer!CU197,Transfer!DH197,Transfer!DU197,Transfer!EH197)</f>
        <v>-9999</v>
      </c>
      <c r="AK197" s="1080">
        <f>CHOOSE(Tables!$U$2,Transfer!CI197,Transfer!CV197,Transfer!DI197,Transfer!DV197,Transfer!EI197)</f>
        <v>-9999</v>
      </c>
      <c r="AL197" s="1080">
        <f>CHOOSE(Tables!$U$2,Transfer!CJ197,Transfer!CW197,Transfer!DJ197,Transfer!DW197,Transfer!EJ197)</f>
        <v>-9999</v>
      </c>
      <c r="AM197" s="1080">
        <f>CHOOSE(Tables!$U$2,Transfer!CK197,Transfer!CX197,Transfer!DK197,Transfer!DX197,Transfer!EK197)</f>
        <v>-9999</v>
      </c>
      <c r="AN197" s="1080">
        <f>CHOOSE(Tables!$U$2,Transfer!CL197,Transfer!CY197,Transfer!DL197,Transfer!DY197,Transfer!EL197)</f>
        <v>-9999</v>
      </c>
      <c r="AO197" s="1080">
        <f>CHOOSE(Tables!$U$2,Transfer!CM197,Transfer!CZ197,Transfer!DM197,Transfer!DZ197,Transfer!EM197)</f>
        <v>-9999</v>
      </c>
      <c r="AR197" s="22">
        <v>97</v>
      </c>
      <c r="AS197" s="1" t="s">
        <v>1572</v>
      </c>
      <c r="AT197" s="24">
        <f t="shared" ca="1" si="10"/>
        <v>1.58</v>
      </c>
      <c r="AU197" s="24">
        <f t="shared" ca="1" si="11"/>
        <v>0.85600000000000165</v>
      </c>
      <c r="AV197" s="24">
        <f t="shared" ca="1" si="12"/>
        <v>-0.45453999999999972</v>
      </c>
      <c r="AW197" s="24">
        <f t="shared" ca="1" si="13"/>
        <v>-0.45128619999999842</v>
      </c>
      <c r="AX197" s="24">
        <f t="shared" ca="1" si="14"/>
        <v>-0.44793478599999936</v>
      </c>
      <c r="AY197" s="25">
        <f t="shared" si="15"/>
        <v>0</v>
      </c>
      <c r="AZ197" s="25">
        <f t="shared" si="16"/>
        <v>0</v>
      </c>
      <c r="BA197" s="25">
        <f t="shared" si="17"/>
        <v>0</v>
      </c>
      <c r="BB197" s="25">
        <f t="shared" si="18"/>
        <v>0</v>
      </c>
      <c r="BC197" s="25">
        <f t="shared" si="7"/>
        <v>0</v>
      </c>
      <c r="BD197" s="25">
        <f t="shared" si="7"/>
        <v>0</v>
      </c>
      <c r="BE197" s="25">
        <f t="shared" si="7"/>
        <v>0</v>
      </c>
      <c r="BF197" s="25">
        <f t="shared" si="7"/>
        <v>0</v>
      </c>
      <c r="CA197" s="16">
        <v>8.1560000000000006</v>
      </c>
      <c r="CB197" s="16">
        <v>9.652000000000001</v>
      </c>
      <c r="CC197" s="16">
        <v>9.6394599999999997</v>
      </c>
      <c r="CD197" s="16">
        <v>9.6265438000000003</v>
      </c>
      <c r="CE197" s="16">
        <v>9.6132401139999999</v>
      </c>
      <c r="CF197" s="16">
        <v>-9999</v>
      </c>
      <c r="CG197" s="16">
        <v>-9999</v>
      </c>
      <c r="CH197" s="16">
        <v>-9999</v>
      </c>
      <c r="CI197" s="16">
        <v>-9999</v>
      </c>
      <c r="CJ197" s="16">
        <v>-9999</v>
      </c>
      <c r="CK197" s="16">
        <v>-9999</v>
      </c>
      <c r="CL197" s="16">
        <v>-9999</v>
      </c>
      <c r="CM197" s="16">
        <v>-9999</v>
      </c>
      <c r="CN197" s="16">
        <v>6.5760000000000005</v>
      </c>
      <c r="CO197" s="16">
        <v>8.7959999999999994</v>
      </c>
      <c r="CP197" s="16">
        <v>10.093999999999999</v>
      </c>
      <c r="CQ197" s="16">
        <v>10.077829999999999</v>
      </c>
      <c r="CR197" s="16">
        <v>10.061174899999999</v>
      </c>
      <c r="CS197" s="16">
        <v>-9999</v>
      </c>
      <c r="CT197" s="16">
        <v>-9999</v>
      </c>
      <c r="CU197" s="16">
        <v>-9999</v>
      </c>
      <c r="CV197" s="16">
        <v>-9999</v>
      </c>
      <c r="CW197" s="16">
        <v>-9999</v>
      </c>
      <c r="CX197" s="16">
        <v>-9999</v>
      </c>
      <c r="CY197" s="16">
        <v>-9999</v>
      </c>
      <c r="CZ197" s="16">
        <v>-9999</v>
      </c>
      <c r="DA197" s="16">
        <v>8.1560000000000006</v>
      </c>
      <c r="DB197" s="16">
        <v>9.652000000000001</v>
      </c>
      <c r="DC197" s="16">
        <v>9.6394599999999997</v>
      </c>
      <c r="DD197" s="16">
        <v>9.6265438000000003</v>
      </c>
      <c r="DE197" s="16">
        <v>9.6132401139999999</v>
      </c>
      <c r="DF197" s="16">
        <v>-9999</v>
      </c>
      <c r="DG197" s="16">
        <v>-9999</v>
      </c>
      <c r="DH197" s="16">
        <v>-9999</v>
      </c>
      <c r="DI197" s="16">
        <v>-9999</v>
      </c>
      <c r="DJ197" s="16">
        <v>-9999</v>
      </c>
      <c r="DK197" s="16">
        <v>-9999</v>
      </c>
      <c r="DL197" s="16">
        <v>-9999</v>
      </c>
      <c r="DM197" s="16">
        <v>-9999</v>
      </c>
      <c r="DN197" s="16">
        <v>8.1560000000000006</v>
      </c>
      <c r="DO197" s="16">
        <v>9.652000000000001</v>
      </c>
      <c r="DP197" s="16">
        <v>9.6394599999999997</v>
      </c>
      <c r="DQ197" s="16">
        <v>9.6265438000000003</v>
      </c>
      <c r="DR197" s="16">
        <v>9.6132401139999999</v>
      </c>
      <c r="DS197" s="16">
        <v>-9999</v>
      </c>
      <c r="DT197" s="16">
        <v>-9999</v>
      </c>
      <c r="DU197" s="16">
        <v>-9999</v>
      </c>
      <c r="DV197" s="16">
        <v>-9999</v>
      </c>
      <c r="DW197" s="16">
        <v>-9999</v>
      </c>
      <c r="DX197" s="16">
        <v>-9999</v>
      </c>
      <c r="DY197" s="16">
        <v>-9999</v>
      </c>
      <c r="DZ197" s="16">
        <v>-9999</v>
      </c>
      <c r="EA197" s="2256">
        <v>8.1560000000000006</v>
      </c>
      <c r="EB197" s="2256">
        <v>9.652000000000001</v>
      </c>
      <c r="EC197" s="2256">
        <v>9.6394599999999997</v>
      </c>
      <c r="ED197" s="2256">
        <v>9.6265438000000003</v>
      </c>
      <c r="EE197" s="2256">
        <v>9.6132401139999999</v>
      </c>
      <c r="EF197" s="2257">
        <v>-9999</v>
      </c>
      <c r="EG197" s="2257">
        <v>-9999</v>
      </c>
      <c r="EH197" s="2257">
        <v>-9999</v>
      </c>
      <c r="EI197" s="2257">
        <v>-9999</v>
      </c>
      <c r="EJ197" s="2257">
        <v>-9999</v>
      </c>
      <c r="EK197" s="2257">
        <v>-9999</v>
      </c>
      <c r="EL197" s="2257">
        <v>-9999</v>
      </c>
      <c r="EM197" s="2257">
        <v>-9999</v>
      </c>
    </row>
    <row r="198" spans="1:143" ht="13.15">
      <c r="A198" s="22">
        <v>98</v>
      </c>
      <c r="B198" s="30" t="s">
        <v>973</v>
      </c>
      <c r="C198" s="25">
        <v>-9999</v>
      </c>
      <c r="D198" s="25">
        <v>-9999</v>
      </c>
      <c r="E198" s="25">
        <v>-9999</v>
      </c>
      <c r="F198" s="25">
        <v>-9999</v>
      </c>
      <c r="G198" s="25">
        <v>-9999</v>
      </c>
      <c r="H198" s="25">
        <v>-9999</v>
      </c>
      <c r="I198" s="25">
        <v>-9999</v>
      </c>
      <c r="J198" s="25">
        <v>-9999</v>
      </c>
      <c r="K198" s="25">
        <v>-9999</v>
      </c>
      <c r="L198" s="25">
        <v>-9999</v>
      </c>
      <c r="M198" s="25">
        <v>-9999</v>
      </c>
      <c r="N198" s="25">
        <v>-9999</v>
      </c>
      <c r="O198" s="25">
        <v>-9999</v>
      </c>
      <c r="P198"/>
      <c r="Q198"/>
      <c r="AA198" s="22">
        <v>98</v>
      </c>
      <c r="AB198" s="1080" t="str">
        <f t="shared" si="8"/>
        <v>FOR FUTURE USE</v>
      </c>
      <c r="AC198" s="1080">
        <f>CHOOSE(Tables!$U$2,Transfer!CA198,Transfer!CN198,Transfer!DA198,Transfer!DN198,Transfer!EA198)</f>
        <v>-9999</v>
      </c>
      <c r="AD198" s="1080">
        <f>CHOOSE(Tables!$U$2,Transfer!CB198,Transfer!CO198,Transfer!DB198,Transfer!DO198,Transfer!EB198)</f>
        <v>-9999</v>
      </c>
      <c r="AE198" s="1080">
        <f>CHOOSE(Tables!$U$2,Transfer!CC198,Transfer!CP198,Transfer!DC198,Transfer!DP198,Transfer!EC198)</f>
        <v>-9999</v>
      </c>
      <c r="AF198" s="1080">
        <f>CHOOSE(Tables!$U$2,Transfer!CD198,Transfer!CQ198,Transfer!DD198,Transfer!DQ198,Transfer!ED198)</f>
        <v>-9999</v>
      </c>
      <c r="AG198" s="1080">
        <f>CHOOSE(Tables!$U$2,Transfer!CE198,Transfer!CR198,Transfer!DE198,Transfer!DR198,Transfer!EE198)</f>
        <v>-9999</v>
      </c>
      <c r="AH198" s="1080">
        <f>CHOOSE(Tables!$U$2,Transfer!CF198,Transfer!CS198,Transfer!DF198,Transfer!DS198,Transfer!EF198)</f>
        <v>-9999</v>
      </c>
      <c r="AI198" s="1080">
        <f>CHOOSE(Tables!$U$2,Transfer!CG198,Transfer!CT198,Transfer!DG198,Transfer!DT198,Transfer!EG198)</f>
        <v>-9999</v>
      </c>
      <c r="AJ198" s="1080">
        <f>CHOOSE(Tables!$U$2,Transfer!CH198,Transfer!CU198,Transfer!DH198,Transfer!DU198,Transfer!EH198)</f>
        <v>-9999</v>
      </c>
      <c r="AK198" s="1080">
        <f>CHOOSE(Tables!$U$2,Transfer!CI198,Transfer!CV198,Transfer!DI198,Transfer!DV198,Transfer!EI198)</f>
        <v>-9999</v>
      </c>
      <c r="AL198" s="1080">
        <f>CHOOSE(Tables!$U$2,Transfer!CJ198,Transfer!CW198,Transfer!DJ198,Transfer!DW198,Transfer!EJ198)</f>
        <v>-9999</v>
      </c>
      <c r="AM198" s="1080">
        <f>CHOOSE(Tables!$U$2,Transfer!CK198,Transfer!CX198,Transfer!DK198,Transfer!DX198,Transfer!EK198)</f>
        <v>-9999</v>
      </c>
      <c r="AN198" s="1080">
        <f>CHOOSE(Tables!$U$2,Transfer!CL198,Transfer!CY198,Transfer!DL198,Transfer!DY198,Transfer!EL198)</f>
        <v>-9999</v>
      </c>
      <c r="AO198" s="1080">
        <f>CHOOSE(Tables!$U$2,Transfer!CM198,Transfer!CZ198,Transfer!DM198,Transfer!DZ198,Transfer!EM198)</f>
        <v>-9999</v>
      </c>
      <c r="AR198" s="22">
        <v>98</v>
      </c>
      <c r="AS198" s="30" t="s">
        <v>973</v>
      </c>
      <c r="AT198" s="25">
        <f t="shared" si="10"/>
        <v>0</v>
      </c>
      <c r="AU198" s="25">
        <f t="shared" si="11"/>
        <v>0</v>
      </c>
      <c r="AV198" s="25">
        <f t="shared" si="12"/>
        <v>0</v>
      </c>
      <c r="AW198" s="25">
        <f t="shared" si="13"/>
        <v>0</v>
      </c>
      <c r="AX198" s="25">
        <f t="shared" si="14"/>
        <v>0</v>
      </c>
      <c r="AY198" s="25">
        <f t="shared" si="15"/>
        <v>0</v>
      </c>
      <c r="AZ198" s="25">
        <f t="shared" si="16"/>
        <v>0</v>
      </c>
      <c r="BA198" s="25">
        <f t="shared" si="17"/>
        <v>0</v>
      </c>
      <c r="BB198" s="25">
        <f t="shared" si="18"/>
        <v>0</v>
      </c>
      <c r="BC198" s="25">
        <f t="shared" si="7"/>
        <v>0</v>
      </c>
      <c r="BD198" s="25">
        <f t="shared" si="7"/>
        <v>0</v>
      </c>
      <c r="BE198" s="25">
        <f t="shared" si="7"/>
        <v>0</v>
      </c>
      <c r="BF198" s="25">
        <f t="shared" si="7"/>
        <v>0</v>
      </c>
      <c r="CA198" s="16">
        <v>-9999</v>
      </c>
      <c r="CB198" s="16">
        <v>-9999</v>
      </c>
      <c r="CC198" s="16">
        <v>-9999</v>
      </c>
      <c r="CD198" s="16">
        <v>-9999</v>
      </c>
      <c r="CE198" s="16">
        <v>-9999</v>
      </c>
      <c r="CF198" s="16">
        <v>-9999</v>
      </c>
      <c r="CG198" s="16">
        <v>-9999</v>
      </c>
      <c r="CH198" s="16">
        <v>-9999</v>
      </c>
      <c r="CI198" s="16">
        <v>-9999</v>
      </c>
      <c r="CJ198" s="16">
        <v>-9999</v>
      </c>
      <c r="CK198" s="16">
        <v>-9999</v>
      </c>
      <c r="CL198" s="16">
        <v>-9999</v>
      </c>
      <c r="CM198" s="16">
        <v>-9999</v>
      </c>
      <c r="CN198" s="16">
        <v>-9999</v>
      </c>
      <c r="CO198" s="16">
        <v>-9999</v>
      </c>
      <c r="CP198" s="16">
        <v>-9999</v>
      </c>
      <c r="CQ198" s="16">
        <v>-9999</v>
      </c>
      <c r="CR198" s="16">
        <v>-9999</v>
      </c>
      <c r="CS198" s="16">
        <v>-9999</v>
      </c>
      <c r="CT198" s="16">
        <v>-9999</v>
      </c>
      <c r="CU198" s="16">
        <v>-9999</v>
      </c>
      <c r="CV198" s="16">
        <v>-9999</v>
      </c>
      <c r="CW198" s="16">
        <v>-9999</v>
      </c>
      <c r="CX198" s="16">
        <v>-9999</v>
      </c>
      <c r="CY198" s="16">
        <v>-9999</v>
      </c>
      <c r="CZ198" s="16">
        <v>-9999</v>
      </c>
      <c r="DA198" s="16">
        <v>-9999</v>
      </c>
      <c r="DB198" s="16">
        <v>-9999</v>
      </c>
      <c r="DC198" s="16">
        <v>-9999</v>
      </c>
      <c r="DD198" s="16">
        <v>-9999</v>
      </c>
      <c r="DE198" s="16">
        <v>-9999</v>
      </c>
      <c r="DF198" s="16">
        <v>-9999</v>
      </c>
      <c r="DG198" s="16">
        <v>-9999</v>
      </c>
      <c r="DH198" s="16">
        <v>-9999</v>
      </c>
      <c r="DI198" s="16">
        <v>-9999</v>
      </c>
      <c r="DJ198" s="16">
        <v>-9999</v>
      </c>
      <c r="DK198" s="16">
        <v>-9999</v>
      </c>
      <c r="DL198" s="16">
        <v>-9999</v>
      </c>
      <c r="DM198" s="16">
        <v>-9999</v>
      </c>
      <c r="DN198" s="16">
        <v>-9999</v>
      </c>
      <c r="DO198" s="16">
        <v>-9999</v>
      </c>
      <c r="DP198" s="16">
        <v>-9999</v>
      </c>
      <c r="DQ198" s="16">
        <v>-9999</v>
      </c>
      <c r="DR198" s="16">
        <v>-9999</v>
      </c>
      <c r="DS198" s="16">
        <v>-9999</v>
      </c>
      <c r="DT198" s="16">
        <v>-9999</v>
      </c>
      <c r="DU198" s="16">
        <v>-9999</v>
      </c>
      <c r="DV198" s="16">
        <v>-9999</v>
      </c>
      <c r="DW198" s="16">
        <v>-9999</v>
      </c>
      <c r="DX198" s="16">
        <v>-9999</v>
      </c>
      <c r="DY198" s="16">
        <v>-9999</v>
      </c>
      <c r="DZ198" s="16">
        <v>-9999</v>
      </c>
      <c r="EA198" s="2257">
        <v>-9999</v>
      </c>
      <c r="EB198" s="2257">
        <v>-9999</v>
      </c>
      <c r="EC198" s="2257">
        <v>-9999</v>
      </c>
      <c r="ED198" s="2257">
        <v>-9999</v>
      </c>
      <c r="EE198" s="2257">
        <v>-9999</v>
      </c>
      <c r="EF198" s="2257">
        <v>-9999</v>
      </c>
      <c r="EG198" s="2257">
        <v>-9999</v>
      </c>
      <c r="EH198" s="2257">
        <v>-9999</v>
      </c>
      <c r="EI198" s="2257">
        <v>-9999</v>
      </c>
      <c r="EJ198" s="2257">
        <v>-9999</v>
      </c>
      <c r="EK198" s="2257">
        <v>-9999</v>
      </c>
      <c r="EL198" s="2257">
        <v>-9999</v>
      </c>
      <c r="EM198" s="2257">
        <v>-9999</v>
      </c>
    </row>
    <row r="199" spans="1:143" ht="13.15">
      <c r="A199" s="22">
        <v>99</v>
      </c>
      <c r="B199" s="30" t="s">
        <v>973</v>
      </c>
      <c r="C199" s="25">
        <v>-9999</v>
      </c>
      <c r="D199" s="25">
        <v>-9999</v>
      </c>
      <c r="E199" s="25">
        <v>-9999</v>
      </c>
      <c r="F199" s="25">
        <v>-9999</v>
      </c>
      <c r="G199" s="25">
        <v>-9999</v>
      </c>
      <c r="H199" s="25">
        <v>-9999</v>
      </c>
      <c r="I199" s="25">
        <v>-9999</v>
      </c>
      <c r="J199" s="25">
        <v>-9999</v>
      </c>
      <c r="K199" s="25">
        <v>-9999</v>
      </c>
      <c r="L199" s="25">
        <v>-9999</v>
      </c>
      <c r="M199" s="25">
        <v>-9999</v>
      </c>
      <c r="N199" s="25">
        <v>-9999</v>
      </c>
      <c r="O199" s="25">
        <v>-9999</v>
      </c>
      <c r="P199"/>
      <c r="Q199"/>
      <c r="AA199" s="22">
        <v>99</v>
      </c>
      <c r="AB199" s="1080" t="str">
        <f t="shared" si="8"/>
        <v>FOR FUTURE USE</v>
      </c>
      <c r="AC199" s="1080">
        <f>CHOOSE(Tables!$U$2,Transfer!CA199,Transfer!CN199,Transfer!DA199,Transfer!DN199,Transfer!EA199)</f>
        <v>-9999</v>
      </c>
      <c r="AD199" s="1080">
        <f>CHOOSE(Tables!$U$2,Transfer!CB199,Transfer!CO199,Transfer!DB199,Transfer!DO199,Transfer!EB199)</f>
        <v>-9999</v>
      </c>
      <c r="AE199" s="1080">
        <f>CHOOSE(Tables!$U$2,Transfer!CC199,Transfer!CP199,Transfer!DC199,Transfer!DP199,Transfer!EC199)</f>
        <v>-9999</v>
      </c>
      <c r="AF199" s="1080">
        <f>CHOOSE(Tables!$U$2,Transfer!CD199,Transfer!CQ199,Transfer!DD199,Transfer!DQ199,Transfer!ED199)</f>
        <v>-9999</v>
      </c>
      <c r="AG199" s="1080">
        <f>CHOOSE(Tables!$U$2,Transfer!CE199,Transfer!CR199,Transfer!DE199,Transfer!DR199,Transfer!EE199)</f>
        <v>-9999</v>
      </c>
      <c r="AH199" s="1080">
        <f>CHOOSE(Tables!$U$2,Transfer!CF199,Transfer!CS199,Transfer!DF199,Transfer!DS199,Transfer!EF199)</f>
        <v>-9999</v>
      </c>
      <c r="AI199" s="1080">
        <f>CHOOSE(Tables!$U$2,Transfer!CG199,Transfer!CT199,Transfer!DG199,Transfer!DT199,Transfer!EG199)</f>
        <v>-9999</v>
      </c>
      <c r="AJ199" s="1080">
        <f>CHOOSE(Tables!$U$2,Transfer!CH199,Transfer!CU199,Transfer!DH199,Transfer!DU199,Transfer!EH199)</f>
        <v>-9999</v>
      </c>
      <c r="AK199" s="1080">
        <f>CHOOSE(Tables!$U$2,Transfer!CI199,Transfer!CV199,Transfer!DI199,Transfer!DV199,Transfer!EI199)</f>
        <v>-9999</v>
      </c>
      <c r="AL199" s="1080">
        <f>CHOOSE(Tables!$U$2,Transfer!CJ199,Transfer!CW199,Transfer!DJ199,Transfer!DW199,Transfer!EJ199)</f>
        <v>-9999</v>
      </c>
      <c r="AM199" s="1080">
        <f>CHOOSE(Tables!$U$2,Transfer!CK199,Transfer!CX199,Transfer!DK199,Transfer!DX199,Transfer!EK199)</f>
        <v>-9999</v>
      </c>
      <c r="AN199" s="1080">
        <f>CHOOSE(Tables!$U$2,Transfer!CL199,Transfer!CY199,Transfer!DL199,Transfer!DY199,Transfer!EL199)</f>
        <v>-9999</v>
      </c>
      <c r="AO199" s="1080">
        <f>CHOOSE(Tables!$U$2,Transfer!CM199,Transfer!CZ199,Transfer!DM199,Transfer!DZ199,Transfer!EM199)</f>
        <v>-9999</v>
      </c>
      <c r="AR199" s="22">
        <v>99</v>
      </c>
      <c r="AS199" s="30" t="s">
        <v>973</v>
      </c>
      <c r="AT199" s="25">
        <f t="shared" si="10"/>
        <v>0</v>
      </c>
      <c r="AU199" s="25">
        <f t="shared" si="11"/>
        <v>0</v>
      </c>
      <c r="AV199" s="25">
        <f t="shared" si="12"/>
        <v>0</v>
      </c>
      <c r="AW199" s="25">
        <f t="shared" si="13"/>
        <v>0</v>
      </c>
      <c r="AX199" s="25">
        <f t="shared" si="14"/>
        <v>0</v>
      </c>
      <c r="AY199" s="25">
        <f t="shared" si="15"/>
        <v>0</v>
      </c>
      <c r="AZ199" s="25">
        <f t="shared" si="16"/>
        <v>0</v>
      </c>
      <c r="BA199" s="25">
        <f t="shared" si="17"/>
        <v>0</v>
      </c>
      <c r="BB199" s="25">
        <f t="shared" si="18"/>
        <v>0</v>
      </c>
      <c r="BC199" s="25">
        <f t="shared" si="7"/>
        <v>0</v>
      </c>
      <c r="BD199" s="25">
        <f t="shared" si="7"/>
        <v>0</v>
      </c>
      <c r="BE199" s="25">
        <f t="shared" si="7"/>
        <v>0</v>
      </c>
      <c r="BF199" s="25">
        <f t="shared" si="7"/>
        <v>0</v>
      </c>
      <c r="CA199" s="16">
        <v>-9999</v>
      </c>
      <c r="CB199" s="16">
        <v>-9999</v>
      </c>
      <c r="CC199" s="16">
        <v>-9999</v>
      </c>
      <c r="CD199" s="16">
        <v>-9999</v>
      </c>
      <c r="CE199" s="16">
        <v>-9999</v>
      </c>
      <c r="CF199" s="16">
        <v>-9999</v>
      </c>
      <c r="CG199" s="16">
        <v>-9999</v>
      </c>
      <c r="CH199" s="16">
        <v>-9999</v>
      </c>
      <c r="CI199" s="16">
        <v>-9999</v>
      </c>
      <c r="CJ199" s="16">
        <v>-9999</v>
      </c>
      <c r="CK199" s="16">
        <v>-9999</v>
      </c>
      <c r="CL199" s="16">
        <v>-9999</v>
      </c>
      <c r="CM199" s="16">
        <v>-9999</v>
      </c>
      <c r="CN199" s="16">
        <v>-9999</v>
      </c>
      <c r="CO199" s="16">
        <v>-9999</v>
      </c>
      <c r="CP199" s="16">
        <v>-9999</v>
      </c>
      <c r="CQ199" s="16">
        <v>-9999</v>
      </c>
      <c r="CR199" s="16">
        <v>-9999</v>
      </c>
      <c r="CS199" s="16">
        <v>-9999</v>
      </c>
      <c r="CT199" s="16">
        <v>-9999</v>
      </c>
      <c r="CU199" s="16">
        <v>-9999</v>
      </c>
      <c r="CV199" s="16">
        <v>-9999</v>
      </c>
      <c r="CW199" s="16">
        <v>-9999</v>
      </c>
      <c r="CX199" s="16">
        <v>-9999</v>
      </c>
      <c r="CY199" s="16">
        <v>-9999</v>
      </c>
      <c r="CZ199" s="16">
        <v>-9999</v>
      </c>
      <c r="DA199" s="16">
        <v>-9999</v>
      </c>
      <c r="DB199" s="16">
        <v>-9999</v>
      </c>
      <c r="DC199" s="16">
        <v>-9999</v>
      </c>
      <c r="DD199" s="16">
        <v>-9999</v>
      </c>
      <c r="DE199" s="16">
        <v>-9999</v>
      </c>
      <c r="DF199" s="16">
        <v>-9999</v>
      </c>
      <c r="DG199" s="16">
        <v>-9999</v>
      </c>
      <c r="DH199" s="16">
        <v>-9999</v>
      </c>
      <c r="DI199" s="16">
        <v>-9999</v>
      </c>
      <c r="DJ199" s="16">
        <v>-9999</v>
      </c>
      <c r="DK199" s="16">
        <v>-9999</v>
      </c>
      <c r="DL199" s="16">
        <v>-9999</v>
      </c>
      <c r="DM199" s="16">
        <v>-9999</v>
      </c>
      <c r="DN199" s="16">
        <v>-9999</v>
      </c>
      <c r="DO199" s="16">
        <v>-9999</v>
      </c>
      <c r="DP199" s="16">
        <v>-9999</v>
      </c>
      <c r="DQ199" s="16">
        <v>-9999</v>
      </c>
      <c r="DR199" s="16">
        <v>-9999</v>
      </c>
      <c r="DS199" s="16">
        <v>-9999</v>
      </c>
      <c r="DT199" s="16">
        <v>-9999</v>
      </c>
      <c r="DU199" s="16">
        <v>-9999</v>
      </c>
      <c r="DV199" s="16">
        <v>-9999</v>
      </c>
      <c r="DW199" s="16">
        <v>-9999</v>
      </c>
      <c r="DX199" s="16">
        <v>-9999</v>
      </c>
      <c r="DY199" s="16">
        <v>-9999</v>
      </c>
      <c r="DZ199" s="16">
        <v>-9999</v>
      </c>
      <c r="EA199" s="2257">
        <v>-9999</v>
      </c>
      <c r="EB199" s="2257">
        <v>-9999</v>
      </c>
      <c r="EC199" s="2257">
        <v>-9999</v>
      </c>
      <c r="ED199" s="2257">
        <v>-9999</v>
      </c>
      <c r="EE199" s="2257">
        <v>-9999</v>
      </c>
      <c r="EF199" s="2257">
        <v>-9999</v>
      </c>
      <c r="EG199" s="2257">
        <v>-9999</v>
      </c>
      <c r="EH199" s="2257">
        <v>-9999</v>
      </c>
      <c r="EI199" s="2257">
        <v>-9999</v>
      </c>
      <c r="EJ199" s="2257">
        <v>-9999</v>
      </c>
      <c r="EK199" s="2257">
        <v>-9999</v>
      </c>
      <c r="EL199" s="2257">
        <v>-9999</v>
      </c>
      <c r="EM199" s="2257">
        <v>-9999</v>
      </c>
    </row>
    <row r="200" spans="1:143" ht="13.15">
      <c r="A200" s="22">
        <v>100</v>
      </c>
      <c r="B200" s="1" t="s">
        <v>1573</v>
      </c>
      <c r="C200" s="24">
        <f ca="1">OFFSET(Sector1!F78,0,Last_forecast_year - 3-InputY!$G$3)</f>
        <v>2777.0720000000001</v>
      </c>
      <c r="D200" s="24">
        <f ca="1">OFFSET(Sector1!G78,0,Last_forecast_year - 3-InputY!$G$3)</f>
        <v>2894.855</v>
      </c>
      <c r="E200" s="24">
        <f ca="1">OFFSET(Sector1!H78,0,Last_forecast_year - 3-InputY!$G$3)</f>
        <v>3044.7155677528813</v>
      </c>
      <c r="F200" s="24">
        <f ca="1">OFFSET(Sector1!I78,0,Last_forecast_year - 3-InputY!$G$3)</f>
        <v>3157.6266520075574</v>
      </c>
      <c r="G200" s="24">
        <f ca="1">OFFSET(Sector1!J78,0,Last_forecast_year - 3-InputY!$G$3)</f>
        <v>3269.271878208453</v>
      </c>
      <c r="H200" s="25">
        <v>-9999</v>
      </c>
      <c r="I200" s="25">
        <v>-9999</v>
      </c>
      <c r="J200" s="25">
        <v>-9999</v>
      </c>
      <c r="K200" s="25">
        <v>-9999</v>
      </c>
      <c r="L200" s="25">
        <v>-9999</v>
      </c>
      <c r="M200" s="25">
        <v>-9999</v>
      </c>
      <c r="N200" s="25">
        <v>-9999</v>
      </c>
      <c r="O200" s="25">
        <v>-9999</v>
      </c>
      <c r="P200"/>
      <c r="Q200"/>
      <c r="AA200" s="22">
        <v>100</v>
      </c>
      <c r="AB200" s="1080" t="str">
        <f t="shared" si="8"/>
        <v xml:space="preserve">COR GROSS VALUE ADDED </v>
      </c>
      <c r="AC200" s="1080">
        <f>CHOOSE(Tables!$U$2,Transfer!CA200,Transfer!CN200,Transfer!DA200,Transfer!DN200,Transfer!EA200)</f>
        <v>2671.6439999999998</v>
      </c>
      <c r="AD200" s="1080">
        <f>CHOOSE(Tables!$U$2,Transfer!CB200,Transfer!CO200,Transfer!DB200,Transfer!DO200,Transfer!EB200)</f>
        <v>2783.67</v>
      </c>
      <c r="AE200" s="1080">
        <f>CHOOSE(Tables!$U$2,Transfer!CC200,Transfer!CP200,Transfer!DC200,Transfer!DP200,Transfer!EC200)</f>
        <v>2905.268</v>
      </c>
      <c r="AF200" s="1080">
        <f>CHOOSE(Tables!$U$2,Transfer!CD200,Transfer!CQ200,Transfer!DD200,Transfer!DQ200,Transfer!ED200)</f>
        <v>3049.9818118987296</v>
      </c>
      <c r="AG200" s="1080">
        <f>CHOOSE(Tables!$U$2,Transfer!CE200,Transfer!CR200,Transfer!DE200,Transfer!DR200,Transfer!EE200)</f>
        <v>3187.273061867676</v>
      </c>
      <c r="AH200" s="1080">
        <f>CHOOSE(Tables!$U$2,Transfer!CF200,Transfer!CS200,Transfer!DF200,Transfer!DS200,Transfer!EF200)</f>
        <v>-9999</v>
      </c>
      <c r="AI200" s="1080">
        <f>CHOOSE(Tables!$U$2,Transfer!CG200,Transfer!CT200,Transfer!DG200,Transfer!DT200,Transfer!EG200)</f>
        <v>-9999</v>
      </c>
      <c r="AJ200" s="1080">
        <f>CHOOSE(Tables!$U$2,Transfer!CH200,Transfer!CU200,Transfer!DH200,Transfer!DU200,Transfer!EH200)</f>
        <v>-9999</v>
      </c>
      <c r="AK200" s="1080">
        <f>CHOOSE(Tables!$U$2,Transfer!CI200,Transfer!CV200,Transfer!DI200,Transfer!DV200,Transfer!EI200)</f>
        <v>-9999</v>
      </c>
      <c r="AL200" s="1080">
        <f>CHOOSE(Tables!$U$2,Transfer!CJ200,Transfer!CW200,Transfer!DJ200,Transfer!DW200,Transfer!EJ200)</f>
        <v>-9999</v>
      </c>
      <c r="AM200" s="1080">
        <f>CHOOSE(Tables!$U$2,Transfer!CK200,Transfer!CX200,Transfer!DK200,Transfer!DX200,Transfer!EK200)</f>
        <v>-9999</v>
      </c>
      <c r="AN200" s="1080">
        <f>CHOOSE(Tables!$U$2,Transfer!CL200,Transfer!CY200,Transfer!DL200,Transfer!DY200,Transfer!EL200)</f>
        <v>-9999</v>
      </c>
      <c r="AO200" s="1080">
        <f>CHOOSE(Tables!$U$2,Transfer!CM200,Transfer!CZ200,Transfer!DM200,Transfer!DZ200,Transfer!EM200)</f>
        <v>-9999</v>
      </c>
      <c r="AR200" s="22">
        <v>100</v>
      </c>
      <c r="AS200" s="1" t="s">
        <v>1573</v>
      </c>
      <c r="AT200" s="24">
        <f t="shared" ca="1" si="10"/>
        <v>105.42800000000034</v>
      </c>
      <c r="AU200" s="24">
        <f t="shared" ca="1" si="11"/>
        <v>111.18499999999995</v>
      </c>
      <c r="AV200" s="24">
        <f t="shared" ca="1" si="12"/>
        <v>139.44756775288124</v>
      </c>
      <c r="AW200" s="24">
        <f t="shared" ca="1" si="13"/>
        <v>107.64484010882779</v>
      </c>
      <c r="AX200" s="24">
        <f t="shared" ca="1" si="14"/>
        <v>81.998816340777012</v>
      </c>
      <c r="AY200" s="25">
        <f t="shared" si="15"/>
        <v>0</v>
      </c>
      <c r="AZ200" s="25">
        <f t="shared" si="16"/>
        <v>0</v>
      </c>
      <c r="BA200" s="25">
        <f t="shared" si="17"/>
        <v>0</v>
      </c>
      <c r="BB200" s="25">
        <f t="shared" si="18"/>
        <v>0</v>
      </c>
      <c r="BC200" s="25">
        <f t="shared" si="7"/>
        <v>0</v>
      </c>
      <c r="BD200" s="25">
        <f t="shared" si="7"/>
        <v>0</v>
      </c>
      <c r="BE200" s="25">
        <f t="shared" si="7"/>
        <v>0</v>
      </c>
      <c r="BF200" s="25">
        <f t="shared" si="7"/>
        <v>0</v>
      </c>
      <c r="CA200" s="16">
        <v>2777.0720000000001</v>
      </c>
      <c r="CB200" s="16">
        <v>2894.855</v>
      </c>
      <c r="CC200" s="16">
        <v>3043.6998612028196</v>
      </c>
      <c r="CD200" s="16">
        <v>3156.5684965113433</v>
      </c>
      <c r="CE200" s="16">
        <v>3268.1722904775779</v>
      </c>
      <c r="CF200" s="16">
        <v>-9999</v>
      </c>
      <c r="CG200" s="16">
        <v>-9999</v>
      </c>
      <c r="CH200" s="16">
        <v>-9999</v>
      </c>
      <c r="CI200" s="16">
        <v>-9999</v>
      </c>
      <c r="CJ200" s="16">
        <v>-9999</v>
      </c>
      <c r="CK200" s="16">
        <v>-9999</v>
      </c>
      <c r="CL200" s="16">
        <v>-9999</v>
      </c>
      <c r="CM200" s="16">
        <v>-9999</v>
      </c>
      <c r="CN200" s="16">
        <v>2671.6439999999998</v>
      </c>
      <c r="CO200" s="16">
        <v>2783.67</v>
      </c>
      <c r="CP200" s="16">
        <v>2905.268</v>
      </c>
      <c r="CQ200" s="16">
        <v>3049.9818118987296</v>
      </c>
      <c r="CR200" s="16">
        <v>3187.273061867676</v>
      </c>
      <c r="CS200" s="16">
        <v>-9999</v>
      </c>
      <c r="CT200" s="16">
        <v>-9999</v>
      </c>
      <c r="CU200" s="16">
        <v>-9999</v>
      </c>
      <c r="CV200" s="16">
        <v>-9999</v>
      </c>
      <c r="CW200" s="16">
        <v>-9999</v>
      </c>
      <c r="CX200" s="16">
        <v>-9999</v>
      </c>
      <c r="CY200" s="16">
        <v>-9999</v>
      </c>
      <c r="CZ200" s="16">
        <v>-9999</v>
      </c>
      <c r="DA200" s="16">
        <v>2777.0720000000001</v>
      </c>
      <c r="DB200" s="16">
        <v>2894.855</v>
      </c>
      <c r="DC200" s="16">
        <v>3044.258614596094</v>
      </c>
      <c r="DD200" s="16">
        <v>3157.2453855631743</v>
      </c>
      <c r="DE200" s="16">
        <v>3271.7744033068793</v>
      </c>
      <c r="DF200" s="16">
        <v>-9999</v>
      </c>
      <c r="DG200" s="16">
        <v>-9999</v>
      </c>
      <c r="DH200" s="16">
        <v>-9999</v>
      </c>
      <c r="DI200" s="16">
        <v>-9999</v>
      </c>
      <c r="DJ200" s="16">
        <v>-9999</v>
      </c>
      <c r="DK200" s="16">
        <v>-9999</v>
      </c>
      <c r="DL200" s="16">
        <v>-9999</v>
      </c>
      <c r="DM200" s="16">
        <v>-9999</v>
      </c>
      <c r="DN200" s="16">
        <v>2777.0720000000001</v>
      </c>
      <c r="DO200" s="16">
        <v>2894.855</v>
      </c>
      <c r="DP200" s="16">
        <v>3045.8506289466918</v>
      </c>
      <c r="DQ200" s="16">
        <v>3160.590889565141</v>
      </c>
      <c r="DR200" s="16">
        <v>3258.543110597293</v>
      </c>
      <c r="DS200" s="16">
        <v>-9999</v>
      </c>
      <c r="DT200" s="16">
        <v>-9999</v>
      </c>
      <c r="DU200" s="16">
        <v>-9999</v>
      </c>
      <c r="DV200" s="16">
        <v>-9999</v>
      </c>
      <c r="DW200" s="16">
        <v>-9999</v>
      </c>
      <c r="DX200" s="16">
        <v>-9999</v>
      </c>
      <c r="DY200" s="16">
        <v>-9999</v>
      </c>
      <c r="DZ200" s="16">
        <v>-9999</v>
      </c>
      <c r="EA200" s="2256">
        <v>2777.0720000000001</v>
      </c>
      <c r="EB200" s="2256">
        <v>2894.855</v>
      </c>
      <c r="EC200" s="2256">
        <v>3044.7155677528813</v>
      </c>
      <c r="ED200" s="2256">
        <v>3157.6266520075574</v>
      </c>
      <c r="EE200" s="2256">
        <v>3269.271878208453</v>
      </c>
      <c r="EF200" s="2257">
        <v>-9999</v>
      </c>
      <c r="EG200" s="2257">
        <v>-9999</v>
      </c>
      <c r="EH200" s="2257">
        <v>-9999</v>
      </c>
      <c r="EI200" s="2257">
        <v>-9999</v>
      </c>
      <c r="EJ200" s="2257">
        <v>-9999</v>
      </c>
      <c r="EK200" s="2257">
        <v>-9999</v>
      </c>
      <c r="EL200" s="2257">
        <v>-9999</v>
      </c>
      <c r="EM200" s="2257">
        <v>-9999</v>
      </c>
    </row>
    <row r="201" spans="1:143" ht="13.15">
      <c r="A201" s="22">
        <v>101</v>
      </c>
      <c r="B201" s="1" t="s">
        <v>465</v>
      </c>
      <c r="C201" s="24">
        <f ca="1">OFFSET(Sector1!F47,0,Last_forecast_year - 3-InputY!$G$3)</f>
        <v>43.302999999999997</v>
      </c>
      <c r="D201" s="24">
        <f ca="1">OFFSET(Sector1!G47,0,Last_forecast_year - 3-InputY!$G$3)</f>
        <v>43.216999999999999</v>
      </c>
      <c r="E201" s="24">
        <f ca="1">OFFSET(Sector1!H47,0,Last_forecast_year - 3-InputY!$G$3)</f>
        <v>44.081339999999997</v>
      </c>
      <c r="F201" s="24">
        <f ca="1">OFFSET(Sector1!I47,0,Last_forecast_year - 3-InputY!$G$3)</f>
        <v>44.962966799999997</v>
      </c>
      <c r="G201" s="24">
        <f ca="1">OFFSET(Sector1!J47,0,Last_forecast_year - 3-InputY!$G$3)</f>
        <v>45.862226135999997</v>
      </c>
      <c r="H201" s="25">
        <v>-9999</v>
      </c>
      <c r="I201" s="25">
        <v>-9999</v>
      </c>
      <c r="J201" s="25">
        <v>-9999</v>
      </c>
      <c r="K201" s="25">
        <v>-9999</v>
      </c>
      <c r="L201" s="25">
        <v>-9999</v>
      </c>
      <c r="M201" s="25">
        <v>-9999</v>
      </c>
      <c r="N201" s="25">
        <v>-9999</v>
      </c>
      <c r="O201" s="25">
        <v>-9999</v>
      </c>
      <c r="P201"/>
      <c r="Q201"/>
      <c r="AA201" s="22">
        <v>101</v>
      </c>
      <c r="AB201" s="1080" t="str">
        <f t="shared" si="8"/>
        <v xml:space="preserve">COR OTHER SUBSIDIES ON PRODUCTION </v>
      </c>
      <c r="AC201" s="1080">
        <f>CHOOSE(Tables!$U$2,Transfer!CA201,Transfer!CN201,Transfer!DA201,Transfer!DN201,Transfer!EA201)</f>
        <v>40.590000000000003</v>
      </c>
      <c r="AD201" s="1080">
        <f>CHOOSE(Tables!$U$2,Transfer!CB201,Transfer!CO201,Transfer!DB201,Transfer!DO201,Transfer!EB201)</f>
        <v>43.311</v>
      </c>
      <c r="AE201" s="1080">
        <f>CHOOSE(Tables!$U$2,Transfer!CC201,Transfer!CP201,Transfer!DC201,Transfer!DP201,Transfer!EC201)</f>
        <v>43.545999999999999</v>
      </c>
      <c r="AF201" s="1080">
        <f>CHOOSE(Tables!$U$2,Transfer!CD201,Transfer!CQ201,Transfer!DD201,Transfer!DQ201,Transfer!ED201)</f>
        <v>44.416919999999998</v>
      </c>
      <c r="AG201" s="1080">
        <f>CHOOSE(Tables!$U$2,Transfer!CE201,Transfer!CR201,Transfer!DE201,Transfer!DR201,Transfer!EE201)</f>
        <v>45.3052584</v>
      </c>
      <c r="AH201" s="1080">
        <f>CHOOSE(Tables!$U$2,Transfer!CF201,Transfer!CS201,Transfer!DF201,Transfer!DS201,Transfer!EF201)</f>
        <v>-9999</v>
      </c>
      <c r="AI201" s="1080">
        <f>CHOOSE(Tables!$U$2,Transfer!CG201,Transfer!CT201,Transfer!DG201,Transfer!DT201,Transfer!EG201)</f>
        <v>-9999</v>
      </c>
      <c r="AJ201" s="1080">
        <f>CHOOSE(Tables!$U$2,Transfer!CH201,Transfer!CU201,Transfer!DH201,Transfer!DU201,Transfer!EH201)</f>
        <v>-9999</v>
      </c>
      <c r="AK201" s="1080">
        <f>CHOOSE(Tables!$U$2,Transfer!CI201,Transfer!CV201,Transfer!DI201,Transfer!DV201,Transfer!EI201)</f>
        <v>-9999</v>
      </c>
      <c r="AL201" s="1080">
        <f>CHOOSE(Tables!$U$2,Transfer!CJ201,Transfer!CW201,Transfer!DJ201,Transfer!DW201,Transfer!EJ201)</f>
        <v>-9999</v>
      </c>
      <c r="AM201" s="1080">
        <f>CHOOSE(Tables!$U$2,Transfer!CK201,Transfer!CX201,Transfer!DK201,Transfer!DX201,Transfer!EK201)</f>
        <v>-9999</v>
      </c>
      <c r="AN201" s="1080">
        <f>CHOOSE(Tables!$U$2,Transfer!CL201,Transfer!CY201,Transfer!DL201,Transfer!DY201,Transfer!EL201)</f>
        <v>-9999</v>
      </c>
      <c r="AO201" s="1080">
        <f>CHOOSE(Tables!$U$2,Transfer!CM201,Transfer!CZ201,Transfer!DM201,Transfer!DZ201,Transfer!EM201)</f>
        <v>-9999</v>
      </c>
      <c r="AR201" s="22">
        <v>101</v>
      </c>
      <c r="AS201" s="1" t="s">
        <v>465</v>
      </c>
      <c r="AT201" s="24">
        <f t="shared" ca="1" si="10"/>
        <v>2.7129999999999939</v>
      </c>
      <c r="AU201" s="24">
        <f t="shared" ca="1" si="11"/>
        <v>-9.4000000000001194E-2</v>
      </c>
      <c r="AV201" s="24">
        <f t="shared" ca="1" si="12"/>
        <v>0.53533999999999793</v>
      </c>
      <c r="AW201" s="24">
        <f t="shared" ca="1" si="13"/>
        <v>0.54604679999999917</v>
      </c>
      <c r="AX201" s="24">
        <f t="shared" ca="1" si="14"/>
        <v>0.55696773599999716</v>
      </c>
      <c r="AY201" s="25">
        <f t="shared" si="15"/>
        <v>0</v>
      </c>
      <c r="AZ201" s="25">
        <f t="shared" si="16"/>
        <v>0</v>
      </c>
      <c r="BA201" s="25">
        <f t="shared" si="17"/>
        <v>0</v>
      </c>
      <c r="BB201" s="25">
        <f t="shared" si="18"/>
        <v>0</v>
      </c>
      <c r="BC201" s="25">
        <f t="shared" si="7"/>
        <v>0</v>
      </c>
      <c r="BD201" s="25">
        <f t="shared" si="7"/>
        <v>0</v>
      </c>
      <c r="BE201" s="25">
        <f t="shared" si="7"/>
        <v>0</v>
      </c>
      <c r="BF201" s="25">
        <f t="shared" si="7"/>
        <v>0</v>
      </c>
      <c r="CA201" s="16">
        <v>43.302999999999997</v>
      </c>
      <c r="CB201" s="16">
        <v>43.216999999999999</v>
      </c>
      <c r="CC201" s="16">
        <v>44.081339999999997</v>
      </c>
      <c r="CD201" s="16">
        <v>44.962966799999997</v>
      </c>
      <c r="CE201" s="16">
        <v>45.862226135999997</v>
      </c>
      <c r="CF201" s="16">
        <v>-9999</v>
      </c>
      <c r="CG201" s="16">
        <v>-9999</v>
      </c>
      <c r="CH201" s="16">
        <v>-9999</v>
      </c>
      <c r="CI201" s="16">
        <v>-9999</v>
      </c>
      <c r="CJ201" s="16">
        <v>-9999</v>
      </c>
      <c r="CK201" s="16">
        <v>-9999</v>
      </c>
      <c r="CL201" s="16">
        <v>-9999</v>
      </c>
      <c r="CM201" s="16">
        <v>-9999</v>
      </c>
      <c r="CN201" s="16">
        <v>40.590000000000003</v>
      </c>
      <c r="CO201" s="16">
        <v>43.311</v>
      </c>
      <c r="CP201" s="16">
        <v>43.545999999999999</v>
      </c>
      <c r="CQ201" s="16">
        <v>44.416919999999998</v>
      </c>
      <c r="CR201" s="16">
        <v>45.3052584</v>
      </c>
      <c r="CS201" s="16">
        <v>-9999</v>
      </c>
      <c r="CT201" s="16">
        <v>-9999</v>
      </c>
      <c r="CU201" s="16">
        <v>-9999</v>
      </c>
      <c r="CV201" s="16">
        <v>-9999</v>
      </c>
      <c r="CW201" s="16">
        <v>-9999</v>
      </c>
      <c r="CX201" s="16">
        <v>-9999</v>
      </c>
      <c r="CY201" s="16">
        <v>-9999</v>
      </c>
      <c r="CZ201" s="16">
        <v>-9999</v>
      </c>
      <c r="DA201" s="16">
        <v>43.302999999999997</v>
      </c>
      <c r="DB201" s="16">
        <v>43.216999999999999</v>
      </c>
      <c r="DC201" s="16">
        <v>44.081339999999997</v>
      </c>
      <c r="DD201" s="16">
        <v>44.962966799999997</v>
      </c>
      <c r="DE201" s="16">
        <v>45.862226135999997</v>
      </c>
      <c r="DF201" s="16">
        <v>-9999</v>
      </c>
      <c r="DG201" s="16">
        <v>-9999</v>
      </c>
      <c r="DH201" s="16">
        <v>-9999</v>
      </c>
      <c r="DI201" s="16">
        <v>-9999</v>
      </c>
      <c r="DJ201" s="16">
        <v>-9999</v>
      </c>
      <c r="DK201" s="16">
        <v>-9999</v>
      </c>
      <c r="DL201" s="16">
        <v>-9999</v>
      </c>
      <c r="DM201" s="16">
        <v>-9999</v>
      </c>
      <c r="DN201" s="16">
        <v>43.302999999999997</v>
      </c>
      <c r="DO201" s="16">
        <v>43.216999999999999</v>
      </c>
      <c r="DP201" s="16">
        <v>44.081339999999997</v>
      </c>
      <c r="DQ201" s="16">
        <v>44.962966799999997</v>
      </c>
      <c r="DR201" s="16">
        <v>45.862226135999997</v>
      </c>
      <c r="DS201" s="16">
        <v>-9999</v>
      </c>
      <c r="DT201" s="16">
        <v>-9999</v>
      </c>
      <c r="DU201" s="16">
        <v>-9999</v>
      </c>
      <c r="DV201" s="16">
        <v>-9999</v>
      </c>
      <c r="DW201" s="16">
        <v>-9999</v>
      </c>
      <c r="DX201" s="16">
        <v>-9999</v>
      </c>
      <c r="DY201" s="16">
        <v>-9999</v>
      </c>
      <c r="DZ201" s="16">
        <v>-9999</v>
      </c>
      <c r="EA201" s="2256">
        <v>43.302999999999997</v>
      </c>
      <c r="EB201" s="2256">
        <v>43.216999999999999</v>
      </c>
      <c r="EC201" s="2256">
        <v>44.081339999999997</v>
      </c>
      <c r="ED201" s="2256">
        <v>44.962966799999997</v>
      </c>
      <c r="EE201" s="2256">
        <v>45.862226135999997</v>
      </c>
      <c r="EF201" s="2257">
        <v>-9999</v>
      </c>
      <c r="EG201" s="2257">
        <v>-9999</v>
      </c>
      <c r="EH201" s="2257">
        <v>-9999</v>
      </c>
      <c r="EI201" s="2257">
        <v>-9999</v>
      </c>
      <c r="EJ201" s="2257">
        <v>-9999</v>
      </c>
      <c r="EK201" s="2257">
        <v>-9999</v>
      </c>
      <c r="EL201" s="2257">
        <v>-9999</v>
      </c>
      <c r="EM201" s="2257">
        <v>-9999</v>
      </c>
    </row>
    <row r="202" spans="1:143" ht="13.15">
      <c r="A202" s="22">
        <v>102</v>
      </c>
      <c r="B202" s="1" t="s">
        <v>466</v>
      </c>
      <c r="C202" s="24">
        <f ca="1">OFFSET(Sector1!F10,0,Last_forecast_year - 3-InputY!$G$3)</f>
        <v>315.46600000000001</v>
      </c>
      <c r="D202" s="24">
        <f ca="1">OFFSET(Sector1!G10,0,Last_forecast_year - 3-InputY!$G$3)</f>
        <v>331.97500000000002</v>
      </c>
      <c r="E202" s="24">
        <f ca="1">OFFSET(Sector1!H10,0,Last_forecast_year - 3-InputY!$G$3)</f>
        <v>343.35717959299228</v>
      </c>
      <c r="F202" s="24">
        <f ca="1">OFFSET(Sector1!I10,0,Last_forecast_year - 3-InputY!$G$3)</f>
        <v>349.84881903810788</v>
      </c>
      <c r="G202" s="24">
        <f ca="1">OFFSET(Sector1!J10,0,Last_forecast_year - 3-InputY!$G$3)</f>
        <v>361.01126249833959</v>
      </c>
      <c r="H202" s="25">
        <v>-9999</v>
      </c>
      <c r="I202" s="25">
        <v>-9999</v>
      </c>
      <c r="J202" s="25">
        <v>-9999</v>
      </c>
      <c r="K202" s="25">
        <v>-9999</v>
      </c>
      <c r="L202" s="25">
        <v>-9999</v>
      </c>
      <c r="M202" s="25">
        <v>-9999</v>
      </c>
      <c r="N202" s="25">
        <v>-9999</v>
      </c>
      <c r="O202" s="25">
        <v>-9999</v>
      </c>
      <c r="P202"/>
      <c r="Q202"/>
      <c r="AA202" s="22">
        <v>102</v>
      </c>
      <c r="AB202" s="1080" t="str">
        <f t="shared" si="8"/>
        <v>COR OTHER TAXES ON PRODUCTS</v>
      </c>
      <c r="AC202" s="1080">
        <f>CHOOSE(Tables!$U$2,Transfer!CA202,Transfer!CN202,Transfer!DA202,Transfer!DN202,Transfer!EA202)</f>
        <v>284.47300000000001</v>
      </c>
      <c r="AD202" s="1080">
        <f>CHOOSE(Tables!$U$2,Transfer!CB202,Transfer!CO202,Transfer!DB202,Transfer!DO202,Transfer!EB202)</f>
        <v>317.23399999999998</v>
      </c>
      <c r="AE202" s="1080">
        <f>CHOOSE(Tables!$U$2,Transfer!CC202,Transfer!CP202,Transfer!DC202,Transfer!DP202,Transfer!EC202)</f>
        <v>330.80099999999999</v>
      </c>
      <c r="AF202" s="1080">
        <f>CHOOSE(Tables!$U$2,Transfer!CD202,Transfer!CQ202,Transfer!DD202,Transfer!DQ202,Transfer!ED202)</f>
        <v>342.18832943337657</v>
      </c>
      <c r="AG202" s="1080">
        <f>CHOOSE(Tables!$U$2,Transfer!CE202,Transfer!CR202,Transfer!DE202,Transfer!DR202,Transfer!EE202)</f>
        <v>353.82273263411139</v>
      </c>
      <c r="AH202" s="1080">
        <f>CHOOSE(Tables!$U$2,Transfer!CF202,Transfer!CS202,Transfer!DF202,Transfer!DS202,Transfer!EF202)</f>
        <v>-9999</v>
      </c>
      <c r="AI202" s="1080">
        <f>CHOOSE(Tables!$U$2,Transfer!CG202,Transfer!CT202,Transfer!DG202,Transfer!DT202,Transfer!EG202)</f>
        <v>-9999</v>
      </c>
      <c r="AJ202" s="1080">
        <f>CHOOSE(Tables!$U$2,Transfer!CH202,Transfer!CU202,Transfer!DH202,Transfer!DU202,Transfer!EH202)</f>
        <v>-9999</v>
      </c>
      <c r="AK202" s="1080">
        <f>CHOOSE(Tables!$U$2,Transfer!CI202,Transfer!CV202,Transfer!DI202,Transfer!DV202,Transfer!EI202)</f>
        <v>-9999</v>
      </c>
      <c r="AL202" s="1080">
        <f>CHOOSE(Tables!$U$2,Transfer!CJ202,Transfer!CW202,Transfer!DJ202,Transfer!DW202,Transfer!EJ202)</f>
        <v>-9999</v>
      </c>
      <c r="AM202" s="1080">
        <f>CHOOSE(Tables!$U$2,Transfer!CK202,Transfer!CX202,Transfer!DK202,Transfer!DX202,Transfer!EK202)</f>
        <v>-9999</v>
      </c>
      <c r="AN202" s="1080">
        <f>CHOOSE(Tables!$U$2,Transfer!CL202,Transfer!CY202,Transfer!DL202,Transfer!DY202,Transfer!EL202)</f>
        <v>-9999</v>
      </c>
      <c r="AO202" s="1080">
        <f>CHOOSE(Tables!$U$2,Transfer!CM202,Transfer!CZ202,Transfer!DM202,Transfer!DZ202,Transfer!EM202)</f>
        <v>-9999</v>
      </c>
      <c r="AR202" s="22">
        <v>102</v>
      </c>
      <c r="AS202" s="1" t="s">
        <v>466</v>
      </c>
      <c r="AT202" s="24">
        <f t="shared" ca="1" si="10"/>
        <v>30.992999999999995</v>
      </c>
      <c r="AU202" s="24">
        <f t="shared" ca="1" si="11"/>
        <v>14.741000000000042</v>
      </c>
      <c r="AV202" s="24">
        <f t="shared" ca="1" si="12"/>
        <v>12.556179592992294</v>
      </c>
      <c r="AW202" s="24">
        <f t="shared" ca="1" si="13"/>
        <v>7.6604896047313105</v>
      </c>
      <c r="AX202" s="24">
        <f t="shared" ca="1" si="14"/>
        <v>7.1885298642282009</v>
      </c>
      <c r="AY202" s="25">
        <f t="shared" si="15"/>
        <v>0</v>
      </c>
      <c r="AZ202" s="25">
        <f t="shared" si="16"/>
        <v>0</v>
      </c>
      <c r="BA202" s="25">
        <f t="shared" si="17"/>
        <v>0</v>
      </c>
      <c r="BB202" s="25">
        <f t="shared" si="18"/>
        <v>0</v>
      </c>
      <c r="BC202" s="25">
        <f t="shared" ref="BC202:BF206" si="19">L202-AL202</f>
        <v>0</v>
      </c>
      <c r="BD202" s="25">
        <f t="shared" si="19"/>
        <v>0</v>
      </c>
      <c r="BE202" s="25">
        <f t="shared" si="19"/>
        <v>0</v>
      </c>
      <c r="BF202" s="25">
        <f t="shared" si="19"/>
        <v>0</v>
      </c>
      <c r="CA202" s="16">
        <v>315.46600000000001</v>
      </c>
      <c r="CB202" s="16">
        <v>331.97500000000002</v>
      </c>
      <c r="CC202" s="16">
        <v>343.35717959299228</v>
      </c>
      <c r="CD202" s="16">
        <v>349.84881903810788</v>
      </c>
      <c r="CE202" s="16">
        <v>361.01126249833959</v>
      </c>
      <c r="CF202" s="16">
        <v>-9999</v>
      </c>
      <c r="CG202" s="16">
        <v>-9999</v>
      </c>
      <c r="CH202" s="16">
        <v>-9999</v>
      </c>
      <c r="CI202" s="16">
        <v>-9999</v>
      </c>
      <c r="CJ202" s="16">
        <v>-9999</v>
      </c>
      <c r="CK202" s="16">
        <v>-9999</v>
      </c>
      <c r="CL202" s="16">
        <v>-9999</v>
      </c>
      <c r="CM202" s="16">
        <v>-9999</v>
      </c>
      <c r="CN202" s="16">
        <v>284.47300000000001</v>
      </c>
      <c r="CO202" s="16">
        <v>317.23399999999998</v>
      </c>
      <c r="CP202" s="16">
        <v>330.80099999999999</v>
      </c>
      <c r="CQ202" s="16">
        <v>342.18832943337657</v>
      </c>
      <c r="CR202" s="16">
        <v>353.82273263411139</v>
      </c>
      <c r="CS202" s="16">
        <v>-9999</v>
      </c>
      <c r="CT202" s="16">
        <v>-9999</v>
      </c>
      <c r="CU202" s="16">
        <v>-9999</v>
      </c>
      <c r="CV202" s="16">
        <v>-9999</v>
      </c>
      <c r="CW202" s="16">
        <v>-9999</v>
      </c>
      <c r="CX202" s="16">
        <v>-9999</v>
      </c>
      <c r="CY202" s="16">
        <v>-9999</v>
      </c>
      <c r="CZ202" s="16">
        <v>-9999</v>
      </c>
      <c r="DA202" s="16">
        <v>315.46600000000001</v>
      </c>
      <c r="DB202" s="16">
        <v>331.97500000000002</v>
      </c>
      <c r="DC202" s="16">
        <v>343.36470030688389</v>
      </c>
      <c r="DD202" s="16">
        <v>349.83968817151049</v>
      </c>
      <c r="DE202" s="16">
        <v>360.99302716824451</v>
      </c>
      <c r="DF202" s="16">
        <v>-9999</v>
      </c>
      <c r="DG202" s="16">
        <v>-9999</v>
      </c>
      <c r="DH202" s="16">
        <v>-9999</v>
      </c>
      <c r="DI202" s="16">
        <v>-9999</v>
      </c>
      <c r="DJ202" s="16">
        <v>-9999</v>
      </c>
      <c r="DK202" s="16">
        <v>-9999</v>
      </c>
      <c r="DL202" s="16">
        <v>-9999</v>
      </c>
      <c r="DM202" s="16">
        <v>-9999</v>
      </c>
      <c r="DN202" s="16">
        <v>315.46600000000001</v>
      </c>
      <c r="DO202" s="16">
        <v>331.97500000000002</v>
      </c>
      <c r="DP202" s="16">
        <v>343.36761555610792</v>
      </c>
      <c r="DQ202" s="16">
        <v>352.4137776198167</v>
      </c>
      <c r="DR202" s="16">
        <v>360.05104388759861</v>
      </c>
      <c r="DS202" s="16">
        <v>-9999</v>
      </c>
      <c r="DT202" s="16">
        <v>-9999</v>
      </c>
      <c r="DU202" s="16">
        <v>-9999</v>
      </c>
      <c r="DV202" s="16">
        <v>-9999</v>
      </c>
      <c r="DW202" s="16">
        <v>-9999</v>
      </c>
      <c r="DX202" s="16">
        <v>-9999</v>
      </c>
      <c r="DY202" s="16">
        <v>-9999</v>
      </c>
      <c r="DZ202" s="16">
        <v>-9999</v>
      </c>
      <c r="EA202" s="2256">
        <v>315.46600000000001</v>
      </c>
      <c r="EB202" s="2256">
        <v>331.97500000000002</v>
      </c>
      <c r="EC202" s="2256">
        <v>343.35717959299228</v>
      </c>
      <c r="ED202" s="2256">
        <v>349.84881903810788</v>
      </c>
      <c r="EE202" s="2256">
        <v>361.01126249833959</v>
      </c>
      <c r="EF202" s="2257">
        <v>-9999</v>
      </c>
      <c r="EG202" s="2257">
        <v>-9999</v>
      </c>
      <c r="EH202" s="2257">
        <v>-9999</v>
      </c>
      <c r="EI202" s="2257">
        <v>-9999</v>
      </c>
      <c r="EJ202" s="2257">
        <v>-9999</v>
      </c>
      <c r="EK202" s="2257">
        <v>-9999</v>
      </c>
      <c r="EL202" s="2257">
        <v>-9999</v>
      </c>
      <c r="EM202" s="2257">
        <v>-9999</v>
      </c>
    </row>
    <row r="203" spans="1:143" ht="13.15">
      <c r="A203" s="22">
        <v>103</v>
      </c>
      <c r="B203" s="1" t="s">
        <v>1207</v>
      </c>
      <c r="C203" s="24">
        <f ca="1">OFFSET(Labour1!F209,0,Last_forecast_year - 3-InputY!$G$3)</f>
        <v>1449.1769999999999</v>
      </c>
      <c r="D203" s="24">
        <f ca="1">OFFSET(Labour1!G209,0,Last_forecast_year - 3-InputY!$G$3)</f>
        <v>1514.7650000000001</v>
      </c>
      <c r="E203" s="24">
        <f ca="1">OFFSET(Labour1!H209,0,Last_forecast_year - 3-InputY!$G$3)</f>
        <v>1582.1332994116003</v>
      </c>
      <c r="F203" s="24">
        <f ca="1">OFFSET(Labour1!I209,0,Last_forecast_year - 3-InputY!$G$3)</f>
        <v>1637.7014109868655</v>
      </c>
      <c r="G203" s="24">
        <f ca="1">OFFSET(Labour1!J209,0,Last_forecast_year - 3-InputY!$G$3)</f>
        <v>1686.8095827186821</v>
      </c>
      <c r="H203" s="25">
        <v>-9999</v>
      </c>
      <c r="I203" s="25">
        <v>-9999</v>
      </c>
      <c r="J203" s="25">
        <v>-9999</v>
      </c>
      <c r="K203" s="25">
        <v>-9999</v>
      </c>
      <c r="L203" s="25">
        <v>-9999</v>
      </c>
      <c r="M203" s="25">
        <v>-9999</v>
      </c>
      <c r="N203" s="25">
        <v>-9999</v>
      </c>
      <c r="O203" s="25">
        <v>-9999</v>
      </c>
      <c r="P203"/>
      <c r="Q203"/>
      <c r="AA203" s="22">
        <v>103</v>
      </c>
      <c r="AB203" s="1080" t="str">
        <f t="shared" si="8"/>
        <v xml:space="preserve">COR COMPENSATION OF EMPLOYEES </v>
      </c>
      <c r="AC203" s="1080">
        <f>CHOOSE(Tables!$U$2,Transfer!CA203,Transfer!CN203,Transfer!DA203,Transfer!DN203,Transfer!EA203)</f>
        <v>1383.7719999999999</v>
      </c>
      <c r="AD203" s="1080">
        <f>CHOOSE(Tables!$U$2,Transfer!CB203,Transfer!CO203,Transfer!DB203,Transfer!DO203,Transfer!EB203)</f>
        <v>1452.4970000000001</v>
      </c>
      <c r="AE203" s="1080">
        <f>CHOOSE(Tables!$U$2,Transfer!CC203,Transfer!CP203,Transfer!DC203,Transfer!DP203,Transfer!EC203)</f>
        <v>1520.6289999999999</v>
      </c>
      <c r="AF203" s="1080">
        <f>CHOOSE(Tables!$U$2,Transfer!CD203,Transfer!CQ203,Transfer!DD203,Transfer!DQ203,Transfer!ED203)</f>
        <v>1586.1683320949996</v>
      </c>
      <c r="AG203" s="1080">
        <f>CHOOSE(Tables!$U$2,Transfer!CE203,Transfer!CR203,Transfer!DE203,Transfer!DR203,Transfer!EE203)</f>
        <v>1643.8515658544632</v>
      </c>
      <c r="AH203" s="1080">
        <f>CHOOSE(Tables!$U$2,Transfer!CF203,Transfer!CS203,Transfer!DF203,Transfer!DS203,Transfer!EF203)</f>
        <v>-9999</v>
      </c>
      <c r="AI203" s="1080">
        <f>CHOOSE(Tables!$U$2,Transfer!CG203,Transfer!CT203,Transfer!DG203,Transfer!DT203,Transfer!EG203)</f>
        <v>-9999</v>
      </c>
      <c r="AJ203" s="1080">
        <f>CHOOSE(Tables!$U$2,Transfer!CH203,Transfer!CU203,Transfer!DH203,Transfer!DU203,Transfer!EH203)</f>
        <v>-9999</v>
      </c>
      <c r="AK203" s="1080">
        <f>CHOOSE(Tables!$U$2,Transfer!CI203,Transfer!CV203,Transfer!DI203,Transfer!DV203,Transfer!EI203)</f>
        <v>-9999</v>
      </c>
      <c r="AL203" s="1080">
        <f>CHOOSE(Tables!$U$2,Transfer!CJ203,Transfer!CW203,Transfer!DJ203,Transfer!DW203,Transfer!EJ203)</f>
        <v>-9999</v>
      </c>
      <c r="AM203" s="1080">
        <f>CHOOSE(Tables!$U$2,Transfer!CK203,Transfer!CX203,Transfer!DK203,Transfer!DX203,Transfer!EK203)</f>
        <v>-9999</v>
      </c>
      <c r="AN203" s="1080">
        <f>CHOOSE(Tables!$U$2,Transfer!CL203,Transfer!CY203,Transfer!DL203,Transfer!DY203,Transfer!EL203)</f>
        <v>-9999</v>
      </c>
      <c r="AO203" s="1080">
        <f>CHOOSE(Tables!$U$2,Transfer!CM203,Transfer!CZ203,Transfer!DM203,Transfer!DZ203,Transfer!EM203)</f>
        <v>-9999</v>
      </c>
      <c r="AR203" s="22">
        <v>103</v>
      </c>
      <c r="AS203" s="1" t="s">
        <v>1207</v>
      </c>
      <c r="AT203" s="24">
        <f t="shared" ca="1" si="10"/>
        <v>65.404999999999973</v>
      </c>
      <c r="AU203" s="24">
        <f t="shared" ca="1" si="11"/>
        <v>62.268000000000029</v>
      </c>
      <c r="AV203" s="24">
        <f t="shared" ca="1" si="12"/>
        <v>61.504299411600414</v>
      </c>
      <c r="AW203" s="24">
        <f t="shared" ca="1" si="13"/>
        <v>51.533078891865898</v>
      </c>
      <c r="AX203" s="24">
        <f t="shared" ca="1" si="14"/>
        <v>42.958016864218962</v>
      </c>
      <c r="AY203" s="25">
        <f t="shared" si="15"/>
        <v>0</v>
      </c>
      <c r="AZ203" s="25">
        <f t="shared" si="16"/>
        <v>0</v>
      </c>
      <c r="BA203" s="25">
        <f t="shared" si="17"/>
        <v>0</v>
      </c>
      <c r="BB203" s="25">
        <f t="shared" si="18"/>
        <v>0</v>
      </c>
      <c r="BC203" s="25">
        <f t="shared" si="19"/>
        <v>0</v>
      </c>
      <c r="BD203" s="25">
        <f t="shared" si="19"/>
        <v>0</v>
      </c>
      <c r="BE203" s="25">
        <f t="shared" si="19"/>
        <v>0</v>
      </c>
      <c r="BF203" s="25">
        <f t="shared" si="19"/>
        <v>0</v>
      </c>
      <c r="CA203" s="16">
        <v>1449.1769999999999</v>
      </c>
      <c r="CB203" s="16">
        <v>1514.7650000000001</v>
      </c>
      <c r="CC203" s="16">
        <v>1582.1332994115996</v>
      </c>
      <c r="CD203" s="16">
        <v>1637.701410986866</v>
      </c>
      <c r="CE203" s="16">
        <v>1686.8095827186826</v>
      </c>
      <c r="CF203" s="16">
        <v>-9999</v>
      </c>
      <c r="CG203" s="16">
        <v>-9999</v>
      </c>
      <c r="CH203" s="16">
        <v>-9999</v>
      </c>
      <c r="CI203" s="16">
        <v>-9999</v>
      </c>
      <c r="CJ203" s="16">
        <v>-9999</v>
      </c>
      <c r="CK203" s="16">
        <v>-9999</v>
      </c>
      <c r="CL203" s="16">
        <v>-9999</v>
      </c>
      <c r="CM203" s="16">
        <v>-9999</v>
      </c>
      <c r="CN203" s="16">
        <v>1383.7719999999999</v>
      </c>
      <c r="CO203" s="16">
        <v>1452.4970000000001</v>
      </c>
      <c r="CP203" s="16">
        <v>1520.6289999999999</v>
      </c>
      <c r="CQ203" s="16">
        <v>1586.1683320949996</v>
      </c>
      <c r="CR203" s="16">
        <v>1643.8515658544632</v>
      </c>
      <c r="CS203" s="16">
        <v>-9999</v>
      </c>
      <c r="CT203" s="16">
        <v>-9999</v>
      </c>
      <c r="CU203" s="16">
        <v>-9999</v>
      </c>
      <c r="CV203" s="16">
        <v>-9999</v>
      </c>
      <c r="CW203" s="16">
        <v>-9999</v>
      </c>
      <c r="CX203" s="16">
        <v>-9999</v>
      </c>
      <c r="CY203" s="16">
        <v>-9999</v>
      </c>
      <c r="CZ203" s="16">
        <v>-9999</v>
      </c>
      <c r="DA203" s="16">
        <v>1449.1769999999999</v>
      </c>
      <c r="DB203" s="16">
        <v>1514.7650000000001</v>
      </c>
      <c r="DC203" s="16">
        <v>1584.0747558028002</v>
      </c>
      <c r="DD203" s="16">
        <v>1639.0335196200658</v>
      </c>
      <c r="DE203" s="16">
        <v>1688.1804046134857</v>
      </c>
      <c r="DF203" s="16">
        <v>-9999</v>
      </c>
      <c r="DG203" s="16">
        <v>-9999</v>
      </c>
      <c r="DH203" s="16">
        <v>-9999</v>
      </c>
      <c r="DI203" s="16">
        <v>-9999</v>
      </c>
      <c r="DJ203" s="16">
        <v>-9999</v>
      </c>
      <c r="DK203" s="16">
        <v>-9999</v>
      </c>
      <c r="DL203" s="16">
        <v>-9999</v>
      </c>
      <c r="DM203" s="16">
        <v>-9999</v>
      </c>
      <c r="DN203" s="16">
        <v>1449.1769999999999</v>
      </c>
      <c r="DO203" s="16">
        <v>1514.7650000000001</v>
      </c>
      <c r="DP203" s="16">
        <v>1584.0747558028002</v>
      </c>
      <c r="DQ203" s="16">
        <v>1639.0335196200658</v>
      </c>
      <c r="DR203" s="16">
        <v>1688.180404613486</v>
      </c>
      <c r="DS203" s="16">
        <v>-9999</v>
      </c>
      <c r="DT203" s="16">
        <v>-9999</v>
      </c>
      <c r="DU203" s="16">
        <v>-9999</v>
      </c>
      <c r="DV203" s="16">
        <v>-9999</v>
      </c>
      <c r="DW203" s="16">
        <v>-9999</v>
      </c>
      <c r="DX203" s="16">
        <v>-9999</v>
      </c>
      <c r="DY203" s="16">
        <v>-9999</v>
      </c>
      <c r="DZ203" s="16">
        <v>-9999</v>
      </c>
      <c r="EA203" s="2256">
        <v>1449.1769999999999</v>
      </c>
      <c r="EB203" s="2256">
        <v>1514.7650000000001</v>
      </c>
      <c r="EC203" s="2256">
        <v>1582.1332994116003</v>
      </c>
      <c r="ED203" s="2256">
        <v>1637.7014109868655</v>
      </c>
      <c r="EE203" s="2256">
        <v>1686.8095827186821</v>
      </c>
      <c r="EF203" s="2257">
        <v>-9999</v>
      </c>
      <c r="EG203" s="2257">
        <v>-9999</v>
      </c>
      <c r="EH203" s="2257">
        <v>-9999</v>
      </c>
      <c r="EI203" s="2257">
        <v>-9999</v>
      </c>
      <c r="EJ203" s="2257">
        <v>-9999</v>
      </c>
      <c r="EK203" s="2257">
        <v>-9999</v>
      </c>
      <c r="EL203" s="2257">
        <v>-9999</v>
      </c>
      <c r="EM203" s="2257">
        <v>-9999</v>
      </c>
    </row>
    <row r="204" spans="1:143" ht="13.15">
      <c r="A204" s="22">
        <v>104</v>
      </c>
      <c r="B204" s="1" t="s">
        <v>1209</v>
      </c>
      <c r="C204" s="24">
        <f ca="1">OFFSET(Sector1!F108,0,Last_forecast_year - 3-InputY!$G$3)</f>
        <v>1055.7320000000002</v>
      </c>
      <c r="D204" s="24">
        <f ca="1">OFFSET(Sector1!G108,0,Last_forecast_year - 3-InputY!$G$3)</f>
        <v>1091.3319999999999</v>
      </c>
      <c r="E204" s="24">
        <f ca="1">OFFSET(Sector1!H108,0,Last_forecast_year - 3-InputY!$G$3)</f>
        <v>1163.3064287482887</v>
      </c>
      <c r="F204" s="24">
        <f ca="1">OFFSET(Sector1!I108,0,Last_forecast_year - 3-InputY!$G$3)</f>
        <v>1215.039388782584</v>
      </c>
      <c r="G204" s="24">
        <f ca="1">OFFSET(Sector1!J108,0,Last_forecast_year - 3-InputY!$G$3)</f>
        <v>1267.3132591274311</v>
      </c>
      <c r="H204" s="25">
        <v>-9999</v>
      </c>
      <c r="I204" s="25">
        <v>-9999</v>
      </c>
      <c r="J204" s="25">
        <v>-9999</v>
      </c>
      <c r="K204" s="25">
        <v>-9999</v>
      </c>
      <c r="L204" s="25">
        <v>-9999</v>
      </c>
      <c r="M204" s="25">
        <v>-9999</v>
      </c>
      <c r="N204" s="25">
        <v>-9999</v>
      </c>
      <c r="O204" s="25">
        <v>-9999</v>
      </c>
      <c r="P204"/>
      <c r="Q204"/>
      <c r="AA204" s="22">
        <v>104</v>
      </c>
      <c r="AB204" s="1080" t="str">
        <f t="shared" si="8"/>
        <v>COR GROSS OPERATING SURPLUS</v>
      </c>
      <c r="AC204" s="1080">
        <f>CHOOSE(Tables!$U$2,Transfer!CA204,Transfer!CN204,Transfer!DA204,Transfer!DN204,Transfer!EA204)</f>
        <v>1043.9889999999998</v>
      </c>
      <c r="AD204" s="1080">
        <f>CHOOSE(Tables!$U$2,Transfer!CB204,Transfer!CO204,Transfer!DB204,Transfer!DO204,Transfer!EB204)</f>
        <v>1057.25</v>
      </c>
      <c r="AE204" s="1080">
        <f>CHOOSE(Tables!$U$2,Transfer!CC204,Transfer!CP204,Transfer!DC204,Transfer!DP204,Transfer!EC204)</f>
        <v>1097.3840000000002</v>
      </c>
      <c r="AF204" s="1080">
        <f>CHOOSE(Tables!$U$2,Transfer!CD204,Transfer!CQ204,Transfer!DD204,Transfer!DQ204,Transfer!ED204)</f>
        <v>1166.0420703703533</v>
      </c>
      <c r="AG204" s="1080">
        <f>CHOOSE(Tables!$U$2,Transfer!CE204,Transfer!CR204,Transfer!DE204,Transfer!DR204,Transfer!EE204)</f>
        <v>1234.9040217791014</v>
      </c>
      <c r="AH204" s="1080">
        <f>CHOOSE(Tables!$U$2,Transfer!CF204,Transfer!CS204,Transfer!DF204,Transfer!DS204,Transfer!EF204)</f>
        <v>-9999</v>
      </c>
      <c r="AI204" s="1080">
        <f>CHOOSE(Tables!$U$2,Transfer!CG204,Transfer!CT204,Transfer!DG204,Transfer!DT204,Transfer!EG204)</f>
        <v>-9999</v>
      </c>
      <c r="AJ204" s="1080">
        <f>CHOOSE(Tables!$U$2,Transfer!CH204,Transfer!CU204,Transfer!DH204,Transfer!DU204,Transfer!EH204)</f>
        <v>-9999</v>
      </c>
      <c r="AK204" s="1080">
        <f>CHOOSE(Tables!$U$2,Transfer!CI204,Transfer!CV204,Transfer!DI204,Transfer!DV204,Transfer!EI204)</f>
        <v>-9999</v>
      </c>
      <c r="AL204" s="1080">
        <f>CHOOSE(Tables!$U$2,Transfer!CJ204,Transfer!CW204,Transfer!DJ204,Transfer!DW204,Transfer!EJ204)</f>
        <v>-9999</v>
      </c>
      <c r="AM204" s="1080">
        <f>CHOOSE(Tables!$U$2,Transfer!CK204,Transfer!CX204,Transfer!DK204,Transfer!DX204,Transfer!EK204)</f>
        <v>-9999</v>
      </c>
      <c r="AN204" s="1080">
        <f>CHOOSE(Tables!$U$2,Transfer!CL204,Transfer!CY204,Transfer!DL204,Transfer!DY204,Transfer!EL204)</f>
        <v>-9999</v>
      </c>
      <c r="AO204" s="1080">
        <f>CHOOSE(Tables!$U$2,Transfer!CM204,Transfer!CZ204,Transfer!DM204,Transfer!DZ204,Transfer!EM204)</f>
        <v>-9999</v>
      </c>
      <c r="AR204" s="22">
        <v>104</v>
      </c>
      <c r="AS204" s="1" t="s">
        <v>1209</v>
      </c>
      <c r="AT204" s="24">
        <f t="shared" ca="1" si="10"/>
        <v>11.743000000000393</v>
      </c>
      <c r="AU204" s="24">
        <f t="shared" ca="1" si="11"/>
        <v>34.08199999999988</v>
      </c>
      <c r="AV204" s="24">
        <f t="shared" ca="1" si="12"/>
        <v>65.922428748288439</v>
      </c>
      <c r="AW204" s="24">
        <f t="shared" ca="1" si="13"/>
        <v>48.997318412230698</v>
      </c>
      <c r="AX204" s="24">
        <f t="shared" ca="1" si="14"/>
        <v>32.409237348329725</v>
      </c>
      <c r="AY204" s="25">
        <f t="shared" si="15"/>
        <v>0</v>
      </c>
      <c r="AZ204" s="25">
        <f t="shared" si="16"/>
        <v>0</v>
      </c>
      <c r="BA204" s="25">
        <f t="shared" si="17"/>
        <v>0</v>
      </c>
      <c r="BB204" s="25">
        <f t="shared" si="18"/>
        <v>0</v>
      </c>
      <c r="BC204" s="25">
        <f t="shared" si="19"/>
        <v>0</v>
      </c>
      <c r="BD204" s="25">
        <f t="shared" si="19"/>
        <v>0</v>
      </c>
      <c r="BE204" s="25">
        <f t="shared" si="19"/>
        <v>0</v>
      </c>
      <c r="BF204" s="25">
        <f t="shared" si="19"/>
        <v>0</v>
      </c>
      <c r="CA204" s="16">
        <v>1055.7320000000002</v>
      </c>
      <c r="CB204" s="16">
        <v>1091.3319999999999</v>
      </c>
      <c r="CC204" s="16">
        <v>1162.2907221982277</v>
      </c>
      <c r="CD204" s="16">
        <v>1213.9812332863694</v>
      </c>
      <c r="CE204" s="16">
        <v>1266.2136713965556</v>
      </c>
      <c r="CF204" s="16">
        <v>-9999</v>
      </c>
      <c r="CG204" s="16">
        <v>-9999</v>
      </c>
      <c r="CH204" s="16">
        <v>-9999</v>
      </c>
      <c r="CI204" s="16">
        <v>-9999</v>
      </c>
      <c r="CJ204" s="16">
        <v>-9999</v>
      </c>
      <c r="CK204" s="16">
        <v>-9999</v>
      </c>
      <c r="CL204" s="16">
        <v>-9999</v>
      </c>
      <c r="CM204" s="16">
        <v>-9999</v>
      </c>
      <c r="CN204" s="16">
        <v>1043.9889999999998</v>
      </c>
      <c r="CO204" s="16">
        <v>1057.25</v>
      </c>
      <c r="CP204" s="16">
        <v>1097.3840000000002</v>
      </c>
      <c r="CQ204" s="16">
        <v>1166.0420703703533</v>
      </c>
      <c r="CR204" s="16">
        <v>1234.9040217791014</v>
      </c>
      <c r="CS204" s="16">
        <v>-9999</v>
      </c>
      <c r="CT204" s="16">
        <v>-9999</v>
      </c>
      <c r="CU204" s="16">
        <v>-9999</v>
      </c>
      <c r="CV204" s="16">
        <v>-9999</v>
      </c>
      <c r="CW204" s="16">
        <v>-9999</v>
      </c>
      <c r="CX204" s="16">
        <v>-9999</v>
      </c>
      <c r="CY204" s="16">
        <v>-9999</v>
      </c>
      <c r="CZ204" s="16">
        <v>-9999</v>
      </c>
      <c r="DA204" s="16">
        <v>1055.7320000000002</v>
      </c>
      <c r="DB204" s="16">
        <v>1091.3319999999999</v>
      </c>
      <c r="DC204" s="16">
        <v>1160.90049848641</v>
      </c>
      <c r="DD204" s="16">
        <v>1213.335144571598</v>
      </c>
      <c r="DE204" s="16">
        <v>1268.463197661149</v>
      </c>
      <c r="DF204" s="16">
        <v>-9999</v>
      </c>
      <c r="DG204" s="16">
        <v>-9999</v>
      </c>
      <c r="DH204" s="16">
        <v>-9999</v>
      </c>
      <c r="DI204" s="16">
        <v>-9999</v>
      </c>
      <c r="DJ204" s="16">
        <v>-9999</v>
      </c>
      <c r="DK204" s="16">
        <v>-9999</v>
      </c>
      <c r="DL204" s="16">
        <v>-9999</v>
      </c>
      <c r="DM204" s="16">
        <v>-9999</v>
      </c>
      <c r="DN204" s="16">
        <v>1055.7320000000002</v>
      </c>
      <c r="DO204" s="16">
        <v>1091.3319999999999</v>
      </c>
      <c r="DP204" s="16">
        <v>1162.4895975877837</v>
      </c>
      <c r="DQ204" s="16">
        <v>1214.1065591252584</v>
      </c>
      <c r="DR204" s="16">
        <v>1256.1738882322084</v>
      </c>
      <c r="DS204" s="16">
        <v>-9999</v>
      </c>
      <c r="DT204" s="16">
        <v>-9999</v>
      </c>
      <c r="DU204" s="16">
        <v>-9999</v>
      </c>
      <c r="DV204" s="16">
        <v>-9999</v>
      </c>
      <c r="DW204" s="16">
        <v>-9999</v>
      </c>
      <c r="DX204" s="16">
        <v>-9999</v>
      </c>
      <c r="DY204" s="16">
        <v>-9999</v>
      </c>
      <c r="DZ204" s="16">
        <v>-9999</v>
      </c>
      <c r="EA204" s="2256">
        <v>1055.7320000000002</v>
      </c>
      <c r="EB204" s="2256">
        <v>1091.3319999999999</v>
      </c>
      <c r="EC204" s="2256">
        <v>1163.3064287482887</v>
      </c>
      <c r="ED204" s="2256">
        <v>1215.039388782584</v>
      </c>
      <c r="EE204" s="2256">
        <v>1267.3132591274311</v>
      </c>
      <c r="EF204" s="2257">
        <v>-9999</v>
      </c>
      <c r="EG204" s="2257">
        <v>-9999</v>
      </c>
      <c r="EH204" s="2257">
        <v>-9999</v>
      </c>
      <c r="EI204" s="2257">
        <v>-9999</v>
      </c>
      <c r="EJ204" s="2257">
        <v>-9999</v>
      </c>
      <c r="EK204" s="2257">
        <v>-9999</v>
      </c>
      <c r="EL204" s="2257">
        <v>-9999</v>
      </c>
      <c r="EM204" s="2257">
        <v>-9999</v>
      </c>
    </row>
    <row r="205" spans="1:143" ht="13.15">
      <c r="A205" s="22">
        <v>105</v>
      </c>
      <c r="B205" s="1" t="s">
        <v>1211</v>
      </c>
      <c r="C205" s="24">
        <f ca="1">OFFSET(Sector1!F136,0,Last_forecast_year - 3-InputY!$G$3)</f>
        <v>-317.185</v>
      </c>
      <c r="D205" s="24">
        <f ca="1">OFFSET(Sector1!G136,0,Last_forecast_year - 3-InputY!$G$3)</f>
        <v>-287.46800000000002</v>
      </c>
      <c r="E205" s="24">
        <f ca="1">OFFSET(Sector1!H136,0,Last_forecast_year - 3-InputY!$G$3)</f>
        <v>-298.96672000000001</v>
      </c>
      <c r="F205" s="24">
        <f ca="1">OFFSET(Sector1!I136,0,Last_forecast_year - 3-InputY!$G$3)</f>
        <v>-310.92538880000001</v>
      </c>
      <c r="G205" s="24">
        <f ca="1">OFFSET(Sector1!J136,0,Last_forecast_year - 3-InputY!$G$3)</f>
        <v>-323.362404352</v>
      </c>
      <c r="H205" s="25">
        <v>-9999</v>
      </c>
      <c r="I205" s="25">
        <v>-9999</v>
      </c>
      <c r="J205" s="25">
        <v>-9999</v>
      </c>
      <c r="K205" s="25">
        <v>-9999</v>
      </c>
      <c r="L205" s="25">
        <v>-9999</v>
      </c>
      <c r="M205" s="25">
        <v>-9999</v>
      </c>
      <c r="N205" s="25">
        <v>-9999</v>
      </c>
      <c r="O205" s="25">
        <v>-9999</v>
      </c>
      <c r="P205"/>
      <c r="Q205"/>
      <c r="AA205" s="22">
        <v>105</v>
      </c>
      <c r="AB205" s="1080" t="str">
        <f t="shared" si="8"/>
        <v>COR PROPERTY INCOME (NET)</v>
      </c>
      <c r="AC205" s="1080">
        <f>CHOOSE(Tables!$U$2,Transfer!CA205,Transfer!CN205,Transfer!DA205,Transfer!DN205,Transfer!EA205)</f>
        <v>-265.82299999999998</v>
      </c>
      <c r="AD205" s="1080">
        <f>CHOOSE(Tables!$U$2,Transfer!CB205,Transfer!CO205,Transfer!DB205,Transfer!DO205,Transfer!EB205)</f>
        <v>-303.57499999999999</v>
      </c>
      <c r="AE205" s="1080">
        <f>CHOOSE(Tables!$U$2,Transfer!CC205,Transfer!CP205,Transfer!DC205,Transfer!DP205,Transfer!EC205)</f>
        <v>-270.87299999999999</v>
      </c>
      <c r="AF205" s="1080">
        <f>CHOOSE(Tables!$U$2,Transfer!CD205,Transfer!CQ205,Transfer!DD205,Transfer!DQ205,Transfer!ED205)</f>
        <v>-281.70792</v>
      </c>
      <c r="AG205" s="1080">
        <f>CHOOSE(Tables!$U$2,Transfer!CE205,Transfer!CR205,Transfer!DE205,Transfer!DR205,Transfer!EE205)</f>
        <v>-292.97623680000004</v>
      </c>
      <c r="AH205" s="1080">
        <f>CHOOSE(Tables!$U$2,Transfer!CF205,Transfer!CS205,Transfer!DF205,Transfer!DS205,Transfer!EF205)</f>
        <v>-9999</v>
      </c>
      <c r="AI205" s="1080">
        <f>CHOOSE(Tables!$U$2,Transfer!CG205,Transfer!CT205,Transfer!DG205,Transfer!DT205,Transfer!EG205)</f>
        <v>-9999</v>
      </c>
      <c r="AJ205" s="1080">
        <f>CHOOSE(Tables!$U$2,Transfer!CH205,Transfer!CU205,Transfer!DH205,Transfer!DU205,Transfer!EH205)</f>
        <v>-9999</v>
      </c>
      <c r="AK205" s="1080">
        <f>CHOOSE(Tables!$U$2,Transfer!CI205,Transfer!CV205,Transfer!DI205,Transfer!DV205,Transfer!EI205)</f>
        <v>-9999</v>
      </c>
      <c r="AL205" s="1080">
        <f>CHOOSE(Tables!$U$2,Transfer!CJ205,Transfer!CW205,Transfer!DJ205,Transfer!DW205,Transfer!EJ205)</f>
        <v>-9999</v>
      </c>
      <c r="AM205" s="1080">
        <f>CHOOSE(Tables!$U$2,Transfer!CK205,Transfer!CX205,Transfer!DK205,Transfer!DX205,Transfer!EK205)</f>
        <v>-9999</v>
      </c>
      <c r="AN205" s="1080">
        <f>CHOOSE(Tables!$U$2,Transfer!CL205,Transfer!CY205,Transfer!DL205,Transfer!DY205,Transfer!EL205)</f>
        <v>-9999</v>
      </c>
      <c r="AO205" s="1080">
        <f>CHOOSE(Tables!$U$2,Transfer!CM205,Transfer!CZ205,Transfer!DM205,Transfer!DZ205,Transfer!EM205)</f>
        <v>-9999</v>
      </c>
      <c r="AR205" s="22">
        <v>105</v>
      </c>
      <c r="AS205" s="1" t="s">
        <v>1211</v>
      </c>
      <c r="AT205" s="24">
        <f t="shared" ca="1" si="10"/>
        <v>-51.362000000000023</v>
      </c>
      <c r="AU205" s="24">
        <f t="shared" ca="1" si="11"/>
        <v>16.106999999999971</v>
      </c>
      <c r="AV205" s="24">
        <f t="shared" ca="1" si="12"/>
        <v>-28.093720000000019</v>
      </c>
      <c r="AW205" s="24">
        <f t="shared" ca="1" si="13"/>
        <v>-29.217468800000006</v>
      </c>
      <c r="AX205" s="24">
        <f t="shared" ca="1" si="14"/>
        <v>-30.386167551999961</v>
      </c>
      <c r="AY205" s="25">
        <f t="shared" si="15"/>
        <v>0</v>
      </c>
      <c r="AZ205" s="25">
        <f t="shared" si="16"/>
        <v>0</v>
      </c>
      <c r="BA205" s="25">
        <f t="shared" si="17"/>
        <v>0</v>
      </c>
      <c r="BB205" s="25">
        <f t="shared" si="18"/>
        <v>0</v>
      </c>
      <c r="BC205" s="25">
        <f t="shared" si="19"/>
        <v>0</v>
      </c>
      <c r="BD205" s="25">
        <f t="shared" si="19"/>
        <v>0</v>
      </c>
      <c r="BE205" s="25">
        <f t="shared" si="19"/>
        <v>0</v>
      </c>
      <c r="BF205" s="25">
        <f t="shared" si="19"/>
        <v>0</v>
      </c>
      <c r="CA205" s="16">
        <v>-317.185</v>
      </c>
      <c r="CB205" s="16">
        <v>-287.46800000000002</v>
      </c>
      <c r="CC205" s="16">
        <v>-298.96672000000001</v>
      </c>
      <c r="CD205" s="16">
        <v>-310.92538880000001</v>
      </c>
      <c r="CE205" s="16">
        <v>-323.362404352</v>
      </c>
      <c r="CF205" s="16">
        <v>-9999</v>
      </c>
      <c r="CG205" s="16">
        <v>-9999</v>
      </c>
      <c r="CH205" s="16">
        <v>-9999</v>
      </c>
      <c r="CI205" s="16">
        <v>-9999</v>
      </c>
      <c r="CJ205" s="16">
        <v>-9999</v>
      </c>
      <c r="CK205" s="16">
        <v>-9999</v>
      </c>
      <c r="CL205" s="16">
        <v>-9999</v>
      </c>
      <c r="CM205" s="16">
        <v>-9999</v>
      </c>
      <c r="CN205" s="16">
        <v>-265.82299999999998</v>
      </c>
      <c r="CO205" s="16">
        <v>-303.57499999999999</v>
      </c>
      <c r="CP205" s="16">
        <v>-270.87299999999999</v>
      </c>
      <c r="CQ205" s="16">
        <v>-281.70792</v>
      </c>
      <c r="CR205" s="16">
        <v>-292.97623680000004</v>
      </c>
      <c r="CS205" s="16">
        <v>-9999</v>
      </c>
      <c r="CT205" s="16">
        <v>-9999</v>
      </c>
      <c r="CU205" s="16">
        <v>-9999</v>
      </c>
      <c r="CV205" s="16">
        <v>-9999</v>
      </c>
      <c r="CW205" s="16">
        <v>-9999</v>
      </c>
      <c r="CX205" s="16">
        <v>-9999</v>
      </c>
      <c r="CY205" s="16">
        <v>-9999</v>
      </c>
      <c r="CZ205" s="16">
        <v>-9999</v>
      </c>
      <c r="DA205" s="16">
        <v>-317.185</v>
      </c>
      <c r="DB205" s="16">
        <v>-287.46800000000002</v>
      </c>
      <c r="DC205" s="16">
        <v>-298.96672000000001</v>
      </c>
      <c r="DD205" s="16">
        <v>-310.92538880000001</v>
      </c>
      <c r="DE205" s="16">
        <v>-323.362404352</v>
      </c>
      <c r="DF205" s="16">
        <v>-9999</v>
      </c>
      <c r="DG205" s="16">
        <v>-9999</v>
      </c>
      <c r="DH205" s="16">
        <v>-9999</v>
      </c>
      <c r="DI205" s="16">
        <v>-9999</v>
      </c>
      <c r="DJ205" s="16">
        <v>-9999</v>
      </c>
      <c r="DK205" s="16">
        <v>-9999</v>
      </c>
      <c r="DL205" s="16">
        <v>-9999</v>
      </c>
      <c r="DM205" s="16">
        <v>-9999</v>
      </c>
      <c r="DN205" s="16">
        <v>-317.185</v>
      </c>
      <c r="DO205" s="16">
        <v>-287.46800000000002</v>
      </c>
      <c r="DP205" s="16">
        <v>-298.96672000000001</v>
      </c>
      <c r="DQ205" s="16">
        <v>-310.92538880000001</v>
      </c>
      <c r="DR205" s="16">
        <v>-323.362404352</v>
      </c>
      <c r="DS205" s="16">
        <v>-9999</v>
      </c>
      <c r="DT205" s="16">
        <v>-9999</v>
      </c>
      <c r="DU205" s="16">
        <v>-9999</v>
      </c>
      <c r="DV205" s="16">
        <v>-9999</v>
      </c>
      <c r="DW205" s="16">
        <v>-9999</v>
      </c>
      <c r="DX205" s="16">
        <v>-9999</v>
      </c>
      <c r="DY205" s="16">
        <v>-9999</v>
      </c>
      <c r="DZ205" s="16">
        <v>-9999</v>
      </c>
      <c r="EA205" s="2256">
        <v>-317.185</v>
      </c>
      <c r="EB205" s="2256">
        <v>-287.46800000000002</v>
      </c>
      <c r="EC205" s="2256">
        <v>-298.96672000000001</v>
      </c>
      <c r="ED205" s="2256">
        <v>-310.92538880000001</v>
      </c>
      <c r="EE205" s="2256">
        <v>-323.362404352</v>
      </c>
      <c r="EF205" s="2257">
        <v>-9999</v>
      </c>
      <c r="EG205" s="2257">
        <v>-9999</v>
      </c>
      <c r="EH205" s="2257">
        <v>-9999</v>
      </c>
      <c r="EI205" s="2257">
        <v>-9999</v>
      </c>
      <c r="EJ205" s="2257">
        <v>-9999</v>
      </c>
      <c r="EK205" s="2257">
        <v>-9999</v>
      </c>
      <c r="EL205" s="2257">
        <v>-9999</v>
      </c>
      <c r="EM205" s="2257">
        <v>-9999</v>
      </c>
    </row>
    <row r="206" spans="1:143" ht="13.15">
      <c r="A206" s="22">
        <v>106</v>
      </c>
      <c r="B206" s="1" t="s">
        <v>170</v>
      </c>
      <c r="C206" s="24">
        <f ca="1">OFFSET(Sector1!F732,0,Last_forecast_year - 3-InputY!$G$3)</f>
        <v>119.46300000000002</v>
      </c>
      <c r="D206" s="24">
        <f ca="1">OFFSET(Sector1!G732,0,Last_forecast_year - 3-InputY!$G$3)</f>
        <v>102.39399999999998</v>
      </c>
      <c r="E206" s="24">
        <f ca="1">OFFSET(Sector1!H732,0,Last_forecast_year - 3-InputY!$G$3)</f>
        <v>107.19207479991582</v>
      </c>
      <c r="F206" s="24">
        <f ca="1">OFFSET(Sector1!I732,0,Last_forecast_year - 3-InputY!$G$3)</f>
        <v>112.25198602716679</v>
      </c>
      <c r="G206" s="24">
        <f ca="1">OFFSET(Sector1!J732,0,Last_forecast_year - 3-InputY!$G$3)</f>
        <v>119.56914136378811</v>
      </c>
      <c r="H206" s="25">
        <v>-9999</v>
      </c>
      <c r="I206" s="25">
        <v>-9999</v>
      </c>
      <c r="J206" s="25">
        <v>-9999</v>
      </c>
      <c r="K206" s="25">
        <v>-9999</v>
      </c>
      <c r="L206" s="25">
        <v>-9999</v>
      </c>
      <c r="M206" s="25">
        <v>-9999</v>
      </c>
      <c r="N206" s="25">
        <v>-9999</v>
      </c>
      <c r="O206" s="25">
        <v>-9999</v>
      </c>
      <c r="P206"/>
      <c r="Q206"/>
      <c r="AA206" s="22">
        <v>106</v>
      </c>
      <c r="AB206" s="1080" t="str">
        <f t="shared" si="8"/>
        <v>COR CURRENT TRANSFERS (NET RECEIPTS)</v>
      </c>
      <c r="AC206" s="1080">
        <f>CHOOSE(Tables!$U$2,Transfer!CA206,Transfer!CN206,Transfer!DA206,Transfer!DN206,Transfer!EA206)</f>
        <v>111.97300000000003</v>
      </c>
      <c r="AD206" s="1080">
        <f>CHOOSE(Tables!$U$2,Transfer!CB206,Transfer!CO206,Transfer!DB206,Transfer!DO206,Transfer!EB206)</f>
        <v>128.739</v>
      </c>
      <c r="AE206" s="1080">
        <f>CHOOSE(Tables!$U$2,Transfer!CC206,Transfer!CP206,Transfer!DC206,Transfer!DP206,Transfer!EC206)</f>
        <v>115.72299999999997</v>
      </c>
      <c r="AF206" s="1080">
        <f>CHOOSE(Tables!$U$2,Transfer!CD206,Transfer!CQ206,Transfer!DD206,Transfer!DQ206,Transfer!ED206)</f>
        <v>122.43946457814647</v>
      </c>
      <c r="AG206" s="1080">
        <f>CHOOSE(Tables!$U$2,Transfer!CE206,Transfer!CR206,Transfer!DE206,Transfer!DR206,Transfer!EE206)</f>
        <v>129.75066189783075</v>
      </c>
      <c r="AH206" s="1080">
        <f>CHOOSE(Tables!$U$2,Transfer!CF206,Transfer!CS206,Transfer!DF206,Transfer!DS206,Transfer!EF206)</f>
        <v>-9999</v>
      </c>
      <c r="AI206" s="1080">
        <f>CHOOSE(Tables!$U$2,Transfer!CG206,Transfer!CT206,Transfer!DG206,Transfer!DT206,Transfer!EG206)</f>
        <v>-9999</v>
      </c>
      <c r="AJ206" s="1080">
        <f>CHOOSE(Tables!$U$2,Transfer!CH206,Transfer!CU206,Transfer!DH206,Transfer!DU206,Transfer!EH206)</f>
        <v>-9999</v>
      </c>
      <c r="AK206" s="1080">
        <f>CHOOSE(Tables!$U$2,Transfer!CI206,Transfer!CV206,Transfer!DI206,Transfer!DV206,Transfer!EI206)</f>
        <v>-9999</v>
      </c>
      <c r="AL206" s="1080">
        <f>CHOOSE(Tables!$U$2,Transfer!CJ206,Transfer!CW206,Transfer!DJ206,Transfer!DW206,Transfer!EJ206)</f>
        <v>-9999</v>
      </c>
      <c r="AM206" s="1080">
        <f>CHOOSE(Tables!$U$2,Transfer!CK206,Transfer!CX206,Transfer!DK206,Transfer!DX206,Transfer!EK206)</f>
        <v>-9999</v>
      </c>
      <c r="AN206" s="1080">
        <f>CHOOSE(Tables!$U$2,Transfer!CL206,Transfer!CY206,Transfer!DL206,Transfer!DY206,Transfer!EL206)</f>
        <v>-9999</v>
      </c>
      <c r="AO206" s="1080">
        <f>CHOOSE(Tables!$U$2,Transfer!CM206,Transfer!CZ206,Transfer!DM206,Transfer!DZ206,Transfer!EM206)</f>
        <v>-9999</v>
      </c>
      <c r="AR206" s="22">
        <v>106</v>
      </c>
      <c r="AS206" s="1" t="s">
        <v>170</v>
      </c>
      <c r="AT206" s="24">
        <f t="shared" ca="1" si="10"/>
        <v>7.4899999999999949</v>
      </c>
      <c r="AU206" s="24">
        <f t="shared" ca="1" si="11"/>
        <v>-26.345000000000027</v>
      </c>
      <c r="AV206" s="24">
        <f t="shared" ca="1" si="12"/>
        <v>-8.5309252000841553</v>
      </c>
      <c r="AW206" s="24">
        <f t="shared" ca="1" si="13"/>
        <v>-10.187478550979677</v>
      </c>
      <c r="AX206" s="24">
        <f t="shared" ca="1" si="14"/>
        <v>-10.181520534042647</v>
      </c>
      <c r="AY206" s="25">
        <f t="shared" si="15"/>
        <v>0</v>
      </c>
      <c r="AZ206" s="25">
        <f t="shared" si="16"/>
        <v>0</v>
      </c>
      <c r="BA206" s="25">
        <f t="shared" si="17"/>
        <v>0</v>
      </c>
      <c r="BB206" s="25">
        <f t="shared" si="18"/>
        <v>0</v>
      </c>
      <c r="BC206" s="25">
        <f t="shared" si="19"/>
        <v>0</v>
      </c>
      <c r="BD206" s="25">
        <f t="shared" si="19"/>
        <v>0</v>
      </c>
      <c r="BE206" s="25">
        <f t="shared" si="19"/>
        <v>0</v>
      </c>
      <c r="BF206" s="25">
        <f t="shared" si="19"/>
        <v>0</v>
      </c>
      <c r="CA206" s="16">
        <v>119.46300000000002</v>
      </c>
      <c r="CB206" s="16">
        <v>102.39399999999998</v>
      </c>
      <c r="CC206" s="16">
        <v>107.19207479991582</v>
      </c>
      <c r="CD206" s="16">
        <v>112.25198602716679</v>
      </c>
      <c r="CE206" s="16">
        <v>119.56914136378811</v>
      </c>
      <c r="CF206" s="16">
        <v>-9999</v>
      </c>
      <c r="CG206" s="16">
        <v>-9999</v>
      </c>
      <c r="CH206" s="16">
        <v>-9999</v>
      </c>
      <c r="CI206" s="16">
        <v>-9999</v>
      </c>
      <c r="CJ206" s="16">
        <v>-9999</v>
      </c>
      <c r="CK206" s="16">
        <v>-9999</v>
      </c>
      <c r="CL206" s="16">
        <v>-9999</v>
      </c>
      <c r="CM206" s="16">
        <v>-9999</v>
      </c>
      <c r="CN206" s="16">
        <v>111.97300000000003</v>
      </c>
      <c r="CO206" s="16">
        <v>128.739</v>
      </c>
      <c r="CP206" s="16">
        <v>115.72299999999997</v>
      </c>
      <c r="CQ206" s="16">
        <v>122.43946457814647</v>
      </c>
      <c r="CR206" s="16">
        <v>129.75066189783075</v>
      </c>
      <c r="CS206" s="16">
        <v>-9999</v>
      </c>
      <c r="CT206" s="16">
        <v>-9999</v>
      </c>
      <c r="CU206" s="16">
        <v>-9999</v>
      </c>
      <c r="CV206" s="16">
        <v>-9999</v>
      </c>
      <c r="CW206" s="16">
        <v>-9999</v>
      </c>
      <c r="CX206" s="16">
        <v>-9999</v>
      </c>
      <c r="CY206" s="16">
        <v>-9999</v>
      </c>
      <c r="CZ206" s="16">
        <v>-9999</v>
      </c>
      <c r="DA206" s="16">
        <v>119.46300000000002</v>
      </c>
      <c r="DB206" s="16">
        <v>102.39399999999998</v>
      </c>
      <c r="DC206" s="16">
        <v>107.19207479991582</v>
      </c>
      <c r="DD206" s="16">
        <v>112.25198602716679</v>
      </c>
      <c r="DE206" s="16">
        <v>119.56914136378811</v>
      </c>
      <c r="DF206" s="16">
        <v>-9999</v>
      </c>
      <c r="DG206" s="16">
        <v>-9999</v>
      </c>
      <c r="DH206" s="16">
        <v>-9999</v>
      </c>
      <c r="DI206" s="16">
        <v>-9999</v>
      </c>
      <c r="DJ206" s="16">
        <v>-9999</v>
      </c>
      <c r="DK206" s="16">
        <v>-9999</v>
      </c>
      <c r="DL206" s="16">
        <v>-9999</v>
      </c>
      <c r="DM206" s="16">
        <v>-9999</v>
      </c>
      <c r="DN206" s="16">
        <v>119.46300000000002</v>
      </c>
      <c r="DO206" s="16">
        <v>102.39399999999998</v>
      </c>
      <c r="DP206" s="16">
        <v>107.19207479991582</v>
      </c>
      <c r="DQ206" s="16">
        <v>112.25198602716679</v>
      </c>
      <c r="DR206" s="16">
        <v>106.8150178804708</v>
      </c>
      <c r="DS206" s="16">
        <v>-9999</v>
      </c>
      <c r="DT206" s="16">
        <v>-9999</v>
      </c>
      <c r="DU206" s="16">
        <v>-9999</v>
      </c>
      <c r="DV206" s="16">
        <v>-9999</v>
      </c>
      <c r="DW206" s="16">
        <v>-9999</v>
      </c>
      <c r="DX206" s="16">
        <v>-9999</v>
      </c>
      <c r="DY206" s="16">
        <v>-9999</v>
      </c>
      <c r="DZ206" s="16">
        <v>-9999</v>
      </c>
      <c r="EA206" s="2256">
        <v>119.46300000000002</v>
      </c>
      <c r="EB206" s="2256">
        <v>102.39399999999998</v>
      </c>
      <c r="EC206" s="2256">
        <v>107.19207479991582</v>
      </c>
      <c r="ED206" s="2256">
        <v>112.25198602716679</v>
      </c>
      <c r="EE206" s="2256">
        <v>119.56914136378811</v>
      </c>
      <c r="EF206" s="2257">
        <v>-9999</v>
      </c>
      <c r="EG206" s="2257">
        <v>-9999</v>
      </c>
      <c r="EH206" s="2257">
        <v>-9999</v>
      </c>
      <c r="EI206" s="2257">
        <v>-9999</v>
      </c>
      <c r="EJ206" s="2257">
        <v>-9999</v>
      </c>
      <c r="EK206" s="2257">
        <v>-9999</v>
      </c>
      <c r="EL206" s="2257">
        <v>-9999</v>
      </c>
      <c r="EM206" s="2257">
        <v>-9999</v>
      </c>
    </row>
    <row r="207" spans="1:143" ht="13.15">
      <c r="A207" s="22">
        <v>107</v>
      </c>
      <c r="B207" s="1" t="s">
        <v>171</v>
      </c>
      <c r="C207" s="24">
        <f ca="1">OFFSET(Sector1!F200,0,Last_forecast_year - 3-InputY!$G$3)</f>
        <v>123.566</v>
      </c>
      <c r="D207" s="24">
        <f ca="1">OFFSET(Sector1!G200,0,Last_forecast_year - 3-InputY!$G$3)</f>
        <v>132.32</v>
      </c>
      <c r="E207" s="24">
        <f ca="1">OFFSET(Sector1!H200,0,Last_forecast_year - 3-InputY!$G$3)</f>
        <v>138.93600000000001</v>
      </c>
      <c r="F207" s="24">
        <f ca="1">OFFSET(Sector1!I200,0,Last_forecast_year - 3-InputY!$G$3)</f>
        <v>142.54833600000001</v>
      </c>
      <c r="G207" s="24">
        <f ca="1">OFFSET(Sector1!J200,0,Last_forecast_year - 3-InputY!$G$3)</f>
        <v>146.25459273600001</v>
      </c>
      <c r="H207" s="25">
        <v>-9999</v>
      </c>
      <c r="I207" s="25">
        <v>-9999</v>
      </c>
      <c r="J207" s="25">
        <v>-9999</v>
      </c>
      <c r="K207" s="25">
        <v>-9999</v>
      </c>
      <c r="L207" s="25">
        <v>-9999</v>
      </c>
      <c r="M207" s="25">
        <v>-9999</v>
      </c>
      <c r="N207" s="25">
        <v>-9999</v>
      </c>
      <c r="O207" s="25">
        <v>-9999</v>
      </c>
      <c r="P207"/>
      <c r="Q207"/>
      <c r="AA207" s="22">
        <v>107</v>
      </c>
      <c r="AB207" s="1080" t="str">
        <f t="shared" si="8"/>
        <v>COR CURRENT TAXES ON INCOME AND WEALTH</v>
      </c>
      <c r="AC207" s="1080">
        <f>CHOOSE(Tables!$U$2,Transfer!CA207,Transfer!CN207,Transfer!DA207,Transfer!DN207,Transfer!EA207)</f>
        <v>122.084</v>
      </c>
      <c r="AD207" s="1080">
        <f>CHOOSE(Tables!$U$2,Transfer!CB207,Transfer!CO207,Transfer!DB207,Transfer!DO207,Transfer!EB207)</f>
        <v>124.19499999999999</v>
      </c>
      <c r="AE207" s="1080">
        <f>CHOOSE(Tables!$U$2,Transfer!CC207,Transfer!CP207,Transfer!DC207,Transfer!DP207,Transfer!EC207)</f>
        <v>127.78400000000001</v>
      </c>
      <c r="AF207" s="1080">
        <f>CHOOSE(Tables!$U$2,Transfer!CD207,Transfer!CQ207,Transfer!DD207,Transfer!DQ207,Transfer!ED207)</f>
        <v>131.61752000000001</v>
      </c>
      <c r="AG207" s="1080">
        <f>CHOOSE(Tables!$U$2,Transfer!CE207,Transfer!CR207,Transfer!DE207,Transfer!DR207,Transfer!EE207)</f>
        <v>135.03957552000003</v>
      </c>
      <c r="AH207" s="1080">
        <f>CHOOSE(Tables!$U$2,Transfer!CF207,Transfer!CS207,Transfer!DF207,Transfer!DS207,Transfer!EF207)</f>
        <v>-9999</v>
      </c>
      <c r="AI207" s="1080">
        <f>CHOOSE(Tables!$U$2,Transfer!CG207,Transfer!CT207,Transfer!DG207,Transfer!DT207,Transfer!EG207)</f>
        <v>-9999</v>
      </c>
      <c r="AJ207" s="1080">
        <f>CHOOSE(Tables!$U$2,Transfer!CH207,Transfer!CU207,Transfer!DH207,Transfer!DU207,Transfer!EH207)</f>
        <v>-9999</v>
      </c>
      <c r="AK207" s="1080">
        <f>CHOOSE(Tables!$U$2,Transfer!CI207,Transfer!CV207,Transfer!DI207,Transfer!DV207,Transfer!EI207)</f>
        <v>-9999</v>
      </c>
      <c r="AL207" s="1080">
        <f>CHOOSE(Tables!$U$2,Transfer!CJ207,Transfer!CW207,Transfer!DJ207,Transfer!DW207,Transfer!EJ207)</f>
        <v>-9999</v>
      </c>
      <c r="AM207" s="1080">
        <f>CHOOSE(Tables!$U$2,Transfer!CK207,Transfer!CX207,Transfer!DK207,Transfer!DX207,Transfer!EK207)</f>
        <v>-9999</v>
      </c>
      <c r="AN207" s="1080">
        <f>CHOOSE(Tables!$U$2,Transfer!CL207,Transfer!CY207,Transfer!DL207,Transfer!DY207,Transfer!EL207)</f>
        <v>-9999</v>
      </c>
      <c r="AO207" s="1080">
        <f>CHOOSE(Tables!$U$2,Transfer!CM207,Transfer!CZ207,Transfer!DM207,Transfer!DZ207,Transfer!EM207)</f>
        <v>-9999</v>
      </c>
      <c r="AR207" s="22">
        <v>107</v>
      </c>
      <c r="AS207" s="1" t="s">
        <v>171</v>
      </c>
      <c r="AT207" s="24">
        <f t="shared" ca="1" si="10"/>
        <v>1.4819999999999993</v>
      </c>
      <c r="AU207" s="24">
        <f t="shared" ca="1" si="11"/>
        <v>8.125</v>
      </c>
      <c r="AV207" s="24">
        <f t="shared" ca="1" si="12"/>
        <v>11.152000000000001</v>
      </c>
      <c r="AW207" s="24">
        <f t="shared" ca="1" si="13"/>
        <v>10.930815999999993</v>
      </c>
      <c r="AX207" s="24">
        <f t="shared" ca="1" si="14"/>
        <v>11.215017215999978</v>
      </c>
      <c r="AY207" s="25">
        <f t="shared" si="15"/>
        <v>0</v>
      </c>
      <c r="AZ207" s="25">
        <f t="shared" si="16"/>
        <v>0</v>
      </c>
      <c r="BA207" s="25">
        <f t="shared" si="17"/>
        <v>0</v>
      </c>
      <c r="BB207" s="25">
        <f t="shared" si="18"/>
        <v>0</v>
      </c>
      <c r="BC207" s="25">
        <f>L207-AL207</f>
        <v>0</v>
      </c>
      <c r="BD207" s="25">
        <f t="shared" ref="BC207:BF270" si="20">M207-AM207</f>
        <v>0</v>
      </c>
      <c r="BE207" s="25">
        <f t="shared" si="20"/>
        <v>0</v>
      </c>
      <c r="BF207" s="25">
        <f t="shared" si="20"/>
        <v>0</v>
      </c>
      <c r="CA207" s="16">
        <v>123.566</v>
      </c>
      <c r="CB207" s="16">
        <v>132.32</v>
      </c>
      <c r="CC207" s="16">
        <v>138.93600000000001</v>
      </c>
      <c r="CD207" s="16">
        <v>142.54833600000001</v>
      </c>
      <c r="CE207" s="16">
        <v>146.25459273600001</v>
      </c>
      <c r="CF207" s="16">
        <v>-9999</v>
      </c>
      <c r="CG207" s="16">
        <v>-9999</v>
      </c>
      <c r="CH207" s="16">
        <v>-9999</v>
      </c>
      <c r="CI207" s="16">
        <v>-9999</v>
      </c>
      <c r="CJ207" s="16">
        <v>-9999</v>
      </c>
      <c r="CK207" s="16">
        <v>-9999</v>
      </c>
      <c r="CL207" s="16">
        <v>-9999</v>
      </c>
      <c r="CM207" s="16">
        <v>-9999</v>
      </c>
      <c r="CN207" s="16">
        <v>122.084</v>
      </c>
      <c r="CO207" s="16">
        <v>124.19499999999999</v>
      </c>
      <c r="CP207" s="16">
        <v>127.78400000000001</v>
      </c>
      <c r="CQ207" s="16">
        <v>131.61752000000001</v>
      </c>
      <c r="CR207" s="16">
        <v>135.03957552000003</v>
      </c>
      <c r="CS207" s="16">
        <v>-9999</v>
      </c>
      <c r="CT207" s="16">
        <v>-9999</v>
      </c>
      <c r="CU207" s="16">
        <v>-9999</v>
      </c>
      <c r="CV207" s="16">
        <v>-9999</v>
      </c>
      <c r="CW207" s="16">
        <v>-9999</v>
      </c>
      <c r="CX207" s="16">
        <v>-9999</v>
      </c>
      <c r="CY207" s="16">
        <v>-9999</v>
      </c>
      <c r="CZ207" s="16">
        <v>-9999</v>
      </c>
      <c r="DA207" s="16">
        <v>123.566</v>
      </c>
      <c r="DB207" s="16">
        <v>132.32</v>
      </c>
      <c r="DC207" s="16">
        <v>138.93600000000001</v>
      </c>
      <c r="DD207" s="16">
        <v>142.54833600000001</v>
      </c>
      <c r="DE207" s="16">
        <v>146.25459273600001</v>
      </c>
      <c r="DF207" s="16">
        <v>-9999</v>
      </c>
      <c r="DG207" s="16">
        <v>-9999</v>
      </c>
      <c r="DH207" s="16">
        <v>-9999</v>
      </c>
      <c r="DI207" s="16">
        <v>-9999</v>
      </c>
      <c r="DJ207" s="16">
        <v>-9999</v>
      </c>
      <c r="DK207" s="16">
        <v>-9999</v>
      </c>
      <c r="DL207" s="16">
        <v>-9999</v>
      </c>
      <c r="DM207" s="16">
        <v>-9999</v>
      </c>
      <c r="DN207" s="16">
        <v>123.566</v>
      </c>
      <c r="DO207" s="16">
        <v>132.32</v>
      </c>
      <c r="DP207" s="16">
        <v>136.28960000000001</v>
      </c>
      <c r="DQ207" s="16">
        <v>139.83312960000001</v>
      </c>
      <c r="DR207" s="16">
        <v>143.46879096960001</v>
      </c>
      <c r="DS207" s="16">
        <v>-9999</v>
      </c>
      <c r="DT207" s="16">
        <v>-9999</v>
      </c>
      <c r="DU207" s="16">
        <v>-9999</v>
      </c>
      <c r="DV207" s="16">
        <v>-9999</v>
      </c>
      <c r="DW207" s="16">
        <v>-9999</v>
      </c>
      <c r="DX207" s="16">
        <v>-9999</v>
      </c>
      <c r="DY207" s="16">
        <v>-9999</v>
      </c>
      <c r="DZ207" s="16">
        <v>-9999</v>
      </c>
      <c r="EA207" s="2256">
        <v>123.566</v>
      </c>
      <c r="EB207" s="2256">
        <v>132.32</v>
      </c>
      <c r="EC207" s="2256">
        <v>138.93600000000001</v>
      </c>
      <c r="ED207" s="2256">
        <v>142.54833600000001</v>
      </c>
      <c r="EE207" s="2256">
        <v>146.25459273600001</v>
      </c>
      <c r="EF207" s="2257">
        <v>-9999</v>
      </c>
      <c r="EG207" s="2257">
        <v>-9999</v>
      </c>
      <c r="EH207" s="2257">
        <v>-9999</v>
      </c>
      <c r="EI207" s="2257">
        <v>-9999</v>
      </c>
      <c r="EJ207" s="2257">
        <v>-9999</v>
      </c>
      <c r="EK207" s="2257">
        <v>-9999</v>
      </c>
      <c r="EL207" s="2257">
        <v>-9999</v>
      </c>
      <c r="EM207" s="2257">
        <v>-9999</v>
      </c>
    </row>
    <row r="208" spans="1:143" ht="13.15">
      <c r="A208" s="22">
        <v>108</v>
      </c>
      <c r="B208" s="1" t="s">
        <v>1242</v>
      </c>
      <c r="C208" s="24">
        <f ca="1">OFFSET(Sector1!F395,0,Last_forecast_year - 3-InputY!$G$3)</f>
        <v>162.25899999999999</v>
      </c>
      <c r="D208" s="24">
        <f ca="1">OFFSET(Sector1!G395,0,Last_forecast_year - 3-InputY!$G$3)</f>
        <v>148.494</v>
      </c>
      <c r="E208" s="24">
        <f ca="1">OFFSET(Sector1!H395,0,Last_forecast_year - 3-InputY!$G$3)</f>
        <v>151.46387999999999</v>
      </c>
      <c r="F208" s="24">
        <f ca="1">OFFSET(Sector1!I395,0,Last_forecast_year - 3-InputY!$G$3)</f>
        <v>154.49315759999999</v>
      </c>
      <c r="G208" s="24">
        <f ca="1">OFFSET(Sector1!J395,0,Last_forecast_year - 3-InputY!$G$3)</f>
        <v>157.58302075199998</v>
      </c>
      <c r="H208" s="25">
        <v>-9999</v>
      </c>
      <c r="I208" s="25">
        <v>-9999</v>
      </c>
      <c r="J208" s="25">
        <v>-9999</v>
      </c>
      <c r="K208" s="25">
        <v>-9999</v>
      </c>
      <c r="L208" s="25">
        <v>-9999</v>
      </c>
      <c r="M208" s="25">
        <v>-9999</v>
      </c>
      <c r="N208" s="25">
        <v>-9999</v>
      </c>
      <c r="O208" s="25">
        <v>-9999</v>
      </c>
      <c r="P208"/>
      <c r="Q208"/>
      <c r="AA208" s="22">
        <v>108</v>
      </c>
      <c r="AB208" s="1080" t="str">
        <f t="shared" si="8"/>
        <v>COR CHANGE IN NET EQUITY IN PENSION FUNDS</v>
      </c>
      <c r="AC208" s="1080">
        <f>CHOOSE(Tables!$U$2,Transfer!CA208,Transfer!CN208,Transfer!DA208,Transfer!DN208,Transfer!EA208)</f>
        <v>148.34299999999999</v>
      </c>
      <c r="AD208" s="1080">
        <f>CHOOSE(Tables!$U$2,Transfer!CB208,Transfer!CO208,Transfer!DB208,Transfer!DO208,Transfer!EB208)</f>
        <v>166.654</v>
      </c>
      <c r="AE208" s="1080">
        <f>CHOOSE(Tables!$U$2,Transfer!CC208,Transfer!CP208,Transfer!DC208,Transfer!DP208,Transfer!EC208)</f>
        <v>156.47800000000001</v>
      </c>
      <c r="AF208" s="1080">
        <f>CHOOSE(Tables!$U$2,Transfer!CD208,Transfer!CQ208,Transfer!DD208,Transfer!DQ208,Transfer!ED208)</f>
        <v>159.60756000000001</v>
      </c>
      <c r="AG208" s="1080">
        <f>CHOOSE(Tables!$U$2,Transfer!CE208,Transfer!CR208,Transfer!DE208,Transfer!DR208,Transfer!EE208)</f>
        <v>162.79971120000002</v>
      </c>
      <c r="AH208" s="1080">
        <f>CHOOSE(Tables!$U$2,Transfer!CF208,Transfer!CS208,Transfer!DF208,Transfer!DS208,Transfer!EF208)</f>
        <v>-9999</v>
      </c>
      <c r="AI208" s="1080">
        <f>CHOOSE(Tables!$U$2,Transfer!CG208,Transfer!CT208,Transfer!DG208,Transfer!DT208,Transfer!EG208)</f>
        <v>-9999</v>
      </c>
      <c r="AJ208" s="1080">
        <f>CHOOSE(Tables!$U$2,Transfer!CH208,Transfer!CU208,Transfer!DH208,Transfer!DU208,Transfer!EH208)</f>
        <v>-9999</v>
      </c>
      <c r="AK208" s="1080">
        <f>CHOOSE(Tables!$U$2,Transfer!CI208,Transfer!CV208,Transfer!DI208,Transfer!DV208,Transfer!EI208)</f>
        <v>-9999</v>
      </c>
      <c r="AL208" s="1080">
        <f>CHOOSE(Tables!$U$2,Transfer!CJ208,Transfer!CW208,Transfer!DJ208,Transfer!DW208,Transfer!EJ208)</f>
        <v>-9999</v>
      </c>
      <c r="AM208" s="1080">
        <f>CHOOSE(Tables!$U$2,Transfer!CK208,Transfer!CX208,Transfer!DK208,Transfer!DX208,Transfer!EK208)</f>
        <v>-9999</v>
      </c>
      <c r="AN208" s="1080">
        <f>CHOOSE(Tables!$U$2,Transfer!CL208,Transfer!CY208,Transfer!DL208,Transfer!DY208,Transfer!EL208)</f>
        <v>-9999</v>
      </c>
      <c r="AO208" s="1080">
        <f>CHOOSE(Tables!$U$2,Transfer!CM208,Transfer!CZ208,Transfer!DM208,Transfer!DZ208,Transfer!EM208)</f>
        <v>-9999</v>
      </c>
      <c r="AR208" s="22">
        <v>108</v>
      </c>
      <c r="AS208" s="1" t="s">
        <v>1242</v>
      </c>
      <c r="AT208" s="24">
        <f t="shared" ca="1" si="10"/>
        <v>13.915999999999997</v>
      </c>
      <c r="AU208" s="24">
        <f t="shared" ca="1" si="11"/>
        <v>-18.159999999999997</v>
      </c>
      <c r="AV208" s="24">
        <f t="shared" ca="1" si="12"/>
        <v>-5.0141200000000197</v>
      </c>
      <c r="AW208" s="24">
        <f t="shared" ca="1" si="13"/>
        <v>-5.1144024000000172</v>
      </c>
      <c r="AX208" s="24">
        <f t="shared" ca="1" si="14"/>
        <v>-5.2166904480000369</v>
      </c>
      <c r="AY208" s="25">
        <f t="shared" si="15"/>
        <v>0</v>
      </c>
      <c r="AZ208" s="25">
        <f t="shared" si="16"/>
        <v>0</v>
      </c>
      <c r="BA208" s="25">
        <f t="shared" si="17"/>
        <v>0</v>
      </c>
      <c r="BB208" s="25">
        <f t="shared" si="18"/>
        <v>0</v>
      </c>
      <c r="BC208" s="25">
        <f t="shared" si="20"/>
        <v>0</v>
      </c>
      <c r="BD208" s="25">
        <f t="shared" si="20"/>
        <v>0</v>
      </c>
      <c r="BE208" s="25">
        <f t="shared" si="20"/>
        <v>0</v>
      </c>
      <c r="BF208" s="25">
        <f t="shared" si="20"/>
        <v>0</v>
      </c>
      <c r="CA208" s="16">
        <v>162.25899999999999</v>
      </c>
      <c r="CB208" s="16">
        <v>148.494</v>
      </c>
      <c r="CC208" s="16">
        <v>151.46387999999999</v>
      </c>
      <c r="CD208" s="16">
        <v>154.49315759999999</v>
      </c>
      <c r="CE208" s="16">
        <v>157.58302075199998</v>
      </c>
      <c r="CF208" s="16">
        <v>-9999</v>
      </c>
      <c r="CG208" s="16">
        <v>-9999</v>
      </c>
      <c r="CH208" s="16">
        <v>-9999</v>
      </c>
      <c r="CI208" s="16">
        <v>-9999</v>
      </c>
      <c r="CJ208" s="16">
        <v>-9999</v>
      </c>
      <c r="CK208" s="16">
        <v>-9999</v>
      </c>
      <c r="CL208" s="16">
        <v>-9999</v>
      </c>
      <c r="CM208" s="16">
        <v>-9999</v>
      </c>
      <c r="CN208" s="16">
        <v>148.34299999999999</v>
      </c>
      <c r="CO208" s="16">
        <v>166.654</v>
      </c>
      <c r="CP208" s="16">
        <v>156.47800000000001</v>
      </c>
      <c r="CQ208" s="16">
        <v>159.60756000000001</v>
      </c>
      <c r="CR208" s="16">
        <v>162.79971120000002</v>
      </c>
      <c r="CS208" s="16">
        <v>-9999</v>
      </c>
      <c r="CT208" s="16">
        <v>-9999</v>
      </c>
      <c r="CU208" s="16">
        <v>-9999</v>
      </c>
      <c r="CV208" s="16">
        <v>-9999</v>
      </c>
      <c r="CW208" s="16">
        <v>-9999</v>
      </c>
      <c r="CX208" s="16">
        <v>-9999</v>
      </c>
      <c r="CY208" s="16">
        <v>-9999</v>
      </c>
      <c r="CZ208" s="16">
        <v>-9999</v>
      </c>
      <c r="DA208" s="16">
        <v>162.25899999999999</v>
      </c>
      <c r="DB208" s="16">
        <v>148.494</v>
      </c>
      <c r="DC208" s="16">
        <v>151.46387999999999</v>
      </c>
      <c r="DD208" s="16">
        <v>154.49315759999999</v>
      </c>
      <c r="DE208" s="16">
        <v>157.58302075199998</v>
      </c>
      <c r="DF208" s="16">
        <v>-9999</v>
      </c>
      <c r="DG208" s="16">
        <v>-9999</v>
      </c>
      <c r="DH208" s="16">
        <v>-9999</v>
      </c>
      <c r="DI208" s="16">
        <v>-9999</v>
      </c>
      <c r="DJ208" s="16">
        <v>-9999</v>
      </c>
      <c r="DK208" s="16">
        <v>-9999</v>
      </c>
      <c r="DL208" s="16">
        <v>-9999</v>
      </c>
      <c r="DM208" s="16">
        <v>-9999</v>
      </c>
      <c r="DN208" s="16">
        <v>162.25899999999999</v>
      </c>
      <c r="DO208" s="16">
        <v>148.494</v>
      </c>
      <c r="DP208" s="16">
        <v>151.46387999999999</v>
      </c>
      <c r="DQ208" s="16">
        <v>154.49315759999999</v>
      </c>
      <c r="DR208" s="16">
        <v>157.58302075199998</v>
      </c>
      <c r="DS208" s="16">
        <v>-9999</v>
      </c>
      <c r="DT208" s="16">
        <v>-9999</v>
      </c>
      <c r="DU208" s="16">
        <v>-9999</v>
      </c>
      <c r="DV208" s="16">
        <v>-9999</v>
      </c>
      <c r="DW208" s="16">
        <v>-9999</v>
      </c>
      <c r="DX208" s="16">
        <v>-9999</v>
      </c>
      <c r="DY208" s="16">
        <v>-9999</v>
      </c>
      <c r="DZ208" s="16">
        <v>-9999</v>
      </c>
      <c r="EA208" s="2256">
        <v>162.25899999999999</v>
      </c>
      <c r="EB208" s="2256">
        <v>148.494</v>
      </c>
      <c r="EC208" s="2256">
        <v>151.46387999999999</v>
      </c>
      <c r="ED208" s="2256">
        <v>154.49315759999999</v>
      </c>
      <c r="EE208" s="2256">
        <v>157.58302075199998</v>
      </c>
      <c r="EF208" s="2257">
        <v>-9999</v>
      </c>
      <c r="EG208" s="2257">
        <v>-9999</v>
      </c>
      <c r="EH208" s="2257">
        <v>-9999</v>
      </c>
      <c r="EI208" s="2257">
        <v>-9999</v>
      </c>
      <c r="EJ208" s="2257">
        <v>-9999</v>
      </c>
      <c r="EK208" s="2257">
        <v>-9999</v>
      </c>
      <c r="EL208" s="2257">
        <v>-9999</v>
      </c>
      <c r="EM208" s="2257">
        <v>-9999</v>
      </c>
    </row>
    <row r="209" spans="1:143" ht="13.15">
      <c r="A209" s="22">
        <v>109</v>
      </c>
      <c r="B209" s="3361" t="s">
        <v>141</v>
      </c>
      <c r="C209" s="24">
        <f ca="1">OFFSET(Sector1!F737,0,Last_forecast_year - 3-InputY!$G$3)</f>
        <v>735.34900000000005</v>
      </c>
      <c r="D209" s="24">
        <f ca="1">OFFSET(Sector1!G737,0,Last_forecast_year - 3-InputY!$G$3)</f>
        <v>804.37799999999993</v>
      </c>
      <c r="E209" s="24">
        <f ca="1">OFFSET(Sector1!H737,0,Last_forecast_year - 3-InputY!$G$3)</f>
        <v>876.52701341290003</v>
      </c>
      <c r="F209" s="24">
        <f ca="1">OFFSET(Sector1!I737,0,Last_forecast_year - 3-InputY!$G$3)</f>
        <v>908.02730795930984</v>
      </c>
      <c r="G209" s="24">
        <f ca="1">OFFSET(Sector1!J737,0,Last_forecast_year - 3-InputY!$G$3)</f>
        <v>941.26211039260488</v>
      </c>
      <c r="H209" s="25">
        <v>-9999</v>
      </c>
      <c r="I209" s="25">
        <v>-9999</v>
      </c>
      <c r="J209" s="25">
        <v>-9999</v>
      </c>
      <c r="K209" s="25">
        <v>-9999</v>
      </c>
      <c r="L209" s="25">
        <v>-9999</v>
      </c>
      <c r="M209" s="25">
        <v>-9999</v>
      </c>
      <c r="N209" s="25">
        <v>-9999</v>
      </c>
      <c r="O209" s="25">
        <v>-9999</v>
      </c>
      <c r="P209" s="26"/>
      <c r="Q209"/>
      <c r="AA209" s="22">
        <v>109</v>
      </c>
      <c r="AB209" s="1080" t="str">
        <f t="shared" si="8"/>
        <v>COR GROSS CAPITAL FORMATION</v>
      </c>
      <c r="AC209" s="1080">
        <f>CHOOSE(Tables!$U$2,Transfer!CA209,Transfer!CN209,Transfer!DA209,Transfer!DN209,Transfer!EA209)</f>
        <v>710.86799999999994</v>
      </c>
      <c r="AD209" s="1080">
        <f>CHOOSE(Tables!$U$2,Transfer!CB209,Transfer!CO209,Transfer!DB209,Transfer!DO209,Transfer!EB209)</f>
        <v>758.32600000000002</v>
      </c>
      <c r="AE209" s="1080">
        <f>CHOOSE(Tables!$U$2,Transfer!CC209,Transfer!CP209,Transfer!DC209,Transfer!DP209,Transfer!EC209)</f>
        <v>825.02700000000004</v>
      </c>
      <c r="AF209" s="1080">
        <f>CHOOSE(Tables!$U$2,Transfer!CD209,Transfer!CQ209,Transfer!DD209,Transfer!DQ209,Transfer!ED209)</f>
        <v>875.40035405413016</v>
      </c>
      <c r="AG209" s="1080">
        <f>CHOOSE(Tables!$U$2,Transfer!CE209,Transfer!CR209,Transfer!DE209,Transfer!DR209,Transfer!EE209)</f>
        <v>907.10585822961536</v>
      </c>
      <c r="AH209" s="1080">
        <f>CHOOSE(Tables!$U$2,Transfer!CF209,Transfer!CS209,Transfer!DF209,Transfer!DS209,Transfer!EF209)</f>
        <v>-9999</v>
      </c>
      <c r="AI209" s="1080">
        <f>CHOOSE(Tables!$U$2,Transfer!CG209,Transfer!CT209,Transfer!DG209,Transfer!DT209,Transfer!EG209)</f>
        <v>-9999</v>
      </c>
      <c r="AJ209" s="1080">
        <f>CHOOSE(Tables!$U$2,Transfer!CH209,Transfer!CU209,Transfer!DH209,Transfer!DU209,Transfer!EH209)</f>
        <v>-9999</v>
      </c>
      <c r="AK209" s="1080">
        <f>CHOOSE(Tables!$U$2,Transfer!CI209,Transfer!CV209,Transfer!DI209,Transfer!DV209,Transfer!EI209)</f>
        <v>-9999</v>
      </c>
      <c r="AL209" s="1080">
        <f>CHOOSE(Tables!$U$2,Transfer!CJ209,Transfer!CW209,Transfer!DJ209,Transfer!DW209,Transfer!EJ209)</f>
        <v>-9999</v>
      </c>
      <c r="AM209" s="1080">
        <f>CHOOSE(Tables!$U$2,Transfer!CK209,Transfer!CX209,Transfer!DK209,Transfer!DX209,Transfer!EK209)</f>
        <v>-9999</v>
      </c>
      <c r="AN209" s="1080">
        <f>CHOOSE(Tables!$U$2,Transfer!CL209,Transfer!CY209,Transfer!DL209,Transfer!DY209,Transfer!EL209)</f>
        <v>-9999</v>
      </c>
      <c r="AO209" s="1080">
        <f>CHOOSE(Tables!$U$2,Transfer!CM209,Transfer!CZ209,Transfer!DM209,Transfer!DZ209,Transfer!EM209)</f>
        <v>-9999</v>
      </c>
      <c r="AR209" s="22">
        <v>109</v>
      </c>
      <c r="AS209" s="1" t="s">
        <v>141</v>
      </c>
      <c r="AT209" s="24">
        <f t="shared" ca="1" si="10"/>
        <v>24.481000000000108</v>
      </c>
      <c r="AU209" s="24">
        <f t="shared" ca="1" si="11"/>
        <v>46.051999999999907</v>
      </c>
      <c r="AV209" s="24">
        <f t="shared" ca="1" si="12"/>
        <v>51.500013412899989</v>
      </c>
      <c r="AW209" s="24">
        <f t="shared" ca="1" si="13"/>
        <v>32.626953905179676</v>
      </c>
      <c r="AX209" s="24">
        <f t="shared" ca="1" si="14"/>
        <v>34.156252162989517</v>
      </c>
      <c r="AY209" s="25">
        <f t="shared" si="15"/>
        <v>0</v>
      </c>
      <c r="AZ209" s="25">
        <f t="shared" si="16"/>
        <v>0</v>
      </c>
      <c r="BA209" s="25">
        <f t="shared" si="17"/>
        <v>0</v>
      </c>
      <c r="BB209" s="25">
        <f t="shared" si="18"/>
        <v>0</v>
      </c>
      <c r="BC209" s="25">
        <f t="shared" si="20"/>
        <v>0</v>
      </c>
      <c r="BD209" s="25">
        <f t="shared" si="20"/>
        <v>0</v>
      </c>
      <c r="BE209" s="25">
        <f t="shared" si="20"/>
        <v>0</v>
      </c>
      <c r="BF209" s="25">
        <f t="shared" si="20"/>
        <v>0</v>
      </c>
      <c r="CA209" s="16">
        <v>735.34900000000005</v>
      </c>
      <c r="CB209" s="16">
        <v>804.37799999999993</v>
      </c>
      <c r="CC209" s="16">
        <v>876.52701341290003</v>
      </c>
      <c r="CD209" s="16">
        <v>908.02730795930984</v>
      </c>
      <c r="CE209" s="16">
        <v>941.26211039260488</v>
      </c>
      <c r="CF209" s="16">
        <v>-9999</v>
      </c>
      <c r="CG209" s="16">
        <v>-9999</v>
      </c>
      <c r="CH209" s="16">
        <v>-9999</v>
      </c>
      <c r="CI209" s="16">
        <v>-9999</v>
      </c>
      <c r="CJ209" s="16">
        <v>-9999</v>
      </c>
      <c r="CK209" s="16">
        <v>-9999</v>
      </c>
      <c r="CL209" s="16">
        <v>-9999</v>
      </c>
      <c r="CM209" s="16">
        <v>-9999</v>
      </c>
      <c r="CN209" s="16">
        <v>710.86799999999994</v>
      </c>
      <c r="CO209" s="16">
        <v>758.32600000000002</v>
      </c>
      <c r="CP209" s="16">
        <v>825.02700000000004</v>
      </c>
      <c r="CQ209" s="16">
        <v>875.40035405413016</v>
      </c>
      <c r="CR209" s="16">
        <v>907.10585822961536</v>
      </c>
      <c r="CS209" s="16">
        <v>-9999</v>
      </c>
      <c r="CT209" s="16">
        <v>-9999</v>
      </c>
      <c r="CU209" s="16">
        <v>-9999</v>
      </c>
      <c r="CV209" s="16">
        <v>-9999</v>
      </c>
      <c r="CW209" s="16">
        <v>-9999</v>
      </c>
      <c r="CX209" s="16">
        <v>-9999</v>
      </c>
      <c r="CY209" s="16">
        <v>-9999</v>
      </c>
      <c r="CZ209" s="16">
        <v>-9999</v>
      </c>
      <c r="DA209" s="16">
        <v>735.34900000000005</v>
      </c>
      <c r="DB209" s="16">
        <v>804.37799999999993</v>
      </c>
      <c r="DC209" s="16">
        <v>876.67520266689996</v>
      </c>
      <c r="DD209" s="16">
        <v>911.60746227370453</v>
      </c>
      <c r="DE209" s="16">
        <v>945.98086250453127</v>
      </c>
      <c r="DF209" s="16">
        <v>-9999</v>
      </c>
      <c r="DG209" s="16">
        <v>-9999</v>
      </c>
      <c r="DH209" s="16">
        <v>-9999</v>
      </c>
      <c r="DI209" s="16">
        <v>-9999</v>
      </c>
      <c r="DJ209" s="16">
        <v>-9999</v>
      </c>
      <c r="DK209" s="16">
        <v>-9999</v>
      </c>
      <c r="DL209" s="16">
        <v>-9999</v>
      </c>
      <c r="DM209" s="16">
        <v>-9999</v>
      </c>
      <c r="DN209" s="16">
        <v>735.34900000000005</v>
      </c>
      <c r="DO209" s="16">
        <v>804.37799999999993</v>
      </c>
      <c r="DP209" s="16">
        <v>876.67520266689996</v>
      </c>
      <c r="DQ209" s="16">
        <v>911.60746227370453</v>
      </c>
      <c r="DR209" s="16">
        <v>945.98086250453127</v>
      </c>
      <c r="DS209" s="16">
        <v>-9999</v>
      </c>
      <c r="DT209" s="16">
        <v>-9999</v>
      </c>
      <c r="DU209" s="16">
        <v>-9999</v>
      </c>
      <c r="DV209" s="16">
        <v>-9999</v>
      </c>
      <c r="DW209" s="16">
        <v>-9999</v>
      </c>
      <c r="DX209" s="16">
        <v>-9999</v>
      </c>
      <c r="DY209" s="16">
        <v>-9999</v>
      </c>
      <c r="DZ209" s="16">
        <v>-9999</v>
      </c>
      <c r="EA209" s="2256">
        <v>735.34900000000005</v>
      </c>
      <c r="EB209" s="2256">
        <v>804.37799999999993</v>
      </c>
      <c r="EC209" s="2256">
        <v>876.52701341290003</v>
      </c>
      <c r="ED209" s="2256">
        <v>908.02730795930984</v>
      </c>
      <c r="EE209" s="2256">
        <v>941.26211039260488</v>
      </c>
      <c r="EF209" s="2257">
        <v>-9999</v>
      </c>
      <c r="EG209" s="2257">
        <v>-9999</v>
      </c>
      <c r="EH209" s="2257">
        <v>-9999</v>
      </c>
      <c r="EI209" s="2257">
        <v>-9999</v>
      </c>
      <c r="EJ209" s="2257">
        <v>-9999</v>
      </c>
      <c r="EK209" s="2257">
        <v>-9999</v>
      </c>
      <c r="EL209" s="2257">
        <v>-9999</v>
      </c>
      <c r="EM209" s="2257">
        <v>-9999</v>
      </c>
    </row>
    <row r="210" spans="1:143" ht="13.15">
      <c r="A210" s="22">
        <v>110</v>
      </c>
      <c r="B210" s="1" t="s">
        <v>142</v>
      </c>
      <c r="C210" s="24">
        <f ca="1">OFFSET(Sector1!F797,0,Last_forecast_year - 3-InputY!$G$3)</f>
        <v>1.5069999999999999</v>
      </c>
      <c r="D210" s="24">
        <f ca="1">OFFSET(Sector1!G797,0,Last_forecast_year - 3-InputY!$G$3)</f>
        <v>1.9359999999999999</v>
      </c>
      <c r="E210" s="24">
        <f ca="1">OFFSET(Sector1!H797,0,Last_forecast_year - 3-InputY!$G$3)</f>
        <v>1.9359999999999999</v>
      </c>
      <c r="F210" s="24">
        <f ca="1">OFFSET(Sector1!I797,0,Last_forecast_year - 3-InputY!$G$3)</f>
        <v>1.9359999999999999</v>
      </c>
      <c r="G210" s="24">
        <f ca="1">OFFSET(Sector1!J797,0,Last_forecast_year - 3-InputY!$G$3)</f>
        <v>1.9359999999999999</v>
      </c>
      <c r="H210" s="25">
        <v>-9999</v>
      </c>
      <c r="I210" s="25">
        <v>-9999</v>
      </c>
      <c r="J210" s="25">
        <v>-9999</v>
      </c>
      <c r="K210" s="25">
        <v>-9999</v>
      </c>
      <c r="L210" s="25">
        <v>-9999</v>
      </c>
      <c r="M210" s="25">
        <v>-9999</v>
      </c>
      <c r="N210" s="25">
        <v>-9999</v>
      </c>
      <c r="O210" s="25">
        <v>-9999</v>
      </c>
      <c r="P210"/>
      <c r="Q210"/>
      <c r="AA210" s="22">
        <v>110</v>
      </c>
      <c r="AB210" s="1080" t="str">
        <f t="shared" si="8"/>
        <v>COR OTHER CAPITAL EXPENDITURE (PAID-REC.)</v>
      </c>
      <c r="AC210" s="1080">
        <f>CHOOSE(Tables!$U$2,Transfer!CA210,Transfer!CN210,Transfer!DA210,Transfer!DN210,Transfer!EA210)</f>
        <v>1.3859999999999999</v>
      </c>
      <c r="AD210" s="1080">
        <f>CHOOSE(Tables!$U$2,Transfer!CB210,Transfer!CO210,Transfer!DB210,Transfer!DO210,Transfer!EB210)</f>
        <v>1.331</v>
      </c>
      <c r="AE210" s="1080">
        <f>CHOOSE(Tables!$U$2,Transfer!CC210,Transfer!CP210,Transfer!DC210,Transfer!DP210,Transfer!EC210)</f>
        <v>1.6970000000000001</v>
      </c>
      <c r="AF210" s="1080">
        <f>CHOOSE(Tables!$U$2,Transfer!CD210,Transfer!CQ210,Transfer!DD210,Transfer!DQ210,Transfer!ED210)</f>
        <v>1.6970000000000001</v>
      </c>
      <c r="AG210" s="1080">
        <f>CHOOSE(Tables!$U$2,Transfer!CE210,Transfer!CR210,Transfer!DE210,Transfer!DR210,Transfer!EE210)</f>
        <v>1.6970000000000001</v>
      </c>
      <c r="AH210" s="1080">
        <f>CHOOSE(Tables!$U$2,Transfer!CF210,Transfer!CS210,Transfer!DF210,Transfer!DS210,Transfer!EF210)</f>
        <v>-9999</v>
      </c>
      <c r="AI210" s="1080">
        <f>CHOOSE(Tables!$U$2,Transfer!CG210,Transfer!CT210,Transfer!DG210,Transfer!DT210,Transfer!EG210)</f>
        <v>-9999</v>
      </c>
      <c r="AJ210" s="1080">
        <f>CHOOSE(Tables!$U$2,Transfer!CH210,Transfer!CU210,Transfer!DH210,Transfer!DU210,Transfer!EH210)</f>
        <v>-9999</v>
      </c>
      <c r="AK210" s="1080">
        <f>CHOOSE(Tables!$U$2,Transfer!CI210,Transfer!CV210,Transfer!DI210,Transfer!DV210,Transfer!EI210)</f>
        <v>-9999</v>
      </c>
      <c r="AL210" s="1080">
        <f>CHOOSE(Tables!$U$2,Transfer!CJ210,Transfer!CW210,Transfer!DJ210,Transfer!DW210,Transfer!EJ210)</f>
        <v>-9999</v>
      </c>
      <c r="AM210" s="1080">
        <f>CHOOSE(Tables!$U$2,Transfer!CK210,Transfer!CX210,Transfer!DK210,Transfer!DX210,Transfer!EK210)</f>
        <v>-9999</v>
      </c>
      <c r="AN210" s="1080">
        <f>CHOOSE(Tables!$U$2,Transfer!CL210,Transfer!CY210,Transfer!DL210,Transfer!DY210,Transfer!EL210)</f>
        <v>-9999</v>
      </c>
      <c r="AO210" s="1080">
        <f>CHOOSE(Tables!$U$2,Transfer!CM210,Transfer!CZ210,Transfer!DM210,Transfer!DZ210,Transfer!EM210)</f>
        <v>-9999</v>
      </c>
      <c r="AR210" s="22">
        <v>110</v>
      </c>
      <c r="AS210" s="1" t="s">
        <v>142</v>
      </c>
      <c r="AT210" s="24">
        <f t="shared" ca="1" si="10"/>
        <v>0.121</v>
      </c>
      <c r="AU210" s="24">
        <f t="shared" ca="1" si="11"/>
        <v>0.60499999999999998</v>
      </c>
      <c r="AV210" s="24">
        <f t="shared" ca="1" si="12"/>
        <v>0.23899999999999988</v>
      </c>
      <c r="AW210" s="24">
        <f t="shared" ca="1" si="13"/>
        <v>0.23899999999999988</v>
      </c>
      <c r="AX210" s="24">
        <f t="shared" ca="1" si="14"/>
        <v>0.23899999999999988</v>
      </c>
      <c r="AY210" s="25">
        <f t="shared" si="15"/>
        <v>0</v>
      </c>
      <c r="AZ210" s="25">
        <f t="shared" si="16"/>
        <v>0</v>
      </c>
      <c r="BA210" s="25">
        <f t="shared" si="17"/>
        <v>0</v>
      </c>
      <c r="BB210" s="25">
        <f t="shared" si="18"/>
        <v>0</v>
      </c>
      <c r="BC210" s="25">
        <f t="shared" si="20"/>
        <v>0</v>
      </c>
      <c r="BD210" s="25">
        <f t="shared" si="20"/>
        <v>0</v>
      </c>
      <c r="BE210" s="25">
        <f t="shared" si="20"/>
        <v>0</v>
      </c>
      <c r="BF210" s="25">
        <f t="shared" si="20"/>
        <v>0</v>
      </c>
      <c r="CA210" s="16">
        <v>1.5069999999999999</v>
      </c>
      <c r="CB210" s="16">
        <v>1.9359999999999999</v>
      </c>
      <c r="CC210" s="16">
        <v>1.9359999999999999</v>
      </c>
      <c r="CD210" s="16">
        <v>1.9359999999999999</v>
      </c>
      <c r="CE210" s="16">
        <v>1.9359999999999999</v>
      </c>
      <c r="CF210" s="16">
        <v>-9999</v>
      </c>
      <c r="CG210" s="16">
        <v>-9999</v>
      </c>
      <c r="CH210" s="16">
        <v>-9999</v>
      </c>
      <c r="CI210" s="16">
        <v>-9999</v>
      </c>
      <c r="CJ210" s="16">
        <v>-9999</v>
      </c>
      <c r="CK210" s="16">
        <v>-9999</v>
      </c>
      <c r="CL210" s="16">
        <v>-9999</v>
      </c>
      <c r="CM210" s="16">
        <v>-9999</v>
      </c>
      <c r="CN210" s="16">
        <v>1.3859999999999999</v>
      </c>
      <c r="CO210" s="16">
        <v>1.331</v>
      </c>
      <c r="CP210" s="16">
        <v>1.6970000000000001</v>
      </c>
      <c r="CQ210" s="16">
        <v>1.6970000000000001</v>
      </c>
      <c r="CR210" s="16">
        <v>1.6970000000000001</v>
      </c>
      <c r="CS210" s="16">
        <v>-9999</v>
      </c>
      <c r="CT210" s="16">
        <v>-9999</v>
      </c>
      <c r="CU210" s="16">
        <v>-9999</v>
      </c>
      <c r="CV210" s="16">
        <v>-9999</v>
      </c>
      <c r="CW210" s="16">
        <v>-9999</v>
      </c>
      <c r="CX210" s="16">
        <v>-9999</v>
      </c>
      <c r="CY210" s="16">
        <v>-9999</v>
      </c>
      <c r="CZ210" s="16">
        <v>-9999</v>
      </c>
      <c r="DA210" s="16">
        <v>1.5069999999999999</v>
      </c>
      <c r="DB210" s="16">
        <v>1.9359999999999999</v>
      </c>
      <c r="DC210" s="16">
        <v>1.9359999999999999</v>
      </c>
      <c r="DD210" s="16">
        <v>1.9359999999999999</v>
      </c>
      <c r="DE210" s="16">
        <v>1.9359999999999999</v>
      </c>
      <c r="DF210" s="16">
        <v>-9999</v>
      </c>
      <c r="DG210" s="16">
        <v>-9999</v>
      </c>
      <c r="DH210" s="16">
        <v>-9999</v>
      </c>
      <c r="DI210" s="16">
        <v>-9999</v>
      </c>
      <c r="DJ210" s="16">
        <v>-9999</v>
      </c>
      <c r="DK210" s="16">
        <v>-9999</v>
      </c>
      <c r="DL210" s="16">
        <v>-9999</v>
      </c>
      <c r="DM210" s="16">
        <v>-9999</v>
      </c>
      <c r="DN210" s="16">
        <v>1.5069999999999999</v>
      </c>
      <c r="DO210" s="16">
        <v>1.9359999999999999</v>
      </c>
      <c r="DP210" s="16">
        <v>1.9359999999999999</v>
      </c>
      <c r="DQ210" s="16">
        <v>1.9359999999999999</v>
      </c>
      <c r="DR210" s="16">
        <v>1.9359999999999999</v>
      </c>
      <c r="DS210" s="16">
        <v>-9999</v>
      </c>
      <c r="DT210" s="16">
        <v>-9999</v>
      </c>
      <c r="DU210" s="16">
        <v>-9999</v>
      </c>
      <c r="DV210" s="16">
        <v>-9999</v>
      </c>
      <c r="DW210" s="16">
        <v>-9999</v>
      </c>
      <c r="DX210" s="16">
        <v>-9999</v>
      </c>
      <c r="DY210" s="16">
        <v>-9999</v>
      </c>
      <c r="DZ210" s="16">
        <v>-9999</v>
      </c>
      <c r="EA210" s="2256">
        <v>1.5069999999999999</v>
      </c>
      <c r="EB210" s="2256">
        <v>1.9359999999999999</v>
      </c>
      <c r="EC210" s="2256">
        <v>1.9359999999999999</v>
      </c>
      <c r="ED210" s="2256">
        <v>1.9359999999999999</v>
      </c>
      <c r="EE210" s="2256">
        <v>1.9359999999999999</v>
      </c>
      <c r="EF210" s="2257">
        <v>-9999</v>
      </c>
      <c r="EG210" s="2257">
        <v>-9999</v>
      </c>
      <c r="EH210" s="2257">
        <v>-9999</v>
      </c>
      <c r="EI210" s="2257">
        <v>-9999</v>
      </c>
      <c r="EJ210" s="2257">
        <v>-9999</v>
      </c>
      <c r="EK210" s="2257">
        <v>-9999</v>
      </c>
      <c r="EL210" s="2257">
        <v>-9999</v>
      </c>
      <c r="EM210" s="2257">
        <v>-9999</v>
      </c>
    </row>
    <row r="211" spans="1:143" ht="13.15">
      <c r="A211" s="22">
        <v>111</v>
      </c>
      <c r="B211" s="3424" t="s">
        <v>2480</v>
      </c>
      <c r="C211" s="24">
        <f ca="1">OFFSET(Sector1!F798,0,Last_forecast_year - 3-InputY!$G$3)</f>
        <v>2.5000000000000001E-2</v>
      </c>
      <c r="D211" s="24">
        <f ca="1">OFFSET(Sector1!G798,0,Last_forecast_year - 3-InputY!$G$3)</f>
        <v>0.124</v>
      </c>
      <c r="E211" s="24">
        <f ca="1">OFFSET(Sector1!H798,0,Last_forecast_year - 3-InputY!$G$3)</f>
        <v>0.124</v>
      </c>
      <c r="F211" s="24">
        <f ca="1">OFFSET(Sector1!I798,0,Last_forecast_year - 3-InputY!$G$3)</f>
        <v>0.124</v>
      </c>
      <c r="G211" s="24">
        <f ca="1">OFFSET(Sector1!J798,0,Last_forecast_year - 3-InputY!$G$3)</f>
        <v>0.124</v>
      </c>
      <c r="H211" s="25">
        <v>-9999</v>
      </c>
      <c r="I211" s="25">
        <v>-9999</v>
      </c>
      <c r="J211" s="25">
        <v>-9999</v>
      </c>
      <c r="K211" s="25">
        <v>-9999</v>
      </c>
      <c r="L211" s="25">
        <v>-9999</v>
      </c>
      <c r="M211" s="25">
        <v>-9999</v>
      </c>
      <c r="N211" s="25">
        <v>-9999</v>
      </c>
      <c r="O211" s="25">
        <v>-9999</v>
      </c>
      <c r="P211" s="26"/>
      <c r="Q211"/>
      <c r="AA211" s="22">
        <v>111</v>
      </c>
      <c r="AB211" s="1080" t="str">
        <f t="shared" si="8"/>
        <v>GG CURRENT TRANSFERS FROM EU INSTITUTIONS</v>
      </c>
      <c r="AC211" s="1080">
        <f>CHOOSE(Tables!$U$2,Transfer!CA211,Transfer!CN211,Transfer!DA211,Transfer!DN211,Transfer!EA211)</f>
        <v>0.01</v>
      </c>
      <c r="AD211" s="1080">
        <f>CHOOSE(Tables!$U$2,Transfer!CB211,Transfer!CO211,Transfer!DB211,Transfer!DO211,Transfer!EB211)</f>
        <v>2.5000000000000001E-2</v>
      </c>
      <c r="AE211" s="1080">
        <f>CHOOSE(Tables!$U$2,Transfer!CC211,Transfer!CP211,Transfer!DC211,Transfer!DP211,Transfer!EC211)</f>
        <v>0.124</v>
      </c>
      <c r="AF211" s="1080">
        <f>CHOOSE(Tables!$U$2,Transfer!CD211,Transfer!CQ211,Transfer!DD211,Transfer!DQ211,Transfer!ED211)</f>
        <v>0.124</v>
      </c>
      <c r="AG211" s="1080">
        <f>CHOOSE(Tables!$U$2,Transfer!CE211,Transfer!CR211,Transfer!DE211,Transfer!DR211,Transfer!EE211)</f>
        <v>0.124</v>
      </c>
      <c r="AH211" s="1080">
        <f>CHOOSE(Tables!$U$2,Transfer!CF211,Transfer!CS211,Transfer!DF211,Transfer!DS211,Transfer!EF211)</f>
        <v>-9999</v>
      </c>
      <c r="AI211" s="1080">
        <f>CHOOSE(Tables!$U$2,Transfer!CG211,Transfer!CT211,Transfer!DG211,Transfer!DT211,Transfer!EG211)</f>
        <v>-9999</v>
      </c>
      <c r="AJ211" s="1080">
        <f>CHOOSE(Tables!$U$2,Transfer!CH211,Transfer!CU211,Transfer!DH211,Transfer!DU211,Transfer!EH211)</f>
        <v>-9999</v>
      </c>
      <c r="AK211" s="1080">
        <f>CHOOSE(Tables!$U$2,Transfer!CI211,Transfer!CV211,Transfer!DI211,Transfer!DV211,Transfer!EI211)</f>
        <v>-9999</v>
      </c>
      <c r="AL211" s="1080">
        <f>CHOOSE(Tables!$U$2,Transfer!CJ211,Transfer!CW211,Transfer!DJ211,Transfer!DW211,Transfer!EJ211)</f>
        <v>-9999</v>
      </c>
      <c r="AM211" s="1080">
        <f>CHOOSE(Tables!$U$2,Transfer!CK211,Transfer!CX211,Transfer!DK211,Transfer!DX211,Transfer!EK211)</f>
        <v>-9999</v>
      </c>
      <c r="AN211" s="1080">
        <f>CHOOSE(Tables!$U$2,Transfer!CL211,Transfer!CY211,Transfer!DL211,Transfer!DY211,Transfer!EL211)</f>
        <v>-9999</v>
      </c>
      <c r="AO211" s="1080">
        <f>CHOOSE(Tables!$U$2,Transfer!CM211,Transfer!CZ211,Transfer!DM211,Transfer!DZ211,Transfer!EM211)</f>
        <v>-9999</v>
      </c>
      <c r="AR211" s="22">
        <v>111</v>
      </c>
      <c r="AS211" s="30" t="s">
        <v>973</v>
      </c>
      <c r="AT211" s="25">
        <f t="shared" ca="1" si="10"/>
        <v>1.5000000000000001E-2</v>
      </c>
      <c r="AU211" s="25">
        <f t="shared" ca="1" si="11"/>
        <v>9.9000000000000005E-2</v>
      </c>
      <c r="AV211" s="25">
        <f t="shared" ca="1" si="12"/>
        <v>0</v>
      </c>
      <c r="AW211" s="25">
        <f t="shared" ca="1" si="13"/>
        <v>0</v>
      </c>
      <c r="AX211" s="25">
        <f t="shared" ca="1" si="14"/>
        <v>0</v>
      </c>
      <c r="AY211" s="25">
        <f t="shared" si="15"/>
        <v>0</v>
      </c>
      <c r="AZ211" s="25">
        <f t="shared" si="16"/>
        <v>0</v>
      </c>
      <c r="BA211" s="25">
        <f t="shared" si="17"/>
        <v>0</v>
      </c>
      <c r="BB211" s="25">
        <f t="shared" si="18"/>
        <v>0</v>
      </c>
      <c r="BC211" s="25">
        <f t="shared" si="20"/>
        <v>0</v>
      </c>
      <c r="BD211" s="25">
        <f t="shared" si="20"/>
        <v>0</v>
      </c>
      <c r="BE211" s="25">
        <f t="shared" si="20"/>
        <v>0</v>
      </c>
      <c r="BF211" s="25">
        <f t="shared" si="20"/>
        <v>0</v>
      </c>
      <c r="CA211" s="16">
        <v>2.5000000000000001E-2</v>
      </c>
      <c r="CB211" s="16">
        <v>0.124</v>
      </c>
      <c r="CC211" s="16">
        <v>0.124</v>
      </c>
      <c r="CD211" s="16">
        <v>0.124</v>
      </c>
      <c r="CE211" s="16">
        <v>0.124</v>
      </c>
      <c r="CF211" s="16">
        <v>-9999</v>
      </c>
      <c r="CG211" s="16">
        <v>-9999</v>
      </c>
      <c r="CH211" s="16">
        <v>-9999</v>
      </c>
      <c r="CI211" s="16">
        <v>-9999</v>
      </c>
      <c r="CJ211" s="16">
        <v>-9999</v>
      </c>
      <c r="CK211" s="16">
        <v>-9999</v>
      </c>
      <c r="CL211" s="16">
        <v>-9999</v>
      </c>
      <c r="CM211" s="16">
        <v>-9999</v>
      </c>
      <c r="CN211" s="16">
        <v>0.01</v>
      </c>
      <c r="CO211" s="16">
        <v>2.5000000000000001E-2</v>
      </c>
      <c r="CP211" s="16">
        <v>0.124</v>
      </c>
      <c r="CQ211" s="16">
        <v>0.124</v>
      </c>
      <c r="CR211" s="16">
        <v>0.124</v>
      </c>
      <c r="CS211" s="16">
        <v>-9999</v>
      </c>
      <c r="CT211" s="16">
        <v>-9999</v>
      </c>
      <c r="CU211" s="16">
        <v>-9999</v>
      </c>
      <c r="CV211" s="16">
        <v>-9999</v>
      </c>
      <c r="CW211" s="16">
        <v>-9999</v>
      </c>
      <c r="CX211" s="16">
        <v>-9999</v>
      </c>
      <c r="CY211" s="16">
        <v>-9999</v>
      </c>
      <c r="CZ211" s="16">
        <v>-9999</v>
      </c>
      <c r="DA211" s="16">
        <v>2.5000000000000001E-2</v>
      </c>
      <c r="DB211" s="16">
        <v>0.124</v>
      </c>
      <c r="DC211" s="16">
        <v>0.124</v>
      </c>
      <c r="DD211" s="16">
        <v>0.124</v>
      </c>
      <c r="DE211" s="16">
        <v>0.124</v>
      </c>
      <c r="DF211" s="16">
        <v>-9999</v>
      </c>
      <c r="DG211" s="16">
        <v>-9999</v>
      </c>
      <c r="DH211" s="16">
        <v>-9999</v>
      </c>
      <c r="DI211" s="16">
        <v>-9999</v>
      </c>
      <c r="DJ211" s="16">
        <v>-9999</v>
      </c>
      <c r="DK211" s="16">
        <v>-9999</v>
      </c>
      <c r="DL211" s="16">
        <v>-9999</v>
      </c>
      <c r="DM211" s="16">
        <v>-9999</v>
      </c>
      <c r="DN211" s="16">
        <v>2.5000000000000001E-2</v>
      </c>
      <c r="DO211" s="16">
        <v>0.124</v>
      </c>
      <c r="DP211" s="16">
        <v>0.124</v>
      </c>
      <c r="DQ211" s="16">
        <v>0.124</v>
      </c>
      <c r="DR211" s="16">
        <v>0.124</v>
      </c>
      <c r="DS211" s="16">
        <v>-9999</v>
      </c>
      <c r="DT211" s="16">
        <v>-9999</v>
      </c>
      <c r="DU211" s="16">
        <v>-9999</v>
      </c>
      <c r="DV211" s="16">
        <v>-9999</v>
      </c>
      <c r="DW211" s="16">
        <v>-9999</v>
      </c>
      <c r="DX211" s="16">
        <v>-9999</v>
      </c>
      <c r="DY211" s="16">
        <v>-9999</v>
      </c>
      <c r="DZ211" s="16">
        <v>-9999</v>
      </c>
      <c r="EA211" s="2257">
        <v>2.5000000000000001E-2</v>
      </c>
      <c r="EB211" s="2257">
        <v>0.124</v>
      </c>
      <c r="EC211" s="2257">
        <v>0.124</v>
      </c>
      <c r="ED211" s="2257">
        <v>0.124</v>
      </c>
      <c r="EE211" s="2257">
        <v>0.124</v>
      </c>
      <c r="EF211" s="2257">
        <v>-9999</v>
      </c>
      <c r="EG211" s="2257">
        <v>-9999</v>
      </c>
      <c r="EH211" s="2257">
        <v>-9999</v>
      </c>
      <c r="EI211" s="2257">
        <v>-9999</v>
      </c>
      <c r="EJ211" s="2257">
        <v>-9999</v>
      </c>
      <c r="EK211" s="2257">
        <v>-9999</v>
      </c>
      <c r="EL211" s="2257">
        <v>-9999</v>
      </c>
      <c r="EM211" s="2257">
        <v>-9999</v>
      </c>
    </row>
    <row r="212" spans="1:143" ht="13.15">
      <c r="A212" s="22">
        <v>112</v>
      </c>
      <c r="B212" s="3424" t="s">
        <v>2481</v>
      </c>
      <c r="C212" s="24">
        <f ca="1">OFFSET(Sector1!F744,0,Last_forecast_year - 3-InputY!$G$3)</f>
        <v>2016</v>
      </c>
      <c r="D212" s="34">
        <v>-9999</v>
      </c>
      <c r="E212" s="34">
        <v>-9999</v>
      </c>
      <c r="F212" s="34">
        <v>-9999</v>
      </c>
      <c r="G212" s="34">
        <v>-9999</v>
      </c>
      <c r="H212" s="25">
        <v>-9999</v>
      </c>
      <c r="I212" s="25">
        <v>-9999</v>
      </c>
      <c r="J212" s="25">
        <v>-9999</v>
      </c>
      <c r="K212" s="25">
        <v>-9999</v>
      </c>
      <c r="L212" s="25">
        <v>-9999</v>
      </c>
      <c r="M212" s="25">
        <v>-9999</v>
      </c>
      <c r="N212" s="25">
        <v>-9999</v>
      </c>
      <c r="O212" s="25">
        <v>-9999</v>
      </c>
      <c r="P212" s="26"/>
      <c r="Q212"/>
      <c r="AA212" s="22">
        <v>112</v>
      </c>
      <c r="AB212" s="1080" t="str">
        <f t="shared" si="8"/>
        <v>CAPITAL TRANSFERS FROM EU INSTITUTIONS</v>
      </c>
      <c r="AC212" s="1080">
        <f>CHOOSE(Tables!$U$2,Transfer!CA212,Transfer!CN212,Transfer!DA212,Transfer!DN212,Transfer!EA212)</f>
        <v>2015</v>
      </c>
      <c r="AD212" s="1080">
        <f>CHOOSE(Tables!$U$2,Transfer!CB212,Transfer!CO212,Transfer!DB212,Transfer!DO212,Transfer!EB212)</f>
        <v>-9999</v>
      </c>
      <c r="AE212" s="1080">
        <f>CHOOSE(Tables!$U$2,Transfer!CC212,Transfer!CP212,Transfer!DC212,Transfer!DP212,Transfer!EC212)</f>
        <v>-9999</v>
      </c>
      <c r="AF212" s="1080">
        <f>CHOOSE(Tables!$U$2,Transfer!CD212,Transfer!CQ212,Transfer!DD212,Transfer!DQ212,Transfer!ED212)</f>
        <v>-9999</v>
      </c>
      <c r="AG212" s="1080">
        <f>CHOOSE(Tables!$U$2,Transfer!CE212,Transfer!CR212,Transfer!DE212,Transfer!DR212,Transfer!EE212)</f>
        <v>-9999</v>
      </c>
      <c r="AH212" s="1080">
        <f>CHOOSE(Tables!$U$2,Transfer!CF212,Transfer!CS212,Transfer!DF212,Transfer!DS212,Transfer!EF212)</f>
        <v>-9999</v>
      </c>
      <c r="AI212" s="1080">
        <f>CHOOSE(Tables!$U$2,Transfer!CG212,Transfer!CT212,Transfer!DG212,Transfer!DT212,Transfer!EG212)</f>
        <v>-9999</v>
      </c>
      <c r="AJ212" s="1080">
        <f>CHOOSE(Tables!$U$2,Transfer!CH212,Transfer!CU212,Transfer!DH212,Transfer!DU212,Transfer!EH212)</f>
        <v>-9999</v>
      </c>
      <c r="AK212" s="1080">
        <f>CHOOSE(Tables!$U$2,Transfer!CI212,Transfer!CV212,Transfer!DI212,Transfer!DV212,Transfer!EI212)</f>
        <v>-9999</v>
      </c>
      <c r="AL212" s="1080">
        <f>CHOOSE(Tables!$U$2,Transfer!CJ212,Transfer!CW212,Transfer!DJ212,Transfer!DW212,Transfer!EJ212)</f>
        <v>-9999</v>
      </c>
      <c r="AM212" s="1080">
        <f>CHOOSE(Tables!$U$2,Transfer!CK212,Transfer!CX212,Transfer!DK212,Transfer!DX212,Transfer!EK212)</f>
        <v>-9999</v>
      </c>
      <c r="AN212" s="1080">
        <f>CHOOSE(Tables!$U$2,Transfer!CL212,Transfer!CY212,Transfer!DL212,Transfer!DY212,Transfer!EL212)</f>
        <v>-9999</v>
      </c>
      <c r="AO212" s="1080">
        <f>CHOOSE(Tables!$U$2,Transfer!CM212,Transfer!CZ212,Transfer!DM212,Transfer!DZ212,Transfer!EM212)</f>
        <v>-9999</v>
      </c>
      <c r="AR212" s="22">
        <v>112</v>
      </c>
      <c r="AS212" s="30" t="s">
        <v>973</v>
      </c>
      <c r="AT212" s="25">
        <f t="shared" ca="1" si="10"/>
        <v>1</v>
      </c>
      <c r="AU212" s="25">
        <f t="shared" si="11"/>
        <v>0</v>
      </c>
      <c r="AV212" s="25">
        <f t="shared" si="12"/>
        <v>0</v>
      </c>
      <c r="AW212" s="25">
        <f t="shared" si="13"/>
        <v>0</v>
      </c>
      <c r="AX212" s="25">
        <f t="shared" si="14"/>
        <v>0</v>
      </c>
      <c r="AY212" s="25">
        <f t="shared" si="15"/>
        <v>0</v>
      </c>
      <c r="AZ212" s="25">
        <f t="shared" si="16"/>
        <v>0</v>
      </c>
      <c r="BA212" s="25">
        <f t="shared" si="17"/>
        <v>0</v>
      </c>
      <c r="BB212" s="25">
        <f t="shared" si="18"/>
        <v>0</v>
      </c>
      <c r="BC212" s="25">
        <f t="shared" si="20"/>
        <v>0</v>
      </c>
      <c r="BD212" s="25">
        <f t="shared" si="20"/>
        <v>0</v>
      </c>
      <c r="BE212" s="25">
        <f t="shared" si="20"/>
        <v>0</v>
      </c>
      <c r="BF212" s="25">
        <f t="shared" si="20"/>
        <v>0</v>
      </c>
      <c r="CA212" s="16">
        <v>2016</v>
      </c>
      <c r="CB212" s="16">
        <v>-9999</v>
      </c>
      <c r="CC212" s="16">
        <v>-9999</v>
      </c>
      <c r="CD212" s="16">
        <v>-9999</v>
      </c>
      <c r="CE212" s="16">
        <v>-9999</v>
      </c>
      <c r="CF212" s="16">
        <v>-9999</v>
      </c>
      <c r="CG212" s="16">
        <v>-9999</v>
      </c>
      <c r="CH212" s="16">
        <v>-9999</v>
      </c>
      <c r="CI212" s="16">
        <v>-9999</v>
      </c>
      <c r="CJ212" s="16">
        <v>-9999</v>
      </c>
      <c r="CK212" s="16">
        <v>-9999</v>
      </c>
      <c r="CL212" s="16">
        <v>-9999</v>
      </c>
      <c r="CM212" s="16">
        <v>-9999</v>
      </c>
      <c r="CN212" s="16">
        <v>2015</v>
      </c>
      <c r="CO212" s="16">
        <v>-9999</v>
      </c>
      <c r="CP212" s="16">
        <v>-9999</v>
      </c>
      <c r="CQ212" s="16">
        <v>-9999</v>
      </c>
      <c r="CR212" s="16">
        <v>-9999</v>
      </c>
      <c r="CS212" s="16">
        <v>-9999</v>
      </c>
      <c r="CT212" s="16">
        <v>-9999</v>
      </c>
      <c r="CU212" s="16">
        <v>-9999</v>
      </c>
      <c r="CV212" s="16">
        <v>-9999</v>
      </c>
      <c r="CW212" s="16">
        <v>-9999</v>
      </c>
      <c r="CX212" s="16">
        <v>-9999</v>
      </c>
      <c r="CY212" s="16">
        <v>-9999</v>
      </c>
      <c r="CZ212" s="16">
        <v>-9999</v>
      </c>
      <c r="DA212" s="16">
        <v>2016</v>
      </c>
      <c r="DB212" s="16">
        <v>-9999</v>
      </c>
      <c r="DC212" s="16">
        <v>-9999</v>
      </c>
      <c r="DD212" s="16">
        <v>-9999</v>
      </c>
      <c r="DE212" s="16">
        <v>-9999</v>
      </c>
      <c r="DF212" s="16">
        <v>-9999</v>
      </c>
      <c r="DG212" s="16">
        <v>-9999</v>
      </c>
      <c r="DH212" s="16">
        <v>-9999</v>
      </c>
      <c r="DI212" s="16">
        <v>-9999</v>
      </c>
      <c r="DJ212" s="16">
        <v>-9999</v>
      </c>
      <c r="DK212" s="16">
        <v>-9999</v>
      </c>
      <c r="DL212" s="16">
        <v>-9999</v>
      </c>
      <c r="DM212" s="16">
        <v>-9999</v>
      </c>
      <c r="DN212" s="16">
        <v>2016</v>
      </c>
      <c r="DO212" s="16">
        <v>-9999</v>
      </c>
      <c r="DP212" s="16">
        <v>-9999</v>
      </c>
      <c r="DQ212" s="16">
        <v>-9999</v>
      </c>
      <c r="DR212" s="16">
        <v>-9999</v>
      </c>
      <c r="DS212" s="16">
        <v>-9999</v>
      </c>
      <c r="DT212" s="16">
        <v>-9999</v>
      </c>
      <c r="DU212" s="16">
        <v>-9999</v>
      </c>
      <c r="DV212" s="16">
        <v>-9999</v>
      </c>
      <c r="DW212" s="16">
        <v>-9999</v>
      </c>
      <c r="DX212" s="16">
        <v>-9999</v>
      </c>
      <c r="DY212" s="16">
        <v>-9999</v>
      </c>
      <c r="DZ212" s="16">
        <v>-9999</v>
      </c>
      <c r="EA212" s="2257">
        <v>2016</v>
      </c>
      <c r="EB212" s="2257">
        <v>-9999</v>
      </c>
      <c r="EC212" s="2257">
        <v>-9999</v>
      </c>
      <c r="ED212" s="2257">
        <v>-9999</v>
      </c>
      <c r="EE212" s="2257">
        <v>-9999</v>
      </c>
      <c r="EF212" s="2257">
        <v>-9999</v>
      </c>
      <c r="EG212" s="2257">
        <v>-9999</v>
      </c>
      <c r="EH212" s="2257">
        <v>-9999</v>
      </c>
      <c r="EI212" s="2257">
        <v>-9999</v>
      </c>
      <c r="EJ212" s="2257">
        <v>-9999</v>
      </c>
      <c r="EK212" s="2257">
        <v>-9999</v>
      </c>
      <c r="EL212" s="2257">
        <v>-9999</v>
      </c>
      <c r="EM212" s="2257">
        <v>-9999</v>
      </c>
    </row>
    <row r="213" spans="1:143" ht="13.15">
      <c r="A213" s="22">
        <v>113</v>
      </c>
      <c r="B213" s="1" t="s">
        <v>144</v>
      </c>
      <c r="C213" s="24">
        <f ca="1">OFFSET(Sector1!F13,0,Last_forecast_year - 3-InputY!$G$3)</f>
        <v>987.44100000000003</v>
      </c>
      <c r="D213" s="3375">
        <f ca="1">OFFSET(Sector1!G13,0,Last_forecast_year - 3-InputY!$G$3)</f>
        <v>1031.5340000000001</v>
      </c>
      <c r="E213" s="24">
        <f ca="1">OFFSET(Sector1!H13,0,Last_forecast_year - 3-InputY!$G$3)</f>
        <v>1075.2026598248071</v>
      </c>
      <c r="F213" s="24">
        <f ca="1">OFFSET(Sector1!I13,0,Last_forecast_year - 3-InputY!$G$3)</f>
        <v>1112.8032004969793</v>
      </c>
      <c r="G213" s="24">
        <f ca="1">OFFSET(Sector1!J13,0,Last_forecast_year - 3-InputY!$G$3)</f>
        <v>1151.7498222449526</v>
      </c>
      <c r="H213" s="25">
        <v>-9999</v>
      </c>
      <c r="I213" s="25">
        <v>-9999</v>
      </c>
      <c r="J213" s="25">
        <v>-9999</v>
      </c>
      <c r="K213" s="25">
        <v>-9999</v>
      </c>
      <c r="L213" s="25">
        <v>-9999</v>
      </c>
      <c r="M213" s="25">
        <v>-9999</v>
      </c>
      <c r="N213" s="25">
        <v>-9999</v>
      </c>
      <c r="O213" s="25">
        <v>-9999</v>
      </c>
      <c r="P213" s="26"/>
      <c r="Q213"/>
      <c r="AA213" s="22">
        <v>113</v>
      </c>
      <c r="AB213" s="1080" t="str">
        <f t="shared" si="8"/>
        <v>GG TAXES ON PRODUCTION AND IMPORTS</v>
      </c>
      <c r="AC213" s="1080">
        <f>CHOOSE(Tables!$U$2,Transfer!CA213,Transfer!CN213,Transfer!DA213,Transfer!DN213,Transfer!EA213)</f>
        <v>915.93899999999996</v>
      </c>
      <c r="AD213" s="1080">
        <f>CHOOSE(Tables!$U$2,Transfer!CB213,Transfer!CO213,Transfer!DB213,Transfer!DO213,Transfer!EB213)</f>
        <v>987.44799999999998</v>
      </c>
      <c r="AE213" s="1080">
        <f>CHOOSE(Tables!$U$2,Transfer!CC213,Transfer!CP213,Transfer!DC213,Transfer!DP213,Transfer!EC213)</f>
        <v>1030.9090000000001</v>
      </c>
      <c r="AF213" s="1080">
        <f>CHOOSE(Tables!$U$2,Transfer!CD213,Transfer!CQ213,Transfer!DD213,Transfer!DQ213,Transfer!ED213)</f>
        <v>1075.086587996675</v>
      </c>
      <c r="AG213" s="1080">
        <f>CHOOSE(Tables!$U$2,Transfer!CE213,Transfer!CR213,Transfer!DE213,Transfer!DR213,Transfer!EE213)</f>
        <v>1118.3080647353468</v>
      </c>
      <c r="AH213" s="1080">
        <f>CHOOSE(Tables!$U$2,Transfer!CF213,Transfer!CS213,Transfer!DF213,Transfer!DS213,Transfer!EF213)</f>
        <v>-9999</v>
      </c>
      <c r="AI213" s="1080">
        <f>CHOOSE(Tables!$U$2,Transfer!CG213,Transfer!CT213,Transfer!DG213,Transfer!DT213,Transfer!EG213)</f>
        <v>-9999</v>
      </c>
      <c r="AJ213" s="1080">
        <f>CHOOSE(Tables!$U$2,Transfer!CH213,Transfer!CU213,Transfer!DH213,Transfer!DU213,Transfer!EH213)</f>
        <v>-9999</v>
      </c>
      <c r="AK213" s="1080">
        <f>CHOOSE(Tables!$U$2,Transfer!CI213,Transfer!CV213,Transfer!DI213,Transfer!DV213,Transfer!EI213)</f>
        <v>-9999</v>
      </c>
      <c r="AL213" s="1080">
        <f>CHOOSE(Tables!$U$2,Transfer!CJ213,Transfer!CW213,Transfer!DJ213,Transfer!DW213,Transfer!EJ213)</f>
        <v>-9999</v>
      </c>
      <c r="AM213" s="1080">
        <f>CHOOSE(Tables!$U$2,Transfer!CK213,Transfer!CX213,Transfer!DK213,Transfer!DX213,Transfer!EK213)</f>
        <v>-9999</v>
      </c>
      <c r="AN213" s="1080">
        <f>CHOOSE(Tables!$U$2,Transfer!CL213,Transfer!CY213,Transfer!DL213,Transfer!DY213,Transfer!EL213)</f>
        <v>-9999</v>
      </c>
      <c r="AO213" s="1080">
        <f>CHOOSE(Tables!$U$2,Transfer!CM213,Transfer!CZ213,Transfer!DM213,Transfer!DZ213,Transfer!EM213)</f>
        <v>-9999</v>
      </c>
      <c r="AR213" s="22">
        <v>113</v>
      </c>
      <c r="AS213" s="1" t="s">
        <v>144</v>
      </c>
      <c r="AT213" s="24">
        <f t="shared" ca="1" si="10"/>
        <v>71.502000000000066</v>
      </c>
      <c r="AU213" s="24">
        <f t="shared" ca="1" si="11"/>
        <v>44.086000000000126</v>
      </c>
      <c r="AV213" s="24">
        <f t="shared" ca="1" si="12"/>
        <v>44.293659824807037</v>
      </c>
      <c r="AW213" s="24">
        <f t="shared" ca="1" si="13"/>
        <v>37.716612500304336</v>
      </c>
      <c r="AX213" s="24">
        <f t="shared" ca="1" si="14"/>
        <v>33.44175750960585</v>
      </c>
      <c r="AY213" s="25">
        <f t="shared" si="15"/>
        <v>0</v>
      </c>
      <c r="AZ213" s="25">
        <f t="shared" si="16"/>
        <v>0</v>
      </c>
      <c r="BA213" s="25">
        <f t="shared" si="17"/>
        <v>0</v>
      </c>
      <c r="BB213" s="25">
        <f t="shared" si="18"/>
        <v>0</v>
      </c>
      <c r="BC213" s="25">
        <f t="shared" si="20"/>
        <v>0</v>
      </c>
      <c r="BD213" s="25">
        <f t="shared" si="20"/>
        <v>0</v>
      </c>
      <c r="BE213" s="25">
        <f t="shared" si="20"/>
        <v>0</v>
      </c>
      <c r="BF213" s="25">
        <f t="shared" si="20"/>
        <v>0</v>
      </c>
      <c r="CA213" s="16">
        <v>987.44100000000003</v>
      </c>
      <c r="CB213" s="16">
        <v>1031.5340000000001</v>
      </c>
      <c r="CC213" s="16">
        <v>1075.0227761728686</v>
      </c>
      <c r="CD213" s="16">
        <v>1112.6166997286741</v>
      </c>
      <c r="CE213" s="16">
        <v>1151.5569110194376</v>
      </c>
      <c r="CF213" s="16">
        <v>-9999</v>
      </c>
      <c r="CG213" s="16">
        <v>-9999</v>
      </c>
      <c r="CH213" s="16">
        <v>-9999</v>
      </c>
      <c r="CI213" s="16">
        <v>-9999</v>
      </c>
      <c r="CJ213" s="16">
        <v>-9999</v>
      </c>
      <c r="CK213" s="16">
        <v>-9999</v>
      </c>
      <c r="CL213" s="16">
        <v>-9999</v>
      </c>
      <c r="CM213" s="16">
        <v>-9999</v>
      </c>
      <c r="CN213" s="16">
        <v>915.93899999999996</v>
      </c>
      <c r="CO213" s="16">
        <v>987.44799999999998</v>
      </c>
      <c r="CP213" s="16">
        <v>1030.9090000000001</v>
      </c>
      <c r="CQ213" s="16">
        <v>1075.086587996675</v>
      </c>
      <c r="CR213" s="16">
        <v>1118.3080647353468</v>
      </c>
      <c r="CS213" s="16">
        <v>-9999</v>
      </c>
      <c r="CT213" s="16">
        <v>-9999</v>
      </c>
      <c r="CU213" s="16">
        <v>-9999</v>
      </c>
      <c r="CV213" s="16">
        <v>-9999</v>
      </c>
      <c r="CW213" s="16">
        <v>-9999</v>
      </c>
      <c r="CX213" s="16">
        <v>-9999</v>
      </c>
      <c r="CY213" s="16">
        <v>-9999</v>
      </c>
      <c r="CZ213" s="16">
        <v>-9999</v>
      </c>
      <c r="DA213" s="16">
        <v>987.44100000000003</v>
      </c>
      <c r="DB213" s="16">
        <v>1031.5340000000001</v>
      </c>
      <c r="DC213" s="16">
        <v>1074.6197327474868</v>
      </c>
      <c r="DD213" s="16">
        <v>1111.614616946576</v>
      </c>
      <c r="DE213" s="16">
        <v>1150.1479893776434</v>
      </c>
      <c r="DF213" s="16">
        <v>-9999</v>
      </c>
      <c r="DG213" s="16">
        <v>-9999</v>
      </c>
      <c r="DH213" s="16">
        <v>-9999</v>
      </c>
      <c r="DI213" s="16">
        <v>-9999</v>
      </c>
      <c r="DJ213" s="16">
        <v>-9999</v>
      </c>
      <c r="DK213" s="16">
        <v>-9999</v>
      </c>
      <c r="DL213" s="16">
        <v>-9999</v>
      </c>
      <c r="DM213" s="16">
        <v>-9999</v>
      </c>
      <c r="DN213" s="16">
        <v>987.44100000000003</v>
      </c>
      <c r="DO213" s="16">
        <v>1031.5340000000001</v>
      </c>
      <c r="DP213" s="16">
        <v>1073.78992511305</v>
      </c>
      <c r="DQ213" s="16">
        <v>1110.5562033068222</v>
      </c>
      <c r="DR213" s="16">
        <v>1137.1438675211289</v>
      </c>
      <c r="DS213" s="16">
        <v>-9999</v>
      </c>
      <c r="DT213" s="16">
        <v>-9999</v>
      </c>
      <c r="DU213" s="16">
        <v>-9999</v>
      </c>
      <c r="DV213" s="16">
        <v>-9999</v>
      </c>
      <c r="DW213" s="16">
        <v>-9999</v>
      </c>
      <c r="DX213" s="16">
        <v>-9999</v>
      </c>
      <c r="DY213" s="16">
        <v>-9999</v>
      </c>
      <c r="DZ213" s="16">
        <v>-9999</v>
      </c>
      <c r="EA213" s="2256">
        <v>987.44100000000003</v>
      </c>
      <c r="EB213" s="2256">
        <v>1031.5340000000001</v>
      </c>
      <c r="EC213" s="2256">
        <v>1075.2026598248071</v>
      </c>
      <c r="ED213" s="2256">
        <v>1112.8032004969793</v>
      </c>
      <c r="EE213" s="2256">
        <v>1151.7498222449526</v>
      </c>
      <c r="EF213" s="2257">
        <v>-9999</v>
      </c>
      <c r="EG213" s="2257">
        <v>-9999</v>
      </c>
      <c r="EH213" s="2257">
        <v>-9999</v>
      </c>
      <c r="EI213" s="2257">
        <v>-9999</v>
      </c>
      <c r="EJ213" s="2257">
        <v>-9999</v>
      </c>
      <c r="EK213" s="2257">
        <v>-9999</v>
      </c>
      <c r="EL213" s="2257">
        <v>-9999</v>
      </c>
      <c r="EM213" s="2257">
        <v>-9999</v>
      </c>
    </row>
    <row r="214" spans="1:143" ht="13.15">
      <c r="A214" s="22">
        <v>114</v>
      </c>
      <c r="B214" s="1" t="s">
        <v>150</v>
      </c>
      <c r="C214" s="24">
        <f ca="1">OFFSET(Sector1!F203,0,Last_forecast_year - 3-InputY!$G$3)</f>
        <v>824.66399999999999</v>
      </c>
      <c r="D214" s="24">
        <f ca="1">OFFSET(Sector1!G203,0,Last_forecast_year - 3-InputY!$G$3)</f>
        <v>867.20799999999997</v>
      </c>
      <c r="E214" s="24">
        <f ca="1">OFFSET(Sector1!H203,0,Last_forecast_year - 3-InputY!$G$3)</f>
        <v>895.41504268260928</v>
      </c>
      <c r="F214" s="24">
        <f ca="1">OFFSET(Sector1!I203,0,Last_forecast_year - 3-InputY!$G$3)</f>
        <v>923.42297259148313</v>
      </c>
      <c r="G214" s="24">
        <f ca="1">OFFSET(Sector1!J203,0,Last_forecast_year - 3-InputY!$G$3)</f>
        <v>949.63343995066862</v>
      </c>
      <c r="H214" s="25">
        <v>-9999</v>
      </c>
      <c r="I214" s="25">
        <v>-9999</v>
      </c>
      <c r="J214" s="25">
        <v>-9999</v>
      </c>
      <c r="K214" s="25">
        <v>-9999</v>
      </c>
      <c r="L214" s="25">
        <v>-9999</v>
      </c>
      <c r="M214" s="25">
        <v>-9999</v>
      </c>
      <c r="N214" s="25">
        <v>-9999</v>
      </c>
      <c r="O214" s="25">
        <v>-9999</v>
      </c>
      <c r="P214" s="26"/>
      <c r="Q214"/>
      <c r="AA214" s="22">
        <v>114</v>
      </c>
      <c r="AB214" s="1080" t="str">
        <f t="shared" si="8"/>
        <v xml:space="preserve">GG CURRENT TAXES ON INCOME AND WEALTH </v>
      </c>
      <c r="AC214" s="1080">
        <f>CHOOSE(Tables!$U$2,Transfer!CA214,Transfer!CN214,Transfer!DA214,Transfer!DN214,Transfer!EA214)</f>
        <v>771.35500000000002</v>
      </c>
      <c r="AD214" s="1080">
        <f>CHOOSE(Tables!$U$2,Transfer!CB214,Transfer!CO214,Transfer!DB214,Transfer!DO214,Transfer!EB214)</f>
        <v>825.40899999999999</v>
      </c>
      <c r="AE214" s="1080">
        <f>CHOOSE(Tables!$U$2,Transfer!CC214,Transfer!CP214,Transfer!DC214,Transfer!DP214,Transfer!EC214)</f>
        <v>858.28399999999999</v>
      </c>
      <c r="AF214" s="1080">
        <f>CHOOSE(Tables!$U$2,Transfer!CD214,Transfer!CQ214,Transfer!DD214,Transfer!DQ214,Transfer!ED214)</f>
        <v>883.93514455252694</v>
      </c>
      <c r="AG214" s="1080">
        <f>CHOOSE(Tables!$U$2,Transfer!CE214,Transfer!CR214,Transfer!DE214,Transfer!DR214,Transfer!EE214)</f>
        <v>919.73752847604692</v>
      </c>
      <c r="AH214" s="1080">
        <f>CHOOSE(Tables!$U$2,Transfer!CF214,Transfer!CS214,Transfer!DF214,Transfer!DS214,Transfer!EF214)</f>
        <v>-9999</v>
      </c>
      <c r="AI214" s="1080">
        <f>CHOOSE(Tables!$U$2,Transfer!CG214,Transfer!CT214,Transfer!DG214,Transfer!DT214,Transfer!EG214)</f>
        <v>-9999</v>
      </c>
      <c r="AJ214" s="1080">
        <f>CHOOSE(Tables!$U$2,Transfer!CH214,Transfer!CU214,Transfer!DH214,Transfer!DU214,Transfer!EH214)</f>
        <v>-9999</v>
      </c>
      <c r="AK214" s="1080">
        <f>CHOOSE(Tables!$U$2,Transfer!CI214,Transfer!CV214,Transfer!DI214,Transfer!DV214,Transfer!EI214)</f>
        <v>-9999</v>
      </c>
      <c r="AL214" s="1080">
        <f>CHOOSE(Tables!$U$2,Transfer!CJ214,Transfer!CW214,Transfer!DJ214,Transfer!DW214,Transfer!EJ214)</f>
        <v>-9999</v>
      </c>
      <c r="AM214" s="1080">
        <f>CHOOSE(Tables!$U$2,Transfer!CK214,Transfer!CX214,Transfer!DK214,Transfer!DX214,Transfer!EK214)</f>
        <v>-9999</v>
      </c>
      <c r="AN214" s="1080">
        <f>CHOOSE(Tables!$U$2,Transfer!CL214,Transfer!CY214,Transfer!DL214,Transfer!DY214,Transfer!EL214)</f>
        <v>-9999</v>
      </c>
      <c r="AO214" s="1080">
        <f>CHOOSE(Tables!$U$2,Transfer!CM214,Transfer!CZ214,Transfer!DM214,Transfer!DZ214,Transfer!EM214)</f>
        <v>-9999</v>
      </c>
      <c r="AR214" s="22">
        <v>114</v>
      </c>
      <c r="AS214" s="1" t="s">
        <v>150</v>
      </c>
      <c r="AT214" s="24">
        <f t="shared" ref="AT214:AT245" ca="1" si="21">C214-AC214</f>
        <v>53.308999999999969</v>
      </c>
      <c r="AU214" s="24">
        <f t="shared" ref="AU214:AU245" ca="1" si="22">D214-AD214</f>
        <v>41.798999999999978</v>
      </c>
      <c r="AV214" s="24">
        <f t="shared" ref="AV214:AV245" ca="1" si="23">E214-AE214</f>
        <v>37.131042682609291</v>
      </c>
      <c r="AW214" s="24">
        <f t="shared" ref="AW214:AW245" ca="1" si="24">F214-AF214</f>
        <v>39.487828038956195</v>
      </c>
      <c r="AX214" s="24">
        <f t="shared" ref="AX214:AX245" ca="1" si="25">G214-AG214</f>
        <v>29.895911474621698</v>
      </c>
      <c r="AY214" s="25">
        <f t="shared" ref="AY214:AY245" si="26">H214-AH214</f>
        <v>0</v>
      </c>
      <c r="AZ214" s="25">
        <f t="shared" ref="AZ214:AZ245" si="27">I214-AI214</f>
        <v>0</v>
      </c>
      <c r="BA214" s="25">
        <f t="shared" ref="BA214:BA245" si="28">J214-AJ214</f>
        <v>0</v>
      </c>
      <c r="BB214" s="25">
        <f t="shared" ref="BB214:BB245" si="29">K214-AK214</f>
        <v>0</v>
      </c>
      <c r="BC214" s="25">
        <f t="shared" si="20"/>
        <v>0</v>
      </c>
      <c r="BD214" s="25">
        <f t="shared" si="20"/>
        <v>0</v>
      </c>
      <c r="BE214" s="25">
        <f t="shared" si="20"/>
        <v>0</v>
      </c>
      <c r="BF214" s="25">
        <f t="shared" si="20"/>
        <v>0</v>
      </c>
      <c r="CA214" s="16">
        <v>824.66399999999999</v>
      </c>
      <c r="CB214" s="16">
        <v>867.20799999999997</v>
      </c>
      <c r="CC214" s="16">
        <v>895.44978495291241</v>
      </c>
      <c r="CD214" s="16">
        <v>923.45219643432097</v>
      </c>
      <c r="CE214" s="16">
        <v>949.65681772711855</v>
      </c>
      <c r="CF214" s="16">
        <v>-9999</v>
      </c>
      <c r="CG214" s="16">
        <v>-9999</v>
      </c>
      <c r="CH214" s="16">
        <v>-9999</v>
      </c>
      <c r="CI214" s="16">
        <v>-9999</v>
      </c>
      <c r="CJ214" s="16">
        <v>-9999</v>
      </c>
      <c r="CK214" s="16">
        <v>-9999</v>
      </c>
      <c r="CL214" s="16">
        <v>-9999</v>
      </c>
      <c r="CM214" s="16">
        <v>-9999</v>
      </c>
      <c r="CN214" s="16">
        <v>771.35500000000002</v>
      </c>
      <c r="CO214" s="16">
        <v>825.40899999999999</v>
      </c>
      <c r="CP214" s="16">
        <v>858.28399999999999</v>
      </c>
      <c r="CQ214" s="16">
        <v>883.93514455252694</v>
      </c>
      <c r="CR214" s="16">
        <v>919.73752847604692</v>
      </c>
      <c r="CS214" s="16">
        <v>-9999</v>
      </c>
      <c r="CT214" s="16">
        <v>-9999</v>
      </c>
      <c r="CU214" s="16">
        <v>-9999</v>
      </c>
      <c r="CV214" s="16">
        <v>-9999</v>
      </c>
      <c r="CW214" s="16">
        <v>-9999</v>
      </c>
      <c r="CX214" s="16">
        <v>-9999</v>
      </c>
      <c r="CY214" s="16">
        <v>-9999</v>
      </c>
      <c r="CZ214" s="16">
        <v>-9999</v>
      </c>
      <c r="DA214" s="16">
        <v>824.66399999999999</v>
      </c>
      <c r="DB214" s="16">
        <v>867.20799999999997</v>
      </c>
      <c r="DC214" s="16">
        <v>895.50620110839134</v>
      </c>
      <c r="DD214" s="16">
        <v>923.47813177818011</v>
      </c>
      <c r="DE214" s="16">
        <v>949.5819854543829</v>
      </c>
      <c r="DF214" s="16">
        <v>-9999</v>
      </c>
      <c r="DG214" s="16">
        <v>-9999</v>
      </c>
      <c r="DH214" s="16">
        <v>-9999</v>
      </c>
      <c r="DI214" s="16">
        <v>-9999</v>
      </c>
      <c r="DJ214" s="16">
        <v>-9999</v>
      </c>
      <c r="DK214" s="16">
        <v>-9999</v>
      </c>
      <c r="DL214" s="16">
        <v>-9999</v>
      </c>
      <c r="DM214" s="16">
        <v>-9999</v>
      </c>
      <c r="DN214" s="16">
        <v>824.66399999999999</v>
      </c>
      <c r="DO214" s="16">
        <v>867.20799999999997</v>
      </c>
      <c r="DP214" s="16">
        <v>892.3480100249451</v>
      </c>
      <c r="DQ214" s="16">
        <v>922.44943516922717</v>
      </c>
      <c r="DR214" s="16">
        <v>953.3740571053969</v>
      </c>
      <c r="DS214" s="16">
        <v>-9999</v>
      </c>
      <c r="DT214" s="16">
        <v>-9999</v>
      </c>
      <c r="DU214" s="16">
        <v>-9999</v>
      </c>
      <c r="DV214" s="16">
        <v>-9999</v>
      </c>
      <c r="DW214" s="16">
        <v>-9999</v>
      </c>
      <c r="DX214" s="16">
        <v>-9999</v>
      </c>
      <c r="DY214" s="16">
        <v>-9999</v>
      </c>
      <c r="DZ214" s="16">
        <v>-9999</v>
      </c>
      <c r="EA214" s="2256">
        <v>824.66399999999999</v>
      </c>
      <c r="EB214" s="2256">
        <v>867.20799999999997</v>
      </c>
      <c r="EC214" s="2256">
        <v>895.41504268260928</v>
      </c>
      <c r="ED214" s="2256">
        <v>923.42297259148313</v>
      </c>
      <c r="EE214" s="2256">
        <v>949.63343995066862</v>
      </c>
      <c r="EF214" s="2257">
        <v>-9999</v>
      </c>
      <c r="EG214" s="2257">
        <v>-9999</v>
      </c>
      <c r="EH214" s="2257">
        <v>-9999</v>
      </c>
      <c r="EI214" s="2257">
        <v>-9999</v>
      </c>
      <c r="EJ214" s="2257">
        <v>-9999</v>
      </c>
      <c r="EK214" s="2257">
        <v>-9999</v>
      </c>
      <c r="EL214" s="2257">
        <v>-9999</v>
      </c>
      <c r="EM214" s="2257">
        <v>-9999</v>
      </c>
    </row>
    <row r="215" spans="1:143" ht="13.15">
      <c r="A215" s="22">
        <v>115</v>
      </c>
      <c r="B215" s="1" t="s">
        <v>152</v>
      </c>
      <c r="C215" s="24">
        <f ca="1">OFFSET(Sector1!F253,0,Last_forecast_year - 3-InputY!$G$3)</f>
        <v>145.68199999999999</v>
      </c>
      <c r="D215" s="24">
        <f ca="1">OFFSET(Sector1!G253,0,Last_forecast_year - 3-InputY!$G$3)</f>
        <v>153.01</v>
      </c>
      <c r="E215" s="24">
        <f ca="1">OFFSET(Sector1!H253,0,Last_forecast_year - 3-InputY!$G$3)</f>
        <v>159.91670808965222</v>
      </c>
      <c r="F215" s="24">
        <f ca="1">OFFSET(Sector1!I253,0,Last_forecast_year - 3-InputY!$G$3)</f>
        <v>166.53136532795457</v>
      </c>
      <c r="G215" s="24">
        <f ca="1">OFFSET(Sector1!J253,0,Last_forecast_year - 3-InputY!$G$3)</f>
        <v>172.79813185204455</v>
      </c>
      <c r="H215" s="25">
        <v>-9999</v>
      </c>
      <c r="I215" s="25">
        <v>-9999</v>
      </c>
      <c r="J215" s="25">
        <v>-9999</v>
      </c>
      <c r="K215" s="25">
        <v>-9999</v>
      </c>
      <c r="L215" s="25">
        <v>-9999</v>
      </c>
      <c r="M215" s="25">
        <v>-9999</v>
      </c>
      <c r="N215" s="25">
        <v>-9999</v>
      </c>
      <c r="O215" s="25">
        <v>-9999</v>
      </c>
      <c r="P215" s="26"/>
      <c r="Q215"/>
      <c r="AA215" s="22">
        <v>115</v>
      </c>
      <c r="AB215" s="1080" t="str">
        <f t="shared" si="8"/>
        <v>GG SOCIAL CONTRIBUTIONS</v>
      </c>
      <c r="AC215" s="1080">
        <f>CHOOSE(Tables!$U$2,Transfer!CA215,Transfer!CN215,Transfer!DA215,Transfer!DN215,Transfer!EA215)</f>
        <v>139.16200000000001</v>
      </c>
      <c r="AD215" s="1080">
        <f>CHOOSE(Tables!$U$2,Transfer!CB215,Transfer!CO215,Transfer!DB215,Transfer!DO215,Transfer!EB215)</f>
        <v>145.68199999999999</v>
      </c>
      <c r="AE215" s="1080">
        <f>CHOOSE(Tables!$U$2,Transfer!CC215,Transfer!CP215,Transfer!DC215,Transfer!DP215,Transfer!EC215)</f>
        <v>152.70100000000002</v>
      </c>
      <c r="AF215" s="1080">
        <f>CHOOSE(Tables!$U$2,Transfer!CD215,Transfer!CQ215,Transfer!DD215,Transfer!DQ215,Transfer!ED215)</f>
        <v>159.03660258201134</v>
      </c>
      <c r="AG215" s="1080">
        <f>CHOOSE(Tables!$U$2,Transfer!CE215,Transfer!CR215,Transfer!DE215,Transfer!DR215,Transfer!EE215)</f>
        <v>165.05008962374333</v>
      </c>
      <c r="AH215" s="1080">
        <f>CHOOSE(Tables!$U$2,Transfer!CF215,Transfer!CS215,Transfer!DF215,Transfer!DS215,Transfer!EF215)</f>
        <v>-9999</v>
      </c>
      <c r="AI215" s="1080">
        <f>CHOOSE(Tables!$U$2,Transfer!CG215,Transfer!CT215,Transfer!DG215,Transfer!DT215,Transfer!EG215)</f>
        <v>-9999</v>
      </c>
      <c r="AJ215" s="1080">
        <f>CHOOSE(Tables!$U$2,Transfer!CH215,Transfer!CU215,Transfer!DH215,Transfer!DU215,Transfer!EH215)</f>
        <v>-9999</v>
      </c>
      <c r="AK215" s="1080">
        <f>CHOOSE(Tables!$U$2,Transfer!CI215,Transfer!CV215,Transfer!DI215,Transfer!DV215,Transfer!EI215)</f>
        <v>-9999</v>
      </c>
      <c r="AL215" s="1080">
        <f>CHOOSE(Tables!$U$2,Transfer!CJ215,Transfer!CW215,Transfer!DJ215,Transfer!DW215,Transfer!EJ215)</f>
        <v>-9999</v>
      </c>
      <c r="AM215" s="1080">
        <f>CHOOSE(Tables!$U$2,Transfer!CK215,Transfer!CX215,Transfer!DK215,Transfer!DX215,Transfer!EK215)</f>
        <v>-9999</v>
      </c>
      <c r="AN215" s="1080">
        <f>CHOOSE(Tables!$U$2,Transfer!CL215,Transfer!CY215,Transfer!DL215,Transfer!DY215,Transfer!EL215)</f>
        <v>-9999</v>
      </c>
      <c r="AO215" s="1080">
        <f>CHOOSE(Tables!$U$2,Transfer!CM215,Transfer!CZ215,Transfer!DM215,Transfer!DZ215,Transfer!EM215)</f>
        <v>-9999</v>
      </c>
      <c r="AR215" s="22">
        <v>115</v>
      </c>
      <c r="AS215" s="1" t="s">
        <v>152</v>
      </c>
      <c r="AT215" s="24">
        <f t="shared" ca="1" si="21"/>
        <v>6.5199999999999818</v>
      </c>
      <c r="AU215" s="24">
        <f t="shared" ca="1" si="22"/>
        <v>7.328000000000003</v>
      </c>
      <c r="AV215" s="24">
        <f t="shared" ca="1" si="23"/>
        <v>7.2157080896521961</v>
      </c>
      <c r="AW215" s="24">
        <f t="shared" ca="1" si="24"/>
        <v>7.494762745943234</v>
      </c>
      <c r="AX215" s="24">
        <f t="shared" ca="1" si="25"/>
        <v>7.748042228301216</v>
      </c>
      <c r="AY215" s="25">
        <f t="shared" si="26"/>
        <v>0</v>
      </c>
      <c r="AZ215" s="25">
        <f t="shared" si="27"/>
        <v>0</v>
      </c>
      <c r="BA215" s="25">
        <f t="shared" si="28"/>
        <v>0</v>
      </c>
      <c r="BB215" s="25">
        <f t="shared" si="29"/>
        <v>0</v>
      </c>
      <c r="BC215" s="25">
        <f t="shared" si="20"/>
        <v>0</v>
      </c>
      <c r="BD215" s="25">
        <f t="shared" si="20"/>
        <v>0</v>
      </c>
      <c r="BE215" s="25">
        <f t="shared" si="20"/>
        <v>0</v>
      </c>
      <c r="BF215" s="25">
        <f t="shared" si="20"/>
        <v>0</v>
      </c>
      <c r="CA215" s="16">
        <v>145.68199999999999</v>
      </c>
      <c r="CB215" s="16">
        <v>153.01</v>
      </c>
      <c r="CC215" s="16">
        <v>159.8898711650447</v>
      </c>
      <c r="CD215" s="16">
        <v>166.50619310657197</v>
      </c>
      <c r="CE215" s="16">
        <v>172.77461832539902</v>
      </c>
      <c r="CF215" s="16">
        <v>-9999</v>
      </c>
      <c r="CG215" s="16">
        <v>-9999</v>
      </c>
      <c r="CH215" s="16">
        <v>-9999</v>
      </c>
      <c r="CI215" s="16">
        <v>-9999</v>
      </c>
      <c r="CJ215" s="16">
        <v>-9999</v>
      </c>
      <c r="CK215" s="16">
        <v>-9999</v>
      </c>
      <c r="CL215" s="16">
        <v>-9999</v>
      </c>
      <c r="CM215" s="16">
        <v>-9999</v>
      </c>
      <c r="CN215" s="16">
        <v>139.16200000000001</v>
      </c>
      <c r="CO215" s="16">
        <v>145.68199999999999</v>
      </c>
      <c r="CP215" s="16">
        <v>152.70100000000002</v>
      </c>
      <c r="CQ215" s="16">
        <v>159.03660258201134</v>
      </c>
      <c r="CR215" s="16">
        <v>165.05008962374333</v>
      </c>
      <c r="CS215" s="16">
        <v>-9999</v>
      </c>
      <c r="CT215" s="16">
        <v>-9999</v>
      </c>
      <c r="CU215" s="16">
        <v>-9999</v>
      </c>
      <c r="CV215" s="16">
        <v>-9999</v>
      </c>
      <c r="CW215" s="16">
        <v>-9999</v>
      </c>
      <c r="CX215" s="16">
        <v>-9999</v>
      </c>
      <c r="CY215" s="16">
        <v>-9999</v>
      </c>
      <c r="CZ215" s="16">
        <v>-9999</v>
      </c>
      <c r="DA215" s="16">
        <v>145.68199999999999</v>
      </c>
      <c r="DB215" s="16">
        <v>153.01</v>
      </c>
      <c r="DC215" s="16">
        <v>159.8898711650447</v>
      </c>
      <c r="DD215" s="16">
        <v>166.50619310657197</v>
      </c>
      <c r="DE215" s="16">
        <v>172.8344654862496</v>
      </c>
      <c r="DF215" s="16">
        <v>-9999</v>
      </c>
      <c r="DG215" s="16">
        <v>-9999</v>
      </c>
      <c r="DH215" s="16">
        <v>-9999</v>
      </c>
      <c r="DI215" s="16">
        <v>-9999</v>
      </c>
      <c r="DJ215" s="16">
        <v>-9999</v>
      </c>
      <c r="DK215" s="16">
        <v>-9999</v>
      </c>
      <c r="DL215" s="16">
        <v>-9999</v>
      </c>
      <c r="DM215" s="16">
        <v>-9999</v>
      </c>
      <c r="DN215" s="16">
        <v>145.68199999999999</v>
      </c>
      <c r="DO215" s="16">
        <v>153.01</v>
      </c>
      <c r="DP215" s="16">
        <v>159.9055372450498</v>
      </c>
      <c r="DQ215" s="16">
        <v>166.50543162897554</v>
      </c>
      <c r="DR215" s="16">
        <v>172.77245612807744</v>
      </c>
      <c r="DS215" s="16">
        <v>-9999</v>
      </c>
      <c r="DT215" s="16">
        <v>-9999</v>
      </c>
      <c r="DU215" s="16">
        <v>-9999</v>
      </c>
      <c r="DV215" s="16">
        <v>-9999</v>
      </c>
      <c r="DW215" s="16">
        <v>-9999</v>
      </c>
      <c r="DX215" s="16">
        <v>-9999</v>
      </c>
      <c r="DY215" s="16">
        <v>-9999</v>
      </c>
      <c r="DZ215" s="16">
        <v>-9999</v>
      </c>
      <c r="EA215" s="2256">
        <v>145.68199999999999</v>
      </c>
      <c r="EB215" s="2256">
        <v>153.01</v>
      </c>
      <c r="EC215" s="2256">
        <v>159.91670808965222</v>
      </c>
      <c r="ED215" s="2256">
        <v>166.53136532795457</v>
      </c>
      <c r="EE215" s="2256">
        <v>172.79813185204455</v>
      </c>
      <c r="EF215" s="2257">
        <v>-9999</v>
      </c>
      <c r="EG215" s="2257">
        <v>-9999</v>
      </c>
      <c r="EH215" s="2257">
        <v>-9999</v>
      </c>
      <c r="EI215" s="2257">
        <v>-9999</v>
      </c>
      <c r="EJ215" s="2257">
        <v>-9999</v>
      </c>
      <c r="EK215" s="2257">
        <v>-9999</v>
      </c>
      <c r="EL215" s="2257">
        <v>-9999</v>
      </c>
      <c r="EM215" s="2257">
        <v>-9999</v>
      </c>
    </row>
    <row r="216" spans="1:143" ht="13.15">
      <c r="A216" s="22">
        <v>116</v>
      </c>
      <c r="B216" s="1" t="s">
        <v>154</v>
      </c>
      <c r="C216" s="24">
        <f ca="1">OFFSET(Sector1!F251,0,Last_forecast_year - 3-InputY!$G$3)</f>
        <v>138.55199999999999</v>
      </c>
      <c r="D216" s="24">
        <f ca="1">OFFSET(Sector1!G251,0,Last_forecast_year - 3-InputY!$G$3)</f>
        <v>145.512</v>
      </c>
      <c r="E216" s="24">
        <f ca="1">OFFSET(Sector1!H251,0,Last_forecast_year - 3-InputY!$G$3)</f>
        <v>152.11129008965221</v>
      </c>
      <c r="F216" s="24">
        <f ca="1">OFFSET(Sector1!I251,0,Last_forecast_year - 3-InputY!$G$3)</f>
        <v>158.43402469475458</v>
      </c>
      <c r="G216" s="24">
        <f ca="1">OFFSET(Sector1!J251,0,Last_forecast_year - 3-InputY!$G$3)</f>
        <v>164.39795067916288</v>
      </c>
      <c r="H216" s="25">
        <v>-9999</v>
      </c>
      <c r="I216" s="25">
        <v>-9999</v>
      </c>
      <c r="J216" s="25">
        <v>-9999</v>
      </c>
      <c r="K216" s="25">
        <v>-9999</v>
      </c>
      <c r="L216" s="25">
        <v>-9999</v>
      </c>
      <c r="M216" s="25">
        <v>-9999</v>
      </c>
      <c r="N216" s="25">
        <v>-9999</v>
      </c>
      <c r="O216" s="25">
        <v>-9999</v>
      </c>
      <c r="P216" s="26"/>
      <c r="Q216"/>
      <c r="AA216" s="22">
        <v>116</v>
      </c>
      <c r="AB216" s="1080" t="str">
        <f t="shared" si="8"/>
        <v>GG ACTUAL SOCIAL CONTRIBUTIONS</v>
      </c>
      <c r="AC216" s="1080">
        <f>CHOOSE(Tables!$U$2,Transfer!CA216,Transfer!CN216,Transfer!DA216,Transfer!DN216,Transfer!EA216)</f>
        <v>132.46899999999999</v>
      </c>
      <c r="AD216" s="1080">
        <f>CHOOSE(Tables!$U$2,Transfer!CB216,Transfer!CO216,Transfer!DB216,Transfer!DO216,Transfer!EB216)</f>
        <v>138.55199999999999</v>
      </c>
      <c r="AE216" s="1080">
        <f>CHOOSE(Tables!$U$2,Transfer!CC216,Transfer!CP216,Transfer!DC216,Transfer!DP216,Transfer!EC216)</f>
        <v>144.94300000000001</v>
      </c>
      <c r="AF216" s="1080">
        <f>CHOOSE(Tables!$U$2,Transfer!CD216,Transfer!CQ216,Transfer!DD216,Transfer!DQ216,Transfer!ED216)</f>
        <v>150.96052458201135</v>
      </c>
      <c r="AG216" s="1080">
        <f>CHOOSE(Tables!$U$2,Transfer!CE216,Transfer!CR216,Transfer!DE216,Transfer!DR216,Transfer!EE216)</f>
        <v>156.67196630654334</v>
      </c>
      <c r="AH216" s="1080">
        <f>CHOOSE(Tables!$U$2,Transfer!CF216,Transfer!CS216,Transfer!DF216,Transfer!DS216,Transfer!EF216)</f>
        <v>-9999</v>
      </c>
      <c r="AI216" s="1080">
        <f>CHOOSE(Tables!$U$2,Transfer!CG216,Transfer!CT216,Transfer!DG216,Transfer!DT216,Transfer!EG216)</f>
        <v>-9999</v>
      </c>
      <c r="AJ216" s="1080">
        <f>CHOOSE(Tables!$U$2,Transfer!CH216,Transfer!CU216,Transfer!DH216,Transfer!DU216,Transfer!EH216)</f>
        <v>-9999</v>
      </c>
      <c r="AK216" s="1080">
        <f>CHOOSE(Tables!$U$2,Transfer!CI216,Transfer!CV216,Transfer!DI216,Transfer!DV216,Transfer!EI216)</f>
        <v>-9999</v>
      </c>
      <c r="AL216" s="1080">
        <f>CHOOSE(Tables!$U$2,Transfer!CJ216,Transfer!CW216,Transfer!DJ216,Transfer!DW216,Transfer!EJ216)</f>
        <v>-9999</v>
      </c>
      <c r="AM216" s="1080">
        <f>CHOOSE(Tables!$U$2,Transfer!CK216,Transfer!CX216,Transfer!DK216,Transfer!DX216,Transfer!EK216)</f>
        <v>-9999</v>
      </c>
      <c r="AN216" s="1080">
        <f>CHOOSE(Tables!$U$2,Transfer!CL216,Transfer!CY216,Transfer!DL216,Transfer!DY216,Transfer!EL216)</f>
        <v>-9999</v>
      </c>
      <c r="AO216" s="1080">
        <f>CHOOSE(Tables!$U$2,Transfer!CM216,Transfer!CZ216,Transfer!DM216,Transfer!DZ216,Transfer!EM216)</f>
        <v>-9999</v>
      </c>
      <c r="AR216" s="22">
        <v>116</v>
      </c>
      <c r="AS216" s="1" t="s">
        <v>154</v>
      </c>
      <c r="AT216" s="24">
        <f t="shared" ca="1" si="21"/>
        <v>6.0829999999999984</v>
      </c>
      <c r="AU216" s="24">
        <f t="shared" ca="1" si="22"/>
        <v>6.960000000000008</v>
      </c>
      <c r="AV216" s="24">
        <f t="shared" ca="1" si="23"/>
        <v>7.1682900896522028</v>
      </c>
      <c r="AW216" s="24">
        <f t="shared" ca="1" si="24"/>
        <v>7.4735001127432383</v>
      </c>
      <c r="AX216" s="24">
        <f t="shared" ca="1" si="25"/>
        <v>7.7259843726195356</v>
      </c>
      <c r="AY216" s="25">
        <f t="shared" si="26"/>
        <v>0</v>
      </c>
      <c r="AZ216" s="25">
        <f t="shared" si="27"/>
        <v>0</v>
      </c>
      <c r="BA216" s="25">
        <f t="shared" si="28"/>
        <v>0</v>
      </c>
      <c r="BB216" s="25">
        <f t="shared" si="29"/>
        <v>0</v>
      </c>
      <c r="BC216" s="25">
        <f t="shared" si="20"/>
        <v>0</v>
      </c>
      <c r="BD216" s="25">
        <f t="shared" si="20"/>
        <v>0</v>
      </c>
      <c r="BE216" s="25">
        <f t="shared" si="20"/>
        <v>0</v>
      </c>
      <c r="BF216" s="25">
        <f t="shared" si="20"/>
        <v>0</v>
      </c>
      <c r="CA216" s="16">
        <v>138.55199999999999</v>
      </c>
      <c r="CB216" s="16">
        <v>145.512</v>
      </c>
      <c r="CC216" s="16">
        <v>152.08445316504469</v>
      </c>
      <c r="CD216" s="16">
        <v>158.40885247337198</v>
      </c>
      <c r="CE216" s="16">
        <v>164.37443715251734</v>
      </c>
      <c r="CF216" s="16">
        <v>-9999</v>
      </c>
      <c r="CG216" s="16">
        <v>-9999</v>
      </c>
      <c r="CH216" s="16">
        <v>-9999</v>
      </c>
      <c r="CI216" s="16">
        <v>-9999</v>
      </c>
      <c r="CJ216" s="16">
        <v>-9999</v>
      </c>
      <c r="CK216" s="16">
        <v>-9999</v>
      </c>
      <c r="CL216" s="16">
        <v>-9999</v>
      </c>
      <c r="CM216" s="16">
        <v>-9999</v>
      </c>
      <c r="CN216" s="16">
        <v>132.46899999999999</v>
      </c>
      <c r="CO216" s="16">
        <v>138.55199999999999</v>
      </c>
      <c r="CP216" s="16">
        <v>144.94300000000001</v>
      </c>
      <c r="CQ216" s="16">
        <v>150.96052458201135</v>
      </c>
      <c r="CR216" s="16">
        <v>156.67196630654334</v>
      </c>
      <c r="CS216" s="16">
        <v>-9999</v>
      </c>
      <c r="CT216" s="16">
        <v>-9999</v>
      </c>
      <c r="CU216" s="16">
        <v>-9999</v>
      </c>
      <c r="CV216" s="16">
        <v>-9999</v>
      </c>
      <c r="CW216" s="16">
        <v>-9999</v>
      </c>
      <c r="CX216" s="16">
        <v>-9999</v>
      </c>
      <c r="CY216" s="16">
        <v>-9999</v>
      </c>
      <c r="CZ216" s="16">
        <v>-9999</v>
      </c>
      <c r="DA216" s="16">
        <v>138.55199999999999</v>
      </c>
      <c r="DB216" s="16">
        <v>145.512</v>
      </c>
      <c r="DC216" s="16">
        <v>152.08445316504469</v>
      </c>
      <c r="DD216" s="16">
        <v>158.40885247337198</v>
      </c>
      <c r="DE216" s="16">
        <v>164.43428431336793</v>
      </c>
      <c r="DF216" s="16">
        <v>-9999</v>
      </c>
      <c r="DG216" s="16">
        <v>-9999</v>
      </c>
      <c r="DH216" s="16">
        <v>-9999</v>
      </c>
      <c r="DI216" s="16">
        <v>-9999</v>
      </c>
      <c r="DJ216" s="16">
        <v>-9999</v>
      </c>
      <c r="DK216" s="16">
        <v>-9999</v>
      </c>
      <c r="DL216" s="16">
        <v>-9999</v>
      </c>
      <c r="DM216" s="16">
        <v>-9999</v>
      </c>
      <c r="DN216" s="16">
        <v>138.55199999999999</v>
      </c>
      <c r="DO216" s="16">
        <v>145.512</v>
      </c>
      <c r="DP216" s="16">
        <v>152.1001192450498</v>
      </c>
      <c r="DQ216" s="16">
        <v>158.40809099577555</v>
      </c>
      <c r="DR216" s="16">
        <v>164.37227495519576</v>
      </c>
      <c r="DS216" s="16">
        <v>-9999</v>
      </c>
      <c r="DT216" s="16">
        <v>-9999</v>
      </c>
      <c r="DU216" s="16">
        <v>-9999</v>
      </c>
      <c r="DV216" s="16">
        <v>-9999</v>
      </c>
      <c r="DW216" s="16">
        <v>-9999</v>
      </c>
      <c r="DX216" s="16">
        <v>-9999</v>
      </c>
      <c r="DY216" s="16">
        <v>-9999</v>
      </c>
      <c r="DZ216" s="16">
        <v>-9999</v>
      </c>
      <c r="EA216" s="2256">
        <v>138.55199999999999</v>
      </c>
      <c r="EB216" s="2256">
        <v>145.512</v>
      </c>
      <c r="EC216" s="2256">
        <v>152.11129008965221</v>
      </c>
      <c r="ED216" s="2256">
        <v>158.43402469475458</v>
      </c>
      <c r="EE216" s="2256">
        <v>164.39795067916288</v>
      </c>
      <c r="EF216" s="2257">
        <v>-9999</v>
      </c>
      <c r="EG216" s="2257">
        <v>-9999</v>
      </c>
      <c r="EH216" s="2257">
        <v>-9999</v>
      </c>
      <c r="EI216" s="2257">
        <v>-9999</v>
      </c>
      <c r="EJ216" s="2257">
        <v>-9999</v>
      </c>
      <c r="EK216" s="2257">
        <v>-9999</v>
      </c>
      <c r="EL216" s="2257">
        <v>-9999</v>
      </c>
      <c r="EM216" s="2257">
        <v>-9999</v>
      </c>
    </row>
    <row r="217" spans="1:143" ht="13.15">
      <c r="A217" s="22">
        <v>117</v>
      </c>
      <c r="B217" s="1" t="s">
        <v>451</v>
      </c>
      <c r="C217" s="24">
        <f ca="1">OFFSET(Sector1!F748,0,Last_forecast_year - 3-InputY!$G$3)</f>
        <v>96.41</v>
      </c>
      <c r="D217" s="24">
        <f ca="1">OFFSET(Sector1!G748,0,Last_forecast_year - 3-InputY!$G$3)</f>
        <v>98.6</v>
      </c>
      <c r="E217" s="24">
        <f ca="1">OFFSET(Sector1!H748,0,Last_forecast_year - 3-InputY!$G$3)</f>
        <v>97.593119999999999</v>
      </c>
      <c r="F217" s="24">
        <f ca="1">OFFSET(Sector1!I748,0,Last_forecast_year - 3-InputY!$G$3)</f>
        <v>96.492900349999985</v>
      </c>
      <c r="G217" s="24">
        <f ca="1">OFFSET(Sector1!J748,0,Last_forecast_year - 3-InputY!$G$3)</f>
        <v>95.424321194249984</v>
      </c>
      <c r="H217" s="25">
        <v>-9999</v>
      </c>
      <c r="I217" s="25">
        <v>-9999</v>
      </c>
      <c r="J217" s="25">
        <v>-9999</v>
      </c>
      <c r="K217" s="25">
        <v>-9999</v>
      </c>
      <c r="L217" s="25">
        <v>-9999</v>
      </c>
      <c r="M217" s="25">
        <v>-9999</v>
      </c>
      <c r="N217" s="25">
        <v>-9999</v>
      </c>
      <c r="O217" s="25">
        <v>-9999</v>
      </c>
      <c r="P217"/>
      <c r="Q217"/>
      <c r="AA217" s="22">
        <v>117</v>
      </c>
      <c r="AB217" s="1080" t="str">
        <f t="shared" si="8"/>
        <v>GG OTHER CURRENT RESOURCES</v>
      </c>
      <c r="AC217" s="1080">
        <f>CHOOSE(Tables!$U$2,Transfer!CA217,Transfer!CN217,Transfer!DA217,Transfer!DN217,Transfer!EA217)</f>
        <v>91.174999999999997</v>
      </c>
      <c r="AD217" s="1080">
        <f>CHOOSE(Tables!$U$2,Transfer!CB217,Transfer!CO217,Transfer!DB217,Transfer!DO217,Transfer!EB217)</f>
        <v>96.926000000000002</v>
      </c>
      <c r="AE217" s="1080">
        <f>CHOOSE(Tables!$U$2,Transfer!CC217,Transfer!CP217,Transfer!DC217,Transfer!DP217,Transfer!EC217)</f>
        <v>98.771000000000015</v>
      </c>
      <c r="AF217" s="1080">
        <f>CHOOSE(Tables!$U$2,Transfer!CD217,Transfer!CQ217,Transfer!DD217,Transfer!DQ217,Transfer!ED217)</f>
        <v>97.783920000000009</v>
      </c>
      <c r="AG217" s="1080">
        <f>CHOOSE(Tables!$U$2,Transfer!CE217,Transfer!CR217,Transfer!DE217,Transfer!DR217,Transfer!EE217)</f>
        <v>96.699427850000006</v>
      </c>
      <c r="AH217" s="1080">
        <f>CHOOSE(Tables!$U$2,Transfer!CF217,Transfer!CS217,Transfer!DF217,Transfer!DS217,Transfer!EF217)</f>
        <v>-9999</v>
      </c>
      <c r="AI217" s="1080">
        <f>CHOOSE(Tables!$U$2,Transfer!CG217,Transfer!CT217,Transfer!DG217,Transfer!DT217,Transfer!EG217)</f>
        <v>-9999</v>
      </c>
      <c r="AJ217" s="1080">
        <f>CHOOSE(Tables!$U$2,Transfer!CH217,Transfer!CU217,Transfer!DH217,Transfer!DU217,Transfer!EH217)</f>
        <v>-9999</v>
      </c>
      <c r="AK217" s="1080">
        <f>CHOOSE(Tables!$U$2,Transfer!CI217,Transfer!CV217,Transfer!DI217,Transfer!DV217,Transfer!EI217)</f>
        <v>-9999</v>
      </c>
      <c r="AL217" s="1080">
        <f>CHOOSE(Tables!$U$2,Transfer!CJ217,Transfer!CW217,Transfer!DJ217,Transfer!DW217,Transfer!EJ217)</f>
        <v>-9999</v>
      </c>
      <c r="AM217" s="1080">
        <f>CHOOSE(Tables!$U$2,Transfer!CK217,Transfer!CX217,Transfer!DK217,Transfer!DX217,Transfer!EK217)</f>
        <v>-9999</v>
      </c>
      <c r="AN217" s="1080">
        <f>CHOOSE(Tables!$U$2,Transfer!CL217,Transfer!CY217,Transfer!DL217,Transfer!DY217,Transfer!EL217)</f>
        <v>-9999</v>
      </c>
      <c r="AO217" s="1080">
        <f>CHOOSE(Tables!$U$2,Transfer!CM217,Transfer!CZ217,Transfer!DM217,Transfer!DZ217,Transfer!EM217)</f>
        <v>-9999</v>
      </c>
      <c r="AR217" s="22">
        <v>117</v>
      </c>
      <c r="AS217" s="1" t="s">
        <v>451</v>
      </c>
      <c r="AT217" s="24">
        <f t="shared" ca="1" si="21"/>
        <v>5.2349999999999994</v>
      </c>
      <c r="AU217" s="24">
        <f t="shared" ca="1" si="22"/>
        <v>1.6739999999999924</v>
      </c>
      <c r="AV217" s="24">
        <f t="shared" ca="1" si="23"/>
        <v>-1.177880000000016</v>
      </c>
      <c r="AW217" s="24">
        <f t="shared" ca="1" si="24"/>
        <v>-1.2910196500000239</v>
      </c>
      <c r="AX217" s="24">
        <f t="shared" ca="1" si="25"/>
        <v>-1.2751066557500224</v>
      </c>
      <c r="AY217" s="25">
        <f t="shared" si="26"/>
        <v>0</v>
      </c>
      <c r="AZ217" s="25">
        <f t="shared" si="27"/>
        <v>0</v>
      </c>
      <c r="BA217" s="25">
        <f t="shared" si="28"/>
        <v>0</v>
      </c>
      <c r="BB217" s="25">
        <f t="shared" si="29"/>
        <v>0</v>
      </c>
      <c r="BC217" s="25">
        <f t="shared" si="20"/>
        <v>0</v>
      </c>
      <c r="BD217" s="25">
        <f t="shared" si="20"/>
        <v>0</v>
      </c>
      <c r="BE217" s="25">
        <f t="shared" si="20"/>
        <v>0</v>
      </c>
      <c r="BF217" s="25">
        <f t="shared" si="20"/>
        <v>0</v>
      </c>
      <c r="CA217" s="16">
        <v>96.41</v>
      </c>
      <c r="CB217" s="16">
        <v>98.6</v>
      </c>
      <c r="CC217" s="16">
        <v>97.593119999999999</v>
      </c>
      <c r="CD217" s="16">
        <v>96.492900349999985</v>
      </c>
      <c r="CE217" s="16">
        <v>95.424321194249984</v>
      </c>
      <c r="CF217" s="16">
        <v>-9999</v>
      </c>
      <c r="CG217" s="16">
        <v>-9999</v>
      </c>
      <c r="CH217" s="16">
        <v>-9999</v>
      </c>
      <c r="CI217" s="16">
        <v>-9999</v>
      </c>
      <c r="CJ217" s="16">
        <v>-9999</v>
      </c>
      <c r="CK217" s="16">
        <v>-9999</v>
      </c>
      <c r="CL217" s="16">
        <v>-9999</v>
      </c>
      <c r="CM217" s="16">
        <v>-9999</v>
      </c>
      <c r="CN217" s="16">
        <v>91.174999999999997</v>
      </c>
      <c r="CO217" s="16">
        <v>96.926000000000002</v>
      </c>
      <c r="CP217" s="16">
        <v>98.771000000000015</v>
      </c>
      <c r="CQ217" s="16">
        <v>97.783920000000009</v>
      </c>
      <c r="CR217" s="16">
        <v>96.699427850000006</v>
      </c>
      <c r="CS217" s="16">
        <v>-9999</v>
      </c>
      <c r="CT217" s="16">
        <v>-9999</v>
      </c>
      <c r="CU217" s="16">
        <v>-9999</v>
      </c>
      <c r="CV217" s="16">
        <v>-9999</v>
      </c>
      <c r="CW217" s="16">
        <v>-9999</v>
      </c>
      <c r="CX217" s="16">
        <v>-9999</v>
      </c>
      <c r="CY217" s="16">
        <v>-9999</v>
      </c>
      <c r="CZ217" s="16">
        <v>-9999</v>
      </c>
      <c r="DA217" s="16">
        <v>96.41</v>
      </c>
      <c r="DB217" s="16">
        <v>98.6</v>
      </c>
      <c r="DC217" s="16">
        <v>97.593119999999999</v>
      </c>
      <c r="DD217" s="16">
        <v>96.492900349999985</v>
      </c>
      <c r="DE217" s="16">
        <v>95.424321194249984</v>
      </c>
      <c r="DF217" s="16">
        <v>-9999</v>
      </c>
      <c r="DG217" s="16">
        <v>-9999</v>
      </c>
      <c r="DH217" s="16">
        <v>-9999</v>
      </c>
      <c r="DI217" s="16">
        <v>-9999</v>
      </c>
      <c r="DJ217" s="16">
        <v>-9999</v>
      </c>
      <c r="DK217" s="16">
        <v>-9999</v>
      </c>
      <c r="DL217" s="16">
        <v>-9999</v>
      </c>
      <c r="DM217" s="16">
        <v>-9999</v>
      </c>
      <c r="DN217" s="16">
        <v>96.41</v>
      </c>
      <c r="DO217" s="16">
        <v>98.6</v>
      </c>
      <c r="DP217" s="16">
        <v>97.593119999999999</v>
      </c>
      <c r="DQ217" s="16">
        <v>96.492900349999985</v>
      </c>
      <c r="DR217" s="16">
        <v>95.424321194249984</v>
      </c>
      <c r="DS217" s="16">
        <v>-9999</v>
      </c>
      <c r="DT217" s="16">
        <v>-9999</v>
      </c>
      <c r="DU217" s="16">
        <v>-9999</v>
      </c>
      <c r="DV217" s="16">
        <v>-9999</v>
      </c>
      <c r="DW217" s="16">
        <v>-9999</v>
      </c>
      <c r="DX217" s="16">
        <v>-9999</v>
      </c>
      <c r="DY217" s="16">
        <v>-9999</v>
      </c>
      <c r="DZ217" s="16">
        <v>-9999</v>
      </c>
      <c r="EA217" s="2256">
        <v>96.41</v>
      </c>
      <c r="EB217" s="2256">
        <v>98.6</v>
      </c>
      <c r="EC217" s="2256">
        <v>97.593119999999999</v>
      </c>
      <c r="ED217" s="2256">
        <v>96.492900349999985</v>
      </c>
      <c r="EE217" s="2256">
        <v>95.424321194249984</v>
      </c>
      <c r="EF217" s="2257">
        <v>-9999</v>
      </c>
      <c r="EG217" s="2257">
        <v>-9999</v>
      </c>
      <c r="EH217" s="2257">
        <v>-9999</v>
      </c>
      <c r="EI217" s="2257">
        <v>-9999</v>
      </c>
      <c r="EJ217" s="2257">
        <v>-9999</v>
      </c>
      <c r="EK217" s="2257">
        <v>-9999</v>
      </c>
      <c r="EL217" s="2257">
        <v>-9999</v>
      </c>
      <c r="EM217" s="2257">
        <v>-9999</v>
      </c>
    </row>
    <row r="218" spans="1:143" ht="13.15">
      <c r="A218" s="22">
        <v>118</v>
      </c>
      <c r="B218" s="1" t="s">
        <v>453</v>
      </c>
      <c r="C218" s="24">
        <f ca="1">OFFSET('VVP2'!F192,0,Last_forecast_year - 3-InputY!$G$3)</f>
        <v>305.90600000000001</v>
      </c>
      <c r="D218" s="24">
        <f ca="1">OFFSET('VVP2'!G192,0,Last_forecast_year - 3-InputY!$G$3)</f>
        <v>314.08800000000002</v>
      </c>
      <c r="E218" s="24">
        <f ca="1">OFFSET('VVP2'!H192,0,Last_forecast_year - 3-InputY!$G$3)</f>
        <v>325.70925599999998</v>
      </c>
      <c r="F218" s="24">
        <f ca="1">OFFSET('VVP2'!I192,0,Last_forecast_year - 3-InputY!$G$3)</f>
        <v>336.13195219199997</v>
      </c>
      <c r="G218" s="24">
        <f ca="1">OFFSET('VVP2'!J192,0,Last_forecast_year - 3-InputY!$G$3)</f>
        <v>345.20751490118397</v>
      </c>
      <c r="H218" s="25">
        <v>-9999</v>
      </c>
      <c r="I218" s="25">
        <v>-9999</v>
      </c>
      <c r="J218" s="25">
        <v>-9999</v>
      </c>
      <c r="K218" s="25">
        <v>-9999</v>
      </c>
      <c r="L218" s="25">
        <v>-9999</v>
      </c>
      <c r="M218" s="25">
        <v>-9999</v>
      </c>
      <c r="N218" s="25">
        <v>-9999</v>
      </c>
      <c r="O218" s="25">
        <v>-9999</v>
      </c>
      <c r="P218"/>
      <c r="Q218"/>
      <c r="AA218" s="22">
        <v>118</v>
      </c>
      <c r="AB218" s="1080" t="str">
        <f t="shared" si="8"/>
        <v>GG COLLECTIVE CONSUMPTION EXPENDITURE</v>
      </c>
      <c r="AC218" s="1080">
        <f>CHOOSE(Tables!$U$2,Transfer!CA218,Transfer!CN218,Transfer!DA218,Transfer!DN218,Transfer!EA218)</f>
        <v>299.822</v>
      </c>
      <c r="AD218" s="1080">
        <f>CHOOSE(Tables!$U$2,Transfer!CB218,Transfer!CO218,Transfer!DB218,Transfer!DO218,Transfer!EB218)</f>
        <v>305.19799999999998</v>
      </c>
      <c r="AE218" s="1080">
        <f>CHOOSE(Tables!$U$2,Transfer!CC218,Transfer!CP218,Transfer!DC218,Transfer!DP218,Transfer!EC218)</f>
        <v>317.339</v>
      </c>
      <c r="AF218" s="1080">
        <f>CHOOSE(Tables!$U$2,Transfer!CD218,Transfer!CQ218,Transfer!DD218,Transfer!DQ218,Transfer!ED218)</f>
        <v>329.08054299999998</v>
      </c>
      <c r="AG218" s="1080">
        <f>CHOOSE(Tables!$U$2,Transfer!CE218,Transfer!CR218,Transfer!DE218,Transfer!DR218,Transfer!EE218)</f>
        <v>339.61112037599997</v>
      </c>
      <c r="AH218" s="1080">
        <f>CHOOSE(Tables!$U$2,Transfer!CF218,Transfer!CS218,Transfer!DF218,Transfer!DS218,Transfer!EF218)</f>
        <v>-9999</v>
      </c>
      <c r="AI218" s="1080">
        <f>CHOOSE(Tables!$U$2,Transfer!CG218,Transfer!CT218,Transfer!DG218,Transfer!DT218,Transfer!EG218)</f>
        <v>-9999</v>
      </c>
      <c r="AJ218" s="1080">
        <f>CHOOSE(Tables!$U$2,Transfer!CH218,Transfer!CU218,Transfer!DH218,Transfer!DU218,Transfer!EH218)</f>
        <v>-9999</v>
      </c>
      <c r="AK218" s="1080">
        <f>CHOOSE(Tables!$U$2,Transfer!CI218,Transfer!CV218,Transfer!DI218,Transfer!DV218,Transfer!EI218)</f>
        <v>-9999</v>
      </c>
      <c r="AL218" s="1080">
        <f>CHOOSE(Tables!$U$2,Transfer!CJ218,Transfer!CW218,Transfer!DJ218,Transfer!DW218,Transfer!EJ218)</f>
        <v>-9999</v>
      </c>
      <c r="AM218" s="1080">
        <f>CHOOSE(Tables!$U$2,Transfer!CK218,Transfer!CX218,Transfer!DK218,Transfer!DX218,Transfer!EK218)</f>
        <v>-9999</v>
      </c>
      <c r="AN218" s="1080">
        <f>CHOOSE(Tables!$U$2,Transfer!CL218,Transfer!CY218,Transfer!DL218,Transfer!DY218,Transfer!EL218)</f>
        <v>-9999</v>
      </c>
      <c r="AO218" s="1080">
        <f>CHOOSE(Tables!$U$2,Transfer!CM218,Transfer!CZ218,Transfer!DM218,Transfer!DZ218,Transfer!EM218)</f>
        <v>-9999</v>
      </c>
      <c r="AR218" s="22">
        <v>118</v>
      </c>
      <c r="AS218" s="1" t="s">
        <v>453</v>
      </c>
      <c r="AT218" s="24">
        <f t="shared" ca="1" si="21"/>
        <v>6.0840000000000032</v>
      </c>
      <c r="AU218" s="24">
        <f t="shared" ca="1" si="22"/>
        <v>8.8900000000000432</v>
      </c>
      <c r="AV218" s="24">
        <f t="shared" ca="1" si="23"/>
        <v>8.3702559999999835</v>
      </c>
      <c r="AW218" s="24">
        <f t="shared" ca="1" si="24"/>
        <v>7.0514091919999942</v>
      </c>
      <c r="AX218" s="24">
        <f t="shared" ca="1" si="25"/>
        <v>5.5963945251839959</v>
      </c>
      <c r="AY218" s="25">
        <f t="shared" si="26"/>
        <v>0</v>
      </c>
      <c r="AZ218" s="25">
        <f t="shared" si="27"/>
        <v>0</v>
      </c>
      <c r="BA218" s="25">
        <f t="shared" si="28"/>
        <v>0</v>
      </c>
      <c r="BB218" s="25">
        <f t="shared" si="29"/>
        <v>0</v>
      </c>
      <c r="BC218" s="25">
        <f t="shared" si="20"/>
        <v>0</v>
      </c>
      <c r="BD218" s="25">
        <f t="shared" si="20"/>
        <v>0</v>
      </c>
      <c r="BE218" s="25">
        <f t="shared" si="20"/>
        <v>0</v>
      </c>
      <c r="BF218" s="25">
        <f t="shared" si="20"/>
        <v>0</v>
      </c>
      <c r="CA218" s="16">
        <v>305.90600000000001</v>
      </c>
      <c r="CB218" s="16">
        <v>314.08800000000002</v>
      </c>
      <c r="CC218" s="16">
        <v>325.70925599999998</v>
      </c>
      <c r="CD218" s="16">
        <v>336.13195219199997</v>
      </c>
      <c r="CE218" s="16">
        <v>345.20751490118397</v>
      </c>
      <c r="CF218" s="16">
        <v>-9999</v>
      </c>
      <c r="CG218" s="16">
        <v>-9999</v>
      </c>
      <c r="CH218" s="16">
        <v>-9999</v>
      </c>
      <c r="CI218" s="16">
        <v>-9999</v>
      </c>
      <c r="CJ218" s="16">
        <v>-9999</v>
      </c>
      <c r="CK218" s="16">
        <v>-9999</v>
      </c>
      <c r="CL218" s="16">
        <v>-9999</v>
      </c>
      <c r="CM218" s="16">
        <v>-9999</v>
      </c>
      <c r="CN218" s="16">
        <v>299.822</v>
      </c>
      <c r="CO218" s="16">
        <v>305.19799999999998</v>
      </c>
      <c r="CP218" s="16">
        <v>317.339</v>
      </c>
      <c r="CQ218" s="16">
        <v>329.08054299999998</v>
      </c>
      <c r="CR218" s="16">
        <v>339.61112037599997</v>
      </c>
      <c r="CS218" s="16">
        <v>-9999</v>
      </c>
      <c r="CT218" s="16">
        <v>-9999</v>
      </c>
      <c r="CU218" s="16">
        <v>-9999</v>
      </c>
      <c r="CV218" s="16">
        <v>-9999</v>
      </c>
      <c r="CW218" s="16">
        <v>-9999</v>
      </c>
      <c r="CX218" s="16">
        <v>-9999</v>
      </c>
      <c r="CY218" s="16">
        <v>-9999</v>
      </c>
      <c r="CZ218" s="16">
        <v>-9999</v>
      </c>
      <c r="DA218" s="16">
        <v>305.90600000000001</v>
      </c>
      <c r="DB218" s="16">
        <v>314.08800000000002</v>
      </c>
      <c r="DC218" s="16">
        <v>325.70925599999998</v>
      </c>
      <c r="DD218" s="16">
        <v>336.13195219199997</v>
      </c>
      <c r="DE218" s="16">
        <v>345.20751490118397</v>
      </c>
      <c r="DF218" s="16">
        <v>-9999</v>
      </c>
      <c r="DG218" s="16">
        <v>-9999</v>
      </c>
      <c r="DH218" s="16">
        <v>-9999</v>
      </c>
      <c r="DI218" s="16">
        <v>-9999</v>
      </c>
      <c r="DJ218" s="16">
        <v>-9999</v>
      </c>
      <c r="DK218" s="16">
        <v>-9999</v>
      </c>
      <c r="DL218" s="16">
        <v>-9999</v>
      </c>
      <c r="DM218" s="16">
        <v>-9999</v>
      </c>
      <c r="DN218" s="16">
        <v>305.90600000000001</v>
      </c>
      <c r="DO218" s="16">
        <v>314.08800000000002</v>
      </c>
      <c r="DP218" s="16">
        <v>325.70925599999998</v>
      </c>
      <c r="DQ218" s="16">
        <v>336.13195219199997</v>
      </c>
      <c r="DR218" s="16">
        <v>345.20751490118397</v>
      </c>
      <c r="DS218" s="16">
        <v>-9999</v>
      </c>
      <c r="DT218" s="16">
        <v>-9999</v>
      </c>
      <c r="DU218" s="16">
        <v>-9999</v>
      </c>
      <c r="DV218" s="16">
        <v>-9999</v>
      </c>
      <c r="DW218" s="16">
        <v>-9999</v>
      </c>
      <c r="DX218" s="16">
        <v>-9999</v>
      </c>
      <c r="DY218" s="16">
        <v>-9999</v>
      </c>
      <c r="DZ218" s="16">
        <v>-9999</v>
      </c>
      <c r="EA218" s="2256">
        <v>305.90600000000001</v>
      </c>
      <c r="EB218" s="2256">
        <v>314.08800000000002</v>
      </c>
      <c r="EC218" s="2256">
        <v>325.70925599999998</v>
      </c>
      <c r="ED218" s="2256">
        <v>336.13195219199997</v>
      </c>
      <c r="EE218" s="2256">
        <v>345.20751490118397</v>
      </c>
      <c r="EF218" s="2257">
        <v>-9999</v>
      </c>
      <c r="EG218" s="2257">
        <v>-9999</v>
      </c>
      <c r="EH218" s="2257">
        <v>-9999</v>
      </c>
      <c r="EI218" s="2257">
        <v>-9999</v>
      </c>
      <c r="EJ218" s="2257">
        <v>-9999</v>
      </c>
      <c r="EK218" s="2257">
        <v>-9999</v>
      </c>
      <c r="EL218" s="2257">
        <v>-9999</v>
      </c>
      <c r="EM218" s="2257">
        <v>-9999</v>
      </c>
    </row>
    <row r="219" spans="1:143" ht="13.15">
      <c r="A219" s="22">
        <v>119</v>
      </c>
      <c r="B219" s="1" t="s">
        <v>454</v>
      </c>
      <c r="C219" s="24">
        <f ca="1">OFFSET('VVP2'!F191,0,Last_forecast_year - 3-InputY!$G$3)</f>
        <v>847.62199999999996</v>
      </c>
      <c r="D219" s="24">
        <f ca="1">OFFSET('VVP2'!G191,0,Last_forecast_year - 3-InputY!$G$3)</f>
        <v>881.56100000000004</v>
      </c>
      <c r="E219" s="24">
        <f ca="1">OFFSET('VVP2'!H191,0,Last_forecast_year - 3-InputY!$G$3)</f>
        <v>923.69660129960005</v>
      </c>
      <c r="F219" s="24">
        <f ca="1">OFFSET('VVP2'!I191,0,Last_forecast_year - 3-InputY!$G$3)</f>
        <v>959.81677210372459</v>
      </c>
      <c r="G219" s="24">
        <f ca="1">OFFSET('VVP2'!J191,0,Last_forecast_year - 3-InputY!$G$3)</f>
        <v>996.80155976371464</v>
      </c>
      <c r="H219" s="25">
        <v>-9999</v>
      </c>
      <c r="I219" s="25">
        <v>-9999</v>
      </c>
      <c r="J219" s="25">
        <v>-9999</v>
      </c>
      <c r="K219" s="25">
        <v>-9999</v>
      </c>
      <c r="L219" s="25">
        <v>-9999</v>
      </c>
      <c r="M219" s="25">
        <v>-9999</v>
      </c>
      <c r="N219" s="25">
        <v>-9999</v>
      </c>
      <c r="O219" s="25">
        <v>-9999</v>
      </c>
      <c r="P219"/>
      <c r="Q219"/>
      <c r="AA219" s="22">
        <v>119</v>
      </c>
      <c r="AB219" s="1080" t="str">
        <f t="shared" si="8"/>
        <v>GG SOCIAL TRANSFERS IN KIND</v>
      </c>
      <c r="AC219" s="1080">
        <f>CHOOSE(Tables!$U$2,Transfer!CA219,Transfer!CN219,Transfer!DA219,Transfer!DN219,Transfer!EA219)</f>
        <v>786.80799999999999</v>
      </c>
      <c r="AD219" s="1080">
        <f>CHOOSE(Tables!$U$2,Transfer!CB219,Transfer!CO219,Transfer!DB219,Transfer!DO219,Transfer!EB219)</f>
        <v>846.54700000000003</v>
      </c>
      <c r="AE219" s="1080">
        <f>CHOOSE(Tables!$U$2,Transfer!CC219,Transfer!CP219,Transfer!DC219,Transfer!DP219,Transfer!EC219)</f>
        <v>880.85299999999995</v>
      </c>
      <c r="AF219" s="1080">
        <f>CHOOSE(Tables!$U$2,Transfer!CD219,Transfer!CQ219,Transfer!DD219,Transfer!DQ219,Transfer!ED219)</f>
        <v>926.57554712800015</v>
      </c>
      <c r="AG219" s="1080">
        <f>CHOOSE(Tables!$U$2,Transfer!CE219,Transfer!CR219,Transfer!DE219,Transfer!DR219,Transfer!EE219)</f>
        <v>966.98141244169688</v>
      </c>
      <c r="AH219" s="1080">
        <f>CHOOSE(Tables!$U$2,Transfer!CF219,Transfer!CS219,Transfer!DF219,Transfer!DS219,Transfer!EF219)</f>
        <v>-9999</v>
      </c>
      <c r="AI219" s="1080">
        <f>CHOOSE(Tables!$U$2,Transfer!CG219,Transfer!CT219,Transfer!DG219,Transfer!DT219,Transfer!EG219)</f>
        <v>-9999</v>
      </c>
      <c r="AJ219" s="1080">
        <f>CHOOSE(Tables!$U$2,Transfer!CH219,Transfer!CU219,Transfer!DH219,Transfer!DU219,Transfer!EH219)</f>
        <v>-9999</v>
      </c>
      <c r="AK219" s="1080">
        <f>CHOOSE(Tables!$U$2,Transfer!CI219,Transfer!CV219,Transfer!DI219,Transfer!DV219,Transfer!EI219)</f>
        <v>-9999</v>
      </c>
      <c r="AL219" s="1080">
        <f>CHOOSE(Tables!$U$2,Transfer!CJ219,Transfer!CW219,Transfer!DJ219,Transfer!DW219,Transfer!EJ219)</f>
        <v>-9999</v>
      </c>
      <c r="AM219" s="1080">
        <f>CHOOSE(Tables!$U$2,Transfer!CK219,Transfer!CX219,Transfer!DK219,Transfer!DX219,Transfer!EK219)</f>
        <v>-9999</v>
      </c>
      <c r="AN219" s="1080">
        <f>CHOOSE(Tables!$U$2,Transfer!CL219,Transfer!CY219,Transfer!DL219,Transfer!DY219,Transfer!EL219)</f>
        <v>-9999</v>
      </c>
      <c r="AO219" s="1080">
        <f>CHOOSE(Tables!$U$2,Transfer!CM219,Transfer!CZ219,Transfer!DM219,Transfer!DZ219,Transfer!EM219)</f>
        <v>-9999</v>
      </c>
      <c r="AR219" s="22">
        <v>119</v>
      </c>
      <c r="AS219" s="1" t="s">
        <v>454</v>
      </c>
      <c r="AT219" s="24">
        <f t="shared" ca="1" si="21"/>
        <v>60.813999999999965</v>
      </c>
      <c r="AU219" s="24">
        <f t="shared" ca="1" si="22"/>
        <v>35.01400000000001</v>
      </c>
      <c r="AV219" s="24">
        <f t="shared" ca="1" si="23"/>
        <v>42.843601299600095</v>
      </c>
      <c r="AW219" s="24">
        <f t="shared" ca="1" si="24"/>
        <v>33.241224975724435</v>
      </c>
      <c r="AX219" s="24">
        <f t="shared" ca="1" si="25"/>
        <v>29.82014732201776</v>
      </c>
      <c r="AY219" s="25">
        <f t="shared" si="26"/>
        <v>0</v>
      </c>
      <c r="AZ219" s="25">
        <f t="shared" si="27"/>
        <v>0</v>
      </c>
      <c r="BA219" s="25">
        <f t="shared" si="28"/>
        <v>0</v>
      </c>
      <c r="BB219" s="25">
        <f t="shared" si="29"/>
        <v>0</v>
      </c>
      <c r="BC219" s="25">
        <f t="shared" si="20"/>
        <v>0</v>
      </c>
      <c r="BD219" s="25">
        <f t="shared" si="20"/>
        <v>0</v>
      </c>
      <c r="BE219" s="25">
        <f t="shared" si="20"/>
        <v>0</v>
      </c>
      <c r="BF219" s="25">
        <f t="shared" si="20"/>
        <v>0</v>
      </c>
      <c r="CA219" s="16">
        <v>847.62199999999996</v>
      </c>
      <c r="CB219" s="16">
        <v>881.56100000000004</v>
      </c>
      <c r="CC219" s="16">
        <v>923.69660129960005</v>
      </c>
      <c r="CD219" s="16">
        <v>959.81677210372459</v>
      </c>
      <c r="CE219" s="16">
        <v>996.80155976371464</v>
      </c>
      <c r="CF219" s="16">
        <v>-9999</v>
      </c>
      <c r="CG219" s="16">
        <v>-9999</v>
      </c>
      <c r="CH219" s="16">
        <v>-9999</v>
      </c>
      <c r="CI219" s="16">
        <v>-9999</v>
      </c>
      <c r="CJ219" s="16">
        <v>-9999</v>
      </c>
      <c r="CK219" s="16">
        <v>-9999</v>
      </c>
      <c r="CL219" s="16">
        <v>-9999</v>
      </c>
      <c r="CM219" s="16">
        <v>-9999</v>
      </c>
      <c r="CN219" s="16">
        <v>786.80799999999999</v>
      </c>
      <c r="CO219" s="16">
        <v>846.54700000000003</v>
      </c>
      <c r="CP219" s="16">
        <v>880.85299999999995</v>
      </c>
      <c r="CQ219" s="16">
        <v>926.57554712800015</v>
      </c>
      <c r="CR219" s="16">
        <v>966.98141244169688</v>
      </c>
      <c r="CS219" s="16">
        <v>-9999</v>
      </c>
      <c r="CT219" s="16">
        <v>-9999</v>
      </c>
      <c r="CU219" s="16">
        <v>-9999</v>
      </c>
      <c r="CV219" s="16">
        <v>-9999</v>
      </c>
      <c r="CW219" s="16">
        <v>-9999</v>
      </c>
      <c r="CX219" s="16">
        <v>-9999</v>
      </c>
      <c r="CY219" s="16">
        <v>-9999</v>
      </c>
      <c r="CZ219" s="16">
        <v>-9999</v>
      </c>
      <c r="DA219" s="16">
        <v>847.62199999999996</v>
      </c>
      <c r="DB219" s="16">
        <v>881.56100000000004</v>
      </c>
      <c r="DC219" s="16">
        <v>923.69660129960005</v>
      </c>
      <c r="DD219" s="16">
        <v>959.81677210372459</v>
      </c>
      <c r="DE219" s="16">
        <v>996.80155976371464</v>
      </c>
      <c r="DF219" s="16">
        <v>-9999</v>
      </c>
      <c r="DG219" s="16">
        <v>-9999</v>
      </c>
      <c r="DH219" s="16">
        <v>-9999</v>
      </c>
      <c r="DI219" s="16">
        <v>-9999</v>
      </c>
      <c r="DJ219" s="16">
        <v>-9999</v>
      </c>
      <c r="DK219" s="16">
        <v>-9999</v>
      </c>
      <c r="DL219" s="16">
        <v>-9999</v>
      </c>
      <c r="DM219" s="16">
        <v>-9999</v>
      </c>
      <c r="DN219" s="16">
        <v>847.62199999999996</v>
      </c>
      <c r="DO219" s="16">
        <v>881.56100000000004</v>
      </c>
      <c r="DP219" s="16">
        <v>923.69660129960005</v>
      </c>
      <c r="DQ219" s="16">
        <v>959.81677210372459</v>
      </c>
      <c r="DR219" s="16">
        <v>974.56554195737579</v>
      </c>
      <c r="DS219" s="16">
        <v>-9999</v>
      </c>
      <c r="DT219" s="16">
        <v>-9999</v>
      </c>
      <c r="DU219" s="16">
        <v>-9999</v>
      </c>
      <c r="DV219" s="16">
        <v>-9999</v>
      </c>
      <c r="DW219" s="16">
        <v>-9999</v>
      </c>
      <c r="DX219" s="16">
        <v>-9999</v>
      </c>
      <c r="DY219" s="16">
        <v>-9999</v>
      </c>
      <c r="DZ219" s="16">
        <v>-9999</v>
      </c>
      <c r="EA219" s="2256">
        <v>847.62199999999996</v>
      </c>
      <c r="EB219" s="2256">
        <v>881.56100000000004</v>
      </c>
      <c r="EC219" s="2256">
        <v>923.69660129960005</v>
      </c>
      <c r="ED219" s="2256">
        <v>959.81677210372459</v>
      </c>
      <c r="EE219" s="2256">
        <v>996.80155976371464</v>
      </c>
      <c r="EF219" s="2257">
        <v>-9999</v>
      </c>
      <c r="EG219" s="2257">
        <v>-9999</v>
      </c>
      <c r="EH219" s="2257">
        <v>-9999</v>
      </c>
      <c r="EI219" s="2257">
        <v>-9999</v>
      </c>
      <c r="EJ219" s="2257">
        <v>-9999</v>
      </c>
      <c r="EK219" s="2257">
        <v>-9999</v>
      </c>
      <c r="EL219" s="2257">
        <v>-9999</v>
      </c>
      <c r="EM219" s="2257">
        <v>-9999</v>
      </c>
    </row>
    <row r="220" spans="1:143" ht="13.15">
      <c r="A220" s="22">
        <v>120</v>
      </c>
      <c r="B220" s="1" t="s">
        <v>455</v>
      </c>
      <c r="C220" s="24">
        <f ca="1">OFFSET(Labour1!F210,0,Last_forecast_year - 3-InputY!$G$3)</f>
        <v>552.30999999999995</v>
      </c>
      <c r="D220" s="24">
        <f ca="1">OFFSET(Labour1!G210,0,Last_forecast_year - 3-InputY!$G$3)</f>
        <v>580.47299999999996</v>
      </c>
      <c r="E220" s="24">
        <f ca="1">OFFSET(Labour1!H210,0,Last_forecast_year - 3-InputY!$G$3)</f>
        <v>609.1532079189999</v>
      </c>
      <c r="F220" s="24">
        <f ca="1">OFFSET(Labour1!I210,0,Last_forecast_year - 3-InputY!$G$3)</f>
        <v>634.15236677277699</v>
      </c>
      <c r="G220" s="24">
        <f ca="1">OFFSET(Labour1!J210,0,Last_forecast_year - 3-InputY!$G$3)</f>
        <v>658.52821828109757</v>
      </c>
      <c r="H220" s="25">
        <v>-9999</v>
      </c>
      <c r="I220" s="25">
        <v>-9999</v>
      </c>
      <c r="J220" s="25">
        <v>-9999</v>
      </c>
      <c r="K220" s="25">
        <v>-9999</v>
      </c>
      <c r="L220" s="25">
        <v>-9999</v>
      </c>
      <c r="M220" s="25">
        <v>-9999</v>
      </c>
      <c r="N220" s="25">
        <v>-9999</v>
      </c>
      <c r="O220" s="25">
        <v>-9999</v>
      </c>
      <c r="P220"/>
      <c r="Q220"/>
      <c r="AA220" s="22">
        <v>120</v>
      </c>
      <c r="AB220" s="1080" t="str">
        <f t="shared" si="8"/>
        <v>GG COMPENSATION OF EMPLOYEES</v>
      </c>
      <c r="AC220" s="1080">
        <f>CHOOSE(Tables!$U$2,Transfer!CA220,Transfer!CN220,Transfer!DA220,Transfer!DN220,Transfer!EA220)</f>
        <v>522.40599999999995</v>
      </c>
      <c r="AD220" s="1080">
        <f>CHOOSE(Tables!$U$2,Transfer!CB220,Transfer!CO220,Transfer!DB220,Transfer!DO220,Transfer!EB220)</f>
        <v>551.55899999999997</v>
      </c>
      <c r="AE220" s="1080">
        <f>CHOOSE(Tables!$U$2,Transfer!CC220,Transfer!CP220,Transfer!DC220,Transfer!DP220,Transfer!EC220)</f>
        <v>579.57799999999997</v>
      </c>
      <c r="AF220" s="1080">
        <f>CHOOSE(Tables!$U$2,Transfer!CD220,Transfer!CQ220,Transfer!DD220,Transfer!DQ220,Transfer!ED220)</f>
        <v>609.00668187799999</v>
      </c>
      <c r="AG220" s="1080">
        <f>CHOOSE(Tables!$U$2,Transfer!CE220,Transfer!CR220,Transfer!DE220,Transfer!DR220,Transfer!EE220)</f>
        <v>636.73878190398068</v>
      </c>
      <c r="AH220" s="1080">
        <f>CHOOSE(Tables!$U$2,Transfer!CF220,Transfer!CS220,Transfer!DF220,Transfer!DS220,Transfer!EF220)</f>
        <v>-9999</v>
      </c>
      <c r="AI220" s="1080">
        <f>CHOOSE(Tables!$U$2,Transfer!CG220,Transfer!CT220,Transfer!DG220,Transfer!DT220,Transfer!EG220)</f>
        <v>-9999</v>
      </c>
      <c r="AJ220" s="1080">
        <f>CHOOSE(Tables!$U$2,Transfer!CH220,Transfer!CU220,Transfer!DH220,Transfer!DU220,Transfer!EH220)</f>
        <v>-9999</v>
      </c>
      <c r="AK220" s="1080">
        <f>CHOOSE(Tables!$U$2,Transfer!CI220,Transfer!CV220,Transfer!DI220,Transfer!DV220,Transfer!EI220)</f>
        <v>-9999</v>
      </c>
      <c r="AL220" s="1080">
        <f>CHOOSE(Tables!$U$2,Transfer!CJ220,Transfer!CW220,Transfer!DJ220,Transfer!DW220,Transfer!EJ220)</f>
        <v>-9999</v>
      </c>
      <c r="AM220" s="1080">
        <f>CHOOSE(Tables!$U$2,Transfer!CK220,Transfer!CX220,Transfer!DK220,Transfer!DX220,Transfer!EK220)</f>
        <v>-9999</v>
      </c>
      <c r="AN220" s="1080">
        <f>CHOOSE(Tables!$U$2,Transfer!CL220,Transfer!CY220,Transfer!DL220,Transfer!DY220,Transfer!EL220)</f>
        <v>-9999</v>
      </c>
      <c r="AO220" s="1080">
        <f>CHOOSE(Tables!$U$2,Transfer!CM220,Transfer!CZ220,Transfer!DM220,Transfer!DZ220,Transfer!EM220)</f>
        <v>-9999</v>
      </c>
      <c r="AR220" s="22">
        <v>120</v>
      </c>
      <c r="AS220" s="1" t="s">
        <v>455</v>
      </c>
      <c r="AT220" s="24">
        <f t="shared" ca="1" si="21"/>
        <v>29.903999999999996</v>
      </c>
      <c r="AU220" s="24">
        <f t="shared" ca="1" si="22"/>
        <v>28.913999999999987</v>
      </c>
      <c r="AV220" s="24">
        <f t="shared" ca="1" si="23"/>
        <v>29.575207918999922</v>
      </c>
      <c r="AW220" s="24">
        <f t="shared" ca="1" si="24"/>
        <v>25.145684894776991</v>
      </c>
      <c r="AX220" s="24">
        <f t="shared" ca="1" si="25"/>
        <v>21.789436377116886</v>
      </c>
      <c r="AY220" s="25">
        <f t="shared" si="26"/>
        <v>0</v>
      </c>
      <c r="AZ220" s="25">
        <f t="shared" si="27"/>
        <v>0</v>
      </c>
      <c r="BA220" s="25">
        <f t="shared" si="28"/>
        <v>0</v>
      </c>
      <c r="BB220" s="25">
        <f t="shared" si="29"/>
        <v>0</v>
      </c>
      <c r="BC220" s="25">
        <f t="shared" si="20"/>
        <v>0</v>
      </c>
      <c r="BD220" s="25">
        <f t="shared" si="20"/>
        <v>0</v>
      </c>
      <c r="BE220" s="25">
        <f t="shared" si="20"/>
        <v>0</v>
      </c>
      <c r="BF220" s="25">
        <f t="shared" si="20"/>
        <v>0</v>
      </c>
      <c r="CA220" s="16">
        <v>552.30999999999995</v>
      </c>
      <c r="CB220" s="16">
        <v>580.47299999999996</v>
      </c>
      <c r="CC220" s="16">
        <v>610.34879812099996</v>
      </c>
      <c r="CD220" s="16">
        <v>635.39702303729655</v>
      </c>
      <c r="CE220" s="16">
        <v>659.82071723748834</v>
      </c>
      <c r="CF220" s="16">
        <v>-9999</v>
      </c>
      <c r="CG220" s="16">
        <v>-9999</v>
      </c>
      <c r="CH220" s="16">
        <v>-9999</v>
      </c>
      <c r="CI220" s="16">
        <v>-9999</v>
      </c>
      <c r="CJ220" s="16">
        <v>-9999</v>
      </c>
      <c r="CK220" s="16">
        <v>-9999</v>
      </c>
      <c r="CL220" s="16">
        <v>-9999</v>
      </c>
      <c r="CM220" s="16">
        <v>-9999</v>
      </c>
      <c r="CN220" s="16">
        <v>522.40599999999995</v>
      </c>
      <c r="CO220" s="16">
        <v>551.55899999999997</v>
      </c>
      <c r="CP220" s="16">
        <v>579.57799999999997</v>
      </c>
      <c r="CQ220" s="16">
        <v>609.00668187799999</v>
      </c>
      <c r="CR220" s="16">
        <v>636.73878190398068</v>
      </c>
      <c r="CS220" s="16">
        <v>-9999</v>
      </c>
      <c r="CT220" s="16">
        <v>-9999</v>
      </c>
      <c r="CU220" s="16">
        <v>-9999</v>
      </c>
      <c r="CV220" s="16">
        <v>-9999</v>
      </c>
      <c r="CW220" s="16">
        <v>-9999</v>
      </c>
      <c r="CX220" s="16">
        <v>-9999</v>
      </c>
      <c r="CY220" s="16">
        <v>-9999</v>
      </c>
      <c r="CZ220" s="16">
        <v>-9999</v>
      </c>
      <c r="DA220" s="16">
        <v>552.30999999999995</v>
      </c>
      <c r="DB220" s="16">
        <v>580.47299999999996</v>
      </c>
      <c r="DC220" s="16">
        <v>610.34879812099996</v>
      </c>
      <c r="DD220" s="16">
        <v>635.39702303729655</v>
      </c>
      <c r="DE220" s="16">
        <v>657.14250226800641</v>
      </c>
      <c r="DF220" s="16">
        <v>-9999</v>
      </c>
      <c r="DG220" s="16">
        <v>-9999</v>
      </c>
      <c r="DH220" s="16">
        <v>-9999</v>
      </c>
      <c r="DI220" s="16">
        <v>-9999</v>
      </c>
      <c r="DJ220" s="16">
        <v>-9999</v>
      </c>
      <c r="DK220" s="16">
        <v>-9999</v>
      </c>
      <c r="DL220" s="16">
        <v>-9999</v>
      </c>
      <c r="DM220" s="16">
        <v>-9999</v>
      </c>
      <c r="DN220" s="16">
        <v>552.30999999999995</v>
      </c>
      <c r="DO220" s="16">
        <v>580.47299999999996</v>
      </c>
      <c r="DP220" s="16">
        <v>609.65087121499994</v>
      </c>
      <c r="DQ220" s="16">
        <v>635.36231712035215</v>
      </c>
      <c r="DR220" s="16">
        <v>659.85049169679246</v>
      </c>
      <c r="DS220" s="16">
        <v>-9999</v>
      </c>
      <c r="DT220" s="16">
        <v>-9999</v>
      </c>
      <c r="DU220" s="16">
        <v>-9999</v>
      </c>
      <c r="DV220" s="16">
        <v>-9999</v>
      </c>
      <c r="DW220" s="16">
        <v>-9999</v>
      </c>
      <c r="DX220" s="16">
        <v>-9999</v>
      </c>
      <c r="DY220" s="16">
        <v>-9999</v>
      </c>
      <c r="DZ220" s="16">
        <v>-9999</v>
      </c>
      <c r="EA220" s="2256">
        <v>552.30999999999995</v>
      </c>
      <c r="EB220" s="2256">
        <v>580.47299999999996</v>
      </c>
      <c r="EC220" s="2256">
        <v>609.1532079189999</v>
      </c>
      <c r="ED220" s="2256">
        <v>634.15236677277699</v>
      </c>
      <c r="EE220" s="2256">
        <v>658.52821828109757</v>
      </c>
      <c r="EF220" s="2257">
        <v>-9999</v>
      </c>
      <c r="EG220" s="2257">
        <v>-9999</v>
      </c>
      <c r="EH220" s="2257">
        <v>-9999</v>
      </c>
      <c r="EI220" s="2257">
        <v>-9999</v>
      </c>
      <c r="EJ220" s="2257">
        <v>-9999</v>
      </c>
      <c r="EK220" s="2257">
        <v>-9999</v>
      </c>
      <c r="EL220" s="2257">
        <v>-9999</v>
      </c>
      <c r="EM220" s="2257">
        <v>-9999</v>
      </c>
    </row>
    <row r="221" spans="1:143" ht="13.15">
      <c r="A221" s="22">
        <v>121</v>
      </c>
      <c r="B221" s="1" t="s">
        <v>1151</v>
      </c>
      <c r="C221" s="24">
        <f ca="1">OFFSET(Sector1!F298,0,Last_forecast_year - 3-InputY!$G$3)</f>
        <v>577.98</v>
      </c>
      <c r="D221" s="24">
        <f ca="1">OFFSET(Sector1!G298,0,Last_forecast_year - 3-InputY!$G$3)</f>
        <v>591.447</v>
      </c>
      <c r="E221" s="24">
        <f ca="1">OFFSET(Sector1!H298,0,Last_forecast_year - 3-InputY!$G$3)</f>
        <v>612.44336850000002</v>
      </c>
      <c r="F221" s="24">
        <f ca="1">OFFSET(Sector1!I298,0,Last_forecast_year - 3-InputY!$G$3)</f>
        <v>621.6300190275</v>
      </c>
      <c r="G221" s="24">
        <f ca="1">OFFSET(Sector1!J298,0,Last_forecast_year - 3-InputY!$G$3)</f>
        <v>634.06261940804995</v>
      </c>
      <c r="H221" s="25">
        <v>-9999</v>
      </c>
      <c r="I221" s="25">
        <v>-9999</v>
      </c>
      <c r="J221" s="25">
        <v>-9999</v>
      </c>
      <c r="K221" s="25">
        <v>-9999</v>
      </c>
      <c r="L221" s="25">
        <v>-9999</v>
      </c>
      <c r="M221" s="25">
        <v>-9999</v>
      </c>
      <c r="N221" s="25">
        <v>-9999</v>
      </c>
      <c r="O221" s="25">
        <v>-9999</v>
      </c>
      <c r="P221"/>
      <c r="Q221"/>
      <c r="AA221" s="22">
        <v>121</v>
      </c>
      <c r="AB221" s="1080" t="str">
        <f t="shared" si="8"/>
        <v>GG SOCIAL TRANSFERS OTHER THAN IN KIND</v>
      </c>
      <c r="AC221" s="1080">
        <f>CHOOSE(Tables!$U$2,Transfer!CA221,Transfer!CN221,Transfer!DA221,Transfer!DN221,Transfer!EA221)</f>
        <v>561.06600000000003</v>
      </c>
      <c r="AD221" s="1080">
        <f>CHOOSE(Tables!$U$2,Transfer!CB221,Transfer!CO221,Transfer!DB221,Transfer!DO221,Transfer!EB221)</f>
        <v>577.93399999999997</v>
      </c>
      <c r="AE221" s="1080">
        <f>CHOOSE(Tables!$U$2,Transfer!CC221,Transfer!CP221,Transfer!DC221,Transfer!DP221,Transfer!EC221)</f>
        <v>591.81700000000001</v>
      </c>
      <c r="AF221" s="1080">
        <f>CHOOSE(Tables!$U$2,Transfer!CD221,Transfer!CQ221,Transfer!DD221,Transfer!DQ221,Transfer!ED221)</f>
        <v>617.265131</v>
      </c>
      <c r="AG221" s="1080">
        <f>CHOOSE(Tables!$U$2,Transfer!CE221,Transfer!CR221,Transfer!DE221,Transfer!DR221,Transfer!EE221)</f>
        <v>635.78308492999997</v>
      </c>
      <c r="AH221" s="1080">
        <f>CHOOSE(Tables!$U$2,Transfer!CF221,Transfer!CS221,Transfer!DF221,Transfer!DS221,Transfer!EF221)</f>
        <v>-9999</v>
      </c>
      <c r="AI221" s="1080">
        <f>CHOOSE(Tables!$U$2,Transfer!CG221,Transfer!CT221,Transfer!DG221,Transfer!DT221,Transfer!EG221)</f>
        <v>-9999</v>
      </c>
      <c r="AJ221" s="1080">
        <f>CHOOSE(Tables!$U$2,Transfer!CH221,Transfer!CU221,Transfer!DH221,Transfer!DU221,Transfer!EH221)</f>
        <v>-9999</v>
      </c>
      <c r="AK221" s="1080">
        <f>CHOOSE(Tables!$U$2,Transfer!CI221,Transfer!CV221,Transfer!DI221,Transfer!DV221,Transfer!EI221)</f>
        <v>-9999</v>
      </c>
      <c r="AL221" s="1080">
        <f>CHOOSE(Tables!$U$2,Transfer!CJ221,Transfer!CW221,Transfer!DJ221,Transfer!DW221,Transfer!EJ221)</f>
        <v>-9999</v>
      </c>
      <c r="AM221" s="1080">
        <f>CHOOSE(Tables!$U$2,Transfer!CK221,Transfer!CX221,Transfer!DK221,Transfer!DX221,Transfer!EK221)</f>
        <v>-9999</v>
      </c>
      <c r="AN221" s="1080">
        <f>CHOOSE(Tables!$U$2,Transfer!CL221,Transfer!CY221,Transfer!DL221,Transfer!DY221,Transfer!EL221)</f>
        <v>-9999</v>
      </c>
      <c r="AO221" s="1080">
        <f>CHOOSE(Tables!$U$2,Transfer!CM221,Transfer!CZ221,Transfer!DM221,Transfer!DZ221,Transfer!EM221)</f>
        <v>-9999</v>
      </c>
      <c r="AR221" s="22">
        <v>121</v>
      </c>
      <c r="AS221" s="1" t="s">
        <v>1151</v>
      </c>
      <c r="AT221" s="24">
        <f t="shared" ca="1" si="21"/>
        <v>16.913999999999987</v>
      </c>
      <c r="AU221" s="24">
        <f t="shared" ca="1" si="22"/>
        <v>13.513000000000034</v>
      </c>
      <c r="AV221" s="24">
        <f t="shared" ca="1" si="23"/>
        <v>20.626368500000012</v>
      </c>
      <c r="AW221" s="24">
        <f t="shared" ca="1" si="24"/>
        <v>4.364888027500001</v>
      </c>
      <c r="AX221" s="24">
        <f t="shared" ca="1" si="25"/>
        <v>-1.7204655219500182</v>
      </c>
      <c r="AY221" s="25">
        <f t="shared" si="26"/>
        <v>0</v>
      </c>
      <c r="AZ221" s="25">
        <f t="shared" si="27"/>
        <v>0</v>
      </c>
      <c r="BA221" s="25">
        <f t="shared" si="28"/>
        <v>0</v>
      </c>
      <c r="BB221" s="25">
        <f t="shared" si="29"/>
        <v>0</v>
      </c>
      <c r="BC221" s="25">
        <f t="shared" si="20"/>
        <v>0</v>
      </c>
      <c r="BD221" s="25">
        <f t="shared" si="20"/>
        <v>0</v>
      </c>
      <c r="BE221" s="25">
        <f t="shared" si="20"/>
        <v>0</v>
      </c>
      <c r="BF221" s="25">
        <f t="shared" si="20"/>
        <v>0</v>
      </c>
      <c r="CA221" s="16">
        <v>577.98</v>
      </c>
      <c r="CB221" s="16">
        <v>591.447</v>
      </c>
      <c r="CC221" s="16">
        <v>612.44336850000002</v>
      </c>
      <c r="CD221" s="16">
        <v>621.6300190275</v>
      </c>
      <c r="CE221" s="16">
        <v>634.06261940804995</v>
      </c>
      <c r="CF221" s="16">
        <v>-9999</v>
      </c>
      <c r="CG221" s="16">
        <v>-9999</v>
      </c>
      <c r="CH221" s="16">
        <v>-9999</v>
      </c>
      <c r="CI221" s="16">
        <v>-9999</v>
      </c>
      <c r="CJ221" s="16">
        <v>-9999</v>
      </c>
      <c r="CK221" s="16">
        <v>-9999</v>
      </c>
      <c r="CL221" s="16">
        <v>-9999</v>
      </c>
      <c r="CM221" s="16">
        <v>-9999</v>
      </c>
      <c r="CN221" s="16">
        <v>561.06600000000003</v>
      </c>
      <c r="CO221" s="16">
        <v>577.93399999999997</v>
      </c>
      <c r="CP221" s="16">
        <v>591.81700000000001</v>
      </c>
      <c r="CQ221" s="16">
        <v>617.265131</v>
      </c>
      <c r="CR221" s="16">
        <v>635.78308492999997</v>
      </c>
      <c r="CS221" s="16">
        <v>-9999</v>
      </c>
      <c r="CT221" s="16">
        <v>-9999</v>
      </c>
      <c r="CU221" s="16">
        <v>-9999</v>
      </c>
      <c r="CV221" s="16">
        <v>-9999</v>
      </c>
      <c r="CW221" s="16">
        <v>-9999</v>
      </c>
      <c r="CX221" s="16">
        <v>-9999</v>
      </c>
      <c r="CY221" s="16">
        <v>-9999</v>
      </c>
      <c r="CZ221" s="16">
        <v>-9999</v>
      </c>
      <c r="DA221" s="16">
        <v>577.98</v>
      </c>
      <c r="DB221" s="16">
        <v>591.447</v>
      </c>
      <c r="DC221" s="16">
        <v>614.51343299999996</v>
      </c>
      <c r="DD221" s="16">
        <v>632.94883599000002</v>
      </c>
      <c r="DE221" s="16">
        <v>651.93730106970008</v>
      </c>
      <c r="DF221" s="16">
        <v>-9999</v>
      </c>
      <c r="DG221" s="16">
        <v>-9999</v>
      </c>
      <c r="DH221" s="16">
        <v>-9999</v>
      </c>
      <c r="DI221" s="16">
        <v>-9999</v>
      </c>
      <c r="DJ221" s="16">
        <v>-9999</v>
      </c>
      <c r="DK221" s="16">
        <v>-9999</v>
      </c>
      <c r="DL221" s="16">
        <v>-9999</v>
      </c>
      <c r="DM221" s="16">
        <v>-9999</v>
      </c>
      <c r="DN221" s="16">
        <v>577.98</v>
      </c>
      <c r="DO221" s="16">
        <v>591.447</v>
      </c>
      <c r="DP221" s="16">
        <v>616.87922099999992</v>
      </c>
      <c r="DQ221" s="16">
        <v>635.38559762999989</v>
      </c>
      <c r="DR221" s="16">
        <v>660.80102153519988</v>
      </c>
      <c r="DS221" s="16">
        <v>-9999</v>
      </c>
      <c r="DT221" s="16">
        <v>-9999</v>
      </c>
      <c r="DU221" s="16">
        <v>-9999</v>
      </c>
      <c r="DV221" s="16">
        <v>-9999</v>
      </c>
      <c r="DW221" s="16">
        <v>-9999</v>
      </c>
      <c r="DX221" s="16">
        <v>-9999</v>
      </c>
      <c r="DY221" s="16">
        <v>-9999</v>
      </c>
      <c r="DZ221" s="16">
        <v>-9999</v>
      </c>
      <c r="EA221" s="2256">
        <v>577.98</v>
      </c>
      <c r="EB221" s="2256">
        <v>591.447</v>
      </c>
      <c r="EC221" s="2256">
        <v>612.44336850000002</v>
      </c>
      <c r="ED221" s="2256">
        <v>621.6300190275</v>
      </c>
      <c r="EE221" s="2256">
        <v>634.06261940804995</v>
      </c>
      <c r="EF221" s="2257">
        <v>-9999</v>
      </c>
      <c r="EG221" s="2257">
        <v>-9999</v>
      </c>
      <c r="EH221" s="2257">
        <v>-9999</v>
      </c>
      <c r="EI221" s="2257">
        <v>-9999</v>
      </c>
      <c r="EJ221" s="2257">
        <v>-9999</v>
      </c>
      <c r="EK221" s="2257">
        <v>-9999</v>
      </c>
      <c r="EL221" s="2257">
        <v>-9999</v>
      </c>
      <c r="EM221" s="2257">
        <v>-9999</v>
      </c>
    </row>
    <row r="222" spans="1:143" ht="13.15">
      <c r="A222" s="22">
        <v>122</v>
      </c>
      <c r="B222" s="1" t="s">
        <v>1153</v>
      </c>
      <c r="C222" s="24">
        <f ca="1">OFFSET(Sector1!F139,0,Last_forecast_year - 3-InputY!$G$3)</f>
        <v>18.178000000000001</v>
      </c>
      <c r="D222" s="24">
        <f ca="1">OFFSET(Sector1!G139,0,Last_forecast_year - 3-InputY!$G$3)</f>
        <v>16.094000000000001</v>
      </c>
      <c r="E222" s="24">
        <f ca="1">OFFSET(Sector1!H139,0,Last_forecast_year - 3-InputY!$G$3)</f>
        <v>14.162720000000002</v>
      </c>
      <c r="F222" s="24">
        <f ca="1">OFFSET(Sector1!I139,0,Last_forecast_year - 3-InputY!$G$3)</f>
        <v>12.463193600000002</v>
      </c>
      <c r="G222" s="24">
        <f ca="1">OFFSET(Sector1!J139,0,Last_forecast_year - 3-InputY!$G$3)</f>
        <v>16.825311360000004</v>
      </c>
      <c r="H222" s="25">
        <v>-9999</v>
      </c>
      <c r="I222" s="25">
        <v>-9999</v>
      </c>
      <c r="J222" s="25">
        <v>-9999</v>
      </c>
      <c r="K222" s="25">
        <v>-9999</v>
      </c>
      <c r="L222" s="25">
        <v>-9999</v>
      </c>
      <c r="M222" s="25">
        <v>-9999</v>
      </c>
      <c r="N222" s="25">
        <v>-9999</v>
      </c>
      <c r="O222" s="25">
        <v>-9999</v>
      </c>
      <c r="P222"/>
      <c r="Q222"/>
      <c r="AA222" s="22">
        <v>122</v>
      </c>
      <c r="AB222" s="1080" t="str">
        <f t="shared" si="8"/>
        <v>GG INTEREST excl SWAPS</v>
      </c>
      <c r="AC222" s="1080">
        <f>CHOOSE(Tables!$U$2,Transfer!CA222,Transfer!CN222,Transfer!DA222,Transfer!DN222,Transfer!EA222)</f>
        <v>18.783000000000001</v>
      </c>
      <c r="AD222" s="1080">
        <f>CHOOSE(Tables!$U$2,Transfer!CB222,Transfer!CO222,Transfer!DB222,Transfer!DO222,Transfer!EB222)</f>
        <v>18.189</v>
      </c>
      <c r="AE222" s="1080">
        <f>CHOOSE(Tables!$U$2,Transfer!CC222,Transfer!CP222,Transfer!DC222,Transfer!DP222,Transfer!EC222)</f>
        <v>16.166</v>
      </c>
      <c r="AF222" s="1080">
        <f>CHOOSE(Tables!$U$2,Transfer!CD222,Transfer!CQ222,Transfer!DD222,Transfer!DQ222,Transfer!ED222)</f>
        <v>14.22608</v>
      </c>
      <c r="AG222" s="1080">
        <f>CHOOSE(Tables!$U$2,Transfer!CE222,Transfer!CR222,Transfer!DE222,Transfer!DR222,Transfer!EE222)</f>
        <v>12.5189504</v>
      </c>
      <c r="AH222" s="1080">
        <f>CHOOSE(Tables!$U$2,Transfer!CF222,Transfer!CS222,Transfer!DF222,Transfer!DS222,Transfer!EF222)</f>
        <v>-9999</v>
      </c>
      <c r="AI222" s="1080">
        <f>CHOOSE(Tables!$U$2,Transfer!CG222,Transfer!CT222,Transfer!DG222,Transfer!DT222,Transfer!EG222)</f>
        <v>-9999</v>
      </c>
      <c r="AJ222" s="1080">
        <f>CHOOSE(Tables!$U$2,Transfer!CH222,Transfer!CU222,Transfer!DH222,Transfer!DU222,Transfer!EH222)</f>
        <v>-9999</v>
      </c>
      <c r="AK222" s="1080">
        <f>CHOOSE(Tables!$U$2,Transfer!CI222,Transfer!CV222,Transfer!DI222,Transfer!DV222,Transfer!EI222)</f>
        <v>-9999</v>
      </c>
      <c r="AL222" s="1080">
        <f>CHOOSE(Tables!$U$2,Transfer!CJ222,Transfer!CW222,Transfer!DJ222,Transfer!DW222,Transfer!EJ222)</f>
        <v>-9999</v>
      </c>
      <c r="AM222" s="1080">
        <f>CHOOSE(Tables!$U$2,Transfer!CK222,Transfer!CX222,Transfer!DK222,Transfer!DX222,Transfer!EK222)</f>
        <v>-9999</v>
      </c>
      <c r="AN222" s="1080">
        <f>CHOOSE(Tables!$U$2,Transfer!CL222,Transfer!CY222,Transfer!DL222,Transfer!DY222,Transfer!EL222)</f>
        <v>-9999</v>
      </c>
      <c r="AO222" s="1080">
        <f>CHOOSE(Tables!$U$2,Transfer!CM222,Transfer!CZ222,Transfer!DM222,Transfer!DZ222,Transfer!EM222)</f>
        <v>-9999</v>
      </c>
      <c r="AR222" s="22">
        <v>122</v>
      </c>
      <c r="AS222" s="1" t="s">
        <v>1153</v>
      </c>
      <c r="AT222" s="24">
        <f t="shared" ca="1" si="21"/>
        <v>-0.60500000000000043</v>
      </c>
      <c r="AU222" s="24">
        <f t="shared" ca="1" si="22"/>
        <v>-2.0949999999999989</v>
      </c>
      <c r="AV222" s="24">
        <f t="shared" ca="1" si="23"/>
        <v>-2.0032799999999984</v>
      </c>
      <c r="AW222" s="24">
        <f t="shared" ca="1" si="24"/>
        <v>-1.7628863999999975</v>
      </c>
      <c r="AX222" s="24">
        <f t="shared" ca="1" si="25"/>
        <v>4.3063609600000046</v>
      </c>
      <c r="AY222" s="25">
        <f t="shared" si="26"/>
        <v>0</v>
      </c>
      <c r="AZ222" s="25">
        <f t="shared" si="27"/>
        <v>0</v>
      </c>
      <c r="BA222" s="25">
        <f t="shared" si="28"/>
        <v>0</v>
      </c>
      <c r="BB222" s="25">
        <f t="shared" si="29"/>
        <v>0</v>
      </c>
      <c r="BC222" s="25">
        <f t="shared" si="20"/>
        <v>0</v>
      </c>
      <c r="BD222" s="25">
        <f t="shared" si="20"/>
        <v>0</v>
      </c>
      <c r="BE222" s="25">
        <f t="shared" si="20"/>
        <v>0</v>
      </c>
      <c r="BF222" s="25">
        <f t="shared" si="20"/>
        <v>0</v>
      </c>
      <c r="CA222" s="16">
        <v>18.178000000000001</v>
      </c>
      <c r="CB222" s="16">
        <v>16.094000000000001</v>
      </c>
      <c r="CC222" s="16">
        <v>14.162720000000002</v>
      </c>
      <c r="CD222" s="16">
        <v>12.463193600000002</v>
      </c>
      <c r="CE222" s="16">
        <v>16.825311360000004</v>
      </c>
      <c r="CF222" s="16">
        <v>-9999</v>
      </c>
      <c r="CG222" s="16">
        <v>-9999</v>
      </c>
      <c r="CH222" s="16">
        <v>-9999</v>
      </c>
      <c r="CI222" s="16">
        <v>-9999</v>
      </c>
      <c r="CJ222" s="16">
        <v>-9999</v>
      </c>
      <c r="CK222" s="16">
        <v>-9999</v>
      </c>
      <c r="CL222" s="16">
        <v>-9999</v>
      </c>
      <c r="CM222" s="16">
        <v>-9999</v>
      </c>
      <c r="CN222" s="16">
        <v>18.783000000000001</v>
      </c>
      <c r="CO222" s="16">
        <v>18.189</v>
      </c>
      <c r="CP222" s="16">
        <v>16.166</v>
      </c>
      <c r="CQ222" s="16">
        <v>14.22608</v>
      </c>
      <c r="CR222" s="16">
        <v>12.5189504</v>
      </c>
      <c r="CS222" s="16">
        <v>-9999</v>
      </c>
      <c r="CT222" s="16">
        <v>-9999</v>
      </c>
      <c r="CU222" s="16">
        <v>-9999</v>
      </c>
      <c r="CV222" s="16">
        <v>-9999</v>
      </c>
      <c r="CW222" s="16">
        <v>-9999</v>
      </c>
      <c r="CX222" s="16">
        <v>-9999</v>
      </c>
      <c r="CY222" s="16">
        <v>-9999</v>
      </c>
      <c r="CZ222" s="16">
        <v>-9999</v>
      </c>
      <c r="DA222" s="16">
        <v>18.178000000000001</v>
      </c>
      <c r="DB222" s="16">
        <v>16.094000000000001</v>
      </c>
      <c r="DC222" s="16">
        <v>14.162720000000002</v>
      </c>
      <c r="DD222" s="16">
        <v>12.463193600000002</v>
      </c>
      <c r="DE222" s="16">
        <v>16.825311360000004</v>
      </c>
      <c r="DF222" s="16">
        <v>-9999</v>
      </c>
      <c r="DG222" s="16">
        <v>-9999</v>
      </c>
      <c r="DH222" s="16">
        <v>-9999</v>
      </c>
      <c r="DI222" s="16">
        <v>-9999</v>
      </c>
      <c r="DJ222" s="16">
        <v>-9999</v>
      </c>
      <c r="DK222" s="16">
        <v>-9999</v>
      </c>
      <c r="DL222" s="16">
        <v>-9999</v>
      </c>
      <c r="DM222" s="16">
        <v>-9999</v>
      </c>
      <c r="DN222" s="16">
        <v>18.178000000000001</v>
      </c>
      <c r="DO222" s="16">
        <v>16.094000000000001</v>
      </c>
      <c r="DP222" s="16">
        <v>14.162720000000002</v>
      </c>
      <c r="DQ222" s="16">
        <v>12.463193600000002</v>
      </c>
      <c r="DR222" s="16">
        <v>16.825311360000004</v>
      </c>
      <c r="DS222" s="16">
        <v>-9999</v>
      </c>
      <c r="DT222" s="16">
        <v>-9999</v>
      </c>
      <c r="DU222" s="16">
        <v>-9999</v>
      </c>
      <c r="DV222" s="16">
        <v>-9999</v>
      </c>
      <c r="DW222" s="16">
        <v>-9999</v>
      </c>
      <c r="DX222" s="16">
        <v>-9999</v>
      </c>
      <c r="DY222" s="16">
        <v>-9999</v>
      </c>
      <c r="DZ222" s="16">
        <v>-9999</v>
      </c>
      <c r="EA222" s="2256">
        <v>18.178000000000001</v>
      </c>
      <c r="EB222" s="2256">
        <v>16.094000000000001</v>
      </c>
      <c r="EC222" s="2256">
        <v>14.162720000000002</v>
      </c>
      <c r="ED222" s="2256">
        <v>12.463193600000002</v>
      </c>
      <c r="EE222" s="2256">
        <v>16.825311360000004</v>
      </c>
      <c r="EF222" s="2257">
        <v>-9999</v>
      </c>
      <c r="EG222" s="2257">
        <v>-9999</v>
      </c>
      <c r="EH222" s="2257">
        <v>-9999</v>
      </c>
      <c r="EI222" s="2257">
        <v>-9999</v>
      </c>
      <c r="EJ222" s="2257">
        <v>-9999</v>
      </c>
      <c r="EK222" s="2257">
        <v>-9999</v>
      </c>
      <c r="EL222" s="2257">
        <v>-9999</v>
      </c>
      <c r="EM222" s="2257">
        <v>-9999</v>
      </c>
    </row>
    <row r="223" spans="1:143" ht="13.15">
      <c r="A223" s="22">
        <v>123</v>
      </c>
      <c r="B223" s="1" t="s">
        <v>1155</v>
      </c>
      <c r="C223" s="24">
        <f ca="1">OFFSET(Sector1!F50,0,Last_forecast_year - 3-InputY!$G$3)</f>
        <v>69.564999999999998</v>
      </c>
      <c r="D223" s="24">
        <f ca="1">OFFSET(Sector1!G50,0,Last_forecast_year - 3-InputY!$G$3)</f>
        <v>71.599999999999994</v>
      </c>
      <c r="E223" s="24">
        <f ca="1">OFFSET(Sector1!H50,0,Last_forecast_year - 3-InputY!$G$3)</f>
        <v>73.599230000000006</v>
      </c>
      <c r="F223" s="24">
        <f ca="1">OFFSET(Sector1!I50,0,Last_forecast_year - 3-InputY!$G$3)</f>
        <v>75.687790700000008</v>
      </c>
      <c r="G223" s="24">
        <f ca="1">OFFSET(Sector1!J50,0,Last_forecast_year - 3-InputY!$G$3)</f>
        <v>77.869020677000009</v>
      </c>
      <c r="H223" s="25">
        <v>-9999</v>
      </c>
      <c r="I223" s="25">
        <v>-9999</v>
      </c>
      <c r="J223" s="25">
        <v>-9999</v>
      </c>
      <c r="K223" s="25">
        <v>-9999</v>
      </c>
      <c r="L223" s="25">
        <v>-9999</v>
      </c>
      <c r="M223" s="25">
        <v>-9999</v>
      </c>
      <c r="N223" s="25">
        <v>-9999</v>
      </c>
      <c r="O223" s="25">
        <v>-9999</v>
      </c>
      <c r="P223"/>
      <c r="Q223"/>
      <c r="AA223" s="22">
        <v>123</v>
      </c>
      <c r="AB223" s="1080" t="str">
        <f t="shared" si="8"/>
        <v>GG SUBSIDIES</v>
      </c>
      <c r="AC223" s="1080">
        <f>CHOOSE(Tables!$U$2,Transfer!CA223,Transfer!CN223,Transfer!DA223,Transfer!DN223,Transfer!EA223)</f>
        <v>66.426000000000002</v>
      </c>
      <c r="AD223" s="1080">
        <f>CHOOSE(Tables!$U$2,Transfer!CB223,Transfer!CO223,Transfer!DB223,Transfer!DO223,Transfer!EB223)</f>
        <v>69.662000000000006</v>
      </c>
      <c r="AE223" s="1080">
        <f>CHOOSE(Tables!$U$2,Transfer!CC223,Transfer!CP223,Transfer!DC223,Transfer!DP223,Transfer!EC223)</f>
        <v>71.81</v>
      </c>
      <c r="AF223" s="1080">
        <f>CHOOSE(Tables!$U$2,Transfer!CD223,Transfer!CQ223,Transfer!DD223,Transfer!DQ223,Transfer!ED223)</f>
        <v>73.809879999999993</v>
      </c>
      <c r="AG223" s="1080">
        <f>CHOOSE(Tables!$U$2,Transfer!CE223,Transfer!CR223,Transfer!DE223,Transfer!DR223,Transfer!EE223)</f>
        <v>75.8989282</v>
      </c>
      <c r="AH223" s="1080">
        <f>CHOOSE(Tables!$U$2,Transfer!CF223,Transfer!CS223,Transfer!DF223,Transfer!DS223,Transfer!EF223)</f>
        <v>-9999</v>
      </c>
      <c r="AI223" s="1080">
        <f>CHOOSE(Tables!$U$2,Transfer!CG223,Transfer!CT223,Transfer!DG223,Transfer!DT223,Transfer!EG223)</f>
        <v>-9999</v>
      </c>
      <c r="AJ223" s="1080">
        <f>CHOOSE(Tables!$U$2,Transfer!CH223,Transfer!CU223,Transfer!DH223,Transfer!DU223,Transfer!EH223)</f>
        <v>-9999</v>
      </c>
      <c r="AK223" s="1080">
        <f>CHOOSE(Tables!$U$2,Transfer!CI223,Transfer!CV223,Transfer!DI223,Transfer!DV223,Transfer!EI223)</f>
        <v>-9999</v>
      </c>
      <c r="AL223" s="1080">
        <f>CHOOSE(Tables!$U$2,Transfer!CJ223,Transfer!CW223,Transfer!DJ223,Transfer!DW223,Transfer!EJ223)</f>
        <v>-9999</v>
      </c>
      <c r="AM223" s="1080">
        <f>CHOOSE(Tables!$U$2,Transfer!CK223,Transfer!CX223,Transfer!DK223,Transfer!DX223,Transfer!EK223)</f>
        <v>-9999</v>
      </c>
      <c r="AN223" s="1080">
        <f>CHOOSE(Tables!$U$2,Transfer!CL223,Transfer!CY223,Transfer!DL223,Transfer!DY223,Transfer!EL223)</f>
        <v>-9999</v>
      </c>
      <c r="AO223" s="1080">
        <f>CHOOSE(Tables!$U$2,Transfer!CM223,Transfer!CZ223,Transfer!DM223,Transfer!DZ223,Transfer!EM223)</f>
        <v>-9999</v>
      </c>
      <c r="AR223" s="22">
        <v>123</v>
      </c>
      <c r="AS223" s="1" t="s">
        <v>1155</v>
      </c>
      <c r="AT223" s="24">
        <f t="shared" ca="1" si="21"/>
        <v>3.1389999999999958</v>
      </c>
      <c r="AU223" s="24">
        <f t="shared" ca="1" si="22"/>
        <v>1.9379999999999882</v>
      </c>
      <c r="AV223" s="24">
        <f t="shared" ca="1" si="23"/>
        <v>1.7892300000000034</v>
      </c>
      <c r="AW223" s="24">
        <f t="shared" ca="1" si="24"/>
        <v>1.8779107000000153</v>
      </c>
      <c r="AX223" s="24">
        <f t="shared" ca="1" si="25"/>
        <v>1.9700924770000086</v>
      </c>
      <c r="AY223" s="25">
        <f t="shared" si="26"/>
        <v>0</v>
      </c>
      <c r="AZ223" s="25">
        <f t="shared" si="27"/>
        <v>0</v>
      </c>
      <c r="BA223" s="25">
        <f t="shared" si="28"/>
        <v>0</v>
      </c>
      <c r="BB223" s="25">
        <f t="shared" si="29"/>
        <v>0</v>
      </c>
      <c r="BC223" s="25">
        <f t="shared" si="20"/>
        <v>0</v>
      </c>
      <c r="BD223" s="25">
        <f t="shared" si="20"/>
        <v>0</v>
      </c>
      <c r="BE223" s="25">
        <f t="shared" si="20"/>
        <v>0</v>
      </c>
      <c r="BF223" s="25">
        <f t="shared" si="20"/>
        <v>0</v>
      </c>
      <c r="CA223" s="16">
        <v>69.564999999999998</v>
      </c>
      <c r="CB223" s="16">
        <v>71.599999999999994</v>
      </c>
      <c r="CC223" s="16">
        <v>73.599230000000006</v>
      </c>
      <c r="CD223" s="16">
        <v>75.687790700000008</v>
      </c>
      <c r="CE223" s="16">
        <v>77.869020677000009</v>
      </c>
      <c r="CF223" s="16">
        <v>-9999</v>
      </c>
      <c r="CG223" s="16">
        <v>-9999</v>
      </c>
      <c r="CH223" s="16">
        <v>-9999</v>
      </c>
      <c r="CI223" s="16">
        <v>-9999</v>
      </c>
      <c r="CJ223" s="16">
        <v>-9999</v>
      </c>
      <c r="CK223" s="16">
        <v>-9999</v>
      </c>
      <c r="CL223" s="16">
        <v>-9999</v>
      </c>
      <c r="CM223" s="16">
        <v>-9999</v>
      </c>
      <c r="CN223" s="16">
        <v>66.426000000000002</v>
      </c>
      <c r="CO223" s="16">
        <v>69.662000000000006</v>
      </c>
      <c r="CP223" s="16">
        <v>71.81</v>
      </c>
      <c r="CQ223" s="16">
        <v>73.809879999999993</v>
      </c>
      <c r="CR223" s="16">
        <v>75.8989282</v>
      </c>
      <c r="CS223" s="16">
        <v>-9999</v>
      </c>
      <c r="CT223" s="16">
        <v>-9999</v>
      </c>
      <c r="CU223" s="16">
        <v>-9999</v>
      </c>
      <c r="CV223" s="16">
        <v>-9999</v>
      </c>
      <c r="CW223" s="16">
        <v>-9999</v>
      </c>
      <c r="CX223" s="16">
        <v>-9999</v>
      </c>
      <c r="CY223" s="16">
        <v>-9999</v>
      </c>
      <c r="CZ223" s="16">
        <v>-9999</v>
      </c>
      <c r="DA223" s="16">
        <v>69.564999999999998</v>
      </c>
      <c r="DB223" s="16">
        <v>71.599999999999994</v>
      </c>
      <c r="DC223" s="16">
        <v>73.599230000000006</v>
      </c>
      <c r="DD223" s="16">
        <v>75.687790700000008</v>
      </c>
      <c r="DE223" s="16">
        <v>77.869020677000009</v>
      </c>
      <c r="DF223" s="16">
        <v>-9999</v>
      </c>
      <c r="DG223" s="16">
        <v>-9999</v>
      </c>
      <c r="DH223" s="16">
        <v>-9999</v>
      </c>
      <c r="DI223" s="16">
        <v>-9999</v>
      </c>
      <c r="DJ223" s="16">
        <v>-9999</v>
      </c>
      <c r="DK223" s="16">
        <v>-9999</v>
      </c>
      <c r="DL223" s="16">
        <v>-9999</v>
      </c>
      <c r="DM223" s="16">
        <v>-9999</v>
      </c>
      <c r="DN223" s="16">
        <v>69.564999999999998</v>
      </c>
      <c r="DO223" s="16">
        <v>71.599999999999994</v>
      </c>
      <c r="DP223" s="16">
        <v>73.599230000000006</v>
      </c>
      <c r="DQ223" s="16">
        <v>75.687790700000008</v>
      </c>
      <c r="DR223" s="16">
        <v>77.869020677000009</v>
      </c>
      <c r="DS223" s="16">
        <v>-9999</v>
      </c>
      <c r="DT223" s="16">
        <v>-9999</v>
      </c>
      <c r="DU223" s="16">
        <v>-9999</v>
      </c>
      <c r="DV223" s="16">
        <v>-9999</v>
      </c>
      <c r="DW223" s="16">
        <v>-9999</v>
      </c>
      <c r="DX223" s="16">
        <v>-9999</v>
      </c>
      <c r="DY223" s="16">
        <v>-9999</v>
      </c>
      <c r="DZ223" s="16">
        <v>-9999</v>
      </c>
      <c r="EA223" s="2256">
        <v>69.564999999999998</v>
      </c>
      <c r="EB223" s="2256">
        <v>71.599999999999994</v>
      </c>
      <c r="EC223" s="2256">
        <v>73.599230000000006</v>
      </c>
      <c r="ED223" s="2256">
        <v>75.687790700000008</v>
      </c>
      <c r="EE223" s="2256">
        <v>77.869020677000009</v>
      </c>
      <c r="EF223" s="2257">
        <v>-9999</v>
      </c>
      <c r="EG223" s="2257">
        <v>-9999</v>
      </c>
      <c r="EH223" s="2257">
        <v>-9999</v>
      </c>
      <c r="EI223" s="2257">
        <v>-9999</v>
      </c>
      <c r="EJ223" s="2257">
        <v>-9999</v>
      </c>
      <c r="EK223" s="2257">
        <v>-9999</v>
      </c>
      <c r="EL223" s="2257">
        <v>-9999</v>
      </c>
      <c r="EM223" s="2257">
        <v>-9999</v>
      </c>
    </row>
    <row r="224" spans="1:143" ht="13.15">
      <c r="A224" s="22">
        <v>124</v>
      </c>
      <c r="B224" s="1" t="s">
        <v>1156</v>
      </c>
      <c r="C224" s="24">
        <f ca="1">OFFSET(Sector1!F756,0,Last_forecast_year - 3-InputY!$G$3)</f>
        <v>234.024</v>
      </c>
      <c r="D224" s="24">
        <f ca="1">OFFSET(Sector1!G756,0,Last_forecast_year - 3-InputY!$G$3)</f>
        <v>251.79</v>
      </c>
      <c r="E224" s="24">
        <f ca="1">OFFSET(Sector1!H756,0,Last_forecast_year - 3-InputY!$G$3)</f>
        <v>263.27831096784746</v>
      </c>
      <c r="F224" s="24">
        <f ca="1">OFFSET(Sector1!I756,0,Last_forecast_year - 3-InputY!$G$3)</f>
        <v>273.90264508787186</v>
      </c>
      <c r="G224" s="24">
        <f ca="1">OFFSET(Sector1!J756,0,Last_forecast_year - 3-InputY!$G$3)</f>
        <v>283.82945577381952</v>
      </c>
      <c r="H224" s="25">
        <v>-9999</v>
      </c>
      <c r="I224" s="25">
        <v>-9999</v>
      </c>
      <c r="J224" s="25">
        <v>-9999</v>
      </c>
      <c r="K224" s="25">
        <v>-9999</v>
      </c>
      <c r="L224" s="25">
        <v>-9999</v>
      </c>
      <c r="M224" s="25">
        <v>-9999</v>
      </c>
      <c r="N224" s="25">
        <v>-9999</v>
      </c>
      <c r="O224" s="25">
        <v>-9999</v>
      </c>
      <c r="P224"/>
      <c r="Q224"/>
      <c r="AA224" s="22">
        <v>124</v>
      </c>
      <c r="AB224" s="1080" t="str">
        <f t="shared" si="8"/>
        <v>GG OTHER CURRENT EXPENDITURE</v>
      </c>
      <c r="AC224" s="1080">
        <f>CHOOSE(Tables!$U$2,Transfer!CA224,Transfer!CN224,Transfer!DA224,Transfer!DN224,Transfer!EA224)</f>
        <v>230.75200000000001</v>
      </c>
      <c r="AD224" s="1080">
        <f>CHOOSE(Tables!$U$2,Transfer!CB224,Transfer!CO224,Transfer!DB224,Transfer!DO224,Transfer!EB224)</f>
        <v>234.017</v>
      </c>
      <c r="AE224" s="1080">
        <f>CHOOSE(Tables!$U$2,Transfer!CC224,Transfer!CP224,Transfer!DC224,Transfer!DP224,Transfer!EC224)</f>
        <v>252.10300000000001</v>
      </c>
      <c r="AF224" s="1080">
        <f>CHOOSE(Tables!$U$2,Transfer!CD224,Transfer!CQ224,Transfer!DD224,Transfer!DQ224,Transfer!ED224)</f>
        <v>260.20419524197456</v>
      </c>
      <c r="AG224" s="1080">
        <f>CHOOSE(Tables!$U$2,Transfer!CE224,Transfer!CR224,Transfer!DE224,Transfer!DR224,Transfer!EE224)</f>
        <v>267.4101306849098</v>
      </c>
      <c r="AH224" s="1080">
        <f>CHOOSE(Tables!$U$2,Transfer!CF224,Transfer!CS224,Transfer!DF224,Transfer!DS224,Transfer!EF224)</f>
        <v>-9999</v>
      </c>
      <c r="AI224" s="1080">
        <f>CHOOSE(Tables!$U$2,Transfer!CG224,Transfer!CT224,Transfer!DG224,Transfer!DT224,Transfer!EG224)</f>
        <v>-9999</v>
      </c>
      <c r="AJ224" s="1080">
        <f>CHOOSE(Tables!$U$2,Transfer!CH224,Transfer!CU224,Transfer!DH224,Transfer!DU224,Transfer!EH224)</f>
        <v>-9999</v>
      </c>
      <c r="AK224" s="1080">
        <f>CHOOSE(Tables!$U$2,Transfer!CI224,Transfer!CV224,Transfer!DI224,Transfer!DV224,Transfer!EI224)</f>
        <v>-9999</v>
      </c>
      <c r="AL224" s="1080">
        <f>CHOOSE(Tables!$U$2,Transfer!CJ224,Transfer!CW224,Transfer!DJ224,Transfer!DW224,Transfer!EJ224)</f>
        <v>-9999</v>
      </c>
      <c r="AM224" s="1080">
        <f>CHOOSE(Tables!$U$2,Transfer!CK224,Transfer!CX224,Transfer!DK224,Transfer!DX224,Transfer!EK224)</f>
        <v>-9999</v>
      </c>
      <c r="AN224" s="1080">
        <f>CHOOSE(Tables!$U$2,Transfer!CL224,Transfer!CY224,Transfer!DL224,Transfer!DY224,Transfer!EL224)</f>
        <v>-9999</v>
      </c>
      <c r="AO224" s="1080">
        <f>CHOOSE(Tables!$U$2,Transfer!CM224,Transfer!CZ224,Transfer!DM224,Transfer!DZ224,Transfer!EM224)</f>
        <v>-9999</v>
      </c>
      <c r="AR224" s="22">
        <v>124</v>
      </c>
      <c r="AS224" s="1" t="s">
        <v>1156</v>
      </c>
      <c r="AT224" s="24">
        <f t="shared" ca="1" si="21"/>
        <v>3.2719999999999914</v>
      </c>
      <c r="AU224" s="24">
        <f t="shared" ca="1" si="22"/>
        <v>17.772999999999996</v>
      </c>
      <c r="AV224" s="24">
        <f t="shared" ca="1" si="23"/>
        <v>11.175310967847452</v>
      </c>
      <c r="AW224" s="24">
        <f t="shared" ca="1" si="24"/>
        <v>13.698449845897301</v>
      </c>
      <c r="AX224" s="24">
        <f t="shared" ca="1" si="25"/>
        <v>16.419325088909716</v>
      </c>
      <c r="AY224" s="25">
        <f t="shared" si="26"/>
        <v>0</v>
      </c>
      <c r="AZ224" s="25">
        <f t="shared" si="27"/>
        <v>0</v>
      </c>
      <c r="BA224" s="25">
        <f t="shared" si="28"/>
        <v>0</v>
      </c>
      <c r="BB224" s="25">
        <f t="shared" si="29"/>
        <v>0</v>
      </c>
      <c r="BC224" s="25">
        <f t="shared" si="20"/>
        <v>0</v>
      </c>
      <c r="BD224" s="25">
        <f t="shared" si="20"/>
        <v>0</v>
      </c>
      <c r="BE224" s="25">
        <f t="shared" si="20"/>
        <v>0</v>
      </c>
      <c r="BF224" s="25">
        <f t="shared" si="20"/>
        <v>0</v>
      </c>
      <c r="CA224" s="16">
        <v>234.024</v>
      </c>
      <c r="CB224" s="16">
        <v>251.79</v>
      </c>
      <c r="CC224" s="16">
        <v>263.27831096784746</v>
      </c>
      <c r="CD224" s="16">
        <v>273.90264508787186</v>
      </c>
      <c r="CE224" s="16">
        <v>283.82945577381952</v>
      </c>
      <c r="CF224" s="16">
        <v>-9999</v>
      </c>
      <c r="CG224" s="16">
        <v>-9999</v>
      </c>
      <c r="CH224" s="16">
        <v>-9999</v>
      </c>
      <c r="CI224" s="16">
        <v>-9999</v>
      </c>
      <c r="CJ224" s="16">
        <v>-9999</v>
      </c>
      <c r="CK224" s="16">
        <v>-9999</v>
      </c>
      <c r="CL224" s="16">
        <v>-9999</v>
      </c>
      <c r="CM224" s="16">
        <v>-9999</v>
      </c>
      <c r="CN224" s="16">
        <v>230.75200000000001</v>
      </c>
      <c r="CO224" s="16">
        <v>234.017</v>
      </c>
      <c r="CP224" s="16">
        <v>252.10300000000001</v>
      </c>
      <c r="CQ224" s="16">
        <v>260.20419524197456</v>
      </c>
      <c r="CR224" s="16">
        <v>267.4101306849098</v>
      </c>
      <c r="CS224" s="16">
        <v>-9999</v>
      </c>
      <c r="CT224" s="16">
        <v>-9999</v>
      </c>
      <c r="CU224" s="16">
        <v>-9999</v>
      </c>
      <c r="CV224" s="16">
        <v>-9999</v>
      </c>
      <c r="CW224" s="16">
        <v>-9999</v>
      </c>
      <c r="CX224" s="16">
        <v>-9999</v>
      </c>
      <c r="CY224" s="16">
        <v>-9999</v>
      </c>
      <c r="CZ224" s="16">
        <v>-9999</v>
      </c>
      <c r="DA224" s="16">
        <v>234.024</v>
      </c>
      <c r="DB224" s="16">
        <v>251.79</v>
      </c>
      <c r="DC224" s="16">
        <v>263.27855660690562</v>
      </c>
      <c r="DD224" s="16">
        <v>273.90212118089437</v>
      </c>
      <c r="DE224" s="16">
        <v>283.82868202354689</v>
      </c>
      <c r="DF224" s="16">
        <v>-9999</v>
      </c>
      <c r="DG224" s="16">
        <v>-9999</v>
      </c>
      <c r="DH224" s="16">
        <v>-9999</v>
      </c>
      <c r="DI224" s="16">
        <v>-9999</v>
      </c>
      <c r="DJ224" s="16">
        <v>-9999</v>
      </c>
      <c r="DK224" s="16">
        <v>-9999</v>
      </c>
      <c r="DL224" s="16">
        <v>-9999</v>
      </c>
      <c r="DM224" s="16">
        <v>-9999</v>
      </c>
      <c r="DN224" s="16">
        <v>234.024</v>
      </c>
      <c r="DO224" s="16">
        <v>251.79</v>
      </c>
      <c r="DP224" s="16">
        <v>262.14630182380711</v>
      </c>
      <c r="DQ224" s="16">
        <v>270.95861632474981</v>
      </c>
      <c r="DR224" s="16">
        <v>279.55407586055571</v>
      </c>
      <c r="DS224" s="16">
        <v>-9999</v>
      </c>
      <c r="DT224" s="16">
        <v>-9999</v>
      </c>
      <c r="DU224" s="16">
        <v>-9999</v>
      </c>
      <c r="DV224" s="16">
        <v>-9999</v>
      </c>
      <c r="DW224" s="16">
        <v>-9999</v>
      </c>
      <c r="DX224" s="16">
        <v>-9999</v>
      </c>
      <c r="DY224" s="16">
        <v>-9999</v>
      </c>
      <c r="DZ224" s="16">
        <v>-9999</v>
      </c>
      <c r="EA224" s="2256">
        <v>234.024</v>
      </c>
      <c r="EB224" s="2256">
        <v>251.79</v>
      </c>
      <c r="EC224" s="2256">
        <v>263.27831096784746</v>
      </c>
      <c r="ED224" s="2256">
        <v>273.90264508787186</v>
      </c>
      <c r="EE224" s="2256">
        <v>283.82945577381952</v>
      </c>
      <c r="EF224" s="2257">
        <v>-9999</v>
      </c>
      <c r="EG224" s="2257">
        <v>-9999</v>
      </c>
      <c r="EH224" s="2257">
        <v>-9999</v>
      </c>
      <c r="EI224" s="2257">
        <v>-9999</v>
      </c>
      <c r="EJ224" s="2257">
        <v>-9999</v>
      </c>
      <c r="EK224" s="2257">
        <v>-9999</v>
      </c>
      <c r="EL224" s="2257">
        <v>-9999</v>
      </c>
      <c r="EM224" s="2257">
        <v>-9999</v>
      </c>
    </row>
    <row r="225" spans="1:143" ht="13.15">
      <c r="A225" s="22">
        <v>125</v>
      </c>
      <c r="B225" s="1" t="s">
        <v>429</v>
      </c>
      <c r="C225" s="24">
        <f ca="1">OFFSET(Sector1!F483,0,Last_forecast_year - 3-InputY!$G$3)</f>
        <v>6.883</v>
      </c>
      <c r="D225" s="24">
        <f ca="1">OFFSET(Sector1!G483,0,Last_forecast_year - 3-InputY!$G$3)</f>
        <v>7.5030000000000001</v>
      </c>
      <c r="E225" s="24">
        <f ca="1">OFFSET(Sector1!H483,0,Last_forecast_year - 3-InputY!$G$3)</f>
        <v>6.0999999999999988</v>
      </c>
      <c r="F225" s="24">
        <f ca="1">OFFSET(Sector1!I483,0,Last_forecast_year - 3-InputY!$G$3)</f>
        <v>6.2219999999999986</v>
      </c>
      <c r="G225" s="24">
        <f ca="1">OFFSET(Sector1!J483,0,Last_forecast_year - 3-InputY!$G$3)</f>
        <v>6.3153299999999977</v>
      </c>
      <c r="H225" s="25">
        <v>-9999</v>
      </c>
      <c r="I225" s="25">
        <v>-9999</v>
      </c>
      <c r="J225" s="25">
        <v>-9999</v>
      </c>
      <c r="K225" s="25">
        <v>-9999</v>
      </c>
      <c r="L225" s="25">
        <v>-9999</v>
      </c>
      <c r="M225" s="25">
        <v>-9999</v>
      </c>
      <c r="N225" s="25">
        <v>-9999</v>
      </c>
      <c r="O225" s="25">
        <v>-9999</v>
      </c>
      <c r="P225"/>
      <c r="Q225"/>
      <c r="AA225" s="22">
        <v>125</v>
      </c>
      <c r="AB225" s="1080" t="str">
        <f t="shared" si="8"/>
        <v xml:space="preserve">GG CAPITAL TRANSFERS, RECEIVED </v>
      </c>
      <c r="AC225" s="1080">
        <f>CHOOSE(Tables!$U$2,Transfer!CA225,Transfer!CN225,Transfer!DA225,Transfer!DN225,Transfer!EA225)</f>
        <v>11.038</v>
      </c>
      <c r="AD225" s="1080">
        <f>CHOOSE(Tables!$U$2,Transfer!CB225,Transfer!CO225,Transfer!DB225,Transfer!DO225,Transfer!EB225)</f>
        <v>6.8010000000000002</v>
      </c>
      <c r="AE225" s="1080">
        <f>CHOOSE(Tables!$U$2,Transfer!CC225,Transfer!CP225,Transfer!DC225,Transfer!DP225,Transfer!EC225)</f>
        <v>7.0170000000000003</v>
      </c>
      <c r="AF225" s="1080">
        <f>CHOOSE(Tables!$U$2,Transfer!CD225,Transfer!CQ225,Transfer!DD225,Transfer!DQ225,Transfer!ED225)</f>
        <v>7.122255</v>
      </c>
      <c r="AG225" s="1080">
        <f>CHOOSE(Tables!$U$2,Transfer!CE225,Transfer!CR225,Transfer!DE225,Transfer!DR225,Transfer!EE225)</f>
        <v>7.2290888249999989</v>
      </c>
      <c r="AH225" s="1080">
        <f>CHOOSE(Tables!$U$2,Transfer!CF225,Transfer!CS225,Transfer!DF225,Transfer!DS225,Transfer!EF225)</f>
        <v>-9999</v>
      </c>
      <c r="AI225" s="1080">
        <f>CHOOSE(Tables!$U$2,Transfer!CG225,Transfer!CT225,Transfer!DG225,Transfer!DT225,Transfer!EG225)</f>
        <v>-9999</v>
      </c>
      <c r="AJ225" s="1080">
        <f>CHOOSE(Tables!$U$2,Transfer!CH225,Transfer!CU225,Transfer!DH225,Transfer!DU225,Transfer!EH225)</f>
        <v>-9999</v>
      </c>
      <c r="AK225" s="1080">
        <f>CHOOSE(Tables!$U$2,Transfer!CI225,Transfer!CV225,Transfer!DI225,Transfer!DV225,Transfer!EI225)</f>
        <v>-9999</v>
      </c>
      <c r="AL225" s="1080">
        <f>CHOOSE(Tables!$U$2,Transfer!CJ225,Transfer!CW225,Transfer!DJ225,Transfer!DW225,Transfer!EJ225)</f>
        <v>-9999</v>
      </c>
      <c r="AM225" s="1080">
        <f>CHOOSE(Tables!$U$2,Transfer!CK225,Transfer!CX225,Transfer!DK225,Transfer!DX225,Transfer!EK225)</f>
        <v>-9999</v>
      </c>
      <c r="AN225" s="1080">
        <f>CHOOSE(Tables!$U$2,Transfer!CL225,Transfer!CY225,Transfer!DL225,Transfer!DY225,Transfer!EL225)</f>
        <v>-9999</v>
      </c>
      <c r="AO225" s="1080">
        <f>CHOOSE(Tables!$U$2,Transfer!CM225,Transfer!CZ225,Transfer!DM225,Transfer!DZ225,Transfer!EM225)</f>
        <v>-9999</v>
      </c>
      <c r="AR225" s="22">
        <v>125</v>
      </c>
      <c r="AS225" s="1" t="s">
        <v>429</v>
      </c>
      <c r="AT225" s="24">
        <f t="shared" ca="1" si="21"/>
        <v>-4.1550000000000002</v>
      </c>
      <c r="AU225" s="24">
        <f t="shared" ca="1" si="22"/>
        <v>0.70199999999999996</v>
      </c>
      <c r="AV225" s="24">
        <f t="shared" ca="1" si="23"/>
        <v>-0.91700000000000159</v>
      </c>
      <c r="AW225" s="24">
        <f t="shared" ca="1" si="24"/>
        <v>-0.90025500000000136</v>
      </c>
      <c r="AX225" s="24">
        <f t="shared" ca="1" si="25"/>
        <v>-0.91375882500000127</v>
      </c>
      <c r="AY225" s="25">
        <f t="shared" si="26"/>
        <v>0</v>
      </c>
      <c r="AZ225" s="25">
        <f t="shared" si="27"/>
        <v>0</v>
      </c>
      <c r="BA225" s="25">
        <f t="shared" si="28"/>
        <v>0</v>
      </c>
      <c r="BB225" s="25">
        <f t="shared" si="29"/>
        <v>0</v>
      </c>
      <c r="BC225" s="25">
        <f t="shared" si="20"/>
        <v>0</v>
      </c>
      <c r="BD225" s="25">
        <f t="shared" si="20"/>
        <v>0</v>
      </c>
      <c r="BE225" s="25">
        <f t="shared" si="20"/>
        <v>0</v>
      </c>
      <c r="BF225" s="25">
        <f t="shared" si="20"/>
        <v>0</v>
      </c>
      <c r="CA225" s="16">
        <v>6.883</v>
      </c>
      <c r="CB225" s="16">
        <v>7.5030000000000001</v>
      </c>
      <c r="CC225" s="16">
        <v>6.0999999999999988</v>
      </c>
      <c r="CD225" s="16">
        <v>6.2219999999999986</v>
      </c>
      <c r="CE225" s="16">
        <v>6.3153299999999977</v>
      </c>
      <c r="CF225" s="16">
        <v>-9999</v>
      </c>
      <c r="CG225" s="16">
        <v>-9999</v>
      </c>
      <c r="CH225" s="16">
        <v>-9999</v>
      </c>
      <c r="CI225" s="16">
        <v>-9999</v>
      </c>
      <c r="CJ225" s="16">
        <v>-9999</v>
      </c>
      <c r="CK225" s="16">
        <v>-9999</v>
      </c>
      <c r="CL225" s="16">
        <v>-9999</v>
      </c>
      <c r="CM225" s="16">
        <v>-9999</v>
      </c>
      <c r="CN225" s="16">
        <v>11.038</v>
      </c>
      <c r="CO225" s="16">
        <v>6.8010000000000002</v>
      </c>
      <c r="CP225" s="16">
        <v>7.0170000000000003</v>
      </c>
      <c r="CQ225" s="16">
        <v>7.122255</v>
      </c>
      <c r="CR225" s="16">
        <v>7.2290888249999989</v>
      </c>
      <c r="CS225" s="16">
        <v>-9999</v>
      </c>
      <c r="CT225" s="16">
        <v>-9999</v>
      </c>
      <c r="CU225" s="16">
        <v>-9999</v>
      </c>
      <c r="CV225" s="16">
        <v>-9999</v>
      </c>
      <c r="CW225" s="16">
        <v>-9999</v>
      </c>
      <c r="CX225" s="16">
        <v>-9999</v>
      </c>
      <c r="CY225" s="16">
        <v>-9999</v>
      </c>
      <c r="CZ225" s="16">
        <v>-9999</v>
      </c>
      <c r="DA225" s="16">
        <v>6.883</v>
      </c>
      <c r="DB225" s="16">
        <v>7.5030000000000001</v>
      </c>
      <c r="DC225" s="16">
        <v>6.0999999999999988</v>
      </c>
      <c r="DD225" s="16">
        <v>6.2219999999999986</v>
      </c>
      <c r="DE225" s="16">
        <v>6.3153299999999977</v>
      </c>
      <c r="DF225" s="16">
        <v>-9999</v>
      </c>
      <c r="DG225" s="16">
        <v>-9999</v>
      </c>
      <c r="DH225" s="16">
        <v>-9999</v>
      </c>
      <c r="DI225" s="16">
        <v>-9999</v>
      </c>
      <c r="DJ225" s="16">
        <v>-9999</v>
      </c>
      <c r="DK225" s="16">
        <v>-9999</v>
      </c>
      <c r="DL225" s="16">
        <v>-9999</v>
      </c>
      <c r="DM225" s="16">
        <v>-9999</v>
      </c>
      <c r="DN225" s="16">
        <v>6.883</v>
      </c>
      <c r="DO225" s="16">
        <v>7.5030000000000001</v>
      </c>
      <c r="DP225" s="16">
        <v>7.6155449999999991</v>
      </c>
      <c r="DQ225" s="16">
        <v>7.7297781749999981</v>
      </c>
      <c r="DR225" s="16">
        <v>7.8457248476249974</v>
      </c>
      <c r="DS225" s="16">
        <v>-9999</v>
      </c>
      <c r="DT225" s="16">
        <v>-9999</v>
      </c>
      <c r="DU225" s="16">
        <v>-9999</v>
      </c>
      <c r="DV225" s="16">
        <v>-9999</v>
      </c>
      <c r="DW225" s="16">
        <v>-9999</v>
      </c>
      <c r="DX225" s="16">
        <v>-9999</v>
      </c>
      <c r="DY225" s="16">
        <v>-9999</v>
      </c>
      <c r="DZ225" s="16">
        <v>-9999</v>
      </c>
      <c r="EA225" s="2256">
        <v>6.883</v>
      </c>
      <c r="EB225" s="2256">
        <v>7.5030000000000001</v>
      </c>
      <c r="EC225" s="2256">
        <v>6.0999999999999988</v>
      </c>
      <c r="ED225" s="2256">
        <v>6.2219999999999986</v>
      </c>
      <c r="EE225" s="2256">
        <v>6.3153299999999977</v>
      </c>
      <c r="EF225" s="2257">
        <v>-9999</v>
      </c>
      <c r="EG225" s="2257">
        <v>-9999</v>
      </c>
      <c r="EH225" s="2257">
        <v>-9999</v>
      </c>
      <c r="EI225" s="2257">
        <v>-9999</v>
      </c>
      <c r="EJ225" s="2257">
        <v>-9999</v>
      </c>
      <c r="EK225" s="2257">
        <v>-9999</v>
      </c>
      <c r="EL225" s="2257">
        <v>-9999</v>
      </c>
      <c r="EM225" s="2257">
        <v>-9999</v>
      </c>
    </row>
    <row r="226" spans="1:143" ht="13.15">
      <c r="A226" s="22">
        <v>126</v>
      </c>
      <c r="B226" s="3361" t="s">
        <v>403</v>
      </c>
      <c r="C226" s="24">
        <f ca="1">OFFSET('VVP2'!F229,0,Last_forecast_year - 3-InputY!$G$3)</f>
        <v>192.80699999999999</v>
      </c>
      <c r="D226" s="24">
        <f ca="1">OFFSET('VVP2'!G229,0,Last_forecast_year - 3-InputY!$G$3)</f>
        <v>209.73699999999999</v>
      </c>
      <c r="E226" s="24">
        <f ca="1">OFFSET('VVP2'!H229,0,Last_forecast_year - 3-InputY!$G$3)</f>
        <v>225.10463972699998</v>
      </c>
      <c r="F226" s="24">
        <f ca="1">OFFSET('VVP2'!I229,0,Last_forecast_year - 3-InputY!$G$3)</f>
        <v>237.1864559504275</v>
      </c>
      <c r="G226" s="24">
        <f ca="1">OFFSET('VVP2'!J229,0,Last_forecast_year - 3-InputY!$G$3)</f>
        <v>245.79039464002921</v>
      </c>
      <c r="H226" s="25">
        <v>-9999</v>
      </c>
      <c r="I226" s="25">
        <v>-9999</v>
      </c>
      <c r="J226" s="25">
        <v>-9999</v>
      </c>
      <c r="K226" s="25">
        <v>-9999</v>
      </c>
      <c r="L226" s="25">
        <v>-9999</v>
      </c>
      <c r="M226" s="25">
        <v>-9999</v>
      </c>
      <c r="N226" s="25">
        <v>-9999</v>
      </c>
      <c r="O226" s="25">
        <v>-9999</v>
      </c>
      <c r="P226"/>
      <c r="Q226"/>
      <c r="AA226" s="22">
        <v>126</v>
      </c>
      <c r="AB226" s="1080" t="str">
        <f t="shared" si="8"/>
        <v>GG GROSS FIXED CAPITAL FORMATION</v>
      </c>
      <c r="AC226" s="1080">
        <f>CHOOSE(Tables!$U$2,Transfer!CA226,Transfer!CN226,Transfer!DA226,Transfer!DN226,Transfer!EA226)</f>
        <v>175.76900000000001</v>
      </c>
      <c r="AD226" s="1080">
        <f>CHOOSE(Tables!$U$2,Transfer!CB226,Transfer!CO226,Transfer!DB226,Transfer!DO226,Transfer!EB226)</f>
        <v>193.24199999999999</v>
      </c>
      <c r="AE226" s="1080">
        <f>CHOOSE(Tables!$U$2,Transfer!CC226,Transfer!CP226,Transfer!DC226,Transfer!DP226,Transfer!EC226)</f>
        <v>209.14400000000001</v>
      </c>
      <c r="AF226" s="1080">
        <f>CHOOSE(Tables!$U$2,Transfer!CD226,Transfer!CQ226,Transfer!DD226,Transfer!DQ226,Transfer!ED226)</f>
        <v>223.17442523999998</v>
      </c>
      <c r="AG226" s="1080">
        <f>CHOOSE(Tables!$U$2,Transfer!CE226,Transfer!CR226,Transfer!DE226,Transfer!DR226,Transfer!EE226)</f>
        <v>232.40581216562734</v>
      </c>
      <c r="AH226" s="1080">
        <f>CHOOSE(Tables!$U$2,Transfer!CF226,Transfer!CS226,Transfer!DF226,Transfer!DS226,Transfer!EF226)</f>
        <v>-9999</v>
      </c>
      <c r="AI226" s="1080">
        <f>CHOOSE(Tables!$U$2,Transfer!CG226,Transfer!CT226,Transfer!DG226,Transfer!DT226,Transfer!EG226)</f>
        <v>-9999</v>
      </c>
      <c r="AJ226" s="1080">
        <f>CHOOSE(Tables!$U$2,Transfer!CH226,Transfer!CU226,Transfer!DH226,Transfer!DU226,Transfer!EH226)</f>
        <v>-9999</v>
      </c>
      <c r="AK226" s="1080">
        <f>CHOOSE(Tables!$U$2,Transfer!CI226,Transfer!CV226,Transfer!DI226,Transfer!DV226,Transfer!EI226)</f>
        <v>-9999</v>
      </c>
      <c r="AL226" s="1080">
        <f>CHOOSE(Tables!$U$2,Transfer!CJ226,Transfer!CW226,Transfer!DJ226,Transfer!DW226,Transfer!EJ226)</f>
        <v>-9999</v>
      </c>
      <c r="AM226" s="1080">
        <f>CHOOSE(Tables!$U$2,Transfer!CK226,Transfer!CX226,Transfer!DK226,Transfer!DX226,Transfer!EK226)</f>
        <v>-9999</v>
      </c>
      <c r="AN226" s="1080">
        <f>CHOOSE(Tables!$U$2,Transfer!CL226,Transfer!CY226,Transfer!DL226,Transfer!DY226,Transfer!EL226)</f>
        <v>-9999</v>
      </c>
      <c r="AO226" s="1080">
        <f>CHOOSE(Tables!$U$2,Transfer!CM226,Transfer!CZ226,Transfer!DM226,Transfer!DZ226,Transfer!EM226)</f>
        <v>-9999</v>
      </c>
      <c r="AR226" s="22">
        <v>126</v>
      </c>
      <c r="AS226" s="1" t="s">
        <v>403</v>
      </c>
      <c r="AT226" s="24">
        <f t="shared" ca="1" si="21"/>
        <v>17.037999999999982</v>
      </c>
      <c r="AU226" s="24">
        <f t="shared" ca="1" si="22"/>
        <v>16.495000000000005</v>
      </c>
      <c r="AV226" s="24">
        <f t="shared" ca="1" si="23"/>
        <v>15.960639726999972</v>
      </c>
      <c r="AW226" s="24">
        <f t="shared" ca="1" si="24"/>
        <v>14.012030710427524</v>
      </c>
      <c r="AX226" s="24">
        <f t="shared" ca="1" si="25"/>
        <v>13.384582474401867</v>
      </c>
      <c r="AY226" s="25">
        <f t="shared" si="26"/>
        <v>0</v>
      </c>
      <c r="AZ226" s="25">
        <f t="shared" si="27"/>
        <v>0</v>
      </c>
      <c r="BA226" s="25">
        <f t="shared" si="28"/>
        <v>0</v>
      </c>
      <c r="BB226" s="25">
        <f t="shared" si="29"/>
        <v>0</v>
      </c>
      <c r="BC226" s="25">
        <f t="shared" si="20"/>
        <v>0</v>
      </c>
      <c r="BD226" s="25">
        <f t="shared" si="20"/>
        <v>0</v>
      </c>
      <c r="BE226" s="25">
        <f t="shared" si="20"/>
        <v>0</v>
      </c>
      <c r="BF226" s="25">
        <f t="shared" si="20"/>
        <v>0</v>
      </c>
      <c r="CA226" s="16">
        <v>192.80699999999999</v>
      </c>
      <c r="CB226" s="16">
        <v>209.73699999999999</v>
      </c>
      <c r="CC226" s="16">
        <v>225.10463972699998</v>
      </c>
      <c r="CD226" s="16">
        <v>237.1864559504275</v>
      </c>
      <c r="CE226" s="16">
        <v>245.79039464002921</v>
      </c>
      <c r="CF226" s="16">
        <v>-9999</v>
      </c>
      <c r="CG226" s="16">
        <v>-9999</v>
      </c>
      <c r="CH226" s="16">
        <v>-9999</v>
      </c>
      <c r="CI226" s="16">
        <v>-9999</v>
      </c>
      <c r="CJ226" s="16">
        <v>-9999</v>
      </c>
      <c r="CK226" s="16">
        <v>-9999</v>
      </c>
      <c r="CL226" s="16">
        <v>-9999</v>
      </c>
      <c r="CM226" s="16">
        <v>-9999</v>
      </c>
      <c r="CN226" s="16">
        <v>175.76900000000001</v>
      </c>
      <c r="CO226" s="16">
        <v>193.24199999999999</v>
      </c>
      <c r="CP226" s="16">
        <v>209.14400000000001</v>
      </c>
      <c r="CQ226" s="16">
        <v>223.17442523999998</v>
      </c>
      <c r="CR226" s="16">
        <v>232.40581216562734</v>
      </c>
      <c r="CS226" s="16">
        <v>-9999</v>
      </c>
      <c r="CT226" s="16">
        <v>-9999</v>
      </c>
      <c r="CU226" s="16">
        <v>-9999</v>
      </c>
      <c r="CV226" s="16">
        <v>-9999</v>
      </c>
      <c r="CW226" s="16">
        <v>-9999</v>
      </c>
      <c r="CX226" s="16">
        <v>-9999</v>
      </c>
      <c r="CY226" s="16">
        <v>-9999</v>
      </c>
      <c r="CZ226" s="16">
        <v>-9999</v>
      </c>
      <c r="DA226" s="16">
        <v>192.80699999999999</v>
      </c>
      <c r="DB226" s="16">
        <v>209.73699999999999</v>
      </c>
      <c r="DC226" s="16">
        <v>225.10463972699998</v>
      </c>
      <c r="DD226" s="16">
        <v>237.1864559504275</v>
      </c>
      <c r="DE226" s="16">
        <v>245.79039464002921</v>
      </c>
      <c r="DF226" s="16">
        <v>-9999</v>
      </c>
      <c r="DG226" s="16">
        <v>-9999</v>
      </c>
      <c r="DH226" s="16">
        <v>-9999</v>
      </c>
      <c r="DI226" s="16">
        <v>-9999</v>
      </c>
      <c r="DJ226" s="16">
        <v>-9999</v>
      </c>
      <c r="DK226" s="16">
        <v>-9999</v>
      </c>
      <c r="DL226" s="16">
        <v>-9999</v>
      </c>
      <c r="DM226" s="16">
        <v>-9999</v>
      </c>
      <c r="DN226" s="16">
        <v>192.80699999999999</v>
      </c>
      <c r="DO226" s="16">
        <v>209.73699999999999</v>
      </c>
      <c r="DP226" s="16">
        <v>225.10463972699998</v>
      </c>
      <c r="DQ226" s="16">
        <v>237.1864559504275</v>
      </c>
      <c r="DR226" s="16">
        <v>245.79039464002921</v>
      </c>
      <c r="DS226" s="16">
        <v>-9999</v>
      </c>
      <c r="DT226" s="16">
        <v>-9999</v>
      </c>
      <c r="DU226" s="16">
        <v>-9999</v>
      </c>
      <c r="DV226" s="16">
        <v>-9999</v>
      </c>
      <c r="DW226" s="16">
        <v>-9999</v>
      </c>
      <c r="DX226" s="16">
        <v>-9999</v>
      </c>
      <c r="DY226" s="16">
        <v>-9999</v>
      </c>
      <c r="DZ226" s="16">
        <v>-9999</v>
      </c>
      <c r="EA226" s="2256">
        <v>192.80699999999999</v>
      </c>
      <c r="EB226" s="2256">
        <v>209.73699999999999</v>
      </c>
      <c r="EC226" s="2256">
        <v>225.10463972699998</v>
      </c>
      <c r="ED226" s="2256">
        <v>237.1864559504275</v>
      </c>
      <c r="EE226" s="2256">
        <v>245.79039464002921</v>
      </c>
      <c r="EF226" s="2257">
        <v>-9999</v>
      </c>
      <c r="EG226" s="2257">
        <v>-9999</v>
      </c>
      <c r="EH226" s="2257">
        <v>-9999</v>
      </c>
      <c r="EI226" s="2257">
        <v>-9999</v>
      </c>
      <c r="EJ226" s="2257">
        <v>-9999</v>
      </c>
      <c r="EK226" s="2257">
        <v>-9999</v>
      </c>
      <c r="EL226" s="2257">
        <v>-9999</v>
      </c>
      <c r="EM226" s="2257">
        <v>-9999</v>
      </c>
    </row>
    <row r="227" spans="1:143" ht="13.15">
      <c r="A227" s="22">
        <v>127</v>
      </c>
      <c r="B227" s="1" t="s">
        <v>349</v>
      </c>
      <c r="C227" s="24">
        <f ca="1">OFFSET(Sector1!F762,0,Last_forecast_year - 3-InputY!$G$3)</f>
        <v>9.7029999999999994</v>
      </c>
      <c r="D227" s="24">
        <f ca="1">OFFSET(Sector1!G762,0,Last_forecast_year - 3-InputY!$G$3)</f>
        <v>4.8720000000000008</v>
      </c>
      <c r="E227" s="24">
        <f ca="1">OFFSET(Sector1!H762,0,Last_forecast_year - 3-InputY!$G$3)</f>
        <v>7.6002611881767344</v>
      </c>
      <c r="F227" s="24">
        <f ca="1">OFFSET(Sector1!I762,0,Last_forecast_year - 3-InputY!$G$3)</f>
        <v>12.899194562066155</v>
      </c>
      <c r="G227" s="24">
        <f ca="1">OFFSET(Sector1!J762,0,Last_forecast_year - 3-InputY!$G$3)</f>
        <v>13.347806775477242</v>
      </c>
      <c r="H227" s="25">
        <v>-9999</v>
      </c>
      <c r="I227" s="25">
        <v>-9999</v>
      </c>
      <c r="J227" s="25">
        <v>-9999</v>
      </c>
      <c r="K227" s="25">
        <v>-9999</v>
      </c>
      <c r="L227" s="25">
        <v>-9999</v>
      </c>
      <c r="M227" s="25">
        <v>-9999</v>
      </c>
      <c r="N227" s="25">
        <v>-9999</v>
      </c>
      <c r="O227" s="25">
        <v>-9999</v>
      </c>
      <c r="P227"/>
      <c r="Q227"/>
      <c r="AA227" s="22">
        <v>127</v>
      </c>
      <c r="AB227" s="1080" t="str">
        <f t="shared" si="8"/>
        <v>GG OTHER CAPITAL EXPENDITURE, NET</v>
      </c>
      <c r="AC227" s="1080">
        <f>CHOOSE(Tables!$U$2,Transfer!CA227,Transfer!CN227,Transfer!DA227,Transfer!DN227,Transfer!EA227)</f>
        <v>14.933000000000002</v>
      </c>
      <c r="AD227" s="1080">
        <f>CHOOSE(Tables!$U$2,Transfer!CB227,Transfer!CO227,Transfer!DB227,Transfer!DO227,Transfer!EB227)</f>
        <v>9.6979999999999986</v>
      </c>
      <c r="AE227" s="1080">
        <f>CHOOSE(Tables!$U$2,Transfer!CC227,Transfer!CP227,Transfer!DC227,Transfer!DP227,Transfer!EC227)</f>
        <v>6.1290000000000004</v>
      </c>
      <c r="AF227" s="1080">
        <f>CHOOSE(Tables!$U$2,Transfer!CD227,Transfer!CQ227,Transfer!DD227,Transfer!DQ227,Transfer!ED227)</f>
        <v>5.5780214218740989</v>
      </c>
      <c r="AG227" s="1080">
        <f>CHOOSE(Tables!$U$2,Transfer!CE227,Transfer!CR227,Transfer!DE227,Transfer!DR227,Transfer!EE227)</f>
        <v>5.7205127326488681</v>
      </c>
      <c r="AH227" s="1080">
        <f>CHOOSE(Tables!$U$2,Transfer!CF227,Transfer!CS227,Transfer!DF227,Transfer!DS227,Transfer!EF227)</f>
        <v>-9999</v>
      </c>
      <c r="AI227" s="1080">
        <f>CHOOSE(Tables!$U$2,Transfer!CG227,Transfer!CT227,Transfer!DG227,Transfer!DT227,Transfer!EG227)</f>
        <v>-9999</v>
      </c>
      <c r="AJ227" s="1080">
        <f>CHOOSE(Tables!$U$2,Transfer!CH227,Transfer!CU227,Transfer!DH227,Transfer!DU227,Transfer!EH227)</f>
        <v>-9999</v>
      </c>
      <c r="AK227" s="1080">
        <f>CHOOSE(Tables!$U$2,Transfer!CI227,Transfer!CV227,Transfer!DI227,Transfer!DV227,Transfer!EI227)</f>
        <v>-9999</v>
      </c>
      <c r="AL227" s="1080">
        <f>CHOOSE(Tables!$U$2,Transfer!CJ227,Transfer!CW227,Transfer!DJ227,Transfer!DW227,Transfer!EJ227)</f>
        <v>-9999</v>
      </c>
      <c r="AM227" s="1080">
        <f>CHOOSE(Tables!$U$2,Transfer!CK227,Transfer!CX227,Transfer!DK227,Transfer!DX227,Transfer!EK227)</f>
        <v>-9999</v>
      </c>
      <c r="AN227" s="1080">
        <f>CHOOSE(Tables!$U$2,Transfer!CL227,Transfer!CY227,Transfer!DL227,Transfer!DY227,Transfer!EL227)</f>
        <v>-9999</v>
      </c>
      <c r="AO227" s="1080">
        <f>CHOOSE(Tables!$U$2,Transfer!CM227,Transfer!CZ227,Transfer!DM227,Transfer!DZ227,Transfer!EM227)</f>
        <v>-9999</v>
      </c>
      <c r="AR227" s="22">
        <v>127</v>
      </c>
      <c r="AS227" s="1" t="s">
        <v>349</v>
      </c>
      <c r="AT227" s="24">
        <f t="shared" ca="1" si="21"/>
        <v>-5.2300000000000022</v>
      </c>
      <c r="AU227" s="24">
        <f t="shared" ca="1" si="22"/>
        <v>-4.8259999999999978</v>
      </c>
      <c r="AV227" s="24">
        <f t="shared" ca="1" si="23"/>
        <v>1.4712611881767339</v>
      </c>
      <c r="AW227" s="24">
        <f t="shared" ca="1" si="24"/>
        <v>7.3211731401920561</v>
      </c>
      <c r="AX227" s="24">
        <f t="shared" ca="1" si="25"/>
        <v>7.6272940428283738</v>
      </c>
      <c r="AY227" s="25">
        <f t="shared" si="26"/>
        <v>0</v>
      </c>
      <c r="AZ227" s="25">
        <f t="shared" si="27"/>
        <v>0</v>
      </c>
      <c r="BA227" s="25">
        <f t="shared" si="28"/>
        <v>0</v>
      </c>
      <c r="BB227" s="25">
        <f t="shared" si="29"/>
        <v>0</v>
      </c>
      <c r="BC227" s="25">
        <f t="shared" si="20"/>
        <v>0</v>
      </c>
      <c r="BD227" s="25">
        <f t="shared" si="20"/>
        <v>0</v>
      </c>
      <c r="BE227" s="25">
        <f t="shared" si="20"/>
        <v>0</v>
      </c>
      <c r="BF227" s="25">
        <f t="shared" si="20"/>
        <v>0</v>
      </c>
      <c r="CA227" s="16">
        <v>9.7029999999999994</v>
      </c>
      <c r="CB227" s="16">
        <v>4.8720000000000008</v>
      </c>
      <c r="CC227" s="16">
        <v>7.6002611881767344</v>
      </c>
      <c r="CD227" s="16">
        <v>12.899194562066155</v>
      </c>
      <c r="CE227" s="16">
        <v>13.347806775477242</v>
      </c>
      <c r="CF227" s="16">
        <v>-9999</v>
      </c>
      <c r="CG227" s="16">
        <v>-9999</v>
      </c>
      <c r="CH227" s="16">
        <v>-9999</v>
      </c>
      <c r="CI227" s="16">
        <v>-9999</v>
      </c>
      <c r="CJ227" s="16">
        <v>-9999</v>
      </c>
      <c r="CK227" s="16">
        <v>-9999</v>
      </c>
      <c r="CL227" s="16">
        <v>-9999</v>
      </c>
      <c r="CM227" s="16">
        <v>-9999</v>
      </c>
      <c r="CN227" s="16">
        <v>14.933000000000002</v>
      </c>
      <c r="CO227" s="16">
        <v>9.6979999999999986</v>
      </c>
      <c r="CP227" s="16">
        <v>6.1290000000000004</v>
      </c>
      <c r="CQ227" s="16">
        <v>5.5780214218740989</v>
      </c>
      <c r="CR227" s="16">
        <v>5.7205127326488681</v>
      </c>
      <c r="CS227" s="16">
        <v>-9999</v>
      </c>
      <c r="CT227" s="16">
        <v>-9999</v>
      </c>
      <c r="CU227" s="16">
        <v>-9999</v>
      </c>
      <c r="CV227" s="16">
        <v>-9999</v>
      </c>
      <c r="CW227" s="16">
        <v>-9999</v>
      </c>
      <c r="CX227" s="16">
        <v>-9999</v>
      </c>
      <c r="CY227" s="16">
        <v>-9999</v>
      </c>
      <c r="CZ227" s="16">
        <v>-9999</v>
      </c>
      <c r="DA227" s="16">
        <v>9.7029999999999994</v>
      </c>
      <c r="DB227" s="16">
        <v>4.8720000000000008</v>
      </c>
      <c r="DC227" s="16">
        <v>7.6000729619893326</v>
      </c>
      <c r="DD227" s="16">
        <v>12.899596017004363</v>
      </c>
      <c r="DE227" s="16">
        <v>13.348399678189471</v>
      </c>
      <c r="DF227" s="16">
        <v>-9999</v>
      </c>
      <c r="DG227" s="16">
        <v>-9999</v>
      </c>
      <c r="DH227" s="16">
        <v>-9999</v>
      </c>
      <c r="DI227" s="16">
        <v>-9999</v>
      </c>
      <c r="DJ227" s="16">
        <v>-9999</v>
      </c>
      <c r="DK227" s="16">
        <v>-9999</v>
      </c>
      <c r="DL227" s="16">
        <v>-9999</v>
      </c>
      <c r="DM227" s="16">
        <v>-9999</v>
      </c>
      <c r="DN227" s="16">
        <v>9.7029999999999994</v>
      </c>
      <c r="DO227" s="16">
        <v>4.8720000000000008</v>
      </c>
      <c r="DP227" s="16">
        <v>4.2706040109008914</v>
      </c>
      <c r="DQ227" s="16">
        <v>4.4039907028201952</v>
      </c>
      <c r="DR227" s="16">
        <v>4.583712918202405</v>
      </c>
      <c r="DS227" s="16">
        <v>-9999</v>
      </c>
      <c r="DT227" s="16">
        <v>-9999</v>
      </c>
      <c r="DU227" s="16">
        <v>-9999</v>
      </c>
      <c r="DV227" s="16">
        <v>-9999</v>
      </c>
      <c r="DW227" s="16">
        <v>-9999</v>
      </c>
      <c r="DX227" s="16">
        <v>-9999</v>
      </c>
      <c r="DY227" s="16">
        <v>-9999</v>
      </c>
      <c r="DZ227" s="16">
        <v>-9999</v>
      </c>
      <c r="EA227" s="2256">
        <v>9.7029999999999994</v>
      </c>
      <c r="EB227" s="2256">
        <v>4.8720000000000008</v>
      </c>
      <c r="EC227" s="2256">
        <v>7.6002611881767344</v>
      </c>
      <c r="ED227" s="2256">
        <v>12.899194562066155</v>
      </c>
      <c r="EE227" s="2256">
        <v>13.347806775477242</v>
      </c>
      <c r="EF227" s="2257">
        <v>-9999</v>
      </c>
      <c r="EG227" s="2257">
        <v>-9999</v>
      </c>
      <c r="EH227" s="2257">
        <v>-9999</v>
      </c>
      <c r="EI227" s="2257">
        <v>-9999</v>
      </c>
      <c r="EJ227" s="2257">
        <v>-9999</v>
      </c>
      <c r="EK227" s="2257">
        <v>-9999</v>
      </c>
      <c r="EL227" s="2257">
        <v>-9999</v>
      </c>
      <c r="EM227" s="2257">
        <v>-9999</v>
      </c>
    </row>
    <row r="228" spans="1:143" ht="13.15">
      <c r="A228" s="22">
        <v>128</v>
      </c>
      <c r="B228" s="29" t="s">
        <v>350</v>
      </c>
      <c r="C228" s="24">
        <f ca="1">OFFSET(Sector1!F605,0,Last_forecast_year - 3-InputY!$G$3)</f>
        <v>1857.761</v>
      </c>
      <c r="D228" s="24">
        <f ca="1">OFFSET(Sector1!G605,0,Last_forecast_year - 3-InputY!$G$3)</f>
        <v>1869.5070000000001</v>
      </c>
      <c r="E228" s="24">
        <f ca="1">OFFSET(Sector1!H605,0,Last_forecast_year - 3-InputY!$G$3)</f>
        <v>1817.8533546855558</v>
      </c>
      <c r="F228" s="24">
        <f ca="1">OFFSET(Sector1!I605,0,Last_forecast_year - 3-InputY!$G$3)</f>
        <v>1770.1711275145692</v>
      </c>
      <c r="G228" s="24">
        <f ca="1">OFFSET(Sector1!J605,0,Last_forecast_year - 3-InputY!$G$3)</f>
        <v>1726.8381072181687</v>
      </c>
      <c r="H228" s="25">
        <v>-9999</v>
      </c>
      <c r="I228" s="25">
        <v>-9999</v>
      </c>
      <c r="J228" s="25">
        <v>-9999</v>
      </c>
      <c r="K228" s="25">
        <v>-9999</v>
      </c>
      <c r="L228" s="25">
        <v>-9999</v>
      </c>
      <c r="M228" s="25">
        <v>-9999</v>
      </c>
      <c r="N228" s="25">
        <v>-9999</v>
      </c>
      <c r="O228" s="25">
        <v>-9999</v>
      </c>
      <c r="P228"/>
      <c r="Q228"/>
      <c r="AA228" s="22">
        <v>128</v>
      </c>
      <c r="AB228" s="1080" t="str">
        <f t="shared" si="8"/>
        <v>GG GEN. GVMNT CONSOLIDATED GROSS DEBT</v>
      </c>
      <c r="AC228" s="1080">
        <f>CHOOSE(Tables!$U$2,Transfer!CA228,Transfer!CN228,Transfer!DA228,Transfer!DN228,Transfer!EA228)</f>
        <v>1856.652</v>
      </c>
      <c r="AD228" s="1080">
        <f>CHOOSE(Tables!$U$2,Transfer!CB228,Transfer!CO228,Transfer!DB228,Transfer!DO228,Transfer!EB228)</f>
        <v>1855.931</v>
      </c>
      <c r="AE228" s="1080">
        <f>CHOOSE(Tables!$U$2,Transfer!CC228,Transfer!CP228,Transfer!DC228,Transfer!DP228,Transfer!EC228)</f>
        <v>1869.9359999999999</v>
      </c>
      <c r="AF228" s="1080">
        <f>CHOOSE(Tables!$U$2,Transfer!CD228,Transfer!CQ228,Transfer!DD228,Transfer!DQ228,Transfer!ED228)</f>
        <v>1832.056472900636</v>
      </c>
      <c r="AG228" s="1080">
        <f>CHOOSE(Tables!$U$2,Transfer!CE228,Transfer!CR228,Transfer!DE228,Transfer!DR228,Transfer!EE228)</f>
        <v>1787.5700143453814</v>
      </c>
      <c r="AH228" s="1080">
        <f>CHOOSE(Tables!$U$2,Transfer!CF228,Transfer!CS228,Transfer!DF228,Transfer!DS228,Transfer!EF228)</f>
        <v>-9999</v>
      </c>
      <c r="AI228" s="1080">
        <f>CHOOSE(Tables!$U$2,Transfer!CG228,Transfer!CT228,Transfer!DG228,Transfer!DT228,Transfer!EG228)</f>
        <v>-9999</v>
      </c>
      <c r="AJ228" s="1080">
        <f>CHOOSE(Tables!$U$2,Transfer!CH228,Transfer!CU228,Transfer!DH228,Transfer!DU228,Transfer!EH228)</f>
        <v>-9999</v>
      </c>
      <c r="AK228" s="1080">
        <f>CHOOSE(Tables!$U$2,Transfer!CI228,Transfer!CV228,Transfer!DI228,Transfer!DV228,Transfer!EI228)</f>
        <v>-9999</v>
      </c>
      <c r="AL228" s="1080">
        <f>CHOOSE(Tables!$U$2,Transfer!CJ228,Transfer!CW228,Transfer!DJ228,Transfer!DW228,Transfer!EJ228)</f>
        <v>-9999</v>
      </c>
      <c r="AM228" s="1080">
        <f>CHOOSE(Tables!$U$2,Transfer!CK228,Transfer!CX228,Transfer!DK228,Transfer!DX228,Transfer!EK228)</f>
        <v>-9999</v>
      </c>
      <c r="AN228" s="1080">
        <f>CHOOSE(Tables!$U$2,Transfer!CL228,Transfer!CY228,Transfer!DL228,Transfer!DY228,Transfer!EL228)</f>
        <v>-9999</v>
      </c>
      <c r="AO228" s="1080">
        <f>CHOOSE(Tables!$U$2,Transfer!CM228,Transfer!CZ228,Transfer!DM228,Transfer!DZ228,Transfer!EM228)</f>
        <v>-9999</v>
      </c>
      <c r="AR228" s="22">
        <v>128</v>
      </c>
      <c r="AS228" s="29" t="s">
        <v>350</v>
      </c>
      <c r="AT228" s="24">
        <f t="shared" ca="1" si="21"/>
        <v>1.1089999999999236</v>
      </c>
      <c r="AU228" s="24">
        <f t="shared" ca="1" si="22"/>
        <v>13.576000000000022</v>
      </c>
      <c r="AV228" s="24">
        <f t="shared" ca="1" si="23"/>
        <v>-52.082645314444107</v>
      </c>
      <c r="AW228" s="24">
        <f t="shared" ca="1" si="24"/>
        <v>-61.885345386066774</v>
      </c>
      <c r="AX228" s="24">
        <f t="shared" ca="1" si="25"/>
        <v>-60.731907127212708</v>
      </c>
      <c r="AY228" s="25">
        <f t="shared" si="26"/>
        <v>0</v>
      </c>
      <c r="AZ228" s="25">
        <f t="shared" si="27"/>
        <v>0</v>
      </c>
      <c r="BA228" s="25">
        <f t="shared" si="28"/>
        <v>0</v>
      </c>
      <c r="BB228" s="25">
        <f t="shared" si="29"/>
        <v>0</v>
      </c>
      <c r="BC228" s="25">
        <f t="shared" si="20"/>
        <v>0</v>
      </c>
      <c r="BD228" s="25">
        <f t="shared" si="20"/>
        <v>0</v>
      </c>
      <c r="BE228" s="25">
        <f t="shared" si="20"/>
        <v>0</v>
      </c>
      <c r="BF228" s="25">
        <f t="shared" si="20"/>
        <v>0</v>
      </c>
      <c r="CA228" s="16">
        <v>1857.761</v>
      </c>
      <c r="CB228" s="16">
        <v>1869.5070000000001</v>
      </c>
      <c r="CC228" s="16">
        <v>1818.0253329917989</v>
      </c>
      <c r="CD228" s="16">
        <v>1770.5255549676624</v>
      </c>
      <c r="CE228" s="16">
        <v>1727.3855816469727</v>
      </c>
      <c r="CF228" s="16">
        <v>-9999</v>
      </c>
      <c r="CG228" s="16">
        <v>-9999</v>
      </c>
      <c r="CH228" s="16">
        <v>-9999</v>
      </c>
      <c r="CI228" s="16">
        <v>-9999</v>
      </c>
      <c r="CJ228" s="16">
        <v>-9999</v>
      </c>
      <c r="CK228" s="16">
        <v>-9999</v>
      </c>
      <c r="CL228" s="16">
        <v>-9999</v>
      </c>
      <c r="CM228" s="16">
        <v>-9999</v>
      </c>
      <c r="CN228" s="16">
        <v>1856.652</v>
      </c>
      <c r="CO228" s="16">
        <v>1855.931</v>
      </c>
      <c r="CP228" s="16">
        <v>1869.9359999999999</v>
      </c>
      <c r="CQ228" s="16">
        <v>1832.056472900636</v>
      </c>
      <c r="CR228" s="16">
        <v>1787.5700143453814</v>
      </c>
      <c r="CS228" s="16">
        <v>-9999</v>
      </c>
      <c r="CT228" s="16">
        <v>-9999</v>
      </c>
      <c r="CU228" s="16">
        <v>-9999</v>
      </c>
      <c r="CV228" s="16">
        <v>-9999</v>
      </c>
      <c r="CW228" s="16">
        <v>-9999</v>
      </c>
      <c r="CX228" s="16">
        <v>-9999</v>
      </c>
      <c r="CY228" s="16">
        <v>-9999</v>
      </c>
      <c r="CZ228" s="16">
        <v>-9999</v>
      </c>
      <c r="DA228" s="16">
        <v>1857.761</v>
      </c>
      <c r="DB228" s="16">
        <v>1869.5070000000001</v>
      </c>
      <c r="DC228" s="16">
        <v>1820.4420821745728</v>
      </c>
      <c r="DD228" s="16">
        <v>1785.2371460991355</v>
      </c>
      <c r="DE228" s="16">
        <v>1761.395580346214</v>
      </c>
      <c r="DF228" s="16">
        <v>-9999</v>
      </c>
      <c r="DG228" s="16">
        <v>-9999</v>
      </c>
      <c r="DH228" s="16">
        <v>-9999</v>
      </c>
      <c r="DI228" s="16">
        <v>-9999</v>
      </c>
      <c r="DJ228" s="16">
        <v>-9999</v>
      </c>
      <c r="DK228" s="16">
        <v>-9999</v>
      </c>
      <c r="DL228" s="16">
        <v>-9999</v>
      </c>
      <c r="DM228" s="16">
        <v>-9999</v>
      </c>
      <c r="DN228" s="16">
        <v>1857.761</v>
      </c>
      <c r="DO228" s="16">
        <v>1869.5070000000001</v>
      </c>
      <c r="DP228" s="16">
        <v>1820.8029340782632</v>
      </c>
      <c r="DQ228" s="16">
        <v>1777.1757430238004</v>
      </c>
      <c r="DR228" s="16">
        <v>1734.6662517231093</v>
      </c>
      <c r="DS228" s="16">
        <v>-9999</v>
      </c>
      <c r="DT228" s="16">
        <v>-9999</v>
      </c>
      <c r="DU228" s="16">
        <v>-9999</v>
      </c>
      <c r="DV228" s="16">
        <v>-9999</v>
      </c>
      <c r="DW228" s="16">
        <v>-9999</v>
      </c>
      <c r="DX228" s="16">
        <v>-9999</v>
      </c>
      <c r="DY228" s="16">
        <v>-9999</v>
      </c>
      <c r="DZ228" s="16">
        <v>-9999</v>
      </c>
      <c r="EA228" s="2256">
        <v>1857.761</v>
      </c>
      <c r="EB228" s="2256">
        <v>1869.5070000000001</v>
      </c>
      <c r="EC228" s="2256">
        <v>1817.8533546855558</v>
      </c>
      <c r="ED228" s="2256">
        <v>1770.1711275145692</v>
      </c>
      <c r="EE228" s="2256">
        <v>1726.8381072181687</v>
      </c>
      <c r="EF228" s="2257">
        <v>-9999</v>
      </c>
      <c r="EG228" s="2257">
        <v>-9999</v>
      </c>
      <c r="EH228" s="2257">
        <v>-9999</v>
      </c>
      <c r="EI228" s="2257">
        <v>-9999</v>
      </c>
      <c r="EJ228" s="2257">
        <v>-9999</v>
      </c>
      <c r="EK228" s="2257">
        <v>-9999</v>
      </c>
      <c r="EL228" s="2257">
        <v>-9999</v>
      </c>
      <c r="EM228" s="2257">
        <v>-9999</v>
      </c>
    </row>
    <row r="229" spans="1:143" ht="13.15">
      <c r="A229" s="22">
        <v>129</v>
      </c>
      <c r="B229" s="1" t="s">
        <v>1410</v>
      </c>
      <c r="C229" s="24">
        <f ca="1">OFFSET(Sector1!F664,0,Last_forecast_year - 3-InputY!$G$3)</f>
        <v>2179.0219999999999</v>
      </c>
      <c r="D229" s="24">
        <f ca="1">OFFSET(Sector1!G664,0,Last_forecast_year - 3-InputY!$G$3)</f>
        <v>2257.62</v>
      </c>
      <c r="E229" s="24">
        <f ca="1">OFFSET(Sector1!H664,0,Last_forecast_year - 3-InputY!$G$3)</f>
        <v>2359.6599864416617</v>
      </c>
      <c r="F229" s="24">
        <f ca="1">OFFSET(Sector1!I664,0,Last_forecast_year - 3-InputY!$G$3)</f>
        <v>2439.6086918594215</v>
      </c>
      <c r="G229" s="24">
        <f ca="1">OFFSET(Sector1!J664,0,Last_forecast_year - 3-InputY!$G$3)</f>
        <v>2519.3011144984889</v>
      </c>
      <c r="H229" s="25">
        <v>-9999</v>
      </c>
      <c r="I229" s="25">
        <v>-9999</v>
      </c>
      <c r="J229" s="25">
        <v>-9999</v>
      </c>
      <c r="K229" s="25">
        <v>-9999</v>
      </c>
      <c r="L229" s="25">
        <v>-9999</v>
      </c>
      <c r="M229" s="25">
        <v>-9999</v>
      </c>
      <c r="N229" s="25">
        <v>-9999</v>
      </c>
      <c r="O229" s="25">
        <v>-9999</v>
      </c>
      <c r="P229"/>
      <c r="Q229"/>
      <c r="AA229" s="22">
        <v>129</v>
      </c>
      <c r="AB229" s="1080" t="str">
        <f t="shared" si="8"/>
        <v>GG TOTAL GOVERNMENT EXPENDITURE</v>
      </c>
      <c r="AC229" s="1080">
        <f>CHOOSE(Tables!$U$2,Transfer!CA229,Transfer!CN229,Transfer!DA229,Transfer!DN229,Transfer!EA229)</f>
        <v>2084.4369999999999</v>
      </c>
      <c r="AD229" s="1080">
        <f>CHOOSE(Tables!$U$2,Transfer!CB229,Transfer!CO229,Transfer!DB229,Transfer!DO229,Transfer!EB229)</f>
        <v>2177.578</v>
      </c>
      <c r="AE229" s="1080">
        <f>CHOOSE(Tables!$U$2,Transfer!CC229,Transfer!CP229,Transfer!DC229,Transfer!DP229,Transfer!EC229)</f>
        <v>2259.2429999999999</v>
      </c>
      <c r="AF229" s="1080">
        <f>CHOOSE(Tables!$U$2,Transfer!CD229,Transfer!CQ229,Transfer!DD229,Transfer!DQ229,Transfer!ED229)</f>
        <v>2358.6706621366288</v>
      </c>
      <c r="AG229" s="1080">
        <f>CHOOSE(Tables!$U$2,Transfer!CE229,Transfer!CR229,Transfer!DE229,Transfer!DR229,Transfer!EE229)</f>
        <v>2437.3223721878467</v>
      </c>
      <c r="AH229" s="1080">
        <f>CHOOSE(Tables!$U$2,Transfer!CF229,Transfer!CS229,Transfer!DF229,Transfer!DS229,Transfer!EF229)</f>
        <v>-9999</v>
      </c>
      <c r="AI229" s="1080">
        <f>CHOOSE(Tables!$U$2,Transfer!CG229,Transfer!CT229,Transfer!DG229,Transfer!DT229,Transfer!EG229)</f>
        <v>-9999</v>
      </c>
      <c r="AJ229" s="1080">
        <f>CHOOSE(Tables!$U$2,Transfer!CH229,Transfer!CU229,Transfer!DH229,Transfer!DU229,Transfer!EH229)</f>
        <v>-9999</v>
      </c>
      <c r="AK229" s="1080">
        <f>CHOOSE(Tables!$U$2,Transfer!CI229,Transfer!CV229,Transfer!DI229,Transfer!DV229,Transfer!EI229)</f>
        <v>-9999</v>
      </c>
      <c r="AL229" s="1080">
        <f>CHOOSE(Tables!$U$2,Transfer!CJ229,Transfer!CW229,Transfer!DJ229,Transfer!DW229,Transfer!EJ229)</f>
        <v>-9999</v>
      </c>
      <c r="AM229" s="1080">
        <f>CHOOSE(Tables!$U$2,Transfer!CK229,Transfer!CX229,Transfer!DK229,Transfer!DX229,Transfer!EK229)</f>
        <v>-9999</v>
      </c>
      <c r="AN229" s="1080">
        <f>CHOOSE(Tables!$U$2,Transfer!CL229,Transfer!CY229,Transfer!DL229,Transfer!DY229,Transfer!EL229)</f>
        <v>-9999</v>
      </c>
      <c r="AO229" s="1080">
        <f>CHOOSE(Tables!$U$2,Transfer!CM229,Transfer!CZ229,Transfer!DM229,Transfer!DZ229,Transfer!EM229)</f>
        <v>-9999</v>
      </c>
      <c r="AR229" s="22">
        <v>129</v>
      </c>
      <c r="AS229" s="1" t="s">
        <v>1410</v>
      </c>
      <c r="AT229" s="24">
        <f t="shared" ca="1" si="21"/>
        <v>94.585000000000036</v>
      </c>
      <c r="AU229" s="24">
        <f t="shared" ca="1" si="22"/>
        <v>80.041999999999916</v>
      </c>
      <c r="AV229" s="24">
        <f t="shared" ca="1" si="23"/>
        <v>100.41698644166172</v>
      </c>
      <c r="AW229" s="24">
        <f t="shared" ca="1" si="24"/>
        <v>80.938029722792635</v>
      </c>
      <c r="AX229" s="24">
        <f t="shared" ca="1" si="25"/>
        <v>81.978742310642247</v>
      </c>
      <c r="AY229" s="25">
        <f t="shared" si="26"/>
        <v>0</v>
      </c>
      <c r="AZ229" s="25">
        <f t="shared" si="27"/>
        <v>0</v>
      </c>
      <c r="BA229" s="25">
        <f t="shared" si="28"/>
        <v>0</v>
      </c>
      <c r="BB229" s="25">
        <f t="shared" si="29"/>
        <v>0</v>
      </c>
      <c r="BC229" s="25">
        <f t="shared" si="20"/>
        <v>0</v>
      </c>
      <c r="BD229" s="25">
        <f t="shared" si="20"/>
        <v>0</v>
      </c>
      <c r="BE229" s="25">
        <f t="shared" si="20"/>
        <v>0</v>
      </c>
      <c r="BF229" s="25">
        <f t="shared" si="20"/>
        <v>0</v>
      </c>
      <c r="CA229" s="16">
        <v>2179.0219999999999</v>
      </c>
      <c r="CB229" s="16">
        <v>2257.62</v>
      </c>
      <c r="CC229" s="16">
        <v>2359.6599864416617</v>
      </c>
      <c r="CD229" s="16">
        <v>2439.6086918594215</v>
      </c>
      <c r="CE229" s="16">
        <v>2519.3011144984889</v>
      </c>
      <c r="CF229" s="16">
        <v>-9999</v>
      </c>
      <c r="CG229" s="16">
        <v>-9999</v>
      </c>
      <c r="CH229" s="16">
        <v>-9999</v>
      </c>
      <c r="CI229" s="16">
        <v>-9999</v>
      </c>
      <c r="CJ229" s="16">
        <v>-9999</v>
      </c>
      <c r="CK229" s="16">
        <v>-9999</v>
      </c>
      <c r="CL229" s="16">
        <v>-9999</v>
      </c>
      <c r="CM229" s="16">
        <v>-9999</v>
      </c>
      <c r="CN229" s="16">
        <v>2084.4369999999999</v>
      </c>
      <c r="CO229" s="16">
        <v>2177.578</v>
      </c>
      <c r="CP229" s="16">
        <v>2259.2429999999999</v>
      </c>
      <c r="CQ229" s="16">
        <v>2358.6706621366288</v>
      </c>
      <c r="CR229" s="16">
        <v>2437.3223721878467</v>
      </c>
      <c r="CS229" s="16">
        <v>-9999</v>
      </c>
      <c r="CT229" s="16">
        <v>-9999</v>
      </c>
      <c r="CU229" s="16">
        <v>-9999</v>
      </c>
      <c r="CV229" s="16">
        <v>-9999</v>
      </c>
      <c r="CW229" s="16">
        <v>-9999</v>
      </c>
      <c r="CX229" s="16">
        <v>-9999</v>
      </c>
      <c r="CY229" s="16">
        <v>-9999</v>
      </c>
      <c r="CZ229" s="16">
        <v>-9999</v>
      </c>
      <c r="DA229" s="16">
        <v>2179.0219999999999</v>
      </c>
      <c r="DB229" s="16">
        <v>2257.62</v>
      </c>
      <c r="DC229" s="16">
        <v>2358.9965969166087</v>
      </c>
      <c r="DD229" s="16">
        <v>2444.6471744717246</v>
      </c>
      <c r="DE229" s="16">
        <v>2527.2076372184742</v>
      </c>
      <c r="DF229" s="16">
        <v>-9999</v>
      </c>
      <c r="DG229" s="16">
        <v>-9999</v>
      </c>
      <c r="DH229" s="16">
        <v>-9999</v>
      </c>
      <c r="DI229" s="16">
        <v>-9999</v>
      </c>
      <c r="DJ229" s="16">
        <v>-9999</v>
      </c>
      <c r="DK229" s="16">
        <v>-9999</v>
      </c>
      <c r="DL229" s="16">
        <v>-9999</v>
      </c>
      <c r="DM229" s="16">
        <v>-9999</v>
      </c>
      <c r="DN229" s="16">
        <v>2179.0219999999999</v>
      </c>
      <c r="DO229" s="16">
        <v>2257.62</v>
      </c>
      <c r="DP229" s="16">
        <v>2356.9006582992647</v>
      </c>
      <c r="DQ229" s="16">
        <v>2435.6448396286728</v>
      </c>
      <c r="DR229" s="16">
        <v>2500.7968995092046</v>
      </c>
      <c r="DS229" s="16">
        <v>-9999</v>
      </c>
      <c r="DT229" s="16">
        <v>-9999</v>
      </c>
      <c r="DU229" s="16">
        <v>-9999</v>
      </c>
      <c r="DV229" s="16">
        <v>-9999</v>
      </c>
      <c r="DW229" s="16">
        <v>-9999</v>
      </c>
      <c r="DX229" s="16">
        <v>-9999</v>
      </c>
      <c r="DY229" s="16">
        <v>-9999</v>
      </c>
      <c r="DZ229" s="16">
        <v>-9999</v>
      </c>
      <c r="EA229" s="2256">
        <v>2179.0219999999999</v>
      </c>
      <c r="EB229" s="2256">
        <v>2257.62</v>
      </c>
      <c r="EC229" s="2256">
        <v>2359.6599864416617</v>
      </c>
      <c r="ED229" s="2256">
        <v>2439.6086918594215</v>
      </c>
      <c r="EE229" s="2256">
        <v>2519.3011144984889</v>
      </c>
      <c r="EF229" s="2257">
        <v>-9999</v>
      </c>
      <c r="EG229" s="2257">
        <v>-9999</v>
      </c>
      <c r="EH229" s="2257">
        <v>-9999</v>
      </c>
      <c r="EI229" s="2257">
        <v>-9999</v>
      </c>
      <c r="EJ229" s="2257">
        <v>-9999</v>
      </c>
      <c r="EK229" s="2257">
        <v>-9999</v>
      </c>
      <c r="EL229" s="2257">
        <v>-9999</v>
      </c>
      <c r="EM229" s="2257">
        <v>-9999</v>
      </c>
    </row>
    <row r="230" spans="1:143" ht="13.15">
      <c r="A230" s="22">
        <v>130</v>
      </c>
      <c r="B230" s="1" t="s">
        <v>1412</v>
      </c>
      <c r="C230" s="24">
        <f ca="1">OFFSET(Sector1!F480,0,Last_forecast_year - 3-InputY!$G$3)</f>
        <v>0</v>
      </c>
      <c r="D230" s="24">
        <f ca="1">OFFSET(Sector1!G480,0,Last_forecast_year - 3-InputY!$G$3)</f>
        <v>0</v>
      </c>
      <c r="E230" s="24">
        <f ca="1">OFFSET(Sector1!H480,0,Last_forecast_year - 3-InputY!$G$3)</f>
        <v>0</v>
      </c>
      <c r="F230" s="24">
        <f ca="1">OFFSET(Sector1!I480,0,Last_forecast_year - 3-InputY!$G$3)</f>
        <v>0</v>
      </c>
      <c r="G230" s="24">
        <f ca="1">OFFSET(Sector1!J480,0,Last_forecast_year - 3-InputY!$G$3)</f>
        <v>0</v>
      </c>
      <c r="H230" s="25">
        <v>-9999</v>
      </c>
      <c r="I230" s="25">
        <v>-9999</v>
      </c>
      <c r="J230" s="25">
        <v>-9999</v>
      </c>
      <c r="K230" s="25">
        <v>-9999</v>
      </c>
      <c r="L230" s="25">
        <v>-9999</v>
      </c>
      <c r="M230" s="25">
        <v>-9999</v>
      </c>
      <c r="N230" s="25">
        <v>-9999</v>
      </c>
      <c r="O230" s="25">
        <v>-9999</v>
      </c>
      <c r="P230"/>
      <c r="Q230"/>
      <c r="AA230" s="22">
        <v>130</v>
      </c>
      <c r="AB230" s="1080" t="str">
        <f t="shared" ref="AB230:AB280" si="30">+B230</f>
        <v>GG CAPITAL TAXES</v>
      </c>
      <c r="AC230" s="1080">
        <f>CHOOSE(Tables!$U$2,Transfer!CA230,Transfer!CN230,Transfer!DA230,Transfer!DN230,Transfer!EA230)</f>
        <v>0</v>
      </c>
      <c r="AD230" s="1080">
        <f>CHOOSE(Tables!$U$2,Transfer!CB230,Transfer!CO230,Transfer!DB230,Transfer!DO230,Transfer!EB230)</f>
        <v>0</v>
      </c>
      <c r="AE230" s="1080">
        <f>CHOOSE(Tables!$U$2,Transfer!CC230,Transfer!CP230,Transfer!DC230,Transfer!DP230,Transfer!EC230)</f>
        <v>0</v>
      </c>
      <c r="AF230" s="1080">
        <f>CHOOSE(Tables!$U$2,Transfer!CD230,Transfer!CQ230,Transfer!DD230,Transfer!DQ230,Transfer!ED230)</f>
        <v>0</v>
      </c>
      <c r="AG230" s="1080">
        <f>CHOOSE(Tables!$U$2,Transfer!CE230,Transfer!CR230,Transfer!DE230,Transfer!DR230,Transfer!EE230)</f>
        <v>0</v>
      </c>
      <c r="AH230" s="1080">
        <f>CHOOSE(Tables!$U$2,Transfer!CF230,Transfer!CS230,Transfer!DF230,Transfer!DS230,Transfer!EF230)</f>
        <v>-9999</v>
      </c>
      <c r="AI230" s="1080">
        <f>CHOOSE(Tables!$U$2,Transfer!CG230,Transfer!CT230,Transfer!DG230,Transfer!DT230,Transfer!EG230)</f>
        <v>-9999</v>
      </c>
      <c r="AJ230" s="1080">
        <f>CHOOSE(Tables!$U$2,Transfer!CH230,Transfer!CU230,Transfer!DH230,Transfer!DU230,Transfer!EH230)</f>
        <v>-9999</v>
      </c>
      <c r="AK230" s="1080">
        <f>CHOOSE(Tables!$U$2,Transfer!CI230,Transfer!CV230,Transfer!DI230,Transfer!DV230,Transfer!EI230)</f>
        <v>-9999</v>
      </c>
      <c r="AL230" s="1080">
        <f>CHOOSE(Tables!$U$2,Transfer!CJ230,Transfer!CW230,Transfer!DJ230,Transfer!DW230,Transfer!EJ230)</f>
        <v>-9999</v>
      </c>
      <c r="AM230" s="1080">
        <f>CHOOSE(Tables!$U$2,Transfer!CK230,Transfer!CX230,Transfer!DK230,Transfer!DX230,Transfer!EK230)</f>
        <v>-9999</v>
      </c>
      <c r="AN230" s="1080">
        <f>CHOOSE(Tables!$U$2,Transfer!CL230,Transfer!CY230,Transfer!DL230,Transfer!DY230,Transfer!EL230)</f>
        <v>-9999</v>
      </c>
      <c r="AO230" s="1080">
        <f>CHOOSE(Tables!$U$2,Transfer!CM230,Transfer!CZ230,Transfer!DM230,Transfer!DZ230,Transfer!EM230)</f>
        <v>-9999</v>
      </c>
      <c r="AR230" s="22">
        <v>130</v>
      </c>
      <c r="AS230" s="1" t="s">
        <v>1412</v>
      </c>
      <c r="AT230" s="24">
        <f t="shared" ca="1" si="21"/>
        <v>0</v>
      </c>
      <c r="AU230" s="24">
        <f t="shared" ca="1" si="22"/>
        <v>0</v>
      </c>
      <c r="AV230" s="24">
        <f t="shared" ca="1" si="23"/>
        <v>0</v>
      </c>
      <c r="AW230" s="24">
        <f t="shared" ca="1" si="24"/>
        <v>0</v>
      </c>
      <c r="AX230" s="24">
        <f t="shared" ca="1" si="25"/>
        <v>0</v>
      </c>
      <c r="AY230" s="25">
        <f t="shared" si="26"/>
        <v>0</v>
      </c>
      <c r="AZ230" s="25">
        <f t="shared" si="27"/>
        <v>0</v>
      </c>
      <c r="BA230" s="25">
        <f t="shared" si="28"/>
        <v>0</v>
      </c>
      <c r="BB230" s="25">
        <f t="shared" si="29"/>
        <v>0</v>
      </c>
      <c r="BC230" s="25">
        <f t="shared" si="20"/>
        <v>0</v>
      </c>
      <c r="BD230" s="25">
        <f t="shared" si="20"/>
        <v>0</v>
      </c>
      <c r="BE230" s="25">
        <f t="shared" si="20"/>
        <v>0</v>
      </c>
      <c r="BF230" s="25">
        <f t="shared" si="20"/>
        <v>0</v>
      </c>
      <c r="CA230" s="16">
        <v>0</v>
      </c>
      <c r="CB230" s="16">
        <v>0</v>
      </c>
      <c r="CC230" s="16">
        <v>0</v>
      </c>
      <c r="CD230" s="16">
        <v>0</v>
      </c>
      <c r="CE230" s="16">
        <v>0</v>
      </c>
      <c r="CF230" s="16">
        <v>-9999</v>
      </c>
      <c r="CG230" s="16">
        <v>-9999</v>
      </c>
      <c r="CH230" s="16">
        <v>-9999</v>
      </c>
      <c r="CI230" s="16">
        <v>-9999</v>
      </c>
      <c r="CJ230" s="16">
        <v>-9999</v>
      </c>
      <c r="CK230" s="16">
        <v>-9999</v>
      </c>
      <c r="CL230" s="16">
        <v>-9999</v>
      </c>
      <c r="CM230" s="16">
        <v>-9999</v>
      </c>
      <c r="CN230" s="16">
        <v>0</v>
      </c>
      <c r="CO230" s="16">
        <v>0</v>
      </c>
      <c r="CP230" s="16">
        <v>0</v>
      </c>
      <c r="CQ230" s="16">
        <v>0</v>
      </c>
      <c r="CR230" s="16">
        <v>0</v>
      </c>
      <c r="CS230" s="16">
        <v>-9999</v>
      </c>
      <c r="CT230" s="16">
        <v>-9999</v>
      </c>
      <c r="CU230" s="16">
        <v>-9999</v>
      </c>
      <c r="CV230" s="16">
        <v>-9999</v>
      </c>
      <c r="CW230" s="16">
        <v>-9999</v>
      </c>
      <c r="CX230" s="16">
        <v>-9999</v>
      </c>
      <c r="CY230" s="16">
        <v>-9999</v>
      </c>
      <c r="CZ230" s="16">
        <v>-9999</v>
      </c>
      <c r="DA230" s="16">
        <v>0</v>
      </c>
      <c r="DB230" s="16">
        <v>0</v>
      </c>
      <c r="DC230" s="16">
        <v>0</v>
      </c>
      <c r="DD230" s="16">
        <v>0</v>
      </c>
      <c r="DE230" s="16">
        <v>0</v>
      </c>
      <c r="DF230" s="16">
        <v>-9999</v>
      </c>
      <c r="DG230" s="16">
        <v>-9999</v>
      </c>
      <c r="DH230" s="16">
        <v>-9999</v>
      </c>
      <c r="DI230" s="16">
        <v>-9999</v>
      </c>
      <c r="DJ230" s="16">
        <v>-9999</v>
      </c>
      <c r="DK230" s="16">
        <v>-9999</v>
      </c>
      <c r="DL230" s="16">
        <v>-9999</v>
      </c>
      <c r="DM230" s="16">
        <v>-9999</v>
      </c>
      <c r="DN230" s="16">
        <v>0</v>
      </c>
      <c r="DO230" s="16">
        <v>0</v>
      </c>
      <c r="DP230" s="16">
        <v>0</v>
      </c>
      <c r="DQ230" s="16">
        <v>0</v>
      </c>
      <c r="DR230" s="16">
        <v>0</v>
      </c>
      <c r="DS230" s="16">
        <v>-9999</v>
      </c>
      <c r="DT230" s="16">
        <v>-9999</v>
      </c>
      <c r="DU230" s="16">
        <v>-9999</v>
      </c>
      <c r="DV230" s="16">
        <v>-9999</v>
      </c>
      <c r="DW230" s="16">
        <v>-9999</v>
      </c>
      <c r="DX230" s="16">
        <v>-9999</v>
      </c>
      <c r="DY230" s="16">
        <v>-9999</v>
      </c>
      <c r="DZ230" s="16">
        <v>-9999</v>
      </c>
      <c r="EA230" s="2256">
        <v>0</v>
      </c>
      <c r="EB230" s="2256">
        <v>0</v>
      </c>
      <c r="EC230" s="2256">
        <v>0</v>
      </c>
      <c r="ED230" s="2256">
        <v>0</v>
      </c>
      <c r="EE230" s="2256">
        <v>0</v>
      </c>
      <c r="EF230" s="2257">
        <v>-9999</v>
      </c>
      <c r="EG230" s="2257">
        <v>-9999</v>
      </c>
      <c r="EH230" s="2257">
        <v>-9999</v>
      </c>
      <c r="EI230" s="2257">
        <v>-9999</v>
      </c>
      <c r="EJ230" s="2257">
        <v>-9999</v>
      </c>
      <c r="EK230" s="2257">
        <v>-9999</v>
      </c>
      <c r="EL230" s="2257">
        <v>-9999</v>
      </c>
      <c r="EM230" s="2257">
        <v>-9999</v>
      </c>
    </row>
    <row r="231" spans="1:143" ht="13.15">
      <c r="A231" s="22">
        <v>131</v>
      </c>
      <c r="B231" s="29" t="s">
        <v>2053</v>
      </c>
      <c r="C231" s="24">
        <f ca="1">OFFSET(Sector1!F12,0,Last_forecast_year - 3-InputY!$G$3)</f>
        <v>6.0759999999999996</v>
      </c>
      <c r="D231" s="24">
        <f ca="1">OFFSET(Sector1!G12,0,Last_forecast_year - 3-InputY!$G$3)</f>
        <v>6.258</v>
      </c>
      <c r="E231" s="24">
        <f ca="1">OFFSET(Sector1!H12,0,Last_forecast_year - 3-InputY!$G$3)</f>
        <v>6.5185621047026192</v>
      </c>
      <c r="F231" s="24">
        <f ca="1">OFFSET(Sector1!I12,0,Last_forecast_year - 3-InputY!$G$3)</f>
        <v>6.5476973625771908</v>
      </c>
      <c r="G231" s="24">
        <f ca="1">OFFSET(Sector1!J12,0,Last_forecast_year - 3-InputY!$G$3)</f>
        <v>6.4818148674120462</v>
      </c>
      <c r="H231" s="25">
        <v>-9999</v>
      </c>
      <c r="I231" s="25">
        <v>-9999</v>
      </c>
      <c r="J231" s="25">
        <v>-9999</v>
      </c>
      <c r="K231" s="25">
        <v>-9999</v>
      </c>
      <c r="L231" s="25">
        <v>-9999</v>
      </c>
      <c r="M231" s="25">
        <v>-9999</v>
      </c>
      <c r="N231" s="25">
        <v>-9999</v>
      </c>
      <c r="O231" s="25">
        <v>-9999</v>
      </c>
      <c r="P231"/>
      <c r="Q231"/>
      <c r="AA231" s="22">
        <v>131</v>
      </c>
      <c r="AB231" s="1080" t="str">
        <f t="shared" si="30"/>
        <v>GG TAXES TO THE REST OF THE WORLD</v>
      </c>
      <c r="AC231" s="1080">
        <f>CHOOSE(Tables!$U$2,Transfer!CA231,Transfer!CN231,Transfer!DA231,Transfer!DN231,Transfer!EA231)</f>
        <v>6.2750000000000004</v>
      </c>
      <c r="AD231" s="1080">
        <f>CHOOSE(Tables!$U$2,Transfer!CB231,Transfer!CO231,Transfer!DB231,Transfer!DO231,Transfer!EB231)</f>
        <v>6.0759999999999996</v>
      </c>
      <c r="AE231" s="1080">
        <f>CHOOSE(Tables!$U$2,Transfer!CC231,Transfer!CP231,Transfer!DC231,Transfer!DP231,Transfer!EC231)</f>
        <v>6.258</v>
      </c>
      <c r="AF231" s="1080">
        <f>CHOOSE(Tables!$U$2,Transfer!CD231,Transfer!CQ231,Transfer!DD231,Transfer!DQ231,Transfer!ED231)</f>
        <v>6.4555485169027937</v>
      </c>
      <c r="AG231" s="1080">
        <f>CHOOSE(Tables!$U$2,Transfer!CE231,Transfer!CR231,Transfer!DE231,Transfer!DR231,Transfer!EE231)</f>
        <v>6.4228488250482139</v>
      </c>
      <c r="AH231" s="1080">
        <f>CHOOSE(Tables!$U$2,Transfer!CF231,Transfer!CS231,Transfer!DF231,Transfer!DS231,Transfer!EF231)</f>
        <v>-9999</v>
      </c>
      <c r="AI231" s="1080">
        <f>CHOOSE(Tables!$U$2,Transfer!CG231,Transfer!CT231,Transfer!DG231,Transfer!DT231,Transfer!EG231)</f>
        <v>-9999</v>
      </c>
      <c r="AJ231" s="1080">
        <f>CHOOSE(Tables!$U$2,Transfer!CH231,Transfer!CU231,Transfer!DH231,Transfer!DU231,Transfer!EH231)</f>
        <v>-9999</v>
      </c>
      <c r="AK231" s="1080">
        <f>CHOOSE(Tables!$U$2,Transfer!CI231,Transfer!CV231,Transfer!DI231,Transfer!DV231,Transfer!EI231)</f>
        <v>-9999</v>
      </c>
      <c r="AL231" s="1080">
        <f>CHOOSE(Tables!$U$2,Transfer!CJ231,Transfer!CW231,Transfer!DJ231,Transfer!DW231,Transfer!EJ231)</f>
        <v>-9999</v>
      </c>
      <c r="AM231" s="1080">
        <f>CHOOSE(Tables!$U$2,Transfer!CK231,Transfer!CX231,Transfer!DK231,Transfer!DX231,Transfer!EK231)</f>
        <v>-9999</v>
      </c>
      <c r="AN231" s="1080">
        <f>CHOOSE(Tables!$U$2,Transfer!CL231,Transfer!CY231,Transfer!DL231,Transfer!DY231,Transfer!EL231)</f>
        <v>-9999</v>
      </c>
      <c r="AO231" s="1080">
        <f>CHOOSE(Tables!$U$2,Transfer!CM231,Transfer!CZ231,Transfer!DM231,Transfer!DZ231,Transfer!EM231)</f>
        <v>-9999</v>
      </c>
      <c r="AR231" s="22">
        <v>131</v>
      </c>
      <c r="AS231" s="29" t="s">
        <v>1413</v>
      </c>
      <c r="AT231" s="24">
        <f t="shared" ca="1" si="21"/>
        <v>-0.19900000000000073</v>
      </c>
      <c r="AU231" s="24">
        <f t="shared" ca="1" si="22"/>
        <v>0.18200000000000038</v>
      </c>
      <c r="AV231" s="24">
        <f t="shared" ca="1" si="23"/>
        <v>0.2605621047026192</v>
      </c>
      <c r="AW231" s="24">
        <f t="shared" ca="1" si="24"/>
        <v>9.2148845674397073E-2</v>
      </c>
      <c r="AX231" s="24">
        <f t="shared" ca="1" si="25"/>
        <v>5.8966042363832294E-2</v>
      </c>
      <c r="AY231" s="25">
        <f t="shared" si="26"/>
        <v>0</v>
      </c>
      <c r="AZ231" s="25">
        <f t="shared" si="27"/>
        <v>0</v>
      </c>
      <c r="BA231" s="25">
        <f t="shared" si="28"/>
        <v>0</v>
      </c>
      <c r="BB231" s="25">
        <f t="shared" si="29"/>
        <v>0</v>
      </c>
      <c r="BC231" s="25">
        <f t="shared" si="20"/>
        <v>0</v>
      </c>
      <c r="BD231" s="25">
        <f t="shared" si="20"/>
        <v>0</v>
      </c>
      <c r="BE231" s="25">
        <f t="shared" si="20"/>
        <v>0</v>
      </c>
      <c r="BF231" s="25">
        <f t="shared" si="20"/>
        <v>0</v>
      </c>
      <c r="CA231" s="16">
        <v>6.0759999999999996</v>
      </c>
      <c r="CB231" s="16">
        <v>6.258</v>
      </c>
      <c r="CC231" s="16">
        <v>6.5185621047026192</v>
      </c>
      <c r="CD231" s="16">
        <v>6.5476973625771908</v>
      </c>
      <c r="CE231" s="16">
        <v>6.4818148674120462</v>
      </c>
      <c r="CF231" s="16">
        <v>-9999</v>
      </c>
      <c r="CG231" s="16">
        <v>-9999</v>
      </c>
      <c r="CH231" s="16">
        <v>-9999</v>
      </c>
      <c r="CI231" s="16">
        <v>-9999</v>
      </c>
      <c r="CJ231" s="16">
        <v>-9999</v>
      </c>
      <c r="CK231" s="16">
        <v>-9999</v>
      </c>
      <c r="CL231" s="16">
        <v>-9999</v>
      </c>
      <c r="CM231" s="16">
        <v>-9999</v>
      </c>
      <c r="CN231" s="16">
        <v>6.2750000000000004</v>
      </c>
      <c r="CO231" s="16">
        <v>6.0759999999999996</v>
      </c>
      <c r="CP231" s="16">
        <v>6.258</v>
      </c>
      <c r="CQ231" s="16">
        <v>6.4555485169027937</v>
      </c>
      <c r="CR231" s="16">
        <v>6.4228488250482139</v>
      </c>
      <c r="CS231" s="16">
        <v>-9999</v>
      </c>
      <c r="CT231" s="16">
        <v>-9999</v>
      </c>
      <c r="CU231" s="16">
        <v>-9999</v>
      </c>
      <c r="CV231" s="16">
        <v>-9999</v>
      </c>
      <c r="CW231" s="16">
        <v>-9999</v>
      </c>
      <c r="CX231" s="16">
        <v>-9999</v>
      </c>
      <c r="CY231" s="16">
        <v>-9999</v>
      </c>
      <c r="CZ231" s="16">
        <v>-9999</v>
      </c>
      <c r="DA231" s="16">
        <v>6.0759999999999996</v>
      </c>
      <c r="DB231" s="16">
        <v>6.258</v>
      </c>
      <c r="DC231" s="16">
        <v>6.5185621047026192</v>
      </c>
      <c r="DD231" s="16">
        <v>6.5476973625771908</v>
      </c>
      <c r="DE231" s="16">
        <v>6.4818148674120462</v>
      </c>
      <c r="DF231" s="16">
        <v>-9999</v>
      </c>
      <c r="DG231" s="16">
        <v>-9999</v>
      </c>
      <c r="DH231" s="16">
        <v>-9999</v>
      </c>
      <c r="DI231" s="16">
        <v>-9999</v>
      </c>
      <c r="DJ231" s="16">
        <v>-9999</v>
      </c>
      <c r="DK231" s="16">
        <v>-9999</v>
      </c>
      <c r="DL231" s="16">
        <v>-9999</v>
      </c>
      <c r="DM231" s="16">
        <v>-9999</v>
      </c>
      <c r="DN231" s="16">
        <v>6.0759999999999996</v>
      </c>
      <c r="DO231" s="16">
        <v>6.258</v>
      </c>
      <c r="DP231" s="16">
        <v>6.5146400437661907</v>
      </c>
      <c r="DQ231" s="16">
        <v>6.5513491787631519</v>
      </c>
      <c r="DR231" s="16">
        <v>6.4854254226823356</v>
      </c>
      <c r="DS231" s="16">
        <v>-9999</v>
      </c>
      <c r="DT231" s="16">
        <v>-9999</v>
      </c>
      <c r="DU231" s="16">
        <v>-9999</v>
      </c>
      <c r="DV231" s="16">
        <v>-9999</v>
      </c>
      <c r="DW231" s="16">
        <v>-9999</v>
      </c>
      <c r="DX231" s="16">
        <v>-9999</v>
      </c>
      <c r="DY231" s="16">
        <v>-9999</v>
      </c>
      <c r="DZ231" s="16">
        <v>-9999</v>
      </c>
      <c r="EA231" s="2256">
        <v>6.0759999999999996</v>
      </c>
      <c r="EB231" s="2256">
        <v>6.258</v>
      </c>
      <c r="EC231" s="2256">
        <v>6.5185621047026192</v>
      </c>
      <c r="ED231" s="2256">
        <v>6.5476973625771908</v>
      </c>
      <c r="EE231" s="2256">
        <v>6.4818148674120462</v>
      </c>
      <c r="EF231" s="2257">
        <v>-9999</v>
      </c>
      <c r="EG231" s="2257">
        <v>-9999</v>
      </c>
      <c r="EH231" s="2257">
        <v>-9999</v>
      </c>
      <c r="EI231" s="2257">
        <v>-9999</v>
      </c>
      <c r="EJ231" s="2257">
        <v>-9999</v>
      </c>
      <c r="EK231" s="2257">
        <v>-9999</v>
      </c>
      <c r="EL231" s="2257">
        <v>-9999</v>
      </c>
      <c r="EM231" s="2257">
        <v>-9999</v>
      </c>
    </row>
    <row r="232" spans="1:143" ht="13.15">
      <c r="A232" s="22">
        <v>132</v>
      </c>
      <c r="B232" s="29" t="s">
        <v>1414</v>
      </c>
      <c r="C232" s="24">
        <f ca="1">OFFSET(Sector1!F163,0,Last_forecast_year - 3-InputY!$G$3)</f>
        <v>18.178000000000001</v>
      </c>
      <c r="D232" s="24">
        <f ca="1">OFFSET(Sector1!G163,0,Last_forecast_year - 3-InputY!$G$3)</f>
        <v>16.094000000000001</v>
      </c>
      <c r="E232" s="24">
        <f ca="1">OFFSET(Sector1!H163,0,Last_forecast_year - 3-InputY!$G$3)</f>
        <v>14.162720000000002</v>
      </c>
      <c r="F232" s="24">
        <f ca="1">OFFSET(Sector1!I163,0,Last_forecast_year - 3-InputY!$G$3)</f>
        <v>12.463193600000002</v>
      </c>
      <c r="G232" s="24">
        <f ca="1">OFFSET(Sector1!J163,0,Last_forecast_year - 3-InputY!$G$3)</f>
        <v>16.825311360000004</v>
      </c>
      <c r="H232" s="25">
        <v>-9999</v>
      </c>
      <c r="I232" s="25">
        <v>-9999</v>
      </c>
      <c r="J232" s="25">
        <v>-9999</v>
      </c>
      <c r="K232" s="25">
        <v>-9999</v>
      </c>
      <c r="L232" s="25">
        <v>-9999</v>
      </c>
      <c r="M232" s="25">
        <v>-9999</v>
      </c>
      <c r="N232" s="25">
        <v>-9999</v>
      </c>
      <c r="O232" s="25">
        <v>-9999</v>
      </c>
      <c r="P232"/>
      <c r="Q232"/>
      <c r="AA232" s="22">
        <v>132</v>
      </c>
      <c r="AB232" s="1080" t="str">
        <f t="shared" si="30"/>
        <v>GG INTEREST incl. SWAPS</v>
      </c>
      <c r="AC232" s="1080">
        <f>CHOOSE(Tables!$U$2,Transfer!CA232,Transfer!CN232,Transfer!DA232,Transfer!DN232,Transfer!EA232)</f>
        <v>18.783000000000001</v>
      </c>
      <c r="AD232" s="1080">
        <f>CHOOSE(Tables!$U$2,Transfer!CB232,Transfer!CO232,Transfer!DB232,Transfer!DO232,Transfer!EB232)</f>
        <v>18.189</v>
      </c>
      <c r="AE232" s="1080">
        <f>CHOOSE(Tables!$U$2,Transfer!CC232,Transfer!CP232,Transfer!DC232,Transfer!DP232,Transfer!EC232)</f>
        <v>16.166</v>
      </c>
      <c r="AF232" s="1080">
        <f>CHOOSE(Tables!$U$2,Transfer!CD232,Transfer!CQ232,Transfer!DD232,Transfer!DQ232,Transfer!ED232)</f>
        <v>14.22608</v>
      </c>
      <c r="AG232" s="1080">
        <f>CHOOSE(Tables!$U$2,Transfer!CE232,Transfer!CR232,Transfer!DE232,Transfer!DR232,Transfer!EE232)</f>
        <v>12.5189504</v>
      </c>
      <c r="AH232" s="1080">
        <f>CHOOSE(Tables!$U$2,Transfer!CF232,Transfer!CS232,Transfer!DF232,Transfer!DS232,Transfer!EF232)</f>
        <v>-9999</v>
      </c>
      <c r="AI232" s="1080">
        <f>CHOOSE(Tables!$U$2,Transfer!CG232,Transfer!CT232,Transfer!DG232,Transfer!DT232,Transfer!EG232)</f>
        <v>-9999</v>
      </c>
      <c r="AJ232" s="1080">
        <f>CHOOSE(Tables!$U$2,Transfer!CH232,Transfer!CU232,Transfer!DH232,Transfer!DU232,Transfer!EH232)</f>
        <v>-9999</v>
      </c>
      <c r="AK232" s="1080">
        <f>CHOOSE(Tables!$U$2,Transfer!CI232,Transfer!CV232,Transfer!DI232,Transfer!DV232,Transfer!EI232)</f>
        <v>-9999</v>
      </c>
      <c r="AL232" s="1080">
        <f>CHOOSE(Tables!$U$2,Transfer!CJ232,Transfer!CW232,Transfer!DJ232,Transfer!DW232,Transfer!EJ232)</f>
        <v>-9999</v>
      </c>
      <c r="AM232" s="1080">
        <f>CHOOSE(Tables!$U$2,Transfer!CK232,Transfer!CX232,Transfer!DK232,Transfer!DX232,Transfer!EK232)</f>
        <v>-9999</v>
      </c>
      <c r="AN232" s="1080">
        <f>CHOOSE(Tables!$U$2,Transfer!CL232,Transfer!CY232,Transfer!DL232,Transfer!DY232,Transfer!EL232)</f>
        <v>-9999</v>
      </c>
      <c r="AO232" s="1080">
        <f>CHOOSE(Tables!$U$2,Transfer!CM232,Transfer!CZ232,Transfer!DM232,Transfer!DZ232,Transfer!EM232)</f>
        <v>-9999</v>
      </c>
      <c r="AR232" s="22">
        <v>132</v>
      </c>
      <c r="AS232" s="29" t="s">
        <v>1414</v>
      </c>
      <c r="AT232" s="24">
        <f t="shared" ca="1" si="21"/>
        <v>-0.60500000000000043</v>
      </c>
      <c r="AU232" s="24">
        <f t="shared" ca="1" si="22"/>
        <v>-2.0949999999999989</v>
      </c>
      <c r="AV232" s="24">
        <f t="shared" ca="1" si="23"/>
        <v>-2.0032799999999984</v>
      </c>
      <c r="AW232" s="24">
        <f t="shared" ca="1" si="24"/>
        <v>-1.7628863999999975</v>
      </c>
      <c r="AX232" s="24">
        <f t="shared" ca="1" si="25"/>
        <v>4.3063609600000046</v>
      </c>
      <c r="AY232" s="25">
        <f t="shared" si="26"/>
        <v>0</v>
      </c>
      <c r="AZ232" s="25">
        <f t="shared" si="27"/>
        <v>0</v>
      </c>
      <c r="BA232" s="25">
        <f t="shared" si="28"/>
        <v>0</v>
      </c>
      <c r="BB232" s="25">
        <f t="shared" si="29"/>
        <v>0</v>
      </c>
      <c r="BC232" s="25">
        <f t="shared" si="20"/>
        <v>0</v>
      </c>
      <c r="BD232" s="25">
        <f t="shared" si="20"/>
        <v>0</v>
      </c>
      <c r="BE232" s="25">
        <f t="shared" si="20"/>
        <v>0</v>
      </c>
      <c r="BF232" s="25">
        <f t="shared" si="20"/>
        <v>0</v>
      </c>
      <c r="CA232" s="16">
        <v>18.178000000000001</v>
      </c>
      <c r="CB232" s="16">
        <v>16.094000000000001</v>
      </c>
      <c r="CC232" s="16">
        <v>14.162720000000002</v>
      </c>
      <c r="CD232" s="16">
        <v>12.463193600000002</v>
      </c>
      <c r="CE232" s="16">
        <v>16.825311360000004</v>
      </c>
      <c r="CF232" s="16">
        <v>-9999</v>
      </c>
      <c r="CG232" s="16">
        <v>-9999</v>
      </c>
      <c r="CH232" s="16">
        <v>-9999</v>
      </c>
      <c r="CI232" s="16">
        <v>-9999</v>
      </c>
      <c r="CJ232" s="16">
        <v>-9999</v>
      </c>
      <c r="CK232" s="16">
        <v>-9999</v>
      </c>
      <c r="CL232" s="16">
        <v>-9999</v>
      </c>
      <c r="CM232" s="16">
        <v>-9999</v>
      </c>
      <c r="CN232" s="16">
        <v>18.783000000000001</v>
      </c>
      <c r="CO232" s="16">
        <v>18.189</v>
      </c>
      <c r="CP232" s="16">
        <v>16.166</v>
      </c>
      <c r="CQ232" s="16">
        <v>14.22608</v>
      </c>
      <c r="CR232" s="16">
        <v>12.5189504</v>
      </c>
      <c r="CS232" s="16">
        <v>-9999</v>
      </c>
      <c r="CT232" s="16">
        <v>-9999</v>
      </c>
      <c r="CU232" s="16">
        <v>-9999</v>
      </c>
      <c r="CV232" s="16">
        <v>-9999</v>
      </c>
      <c r="CW232" s="16">
        <v>-9999</v>
      </c>
      <c r="CX232" s="16">
        <v>-9999</v>
      </c>
      <c r="CY232" s="16">
        <v>-9999</v>
      </c>
      <c r="CZ232" s="16">
        <v>-9999</v>
      </c>
      <c r="DA232" s="16">
        <v>18.178000000000001</v>
      </c>
      <c r="DB232" s="16">
        <v>16.094000000000001</v>
      </c>
      <c r="DC232" s="16">
        <v>14.162720000000002</v>
      </c>
      <c r="DD232" s="16">
        <v>12.463193600000002</v>
      </c>
      <c r="DE232" s="16">
        <v>16.825311360000004</v>
      </c>
      <c r="DF232" s="16">
        <v>-9999</v>
      </c>
      <c r="DG232" s="16">
        <v>-9999</v>
      </c>
      <c r="DH232" s="16">
        <v>-9999</v>
      </c>
      <c r="DI232" s="16">
        <v>-9999</v>
      </c>
      <c r="DJ232" s="16">
        <v>-9999</v>
      </c>
      <c r="DK232" s="16">
        <v>-9999</v>
      </c>
      <c r="DL232" s="16">
        <v>-9999</v>
      </c>
      <c r="DM232" s="16">
        <v>-9999</v>
      </c>
      <c r="DN232" s="16">
        <v>18.178000000000001</v>
      </c>
      <c r="DO232" s="16">
        <v>16.094000000000001</v>
      </c>
      <c r="DP232" s="16">
        <v>14.162720000000002</v>
      </c>
      <c r="DQ232" s="16">
        <v>12.463193600000002</v>
      </c>
      <c r="DR232" s="16">
        <v>16.825311360000004</v>
      </c>
      <c r="DS232" s="16">
        <v>-9999</v>
      </c>
      <c r="DT232" s="16">
        <v>-9999</v>
      </c>
      <c r="DU232" s="16">
        <v>-9999</v>
      </c>
      <c r="DV232" s="16">
        <v>-9999</v>
      </c>
      <c r="DW232" s="16">
        <v>-9999</v>
      </c>
      <c r="DX232" s="16">
        <v>-9999</v>
      </c>
      <c r="DY232" s="16">
        <v>-9999</v>
      </c>
      <c r="DZ232" s="16">
        <v>-9999</v>
      </c>
      <c r="EA232" s="2256">
        <v>18.178000000000001</v>
      </c>
      <c r="EB232" s="2256">
        <v>16.094000000000001</v>
      </c>
      <c r="EC232" s="2256">
        <v>14.162720000000002</v>
      </c>
      <c r="ED232" s="2256">
        <v>12.463193600000002</v>
      </c>
      <c r="EE232" s="2256">
        <v>16.825311360000004</v>
      </c>
      <c r="EF232" s="2257">
        <v>-9999</v>
      </c>
      <c r="EG232" s="2257">
        <v>-9999</v>
      </c>
      <c r="EH232" s="2257">
        <v>-9999</v>
      </c>
      <c r="EI232" s="2257">
        <v>-9999</v>
      </c>
      <c r="EJ232" s="2257">
        <v>-9999</v>
      </c>
      <c r="EK232" s="2257">
        <v>-9999</v>
      </c>
      <c r="EL232" s="2257">
        <v>-9999</v>
      </c>
      <c r="EM232" s="2257">
        <v>-9999</v>
      </c>
    </row>
    <row r="233" spans="1:143" ht="13.15">
      <c r="A233" s="22">
        <v>133</v>
      </c>
      <c r="B233" s="1" t="s">
        <v>37</v>
      </c>
      <c r="C233" s="24">
        <f ca="1">OFFSET(Sector1!F49,0,Last_forecast_year - 3-InputY!$G$3)</f>
        <v>8.0550000000000068</v>
      </c>
      <c r="D233" s="24">
        <f ca="1">OFFSET(Sector1!G49,0,Last_forecast_year - 3-InputY!$G$3)</f>
        <v>7.8559999999999945</v>
      </c>
      <c r="E233" s="24">
        <f ca="1">OFFSET(Sector1!H49,0,Last_forecast_year - 3-InputY!$G$3)</f>
        <v>7.8559999999999945</v>
      </c>
      <c r="F233" s="24">
        <f ca="1">OFFSET(Sector1!I49,0,Last_forecast_year - 3-InputY!$G$3)</f>
        <v>7.8559999999999945</v>
      </c>
      <c r="G233" s="24">
        <f ca="1">OFFSET(Sector1!J49,0,Last_forecast_year - 3-InputY!$G$3)</f>
        <v>7.8559999999999945</v>
      </c>
      <c r="H233" s="25">
        <v>-9999</v>
      </c>
      <c r="I233" s="25">
        <v>-9999</v>
      </c>
      <c r="J233" s="25">
        <v>-9999</v>
      </c>
      <c r="K233" s="25">
        <v>-9999</v>
      </c>
      <c r="L233" s="25">
        <v>-9999</v>
      </c>
      <c r="M233" s="25">
        <v>-9999</v>
      </c>
      <c r="N233" s="25">
        <v>-9999</v>
      </c>
      <c r="O233" s="25">
        <v>-9999</v>
      </c>
      <c r="P233"/>
      <c r="Q233"/>
      <c r="AA233" s="22">
        <v>133</v>
      </c>
      <c r="AB233" s="1080" t="str">
        <f t="shared" si="30"/>
        <v>GG SUBSIDIES FROM THE REST OF THE WORLD</v>
      </c>
      <c r="AC233" s="1080">
        <f>CHOOSE(Tables!$U$2,Transfer!CA233,Transfer!CN233,Transfer!DA233,Transfer!DN233,Transfer!EA233)</f>
        <v>7.8160000000000025</v>
      </c>
      <c r="AD233" s="1080">
        <f>CHOOSE(Tables!$U$2,Transfer!CB233,Transfer!CO233,Transfer!DB233,Transfer!DO233,Transfer!EB233)</f>
        <v>8.1319999999999908</v>
      </c>
      <c r="AE233" s="1080">
        <f>CHOOSE(Tables!$U$2,Transfer!CC233,Transfer!CP233,Transfer!DC233,Transfer!DP233,Transfer!EC233)</f>
        <v>7.8580000000000041</v>
      </c>
      <c r="AF233" s="1080">
        <f>CHOOSE(Tables!$U$2,Transfer!CD233,Transfer!CQ233,Transfer!DD233,Transfer!DQ233,Transfer!ED233)</f>
        <v>7.8580000000000041</v>
      </c>
      <c r="AG233" s="1080">
        <f>CHOOSE(Tables!$U$2,Transfer!CE233,Transfer!CR233,Transfer!DE233,Transfer!DR233,Transfer!EE233)</f>
        <v>7.8580000000000041</v>
      </c>
      <c r="AH233" s="1080">
        <f>CHOOSE(Tables!$U$2,Transfer!CF233,Transfer!CS233,Transfer!DF233,Transfer!DS233,Transfer!EF233)</f>
        <v>-9999</v>
      </c>
      <c r="AI233" s="1080">
        <f>CHOOSE(Tables!$U$2,Transfer!CG233,Transfer!CT233,Transfer!DG233,Transfer!DT233,Transfer!EG233)</f>
        <v>-9999</v>
      </c>
      <c r="AJ233" s="1080">
        <f>CHOOSE(Tables!$U$2,Transfer!CH233,Transfer!CU233,Transfer!DH233,Transfer!DU233,Transfer!EH233)</f>
        <v>-9999</v>
      </c>
      <c r="AK233" s="1080">
        <f>CHOOSE(Tables!$U$2,Transfer!CI233,Transfer!CV233,Transfer!DI233,Transfer!DV233,Transfer!EI233)</f>
        <v>-9999</v>
      </c>
      <c r="AL233" s="1080">
        <f>CHOOSE(Tables!$U$2,Transfer!CJ233,Transfer!CW233,Transfer!DJ233,Transfer!DW233,Transfer!EJ233)</f>
        <v>-9999</v>
      </c>
      <c r="AM233" s="1080">
        <f>CHOOSE(Tables!$U$2,Transfer!CK233,Transfer!CX233,Transfer!DK233,Transfer!DX233,Transfer!EK233)</f>
        <v>-9999</v>
      </c>
      <c r="AN233" s="1080">
        <f>CHOOSE(Tables!$U$2,Transfer!CL233,Transfer!CY233,Transfer!DL233,Transfer!DY233,Transfer!EL233)</f>
        <v>-9999</v>
      </c>
      <c r="AO233" s="1080">
        <f>CHOOSE(Tables!$U$2,Transfer!CM233,Transfer!CZ233,Transfer!DM233,Transfer!DZ233,Transfer!EM233)</f>
        <v>-9999</v>
      </c>
      <c r="AR233" s="22">
        <v>133</v>
      </c>
      <c r="AS233" s="1" t="s">
        <v>345</v>
      </c>
      <c r="AT233" s="24">
        <f t="shared" ca="1" si="21"/>
        <v>0.23900000000000432</v>
      </c>
      <c r="AU233" s="24">
        <f t="shared" ca="1" si="22"/>
        <v>-0.27599999999999625</v>
      </c>
      <c r="AV233" s="24">
        <f t="shared" ca="1" si="23"/>
        <v>-2.0000000000095497E-3</v>
      </c>
      <c r="AW233" s="24">
        <f t="shared" ca="1" si="24"/>
        <v>-2.0000000000095497E-3</v>
      </c>
      <c r="AX233" s="24">
        <f t="shared" ca="1" si="25"/>
        <v>-2.0000000000095497E-3</v>
      </c>
      <c r="AY233" s="25">
        <f t="shared" si="26"/>
        <v>0</v>
      </c>
      <c r="AZ233" s="25">
        <f t="shared" si="27"/>
        <v>0</v>
      </c>
      <c r="BA233" s="25">
        <f t="shared" si="28"/>
        <v>0</v>
      </c>
      <c r="BB233" s="25">
        <f t="shared" si="29"/>
        <v>0</v>
      </c>
      <c r="BC233" s="25">
        <f t="shared" si="20"/>
        <v>0</v>
      </c>
      <c r="BD233" s="25">
        <f t="shared" si="20"/>
        <v>0</v>
      </c>
      <c r="BE233" s="25">
        <f t="shared" si="20"/>
        <v>0</v>
      </c>
      <c r="BF233" s="25">
        <f t="shared" si="20"/>
        <v>0</v>
      </c>
      <c r="CA233" s="16">
        <v>8.0550000000000068</v>
      </c>
      <c r="CB233" s="16">
        <v>7.8559999999999945</v>
      </c>
      <c r="CC233" s="16">
        <v>7.8559999999999945</v>
      </c>
      <c r="CD233" s="16">
        <v>7.8559999999999945</v>
      </c>
      <c r="CE233" s="16">
        <v>7.8559999999999945</v>
      </c>
      <c r="CF233" s="16">
        <v>-9999</v>
      </c>
      <c r="CG233" s="16">
        <v>-9999</v>
      </c>
      <c r="CH233" s="16">
        <v>-9999</v>
      </c>
      <c r="CI233" s="16">
        <v>-9999</v>
      </c>
      <c r="CJ233" s="16">
        <v>-9999</v>
      </c>
      <c r="CK233" s="16">
        <v>-9999</v>
      </c>
      <c r="CL233" s="16">
        <v>-9999</v>
      </c>
      <c r="CM233" s="16">
        <v>-9999</v>
      </c>
      <c r="CN233" s="16">
        <v>7.8160000000000025</v>
      </c>
      <c r="CO233" s="16">
        <v>8.1319999999999908</v>
      </c>
      <c r="CP233" s="16">
        <v>7.8580000000000041</v>
      </c>
      <c r="CQ233" s="16">
        <v>7.8580000000000041</v>
      </c>
      <c r="CR233" s="16">
        <v>7.8580000000000041</v>
      </c>
      <c r="CS233" s="16">
        <v>-9999</v>
      </c>
      <c r="CT233" s="16">
        <v>-9999</v>
      </c>
      <c r="CU233" s="16">
        <v>-9999</v>
      </c>
      <c r="CV233" s="16">
        <v>-9999</v>
      </c>
      <c r="CW233" s="16">
        <v>-9999</v>
      </c>
      <c r="CX233" s="16">
        <v>-9999</v>
      </c>
      <c r="CY233" s="16">
        <v>-9999</v>
      </c>
      <c r="CZ233" s="16">
        <v>-9999</v>
      </c>
      <c r="DA233" s="16">
        <v>8.0550000000000068</v>
      </c>
      <c r="DB233" s="16">
        <v>7.8559999999999945</v>
      </c>
      <c r="DC233" s="16">
        <v>7.8559999999999945</v>
      </c>
      <c r="DD233" s="16">
        <v>7.8559999999999945</v>
      </c>
      <c r="DE233" s="16">
        <v>7.8559999999999945</v>
      </c>
      <c r="DF233" s="16">
        <v>-9999</v>
      </c>
      <c r="DG233" s="16">
        <v>-9999</v>
      </c>
      <c r="DH233" s="16">
        <v>-9999</v>
      </c>
      <c r="DI233" s="16">
        <v>-9999</v>
      </c>
      <c r="DJ233" s="16">
        <v>-9999</v>
      </c>
      <c r="DK233" s="16">
        <v>-9999</v>
      </c>
      <c r="DL233" s="16">
        <v>-9999</v>
      </c>
      <c r="DM233" s="16">
        <v>-9999</v>
      </c>
      <c r="DN233" s="16">
        <v>8.0550000000000068</v>
      </c>
      <c r="DO233" s="16">
        <v>7.8559999999999945</v>
      </c>
      <c r="DP233" s="16">
        <v>7.8559999999999945</v>
      </c>
      <c r="DQ233" s="16">
        <v>7.8559999999999945</v>
      </c>
      <c r="DR233" s="16">
        <v>7.8559999999999945</v>
      </c>
      <c r="DS233" s="16">
        <v>-9999</v>
      </c>
      <c r="DT233" s="16">
        <v>-9999</v>
      </c>
      <c r="DU233" s="16">
        <v>-9999</v>
      </c>
      <c r="DV233" s="16">
        <v>-9999</v>
      </c>
      <c r="DW233" s="16">
        <v>-9999</v>
      </c>
      <c r="DX233" s="16">
        <v>-9999</v>
      </c>
      <c r="DY233" s="16">
        <v>-9999</v>
      </c>
      <c r="DZ233" s="16">
        <v>-9999</v>
      </c>
      <c r="EA233" s="2256">
        <v>8.0550000000000068</v>
      </c>
      <c r="EB233" s="2256">
        <v>7.8559999999999945</v>
      </c>
      <c r="EC233" s="2256">
        <v>7.8559999999999945</v>
      </c>
      <c r="ED233" s="2256">
        <v>7.8559999999999945</v>
      </c>
      <c r="EE233" s="2256">
        <v>7.8559999999999945</v>
      </c>
      <c r="EF233" s="2257">
        <v>-9999</v>
      </c>
      <c r="EG233" s="2257">
        <v>-9999</v>
      </c>
      <c r="EH233" s="2257">
        <v>-9999</v>
      </c>
      <c r="EI233" s="2257">
        <v>-9999</v>
      </c>
      <c r="EJ233" s="2257">
        <v>-9999</v>
      </c>
      <c r="EK233" s="2257">
        <v>-9999</v>
      </c>
      <c r="EL233" s="2257">
        <v>-9999</v>
      </c>
      <c r="EM233" s="2257">
        <v>-9999</v>
      </c>
    </row>
    <row r="234" spans="1:143" ht="13.15">
      <c r="A234" s="22">
        <v>134</v>
      </c>
      <c r="B234" s="30" t="s">
        <v>973</v>
      </c>
      <c r="C234" s="25">
        <v>-9999</v>
      </c>
      <c r="D234" s="25">
        <v>-9999</v>
      </c>
      <c r="E234" s="25">
        <v>-9999</v>
      </c>
      <c r="F234" s="25">
        <v>-9999</v>
      </c>
      <c r="G234" s="25">
        <v>-9999</v>
      </c>
      <c r="H234" s="25">
        <v>-9999</v>
      </c>
      <c r="I234" s="25">
        <v>-9999</v>
      </c>
      <c r="J234" s="25">
        <v>-9999</v>
      </c>
      <c r="K234" s="25">
        <v>-9999</v>
      </c>
      <c r="L234" s="25">
        <v>-9999</v>
      </c>
      <c r="M234" s="25">
        <v>-9999</v>
      </c>
      <c r="N234" s="25">
        <v>-9999</v>
      </c>
      <c r="O234" s="25">
        <v>-9999</v>
      </c>
      <c r="P234" s="26"/>
      <c r="Q234"/>
      <c r="AA234" s="22">
        <v>134</v>
      </c>
      <c r="AB234" s="1080" t="str">
        <f>+B238</f>
        <v>GG ONE-OFF MEASURES (REVENUE SIDE)</v>
      </c>
      <c r="AC234" s="1080">
        <f>CHOOSE(Tables!$U$2,Transfer!CA234,Transfer!CN234,Transfer!DA234,Transfer!DN234,Transfer!EA234)</f>
        <v>-9999</v>
      </c>
      <c r="AD234" s="1080">
        <f>CHOOSE(Tables!$U$2,Transfer!CB234,Transfer!CO234,Transfer!DB234,Transfer!DO234,Transfer!EB234)</f>
        <v>-9999</v>
      </c>
      <c r="AE234" s="1080">
        <f>CHOOSE(Tables!$U$2,Transfer!CC234,Transfer!CP234,Transfer!DC234,Transfer!DP234,Transfer!EC234)</f>
        <v>-9999</v>
      </c>
      <c r="AF234" s="1080">
        <f>CHOOSE(Tables!$U$2,Transfer!CD234,Transfer!CQ234,Transfer!DD234,Transfer!DQ234,Transfer!ED234)</f>
        <v>-9999</v>
      </c>
      <c r="AG234" s="1080">
        <f>CHOOSE(Tables!$U$2,Transfer!CE234,Transfer!CR234,Transfer!DE234,Transfer!DR234,Transfer!EE234)</f>
        <v>-9999</v>
      </c>
      <c r="AH234" s="1080">
        <f>CHOOSE(Tables!$U$2,Transfer!CF234,Transfer!CS234,Transfer!DF234,Transfer!DS234,Transfer!EF234)</f>
        <v>-9999</v>
      </c>
      <c r="AI234" s="1080">
        <f>CHOOSE(Tables!$U$2,Transfer!CG234,Transfer!CT234,Transfer!DG234,Transfer!DT234,Transfer!EG234)</f>
        <v>-9999</v>
      </c>
      <c r="AJ234" s="1080">
        <f>CHOOSE(Tables!$U$2,Transfer!CH234,Transfer!CU234,Transfer!DH234,Transfer!DU234,Transfer!EH234)</f>
        <v>-9999</v>
      </c>
      <c r="AK234" s="1080">
        <f>CHOOSE(Tables!$U$2,Transfer!CI234,Transfer!CV234,Transfer!DI234,Transfer!DV234,Transfer!EI234)</f>
        <v>-9999</v>
      </c>
      <c r="AL234" s="1080">
        <f>CHOOSE(Tables!$U$2,Transfer!CJ234,Transfer!CW234,Transfer!DJ234,Transfer!DW234,Transfer!EJ234)</f>
        <v>-9999</v>
      </c>
      <c r="AM234" s="1080">
        <f>CHOOSE(Tables!$U$2,Transfer!CK234,Transfer!CX234,Transfer!DK234,Transfer!DX234,Transfer!EK234)</f>
        <v>-9999</v>
      </c>
      <c r="AN234" s="1080">
        <f>CHOOSE(Tables!$U$2,Transfer!CL234,Transfer!CY234,Transfer!DL234,Transfer!DY234,Transfer!EL234)</f>
        <v>-9999</v>
      </c>
      <c r="AO234" s="1080">
        <f>CHOOSE(Tables!$U$2,Transfer!CM234,Transfer!CZ234,Transfer!DM234,Transfer!DZ234,Transfer!EM234)</f>
        <v>-9999</v>
      </c>
      <c r="AR234" s="22">
        <v>134</v>
      </c>
      <c r="AS234" s="1" t="s">
        <v>346</v>
      </c>
      <c r="AT234" s="1919">
        <f t="shared" ref="AT234:AX235" si="31">C238-AC234</f>
        <v>9999</v>
      </c>
      <c r="AU234" s="1919">
        <f t="shared" si="31"/>
        <v>9999</v>
      </c>
      <c r="AV234" s="1919">
        <f t="shared" si="31"/>
        <v>9999</v>
      </c>
      <c r="AW234" s="1919">
        <f t="shared" si="31"/>
        <v>9999</v>
      </c>
      <c r="AX234" s="1919">
        <f t="shared" si="31"/>
        <v>9999</v>
      </c>
      <c r="AY234" s="25">
        <f t="shared" si="26"/>
        <v>0</v>
      </c>
      <c r="AZ234" s="25">
        <f t="shared" si="27"/>
        <v>0</v>
      </c>
      <c r="BA234" s="25">
        <f t="shared" si="28"/>
        <v>0</v>
      </c>
      <c r="BB234" s="25">
        <f t="shared" si="29"/>
        <v>0</v>
      </c>
      <c r="BC234" s="25">
        <f t="shared" si="20"/>
        <v>0</v>
      </c>
      <c r="BD234" s="25">
        <f t="shared" si="20"/>
        <v>0</v>
      </c>
      <c r="BE234" s="25">
        <f t="shared" si="20"/>
        <v>0</v>
      </c>
      <c r="BF234" s="25">
        <f t="shared" si="20"/>
        <v>0</v>
      </c>
      <c r="CA234" s="16">
        <v>-9999</v>
      </c>
      <c r="CB234" s="16">
        <v>-9999</v>
      </c>
      <c r="CC234" s="16">
        <v>-9999</v>
      </c>
      <c r="CD234" s="16">
        <v>-9999</v>
      </c>
      <c r="CE234" s="16">
        <v>-9999</v>
      </c>
      <c r="CF234" s="16">
        <v>-9999</v>
      </c>
      <c r="CG234" s="16">
        <v>-9999</v>
      </c>
      <c r="CH234" s="16">
        <v>-9999</v>
      </c>
      <c r="CI234" s="16">
        <v>-9999</v>
      </c>
      <c r="CJ234" s="16">
        <v>-9999</v>
      </c>
      <c r="CK234" s="16">
        <v>-9999</v>
      </c>
      <c r="CL234" s="16">
        <v>-9999</v>
      </c>
      <c r="CM234" s="16">
        <v>-9999</v>
      </c>
      <c r="CN234" s="16">
        <v>-9999</v>
      </c>
      <c r="CO234" s="16">
        <v>-9999</v>
      </c>
      <c r="CP234" s="16">
        <v>-9999</v>
      </c>
      <c r="CQ234" s="16">
        <v>-9999</v>
      </c>
      <c r="CR234" s="16">
        <v>-9999</v>
      </c>
      <c r="CS234" s="16">
        <v>-9999</v>
      </c>
      <c r="CT234" s="16">
        <v>-9999</v>
      </c>
      <c r="CU234" s="16">
        <v>-9999</v>
      </c>
      <c r="CV234" s="16">
        <v>-9999</v>
      </c>
      <c r="CW234" s="16">
        <v>-9999</v>
      </c>
      <c r="CX234" s="16">
        <v>-9999</v>
      </c>
      <c r="CY234" s="16">
        <v>-9999</v>
      </c>
      <c r="CZ234" s="16">
        <v>-9999</v>
      </c>
      <c r="DA234" s="16">
        <v>-9999</v>
      </c>
      <c r="DB234" s="16">
        <v>-9999</v>
      </c>
      <c r="DC234" s="16">
        <v>-9999</v>
      </c>
      <c r="DD234" s="16">
        <v>-9999</v>
      </c>
      <c r="DE234" s="16">
        <v>-9999</v>
      </c>
      <c r="DF234" s="16">
        <v>-9999</v>
      </c>
      <c r="DG234" s="16">
        <v>-9999</v>
      </c>
      <c r="DH234" s="16">
        <v>-9999</v>
      </c>
      <c r="DI234" s="16">
        <v>-9999</v>
      </c>
      <c r="DJ234" s="16">
        <v>-9999</v>
      </c>
      <c r="DK234" s="16">
        <v>-9999</v>
      </c>
      <c r="DL234" s="16">
        <v>-9999</v>
      </c>
      <c r="DM234" s="16">
        <v>-9999</v>
      </c>
      <c r="DN234" s="16">
        <v>-9999</v>
      </c>
      <c r="DO234" s="16">
        <v>-9999</v>
      </c>
      <c r="DP234" s="16">
        <v>-9999</v>
      </c>
      <c r="DQ234" s="16">
        <v>-9999</v>
      </c>
      <c r="DR234" s="16">
        <v>-9999</v>
      </c>
      <c r="DS234" s="16">
        <v>-9999</v>
      </c>
      <c r="DT234" s="16">
        <v>-9999</v>
      </c>
      <c r="DU234" s="16">
        <v>-9999</v>
      </c>
      <c r="DV234" s="16">
        <v>-9999</v>
      </c>
      <c r="DW234" s="16">
        <v>-9999</v>
      </c>
      <c r="DX234" s="16">
        <v>-9999</v>
      </c>
      <c r="DY234" s="16">
        <v>-9999</v>
      </c>
      <c r="DZ234" s="16">
        <v>-9999</v>
      </c>
      <c r="EA234" s="2256">
        <v>-9999</v>
      </c>
      <c r="EB234" s="2256">
        <v>-9999</v>
      </c>
      <c r="EC234" s="2256">
        <v>-9999</v>
      </c>
      <c r="ED234" s="2256">
        <v>-9999</v>
      </c>
      <c r="EE234" s="2256">
        <v>-9999</v>
      </c>
      <c r="EF234" s="2257">
        <v>-9999</v>
      </c>
      <c r="EG234" s="2257">
        <v>-9999</v>
      </c>
      <c r="EH234" s="2257">
        <v>-9999</v>
      </c>
      <c r="EI234" s="2257">
        <v>-9999</v>
      </c>
      <c r="EJ234" s="2257">
        <v>-9999</v>
      </c>
      <c r="EK234" s="2257">
        <v>-9999</v>
      </c>
      <c r="EL234" s="2257">
        <v>-9999</v>
      </c>
      <c r="EM234" s="2257">
        <v>-9999</v>
      </c>
    </row>
    <row r="235" spans="1:143" ht="13.15">
      <c r="A235" s="22">
        <v>135</v>
      </c>
      <c r="B235" s="30" t="s">
        <v>973</v>
      </c>
      <c r="C235" s="25">
        <v>-9999</v>
      </c>
      <c r="D235" s="25">
        <v>-9999</v>
      </c>
      <c r="E235" s="25">
        <v>-9999</v>
      </c>
      <c r="F235" s="25">
        <v>-9999</v>
      </c>
      <c r="G235" s="25">
        <v>-9999</v>
      </c>
      <c r="H235" s="25">
        <v>-9999</v>
      </c>
      <c r="I235" s="25">
        <v>-9999</v>
      </c>
      <c r="J235" s="25">
        <v>-9999</v>
      </c>
      <c r="K235" s="25">
        <v>-9999</v>
      </c>
      <c r="L235" s="25">
        <v>-9999</v>
      </c>
      <c r="M235" s="25">
        <v>-9999</v>
      </c>
      <c r="N235" s="25">
        <v>-9999</v>
      </c>
      <c r="O235" s="25">
        <v>-9999</v>
      </c>
      <c r="P235" s="26"/>
      <c r="Q235"/>
      <c r="AA235" s="22">
        <v>135</v>
      </c>
      <c r="AB235" s="1080" t="str">
        <f>+B239</f>
        <v>GG ONE-OFF MEASURES (EXPENDITURE SIDE)</v>
      </c>
      <c r="AC235" s="1080">
        <f>CHOOSE(Tables!$U$2,Transfer!CA235,Transfer!CN235,Transfer!DA235,Transfer!DN235,Transfer!EA235)</f>
        <v>-9999</v>
      </c>
      <c r="AD235" s="1080">
        <f>CHOOSE(Tables!$U$2,Transfer!CB235,Transfer!CO235,Transfer!DB235,Transfer!DO235,Transfer!EB235)</f>
        <v>-9999</v>
      </c>
      <c r="AE235" s="1080">
        <f>CHOOSE(Tables!$U$2,Transfer!CC235,Transfer!CP235,Transfer!DC235,Transfer!DP235,Transfer!EC235)</f>
        <v>-9999</v>
      </c>
      <c r="AF235" s="1080">
        <f>CHOOSE(Tables!$U$2,Transfer!CD235,Transfer!CQ235,Transfer!DD235,Transfer!DQ235,Transfer!ED235)</f>
        <v>-9999</v>
      </c>
      <c r="AG235" s="1080">
        <f>CHOOSE(Tables!$U$2,Transfer!CE235,Transfer!CR235,Transfer!DE235,Transfer!DR235,Transfer!EE235)</f>
        <v>-9999</v>
      </c>
      <c r="AH235" s="1080">
        <f>CHOOSE(Tables!$U$2,Transfer!CF235,Transfer!CS235,Transfer!DF235,Transfer!DS235,Transfer!EF235)</f>
        <v>-9999</v>
      </c>
      <c r="AI235" s="1080">
        <f>CHOOSE(Tables!$U$2,Transfer!CG235,Transfer!CT235,Transfer!DG235,Transfer!DT235,Transfer!EG235)</f>
        <v>-9999</v>
      </c>
      <c r="AJ235" s="1080">
        <f>CHOOSE(Tables!$U$2,Transfer!CH235,Transfer!CU235,Transfer!DH235,Transfer!DU235,Transfer!EH235)</f>
        <v>-9999</v>
      </c>
      <c r="AK235" s="1080">
        <f>CHOOSE(Tables!$U$2,Transfer!CI235,Transfer!CV235,Transfer!DI235,Transfer!DV235,Transfer!EI235)</f>
        <v>-9999</v>
      </c>
      <c r="AL235" s="1080">
        <f>CHOOSE(Tables!$U$2,Transfer!CJ235,Transfer!CW235,Transfer!DJ235,Transfer!DW235,Transfer!EJ235)</f>
        <v>-9999</v>
      </c>
      <c r="AM235" s="1080">
        <f>CHOOSE(Tables!$U$2,Transfer!CK235,Transfer!CX235,Transfer!DK235,Transfer!DX235,Transfer!EK235)</f>
        <v>-9999</v>
      </c>
      <c r="AN235" s="1080">
        <f>CHOOSE(Tables!$U$2,Transfer!CL235,Transfer!CY235,Transfer!DL235,Transfer!DY235,Transfer!EL235)</f>
        <v>-9999</v>
      </c>
      <c r="AO235" s="1080">
        <f>CHOOSE(Tables!$U$2,Transfer!CM235,Transfer!CZ235,Transfer!DM235,Transfer!DZ235,Transfer!EM235)</f>
        <v>-9999</v>
      </c>
      <c r="AR235" s="22">
        <v>135</v>
      </c>
      <c r="AS235" s="1" t="s">
        <v>1311</v>
      </c>
      <c r="AT235" s="1919">
        <f t="shared" si="31"/>
        <v>9999</v>
      </c>
      <c r="AU235" s="1919">
        <f t="shared" si="31"/>
        <v>9999</v>
      </c>
      <c r="AV235" s="1919">
        <f t="shared" si="31"/>
        <v>9999</v>
      </c>
      <c r="AW235" s="1919">
        <f t="shared" si="31"/>
        <v>9999</v>
      </c>
      <c r="AX235" s="1919">
        <f t="shared" si="31"/>
        <v>9999</v>
      </c>
      <c r="AY235" s="25">
        <f t="shared" si="26"/>
        <v>0</v>
      </c>
      <c r="AZ235" s="25">
        <f t="shared" si="27"/>
        <v>0</v>
      </c>
      <c r="BA235" s="25">
        <f t="shared" si="28"/>
        <v>0</v>
      </c>
      <c r="BB235" s="25">
        <f t="shared" si="29"/>
        <v>0</v>
      </c>
      <c r="BC235" s="25">
        <f>L235-AL235</f>
        <v>0</v>
      </c>
      <c r="BD235" s="25">
        <f t="shared" si="20"/>
        <v>0</v>
      </c>
      <c r="BE235" s="25">
        <f t="shared" si="20"/>
        <v>0</v>
      </c>
      <c r="BF235" s="25">
        <f t="shared" si="20"/>
        <v>0</v>
      </c>
      <c r="CA235" s="16">
        <v>-9999</v>
      </c>
      <c r="CB235" s="16">
        <v>-9999</v>
      </c>
      <c r="CC235" s="16">
        <v>-9999</v>
      </c>
      <c r="CD235" s="16">
        <v>-9999</v>
      </c>
      <c r="CE235" s="16">
        <v>-9999</v>
      </c>
      <c r="CF235" s="16">
        <v>-9999</v>
      </c>
      <c r="CG235" s="16">
        <v>-9999</v>
      </c>
      <c r="CH235" s="16">
        <v>-9999</v>
      </c>
      <c r="CI235" s="16">
        <v>-9999</v>
      </c>
      <c r="CJ235" s="16">
        <v>-9999</v>
      </c>
      <c r="CK235" s="16">
        <v>-9999</v>
      </c>
      <c r="CL235" s="16">
        <v>-9999</v>
      </c>
      <c r="CM235" s="16">
        <v>-9999</v>
      </c>
      <c r="CN235" s="16">
        <v>-9999</v>
      </c>
      <c r="CO235" s="16">
        <v>-9999</v>
      </c>
      <c r="CP235" s="16">
        <v>-9999</v>
      </c>
      <c r="CQ235" s="16">
        <v>-9999</v>
      </c>
      <c r="CR235" s="16">
        <v>-9999</v>
      </c>
      <c r="CS235" s="16">
        <v>-9999</v>
      </c>
      <c r="CT235" s="16">
        <v>-9999</v>
      </c>
      <c r="CU235" s="16">
        <v>-9999</v>
      </c>
      <c r="CV235" s="16">
        <v>-9999</v>
      </c>
      <c r="CW235" s="16">
        <v>-9999</v>
      </c>
      <c r="CX235" s="16">
        <v>-9999</v>
      </c>
      <c r="CY235" s="16">
        <v>-9999</v>
      </c>
      <c r="CZ235" s="16">
        <v>-9999</v>
      </c>
      <c r="DA235" s="16">
        <v>-9999</v>
      </c>
      <c r="DB235" s="16">
        <v>-9999</v>
      </c>
      <c r="DC235" s="16">
        <v>-9999</v>
      </c>
      <c r="DD235" s="16">
        <v>-9999</v>
      </c>
      <c r="DE235" s="16">
        <v>-9999</v>
      </c>
      <c r="DF235" s="16">
        <v>-9999</v>
      </c>
      <c r="DG235" s="16">
        <v>-9999</v>
      </c>
      <c r="DH235" s="16">
        <v>-9999</v>
      </c>
      <c r="DI235" s="16">
        <v>-9999</v>
      </c>
      <c r="DJ235" s="16">
        <v>-9999</v>
      </c>
      <c r="DK235" s="16">
        <v>-9999</v>
      </c>
      <c r="DL235" s="16">
        <v>-9999</v>
      </c>
      <c r="DM235" s="16">
        <v>-9999</v>
      </c>
      <c r="DN235" s="16">
        <v>-9999</v>
      </c>
      <c r="DO235" s="16">
        <v>-9999</v>
      </c>
      <c r="DP235" s="16">
        <v>-9999</v>
      </c>
      <c r="DQ235" s="16">
        <v>-9999</v>
      </c>
      <c r="DR235" s="16">
        <v>-9999</v>
      </c>
      <c r="DS235" s="16">
        <v>-9999</v>
      </c>
      <c r="DT235" s="16">
        <v>-9999</v>
      </c>
      <c r="DU235" s="16">
        <v>-9999</v>
      </c>
      <c r="DV235" s="16">
        <v>-9999</v>
      </c>
      <c r="DW235" s="16">
        <v>-9999</v>
      </c>
      <c r="DX235" s="16">
        <v>-9999</v>
      </c>
      <c r="DY235" s="16">
        <v>-9999</v>
      </c>
      <c r="DZ235" s="16">
        <v>-9999</v>
      </c>
      <c r="EA235" s="2256">
        <v>-9999</v>
      </c>
      <c r="EB235" s="2256">
        <v>-9999</v>
      </c>
      <c r="EC235" s="2256">
        <v>-9999</v>
      </c>
      <c r="ED235" s="2256">
        <v>-9999</v>
      </c>
      <c r="EE235" s="2256">
        <v>-9999</v>
      </c>
      <c r="EF235" s="2257">
        <v>-9999</v>
      </c>
      <c r="EG235" s="2257">
        <v>-9999</v>
      </c>
      <c r="EH235" s="2257">
        <v>-9999</v>
      </c>
      <c r="EI235" s="2257">
        <v>-9999</v>
      </c>
      <c r="EJ235" s="2257">
        <v>-9999</v>
      </c>
      <c r="EK235" s="2257">
        <v>-9999</v>
      </c>
      <c r="EL235" s="2257">
        <v>-9999</v>
      </c>
      <c r="EM235" s="2257">
        <v>-9999</v>
      </c>
    </row>
    <row r="236" spans="1:143" ht="13.15">
      <c r="A236" s="22">
        <v>136</v>
      </c>
      <c r="B236" s="33" t="s">
        <v>36</v>
      </c>
      <c r="C236" s="1389">
        <f ca="1">OFFSET('VVP2'!F342,0,Last_forecast_year - 3-InputY!$G$3)</f>
        <v>4385.4970000000003</v>
      </c>
      <c r="D236" s="1389">
        <f ca="1">OFFSET('VVP2'!G342,0,Last_forecast_year - 3-InputY!$G$3)</f>
        <v>4578.8990000000003</v>
      </c>
      <c r="E236" s="1389">
        <f ca="1">OFFSET('VVP2'!H342,0,Last_forecast_year - 3-InputY!$G$3)</f>
        <v>4803.175142808399</v>
      </c>
      <c r="F236" s="1389">
        <f ca="1">OFFSET('VVP2'!I342,0,Last_forecast_year - 3-InputY!$G$3)</f>
        <v>4984.7963994590627</v>
      </c>
      <c r="G236" s="1389">
        <f ca="1">OFFSET('VVP2'!J342,0,Last_forecast_year - 3-InputY!$G$3)</f>
        <v>5161.5156149911854</v>
      </c>
      <c r="H236" s="25">
        <v>-9999</v>
      </c>
      <c r="I236" s="25">
        <v>-9999</v>
      </c>
      <c r="J236" s="25">
        <v>-9999</v>
      </c>
      <c r="K236" s="25">
        <v>-9999</v>
      </c>
      <c r="L236" s="25">
        <v>-9999</v>
      </c>
      <c r="M236" s="25">
        <v>-9999</v>
      </c>
      <c r="N236" s="25">
        <v>-9999</v>
      </c>
      <c r="O236" s="25">
        <v>-9999</v>
      </c>
      <c r="P236" s="26"/>
      <c r="Q236"/>
      <c r="AA236" s="22">
        <v>136</v>
      </c>
      <c r="AB236" s="1080" t="str">
        <f t="shared" si="30"/>
        <v>GG NOTIFIED GDP FOR PUBLIC FINANCE</v>
      </c>
      <c r="AC236" s="1080">
        <f>CHOOSE(Tables!$U$2,Transfer!CA236,Transfer!CN236,Transfer!DA236,Transfer!DN236,Transfer!EA236)</f>
        <v>4199.8599999999997</v>
      </c>
      <c r="AD236" s="1080">
        <f>CHOOSE(Tables!$U$2,Transfer!CB236,Transfer!CO236,Transfer!DB236,Transfer!DO236,Transfer!EB236)</f>
        <v>4404.8019999999997</v>
      </c>
      <c r="AE236" s="1080">
        <f>CHOOSE(Tables!$U$2,Transfer!CC236,Transfer!CP236,Transfer!DC236,Transfer!DP236,Transfer!EC236)</f>
        <v>4604.2049999999999</v>
      </c>
      <c r="AF236" s="1080">
        <f>CHOOSE(Tables!$U$2,Transfer!CD236,Transfer!CQ236,Transfer!DD236,Transfer!DQ236,Transfer!ED236)</f>
        <v>4824.3339828569297</v>
      </c>
      <c r="AG236" s="1080">
        <f>CHOOSE(Tables!$U$2,Transfer!CE236,Transfer!CR236,Transfer!DE236,Transfer!DR236,Transfer!EE236)</f>
        <v>5034.0168793695402</v>
      </c>
      <c r="AH236" s="1080">
        <f>CHOOSE(Tables!$U$2,Transfer!CF236,Transfer!CS236,Transfer!DF236,Transfer!DS236,Transfer!EF236)</f>
        <v>-9999</v>
      </c>
      <c r="AI236" s="1080">
        <f>CHOOSE(Tables!$U$2,Transfer!CG236,Transfer!CT236,Transfer!DG236,Transfer!DT236,Transfer!EG236)</f>
        <v>-9999</v>
      </c>
      <c r="AJ236" s="1080">
        <f>CHOOSE(Tables!$U$2,Transfer!CH236,Transfer!CU236,Transfer!DH236,Transfer!DU236,Transfer!EH236)</f>
        <v>-9999</v>
      </c>
      <c r="AK236" s="1080">
        <f>CHOOSE(Tables!$U$2,Transfer!CI236,Transfer!CV236,Transfer!DI236,Transfer!DV236,Transfer!EI236)</f>
        <v>-9999</v>
      </c>
      <c r="AL236" s="1080">
        <f>CHOOSE(Tables!$U$2,Transfer!CJ236,Transfer!CW236,Transfer!DJ236,Transfer!DW236,Transfer!EJ236)</f>
        <v>-9999</v>
      </c>
      <c r="AM236" s="1080">
        <f>CHOOSE(Tables!$U$2,Transfer!CK236,Transfer!CX236,Transfer!DK236,Transfer!DX236,Transfer!EK236)</f>
        <v>-9999</v>
      </c>
      <c r="AN236" s="1080">
        <f>CHOOSE(Tables!$U$2,Transfer!CL236,Transfer!CY236,Transfer!DL236,Transfer!DY236,Transfer!EL236)</f>
        <v>-9999</v>
      </c>
      <c r="AO236" s="1080">
        <f>CHOOSE(Tables!$U$2,Transfer!CM236,Transfer!CZ236,Transfer!DM236,Transfer!DZ236,Transfer!EM236)</f>
        <v>-9999</v>
      </c>
      <c r="AR236" s="22">
        <v>136</v>
      </c>
      <c r="AS236" s="33" t="s">
        <v>36</v>
      </c>
      <c r="AT236" s="1389">
        <f t="shared" ca="1" si="21"/>
        <v>185.63700000000063</v>
      </c>
      <c r="AU236" s="1389">
        <f t="shared" ca="1" si="22"/>
        <v>174.09700000000066</v>
      </c>
      <c r="AV236" s="1389">
        <f t="shared" ca="1" si="23"/>
        <v>198.97014280839903</v>
      </c>
      <c r="AW236" s="1389">
        <f t="shared" ca="1" si="24"/>
        <v>160.46241660213309</v>
      </c>
      <c r="AX236" s="1389">
        <f t="shared" ca="1" si="25"/>
        <v>127.49873562164521</v>
      </c>
      <c r="AY236" s="25">
        <f t="shared" si="26"/>
        <v>0</v>
      </c>
      <c r="AZ236" s="25">
        <f t="shared" si="27"/>
        <v>0</v>
      </c>
      <c r="BA236" s="25">
        <f t="shared" si="28"/>
        <v>0</v>
      </c>
      <c r="BB236" s="25">
        <f t="shared" si="29"/>
        <v>0</v>
      </c>
      <c r="BC236" s="25">
        <f t="shared" si="20"/>
        <v>0</v>
      </c>
      <c r="BD236" s="25">
        <f t="shared" si="20"/>
        <v>0</v>
      </c>
      <c r="BE236" s="25">
        <f t="shared" si="20"/>
        <v>0</v>
      </c>
      <c r="BF236" s="25">
        <f t="shared" si="20"/>
        <v>0</v>
      </c>
      <c r="CA236" s="16">
        <v>4385.4970000000003</v>
      </c>
      <c r="CB236" s="16">
        <v>4578.8990000000003</v>
      </c>
      <c r="CC236" s="16">
        <v>4803.175142808399</v>
      </c>
      <c r="CD236" s="16">
        <v>4984.7963994590627</v>
      </c>
      <c r="CE236" s="16">
        <v>5161.5156149911854</v>
      </c>
      <c r="CF236" s="16">
        <v>-9999</v>
      </c>
      <c r="CG236" s="16">
        <v>-9999</v>
      </c>
      <c r="CH236" s="16">
        <v>-9999</v>
      </c>
      <c r="CI236" s="16">
        <v>-9999</v>
      </c>
      <c r="CJ236" s="16">
        <v>-9999</v>
      </c>
      <c r="CK236" s="16">
        <v>-9999</v>
      </c>
      <c r="CL236" s="16">
        <v>-9999</v>
      </c>
      <c r="CM236" s="16">
        <v>-9999</v>
      </c>
      <c r="CN236" s="16">
        <v>4199.8599999999997</v>
      </c>
      <c r="CO236" s="16">
        <v>4404.8019999999997</v>
      </c>
      <c r="CP236" s="16">
        <v>4604.2049999999999</v>
      </c>
      <c r="CQ236" s="16">
        <v>4824.3339828569297</v>
      </c>
      <c r="CR236" s="16">
        <v>5034.0168793695402</v>
      </c>
      <c r="CS236" s="16">
        <v>-9999</v>
      </c>
      <c r="CT236" s="16">
        <v>-9999</v>
      </c>
      <c r="CU236" s="16">
        <v>-9999</v>
      </c>
      <c r="CV236" s="16">
        <v>-9999</v>
      </c>
      <c r="CW236" s="16">
        <v>-9999</v>
      </c>
      <c r="CX236" s="16">
        <v>-9999</v>
      </c>
      <c r="CY236" s="16">
        <v>-9999</v>
      </c>
      <c r="CZ236" s="16">
        <v>-9999</v>
      </c>
      <c r="DA236" s="16">
        <v>4385.4970000000003</v>
      </c>
      <c r="DB236" s="16">
        <v>4578.8990000000003</v>
      </c>
      <c r="DC236" s="16">
        <v>4803.3233320623995</v>
      </c>
      <c r="DD236" s="16">
        <v>4984.4803365953931</v>
      </c>
      <c r="DE236" s="16">
        <v>5161.048826539306</v>
      </c>
      <c r="DF236" s="16">
        <v>-9999</v>
      </c>
      <c r="DG236" s="16">
        <v>-9999</v>
      </c>
      <c r="DH236" s="16">
        <v>-9999</v>
      </c>
      <c r="DI236" s="16">
        <v>-9999</v>
      </c>
      <c r="DJ236" s="16">
        <v>-9999</v>
      </c>
      <c r="DK236" s="16">
        <v>-9999</v>
      </c>
      <c r="DL236" s="16">
        <v>-9999</v>
      </c>
      <c r="DM236" s="16">
        <v>-9999</v>
      </c>
      <c r="DN236" s="16">
        <v>4385.4970000000003</v>
      </c>
      <c r="DO236" s="16">
        <v>4578.8990000000003</v>
      </c>
      <c r="DP236" s="16">
        <v>4803.3807745623999</v>
      </c>
      <c r="DQ236" s="16">
        <v>4984.162283408541</v>
      </c>
      <c r="DR236" s="16">
        <v>5138.4669952379081</v>
      </c>
      <c r="DS236" s="16">
        <v>-9999</v>
      </c>
      <c r="DT236" s="16">
        <v>-9999</v>
      </c>
      <c r="DU236" s="16">
        <v>-9999</v>
      </c>
      <c r="DV236" s="16">
        <v>-9999</v>
      </c>
      <c r="DW236" s="16">
        <v>-9999</v>
      </c>
      <c r="DX236" s="16">
        <v>-9999</v>
      </c>
      <c r="DY236" s="16">
        <v>-9999</v>
      </c>
      <c r="DZ236" s="16">
        <v>-9999</v>
      </c>
      <c r="EA236" s="2256">
        <v>4385.4970000000003</v>
      </c>
      <c r="EB236" s="2256">
        <v>4578.8990000000003</v>
      </c>
      <c r="EC236" s="2256">
        <v>4803.175142808399</v>
      </c>
      <c r="ED236" s="2256">
        <v>4984.7963994590627</v>
      </c>
      <c r="EE236" s="2256">
        <v>5161.5156149911854</v>
      </c>
      <c r="EF236" s="2257">
        <v>-9999</v>
      </c>
      <c r="EG236" s="2257">
        <v>-9999</v>
      </c>
      <c r="EH236" s="2257">
        <v>-9999</v>
      </c>
      <c r="EI236" s="2257">
        <v>-9999</v>
      </c>
      <c r="EJ236" s="2257">
        <v>-9999</v>
      </c>
      <c r="EK236" s="2257">
        <v>-9999</v>
      </c>
      <c r="EL236" s="2257">
        <v>-9999</v>
      </c>
      <c r="EM236" s="2257">
        <v>-9999</v>
      </c>
    </row>
    <row r="237" spans="1:143" ht="13.15">
      <c r="A237" s="22">
        <v>137</v>
      </c>
      <c r="B237" s="33" t="s">
        <v>1118</v>
      </c>
      <c r="C237" s="24">
        <f ca="1">OFFSET(Sector1!F587,0,Last_forecast_year - 3-InputY!$G$3)</f>
        <v>48.751999999999697</v>
      </c>
      <c r="D237" s="24">
        <f ca="1">OFFSET(Sector1!G587,0,Last_forecast_year - 3-InputY!$G$3)</f>
        <v>71.078999999999922</v>
      </c>
      <c r="E237" s="24">
        <f ca="1">OFFSET(Sector1!H587,0,Last_forecast_year - 3-InputY!$G$3)</f>
        <v>50.536864155406874</v>
      </c>
      <c r="F237" s="24">
        <f ca="1">OFFSET(Sector1!I587,0,Last_forecast_year - 3-InputY!$G$3)</f>
        <v>47.112146506995487</v>
      </c>
      <c r="G237" s="24">
        <f ca="1">OFFSET(Sector1!J587,0,Last_forecast_year - 3-InputY!$G$3)</f>
        <v>43.305782331426599</v>
      </c>
      <c r="H237" s="25">
        <v>-9999</v>
      </c>
      <c r="I237" s="25">
        <v>-9999</v>
      </c>
      <c r="J237" s="25">
        <v>-9999</v>
      </c>
      <c r="K237" s="25">
        <v>-9999</v>
      </c>
      <c r="L237" s="25">
        <v>-9999</v>
      </c>
      <c r="M237" s="25">
        <v>-9999</v>
      </c>
      <c r="N237" s="25">
        <v>-9999</v>
      </c>
      <c r="O237" s="25">
        <v>-9999</v>
      </c>
      <c r="P237"/>
      <c r="Q237"/>
      <c r="AA237" s="22">
        <v>137</v>
      </c>
      <c r="AB237" s="1080" t="str">
        <f t="shared" si="30"/>
        <v>GG EDP REPORTED DEFICIT / SURPLUS</v>
      </c>
      <c r="AC237" s="1080">
        <f>CHOOSE(Tables!$U$2,Transfer!CA237,Transfer!CN237,Transfer!DA237,Transfer!DN237,Transfer!EA237)</f>
        <v>7.6929999999995289</v>
      </c>
      <c r="AD237" s="1080">
        <f>CHOOSE(Tables!$U$2,Transfer!CB237,Transfer!CO237,Transfer!DB237,Transfer!DO237,Transfer!EB237)</f>
        <v>52.232999999999635</v>
      </c>
      <c r="AE237" s="1080">
        <f>CHOOSE(Tables!$U$2,Transfer!CC237,Transfer!CP237,Transfer!DC237,Transfer!DP237,Transfer!EC237)</f>
        <v>58.48800000000017</v>
      </c>
      <c r="AF237" s="1080">
        <f>CHOOSE(Tables!$U$2,Transfer!CD237,Transfer!CQ237,Transfer!DD237,Transfer!DQ237,Transfer!ED237)</f>
        <v>36.723533994584614</v>
      </c>
      <c r="AG237" s="1080">
        <f>CHOOSE(Tables!$U$2,Transfer!CE237,Transfer!CR237,Transfer!DE237,Transfer!DR237,Transfer!EE237)</f>
        <v>43.855810182290043</v>
      </c>
      <c r="AH237" s="1080">
        <f>CHOOSE(Tables!$U$2,Transfer!CF237,Transfer!CS237,Transfer!DF237,Transfer!DS237,Transfer!EF237)</f>
        <v>-9999</v>
      </c>
      <c r="AI237" s="1080">
        <f>CHOOSE(Tables!$U$2,Transfer!CG237,Transfer!CT237,Transfer!DG237,Transfer!DT237,Transfer!EG237)</f>
        <v>-9999</v>
      </c>
      <c r="AJ237" s="1080">
        <f>CHOOSE(Tables!$U$2,Transfer!CH237,Transfer!CU237,Transfer!DH237,Transfer!DU237,Transfer!EH237)</f>
        <v>-9999</v>
      </c>
      <c r="AK237" s="1080">
        <f>CHOOSE(Tables!$U$2,Transfer!CI237,Transfer!CV237,Transfer!DI237,Transfer!DV237,Transfer!EI237)</f>
        <v>-9999</v>
      </c>
      <c r="AL237" s="1080">
        <f>CHOOSE(Tables!$U$2,Transfer!CJ237,Transfer!CW237,Transfer!DJ237,Transfer!DW237,Transfer!EJ237)</f>
        <v>-9999</v>
      </c>
      <c r="AM237" s="1080">
        <f>CHOOSE(Tables!$U$2,Transfer!CK237,Transfer!CX237,Transfer!DK237,Transfer!DX237,Transfer!EK237)</f>
        <v>-9999</v>
      </c>
      <c r="AN237" s="1080">
        <f>CHOOSE(Tables!$U$2,Transfer!CL237,Transfer!CY237,Transfer!DL237,Transfer!DY237,Transfer!EL237)</f>
        <v>-9999</v>
      </c>
      <c r="AO237" s="1080">
        <f>CHOOSE(Tables!$U$2,Transfer!CM237,Transfer!CZ237,Transfer!DM237,Transfer!DZ237,Transfer!EM237)</f>
        <v>-9999</v>
      </c>
      <c r="AR237" s="22">
        <v>137</v>
      </c>
      <c r="AS237" s="33" t="s">
        <v>1118</v>
      </c>
      <c r="AT237" s="24">
        <f t="shared" ca="1" si="21"/>
        <v>41.059000000000168</v>
      </c>
      <c r="AU237" s="24">
        <f t="shared" ca="1" si="22"/>
        <v>18.846000000000288</v>
      </c>
      <c r="AV237" s="24">
        <f t="shared" ca="1" si="23"/>
        <v>-7.9511358445932956</v>
      </c>
      <c r="AW237" s="24">
        <f t="shared" ca="1" si="24"/>
        <v>10.388612512410873</v>
      </c>
      <c r="AX237" s="24">
        <f t="shared" ca="1" si="25"/>
        <v>-0.55002785086344375</v>
      </c>
      <c r="AY237" s="25">
        <f t="shared" si="26"/>
        <v>0</v>
      </c>
      <c r="AZ237" s="25">
        <f t="shared" si="27"/>
        <v>0</v>
      </c>
      <c r="BA237" s="25">
        <f t="shared" si="28"/>
        <v>0</v>
      </c>
      <c r="BB237" s="25">
        <f t="shared" si="29"/>
        <v>0</v>
      </c>
      <c r="BC237" s="25">
        <f t="shared" si="20"/>
        <v>0</v>
      </c>
      <c r="BD237" s="25">
        <f t="shared" si="20"/>
        <v>0</v>
      </c>
      <c r="BE237" s="25">
        <f t="shared" si="20"/>
        <v>0</v>
      </c>
      <c r="BF237" s="25">
        <f t="shared" si="20"/>
        <v>0</v>
      </c>
      <c r="CA237" s="16">
        <v>48.751999999999697</v>
      </c>
      <c r="CB237" s="16">
        <v>71.078999999999922</v>
      </c>
      <c r="CC237" s="16">
        <v>50.364885849164239</v>
      </c>
      <c r="CD237" s="16">
        <v>46.929697360145383</v>
      </c>
      <c r="CE237" s="16">
        <v>43.112735355715813</v>
      </c>
      <c r="CF237" s="16">
        <v>-9999</v>
      </c>
      <c r="CG237" s="16">
        <v>-9999</v>
      </c>
      <c r="CH237" s="16">
        <v>-9999</v>
      </c>
      <c r="CI237" s="16">
        <v>-9999</v>
      </c>
      <c r="CJ237" s="16">
        <v>-9999</v>
      </c>
      <c r="CK237" s="16">
        <v>-9999</v>
      </c>
      <c r="CL237" s="16">
        <v>-9999</v>
      </c>
      <c r="CM237" s="16">
        <v>-9999</v>
      </c>
      <c r="CN237" s="16">
        <v>7.6929999999995289</v>
      </c>
      <c r="CO237" s="16">
        <v>52.232999999999635</v>
      </c>
      <c r="CP237" s="16">
        <v>58.48800000000017</v>
      </c>
      <c r="CQ237" s="16">
        <v>36.723533994584614</v>
      </c>
      <c r="CR237" s="16">
        <v>43.855810182290043</v>
      </c>
      <c r="CS237" s="16">
        <v>-9999</v>
      </c>
      <c r="CT237" s="16">
        <v>-9999</v>
      </c>
      <c r="CU237" s="16">
        <v>-9999</v>
      </c>
      <c r="CV237" s="16">
        <v>-9999</v>
      </c>
      <c r="CW237" s="16">
        <v>-9999</v>
      </c>
      <c r="CX237" s="16">
        <v>-9999</v>
      </c>
      <c r="CY237" s="16">
        <v>-9999</v>
      </c>
      <c r="CZ237" s="16">
        <v>-9999</v>
      </c>
      <c r="DA237" s="16">
        <v>48.751999999999697</v>
      </c>
      <c r="DB237" s="16">
        <v>71.078999999999922</v>
      </c>
      <c r="DC237" s="16">
        <v>47.948144104313997</v>
      </c>
      <c r="DD237" s="16">
        <v>34.634841869603406</v>
      </c>
      <c r="DE237" s="16">
        <v>23.81431019565116</v>
      </c>
      <c r="DF237" s="16">
        <v>-9999</v>
      </c>
      <c r="DG237" s="16">
        <v>-9999</v>
      </c>
      <c r="DH237" s="16">
        <v>-9999</v>
      </c>
      <c r="DI237" s="16">
        <v>-9999</v>
      </c>
      <c r="DJ237" s="16">
        <v>-9999</v>
      </c>
      <c r="DK237" s="16">
        <v>-9999</v>
      </c>
      <c r="DL237" s="16">
        <v>-9999</v>
      </c>
      <c r="DM237" s="16">
        <v>-9999</v>
      </c>
      <c r="DN237" s="16">
        <v>48.751999999999697</v>
      </c>
      <c r="DO237" s="16">
        <v>71.078999999999922</v>
      </c>
      <c r="DP237" s="16">
        <v>47.587295083780646</v>
      </c>
      <c r="DQ237" s="16">
        <v>43.057083161351784</v>
      </c>
      <c r="DR237" s="16">
        <v>42.481383188873224</v>
      </c>
      <c r="DS237" s="16">
        <v>-9999</v>
      </c>
      <c r="DT237" s="16">
        <v>-9999</v>
      </c>
      <c r="DU237" s="16">
        <v>-9999</v>
      </c>
      <c r="DV237" s="16">
        <v>-9999</v>
      </c>
      <c r="DW237" s="16">
        <v>-9999</v>
      </c>
      <c r="DX237" s="16">
        <v>-9999</v>
      </c>
      <c r="DY237" s="16">
        <v>-9999</v>
      </c>
      <c r="DZ237" s="16">
        <v>-9999</v>
      </c>
      <c r="EA237" s="2256">
        <v>48.751999999999697</v>
      </c>
      <c r="EB237" s="2256">
        <v>71.078999999999922</v>
      </c>
      <c r="EC237" s="2256">
        <v>50.536864155406874</v>
      </c>
      <c r="ED237" s="2256">
        <v>47.112146506995487</v>
      </c>
      <c r="EE237" s="2256">
        <v>43.305782331426599</v>
      </c>
      <c r="EF237" s="2257">
        <v>-9999</v>
      </c>
      <c r="EG237" s="2257">
        <v>-9999</v>
      </c>
      <c r="EH237" s="2257">
        <v>-9999</v>
      </c>
      <c r="EI237" s="2257">
        <v>-9999</v>
      </c>
      <c r="EJ237" s="2257">
        <v>-9999</v>
      </c>
      <c r="EK237" s="2257">
        <v>-9999</v>
      </c>
      <c r="EL237" s="2257">
        <v>-9999</v>
      </c>
      <c r="EM237" s="2257">
        <v>-9999</v>
      </c>
    </row>
    <row r="238" spans="1:143" ht="13.15">
      <c r="A238" s="22">
        <v>138</v>
      </c>
      <c r="B238" s="29" t="s">
        <v>1082</v>
      </c>
      <c r="C238" s="3380">
        <f>IF(ISNUMBER(HLOOKUP(C$100,InputDFM!$2:$8,MATCH(Transfer!$A238&amp;" "&amp;Transfer!$B238,InputDFM!$B$3:$B$8,0)+1,FALSE)),HLOOKUP(C$100,InputDFM!$2:$8,MATCH(Transfer!$A238&amp;" "&amp;Transfer!$B238,InputDFM!$B$3:$B$8,0)+1,FALSE),-9999)</f>
        <v>0</v>
      </c>
      <c r="D238" s="3380">
        <f>IF(ISNUMBER(HLOOKUP(D$100,InputDFM!$2:$8,MATCH(Transfer!$A238&amp;" "&amp;Transfer!$B238,InputDFM!$B$3:$B$8,0)+1,FALSE)),HLOOKUP(D$100,InputDFM!$2:$8,MATCH(Transfer!$A238&amp;" "&amp;Transfer!$B238,InputDFM!$B$3:$B$8,0)+1,FALSE),-9999)</f>
        <v>0</v>
      </c>
      <c r="E238" s="3380">
        <f>IF(ISNUMBER(HLOOKUP(E$100,InputDFM!$2:$8,MATCH(Transfer!$A238&amp;" "&amp;Transfer!$B238,InputDFM!$B$3:$B$8,0)+1,FALSE)),HLOOKUP(E$100,InputDFM!$2:$8,MATCH(Transfer!$A238&amp;" "&amp;Transfer!$B238,InputDFM!$B$3:$B$8,0)+1,FALSE),-9999)</f>
        <v>0</v>
      </c>
      <c r="F238" s="3380">
        <f>IF(ISNUMBER(HLOOKUP(F$100,InputDFM!$2:$8,MATCH(Transfer!$A238&amp;" "&amp;Transfer!$B238,InputDFM!$B$3:$B$8,0)+1,FALSE)),HLOOKUP(F$100,InputDFM!$2:$8,MATCH(Transfer!$A238&amp;" "&amp;Transfer!$B238,InputDFM!$B$3:$B$8,0)+1,FALSE),-9999)</f>
        <v>0</v>
      </c>
      <c r="G238" s="3380">
        <f>IF(ISNUMBER(HLOOKUP(G$100,InputDFM!$2:$8,MATCH(Transfer!$A238&amp;" "&amp;Transfer!$B238,InputDFM!$B$3:$B$8,0)+1,FALSE)),HLOOKUP(G$100,InputDFM!$2:$8,MATCH(Transfer!$A238&amp;" "&amp;Transfer!$B238,InputDFM!$B$3:$B$8,0)+1,FALSE),-9999)</f>
        <v>0</v>
      </c>
      <c r="H238" s="25">
        <v>-9999</v>
      </c>
      <c r="I238" s="25">
        <v>-9999</v>
      </c>
      <c r="J238" s="25">
        <v>-9999</v>
      </c>
      <c r="K238" s="25">
        <v>-9999</v>
      </c>
      <c r="L238" s="25">
        <v>-9999</v>
      </c>
      <c r="M238" s="25">
        <v>-9999</v>
      </c>
      <c r="N238" s="25">
        <v>-9999</v>
      </c>
      <c r="O238" s="25">
        <v>-9999</v>
      </c>
      <c r="P238" s="26"/>
      <c r="Q238"/>
      <c r="AA238" s="22">
        <v>138</v>
      </c>
      <c r="AB238" s="1080" t="e">
        <f>+#REF!</f>
        <v>#REF!</v>
      </c>
      <c r="AC238" s="1080">
        <f>CHOOSE(Tables!$U$2,Transfer!CA238,Transfer!CN238,Transfer!DA238,Transfer!DN238,Transfer!EA238)</f>
        <v>0</v>
      </c>
      <c r="AD238" s="1080">
        <f>CHOOSE(Tables!$U$2,Transfer!CB238,Transfer!CO238,Transfer!DB238,Transfer!DO238,Transfer!EB238)</f>
        <v>0</v>
      </c>
      <c r="AE238" s="1080">
        <f>CHOOSE(Tables!$U$2,Transfer!CC238,Transfer!CP238,Transfer!DC238,Transfer!DP238,Transfer!EC238)</f>
        <v>0</v>
      </c>
      <c r="AF238" s="1080">
        <f>CHOOSE(Tables!$U$2,Transfer!CD238,Transfer!CQ238,Transfer!DD238,Transfer!DQ238,Transfer!ED238)</f>
        <v>0</v>
      </c>
      <c r="AG238" s="1080">
        <f>CHOOSE(Tables!$U$2,Transfer!CE238,Transfer!CR238,Transfer!DE238,Transfer!DR238,Transfer!EE238)</f>
        <v>0</v>
      </c>
      <c r="AH238" s="1080">
        <f>CHOOSE(Tables!$U$2,Transfer!CF238,Transfer!CS238,Transfer!DF238,Transfer!DS238,Transfer!EF238)</f>
        <v>-9999</v>
      </c>
      <c r="AI238" s="1080">
        <f>CHOOSE(Tables!$U$2,Transfer!CG238,Transfer!CT238,Transfer!DG238,Transfer!DT238,Transfer!EG238)</f>
        <v>-9999</v>
      </c>
      <c r="AJ238" s="1080">
        <f>CHOOSE(Tables!$U$2,Transfer!CH238,Transfer!CU238,Transfer!DH238,Transfer!DU238,Transfer!EH238)</f>
        <v>-9999</v>
      </c>
      <c r="AK238" s="1080">
        <f>CHOOSE(Tables!$U$2,Transfer!CI238,Transfer!CV238,Transfer!DI238,Transfer!DV238,Transfer!EI238)</f>
        <v>-9999</v>
      </c>
      <c r="AL238" s="1080">
        <f>CHOOSE(Tables!$U$2,Transfer!CJ238,Transfer!CW238,Transfer!DJ238,Transfer!DW238,Transfer!EJ238)</f>
        <v>-9999</v>
      </c>
      <c r="AM238" s="1080">
        <f>CHOOSE(Tables!$U$2,Transfer!CK238,Transfer!CX238,Transfer!DK238,Transfer!DX238,Transfer!EK238)</f>
        <v>-9999</v>
      </c>
      <c r="AN238" s="1080">
        <f>CHOOSE(Tables!$U$2,Transfer!CL238,Transfer!CY238,Transfer!DL238,Transfer!DY238,Transfer!EL238)</f>
        <v>-9999</v>
      </c>
      <c r="AO238" s="1080">
        <f>CHOOSE(Tables!$U$2,Transfer!CM238,Transfer!CZ238,Transfer!DM238,Transfer!DZ238,Transfer!EM238)</f>
        <v>-9999</v>
      </c>
      <c r="AR238" s="22">
        <v>138</v>
      </c>
      <c r="AS238" s="1" t="s">
        <v>1312</v>
      </c>
      <c r="AT238" s="1389" t="e">
        <f>#REF!-AC238</f>
        <v>#REF!</v>
      </c>
      <c r="AU238" s="1389" t="e">
        <f>#REF!-AD238</f>
        <v>#REF!</v>
      </c>
      <c r="AV238" s="1389" t="e">
        <f>#REF!-AE238</f>
        <v>#REF!</v>
      </c>
      <c r="AW238" s="1389" t="e">
        <f>#REF!-AF238</f>
        <v>#REF!</v>
      </c>
      <c r="AX238" s="1389" t="e">
        <f>#REF!-AG238</f>
        <v>#REF!</v>
      </c>
      <c r="AY238" s="25">
        <f t="shared" si="26"/>
        <v>0</v>
      </c>
      <c r="AZ238" s="25">
        <f t="shared" si="27"/>
        <v>0</v>
      </c>
      <c r="BA238" s="25">
        <f t="shared" si="28"/>
        <v>0</v>
      </c>
      <c r="BB238" s="25">
        <f t="shared" si="29"/>
        <v>0</v>
      </c>
      <c r="BC238" s="25">
        <f t="shared" si="20"/>
        <v>0</v>
      </c>
      <c r="BD238" s="25">
        <f t="shared" si="20"/>
        <v>0</v>
      </c>
      <c r="BE238" s="25">
        <f t="shared" si="20"/>
        <v>0</v>
      </c>
      <c r="BF238" s="25">
        <f t="shared" si="20"/>
        <v>0</v>
      </c>
      <c r="CA238" s="16">
        <v>0</v>
      </c>
      <c r="CB238" s="16">
        <v>0</v>
      </c>
      <c r="CC238" s="16">
        <v>0</v>
      </c>
      <c r="CD238" s="16">
        <v>0</v>
      </c>
      <c r="CE238" s="16">
        <v>0</v>
      </c>
      <c r="CF238" s="16">
        <v>-9999</v>
      </c>
      <c r="CG238" s="16">
        <v>-9999</v>
      </c>
      <c r="CH238" s="16">
        <v>-9999</v>
      </c>
      <c r="CI238" s="16">
        <v>-9999</v>
      </c>
      <c r="CJ238" s="16">
        <v>-9999</v>
      </c>
      <c r="CK238" s="16">
        <v>-9999</v>
      </c>
      <c r="CL238" s="16">
        <v>-9999</v>
      </c>
      <c r="CM238" s="16">
        <v>-9999</v>
      </c>
      <c r="CN238" s="16">
        <v>0</v>
      </c>
      <c r="CO238" s="16">
        <v>0</v>
      </c>
      <c r="CP238" s="16">
        <v>0</v>
      </c>
      <c r="CQ238" s="16">
        <v>0</v>
      </c>
      <c r="CR238" s="16">
        <v>0</v>
      </c>
      <c r="CS238" s="16">
        <v>-9999</v>
      </c>
      <c r="CT238" s="16">
        <v>-9999</v>
      </c>
      <c r="CU238" s="16">
        <v>-9999</v>
      </c>
      <c r="CV238" s="16">
        <v>-9999</v>
      </c>
      <c r="CW238" s="16">
        <v>-9999</v>
      </c>
      <c r="CX238" s="16">
        <v>-9999</v>
      </c>
      <c r="CY238" s="16">
        <v>-9999</v>
      </c>
      <c r="CZ238" s="16">
        <v>-9999</v>
      </c>
      <c r="DA238" s="16">
        <v>0</v>
      </c>
      <c r="DB238" s="16">
        <v>0</v>
      </c>
      <c r="DC238" s="16">
        <v>0</v>
      </c>
      <c r="DD238" s="16">
        <v>0</v>
      </c>
      <c r="DE238" s="16">
        <v>0</v>
      </c>
      <c r="DF238" s="16">
        <v>-9999</v>
      </c>
      <c r="DG238" s="16">
        <v>-9999</v>
      </c>
      <c r="DH238" s="16">
        <v>-9999</v>
      </c>
      <c r="DI238" s="16">
        <v>-9999</v>
      </c>
      <c r="DJ238" s="16">
        <v>-9999</v>
      </c>
      <c r="DK238" s="16">
        <v>-9999</v>
      </c>
      <c r="DL238" s="16">
        <v>-9999</v>
      </c>
      <c r="DM238" s="16">
        <v>-9999</v>
      </c>
      <c r="DN238" s="16">
        <v>0</v>
      </c>
      <c r="DO238" s="16">
        <v>0</v>
      </c>
      <c r="DP238" s="16">
        <v>0</v>
      </c>
      <c r="DQ238" s="16">
        <v>0</v>
      </c>
      <c r="DR238" s="16">
        <v>0</v>
      </c>
      <c r="DS238" s="16">
        <v>-9999</v>
      </c>
      <c r="DT238" s="16">
        <v>-9999</v>
      </c>
      <c r="DU238" s="16">
        <v>-9999</v>
      </c>
      <c r="DV238" s="16">
        <v>-9999</v>
      </c>
      <c r="DW238" s="16">
        <v>-9999</v>
      </c>
      <c r="DX238" s="16">
        <v>-9999</v>
      </c>
      <c r="DY238" s="16">
        <v>-9999</v>
      </c>
      <c r="DZ238" s="16">
        <v>-9999</v>
      </c>
      <c r="EA238" s="2256">
        <v>0</v>
      </c>
      <c r="EB238" s="2256">
        <v>0</v>
      </c>
      <c r="EC238" s="2256">
        <v>0</v>
      </c>
      <c r="ED238" s="2256">
        <v>0</v>
      </c>
      <c r="EE238" s="2256">
        <v>0</v>
      </c>
      <c r="EF238" s="2257">
        <v>-9999</v>
      </c>
      <c r="EG238" s="2257">
        <v>-9999</v>
      </c>
      <c r="EH238" s="2257">
        <v>-9999</v>
      </c>
      <c r="EI238" s="2257">
        <v>-9999</v>
      </c>
      <c r="EJ238" s="2257">
        <v>-9999</v>
      </c>
      <c r="EK238" s="2257">
        <v>-9999</v>
      </c>
      <c r="EL238" s="2257">
        <v>-9999</v>
      </c>
      <c r="EM238" s="2257">
        <v>-9999</v>
      </c>
    </row>
    <row r="239" spans="1:143" ht="13.15">
      <c r="A239" s="22">
        <v>139</v>
      </c>
      <c r="B239" s="1" t="s">
        <v>1083</v>
      </c>
      <c r="C239" s="3380">
        <f>IF(ISNUMBER(HLOOKUP(C$100,InputDFM!$2:$8,MATCH(Transfer!$A239&amp;" "&amp;Transfer!$B239,InputDFM!$B$3:$B$8,0)+1,FALSE)),HLOOKUP(C$100,InputDFM!$2:$8,MATCH(Transfer!$A239&amp;" "&amp;Transfer!$B239,InputDFM!$B$3:$B$8,0)+1,FALSE),-9999)</f>
        <v>0</v>
      </c>
      <c r="D239" s="3380">
        <f>IF(ISNUMBER(HLOOKUP(D$100,InputDFM!$2:$8,MATCH(Transfer!$A239&amp;" "&amp;Transfer!$B239,InputDFM!$B$3:$B$8,0)+1,FALSE)),HLOOKUP(D$100,InputDFM!$2:$8,MATCH(Transfer!$A239&amp;" "&amp;Transfer!$B239,InputDFM!$B$3:$B$8,0)+1,FALSE),-9999)</f>
        <v>0</v>
      </c>
      <c r="E239" s="3380">
        <f>IF(ISNUMBER(HLOOKUP(E$100,InputDFM!$2:$8,MATCH(Transfer!$A239&amp;" "&amp;Transfer!$B239,InputDFM!$B$3:$B$8,0)+1,FALSE)),HLOOKUP(E$100,InputDFM!$2:$8,MATCH(Transfer!$A239&amp;" "&amp;Transfer!$B239,InputDFM!$B$3:$B$8,0)+1,FALSE),-9999)</f>
        <v>0</v>
      </c>
      <c r="F239" s="3380">
        <f>IF(ISNUMBER(HLOOKUP(F$100,InputDFM!$2:$8,MATCH(Transfer!$A239&amp;" "&amp;Transfer!$B239,InputDFM!$B$3:$B$8,0)+1,FALSE)),HLOOKUP(F$100,InputDFM!$2:$8,MATCH(Transfer!$A239&amp;" "&amp;Transfer!$B239,InputDFM!$B$3:$B$8,0)+1,FALSE),-9999)</f>
        <v>0</v>
      </c>
      <c r="G239" s="3380">
        <f>IF(ISNUMBER(HLOOKUP(G$100,InputDFM!$2:$8,MATCH(Transfer!$A239&amp;" "&amp;Transfer!$B239,InputDFM!$B$3:$B$8,0)+1,FALSE)),HLOOKUP(G$100,InputDFM!$2:$8,MATCH(Transfer!$A239&amp;" "&amp;Transfer!$B239,InputDFM!$B$3:$B$8,0)+1,FALSE),-9999)</f>
        <v>0</v>
      </c>
      <c r="H239" s="25">
        <v>-9999</v>
      </c>
      <c r="I239" s="25">
        <v>-9999</v>
      </c>
      <c r="J239" s="25">
        <v>-9999</v>
      </c>
      <c r="K239" s="25">
        <v>-9999</v>
      </c>
      <c r="L239" s="25">
        <v>-9999</v>
      </c>
      <c r="M239" s="25">
        <v>-9999</v>
      </c>
      <c r="N239" s="25">
        <v>-9999</v>
      </c>
      <c r="O239" s="25">
        <v>-9999</v>
      </c>
      <c r="P239" s="26"/>
      <c r="Q239"/>
      <c r="AA239" s="22">
        <v>139</v>
      </c>
      <c r="AB239" s="1080" t="e">
        <f>+#REF!</f>
        <v>#REF!</v>
      </c>
      <c r="AC239" s="1080">
        <f>CHOOSE(Tables!$U$2,Transfer!CA239,Transfer!CN239,Transfer!DA239,Transfer!DN239,Transfer!EA239)</f>
        <v>0</v>
      </c>
      <c r="AD239" s="1080">
        <f>CHOOSE(Tables!$U$2,Transfer!CB239,Transfer!CO239,Transfer!DB239,Transfer!DO239,Transfer!EB239)</f>
        <v>0</v>
      </c>
      <c r="AE239" s="1080">
        <f>CHOOSE(Tables!$U$2,Transfer!CC239,Transfer!CP239,Transfer!DC239,Transfer!DP239,Transfer!EC239)</f>
        <v>0</v>
      </c>
      <c r="AF239" s="1080">
        <f>CHOOSE(Tables!$U$2,Transfer!CD239,Transfer!CQ239,Transfer!DD239,Transfer!DQ239,Transfer!ED239)</f>
        <v>0</v>
      </c>
      <c r="AG239" s="1080">
        <f>CHOOSE(Tables!$U$2,Transfer!CE239,Transfer!CR239,Transfer!DE239,Transfer!DR239,Transfer!EE239)</f>
        <v>0</v>
      </c>
      <c r="AH239" s="1080">
        <f>CHOOSE(Tables!$U$2,Transfer!CF239,Transfer!CS239,Transfer!DF239,Transfer!DS239,Transfer!EF239)</f>
        <v>-9999</v>
      </c>
      <c r="AI239" s="1080">
        <f>CHOOSE(Tables!$U$2,Transfer!CG239,Transfer!CT239,Transfer!DG239,Transfer!DT239,Transfer!EG239)</f>
        <v>-9999</v>
      </c>
      <c r="AJ239" s="1080">
        <f>CHOOSE(Tables!$U$2,Transfer!CH239,Transfer!CU239,Transfer!DH239,Transfer!DU239,Transfer!EH239)</f>
        <v>-9999</v>
      </c>
      <c r="AK239" s="1080">
        <f>CHOOSE(Tables!$U$2,Transfer!CI239,Transfer!CV239,Transfer!DI239,Transfer!DV239,Transfer!EI239)</f>
        <v>-9999</v>
      </c>
      <c r="AL239" s="1080">
        <f>CHOOSE(Tables!$U$2,Transfer!CJ239,Transfer!CW239,Transfer!DJ239,Transfer!DW239,Transfer!EJ239)</f>
        <v>-9999</v>
      </c>
      <c r="AM239" s="1080">
        <f>CHOOSE(Tables!$U$2,Transfer!CK239,Transfer!CX239,Transfer!DK239,Transfer!DX239,Transfer!EK239)</f>
        <v>-9999</v>
      </c>
      <c r="AN239" s="1080">
        <f>CHOOSE(Tables!$U$2,Transfer!CL239,Transfer!CY239,Transfer!DL239,Transfer!DY239,Transfer!EL239)</f>
        <v>-9999</v>
      </c>
      <c r="AO239" s="1080">
        <f>CHOOSE(Tables!$U$2,Transfer!CM239,Transfer!CZ239,Transfer!DM239,Transfer!DZ239,Transfer!EM239)</f>
        <v>-9999</v>
      </c>
      <c r="AR239" s="22">
        <v>139</v>
      </c>
      <c r="AS239" s="1" t="s">
        <v>1313</v>
      </c>
      <c r="AT239" s="1389" t="e">
        <f>#REF!-AC239</f>
        <v>#REF!</v>
      </c>
      <c r="AU239" s="1389" t="e">
        <f>#REF!-AD239</f>
        <v>#REF!</v>
      </c>
      <c r="AV239" s="1389" t="e">
        <f>#REF!-AE239</f>
        <v>#REF!</v>
      </c>
      <c r="AW239" s="1389" t="e">
        <f>#REF!-AF239</f>
        <v>#REF!</v>
      </c>
      <c r="AX239" s="1389" t="e">
        <f>#REF!-AG239</f>
        <v>#REF!</v>
      </c>
      <c r="AY239" s="25">
        <f t="shared" si="26"/>
        <v>0</v>
      </c>
      <c r="AZ239" s="25">
        <f t="shared" si="27"/>
        <v>0</v>
      </c>
      <c r="BA239" s="25">
        <f t="shared" si="28"/>
        <v>0</v>
      </c>
      <c r="BB239" s="25">
        <f t="shared" si="29"/>
        <v>0</v>
      </c>
      <c r="BC239" s="25">
        <f t="shared" si="20"/>
        <v>0</v>
      </c>
      <c r="BD239" s="25">
        <f t="shared" si="20"/>
        <v>0</v>
      </c>
      <c r="BE239" s="25">
        <f t="shared" si="20"/>
        <v>0</v>
      </c>
      <c r="BF239" s="25">
        <f t="shared" si="20"/>
        <v>0</v>
      </c>
      <c r="CA239" s="16">
        <v>0</v>
      </c>
      <c r="CB239" s="16">
        <v>0</v>
      </c>
      <c r="CC239" s="16">
        <v>0</v>
      </c>
      <c r="CD239" s="16">
        <v>0</v>
      </c>
      <c r="CE239" s="16">
        <v>0</v>
      </c>
      <c r="CF239" s="16">
        <v>-9999</v>
      </c>
      <c r="CG239" s="16">
        <v>-9999</v>
      </c>
      <c r="CH239" s="16">
        <v>-9999</v>
      </c>
      <c r="CI239" s="16">
        <v>-9999</v>
      </c>
      <c r="CJ239" s="16">
        <v>-9999</v>
      </c>
      <c r="CK239" s="16">
        <v>-9999</v>
      </c>
      <c r="CL239" s="16">
        <v>-9999</v>
      </c>
      <c r="CM239" s="16">
        <v>-9999</v>
      </c>
      <c r="CN239" s="16">
        <v>0</v>
      </c>
      <c r="CO239" s="16">
        <v>0</v>
      </c>
      <c r="CP239" s="16">
        <v>0</v>
      </c>
      <c r="CQ239" s="16">
        <v>0</v>
      </c>
      <c r="CR239" s="16">
        <v>0</v>
      </c>
      <c r="CS239" s="16">
        <v>-9999</v>
      </c>
      <c r="CT239" s="16">
        <v>-9999</v>
      </c>
      <c r="CU239" s="16">
        <v>-9999</v>
      </c>
      <c r="CV239" s="16">
        <v>-9999</v>
      </c>
      <c r="CW239" s="16">
        <v>-9999</v>
      </c>
      <c r="CX239" s="16">
        <v>-9999</v>
      </c>
      <c r="CY239" s="16">
        <v>-9999</v>
      </c>
      <c r="CZ239" s="16">
        <v>-9999</v>
      </c>
      <c r="DA239" s="16">
        <v>0</v>
      </c>
      <c r="DB239" s="16">
        <v>0</v>
      </c>
      <c r="DC239" s="16">
        <v>0</v>
      </c>
      <c r="DD239" s="16">
        <v>0</v>
      </c>
      <c r="DE239" s="16">
        <v>0</v>
      </c>
      <c r="DF239" s="16">
        <v>-9999</v>
      </c>
      <c r="DG239" s="16">
        <v>-9999</v>
      </c>
      <c r="DH239" s="16">
        <v>-9999</v>
      </c>
      <c r="DI239" s="16">
        <v>-9999</v>
      </c>
      <c r="DJ239" s="16">
        <v>-9999</v>
      </c>
      <c r="DK239" s="16">
        <v>-9999</v>
      </c>
      <c r="DL239" s="16">
        <v>-9999</v>
      </c>
      <c r="DM239" s="16">
        <v>-9999</v>
      </c>
      <c r="DN239" s="16">
        <v>0</v>
      </c>
      <c r="DO239" s="16">
        <v>0</v>
      </c>
      <c r="DP239" s="16">
        <v>0</v>
      </c>
      <c r="DQ239" s="16">
        <v>0</v>
      </c>
      <c r="DR239" s="16">
        <v>0</v>
      </c>
      <c r="DS239" s="16">
        <v>-9999</v>
      </c>
      <c r="DT239" s="16">
        <v>-9999</v>
      </c>
      <c r="DU239" s="16">
        <v>-9999</v>
      </c>
      <c r="DV239" s="16">
        <v>-9999</v>
      </c>
      <c r="DW239" s="16">
        <v>-9999</v>
      </c>
      <c r="DX239" s="16">
        <v>-9999</v>
      </c>
      <c r="DY239" s="16">
        <v>-9999</v>
      </c>
      <c r="DZ239" s="16">
        <v>-9999</v>
      </c>
      <c r="EA239" s="2256">
        <v>0</v>
      </c>
      <c r="EB239" s="2256">
        <v>0</v>
      </c>
      <c r="EC239" s="2256">
        <v>0</v>
      </c>
      <c r="ED239" s="2256">
        <v>0</v>
      </c>
      <c r="EE239" s="2256">
        <v>0</v>
      </c>
      <c r="EF239" s="2257">
        <v>-9999</v>
      </c>
      <c r="EG239" s="2257">
        <v>-9999</v>
      </c>
      <c r="EH239" s="2257">
        <v>-9999</v>
      </c>
      <c r="EI239" s="2257">
        <v>-9999</v>
      </c>
      <c r="EJ239" s="2257">
        <v>-9999</v>
      </c>
      <c r="EK239" s="2257">
        <v>-9999</v>
      </c>
      <c r="EL239" s="2257">
        <v>-9999</v>
      </c>
      <c r="EM239" s="2257">
        <v>-9999</v>
      </c>
    </row>
    <row r="240" spans="1:143" ht="13.15">
      <c r="A240" s="22">
        <v>140</v>
      </c>
      <c r="B240" s="1" t="s">
        <v>1314</v>
      </c>
      <c r="C240" s="24">
        <f ca="1">OFFSET(Sector1!F772,0,Last_forecast_year - 3-InputY!$G$3)</f>
        <v>47.865000000000009</v>
      </c>
      <c r="D240" s="24">
        <f ca="1">OFFSET(Sector1!G772,0,Last_forecast_year - 3-InputY!$G$3)</f>
        <v>64.849999999999994</v>
      </c>
      <c r="E240" s="24">
        <f ca="1">OFFSET(Sector1!H772,0,Last_forecast_year - 3-InputY!$G$3)</f>
        <v>64.60838789529727</v>
      </c>
      <c r="F240" s="24">
        <f ca="1">OFFSET(Sector1!I772,0,Last_forecast_year - 3-InputY!$G$3)</f>
        <v>65.142782137422699</v>
      </c>
      <c r="G240" s="24">
        <f ca="1">OFFSET(Sector1!J772,0,Last_forecast_year - 3-InputY!$G$3)</f>
        <v>65.777829427587847</v>
      </c>
      <c r="H240" s="25">
        <v>-9999</v>
      </c>
      <c r="I240" s="25">
        <v>-9999</v>
      </c>
      <c r="J240" s="25">
        <v>-9999</v>
      </c>
      <c r="K240" s="25">
        <v>-9999</v>
      </c>
      <c r="L240" s="25">
        <v>-9999</v>
      </c>
      <c r="M240" s="25">
        <v>-9999</v>
      </c>
      <c r="N240" s="25">
        <v>-9999</v>
      </c>
      <c r="O240" s="25">
        <v>-9999</v>
      </c>
      <c r="P240"/>
      <c r="Q240"/>
      <c r="AA240" s="22">
        <v>140</v>
      </c>
      <c r="AB240" s="1080" t="str">
        <f t="shared" si="30"/>
        <v>BALANCE OF PRIMARY INCOME</v>
      </c>
      <c r="AC240" s="1080">
        <f>CHOOSE(Tables!$U$2,Transfer!CA240,Transfer!CN240,Transfer!DA240,Transfer!DN240,Transfer!EA240)</f>
        <v>54.085999999999999</v>
      </c>
      <c r="AD240" s="1080">
        <f>CHOOSE(Tables!$U$2,Transfer!CB240,Transfer!CO240,Transfer!DB240,Transfer!DO240,Transfer!EB240)</f>
        <v>50.234999999999992</v>
      </c>
      <c r="AE240" s="1080">
        <f>CHOOSE(Tables!$U$2,Transfer!CC240,Transfer!CP240,Transfer!DC240,Transfer!DP240,Transfer!EC240)</f>
        <v>66.50800000000001</v>
      </c>
      <c r="AF240" s="1080">
        <f>CHOOSE(Tables!$U$2,Transfer!CD240,Transfer!CQ240,Transfer!DD240,Transfer!DQ240,Transfer!ED240)</f>
        <v>66.02824148309719</v>
      </c>
      <c r="AG240" s="1080">
        <f>CHOOSE(Tables!$U$2,Transfer!CE240,Transfer!CR240,Transfer!DE240,Transfer!DR240,Transfer!EE240)</f>
        <v>66.604109074951765</v>
      </c>
      <c r="AH240" s="1080">
        <f>CHOOSE(Tables!$U$2,Transfer!CF240,Transfer!CS240,Transfer!DF240,Transfer!DS240,Transfer!EF240)</f>
        <v>-9999</v>
      </c>
      <c r="AI240" s="1080">
        <f>CHOOSE(Tables!$U$2,Transfer!CG240,Transfer!CT240,Transfer!DG240,Transfer!DT240,Transfer!EG240)</f>
        <v>-9999</v>
      </c>
      <c r="AJ240" s="1080">
        <f>CHOOSE(Tables!$U$2,Transfer!CH240,Transfer!CU240,Transfer!DH240,Transfer!DU240,Transfer!EH240)</f>
        <v>-9999</v>
      </c>
      <c r="AK240" s="1080">
        <f>CHOOSE(Tables!$U$2,Transfer!CI240,Transfer!CV240,Transfer!DI240,Transfer!DV240,Transfer!EI240)</f>
        <v>-9999</v>
      </c>
      <c r="AL240" s="1080">
        <f>CHOOSE(Tables!$U$2,Transfer!CJ240,Transfer!CW240,Transfer!DJ240,Transfer!DW240,Transfer!EJ240)</f>
        <v>-9999</v>
      </c>
      <c r="AM240" s="1080">
        <f>CHOOSE(Tables!$U$2,Transfer!CK240,Transfer!CX240,Transfer!DK240,Transfer!DX240,Transfer!EK240)</f>
        <v>-9999</v>
      </c>
      <c r="AN240" s="1080">
        <f>CHOOSE(Tables!$U$2,Transfer!CL240,Transfer!CY240,Transfer!DL240,Transfer!DY240,Transfer!EL240)</f>
        <v>-9999</v>
      </c>
      <c r="AO240" s="1080">
        <f>CHOOSE(Tables!$U$2,Transfer!CM240,Transfer!CZ240,Transfer!DM240,Transfer!DZ240,Transfer!EM240)</f>
        <v>-9999</v>
      </c>
      <c r="AR240" s="22">
        <v>140</v>
      </c>
      <c r="AS240" s="1" t="s">
        <v>1314</v>
      </c>
      <c r="AT240" s="24">
        <f t="shared" ca="1" si="21"/>
        <v>-6.2209999999999894</v>
      </c>
      <c r="AU240" s="24">
        <f t="shared" ca="1" si="22"/>
        <v>14.615000000000002</v>
      </c>
      <c r="AV240" s="24">
        <f t="shared" ca="1" si="23"/>
        <v>-1.8996121047027401</v>
      </c>
      <c r="AW240" s="24">
        <f t="shared" ca="1" si="24"/>
        <v>-0.88545934567449081</v>
      </c>
      <c r="AX240" s="24">
        <f t="shared" ca="1" si="25"/>
        <v>-0.82627964736391846</v>
      </c>
      <c r="AY240" s="25">
        <f t="shared" si="26"/>
        <v>0</v>
      </c>
      <c r="AZ240" s="25">
        <f t="shared" si="27"/>
        <v>0</v>
      </c>
      <c r="BA240" s="25">
        <f t="shared" si="28"/>
        <v>0</v>
      </c>
      <c r="BB240" s="25">
        <f t="shared" si="29"/>
        <v>0</v>
      </c>
      <c r="BC240" s="25">
        <f t="shared" si="20"/>
        <v>0</v>
      </c>
      <c r="BD240" s="25">
        <f t="shared" si="20"/>
        <v>0</v>
      </c>
      <c r="BE240" s="25">
        <f t="shared" si="20"/>
        <v>0</v>
      </c>
      <c r="BF240" s="25">
        <f t="shared" si="20"/>
        <v>0</v>
      </c>
      <c r="CA240" s="16">
        <v>47.865000000000009</v>
      </c>
      <c r="CB240" s="16">
        <v>64.849999999999994</v>
      </c>
      <c r="CC240" s="16">
        <v>64.60838789529727</v>
      </c>
      <c r="CD240" s="16">
        <v>65.142782137422699</v>
      </c>
      <c r="CE240" s="16">
        <v>65.777829427587847</v>
      </c>
      <c r="CF240" s="16">
        <v>-9999</v>
      </c>
      <c r="CG240" s="16">
        <v>-9999</v>
      </c>
      <c r="CH240" s="16">
        <v>-9999</v>
      </c>
      <c r="CI240" s="16">
        <v>-9999</v>
      </c>
      <c r="CJ240" s="16">
        <v>-9999</v>
      </c>
      <c r="CK240" s="16">
        <v>-9999</v>
      </c>
      <c r="CL240" s="16">
        <v>-9999</v>
      </c>
      <c r="CM240" s="16">
        <v>-9999</v>
      </c>
      <c r="CN240" s="16">
        <v>54.085999999999999</v>
      </c>
      <c r="CO240" s="16">
        <v>50.234999999999992</v>
      </c>
      <c r="CP240" s="16">
        <v>66.50800000000001</v>
      </c>
      <c r="CQ240" s="16">
        <v>66.02824148309719</v>
      </c>
      <c r="CR240" s="16">
        <v>66.604109074951765</v>
      </c>
      <c r="CS240" s="16">
        <v>-9999</v>
      </c>
      <c r="CT240" s="16">
        <v>-9999</v>
      </c>
      <c r="CU240" s="16">
        <v>-9999</v>
      </c>
      <c r="CV240" s="16">
        <v>-9999</v>
      </c>
      <c r="CW240" s="16">
        <v>-9999</v>
      </c>
      <c r="CX240" s="16">
        <v>-9999</v>
      </c>
      <c r="CY240" s="16">
        <v>-9999</v>
      </c>
      <c r="CZ240" s="16">
        <v>-9999</v>
      </c>
      <c r="DA240" s="16">
        <v>47.865000000000009</v>
      </c>
      <c r="DB240" s="16">
        <v>64.849999999999994</v>
      </c>
      <c r="DC240" s="16">
        <v>64.60838789529727</v>
      </c>
      <c r="DD240" s="16">
        <v>65.142782137422699</v>
      </c>
      <c r="DE240" s="16">
        <v>65.777829427587847</v>
      </c>
      <c r="DF240" s="16">
        <v>-9999</v>
      </c>
      <c r="DG240" s="16">
        <v>-9999</v>
      </c>
      <c r="DH240" s="16">
        <v>-9999</v>
      </c>
      <c r="DI240" s="16">
        <v>-9999</v>
      </c>
      <c r="DJ240" s="16">
        <v>-9999</v>
      </c>
      <c r="DK240" s="16">
        <v>-9999</v>
      </c>
      <c r="DL240" s="16">
        <v>-9999</v>
      </c>
      <c r="DM240" s="16">
        <v>-9999</v>
      </c>
      <c r="DN240" s="16">
        <v>47.865000000000009</v>
      </c>
      <c r="DO240" s="16">
        <v>64.849999999999994</v>
      </c>
      <c r="DP240" s="16">
        <v>64.612309956233702</v>
      </c>
      <c r="DQ240" s="16">
        <v>65.139130321236735</v>
      </c>
      <c r="DR240" s="16">
        <v>65.774218872317547</v>
      </c>
      <c r="DS240" s="16">
        <v>-9999</v>
      </c>
      <c r="DT240" s="16">
        <v>-9999</v>
      </c>
      <c r="DU240" s="16">
        <v>-9999</v>
      </c>
      <c r="DV240" s="16">
        <v>-9999</v>
      </c>
      <c r="DW240" s="16">
        <v>-9999</v>
      </c>
      <c r="DX240" s="16">
        <v>-9999</v>
      </c>
      <c r="DY240" s="16">
        <v>-9999</v>
      </c>
      <c r="DZ240" s="16">
        <v>-9999</v>
      </c>
      <c r="EA240" s="2256">
        <v>47.865000000000009</v>
      </c>
      <c r="EB240" s="2256">
        <v>64.849999999999994</v>
      </c>
      <c r="EC240" s="2256">
        <v>64.60838789529727</v>
      </c>
      <c r="ED240" s="2256">
        <v>65.142782137422699</v>
      </c>
      <c r="EE240" s="2256">
        <v>65.777829427587847</v>
      </c>
      <c r="EF240" s="2257">
        <v>-9999</v>
      </c>
      <c r="EG240" s="2257">
        <v>-9999</v>
      </c>
      <c r="EH240" s="2257">
        <v>-9999</v>
      </c>
      <c r="EI240" s="2257">
        <v>-9999</v>
      </c>
      <c r="EJ240" s="2257">
        <v>-9999</v>
      </c>
      <c r="EK240" s="2257">
        <v>-9999</v>
      </c>
      <c r="EL240" s="2257">
        <v>-9999</v>
      </c>
      <c r="EM240" s="2257">
        <v>-9999</v>
      </c>
    </row>
    <row r="241" spans="1:143" ht="13.15">
      <c r="A241" s="22">
        <v>141</v>
      </c>
      <c r="B241" s="1" t="s">
        <v>1315</v>
      </c>
      <c r="C241" s="24">
        <f ca="1">OFFSET(Sector1!F783,0,Last_forecast_year - 3-InputY!$G$3)</f>
        <v>-55.830000000000013</v>
      </c>
      <c r="D241" s="3375">
        <f ca="1">OFFSET(Sector1!G783,0,Last_forecast_year - 3-InputY!$G$3)</f>
        <v>-67.844000000000023</v>
      </c>
      <c r="E241" s="24">
        <f ca="1">OFFSET(Sector1!H783,0,Last_forecast_year - 3-InputY!$G$3)</f>
        <v>-69.451093174787147</v>
      </c>
      <c r="F241" s="24">
        <f ca="1">OFFSET(Sector1!I783,0,Last_forecast_year - 3-InputY!$G$3)</f>
        <v>-72.154211718801363</v>
      </c>
      <c r="G241" s="24">
        <f ca="1">OFFSET(Sector1!J783,0,Last_forecast_year - 3-InputY!$G$3)</f>
        <v>-73.88386588615765</v>
      </c>
      <c r="H241" s="25">
        <v>-9999</v>
      </c>
      <c r="I241" s="25">
        <v>-9999</v>
      </c>
      <c r="J241" s="25">
        <v>-9999</v>
      </c>
      <c r="K241" s="25">
        <v>-9999</v>
      </c>
      <c r="L241" s="25">
        <v>-9999</v>
      </c>
      <c r="M241" s="25">
        <v>-9999</v>
      </c>
      <c r="N241" s="25">
        <v>-9999</v>
      </c>
      <c r="O241" s="25">
        <v>-9999</v>
      </c>
      <c r="P241"/>
      <c r="Q241"/>
      <c r="AA241" s="22">
        <v>141</v>
      </c>
      <c r="AB241" s="1080" t="str">
        <f t="shared" si="30"/>
        <v>NET CURRENT TRANSFERS</v>
      </c>
      <c r="AC241" s="1080">
        <f>CHOOSE(Tables!$U$2,Transfer!CA241,Transfer!CN241,Transfer!DA241,Transfer!DN241,Transfer!EA241)</f>
        <v>-66.540000000000006</v>
      </c>
      <c r="AD241" s="1080">
        <f>CHOOSE(Tables!$U$2,Transfer!CB241,Transfer!CO241,Transfer!DB241,Transfer!DO241,Transfer!EB241)</f>
        <v>-56.539999999999921</v>
      </c>
      <c r="AE241" s="1080">
        <f>CHOOSE(Tables!$U$2,Transfer!CC241,Transfer!CP241,Transfer!DC241,Transfer!DP241,Transfer!EC241)</f>
        <v>-72.270000000000039</v>
      </c>
      <c r="AF241" s="1080">
        <f>CHOOSE(Tables!$U$2,Transfer!CD241,Transfer!CQ241,Transfer!DD241,Transfer!DQ241,Transfer!ED241)</f>
        <v>-65.206160641787704</v>
      </c>
      <c r="AG241" s="1080">
        <f>CHOOSE(Tables!$U$2,Transfer!CE241,Transfer!CR241,Transfer!DE241,Transfer!DR241,Transfer!EE241)</f>
        <v>-64.343055673842386</v>
      </c>
      <c r="AH241" s="1080">
        <f>CHOOSE(Tables!$U$2,Transfer!CF241,Transfer!CS241,Transfer!DF241,Transfer!DS241,Transfer!EF241)</f>
        <v>-9999</v>
      </c>
      <c r="AI241" s="1080">
        <f>CHOOSE(Tables!$U$2,Transfer!CG241,Transfer!CT241,Transfer!DG241,Transfer!DT241,Transfer!EG241)</f>
        <v>-9999</v>
      </c>
      <c r="AJ241" s="1080">
        <f>CHOOSE(Tables!$U$2,Transfer!CH241,Transfer!CU241,Transfer!DH241,Transfer!DU241,Transfer!EH241)</f>
        <v>-9999</v>
      </c>
      <c r="AK241" s="1080">
        <f>CHOOSE(Tables!$U$2,Transfer!CI241,Transfer!CV241,Transfer!DI241,Transfer!DV241,Transfer!EI241)</f>
        <v>-9999</v>
      </c>
      <c r="AL241" s="1080">
        <f>CHOOSE(Tables!$U$2,Transfer!CJ241,Transfer!CW241,Transfer!DJ241,Transfer!DW241,Transfer!EJ241)</f>
        <v>-9999</v>
      </c>
      <c r="AM241" s="1080">
        <f>CHOOSE(Tables!$U$2,Transfer!CK241,Transfer!CX241,Transfer!DK241,Transfer!DX241,Transfer!EK241)</f>
        <v>-9999</v>
      </c>
      <c r="AN241" s="1080">
        <f>CHOOSE(Tables!$U$2,Transfer!CL241,Transfer!CY241,Transfer!DL241,Transfer!DY241,Transfer!EL241)</f>
        <v>-9999</v>
      </c>
      <c r="AO241" s="1080">
        <f>CHOOSE(Tables!$U$2,Transfer!CM241,Transfer!CZ241,Transfer!DM241,Transfer!DZ241,Transfer!EM241)</f>
        <v>-9999</v>
      </c>
      <c r="AR241" s="22">
        <v>141</v>
      </c>
      <c r="AS241" s="1" t="s">
        <v>1315</v>
      </c>
      <c r="AT241" s="24">
        <f t="shared" ca="1" si="21"/>
        <v>10.709999999999994</v>
      </c>
      <c r="AU241" s="24">
        <f t="shared" ca="1" si="22"/>
        <v>-11.304000000000102</v>
      </c>
      <c r="AV241" s="24">
        <f t="shared" ca="1" si="23"/>
        <v>2.8189068252128919</v>
      </c>
      <c r="AW241" s="24">
        <f t="shared" ca="1" si="24"/>
        <v>-6.948051077013659</v>
      </c>
      <c r="AX241" s="24">
        <f t="shared" ca="1" si="25"/>
        <v>-9.5408102123152645</v>
      </c>
      <c r="AY241" s="25">
        <f t="shared" si="26"/>
        <v>0</v>
      </c>
      <c r="AZ241" s="25">
        <f t="shared" si="27"/>
        <v>0</v>
      </c>
      <c r="BA241" s="25">
        <f t="shared" si="28"/>
        <v>0</v>
      </c>
      <c r="BB241" s="25">
        <f t="shared" si="29"/>
        <v>0</v>
      </c>
      <c r="BC241" s="25">
        <f t="shared" si="20"/>
        <v>0</v>
      </c>
      <c r="BD241" s="25">
        <f t="shared" si="20"/>
        <v>0</v>
      </c>
      <c r="BE241" s="25">
        <f t="shared" si="20"/>
        <v>0</v>
      </c>
      <c r="BF241" s="25">
        <f t="shared" si="20"/>
        <v>0</v>
      </c>
      <c r="CA241" s="16">
        <v>-55.830000000000013</v>
      </c>
      <c r="CB241" s="16">
        <v>-67.844000000000023</v>
      </c>
      <c r="CC241" s="16">
        <v>-69.451093174787147</v>
      </c>
      <c r="CD241" s="16">
        <v>-72.154211718801363</v>
      </c>
      <c r="CE241" s="16">
        <v>-73.88386588615765</v>
      </c>
      <c r="CF241" s="16">
        <v>-9999</v>
      </c>
      <c r="CG241" s="16">
        <v>-9999</v>
      </c>
      <c r="CH241" s="16">
        <v>-9999</v>
      </c>
      <c r="CI241" s="16">
        <v>-9999</v>
      </c>
      <c r="CJ241" s="16">
        <v>-9999</v>
      </c>
      <c r="CK241" s="16">
        <v>-9999</v>
      </c>
      <c r="CL241" s="16">
        <v>-9999</v>
      </c>
      <c r="CM241" s="16">
        <v>-9999</v>
      </c>
      <c r="CN241" s="16">
        <v>-66.540000000000006</v>
      </c>
      <c r="CO241" s="16">
        <v>-56.539999999999921</v>
      </c>
      <c r="CP241" s="16">
        <v>-72.270000000000039</v>
      </c>
      <c r="CQ241" s="16">
        <v>-65.206160641787704</v>
      </c>
      <c r="CR241" s="16">
        <v>-64.343055673842386</v>
      </c>
      <c r="CS241" s="16">
        <v>-9999</v>
      </c>
      <c r="CT241" s="16">
        <v>-9999</v>
      </c>
      <c r="CU241" s="16">
        <v>-9999</v>
      </c>
      <c r="CV241" s="16">
        <v>-9999</v>
      </c>
      <c r="CW241" s="16">
        <v>-9999</v>
      </c>
      <c r="CX241" s="16">
        <v>-9999</v>
      </c>
      <c r="CY241" s="16">
        <v>-9999</v>
      </c>
      <c r="CZ241" s="16">
        <v>-9999</v>
      </c>
      <c r="DA241" s="16">
        <v>-55.830000000000013</v>
      </c>
      <c r="DB241" s="16">
        <v>-67.844000000000023</v>
      </c>
      <c r="DC241" s="16">
        <v>-69.451093174787147</v>
      </c>
      <c r="DD241" s="16">
        <v>-72.154211718801363</v>
      </c>
      <c r="DE241" s="16">
        <v>-73.88386588615765</v>
      </c>
      <c r="DF241" s="16">
        <v>-9999</v>
      </c>
      <c r="DG241" s="16">
        <v>-9999</v>
      </c>
      <c r="DH241" s="16">
        <v>-9999</v>
      </c>
      <c r="DI241" s="16">
        <v>-9999</v>
      </c>
      <c r="DJ241" s="16">
        <v>-9999</v>
      </c>
      <c r="DK241" s="16">
        <v>-9999</v>
      </c>
      <c r="DL241" s="16">
        <v>-9999</v>
      </c>
      <c r="DM241" s="16">
        <v>-9999</v>
      </c>
      <c r="DN241" s="16">
        <v>-55.830000000000013</v>
      </c>
      <c r="DO241" s="16">
        <v>-67.844000000000023</v>
      </c>
      <c r="DP241" s="16">
        <v>-68.318743174787144</v>
      </c>
      <c r="DQ241" s="16">
        <v>-69.21123406880136</v>
      </c>
      <c r="DR241" s="16">
        <v>-69.708952989051355</v>
      </c>
      <c r="DS241" s="16">
        <v>-9999</v>
      </c>
      <c r="DT241" s="16">
        <v>-9999</v>
      </c>
      <c r="DU241" s="16">
        <v>-9999</v>
      </c>
      <c r="DV241" s="16">
        <v>-9999</v>
      </c>
      <c r="DW241" s="16">
        <v>-9999</v>
      </c>
      <c r="DX241" s="16">
        <v>-9999</v>
      </c>
      <c r="DY241" s="16">
        <v>-9999</v>
      </c>
      <c r="DZ241" s="16">
        <v>-9999</v>
      </c>
      <c r="EA241" s="2256">
        <v>-55.830000000000013</v>
      </c>
      <c r="EB241" s="2256">
        <v>-67.844000000000023</v>
      </c>
      <c r="EC241" s="2256">
        <v>-69.451093174787147</v>
      </c>
      <c r="ED241" s="2256">
        <v>-72.154211718801363</v>
      </c>
      <c r="EE241" s="2256">
        <v>-73.88386588615765</v>
      </c>
      <c r="EF241" s="2257">
        <v>-9999</v>
      </c>
      <c r="EG241" s="2257">
        <v>-9999</v>
      </c>
      <c r="EH241" s="2257">
        <v>-9999</v>
      </c>
      <c r="EI241" s="2257">
        <v>-9999</v>
      </c>
      <c r="EJ241" s="2257">
        <v>-9999</v>
      </c>
      <c r="EK241" s="2257">
        <v>-9999</v>
      </c>
      <c r="EL241" s="2257">
        <v>-9999</v>
      </c>
      <c r="EM241" s="2257">
        <v>-9999</v>
      </c>
    </row>
    <row r="242" spans="1:143" ht="13.15">
      <c r="A242" s="22">
        <v>142</v>
      </c>
      <c r="B242" s="1" t="s">
        <v>1472</v>
      </c>
      <c r="C242" s="24">
        <f ca="1">OFFSET(Sector1!F791,0,Last_forecast_year - 3-InputY!$G$3)</f>
        <v>-2.7010000000000001</v>
      </c>
      <c r="D242" s="24">
        <f ca="1">OFFSET(Sector1!G791,0,Last_forecast_year - 3-InputY!$G$3)</f>
        <v>-2.883</v>
      </c>
      <c r="E242" s="24">
        <f ca="1">OFFSET(Sector1!H791,0,Last_forecast_year - 3-InputY!$G$3)</f>
        <v>-7.4717411881767353</v>
      </c>
      <c r="F242" s="24">
        <f ca="1">OFFSET(Sector1!I791,0,Last_forecast_year - 3-InputY!$G$3)</f>
        <v>-12.426959562066155</v>
      </c>
      <c r="G242" s="24">
        <f ca="1">OFFSET(Sector1!J791,0,Last_forecast_year - 3-InputY!$G$3)</f>
        <v>-12.547611361477241</v>
      </c>
      <c r="H242" s="25">
        <v>-9999</v>
      </c>
      <c r="I242" s="25">
        <v>-9999</v>
      </c>
      <c r="J242" s="25">
        <v>-9999</v>
      </c>
      <c r="K242" s="25">
        <v>-9999</v>
      </c>
      <c r="L242" s="25">
        <v>-9999</v>
      </c>
      <c r="M242" s="25">
        <v>-9999</v>
      </c>
      <c r="N242" s="25">
        <v>-9999</v>
      </c>
      <c r="O242" s="25">
        <v>-9999</v>
      </c>
      <c r="P242"/>
      <c r="Q242"/>
      <c r="AA242" s="22">
        <v>142</v>
      </c>
      <c r="AB242" s="1080" t="str">
        <f t="shared" si="30"/>
        <v>NET CAPITAL TRANSACTIONS (RECEIV - PAYED)</v>
      </c>
      <c r="AC242" s="1080">
        <f>CHOOSE(Tables!$U$2,Transfer!CA242,Transfer!CN242,Transfer!DA242,Transfer!DN242,Transfer!EA242)</f>
        <v>-8.1020000000000003</v>
      </c>
      <c r="AD242" s="1080">
        <f>CHOOSE(Tables!$U$2,Transfer!CB242,Transfer!CO242,Transfer!DB242,Transfer!DO242,Transfer!EB242)</f>
        <v>-2.7010000000000001</v>
      </c>
      <c r="AE242" s="1080">
        <f>CHOOSE(Tables!$U$2,Transfer!CC242,Transfer!CP242,Transfer!DC242,Transfer!DP242,Transfer!EC242)</f>
        <v>-2.7930000000000001</v>
      </c>
      <c r="AF242" s="1080">
        <f>CHOOSE(Tables!$U$2,Transfer!CD242,Transfer!CQ242,Transfer!DD242,Transfer!DQ242,Transfer!ED242)</f>
        <v>-3.9964964218740975</v>
      </c>
      <c r="AG242" s="1080">
        <f>CHOOSE(Tables!$U$2,Transfer!CE242,Transfer!CR242,Transfer!DE242,Transfer!DR242,Transfer!EE242)</f>
        <v>-3.7874928076488681</v>
      </c>
      <c r="AH242" s="1080">
        <f>CHOOSE(Tables!$U$2,Transfer!CF242,Transfer!CS242,Transfer!DF242,Transfer!DS242,Transfer!EF242)</f>
        <v>-9999</v>
      </c>
      <c r="AI242" s="1080">
        <f>CHOOSE(Tables!$U$2,Transfer!CG242,Transfer!CT242,Transfer!DG242,Transfer!DT242,Transfer!EG242)</f>
        <v>-9999</v>
      </c>
      <c r="AJ242" s="1080">
        <f>CHOOSE(Tables!$U$2,Transfer!CH242,Transfer!CU242,Transfer!DH242,Transfer!DU242,Transfer!EH242)</f>
        <v>-9999</v>
      </c>
      <c r="AK242" s="1080">
        <f>CHOOSE(Tables!$U$2,Transfer!CI242,Transfer!CV242,Transfer!DI242,Transfer!DV242,Transfer!EI242)</f>
        <v>-9999</v>
      </c>
      <c r="AL242" s="1080">
        <f>CHOOSE(Tables!$U$2,Transfer!CJ242,Transfer!CW242,Transfer!DJ242,Transfer!DW242,Transfer!EJ242)</f>
        <v>-9999</v>
      </c>
      <c r="AM242" s="1080">
        <f>CHOOSE(Tables!$U$2,Transfer!CK242,Transfer!CX242,Transfer!DK242,Transfer!DX242,Transfer!EK242)</f>
        <v>-9999</v>
      </c>
      <c r="AN242" s="1080">
        <f>CHOOSE(Tables!$U$2,Transfer!CL242,Transfer!CY242,Transfer!DL242,Transfer!DY242,Transfer!EL242)</f>
        <v>-9999</v>
      </c>
      <c r="AO242" s="1080">
        <f>CHOOSE(Tables!$U$2,Transfer!CM242,Transfer!CZ242,Transfer!DM242,Transfer!DZ242,Transfer!EM242)</f>
        <v>-9999</v>
      </c>
      <c r="AR242" s="22">
        <v>142</v>
      </c>
      <c r="AS242" s="1" t="s">
        <v>1472</v>
      </c>
      <c r="AT242" s="24">
        <f t="shared" ca="1" si="21"/>
        <v>5.4009999999999998</v>
      </c>
      <c r="AU242" s="24">
        <f t="shared" ca="1" si="22"/>
        <v>-0.18199999999999994</v>
      </c>
      <c r="AV242" s="24">
        <f t="shared" ca="1" si="23"/>
        <v>-4.6787411881767351</v>
      </c>
      <c r="AW242" s="24">
        <f t="shared" ca="1" si="24"/>
        <v>-8.4304631401920584</v>
      </c>
      <c r="AX242" s="24">
        <f t="shared" ca="1" si="25"/>
        <v>-8.7601185538283737</v>
      </c>
      <c r="AY242" s="25">
        <f t="shared" si="26"/>
        <v>0</v>
      </c>
      <c r="AZ242" s="25">
        <f t="shared" si="27"/>
        <v>0</v>
      </c>
      <c r="BA242" s="25">
        <f t="shared" si="28"/>
        <v>0</v>
      </c>
      <c r="BB242" s="25">
        <f t="shared" si="29"/>
        <v>0</v>
      </c>
      <c r="BC242" s="25">
        <f t="shared" si="20"/>
        <v>0</v>
      </c>
      <c r="BD242" s="25">
        <f t="shared" si="20"/>
        <v>0</v>
      </c>
      <c r="BE242" s="25">
        <f t="shared" si="20"/>
        <v>0</v>
      </c>
      <c r="BF242" s="25">
        <f t="shared" si="20"/>
        <v>0</v>
      </c>
      <c r="CA242" s="16">
        <v>-2.7010000000000001</v>
      </c>
      <c r="CB242" s="16">
        <v>-2.883</v>
      </c>
      <c r="CC242" s="16">
        <v>-7.4717411881767353</v>
      </c>
      <c r="CD242" s="16">
        <v>-12.426959562066155</v>
      </c>
      <c r="CE242" s="16">
        <v>-12.547611361477241</v>
      </c>
      <c r="CF242" s="16">
        <v>-9999</v>
      </c>
      <c r="CG242" s="16">
        <v>-9999</v>
      </c>
      <c r="CH242" s="16">
        <v>-9999</v>
      </c>
      <c r="CI242" s="16">
        <v>-9999</v>
      </c>
      <c r="CJ242" s="16">
        <v>-9999</v>
      </c>
      <c r="CK242" s="16">
        <v>-9999</v>
      </c>
      <c r="CL242" s="16">
        <v>-9999</v>
      </c>
      <c r="CM242" s="16">
        <v>-9999</v>
      </c>
      <c r="CN242" s="16">
        <v>-8.1020000000000003</v>
      </c>
      <c r="CO242" s="16">
        <v>-2.7010000000000001</v>
      </c>
      <c r="CP242" s="16">
        <v>-2.7930000000000001</v>
      </c>
      <c r="CQ242" s="16">
        <v>-3.9964964218740975</v>
      </c>
      <c r="CR242" s="16">
        <v>-3.7874928076488681</v>
      </c>
      <c r="CS242" s="16">
        <v>-9999</v>
      </c>
      <c r="CT242" s="16">
        <v>-9999</v>
      </c>
      <c r="CU242" s="16">
        <v>-9999</v>
      </c>
      <c r="CV242" s="16">
        <v>-9999</v>
      </c>
      <c r="CW242" s="16">
        <v>-9999</v>
      </c>
      <c r="CX242" s="16">
        <v>-9999</v>
      </c>
      <c r="CY242" s="16">
        <v>-9999</v>
      </c>
      <c r="CZ242" s="16">
        <v>-9999</v>
      </c>
      <c r="DA242" s="16">
        <v>-2.7010000000000001</v>
      </c>
      <c r="DB242" s="16">
        <v>-2.883</v>
      </c>
      <c r="DC242" s="16">
        <v>-7.4715529619893335</v>
      </c>
      <c r="DD242" s="16">
        <v>-12.427361017004362</v>
      </c>
      <c r="DE242" s="16">
        <v>-12.548204264189472</v>
      </c>
      <c r="DF242" s="16">
        <v>-9999</v>
      </c>
      <c r="DG242" s="16">
        <v>-9999</v>
      </c>
      <c r="DH242" s="16">
        <v>-9999</v>
      </c>
      <c r="DI242" s="16">
        <v>-9999</v>
      </c>
      <c r="DJ242" s="16">
        <v>-9999</v>
      </c>
      <c r="DK242" s="16">
        <v>-9999</v>
      </c>
      <c r="DL242" s="16">
        <v>-9999</v>
      </c>
      <c r="DM242" s="16">
        <v>-9999</v>
      </c>
      <c r="DN242" s="16">
        <v>-2.7010000000000001</v>
      </c>
      <c r="DO242" s="16">
        <v>-2.883</v>
      </c>
      <c r="DP242" s="16">
        <v>-2.6265390109008915</v>
      </c>
      <c r="DQ242" s="16">
        <v>-2.4239775278201963</v>
      </c>
      <c r="DR242" s="16">
        <v>-2.2531226565774065</v>
      </c>
      <c r="DS242" s="16">
        <v>-9999</v>
      </c>
      <c r="DT242" s="16">
        <v>-9999</v>
      </c>
      <c r="DU242" s="16">
        <v>-9999</v>
      </c>
      <c r="DV242" s="16">
        <v>-9999</v>
      </c>
      <c r="DW242" s="16">
        <v>-9999</v>
      </c>
      <c r="DX242" s="16">
        <v>-9999</v>
      </c>
      <c r="DY242" s="16">
        <v>-9999</v>
      </c>
      <c r="DZ242" s="16">
        <v>-9999</v>
      </c>
      <c r="EA242" s="2256">
        <v>-2.7010000000000001</v>
      </c>
      <c r="EB242" s="2256">
        <v>-2.883</v>
      </c>
      <c r="EC242" s="2256">
        <v>-7.4717411881767353</v>
      </c>
      <c r="ED242" s="2256">
        <v>-12.426959562066155</v>
      </c>
      <c r="EE242" s="2256">
        <v>-12.547611361477241</v>
      </c>
      <c r="EF242" s="2257">
        <v>-9999</v>
      </c>
      <c r="EG242" s="2257">
        <v>-9999</v>
      </c>
      <c r="EH242" s="2257">
        <v>-9999</v>
      </c>
      <c r="EI242" s="2257">
        <v>-9999</v>
      </c>
      <c r="EJ242" s="2257">
        <v>-9999</v>
      </c>
      <c r="EK242" s="2257">
        <v>-9999</v>
      </c>
      <c r="EL242" s="2257">
        <v>-9999</v>
      </c>
      <c r="EM242" s="2257">
        <v>-9999</v>
      </c>
    </row>
    <row r="243" spans="1:143" ht="13.15">
      <c r="A243" s="22">
        <v>143</v>
      </c>
      <c r="B243" s="33" t="s">
        <v>849</v>
      </c>
      <c r="C243" s="24">
        <f ca="1">OFFSET(Sector1!F424,0,Last_forecast_year - 3-InputY!$G$3)</f>
        <v>166.69399999999999</v>
      </c>
      <c r="D243" s="24">
        <f ca="1">OFFSET(Sector1!G424,0,Last_forecast_year - 3-InputY!$G$3)</f>
        <v>170.84399999999999</v>
      </c>
      <c r="E243" s="24">
        <f ca="1">OFFSET(Sector1!H424,0,Last_forecast_year - 3-InputY!$G$3)</f>
        <v>175.96932000000001</v>
      </c>
      <c r="F243" s="24">
        <f ca="1">OFFSET(Sector1!I424,0,Last_forecast_year - 3-InputY!$G$3)</f>
        <v>181.24839960000003</v>
      </c>
      <c r="G243" s="24">
        <f ca="1">OFFSET(Sector1!J424,0,Last_forecast_year - 3-InputY!$G$3)</f>
        <v>186.68585158800002</v>
      </c>
      <c r="H243" s="25">
        <v>-9999</v>
      </c>
      <c r="I243" s="25">
        <v>-9999</v>
      </c>
      <c r="J243" s="25">
        <v>-9999</v>
      </c>
      <c r="K243" s="25">
        <v>-9999</v>
      </c>
      <c r="L243" s="25">
        <v>-9999</v>
      </c>
      <c r="M243" s="25">
        <v>-9999</v>
      </c>
      <c r="N243" s="25">
        <v>-9999</v>
      </c>
      <c r="O243" s="25">
        <v>-9999</v>
      </c>
      <c r="P243" s="26"/>
      <c r="Q243"/>
      <c r="AA243" s="22">
        <v>143</v>
      </c>
      <c r="AB243" s="1080" t="str">
        <f t="shared" si="30"/>
        <v>GG SALES</v>
      </c>
      <c r="AC243" s="1080">
        <f>CHOOSE(Tables!$U$2,Transfer!CA243,Transfer!CN243,Transfer!DA243,Transfer!DN243,Transfer!EA243)</f>
        <v>163.46100000000001</v>
      </c>
      <c r="AD243" s="1080">
        <f>CHOOSE(Tables!$U$2,Transfer!CB243,Transfer!CO243,Transfer!DB243,Transfer!DO243,Transfer!EB243)</f>
        <v>167.54499999999999</v>
      </c>
      <c r="AE243" s="1080">
        <f>CHOOSE(Tables!$U$2,Transfer!CC243,Transfer!CP243,Transfer!DC243,Transfer!DP243,Transfer!EC243)</f>
        <v>170.04900000000001</v>
      </c>
      <c r="AF243" s="1080">
        <f>CHOOSE(Tables!$U$2,Transfer!CD243,Transfer!CQ243,Transfer!DD243,Transfer!DQ243,Transfer!ED243)</f>
        <v>172.429686</v>
      </c>
      <c r="AG243" s="1080">
        <f>CHOOSE(Tables!$U$2,Transfer!CE243,Transfer!CR243,Transfer!DE243,Transfer!DR243,Transfer!EE243)</f>
        <v>174.15398286000001</v>
      </c>
      <c r="AH243" s="1080">
        <f>CHOOSE(Tables!$U$2,Transfer!CF243,Transfer!CS243,Transfer!DF243,Transfer!DS243,Transfer!EF243)</f>
        <v>-9999</v>
      </c>
      <c r="AI243" s="1080">
        <f>CHOOSE(Tables!$U$2,Transfer!CG243,Transfer!CT243,Transfer!DG243,Transfer!DT243,Transfer!EG243)</f>
        <v>-9999</v>
      </c>
      <c r="AJ243" s="1080">
        <f>CHOOSE(Tables!$U$2,Transfer!CH243,Transfer!CU243,Transfer!DH243,Transfer!DU243,Transfer!EH243)</f>
        <v>-9999</v>
      </c>
      <c r="AK243" s="1080">
        <f>CHOOSE(Tables!$U$2,Transfer!CI243,Transfer!CV243,Transfer!DI243,Transfer!DV243,Transfer!EI243)</f>
        <v>-9999</v>
      </c>
      <c r="AL243" s="1080">
        <f>CHOOSE(Tables!$U$2,Transfer!CJ243,Transfer!CW243,Transfer!DJ243,Transfer!DW243,Transfer!EJ243)</f>
        <v>-9999</v>
      </c>
      <c r="AM243" s="1080">
        <f>CHOOSE(Tables!$U$2,Transfer!CK243,Transfer!CX243,Transfer!DK243,Transfer!DX243,Transfer!EK243)</f>
        <v>-9999</v>
      </c>
      <c r="AN243" s="1080">
        <f>CHOOSE(Tables!$U$2,Transfer!CL243,Transfer!CY243,Transfer!DL243,Transfer!DY243,Transfer!EL243)</f>
        <v>-9999</v>
      </c>
      <c r="AO243" s="1080">
        <f>CHOOSE(Tables!$U$2,Transfer!CM243,Transfer!CZ243,Transfer!DM243,Transfer!DZ243,Transfer!EM243)</f>
        <v>-9999</v>
      </c>
      <c r="AR243" s="22">
        <v>143</v>
      </c>
      <c r="AS243" s="30" t="s">
        <v>973</v>
      </c>
      <c r="AT243" s="25">
        <f t="shared" ca="1" si="21"/>
        <v>3.2329999999999757</v>
      </c>
      <c r="AU243" s="25">
        <f t="shared" ca="1" si="22"/>
        <v>3.2990000000000066</v>
      </c>
      <c r="AV243" s="25">
        <f t="shared" ca="1" si="23"/>
        <v>5.9203200000000038</v>
      </c>
      <c r="AW243" s="25">
        <f t="shared" ca="1" si="24"/>
        <v>8.8187136000000237</v>
      </c>
      <c r="AX243" s="25">
        <f t="shared" ca="1" si="25"/>
        <v>12.531868728000006</v>
      </c>
      <c r="AY243" s="25">
        <f t="shared" si="26"/>
        <v>0</v>
      </c>
      <c r="AZ243" s="25">
        <f t="shared" si="27"/>
        <v>0</v>
      </c>
      <c r="BA243" s="25">
        <f t="shared" si="28"/>
        <v>0</v>
      </c>
      <c r="BB243" s="25">
        <f t="shared" si="29"/>
        <v>0</v>
      </c>
      <c r="BC243" s="25">
        <f t="shared" si="20"/>
        <v>0</v>
      </c>
      <c r="BD243" s="25">
        <f t="shared" si="20"/>
        <v>0</v>
      </c>
      <c r="BE243" s="25">
        <f t="shared" si="20"/>
        <v>0</v>
      </c>
      <c r="BF243" s="25">
        <f t="shared" si="20"/>
        <v>0</v>
      </c>
      <c r="CA243" s="16">
        <v>166.69399999999999</v>
      </c>
      <c r="CB243" s="16">
        <v>170.84399999999999</v>
      </c>
      <c r="CC243" s="16">
        <v>175.96932000000001</v>
      </c>
      <c r="CD243" s="16">
        <v>181.24839960000003</v>
      </c>
      <c r="CE243" s="16">
        <v>186.68585158800002</v>
      </c>
      <c r="CF243" s="16">
        <v>-9999</v>
      </c>
      <c r="CG243" s="16">
        <v>-9999</v>
      </c>
      <c r="CH243" s="16">
        <v>-9999</v>
      </c>
      <c r="CI243" s="16">
        <v>-9999</v>
      </c>
      <c r="CJ243" s="16">
        <v>-9999</v>
      </c>
      <c r="CK243" s="16">
        <v>-9999</v>
      </c>
      <c r="CL243" s="16">
        <v>-9999</v>
      </c>
      <c r="CM243" s="16">
        <v>-9999</v>
      </c>
      <c r="CN243" s="16">
        <v>163.46100000000001</v>
      </c>
      <c r="CO243" s="16">
        <v>167.54499999999999</v>
      </c>
      <c r="CP243" s="16">
        <v>170.04900000000001</v>
      </c>
      <c r="CQ243" s="16">
        <v>172.429686</v>
      </c>
      <c r="CR243" s="16">
        <v>174.15398286000001</v>
      </c>
      <c r="CS243" s="16">
        <v>-9999</v>
      </c>
      <c r="CT243" s="16">
        <v>-9999</v>
      </c>
      <c r="CU243" s="16">
        <v>-9999</v>
      </c>
      <c r="CV243" s="16">
        <v>-9999</v>
      </c>
      <c r="CW243" s="16">
        <v>-9999</v>
      </c>
      <c r="CX243" s="16">
        <v>-9999</v>
      </c>
      <c r="CY243" s="16">
        <v>-9999</v>
      </c>
      <c r="CZ243" s="16">
        <v>-9999</v>
      </c>
      <c r="DA243" s="16">
        <v>166.69399999999999</v>
      </c>
      <c r="DB243" s="16">
        <v>170.84399999999999</v>
      </c>
      <c r="DC243" s="16">
        <v>173.235816</v>
      </c>
      <c r="DD243" s="16">
        <v>174.96817415999999</v>
      </c>
      <c r="DE243" s="16">
        <v>176.71785590159999</v>
      </c>
      <c r="DF243" s="16">
        <v>-9999</v>
      </c>
      <c r="DG243" s="16">
        <v>-9999</v>
      </c>
      <c r="DH243" s="16">
        <v>-9999</v>
      </c>
      <c r="DI243" s="16">
        <v>-9999</v>
      </c>
      <c r="DJ243" s="16">
        <v>-9999</v>
      </c>
      <c r="DK243" s="16">
        <v>-9999</v>
      </c>
      <c r="DL243" s="16">
        <v>-9999</v>
      </c>
      <c r="DM243" s="16">
        <v>-9999</v>
      </c>
      <c r="DN243" s="16">
        <v>166.69399999999999</v>
      </c>
      <c r="DO243" s="16">
        <v>170.84399999999999</v>
      </c>
      <c r="DP243" s="16">
        <v>173.235816</v>
      </c>
      <c r="DQ243" s="16">
        <v>174.96817415999999</v>
      </c>
      <c r="DR243" s="16">
        <v>176.71785590159999</v>
      </c>
      <c r="DS243" s="16">
        <v>-9999</v>
      </c>
      <c r="DT243" s="16">
        <v>-9999</v>
      </c>
      <c r="DU243" s="16">
        <v>-9999</v>
      </c>
      <c r="DV243" s="16">
        <v>-9999</v>
      </c>
      <c r="DW243" s="16">
        <v>-9999</v>
      </c>
      <c r="DX243" s="16">
        <v>-9999</v>
      </c>
      <c r="DY243" s="16">
        <v>-9999</v>
      </c>
      <c r="DZ243" s="16">
        <v>-9999</v>
      </c>
      <c r="EA243" s="2257">
        <v>166.69399999999999</v>
      </c>
      <c r="EB243" s="2257">
        <v>170.84399999999999</v>
      </c>
      <c r="EC243" s="2257">
        <v>175.96932000000001</v>
      </c>
      <c r="ED243" s="2257">
        <v>181.24839960000003</v>
      </c>
      <c r="EE243" s="2257">
        <v>186.68585158800002</v>
      </c>
      <c r="EF243" s="2257">
        <v>-9999</v>
      </c>
      <c r="EG243" s="2257">
        <v>-9999</v>
      </c>
      <c r="EH243" s="2257">
        <v>-9999</v>
      </c>
      <c r="EI243" s="2257">
        <v>-9999</v>
      </c>
      <c r="EJ243" s="2257">
        <v>-9999</v>
      </c>
      <c r="EK243" s="2257">
        <v>-9999</v>
      </c>
      <c r="EL243" s="2257">
        <v>-9999</v>
      </c>
      <c r="EM243" s="2257">
        <v>-9999</v>
      </c>
    </row>
    <row r="244" spans="1:143" ht="13.15">
      <c r="A244" s="22">
        <v>144</v>
      </c>
      <c r="B244" s="33" t="s">
        <v>850</v>
      </c>
      <c r="C244" s="24">
        <f ca="1">OFFSET(Sector1!F420,0,Last_forecast_year - 3-InputY!$G$3)</f>
        <v>137.63200000000001</v>
      </c>
      <c r="D244" s="24">
        <f ca="1">OFFSET(Sector1!G420,0,Last_forecast_year - 3-InputY!$G$3)</f>
        <v>143.655</v>
      </c>
      <c r="E244" s="24">
        <f ca="1">OFFSET(Sector1!H420,0,Last_forecast_year - 3-InputY!$G$3)</f>
        <v>146.24079</v>
      </c>
      <c r="F244" s="24">
        <f ca="1">OFFSET(Sector1!I420,0,Last_forecast_year - 3-InputY!$G$3)</f>
        <v>150.6280137</v>
      </c>
      <c r="G244" s="24">
        <f ca="1">OFFSET(Sector1!J420,0,Last_forecast_year - 3-InputY!$G$3)</f>
        <v>155.14685411100001</v>
      </c>
      <c r="H244" s="25">
        <v>-9999</v>
      </c>
      <c r="I244" s="25">
        <v>-9999</v>
      </c>
      <c r="J244" s="25">
        <v>-9999</v>
      </c>
      <c r="K244" s="25">
        <v>-9999</v>
      </c>
      <c r="L244" s="25">
        <v>-9999</v>
      </c>
      <c r="M244" s="25">
        <v>-9999</v>
      </c>
      <c r="N244" s="25">
        <v>-9999</v>
      </c>
      <c r="O244" s="25">
        <v>-9999</v>
      </c>
      <c r="P244" s="26"/>
      <c r="Q244"/>
      <c r="AA244" s="22">
        <v>144</v>
      </c>
      <c r="AB244" s="1080" t="str">
        <f t="shared" si="30"/>
        <v>GG CONSUMPTION OF FIXED CAPITAL</v>
      </c>
      <c r="AC244" s="1080">
        <f>CHOOSE(Tables!$U$2,Transfer!CA244,Transfer!CN244,Transfer!DA244,Transfer!DN244,Transfer!EA244)</f>
        <v>134.07300000000001</v>
      </c>
      <c r="AD244" s="1080">
        <f>CHOOSE(Tables!$U$2,Transfer!CB244,Transfer!CO244,Transfer!DB244,Transfer!DO244,Transfer!EB244)</f>
        <v>137.09899999999999</v>
      </c>
      <c r="AE244" s="1080">
        <f>CHOOSE(Tables!$U$2,Transfer!CC244,Transfer!CP244,Transfer!DC244,Transfer!DP244,Transfer!EC244)</f>
        <v>144.80600000000001</v>
      </c>
      <c r="AF244" s="1080">
        <f>CHOOSE(Tables!$U$2,Transfer!CD244,Transfer!CQ244,Transfer!DD244,Transfer!DQ244,Transfer!ED244)</f>
        <v>147.412508</v>
      </c>
      <c r="AG244" s="1080">
        <f>CHOOSE(Tables!$U$2,Transfer!CE244,Transfer!CR244,Transfer!DE244,Transfer!DR244,Transfer!EE244)</f>
        <v>151.83488324000001</v>
      </c>
      <c r="AH244" s="1080">
        <f>CHOOSE(Tables!$U$2,Transfer!CF244,Transfer!CS244,Transfer!DF244,Transfer!DS244,Transfer!EF244)</f>
        <v>-9999</v>
      </c>
      <c r="AI244" s="1080">
        <f>CHOOSE(Tables!$U$2,Transfer!CG244,Transfer!CT244,Transfer!DG244,Transfer!DT244,Transfer!EG244)</f>
        <v>-9999</v>
      </c>
      <c r="AJ244" s="1080">
        <f>CHOOSE(Tables!$U$2,Transfer!CH244,Transfer!CU244,Transfer!DH244,Transfer!DU244,Transfer!EH244)</f>
        <v>-9999</v>
      </c>
      <c r="AK244" s="1080">
        <f>CHOOSE(Tables!$U$2,Transfer!CI244,Transfer!CV244,Transfer!DI244,Transfer!DV244,Transfer!EI244)</f>
        <v>-9999</v>
      </c>
      <c r="AL244" s="1080">
        <f>CHOOSE(Tables!$U$2,Transfer!CJ244,Transfer!CW244,Transfer!DJ244,Transfer!DW244,Transfer!EJ244)</f>
        <v>-9999</v>
      </c>
      <c r="AM244" s="1080">
        <f>CHOOSE(Tables!$U$2,Transfer!CK244,Transfer!CX244,Transfer!DK244,Transfer!DX244,Transfer!EK244)</f>
        <v>-9999</v>
      </c>
      <c r="AN244" s="1080">
        <f>CHOOSE(Tables!$U$2,Transfer!CL244,Transfer!CY244,Transfer!DL244,Transfer!DY244,Transfer!EL244)</f>
        <v>-9999</v>
      </c>
      <c r="AO244" s="1080">
        <f>CHOOSE(Tables!$U$2,Transfer!CM244,Transfer!CZ244,Transfer!DM244,Transfer!DZ244,Transfer!EM244)</f>
        <v>-9999</v>
      </c>
      <c r="AR244" s="22">
        <v>144</v>
      </c>
      <c r="AS244" s="30" t="s">
        <v>973</v>
      </c>
      <c r="AT244" s="25">
        <f t="shared" ca="1" si="21"/>
        <v>3.5589999999999975</v>
      </c>
      <c r="AU244" s="25">
        <f t="shared" ca="1" si="22"/>
        <v>6.5560000000000116</v>
      </c>
      <c r="AV244" s="25">
        <f t="shared" ca="1" si="23"/>
        <v>1.4347899999999925</v>
      </c>
      <c r="AW244" s="25">
        <f t="shared" ca="1" si="24"/>
        <v>3.2155056999999942</v>
      </c>
      <c r="AX244" s="25">
        <f t="shared" ca="1" si="25"/>
        <v>3.3119708709999998</v>
      </c>
      <c r="AY244" s="25">
        <f t="shared" si="26"/>
        <v>0</v>
      </c>
      <c r="AZ244" s="25">
        <f t="shared" si="27"/>
        <v>0</v>
      </c>
      <c r="BA244" s="25">
        <f t="shared" si="28"/>
        <v>0</v>
      </c>
      <c r="BB244" s="25">
        <f t="shared" si="29"/>
        <v>0</v>
      </c>
      <c r="BC244" s="25">
        <f t="shared" si="20"/>
        <v>0</v>
      </c>
      <c r="BD244" s="25">
        <f t="shared" si="20"/>
        <v>0</v>
      </c>
      <c r="BE244" s="25">
        <f t="shared" si="20"/>
        <v>0</v>
      </c>
      <c r="BF244" s="25">
        <f t="shared" si="20"/>
        <v>0</v>
      </c>
      <c r="CA244" s="16">
        <v>137.63200000000001</v>
      </c>
      <c r="CB244" s="16">
        <v>143.655</v>
      </c>
      <c r="CC244" s="16">
        <v>146.24079</v>
      </c>
      <c r="CD244" s="16">
        <v>150.6280137</v>
      </c>
      <c r="CE244" s="16">
        <v>155.14685411100001</v>
      </c>
      <c r="CF244" s="16">
        <v>-9999</v>
      </c>
      <c r="CG244" s="16">
        <v>-9999</v>
      </c>
      <c r="CH244" s="16">
        <v>-9999</v>
      </c>
      <c r="CI244" s="16">
        <v>-9999</v>
      </c>
      <c r="CJ244" s="16">
        <v>-9999</v>
      </c>
      <c r="CK244" s="16">
        <v>-9999</v>
      </c>
      <c r="CL244" s="16">
        <v>-9999</v>
      </c>
      <c r="CM244" s="16">
        <v>-9999</v>
      </c>
      <c r="CN244" s="16">
        <v>134.07300000000001</v>
      </c>
      <c r="CO244" s="16">
        <v>137.09899999999999</v>
      </c>
      <c r="CP244" s="16">
        <v>144.80600000000001</v>
      </c>
      <c r="CQ244" s="16">
        <v>147.412508</v>
      </c>
      <c r="CR244" s="16">
        <v>151.83488324000001</v>
      </c>
      <c r="CS244" s="16">
        <v>-9999</v>
      </c>
      <c r="CT244" s="16">
        <v>-9999</v>
      </c>
      <c r="CU244" s="16">
        <v>-9999</v>
      </c>
      <c r="CV244" s="16">
        <v>-9999</v>
      </c>
      <c r="CW244" s="16">
        <v>-9999</v>
      </c>
      <c r="CX244" s="16">
        <v>-9999</v>
      </c>
      <c r="CY244" s="16">
        <v>-9999</v>
      </c>
      <c r="CZ244" s="16">
        <v>-9999</v>
      </c>
      <c r="DA244" s="16">
        <v>137.63200000000001</v>
      </c>
      <c r="DB244" s="16">
        <v>143.655</v>
      </c>
      <c r="DC244" s="16">
        <v>146.24079</v>
      </c>
      <c r="DD244" s="16">
        <v>150.6280137</v>
      </c>
      <c r="DE244" s="16">
        <v>155.14685411100001</v>
      </c>
      <c r="DF244" s="16">
        <v>-9999</v>
      </c>
      <c r="DG244" s="16">
        <v>-9999</v>
      </c>
      <c r="DH244" s="16">
        <v>-9999</v>
      </c>
      <c r="DI244" s="16">
        <v>-9999</v>
      </c>
      <c r="DJ244" s="16">
        <v>-9999</v>
      </c>
      <c r="DK244" s="16">
        <v>-9999</v>
      </c>
      <c r="DL244" s="16">
        <v>-9999</v>
      </c>
      <c r="DM244" s="16">
        <v>-9999</v>
      </c>
      <c r="DN244" s="16">
        <v>137.63200000000001</v>
      </c>
      <c r="DO244" s="16">
        <v>143.655</v>
      </c>
      <c r="DP244" s="16">
        <v>146.24079</v>
      </c>
      <c r="DQ244" s="16">
        <v>150.6280137</v>
      </c>
      <c r="DR244" s="16">
        <v>155.14685411100001</v>
      </c>
      <c r="DS244" s="16">
        <v>-9999</v>
      </c>
      <c r="DT244" s="16">
        <v>-9999</v>
      </c>
      <c r="DU244" s="16">
        <v>-9999</v>
      </c>
      <c r="DV244" s="16">
        <v>-9999</v>
      </c>
      <c r="DW244" s="16">
        <v>-9999</v>
      </c>
      <c r="DX244" s="16">
        <v>-9999</v>
      </c>
      <c r="DY244" s="16">
        <v>-9999</v>
      </c>
      <c r="DZ244" s="16">
        <v>-9999</v>
      </c>
      <c r="EA244" s="2257">
        <v>137.63200000000001</v>
      </c>
      <c r="EB244" s="2257">
        <v>143.655</v>
      </c>
      <c r="EC244" s="2257">
        <v>146.24079</v>
      </c>
      <c r="ED244" s="2257">
        <v>150.6280137</v>
      </c>
      <c r="EE244" s="2257">
        <v>155.14685411100001</v>
      </c>
      <c r="EF244" s="2257">
        <v>-9999</v>
      </c>
      <c r="EG244" s="2257">
        <v>-9999</v>
      </c>
      <c r="EH244" s="2257">
        <v>-9999</v>
      </c>
      <c r="EI244" s="2257">
        <v>-9999</v>
      </c>
      <c r="EJ244" s="2257">
        <v>-9999</v>
      </c>
      <c r="EK244" s="2257">
        <v>-9999</v>
      </c>
      <c r="EL244" s="2257">
        <v>-9999</v>
      </c>
      <c r="EM244" s="2257">
        <v>-9999</v>
      </c>
    </row>
    <row r="245" spans="1:143" ht="13.15">
      <c r="A245" s="22">
        <v>145</v>
      </c>
      <c r="B245" s="33" t="s">
        <v>1974</v>
      </c>
      <c r="C245" s="24">
        <f ca="1">OFFSET(Sector1!F417,0,Last_forecast_year - 3-InputY!$G$3)</f>
        <v>352.54700000000003</v>
      </c>
      <c r="D245" s="24">
        <f ca="1">OFFSET(Sector1!G417,0,Last_forecast_year - 3-InputY!$G$3)</f>
        <v>358.77600000000001</v>
      </c>
      <c r="E245" s="24">
        <f ca="1">OFFSET(Sector1!H417,0,Last_forecast_year - 3-InputY!$G$3)</f>
        <v>377.16647313963722</v>
      </c>
      <c r="F245" s="24">
        <f ca="1">OFFSET(Sector1!I417,0,Last_forecast_year - 3-InputY!$G$3)</f>
        <v>390.10645678377944</v>
      </c>
      <c r="G245" s="24">
        <f ca="1">OFFSET(Sector1!J417,0,Last_forecast_year - 3-InputY!$G$3)</f>
        <v>402.92820397364028</v>
      </c>
      <c r="H245" s="25">
        <v>-9999</v>
      </c>
      <c r="I245" s="25">
        <v>-9999</v>
      </c>
      <c r="J245" s="25">
        <v>-9999</v>
      </c>
      <c r="K245" s="25">
        <v>-9999</v>
      </c>
      <c r="L245" s="25">
        <v>-9999</v>
      </c>
      <c r="M245" s="25">
        <v>-9999</v>
      </c>
      <c r="N245" s="25">
        <v>-9999</v>
      </c>
      <c r="O245" s="25">
        <v>-9999</v>
      </c>
      <c r="P245" s="26"/>
      <c r="Q245"/>
      <c r="AA245" s="22">
        <v>145</v>
      </c>
      <c r="AB245" s="1080" t="str">
        <f t="shared" si="30"/>
        <v>GG INTERMEDIATE CONSUMPTION</v>
      </c>
      <c r="AC245" s="1080">
        <f>CHOOSE(Tables!$U$2,Transfer!CA245,Transfer!CN245,Transfer!DA245,Transfer!DN245,Transfer!EA245)</f>
        <v>340.60599999999999</v>
      </c>
      <c r="AD245" s="1080">
        <f>CHOOSE(Tables!$U$2,Transfer!CB245,Transfer!CO245,Transfer!DB245,Transfer!DO245,Transfer!EB245)</f>
        <v>353.31099999999998</v>
      </c>
      <c r="AE245" s="1080">
        <f>CHOOSE(Tables!$U$2,Transfer!CC245,Transfer!CP245,Transfer!DC245,Transfer!DP245,Transfer!EC245)</f>
        <v>360.72</v>
      </c>
      <c r="AF245" s="1080">
        <f>CHOOSE(Tables!$U$2,Transfer!CD245,Transfer!CQ245,Transfer!DD245,Transfer!DQ245,Transfer!ED245)</f>
        <v>379.33584735478019</v>
      </c>
      <c r="AG245" s="1080">
        <f>CHOOSE(Tables!$U$2,Transfer!CE245,Transfer!CR245,Transfer!DE245,Transfer!DR245,Transfer!EE245)</f>
        <v>390.37401117068009</v>
      </c>
      <c r="AH245" s="1080">
        <f>CHOOSE(Tables!$U$2,Transfer!CF245,Transfer!CS245,Transfer!DF245,Transfer!DS245,Transfer!EF245)</f>
        <v>-9999</v>
      </c>
      <c r="AI245" s="1080">
        <f>CHOOSE(Tables!$U$2,Transfer!CG245,Transfer!CT245,Transfer!DG245,Transfer!DT245,Transfer!EG245)</f>
        <v>-9999</v>
      </c>
      <c r="AJ245" s="1080">
        <f>CHOOSE(Tables!$U$2,Transfer!CH245,Transfer!CU245,Transfer!DH245,Transfer!DU245,Transfer!EH245)</f>
        <v>-9999</v>
      </c>
      <c r="AK245" s="1080">
        <f>CHOOSE(Tables!$U$2,Transfer!CI245,Transfer!CV245,Transfer!DI245,Transfer!DV245,Transfer!EI245)</f>
        <v>-9999</v>
      </c>
      <c r="AL245" s="1080">
        <f>CHOOSE(Tables!$U$2,Transfer!CJ245,Transfer!CW245,Transfer!DJ245,Transfer!DW245,Transfer!EJ245)</f>
        <v>-9999</v>
      </c>
      <c r="AM245" s="1080">
        <f>CHOOSE(Tables!$U$2,Transfer!CK245,Transfer!CX245,Transfer!DK245,Transfer!DX245,Transfer!EK245)</f>
        <v>-9999</v>
      </c>
      <c r="AN245" s="1080">
        <f>CHOOSE(Tables!$U$2,Transfer!CL245,Transfer!CY245,Transfer!DL245,Transfer!DY245,Transfer!EL245)</f>
        <v>-9999</v>
      </c>
      <c r="AO245" s="1080">
        <f>CHOOSE(Tables!$U$2,Transfer!CM245,Transfer!CZ245,Transfer!DM245,Transfer!DZ245,Transfer!EM245)</f>
        <v>-9999</v>
      </c>
      <c r="AR245" s="22">
        <v>145</v>
      </c>
      <c r="AS245" s="30" t="s">
        <v>973</v>
      </c>
      <c r="AT245" s="25">
        <f t="shared" ca="1" si="21"/>
        <v>11.941000000000031</v>
      </c>
      <c r="AU245" s="25">
        <f t="shared" ca="1" si="22"/>
        <v>5.4650000000000318</v>
      </c>
      <c r="AV245" s="25">
        <f t="shared" ca="1" si="23"/>
        <v>16.446473139637192</v>
      </c>
      <c r="AW245" s="25">
        <f t="shared" ca="1" si="24"/>
        <v>10.770609428999251</v>
      </c>
      <c r="AX245" s="25">
        <f t="shared" ca="1" si="25"/>
        <v>12.554192802960188</v>
      </c>
      <c r="AY245" s="25">
        <f t="shared" si="26"/>
        <v>0</v>
      </c>
      <c r="AZ245" s="25">
        <f t="shared" si="27"/>
        <v>0</v>
      </c>
      <c r="BA245" s="25">
        <f t="shared" si="28"/>
        <v>0</v>
      </c>
      <c r="BB245" s="25">
        <f t="shared" si="29"/>
        <v>0</v>
      </c>
      <c r="BC245" s="25">
        <f t="shared" si="20"/>
        <v>0</v>
      </c>
      <c r="BD245" s="25">
        <f t="shared" si="20"/>
        <v>0</v>
      </c>
      <c r="BE245" s="25">
        <f t="shared" si="20"/>
        <v>0</v>
      </c>
      <c r="BF245" s="25">
        <f t="shared" si="20"/>
        <v>0</v>
      </c>
      <c r="CA245" s="16">
        <v>352.54700000000003</v>
      </c>
      <c r="CB245" s="16">
        <v>358.77600000000001</v>
      </c>
      <c r="CC245" s="16">
        <v>375.97088293763716</v>
      </c>
      <c r="CD245" s="16">
        <v>388.86180051925987</v>
      </c>
      <c r="CE245" s="16">
        <v>401.63570501724951</v>
      </c>
      <c r="CF245" s="16">
        <v>-9999</v>
      </c>
      <c r="CG245" s="16">
        <v>-9999</v>
      </c>
      <c r="CH245" s="16">
        <v>-9999</v>
      </c>
      <c r="CI245" s="16">
        <v>-9999</v>
      </c>
      <c r="CJ245" s="16">
        <v>-9999</v>
      </c>
      <c r="CK245" s="16">
        <v>-9999</v>
      </c>
      <c r="CL245" s="16">
        <v>-9999</v>
      </c>
      <c r="CM245" s="16">
        <v>-9999</v>
      </c>
      <c r="CN245" s="16">
        <v>340.60599999999999</v>
      </c>
      <c r="CO245" s="16">
        <v>353.31099999999998</v>
      </c>
      <c r="CP245" s="16">
        <v>360.72</v>
      </c>
      <c r="CQ245" s="16">
        <v>379.33584735478019</v>
      </c>
      <c r="CR245" s="16">
        <v>390.37401117068009</v>
      </c>
      <c r="CS245" s="16">
        <v>-9999</v>
      </c>
      <c r="CT245" s="16">
        <v>-9999</v>
      </c>
      <c r="CU245" s="16">
        <v>-9999</v>
      </c>
      <c r="CV245" s="16">
        <v>-9999</v>
      </c>
      <c r="CW245" s="16">
        <v>-9999</v>
      </c>
      <c r="CX245" s="16">
        <v>-9999</v>
      </c>
      <c r="CY245" s="16">
        <v>-9999</v>
      </c>
      <c r="CZ245" s="16">
        <v>-9999</v>
      </c>
      <c r="DA245" s="16">
        <v>352.54700000000003</v>
      </c>
      <c r="DB245" s="16">
        <v>358.77600000000001</v>
      </c>
      <c r="DC245" s="16">
        <v>373.23737149971362</v>
      </c>
      <c r="DD245" s="16">
        <v>382.58158862110173</v>
      </c>
      <c r="DE245" s="16">
        <v>394.34594189262748</v>
      </c>
      <c r="DF245" s="16">
        <v>-9999</v>
      </c>
      <c r="DG245" s="16">
        <v>-9999</v>
      </c>
      <c r="DH245" s="16">
        <v>-9999</v>
      </c>
      <c r="DI245" s="16">
        <v>-9999</v>
      </c>
      <c r="DJ245" s="16">
        <v>-9999</v>
      </c>
      <c r="DK245" s="16">
        <v>-9999</v>
      </c>
      <c r="DL245" s="16">
        <v>-9999</v>
      </c>
      <c r="DM245" s="16">
        <v>-9999</v>
      </c>
      <c r="DN245" s="16">
        <v>352.54700000000003</v>
      </c>
      <c r="DO245" s="16">
        <v>358.77600000000001</v>
      </c>
      <c r="DP245" s="16">
        <v>373.93529552255643</v>
      </c>
      <c r="DQ245" s="16">
        <v>382.61630822532317</v>
      </c>
      <c r="DR245" s="16">
        <v>369.40278721205033</v>
      </c>
      <c r="DS245" s="16">
        <v>-9999</v>
      </c>
      <c r="DT245" s="16">
        <v>-9999</v>
      </c>
      <c r="DU245" s="16">
        <v>-9999</v>
      </c>
      <c r="DV245" s="16">
        <v>-9999</v>
      </c>
      <c r="DW245" s="16">
        <v>-9999</v>
      </c>
      <c r="DX245" s="16">
        <v>-9999</v>
      </c>
      <c r="DY245" s="16">
        <v>-9999</v>
      </c>
      <c r="DZ245" s="16">
        <v>-9999</v>
      </c>
      <c r="EA245" s="2257">
        <v>352.54700000000003</v>
      </c>
      <c r="EB245" s="2257">
        <v>358.77600000000001</v>
      </c>
      <c r="EC245" s="2257">
        <v>377.16647313963722</v>
      </c>
      <c r="ED245" s="2257">
        <v>390.10645678377944</v>
      </c>
      <c r="EE245" s="2257">
        <v>402.92820397364028</v>
      </c>
      <c r="EF245" s="2257">
        <v>-9999</v>
      </c>
      <c r="EG245" s="2257">
        <v>-9999</v>
      </c>
      <c r="EH245" s="2257">
        <v>-9999</v>
      </c>
      <c r="EI245" s="2257">
        <v>-9999</v>
      </c>
      <c r="EJ245" s="2257">
        <v>-9999</v>
      </c>
      <c r="EK245" s="2257">
        <v>-9999</v>
      </c>
      <c r="EL245" s="2257">
        <v>-9999</v>
      </c>
      <c r="EM245" s="2257">
        <v>-9999</v>
      </c>
    </row>
    <row r="246" spans="1:143" ht="13.15">
      <c r="A246" s="22">
        <v>146</v>
      </c>
      <c r="B246" s="33" t="s">
        <v>1975</v>
      </c>
      <c r="C246" s="24">
        <f ca="1">OFFSET(Sector1!F418,0,Last_forecast_year - 3-InputY!$G$3)</f>
        <v>171.90799999999999</v>
      </c>
      <c r="D246" s="24">
        <f ca="1">OFFSET(Sector1!G418,0,Last_forecast_year - 3-InputY!$G$3)</f>
        <v>172.83099999999999</v>
      </c>
      <c r="E246" s="24">
        <f ca="1">OFFSET(Sector1!H418,0,Last_forecast_year - 3-InputY!$G$3)</f>
        <v>177.15177499999999</v>
      </c>
      <c r="F246" s="24">
        <f ca="1">OFFSET(Sector1!I418,0,Last_forecast_year - 3-InputY!$G$3)</f>
        <v>181.58056937499998</v>
      </c>
      <c r="G246" s="24">
        <f ca="1">OFFSET(Sector1!J418,0,Last_forecast_year - 3-InputY!$G$3)</f>
        <v>186.12008360937497</v>
      </c>
      <c r="H246" s="25">
        <v>-9999</v>
      </c>
      <c r="I246" s="25">
        <v>-9999</v>
      </c>
      <c r="J246" s="25">
        <v>-9999</v>
      </c>
      <c r="K246" s="25">
        <v>-9999</v>
      </c>
      <c r="L246" s="25">
        <v>-9999</v>
      </c>
      <c r="M246" s="25">
        <v>-9999</v>
      </c>
      <c r="N246" s="25">
        <v>-9999</v>
      </c>
      <c r="O246" s="25">
        <v>-9999</v>
      </c>
      <c r="P246" s="26"/>
      <c r="Q246"/>
      <c r="AA246" s="22">
        <v>146</v>
      </c>
      <c r="AB246" s="1080" t="str">
        <f t="shared" si="30"/>
        <v>GG SOC TRANSF IN KIND VIA MARKET PRODUCERS</v>
      </c>
      <c r="AC246" s="1080">
        <f>CHOOSE(Tables!$U$2,Transfer!CA246,Transfer!CN246,Transfer!DA246,Transfer!DN246,Transfer!EA246)</f>
        <v>153.696</v>
      </c>
      <c r="AD246" s="1080">
        <f>CHOOSE(Tables!$U$2,Transfer!CB246,Transfer!CO246,Transfer!DB246,Transfer!DO246,Transfer!EB246)</f>
        <v>169.96600000000001</v>
      </c>
      <c r="AE246" s="1080">
        <f>CHOOSE(Tables!$U$2,Transfer!CC246,Transfer!CP246,Transfer!DC246,Transfer!DP246,Transfer!EC246)</f>
        <v>171.77600000000001</v>
      </c>
      <c r="AF246" s="1080">
        <f>CHOOSE(Tables!$U$2,Transfer!CD246,Transfer!CQ246,Transfer!DD246,Transfer!DQ246,Transfer!ED246)</f>
        <v>176.07040000000001</v>
      </c>
      <c r="AG246" s="1080">
        <f>CHOOSE(Tables!$U$2,Transfer!CE246,Transfer!CR246,Transfer!DE246,Transfer!DR246,Transfer!EE246)</f>
        <v>180.47216</v>
      </c>
      <c r="AH246" s="1080">
        <f>CHOOSE(Tables!$U$2,Transfer!CF246,Transfer!CS246,Transfer!DF246,Transfer!DS246,Transfer!EF246)</f>
        <v>-9999</v>
      </c>
      <c r="AI246" s="1080">
        <f>CHOOSE(Tables!$U$2,Transfer!CG246,Transfer!CT246,Transfer!DG246,Transfer!DT246,Transfer!EG246)</f>
        <v>-9999</v>
      </c>
      <c r="AJ246" s="1080">
        <f>CHOOSE(Tables!$U$2,Transfer!CH246,Transfer!CU246,Transfer!DH246,Transfer!DU246,Transfer!EH246)</f>
        <v>-9999</v>
      </c>
      <c r="AK246" s="1080">
        <f>CHOOSE(Tables!$U$2,Transfer!CI246,Transfer!CV246,Transfer!DI246,Transfer!DV246,Transfer!EI246)</f>
        <v>-9999</v>
      </c>
      <c r="AL246" s="1080">
        <f>CHOOSE(Tables!$U$2,Transfer!CJ246,Transfer!CW246,Transfer!DJ246,Transfer!DW246,Transfer!EJ246)</f>
        <v>-9999</v>
      </c>
      <c r="AM246" s="1080">
        <f>CHOOSE(Tables!$U$2,Transfer!CK246,Transfer!CX246,Transfer!DK246,Transfer!DX246,Transfer!EK246)</f>
        <v>-9999</v>
      </c>
      <c r="AN246" s="1080">
        <f>CHOOSE(Tables!$U$2,Transfer!CL246,Transfer!CY246,Transfer!DL246,Transfer!DY246,Transfer!EL246)</f>
        <v>-9999</v>
      </c>
      <c r="AO246" s="1080">
        <f>CHOOSE(Tables!$U$2,Transfer!CM246,Transfer!CZ246,Transfer!DM246,Transfer!DZ246,Transfer!EM246)</f>
        <v>-9999</v>
      </c>
      <c r="AR246" s="22">
        <v>146</v>
      </c>
      <c r="AS246" s="30" t="s">
        <v>973</v>
      </c>
      <c r="AT246" s="25">
        <f t="shared" ref="AT246:AT256" ca="1" si="32">C246-AC246</f>
        <v>18.211999999999989</v>
      </c>
      <c r="AU246" s="25">
        <f t="shared" ref="AU246:AU256" ca="1" si="33">D246-AD246</f>
        <v>2.8649999999999807</v>
      </c>
      <c r="AV246" s="25">
        <f t="shared" ref="AV246:AV256" ca="1" si="34">E246-AE246</f>
        <v>5.375774999999976</v>
      </c>
      <c r="AW246" s="25">
        <f t="shared" ref="AW246:AW256" ca="1" si="35">F246-AF246</f>
        <v>5.5101693749999754</v>
      </c>
      <c r="AX246" s="25">
        <f t="shared" ref="AX246:AX256" ca="1" si="36">G246-AG246</f>
        <v>5.6479236093749705</v>
      </c>
      <c r="AY246" s="25">
        <f t="shared" ref="AY246:AY256" si="37">H246-AH246</f>
        <v>0</v>
      </c>
      <c r="AZ246" s="25">
        <f t="shared" ref="AZ246:AZ256" si="38">I246-AI246</f>
        <v>0</v>
      </c>
      <c r="BA246" s="25">
        <f t="shared" ref="BA246:BA256" si="39">J246-AJ246</f>
        <v>0</v>
      </c>
      <c r="BB246" s="25">
        <f t="shared" ref="BB246:BB256" si="40">K246-AK246</f>
        <v>0</v>
      </c>
      <c r="BC246" s="25">
        <f t="shared" si="20"/>
        <v>0</v>
      </c>
      <c r="BD246" s="25">
        <f t="shared" si="20"/>
        <v>0</v>
      </c>
      <c r="BE246" s="25">
        <f t="shared" si="20"/>
        <v>0</v>
      </c>
      <c r="BF246" s="25">
        <f t="shared" si="20"/>
        <v>0</v>
      </c>
      <c r="CA246" s="16">
        <v>171.90799999999999</v>
      </c>
      <c r="CB246" s="16">
        <v>172.83099999999999</v>
      </c>
      <c r="CC246" s="16">
        <v>177.15177499999999</v>
      </c>
      <c r="CD246" s="16">
        <v>181.58056937499998</v>
      </c>
      <c r="CE246" s="16">
        <v>186.12008360937497</v>
      </c>
      <c r="CF246" s="16">
        <v>-9999</v>
      </c>
      <c r="CG246" s="16">
        <v>-9999</v>
      </c>
      <c r="CH246" s="16">
        <v>-9999</v>
      </c>
      <c r="CI246" s="16">
        <v>-9999</v>
      </c>
      <c r="CJ246" s="16">
        <v>-9999</v>
      </c>
      <c r="CK246" s="16">
        <v>-9999</v>
      </c>
      <c r="CL246" s="16">
        <v>-9999</v>
      </c>
      <c r="CM246" s="16">
        <v>-9999</v>
      </c>
      <c r="CN246" s="16">
        <v>153.696</v>
      </c>
      <c r="CO246" s="16">
        <v>169.96600000000001</v>
      </c>
      <c r="CP246" s="16">
        <v>171.77600000000001</v>
      </c>
      <c r="CQ246" s="16">
        <v>176.07040000000001</v>
      </c>
      <c r="CR246" s="16">
        <v>180.47216</v>
      </c>
      <c r="CS246" s="16">
        <v>-9999</v>
      </c>
      <c r="CT246" s="16">
        <v>-9999</v>
      </c>
      <c r="CU246" s="16">
        <v>-9999</v>
      </c>
      <c r="CV246" s="16">
        <v>-9999</v>
      </c>
      <c r="CW246" s="16">
        <v>-9999</v>
      </c>
      <c r="CX246" s="16">
        <v>-9999</v>
      </c>
      <c r="CY246" s="16">
        <v>-9999</v>
      </c>
      <c r="CZ246" s="16">
        <v>-9999</v>
      </c>
      <c r="DA246" s="16">
        <v>171.90799999999999</v>
      </c>
      <c r="DB246" s="16">
        <v>172.83099999999999</v>
      </c>
      <c r="DC246" s="16">
        <v>177.15177499999999</v>
      </c>
      <c r="DD246" s="16">
        <v>181.58056937499998</v>
      </c>
      <c r="DE246" s="16">
        <v>186.12008360937497</v>
      </c>
      <c r="DF246" s="16">
        <v>-9999</v>
      </c>
      <c r="DG246" s="16">
        <v>-9999</v>
      </c>
      <c r="DH246" s="16">
        <v>-9999</v>
      </c>
      <c r="DI246" s="16">
        <v>-9999</v>
      </c>
      <c r="DJ246" s="16">
        <v>-9999</v>
      </c>
      <c r="DK246" s="16">
        <v>-9999</v>
      </c>
      <c r="DL246" s="16">
        <v>-9999</v>
      </c>
      <c r="DM246" s="16">
        <v>-9999</v>
      </c>
      <c r="DN246" s="16">
        <v>171.90799999999999</v>
      </c>
      <c r="DO246" s="16">
        <v>172.83099999999999</v>
      </c>
      <c r="DP246" s="16">
        <v>177.15177499999999</v>
      </c>
      <c r="DQ246" s="16">
        <v>181.58056937499998</v>
      </c>
      <c r="DR246" s="16">
        <v>186.12008360937497</v>
      </c>
      <c r="DS246" s="16">
        <v>-9999</v>
      </c>
      <c r="DT246" s="16">
        <v>-9999</v>
      </c>
      <c r="DU246" s="16">
        <v>-9999</v>
      </c>
      <c r="DV246" s="16">
        <v>-9999</v>
      </c>
      <c r="DW246" s="16">
        <v>-9999</v>
      </c>
      <c r="DX246" s="16">
        <v>-9999</v>
      </c>
      <c r="DY246" s="16">
        <v>-9999</v>
      </c>
      <c r="DZ246" s="16">
        <v>-9999</v>
      </c>
      <c r="EA246" s="2257">
        <v>171.90799999999999</v>
      </c>
      <c r="EB246" s="2257">
        <v>172.83099999999999</v>
      </c>
      <c r="EC246" s="2257">
        <v>177.15177499999999</v>
      </c>
      <c r="ED246" s="2257">
        <v>181.58056937499998</v>
      </c>
      <c r="EE246" s="2257">
        <v>186.12008360937497</v>
      </c>
      <c r="EF246" s="2257">
        <v>-9999</v>
      </c>
      <c r="EG246" s="2257">
        <v>-9999</v>
      </c>
      <c r="EH246" s="2257">
        <v>-9999</v>
      </c>
      <c r="EI246" s="2257">
        <v>-9999</v>
      </c>
      <c r="EJ246" s="2257">
        <v>-9999</v>
      </c>
      <c r="EK246" s="2257">
        <v>-9999</v>
      </c>
      <c r="EL246" s="2257">
        <v>-9999</v>
      </c>
      <c r="EM246" s="2257">
        <v>-9999</v>
      </c>
    </row>
    <row r="247" spans="1:143" ht="13.15">
      <c r="A247" s="22">
        <v>147</v>
      </c>
      <c r="B247" s="29" t="s">
        <v>1473</v>
      </c>
      <c r="C247" s="1389">
        <f ca="1">OFFSET('VVP2'!F288,0,Last_forecast_year - 3-InputY!$G$3)</f>
        <v>704.95398159727733</v>
      </c>
      <c r="D247" s="1389">
        <f ca="1">OFFSET('VVP2'!G288,0,Last_forecast_year - 3-InputY!$G$3)</f>
        <v>772.37506491564704</v>
      </c>
      <c r="E247" s="1389">
        <f ca="1">OFFSET('VVP2'!H288,0,Last_forecast_year - 3-InputY!$G$3)</f>
        <v>845.0894603337656</v>
      </c>
      <c r="F247" s="1389">
        <f ca="1">OFFSET('VVP2'!I288,0,Last_forecast_year - 3-InputY!$G$3)</f>
        <v>899.56125659960571</v>
      </c>
      <c r="G247" s="1389">
        <f ca="1">OFFSET('VVP2'!J288,0,Last_forecast_year - 3-InputY!$G$3)</f>
        <v>933.74311046855007</v>
      </c>
      <c r="H247" s="25">
        <v>-9999</v>
      </c>
      <c r="I247" s="25">
        <v>-9999</v>
      </c>
      <c r="J247" s="25">
        <v>-9999</v>
      </c>
      <c r="K247" s="25">
        <v>-9999</v>
      </c>
      <c r="L247" s="25">
        <v>-9999</v>
      </c>
      <c r="M247" s="25">
        <v>-9999</v>
      </c>
      <c r="N247" s="25">
        <v>-9999</v>
      </c>
      <c r="O247" s="25">
        <v>-9999</v>
      </c>
      <c r="P247" s="26"/>
      <c r="Q247"/>
      <c r="AA247" s="22">
        <v>147</v>
      </c>
      <c r="AB247" s="1080" t="str">
        <f t="shared" si="30"/>
        <v>EXPORTS OF GOODS INTRA-EU (FOB)</v>
      </c>
      <c r="AC247" s="1080">
        <f>CHOOSE(Tables!$U$2,Transfer!CA247,Transfer!CN247,Transfer!DA247,Transfer!DN247,Transfer!EA247)</f>
        <v>690.53141321015619</v>
      </c>
      <c r="AD247" s="1080">
        <f>CHOOSE(Tables!$U$2,Transfer!CB247,Transfer!CO247,Transfer!DB247,Transfer!DO247,Transfer!EB247)</f>
        <v>705.9699946507792</v>
      </c>
      <c r="AE247" s="1080">
        <f>CHOOSE(Tables!$U$2,Transfer!CC247,Transfer!CP247,Transfer!DC247,Transfer!DP247,Transfer!EC247)</f>
        <v>772.46756180788236</v>
      </c>
      <c r="AF247" s="1080">
        <f>CHOOSE(Tables!$U$2,Transfer!CD247,Transfer!CQ247,Transfer!DD247,Transfer!DQ247,Transfer!ED247)</f>
        <v>851.62123295482195</v>
      </c>
      <c r="AG247" s="1080">
        <f>CHOOSE(Tables!$U$2,Transfer!CE247,Transfer!CR247,Transfer!DE247,Transfer!DR247,Transfer!EE247)</f>
        <v>913.22340243442011</v>
      </c>
      <c r="AH247" s="1080">
        <f>CHOOSE(Tables!$U$2,Transfer!CF247,Transfer!CS247,Transfer!DF247,Transfer!DS247,Transfer!EF247)</f>
        <v>-9999</v>
      </c>
      <c r="AI247" s="1080">
        <f>CHOOSE(Tables!$U$2,Transfer!CG247,Transfer!CT247,Transfer!DG247,Transfer!DT247,Transfer!EG247)</f>
        <v>-9999</v>
      </c>
      <c r="AJ247" s="1080">
        <f>CHOOSE(Tables!$U$2,Transfer!CH247,Transfer!CU247,Transfer!DH247,Transfer!DU247,Transfer!EH247)</f>
        <v>-9999</v>
      </c>
      <c r="AK247" s="1080">
        <f>CHOOSE(Tables!$U$2,Transfer!CI247,Transfer!CV247,Transfer!DI247,Transfer!DV247,Transfer!EI247)</f>
        <v>-9999</v>
      </c>
      <c r="AL247" s="1080">
        <f>CHOOSE(Tables!$U$2,Transfer!CJ247,Transfer!CW247,Transfer!DJ247,Transfer!DW247,Transfer!EJ247)</f>
        <v>-9999</v>
      </c>
      <c r="AM247" s="1080">
        <f>CHOOSE(Tables!$U$2,Transfer!CK247,Transfer!CX247,Transfer!DK247,Transfer!DX247,Transfer!EK247)</f>
        <v>-9999</v>
      </c>
      <c r="AN247" s="1080">
        <f>CHOOSE(Tables!$U$2,Transfer!CL247,Transfer!CY247,Transfer!DL247,Transfer!DY247,Transfer!EL247)</f>
        <v>-9999</v>
      </c>
      <c r="AO247" s="1080">
        <f>CHOOSE(Tables!$U$2,Transfer!CM247,Transfer!CZ247,Transfer!DM247,Transfer!DZ247,Transfer!EM247)</f>
        <v>-9999</v>
      </c>
      <c r="AR247" s="22">
        <v>147</v>
      </c>
      <c r="AS247" s="29" t="s">
        <v>1473</v>
      </c>
      <c r="AT247" s="1389">
        <f t="shared" ca="1" si="32"/>
        <v>14.422568387121146</v>
      </c>
      <c r="AU247" s="1389">
        <f t="shared" ca="1" si="33"/>
        <v>66.405070264867845</v>
      </c>
      <c r="AV247" s="1389">
        <f t="shared" ca="1" si="34"/>
        <v>72.621898525883239</v>
      </c>
      <c r="AW247" s="1389">
        <f t="shared" ca="1" si="35"/>
        <v>47.940023644783764</v>
      </c>
      <c r="AX247" s="1389">
        <f t="shared" ca="1" si="36"/>
        <v>20.519708034129962</v>
      </c>
      <c r="AY247" s="25">
        <f t="shared" si="37"/>
        <v>0</v>
      </c>
      <c r="AZ247" s="25">
        <f t="shared" si="38"/>
        <v>0</v>
      </c>
      <c r="BA247" s="25">
        <f t="shared" si="39"/>
        <v>0</v>
      </c>
      <c r="BB247" s="25">
        <f t="shared" si="40"/>
        <v>0</v>
      </c>
      <c r="BC247" s="25">
        <f t="shared" si="20"/>
        <v>0</v>
      </c>
      <c r="BD247" s="25">
        <f t="shared" si="20"/>
        <v>0</v>
      </c>
      <c r="BE247" s="25">
        <f t="shared" si="20"/>
        <v>0</v>
      </c>
      <c r="BF247" s="25">
        <f t="shared" si="20"/>
        <v>0</v>
      </c>
      <c r="CA247" s="16">
        <v>704.95398159727733</v>
      </c>
      <c r="CB247" s="16">
        <v>772.37506491564704</v>
      </c>
      <c r="CC247" s="16">
        <v>845.0894603337656</v>
      </c>
      <c r="CD247" s="16">
        <v>899.56125659960571</v>
      </c>
      <c r="CE247" s="16">
        <v>933.74311046855007</v>
      </c>
      <c r="CF247" s="16">
        <v>-9999</v>
      </c>
      <c r="CG247" s="16">
        <v>-9999</v>
      </c>
      <c r="CH247" s="16">
        <v>-9999</v>
      </c>
      <c r="CI247" s="16">
        <v>-9999</v>
      </c>
      <c r="CJ247" s="16">
        <v>-9999</v>
      </c>
      <c r="CK247" s="16">
        <v>-9999</v>
      </c>
      <c r="CL247" s="16">
        <v>-9999</v>
      </c>
      <c r="CM247" s="16">
        <v>-9999</v>
      </c>
      <c r="CN247" s="16">
        <v>690.53141321015619</v>
      </c>
      <c r="CO247" s="16">
        <v>705.9699946507792</v>
      </c>
      <c r="CP247" s="16">
        <v>772.46756180788236</v>
      </c>
      <c r="CQ247" s="16">
        <v>851.62123295482195</v>
      </c>
      <c r="CR247" s="16">
        <v>913.22340243442011</v>
      </c>
      <c r="CS247" s="16">
        <v>-9999</v>
      </c>
      <c r="CT247" s="16">
        <v>-9999</v>
      </c>
      <c r="CU247" s="16">
        <v>-9999</v>
      </c>
      <c r="CV247" s="16">
        <v>-9999</v>
      </c>
      <c r="CW247" s="16">
        <v>-9999</v>
      </c>
      <c r="CX247" s="16">
        <v>-9999</v>
      </c>
      <c r="CY247" s="16">
        <v>-9999</v>
      </c>
      <c r="CZ247" s="16">
        <v>-9999</v>
      </c>
      <c r="DA247" s="16">
        <v>704.95398159727733</v>
      </c>
      <c r="DB247" s="16">
        <v>772.37506491564704</v>
      </c>
      <c r="DC247" s="16">
        <v>850.42351523165155</v>
      </c>
      <c r="DD247" s="16">
        <v>880.64298285988639</v>
      </c>
      <c r="DE247" s="16">
        <v>913.93678213294277</v>
      </c>
      <c r="DF247" s="16">
        <v>-9999</v>
      </c>
      <c r="DG247" s="16">
        <v>-9999</v>
      </c>
      <c r="DH247" s="16">
        <v>-9999</v>
      </c>
      <c r="DI247" s="16">
        <v>-9999</v>
      </c>
      <c r="DJ247" s="16">
        <v>-9999</v>
      </c>
      <c r="DK247" s="16">
        <v>-9999</v>
      </c>
      <c r="DL247" s="16">
        <v>-9999</v>
      </c>
      <c r="DM247" s="16">
        <v>-9999</v>
      </c>
      <c r="DN247" s="16">
        <v>704.95398159727733</v>
      </c>
      <c r="DO247" s="16">
        <v>772.37506491564704</v>
      </c>
      <c r="DP247" s="16">
        <v>846.2134571379014</v>
      </c>
      <c r="DQ247" s="16">
        <v>878.28877989684395</v>
      </c>
      <c r="DR247" s="16">
        <v>911.48334876166325</v>
      </c>
      <c r="DS247" s="16">
        <v>-9999</v>
      </c>
      <c r="DT247" s="16">
        <v>-9999</v>
      </c>
      <c r="DU247" s="16">
        <v>-9999</v>
      </c>
      <c r="DV247" s="16">
        <v>-9999</v>
      </c>
      <c r="DW247" s="16">
        <v>-9999</v>
      </c>
      <c r="DX247" s="16">
        <v>-9999</v>
      </c>
      <c r="DY247" s="16">
        <v>-9999</v>
      </c>
      <c r="DZ247" s="16">
        <v>-9999</v>
      </c>
      <c r="EA247" s="2256">
        <v>704.95398159727733</v>
      </c>
      <c r="EB247" s="2256">
        <v>772.37506491564704</v>
      </c>
      <c r="EC247" s="2256">
        <v>845.0894603337656</v>
      </c>
      <c r="ED247" s="2256">
        <v>899.56125659960571</v>
      </c>
      <c r="EE247" s="2256">
        <v>933.74311046855007</v>
      </c>
      <c r="EF247" s="2257">
        <v>-9999</v>
      </c>
      <c r="EG247" s="2257">
        <v>-9999</v>
      </c>
      <c r="EH247" s="2257">
        <v>-9999</v>
      </c>
      <c r="EI247" s="2257">
        <v>-9999</v>
      </c>
      <c r="EJ247" s="2257">
        <v>-9999</v>
      </c>
      <c r="EK247" s="2257">
        <v>-9999</v>
      </c>
      <c r="EL247" s="2257">
        <v>-9999</v>
      </c>
      <c r="EM247" s="2257">
        <v>-9999</v>
      </c>
    </row>
    <row r="248" spans="1:143" ht="13.15">
      <c r="A248" s="22">
        <v>148</v>
      </c>
      <c r="B248" s="33" t="s">
        <v>486</v>
      </c>
      <c r="C248" s="24">
        <f ca="1">OFFSET(Sector1!F481,0,Last_forecast_year - 3-InputY!$G$3)</f>
        <v>0</v>
      </c>
      <c r="D248" s="24">
        <f ca="1">OFFSET(Sector1!G481,0,Last_forecast_year - 3-InputY!$G$3)</f>
        <v>0</v>
      </c>
      <c r="E248" s="24">
        <f ca="1">OFFSET(Sector1!H481,0,Last_forecast_year - 3-InputY!$G$3)</f>
        <v>0</v>
      </c>
      <c r="F248" s="24">
        <f ca="1">OFFSET(Sector1!I481,0,Last_forecast_year - 3-InputY!$G$3)</f>
        <v>0</v>
      </c>
      <c r="G248" s="24">
        <f ca="1">OFFSET(Sector1!J481,0,Last_forecast_year - 3-InputY!$G$3)</f>
        <v>0</v>
      </c>
      <c r="H248" s="25">
        <v>-9999</v>
      </c>
      <c r="I248" s="25">
        <v>-9999</v>
      </c>
      <c r="J248" s="25">
        <v>-9999</v>
      </c>
      <c r="K248" s="25">
        <v>-9999</v>
      </c>
      <c r="L248" s="25">
        <v>-9999</v>
      </c>
      <c r="M248" s="25">
        <v>-9999</v>
      </c>
      <c r="N248" s="25">
        <v>-9999</v>
      </c>
      <c r="O248" s="25">
        <v>-9999</v>
      </c>
      <c r="P248" s="26"/>
      <c r="Q248"/>
      <c r="AA248" s="22">
        <v>148</v>
      </c>
      <c r="AB248" s="1080" t="str">
        <f t="shared" si="30"/>
        <v>GG UNPAID TAXES</v>
      </c>
      <c r="AC248" s="1080">
        <f>CHOOSE(Tables!$U$2,Transfer!CA248,Transfer!CN248,Transfer!DA248,Transfer!DN248,Transfer!EA248)</f>
        <v>0</v>
      </c>
      <c r="AD248" s="1080">
        <f>CHOOSE(Tables!$U$2,Transfer!CB248,Transfer!CO248,Transfer!DB248,Transfer!DO248,Transfer!EB248)</f>
        <v>0</v>
      </c>
      <c r="AE248" s="1080">
        <f>CHOOSE(Tables!$U$2,Transfer!CC248,Transfer!CP248,Transfer!DC248,Transfer!DP248,Transfer!EC248)</f>
        <v>0</v>
      </c>
      <c r="AF248" s="1080">
        <f>CHOOSE(Tables!$U$2,Transfer!CD248,Transfer!CQ248,Transfer!DD248,Transfer!DQ248,Transfer!ED248)</f>
        <v>0</v>
      </c>
      <c r="AG248" s="1080">
        <f>CHOOSE(Tables!$U$2,Transfer!CE248,Transfer!CR248,Transfer!DE248,Transfer!DR248,Transfer!EE248)</f>
        <v>0</v>
      </c>
      <c r="AH248" s="1080">
        <f>CHOOSE(Tables!$U$2,Transfer!CF248,Transfer!CS248,Transfer!DF248,Transfer!DS248,Transfer!EF248)</f>
        <v>-9999</v>
      </c>
      <c r="AI248" s="1080">
        <f>CHOOSE(Tables!$U$2,Transfer!CG248,Transfer!CT248,Transfer!DG248,Transfer!DT248,Transfer!EG248)</f>
        <v>-9999</v>
      </c>
      <c r="AJ248" s="1080">
        <f>CHOOSE(Tables!$U$2,Transfer!CH248,Transfer!CU248,Transfer!DH248,Transfer!DU248,Transfer!EH248)</f>
        <v>-9999</v>
      </c>
      <c r="AK248" s="1080">
        <f>CHOOSE(Tables!$U$2,Transfer!CI248,Transfer!CV248,Transfer!DI248,Transfer!DV248,Transfer!EI248)</f>
        <v>-9999</v>
      </c>
      <c r="AL248" s="1080">
        <f>CHOOSE(Tables!$U$2,Transfer!CJ248,Transfer!CW248,Transfer!DJ248,Transfer!DW248,Transfer!EJ248)</f>
        <v>-9999</v>
      </c>
      <c r="AM248" s="1080">
        <f>CHOOSE(Tables!$U$2,Transfer!CK248,Transfer!CX248,Transfer!DK248,Transfer!DX248,Transfer!EK248)</f>
        <v>-9999</v>
      </c>
      <c r="AN248" s="1080">
        <f>CHOOSE(Tables!$U$2,Transfer!CL248,Transfer!CY248,Transfer!DL248,Transfer!DY248,Transfer!EL248)</f>
        <v>-9999</v>
      </c>
      <c r="AO248" s="1080">
        <f>CHOOSE(Tables!$U$2,Transfer!CM248,Transfer!CZ248,Transfer!DM248,Transfer!DZ248,Transfer!EM248)</f>
        <v>-9999</v>
      </c>
      <c r="AR248" s="22">
        <v>148</v>
      </c>
      <c r="AS248" s="30" t="s">
        <v>973</v>
      </c>
      <c r="AT248" s="25">
        <f t="shared" ca="1" si="32"/>
        <v>0</v>
      </c>
      <c r="AU248" s="25">
        <f t="shared" ca="1" si="33"/>
        <v>0</v>
      </c>
      <c r="AV248" s="25">
        <f t="shared" ca="1" si="34"/>
        <v>0</v>
      </c>
      <c r="AW248" s="25">
        <f t="shared" ca="1" si="35"/>
        <v>0</v>
      </c>
      <c r="AX248" s="25">
        <f t="shared" ca="1" si="36"/>
        <v>0</v>
      </c>
      <c r="AY248" s="25">
        <f t="shared" si="37"/>
        <v>0</v>
      </c>
      <c r="AZ248" s="25">
        <f t="shared" si="38"/>
        <v>0</v>
      </c>
      <c r="BA248" s="25">
        <f t="shared" si="39"/>
        <v>0</v>
      </c>
      <c r="BB248" s="25">
        <f t="shared" si="40"/>
        <v>0</v>
      </c>
      <c r="BC248" s="25">
        <f t="shared" si="20"/>
        <v>0</v>
      </c>
      <c r="BD248" s="25">
        <f t="shared" si="20"/>
        <v>0</v>
      </c>
      <c r="BE248" s="25">
        <f t="shared" si="20"/>
        <v>0</v>
      </c>
      <c r="BF248" s="25">
        <f t="shared" si="20"/>
        <v>0</v>
      </c>
      <c r="CA248" s="16">
        <v>0</v>
      </c>
      <c r="CB248" s="16">
        <v>0</v>
      </c>
      <c r="CC248" s="16">
        <v>0</v>
      </c>
      <c r="CD248" s="16">
        <v>0</v>
      </c>
      <c r="CE248" s="16">
        <v>0</v>
      </c>
      <c r="CF248" s="16">
        <v>-9999</v>
      </c>
      <c r="CG248" s="16">
        <v>-9999</v>
      </c>
      <c r="CH248" s="16">
        <v>-9999</v>
      </c>
      <c r="CI248" s="16">
        <v>-9999</v>
      </c>
      <c r="CJ248" s="16">
        <v>-9999</v>
      </c>
      <c r="CK248" s="16">
        <v>-9999</v>
      </c>
      <c r="CL248" s="16">
        <v>-9999</v>
      </c>
      <c r="CM248" s="16">
        <v>-9999</v>
      </c>
      <c r="CN248" s="16">
        <v>0</v>
      </c>
      <c r="CO248" s="16">
        <v>0</v>
      </c>
      <c r="CP248" s="16">
        <v>0</v>
      </c>
      <c r="CQ248" s="16">
        <v>0</v>
      </c>
      <c r="CR248" s="16">
        <v>0</v>
      </c>
      <c r="CS248" s="16">
        <v>-9999</v>
      </c>
      <c r="CT248" s="16">
        <v>-9999</v>
      </c>
      <c r="CU248" s="16">
        <v>-9999</v>
      </c>
      <c r="CV248" s="16">
        <v>-9999</v>
      </c>
      <c r="CW248" s="16">
        <v>-9999</v>
      </c>
      <c r="CX248" s="16">
        <v>-9999</v>
      </c>
      <c r="CY248" s="16">
        <v>-9999</v>
      </c>
      <c r="CZ248" s="16">
        <v>-9999</v>
      </c>
      <c r="DA248" s="16">
        <v>0</v>
      </c>
      <c r="DB248" s="16">
        <v>0</v>
      </c>
      <c r="DC248" s="16">
        <v>0</v>
      </c>
      <c r="DD248" s="16">
        <v>0</v>
      </c>
      <c r="DE248" s="16">
        <v>0</v>
      </c>
      <c r="DF248" s="16">
        <v>-9999</v>
      </c>
      <c r="DG248" s="16">
        <v>-9999</v>
      </c>
      <c r="DH248" s="16">
        <v>-9999</v>
      </c>
      <c r="DI248" s="16">
        <v>-9999</v>
      </c>
      <c r="DJ248" s="16">
        <v>-9999</v>
      </c>
      <c r="DK248" s="16">
        <v>-9999</v>
      </c>
      <c r="DL248" s="16">
        <v>-9999</v>
      </c>
      <c r="DM248" s="16">
        <v>-9999</v>
      </c>
      <c r="DN248" s="16">
        <v>0</v>
      </c>
      <c r="DO248" s="16">
        <v>0</v>
      </c>
      <c r="DP248" s="16">
        <v>0</v>
      </c>
      <c r="DQ248" s="16">
        <v>0</v>
      </c>
      <c r="DR248" s="16">
        <v>0</v>
      </c>
      <c r="DS248" s="16">
        <v>-9999</v>
      </c>
      <c r="DT248" s="16">
        <v>-9999</v>
      </c>
      <c r="DU248" s="16">
        <v>-9999</v>
      </c>
      <c r="DV248" s="16">
        <v>-9999</v>
      </c>
      <c r="DW248" s="16">
        <v>-9999</v>
      </c>
      <c r="DX248" s="16">
        <v>-9999</v>
      </c>
      <c r="DY248" s="16">
        <v>-9999</v>
      </c>
      <c r="DZ248" s="16">
        <v>-9999</v>
      </c>
      <c r="EA248" s="2257">
        <v>0</v>
      </c>
      <c r="EB248" s="2257">
        <v>0</v>
      </c>
      <c r="EC248" s="2257">
        <v>0</v>
      </c>
      <c r="ED248" s="2257">
        <v>0</v>
      </c>
      <c r="EE248" s="2257">
        <v>0</v>
      </c>
      <c r="EF248" s="2257">
        <v>-9999</v>
      </c>
      <c r="EG248" s="2257">
        <v>-9999</v>
      </c>
      <c r="EH248" s="2257">
        <v>-9999</v>
      </c>
      <c r="EI248" s="2257">
        <v>-9999</v>
      </c>
      <c r="EJ248" s="2257">
        <v>-9999</v>
      </c>
      <c r="EK248" s="2257">
        <v>-9999</v>
      </c>
      <c r="EL248" s="2257">
        <v>-9999</v>
      </c>
      <c r="EM248" s="2257">
        <v>-9999</v>
      </c>
    </row>
    <row r="249" spans="1:143" ht="13.15">
      <c r="A249" s="22">
        <v>149</v>
      </c>
      <c r="B249" s="29" t="s">
        <v>1475</v>
      </c>
      <c r="C249" s="1389">
        <f ca="1">OFFSET('VVP2'!F289,0,Last_forecast_year - 3-InputY!$G$3)</f>
        <v>487.1938828404675</v>
      </c>
      <c r="D249" s="1389">
        <f ca="1">OFFSET('VVP2'!G289,0,Last_forecast_year - 3-InputY!$G$3)</f>
        <v>533.40548978858828</v>
      </c>
      <c r="E249" s="1389">
        <f ca="1">OFFSET('VVP2'!H289,0,Last_forecast_year - 3-InputY!$G$3)</f>
        <v>608.08225835899066</v>
      </c>
      <c r="F249" s="1389">
        <f ca="1">OFFSET('VVP2'!I289,0,Last_forecast_year - 3-InputY!$G$3)</f>
        <v>638.48637127694019</v>
      </c>
      <c r="G249" s="1389">
        <f ca="1">OFFSET('VVP2'!J289,0,Last_forecast_year - 3-InputY!$G$3)</f>
        <v>669.13371709823332</v>
      </c>
      <c r="H249" s="25">
        <v>-9999</v>
      </c>
      <c r="I249" s="25">
        <v>-9999</v>
      </c>
      <c r="J249" s="25">
        <v>-9999</v>
      </c>
      <c r="K249" s="25">
        <v>-9999</v>
      </c>
      <c r="L249" s="25">
        <v>-9999</v>
      </c>
      <c r="M249" s="25">
        <v>-9999</v>
      </c>
      <c r="N249" s="25">
        <v>-9999</v>
      </c>
      <c r="O249" s="25">
        <v>-9999</v>
      </c>
      <c r="P249" s="26"/>
      <c r="Q249"/>
      <c r="AA249" s="22">
        <v>149</v>
      </c>
      <c r="AB249" s="1080" t="str">
        <f t="shared" si="30"/>
        <v>EXPORTS OF GOODS EXTRA-EU (FOB)</v>
      </c>
      <c r="AC249" s="1080">
        <f>CHOOSE(Tables!$U$2,Transfer!CA249,Transfer!CN249,Transfer!DA249,Transfer!DN249,Transfer!EA249)</f>
        <v>490.41972852890615</v>
      </c>
      <c r="AD249" s="1080">
        <f>CHOOSE(Tables!$U$2,Transfer!CB249,Transfer!CO249,Transfer!DB249,Transfer!DO249,Transfer!EB249)</f>
        <v>487.25732447568157</v>
      </c>
      <c r="AE249" s="1080">
        <f>CHOOSE(Tables!$U$2,Transfer!CC249,Transfer!CP249,Transfer!DC249,Transfer!DP249,Transfer!EC249)</f>
        <v>533.51918388529384</v>
      </c>
      <c r="AF249" s="1080">
        <f>CHOOSE(Tables!$U$2,Transfer!CD249,Transfer!CQ249,Transfer!DD249,Transfer!DQ249,Transfer!ED249)</f>
        <v>613.54706146808792</v>
      </c>
      <c r="AG249" s="1080">
        <f>CHOOSE(Tables!$U$2,Transfer!CE249,Transfer!CR249,Transfer!DE249,Transfer!DR249,Transfer!EE249)</f>
        <v>644.22441454149237</v>
      </c>
      <c r="AH249" s="1080">
        <f>CHOOSE(Tables!$U$2,Transfer!CF249,Transfer!CS249,Transfer!DF249,Transfer!DS249,Transfer!EF249)</f>
        <v>-9999</v>
      </c>
      <c r="AI249" s="1080">
        <f>CHOOSE(Tables!$U$2,Transfer!CG249,Transfer!CT249,Transfer!DG249,Transfer!DT249,Transfer!EG249)</f>
        <v>-9999</v>
      </c>
      <c r="AJ249" s="1080">
        <f>CHOOSE(Tables!$U$2,Transfer!CH249,Transfer!CU249,Transfer!DH249,Transfer!DU249,Transfer!EH249)</f>
        <v>-9999</v>
      </c>
      <c r="AK249" s="1080">
        <f>CHOOSE(Tables!$U$2,Transfer!CI249,Transfer!CV249,Transfer!DI249,Transfer!DV249,Transfer!EI249)</f>
        <v>-9999</v>
      </c>
      <c r="AL249" s="1080">
        <f>CHOOSE(Tables!$U$2,Transfer!CJ249,Transfer!CW249,Transfer!DJ249,Transfer!DW249,Transfer!EJ249)</f>
        <v>-9999</v>
      </c>
      <c r="AM249" s="1080">
        <f>CHOOSE(Tables!$U$2,Transfer!CK249,Transfer!CX249,Transfer!DK249,Transfer!DX249,Transfer!EK249)</f>
        <v>-9999</v>
      </c>
      <c r="AN249" s="1080">
        <f>CHOOSE(Tables!$U$2,Transfer!CL249,Transfer!CY249,Transfer!DL249,Transfer!DY249,Transfer!EL249)</f>
        <v>-9999</v>
      </c>
      <c r="AO249" s="1080">
        <f>CHOOSE(Tables!$U$2,Transfer!CM249,Transfer!CZ249,Transfer!DM249,Transfer!DZ249,Transfer!EM249)</f>
        <v>-9999</v>
      </c>
      <c r="AR249" s="22">
        <v>149</v>
      </c>
      <c r="AS249" s="29" t="s">
        <v>1475</v>
      </c>
      <c r="AT249" s="1389">
        <f t="shared" ca="1" si="32"/>
        <v>-3.2258456884386533</v>
      </c>
      <c r="AU249" s="1389">
        <f t="shared" ca="1" si="33"/>
        <v>46.148165312906713</v>
      </c>
      <c r="AV249" s="1389">
        <f t="shared" ca="1" si="34"/>
        <v>74.563074473696815</v>
      </c>
      <c r="AW249" s="1389">
        <f t="shared" ca="1" si="35"/>
        <v>24.939309808852272</v>
      </c>
      <c r="AX249" s="1389">
        <f t="shared" ca="1" si="36"/>
        <v>24.909302556740954</v>
      </c>
      <c r="AY249" s="25">
        <f t="shared" si="37"/>
        <v>0</v>
      </c>
      <c r="AZ249" s="25">
        <f t="shared" si="38"/>
        <v>0</v>
      </c>
      <c r="BA249" s="25">
        <f t="shared" si="39"/>
        <v>0</v>
      </c>
      <c r="BB249" s="25">
        <f t="shared" si="40"/>
        <v>0</v>
      </c>
      <c r="BC249" s="25">
        <f t="shared" si="20"/>
        <v>0</v>
      </c>
      <c r="BD249" s="25">
        <f t="shared" si="20"/>
        <v>0</v>
      </c>
      <c r="BE249" s="25">
        <f t="shared" si="20"/>
        <v>0</v>
      </c>
      <c r="BF249" s="25">
        <f t="shared" si="20"/>
        <v>0</v>
      </c>
      <c r="CA249" s="16">
        <v>487.1938828404675</v>
      </c>
      <c r="CB249" s="16">
        <v>533.40548978858828</v>
      </c>
      <c r="CC249" s="16">
        <v>608.08225835899066</v>
      </c>
      <c r="CD249" s="16">
        <v>638.48637127694019</v>
      </c>
      <c r="CE249" s="16">
        <v>669.13371709823332</v>
      </c>
      <c r="CF249" s="16">
        <v>-9999</v>
      </c>
      <c r="CG249" s="16">
        <v>-9999</v>
      </c>
      <c r="CH249" s="16">
        <v>-9999</v>
      </c>
      <c r="CI249" s="16">
        <v>-9999</v>
      </c>
      <c r="CJ249" s="16">
        <v>-9999</v>
      </c>
      <c r="CK249" s="16">
        <v>-9999</v>
      </c>
      <c r="CL249" s="16">
        <v>-9999</v>
      </c>
      <c r="CM249" s="16">
        <v>-9999</v>
      </c>
      <c r="CN249" s="16">
        <v>490.41972852890615</v>
      </c>
      <c r="CO249" s="16">
        <v>487.25732447568157</v>
      </c>
      <c r="CP249" s="16">
        <v>533.51918388529384</v>
      </c>
      <c r="CQ249" s="16">
        <v>613.54706146808792</v>
      </c>
      <c r="CR249" s="16">
        <v>644.22441454149237</v>
      </c>
      <c r="CS249" s="16">
        <v>-9999</v>
      </c>
      <c r="CT249" s="16">
        <v>-9999</v>
      </c>
      <c r="CU249" s="16">
        <v>-9999</v>
      </c>
      <c r="CV249" s="16">
        <v>-9999</v>
      </c>
      <c r="CW249" s="16">
        <v>-9999</v>
      </c>
      <c r="CX249" s="16">
        <v>-9999</v>
      </c>
      <c r="CY249" s="16">
        <v>-9999</v>
      </c>
      <c r="CZ249" s="16">
        <v>-9999</v>
      </c>
      <c r="DA249" s="16">
        <v>487.25732447568157</v>
      </c>
      <c r="DB249" s="16">
        <v>533.40548978858828</v>
      </c>
      <c r="DC249" s="16">
        <v>602.74820346110471</v>
      </c>
      <c r="DD249" s="16">
        <v>653.98180075529854</v>
      </c>
      <c r="DE249" s="16">
        <v>685.37292719155289</v>
      </c>
      <c r="DF249" s="16">
        <v>-9999</v>
      </c>
      <c r="DG249" s="16">
        <v>-9999</v>
      </c>
      <c r="DH249" s="16">
        <v>-9999</v>
      </c>
      <c r="DI249" s="16">
        <v>-9999</v>
      </c>
      <c r="DJ249" s="16">
        <v>-9999</v>
      </c>
      <c r="DK249" s="16">
        <v>-9999</v>
      </c>
      <c r="DL249" s="16">
        <v>-9999</v>
      </c>
      <c r="DM249" s="16">
        <v>-9999</v>
      </c>
      <c r="DN249" s="16">
        <v>487.25732447568157</v>
      </c>
      <c r="DO249" s="16">
        <v>533.40548978858828</v>
      </c>
      <c r="DP249" s="16">
        <v>602.74820346110471</v>
      </c>
      <c r="DQ249" s="16">
        <v>653.98180075529854</v>
      </c>
      <c r="DR249" s="16">
        <v>685.37292719155289</v>
      </c>
      <c r="DS249" s="16">
        <v>-9999</v>
      </c>
      <c r="DT249" s="16">
        <v>-9999</v>
      </c>
      <c r="DU249" s="16">
        <v>-9999</v>
      </c>
      <c r="DV249" s="16">
        <v>-9999</v>
      </c>
      <c r="DW249" s="16">
        <v>-9999</v>
      </c>
      <c r="DX249" s="16">
        <v>-9999</v>
      </c>
      <c r="DY249" s="16">
        <v>-9999</v>
      </c>
      <c r="DZ249" s="16">
        <v>-9999</v>
      </c>
      <c r="EA249" s="2256">
        <v>487.1938828404675</v>
      </c>
      <c r="EB249" s="2256">
        <v>533.40548978858828</v>
      </c>
      <c r="EC249" s="2256">
        <v>608.08225835899066</v>
      </c>
      <c r="ED249" s="2256">
        <v>638.48637127694019</v>
      </c>
      <c r="EE249" s="2256">
        <v>669.13371709823332</v>
      </c>
      <c r="EF249" s="2257">
        <v>-9999</v>
      </c>
      <c r="EG249" s="2257">
        <v>-9999</v>
      </c>
      <c r="EH249" s="2257">
        <v>-9999</v>
      </c>
      <c r="EI249" s="2257">
        <v>-9999</v>
      </c>
      <c r="EJ249" s="2257">
        <v>-9999</v>
      </c>
      <c r="EK249" s="2257">
        <v>-9999</v>
      </c>
      <c r="EL249" s="2257">
        <v>-9999</v>
      </c>
      <c r="EM249" s="2257">
        <v>-9999</v>
      </c>
    </row>
    <row r="250" spans="1:143" ht="13.15">
      <c r="A250" s="22">
        <v>150</v>
      </c>
      <c r="B250" s="29" t="s">
        <v>1477</v>
      </c>
      <c r="C250" s="1389">
        <f ca="1">OFFSET('VVP2'!F320,0,Last_forecast_year - 3-InputY!$G$3)</f>
        <v>857.80855307976776</v>
      </c>
      <c r="D250" s="1389">
        <f ca="1">OFFSET('VVP2'!G320,0,Last_forecast_year - 3-InputY!$G$3)</f>
        <v>932.3927614641176</v>
      </c>
      <c r="E250" s="1389">
        <f ca="1">OFFSET('VVP2'!H320,0,Last_forecast_year - 3-InputY!$G$3)</f>
        <v>1026.2529480381766</v>
      </c>
      <c r="F250" s="1389">
        <f ca="1">OFFSET('VVP2'!I320,0,Last_forecast_year - 3-InputY!$G$3)</f>
        <v>1076.0907161863204</v>
      </c>
      <c r="G250" s="1389">
        <f ca="1">OFFSET('VVP2'!J320,0,Last_forecast_year - 3-InputY!$G$3)</f>
        <v>1125.7824079670727</v>
      </c>
      <c r="H250" s="25">
        <v>-9999</v>
      </c>
      <c r="I250" s="25">
        <v>-9999</v>
      </c>
      <c r="J250" s="25">
        <v>-9999</v>
      </c>
      <c r="K250" s="25">
        <v>-9999</v>
      </c>
      <c r="L250" s="25">
        <v>-9999</v>
      </c>
      <c r="M250" s="25">
        <v>-9999</v>
      </c>
      <c r="N250" s="25">
        <v>-9999</v>
      </c>
      <c r="O250" s="25">
        <v>-9999</v>
      </c>
      <c r="P250" s="26"/>
      <c r="Q250"/>
      <c r="AA250" s="22">
        <v>150</v>
      </c>
      <c r="AB250" s="1080" t="str">
        <f t="shared" si="30"/>
        <v>IMPORTS OF GOODS INTRA-EU (CIF)</v>
      </c>
      <c r="AC250" s="1080">
        <f>CHOOSE(Tables!$U$2,Transfer!CA250,Transfer!CN250,Transfer!DA250,Transfer!DN250,Transfer!EA250)</f>
        <v>817.08748107890619</v>
      </c>
      <c r="AD250" s="1080">
        <f>CHOOSE(Tables!$U$2,Transfer!CB250,Transfer!CO250,Transfer!DB250,Transfer!DO250,Transfer!EB250)</f>
        <v>857.79056216828917</v>
      </c>
      <c r="AE250" s="1080">
        <f>CHOOSE(Tables!$U$2,Transfer!CC250,Transfer!CP250,Transfer!DC250,Transfer!DP250,Transfer!EC250)</f>
        <v>932.21354873541156</v>
      </c>
      <c r="AF250" s="1080">
        <f>CHOOSE(Tables!$U$2,Transfer!CD250,Transfer!CQ250,Transfer!DD250,Transfer!DQ250,Transfer!ED250)</f>
        <v>1017.6284297075649</v>
      </c>
      <c r="AG250" s="1080">
        <f>CHOOSE(Tables!$U$2,Transfer!CE250,Transfer!CR250,Transfer!DE250,Transfer!DR250,Transfer!EE250)</f>
        <v>1076.5680826121279</v>
      </c>
      <c r="AH250" s="1080">
        <f>CHOOSE(Tables!$U$2,Transfer!CF250,Transfer!CS250,Transfer!DF250,Transfer!DS250,Transfer!EF250)</f>
        <v>-9999</v>
      </c>
      <c r="AI250" s="1080">
        <f>CHOOSE(Tables!$U$2,Transfer!CG250,Transfer!CT250,Transfer!DG250,Transfer!DT250,Transfer!EG250)</f>
        <v>-9999</v>
      </c>
      <c r="AJ250" s="1080">
        <f>CHOOSE(Tables!$U$2,Transfer!CH250,Transfer!CU250,Transfer!DH250,Transfer!DU250,Transfer!EH250)</f>
        <v>-9999</v>
      </c>
      <c r="AK250" s="1080">
        <f>CHOOSE(Tables!$U$2,Transfer!CI250,Transfer!CV250,Transfer!DI250,Transfer!DV250,Transfer!EI250)</f>
        <v>-9999</v>
      </c>
      <c r="AL250" s="1080">
        <f>CHOOSE(Tables!$U$2,Transfer!CJ250,Transfer!CW250,Transfer!DJ250,Transfer!DW250,Transfer!EJ250)</f>
        <v>-9999</v>
      </c>
      <c r="AM250" s="1080">
        <f>CHOOSE(Tables!$U$2,Transfer!CK250,Transfer!CX250,Transfer!DK250,Transfer!DX250,Transfer!EK250)</f>
        <v>-9999</v>
      </c>
      <c r="AN250" s="1080">
        <f>CHOOSE(Tables!$U$2,Transfer!CL250,Transfer!CY250,Transfer!DL250,Transfer!DY250,Transfer!EL250)</f>
        <v>-9999</v>
      </c>
      <c r="AO250" s="1080">
        <f>CHOOSE(Tables!$U$2,Transfer!CM250,Transfer!CZ250,Transfer!DM250,Transfer!DZ250,Transfer!EM250)</f>
        <v>-9999</v>
      </c>
      <c r="AR250" s="22">
        <v>150</v>
      </c>
      <c r="AS250" s="29" t="s">
        <v>1477</v>
      </c>
      <c r="AT250" s="1389">
        <f t="shared" ca="1" si="32"/>
        <v>40.721072000861568</v>
      </c>
      <c r="AU250" s="1389">
        <f t="shared" ca="1" si="33"/>
        <v>74.602199295828427</v>
      </c>
      <c r="AV250" s="1389">
        <f t="shared" ca="1" si="34"/>
        <v>94.039399302764991</v>
      </c>
      <c r="AW250" s="1389">
        <f t="shared" ca="1" si="35"/>
        <v>58.462286478755459</v>
      </c>
      <c r="AX250" s="1389">
        <f t="shared" ca="1" si="36"/>
        <v>49.214325354944776</v>
      </c>
      <c r="AY250" s="25">
        <f t="shared" si="37"/>
        <v>0</v>
      </c>
      <c r="AZ250" s="25">
        <f t="shared" si="38"/>
        <v>0</v>
      </c>
      <c r="BA250" s="25">
        <f t="shared" si="39"/>
        <v>0</v>
      </c>
      <c r="BB250" s="25">
        <f t="shared" si="40"/>
        <v>0</v>
      </c>
      <c r="BC250" s="25">
        <f t="shared" si="20"/>
        <v>0</v>
      </c>
      <c r="BD250" s="25">
        <f t="shared" si="20"/>
        <v>0</v>
      </c>
      <c r="BE250" s="25">
        <f t="shared" si="20"/>
        <v>0</v>
      </c>
      <c r="BF250" s="25">
        <f t="shared" si="20"/>
        <v>0</v>
      </c>
      <c r="CA250" s="16">
        <v>857.80855307976776</v>
      </c>
      <c r="CB250" s="16">
        <v>932.3927614641176</v>
      </c>
      <c r="CC250" s="16">
        <v>1026.2529480381766</v>
      </c>
      <c r="CD250" s="16">
        <v>1076.0907161863204</v>
      </c>
      <c r="CE250" s="16">
        <v>1125.7824079670727</v>
      </c>
      <c r="CF250" s="16">
        <v>-9999</v>
      </c>
      <c r="CG250" s="16">
        <v>-9999</v>
      </c>
      <c r="CH250" s="16">
        <v>-9999</v>
      </c>
      <c r="CI250" s="16">
        <v>-9999</v>
      </c>
      <c r="CJ250" s="16">
        <v>-9999</v>
      </c>
      <c r="CK250" s="16">
        <v>-9999</v>
      </c>
      <c r="CL250" s="16">
        <v>-9999</v>
      </c>
      <c r="CM250" s="16">
        <v>-9999</v>
      </c>
      <c r="CN250" s="16">
        <v>817.08748107890619</v>
      </c>
      <c r="CO250" s="16">
        <v>857.79056216828917</v>
      </c>
      <c r="CP250" s="16">
        <v>932.21354873541156</v>
      </c>
      <c r="CQ250" s="16">
        <v>1017.6284297075649</v>
      </c>
      <c r="CR250" s="16">
        <v>1076.5680826121279</v>
      </c>
      <c r="CS250" s="16">
        <v>-9999</v>
      </c>
      <c r="CT250" s="16">
        <v>-9999</v>
      </c>
      <c r="CU250" s="16">
        <v>-9999</v>
      </c>
      <c r="CV250" s="16">
        <v>-9999</v>
      </c>
      <c r="CW250" s="16">
        <v>-9999</v>
      </c>
      <c r="CX250" s="16">
        <v>-9999</v>
      </c>
      <c r="CY250" s="16">
        <v>-9999</v>
      </c>
      <c r="CZ250" s="16">
        <v>-9999</v>
      </c>
      <c r="DA250" s="16">
        <v>857.80855307976776</v>
      </c>
      <c r="DB250" s="16">
        <v>932.3927614641176</v>
      </c>
      <c r="DC250" s="16">
        <v>1026.2529480381766</v>
      </c>
      <c r="DD250" s="16">
        <v>1076.0907161863204</v>
      </c>
      <c r="DE250" s="16">
        <v>1125.7824079670727</v>
      </c>
      <c r="DF250" s="16">
        <v>-9999</v>
      </c>
      <c r="DG250" s="16">
        <v>-9999</v>
      </c>
      <c r="DH250" s="16">
        <v>-9999</v>
      </c>
      <c r="DI250" s="16">
        <v>-9999</v>
      </c>
      <c r="DJ250" s="16">
        <v>-9999</v>
      </c>
      <c r="DK250" s="16">
        <v>-9999</v>
      </c>
      <c r="DL250" s="16">
        <v>-9999</v>
      </c>
      <c r="DM250" s="16">
        <v>-9999</v>
      </c>
      <c r="DN250" s="16">
        <v>857.80855307976776</v>
      </c>
      <c r="DO250" s="16">
        <v>932.3927614641176</v>
      </c>
      <c r="DP250" s="16">
        <v>1024.9958056827677</v>
      </c>
      <c r="DQ250" s="16">
        <v>1077.4586729249302</v>
      </c>
      <c r="DR250" s="16">
        <v>1127.2118064278784</v>
      </c>
      <c r="DS250" s="16">
        <v>-9999</v>
      </c>
      <c r="DT250" s="16">
        <v>-9999</v>
      </c>
      <c r="DU250" s="16">
        <v>-9999</v>
      </c>
      <c r="DV250" s="16">
        <v>-9999</v>
      </c>
      <c r="DW250" s="16">
        <v>-9999</v>
      </c>
      <c r="DX250" s="16">
        <v>-9999</v>
      </c>
      <c r="DY250" s="16">
        <v>-9999</v>
      </c>
      <c r="DZ250" s="16">
        <v>-9999</v>
      </c>
      <c r="EA250" s="2256">
        <v>857.80855307976776</v>
      </c>
      <c r="EB250" s="2256">
        <v>932.3927614641176</v>
      </c>
      <c r="EC250" s="2256">
        <v>1026.2529480381766</v>
      </c>
      <c r="ED250" s="2256">
        <v>1076.0907161863204</v>
      </c>
      <c r="EE250" s="2256">
        <v>1125.7824079670727</v>
      </c>
      <c r="EF250" s="2257">
        <v>-9999</v>
      </c>
      <c r="EG250" s="2257">
        <v>-9999</v>
      </c>
      <c r="EH250" s="2257">
        <v>-9999</v>
      </c>
      <c r="EI250" s="2257">
        <v>-9999</v>
      </c>
      <c r="EJ250" s="2257">
        <v>-9999</v>
      </c>
      <c r="EK250" s="2257">
        <v>-9999</v>
      </c>
      <c r="EL250" s="2257">
        <v>-9999</v>
      </c>
      <c r="EM250" s="2257">
        <v>-9999</v>
      </c>
    </row>
    <row r="251" spans="1:143" ht="13.15">
      <c r="A251" s="22">
        <v>151</v>
      </c>
      <c r="B251" s="3424" t="s">
        <v>2474</v>
      </c>
      <c r="C251" s="3425">
        <f>HLOOKUP(C$100,'Transfer FDMS+ A'!$H$11:$AE$160,148)</f>
        <v>186.89599999999999</v>
      </c>
      <c r="D251" s="3425">
        <f>HLOOKUP(D$100,'Transfer FDMS+ A'!$H$11:$AE$160,148)</f>
        <v>152.05500000000001</v>
      </c>
      <c r="E251" s="3425">
        <f ca="1">HLOOKUP(E$100,'Transfer FDMS+ A'!$H$11:$AE$160,148)</f>
        <v>154.04707787340942</v>
      </c>
      <c r="F251" s="3425">
        <f ca="1">HLOOKUP(F$100,'Transfer FDMS+ A'!$H$11:$AE$160,148)</f>
        <v>151.72246507649567</v>
      </c>
      <c r="G251" s="3425">
        <f ca="1">HLOOKUP(G$100,'Transfer FDMS+ A'!$H$11:$AE$160,148)</f>
        <v>151.72246507649567</v>
      </c>
      <c r="H251" s="25">
        <v>-9999</v>
      </c>
      <c r="I251" s="25">
        <v>-9999</v>
      </c>
      <c r="J251" s="25">
        <v>-9999</v>
      </c>
      <c r="K251" s="25">
        <v>-9999</v>
      </c>
      <c r="L251" s="25">
        <v>-9999</v>
      </c>
      <c r="M251" s="25">
        <v>-9999</v>
      </c>
      <c r="N251" s="25">
        <v>-9999</v>
      </c>
      <c r="O251" s="25">
        <v>-9999</v>
      </c>
      <c r="P251" s="26"/>
      <c r="Q251"/>
      <c r="AA251" s="22">
        <v>151</v>
      </c>
      <c r="AB251" s="1080" t="str">
        <f t="shared" si="30"/>
        <v>Current account BOP</v>
      </c>
      <c r="AC251" s="1080">
        <f>CHOOSE(Tables!$U$2,Transfer!CA251,Transfer!CN251,Transfer!DA251,Transfer!DN251,Transfer!EA251)</f>
        <v>190.345</v>
      </c>
      <c r="AD251" s="1080">
        <f>CHOOSE(Tables!$U$2,Transfer!CB251,Transfer!CO251,Transfer!DB251,Transfer!DO251,Transfer!EB251)</f>
        <v>186.995</v>
      </c>
      <c r="AE251" s="1080">
        <f>CHOOSE(Tables!$U$2,Transfer!CC251,Transfer!CP251,Transfer!DC251,Transfer!DP251,Transfer!EC251)</f>
        <v>145.381</v>
      </c>
      <c r="AF251" s="1080">
        <f>CHOOSE(Tables!$U$2,Transfer!CD251,Transfer!CQ251,Transfer!DD251,Transfer!DQ251,Transfer!ED251)</f>
        <v>199.00448665830996</v>
      </c>
      <c r="AG251" s="1080">
        <f>CHOOSE(Tables!$U$2,Transfer!CE251,Transfer!CR251,Transfer!DE251,Transfer!DR251,Transfer!EE251)</f>
        <v>222.23406222035032</v>
      </c>
      <c r="AH251" s="1080">
        <f>CHOOSE(Tables!$U$2,Transfer!CF251,Transfer!CS251,Transfer!DF251,Transfer!DS251,Transfer!EF251)</f>
        <v>-9999</v>
      </c>
      <c r="AI251" s="1080">
        <f>CHOOSE(Tables!$U$2,Transfer!CG251,Transfer!CT251,Transfer!DG251,Transfer!DT251,Transfer!EG251)</f>
        <v>-9999</v>
      </c>
      <c r="AJ251" s="1080">
        <f>CHOOSE(Tables!$U$2,Transfer!CH251,Transfer!CU251,Transfer!DH251,Transfer!DU251,Transfer!EH251)</f>
        <v>-9999</v>
      </c>
      <c r="AK251" s="1080">
        <f>CHOOSE(Tables!$U$2,Transfer!CI251,Transfer!CV251,Transfer!DI251,Transfer!DV251,Transfer!EI251)</f>
        <v>-9999</v>
      </c>
      <c r="AL251" s="1080">
        <f>CHOOSE(Tables!$U$2,Transfer!CJ251,Transfer!CW251,Transfer!DJ251,Transfer!DW251,Transfer!EJ251)</f>
        <v>-9999</v>
      </c>
      <c r="AM251" s="1080">
        <f>CHOOSE(Tables!$U$2,Transfer!CK251,Transfer!CX251,Transfer!DK251,Transfer!DX251,Transfer!EK251)</f>
        <v>-9999</v>
      </c>
      <c r="AN251" s="1080">
        <f>CHOOSE(Tables!$U$2,Transfer!CL251,Transfer!CY251,Transfer!DL251,Transfer!DY251,Transfer!EL251)</f>
        <v>-9999</v>
      </c>
      <c r="AO251" s="1080">
        <f>CHOOSE(Tables!$U$2,Transfer!CM251,Transfer!CZ251,Transfer!DM251,Transfer!DZ251,Transfer!EM251)</f>
        <v>-9999</v>
      </c>
      <c r="AR251" s="22">
        <v>151</v>
      </c>
      <c r="AS251" s="30" t="s">
        <v>973</v>
      </c>
      <c r="AT251" s="25">
        <f t="shared" si="32"/>
        <v>-3.4490000000000123</v>
      </c>
      <c r="AU251" s="25">
        <f t="shared" si="33"/>
        <v>-34.94</v>
      </c>
      <c r="AV251" s="25">
        <f t="shared" ca="1" si="34"/>
        <v>8.6660778734094208</v>
      </c>
      <c r="AW251" s="25">
        <f t="shared" ca="1" si="35"/>
        <v>-47.282021581814291</v>
      </c>
      <c r="AX251" s="25">
        <f t="shared" ca="1" si="36"/>
        <v>-70.511597143854658</v>
      </c>
      <c r="AY251" s="25">
        <f t="shared" si="37"/>
        <v>0</v>
      </c>
      <c r="AZ251" s="25">
        <f t="shared" si="38"/>
        <v>0</v>
      </c>
      <c r="BA251" s="25">
        <f t="shared" si="39"/>
        <v>0</v>
      </c>
      <c r="BB251" s="25">
        <f t="shared" si="40"/>
        <v>0</v>
      </c>
      <c r="BC251" s="25">
        <f t="shared" si="20"/>
        <v>0</v>
      </c>
      <c r="BD251" s="25">
        <f t="shared" si="20"/>
        <v>0</v>
      </c>
      <c r="BE251" s="25">
        <f t="shared" si="20"/>
        <v>0</v>
      </c>
      <c r="BF251" s="25">
        <f t="shared" si="20"/>
        <v>0</v>
      </c>
      <c r="CA251" s="16">
        <v>186.89599999999999</v>
      </c>
      <c r="CB251" s="16">
        <v>152.05500000000001</v>
      </c>
      <c r="CC251" s="16">
        <v>154.04707787340942</v>
      </c>
      <c r="CD251" s="16">
        <v>151.72246507649567</v>
      </c>
      <c r="CE251" s="16">
        <v>151.72246507649567</v>
      </c>
      <c r="CF251" s="16">
        <v>-9999</v>
      </c>
      <c r="CG251" s="16">
        <v>-9999</v>
      </c>
      <c r="CH251" s="16">
        <v>-9999</v>
      </c>
      <c r="CI251" s="16">
        <v>-9999</v>
      </c>
      <c r="CJ251" s="16">
        <v>-9999</v>
      </c>
      <c r="CK251" s="16">
        <v>-9999</v>
      </c>
      <c r="CL251" s="16">
        <v>-9999</v>
      </c>
      <c r="CM251" s="16">
        <v>-9999</v>
      </c>
      <c r="CN251" s="16">
        <v>190.345</v>
      </c>
      <c r="CO251" s="16">
        <v>186.995</v>
      </c>
      <c r="CP251" s="16">
        <v>145.381</v>
      </c>
      <c r="CQ251" s="16">
        <v>199.00448665830996</v>
      </c>
      <c r="CR251" s="16">
        <v>222.23406222035032</v>
      </c>
      <c r="CS251" s="16">
        <v>-9999</v>
      </c>
      <c r="CT251" s="16">
        <v>-9999</v>
      </c>
      <c r="CU251" s="16">
        <v>-9999</v>
      </c>
      <c r="CV251" s="16">
        <v>-9999</v>
      </c>
      <c r="CW251" s="16">
        <v>-9999</v>
      </c>
      <c r="CX251" s="16">
        <v>-9999</v>
      </c>
      <c r="CY251" s="16">
        <v>-9999</v>
      </c>
      <c r="CZ251" s="16">
        <v>-9999</v>
      </c>
      <c r="DA251" s="16">
        <v>186.89599999999999</v>
      </c>
      <c r="DB251" s="16">
        <v>152.05500000000001</v>
      </c>
      <c r="DC251" s="16">
        <v>154.04707787340942</v>
      </c>
      <c r="DD251" s="16">
        <v>148.04239167415204</v>
      </c>
      <c r="DE251" s="16">
        <v>148.04239167415204</v>
      </c>
      <c r="DF251" s="16">
        <v>-9999</v>
      </c>
      <c r="DG251" s="16">
        <v>-9999</v>
      </c>
      <c r="DH251" s="16">
        <v>-9999</v>
      </c>
      <c r="DI251" s="16">
        <v>-9999</v>
      </c>
      <c r="DJ251" s="16">
        <v>-9999</v>
      </c>
      <c r="DK251" s="16">
        <v>-9999</v>
      </c>
      <c r="DL251" s="16">
        <v>-9999</v>
      </c>
      <c r="DM251" s="16">
        <v>-9999</v>
      </c>
      <c r="DN251" s="16">
        <v>186.89599999999999</v>
      </c>
      <c r="DO251" s="16">
        <v>152.05500000000001</v>
      </c>
      <c r="DP251" s="16">
        <v>151.91999941994595</v>
      </c>
      <c r="DQ251" s="16">
        <v>147.20806570677038</v>
      </c>
      <c r="DR251" s="16">
        <v>147.20806570677038</v>
      </c>
      <c r="DS251" s="16">
        <v>-9999</v>
      </c>
      <c r="DT251" s="16">
        <v>-9999</v>
      </c>
      <c r="DU251" s="16">
        <v>-9999</v>
      </c>
      <c r="DV251" s="16">
        <v>-9999</v>
      </c>
      <c r="DW251" s="16">
        <v>-9999</v>
      </c>
      <c r="DX251" s="16">
        <v>-9999</v>
      </c>
      <c r="DY251" s="16">
        <v>-9999</v>
      </c>
      <c r="DZ251" s="16">
        <v>-9999</v>
      </c>
      <c r="EA251" s="2257">
        <v>186.89599999999999</v>
      </c>
      <c r="EB251" s="2257">
        <v>152.05500000000001</v>
      </c>
      <c r="EC251" s="2257">
        <v>154.04707787340942</v>
      </c>
      <c r="ED251" s="2257">
        <v>151.72246507649567</v>
      </c>
      <c r="EE251" s="2257">
        <v>151.72246507649567</v>
      </c>
      <c r="EF251" s="2257">
        <v>-9999</v>
      </c>
      <c r="EG251" s="2257">
        <v>-9999</v>
      </c>
      <c r="EH251" s="2257">
        <v>-9999</v>
      </c>
      <c r="EI251" s="2257">
        <v>-9999</v>
      </c>
      <c r="EJ251" s="2257">
        <v>-9999</v>
      </c>
      <c r="EK251" s="2257">
        <v>-9999</v>
      </c>
      <c r="EL251" s="2257">
        <v>-9999</v>
      </c>
      <c r="EM251" s="2257">
        <v>-9999</v>
      </c>
    </row>
    <row r="252" spans="1:143" ht="13.15">
      <c r="A252" s="22">
        <v>152</v>
      </c>
      <c r="B252" s="29" t="s">
        <v>1479</v>
      </c>
      <c r="C252" s="1389">
        <f ca="1">OFFSET('VVP2'!F321,0,Last_forecast_year - 3-InputY!$G$3)</f>
        <v>349.12026547276315</v>
      </c>
      <c r="D252" s="1389">
        <f ca="1">OFFSET('VVP2'!G321,0,Last_forecast_year - 3-InputY!$G$3)</f>
        <v>380.87907800188225</v>
      </c>
      <c r="E252" s="1389">
        <f ca="1">OFFSET('VVP2'!H321,0,Last_forecast_year - 3-InputY!$G$3)</f>
        <v>426.58456736210815</v>
      </c>
      <c r="F252" s="1389">
        <f ca="1">OFFSET('VVP2'!I321,0,Last_forecast_year - 3-InputY!$G$3)</f>
        <v>466.25693212678419</v>
      </c>
      <c r="G252" s="1389">
        <f ca="1">OFFSET('VVP2'!J321,0,Last_forecast_year - 3-InputY!$G$3)</f>
        <v>485.83972327610917</v>
      </c>
      <c r="H252" s="25">
        <v>-9999</v>
      </c>
      <c r="I252" s="25">
        <v>-9999</v>
      </c>
      <c r="J252" s="25">
        <v>-9999</v>
      </c>
      <c r="K252" s="25">
        <v>-9999</v>
      </c>
      <c r="L252" s="25">
        <v>-9999</v>
      </c>
      <c r="M252" s="25">
        <v>-9999</v>
      </c>
      <c r="N252" s="25">
        <v>-9999</v>
      </c>
      <c r="O252" s="25">
        <v>-9999</v>
      </c>
      <c r="P252" s="26"/>
      <c r="Q252"/>
      <c r="AA252" s="22">
        <v>152</v>
      </c>
      <c r="AB252" s="1080" t="str">
        <f t="shared" si="30"/>
        <v>IMPORTS OF GOODS EXTRA-EU (CIF)</v>
      </c>
      <c r="AC252" s="1080">
        <f>CHOOSE(Tables!$U$2,Transfer!CA252,Transfer!CN252,Transfer!DA252,Transfer!DN252,Transfer!EA252)</f>
        <v>350.29085349374986</v>
      </c>
      <c r="AD252" s="1080">
        <f>CHOOSE(Tables!$U$2,Transfer!CB252,Transfer!CO252,Transfer!DB252,Transfer!DO252,Transfer!EB252)</f>
        <v>346.86382641731575</v>
      </c>
      <c r="AE252" s="1080">
        <f>CHOOSE(Tables!$U$2,Transfer!CC252,Transfer!CP252,Transfer!DC252,Transfer!DP252,Transfer!EC252)</f>
        <v>380.78850812823532</v>
      </c>
      <c r="AF252" s="1080">
        <f>CHOOSE(Tables!$U$2,Transfer!CD252,Transfer!CQ252,Transfer!DD252,Transfer!DQ252,Transfer!ED252)</f>
        <v>415.05947385977652</v>
      </c>
      <c r="AG252" s="1080">
        <f>CHOOSE(Tables!$U$2,Transfer!CE252,Transfer!CR252,Transfer!DE252,Transfer!DR252,Transfer!EE252)</f>
        <v>432.49197176188716</v>
      </c>
      <c r="AH252" s="1080">
        <f>CHOOSE(Tables!$U$2,Transfer!CF252,Transfer!CS252,Transfer!DF252,Transfer!DS252,Transfer!EF252)</f>
        <v>-9999</v>
      </c>
      <c r="AI252" s="1080">
        <f>CHOOSE(Tables!$U$2,Transfer!CG252,Transfer!CT252,Transfer!DG252,Transfer!DT252,Transfer!EG252)</f>
        <v>-9999</v>
      </c>
      <c r="AJ252" s="1080">
        <f>CHOOSE(Tables!$U$2,Transfer!CH252,Transfer!CU252,Transfer!DH252,Transfer!DU252,Transfer!EH252)</f>
        <v>-9999</v>
      </c>
      <c r="AK252" s="1080">
        <f>CHOOSE(Tables!$U$2,Transfer!CI252,Transfer!CV252,Transfer!DI252,Transfer!DV252,Transfer!EI252)</f>
        <v>-9999</v>
      </c>
      <c r="AL252" s="1080">
        <f>CHOOSE(Tables!$U$2,Transfer!CJ252,Transfer!CW252,Transfer!DJ252,Transfer!DW252,Transfer!EJ252)</f>
        <v>-9999</v>
      </c>
      <c r="AM252" s="1080">
        <f>CHOOSE(Tables!$U$2,Transfer!CK252,Transfer!CX252,Transfer!DK252,Transfer!DX252,Transfer!EK252)</f>
        <v>-9999</v>
      </c>
      <c r="AN252" s="1080">
        <f>CHOOSE(Tables!$U$2,Transfer!CL252,Transfer!CY252,Transfer!DL252,Transfer!DY252,Transfer!EL252)</f>
        <v>-9999</v>
      </c>
      <c r="AO252" s="1080">
        <f>CHOOSE(Tables!$U$2,Transfer!CM252,Transfer!CZ252,Transfer!DM252,Transfer!DZ252,Transfer!EM252)</f>
        <v>-9999</v>
      </c>
      <c r="AR252" s="22">
        <v>152</v>
      </c>
      <c r="AS252" s="29" t="s">
        <v>1479</v>
      </c>
      <c r="AT252" s="1389">
        <f t="shared" ca="1" si="32"/>
        <v>-1.1705880209867132</v>
      </c>
      <c r="AU252" s="1389">
        <f t="shared" ca="1" si="33"/>
        <v>34.015251584566499</v>
      </c>
      <c r="AV252" s="1389">
        <f t="shared" ca="1" si="34"/>
        <v>45.796059233872825</v>
      </c>
      <c r="AW252" s="1389">
        <f t="shared" ca="1" si="35"/>
        <v>51.197458267007676</v>
      </c>
      <c r="AX252" s="1389">
        <f t="shared" ca="1" si="36"/>
        <v>53.347751514222011</v>
      </c>
      <c r="AY252" s="25">
        <f t="shared" si="37"/>
        <v>0</v>
      </c>
      <c r="AZ252" s="25">
        <f t="shared" si="38"/>
        <v>0</v>
      </c>
      <c r="BA252" s="25">
        <f t="shared" si="39"/>
        <v>0</v>
      </c>
      <c r="BB252" s="25">
        <f t="shared" si="40"/>
        <v>0</v>
      </c>
      <c r="BC252" s="25">
        <f t="shared" si="20"/>
        <v>0</v>
      </c>
      <c r="BD252" s="25">
        <f t="shared" si="20"/>
        <v>0</v>
      </c>
      <c r="BE252" s="25">
        <f t="shared" si="20"/>
        <v>0</v>
      </c>
      <c r="BF252" s="25">
        <f t="shared" si="20"/>
        <v>0</v>
      </c>
      <c r="CA252" s="16">
        <v>349.12026547276315</v>
      </c>
      <c r="CB252" s="16">
        <v>380.87907800188225</v>
      </c>
      <c r="CC252" s="16">
        <v>426.58456736210815</v>
      </c>
      <c r="CD252" s="16">
        <v>466.25693212678419</v>
      </c>
      <c r="CE252" s="16">
        <v>485.83972327610917</v>
      </c>
      <c r="CF252" s="16">
        <v>-9999</v>
      </c>
      <c r="CG252" s="16">
        <v>-9999</v>
      </c>
      <c r="CH252" s="16">
        <v>-9999</v>
      </c>
      <c r="CI252" s="16">
        <v>-9999</v>
      </c>
      <c r="CJ252" s="16">
        <v>-9999</v>
      </c>
      <c r="CK252" s="16">
        <v>-9999</v>
      </c>
      <c r="CL252" s="16">
        <v>-9999</v>
      </c>
      <c r="CM252" s="16">
        <v>-9999</v>
      </c>
      <c r="CN252" s="16">
        <v>350.29085349374986</v>
      </c>
      <c r="CO252" s="16">
        <v>346.86382641731575</v>
      </c>
      <c r="CP252" s="16">
        <v>380.78850812823532</v>
      </c>
      <c r="CQ252" s="16">
        <v>415.05947385977652</v>
      </c>
      <c r="CR252" s="16">
        <v>432.49197176188716</v>
      </c>
      <c r="CS252" s="16">
        <v>-9999</v>
      </c>
      <c r="CT252" s="16">
        <v>-9999</v>
      </c>
      <c r="CU252" s="16">
        <v>-9999</v>
      </c>
      <c r="CV252" s="16">
        <v>-9999</v>
      </c>
      <c r="CW252" s="16">
        <v>-9999</v>
      </c>
      <c r="CX252" s="16">
        <v>-9999</v>
      </c>
      <c r="CY252" s="16">
        <v>-9999</v>
      </c>
      <c r="CZ252" s="16">
        <v>-9999</v>
      </c>
      <c r="DA252" s="16">
        <v>346.86382641731575</v>
      </c>
      <c r="DB252" s="16">
        <v>380.87907800188225</v>
      </c>
      <c r="DC252" s="16">
        <v>426.58456736210815</v>
      </c>
      <c r="DD252" s="16">
        <v>466.25693212678419</v>
      </c>
      <c r="DE252" s="16">
        <v>485.83972327610917</v>
      </c>
      <c r="DF252" s="16">
        <v>-9999</v>
      </c>
      <c r="DG252" s="16">
        <v>-9999</v>
      </c>
      <c r="DH252" s="16">
        <v>-9999</v>
      </c>
      <c r="DI252" s="16">
        <v>-9999</v>
      </c>
      <c r="DJ252" s="16">
        <v>-9999</v>
      </c>
      <c r="DK252" s="16">
        <v>-9999</v>
      </c>
      <c r="DL252" s="16">
        <v>-9999</v>
      </c>
      <c r="DM252" s="16">
        <v>-9999</v>
      </c>
      <c r="DN252" s="16">
        <v>346.86382641731575</v>
      </c>
      <c r="DO252" s="16">
        <v>380.87907800188225</v>
      </c>
      <c r="DP252" s="16">
        <v>426.58456736210815</v>
      </c>
      <c r="DQ252" s="16">
        <v>466.25693212678419</v>
      </c>
      <c r="DR252" s="16">
        <v>485.83972327610917</v>
      </c>
      <c r="DS252" s="16">
        <v>-9999</v>
      </c>
      <c r="DT252" s="16">
        <v>-9999</v>
      </c>
      <c r="DU252" s="16">
        <v>-9999</v>
      </c>
      <c r="DV252" s="16">
        <v>-9999</v>
      </c>
      <c r="DW252" s="16">
        <v>-9999</v>
      </c>
      <c r="DX252" s="16">
        <v>-9999</v>
      </c>
      <c r="DY252" s="16">
        <v>-9999</v>
      </c>
      <c r="DZ252" s="16">
        <v>-9999</v>
      </c>
      <c r="EA252" s="2256">
        <v>349.12026547276315</v>
      </c>
      <c r="EB252" s="2256">
        <v>380.87907800188225</v>
      </c>
      <c r="EC252" s="2256">
        <v>426.58456736210815</v>
      </c>
      <c r="ED252" s="2256">
        <v>466.25693212678419</v>
      </c>
      <c r="EE252" s="2256">
        <v>485.83972327610917</v>
      </c>
      <c r="EF252" s="2257">
        <v>-9999</v>
      </c>
      <c r="EG252" s="2257">
        <v>-9999</v>
      </c>
      <c r="EH252" s="2257">
        <v>-9999</v>
      </c>
      <c r="EI252" s="2257">
        <v>-9999</v>
      </c>
      <c r="EJ252" s="2257">
        <v>-9999</v>
      </c>
      <c r="EK252" s="2257">
        <v>-9999</v>
      </c>
      <c r="EL252" s="2257">
        <v>-9999</v>
      </c>
      <c r="EM252" s="2257">
        <v>-9999</v>
      </c>
    </row>
    <row r="253" spans="1:143" ht="13.15">
      <c r="A253" s="22">
        <v>153</v>
      </c>
      <c r="B253" s="29" t="s">
        <v>1579</v>
      </c>
      <c r="C253" s="3380">
        <f>IF(ISNUMBER(HLOOKUP(C$100,InputDFM!$2:$8,MATCH(Transfer!$A253&amp;" "&amp;Transfer!$B253,InputDFM!$B$3:$B$8,0)+1,FALSE)),HLOOKUP(C$100,InputDFM!$2:$8,MATCH(Transfer!$A253&amp;" "&amp;Transfer!$B253,InputDFM!$B$3:$B$8,0)+1,FALSE),-9999)</f>
        <v>35.57</v>
      </c>
      <c r="D253" s="3380">
        <f>IF(ISNUMBER(HLOOKUP(D$100,InputDFM!$2:$8,MATCH(Transfer!$A253&amp;" "&amp;Transfer!$B253,InputDFM!$B$3:$B$8,0)+1,FALSE)),HLOOKUP(D$100,InputDFM!$2:$8,MATCH(Transfer!$A253&amp;" "&amp;Transfer!$B253,InputDFM!$B$3:$B$8,0)+1,FALSE),-9999)</f>
        <v>17.079999999999998</v>
      </c>
      <c r="E253" s="3380">
        <f>IF(ISNUMBER(HLOOKUP(E$100,InputDFM!$2:$8,MATCH(Transfer!$A253&amp;" "&amp;Transfer!$B253,InputDFM!$B$3:$B$8,0)+1,FALSE)),HLOOKUP(E$100,InputDFM!$2:$8,MATCH(Transfer!$A253&amp;" "&amp;Transfer!$B253,InputDFM!$B$3:$B$8,0)+1,FALSE),-9999)</f>
        <v>21.77</v>
      </c>
      <c r="F253" s="3380">
        <f>IF(ISNUMBER(HLOOKUP(F$100,InputDFM!$2:$8,MATCH(Transfer!$A253&amp;" "&amp;Transfer!$B253,InputDFM!$B$3:$B$8,0)+1,FALSE)),HLOOKUP(F$100,InputDFM!$2:$8,MATCH(Transfer!$A253&amp;" "&amp;Transfer!$B253,InputDFM!$B$3:$B$8,0)+1,FALSE),-9999)</f>
        <v>14.4</v>
      </c>
      <c r="G253" s="3380">
        <f>IF(ISNUMBER(HLOOKUP(G$100,InputDFM!$2:$8,MATCH(Transfer!$A253&amp;" "&amp;Transfer!$B253,InputDFM!$B$3:$B$8,0)+1,FALSE)),HLOOKUP(G$100,InputDFM!$2:$8,MATCH(Transfer!$A253&amp;" "&amp;Transfer!$B253,InputDFM!$B$3:$B$8,0)+1,FALSE),-9999)</f>
        <v>11.57</v>
      </c>
      <c r="H253" s="25">
        <v>-9999</v>
      </c>
      <c r="I253" s="25">
        <v>-9999</v>
      </c>
      <c r="J253" s="25">
        <v>-9999</v>
      </c>
      <c r="K253" s="25">
        <v>-9999</v>
      </c>
      <c r="L253" s="25">
        <v>-9999</v>
      </c>
      <c r="M253" s="25">
        <v>-9999</v>
      </c>
      <c r="N253" s="25">
        <v>-9999</v>
      </c>
      <c r="O253" s="25">
        <v>-9999</v>
      </c>
      <c r="P253" s="26"/>
      <c r="Q253"/>
      <c r="AA253" s="22">
        <v>153</v>
      </c>
      <c r="AB253" s="1080" t="str">
        <f t="shared" si="30"/>
        <v>DISCRETIONARY MEASURES CURRENT EXPENDITURE</v>
      </c>
      <c r="AC253" s="1080">
        <f>CHOOSE(Tables!$U$2,Transfer!CA253,Transfer!CN253,Transfer!DA253,Transfer!DN253,Transfer!EA253)</f>
        <v>11.98</v>
      </c>
      <c r="AD253" s="1080">
        <f>CHOOSE(Tables!$U$2,Transfer!CB253,Transfer!CO253,Transfer!DB253,Transfer!DO253,Transfer!EB253)</f>
        <v>35.57</v>
      </c>
      <c r="AE253" s="1080">
        <f>CHOOSE(Tables!$U$2,Transfer!CC253,Transfer!CP253,Transfer!DC253,Transfer!DP253,Transfer!EC253)</f>
        <v>17.079999999999998</v>
      </c>
      <c r="AF253" s="1080">
        <f>CHOOSE(Tables!$U$2,Transfer!CD253,Transfer!CQ253,Transfer!DD253,Transfer!DQ253,Transfer!ED253)</f>
        <v>21.77</v>
      </c>
      <c r="AG253" s="1080">
        <f>CHOOSE(Tables!$U$2,Transfer!CE253,Transfer!CR253,Transfer!DE253,Transfer!DR253,Transfer!EE253)</f>
        <v>14.4</v>
      </c>
      <c r="AH253" s="1080">
        <f>CHOOSE(Tables!$U$2,Transfer!CF253,Transfer!CS253,Transfer!DF253,Transfer!DS253,Transfer!EF253)</f>
        <v>-9999</v>
      </c>
      <c r="AI253" s="1080">
        <f>CHOOSE(Tables!$U$2,Transfer!CG253,Transfer!CT253,Transfer!DG253,Transfer!DT253,Transfer!EG253)</f>
        <v>-9999</v>
      </c>
      <c r="AJ253" s="1080">
        <f>CHOOSE(Tables!$U$2,Transfer!CH253,Transfer!CU253,Transfer!DH253,Transfer!DU253,Transfer!EH253)</f>
        <v>-9999</v>
      </c>
      <c r="AK253" s="1080">
        <f>CHOOSE(Tables!$U$2,Transfer!CI253,Transfer!CV253,Transfer!DI253,Transfer!DV253,Transfer!EI253)</f>
        <v>-9999</v>
      </c>
      <c r="AL253" s="1080">
        <f>CHOOSE(Tables!$U$2,Transfer!CJ253,Transfer!CW253,Transfer!DJ253,Transfer!DW253,Transfer!EJ253)</f>
        <v>-9999</v>
      </c>
      <c r="AM253" s="1080">
        <f>CHOOSE(Tables!$U$2,Transfer!CK253,Transfer!CX253,Transfer!DK253,Transfer!DX253,Transfer!EK253)</f>
        <v>-9999</v>
      </c>
      <c r="AN253" s="1080">
        <f>CHOOSE(Tables!$U$2,Transfer!CL253,Transfer!CY253,Transfer!DL253,Transfer!DY253,Transfer!EL253)</f>
        <v>-9999</v>
      </c>
      <c r="AO253" s="1080">
        <f>CHOOSE(Tables!$U$2,Transfer!CM253,Transfer!CZ253,Transfer!DM253,Transfer!DZ253,Transfer!EM253)</f>
        <v>-9999</v>
      </c>
      <c r="AR253" s="22">
        <v>153</v>
      </c>
      <c r="AS253" s="30" t="s">
        <v>973</v>
      </c>
      <c r="AT253" s="25">
        <f t="shared" si="32"/>
        <v>23.59</v>
      </c>
      <c r="AU253" s="25">
        <f t="shared" si="33"/>
        <v>-18.490000000000002</v>
      </c>
      <c r="AV253" s="25">
        <f t="shared" si="34"/>
        <v>4.6900000000000013</v>
      </c>
      <c r="AW253" s="25">
        <f t="shared" si="35"/>
        <v>-7.3699999999999992</v>
      </c>
      <c r="AX253" s="25">
        <f t="shared" si="36"/>
        <v>-2.83</v>
      </c>
      <c r="AY253" s="25">
        <f t="shared" si="37"/>
        <v>0</v>
      </c>
      <c r="AZ253" s="25">
        <f t="shared" si="38"/>
        <v>0</v>
      </c>
      <c r="BA253" s="25">
        <f t="shared" si="39"/>
        <v>0</v>
      </c>
      <c r="BB253" s="25">
        <f t="shared" si="40"/>
        <v>0</v>
      </c>
      <c r="BC253" s="25">
        <f t="shared" si="20"/>
        <v>0</v>
      </c>
      <c r="BD253" s="25">
        <f t="shared" si="20"/>
        <v>0</v>
      </c>
      <c r="BE253" s="25">
        <f t="shared" si="20"/>
        <v>0</v>
      </c>
      <c r="BF253" s="25">
        <f t="shared" si="20"/>
        <v>0</v>
      </c>
      <c r="CA253" s="16">
        <v>35.57</v>
      </c>
      <c r="CB253" s="16">
        <v>17.079999999999998</v>
      </c>
      <c r="CC253" s="16">
        <v>21.77</v>
      </c>
      <c r="CD253" s="16">
        <v>14.4</v>
      </c>
      <c r="CE253" s="16">
        <v>11.57</v>
      </c>
      <c r="CF253" s="16">
        <v>-9999</v>
      </c>
      <c r="CG253" s="16">
        <v>-9999</v>
      </c>
      <c r="CH253" s="16">
        <v>-9999</v>
      </c>
      <c r="CI253" s="16">
        <v>-9999</v>
      </c>
      <c r="CJ253" s="16">
        <v>-9999</v>
      </c>
      <c r="CK253" s="16">
        <v>-9999</v>
      </c>
      <c r="CL253" s="16">
        <v>-9999</v>
      </c>
      <c r="CM253" s="16">
        <v>-9999</v>
      </c>
      <c r="CN253" s="16">
        <v>11.98</v>
      </c>
      <c r="CO253" s="16">
        <v>35.57</v>
      </c>
      <c r="CP253" s="16">
        <v>17.079999999999998</v>
      </c>
      <c r="CQ253" s="16">
        <v>21.77</v>
      </c>
      <c r="CR253" s="16">
        <v>14.4</v>
      </c>
      <c r="CS253" s="16">
        <v>-9999</v>
      </c>
      <c r="CT253" s="16">
        <v>-9999</v>
      </c>
      <c r="CU253" s="16">
        <v>-9999</v>
      </c>
      <c r="CV253" s="16">
        <v>-9999</v>
      </c>
      <c r="CW253" s="16">
        <v>-9999</v>
      </c>
      <c r="CX253" s="16">
        <v>-9999</v>
      </c>
      <c r="CY253" s="16">
        <v>-9999</v>
      </c>
      <c r="CZ253" s="16">
        <v>-9999</v>
      </c>
      <c r="DA253" s="16">
        <v>35.57</v>
      </c>
      <c r="DB253" s="16">
        <v>17.079999999999998</v>
      </c>
      <c r="DC253" s="16">
        <v>21.77</v>
      </c>
      <c r="DD253" s="16">
        <v>14.4</v>
      </c>
      <c r="DE253" s="16">
        <v>11.57</v>
      </c>
      <c r="DF253" s="16">
        <v>-9999</v>
      </c>
      <c r="DG253" s="16">
        <v>-9999</v>
      </c>
      <c r="DH253" s="16">
        <v>-9999</v>
      </c>
      <c r="DI253" s="16">
        <v>-9999</v>
      </c>
      <c r="DJ253" s="16">
        <v>-9999</v>
      </c>
      <c r="DK253" s="16">
        <v>-9999</v>
      </c>
      <c r="DL253" s="16">
        <v>-9999</v>
      </c>
      <c r="DM253" s="16">
        <v>-9999</v>
      </c>
      <c r="DN253" s="16">
        <v>35.57</v>
      </c>
      <c r="DO253" s="16">
        <v>17.079999999999998</v>
      </c>
      <c r="DP253" s="16">
        <v>21.77</v>
      </c>
      <c r="DQ253" s="16">
        <v>14.4</v>
      </c>
      <c r="DR253" s="16">
        <v>11.57</v>
      </c>
      <c r="DS253" s="16">
        <v>-9999</v>
      </c>
      <c r="DT253" s="16">
        <v>-9999</v>
      </c>
      <c r="DU253" s="16">
        <v>-9999</v>
      </c>
      <c r="DV253" s="16">
        <v>-9999</v>
      </c>
      <c r="DW253" s="16">
        <v>-9999</v>
      </c>
      <c r="DX253" s="16">
        <v>-9999</v>
      </c>
      <c r="DY253" s="16">
        <v>-9999</v>
      </c>
      <c r="DZ253" s="16">
        <v>-9999</v>
      </c>
      <c r="EA253" s="2257">
        <v>35.57</v>
      </c>
      <c r="EB253" s="2257">
        <v>17.079999999999998</v>
      </c>
      <c r="EC253" s="2257">
        <v>21.77</v>
      </c>
      <c r="ED253" s="2257">
        <v>14.4</v>
      </c>
      <c r="EE253" s="2257">
        <v>11.57</v>
      </c>
      <c r="EF253" s="2257">
        <v>-9999</v>
      </c>
      <c r="EG253" s="2257">
        <v>-9999</v>
      </c>
      <c r="EH253" s="2257">
        <v>-9999</v>
      </c>
      <c r="EI253" s="2257">
        <v>-9999</v>
      </c>
      <c r="EJ253" s="2257">
        <v>-9999</v>
      </c>
      <c r="EK253" s="2257">
        <v>-9999</v>
      </c>
      <c r="EL253" s="2257">
        <v>-9999</v>
      </c>
      <c r="EM253" s="2257">
        <v>-9999</v>
      </c>
    </row>
    <row r="254" spans="1:143" ht="13.15">
      <c r="A254" s="22">
        <v>154</v>
      </c>
      <c r="B254" s="29" t="s">
        <v>469</v>
      </c>
      <c r="C254" s="3380">
        <f>IF(ISNUMBER(HLOOKUP(C$100,InputDFM!$2:$8,MATCH(Transfer!$A254&amp;" "&amp;Transfer!$B254,InputDFM!$B$3:$B$8,0)+1,FALSE)),HLOOKUP(C$100,InputDFM!$2:$8,MATCH(Transfer!$A254&amp;" "&amp;Transfer!$B254,InputDFM!$B$3:$B$8,0)+1,FALSE),-9999)</f>
        <v>64.8</v>
      </c>
      <c r="D254" s="3380">
        <f>IF(ISNUMBER(HLOOKUP(D$100,InputDFM!$2:$8,MATCH(Transfer!$A254&amp;" "&amp;Transfer!$B254,InputDFM!$B$3:$B$8,0)+1,FALSE)),HLOOKUP(D$100,InputDFM!$2:$8,MATCH(Transfer!$A254&amp;" "&amp;Transfer!$B254,InputDFM!$B$3:$B$8,0)+1,FALSE),-9999)</f>
        <v>13.5</v>
      </c>
      <c r="E254" s="3380">
        <f>IF(ISNUMBER(HLOOKUP(E$100,InputDFM!$2:$8,MATCH(Transfer!$A254&amp;" "&amp;Transfer!$B254,InputDFM!$B$3:$B$8,0)+1,FALSE)),HLOOKUP(E$100,InputDFM!$2:$8,MATCH(Transfer!$A254&amp;" "&amp;Transfer!$B254,InputDFM!$B$3:$B$8,0)+1,FALSE),-9999)</f>
        <v>-2.44</v>
      </c>
      <c r="F254" s="3380">
        <f>IF(ISNUMBER(HLOOKUP(F$100,InputDFM!$2:$8,MATCH(Transfer!$A254&amp;" "&amp;Transfer!$B254,InputDFM!$B$3:$B$8,0)+1,FALSE)),HLOOKUP(F$100,InputDFM!$2:$8,MATCH(Transfer!$A254&amp;" "&amp;Transfer!$B254,InputDFM!$B$3:$B$8,0)+1,FALSE),-9999)</f>
        <v>-1.66</v>
      </c>
      <c r="G254" s="3380">
        <f>IF(ISNUMBER(HLOOKUP(G$100,InputDFM!$2:$8,MATCH(Transfer!$A254&amp;" "&amp;Transfer!$B254,InputDFM!$B$3:$B$8,0)+1,FALSE)),HLOOKUP(G$100,InputDFM!$2:$8,MATCH(Transfer!$A254&amp;" "&amp;Transfer!$B254,InputDFM!$B$3:$B$8,0)+1,FALSE),-9999)</f>
        <v>-1.1000000000000001</v>
      </c>
      <c r="H254" s="25">
        <v>-9999</v>
      </c>
      <c r="I254" s="25">
        <v>-9999</v>
      </c>
      <c r="J254" s="25">
        <v>-9999</v>
      </c>
      <c r="K254" s="25">
        <v>-9999</v>
      </c>
      <c r="L254" s="25">
        <v>-9999</v>
      </c>
      <c r="M254" s="25">
        <v>-9999</v>
      </c>
      <c r="N254" s="25">
        <v>-9999</v>
      </c>
      <c r="O254" s="25">
        <v>-9999</v>
      </c>
      <c r="P254" s="26"/>
      <c r="Q254"/>
      <c r="AA254" s="22">
        <v>154</v>
      </c>
      <c r="AB254" s="1080" t="str">
        <f t="shared" si="30"/>
        <v>DISCRETIONARY MEASURES CURRENT REVENUE</v>
      </c>
      <c r="AC254" s="1080">
        <f>CHOOSE(Tables!$U$2,Transfer!CA254,Transfer!CN254,Transfer!DA254,Transfer!DN254,Transfer!EA254)</f>
        <v>14.85</v>
      </c>
      <c r="AD254" s="1080">
        <f>CHOOSE(Tables!$U$2,Transfer!CB254,Transfer!CO254,Transfer!DB254,Transfer!DO254,Transfer!EB254)</f>
        <v>64.8</v>
      </c>
      <c r="AE254" s="1080">
        <f>CHOOSE(Tables!$U$2,Transfer!CC254,Transfer!CP254,Transfer!DC254,Transfer!DP254,Transfer!EC254)</f>
        <v>13.5</v>
      </c>
      <c r="AF254" s="1080">
        <f>CHOOSE(Tables!$U$2,Transfer!CD254,Transfer!CQ254,Transfer!DD254,Transfer!DQ254,Transfer!ED254)</f>
        <v>-2.44</v>
      </c>
      <c r="AG254" s="1080">
        <f>CHOOSE(Tables!$U$2,Transfer!CE254,Transfer!CR254,Transfer!DE254,Transfer!DR254,Transfer!EE254)</f>
        <v>-1.66</v>
      </c>
      <c r="AH254" s="1080">
        <f>CHOOSE(Tables!$U$2,Transfer!CF254,Transfer!CS254,Transfer!DF254,Transfer!DS254,Transfer!EF254)</f>
        <v>-9999</v>
      </c>
      <c r="AI254" s="1080">
        <f>CHOOSE(Tables!$U$2,Transfer!CG254,Transfer!CT254,Transfer!DG254,Transfer!DT254,Transfer!EG254)</f>
        <v>-9999</v>
      </c>
      <c r="AJ254" s="1080">
        <f>CHOOSE(Tables!$U$2,Transfer!CH254,Transfer!CU254,Transfer!DH254,Transfer!DU254,Transfer!EH254)</f>
        <v>-9999</v>
      </c>
      <c r="AK254" s="1080">
        <f>CHOOSE(Tables!$U$2,Transfer!CI254,Transfer!CV254,Transfer!DI254,Transfer!DV254,Transfer!EI254)</f>
        <v>-9999</v>
      </c>
      <c r="AL254" s="1080">
        <f>CHOOSE(Tables!$U$2,Transfer!CJ254,Transfer!CW254,Transfer!DJ254,Transfer!DW254,Transfer!EJ254)</f>
        <v>-9999</v>
      </c>
      <c r="AM254" s="1080">
        <f>CHOOSE(Tables!$U$2,Transfer!CK254,Transfer!CX254,Transfer!DK254,Transfer!DX254,Transfer!EK254)</f>
        <v>-9999</v>
      </c>
      <c r="AN254" s="1080">
        <f>CHOOSE(Tables!$U$2,Transfer!CL254,Transfer!CY254,Transfer!DL254,Transfer!DY254,Transfer!EL254)</f>
        <v>-9999</v>
      </c>
      <c r="AO254" s="1080">
        <f>CHOOSE(Tables!$U$2,Transfer!CM254,Transfer!CZ254,Transfer!DM254,Transfer!DZ254,Transfer!EM254)</f>
        <v>-9999</v>
      </c>
      <c r="AR254" s="22">
        <v>154</v>
      </c>
      <c r="AS254" s="30" t="s">
        <v>973</v>
      </c>
      <c r="AT254" s="25">
        <f t="shared" si="32"/>
        <v>49.949999999999996</v>
      </c>
      <c r="AU254" s="25">
        <f t="shared" si="33"/>
        <v>-51.3</v>
      </c>
      <c r="AV254" s="25">
        <f t="shared" si="34"/>
        <v>-15.94</v>
      </c>
      <c r="AW254" s="25">
        <f t="shared" si="35"/>
        <v>0.78</v>
      </c>
      <c r="AX254" s="25">
        <f t="shared" si="36"/>
        <v>0.55999999999999983</v>
      </c>
      <c r="AY254" s="25">
        <f t="shared" si="37"/>
        <v>0</v>
      </c>
      <c r="AZ254" s="25">
        <f t="shared" si="38"/>
        <v>0</v>
      </c>
      <c r="BA254" s="25">
        <f t="shared" si="39"/>
        <v>0</v>
      </c>
      <c r="BB254" s="25">
        <f t="shared" si="40"/>
        <v>0</v>
      </c>
      <c r="BC254" s="25">
        <f t="shared" si="20"/>
        <v>0</v>
      </c>
      <c r="BD254" s="25">
        <f t="shared" si="20"/>
        <v>0</v>
      </c>
      <c r="BE254" s="25">
        <f t="shared" si="20"/>
        <v>0</v>
      </c>
      <c r="BF254" s="25">
        <f t="shared" si="20"/>
        <v>0</v>
      </c>
      <c r="CA254" s="16">
        <v>64.8</v>
      </c>
      <c r="CB254" s="16">
        <v>13.5</v>
      </c>
      <c r="CC254" s="16">
        <v>-2.44</v>
      </c>
      <c r="CD254" s="16">
        <v>-1.66</v>
      </c>
      <c r="CE254" s="16">
        <v>-1.1000000000000001</v>
      </c>
      <c r="CF254" s="16">
        <v>-9999</v>
      </c>
      <c r="CG254" s="16">
        <v>-9999</v>
      </c>
      <c r="CH254" s="16">
        <v>-9999</v>
      </c>
      <c r="CI254" s="16">
        <v>-9999</v>
      </c>
      <c r="CJ254" s="16">
        <v>-9999</v>
      </c>
      <c r="CK254" s="16">
        <v>-9999</v>
      </c>
      <c r="CL254" s="16">
        <v>-9999</v>
      </c>
      <c r="CM254" s="16">
        <v>-9999</v>
      </c>
      <c r="CN254" s="16">
        <v>14.85</v>
      </c>
      <c r="CO254" s="16">
        <v>64.8</v>
      </c>
      <c r="CP254" s="16">
        <v>13.5</v>
      </c>
      <c r="CQ254" s="16">
        <v>-2.44</v>
      </c>
      <c r="CR254" s="16">
        <v>-1.66</v>
      </c>
      <c r="CS254" s="16">
        <v>-9999</v>
      </c>
      <c r="CT254" s="16">
        <v>-9999</v>
      </c>
      <c r="CU254" s="16">
        <v>-9999</v>
      </c>
      <c r="CV254" s="16">
        <v>-9999</v>
      </c>
      <c r="CW254" s="16">
        <v>-9999</v>
      </c>
      <c r="CX254" s="16">
        <v>-9999</v>
      </c>
      <c r="CY254" s="16">
        <v>-9999</v>
      </c>
      <c r="CZ254" s="16">
        <v>-9999</v>
      </c>
      <c r="DA254" s="16">
        <v>64.8</v>
      </c>
      <c r="DB254" s="16">
        <v>13.5</v>
      </c>
      <c r="DC254" s="16">
        <v>-2.44</v>
      </c>
      <c r="DD254" s="16">
        <v>-1.66</v>
      </c>
      <c r="DE254" s="16">
        <v>-1.1000000000000001</v>
      </c>
      <c r="DF254" s="16">
        <v>-9999</v>
      </c>
      <c r="DG254" s="16">
        <v>-9999</v>
      </c>
      <c r="DH254" s="16">
        <v>-9999</v>
      </c>
      <c r="DI254" s="16">
        <v>-9999</v>
      </c>
      <c r="DJ254" s="16">
        <v>-9999</v>
      </c>
      <c r="DK254" s="16">
        <v>-9999</v>
      </c>
      <c r="DL254" s="16">
        <v>-9999</v>
      </c>
      <c r="DM254" s="16">
        <v>-9999</v>
      </c>
      <c r="DN254" s="16">
        <v>64.8</v>
      </c>
      <c r="DO254" s="16">
        <v>13.5</v>
      </c>
      <c r="DP254" s="16">
        <v>-2.44</v>
      </c>
      <c r="DQ254" s="16">
        <v>-1.66</v>
      </c>
      <c r="DR254" s="16">
        <v>-1.1000000000000001</v>
      </c>
      <c r="DS254" s="16">
        <v>-9999</v>
      </c>
      <c r="DT254" s="16">
        <v>-9999</v>
      </c>
      <c r="DU254" s="16">
        <v>-9999</v>
      </c>
      <c r="DV254" s="16">
        <v>-9999</v>
      </c>
      <c r="DW254" s="16">
        <v>-9999</v>
      </c>
      <c r="DX254" s="16">
        <v>-9999</v>
      </c>
      <c r="DY254" s="16">
        <v>-9999</v>
      </c>
      <c r="DZ254" s="16">
        <v>-9999</v>
      </c>
      <c r="EA254" s="2257">
        <v>64.8</v>
      </c>
      <c r="EB254" s="2257">
        <v>13.5</v>
      </c>
      <c r="EC254" s="2257">
        <v>-2.44</v>
      </c>
      <c r="ED254" s="2257">
        <v>-1.66</v>
      </c>
      <c r="EE254" s="2257">
        <v>-1.1000000000000001</v>
      </c>
      <c r="EF254" s="2257">
        <v>-9999</v>
      </c>
      <c r="EG254" s="2257">
        <v>-9999</v>
      </c>
      <c r="EH254" s="2257">
        <v>-9999</v>
      </c>
      <c r="EI254" s="2257">
        <v>-9999</v>
      </c>
      <c r="EJ254" s="2257">
        <v>-9999</v>
      </c>
      <c r="EK254" s="2257">
        <v>-9999</v>
      </c>
      <c r="EL254" s="2257">
        <v>-9999</v>
      </c>
      <c r="EM254" s="2257">
        <v>-9999</v>
      </c>
    </row>
    <row r="255" spans="1:143" ht="13.15">
      <c r="A255" s="22">
        <v>155</v>
      </c>
      <c r="B255" s="29" t="s">
        <v>470</v>
      </c>
      <c r="C255" s="3380">
        <f>IF(ISNUMBER(HLOOKUP(C$100,InputDFM!$2:$8,MATCH(Transfer!$A255&amp;" "&amp;Transfer!$B255,InputDFM!$B$3:$B$8,0)+1,FALSE)),HLOOKUP(C$100,InputDFM!$2:$8,MATCH(Transfer!$A255&amp;" "&amp;Transfer!$B255,InputDFM!$B$3:$B$8,0)+1,FALSE),-9999)</f>
        <v>11.28</v>
      </c>
      <c r="D255" s="3380">
        <f>IF(ISNUMBER(HLOOKUP(D$100,InputDFM!$2:$8,MATCH(Transfer!$A255&amp;" "&amp;Transfer!$B255,InputDFM!$B$3:$B$8,0)+1,FALSE)),HLOOKUP(D$100,InputDFM!$2:$8,MATCH(Transfer!$A255&amp;" "&amp;Transfer!$B255,InputDFM!$B$3:$B$8,0)+1,FALSE),-9999)</f>
        <v>-8.98</v>
      </c>
      <c r="E255" s="3380">
        <f>IF(ISNUMBER(HLOOKUP(E$100,InputDFM!$2:$8,MATCH(Transfer!$A255&amp;" "&amp;Transfer!$B255,InputDFM!$B$3:$B$8,0)+1,FALSE)),HLOOKUP(E$100,InputDFM!$2:$8,MATCH(Transfer!$A255&amp;" "&amp;Transfer!$B255,InputDFM!$B$3:$B$8,0)+1,FALSE),-9999)</f>
        <v>0.34</v>
      </c>
      <c r="F255" s="3380">
        <f>IF(ISNUMBER(HLOOKUP(F$100,InputDFM!$2:$8,MATCH(Transfer!$A255&amp;" "&amp;Transfer!$B255,InputDFM!$B$3:$B$8,0)+1,FALSE)),HLOOKUP(F$100,InputDFM!$2:$8,MATCH(Transfer!$A255&amp;" "&amp;Transfer!$B255,InputDFM!$B$3:$B$8,0)+1,FALSE),-9999)</f>
        <v>-0.11</v>
      </c>
      <c r="G255" s="3380">
        <f>IF(ISNUMBER(HLOOKUP(G$100,InputDFM!$2:$8,MATCH(Transfer!$A255&amp;" "&amp;Transfer!$B255,InputDFM!$B$3:$B$8,0)+1,FALSE)),HLOOKUP(G$100,InputDFM!$2:$8,MATCH(Transfer!$A255&amp;" "&amp;Transfer!$B255,InputDFM!$B$3:$B$8,0)+1,FALSE),-9999)</f>
        <v>1</v>
      </c>
      <c r="H255" s="25">
        <v>-9999</v>
      </c>
      <c r="I255" s="25">
        <v>-9999</v>
      </c>
      <c r="J255" s="25">
        <v>-9999</v>
      </c>
      <c r="K255" s="25">
        <v>-9999</v>
      </c>
      <c r="L255" s="25">
        <v>-9999</v>
      </c>
      <c r="M255" s="25">
        <v>-9999</v>
      </c>
      <c r="N255" s="25">
        <v>-9999</v>
      </c>
      <c r="O255" s="25">
        <v>-9999</v>
      </c>
      <c r="P255" s="26"/>
      <c r="Q255"/>
      <c r="AA255" s="22">
        <v>155</v>
      </c>
      <c r="AB255" s="1080" t="str">
        <f t="shared" si="30"/>
        <v>DISCRETIONARY MEASURES CAPITAL EXPENDITURE</v>
      </c>
      <c r="AC255" s="1080">
        <f>CHOOSE(Tables!$U$2,Transfer!CA255,Transfer!CN255,Transfer!DA255,Transfer!DN255,Transfer!EA255)</f>
        <v>0.62</v>
      </c>
      <c r="AD255" s="1080">
        <f>CHOOSE(Tables!$U$2,Transfer!CB255,Transfer!CO255,Transfer!DB255,Transfer!DO255,Transfer!EB255)</f>
        <v>11.28</v>
      </c>
      <c r="AE255" s="1080">
        <f>CHOOSE(Tables!$U$2,Transfer!CC255,Transfer!CP255,Transfer!DC255,Transfer!DP255,Transfer!EC255)</f>
        <v>-8.98</v>
      </c>
      <c r="AF255" s="1080">
        <f>CHOOSE(Tables!$U$2,Transfer!CD255,Transfer!CQ255,Transfer!DD255,Transfer!DQ255,Transfer!ED255)</f>
        <v>0.34</v>
      </c>
      <c r="AG255" s="1080">
        <f>CHOOSE(Tables!$U$2,Transfer!CE255,Transfer!CR255,Transfer!DE255,Transfer!DR255,Transfer!EE255)</f>
        <v>-0.11</v>
      </c>
      <c r="AH255" s="1080">
        <f>CHOOSE(Tables!$U$2,Transfer!CF255,Transfer!CS255,Transfer!DF255,Transfer!DS255,Transfer!EF255)</f>
        <v>-9999</v>
      </c>
      <c r="AI255" s="1080">
        <f>CHOOSE(Tables!$U$2,Transfer!CG255,Transfer!CT255,Transfer!DG255,Transfer!DT255,Transfer!EG255)</f>
        <v>-9999</v>
      </c>
      <c r="AJ255" s="1080">
        <f>CHOOSE(Tables!$U$2,Transfer!CH255,Transfer!CU255,Transfer!DH255,Transfer!DU255,Transfer!EH255)</f>
        <v>-9999</v>
      </c>
      <c r="AK255" s="1080">
        <f>CHOOSE(Tables!$U$2,Transfer!CI255,Transfer!CV255,Transfer!DI255,Transfer!DV255,Transfer!EI255)</f>
        <v>-9999</v>
      </c>
      <c r="AL255" s="1080">
        <f>CHOOSE(Tables!$U$2,Transfer!CJ255,Transfer!CW255,Transfer!DJ255,Transfer!DW255,Transfer!EJ255)</f>
        <v>-9999</v>
      </c>
      <c r="AM255" s="1080">
        <f>CHOOSE(Tables!$U$2,Transfer!CK255,Transfer!CX255,Transfer!DK255,Transfer!DX255,Transfer!EK255)</f>
        <v>-9999</v>
      </c>
      <c r="AN255" s="1080">
        <f>CHOOSE(Tables!$U$2,Transfer!CL255,Transfer!CY255,Transfer!DL255,Transfer!DY255,Transfer!EL255)</f>
        <v>-9999</v>
      </c>
      <c r="AO255" s="1080">
        <f>CHOOSE(Tables!$U$2,Transfer!CM255,Transfer!CZ255,Transfer!DM255,Transfer!DZ255,Transfer!EM255)</f>
        <v>-9999</v>
      </c>
      <c r="AR255" s="22">
        <v>155</v>
      </c>
      <c r="AS255" s="1" t="s">
        <v>534</v>
      </c>
      <c r="AT255" s="2041">
        <f t="shared" si="32"/>
        <v>10.66</v>
      </c>
      <c r="AU255" s="2041">
        <f t="shared" si="33"/>
        <v>-20.259999999999998</v>
      </c>
      <c r="AV255" s="2041">
        <f t="shared" si="34"/>
        <v>9.32</v>
      </c>
      <c r="AW255" s="2041">
        <f t="shared" si="35"/>
        <v>-0.45</v>
      </c>
      <c r="AX255" s="2041">
        <f t="shared" si="36"/>
        <v>1.1100000000000001</v>
      </c>
      <c r="AY255" s="25">
        <f t="shared" si="37"/>
        <v>0</v>
      </c>
      <c r="AZ255" s="25">
        <f t="shared" si="38"/>
        <v>0</v>
      </c>
      <c r="BA255" s="25">
        <f t="shared" si="39"/>
        <v>0</v>
      </c>
      <c r="BB255" s="25">
        <f t="shared" si="40"/>
        <v>0</v>
      </c>
      <c r="BC255" s="25">
        <f t="shared" si="20"/>
        <v>0</v>
      </c>
      <c r="BD255" s="25">
        <f t="shared" si="20"/>
        <v>0</v>
      </c>
      <c r="BE255" s="25">
        <f t="shared" si="20"/>
        <v>0</v>
      </c>
      <c r="BF255" s="25">
        <f t="shared" si="20"/>
        <v>0</v>
      </c>
      <c r="CA255" s="16">
        <v>11.28</v>
      </c>
      <c r="CB255" s="16">
        <v>-8.98</v>
      </c>
      <c r="CC255" s="16">
        <v>0.34</v>
      </c>
      <c r="CD255" s="16">
        <v>-0.11</v>
      </c>
      <c r="CE255" s="16">
        <v>1</v>
      </c>
      <c r="CF255" s="16">
        <v>-9999</v>
      </c>
      <c r="CG255" s="16">
        <v>-9999</v>
      </c>
      <c r="CH255" s="16">
        <v>-9999</v>
      </c>
      <c r="CI255" s="16">
        <v>-9999</v>
      </c>
      <c r="CJ255" s="16">
        <v>-9999</v>
      </c>
      <c r="CK255" s="16">
        <v>-9999</v>
      </c>
      <c r="CL255" s="16">
        <v>-9999</v>
      </c>
      <c r="CM255" s="16">
        <v>-9999</v>
      </c>
      <c r="CN255" s="16">
        <v>0.62</v>
      </c>
      <c r="CO255" s="16">
        <v>11.28</v>
      </c>
      <c r="CP255" s="16">
        <v>-8.98</v>
      </c>
      <c r="CQ255" s="16">
        <v>0.34</v>
      </c>
      <c r="CR255" s="16">
        <v>-0.11</v>
      </c>
      <c r="CS255" s="16">
        <v>-9999</v>
      </c>
      <c r="CT255" s="16">
        <v>-9999</v>
      </c>
      <c r="CU255" s="16">
        <v>-9999</v>
      </c>
      <c r="CV255" s="16">
        <v>-9999</v>
      </c>
      <c r="CW255" s="16">
        <v>-9999</v>
      </c>
      <c r="CX255" s="16">
        <v>-9999</v>
      </c>
      <c r="CY255" s="16">
        <v>-9999</v>
      </c>
      <c r="CZ255" s="16">
        <v>-9999</v>
      </c>
      <c r="DA255" s="16">
        <v>11.28</v>
      </c>
      <c r="DB255" s="16">
        <v>-8.98</v>
      </c>
      <c r="DC255" s="16">
        <v>0.34</v>
      </c>
      <c r="DD255" s="16">
        <v>-0.11</v>
      </c>
      <c r="DE255" s="16">
        <v>1</v>
      </c>
      <c r="DF255" s="16">
        <v>-9999</v>
      </c>
      <c r="DG255" s="16">
        <v>-9999</v>
      </c>
      <c r="DH255" s="16">
        <v>-9999</v>
      </c>
      <c r="DI255" s="16">
        <v>-9999</v>
      </c>
      <c r="DJ255" s="16">
        <v>-9999</v>
      </c>
      <c r="DK255" s="16">
        <v>-9999</v>
      </c>
      <c r="DL255" s="16">
        <v>-9999</v>
      </c>
      <c r="DM255" s="16">
        <v>-9999</v>
      </c>
      <c r="DN255" s="16">
        <v>11.28</v>
      </c>
      <c r="DO255" s="16">
        <v>-8.98</v>
      </c>
      <c r="DP255" s="16">
        <v>0.34</v>
      </c>
      <c r="DQ255" s="16">
        <v>-0.11</v>
      </c>
      <c r="DR255" s="16">
        <v>1</v>
      </c>
      <c r="DS255" s="16">
        <v>-9999</v>
      </c>
      <c r="DT255" s="16">
        <v>-9999</v>
      </c>
      <c r="DU255" s="16">
        <v>-9999</v>
      </c>
      <c r="DV255" s="16">
        <v>-9999</v>
      </c>
      <c r="DW255" s="16">
        <v>-9999</v>
      </c>
      <c r="DX255" s="16">
        <v>-9999</v>
      </c>
      <c r="DY255" s="16">
        <v>-9999</v>
      </c>
      <c r="DZ255" s="16">
        <v>-9999</v>
      </c>
      <c r="EA255" s="2257">
        <v>11.28</v>
      </c>
      <c r="EB255" s="2257">
        <v>-8.98</v>
      </c>
      <c r="EC255" s="2257">
        <v>0.34</v>
      </c>
      <c r="ED255" s="2257">
        <v>-0.11</v>
      </c>
      <c r="EE255" s="2257">
        <v>1</v>
      </c>
      <c r="EF255" s="2257">
        <v>-9999</v>
      </c>
      <c r="EG255" s="2257">
        <v>-9999</v>
      </c>
      <c r="EH255" s="2257">
        <v>-9999</v>
      </c>
      <c r="EI255" s="2257">
        <v>-9999</v>
      </c>
      <c r="EJ255" s="2257">
        <v>-9999</v>
      </c>
      <c r="EK255" s="2257">
        <v>-9999</v>
      </c>
      <c r="EL255" s="2257">
        <v>-9999</v>
      </c>
      <c r="EM255" s="2257">
        <v>-9999</v>
      </c>
    </row>
    <row r="256" spans="1:143" ht="13.15">
      <c r="A256" s="22">
        <v>156</v>
      </c>
      <c r="B256" s="29" t="s">
        <v>471</v>
      </c>
      <c r="C256" s="3380">
        <f>IF(ISNUMBER(HLOOKUP(C$100,InputDFM!$2:$8,MATCH(Transfer!$A256&amp;" "&amp;Transfer!$B256,InputDFM!$B$3:$B$8,0)+1,FALSE)),HLOOKUP(C$100,InputDFM!$2:$8,MATCH(Transfer!$A256&amp;" "&amp;Transfer!$B256,InputDFM!$B$3:$B$8,0)+1,FALSE),-9999)</f>
        <v>0</v>
      </c>
      <c r="D256" s="3380">
        <f>IF(ISNUMBER(HLOOKUP(D$100,InputDFM!$2:$8,MATCH(Transfer!$A256&amp;" "&amp;Transfer!$B256,InputDFM!$B$3:$B$8,0)+1,FALSE)),HLOOKUP(D$100,InputDFM!$2:$8,MATCH(Transfer!$A256&amp;" "&amp;Transfer!$B256,InputDFM!$B$3:$B$8,0)+1,FALSE),-9999)</f>
        <v>0</v>
      </c>
      <c r="E256" s="3380">
        <f>IF(ISNUMBER(HLOOKUP(E$100,InputDFM!$2:$8,MATCH(Transfer!$A256&amp;" "&amp;Transfer!$B256,InputDFM!$B$3:$B$8,0)+1,FALSE)),HLOOKUP(E$100,InputDFM!$2:$8,MATCH(Transfer!$A256&amp;" "&amp;Transfer!$B256,InputDFM!$B$3:$B$8,0)+1,FALSE),-9999)</f>
        <v>0</v>
      </c>
      <c r="F256" s="3380">
        <f>IF(ISNUMBER(HLOOKUP(F$100,InputDFM!$2:$8,MATCH(Transfer!$A256&amp;" "&amp;Transfer!$B256,InputDFM!$B$3:$B$8,0)+1,FALSE)),HLOOKUP(F$100,InputDFM!$2:$8,MATCH(Transfer!$A256&amp;" "&amp;Transfer!$B256,InputDFM!$B$3:$B$8,0)+1,FALSE),-9999)</f>
        <v>0</v>
      </c>
      <c r="G256" s="3380">
        <f>IF(ISNUMBER(HLOOKUP(G$100,InputDFM!$2:$8,MATCH(Transfer!$A256&amp;" "&amp;Transfer!$B256,InputDFM!$B$3:$B$8,0)+1,FALSE)),HLOOKUP(G$100,InputDFM!$2:$8,MATCH(Transfer!$A256&amp;" "&amp;Transfer!$B256,InputDFM!$B$3:$B$8,0)+1,FALSE),-9999)</f>
        <v>0</v>
      </c>
      <c r="H256" s="25">
        <v>-9999</v>
      </c>
      <c r="I256" s="25">
        <v>-9999</v>
      </c>
      <c r="J256" s="25">
        <v>-9999</v>
      </c>
      <c r="K256" s="25">
        <v>-9999</v>
      </c>
      <c r="L256" s="25">
        <v>-9999</v>
      </c>
      <c r="M256" s="25">
        <v>-9999</v>
      </c>
      <c r="N256" s="25">
        <v>-9999</v>
      </c>
      <c r="O256" s="25">
        <v>-9999</v>
      </c>
      <c r="P256" s="26"/>
      <c r="Q256"/>
      <c r="AA256" s="22">
        <v>156</v>
      </c>
      <c r="AB256" s="1080" t="str">
        <f t="shared" si="30"/>
        <v>DISCRETIONARY MEASURES CAPITAL TRANSFERS RECEIVED</v>
      </c>
      <c r="AC256" s="1080">
        <f>CHOOSE(Tables!$U$2,Transfer!CA256,Transfer!CN256,Transfer!DA256,Transfer!DN256,Transfer!EA256)</f>
        <v>0</v>
      </c>
      <c r="AD256" s="1080">
        <f>CHOOSE(Tables!$U$2,Transfer!CB256,Transfer!CO256,Transfer!DB256,Transfer!DO256,Transfer!EB256)</f>
        <v>0</v>
      </c>
      <c r="AE256" s="1080">
        <f>CHOOSE(Tables!$U$2,Transfer!CC256,Transfer!CP256,Transfer!DC256,Transfer!DP256,Transfer!EC256)</f>
        <v>0</v>
      </c>
      <c r="AF256" s="1080">
        <f>CHOOSE(Tables!$U$2,Transfer!CD256,Transfer!CQ256,Transfer!DD256,Transfer!DQ256,Transfer!ED256)</f>
        <v>0</v>
      </c>
      <c r="AG256" s="1080">
        <f>CHOOSE(Tables!$U$2,Transfer!CE256,Transfer!CR256,Transfer!DE256,Transfer!DR256,Transfer!EE256)</f>
        <v>0</v>
      </c>
      <c r="AH256" s="1080">
        <f>CHOOSE(Tables!$U$2,Transfer!CF256,Transfer!CS256,Transfer!DF256,Transfer!DS256,Transfer!EF256)</f>
        <v>-9999</v>
      </c>
      <c r="AI256" s="1080">
        <f>CHOOSE(Tables!$U$2,Transfer!CG256,Transfer!CT256,Transfer!DG256,Transfer!DT256,Transfer!EG256)</f>
        <v>-9999</v>
      </c>
      <c r="AJ256" s="1080">
        <f>CHOOSE(Tables!$U$2,Transfer!CH256,Transfer!CU256,Transfer!DH256,Transfer!DU256,Transfer!EH256)</f>
        <v>-9999</v>
      </c>
      <c r="AK256" s="1080">
        <f>CHOOSE(Tables!$U$2,Transfer!CI256,Transfer!CV256,Transfer!DI256,Transfer!DV256,Transfer!EI256)</f>
        <v>-9999</v>
      </c>
      <c r="AL256" s="1080">
        <f>CHOOSE(Tables!$U$2,Transfer!CJ256,Transfer!CW256,Transfer!DJ256,Transfer!DW256,Transfer!EJ256)</f>
        <v>-9999</v>
      </c>
      <c r="AM256" s="1080">
        <f>CHOOSE(Tables!$U$2,Transfer!CK256,Transfer!CX256,Transfer!DK256,Transfer!DX256,Transfer!EK256)</f>
        <v>-9999</v>
      </c>
      <c r="AN256" s="1080">
        <f>CHOOSE(Tables!$U$2,Transfer!CL256,Transfer!CY256,Transfer!DL256,Transfer!DY256,Transfer!EL256)</f>
        <v>-9999</v>
      </c>
      <c r="AO256" s="1080">
        <f>CHOOSE(Tables!$U$2,Transfer!CM256,Transfer!CZ256,Transfer!DM256,Transfer!DZ256,Transfer!EM256)</f>
        <v>-9999</v>
      </c>
      <c r="AR256" s="22">
        <v>156</v>
      </c>
      <c r="AS256" s="30" t="s">
        <v>973</v>
      </c>
      <c r="AT256" s="25">
        <f t="shared" si="32"/>
        <v>0</v>
      </c>
      <c r="AU256" s="25">
        <f t="shared" si="33"/>
        <v>0</v>
      </c>
      <c r="AV256" s="25">
        <f t="shared" si="34"/>
        <v>0</v>
      </c>
      <c r="AW256" s="25">
        <f t="shared" si="35"/>
        <v>0</v>
      </c>
      <c r="AX256" s="25">
        <f t="shared" si="36"/>
        <v>0</v>
      </c>
      <c r="AY256" s="25">
        <f t="shared" si="37"/>
        <v>0</v>
      </c>
      <c r="AZ256" s="25">
        <f t="shared" si="38"/>
        <v>0</v>
      </c>
      <c r="BA256" s="25">
        <f t="shared" si="39"/>
        <v>0</v>
      </c>
      <c r="BB256" s="25">
        <f t="shared" si="40"/>
        <v>0</v>
      </c>
      <c r="BC256" s="25">
        <f t="shared" si="20"/>
        <v>0</v>
      </c>
      <c r="BD256" s="25">
        <f t="shared" si="20"/>
        <v>0</v>
      </c>
      <c r="BE256" s="25">
        <f t="shared" si="20"/>
        <v>0</v>
      </c>
      <c r="BF256" s="25">
        <f t="shared" si="20"/>
        <v>0</v>
      </c>
      <c r="CA256" s="16">
        <v>0</v>
      </c>
      <c r="CB256" s="16">
        <v>0</v>
      </c>
      <c r="CC256" s="16">
        <v>0</v>
      </c>
      <c r="CD256" s="16">
        <v>0</v>
      </c>
      <c r="CE256" s="16">
        <v>0</v>
      </c>
      <c r="CF256" s="16">
        <v>-9999</v>
      </c>
      <c r="CG256" s="16">
        <v>-9999</v>
      </c>
      <c r="CH256" s="16">
        <v>-9999</v>
      </c>
      <c r="CI256" s="16">
        <v>-9999</v>
      </c>
      <c r="CJ256" s="16">
        <v>-9999</v>
      </c>
      <c r="CK256" s="16">
        <v>-9999</v>
      </c>
      <c r="CL256" s="16">
        <v>-9999</v>
      </c>
      <c r="CM256" s="16">
        <v>-9999</v>
      </c>
      <c r="CN256" s="16">
        <v>0</v>
      </c>
      <c r="CO256" s="16">
        <v>0</v>
      </c>
      <c r="CP256" s="16">
        <v>0</v>
      </c>
      <c r="CQ256" s="16">
        <v>0</v>
      </c>
      <c r="CR256" s="16">
        <v>0</v>
      </c>
      <c r="CS256" s="16">
        <v>-9999</v>
      </c>
      <c r="CT256" s="16">
        <v>-9999</v>
      </c>
      <c r="CU256" s="16">
        <v>-9999</v>
      </c>
      <c r="CV256" s="16">
        <v>-9999</v>
      </c>
      <c r="CW256" s="16">
        <v>-9999</v>
      </c>
      <c r="CX256" s="16">
        <v>-9999</v>
      </c>
      <c r="CY256" s="16">
        <v>-9999</v>
      </c>
      <c r="CZ256" s="16">
        <v>-9999</v>
      </c>
      <c r="DA256" s="16">
        <v>0</v>
      </c>
      <c r="DB256" s="16">
        <v>0</v>
      </c>
      <c r="DC256" s="16">
        <v>0</v>
      </c>
      <c r="DD256" s="16">
        <v>0</v>
      </c>
      <c r="DE256" s="16">
        <v>0</v>
      </c>
      <c r="DF256" s="16">
        <v>-9999</v>
      </c>
      <c r="DG256" s="16">
        <v>-9999</v>
      </c>
      <c r="DH256" s="16">
        <v>-9999</v>
      </c>
      <c r="DI256" s="16">
        <v>-9999</v>
      </c>
      <c r="DJ256" s="16">
        <v>-9999</v>
      </c>
      <c r="DK256" s="16">
        <v>-9999</v>
      </c>
      <c r="DL256" s="16">
        <v>-9999</v>
      </c>
      <c r="DM256" s="16">
        <v>-9999</v>
      </c>
      <c r="DN256" s="16">
        <v>0</v>
      </c>
      <c r="DO256" s="16">
        <v>0</v>
      </c>
      <c r="DP256" s="16">
        <v>0</v>
      </c>
      <c r="DQ256" s="16">
        <v>0</v>
      </c>
      <c r="DR256" s="16">
        <v>0</v>
      </c>
      <c r="DS256" s="16">
        <v>-9999</v>
      </c>
      <c r="DT256" s="16">
        <v>-9999</v>
      </c>
      <c r="DU256" s="16">
        <v>-9999</v>
      </c>
      <c r="DV256" s="16">
        <v>-9999</v>
      </c>
      <c r="DW256" s="16">
        <v>-9999</v>
      </c>
      <c r="DX256" s="16">
        <v>-9999</v>
      </c>
      <c r="DY256" s="16">
        <v>-9999</v>
      </c>
      <c r="DZ256" s="16">
        <v>-9999</v>
      </c>
      <c r="EA256" s="2257">
        <v>0</v>
      </c>
      <c r="EB256" s="2257">
        <v>0</v>
      </c>
      <c r="EC256" s="2257">
        <v>0</v>
      </c>
      <c r="ED256" s="2257">
        <v>0</v>
      </c>
      <c r="EE256" s="2257">
        <v>0</v>
      </c>
      <c r="EF256" s="2257">
        <v>-9999</v>
      </c>
      <c r="EG256" s="2257">
        <v>-9999</v>
      </c>
      <c r="EH256" s="2257">
        <v>-9999</v>
      </c>
      <c r="EI256" s="2257">
        <v>-9999</v>
      </c>
      <c r="EJ256" s="2257">
        <v>-9999</v>
      </c>
      <c r="EK256" s="2257">
        <v>-9999</v>
      </c>
      <c r="EL256" s="2257">
        <v>-9999</v>
      </c>
      <c r="EM256" s="2257">
        <v>-9999</v>
      </c>
    </row>
    <row r="257" spans="1:143" ht="13.15">
      <c r="A257" s="22">
        <v>157</v>
      </c>
      <c r="B257" s="30" t="s">
        <v>973</v>
      </c>
      <c r="C257" s="25">
        <v>-9999</v>
      </c>
      <c r="D257" s="25">
        <v>-9999</v>
      </c>
      <c r="E257" s="25">
        <v>-9999</v>
      </c>
      <c r="F257" s="25">
        <v>-9999</v>
      </c>
      <c r="G257" s="25">
        <v>-9999</v>
      </c>
      <c r="H257" s="25">
        <v>-9999</v>
      </c>
      <c r="I257" s="25">
        <v>-9999</v>
      </c>
      <c r="J257" s="25">
        <v>-9999</v>
      </c>
      <c r="K257" s="25">
        <v>-9999</v>
      </c>
      <c r="L257" s="25">
        <v>-9999</v>
      </c>
      <c r="M257" s="25">
        <v>-9999</v>
      </c>
      <c r="N257" s="25">
        <v>-9999</v>
      </c>
      <c r="O257" s="25">
        <v>-9999</v>
      </c>
      <c r="P257" s="26"/>
      <c r="Q257"/>
      <c r="AA257" s="22">
        <v>157</v>
      </c>
      <c r="AB257" s="1080" t="str">
        <f t="shared" si="30"/>
        <v>FOR FUTURE USE</v>
      </c>
      <c r="AC257" s="1080">
        <f>CHOOSE(Tables!$U$2,Transfer!CA257,Transfer!CN257,Transfer!DA257,Transfer!DN257,Transfer!EA257)</f>
        <v>-9999</v>
      </c>
      <c r="AD257" s="1080">
        <f>CHOOSE(Tables!$U$2,Transfer!CB257,Transfer!CO257,Transfer!DB257,Transfer!DO257,Transfer!EB257)</f>
        <v>-9999</v>
      </c>
      <c r="AE257" s="1080">
        <f>CHOOSE(Tables!$U$2,Transfer!CC257,Transfer!CP257,Transfer!DC257,Transfer!DP257,Transfer!EC257)</f>
        <v>-9999</v>
      </c>
      <c r="AF257" s="1080">
        <f>CHOOSE(Tables!$U$2,Transfer!CD257,Transfer!CQ257,Transfer!DD257,Transfer!DQ257,Transfer!ED257)</f>
        <v>-9999</v>
      </c>
      <c r="AG257" s="1080">
        <f>CHOOSE(Tables!$U$2,Transfer!CE257,Transfer!CR257,Transfer!DE257,Transfer!DR257,Transfer!EE257)</f>
        <v>-9999</v>
      </c>
      <c r="AH257" s="1080">
        <f>CHOOSE(Tables!$U$2,Transfer!CF257,Transfer!CS257,Transfer!DF257,Transfer!DS257,Transfer!EF257)</f>
        <v>-9999</v>
      </c>
      <c r="AI257" s="1080">
        <f>CHOOSE(Tables!$U$2,Transfer!CG257,Transfer!CT257,Transfer!DG257,Transfer!DT257,Transfer!EG257)</f>
        <v>-9999</v>
      </c>
      <c r="AJ257" s="1080">
        <f>CHOOSE(Tables!$U$2,Transfer!CH257,Transfer!CU257,Transfer!DH257,Transfer!DU257,Transfer!EH257)</f>
        <v>-9999</v>
      </c>
      <c r="AK257" s="1080">
        <f>CHOOSE(Tables!$U$2,Transfer!CI257,Transfer!CV257,Transfer!DI257,Transfer!DV257,Transfer!EI257)</f>
        <v>-9999</v>
      </c>
      <c r="AL257" s="1080">
        <f>CHOOSE(Tables!$U$2,Transfer!CJ257,Transfer!CW257,Transfer!DJ257,Transfer!DW257,Transfer!EJ257)</f>
        <v>-9999</v>
      </c>
      <c r="AM257" s="1080">
        <f>CHOOSE(Tables!$U$2,Transfer!CK257,Transfer!CX257,Transfer!DK257,Transfer!DX257,Transfer!EK257)</f>
        <v>-9999</v>
      </c>
      <c r="AN257" s="1080">
        <f>CHOOSE(Tables!$U$2,Transfer!CL257,Transfer!CY257,Transfer!DL257,Transfer!DY257,Transfer!EL257)</f>
        <v>-9999</v>
      </c>
      <c r="AO257" s="1080">
        <f>CHOOSE(Tables!$U$2,Transfer!CM257,Transfer!CZ257,Transfer!DM257,Transfer!DZ257,Transfer!EM257)</f>
        <v>-9999</v>
      </c>
      <c r="AR257" s="22">
        <v>157</v>
      </c>
      <c r="AS257" s="30" t="s">
        <v>973</v>
      </c>
      <c r="AT257" s="25">
        <f>C257-AC257</f>
        <v>0</v>
      </c>
      <c r="AU257" s="25">
        <f>D257-AD257</f>
        <v>0</v>
      </c>
      <c r="AV257" s="25">
        <f>E257-AE257</f>
        <v>0</v>
      </c>
      <c r="AW257" s="25">
        <f t="shared" ref="AW257:BF280" si="41">F257-AF257</f>
        <v>0</v>
      </c>
      <c r="AX257" s="25">
        <f t="shared" si="41"/>
        <v>0</v>
      </c>
      <c r="AY257" s="25">
        <f t="shared" si="41"/>
        <v>0</v>
      </c>
      <c r="AZ257" s="25">
        <f t="shared" si="41"/>
        <v>0</v>
      </c>
      <c r="BA257" s="25">
        <f t="shared" si="41"/>
        <v>0</v>
      </c>
      <c r="BB257" s="25">
        <f t="shared" si="41"/>
        <v>0</v>
      </c>
      <c r="BC257" s="25">
        <f t="shared" si="41"/>
        <v>0</v>
      </c>
      <c r="BD257" s="25">
        <f t="shared" si="41"/>
        <v>0</v>
      </c>
      <c r="BE257" s="25">
        <f t="shared" si="41"/>
        <v>0</v>
      </c>
      <c r="BF257" s="25">
        <f t="shared" si="20"/>
        <v>0</v>
      </c>
      <c r="CA257" s="16">
        <v>-9999</v>
      </c>
      <c r="CB257" s="16">
        <v>-9999</v>
      </c>
      <c r="CC257" s="16">
        <v>-9999</v>
      </c>
      <c r="CD257" s="16">
        <v>-9999</v>
      </c>
      <c r="CE257" s="16">
        <v>-9999</v>
      </c>
      <c r="CF257" s="16">
        <v>-9999</v>
      </c>
      <c r="CG257" s="16">
        <v>-9999</v>
      </c>
      <c r="CH257" s="16">
        <v>-9999</v>
      </c>
      <c r="CI257" s="16">
        <v>-9999</v>
      </c>
      <c r="CJ257" s="16">
        <v>-9999</v>
      </c>
      <c r="CK257" s="16">
        <v>-9999</v>
      </c>
      <c r="CL257" s="16">
        <v>-9999</v>
      </c>
      <c r="CM257" s="16">
        <v>-9999</v>
      </c>
      <c r="CN257" s="16">
        <v>-9999</v>
      </c>
      <c r="CO257" s="16">
        <v>-9999</v>
      </c>
      <c r="CP257" s="16">
        <v>-9999</v>
      </c>
      <c r="CQ257" s="16">
        <v>-9999</v>
      </c>
      <c r="CR257" s="16">
        <v>-9999</v>
      </c>
      <c r="CS257" s="16">
        <v>-9999</v>
      </c>
      <c r="CT257" s="16">
        <v>-9999</v>
      </c>
      <c r="CU257" s="16">
        <v>-9999</v>
      </c>
      <c r="CV257" s="16">
        <v>-9999</v>
      </c>
      <c r="CW257" s="16">
        <v>-9999</v>
      </c>
      <c r="CX257" s="16">
        <v>-9999</v>
      </c>
      <c r="CY257" s="16">
        <v>-9999</v>
      </c>
      <c r="CZ257" s="16">
        <v>-9999</v>
      </c>
      <c r="DA257" s="16">
        <v>-9999</v>
      </c>
      <c r="DB257" s="16">
        <v>-9999</v>
      </c>
      <c r="DC257" s="16">
        <v>-9999</v>
      </c>
      <c r="DD257" s="16">
        <v>-9999</v>
      </c>
      <c r="DE257" s="16">
        <v>-9999</v>
      </c>
      <c r="DF257" s="16">
        <v>-9999</v>
      </c>
      <c r="DG257" s="16">
        <v>-9999</v>
      </c>
      <c r="DH257" s="16">
        <v>-9999</v>
      </c>
      <c r="DI257" s="16">
        <v>-9999</v>
      </c>
      <c r="DJ257" s="16">
        <v>-9999</v>
      </c>
      <c r="DK257" s="16">
        <v>-9999</v>
      </c>
      <c r="DL257" s="16">
        <v>-9999</v>
      </c>
      <c r="DM257" s="16">
        <v>-9999</v>
      </c>
      <c r="DN257" s="16">
        <v>-9999</v>
      </c>
      <c r="DO257" s="16">
        <v>-9999</v>
      </c>
      <c r="DP257" s="16">
        <v>-9999</v>
      </c>
      <c r="DQ257" s="16">
        <v>-9999</v>
      </c>
      <c r="DR257" s="16">
        <v>-9999</v>
      </c>
      <c r="DS257" s="16">
        <v>-9999</v>
      </c>
      <c r="DT257" s="16">
        <v>-9999</v>
      </c>
      <c r="DU257" s="16">
        <v>-9999</v>
      </c>
      <c r="DV257" s="16">
        <v>-9999</v>
      </c>
      <c r="DW257" s="16">
        <v>-9999</v>
      </c>
      <c r="DX257" s="16">
        <v>-9999</v>
      </c>
      <c r="DY257" s="16">
        <v>-9999</v>
      </c>
      <c r="DZ257" s="16">
        <v>-9999</v>
      </c>
      <c r="EA257" s="2257">
        <v>-9999</v>
      </c>
      <c r="EB257" s="2257">
        <v>-9999</v>
      </c>
      <c r="EC257" s="2257">
        <v>-9999</v>
      </c>
      <c r="ED257" s="2257">
        <v>-9999</v>
      </c>
      <c r="EE257" s="2257">
        <v>-9999</v>
      </c>
      <c r="EF257" s="2257">
        <v>-9999</v>
      </c>
      <c r="EG257" s="2257">
        <v>-9999</v>
      </c>
      <c r="EH257" s="2257">
        <v>-9999</v>
      </c>
      <c r="EI257" s="2257">
        <v>-9999</v>
      </c>
      <c r="EJ257" s="2257">
        <v>-9999</v>
      </c>
      <c r="EK257" s="2257">
        <v>-9999</v>
      </c>
      <c r="EL257" s="2257">
        <v>-9999</v>
      </c>
      <c r="EM257" s="2257">
        <v>-9999</v>
      </c>
    </row>
    <row r="258" spans="1:143" ht="13.15">
      <c r="A258" s="22">
        <v>158</v>
      </c>
      <c r="B258" s="33" t="s">
        <v>689</v>
      </c>
      <c r="C258" s="1080">
        <f ca="1">+OFFSET(Sector1!G39,0,Last_forecast_year - 1998)*100</f>
        <v>49.486635125703735</v>
      </c>
      <c r="D258" s="25">
        <v>-9999</v>
      </c>
      <c r="E258" s="25">
        <v>-9999</v>
      </c>
      <c r="F258" s="25">
        <v>-9999</v>
      </c>
      <c r="G258" s="25">
        <v>-9999</v>
      </c>
      <c r="H258" s="25">
        <v>-9999</v>
      </c>
      <c r="I258" s="25">
        <v>-9999</v>
      </c>
      <c r="J258" s="25">
        <v>-9999</v>
      </c>
      <c r="K258" s="25">
        <v>-9999</v>
      </c>
      <c r="L258" s="25">
        <v>-9999</v>
      </c>
      <c r="M258" s="25">
        <v>-9999</v>
      </c>
      <c r="N258" s="25">
        <v>-9999</v>
      </c>
      <c r="O258" s="25">
        <v>-9999</v>
      </c>
      <c r="P258" s="26"/>
      <c r="Q258"/>
      <c r="AA258" s="22">
        <v>158</v>
      </c>
      <c r="AB258" s="1080" t="str">
        <f t="shared" si="30"/>
        <v>TAX RATE INDIRECT TAXES PAST 4-Y AVG (col 1)</v>
      </c>
      <c r="AC258" s="1080">
        <f>CHOOSE(Tables!$U$2,Transfer!CA258,Transfer!CN258,Transfer!DA258,Transfer!DN258,Transfer!EA258)</f>
        <v>48.800167496912493</v>
      </c>
      <c r="AD258" s="1080">
        <f>CHOOSE(Tables!$U$2,Transfer!CB258,Transfer!CO258,Transfer!DB258,Transfer!DO258,Transfer!EB258)</f>
        <v>-9999</v>
      </c>
      <c r="AE258" s="1080">
        <f>CHOOSE(Tables!$U$2,Transfer!CC258,Transfer!CP258,Transfer!DC258,Transfer!DP258,Transfer!EC258)</f>
        <v>-9999</v>
      </c>
      <c r="AF258" s="1080">
        <f>CHOOSE(Tables!$U$2,Transfer!CD258,Transfer!CQ258,Transfer!DD258,Transfer!DQ258,Transfer!ED258)</f>
        <v>-9999</v>
      </c>
      <c r="AG258" s="1080">
        <f>CHOOSE(Tables!$U$2,Transfer!CE258,Transfer!CR258,Transfer!DE258,Transfer!DR258,Transfer!EE258)</f>
        <v>-9999</v>
      </c>
      <c r="AH258" s="1080">
        <f>CHOOSE(Tables!$U$2,Transfer!CF258,Transfer!CS258,Transfer!DF258,Transfer!DS258,Transfer!EF258)</f>
        <v>-9999</v>
      </c>
      <c r="AI258" s="1080">
        <f>CHOOSE(Tables!$U$2,Transfer!CG258,Transfer!CT258,Transfer!DG258,Transfer!DT258,Transfer!EG258)</f>
        <v>-9999</v>
      </c>
      <c r="AJ258" s="1080">
        <f>CHOOSE(Tables!$U$2,Transfer!CH258,Transfer!CU258,Transfer!DH258,Transfer!DU258,Transfer!EH258)</f>
        <v>-9999</v>
      </c>
      <c r="AK258" s="1080">
        <f>CHOOSE(Tables!$U$2,Transfer!CI258,Transfer!CV258,Transfer!DI258,Transfer!DV258,Transfer!EI258)</f>
        <v>-9999</v>
      </c>
      <c r="AL258" s="1080">
        <f>CHOOSE(Tables!$U$2,Transfer!CJ258,Transfer!CW258,Transfer!DJ258,Transfer!DW258,Transfer!EJ258)</f>
        <v>-9999</v>
      </c>
      <c r="AM258" s="1080">
        <f>CHOOSE(Tables!$U$2,Transfer!CK258,Transfer!CX258,Transfer!DK258,Transfer!DX258,Transfer!EK258)</f>
        <v>-9999</v>
      </c>
      <c r="AN258" s="1080">
        <f>CHOOSE(Tables!$U$2,Transfer!CL258,Transfer!CY258,Transfer!DL258,Transfer!DY258,Transfer!EL258)</f>
        <v>-9999</v>
      </c>
      <c r="AO258" s="1080">
        <f>CHOOSE(Tables!$U$2,Transfer!CM258,Transfer!CZ258,Transfer!DM258,Transfer!DZ258,Transfer!EM258)</f>
        <v>-9999</v>
      </c>
      <c r="AR258" s="22">
        <v>158</v>
      </c>
      <c r="AS258" s="33" t="s">
        <v>689</v>
      </c>
      <c r="AT258" s="1080">
        <f t="shared" ref="AT258:AV280" ca="1" si="42">C258-AC258</f>
        <v>0.68646762879124168</v>
      </c>
      <c r="AU258" s="25">
        <f t="shared" si="42"/>
        <v>0</v>
      </c>
      <c r="AV258" s="25">
        <f t="shared" si="42"/>
        <v>0</v>
      </c>
      <c r="AW258" s="25">
        <f t="shared" si="41"/>
        <v>0</v>
      </c>
      <c r="AX258" s="25">
        <f t="shared" si="41"/>
        <v>0</v>
      </c>
      <c r="AY258" s="25">
        <f t="shared" si="41"/>
        <v>0</v>
      </c>
      <c r="AZ258" s="25">
        <f t="shared" si="41"/>
        <v>0</v>
      </c>
      <c r="BA258" s="25">
        <f t="shared" si="41"/>
        <v>0</v>
      </c>
      <c r="BB258" s="25">
        <f t="shared" si="41"/>
        <v>0</v>
      </c>
      <c r="BC258" s="25">
        <f t="shared" si="41"/>
        <v>0</v>
      </c>
      <c r="BD258" s="25">
        <f t="shared" si="41"/>
        <v>0</v>
      </c>
      <c r="BE258" s="25">
        <f t="shared" si="41"/>
        <v>0</v>
      </c>
      <c r="BF258" s="25">
        <f t="shared" si="20"/>
        <v>0</v>
      </c>
      <c r="CA258" s="16">
        <v>49.486635125703735</v>
      </c>
      <c r="CB258" s="16">
        <v>-9999</v>
      </c>
      <c r="CC258" s="16">
        <v>-9999</v>
      </c>
      <c r="CD258" s="16">
        <v>-9999</v>
      </c>
      <c r="CE258" s="16">
        <v>-9999</v>
      </c>
      <c r="CF258" s="16">
        <v>-9999</v>
      </c>
      <c r="CG258" s="16">
        <v>-9999</v>
      </c>
      <c r="CH258" s="16">
        <v>-9999</v>
      </c>
      <c r="CI258" s="16">
        <v>-9999</v>
      </c>
      <c r="CJ258" s="16">
        <v>-9999</v>
      </c>
      <c r="CK258" s="16">
        <v>-9999</v>
      </c>
      <c r="CL258" s="16">
        <v>-9999</v>
      </c>
      <c r="CM258" s="16">
        <v>-9999</v>
      </c>
      <c r="CN258" s="16">
        <v>48.800167496912493</v>
      </c>
      <c r="CO258" s="16">
        <v>-9999</v>
      </c>
      <c r="CP258" s="16">
        <v>-9999</v>
      </c>
      <c r="CQ258" s="16">
        <v>-9999</v>
      </c>
      <c r="CR258" s="16">
        <v>-9999</v>
      </c>
      <c r="CS258" s="16">
        <v>-9999</v>
      </c>
      <c r="CT258" s="16">
        <v>-9999</v>
      </c>
      <c r="CU258" s="16">
        <v>-9999</v>
      </c>
      <c r="CV258" s="16">
        <v>-9999</v>
      </c>
      <c r="CW258" s="16">
        <v>-9999</v>
      </c>
      <c r="CX258" s="16">
        <v>-9999</v>
      </c>
      <c r="CY258" s="16">
        <v>-9999</v>
      </c>
      <c r="CZ258" s="16">
        <v>-9999</v>
      </c>
      <c r="DA258" s="16">
        <v>49.486635125703735</v>
      </c>
      <c r="DB258" s="16">
        <v>-9999</v>
      </c>
      <c r="DC258" s="16">
        <v>-9999</v>
      </c>
      <c r="DD258" s="16">
        <v>-9999</v>
      </c>
      <c r="DE258" s="16">
        <v>-9999</v>
      </c>
      <c r="DF258" s="16">
        <v>-9999</v>
      </c>
      <c r="DG258" s="16">
        <v>-9999</v>
      </c>
      <c r="DH258" s="16">
        <v>-9999</v>
      </c>
      <c r="DI258" s="16">
        <v>-9999</v>
      </c>
      <c r="DJ258" s="16">
        <v>-9999</v>
      </c>
      <c r="DK258" s="16">
        <v>-9999</v>
      </c>
      <c r="DL258" s="16">
        <v>-9999</v>
      </c>
      <c r="DM258" s="16">
        <v>-9999</v>
      </c>
      <c r="DN258" s="16">
        <v>49.486635125703735</v>
      </c>
      <c r="DO258" s="16">
        <v>-9999</v>
      </c>
      <c r="DP258" s="16">
        <v>-9999</v>
      </c>
      <c r="DQ258" s="16">
        <v>-9999</v>
      </c>
      <c r="DR258" s="16">
        <v>-9999</v>
      </c>
      <c r="DS258" s="16">
        <v>-9999</v>
      </c>
      <c r="DT258" s="16">
        <v>-9999</v>
      </c>
      <c r="DU258" s="16">
        <v>-9999</v>
      </c>
      <c r="DV258" s="16">
        <v>-9999</v>
      </c>
      <c r="DW258" s="16">
        <v>-9999</v>
      </c>
      <c r="DX258" s="16">
        <v>-9999</v>
      </c>
      <c r="DY258" s="16">
        <v>-9999</v>
      </c>
      <c r="DZ258" s="16">
        <v>-9999</v>
      </c>
      <c r="EA258" s="2256">
        <v>49.486635125703735</v>
      </c>
      <c r="EB258" s="2257">
        <v>-9999</v>
      </c>
      <c r="EC258" s="2257">
        <v>-9999</v>
      </c>
      <c r="ED258" s="2257">
        <v>-9999</v>
      </c>
      <c r="EE258" s="2257">
        <v>-9999</v>
      </c>
      <c r="EF258" s="2257">
        <v>-9999</v>
      </c>
      <c r="EG258" s="2257">
        <v>-9999</v>
      </c>
      <c r="EH258" s="2257">
        <v>-9999</v>
      </c>
      <c r="EI258" s="2257">
        <v>-9999</v>
      </c>
      <c r="EJ258" s="2257">
        <v>-9999</v>
      </c>
      <c r="EK258" s="2257">
        <v>-9999</v>
      </c>
      <c r="EL258" s="2257">
        <v>-9999</v>
      </c>
      <c r="EM258" s="2257">
        <v>-9999</v>
      </c>
    </row>
    <row r="259" spans="1:143" ht="13.15">
      <c r="A259" s="22">
        <v>159</v>
      </c>
      <c r="B259" s="33" t="s">
        <v>1635</v>
      </c>
      <c r="C259" s="1080">
        <f ca="1">+OFFSET(Sector1!G245,0,Last_forecast_year - 1998)*100</f>
        <v>18.474482378138173</v>
      </c>
      <c r="D259" s="25">
        <v>-9999</v>
      </c>
      <c r="E259" s="25">
        <v>-9999</v>
      </c>
      <c r="F259" s="25">
        <v>-9999</v>
      </c>
      <c r="G259" s="25">
        <v>-9999</v>
      </c>
      <c r="H259" s="25">
        <v>-9999</v>
      </c>
      <c r="I259" s="25">
        <v>-9999</v>
      </c>
      <c r="J259" s="25">
        <v>-9999</v>
      </c>
      <c r="K259" s="25">
        <v>-9999</v>
      </c>
      <c r="L259" s="25">
        <v>-9999</v>
      </c>
      <c r="M259" s="25">
        <v>-9999</v>
      </c>
      <c r="N259" s="25">
        <v>-9999</v>
      </c>
      <c r="O259" s="25">
        <v>-9999</v>
      </c>
      <c r="P259" s="26"/>
      <c r="Q259"/>
      <c r="AA259" s="22">
        <v>159</v>
      </c>
      <c r="AB259" s="1080" t="str">
        <f t="shared" si="30"/>
        <v xml:space="preserve">TAX RATE DIRECT TAXES PAST 4-Y AVG (col 1) </v>
      </c>
      <c r="AC259" s="1080">
        <f>CHOOSE(Tables!$U$2,Transfer!CA259,Transfer!CN259,Transfer!DA259,Transfer!DN259,Transfer!EA259)</f>
        <v>18.17666902483003</v>
      </c>
      <c r="AD259" s="1080">
        <f>CHOOSE(Tables!$U$2,Transfer!CB259,Transfer!CO259,Transfer!DB259,Transfer!DO259,Transfer!EB259)</f>
        <v>-9999</v>
      </c>
      <c r="AE259" s="1080">
        <f>CHOOSE(Tables!$U$2,Transfer!CC259,Transfer!CP259,Transfer!DC259,Transfer!DP259,Transfer!EC259)</f>
        <v>-9999</v>
      </c>
      <c r="AF259" s="1080">
        <f>CHOOSE(Tables!$U$2,Transfer!CD259,Transfer!CQ259,Transfer!DD259,Transfer!DQ259,Transfer!ED259)</f>
        <v>-9999</v>
      </c>
      <c r="AG259" s="1080">
        <f>CHOOSE(Tables!$U$2,Transfer!CE259,Transfer!CR259,Transfer!DE259,Transfer!DR259,Transfer!EE259)</f>
        <v>-9999</v>
      </c>
      <c r="AH259" s="1080">
        <f>CHOOSE(Tables!$U$2,Transfer!CF259,Transfer!CS259,Transfer!DF259,Transfer!DS259,Transfer!EF259)</f>
        <v>-9999</v>
      </c>
      <c r="AI259" s="1080">
        <f>CHOOSE(Tables!$U$2,Transfer!CG259,Transfer!CT259,Transfer!DG259,Transfer!DT259,Transfer!EG259)</f>
        <v>-9999</v>
      </c>
      <c r="AJ259" s="1080">
        <f>CHOOSE(Tables!$U$2,Transfer!CH259,Transfer!CU259,Transfer!DH259,Transfer!DU259,Transfer!EH259)</f>
        <v>-9999</v>
      </c>
      <c r="AK259" s="1080">
        <f>CHOOSE(Tables!$U$2,Transfer!CI259,Transfer!CV259,Transfer!DI259,Transfer!DV259,Transfer!EI259)</f>
        <v>-9999</v>
      </c>
      <c r="AL259" s="1080">
        <f>CHOOSE(Tables!$U$2,Transfer!CJ259,Transfer!CW259,Transfer!DJ259,Transfer!DW259,Transfer!EJ259)</f>
        <v>-9999</v>
      </c>
      <c r="AM259" s="1080">
        <f>CHOOSE(Tables!$U$2,Transfer!CK259,Transfer!CX259,Transfer!DK259,Transfer!DX259,Transfer!EK259)</f>
        <v>-9999</v>
      </c>
      <c r="AN259" s="1080">
        <f>CHOOSE(Tables!$U$2,Transfer!CL259,Transfer!CY259,Transfer!DL259,Transfer!DY259,Transfer!EL259)</f>
        <v>-9999</v>
      </c>
      <c r="AO259" s="1080">
        <f>CHOOSE(Tables!$U$2,Transfer!CM259,Transfer!CZ259,Transfer!DM259,Transfer!DZ259,Transfer!EM259)</f>
        <v>-9999</v>
      </c>
      <c r="AR259" s="22">
        <v>159</v>
      </c>
      <c r="AS259" s="33" t="s">
        <v>1635</v>
      </c>
      <c r="AT259" s="1080">
        <f t="shared" ca="1" si="42"/>
        <v>0.29781335330814329</v>
      </c>
      <c r="AU259" s="25">
        <f t="shared" si="42"/>
        <v>0</v>
      </c>
      <c r="AV259" s="25">
        <f t="shared" si="42"/>
        <v>0</v>
      </c>
      <c r="AW259" s="25">
        <f t="shared" si="41"/>
        <v>0</v>
      </c>
      <c r="AX259" s="25">
        <f t="shared" si="41"/>
        <v>0</v>
      </c>
      <c r="AY259" s="25">
        <f t="shared" si="41"/>
        <v>0</v>
      </c>
      <c r="AZ259" s="25">
        <f t="shared" si="41"/>
        <v>0</v>
      </c>
      <c r="BA259" s="25">
        <f t="shared" si="41"/>
        <v>0</v>
      </c>
      <c r="BB259" s="25">
        <f t="shared" si="41"/>
        <v>0</v>
      </c>
      <c r="BC259" s="25">
        <f t="shared" si="41"/>
        <v>0</v>
      </c>
      <c r="BD259" s="25">
        <f t="shared" si="41"/>
        <v>0</v>
      </c>
      <c r="BE259" s="25">
        <f t="shared" si="41"/>
        <v>0</v>
      </c>
      <c r="BF259" s="25">
        <f t="shared" si="20"/>
        <v>0</v>
      </c>
      <c r="CA259" s="16">
        <v>18.474482378138173</v>
      </c>
      <c r="CB259" s="16">
        <v>-9999</v>
      </c>
      <c r="CC259" s="16">
        <v>-9999</v>
      </c>
      <c r="CD259" s="16">
        <v>-9999</v>
      </c>
      <c r="CE259" s="16">
        <v>-9999</v>
      </c>
      <c r="CF259" s="16">
        <v>-9999</v>
      </c>
      <c r="CG259" s="16">
        <v>-9999</v>
      </c>
      <c r="CH259" s="16">
        <v>-9999</v>
      </c>
      <c r="CI259" s="16">
        <v>-9999</v>
      </c>
      <c r="CJ259" s="16">
        <v>-9999</v>
      </c>
      <c r="CK259" s="16">
        <v>-9999</v>
      </c>
      <c r="CL259" s="16">
        <v>-9999</v>
      </c>
      <c r="CM259" s="16">
        <v>-9999</v>
      </c>
      <c r="CN259" s="16">
        <v>18.17666902483003</v>
      </c>
      <c r="CO259" s="16">
        <v>-9999</v>
      </c>
      <c r="CP259" s="16">
        <v>-9999</v>
      </c>
      <c r="CQ259" s="16">
        <v>-9999</v>
      </c>
      <c r="CR259" s="16">
        <v>-9999</v>
      </c>
      <c r="CS259" s="16">
        <v>-9999</v>
      </c>
      <c r="CT259" s="16">
        <v>-9999</v>
      </c>
      <c r="CU259" s="16">
        <v>-9999</v>
      </c>
      <c r="CV259" s="16">
        <v>-9999</v>
      </c>
      <c r="CW259" s="16">
        <v>-9999</v>
      </c>
      <c r="CX259" s="16">
        <v>-9999</v>
      </c>
      <c r="CY259" s="16">
        <v>-9999</v>
      </c>
      <c r="CZ259" s="16">
        <v>-9999</v>
      </c>
      <c r="DA259" s="16">
        <v>18.474482378138173</v>
      </c>
      <c r="DB259" s="16">
        <v>-9999</v>
      </c>
      <c r="DC259" s="16">
        <v>-9999</v>
      </c>
      <c r="DD259" s="16">
        <v>-9999</v>
      </c>
      <c r="DE259" s="16">
        <v>-9999</v>
      </c>
      <c r="DF259" s="16">
        <v>-9999</v>
      </c>
      <c r="DG259" s="16">
        <v>-9999</v>
      </c>
      <c r="DH259" s="16">
        <v>-9999</v>
      </c>
      <c r="DI259" s="16">
        <v>-9999</v>
      </c>
      <c r="DJ259" s="16">
        <v>-9999</v>
      </c>
      <c r="DK259" s="16">
        <v>-9999</v>
      </c>
      <c r="DL259" s="16">
        <v>-9999</v>
      </c>
      <c r="DM259" s="16">
        <v>-9999</v>
      </c>
      <c r="DN259" s="16">
        <v>18.474482378138173</v>
      </c>
      <c r="DO259" s="16">
        <v>-9999</v>
      </c>
      <c r="DP259" s="16">
        <v>-9999</v>
      </c>
      <c r="DQ259" s="16">
        <v>-9999</v>
      </c>
      <c r="DR259" s="16">
        <v>-9999</v>
      </c>
      <c r="DS259" s="16">
        <v>-9999</v>
      </c>
      <c r="DT259" s="16">
        <v>-9999</v>
      </c>
      <c r="DU259" s="16">
        <v>-9999</v>
      </c>
      <c r="DV259" s="16">
        <v>-9999</v>
      </c>
      <c r="DW259" s="16">
        <v>-9999</v>
      </c>
      <c r="DX259" s="16">
        <v>-9999</v>
      </c>
      <c r="DY259" s="16">
        <v>-9999</v>
      </c>
      <c r="DZ259" s="16">
        <v>-9999</v>
      </c>
      <c r="EA259" s="2256">
        <v>18.474482378138173</v>
      </c>
      <c r="EB259" s="2257">
        <v>-9999</v>
      </c>
      <c r="EC259" s="2257">
        <v>-9999</v>
      </c>
      <c r="ED259" s="2257">
        <v>-9999</v>
      </c>
      <c r="EE259" s="2257">
        <v>-9999</v>
      </c>
      <c r="EF259" s="2257">
        <v>-9999</v>
      </c>
      <c r="EG259" s="2257">
        <v>-9999</v>
      </c>
      <c r="EH259" s="2257">
        <v>-9999</v>
      </c>
      <c r="EI259" s="2257">
        <v>-9999</v>
      </c>
      <c r="EJ259" s="2257">
        <v>-9999</v>
      </c>
      <c r="EK259" s="2257">
        <v>-9999</v>
      </c>
      <c r="EL259" s="2257">
        <v>-9999</v>
      </c>
      <c r="EM259" s="2257">
        <v>-9999</v>
      </c>
    </row>
    <row r="260" spans="1:143" ht="13.15">
      <c r="A260" s="22">
        <v>160</v>
      </c>
      <c r="B260" s="33" t="s">
        <v>1636</v>
      </c>
      <c r="C260" s="1080">
        <f ca="1">+OFFSET(Sector1!G290,0,Last_forecast_year - 1998)*100</f>
        <v>7.0611507842217787</v>
      </c>
      <c r="D260" s="25">
        <v>-9999</v>
      </c>
      <c r="E260" s="25">
        <v>-9999</v>
      </c>
      <c r="F260" s="25">
        <v>-9999</v>
      </c>
      <c r="G260" s="25">
        <v>-9999</v>
      </c>
      <c r="H260" s="25">
        <v>-9999</v>
      </c>
      <c r="I260" s="25">
        <v>-9999</v>
      </c>
      <c r="J260" s="25">
        <v>-9999</v>
      </c>
      <c r="K260" s="25">
        <v>-9999</v>
      </c>
      <c r="L260" s="25">
        <v>-9999</v>
      </c>
      <c r="M260" s="25">
        <v>-9999</v>
      </c>
      <c r="N260" s="25">
        <v>-9999</v>
      </c>
      <c r="O260" s="25">
        <v>-9999</v>
      </c>
      <c r="P260" s="26"/>
      <c r="Q260"/>
      <c r="AA260" s="22">
        <v>160</v>
      </c>
      <c r="AB260" s="1080" t="str">
        <f t="shared" si="30"/>
        <v>TAX RATE SOCIAL CONTR. PAST 4-Y AVG (col 1)</v>
      </c>
      <c r="AC260" s="1080">
        <f>CHOOSE(Tables!$U$2,Transfer!CA260,Transfer!CN260,Transfer!DA260,Transfer!DN260,Transfer!EA260)</f>
        <v>7.0511582533608177</v>
      </c>
      <c r="AD260" s="1080">
        <f>CHOOSE(Tables!$U$2,Transfer!CB260,Transfer!CO260,Transfer!DB260,Transfer!DO260,Transfer!EB260)</f>
        <v>-9999</v>
      </c>
      <c r="AE260" s="1080">
        <f>CHOOSE(Tables!$U$2,Transfer!CC260,Transfer!CP260,Transfer!DC260,Transfer!DP260,Transfer!EC260)</f>
        <v>-9999</v>
      </c>
      <c r="AF260" s="1080">
        <f>CHOOSE(Tables!$U$2,Transfer!CD260,Transfer!CQ260,Transfer!DD260,Transfer!DQ260,Transfer!ED260)</f>
        <v>-9999</v>
      </c>
      <c r="AG260" s="1080">
        <f>CHOOSE(Tables!$U$2,Transfer!CE260,Transfer!CR260,Transfer!DE260,Transfer!DR260,Transfer!EE260)</f>
        <v>-9999</v>
      </c>
      <c r="AH260" s="1080">
        <f>CHOOSE(Tables!$U$2,Transfer!CF260,Transfer!CS260,Transfer!DF260,Transfer!DS260,Transfer!EF260)</f>
        <v>-9999</v>
      </c>
      <c r="AI260" s="1080">
        <f>CHOOSE(Tables!$U$2,Transfer!CG260,Transfer!CT260,Transfer!DG260,Transfer!DT260,Transfer!EG260)</f>
        <v>-9999</v>
      </c>
      <c r="AJ260" s="1080">
        <f>CHOOSE(Tables!$U$2,Transfer!CH260,Transfer!CU260,Transfer!DH260,Transfer!DU260,Transfer!EH260)</f>
        <v>-9999</v>
      </c>
      <c r="AK260" s="1080">
        <f>CHOOSE(Tables!$U$2,Transfer!CI260,Transfer!CV260,Transfer!DI260,Transfer!DV260,Transfer!EI260)</f>
        <v>-9999</v>
      </c>
      <c r="AL260" s="1080">
        <f>CHOOSE(Tables!$U$2,Transfer!CJ260,Transfer!CW260,Transfer!DJ260,Transfer!DW260,Transfer!EJ260)</f>
        <v>-9999</v>
      </c>
      <c r="AM260" s="1080">
        <f>CHOOSE(Tables!$U$2,Transfer!CK260,Transfer!CX260,Transfer!DK260,Transfer!DX260,Transfer!EK260)</f>
        <v>-9999</v>
      </c>
      <c r="AN260" s="1080">
        <f>CHOOSE(Tables!$U$2,Transfer!CL260,Transfer!CY260,Transfer!DL260,Transfer!DY260,Transfer!EL260)</f>
        <v>-9999</v>
      </c>
      <c r="AO260" s="1080">
        <f>CHOOSE(Tables!$U$2,Transfer!CM260,Transfer!CZ260,Transfer!DM260,Transfer!DZ260,Transfer!EM260)</f>
        <v>-9999</v>
      </c>
      <c r="AR260" s="22">
        <v>160</v>
      </c>
      <c r="AS260" s="33" t="s">
        <v>1636</v>
      </c>
      <c r="AT260" s="1080">
        <f t="shared" ca="1" si="42"/>
        <v>9.9925308609609687E-3</v>
      </c>
      <c r="AU260" s="25">
        <f t="shared" si="42"/>
        <v>0</v>
      </c>
      <c r="AV260" s="25">
        <f t="shared" si="42"/>
        <v>0</v>
      </c>
      <c r="AW260" s="25">
        <f t="shared" si="41"/>
        <v>0</v>
      </c>
      <c r="AX260" s="25">
        <f t="shared" si="41"/>
        <v>0</v>
      </c>
      <c r="AY260" s="25">
        <f t="shared" si="41"/>
        <v>0</v>
      </c>
      <c r="AZ260" s="25">
        <f t="shared" si="41"/>
        <v>0</v>
      </c>
      <c r="BA260" s="25">
        <f t="shared" si="41"/>
        <v>0</v>
      </c>
      <c r="BB260" s="25">
        <f t="shared" si="41"/>
        <v>0</v>
      </c>
      <c r="BC260" s="25">
        <f t="shared" si="41"/>
        <v>0</v>
      </c>
      <c r="BD260" s="25">
        <f t="shared" si="41"/>
        <v>0</v>
      </c>
      <c r="BE260" s="25">
        <f t="shared" si="41"/>
        <v>0</v>
      </c>
      <c r="BF260" s="25">
        <f t="shared" si="20"/>
        <v>0</v>
      </c>
      <c r="CA260" s="16">
        <v>7.0611507842217787</v>
      </c>
      <c r="CB260" s="16">
        <v>-9999</v>
      </c>
      <c r="CC260" s="16">
        <v>-9999</v>
      </c>
      <c r="CD260" s="16">
        <v>-9999</v>
      </c>
      <c r="CE260" s="16">
        <v>-9999</v>
      </c>
      <c r="CF260" s="16">
        <v>-9999</v>
      </c>
      <c r="CG260" s="16">
        <v>-9999</v>
      </c>
      <c r="CH260" s="16">
        <v>-9999</v>
      </c>
      <c r="CI260" s="16">
        <v>-9999</v>
      </c>
      <c r="CJ260" s="16">
        <v>-9999</v>
      </c>
      <c r="CK260" s="16">
        <v>-9999</v>
      </c>
      <c r="CL260" s="16">
        <v>-9999</v>
      </c>
      <c r="CM260" s="16">
        <v>-9999</v>
      </c>
      <c r="CN260" s="16">
        <v>7.0511582533608177</v>
      </c>
      <c r="CO260" s="16">
        <v>-9999</v>
      </c>
      <c r="CP260" s="16">
        <v>-9999</v>
      </c>
      <c r="CQ260" s="16">
        <v>-9999</v>
      </c>
      <c r="CR260" s="16">
        <v>-9999</v>
      </c>
      <c r="CS260" s="16">
        <v>-9999</v>
      </c>
      <c r="CT260" s="16">
        <v>-9999</v>
      </c>
      <c r="CU260" s="16">
        <v>-9999</v>
      </c>
      <c r="CV260" s="16">
        <v>-9999</v>
      </c>
      <c r="CW260" s="16">
        <v>-9999</v>
      </c>
      <c r="CX260" s="16">
        <v>-9999</v>
      </c>
      <c r="CY260" s="16">
        <v>-9999</v>
      </c>
      <c r="CZ260" s="16">
        <v>-9999</v>
      </c>
      <c r="DA260" s="16">
        <v>7.0611507842217787</v>
      </c>
      <c r="DB260" s="16">
        <v>-9999</v>
      </c>
      <c r="DC260" s="16">
        <v>-9999</v>
      </c>
      <c r="DD260" s="16">
        <v>-9999</v>
      </c>
      <c r="DE260" s="16">
        <v>-9999</v>
      </c>
      <c r="DF260" s="16">
        <v>-9999</v>
      </c>
      <c r="DG260" s="16">
        <v>-9999</v>
      </c>
      <c r="DH260" s="16">
        <v>-9999</v>
      </c>
      <c r="DI260" s="16">
        <v>-9999</v>
      </c>
      <c r="DJ260" s="16">
        <v>-9999</v>
      </c>
      <c r="DK260" s="16">
        <v>-9999</v>
      </c>
      <c r="DL260" s="16">
        <v>-9999</v>
      </c>
      <c r="DM260" s="16">
        <v>-9999</v>
      </c>
      <c r="DN260" s="16">
        <v>7.0611507842217787</v>
      </c>
      <c r="DO260" s="16">
        <v>-9999</v>
      </c>
      <c r="DP260" s="16">
        <v>-9999</v>
      </c>
      <c r="DQ260" s="16">
        <v>-9999</v>
      </c>
      <c r="DR260" s="16">
        <v>-9999</v>
      </c>
      <c r="DS260" s="16">
        <v>-9999</v>
      </c>
      <c r="DT260" s="16">
        <v>-9999</v>
      </c>
      <c r="DU260" s="16">
        <v>-9999</v>
      </c>
      <c r="DV260" s="16">
        <v>-9999</v>
      </c>
      <c r="DW260" s="16">
        <v>-9999</v>
      </c>
      <c r="DX260" s="16">
        <v>-9999</v>
      </c>
      <c r="DY260" s="16">
        <v>-9999</v>
      </c>
      <c r="DZ260" s="16">
        <v>-9999</v>
      </c>
      <c r="EA260" s="2256">
        <v>7.0611507842217787</v>
      </c>
      <c r="EB260" s="2257">
        <v>-9999</v>
      </c>
      <c r="EC260" s="2257">
        <v>-9999</v>
      </c>
      <c r="ED260" s="2257">
        <v>-9999</v>
      </c>
      <c r="EE260" s="2257">
        <v>-9999</v>
      </c>
      <c r="EF260" s="2257">
        <v>-9999</v>
      </c>
      <c r="EG260" s="2257">
        <v>-9999</v>
      </c>
      <c r="EH260" s="2257">
        <v>-9999</v>
      </c>
      <c r="EI260" s="2257">
        <v>-9999</v>
      </c>
      <c r="EJ260" s="2257">
        <v>-9999</v>
      </c>
      <c r="EK260" s="2257">
        <v>-9999</v>
      </c>
      <c r="EL260" s="2257">
        <v>-9999</v>
      </c>
      <c r="EM260" s="2257">
        <v>-9999</v>
      </c>
    </row>
    <row r="261" spans="1:143" ht="13.15">
      <c r="A261" s="1967">
        <v>161</v>
      </c>
      <c r="B261" s="33" t="s">
        <v>1091</v>
      </c>
      <c r="C261" s="35">
        <f ca="1">OFFSET('VVP2'!F371,0,Last_forecast_year - 3-InputY!$G$3)</f>
        <v>286.07</v>
      </c>
      <c r="D261" s="35">
        <f ca="1">OFFSET('VVP2'!G371,0,Last_forecast_year - 3-InputY!$G$3)</f>
        <v>291.72000000000003</v>
      </c>
      <c r="E261" s="35">
        <f ca="1">OFFSET('VVP2'!H371,0,Last_forecast_year - 3-InputY!$G$3)</f>
        <v>290.10000000000002</v>
      </c>
      <c r="F261" s="35">
        <f ca="1">OFFSET('VVP2'!I371,0,Last_forecast_year - 3-InputY!$G$3)</f>
        <v>290.10000000000002</v>
      </c>
      <c r="G261" s="35">
        <f ca="1">OFFSET('VVP2'!J371,0,Last_forecast_year - 3-InputY!$G$3)</f>
        <v>290.10000000000002</v>
      </c>
      <c r="H261" s="25">
        <v>-9999</v>
      </c>
      <c r="I261" s="25">
        <v>-9999</v>
      </c>
      <c r="J261" s="25">
        <v>-9999</v>
      </c>
      <c r="K261" s="25">
        <v>-9999</v>
      </c>
      <c r="L261" s="25">
        <v>-9999</v>
      </c>
      <c r="M261" s="25">
        <v>-9999</v>
      </c>
      <c r="N261" s="25">
        <v>-9999</v>
      </c>
      <c r="O261" s="25">
        <v>-9999</v>
      </c>
      <c r="P261" s="26"/>
      <c r="Q261"/>
      <c r="AA261" s="22">
        <v>161</v>
      </c>
      <c r="AB261" s="1080" t="str">
        <f t="shared" si="30"/>
        <v>HICP Y WEIGHT NON-ENERGY INDUSTRIAL GOODS</v>
      </c>
      <c r="AC261" s="1080">
        <f>CHOOSE(Tables!$U$2,Transfer!CA261,Transfer!CN261,Transfer!DA261,Transfer!DN261,Transfer!EA261)</f>
        <v>276.72000000000003</v>
      </c>
      <c r="AD261" s="1080">
        <f>CHOOSE(Tables!$U$2,Transfer!CB261,Transfer!CO261,Transfer!DB261,Transfer!DO261,Transfer!EB261)</f>
        <v>286.07</v>
      </c>
      <c r="AE261" s="1080">
        <f>CHOOSE(Tables!$U$2,Transfer!CC261,Transfer!CP261,Transfer!DC261,Transfer!DP261,Transfer!EC261)</f>
        <v>291.72000000000003</v>
      </c>
      <c r="AF261" s="1080">
        <f>CHOOSE(Tables!$U$2,Transfer!CD261,Transfer!CQ261,Transfer!DD261,Transfer!DQ261,Transfer!ED261)</f>
        <v>290.10000000000002</v>
      </c>
      <c r="AG261" s="1080">
        <f>CHOOSE(Tables!$U$2,Transfer!CE261,Transfer!CR261,Transfer!DE261,Transfer!DR261,Transfer!EE261)</f>
        <v>290.10000000000002</v>
      </c>
      <c r="AH261" s="1080">
        <f>CHOOSE(Tables!$U$2,Transfer!CF261,Transfer!CS261,Transfer!DF261,Transfer!DS261,Transfer!EF261)</f>
        <v>-9999</v>
      </c>
      <c r="AI261" s="1080">
        <f>CHOOSE(Tables!$U$2,Transfer!CG261,Transfer!CT261,Transfer!DG261,Transfer!DT261,Transfer!EG261)</f>
        <v>-9999</v>
      </c>
      <c r="AJ261" s="1080">
        <f>CHOOSE(Tables!$U$2,Transfer!CH261,Transfer!CU261,Transfer!DH261,Transfer!DU261,Transfer!EH261)</f>
        <v>-9999</v>
      </c>
      <c r="AK261" s="1080">
        <f>CHOOSE(Tables!$U$2,Transfer!CI261,Transfer!CV261,Transfer!DI261,Transfer!DV261,Transfer!EI261)</f>
        <v>-9999</v>
      </c>
      <c r="AL261" s="1080">
        <f>CHOOSE(Tables!$U$2,Transfer!CJ261,Transfer!CW261,Transfer!DJ261,Transfer!DW261,Transfer!EJ261)</f>
        <v>-9999</v>
      </c>
      <c r="AM261" s="1080">
        <f>CHOOSE(Tables!$U$2,Transfer!CK261,Transfer!CX261,Transfer!DK261,Transfer!DX261,Transfer!EK261)</f>
        <v>-9999</v>
      </c>
      <c r="AN261" s="1080">
        <f>CHOOSE(Tables!$U$2,Transfer!CL261,Transfer!CY261,Transfer!DL261,Transfer!DY261,Transfer!EL261)</f>
        <v>-9999</v>
      </c>
      <c r="AO261" s="1080">
        <f>CHOOSE(Tables!$U$2,Transfer!CM261,Transfer!CZ261,Transfer!DM261,Transfer!DZ261,Transfer!EM261)</f>
        <v>-9999</v>
      </c>
      <c r="AR261" s="22">
        <v>161</v>
      </c>
      <c r="AS261" s="37" t="s">
        <v>973</v>
      </c>
      <c r="AT261" s="25">
        <f t="shared" ca="1" si="42"/>
        <v>9.3499999999999659</v>
      </c>
      <c r="AU261" s="25">
        <f t="shared" ca="1" si="42"/>
        <v>5.6500000000000341</v>
      </c>
      <c r="AV261" s="25">
        <f t="shared" ca="1" si="42"/>
        <v>-1.6200000000000045</v>
      </c>
      <c r="AW261" s="25">
        <f t="shared" ca="1" si="41"/>
        <v>0</v>
      </c>
      <c r="AX261" s="25">
        <f t="shared" ca="1" si="41"/>
        <v>0</v>
      </c>
      <c r="AY261" s="25">
        <f t="shared" si="41"/>
        <v>0</v>
      </c>
      <c r="AZ261" s="25">
        <f t="shared" si="41"/>
        <v>0</v>
      </c>
      <c r="BA261" s="25">
        <f t="shared" si="41"/>
        <v>0</v>
      </c>
      <c r="BB261" s="25">
        <f t="shared" si="41"/>
        <v>0</v>
      </c>
      <c r="BC261" s="25">
        <f t="shared" si="41"/>
        <v>0</v>
      </c>
      <c r="BD261" s="25">
        <f t="shared" si="41"/>
        <v>0</v>
      </c>
      <c r="BE261" s="25">
        <f t="shared" si="41"/>
        <v>0</v>
      </c>
      <c r="BF261" s="25">
        <f t="shared" si="20"/>
        <v>0</v>
      </c>
      <c r="CA261" s="16">
        <v>286.07</v>
      </c>
      <c r="CB261" s="16">
        <v>291.72000000000003</v>
      </c>
      <c r="CC261" s="16">
        <v>290.10000000000002</v>
      </c>
      <c r="CD261" s="16">
        <v>290.10000000000002</v>
      </c>
      <c r="CE261" s="16">
        <v>290.10000000000002</v>
      </c>
      <c r="CF261" s="16">
        <v>-9999</v>
      </c>
      <c r="CG261" s="16">
        <v>-9999</v>
      </c>
      <c r="CH261" s="16">
        <v>-9999</v>
      </c>
      <c r="CI261" s="16">
        <v>-9999</v>
      </c>
      <c r="CJ261" s="16">
        <v>-9999</v>
      </c>
      <c r="CK261" s="16">
        <v>-9999</v>
      </c>
      <c r="CL261" s="16">
        <v>-9999</v>
      </c>
      <c r="CM261" s="16">
        <v>-9999</v>
      </c>
      <c r="CN261" s="16">
        <v>276.72000000000003</v>
      </c>
      <c r="CO261" s="16">
        <v>286.07</v>
      </c>
      <c r="CP261" s="16">
        <v>291.72000000000003</v>
      </c>
      <c r="CQ261" s="16">
        <v>290.10000000000002</v>
      </c>
      <c r="CR261" s="16">
        <v>290.10000000000002</v>
      </c>
      <c r="CS261" s="16">
        <v>-9999</v>
      </c>
      <c r="CT261" s="16">
        <v>-9999</v>
      </c>
      <c r="CU261" s="16">
        <v>-9999</v>
      </c>
      <c r="CV261" s="16">
        <v>-9999</v>
      </c>
      <c r="CW261" s="16">
        <v>-9999</v>
      </c>
      <c r="CX261" s="16">
        <v>-9999</v>
      </c>
      <c r="CY261" s="16">
        <v>-9999</v>
      </c>
      <c r="CZ261" s="16">
        <v>-9999</v>
      </c>
      <c r="DA261" s="16">
        <v>286.07</v>
      </c>
      <c r="DB261" s="16">
        <v>291.72000000000003</v>
      </c>
      <c r="DC261" s="16">
        <v>290.10000000000002</v>
      </c>
      <c r="DD261" s="16">
        <v>290.10000000000002</v>
      </c>
      <c r="DE261" s="16">
        <v>290.10000000000002</v>
      </c>
      <c r="DF261" s="16">
        <v>-9999</v>
      </c>
      <c r="DG261" s="16">
        <v>-9999</v>
      </c>
      <c r="DH261" s="16">
        <v>-9999</v>
      </c>
      <c r="DI261" s="16">
        <v>-9999</v>
      </c>
      <c r="DJ261" s="16">
        <v>-9999</v>
      </c>
      <c r="DK261" s="16">
        <v>-9999</v>
      </c>
      <c r="DL261" s="16">
        <v>-9999</v>
      </c>
      <c r="DM261" s="16">
        <v>-9999</v>
      </c>
      <c r="DN261" s="16">
        <v>286.07</v>
      </c>
      <c r="DO261" s="16">
        <v>291.72000000000003</v>
      </c>
      <c r="DP261" s="16">
        <v>290.10000000000002</v>
      </c>
      <c r="DQ261" s="16">
        <v>290.10000000000002</v>
      </c>
      <c r="DR261" s="16">
        <v>290.10000000000002</v>
      </c>
      <c r="DS261" s="16">
        <v>-9999</v>
      </c>
      <c r="DT261" s="16">
        <v>-9999</v>
      </c>
      <c r="DU261" s="16">
        <v>-9999</v>
      </c>
      <c r="DV261" s="16">
        <v>-9999</v>
      </c>
      <c r="DW261" s="16">
        <v>-9999</v>
      </c>
      <c r="DX261" s="16">
        <v>-9999</v>
      </c>
      <c r="DY261" s="16">
        <v>-9999</v>
      </c>
      <c r="DZ261" s="16">
        <v>-9999</v>
      </c>
      <c r="EA261" s="2257">
        <v>286.07</v>
      </c>
      <c r="EB261" s="2257">
        <v>291.72000000000003</v>
      </c>
      <c r="EC261" s="2257">
        <v>290.10000000000002</v>
      </c>
      <c r="ED261" s="2257">
        <v>290.10000000000002</v>
      </c>
      <c r="EE261" s="2257">
        <v>290.10000000000002</v>
      </c>
      <c r="EF261" s="2257">
        <v>-9999</v>
      </c>
      <c r="EG261" s="2257">
        <v>-9999</v>
      </c>
      <c r="EH261" s="2257">
        <v>-9999</v>
      </c>
      <c r="EI261" s="2257">
        <v>-9999</v>
      </c>
      <c r="EJ261" s="2257">
        <v>-9999</v>
      </c>
      <c r="EK261" s="2257">
        <v>-9999</v>
      </c>
      <c r="EL261" s="2257">
        <v>-9999</v>
      </c>
      <c r="EM261" s="2257">
        <v>-9999</v>
      </c>
    </row>
    <row r="262" spans="1:143" ht="13.15">
      <c r="A262" s="1967">
        <v>162</v>
      </c>
      <c r="B262" s="33" t="s">
        <v>1092</v>
      </c>
      <c r="C262" s="35">
        <f ca="1">OFFSET('VVP2'!F372,0,Last_forecast_year - 3-InputY!$G$3)</f>
        <v>86.62</v>
      </c>
      <c r="D262" s="35">
        <f ca="1">OFFSET('VVP2'!G372,0,Last_forecast_year - 3-InputY!$G$3)</f>
        <v>88.08</v>
      </c>
      <c r="E262" s="35">
        <f ca="1">OFFSET('VVP2'!H372,0,Last_forecast_year - 3-InputY!$G$3)</f>
        <v>89.18</v>
      </c>
      <c r="F262" s="35">
        <f ca="1">OFFSET('VVP2'!I372,0,Last_forecast_year - 3-InputY!$G$3)</f>
        <v>89.18</v>
      </c>
      <c r="G262" s="35">
        <f ca="1">OFFSET('VVP2'!J372,0,Last_forecast_year - 3-InputY!$G$3)</f>
        <v>89.18</v>
      </c>
      <c r="H262" s="25">
        <v>-9999</v>
      </c>
      <c r="I262" s="25">
        <v>-9999</v>
      </c>
      <c r="J262" s="25">
        <v>-9999</v>
      </c>
      <c r="K262" s="25">
        <v>-9999</v>
      </c>
      <c r="L262" s="25">
        <v>-9999</v>
      </c>
      <c r="M262" s="25">
        <v>-9999</v>
      </c>
      <c r="N262" s="25">
        <v>-9999</v>
      </c>
      <c r="O262" s="25">
        <v>-9999</v>
      </c>
      <c r="P262" s="26"/>
      <c r="Q262"/>
      <c r="AA262" s="22">
        <v>162</v>
      </c>
      <c r="AB262" s="1080" t="str">
        <f t="shared" si="30"/>
        <v>HICP Y WEIGHT ENERGY</v>
      </c>
      <c r="AC262" s="1080">
        <f>CHOOSE(Tables!$U$2,Transfer!CA262,Transfer!CN262,Transfer!DA262,Transfer!DN262,Transfer!EA262)</f>
        <v>96.35</v>
      </c>
      <c r="AD262" s="1080">
        <f>CHOOSE(Tables!$U$2,Transfer!CB262,Transfer!CO262,Transfer!DB262,Transfer!DO262,Transfer!EB262)</f>
        <v>86.62</v>
      </c>
      <c r="AE262" s="1080">
        <f>CHOOSE(Tables!$U$2,Transfer!CC262,Transfer!CP262,Transfer!DC262,Transfer!DP262,Transfer!EC262)</f>
        <v>88.08</v>
      </c>
      <c r="AF262" s="1080">
        <f>CHOOSE(Tables!$U$2,Transfer!CD262,Transfer!CQ262,Transfer!DD262,Transfer!DQ262,Transfer!ED262)</f>
        <v>89.18</v>
      </c>
      <c r="AG262" s="1080">
        <f>CHOOSE(Tables!$U$2,Transfer!CE262,Transfer!CR262,Transfer!DE262,Transfer!DR262,Transfer!EE262)</f>
        <v>89.18</v>
      </c>
      <c r="AH262" s="1080">
        <f>CHOOSE(Tables!$U$2,Transfer!CF262,Transfer!CS262,Transfer!DF262,Transfer!DS262,Transfer!EF262)</f>
        <v>-9999</v>
      </c>
      <c r="AI262" s="1080">
        <f>CHOOSE(Tables!$U$2,Transfer!CG262,Transfer!CT262,Transfer!DG262,Transfer!DT262,Transfer!EG262)</f>
        <v>-9999</v>
      </c>
      <c r="AJ262" s="1080">
        <f>CHOOSE(Tables!$U$2,Transfer!CH262,Transfer!CU262,Transfer!DH262,Transfer!DU262,Transfer!EH262)</f>
        <v>-9999</v>
      </c>
      <c r="AK262" s="1080">
        <f>CHOOSE(Tables!$U$2,Transfer!CI262,Transfer!CV262,Transfer!DI262,Transfer!DV262,Transfer!EI262)</f>
        <v>-9999</v>
      </c>
      <c r="AL262" s="1080">
        <f>CHOOSE(Tables!$U$2,Transfer!CJ262,Transfer!CW262,Transfer!DJ262,Transfer!DW262,Transfer!EJ262)</f>
        <v>-9999</v>
      </c>
      <c r="AM262" s="1080">
        <f>CHOOSE(Tables!$U$2,Transfer!CK262,Transfer!CX262,Transfer!DK262,Transfer!DX262,Transfer!EK262)</f>
        <v>-9999</v>
      </c>
      <c r="AN262" s="1080">
        <f>CHOOSE(Tables!$U$2,Transfer!CL262,Transfer!CY262,Transfer!DL262,Transfer!DY262,Transfer!EL262)</f>
        <v>-9999</v>
      </c>
      <c r="AO262" s="1080">
        <f>CHOOSE(Tables!$U$2,Transfer!CM262,Transfer!CZ262,Transfer!DM262,Transfer!DZ262,Transfer!EM262)</f>
        <v>-9999</v>
      </c>
      <c r="AR262" s="22">
        <v>162</v>
      </c>
      <c r="AS262" s="33" t="s">
        <v>1637</v>
      </c>
      <c r="AT262" s="35">
        <f t="shared" ca="1" si="42"/>
        <v>-9.7299999999999898</v>
      </c>
      <c r="AU262" s="25">
        <f t="shared" ca="1" si="42"/>
        <v>1.4599999999999937</v>
      </c>
      <c r="AV262" s="25">
        <f t="shared" ca="1" si="42"/>
        <v>1.1000000000000085</v>
      </c>
      <c r="AW262" s="25">
        <f t="shared" ca="1" si="41"/>
        <v>0</v>
      </c>
      <c r="AX262" s="25">
        <f t="shared" ca="1" si="41"/>
        <v>0</v>
      </c>
      <c r="AY262" s="25">
        <f t="shared" si="41"/>
        <v>0</v>
      </c>
      <c r="AZ262" s="25">
        <f t="shared" si="41"/>
        <v>0</v>
      </c>
      <c r="BA262" s="25">
        <f t="shared" si="41"/>
        <v>0</v>
      </c>
      <c r="BB262" s="25">
        <f t="shared" si="41"/>
        <v>0</v>
      </c>
      <c r="BC262" s="25">
        <f t="shared" si="41"/>
        <v>0</v>
      </c>
      <c r="BD262" s="25">
        <f t="shared" si="41"/>
        <v>0</v>
      </c>
      <c r="BE262" s="25">
        <f t="shared" si="41"/>
        <v>0</v>
      </c>
      <c r="BF262" s="25">
        <f t="shared" si="20"/>
        <v>0</v>
      </c>
      <c r="CA262" s="16">
        <v>86.62</v>
      </c>
      <c r="CB262" s="16">
        <v>88.08</v>
      </c>
      <c r="CC262" s="16">
        <v>89.18</v>
      </c>
      <c r="CD262" s="16">
        <v>89.18</v>
      </c>
      <c r="CE262" s="16">
        <v>89.18</v>
      </c>
      <c r="CF262" s="16">
        <v>-9999</v>
      </c>
      <c r="CG262" s="16">
        <v>-9999</v>
      </c>
      <c r="CH262" s="16">
        <v>-9999</v>
      </c>
      <c r="CI262" s="16">
        <v>-9999</v>
      </c>
      <c r="CJ262" s="16">
        <v>-9999</v>
      </c>
      <c r="CK262" s="16">
        <v>-9999</v>
      </c>
      <c r="CL262" s="16">
        <v>-9999</v>
      </c>
      <c r="CM262" s="16">
        <v>-9999</v>
      </c>
      <c r="CN262" s="16">
        <v>96.35</v>
      </c>
      <c r="CO262" s="16">
        <v>86.62</v>
      </c>
      <c r="CP262" s="16">
        <v>88.08</v>
      </c>
      <c r="CQ262" s="16">
        <v>89.18</v>
      </c>
      <c r="CR262" s="16">
        <v>89.18</v>
      </c>
      <c r="CS262" s="16">
        <v>-9999</v>
      </c>
      <c r="CT262" s="16">
        <v>-9999</v>
      </c>
      <c r="CU262" s="16">
        <v>-9999</v>
      </c>
      <c r="CV262" s="16">
        <v>-9999</v>
      </c>
      <c r="CW262" s="16">
        <v>-9999</v>
      </c>
      <c r="CX262" s="16">
        <v>-9999</v>
      </c>
      <c r="CY262" s="16">
        <v>-9999</v>
      </c>
      <c r="CZ262" s="16">
        <v>-9999</v>
      </c>
      <c r="DA262" s="16">
        <v>86.62</v>
      </c>
      <c r="DB262" s="16">
        <v>88.08</v>
      </c>
      <c r="DC262" s="16">
        <v>89.18</v>
      </c>
      <c r="DD262" s="16">
        <v>89.18</v>
      </c>
      <c r="DE262" s="16">
        <v>89.18</v>
      </c>
      <c r="DF262" s="16">
        <v>-9999</v>
      </c>
      <c r="DG262" s="16">
        <v>-9999</v>
      </c>
      <c r="DH262" s="16">
        <v>-9999</v>
      </c>
      <c r="DI262" s="16">
        <v>-9999</v>
      </c>
      <c r="DJ262" s="16">
        <v>-9999</v>
      </c>
      <c r="DK262" s="16">
        <v>-9999</v>
      </c>
      <c r="DL262" s="16">
        <v>-9999</v>
      </c>
      <c r="DM262" s="16">
        <v>-9999</v>
      </c>
      <c r="DN262" s="16">
        <v>86.62</v>
      </c>
      <c r="DO262" s="16">
        <v>88.08</v>
      </c>
      <c r="DP262" s="16">
        <v>89.18</v>
      </c>
      <c r="DQ262" s="16">
        <v>89.18</v>
      </c>
      <c r="DR262" s="16">
        <v>89.18</v>
      </c>
      <c r="DS262" s="16">
        <v>-9999</v>
      </c>
      <c r="DT262" s="16">
        <v>-9999</v>
      </c>
      <c r="DU262" s="16">
        <v>-9999</v>
      </c>
      <c r="DV262" s="16">
        <v>-9999</v>
      </c>
      <c r="DW262" s="16">
        <v>-9999</v>
      </c>
      <c r="DX262" s="16">
        <v>-9999</v>
      </c>
      <c r="DY262" s="16">
        <v>-9999</v>
      </c>
      <c r="DZ262" s="16">
        <v>-9999</v>
      </c>
      <c r="EA262" s="2256">
        <v>86.62</v>
      </c>
      <c r="EB262" s="2257">
        <v>88.08</v>
      </c>
      <c r="EC262" s="2257">
        <v>89.18</v>
      </c>
      <c r="ED262" s="2257">
        <v>89.18</v>
      </c>
      <c r="EE262" s="2257">
        <v>89.18</v>
      </c>
      <c r="EF262" s="2257">
        <v>-9999</v>
      </c>
      <c r="EG262" s="2257">
        <v>-9999</v>
      </c>
      <c r="EH262" s="2257">
        <v>-9999</v>
      </c>
      <c r="EI262" s="2257">
        <v>-9999</v>
      </c>
      <c r="EJ262" s="2257">
        <v>-9999</v>
      </c>
      <c r="EK262" s="2257">
        <v>-9999</v>
      </c>
      <c r="EL262" s="2257">
        <v>-9999</v>
      </c>
      <c r="EM262" s="2257">
        <v>-9999</v>
      </c>
    </row>
    <row r="263" spans="1:143" ht="13.15">
      <c r="A263" s="1967">
        <v>163</v>
      </c>
      <c r="B263" s="33" t="s">
        <v>1093</v>
      </c>
      <c r="C263" s="35">
        <f ca="1">OFFSET('VVP2'!F374,0,Last_forecast_year - 3-InputY!$G$3)</f>
        <v>140.88999999999999</v>
      </c>
      <c r="D263" s="35">
        <f ca="1">OFFSET('VVP2'!G374,0,Last_forecast_year - 3-InputY!$G$3)</f>
        <v>138.11000000000001</v>
      </c>
      <c r="E263" s="35">
        <f ca="1">OFFSET('VVP2'!H374,0,Last_forecast_year - 3-InputY!$G$3)</f>
        <v>137.08000000000001</v>
      </c>
      <c r="F263" s="35">
        <f ca="1">OFFSET('VVP2'!I374,0,Last_forecast_year - 3-InputY!$G$3)</f>
        <v>137.08000000000001</v>
      </c>
      <c r="G263" s="35">
        <f ca="1">OFFSET('VVP2'!J374,0,Last_forecast_year - 3-InputY!$G$3)</f>
        <v>137.08000000000001</v>
      </c>
      <c r="H263" s="25">
        <v>-9999</v>
      </c>
      <c r="I263" s="25">
        <v>-9999</v>
      </c>
      <c r="J263" s="25">
        <v>-9999</v>
      </c>
      <c r="K263" s="25">
        <v>-9999</v>
      </c>
      <c r="L263" s="25">
        <v>-9999</v>
      </c>
      <c r="M263" s="25">
        <v>-9999</v>
      </c>
      <c r="N263" s="25">
        <v>-9999</v>
      </c>
      <c r="O263" s="25">
        <v>-9999</v>
      </c>
      <c r="P263" s="26"/>
      <c r="Q263"/>
      <c r="AA263" s="22">
        <v>163</v>
      </c>
      <c r="AB263" s="1080" t="str">
        <f t="shared" si="30"/>
        <v>HICP Y WEIGHT PROCESSED FOOD INCL. ALCOHOL AND TOBACCO</v>
      </c>
      <c r="AC263" s="1080">
        <f>CHOOSE(Tables!$U$2,Transfer!CA263,Transfer!CN263,Transfer!DA263,Transfer!DN263,Transfer!EA263)</f>
        <v>141.59</v>
      </c>
      <c r="AD263" s="1080">
        <f>CHOOSE(Tables!$U$2,Transfer!CB263,Transfer!CO263,Transfer!DB263,Transfer!DO263,Transfer!EB263)</f>
        <v>140.88999999999999</v>
      </c>
      <c r="AE263" s="1080">
        <f>CHOOSE(Tables!$U$2,Transfer!CC263,Transfer!CP263,Transfer!DC263,Transfer!DP263,Transfer!EC263)</f>
        <v>138.11000000000001</v>
      </c>
      <c r="AF263" s="1080">
        <f>CHOOSE(Tables!$U$2,Transfer!CD263,Transfer!CQ263,Transfer!DD263,Transfer!DQ263,Transfer!ED263)</f>
        <v>137.08000000000001</v>
      </c>
      <c r="AG263" s="1080">
        <f>CHOOSE(Tables!$U$2,Transfer!CE263,Transfer!CR263,Transfer!DE263,Transfer!DR263,Transfer!EE263)</f>
        <v>137.08000000000001</v>
      </c>
      <c r="AH263" s="1080">
        <f>CHOOSE(Tables!$U$2,Transfer!CF263,Transfer!CS263,Transfer!DF263,Transfer!DS263,Transfer!EF263)</f>
        <v>-9999</v>
      </c>
      <c r="AI263" s="1080">
        <f>CHOOSE(Tables!$U$2,Transfer!CG263,Transfer!CT263,Transfer!DG263,Transfer!DT263,Transfer!EG263)</f>
        <v>-9999</v>
      </c>
      <c r="AJ263" s="1080">
        <f>CHOOSE(Tables!$U$2,Transfer!CH263,Transfer!CU263,Transfer!DH263,Transfer!DU263,Transfer!EH263)</f>
        <v>-9999</v>
      </c>
      <c r="AK263" s="1080">
        <f>CHOOSE(Tables!$U$2,Transfer!CI263,Transfer!CV263,Transfer!DI263,Transfer!DV263,Transfer!EI263)</f>
        <v>-9999</v>
      </c>
      <c r="AL263" s="1080">
        <f>CHOOSE(Tables!$U$2,Transfer!CJ263,Transfer!CW263,Transfer!DJ263,Transfer!DW263,Transfer!EJ263)</f>
        <v>-9999</v>
      </c>
      <c r="AM263" s="1080">
        <f>CHOOSE(Tables!$U$2,Transfer!CK263,Transfer!CX263,Transfer!DK263,Transfer!DX263,Transfer!EK263)</f>
        <v>-9999</v>
      </c>
      <c r="AN263" s="1080">
        <f>CHOOSE(Tables!$U$2,Transfer!CL263,Transfer!CY263,Transfer!DL263,Transfer!DY263,Transfer!EL263)</f>
        <v>-9999</v>
      </c>
      <c r="AO263" s="1080">
        <f>CHOOSE(Tables!$U$2,Transfer!CM263,Transfer!CZ263,Transfer!DM263,Transfer!DZ263,Transfer!EM263)</f>
        <v>-9999</v>
      </c>
      <c r="AR263" s="22">
        <v>163</v>
      </c>
      <c r="AS263" s="33" t="s">
        <v>1639</v>
      </c>
      <c r="AT263" s="35">
        <f ca="1">C264-AC263</f>
        <v>-78.800000000000011</v>
      </c>
      <c r="AU263" s="25">
        <f ca="1">D264-AD263</f>
        <v>-79.369999999999976</v>
      </c>
      <c r="AV263" s="25">
        <f ca="1">E264-AE263</f>
        <v>-77.320000000000022</v>
      </c>
      <c r="AW263" s="25">
        <f ca="1">F264-AF263</f>
        <v>-76.29000000000002</v>
      </c>
      <c r="AX263" s="25">
        <f ca="1">G264-AG263</f>
        <v>-76.29000000000002</v>
      </c>
      <c r="AY263" s="25">
        <f t="shared" si="41"/>
        <v>0</v>
      </c>
      <c r="AZ263" s="25">
        <f t="shared" si="41"/>
        <v>0</v>
      </c>
      <c r="BA263" s="25">
        <f t="shared" si="41"/>
        <v>0</v>
      </c>
      <c r="BB263" s="25">
        <f t="shared" si="41"/>
        <v>0</v>
      </c>
      <c r="BC263" s="25">
        <f t="shared" si="41"/>
        <v>0</v>
      </c>
      <c r="BD263" s="25">
        <f t="shared" si="41"/>
        <v>0</v>
      </c>
      <c r="BE263" s="25">
        <f t="shared" si="41"/>
        <v>0</v>
      </c>
      <c r="BF263" s="25">
        <f t="shared" si="20"/>
        <v>0</v>
      </c>
      <c r="CA263" s="16">
        <v>140.88999999999999</v>
      </c>
      <c r="CB263" s="16">
        <v>138.11000000000001</v>
      </c>
      <c r="CC263" s="16">
        <v>137.08000000000001</v>
      </c>
      <c r="CD263" s="16">
        <v>137.08000000000001</v>
      </c>
      <c r="CE263" s="16">
        <v>137.08000000000001</v>
      </c>
      <c r="CF263" s="16">
        <v>-9999</v>
      </c>
      <c r="CG263" s="16">
        <v>-9999</v>
      </c>
      <c r="CH263" s="16">
        <v>-9999</v>
      </c>
      <c r="CI263" s="16">
        <v>-9999</v>
      </c>
      <c r="CJ263" s="16">
        <v>-9999</v>
      </c>
      <c r="CK263" s="16">
        <v>-9999</v>
      </c>
      <c r="CL263" s="16">
        <v>-9999</v>
      </c>
      <c r="CM263" s="16">
        <v>-9999</v>
      </c>
      <c r="CN263" s="16">
        <v>141.59</v>
      </c>
      <c r="CO263" s="16">
        <v>140.88999999999999</v>
      </c>
      <c r="CP263" s="16">
        <v>138.11000000000001</v>
      </c>
      <c r="CQ263" s="16">
        <v>137.08000000000001</v>
      </c>
      <c r="CR263" s="16">
        <v>137.08000000000001</v>
      </c>
      <c r="CS263" s="16">
        <v>-9999</v>
      </c>
      <c r="CT263" s="16">
        <v>-9999</v>
      </c>
      <c r="CU263" s="16">
        <v>-9999</v>
      </c>
      <c r="CV263" s="16">
        <v>-9999</v>
      </c>
      <c r="CW263" s="16">
        <v>-9999</v>
      </c>
      <c r="CX263" s="16">
        <v>-9999</v>
      </c>
      <c r="CY263" s="16">
        <v>-9999</v>
      </c>
      <c r="CZ263" s="16">
        <v>-9999</v>
      </c>
      <c r="DA263" s="16">
        <v>140.88999999999999</v>
      </c>
      <c r="DB263" s="16">
        <v>138.11000000000001</v>
      </c>
      <c r="DC263" s="16">
        <v>137.08000000000001</v>
      </c>
      <c r="DD263" s="16">
        <v>137.08000000000001</v>
      </c>
      <c r="DE263" s="16">
        <v>137.08000000000001</v>
      </c>
      <c r="DF263" s="16">
        <v>-9999</v>
      </c>
      <c r="DG263" s="16">
        <v>-9999</v>
      </c>
      <c r="DH263" s="16">
        <v>-9999</v>
      </c>
      <c r="DI263" s="16">
        <v>-9999</v>
      </c>
      <c r="DJ263" s="16">
        <v>-9999</v>
      </c>
      <c r="DK263" s="16">
        <v>-9999</v>
      </c>
      <c r="DL263" s="16">
        <v>-9999</v>
      </c>
      <c r="DM263" s="16">
        <v>-9999</v>
      </c>
      <c r="DN263" s="16">
        <v>140.88999999999999</v>
      </c>
      <c r="DO263" s="16">
        <v>138.11000000000001</v>
      </c>
      <c r="DP263" s="16">
        <v>137.08000000000001</v>
      </c>
      <c r="DQ263" s="16">
        <v>137.08000000000001</v>
      </c>
      <c r="DR263" s="16">
        <v>137.08000000000001</v>
      </c>
      <c r="DS263" s="16">
        <v>-9999</v>
      </c>
      <c r="DT263" s="16">
        <v>-9999</v>
      </c>
      <c r="DU263" s="16">
        <v>-9999</v>
      </c>
      <c r="DV263" s="16">
        <v>-9999</v>
      </c>
      <c r="DW263" s="16">
        <v>-9999</v>
      </c>
      <c r="DX263" s="16">
        <v>-9999</v>
      </c>
      <c r="DY263" s="16">
        <v>-9999</v>
      </c>
      <c r="DZ263" s="16">
        <v>-9999</v>
      </c>
      <c r="EA263" s="2256">
        <v>140.88999999999999</v>
      </c>
      <c r="EB263" s="2257">
        <v>138.11000000000001</v>
      </c>
      <c r="EC263" s="2257">
        <v>137.08000000000001</v>
      </c>
      <c r="ED263" s="2257">
        <v>137.08000000000001</v>
      </c>
      <c r="EE263" s="2257">
        <v>137.08000000000001</v>
      </c>
      <c r="EF263" s="2257">
        <v>-9999</v>
      </c>
      <c r="EG263" s="2257">
        <v>-9999</v>
      </c>
      <c r="EH263" s="2257">
        <v>-9999</v>
      </c>
      <c r="EI263" s="2257">
        <v>-9999</v>
      </c>
      <c r="EJ263" s="2257">
        <v>-9999</v>
      </c>
      <c r="EK263" s="2257">
        <v>-9999</v>
      </c>
      <c r="EL263" s="2257">
        <v>-9999</v>
      </c>
      <c r="EM263" s="2257">
        <v>-9999</v>
      </c>
    </row>
    <row r="264" spans="1:143" ht="13.15">
      <c r="A264" s="1967">
        <v>164</v>
      </c>
      <c r="B264" s="33" t="s">
        <v>1094</v>
      </c>
      <c r="C264" s="35">
        <f ca="1">OFFSET('VVP2'!F373,0,Last_forecast_year - 3-InputY!$G$3)</f>
        <v>62.79</v>
      </c>
      <c r="D264" s="35">
        <f ca="1">OFFSET('VVP2'!G373,0,Last_forecast_year - 3-InputY!$G$3)</f>
        <v>61.52</v>
      </c>
      <c r="E264" s="35">
        <f ca="1">OFFSET('VVP2'!H373,0,Last_forecast_year - 3-InputY!$G$3)</f>
        <v>60.79</v>
      </c>
      <c r="F264" s="35">
        <f ca="1">OFFSET('VVP2'!I373,0,Last_forecast_year - 3-InputY!$G$3)</f>
        <v>60.79</v>
      </c>
      <c r="G264" s="35">
        <f ca="1">OFFSET('VVP2'!J373,0,Last_forecast_year - 3-InputY!$G$3)</f>
        <v>60.79</v>
      </c>
      <c r="H264" s="25">
        <v>-9999</v>
      </c>
      <c r="I264" s="25">
        <v>-9999</v>
      </c>
      <c r="J264" s="25">
        <v>-9999</v>
      </c>
      <c r="K264" s="25">
        <v>-9999</v>
      </c>
      <c r="L264" s="25">
        <v>-9999</v>
      </c>
      <c r="M264" s="25">
        <v>-9999</v>
      </c>
      <c r="N264" s="25">
        <v>-9999</v>
      </c>
      <c r="O264" s="25">
        <v>-9999</v>
      </c>
      <c r="P264" s="26"/>
      <c r="Q264"/>
      <c r="AA264" s="22">
        <v>164</v>
      </c>
      <c r="AB264" s="1080" t="str">
        <f t="shared" si="30"/>
        <v>HICP Y WEIGHT UNPROCESSED FOOD</v>
      </c>
      <c r="AC264" s="1080">
        <f>CHOOSE(Tables!$U$2,Transfer!CA264,Transfer!CN264,Transfer!DA264,Transfer!DN264,Transfer!EA264)</f>
        <v>59.62</v>
      </c>
      <c r="AD264" s="1080">
        <f>CHOOSE(Tables!$U$2,Transfer!CB264,Transfer!CO264,Transfer!DB264,Transfer!DO264,Transfer!EB264)</f>
        <v>62.79</v>
      </c>
      <c r="AE264" s="1080">
        <f>CHOOSE(Tables!$U$2,Transfer!CC264,Transfer!CP264,Transfer!DC264,Transfer!DP264,Transfer!EC264)</f>
        <v>61.52</v>
      </c>
      <c r="AF264" s="1080">
        <f>CHOOSE(Tables!$U$2,Transfer!CD264,Transfer!CQ264,Transfer!DD264,Transfer!DQ264,Transfer!ED264)</f>
        <v>60.79</v>
      </c>
      <c r="AG264" s="1080">
        <f>CHOOSE(Tables!$U$2,Transfer!CE264,Transfer!CR264,Transfer!DE264,Transfer!DR264,Transfer!EE264)</f>
        <v>60.79</v>
      </c>
      <c r="AH264" s="1080">
        <f>CHOOSE(Tables!$U$2,Transfer!CF264,Transfer!CS264,Transfer!DF264,Transfer!DS264,Transfer!EF264)</f>
        <v>-9999</v>
      </c>
      <c r="AI264" s="1080">
        <f>CHOOSE(Tables!$U$2,Transfer!CG264,Transfer!CT264,Transfer!DG264,Transfer!DT264,Transfer!EG264)</f>
        <v>-9999</v>
      </c>
      <c r="AJ264" s="1080">
        <f>CHOOSE(Tables!$U$2,Transfer!CH264,Transfer!CU264,Transfer!DH264,Transfer!DU264,Transfer!EH264)</f>
        <v>-9999</v>
      </c>
      <c r="AK264" s="1080">
        <f>CHOOSE(Tables!$U$2,Transfer!CI264,Transfer!CV264,Transfer!DI264,Transfer!DV264,Transfer!EI264)</f>
        <v>-9999</v>
      </c>
      <c r="AL264" s="1080">
        <f>CHOOSE(Tables!$U$2,Transfer!CJ264,Transfer!CW264,Transfer!DJ264,Transfer!DW264,Transfer!EJ264)</f>
        <v>-9999</v>
      </c>
      <c r="AM264" s="1080">
        <f>CHOOSE(Tables!$U$2,Transfer!CK264,Transfer!CX264,Transfer!DK264,Transfer!DX264,Transfer!EK264)</f>
        <v>-9999</v>
      </c>
      <c r="AN264" s="1080">
        <f>CHOOSE(Tables!$U$2,Transfer!CL264,Transfer!CY264,Transfer!DL264,Transfer!DY264,Transfer!EL264)</f>
        <v>-9999</v>
      </c>
      <c r="AO264" s="1080">
        <f>CHOOSE(Tables!$U$2,Transfer!CM264,Transfer!CZ264,Transfer!DM264,Transfer!DZ264,Transfer!EM264)</f>
        <v>-9999</v>
      </c>
      <c r="AR264" s="22">
        <v>164</v>
      </c>
      <c r="AS264" s="33" t="s">
        <v>630</v>
      </c>
      <c r="AT264" s="35">
        <f ca="1">C263-AC264</f>
        <v>81.269999999999982</v>
      </c>
      <c r="AU264" s="25">
        <f ca="1">D263-AD264</f>
        <v>75.320000000000022</v>
      </c>
      <c r="AV264" s="25">
        <f ca="1">E263-AE264</f>
        <v>75.56</v>
      </c>
      <c r="AW264" s="25">
        <f ca="1">F263-AF264</f>
        <v>76.29000000000002</v>
      </c>
      <c r="AX264" s="25">
        <f ca="1">G263-AG264</f>
        <v>76.29000000000002</v>
      </c>
      <c r="AY264" s="25">
        <f t="shared" si="41"/>
        <v>0</v>
      </c>
      <c r="AZ264" s="25">
        <f t="shared" si="41"/>
        <v>0</v>
      </c>
      <c r="BA264" s="25">
        <f t="shared" si="41"/>
        <v>0</v>
      </c>
      <c r="BB264" s="25">
        <f t="shared" si="41"/>
        <v>0</v>
      </c>
      <c r="BC264" s="25">
        <f t="shared" si="41"/>
        <v>0</v>
      </c>
      <c r="BD264" s="25">
        <f t="shared" si="41"/>
        <v>0</v>
      </c>
      <c r="BE264" s="25">
        <f t="shared" si="41"/>
        <v>0</v>
      </c>
      <c r="BF264" s="25">
        <f t="shared" si="20"/>
        <v>0</v>
      </c>
      <c r="CA264" s="16">
        <v>62.79</v>
      </c>
      <c r="CB264" s="16">
        <v>61.52</v>
      </c>
      <c r="CC264" s="16">
        <v>60.79</v>
      </c>
      <c r="CD264" s="16">
        <v>60.79</v>
      </c>
      <c r="CE264" s="16">
        <v>60.79</v>
      </c>
      <c r="CF264" s="16">
        <v>-9999</v>
      </c>
      <c r="CG264" s="16">
        <v>-9999</v>
      </c>
      <c r="CH264" s="16">
        <v>-9999</v>
      </c>
      <c r="CI264" s="16">
        <v>-9999</v>
      </c>
      <c r="CJ264" s="16">
        <v>-9999</v>
      </c>
      <c r="CK264" s="16">
        <v>-9999</v>
      </c>
      <c r="CL264" s="16">
        <v>-9999</v>
      </c>
      <c r="CM264" s="16">
        <v>-9999</v>
      </c>
      <c r="CN264" s="16">
        <v>59.62</v>
      </c>
      <c r="CO264" s="16">
        <v>62.79</v>
      </c>
      <c r="CP264" s="16">
        <v>61.52</v>
      </c>
      <c r="CQ264" s="16">
        <v>60.79</v>
      </c>
      <c r="CR264" s="16">
        <v>60.79</v>
      </c>
      <c r="CS264" s="16">
        <v>-9999</v>
      </c>
      <c r="CT264" s="16">
        <v>-9999</v>
      </c>
      <c r="CU264" s="16">
        <v>-9999</v>
      </c>
      <c r="CV264" s="16">
        <v>-9999</v>
      </c>
      <c r="CW264" s="16">
        <v>-9999</v>
      </c>
      <c r="CX264" s="16">
        <v>-9999</v>
      </c>
      <c r="CY264" s="16">
        <v>-9999</v>
      </c>
      <c r="CZ264" s="16">
        <v>-9999</v>
      </c>
      <c r="DA264" s="16">
        <v>62.79</v>
      </c>
      <c r="DB264" s="16">
        <v>61.52</v>
      </c>
      <c r="DC264" s="16">
        <v>60.79</v>
      </c>
      <c r="DD264" s="16">
        <v>60.79</v>
      </c>
      <c r="DE264" s="16">
        <v>60.79</v>
      </c>
      <c r="DF264" s="16">
        <v>-9999</v>
      </c>
      <c r="DG264" s="16">
        <v>-9999</v>
      </c>
      <c r="DH264" s="16">
        <v>-9999</v>
      </c>
      <c r="DI264" s="16">
        <v>-9999</v>
      </c>
      <c r="DJ264" s="16">
        <v>-9999</v>
      </c>
      <c r="DK264" s="16">
        <v>-9999</v>
      </c>
      <c r="DL264" s="16">
        <v>-9999</v>
      </c>
      <c r="DM264" s="16">
        <v>-9999</v>
      </c>
      <c r="DN264" s="16">
        <v>62.79</v>
      </c>
      <c r="DO264" s="16">
        <v>61.52</v>
      </c>
      <c r="DP264" s="16">
        <v>60.79</v>
      </c>
      <c r="DQ264" s="16">
        <v>60.79</v>
      </c>
      <c r="DR264" s="16">
        <v>60.79</v>
      </c>
      <c r="DS264" s="16">
        <v>-9999</v>
      </c>
      <c r="DT264" s="16">
        <v>-9999</v>
      </c>
      <c r="DU264" s="16">
        <v>-9999</v>
      </c>
      <c r="DV264" s="16">
        <v>-9999</v>
      </c>
      <c r="DW264" s="16">
        <v>-9999</v>
      </c>
      <c r="DX264" s="16">
        <v>-9999</v>
      </c>
      <c r="DY264" s="16">
        <v>-9999</v>
      </c>
      <c r="DZ264" s="16">
        <v>-9999</v>
      </c>
      <c r="EA264" s="2256">
        <v>62.79</v>
      </c>
      <c r="EB264" s="2257">
        <v>61.52</v>
      </c>
      <c r="EC264" s="2257">
        <v>60.79</v>
      </c>
      <c r="ED264" s="2257">
        <v>60.79</v>
      </c>
      <c r="EE264" s="2257">
        <v>60.79</v>
      </c>
      <c r="EF264" s="2257">
        <v>-9999</v>
      </c>
      <c r="EG264" s="2257">
        <v>-9999</v>
      </c>
      <c r="EH264" s="2257">
        <v>-9999</v>
      </c>
      <c r="EI264" s="2257">
        <v>-9999</v>
      </c>
      <c r="EJ264" s="2257">
        <v>-9999</v>
      </c>
      <c r="EK264" s="2257">
        <v>-9999</v>
      </c>
      <c r="EL264" s="2257">
        <v>-9999</v>
      </c>
      <c r="EM264" s="2257">
        <v>-9999</v>
      </c>
    </row>
    <row r="265" spans="1:143" ht="13.15">
      <c r="A265" s="1967">
        <v>165</v>
      </c>
      <c r="B265" s="33" t="s">
        <v>1095</v>
      </c>
      <c r="C265" s="35">
        <f ca="1">OFFSET('VVP2'!F375,0,Last_forecast_year - 3-InputY!$G$3)</f>
        <v>423.63</v>
      </c>
      <c r="D265" s="35">
        <f ca="1">OFFSET('VVP2'!G375,0,Last_forecast_year - 3-InputY!$G$3)</f>
        <v>420.57</v>
      </c>
      <c r="E265" s="35">
        <f ca="1">OFFSET('VVP2'!H375,0,Last_forecast_year - 3-InputY!$G$3)</f>
        <v>422.85</v>
      </c>
      <c r="F265" s="35">
        <f ca="1">OFFSET('VVP2'!I375,0,Last_forecast_year - 3-InputY!$G$3)</f>
        <v>422.85</v>
      </c>
      <c r="G265" s="35">
        <f ca="1">OFFSET('VVP2'!J375,0,Last_forecast_year - 3-InputY!$G$3)</f>
        <v>422.85</v>
      </c>
      <c r="H265" s="25">
        <v>-9999</v>
      </c>
      <c r="I265" s="25">
        <v>-9999</v>
      </c>
      <c r="J265" s="25">
        <v>-9999</v>
      </c>
      <c r="K265" s="25">
        <v>-9999</v>
      </c>
      <c r="L265" s="25">
        <v>-9999</v>
      </c>
      <c r="M265" s="25">
        <v>-9999</v>
      </c>
      <c r="N265" s="25">
        <v>-9999</v>
      </c>
      <c r="O265" s="25">
        <v>-9999</v>
      </c>
      <c r="P265" s="26"/>
      <c r="Q265"/>
      <c r="AA265" s="22">
        <v>165</v>
      </c>
      <c r="AB265" s="1080" t="str">
        <f t="shared" si="30"/>
        <v>HICP Y WEIGHT SERVICES</v>
      </c>
      <c r="AC265" s="1080">
        <f>CHOOSE(Tables!$U$2,Transfer!CA265,Transfer!CN265,Transfer!DA265,Transfer!DN265,Transfer!EA265)</f>
        <v>425.72</v>
      </c>
      <c r="AD265" s="1080">
        <f>CHOOSE(Tables!$U$2,Transfer!CB265,Transfer!CO265,Transfer!DB265,Transfer!DO265,Transfer!EB265)</f>
        <v>423.63</v>
      </c>
      <c r="AE265" s="1080">
        <f>CHOOSE(Tables!$U$2,Transfer!CC265,Transfer!CP265,Transfer!DC265,Transfer!DP265,Transfer!EC265)</f>
        <v>420.57</v>
      </c>
      <c r="AF265" s="1080">
        <f>CHOOSE(Tables!$U$2,Transfer!CD265,Transfer!CQ265,Transfer!DD265,Transfer!DQ265,Transfer!ED265)</f>
        <v>422.85</v>
      </c>
      <c r="AG265" s="1080">
        <f>CHOOSE(Tables!$U$2,Transfer!CE265,Transfer!CR265,Transfer!DE265,Transfer!DR265,Transfer!EE265)</f>
        <v>422.85</v>
      </c>
      <c r="AH265" s="1080">
        <f>CHOOSE(Tables!$U$2,Transfer!CF265,Transfer!CS265,Transfer!DF265,Transfer!DS265,Transfer!EF265)</f>
        <v>-9999</v>
      </c>
      <c r="AI265" s="1080">
        <f>CHOOSE(Tables!$U$2,Transfer!CG265,Transfer!CT265,Transfer!DG265,Transfer!DT265,Transfer!EG265)</f>
        <v>-9999</v>
      </c>
      <c r="AJ265" s="1080">
        <f>CHOOSE(Tables!$U$2,Transfer!CH265,Transfer!CU265,Transfer!DH265,Transfer!DU265,Transfer!EH265)</f>
        <v>-9999</v>
      </c>
      <c r="AK265" s="1080">
        <f>CHOOSE(Tables!$U$2,Transfer!CI265,Transfer!CV265,Transfer!DI265,Transfer!DV265,Transfer!EI265)</f>
        <v>-9999</v>
      </c>
      <c r="AL265" s="1080">
        <f>CHOOSE(Tables!$U$2,Transfer!CJ265,Transfer!CW265,Transfer!DJ265,Transfer!DW265,Transfer!EJ265)</f>
        <v>-9999</v>
      </c>
      <c r="AM265" s="1080">
        <f>CHOOSE(Tables!$U$2,Transfer!CK265,Transfer!CX265,Transfer!DK265,Transfer!DX265,Transfer!EK265)</f>
        <v>-9999</v>
      </c>
      <c r="AN265" s="1080">
        <f>CHOOSE(Tables!$U$2,Transfer!CL265,Transfer!CY265,Transfer!DL265,Transfer!DY265,Transfer!EL265)</f>
        <v>-9999</v>
      </c>
      <c r="AO265" s="1080">
        <f>CHOOSE(Tables!$U$2,Transfer!CM265,Transfer!CZ265,Transfer!DM265,Transfer!DZ265,Transfer!EM265)</f>
        <v>-9999</v>
      </c>
      <c r="AR265" s="22">
        <v>165</v>
      </c>
      <c r="AS265" s="30" t="s">
        <v>973</v>
      </c>
      <c r="AT265" s="25">
        <f t="shared" ca="1" si="42"/>
        <v>-2.0900000000000318</v>
      </c>
      <c r="AU265" s="25">
        <f t="shared" ca="1" si="42"/>
        <v>-3.0600000000000023</v>
      </c>
      <c r="AV265" s="25">
        <f t="shared" ca="1" si="42"/>
        <v>2.2800000000000296</v>
      </c>
      <c r="AW265" s="25">
        <f t="shared" ca="1" si="41"/>
        <v>0</v>
      </c>
      <c r="AX265" s="25">
        <f t="shared" ca="1" si="41"/>
        <v>0</v>
      </c>
      <c r="AY265" s="25">
        <f t="shared" si="41"/>
        <v>0</v>
      </c>
      <c r="AZ265" s="25">
        <f t="shared" si="41"/>
        <v>0</v>
      </c>
      <c r="BA265" s="25">
        <f t="shared" si="41"/>
        <v>0</v>
      </c>
      <c r="BB265" s="25">
        <f t="shared" si="41"/>
        <v>0</v>
      </c>
      <c r="BC265" s="25">
        <f t="shared" si="41"/>
        <v>0</v>
      </c>
      <c r="BD265" s="25">
        <f t="shared" si="41"/>
        <v>0</v>
      </c>
      <c r="BE265" s="25">
        <f t="shared" si="41"/>
        <v>0</v>
      </c>
      <c r="BF265" s="25">
        <f t="shared" si="20"/>
        <v>0</v>
      </c>
      <c r="CA265" s="16">
        <v>423.63</v>
      </c>
      <c r="CB265" s="16">
        <v>420.57</v>
      </c>
      <c r="CC265" s="16">
        <v>422.85</v>
      </c>
      <c r="CD265" s="16">
        <v>422.85</v>
      </c>
      <c r="CE265" s="16">
        <v>422.85</v>
      </c>
      <c r="CF265" s="16">
        <v>-9999</v>
      </c>
      <c r="CG265" s="16">
        <v>-9999</v>
      </c>
      <c r="CH265" s="16">
        <v>-9999</v>
      </c>
      <c r="CI265" s="16">
        <v>-9999</v>
      </c>
      <c r="CJ265" s="16">
        <v>-9999</v>
      </c>
      <c r="CK265" s="16">
        <v>-9999</v>
      </c>
      <c r="CL265" s="16">
        <v>-9999</v>
      </c>
      <c r="CM265" s="16">
        <v>-9999</v>
      </c>
      <c r="CN265" s="16">
        <v>425.72</v>
      </c>
      <c r="CO265" s="16">
        <v>423.63</v>
      </c>
      <c r="CP265" s="16">
        <v>420.57</v>
      </c>
      <c r="CQ265" s="16">
        <v>422.85</v>
      </c>
      <c r="CR265" s="16">
        <v>422.85</v>
      </c>
      <c r="CS265" s="16">
        <v>-9999</v>
      </c>
      <c r="CT265" s="16">
        <v>-9999</v>
      </c>
      <c r="CU265" s="16">
        <v>-9999</v>
      </c>
      <c r="CV265" s="16">
        <v>-9999</v>
      </c>
      <c r="CW265" s="16">
        <v>-9999</v>
      </c>
      <c r="CX265" s="16">
        <v>-9999</v>
      </c>
      <c r="CY265" s="16">
        <v>-9999</v>
      </c>
      <c r="CZ265" s="16">
        <v>-9999</v>
      </c>
      <c r="DA265" s="16">
        <v>423.63</v>
      </c>
      <c r="DB265" s="16">
        <v>420.57</v>
      </c>
      <c r="DC265" s="16">
        <v>422.85</v>
      </c>
      <c r="DD265" s="16">
        <v>422.85</v>
      </c>
      <c r="DE265" s="16">
        <v>422.85</v>
      </c>
      <c r="DF265" s="16">
        <v>-9999</v>
      </c>
      <c r="DG265" s="16">
        <v>-9999</v>
      </c>
      <c r="DH265" s="16">
        <v>-9999</v>
      </c>
      <c r="DI265" s="16">
        <v>-9999</v>
      </c>
      <c r="DJ265" s="16">
        <v>-9999</v>
      </c>
      <c r="DK265" s="16">
        <v>-9999</v>
      </c>
      <c r="DL265" s="16">
        <v>-9999</v>
      </c>
      <c r="DM265" s="16">
        <v>-9999</v>
      </c>
      <c r="DN265" s="16">
        <v>423.63</v>
      </c>
      <c r="DO265" s="16">
        <v>420.57</v>
      </c>
      <c r="DP265" s="16">
        <v>422.85</v>
      </c>
      <c r="DQ265" s="16">
        <v>422.85</v>
      </c>
      <c r="DR265" s="16">
        <v>422.85</v>
      </c>
      <c r="DS265" s="16">
        <v>-9999</v>
      </c>
      <c r="DT265" s="16">
        <v>-9999</v>
      </c>
      <c r="DU265" s="16">
        <v>-9999</v>
      </c>
      <c r="DV265" s="16">
        <v>-9999</v>
      </c>
      <c r="DW265" s="16">
        <v>-9999</v>
      </c>
      <c r="DX265" s="16">
        <v>-9999</v>
      </c>
      <c r="DY265" s="16">
        <v>-9999</v>
      </c>
      <c r="DZ265" s="16">
        <v>-9999</v>
      </c>
      <c r="EA265" s="2257">
        <v>423.63</v>
      </c>
      <c r="EB265" s="2257">
        <v>420.57</v>
      </c>
      <c r="EC265" s="2257">
        <v>422.85</v>
      </c>
      <c r="ED265" s="2257">
        <v>422.85</v>
      </c>
      <c r="EE265" s="2257">
        <v>422.85</v>
      </c>
      <c r="EF265" s="2257">
        <v>-9999</v>
      </c>
      <c r="EG265" s="2257">
        <v>-9999</v>
      </c>
      <c r="EH265" s="2257">
        <v>-9999</v>
      </c>
      <c r="EI265" s="2257">
        <v>-9999</v>
      </c>
      <c r="EJ265" s="2257">
        <v>-9999</v>
      </c>
      <c r="EK265" s="2257">
        <v>-9999</v>
      </c>
      <c r="EL265" s="2257">
        <v>-9999</v>
      </c>
      <c r="EM265" s="2257">
        <v>-9999</v>
      </c>
    </row>
    <row r="266" spans="1:143" ht="13.15">
      <c r="A266" s="1967">
        <v>166</v>
      </c>
      <c r="B266" s="33" t="s">
        <v>997</v>
      </c>
      <c r="C266" s="25">
        <v>-9999</v>
      </c>
      <c r="D266" s="1080">
        <f ca="1">OFFSET('Q1'!G320,0,(Last_forecast_year - 3-InputY!$G$3)*4+4)</f>
        <v>1.4116485686080864</v>
      </c>
      <c r="E266" s="1080">
        <f ca="1">OFFSET('Q1'!H320,0,(Last_forecast_year - 3-InputY!$G$3)*4+4)</f>
        <v>1.0780970936840504</v>
      </c>
      <c r="F266" s="1080">
        <f ca="1">OFFSET('Q1'!I320,0,(Last_forecast_year - 3-InputY!$G$3)*4+4)</f>
        <v>0.94403672690827989</v>
      </c>
      <c r="G266" s="1080">
        <f ca="1">OFFSET('Q1'!J320,0,(Last_forecast_year - 3-InputY!$G$3)*4+4)</f>
        <v>1.3520628683693587</v>
      </c>
      <c r="H266" s="1080">
        <f ca="1">OFFSET('Q1'!K320,0,(Last_forecast_year - 3-InputY!$G$3)*4+4)</f>
        <v>1.3239979292491171</v>
      </c>
      <c r="I266" s="1080">
        <f ca="1">OFFSET('Q1'!L320,0,(Last_forecast_year - 3-InputY!$G$3)*4+4)</f>
        <v>1.4061929457478186</v>
      </c>
      <c r="J266" s="1080">
        <f ca="1">OFFSET('Q1'!M320,0,(Last_forecast_year - 3-InputY!$G$3)*4+4)</f>
        <v>1.4041679884679468</v>
      </c>
      <c r="K266" s="1080">
        <f ca="1">OFFSET('Q1'!N320,0,(Last_forecast_year - 3-InputY!$G$3)*4+4)</f>
        <v>1.5528144889003954</v>
      </c>
      <c r="L266" s="1080">
        <f ca="1">OFFSET('Q1'!O320,0,(Last_forecast_year - 3-InputY!$G$3)*4+4)</f>
        <v>1.5377477311425451</v>
      </c>
      <c r="M266" s="1080">
        <f ca="1">OFFSET('Q1'!P320,0,(Last_forecast_year - 3-InputY!$G$3)*4+4)</f>
        <v>1.632991684748049</v>
      </c>
      <c r="N266" s="1080">
        <f ca="1">OFFSET('Q1'!Q320,0,(Last_forecast_year - 3-InputY!$G$3)*4+4)</f>
        <v>1.7166949475207787</v>
      </c>
      <c r="O266" s="1080">
        <f ca="1">OFFSET('Q1'!R320,0,(Last_forecast_year - 3-InputY!$G$3)*4+4)</f>
        <v>1.6804109266731757</v>
      </c>
      <c r="P266" s="26"/>
      <c r="Q266"/>
      <c r="AA266" s="22">
        <v>166</v>
      </c>
      <c r="AB266" s="1080" t="str">
        <f t="shared" si="30"/>
        <v>HICP Q EXCL. ENERGY AND UNPROCESSED FOOD</v>
      </c>
      <c r="AC266" s="1080">
        <f>CHOOSE(Tables!$U$2,Transfer!CA266,Transfer!CN266,Transfer!DA266,Transfer!DN266,Transfer!EA266)</f>
        <v>-9999</v>
      </c>
      <c r="AD266" s="1080">
        <f>CHOOSE(Tables!$U$2,Transfer!CB266,Transfer!CO266,Transfer!DB266,Transfer!DO266,Transfer!EB266)</f>
        <v>0.85623257666267705</v>
      </c>
      <c r="AE266" s="1080">
        <f>CHOOSE(Tables!$U$2,Transfer!CC266,Transfer!CP266,Transfer!DC266,Transfer!DP266,Transfer!EC266)</f>
        <v>1.576673153676154</v>
      </c>
      <c r="AF266" s="1080">
        <f>CHOOSE(Tables!$U$2,Transfer!CD266,Transfer!CQ266,Transfer!DD266,Transfer!DQ266,Transfer!ED266)</f>
        <v>1.8874761183213877</v>
      </c>
      <c r="AG266" s="1080">
        <f>CHOOSE(Tables!$U$2,Transfer!CE266,Transfer!CR266,Transfer!DE266,Transfer!DR266,Transfer!EE266)</f>
        <v>1.5788091643143218</v>
      </c>
      <c r="AH266" s="1080">
        <f>CHOOSE(Tables!$U$2,Transfer!CF266,Transfer!CS266,Transfer!DF266,Transfer!DS266,Transfer!EF266)</f>
        <v>1.4116485686080864</v>
      </c>
      <c r="AI266" s="1080">
        <f>CHOOSE(Tables!$U$2,Transfer!CG266,Transfer!CT266,Transfer!DG266,Transfer!DT266,Transfer!EG266)</f>
        <v>1.4816585467839047</v>
      </c>
      <c r="AJ266" s="1080">
        <f>CHOOSE(Tables!$U$2,Transfer!CH266,Transfer!CU266,Transfer!DH266,Transfer!DU266,Transfer!EH266)</f>
        <v>1.5723771748793212</v>
      </c>
      <c r="AK266" s="1080">
        <f>CHOOSE(Tables!$U$2,Transfer!CI266,Transfer!CV266,Transfer!DI266,Transfer!DV266,Transfer!EI266)</f>
        <v>1.5568223474465697</v>
      </c>
      <c r="AL266" s="1080">
        <f>CHOOSE(Tables!$U$2,Transfer!CJ266,Transfer!CW266,Transfer!DJ266,Transfer!DW266,Transfer!EJ266)</f>
        <v>1.6467245510021371</v>
      </c>
      <c r="AM266" s="1080">
        <f>CHOOSE(Tables!$U$2,Transfer!CK266,Transfer!CX266,Transfer!DK266,Transfer!DX266,Transfer!EK266)</f>
        <v>1.6922305331517293</v>
      </c>
      <c r="AN266" s="1080">
        <f>CHOOSE(Tables!$U$2,Transfer!CL266,Transfer!CY266,Transfer!DL266,Transfer!DY266,Transfer!EL266)</f>
        <v>1.7463554600180515</v>
      </c>
      <c r="AO266" s="1080">
        <f>CHOOSE(Tables!$U$2,Transfer!CM266,Transfer!CZ266,Transfer!DM266,Transfer!DZ266,Transfer!EM266)</f>
        <v>1.791983224121509</v>
      </c>
      <c r="AR266" s="22">
        <v>166</v>
      </c>
      <c r="AS266" s="33" t="s">
        <v>1330</v>
      </c>
      <c r="AT266" s="24">
        <f t="shared" si="42"/>
        <v>0</v>
      </c>
      <c r="AU266" s="24">
        <f t="shared" ca="1" si="42"/>
        <v>0.55541599194540936</v>
      </c>
      <c r="AV266" s="24">
        <f t="shared" ca="1" si="42"/>
        <v>-0.49857605999210364</v>
      </c>
      <c r="AW266" s="24">
        <f t="shared" ca="1" si="41"/>
        <v>-0.94343939141310784</v>
      </c>
      <c r="AX266" s="24">
        <f t="shared" ca="1" si="41"/>
        <v>-0.22674629594496309</v>
      </c>
      <c r="AY266" s="25">
        <f t="shared" ca="1" si="41"/>
        <v>-8.7650639358969329E-2</v>
      </c>
      <c r="AZ266" s="25">
        <f t="shared" ca="1" si="41"/>
        <v>-7.5465601036086127E-2</v>
      </c>
      <c r="BA266" s="25">
        <f t="shared" ca="1" si="41"/>
        <v>-0.16820918641137439</v>
      </c>
      <c r="BB266" s="25">
        <f t="shared" ca="1" si="41"/>
        <v>-4.0078585461742477E-3</v>
      </c>
      <c r="BC266" s="25">
        <f t="shared" ca="1" si="41"/>
        <v>-0.10897681985959196</v>
      </c>
      <c r="BD266" s="25">
        <f t="shared" ca="1" si="41"/>
        <v>-5.9238848403680322E-2</v>
      </c>
      <c r="BE266" s="25">
        <f t="shared" ca="1" si="41"/>
        <v>-2.9660512497272862E-2</v>
      </c>
      <c r="BF266" s="25">
        <f t="shared" ca="1" si="20"/>
        <v>-0.1115722974483333</v>
      </c>
      <c r="CA266" s="16">
        <v>-9999</v>
      </c>
      <c r="CB266" s="16">
        <v>1.4116485686080864</v>
      </c>
      <c r="CC266" s="16">
        <v>1.0780970936840504</v>
      </c>
      <c r="CD266" s="16">
        <v>0.94403672690827989</v>
      </c>
      <c r="CE266" s="16">
        <v>1.3520628683693587</v>
      </c>
      <c r="CF266" s="16">
        <v>1.3239979292491171</v>
      </c>
      <c r="CG266" s="16">
        <v>1.4061929457478186</v>
      </c>
      <c r="CH266" s="16">
        <v>1.4041679884679468</v>
      </c>
      <c r="CI266" s="16">
        <v>1.5528144889003954</v>
      </c>
      <c r="CJ266" s="16">
        <v>1.5377477311425451</v>
      </c>
      <c r="CK266" s="16">
        <v>1.632991684748049</v>
      </c>
      <c r="CL266" s="16">
        <v>1.7166949475207787</v>
      </c>
      <c r="CM266" s="16">
        <v>1.6804109266731757</v>
      </c>
      <c r="CN266" s="16">
        <v>-9999</v>
      </c>
      <c r="CO266" s="16">
        <v>0.85623257666267705</v>
      </c>
      <c r="CP266" s="16">
        <v>1.576673153676154</v>
      </c>
      <c r="CQ266" s="16">
        <v>1.8874761183213877</v>
      </c>
      <c r="CR266" s="16">
        <v>1.5788091643143218</v>
      </c>
      <c r="CS266" s="16">
        <v>1.4116485686080864</v>
      </c>
      <c r="CT266" s="16">
        <v>1.4816585467839047</v>
      </c>
      <c r="CU266" s="16">
        <v>1.5723771748793212</v>
      </c>
      <c r="CV266" s="16">
        <v>1.5568223474465697</v>
      </c>
      <c r="CW266" s="16">
        <v>1.6467245510021371</v>
      </c>
      <c r="CX266" s="16">
        <v>1.6922305331517293</v>
      </c>
      <c r="CY266" s="16">
        <v>1.7463554600180515</v>
      </c>
      <c r="CZ266" s="16">
        <v>1.791983224121509</v>
      </c>
      <c r="DA266" s="16">
        <v>-9999</v>
      </c>
      <c r="DB266" s="16">
        <v>1.4116485686080864</v>
      </c>
      <c r="DC266" s="16">
        <v>1.0780970936840504</v>
      </c>
      <c r="DD266" s="16">
        <v>1.2273370147397884</v>
      </c>
      <c r="DE266" s="16">
        <v>1.3520628683693587</v>
      </c>
      <c r="DF266" s="16">
        <v>1.3239979292491171</v>
      </c>
      <c r="DG266" s="16">
        <v>1.4061929457478186</v>
      </c>
      <c r="DH266" s="16">
        <v>1.4036594626180658</v>
      </c>
      <c r="DI266" s="16">
        <v>1.5528144889003954</v>
      </c>
      <c r="DJ266" s="16">
        <v>1.5377477311425451</v>
      </c>
      <c r="DK266" s="16">
        <v>1.5434062380595037</v>
      </c>
      <c r="DL266" s="16">
        <v>1.5361849459276584</v>
      </c>
      <c r="DM266" s="16">
        <v>1.4267098808277296</v>
      </c>
      <c r="DN266" s="16">
        <v>-9999</v>
      </c>
      <c r="DO266" s="16">
        <v>1.4116485686080864</v>
      </c>
      <c r="DP266" s="16">
        <v>1.0780970936840504</v>
      </c>
      <c r="DQ266" s="16">
        <v>1.2273370147397884</v>
      </c>
      <c r="DR266" s="16">
        <v>1.3520628683693587</v>
      </c>
      <c r="DS266" s="16">
        <v>1.3239979292491171</v>
      </c>
      <c r="DT266" s="16">
        <v>1.4061929457478186</v>
      </c>
      <c r="DU266" s="16">
        <v>1.4036594626180658</v>
      </c>
      <c r="DV266" s="16">
        <v>1.5528144889003954</v>
      </c>
      <c r="DW266" s="16">
        <v>1.5377477311425451</v>
      </c>
      <c r="DX266" s="16">
        <v>1.5434062380595037</v>
      </c>
      <c r="DY266" s="16">
        <v>1.5361849459276584</v>
      </c>
      <c r="DZ266" s="16">
        <v>1.4267098808277296</v>
      </c>
      <c r="EA266" s="2256">
        <v>-9999</v>
      </c>
      <c r="EB266" s="2256">
        <v>1.4116485686080864</v>
      </c>
      <c r="EC266" s="2256">
        <v>1.0780970936840504</v>
      </c>
      <c r="ED266" s="2256">
        <v>0.94403672690827989</v>
      </c>
      <c r="EE266" s="2256">
        <v>1.3520628683693587</v>
      </c>
      <c r="EF266" s="2257">
        <v>1.3239979292491171</v>
      </c>
      <c r="EG266" s="2257">
        <v>1.4061929457478186</v>
      </c>
      <c r="EH266" s="2257">
        <v>1.4041679884679468</v>
      </c>
      <c r="EI266" s="2257">
        <v>1.5528144889003954</v>
      </c>
      <c r="EJ266" s="2257">
        <v>1.5377477311425451</v>
      </c>
      <c r="EK266" s="2257">
        <v>1.632991684748049</v>
      </c>
      <c r="EL266" s="2257">
        <v>1.7166949475207787</v>
      </c>
      <c r="EM266" s="2257">
        <v>1.6804109266731757</v>
      </c>
    </row>
    <row r="267" spans="1:143" ht="13.15">
      <c r="A267" s="1967">
        <v>167</v>
      </c>
      <c r="B267" s="33" t="s">
        <v>998</v>
      </c>
      <c r="C267" s="25">
        <v>-9999</v>
      </c>
      <c r="D267" s="1080">
        <f ca="1">OFFSET('Q1'!G311,0,(Last_forecast_year - 3-InputY!$G$3)*4+4)</f>
        <v>0.14596118759328647</v>
      </c>
      <c r="E267" s="1080">
        <f ca="1">OFFSET('Q1'!H311,0,(Last_forecast_year - 3-InputY!$G$3)*4+4)</f>
        <v>9.5259994087300015E-2</v>
      </c>
      <c r="F267" s="1080">
        <f ca="1">OFFSET('Q1'!I311,0,(Last_forecast_year - 3-InputY!$G$3)*4+4)</f>
        <v>6.2895163692928691E-2</v>
      </c>
      <c r="G267" s="1080">
        <f ca="1">OFFSET('Q1'!J311,0,(Last_forecast_year - 3-InputY!$G$3)*4+4)</f>
        <v>0.3</v>
      </c>
      <c r="H267" s="1080">
        <f ca="1">OFFSET('Q1'!K311,0,(Last_forecast_year - 3-InputY!$G$3)*4+4)</f>
        <v>0.26</v>
      </c>
      <c r="I267" s="1080">
        <f ca="1">OFFSET('Q1'!L311,0,(Last_forecast_year - 3-InputY!$G$3)*4+4)</f>
        <v>0.21</v>
      </c>
      <c r="J267" s="1080">
        <f ca="1">OFFSET('Q1'!M311,0,(Last_forecast_year - 3-InputY!$G$3)*4+4)</f>
        <v>0.15</v>
      </c>
      <c r="K267" s="1080">
        <f ca="1">OFFSET('Q1'!N311,0,(Last_forecast_year - 3-InputY!$G$3)*4+4)</f>
        <v>0.1</v>
      </c>
      <c r="L267" s="1080">
        <f ca="1">OFFSET('Q1'!O311,0,(Last_forecast_year - 3-InputY!$G$3)*4+4)</f>
        <v>-0.08</v>
      </c>
      <c r="M267" s="1080">
        <f ca="1">OFFSET('Q1'!P311,0,(Last_forecast_year - 3-InputY!$G$3)*4+4)</f>
        <v>0.11</v>
      </c>
      <c r="N267" s="1080">
        <f ca="1">OFFSET('Q1'!Q311,0,(Last_forecast_year - 3-InputY!$G$3)*4+4)</f>
        <v>0.21</v>
      </c>
      <c r="O267" s="1080">
        <f ca="1">OFFSET('Q1'!R311,0,(Last_forecast_year - 3-InputY!$G$3)*4+4)</f>
        <v>0.15</v>
      </c>
      <c r="P267" s="26"/>
      <c r="Q267"/>
      <c r="AA267" s="22">
        <v>167</v>
      </c>
      <c r="AB267" s="1080" t="str">
        <f>+B268</f>
        <v>HICP Q ENERGY</v>
      </c>
      <c r="AC267" s="1080">
        <f>CHOOSE(Tables!$U$2,Transfer!CA267,Transfer!CN267,Transfer!DA267,Transfer!DN267,Transfer!EA267)</f>
        <v>-9999</v>
      </c>
      <c r="AD267" s="1080">
        <f>CHOOSE(Tables!$U$2,Transfer!CB267,Transfer!CO267,Transfer!DB267,Transfer!DO267,Transfer!EB267)</f>
        <v>0.37960773867007447</v>
      </c>
      <c r="AE267" s="1080">
        <f>CHOOSE(Tables!$U$2,Transfer!CC267,Transfer!CP267,Transfer!DC267,Transfer!DP267,Transfer!EC267)</f>
        <v>0.2568746912563995</v>
      </c>
      <c r="AF267" s="1080">
        <f>CHOOSE(Tables!$U$2,Transfer!CD267,Transfer!CQ267,Transfer!DD267,Transfer!DQ267,Transfer!ED267)</f>
        <v>-2.9783572705028405E-2</v>
      </c>
      <c r="AG267" s="1080">
        <f>CHOOSE(Tables!$U$2,Transfer!CE267,Transfer!CR267,Transfer!DE267,Transfer!DR267,Transfer!EE267)</f>
        <v>-0.20200045613006523</v>
      </c>
      <c r="AH267" s="1080">
        <f>CHOOSE(Tables!$U$2,Transfer!CF267,Transfer!CS267,Transfer!DF267,Transfer!DS267,Transfer!EF267)</f>
        <v>0.14596118759328647</v>
      </c>
      <c r="AI267" s="1080">
        <f>CHOOSE(Tables!$U$2,Transfer!CG267,Transfer!CT267,Transfer!DG267,Transfer!DT267,Transfer!EG267)</f>
        <v>0.17</v>
      </c>
      <c r="AJ267" s="1080">
        <f>CHOOSE(Tables!$U$2,Transfer!CH267,Transfer!CU267,Transfer!DH267,Transfer!DU267,Transfer!EH267)</f>
        <v>0.2</v>
      </c>
      <c r="AK267" s="1080">
        <f>CHOOSE(Tables!$U$2,Transfer!CI267,Transfer!CV267,Transfer!DI267,Transfer!DV267,Transfer!EI267)</f>
        <v>0.2</v>
      </c>
      <c r="AL267" s="1080">
        <f>CHOOSE(Tables!$U$2,Transfer!CJ267,Transfer!CW267,Transfer!DJ267,Transfer!DW267,Transfer!EJ267)</f>
        <v>0.21</v>
      </c>
      <c r="AM267" s="1080">
        <f>CHOOSE(Tables!$U$2,Transfer!CK267,Transfer!CX267,Transfer!DK267,Transfer!DX267,Transfer!EK267)</f>
        <v>0.21</v>
      </c>
      <c r="AN267" s="1080">
        <f>CHOOSE(Tables!$U$2,Transfer!CL267,Transfer!CY267,Transfer!DL267,Transfer!DY267,Transfer!EL267)</f>
        <v>0.17</v>
      </c>
      <c r="AO267" s="1080">
        <f>CHOOSE(Tables!$U$2,Transfer!CM267,Transfer!CZ267,Transfer!DM267,Transfer!DZ267,Transfer!EM267)</f>
        <v>0.15</v>
      </c>
      <c r="AR267" s="22">
        <v>167</v>
      </c>
      <c r="AS267" s="30" t="s">
        <v>973</v>
      </c>
      <c r="AT267" s="25">
        <f t="shared" si="42"/>
        <v>0</v>
      </c>
      <c r="AU267" s="25">
        <f t="shared" ca="1" si="42"/>
        <v>-0.233646551076788</v>
      </c>
      <c r="AV267" s="25">
        <f t="shared" ca="1" si="42"/>
        <v>-0.16161469716909949</v>
      </c>
      <c r="AW267" s="25">
        <f t="shared" ca="1" si="41"/>
        <v>9.2678736397957096E-2</v>
      </c>
      <c r="AX267" s="25">
        <f t="shared" ca="1" si="41"/>
        <v>0.50200045613006528</v>
      </c>
      <c r="AY267" s="25">
        <f t="shared" ca="1" si="41"/>
        <v>0.11403881240671354</v>
      </c>
      <c r="AZ267" s="25">
        <f t="shared" ca="1" si="41"/>
        <v>3.999999999999998E-2</v>
      </c>
      <c r="BA267" s="25">
        <f t="shared" ca="1" si="41"/>
        <v>-5.0000000000000017E-2</v>
      </c>
      <c r="BB267" s="25">
        <f t="shared" ca="1" si="41"/>
        <v>-0.1</v>
      </c>
      <c r="BC267" s="25">
        <f t="shared" ca="1" si="41"/>
        <v>-0.28999999999999998</v>
      </c>
      <c r="BD267" s="25">
        <f t="shared" ca="1" si="41"/>
        <v>-9.9999999999999992E-2</v>
      </c>
      <c r="BE267" s="25">
        <f t="shared" ca="1" si="41"/>
        <v>3.999999999999998E-2</v>
      </c>
      <c r="BF267" s="25">
        <f t="shared" ca="1" si="20"/>
        <v>0</v>
      </c>
      <c r="CA267" s="16">
        <v>-9999</v>
      </c>
      <c r="CB267" s="16">
        <v>0.14596118759328647</v>
      </c>
      <c r="CC267" s="16">
        <v>9.5259994087300015E-2</v>
      </c>
      <c r="CD267" s="16">
        <v>6.2895163692928691E-2</v>
      </c>
      <c r="CE267" s="16">
        <v>0.3</v>
      </c>
      <c r="CF267" s="16">
        <v>0.26</v>
      </c>
      <c r="CG267" s="16">
        <v>0.21</v>
      </c>
      <c r="CH267" s="16">
        <v>0.15</v>
      </c>
      <c r="CI267" s="16">
        <v>0.1</v>
      </c>
      <c r="CJ267" s="16">
        <v>-0.08</v>
      </c>
      <c r="CK267" s="16">
        <v>0.11</v>
      </c>
      <c r="CL267" s="16">
        <v>0.21</v>
      </c>
      <c r="CM267" s="16">
        <v>0.15</v>
      </c>
      <c r="CN267" s="16">
        <v>-9999</v>
      </c>
      <c r="CO267" s="16">
        <v>0.37960773867007447</v>
      </c>
      <c r="CP267" s="16">
        <v>0.2568746912563995</v>
      </c>
      <c r="CQ267" s="16">
        <v>-2.9783572705028405E-2</v>
      </c>
      <c r="CR267" s="16">
        <v>-0.20200045613006523</v>
      </c>
      <c r="CS267" s="16">
        <v>0.14596118759328647</v>
      </c>
      <c r="CT267" s="16">
        <v>0.17</v>
      </c>
      <c r="CU267" s="16">
        <v>0.2</v>
      </c>
      <c r="CV267" s="16">
        <v>0.2</v>
      </c>
      <c r="CW267" s="16">
        <v>0.21</v>
      </c>
      <c r="CX267" s="16">
        <v>0.21</v>
      </c>
      <c r="CY267" s="16">
        <v>0.17</v>
      </c>
      <c r="CZ267" s="16">
        <v>0.15</v>
      </c>
      <c r="DA267" s="16">
        <v>-9999</v>
      </c>
      <c r="DB267" s="16">
        <v>0.14596118759328647</v>
      </c>
      <c r="DC267" s="16">
        <v>9.5259994087300015E-2</v>
      </c>
      <c r="DD267" s="16">
        <v>0.35</v>
      </c>
      <c r="DE267" s="16">
        <v>0.3</v>
      </c>
      <c r="DF267" s="16">
        <v>0.26</v>
      </c>
      <c r="DG267" s="16">
        <v>0.21</v>
      </c>
      <c r="DH267" s="16">
        <v>0.15</v>
      </c>
      <c r="DI267" s="16">
        <v>0.1</v>
      </c>
      <c r="DJ267" s="16">
        <v>-0.08</v>
      </c>
      <c r="DK267" s="16">
        <v>0.11</v>
      </c>
      <c r="DL267" s="16">
        <v>0.21</v>
      </c>
      <c r="DM267" s="16">
        <v>0.15</v>
      </c>
      <c r="DN267" s="16">
        <v>-9999</v>
      </c>
      <c r="DO267" s="16">
        <v>0.14596118759328647</v>
      </c>
      <c r="DP267" s="16">
        <v>9.5259994087300015E-2</v>
      </c>
      <c r="DQ267" s="16">
        <v>0.35</v>
      </c>
      <c r="DR267" s="16">
        <v>0.3</v>
      </c>
      <c r="DS267" s="16">
        <v>0.26</v>
      </c>
      <c r="DT267" s="16">
        <v>0.21</v>
      </c>
      <c r="DU267" s="16">
        <v>0.15</v>
      </c>
      <c r="DV267" s="16">
        <v>0.1</v>
      </c>
      <c r="DW267" s="16">
        <v>-0.08</v>
      </c>
      <c r="DX267" s="16">
        <v>0.11</v>
      </c>
      <c r="DY267" s="16">
        <v>0.21</v>
      </c>
      <c r="DZ267" s="16">
        <v>0.15</v>
      </c>
      <c r="EA267" s="2257">
        <v>-9999</v>
      </c>
      <c r="EB267" s="2257">
        <v>0.14596118759328647</v>
      </c>
      <c r="EC267" s="2257">
        <v>9.5259994087300015E-2</v>
      </c>
      <c r="ED267" s="2257">
        <v>6.2895163692928691E-2</v>
      </c>
      <c r="EE267" s="2257">
        <v>0.3</v>
      </c>
      <c r="EF267" s="2257">
        <v>0.26</v>
      </c>
      <c r="EG267" s="2257">
        <v>0.21</v>
      </c>
      <c r="EH267" s="2257">
        <v>0.15</v>
      </c>
      <c r="EI267" s="2257">
        <v>0.1</v>
      </c>
      <c r="EJ267" s="2257">
        <v>-0.08</v>
      </c>
      <c r="EK267" s="2257">
        <v>0.11</v>
      </c>
      <c r="EL267" s="2257">
        <v>0.21</v>
      </c>
      <c r="EM267" s="2257">
        <v>0.15</v>
      </c>
    </row>
    <row r="268" spans="1:143" ht="13.15">
      <c r="A268" s="1967">
        <v>168</v>
      </c>
      <c r="B268" s="33" t="s">
        <v>999</v>
      </c>
      <c r="C268" s="25">
        <v>-9999</v>
      </c>
      <c r="D268" s="1080">
        <f ca="1">OFFSET('Q1'!G312,0,(Last_forecast_year - 3-InputY!$G$3)*4+4)</f>
        <v>5.2053083528493289</v>
      </c>
      <c r="E268" s="1080">
        <f ca="1">OFFSET('Q1'!H312,0,(Last_forecast_year - 3-InputY!$G$3)*4+4)</f>
        <v>9.4027183970390951</v>
      </c>
      <c r="F268" s="1080">
        <f ca="1">OFFSET('Q1'!I312,0,(Last_forecast_year - 3-InputY!$G$3)*4+4)</f>
        <v>13.037474107086794</v>
      </c>
      <c r="G268" s="1080">
        <f ca="1">OFFSET('Q1'!J312,0,(Last_forecast_year - 3-InputY!$G$3)*4+4)</f>
        <v>11.5</v>
      </c>
      <c r="H268" s="1080">
        <f ca="1">OFFSET('Q1'!K312,0,(Last_forecast_year - 3-InputY!$G$3)*4+4)</f>
        <v>10.665909408507911</v>
      </c>
      <c r="I268" s="1080">
        <f ca="1">OFFSET('Q1'!L312,0,(Last_forecast_year - 3-InputY!$G$3)*4+4)</f>
        <v>6.752630777107349</v>
      </c>
      <c r="J268" s="1080">
        <f ca="1">OFFSET('Q1'!M312,0,(Last_forecast_year - 3-InputY!$G$3)*4+4)</f>
        <v>4.037219675346071</v>
      </c>
      <c r="K268" s="1080">
        <f ca="1">OFFSET('Q1'!N312,0,(Last_forecast_year - 3-InputY!$G$3)*4+4)</f>
        <v>2.19219795744936</v>
      </c>
      <c r="L268" s="1080">
        <f ca="1">OFFSET('Q1'!O312,0,(Last_forecast_year - 3-InputY!$G$3)*4+4)</f>
        <v>0.84751654096302254</v>
      </c>
      <c r="M268" s="1080">
        <f ca="1">OFFSET('Q1'!P312,0,(Last_forecast_year - 3-InputY!$G$3)*4+4)</f>
        <v>0.74261853964681102</v>
      </c>
      <c r="N268" s="1080">
        <f ca="1">OFFSET('Q1'!Q312,0,(Last_forecast_year - 3-InputY!$G$3)*4+4)</f>
        <v>1.0540094653401333</v>
      </c>
      <c r="O268" s="1080">
        <f ca="1">OFFSET('Q1'!R312,0,(Last_forecast_year - 3-InputY!$G$3)*4+4)</f>
        <v>1.4389341197786454</v>
      </c>
      <c r="P268" s="26"/>
      <c r="Q268"/>
      <c r="AA268" s="22">
        <v>168</v>
      </c>
      <c r="AB268" s="1080" t="e">
        <f>+#REF!</f>
        <v>#REF!</v>
      </c>
      <c r="AC268" s="1080">
        <f>CHOOSE(Tables!$U$2,Transfer!CA268,Transfer!CN268,Transfer!DA268,Transfer!DN268,Transfer!EA268)</f>
        <v>-9999</v>
      </c>
      <c r="AD268" s="1080">
        <f>CHOOSE(Tables!$U$2,Transfer!CB268,Transfer!CO268,Transfer!DB268,Transfer!DO268,Transfer!EB268)</f>
        <v>7.9518640868334103</v>
      </c>
      <c r="AE268" s="1080">
        <f>CHOOSE(Tables!$U$2,Transfer!CC268,Transfer!CP268,Transfer!DC268,Transfer!DP268,Transfer!EC268)</f>
        <v>4.4385204931689515</v>
      </c>
      <c r="AF268" s="1080">
        <f>CHOOSE(Tables!$U$2,Transfer!CD268,Transfer!CQ268,Transfer!DD268,Transfer!DQ268,Transfer!ED268)</f>
        <v>5.5033112582781456</v>
      </c>
      <c r="AG268" s="1080">
        <f>CHOOSE(Tables!$U$2,Transfer!CE268,Transfer!CR268,Transfer!DE268,Transfer!DR268,Transfer!EE268)</f>
        <v>3.4289356277883911</v>
      </c>
      <c r="AH268" s="1080">
        <f>CHOOSE(Tables!$U$2,Transfer!CF268,Transfer!CS268,Transfer!DF268,Transfer!DS268,Transfer!EF268)</f>
        <v>5.2053083528493289</v>
      </c>
      <c r="AI268" s="1080">
        <f>CHOOSE(Tables!$U$2,Transfer!CG268,Transfer!CT268,Transfer!DG268,Transfer!DT268,Transfer!EG268)</f>
        <v>7.5</v>
      </c>
      <c r="AJ268" s="1080">
        <f>CHOOSE(Tables!$U$2,Transfer!CH268,Transfer!CU268,Transfer!DH268,Transfer!DU268,Transfer!EH268)</f>
        <v>7.33</v>
      </c>
      <c r="AK268" s="1080">
        <f>CHOOSE(Tables!$U$2,Transfer!CI268,Transfer!CV268,Transfer!DI268,Transfer!DV268,Transfer!EI268)</f>
        <v>4.62</v>
      </c>
      <c r="AL268" s="1080">
        <f>CHOOSE(Tables!$U$2,Transfer!CJ268,Transfer!CW268,Transfer!DJ268,Transfer!DW268,Transfer!EJ268)</f>
        <v>2.2262251820824863</v>
      </c>
      <c r="AM268" s="1080">
        <f>CHOOSE(Tables!$U$2,Transfer!CK268,Transfer!CX268,Transfer!DK268,Transfer!DX268,Transfer!EK268)</f>
        <v>1.0363013293860357</v>
      </c>
      <c r="AN268" s="1080">
        <f>CHOOSE(Tables!$U$2,Transfer!CL268,Transfer!CY268,Transfer!DL268,Transfer!DY268,Transfer!EL268)</f>
        <v>0.82271925053198913</v>
      </c>
      <c r="AO268" s="1080">
        <f>CHOOSE(Tables!$U$2,Transfer!CM268,Transfer!CZ268,Transfer!DM268,Transfer!DZ268,Transfer!EM268)</f>
        <v>0.55761858736940173</v>
      </c>
      <c r="AR268" s="22">
        <v>168</v>
      </c>
      <c r="AS268" s="30" t="s">
        <v>973</v>
      </c>
      <c r="AT268" s="25">
        <f t="shared" si="42"/>
        <v>0</v>
      </c>
      <c r="AU268" s="25">
        <f t="shared" ca="1" si="42"/>
        <v>-2.7465557339840814</v>
      </c>
      <c r="AV268" s="25">
        <f t="shared" ca="1" si="42"/>
        <v>4.9641979038701436</v>
      </c>
      <c r="AW268" s="25">
        <f t="shared" ca="1" si="41"/>
        <v>7.5341628488086485</v>
      </c>
      <c r="AX268" s="25">
        <f t="shared" ca="1" si="41"/>
        <v>8.0710643722116089</v>
      </c>
      <c r="AY268" s="25">
        <f t="shared" ca="1" si="41"/>
        <v>5.4606010556585822</v>
      </c>
      <c r="AZ268" s="25">
        <f t="shared" ca="1" si="41"/>
        <v>-0.74736922289265095</v>
      </c>
      <c r="BA268" s="25">
        <f t="shared" ca="1" si="41"/>
        <v>-3.2927803246539291</v>
      </c>
      <c r="BB268" s="25">
        <f t="shared" ca="1" si="41"/>
        <v>-2.4278020425506401</v>
      </c>
      <c r="BC268" s="25">
        <f t="shared" ca="1" si="41"/>
        <v>-1.3787086411194638</v>
      </c>
      <c r="BD268" s="25">
        <f t="shared" ca="1" si="41"/>
        <v>-0.29368278973922468</v>
      </c>
      <c r="BE268" s="25">
        <f t="shared" ca="1" si="41"/>
        <v>0.23129021480814416</v>
      </c>
      <c r="BF268" s="25">
        <f t="shared" ca="1" si="20"/>
        <v>0.88131553240924365</v>
      </c>
      <c r="CA268" s="16">
        <v>-9999</v>
      </c>
      <c r="CB268" s="16">
        <v>5.2053083528493289</v>
      </c>
      <c r="CC268" s="16">
        <v>9.4027183970390951</v>
      </c>
      <c r="CD268" s="16">
        <v>13.037474107086794</v>
      </c>
      <c r="CE268" s="16">
        <v>11.5</v>
      </c>
      <c r="CF268" s="16">
        <v>10.665909408507911</v>
      </c>
      <c r="CG268" s="16">
        <v>6.752630777107349</v>
      </c>
      <c r="CH268" s="16">
        <v>4.037219675346071</v>
      </c>
      <c r="CI268" s="16">
        <v>2.19219795744936</v>
      </c>
      <c r="CJ268" s="16">
        <v>0.84751654096302254</v>
      </c>
      <c r="CK268" s="16">
        <v>0.74261853964681102</v>
      </c>
      <c r="CL268" s="16">
        <v>1.0540094653401333</v>
      </c>
      <c r="CM268" s="16">
        <v>1.4389341197786454</v>
      </c>
      <c r="CN268" s="16">
        <v>-9999</v>
      </c>
      <c r="CO268" s="16">
        <v>7.9518640868334103</v>
      </c>
      <c r="CP268" s="16">
        <v>4.4385204931689515</v>
      </c>
      <c r="CQ268" s="16">
        <v>5.5033112582781456</v>
      </c>
      <c r="CR268" s="16">
        <v>3.4289356277883911</v>
      </c>
      <c r="CS268" s="16">
        <v>5.2053083528493289</v>
      </c>
      <c r="CT268" s="16">
        <v>7.5</v>
      </c>
      <c r="CU268" s="16">
        <v>7.33</v>
      </c>
      <c r="CV268" s="16">
        <v>4.62</v>
      </c>
      <c r="CW268" s="16">
        <v>2.2262251820824863</v>
      </c>
      <c r="CX268" s="16">
        <v>1.0363013293860357</v>
      </c>
      <c r="CY268" s="16">
        <v>0.82271925053198913</v>
      </c>
      <c r="CZ268" s="16">
        <v>0.55761858736940173</v>
      </c>
      <c r="DA268" s="16">
        <v>-9999</v>
      </c>
      <c r="DB268" s="16">
        <v>5.2053083528493289</v>
      </c>
      <c r="DC268" s="16">
        <v>9.4027183970390951</v>
      </c>
      <c r="DD268" s="16">
        <v>10.616307038800432</v>
      </c>
      <c r="DE268" s="16">
        <v>9.5105640181141649</v>
      </c>
      <c r="DF268" s="16">
        <v>8.6101537249517754</v>
      </c>
      <c r="DG268" s="16">
        <v>4.9852666503265475</v>
      </c>
      <c r="DH268" s="16">
        <v>3.0931855013219156</v>
      </c>
      <c r="DI268" s="16">
        <v>1.8247275837412813</v>
      </c>
      <c r="DJ268" s="16">
        <v>0.87686092950798322</v>
      </c>
      <c r="DK268" s="16">
        <v>1.0789287930642821</v>
      </c>
      <c r="DL268" s="16">
        <v>1.3988969057248557</v>
      </c>
      <c r="DM268" s="16">
        <v>1.7262066141363386</v>
      </c>
      <c r="DN268" s="16">
        <v>-9999</v>
      </c>
      <c r="DO268" s="16">
        <v>5.2053083528493289</v>
      </c>
      <c r="DP268" s="16">
        <v>9.4027183970390951</v>
      </c>
      <c r="DQ268" s="16">
        <v>10.616307038800432</v>
      </c>
      <c r="DR268" s="16">
        <v>9.5105640181141649</v>
      </c>
      <c r="DS268" s="16">
        <v>8.6101537249517754</v>
      </c>
      <c r="DT268" s="16">
        <v>4.9852666503265475</v>
      </c>
      <c r="DU268" s="16">
        <v>3.0931855013219156</v>
      </c>
      <c r="DV268" s="16">
        <v>1.8247275837412813</v>
      </c>
      <c r="DW268" s="16">
        <v>0.87686092950798322</v>
      </c>
      <c r="DX268" s="16">
        <v>1.0789287930642821</v>
      </c>
      <c r="DY268" s="16">
        <v>1.3988969057248557</v>
      </c>
      <c r="DZ268" s="16">
        <v>1.7262066141363386</v>
      </c>
      <c r="EA268" s="2257">
        <v>-9999</v>
      </c>
      <c r="EB268" s="2257">
        <v>5.2053083528493289</v>
      </c>
      <c r="EC268" s="2257">
        <v>9.4027183970390951</v>
      </c>
      <c r="ED268" s="2257">
        <v>13.037474107086794</v>
      </c>
      <c r="EE268" s="2257">
        <v>11.5</v>
      </c>
      <c r="EF268" s="2257">
        <v>10.665909408507911</v>
      </c>
      <c r="EG268" s="2257">
        <v>6.752630777107349</v>
      </c>
      <c r="EH268" s="2257">
        <v>4.037219675346071</v>
      </c>
      <c r="EI268" s="2257">
        <v>2.19219795744936</v>
      </c>
      <c r="EJ268" s="2257">
        <v>0.84751654096302254</v>
      </c>
      <c r="EK268" s="2257">
        <v>0.74261853964681102</v>
      </c>
      <c r="EL268" s="2257">
        <v>1.0540094653401333</v>
      </c>
      <c r="EM268" s="2257">
        <v>1.4389341197786454</v>
      </c>
    </row>
    <row r="269" spans="1:143" ht="13.15">
      <c r="A269" s="1967">
        <v>169</v>
      </c>
      <c r="B269" s="33" t="s">
        <v>876</v>
      </c>
      <c r="C269" s="25">
        <v>-9999</v>
      </c>
      <c r="D269" s="1080">
        <f ca="1">OFFSET('Q1'!G314,0,(Last_forecast_year - 3-InputY!$G$3)*4+4)</f>
        <v>2.3431346810186255</v>
      </c>
      <c r="E269" s="1080">
        <f ca="1">OFFSET('Q1'!H314,0,(Last_forecast_year - 3-InputY!$G$3)*4+4)</f>
        <v>1.8188930177977625</v>
      </c>
      <c r="F269" s="1080">
        <f ca="1">OFFSET('Q1'!I314,0,(Last_forecast_year - 3-InputY!$G$3)*4+4)</f>
        <v>1.4820088014496662</v>
      </c>
      <c r="G269" s="1080">
        <f ca="1">OFFSET('Q1'!J314,0,(Last_forecast_year - 3-InputY!$G$3)*4+4)</f>
        <v>1.95</v>
      </c>
      <c r="H269" s="1080">
        <f ca="1">OFFSET('Q1'!K314,0,(Last_forecast_year - 3-InputY!$G$3)*4+4)</f>
        <v>1.85</v>
      </c>
      <c r="I269" s="1080">
        <f ca="1">OFFSET('Q1'!L314,0,(Last_forecast_year - 3-InputY!$G$3)*4+4)</f>
        <v>2.11</v>
      </c>
      <c r="J269" s="1080">
        <f ca="1">OFFSET('Q1'!M314,0,(Last_forecast_year - 3-InputY!$G$3)*4+4)</f>
        <v>2.1800000000000002</v>
      </c>
      <c r="K269" s="1080">
        <f ca="1">OFFSET('Q1'!N314,0,(Last_forecast_year - 3-InputY!$G$3)*4+4)</f>
        <v>2.23</v>
      </c>
      <c r="L269" s="1080">
        <f ca="1">OFFSET('Q1'!O314,0,(Last_forecast_year - 3-InputY!$G$3)*4+4)</f>
        <v>2.15</v>
      </c>
      <c r="M269" s="1080">
        <f ca="1">OFFSET('Q1'!P314,0,(Last_forecast_year - 3-InputY!$G$3)*4+4)</f>
        <v>2.15</v>
      </c>
      <c r="N269" s="1080">
        <f ca="1">OFFSET('Q1'!Q314,0,(Last_forecast_year - 3-InputY!$G$3)*4+4)</f>
        <v>2.02</v>
      </c>
      <c r="O269" s="1080">
        <f ca="1">OFFSET('Q1'!R314,0,(Last_forecast_year - 3-InputY!$G$3)*4+4)</f>
        <v>1.99</v>
      </c>
      <c r="P269" s="26"/>
      <c r="Q269"/>
      <c r="AA269" s="22">
        <v>169</v>
      </c>
      <c r="AB269" s="1080" t="str">
        <f t="shared" si="30"/>
        <v>HICP Q PROCESSED FOOD INCL. ALCOHOL AND TOBACCO</v>
      </c>
      <c r="AC269" s="1080">
        <f>CHOOSE(Tables!$U$2,Transfer!CA269,Transfer!CN269,Transfer!DA269,Transfer!DN269,Transfer!EA269)</f>
        <v>-9999</v>
      </c>
      <c r="AD269" s="1080">
        <f>CHOOSE(Tables!$U$2,Transfer!CB269,Transfer!CO269,Transfer!DB269,Transfer!DO269,Transfer!EB269)</f>
        <v>1.2459713592716923</v>
      </c>
      <c r="AE269" s="1080">
        <f>CHOOSE(Tables!$U$2,Transfer!CC269,Transfer!CP269,Transfer!DC269,Transfer!DP269,Transfer!EC269)</f>
        <v>1.852589641434264</v>
      </c>
      <c r="AF269" s="1080">
        <f>CHOOSE(Tables!$U$2,Transfer!CD269,Transfer!CQ269,Transfer!DD269,Transfer!DQ269,Transfer!ED269)</f>
        <v>2.3921542641309372</v>
      </c>
      <c r="AG269" s="1080">
        <f>CHOOSE(Tables!$U$2,Transfer!CE269,Transfer!CR269,Transfer!DE269,Transfer!DR269,Transfer!EE269)</f>
        <v>2.8069246301016335</v>
      </c>
      <c r="AH269" s="1080">
        <f>CHOOSE(Tables!$U$2,Transfer!CF269,Transfer!CS269,Transfer!DF269,Transfer!DS269,Transfer!EF269)</f>
        <v>2.3431346810186255</v>
      </c>
      <c r="AI269" s="1080">
        <f>CHOOSE(Tables!$U$2,Transfer!CG269,Transfer!CT269,Transfer!DG269,Transfer!DT269,Transfer!EG269)</f>
        <v>2.31</v>
      </c>
      <c r="AJ269" s="1080">
        <f>CHOOSE(Tables!$U$2,Transfer!CH269,Transfer!CU269,Transfer!DH269,Transfer!DU269,Transfer!EH269)</f>
        <v>2.34</v>
      </c>
      <c r="AK269" s="1080">
        <f>CHOOSE(Tables!$U$2,Transfer!CI269,Transfer!CV269,Transfer!DI269,Transfer!DV269,Transfer!EI269)</f>
        <v>2.29</v>
      </c>
      <c r="AL269" s="1080">
        <f>CHOOSE(Tables!$U$2,Transfer!CJ269,Transfer!CW269,Transfer!DJ269,Transfer!DW269,Transfer!EJ269)</f>
        <v>2.2000000000000002</v>
      </c>
      <c r="AM269" s="1080">
        <f>CHOOSE(Tables!$U$2,Transfer!CK269,Transfer!CX269,Transfer!DK269,Transfer!DX269,Transfer!EK269)</f>
        <v>2.1800000000000002</v>
      </c>
      <c r="AN269" s="1080">
        <f>CHOOSE(Tables!$U$2,Transfer!CL269,Transfer!CY269,Transfer!DL269,Transfer!DY269,Transfer!EL269)</f>
        <v>2.25</v>
      </c>
      <c r="AO269" s="1080">
        <f>CHOOSE(Tables!$U$2,Transfer!CM269,Transfer!CZ269,Transfer!DM269,Transfer!DZ269,Transfer!EM269)</f>
        <v>2.25</v>
      </c>
      <c r="AR269" s="22">
        <v>169</v>
      </c>
      <c r="AS269" s="30" t="s">
        <v>973</v>
      </c>
      <c r="AT269" s="25">
        <f t="shared" si="42"/>
        <v>0</v>
      </c>
      <c r="AU269" s="25">
        <f t="shared" ca="1" si="42"/>
        <v>1.0971633217469332</v>
      </c>
      <c r="AV269" s="25">
        <f t="shared" ca="1" si="42"/>
        <v>-3.3696623636501499E-2</v>
      </c>
      <c r="AW269" s="25">
        <f t="shared" ca="1" si="41"/>
        <v>-0.91014546268127106</v>
      </c>
      <c r="AX269" s="25">
        <f t="shared" ca="1" si="41"/>
        <v>-0.85692463010163356</v>
      </c>
      <c r="AY269" s="25">
        <f t="shared" ca="1" si="41"/>
        <v>-0.49313468101862545</v>
      </c>
      <c r="AZ269" s="25">
        <f t="shared" ca="1" si="41"/>
        <v>-0.20000000000000018</v>
      </c>
      <c r="BA269" s="25">
        <f t="shared" ca="1" si="41"/>
        <v>-0.1599999999999997</v>
      </c>
      <c r="BB269" s="25">
        <f t="shared" ca="1" si="41"/>
        <v>-6.0000000000000053E-2</v>
      </c>
      <c r="BC269" s="25">
        <f t="shared" ca="1" si="41"/>
        <v>-5.0000000000000266E-2</v>
      </c>
      <c r="BD269" s="25">
        <f t="shared" ca="1" si="41"/>
        <v>-3.0000000000000249E-2</v>
      </c>
      <c r="BE269" s="25">
        <f t="shared" ca="1" si="41"/>
        <v>-0.22999999999999998</v>
      </c>
      <c r="BF269" s="25">
        <f t="shared" ca="1" si="20"/>
        <v>-0.26</v>
      </c>
      <c r="CA269" s="16">
        <v>-9999</v>
      </c>
      <c r="CB269" s="16">
        <v>2.3431346810186255</v>
      </c>
      <c r="CC269" s="16">
        <v>1.8188930177977625</v>
      </c>
      <c r="CD269" s="16">
        <v>1.4820088014496662</v>
      </c>
      <c r="CE269" s="16">
        <v>1.95</v>
      </c>
      <c r="CF269" s="16">
        <v>1.85</v>
      </c>
      <c r="CG269" s="16">
        <v>2.11</v>
      </c>
      <c r="CH269" s="16">
        <v>2.1800000000000002</v>
      </c>
      <c r="CI269" s="16">
        <v>2.23</v>
      </c>
      <c r="CJ269" s="16">
        <v>2.15</v>
      </c>
      <c r="CK269" s="16">
        <v>2.15</v>
      </c>
      <c r="CL269" s="16">
        <v>2.02</v>
      </c>
      <c r="CM269" s="16">
        <v>1.99</v>
      </c>
      <c r="CN269" s="16">
        <v>-9999</v>
      </c>
      <c r="CO269" s="16">
        <v>1.2459713592716923</v>
      </c>
      <c r="CP269" s="16">
        <v>1.852589641434264</v>
      </c>
      <c r="CQ269" s="16">
        <v>2.3921542641309372</v>
      </c>
      <c r="CR269" s="16">
        <v>2.8069246301016335</v>
      </c>
      <c r="CS269" s="16">
        <v>2.3431346810186255</v>
      </c>
      <c r="CT269" s="16">
        <v>2.31</v>
      </c>
      <c r="CU269" s="16">
        <v>2.34</v>
      </c>
      <c r="CV269" s="16">
        <v>2.29</v>
      </c>
      <c r="CW269" s="16">
        <v>2.2000000000000002</v>
      </c>
      <c r="CX269" s="16">
        <v>2.1800000000000002</v>
      </c>
      <c r="CY269" s="16">
        <v>2.25</v>
      </c>
      <c r="CZ269" s="16">
        <v>2.25</v>
      </c>
      <c r="DA269" s="16">
        <v>-9999</v>
      </c>
      <c r="DB269" s="16">
        <v>2.3431346810186255</v>
      </c>
      <c r="DC269" s="16">
        <v>1.8188930177977625</v>
      </c>
      <c r="DD269" s="16">
        <v>1.88</v>
      </c>
      <c r="DE269" s="16">
        <v>1.95</v>
      </c>
      <c r="DF269" s="16">
        <v>1.85</v>
      </c>
      <c r="DG269" s="16">
        <v>2.11</v>
      </c>
      <c r="DH269" s="16">
        <v>2.1800000000000002</v>
      </c>
      <c r="DI269" s="16">
        <v>2.23</v>
      </c>
      <c r="DJ269" s="16">
        <v>2.15</v>
      </c>
      <c r="DK269" s="16">
        <v>2.15</v>
      </c>
      <c r="DL269" s="16">
        <v>2.02</v>
      </c>
      <c r="DM269" s="16">
        <v>1.99</v>
      </c>
      <c r="DN269" s="16">
        <v>-9999</v>
      </c>
      <c r="DO269" s="16">
        <v>2.3431346810186255</v>
      </c>
      <c r="DP269" s="16">
        <v>1.8188930177977625</v>
      </c>
      <c r="DQ269" s="16">
        <v>1.88</v>
      </c>
      <c r="DR269" s="16">
        <v>1.95</v>
      </c>
      <c r="DS269" s="16">
        <v>1.85</v>
      </c>
      <c r="DT269" s="16">
        <v>2.11</v>
      </c>
      <c r="DU269" s="16">
        <v>2.1800000000000002</v>
      </c>
      <c r="DV269" s="16">
        <v>2.23</v>
      </c>
      <c r="DW269" s="16">
        <v>2.15</v>
      </c>
      <c r="DX269" s="16">
        <v>2.15</v>
      </c>
      <c r="DY269" s="16">
        <v>2.02</v>
      </c>
      <c r="DZ269" s="16">
        <v>1.99</v>
      </c>
      <c r="EA269" s="2257">
        <v>-9999</v>
      </c>
      <c r="EB269" s="2257">
        <v>2.3431346810186255</v>
      </c>
      <c r="EC269" s="2257">
        <v>1.8188930177977625</v>
      </c>
      <c r="ED269" s="2257">
        <v>1.4820088014496662</v>
      </c>
      <c r="EE269" s="2257">
        <v>1.95</v>
      </c>
      <c r="EF269" s="2257">
        <v>1.85</v>
      </c>
      <c r="EG269" s="2257">
        <v>2.11</v>
      </c>
      <c r="EH269" s="2257">
        <v>2.1800000000000002</v>
      </c>
      <c r="EI269" s="2257">
        <v>2.23</v>
      </c>
      <c r="EJ269" s="2257">
        <v>2.15</v>
      </c>
      <c r="EK269" s="2257">
        <v>2.15</v>
      </c>
      <c r="EL269" s="2257">
        <v>2.02</v>
      </c>
      <c r="EM269" s="2257">
        <v>1.99</v>
      </c>
    </row>
    <row r="270" spans="1:143" ht="13.15">
      <c r="A270" s="1967">
        <v>170</v>
      </c>
      <c r="B270" s="33" t="s">
        <v>877</v>
      </c>
      <c r="C270" s="25">
        <v>-9999</v>
      </c>
      <c r="D270" s="1080">
        <f ca="1">OFFSET('Q1'!G313,0,(Last_forecast_year - 3-InputY!$G$3)*4+4)</f>
        <v>1.0904710581373251</v>
      </c>
      <c r="E270" s="1080">
        <f ca="1">OFFSET('Q1'!H313,0,(Last_forecast_year - 3-InputY!$G$3)*4+4)</f>
        <v>3.9764923823820482</v>
      </c>
      <c r="F270" s="1080">
        <f ca="1">OFFSET('Q1'!I313,0,(Last_forecast_year - 3-InputY!$G$3)*4+4)</f>
        <v>4.6586803574824103</v>
      </c>
      <c r="G270" s="1080">
        <f ca="1">OFFSET('Q1'!J313,0,(Last_forecast_year - 3-InputY!$G$3)*4+4)</f>
        <v>4</v>
      </c>
      <c r="H270" s="1080">
        <f ca="1">OFFSET('Q1'!K313,0,(Last_forecast_year - 3-InputY!$G$3)*4+4)</f>
        <v>3.5</v>
      </c>
      <c r="I270" s="1080">
        <f ca="1">OFFSET('Q1'!L313,0,(Last_forecast_year - 3-InputY!$G$3)*4+4)</f>
        <v>3.1</v>
      </c>
      <c r="J270" s="1080">
        <f ca="1">OFFSET('Q1'!M313,0,(Last_forecast_year - 3-InputY!$G$3)*4+4)</f>
        <v>2.4500000000000002</v>
      </c>
      <c r="K270" s="1080">
        <f ca="1">OFFSET('Q1'!N313,0,(Last_forecast_year - 3-InputY!$G$3)*4+4)</f>
        <v>2.4500000000000002</v>
      </c>
      <c r="L270" s="1080">
        <f ca="1">OFFSET('Q1'!O313,0,(Last_forecast_year - 3-InputY!$G$3)*4+4)</f>
        <v>2.1</v>
      </c>
      <c r="M270" s="1080">
        <f ca="1">OFFSET('Q1'!P313,0,(Last_forecast_year - 3-InputY!$G$3)*4+4)</f>
        <v>1.99</v>
      </c>
      <c r="N270" s="1080">
        <f ca="1">OFFSET('Q1'!Q313,0,(Last_forecast_year - 3-InputY!$G$3)*4+4)</f>
        <v>1.78</v>
      </c>
      <c r="O270" s="1080">
        <f ca="1">OFFSET('Q1'!R313,0,(Last_forecast_year - 3-InputY!$G$3)*4+4)</f>
        <v>1.55</v>
      </c>
      <c r="P270" s="26"/>
      <c r="Q270"/>
      <c r="AA270" s="22">
        <v>170</v>
      </c>
      <c r="AB270" s="1080" t="e">
        <f>+#REF!</f>
        <v>#REF!</v>
      </c>
      <c r="AC270" s="1080">
        <f>CHOOSE(Tables!$U$2,Transfer!CA270,Transfer!CN270,Transfer!DA270,Transfer!DN270,Transfer!EA270)</f>
        <v>-9999</v>
      </c>
      <c r="AD270" s="1080">
        <f>CHOOSE(Tables!$U$2,Transfer!CB270,Transfer!CO270,Transfer!DB270,Transfer!DO270,Transfer!EB270)</f>
        <v>3.1690486313241877</v>
      </c>
      <c r="AE270" s="1080">
        <f>CHOOSE(Tables!$U$2,Transfer!CC270,Transfer!CP270,Transfer!DC270,Transfer!DP270,Transfer!EC270)</f>
        <v>1.7550131625987433</v>
      </c>
      <c r="AF270" s="1080">
        <f>CHOOSE(Tables!$U$2,Transfer!CD270,Transfer!CQ270,Transfer!DD270,Transfer!DQ270,Transfer!ED270)</f>
        <v>2.2621208192896063</v>
      </c>
      <c r="AG270" s="1080">
        <f>CHOOSE(Tables!$U$2,Transfer!CE270,Transfer!CR270,Transfer!DE270,Transfer!DR270,Transfer!EE270)</f>
        <v>1.8181818181818272</v>
      </c>
      <c r="AH270" s="1080">
        <f>CHOOSE(Tables!$U$2,Transfer!CF270,Transfer!CS270,Transfer!DF270,Transfer!DS270,Transfer!EF270)</f>
        <v>1.0904710581373251</v>
      </c>
      <c r="AI270" s="1080">
        <f>CHOOSE(Tables!$U$2,Transfer!CG270,Transfer!CT270,Transfer!DG270,Transfer!DT270,Transfer!EG270)</f>
        <v>1.85</v>
      </c>
      <c r="AJ270" s="1080">
        <f>CHOOSE(Tables!$U$2,Transfer!CH270,Transfer!CU270,Transfer!DH270,Transfer!DU270,Transfer!EH270)</f>
        <v>2.4</v>
      </c>
      <c r="AK270" s="1080">
        <f>CHOOSE(Tables!$U$2,Transfer!CI270,Transfer!CV270,Transfer!DI270,Transfer!DV270,Transfer!EI270)</f>
        <v>2.4900000000000002</v>
      </c>
      <c r="AL270" s="1080">
        <f>CHOOSE(Tables!$U$2,Transfer!CJ270,Transfer!CW270,Transfer!DJ270,Transfer!DW270,Transfer!EJ270)</f>
        <v>2.2000000000000002</v>
      </c>
      <c r="AM270" s="1080">
        <f>CHOOSE(Tables!$U$2,Transfer!CK270,Transfer!CX270,Transfer!DK270,Transfer!DX270,Transfer!EK270)</f>
        <v>1.8</v>
      </c>
      <c r="AN270" s="1080">
        <f>CHOOSE(Tables!$U$2,Transfer!CL270,Transfer!CY270,Transfer!DL270,Transfer!DY270,Transfer!EL270)</f>
        <v>1.6</v>
      </c>
      <c r="AO270" s="1080">
        <f>CHOOSE(Tables!$U$2,Transfer!CM270,Transfer!CZ270,Transfer!DM270,Transfer!DZ270,Transfer!EM270)</f>
        <v>1.45</v>
      </c>
      <c r="AR270" s="22">
        <v>170</v>
      </c>
      <c r="AS270" s="30" t="s">
        <v>973</v>
      </c>
      <c r="AT270" s="25">
        <f t="shared" si="42"/>
        <v>0</v>
      </c>
      <c r="AU270" s="25">
        <f t="shared" ca="1" si="42"/>
        <v>-2.0785775731868625</v>
      </c>
      <c r="AV270" s="25">
        <f t="shared" ca="1" si="42"/>
        <v>2.2214792197833049</v>
      </c>
      <c r="AW270" s="25">
        <f t="shared" ca="1" si="41"/>
        <v>2.396559538192804</v>
      </c>
      <c r="AX270" s="25">
        <f t="shared" ca="1" si="41"/>
        <v>2.1818181818181728</v>
      </c>
      <c r="AY270" s="25">
        <f t="shared" ca="1" si="41"/>
        <v>2.4095289418626749</v>
      </c>
      <c r="AZ270" s="25">
        <f t="shared" ca="1" si="41"/>
        <v>1.25</v>
      </c>
      <c r="BA270" s="25">
        <f t="shared" ca="1" si="41"/>
        <v>5.0000000000000266E-2</v>
      </c>
      <c r="BB270" s="25">
        <f t="shared" ca="1" si="41"/>
        <v>-4.0000000000000036E-2</v>
      </c>
      <c r="BC270" s="25">
        <f t="shared" ca="1" si="41"/>
        <v>-0.10000000000000009</v>
      </c>
      <c r="BD270" s="25">
        <f t="shared" ca="1" si="41"/>
        <v>0.18999999999999995</v>
      </c>
      <c r="BE270" s="25">
        <f t="shared" ca="1" si="41"/>
        <v>0.17999999999999994</v>
      </c>
      <c r="BF270" s="25">
        <f t="shared" ca="1" si="20"/>
        <v>0.10000000000000009</v>
      </c>
      <c r="CA270" s="16">
        <v>-9999</v>
      </c>
      <c r="CB270" s="16">
        <v>1.0904710581373251</v>
      </c>
      <c r="CC270" s="16">
        <v>3.9764923823820482</v>
      </c>
      <c r="CD270" s="16">
        <v>4.6586803574824103</v>
      </c>
      <c r="CE270" s="16">
        <v>4</v>
      </c>
      <c r="CF270" s="16">
        <v>3.5</v>
      </c>
      <c r="CG270" s="16">
        <v>3.1</v>
      </c>
      <c r="CH270" s="16">
        <v>2.4500000000000002</v>
      </c>
      <c r="CI270" s="16">
        <v>2.4500000000000002</v>
      </c>
      <c r="CJ270" s="16">
        <v>2.1</v>
      </c>
      <c r="CK270" s="16">
        <v>1.99</v>
      </c>
      <c r="CL270" s="16">
        <v>1.78</v>
      </c>
      <c r="CM270" s="16">
        <v>1.55</v>
      </c>
      <c r="CN270" s="16">
        <v>-9999</v>
      </c>
      <c r="CO270" s="16">
        <v>3.1690486313241877</v>
      </c>
      <c r="CP270" s="16">
        <v>1.7550131625987433</v>
      </c>
      <c r="CQ270" s="16">
        <v>2.2621208192896063</v>
      </c>
      <c r="CR270" s="16">
        <v>1.8181818181818272</v>
      </c>
      <c r="CS270" s="16">
        <v>1.0904710581373251</v>
      </c>
      <c r="CT270" s="16">
        <v>1.85</v>
      </c>
      <c r="CU270" s="16">
        <v>2.4</v>
      </c>
      <c r="CV270" s="16">
        <v>2.4900000000000002</v>
      </c>
      <c r="CW270" s="16">
        <v>2.2000000000000002</v>
      </c>
      <c r="CX270" s="16">
        <v>1.8</v>
      </c>
      <c r="CY270" s="16">
        <v>1.6</v>
      </c>
      <c r="CZ270" s="16">
        <v>1.45</v>
      </c>
      <c r="DA270" s="16">
        <v>-9999</v>
      </c>
      <c r="DB270" s="16">
        <v>1.0904710581373251</v>
      </c>
      <c r="DC270" s="16">
        <v>3.9764923823820482</v>
      </c>
      <c r="DD270" s="16">
        <v>4.3</v>
      </c>
      <c r="DE270" s="16">
        <v>4.25</v>
      </c>
      <c r="DF270" s="16">
        <v>3.5</v>
      </c>
      <c r="DG270" s="16">
        <v>3.1</v>
      </c>
      <c r="DH270" s="16">
        <v>2.4500000000000002</v>
      </c>
      <c r="DI270" s="16">
        <v>2.4500000000000002</v>
      </c>
      <c r="DJ270" s="16">
        <v>2.1</v>
      </c>
      <c r="DK270" s="16">
        <v>1.99</v>
      </c>
      <c r="DL270" s="16">
        <v>1.2</v>
      </c>
      <c r="DM270" s="16">
        <v>1.1000000000000001</v>
      </c>
      <c r="DN270" s="16">
        <v>-9999</v>
      </c>
      <c r="DO270" s="16">
        <v>1.0904710581373251</v>
      </c>
      <c r="DP270" s="16">
        <v>3.9764923823820482</v>
      </c>
      <c r="DQ270" s="16">
        <v>4.3</v>
      </c>
      <c r="DR270" s="16">
        <v>4.25</v>
      </c>
      <c r="DS270" s="16">
        <v>3.5</v>
      </c>
      <c r="DT270" s="16">
        <v>3.1</v>
      </c>
      <c r="DU270" s="16">
        <v>2.4500000000000002</v>
      </c>
      <c r="DV270" s="16">
        <v>2.4500000000000002</v>
      </c>
      <c r="DW270" s="16">
        <v>2.1</v>
      </c>
      <c r="DX270" s="16">
        <v>1.99</v>
      </c>
      <c r="DY270" s="16">
        <v>1.2</v>
      </c>
      <c r="DZ270" s="16">
        <v>1.1000000000000001</v>
      </c>
      <c r="EA270" s="2257">
        <v>-9999</v>
      </c>
      <c r="EB270" s="2257">
        <v>1.0904710581373251</v>
      </c>
      <c r="EC270" s="2257">
        <v>3.9764923823820482</v>
      </c>
      <c r="ED270" s="2257">
        <v>4.6586803574824103</v>
      </c>
      <c r="EE270" s="2257">
        <v>4</v>
      </c>
      <c r="EF270" s="2257">
        <v>3.5</v>
      </c>
      <c r="EG270" s="2257">
        <v>3.1</v>
      </c>
      <c r="EH270" s="2257">
        <v>2.4500000000000002</v>
      </c>
      <c r="EI270" s="2257">
        <v>2.4500000000000002</v>
      </c>
      <c r="EJ270" s="2257">
        <v>2.1</v>
      </c>
      <c r="EK270" s="2257">
        <v>1.99</v>
      </c>
      <c r="EL270" s="2257">
        <v>1.78</v>
      </c>
      <c r="EM270" s="2257">
        <v>1.55</v>
      </c>
    </row>
    <row r="271" spans="1:143" ht="13.15">
      <c r="A271" s="1967">
        <v>171</v>
      </c>
      <c r="B271" s="33" t="s">
        <v>1022</v>
      </c>
      <c r="C271" s="25">
        <v>-9999</v>
      </c>
      <c r="D271" s="1080">
        <f ca="1">OFFSET('Q1'!G315,0,(Last_forecast_year - 3-InputY!$G$3)*4+4)</f>
        <v>1.9742657892151954</v>
      </c>
      <c r="E271" s="1080">
        <f ca="1">OFFSET('Q1'!H315,0,(Last_forecast_year - 3-InputY!$G$3)*4+4)</f>
        <v>1.5086206896551886</v>
      </c>
      <c r="F271" s="1080">
        <f ca="1">OFFSET('Q1'!I315,0,(Last_forecast_year - 3-InputY!$G$3)*4+4)</f>
        <v>1.380099850542166</v>
      </c>
      <c r="G271" s="1080">
        <f ca="1">OFFSET('Q1'!J315,0,(Last_forecast_year - 3-InputY!$G$3)*4+4)</f>
        <v>1.88</v>
      </c>
      <c r="H271" s="1080">
        <f ca="1">OFFSET('Q1'!K315,0,(Last_forecast_year - 3-InputY!$G$3)*4+4)</f>
        <v>1.88</v>
      </c>
      <c r="I271" s="1080">
        <f ca="1">OFFSET('Q1'!L315,0,(Last_forecast_year - 3-InputY!$G$3)*4+4)</f>
        <v>1.99</v>
      </c>
      <c r="J271" s="1080">
        <f ca="1">OFFSET('Q1'!M315,0,(Last_forecast_year - 3-InputY!$G$3)*4+4)</f>
        <v>2.0099999999999998</v>
      </c>
      <c r="K271" s="1080">
        <f ca="1">OFFSET('Q1'!N315,0,(Last_forecast_year - 3-InputY!$G$3)*4+4)</f>
        <v>2.33</v>
      </c>
      <c r="L271" s="1080">
        <f ca="1">OFFSET('Q1'!O315,0,(Last_forecast_year - 3-InputY!$G$3)*4+4)</f>
        <v>2.4500000000000002</v>
      </c>
      <c r="M271" s="1080">
        <f ca="1">OFFSET('Q1'!P315,0,(Last_forecast_year - 3-InputY!$G$3)*4+4)</f>
        <v>2.5099999999999998</v>
      </c>
      <c r="N271" s="1080">
        <f ca="1">OFFSET('Q1'!Q315,0,(Last_forecast_year - 3-InputY!$G$3)*4+4)</f>
        <v>2.65</v>
      </c>
      <c r="O271" s="1080">
        <f ca="1">OFFSET('Q1'!R315,0,(Last_forecast_year - 3-InputY!$G$3)*4+4)</f>
        <v>2.63</v>
      </c>
      <c r="P271" s="26"/>
      <c r="Q271"/>
      <c r="AA271" s="22">
        <v>171</v>
      </c>
      <c r="AB271" s="1080" t="str">
        <f t="shared" si="30"/>
        <v>HICP Q SERVICES</v>
      </c>
      <c r="AC271" s="1080">
        <f>CHOOSE(Tables!$U$2,Transfer!CA271,Transfer!CN271,Transfer!DA271,Transfer!DN271,Transfer!EA271)</f>
        <v>-9999</v>
      </c>
      <c r="AD271" s="1080">
        <f>CHOOSE(Tables!$U$2,Transfer!CB271,Transfer!CO271,Transfer!DB271,Transfer!DO271,Transfer!EB271)</f>
        <v>1.0788628917496794</v>
      </c>
      <c r="AE271" s="1080">
        <f>CHOOSE(Tables!$U$2,Transfer!CC271,Transfer!CP271,Transfer!DC271,Transfer!DP271,Transfer!EC271)</f>
        <v>2.3978919631093589</v>
      </c>
      <c r="AF271" s="1080">
        <f>CHOOSE(Tables!$U$2,Transfer!CD271,Transfer!CQ271,Transfer!DD271,Transfer!DQ271,Transfer!ED271)</f>
        <v>3.0441051182908581</v>
      </c>
      <c r="AG271" s="1080">
        <f>CHOOSE(Tables!$U$2,Transfer!CE271,Transfer!CR271,Transfer!DE271,Transfer!DR271,Transfer!EE271)</f>
        <v>2.4140766321328613</v>
      </c>
      <c r="AH271" s="1080">
        <f>CHOOSE(Tables!$U$2,Transfer!CF271,Transfer!CS271,Transfer!DF271,Transfer!DS271,Transfer!EF271)</f>
        <v>1.9742657892151954</v>
      </c>
      <c r="AI271" s="1080">
        <f>CHOOSE(Tables!$U$2,Transfer!CG271,Transfer!CT271,Transfer!DG271,Transfer!DT271,Transfer!EG271)</f>
        <v>2.1</v>
      </c>
      <c r="AJ271" s="1080">
        <f>CHOOSE(Tables!$U$2,Transfer!CH271,Transfer!CU271,Transfer!DH271,Transfer!DU271,Transfer!EH271)</f>
        <v>2.25</v>
      </c>
      <c r="AK271" s="1080">
        <f>CHOOSE(Tables!$U$2,Transfer!CI271,Transfer!CV271,Transfer!DI271,Transfer!DV271,Transfer!EI271)</f>
        <v>2.25</v>
      </c>
      <c r="AL271" s="1080">
        <f>CHOOSE(Tables!$U$2,Transfer!CJ271,Transfer!CW271,Transfer!DJ271,Transfer!DW271,Transfer!EJ271)</f>
        <v>2.4500000000000002</v>
      </c>
      <c r="AM271" s="1080">
        <f>CHOOSE(Tables!$U$2,Transfer!CK271,Transfer!CX271,Transfer!DK271,Transfer!DX271,Transfer!EK271)</f>
        <v>2.5499999999999998</v>
      </c>
      <c r="AN271" s="1080">
        <f>CHOOSE(Tables!$U$2,Transfer!CL271,Transfer!CY271,Transfer!DL271,Transfer!DY271,Transfer!EL271)</f>
        <v>2.66</v>
      </c>
      <c r="AO271" s="1080">
        <f>CHOOSE(Tables!$U$2,Transfer!CM271,Transfer!CZ271,Transfer!DM271,Transfer!DZ271,Transfer!EM271)</f>
        <v>2.77</v>
      </c>
      <c r="AR271" s="22">
        <v>171</v>
      </c>
      <c r="AS271" s="30" t="s">
        <v>973</v>
      </c>
      <c r="AT271" s="25">
        <f t="shared" si="42"/>
        <v>0</v>
      </c>
      <c r="AU271" s="25">
        <f t="shared" ca="1" si="42"/>
        <v>0.89540289746551593</v>
      </c>
      <c r="AV271" s="25">
        <f t="shared" ca="1" si="42"/>
        <v>-0.88927127345417034</v>
      </c>
      <c r="AW271" s="25">
        <f t="shared" ca="1" si="41"/>
        <v>-1.6640052677486921</v>
      </c>
      <c r="AX271" s="25">
        <f t="shared" ca="1" si="41"/>
        <v>-0.53407663213286138</v>
      </c>
      <c r="AY271" s="25">
        <f t="shared" ca="1" si="41"/>
        <v>-9.4265789215195461E-2</v>
      </c>
      <c r="AZ271" s="25">
        <f t="shared" ca="1" si="41"/>
        <v>-0.1100000000000001</v>
      </c>
      <c r="BA271" s="25">
        <f t="shared" ca="1" si="41"/>
        <v>-0.24000000000000021</v>
      </c>
      <c r="BB271" s="25">
        <f t="shared" ca="1" si="41"/>
        <v>8.0000000000000071E-2</v>
      </c>
      <c r="BC271" s="25">
        <f t="shared" ca="1" si="41"/>
        <v>0</v>
      </c>
      <c r="BD271" s="25">
        <f t="shared" ca="1" si="41"/>
        <v>-4.0000000000000036E-2</v>
      </c>
      <c r="BE271" s="25">
        <f t="shared" ca="1" si="41"/>
        <v>-1.0000000000000231E-2</v>
      </c>
      <c r="BF271" s="25">
        <f t="shared" ca="1" si="41"/>
        <v>-0.14000000000000012</v>
      </c>
      <c r="CA271" s="16">
        <v>-9999</v>
      </c>
      <c r="CB271" s="16">
        <v>1.9742657892151954</v>
      </c>
      <c r="CC271" s="16">
        <v>1.5086206896551886</v>
      </c>
      <c r="CD271" s="16">
        <v>1.380099850542166</v>
      </c>
      <c r="CE271" s="16">
        <v>1.88</v>
      </c>
      <c r="CF271" s="16">
        <v>1.88</v>
      </c>
      <c r="CG271" s="16">
        <v>1.99</v>
      </c>
      <c r="CH271" s="16">
        <v>2.0099999999999998</v>
      </c>
      <c r="CI271" s="16">
        <v>2.33</v>
      </c>
      <c r="CJ271" s="16">
        <v>2.4500000000000002</v>
      </c>
      <c r="CK271" s="16">
        <v>2.5099999999999998</v>
      </c>
      <c r="CL271" s="16">
        <v>2.65</v>
      </c>
      <c r="CM271" s="16">
        <v>2.63</v>
      </c>
      <c r="CN271" s="16">
        <v>-9999</v>
      </c>
      <c r="CO271" s="16">
        <v>1.0788628917496794</v>
      </c>
      <c r="CP271" s="16">
        <v>2.3978919631093589</v>
      </c>
      <c r="CQ271" s="16">
        <v>3.0441051182908581</v>
      </c>
      <c r="CR271" s="16">
        <v>2.4140766321328613</v>
      </c>
      <c r="CS271" s="16">
        <v>1.9742657892151954</v>
      </c>
      <c r="CT271" s="16">
        <v>2.1</v>
      </c>
      <c r="CU271" s="16">
        <v>2.25</v>
      </c>
      <c r="CV271" s="16">
        <v>2.25</v>
      </c>
      <c r="CW271" s="16">
        <v>2.4500000000000002</v>
      </c>
      <c r="CX271" s="16">
        <v>2.5499999999999998</v>
      </c>
      <c r="CY271" s="16">
        <v>2.66</v>
      </c>
      <c r="CZ271" s="16">
        <v>2.77</v>
      </c>
      <c r="DA271" s="16">
        <v>-9999</v>
      </c>
      <c r="DB271" s="16">
        <v>1.9742657892151954</v>
      </c>
      <c r="DC271" s="16">
        <v>1.5086206896551886</v>
      </c>
      <c r="DD271" s="16">
        <v>1.61</v>
      </c>
      <c r="DE271" s="16">
        <v>1.88</v>
      </c>
      <c r="DF271" s="16">
        <v>1.88</v>
      </c>
      <c r="DG271" s="16">
        <v>1.99</v>
      </c>
      <c r="DH271" s="16">
        <v>2.0099999999999998</v>
      </c>
      <c r="DI271" s="16">
        <v>2.33</v>
      </c>
      <c r="DJ271" s="16">
        <v>2.4500000000000002</v>
      </c>
      <c r="DK271" s="16">
        <v>2.33</v>
      </c>
      <c r="DL271" s="16">
        <v>2.29</v>
      </c>
      <c r="DM271" s="16">
        <v>2.12</v>
      </c>
      <c r="DN271" s="16">
        <v>-9999</v>
      </c>
      <c r="DO271" s="16">
        <v>1.9742657892151954</v>
      </c>
      <c r="DP271" s="16">
        <v>1.5086206896551886</v>
      </c>
      <c r="DQ271" s="16">
        <v>1.61</v>
      </c>
      <c r="DR271" s="16">
        <v>1.88</v>
      </c>
      <c r="DS271" s="16">
        <v>1.88</v>
      </c>
      <c r="DT271" s="16">
        <v>1.99</v>
      </c>
      <c r="DU271" s="16">
        <v>2.0099999999999998</v>
      </c>
      <c r="DV271" s="16">
        <v>2.33</v>
      </c>
      <c r="DW271" s="16">
        <v>2.4500000000000002</v>
      </c>
      <c r="DX271" s="16">
        <v>2.33</v>
      </c>
      <c r="DY271" s="16">
        <v>2.29</v>
      </c>
      <c r="DZ271" s="16">
        <v>2.12</v>
      </c>
      <c r="EA271" s="2257">
        <v>-9999</v>
      </c>
      <c r="EB271" s="2257">
        <v>1.9742657892151954</v>
      </c>
      <c r="EC271" s="2257">
        <v>1.5086206896551886</v>
      </c>
      <c r="ED271" s="2257">
        <v>1.380099850542166</v>
      </c>
      <c r="EE271" s="2257">
        <v>1.88</v>
      </c>
      <c r="EF271" s="2257">
        <v>1.88</v>
      </c>
      <c r="EG271" s="2257">
        <v>1.99</v>
      </c>
      <c r="EH271" s="2257">
        <v>2.0099999999999998</v>
      </c>
      <c r="EI271" s="2257">
        <v>2.33</v>
      </c>
      <c r="EJ271" s="2257">
        <v>2.4500000000000002</v>
      </c>
      <c r="EK271" s="2257">
        <v>2.5099999999999998</v>
      </c>
      <c r="EL271" s="2257">
        <v>2.65</v>
      </c>
      <c r="EM271" s="2257">
        <v>2.63</v>
      </c>
    </row>
    <row r="272" spans="1:143" ht="13.15">
      <c r="A272" s="1967">
        <v>172</v>
      </c>
      <c r="B272" s="33" t="s">
        <v>1373</v>
      </c>
      <c r="C272" s="35">
        <f ca="1">OFFSET('VVP2'!F378,0,Last_forecast_year - 3-InputY!$G$3)</f>
        <v>101.08916666666666</v>
      </c>
      <c r="D272" s="35">
        <f ca="1">OFFSET('VVP2'!G378,0,Last_forecast_year - 3-InputY!$G$3)</f>
        <v>101.19</v>
      </c>
      <c r="E272" s="35">
        <f ca="1">OFFSET('VVP2'!H378,0,Last_forecast_year - 3-InputY!$G$3)</f>
        <v>101.34324416666666</v>
      </c>
      <c r="F272" s="35">
        <f ca="1">OFFSET('VVP2'!I378,0,Last_forecast_year - 3-InputY!$G$3)</f>
        <v>101.52536707749999</v>
      </c>
      <c r="G272" s="35">
        <f ca="1">OFFSET('VVP2'!J378,0,Last_forecast_year - 3-InputY!$G$3)</f>
        <v>101.6246004435329</v>
      </c>
      <c r="H272" s="25">
        <v>-9999</v>
      </c>
      <c r="I272" s="25">
        <v>-9999</v>
      </c>
      <c r="J272" s="25">
        <v>-9999</v>
      </c>
      <c r="K272" s="25">
        <v>-9999</v>
      </c>
      <c r="L272" s="25">
        <v>-9999</v>
      </c>
      <c r="M272" s="25">
        <v>-9999</v>
      </c>
      <c r="N272" s="25">
        <v>-9999</v>
      </c>
      <c r="O272" s="25">
        <v>-9999</v>
      </c>
      <c r="P272" s="26"/>
      <c r="Q272"/>
      <c r="AA272" s="22">
        <v>172</v>
      </c>
      <c r="AB272" s="1080" t="str">
        <f t="shared" si="30"/>
        <v>HICP Y INDEX NON-ENERGY INDUSTRIAL GOODS</v>
      </c>
      <c r="AC272" s="1080">
        <f>CHOOSE(Tables!$U$2,Transfer!CA272,Transfer!CN272,Transfer!DA272,Transfer!DN272,Transfer!EA272)</f>
        <v>100.00083333333333</v>
      </c>
      <c r="AD272" s="1080">
        <f>CHOOSE(Tables!$U$2,Transfer!CB272,Transfer!CO272,Transfer!DB272,Transfer!DO272,Transfer!EB272)</f>
        <v>101.08916666666666</v>
      </c>
      <c r="AE272" s="1080">
        <f>CHOOSE(Tables!$U$2,Transfer!CC272,Transfer!CP272,Transfer!DC272,Transfer!DP272,Transfer!EC272)</f>
        <v>101.19</v>
      </c>
      <c r="AF272" s="1080">
        <f>CHOOSE(Tables!$U$2,Transfer!CD272,Transfer!CQ272,Transfer!DD272,Transfer!DQ272,Transfer!ED272)</f>
        <v>101.37119425</v>
      </c>
      <c r="AG272" s="1080">
        <f>CHOOSE(Tables!$U$2,Transfer!CE272,Transfer!CR272,Transfer!DE272,Transfer!DR272,Transfer!EE272)</f>
        <v>101.558637820925</v>
      </c>
      <c r="AH272" s="1080">
        <f>CHOOSE(Tables!$U$2,Transfer!CF272,Transfer!CS272,Transfer!DF272,Transfer!DS272,Transfer!EF272)</f>
        <v>-9999</v>
      </c>
      <c r="AI272" s="1080">
        <f>CHOOSE(Tables!$U$2,Transfer!CG272,Transfer!CT272,Transfer!DG272,Transfer!DT272,Transfer!EG272)</f>
        <v>-9999</v>
      </c>
      <c r="AJ272" s="1080">
        <f>CHOOSE(Tables!$U$2,Transfer!CH272,Transfer!CU272,Transfer!DH272,Transfer!DU272,Transfer!EH272)</f>
        <v>-9999</v>
      </c>
      <c r="AK272" s="1080">
        <f>CHOOSE(Tables!$U$2,Transfer!CI272,Transfer!CV272,Transfer!DI272,Transfer!DV272,Transfer!EI272)</f>
        <v>-9999</v>
      </c>
      <c r="AL272" s="1080">
        <f>CHOOSE(Tables!$U$2,Transfer!CJ272,Transfer!CW272,Transfer!DJ272,Transfer!DW272,Transfer!EJ272)</f>
        <v>-9999</v>
      </c>
      <c r="AM272" s="1080">
        <f>CHOOSE(Tables!$U$2,Transfer!CK272,Transfer!CX272,Transfer!DK272,Transfer!DX272,Transfer!EK272)</f>
        <v>-9999</v>
      </c>
      <c r="AN272" s="1080">
        <f>CHOOSE(Tables!$U$2,Transfer!CL272,Transfer!CY272,Transfer!DL272,Transfer!DY272,Transfer!EL272)</f>
        <v>-9999</v>
      </c>
      <c r="AO272" s="1080">
        <f>CHOOSE(Tables!$U$2,Transfer!CM272,Transfer!CZ272,Transfer!DM272,Transfer!DZ272,Transfer!EM272)</f>
        <v>-9999</v>
      </c>
      <c r="AR272" s="22">
        <v>172</v>
      </c>
      <c r="AS272" s="30" t="s">
        <v>973</v>
      </c>
      <c r="AT272" s="25">
        <f t="shared" ca="1" si="42"/>
        <v>1.088333333333324</v>
      </c>
      <c r="AU272" s="25">
        <f t="shared" ca="1" si="42"/>
        <v>0.1008333333333411</v>
      </c>
      <c r="AV272" s="25">
        <f t="shared" ca="1" si="42"/>
        <v>0.15324416666666707</v>
      </c>
      <c r="AW272" s="25">
        <f t="shared" ca="1" si="41"/>
        <v>0.15417282749999117</v>
      </c>
      <c r="AX272" s="25">
        <f t="shared" ca="1" si="41"/>
        <v>6.5962622607898425E-2</v>
      </c>
      <c r="AY272" s="25">
        <f t="shared" si="41"/>
        <v>0</v>
      </c>
      <c r="AZ272" s="25">
        <f t="shared" si="41"/>
        <v>0</v>
      </c>
      <c r="BA272" s="25">
        <f t="shared" si="41"/>
        <v>0</v>
      </c>
      <c r="BB272" s="25">
        <f t="shared" si="41"/>
        <v>0</v>
      </c>
      <c r="BC272" s="25">
        <f t="shared" si="41"/>
        <v>0</v>
      </c>
      <c r="BD272" s="25">
        <f t="shared" si="41"/>
        <v>0</v>
      </c>
      <c r="BE272" s="25">
        <f t="shared" si="41"/>
        <v>0</v>
      </c>
      <c r="BF272" s="25">
        <f t="shared" si="41"/>
        <v>0</v>
      </c>
      <c r="CA272" s="16">
        <v>101.08916666666666</v>
      </c>
      <c r="CB272" s="16">
        <v>101.19</v>
      </c>
      <c r="CC272" s="16">
        <v>101.34324416666666</v>
      </c>
      <c r="CD272" s="16">
        <v>101.52536707749999</v>
      </c>
      <c r="CE272" s="16">
        <v>101.6246004435329</v>
      </c>
      <c r="CF272" s="16">
        <v>-9999</v>
      </c>
      <c r="CG272" s="16">
        <v>-9999</v>
      </c>
      <c r="CH272" s="16">
        <v>-9999</v>
      </c>
      <c r="CI272" s="16">
        <v>-9999</v>
      </c>
      <c r="CJ272" s="16">
        <v>-9999</v>
      </c>
      <c r="CK272" s="16">
        <v>-9999</v>
      </c>
      <c r="CL272" s="16">
        <v>-9999</v>
      </c>
      <c r="CM272" s="16">
        <v>-9999</v>
      </c>
      <c r="CN272" s="16">
        <v>100.00083333333333</v>
      </c>
      <c r="CO272" s="16">
        <v>101.08916666666666</v>
      </c>
      <c r="CP272" s="16">
        <v>101.19</v>
      </c>
      <c r="CQ272" s="16">
        <v>101.37119425</v>
      </c>
      <c r="CR272" s="16">
        <v>101.558637820925</v>
      </c>
      <c r="CS272" s="16">
        <v>-9999</v>
      </c>
      <c r="CT272" s="16">
        <v>-9999</v>
      </c>
      <c r="CU272" s="16">
        <v>-9999</v>
      </c>
      <c r="CV272" s="16">
        <v>-9999</v>
      </c>
      <c r="CW272" s="16">
        <v>-9999</v>
      </c>
      <c r="CX272" s="16">
        <v>-9999</v>
      </c>
      <c r="CY272" s="16">
        <v>-9999</v>
      </c>
      <c r="CZ272" s="16">
        <v>-9999</v>
      </c>
      <c r="DA272" s="16">
        <v>101.08916666666666</v>
      </c>
      <c r="DB272" s="16">
        <v>101.19</v>
      </c>
      <c r="DC272" s="16">
        <v>101.41552041666665</v>
      </c>
      <c r="DD272" s="16">
        <v>101.59775174187499</v>
      </c>
      <c r="DE272" s="16">
        <v>101.6971371157031</v>
      </c>
      <c r="DF272" s="16">
        <v>-9999</v>
      </c>
      <c r="DG272" s="16">
        <v>-9999</v>
      </c>
      <c r="DH272" s="16">
        <v>-9999</v>
      </c>
      <c r="DI272" s="16">
        <v>-9999</v>
      </c>
      <c r="DJ272" s="16">
        <v>-9999</v>
      </c>
      <c r="DK272" s="16">
        <v>-9999</v>
      </c>
      <c r="DL272" s="16">
        <v>-9999</v>
      </c>
      <c r="DM272" s="16">
        <v>-9999</v>
      </c>
      <c r="DN272" s="16">
        <v>101.08916666666666</v>
      </c>
      <c r="DO272" s="16">
        <v>101.19</v>
      </c>
      <c r="DP272" s="16">
        <v>101.41552041666665</v>
      </c>
      <c r="DQ272" s="16">
        <v>101.59775174187499</v>
      </c>
      <c r="DR272" s="16">
        <v>101.6971371157031</v>
      </c>
      <c r="DS272" s="16">
        <v>-9999</v>
      </c>
      <c r="DT272" s="16">
        <v>-9999</v>
      </c>
      <c r="DU272" s="16">
        <v>-9999</v>
      </c>
      <c r="DV272" s="16">
        <v>-9999</v>
      </c>
      <c r="DW272" s="16">
        <v>-9999</v>
      </c>
      <c r="DX272" s="16">
        <v>-9999</v>
      </c>
      <c r="DY272" s="16">
        <v>-9999</v>
      </c>
      <c r="DZ272" s="16">
        <v>-9999</v>
      </c>
      <c r="EA272" s="2257">
        <v>101.08916666666666</v>
      </c>
      <c r="EB272" s="2257">
        <v>101.19</v>
      </c>
      <c r="EC272" s="2257">
        <v>101.34324416666666</v>
      </c>
      <c r="ED272" s="2257">
        <v>101.52536707749999</v>
      </c>
      <c r="EE272" s="2257">
        <v>101.6246004435329</v>
      </c>
      <c r="EF272" s="2257">
        <v>-9999</v>
      </c>
      <c r="EG272" s="2257">
        <v>-9999</v>
      </c>
      <c r="EH272" s="2257">
        <v>-9999</v>
      </c>
      <c r="EI272" s="2257">
        <v>-9999</v>
      </c>
      <c r="EJ272" s="2257">
        <v>-9999</v>
      </c>
      <c r="EK272" s="2257">
        <v>-9999</v>
      </c>
      <c r="EL272" s="2257">
        <v>-9999</v>
      </c>
      <c r="EM272" s="2257">
        <v>-9999</v>
      </c>
    </row>
    <row r="273" spans="1:144" ht="13.15">
      <c r="A273" s="1967">
        <v>173</v>
      </c>
      <c r="B273" s="33" t="s">
        <v>1374</v>
      </c>
      <c r="C273" s="35">
        <f ca="1">OFFSET('VVP2'!F379,0,Last_forecast_year - 3-InputY!$G$3)</f>
        <v>101.04666666666668</v>
      </c>
      <c r="D273" s="35">
        <f ca="1">OFFSET('VVP2'!G379,0,Last_forecast_year - 3-InputY!$G$3)</f>
        <v>106.40416666666667</v>
      </c>
      <c r="E273" s="35">
        <f ca="1">OFFSET('VVP2'!H379,0,Last_forecast_year - 3-InputY!$G$3)</f>
        <v>116.8212</v>
      </c>
      <c r="F273" s="35">
        <f ca="1">OFFSET('VVP2'!I379,0,Last_forecast_year - 3-InputY!$G$3)</f>
        <v>123.61814587155187</v>
      </c>
      <c r="G273" s="35">
        <f ca="1">OFFSET('VVP2'!J379,0,Last_forecast_year - 3-InputY!$G$3)</f>
        <v>124.88057372260626</v>
      </c>
      <c r="H273" s="25">
        <v>-9999</v>
      </c>
      <c r="I273" s="25">
        <v>-9999</v>
      </c>
      <c r="J273" s="25">
        <v>-9999</v>
      </c>
      <c r="K273" s="25">
        <v>-9999</v>
      </c>
      <c r="L273" s="25">
        <v>-9999</v>
      </c>
      <c r="M273" s="25">
        <v>-9999</v>
      </c>
      <c r="N273" s="25">
        <v>-9999</v>
      </c>
      <c r="O273" s="25">
        <v>-9999</v>
      </c>
      <c r="P273" s="26"/>
      <c r="Q273"/>
      <c r="AA273" s="22">
        <v>173</v>
      </c>
      <c r="AB273" s="1080" t="str">
        <f t="shared" si="30"/>
        <v>HICP Y INDEX ENERGY</v>
      </c>
      <c r="AC273" s="1080">
        <f>CHOOSE(Tables!$U$2,Transfer!CA273,Transfer!CN273,Transfer!DA273,Transfer!DN273,Transfer!EA273)</f>
        <v>100.00166666666667</v>
      </c>
      <c r="AD273" s="1080">
        <f>CHOOSE(Tables!$U$2,Transfer!CB273,Transfer!CO273,Transfer!DB273,Transfer!DO273,Transfer!EB273)</f>
        <v>101.04666666666668</v>
      </c>
      <c r="AE273" s="1080">
        <f>CHOOSE(Tables!$U$2,Transfer!CC273,Transfer!CP273,Transfer!DC273,Transfer!DP273,Transfer!EC273)</f>
        <v>106.40416666666667</v>
      </c>
      <c r="AF273" s="1080">
        <f>CHOOSE(Tables!$U$2,Transfer!CD273,Transfer!CQ273,Transfer!DD273,Transfer!DQ273,Transfer!ED273)</f>
        <v>112.9480015</v>
      </c>
      <c r="AG273" s="1080">
        <f>CHOOSE(Tables!$U$2,Transfer!CE273,Transfer!CR273,Transfer!DE273,Transfer!DR273,Transfer!EE273)</f>
        <v>114.25625854478321</v>
      </c>
      <c r="AH273" s="1080">
        <f>CHOOSE(Tables!$U$2,Transfer!CF273,Transfer!CS273,Transfer!DF273,Transfer!DS273,Transfer!EF273)</f>
        <v>-9999</v>
      </c>
      <c r="AI273" s="1080">
        <f>CHOOSE(Tables!$U$2,Transfer!CG273,Transfer!CT273,Transfer!DG273,Transfer!DT273,Transfer!EG273)</f>
        <v>-9999</v>
      </c>
      <c r="AJ273" s="1080">
        <f>CHOOSE(Tables!$U$2,Transfer!CH273,Transfer!CU273,Transfer!DH273,Transfer!DU273,Transfer!EH273)</f>
        <v>-9999</v>
      </c>
      <c r="AK273" s="1080">
        <f>CHOOSE(Tables!$U$2,Transfer!CI273,Transfer!CV273,Transfer!DI273,Transfer!DV273,Transfer!EI273)</f>
        <v>-9999</v>
      </c>
      <c r="AL273" s="1080">
        <f>CHOOSE(Tables!$U$2,Transfer!CJ273,Transfer!CW273,Transfer!DJ273,Transfer!DW273,Transfer!EJ273)</f>
        <v>-9999</v>
      </c>
      <c r="AM273" s="1080">
        <f>CHOOSE(Tables!$U$2,Transfer!CK273,Transfer!CX273,Transfer!DK273,Transfer!DX273,Transfer!EK273)</f>
        <v>-9999</v>
      </c>
      <c r="AN273" s="1080">
        <f>CHOOSE(Tables!$U$2,Transfer!CL273,Transfer!CY273,Transfer!DL273,Transfer!DY273,Transfer!EL273)</f>
        <v>-9999</v>
      </c>
      <c r="AO273" s="1080">
        <f>CHOOSE(Tables!$U$2,Transfer!CM273,Transfer!CZ273,Transfer!DM273,Transfer!DZ273,Transfer!EM273)</f>
        <v>-9999</v>
      </c>
      <c r="AR273" s="22">
        <v>173</v>
      </c>
      <c r="AS273" s="30" t="s">
        <v>973</v>
      </c>
      <c r="AT273" s="25">
        <f t="shared" ca="1" si="42"/>
        <v>1.0450000000000159</v>
      </c>
      <c r="AU273" s="25">
        <f t="shared" ca="1" si="42"/>
        <v>5.3574999999999875</v>
      </c>
      <c r="AV273" s="25">
        <f t="shared" ca="1" si="42"/>
        <v>10.417033333333336</v>
      </c>
      <c r="AW273" s="25">
        <f t="shared" ca="1" si="41"/>
        <v>10.670144371551871</v>
      </c>
      <c r="AX273" s="25">
        <f t="shared" ca="1" si="41"/>
        <v>10.62431517782305</v>
      </c>
      <c r="AY273" s="25">
        <f t="shared" si="41"/>
        <v>0</v>
      </c>
      <c r="AZ273" s="25">
        <f t="shared" si="41"/>
        <v>0</v>
      </c>
      <c r="BA273" s="25">
        <f t="shared" si="41"/>
        <v>0</v>
      </c>
      <c r="BB273" s="25">
        <f t="shared" si="41"/>
        <v>0</v>
      </c>
      <c r="BC273" s="25">
        <f t="shared" si="41"/>
        <v>0</v>
      </c>
      <c r="BD273" s="25">
        <f t="shared" si="41"/>
        <v>0</v>
      </c>
      <c r="BE273" s="25">
        <f t="shared" si="41"/>
        <v>0</v>
      </c>
      <c r="BF273" s="25">
        <f t="shared" si="41"/>
        <v>0</v>
      </c>
      <c r="CA273" s="16">
        <v>101.04666666666668</v>
      </c>
      <c r="CB273" s="16">
        <v>106.40416666666667</v>
      </c>
      <c r="CC273" s="16">
        <v>116.8212</v>
      </c>
      <c r="CD273" s="16">
        <v>123.61814587155187</v>
      </c>
      <c r="CE273" s="16">
        <v>124.88057372260626</v>
      </c>
      <c r="CF273" s="16">
        <v>-9999</v>
      </c>
      <c r="CG273" s="16">
        <v>-9999</v>
      </c>
      <c r="CH273" s="16">
        <v>-9999</v>
      </c>
      <c r="CI273" s="16">
        <v>-9999</v>
      </c>
      <c r="CJ273" s="16">
        <v>-9999</v>
      </c>
      <c r="CK273" s="16">
        <v>-9999</v>
      </c>
      <c r="CL273" s="16">
        <v>-9999</v>
      </c>
      <c r="CM273" s="16">
        <v>-9999</v>
      </c>
      <c r="CN273" s="16">
        <v>100.00166666666667</v>
      </c>
      <c r="CO273" s="16">
        <v>101.04666666666668</v>
      </c>
      <c r="CP273" s="16">
        <v>106.40416666666667</v>
      </c>
      <c r="CQ273" s="16">
        <v>112.9480015</v>
      </c>
      <c r="CR273" s="16">
        <v>114.25625854478321</v>
      </c>
      <c r="CS273" s="16">
        <v>-9999</v>
      </c>
      <c r="CT273" s="16">
        <v>-9999</v>
      </c>
      <c r="CU273" s="16">
        <v>-9999</v>
      </c>
      <c r="CV273" s="16">
        <v>-9999</v>
      </c>
      <c r="CW273" s="16">
        <v>-9999</v>
      </c>
      <c r="CX273" s="16">
        <v>-9999</v>
      </c>
      <c r="CY273" s="16">
        <v>-9999</v>
      </c>
      <c r="CZ273" s="16">
        <v>-9999</v>
      </c>
      <c r="DA273" s="16">
        <v>101.04666666666668</v>
      </c>
      <c r="DB273" s="16">
        <v>106.40416666666667</v>
      </c>
      <c r="DC273" s="16">
        <v>115.64026367201811</v>
      </c>
      <c r="DD273" s="16">
        <v>120.93115473295552</v>
      </c>
      <c r="DE273" s="16">
        <v>122.46639524081712</v>
      </c>
      <c r="DF273" s="16">
        <v>-9999</v>
      </c>
      <c r="DG273" s="16">
        <v>-9999</v>
      </c>
      <c r="DH273" s="16">
        <v>-9999</v>
      </c>
      <c r="DI273" s="16">
        <v>-9999</v>
      </c>
      <c r="DJ273" s="16">
        <v>-9999</v>
      </c>
      <c r="DK273" s="16">
        <v>-9999</v>
      </c>
      <c r="DL273" s="16">
        <v>-9999</v>
      </c>
      <c r="DM273" s="16">
        <v>-9999</v>
      </c>
      <c r="DN273" s="16">
        <v>101.04666666666668</v>
      </c>
      <c r="DO273" s="16">
        <v>106.40416666666667</v>
      </c>
      <c r="DP273" s="16">
        <v>115.64026367201811</v>
      </c>
      <c r="DQ273" s="16">
        <v>120.93115473295552</v>
      </c>
      <c r="DR273" s="16">
        <v>122.46639524081712</v>
      </c>
      <c r="DS273" s="16">
        <v>-9999</v>
      </c>
      <c r="DT273" s="16">
        <v>-9999</v>
      </c>
      <c r="DU273" s="16">
        <v>-9999</v>
      </c>
      <c r="DV273" s="16">
        <v>-9999</v>
      </c>
      <c r="DW273" s="16">
        <v>-9999</v>
      </c>
      <c r="DX273" s="16">
        <v>-9999</v>
      </c>
      <c r="DY273" s="16">
        <v>-9999</v>
      </c>
      <c r="DZ273" s="16">
        <v>-9999</v>
      </c>
      <c r="EA273" s="2257">
        <v>101.04666666666668</v>
      </c>
      <c r="EB273" s="2257">
        <v>106.40416666666667</v>
      </c>
      <c r="EC273" s="2257">
        <v>116.8212</v>
      </c>
      <c r="ED273" s="2257">
        <v>123.61814587155187</v>
      </c>
      <c r="EE273" s="2257">
        <v>124.88057372260626</v>
      </c>
      <c r="EF273" s="2257">
        <v>-9999</v>
      </c>
      <c r="EG273" s="2257">
        <v>-9999</v>
      </c>
      <c r="EH273" s="2257">
        <v>-9999</v>
      </c>
      <c r="EI273" s="2257">
        <v>-9999</v>
      </c>
      <c r="EJ273" s="2257">
        <v>-9999</v>
      </c>
      <c r="EK273" s="2257">
        <v>-9999</v>
      </c>
      <c r="EL273" s="2257">
        <v>-9999</v>
      </c>
      <c r="EM273" s="2257">
        <v>-9999</v>
      </c>
    </row>
    <row r="274" spans="1:144" ht="13.15">
      <c r="A274" s="1967">
        <v>174</v>
      </c>
      <c r="B274" s="33" t="s">
        <v>1375</v>
      </c>
      <c r="C274" s="35">
        <f ca="1">OFFSET('VVP2'!F381,0,Last_forecast_year - 3-InputY!$G$3)</f>
        <v>100.50833333333333</v>
      </c>
      <c r="D274" s="35">
        <f ca="1">OFFSET('VVP2'!G381,0,Last_forecast_year - 3-InputY!$G$3)</f>
        <v>102.59416666666668</v>
      </c>
      <c r="E274" s="35">
        <f ca="1">OFFSET('VVP2'!H381,0,Last_forecast_year - 3-InputY!$G$3)</f>
        <v>104.54054208333335</v>
      </c>
      <c r="F274" s="35">
        <f ca="1">OFFSET('VVP2'!I381,0,Last_forecast_year - 3-InputY!$G$3)</f>
        <v>106.72873700512501</v>
      </c>
      <c r="G274" s="35">
        <f ca="1">OFFSET('VVP2'!J381,0,Last_forecast_year - 3-InputY!$G$3)</f>
        <v>108.945527655227</v>
      </c>
      <c r="H274" s="25">
        <v>-9999</v>
      </c>
      <c r="I274" s="25">
        <v>-9999</v>
      </c>
      <c r="J274" s="25">
        <v>-9999</v>
      </c>
      <c r="K274" s="25">
        <v>-9999</v>
      </c>
      <c r="L274" s="25">
        <v>-9999</v>
      </c>
      <c r="M274" s="25">
        <v>-9999</v>
      </c>
      <c r="N274" s="25">
        <v>-9999</v>
      </c>
      <c r="O274" s="25">
        <v>-9999</v>
      </c>
      <c r="P274" s="26"/>
      <c r="Q274"/>
      <c r="AA274" s="22">
        <v>174</v>
      </c>
      <c r="AB274" s="1080" t="str">
        <f t="shared" si="30"/>
        <v>HICP Y INDEX PROCESSED FOOD INCL. ALCOHOL AND TOBACCO</v>
      </c>
      <c r="AC274" s="1080">
        <f>CHOOSE(Tables!$U$2,Transfer!CA274,Transfer!CN274,Transfer!DA274,Transfer!DN274,Transfer!EA274)</f>
        <v>100.00083333333333</v>
      </c>
      <c r="AD274" s="1080">
        <f>CHOOSE(Tables!$U$2,Transfer!CB274,Transfer!CO274,Transfer!DB274,Transfer!DO274,Transfer!EB274)</f>
        <v>100.50833333333333</v>
      </c>
      <c r="AE274" s="1080">
        <f>CHOOSE(Tables!$U$2,Transfer!CC274,Transfer!CP274,Transfer!DC274,Transfer!DP274,Transfer!EC274)</f>
        <v>102.59416666666668</v>
      </c>
      <c r="AF274" s="1080">
        <f>CHOOSE(Tables!$U$2,Transfer!CD274,Transfer!CQ274,Transfer!DD274,Transfer!DQ274,Transfer!ED274)</f>
        <v>104.97505541666668</v>
      </c>
      <c r="AG274" s="1080">
        <f>CHOOSE(Tables!$U$2,Transfer!CE274,Transfer!CR274,Transfer!DE274,Transfer!DR274,Transfer!EE274)</f>
        <v>107.30569111082499</v>
      </c>
      <c r="AH274" s="1080">
        <f>CHOOSE(Tables!$U$2,Transfer!CF274,Transfer!CS274,Transfer!DF274,Transfer!DS274,Transfer!EF274)</f>
        <v>-9999</v>
      </c>
      <c r="AI274" s="1080">
        <f>CHOOSE(Tables!$U$2,Transfer!CG274,Transfer!CT274,Transfer!DG274,Transfer!DT274,Transfer!EG274)</f>
        <v>-9999</v>
      </c>
      <c r="AJ274" s="1080">
        <f>CHOOSE(Tables!$U$2,Transfer!CH274,Transfer!CU274,Transfer!DH274,Transfer!DU274,Transfer!EH274)</f>
        <v>-9999</v>
      </c>
      <c r="AK274" s="1080">
        <f>CHOOSE(Tables!$U$2,Transfer!CI274,Transfer!CV274,Transfer!DI274,Transfer!DV274,Transfer!EI274)</f>
        <v>-9999</v>
      </c>
      <c r="AL274" s="1080">
        <f>CHOOSE(Tables!$U$2,Transfer!CJ274,Transfer!CW274,Transfer!DJ274,Transfer!DW274,Transfer!EJ274)</f>
        <v>-9999</v>
      </c>
      <c r="AM274" s="1080">
        <f>CHOOSE(Tables!$U$2,Transfer!CK274,Transfer!CX274,Transfer!DK274,Transfer!DX274,Transfer!EK274)</f>
        <v>-9999</v>
      </c>
      <c r="AN274" s="1080">
        <f>CHOOSE(Tables!$U$2,Transfer!CL274,Transfer!CY274,Transfer!DL274,Transfer!DY274,Transfer!EL274)</f>
        <v>-9999</v>
      </c>
      <c r="AO274" s="1080">
        <f>CHOOSE(Tables!$U$2,Transfer!CM274,Transfer!CZ274,Transfer!DM274,Transfer!DZ274,Transfer!EM274)</f>
        <v>-9999</v>
      </c>
      <c r="AR274" s="22">
        <v>174</v>
      </c>
      <c r="AS274" s="30" t="s">
        <v>973</v>
      </c>
      <c r="AT274" s="25">
        <f t="shared" ca="1" si="42"/>
        <v>0.50749999999999318</v>
      </c>
      <c r="AU274" s="25">
        <f t="shared" ca="1" si="42"/>
        <v>2.0858333333333547</v>
      </c>
      <c r="AV274" s="25">
        <f t="shared" ca="1" si="42"/>
        <v>1.9463754166666689</v>
      </c>
      <c r="AW274" s="25">
        <f t="shared" ca="1" si="41"/>
        <v>1.7536815884583348</v>
      </c>
      <c r="AX274" s="25">
        <f t="shared" ca="1" si="41"/>
        <v>1.6398365444020016</v>
      </c>
      <c r="AY274" s="25">
        <f t="shared" si="41"/>
        <v>0</v>
      </c>
      <c r="AZ274" s="25">
        <f t="shared" si="41"/>
        <v>0</v>
      </c>
      <c r="BA274" s="25">
        <f t="shared" si="41"/>
        <v>0</v>
      </c>
      <c r="BB274" s="25">
        <f t="shared" si="41"/>
        <v>0</v>
      </c>
      <c r="BC274" s="25">
        <f t="shared" si="41"/>
        <v>0</v>
      </c>
      <c r="BD274" s="25">
        <f t="shared" si="41"/>
        <v>0</v>
      </c>
      <c r="BE274" s="25">
        <f t="shared" si="41"/>
        <v>0</v>
      </c>
      <c r="BF274" s="25">
        <f t="shared" si="41"/>
        <v>0</v>
      </c>
      <c r="CA274" s="16">
        <v>100.50833333333333</v>
      </c>
      <c r="CB274" s="16">
        <v>102.59416666666668</v>
      </c>
      <c r="CC274" s="16">
        <v>104.54054208333335</v>
      </c>
      <c r="CD274" s="16">
        <v>106.72873700512501</v>
      </c>
      <c r="CE274" s="16">
        <v>108.945527655227</v>
      </c>
      <c r="CF274" s="16">
        <v>-9999</v>
      </c>
      <c r="CG274" s="16">
        <v>-9999</v>
      </c>
      <c r="CH274" s="16">
        <v>-9999</v>
      </c>
      <c r="CI274" s="16">
        <v>-9999</v>
      </c>
      <c r="CJ274" s="16">
        <v>-9999</v>
      </c>
      <c r="CK274" s="16">
        <v>-9999</v>
      </c>
      <c r="CL274" s="16">
        <v>-9999</v>
      </c>
      <c r="CM274" s="16">
        <v>-9999</v>
      </c>
      <c r="CN274" s="16">
        <v>100.00083333333333</v>
      </c>
      <c r="CO274" s="16">
        <v>100.50833333333333</v>
      </c>
      <c r="CP274" s="16">
        <v>102.59416666666668</v>
      </c>
      <c r="CQ274" s="16">
        <v>104.97505541666668</v>
      </c>
      <c r="CR274" s="16">
        <v>107.30569111082499</v>
      </c>
      <c r="CS274" s="16">
        <v>-9999</v>
      </c>
      <c r="CT274" s="16">
        <v>-9999</v>
      </c>
      <c r="CU274" s="16">
        <v>-9999</v>
      </c>
      <c r="CV274" s="16">
        <v>-9999</v>
      </c>
      <c r="CW274" s="16">
        <v>-9999</v>
      </c>
      <c r="CX274" s="16">
        <v>-9999</v>
      </c>
      <c r="CY274" s="16">
        <v>-9999</v>
      </c>
      <c r="CZ274" s="16">
        <v>-9999</v>
      </c>
      <c r="DA274" s="16">
        <v>100.50833333333333</v>
      </c>
      <c r="DB274" s="16">
        <v>102.59416666666668</v>
      </c>
      <c r="DC274" s="16">
        <v>104.64303808333335</v>
      </c>
      <c r="DD274" s="16">
        <v>106.83346741792501</v>
      </c>
      <c r="DE274" s="16">
        <v>109.05237362236556</v>
      </c>
      <c r="DF274" s="16">
        <v>-9999</v>
      </c>
      <c r="DG274" s="16">
        <v>-9999</v>
      </c>
      <c r="DH274" s="16">
        <v>-9999</v>
      </c>
      <c r="DI274" s="16">
        <v>-9999</v>
      </c>
      <c r="DJ274" s="16">
        <v>-9999</v>
      </c>
      <c r="DK274" s="16">
        <v>-9999</v>
      </c>
      <c r="DL274" s="16">
        <v>-9999</v>
      </c>
      <c r="DM274" s="16">
        <v>-9999</v>
      </c>
      <c r="DN274" s="16">
        <v>100.50833333333333</v>
      </c>
      <c r="DO274" s="16">
        <v>102.59416666666668</v>
      </c>
      <c r="DP274" s="16">
        <v>104.64303808333335</v>
      </c>
      <c r="DQ274" s="16">
        <v>106.83346741792501</v>
      </c>
      <c r="DR274" s="16">
        <v>109.05237362236556</v>
      </c>
      <c r="DS274" s="16">
        <v>-9999</v>
      </c>
      <c r="DT274" s="16">
        <v>-9999</v>
      </c>
      <c r="DU274" s="16">
        <v>-9999</v>
      </c>
      <c r="DV274" s="16">
        <v>-9999</v>
      </c>
      <c r="DW274" s="16">
        <v>-9999</v>
      </c>
      <c r="DX274" s="16">
        <v>-9999</v>
      </c>
      <c r="DY274" s="16">
        <v>-9999</v>
      </c>
      <c r="DZ274" s="16">
        <v>-9999</v>
      </c>
      <c r="EA274" s="2257">
        <v>100.50833333333333</v>
      </c>
      <c r="EB274" s="2257">
        <v>102.59416666666668</v>
      </c>
      <c r="EC274" s="2257">
        <v>104.54054208333335</v>
      </c>
      <c r="ED274" s="2257">
        <v>106.72873700512501</v>
      </c>
      <c r="EE274" s="2257">
        <v>108.945527655227</v>
      </c>
      <c r="EF274" s="2257">
        <v>-9999</v>
      </c>
      <c r="EG274" s="2257">
        <v>-9999</v>
      </c>
      <c r="EH274" s="2257">
        <v>-9999</v>
      </c>
      <c r="EI274" s="2257">
        <v>-9999</v>
      </c>
      <c r="EJ274" s="2257">
        <v>-9999</v>
      </c>
      <c r="EK274" s="2257">
        <v>-9999</v>
      </c>
      <c r="EL274" s="2257">
        <v>-9999</v>
      </c>
      <c r="EM274" s="2257">
        <v>-9999</v>
      </c>
    </row>
    <row r="275" spans="1:144" ht="13.15">
      <c r="A275" s="1967">
        <v>175</v>
      </c>
      <c r="B275" s="33" t="s">
        <v>1376</v>
      </c>
      <c r="C275" s="35">
        <f ca="1">OFFSET('VVP2'!F380,0,Last_forecast_year - 3-InputY!$G$3)</f>
        <v>102.59333333333335</v>
      </c>
      <c r="D275" s="35">
        <f ca="1">OFFSET('VVP2'!G380,0,Last_forecast_year - 3-InputY!$G$3)</f>
        <v>104.90083333333334</v>
      </c>
      <c r="E275" s="35">
        <f ca="1">OFFSET('VVP2'!H380,0,Last_forecast_year - 3-InputY!$G$3)</f>
        <v>108.49906666666666</v>
      </c>
      <c r="F275" s="35">
        <f ca="1">OFFSET('VVP2'!I380,0,Last_forecast_year - 3-InputY!$G$3)</f>
        <v>111.61266546666666</v>
      </c>
      <c r="G275" s="35">
        <f ca="1">OFFSET('VVP2'!J380,0,Last_forecast_year - 3-InputY!$G$3)</f>
        <v>113.68185169223332</v>
      </c>
      <c r="H275" s="25">
        <v>-9999</v>
      </c>
      <c r="I275" s="25">
        <v>-9999</v>
      </c>
      <c r="J275" s="25">
        <v>-9999</v>
      </c>
      <c r="K275" s="25">
        <v>-9999</v>
      </c>
      <c r="L275" s="25">
        <v>-9999</v>
      </c>
      <c r="M275" s="25">
        <v>-9999</v>
      </c>
      <c r="N275" s="25">
        <v>-9999</v>
      </c>
      <c r="O275" s="25">
        <v>-9999</v>
      </c>
      <c r="P275" s="26"/>
      <c r="Q275"/>
      <c r="AA275" s="22">
        <v>175</v>
      </c>
      <c r="AB275" s="1080" t="str">
        <f t="shared" si="30"/>
        <v>HICP Y INDEX UNPROCESSED FOOD</v>
      </c>
      <c r="AC275" s="1080">
        <f>CHOOSE(Tables!$U$2,Transfer!CA275,Transfer!CN275,Transfer!DA275,Transfer!DN275,Transfer!EA275)</f>
        <v>100</v>
      </c>
      <c r="AD275" s="1080">
        <f>CHOOSE(Tables!$U$2,Transfer!CB275,Transfer!CO275,Transfer!DB275,Transfer!DO275,Transfer!EB275)</f>
        <v>102.59333333333335</v>
      </c>
      <c r="AE275" s="1080">
        <f>CHOOSE(Tables!$U$2,Transfer!CC275,Transfer!CP275,Transfer!DC275,Transfer!DP275,Transfer!EC275)</f>
        <v>104.90083333333334</v>
      </c>
      <c r="AF275" s="1080">
        <f>CHOOSE(Tables!$U$2,Transfer!CD275,Transfer!CQ275,Transfer!DD275,Transfer!DQ275,Transfer!ED275)</f>
        <v>106.95430441666667</v>
      </c>
      <c r="AG275" s="1080">
        <f>CHOOSE(Tables!$U$2,Transfer!CE275,Transfer!CR275,Transfer!DE275,Transfer!DR275,Transfer!EE275)</f>
        <v>108.83785074883333</v>
      </c>
      <c r="AH275" s="1080">
        <f>CHOOSE(Tables!$U$2,Transfer!CF275,Transfer!CS275,Transfer!DF275,Transfer!DS275,Transfer!EF275)</f>
        <v>-9999</v>
      </c>
      <c r="AI275" s="1080">
        <f>CHOOSE(Tables!$U$2,Transfer!CG275,Transfer!CT275,Transfer!DG275,Transfer!DT275,Transfer!EG275)</f>
        <v>-9999</v>
      </c>
      <c r="AJ275" s="1080">
        <f>CHOOSE(Tables!$U$2,Transfer!CH275,Transfer!CU275,Transfer!DH275,Transfer!DU275,Transfer!EH275)</f>
        <v>-9999</v>
      </c>
      <c r="AK275" s="1080">
        <f>CHOOSE(Tables!$U$2,Transfer!CI275,Transfer!CV275,Transfer!DI275,Transfer!DV275,Transfer!EI275)</f>
        <v>-9999</v>
      </c>
      <c r="AL275" s="1080">
        <f>CHOOSE(Tables!$U$2,Transfer!CJ275,Transfer!CW275,Transfer!DJ275,Transfer!DW275,Transfer!EJ275)</f>
        <v>-9999</v>
      </c>
      <c r="AM275" s="1080">
        <f>CHOOSE(Tables!$U$2,Transfer!CK275,Transfer!CX275,Transfer!DK275,Transfer!DX275,Transfer!EK275)</f>
        <v>-9999</v>
      </c>
      <c r="AN275" s="1080">
        <f>CHOOSE(Tables!$U$2,Transfer!CL275,Transfer!CY275,Transfer!DL275,Transfer!DY275,Transfer!EL275)</f>
        <v>-9999</v>
      </c>
      <c r="AO275" s="1080">
        <f>CHOOSE(Tables!$U$2,Transfer!CM275,Transfer!CZ275,Transfer!DM275,Transfer!DZ275,Transfer!EM275)</f>
        <v>-9999</v>
      </c>
      <c r="AR275" s="22">
        <v>175</v>
      </c>
      <c r="AS275" s="30" t="s">
        <v>973</v>
      </c>
      <c r="AT275" s="25">
        <f t="shared" ca="1" si="42"/>
        <v>2.5933333333333479</v>
      </c>
      <c r="AU275" s="25">
        <f t="shared" ca="1" si="42"/>
        <v>2.3074999999999903</v>
      </c>
      <c r="AV275" s="25">
        <f t="shared" ca="1" si="42"/>
        <v>3.5982333333333258</v>
      </c>
      <c r="AW275" s="25">
        <f t="shared" ca="1" si="41"/>
        <v>4.6583610499999821</v>
      </c>
      <c r="AX275" s="25">
        <f t="shared" ca="1" si="41"/>
        <v>4.8440009433999904</v>
      </c>
      <c r="AY275" s="25">
        <f t="shared" si="41"/>
        <v>0</v>
      </c>
      <c r="AZ275" s="25">
        <f t="shared" si="41"/>
        <v>0</v>
      </c>
      <c r="BA275" s="25">
        <f t="shared" si="41"/>
        <v>0</v>
      </c>
      <c r="BB275" s="25">
        <f t="shared" si="41"/>
        <v>0</v>
      </c>
      <c r="BC275" s="25">
        <f t="shared" si="41"/>
        <v>0</v>
      </c>
      <c r="BD275" s="25">
        <f t="shared" si="41"/>
        <v>0</v>
      </c>
      <c r="BE275" s="25">
        <f t="shared" si="41"/>
        <v>0</v>
      </c>
      <c r="BF275" s="25">
        <f t="shared" si="41"/>
        <v>0</v>
      </c>
      <c r="CA275" s="16">
        <v>102.59333333333335</v>
      </c>
      <c r="CB275" s="16">
        <v>104.90083333333334</v>
      </c>
      <c r="CC275" s="16">
        <v>108.49906666666666</v>
      </c>
      <c r="CD275" s="16">
        <v>111.61266546666666</v>
      </c>
      <c r="CE275" s="16">
        <v>113.68185169223332</v>
      </c>
      <c r="CF275" s="16">
        <v>-9999</v>
      </c>
      <c r="CG275" s="16">
        <v>-9999</v>
      </c>
      <c r="CH275" s="16">
        <v>-9999</v>
      </c>
      <c r="CI275" s="16">
        <v>-9999</v>
      </c>
      <c r="CJ275" s="16">
        <v>-9999</v>
      </c>
      <c r="CK275" s="16">
        <v>-9999</v>
      </c>
      <c r="CL275" s="16">
        <v>-9999</v>
      </c>
      <c r="CM275" s="16">
        <v>-9999</v>
      </c>
      <c r="CN275" s="16">
        <v>100</v>
      </c>
      <c r="CO275" s="16">
        <v>102.59333333333335</v>
      </c>
      <c r="CP275" s="16">
        <v>104.90083333333334</v>
      </c>
      <c r="CQ275" s="16">
        <v>106.95430441666667</v>
      </c>
      <c r="CR275" s="16">
        <v>108.83785074883333</v>
      </c>
      <c r="CS275" s="16">
        <v>-9999</v>
      </c>
      <c r="CT275" s="16">
        <v>-9999</v>
      </c>
      <c r="CU275" s="16">
        <v>-9999</v>
      </c>
      <c r="CV275" s="16">
        <v>-9999</v>
      </c>
      <c r="CW275" s="16">
        <v>-9999</v>
      </c>
      <c r="CX275" s="16">
        <v>-9999</v>
      </c>
      <c r="CY275" s="16">
        <v>-9999</v>
      </c>
      <c r="CZ275" s="16">
        <v>-9999</v>
      </c>
      <c r="DA275" s="16">
        <v>102.59333333333335</v>
      </c>
      <c r="DB275" s="16">
        <v>104.90083333333334</v>
      </c>
      <c r="DC275" s="16">
        <v>108.47031833333334</v>
      </c>
      <c r="DD275" s="16">
        <v>111.58321279916667</v>
      </c>
      <c r="DE275" s="16">
        <v>113.36270387807333</v>
      </c>
      <c r="DF275" s="16">
        <v>-9999</v>
      </c>
      <c r="DG275" s="16">
        <v>-9999</v>
      </c>
      <c r="DH275" s="16">
        <v>-9999</v>
      </c>
      <c r="DI275" s="16">
        <v>-9999</v>
      </c>
      <c r="DJ275" s="16">
        <v>-9999</v>
      </c>
      <c r="DK275" s="16">
        <v>-9999</v>
      </c>
      <c r="DL275" s="16">
        <v>-9999</v>
      </c>
      <c r="DM275" s="16">
        <v>-9999</v>
      </c>
      <c r="DN275" s="16">
        <v>102.59333333333335</v>
      </c>
      <c r="DO275" s="16">
        <v>104.90083333333334</v>
      </c>
      <c r="DP275" s="16">
        <v>108.47031833333334</v>
      </c>
      <c r="DQ275" s="16">
        <v>111.58321279916667</v>
      </c>
      <c r="DR275" s="16">
        <v>113.36270387807333</v>
      </c>
      <c r="DS275" s="16">
        <v>-9999</v>
      </c>
      <c r="DT275" s="16">
        <v>-9999</v>
      </c>
      <c r="DU275" s="16">
        <v>-9999</v>
      </c>
      <c r="DV275" s="16">
        <v>-9999</v>
      </c>
      <c r="DW275" s="16">
        <v>-9999</v>
      </c>
      <c r="DX275" s="16">
        <v>-9999</v>
      </c>
      <c r="DY275" s="16">
        <v>-9999</v>
      </c>
      <c r="DZ275" s="16">
        <v>-9999</v>
      </c>
      <c r="EA275" s="2257">
        <v>102.59333333333335</v>
      </c>
      <c r="EB275" s="2257">
        <v>104.90083333333334</v>
      </c>
      <c r="EC275" s="2257">
        <v>108.49906666666666</v>
      </c>
      <c r="ED275" s="2257">
        <v>111.61266546666666</v>
      </c>
      <c r="EE275" s="2257">
        <v>113.68185169223332</v>
      </c>
      <c r="EF275" s="2257">
        <v>-9999</v>
      </c>
      <c r="EG275" s="2257">
        <v>-9999</v>
      </c>
      <c r="EH275" s="2257">
        <v>-9999</v>
      </c>
      <c r="EI275" s="2257">
        <v>-9999</v>
      </c>
      <c r="EJ275" s="2257">
        <v>-9999</v>
      </c>
      <c r="EK275" s="2257">
        <v>-9999</v>
      </c>
      <c r="EL275" s="2257">
        <v>-9999</v>
      </c>
      <c r="EM275" s="2257">
        <v>-9999</v>
      </c>
    </row>
    <row r="276" spans="1:144" ht="13.15">
      <c r="A276" s="1967">
        <v>176</v>
      </c>
      <c r="B276" s="33" t="s">
        <v>1377</v>
      </c>
      <c r="C276" s="35">
        <f ca="1">OFFSET('VVP2'!F382,0,Last_forecast_year - 3-InputY!$G$3)</f>
        <v>101.25000000000001</v>
      </c>
      <c r="D276" s="35">
        <f ca="1">OFFSET('VVP2'!G382,0,Last_forecast_year - 3-InputY!$G$3)</f>
        <v>103.51416666666667</v>
      </c>
      <c r="E276" s="35">
        <f ca="1">OFFSET('VVP2'!H382,0,Last_forecast_year - 3-InputY!$G$3)</f>
        <v>105.25701099999999</v>
      </c>
      <c r="F276" s="35">
        <f ca="1">OFFSET('VVP2'!I382,0,Last_forecast_year - 3-InputY!$G$3)</f>
        <v>107.4182743563</v>
      </c>
      <c r="G276" s="35">
        <f ca="1">OFFSET('VVP2'!J382,0,Last_forecast_year - 3-InputY!$G$3)</f>
        <v>110.16901297172068</v>
      </c>
      <c r="H276" s="25">
        <v>-9999</v>
      </c>
      <c r="I276" s="25">
        <v>-9999</v>
      </c>
      <c r="J276" s="25">
        <v>-9999</v>
      </c>
      <c r="K276" s="25">
        <v>-9999</v>
      </c>
      <c r="L276" s="25">
        <v>-9999</v>
      </c>
      <c r="M276" s="25">
        <v>-9999</v>
      </c>
      <c r="N276" s="25">
        <v>-9999</v>
      </c>
      <c r="O276" s="25">
        <v>-9999</v>
      </c>
      <c r="P276" s="26"/>
      <c r="Q276"/>
      <c r="AA276" s="22">
        <v>176</v>
      </c>
      <c r="AB276" s="1080" t="str">
        <f t="shared" si="30"/>
        <v>HICP Y INDEX SERVICES</v>
      </c>
      <c r="AC276" s="1080">
        <f>CHOOSE(Tables!$U$2,Transfer!CA276,Transfer!CN276,Transfer!DA276,Transfer!DN276,Transfer!EA276)</f>
        <v>99.999166666666667</v>
      </c>
      <c r="AD276" s="1080">
        <f>CHOOSE(Tables!$U$2,Transfer!CB276,Transfer!CO276,Transfer!DB276,Transfer!DO276,Transfer!EB276)</f>
        <v>101.25000000000001</v>
      </c>
      <c r="AE276" s="1080">
        <f>CHOOSE(Tables!$U$2,Transfer!CC276,Transfer!CP276,Transfer!DC276,Transfer!DP276,Transfer!EC276)</f>
        <v>103.51416666666667</v>
      </c>
      <c r="AF276" s="1080">
        <f>CHOOSE(Tables!$U$2,Transfer!CD276,Transfer!CQ276,Transfer!DD276,Transfer!DQ276,Transfer!ED276)</f>
        <v>105.73419416666667</v>
      </c>
      <c r="AG276" s="1080">
        <f>CHOOSE(Tables!$U$2,Transfer!CE276,Transfer!CR276,Transfer!DE276,Transfer!DR276,Transfer!EE276)</f>
        <v>108.49230877937501</v>
      </c>
      <c r="AH276" s="1080">
        <f>CHOOSE(Tables!$U$2,Transfer!CF276,Transfer!CS276,Transfer!DF276,Transfer!DS276,Transfer!EF276)</f>
        <v>-9999</v>
      </c>
      <c r="AI276" s="1080">
        <f>CHOOSE(Tables!$U$2,Transfer!CG276,Transfer!CT276,Transfer!DG276,Transfer!DT276,Transfer!EG276)</f>
        <v>-9999</v>
      </c>
      <c r="AJ276" s="1080">
        <f>CHOOSE(Tables!$U$2,Transfer!CH276,Transfer!CU276,Transfer!DH276,Transfer!DU276,Transfer!EH276)</f>
        <v>-9999</v>
      </c>
      <c r="AK276" s="1080">
        <f>CHOOSE(Tables!$U$2,Transfer!CI276,Transfer!CV276,Transfer!DI276,Transfer!DV276,Transfer!EI276)</f>
        <v>-9999</v>
      </c>
      <c r="AL276" s="1080">
        <f>CHOOSE(Tables!$U$2,Transfer!CJ276,Transfer!CW276,Transfer!DJ276,Transfer!DW276,Transfer!EJ276)</f>
        <v>-9999</v>
      </c>
      <c r="AM276" s="1080">
        <f>CHOOSE(Tables!$U$2,Transfer!CK276,Transfer!CX276,Transfer!DK276,Transfer!DX276,Transfer!EK276)</f>
        <v>-9999</v>
      </c>
      <c r="AN276" s="1080">
        <f>CHOOSE(Tables!$U$2,Transfer!CL276,Transfer!CY276,Transfer!DL276,Transfer!DY276,Transfer!EL276)</f>
        <v>-9999</v>
      </c>
      <c r="AO276" s="1080">
        <f>CHOOSE(Tables!$U$2,Transfer!CM276,Transfer!CZ276,Transfer!DM276,Transfer!DZ276,Transfer!EM276)</f>
        <v>-9999</v>
      </c>
      <c r="AR276" s="22">
        <v>176</v>
      </c>
      <c r="AS276" s="30" t="s">
        <v>973</v>
      </c>
      <c r="AT276" s="25">
        <f t="shared" ca="1" si="42"/>
        <v>1.2508333333333468</v>
      </c>
      <c r="AU276" s="25">
        <f t="shared" ca="1" si="42"/>
        <v>2.2641666666666538</v>
      </c>
      <c r="AV276" s="25">
        <f t="shared" ca="1" si="42"/>
        <v>1.7428443333333234</v>
      </c>
      <c r="AW276" s="25">
        <f t="shared" ca="1" si="41"/>
        <v>1.6840801896333346</v>
      </c>
      <c r="AX276" s="25">
        <f t="shared" ca="1" si="41"/>
        <v>1.6767041923456674</v>
      </c>
      <c r="AY276" s="25">
        <f t="shared" si="41"/>
        <v>0</v>
      </c>
      <c r="AZ276" s="25">
        <f t="shared" si="41"/>
        <v>0</v>
      </c>
      <c r="BA276" s="25">
        <f t="shared" si="41"/>
        <v>0</v>
      </c>
      <c r="BB276" s="25">
        <f t="shared" si="41"/>
        <v>0</v>
      </c>
      <c r="BC276" s="25">
        <f t="shared" si="41"/>
        <v>0</v>
      </c>
      <c r="BD276" s="25">
        <f t="shared" si="41"/>
        <v>0</v>
      </c>
      <c r="BE276" s="25">
        <f t="shared" si="41"/>
        <v>0</v>
      </c>
      <c r="BF276" s="25">
        <f t="shared" si="41"/>
        <v>0</v>
      </c>
      <c r="CA276" s="16">
        <v>101.25000000000001</v>
      </c>
      <c r="CB276" s="16">
        <v>103.51416666666667</v>
      </c>
      <c r="CC276" s="16">
        <v>105.25701099999999</v>
      </c>
      <c r="CD276" s="16">
        <v>107.4182743563</v>
      </c>
      <c r="CE276" s="16">
        <v>110.16901297172068</v>
      </c>
      <c r="CF276" s="16">
        <v>-9999</v>
      </c>
      <c r="CG276" s="16">
        <v>-9999</v>
      </c>
      <c r="CH276" s="16">
        <v>-9999</v>
      </c>
      <c r="CI276" s="16">
        <v>-9999</v>
      </c>
      <c r="CJ276" s="16">
        <v>-9999</v>
      </c>
      <c r="CK276" s="16">
        <v>-9999</v>
      </c>
      <c r="CL276" s="16">
        <v>-9999</v>
      </c>
      <c r="CM276" s="16">
        <v>-9999</v>
      </c>
      <c r="CN276" s="16">
        <v>99.999166666666667</v>
      </c>
      <c r="CO276" s="16">
        <v>101.25000000000001</v>
      </c>
      <c r="CP276" s="16">
        <v>103.51416666666667</v>
      </c>
      <c r="CQ276" s="16">
        <v>105.73419416666667</v>
      </c>
      <c r="CR276" s="16">
        <v>108.49230877937501</v>
      </c>
      <c r="CS276" s="16">
        <v>-9999</v>
      </c>
      <c r="CT276" s="16">
        <v>-9999</v>
      </c>
      <c r="CU276" s="16">
        <v>-9999</v>
      </c>
      <c r="CV276" s="16">
        <v>-9999</v>
      </c>
      <c r="CW276" s="16">
        <v>-9999</v>
      </c>
      <c r="CX276" s="16">
        <v>-9999</v>
      </c>
      <c r="CY276" s="16">
        <v>-9999</v>
      </c>
      <c r="CZ276" s="16">
        <v>-9999</v>
      </c>
      <c r="DA276" s="16">
        <v>101.25000000000001</v>
      </c>
      <c r="DB276" s="16">
        <v>103.51416666666667</v>
      </c>
      <c r="DC276" s="16">
        <v>105.31725824999999</v>
      </c>
      <c r="DD276" s="16">
        <v>107.47973257602499</v>
      </c>
      <c r="DE276" s="16">
        <v>109.94806541781026</v>
      </c>
      <c r="DF276" s="16">
        <v>-9999</v>
      </c>
      <c r="DG276" s="16">
        <v>-9999</v>
      </c>
      <c r="DH276" s="16">
        <v>-9999</v>
      </c>
      <c r="DI276" s="16">
        <v>-9999</v>
      </c>
      <c r="DJ276" s="16">
        <v>-9999</v>
      </c>
      <c r="DK276" s="16">
        <v>-9999</v>
      </c>
      <c r="DL276" s="16">
        <v>-9999</v>
      </c>
      <c r="DM276" s="16">
        <v>-9999</v>
      </c>
      <c r="DN276" s="16">
        <v>101.25000000000001</v>
      </c>
      <c r="DO276" s="16">
        <v>103.51416666666667</v>
      </c>
      <c r="DP276" s="16">
        <v>105.31725824999999</v>
      </c>
      <c r="DQ276" s="16">
        <v>107.47973257602499</v>
      </c>
      <c r="DR276" s="16">
        <v>109.94806541781026</v>
      </c>
      <c r="DS276" s="16">
        <v>-9999</v>
      </c>
      <c r="DT276" s="16">
        <v>-9999</v>
      </c>
      <c r="DU276" s="16">
        <v>-9999</v>
      </c>
      <c r="DV276" s="16">
        <v>-9999</v>
      </c>
      <c r="DW276" s="16">
        <v>-9999</v>
      </c>
      <c r="DX276" s="16">
        <v>-9999</v>
      </c>
      <c r="DY276" s="16">
        <v>-9999</v>
      </c>
      <c r="DZ276" s="16">
        <v>-9999</v>
      </c>
      <c r="EA276" s="2257">
        <v>101.25000000000001</v>
      </c>
      <c r="EB276" s="2257">
        <v>103.51416666666667</v>
      </c>
      <c r="EC276" s="2257">
        <v>105.25701099999999</v>
      </c>
      <c r="ED276" s="2257">
        <v>107.4182743563</v>
      </c>
      <c r="EE276" s="2257">
        <v>110.16901297172068</v>
      </c>
      <c r="EF276" s="2257">
        <v>-9999</v>
      </c>
      <c r="EG276" s="2257">
        <v>-9999</v>
      </c>
      <c r="EH276" s="2257">
        <v>-9999</v>
      </c>
      <c r="EI276" s="2257">
        <v>-9999</v>
      </c>
      <c r="EJ276" s="2257">
        <v>-9999</v>
      </c>
      <c r="EK276" s="2257">
        <v>-9999</v>
      </c>
      <c r="EL276" s="2257">
        <v>-9999</v>
      </c>
      <c r="EM276" s="2257">
        <v>-9999</v>
      </c>
    </row>
    <row r="277" spans="1:144" ht="13.15">
      <c r="A277" s="1967">
        <v>177</v>
      </c>
      <c r="B277" s="33" t="s">
        <v>1096</v>
      </c>
      <c r="C277" s="35">
        <f ca="1">OFFSET('VVP2'!F384,0,Last_forecast_year - 3-InputY!$G$3)</f>
        <v>101.06083333333333</v>
      </c>
      <c r="D277" s="35">
        <f ca="1">OFFSET('VVP2'!G384,0,Last_forecast_year - 3-InputY!$G$3)</f>
        <v>102.55250000000001</v>
      </c>
      <c r="E277" s="35">
        <f ca="1">OFFSET('VVP2'!H384,0,Last_forecast_year - 3-InputY!$G$3)</f>
        <v>103.77868574656189</v>
      </c>
      <c r="F277" s="35">
        <f ca="1">OFFSET('VVP2'!I384,0,Last_forecast_year - 3-InputY!$G$3)</f>
        <v>105.25470141515319</v>
      </c>
      <c r="G277" s="35">
        <f ca="1">OFFSET('VVP2'!J384,0,Last_forecast_year - 3-InputY!$G$3)</f>
        <v>106.98338858190908</v>
      </c>
      <c r="H277" s="25">
        <v>-9999</v>
      </c>
      <c r="I277" s="25">
        <v>-9999</v>
      </c>
      <c r="J277" s="25">
        <v>-9999</v>
      </c>
      <c r="K277" s="25">
        <v>-9999</v>
      </c>
      <c r="L277" s="25">
        <v>-9999</v>
      </c>
      <c r="M277" s="25">
        <v>-9999</v>
      </c>
      <c r="N277" s="25">
        <v>-9999</v>
      </c>
      <c r="O277" s="25">
        <v>-9999</v>
      </c>
      <c r="P277" s="26"/>
      <c r="Q277"/>
      <c r="AA277" s="22">
        <v>177</v>
      </c>
      <c r="AB277" s="1080" t="str">
        <f t="shared" si="30"/>
        <v>HICP Y INDEX EXCL. ENERGY AND UNPROCESSED FOOD</v>
      </c>
      <c r="AC277" s="1080">
        <f>CHOOSE(Tables!$U$2,Transfer!CA277,Transfer!CN277,Transfer!DA277,Transfer!DN277,Transfer!EA277)</f>
        <v>99.998333333333321</v>
      </c>
      <c r="AD277" s="1080">
        <f>CHOOSE(Tables!$U$2,Transfer!CB277,Transfer!CO277,Transfer!DB277,Transfer!DO277,Transfer!EB277)</f>
        <v>101.06083333333333</v>
      </c>
      <c r="AE277" s="1080">
        <f>CHOOSE(Tables!$U$2,Transfer!CC277,Transfer!CP277,Transfer!DC277,Transfer!DP277,Transfer!EC277)</f>
        <v>102.55250000000001</v>
      </c>
      <c r="AF277" s="1080">
        <f>CHOOSE(Tables!$U$2,Transfer!CD277,Transfer!CQ277,Transfer!DD277,Transfer!DQ277,Transfer!ED277)</f>
        <v>104.0970154544236</v>
      </c>
      <c r="AG277" s="1080">
        <f>CHOOSE(Tables!$U$2,Transfer!CE277,Transfer!CR277,Transfer!DE277,Transfer!DR277,Transfer!EE277)</f>
        <v>105.88718626214515</v>
      </c>
      <c r="AH277" s="1080">
        <f>CHOOSE(Tables!$U$2,Transfer!CF277,Transfer!CS277,Transfer!DF277,Transfer!DS277,Transfer!EF277)</f>
        <v>-9999</v>
      </c>
      <c r="AI277" s="1080">
        <f>CHOOSE(Tables!$U$2,Transfer!CG277,Transfer!CT277,Transfer!DG277,Transfer!DT277,Transfer!EG277)</f>
        <v>-9999</v>
      </c>
      <c r="AJ277" s="1080">
        <f>CHOOSE(Tables!$U$2,Transfer!CH277,Transfer!CU277,Transfer!DH277,Transfer!DU277,Transfer!EH277)</f>
        <v>-9999</v>
      </c>
      <c r="AK277" s="1080">
        <f>CHOOSE(Tables!$U$2,Transfer!CI277,Transfer!CV277,Transfer!DI277,Transfer!DV277,Transfer!EI277)</f>
        <v>-9999</v>
      </c>
      <c r="AL277" s="1080">
        <f>CHOOSE(Tables!$U$2,Transfer!CJ277,Transfer!CW277,Transfer!DJ277,Transfer!DW277,Transfer!EJ277)</f>
        <v>-9999</v>
      </c>
      <c r="AM277" s="1080">
        <f>CHOOSE(Tables!$U$2,Transfer!CK277,Transfer!CX277,Transfer!DK277,Transfer!DX277,Transfer!EK277)</f>
        <v>-9999</v>
      </c>
      <c r="AN277" s="1080">
        <f>CHOOSE(Tables!$U$2,Transfer!CL277,Transfer!CY277,Transfer!DL277,Transfer!DY277,Transfer!EL277)</f>
        <v>-9999</v>
      </c>
      <c r="AO277" s="1080">
        <f>CHOOSE(Tables!$U$2,Transfer!CM277,Transfer!CZ277,Transfer!DM277,Transfer!DZ277,Transfer!EM277)</f>
        <v>-9999</v>
      </c>
      <c r="AR277" s="22">
        <v>177</v>
      </c>
      <c r="AS277" s="30" t="s">
        <v>973</v>
      </c>
      <c r="AT277" s="25">
        <f t="shared" ca="1" si="42"/>
        <v>1.0625000000000142</v>
      </c>
      <c r="AU277" s="25">
        <f t="shared" ca="1" si="42"/>
        <v>1.4916666666666742</v>
      </c>
      <c r="AV277" s="25">
        <f t="shared" ca="1" si="42"/>
        <v>1.2261857465618817</v>
      </c>
      <c r="AW277" s="25">
        <f t="shared" ca="1" si="41"/>
        <v>1.1576859607295944</v>
      </c>
      <c r="AX277" s="25">
        <f t="shared" ca="1" si="41"/>
        <v>1.0962023197639326</v>
      </c>
      <c r="AY277" s="25">
        <f t="shared" si="41"/>
        <v>0</v>
      </c>
      <c r="AZ277" s="25">
        <f t="shared" si="41"/>
        <v>0</v>
      </c>
      <c r="BA277" s="25">
        <f t="shared" si="41"/>
        <v>0</v>
      </c>
      <c r="BB277" s="25">
        <f t="shared" si="41"/>
        <v>0</v>
      </c>
      <c r="BC277" s="25">
        <f t="shared" si="41"/>
        <v>0</v>
      </c>
      <c r="BD277" s="25">
        <f t="shared" si="41"/>
        <v>0</v>
      </c>
      <c r="BE277" s="25">
        <f t="shared" si="41"/>
        <v>0</v>
      </c>
      <c r="BF277" s="25">
        <f t="shared" si="41"/>
        <v>0</v>
      </c>
      <c r="CA277" s="16">
        <v>101.06083333333333</v>
      </c>
      <c r="CB277" s="16">
        <v>102.55250000000001</v>
      </c>
      <c r="CC277" s="16">
        <v>103.77868574656189</v>
      </c>
      <c r="CD277" s="16">
        <v>105.25470141515319</v>
      </c>
      <c r="CE277" s="16">
        <v>106.98338858190908</v>
      </c>
      <c r="CF277" s="16">
        <v>-9999</v>
      </c>
      <c r="CG277" s="16">
        <v>-9999</v>
      </c>
      <c r="CH277" s="16">
        <v>-9999</v>
      </c>
      <c r="CI277" s="16">
        <v>-9999</v>
      </c>
      <c r="CJ277" s="16">
        <v>-9999</v>
      </c>
      <c r="CK277" s="16">
        <v>-9999</v>
      </c>
      <c r="CL277" s="16">
        <v>-9999</v>
      </c>
      <c r="CM277" s="16">
        <v>-9999</v>
      </c>
      <c r="CN277" s="16">
        <v>99.998333333333321</v>
      </c>
      <c r="CO277" s="16">
        <v>101.06083333333333</v>
      </c>
      <c r="CP277" s="16">
        <v>102.55250000000001</v>
      </c>
      <c r="CQ277" s="16">
        <v>104.0970154544236</v>
      </c>
      <c r="CR277" s="16">
        <v>105.88718626214515</v>
      </c>
      <c r="CS277" s="16">
        <v>-9999</v>
      </c>
      <c r="CT277" s="16">
        <v>-9999</v>
      </c>
      <c r="CU277" s="16">
        <v>-9999</v>
      </c>
      <c r="CV277" s="16">
        <v>-9999</v>
      </c>
      <c r="CW277" s="16">
        <v>-9999</v>
      </c>
      <c r="CX277" s="16">
        <v>-9999</v>
      </c>
      <c r="CY277" s="16">
        <v>-9999</v>
      </c>
      <c r="CZ277" s="16">
        <v>-9999</v>
      </c>
      <c r="DA277" s="16">
        <v>101.06083333333333</v>
      </c>
      <c r="DB277" s="16">
        <v>102.55250000000001</v>
      </c>
      <c r="DC277" s="16">
        <v>103.85170875658619</v>
      </c>
      <c r="DD277" s="16">
        <v>105.32861710537918</v>
      </c>
      <c r="DE277" s="16">
        <v>106.91990686447889</v>
      </c>
      <c r="DF277" s="16">
        <v>-9999</v>
      </c>
      <c r="DG277" s="16">
        <v>-9999</v>
      </c>
      <c r="DH277" s="16">
        <v>-9999</v>
      </c>
      <c r="DI277" s="16">
        <v>-9999</v>
      </c>
      <c r="DJ277" s="16">
        <v>-9999</v>
      </c>
      <c r="DK277" s="16">
        <v>-9999</v>
      </c>
      <c r="DL277" s="16">
        <v>-9999</v>
      </c>
      <c r="DM277" s="16">
        <v>-9999</v>
      </c>
      <c r="DN277" s="16">
        <v>101.06083333333333</v>
      </c>
      <c r="DO277" s="16">
        <v>102.55250000000001</v>
      </c>
      <c r="DP277" s="16">
        <v>103.85170875658619</v>
      </c>
      <c r="DQ277" s="16">
        <v>105.32861710537918</v>
      </c>
      <c r="DR277" s="16">
        <v>106.91990686447889</v>
      </c>
      <c r="DS277" s="16">
        <v>-9999</v>
      </c>
      <c r="DT277" s="16">
        <v>-9999</v>
      </c>
      <c r="DU277" s="16">
        <v>-9999</v>
      </c>
      <c r="DV277" s="16">
        <v>-9999</v>
      </c>
      <c r="DW277" s="16">
        <v>-9999</v>
      </c>
      <c r="DX277" s="16">
        <v>-9999</v>
      </c>
      <c r="DY277" s="16">
        <v>-9999</v>
      </c>
      <c r="DZ277" s="16">
        <v>-9999</v>
      </c>
      <c r="EA277" s="2257">
        <v>101.06083333333333</v>
      </c>
      <c r="EB277" s="2257">
        <v>102.55250000000001</v>
      </c>
      <c r="EC277" s="2257">
        <v>103.77868574656189</v>
      </c>
      <c r="ED277" s="2257">
        <v>105.25470141515319</v>
      </c>
      <c r="EE277" s="2257">
        <v>106.98338858190908</v>
      </c>
      <c r="EF277" s="2257">
        <v>-9999</v>
      </c>
      <c r="EG277" s="2257">
        <v>-9999</v>
      </c>
      <c r="EH277" s="2257">
        <v>-9999</v>
      </c>
      <c r="EI277" s="2257">
        <v>-9999</v>
      </c>
      <c r="EJ277" s="2257">
        <v>-9999</v>
      </c>
      <c r="EK277" s="2257">
        <v>-9999</v>
      </c>
      <c r="EL277" s="2257">
        <v>-9999</v>
      </c>
      <c r="EM277" s="2257">
        <v>-9999</v>
      </c>
    </row>
    <row r="278" spans="1:144" ht="13.15">
      <c r="A278" s="22">
        <v>178</v>
      </c>
      <c r="B278" s="30" t="s">
        <v>973</v>
      </c>
      <c r="C278" s="25">
        <v>-9999</v>
      </c>
      <c r="D278" s="25">
        <v>-9999</v>
      </c>
      <c r="E278" s="25">
        <v>-9999</v>
      </c>
      <c r="F278" s="25">
        <v>-9999</v>
      </c>
      <c r="G278" s="25">
        <v>-9999</v>
      </c>
      <c r="H278" s="25">
        <v>-9999</v>
      </c>
      <c r="I278" s="25">
        <v>-9999</v>
      </c>
      <c r="J278" s="25">
        <v>-9999</v>
      </c>
      <c r="K278" s="25">
        <v>-9999</v>
      </c>
      <c r="L278" s="25">
        <v>-9999</v>
      </c>
      <c r="M278" s="25">
        <v>-9999</v>
      </c>
      <c r="N278" s="25">
        <v>-9999</v>
      </c>
      <c r="O278" s="25">
        <v>-9999</v>
      </c>
      <c r="P278" s="26"/>
      <c r="Q278"/>
      <c r="AA278" s="22">
        <v>178</v>
      </c>
      <c r="AB278" s="1080" t="str">
        <f t="shared" si="30"/>
        <v>FOR FUTURE USE</v>
      </c>
      <c r="AC278" s="1080">
        <f>CHOOSE(Tables!$U$2,Transfer!CA278,Transfer!CN278,Transfer!DA278,Transfer!DN278,Transfer!EA278)</f>
        <v>-9999</v>
      </c>
      <c r="AD278" s="1080">
        <f>CHOOSE(Tables!$U$2,Transfer!CB278,Transfer!CO278,Transfer!DB278,Transfer!DO278,Transfer!EB278)</f>
        <v>-9999</v>
      </c>
      <c r="AE278" s="1080">
        <f>CHOOSE(Tables!$U$2,Transfer!CC278,Transfer!CP278,Transfer!DC278,Transfer!DP278,Transfer!EC278)</f>
        <v>-9999</v>
      </c>
      <c r="AF278" s="1080">
        <f>CHOOSE(Tables!$U$2,Transfer!CD278,Transfer!CQ278,Transfer!DD278,Transfer!DQ278,Transfer!ED278)</f>
        <v>-9999</v>
      </c>
      <c r="AG278" s="1080">
        <f>CHOOSE(Tables!$U$2,Transfer!CE278,Transfer!CR278,Transfer!DE278,Transfer!DR278,Transfer!EE278)</f>
        <v>-9999</v>
      </c>
      <c r="AH278" s="1080">
        <f>CHOOSE(Tables!$U$2,Transfer!CF278,Transfer!CS278,Transfer!DF278,Transfer!DS278,Transfer!EF278)</f>
        <v>-9999</v>
      </c>
      <c r="AI278" s="1080">
        <f>CHOOSE(Tables!$U$2,Transfer!CG278,Transfer!CT278,Transfer!DG278,Transfer!DT278,Transfer!EG278)</f>
        <v>-9999</v>
      </c>
      <c r="AJ278" s="1080">
        <f>CHOOSE(Tables!$U$2,Transfer!CH278,Transfer!CU278,Transfer!DH278,Transfer!DU278,Transfer!EH278)</f>
        <v>-9999</v>
      </c>
      <c r="AK278" s="1080">
        <f>CHOOSE(Tables!$U$2,Transfer!CI278,Transfer!CV278,Transfer!DI278,Transfer!DV278,Transfer!EI278)</f>
        <v>-9999</v>
      </c>
      <c r="AL278" s="1080">
        <f>CHOOSE(Tables!$U$2,Transfer!CJ278,Transfer!CW278,Transfer!DJ278,Transfer!DW278,Transfer!EJ278)</f>
        <v>-9999</v>
      </c>
      <c r="AM278" s="1080">
        <f>CHOOSE(Tables!$U$2,Transfer!CK278,Transfer!CX278,Transfer!DK278,Transfer!DX278,Transfer!EK278)</f>
        <v>-9999</v>
      </c>
      <c r="AN278" s="1080">
        <f>CHOOSE(Tables!$U$2,Transfer!CL278,Transfer!CY278,Transfer!DL278,Transfer!DY278,Transfer!EL278)</f>
        <v>-9999</v>
      </c>
      <c r="AO278" s="1080">
        <f>CHOOSE(Tables!$U$2,Transfer!CM278,Transfer!CZ278,Transfer!DM278,Transfer!DZ278,Transfer!EM278)</f>
        <v>-9999</v>
      </c>
      <c r="AR278" s="22">
        <v>178</v>
      </c>
      <c r="AS278" s="30" t="s">
        <v>973</v>
      </c>
      <c r="AT278" s="25">
        <f t="shared" si="42"/>
        <v>0</v>
      </c>
      <c r="AU278" s="25">
        <f t="shared" si="42"/>
        <v>0</v>
      </c>
      <c r="AV278" s="25">
        <f t="shared" si="42"/>
        <v>0</v>
      </c>
      <c r="AW278" s="25">
        <f t="shared" si="41"/>
        <v>0</v>
      </c>
      <c r="AX278" s="25">
        <f t="shared" si="41"/>
        <v>0</v>
      </c>
      <c r="AY278" s="25">
        <f t="shared" si="41"/>
        <v>0</v>
      </c>
      <c r="AZ278" s="25">
        <f t="shared" si="41"/>
        <v>0</v>
      </c>
      <c r="BA278" s="25">
        <f t="shared" si="41"/>
        <v>0</v>
      </c>
      <c r="BB278" s="25">
        <f t="shared" si="41"/>
        <v>0</v>
      </c>
      <c r="BC278" s="25">
        <f t="shared" si="41"/>
        <v>0</v>
      </c>
      <c r="BD278" s="25">
        <f t="shared" si="41"/>
        <v>0</v>
      </c>
      <c r="BE278" s="25">
        <f t="shared" si="41"/>
        <v>0</v>
      </c>
      <c r="BF278" s="25">
        <f t="shared" si="41"/>
        <v>0</v>
      </c>
      <c r="CA278" s="16">
        <v>-9999</v>
      </c>
      <c r="CB278" s="16">
        <v>-9999</v>
      </c>
      <c r="CC278" s="16">
        <v>-9999</v>
      </c>
      <c r="CD278" s="16">
        <v>-9999</v>
      </c>
      <c r="CE278" s="16">
        <v>-9999</v>
      </c>
      <c r="CF278" s="16">
        <v>-9999</v>
      </c>
      <c r="CG278" s="16">
        <v>-9999</v>
      </c>
      <c r="CH278" s="16">
        <v>-9999</v>
      </c>
      <c r="CI278" s="16">
        <v>-9999</v>
      </c>
      <c r="CJ278" s="16">
        <v>-9999</v>
      </c>
      <c r="CK278" s="16">
        <v>-9999</v>
      </c>
      <c r="CL278" s="16">
        <v>-9999</v>
      </c>
      <c r="CM278" s="16">
        <v>-9999</v>
      </c>
      <c r="CN278" s="16">
        <v>-9999</v>
      </c>
      <c r="CO278" s="16">
        <v>-9999</v>
      </c>
      <c r="CP278" s="16">
        <v>-9999</v>
      </c>
      <c r="CQ278" s="16">
        <v>-9999</v>
      </c>
      <c r="CR278" s="16">
        <v>-9999</v>
      </c>
      <c r="CS278" s="16">
        <v>-9999</v>
      </c>
      <c r="CT278" s="16">
        <v>-9999</v>
      </c>
      <c r="CU278" s="16">
        <v>-9999</v>
      </c>
      <c r="CV278" s="16">
        <v>-9999</v>
      </c>
      <c r="CW278" s="16">
        <v>-9999</v>
      </c>
      <c r="CX278" s="16">
        <v>-9999</v>
      </c>
      <c r="CY278" s="16">
        <v>-9999</v>
      </c>
      <c r="CZ278" s="16">
        <v>-9999</v>
      </c>
      <c r="DA278" s="16">
        <v>-9999</v>
      </c>
      <c r="DB278" s="16">
        <v>-9999</v>
      </c>
      <c r="DC278" s="16">
        <v>-9999</v>
      </c>
      <c r="DD278" s="16">
        <v>-9999</v>
      </c>
      <c r="DE278" s="16">
        <v>-9999</v>
      </c>
      <c r="DF278" s="16">
        <v>-9999</v>
      </c>
      <c r="DG278" s="16">
        <v>-9999</v>
      </c>
      <c r="DH278" s="16">
        <v>-9999</v>
      </c>
      <c r="DI278" s="16">
        <v>-9999</v>
      </c>
      <c r="DJ278" s="16">
        <v>-9999</v>
      </c>
      <c r="DK278" s="16">
        <v>-9999</v>
      </c>
      <c r="DL278" s="16">
        <v>-9999</v>
      </c>
      <c r="DM278" s="16">
        <v>-9999</v>
      </c>
      <c r="DN278" s="16">
        <v>-9999</v>
      </c>
      <c r="DO278" s="16">
        <v>-9999</v>
      </c>
      <c r="DP278" s="16">
        <v>-9999</v>
      </c>
      <c r="DQ278" s="16">
        <v>-9999</v>
      </c>
      <c r="DR278" s="16">
        <v>-9999</v>
      </c>
      <c r="DS278" s="16">
        <v>-9999</v>
      </c>
      <c r="DT278" s="16">
        <v>-9999</v>
      </c>
      <c r="DU278" s="16">
        <v>-9999</v>
      </c>
      <c r="DV278" s="16">
        <v>-9999</v>
      </c>
      <c r="DW278" s="16">
        <v>-9999</v>
      </c>
      <c r="DX278" s="16">
        <v>-9999</v>
      </c>
      <c r="DY278" s="16">
        <v>-9999</v>
      </c>
      <c r="DZ278" s="16">
        <v>-9999</v>
      </c>
      <c r="EA278" s="2257">
        <v>-9999</v>
      </c>
      <c r="EB278" s="2257">
        <v>-9999</v>
      </c>
      <c r="EC278" s="2257">
        <v>-9999</v>
      </c>
      <c r="ED278" s="2257">
        <v>-9999</v>
      </c>
      <c r="EE278" s="2257">
        <v>-9999</v>
      </c>
      <c r="EF278" s="2257">
        <v>-9999</v>
      </c>
      <c r="EG278" s="2257">
        <v>-9999</v>
      </c>
      <c r="EH278" s="2257">
        <v>-9999</v>
      </c>
      <c r="EI278" s="2257">
        <v>-9999</v>
      </c>
      <c r="EJ278" s="2257">
        <v>-9999</v>
      </c>
      <c r="EK278" s="2257">
        <v>-9999</v>
      </c>
      <c r="EL278" s="2257">
        <v>-9999</v>
      </c>
      <c r="EM278" s="2257">
        <v>-9999</v>
      </c>
    </row>
    <row r="279" spans="1:144" ht="13.15">
      <c r="A279" s="22">
        <v>179</v>
      </c>
      <c r="B279" s="30" t="s">
        <v>973</v>
      </c>
      <c r="C279" s="25">
        <v>-9999</v>
      </c>
      <c r="D279" s="25">
        <v>-9999</v>
      </c>
      <c r="E279" s="25">
        <v>-9999</v>
      </c>
      <c r="F279" s="25">
        <v>-9999</v>
      </c>
      <c r="G279" s="25">
        <v>-9999</v>
      </c>
      <c r="H279" s="25">
        <v>-9999</v>
      </c>
      <c r="I279" s="25">
        <v>-9999</v>
      </c>
      <c r="J279" s="25">
        <v>-9999</v>
      </c>
      <c r="K279" s="25">
        <v>-9999</v>
      </c>
      <c r="L279" s="25">
        <v>-9999</v>
      </c>
      <c r="M279" s="25">
        <v>-9999</v>
      </c>
      <c r="N279" s="25">
        <v>-9999</v>
      </c>
      <c r="O279" s="25">
        <v>-9999</v>
      </c>
      <c r="P279" s="26"/>
      <c r="Q279"/>
      <c r="AA279" s="22">
        <v>179</v>
      </c>
      <c r="AB279" s="1080" t="str">
        <f t="shared" si="30"/>
        <v>FOR FUTURE USE</v>
      </c>
      <c r="AC279" s="1080">
        <f>CHOOSE(Tables!$U$2,Transfer!CA279,Transfer!CN279,Transfer!DA279,Transfer!DN279,Transfer!EA279)</f>
        <v>-9999</v>
      </c>
      <c r="AD279" s="1080">
        <f>CHOOSE(Tables!$U$2,Transfer!CB279,Transfer!CO279,Transfer!DB279,Transfer!DO279,Transfer!EB279)</f>
        <v>-9999</v>
      </c>
      <c r="AE279" s="1080">
        <f>CHOOSE(Tables!$U$2,Transfer!CC279,Transfer!CP279,Transfer!DC279,Transfer!DP279,Transfer!EC279)</f>
        <v>-9999</v>
      </c>
      <c r="AF279" s="1080">
        <f>CHOOSE(Tables!$U$2,Transfer!CD279,Transfer!CQ279,Transfer!DD279,Transfer!DQ279,Transfer!ED279)</f>
        <v>-9999</v>
      </c>
      <c r="AG279" s="1080">
        <f>CHOOSE(Tables!$U$2,Transfer!CE279,Transfer!CR279,Transfer!DE279,Transfer!DR279,Transfer!EE279)</f>
        <v>-9999</v>
      </c>
      <c r="AH279" s="1080">
        <f>CHOOSE(Tables!$U$2,Transfer!CF279,Transfer!CS279,Transfer!DF279,Transfer!DS279,Transfer!EF279)</f>
        <v>-9999</v>
      </c>
      <c r="AI279" s="1080">
        <f>CHOOSE(Tables!$U$2,Transfer!CG279,Transfer!CT279,Transfer!DG279,Transfer!DT279,Transfer!EG279)</f>
        <v>-9999</v>
      </c>
      <c r="AJ279" s="1080">
        <f>CHOOSE(Tables!$U$2,Transfer!CH279,Transfer!CU279,Transfer!DH279,Transfer!DU279,Transfer!EH279)</f>
        <v>-9999</v>
      </c>
      <c r="AK279" s="1080">
        <f>CHOOSE(Tables!$U$2,Transfer!CI279,Transfer!CV279,Transfer!DI279,Transfer!DV279,Transfer!EI279)</f>
        <v>-9999</v>
      </c>
      <c r="AL279" s="1080">
        <f>CHOOSE(Tables!$U$2,Transfer!CJ279,Transfer!CW279,Transfer!DJ279,Transfer!DW279,Transfer!EJ279)</f>
        <v>-9999</v>
      </c>
      <c r="AM279" s="1080">
        <f>CHOOSE(Tables!$U$2,Transfer!CK279,Transfer!CX279,Transfer!DK279,Transfer!DX279,Transfer!EK279)</f>
        <v>-9999</v>
      </c>
      <c r="AN279" s="1080">
        <f>CHOOSE(Tables!$U$2,Transfer!CL279,Transfer!CY279,Transfer!DL279,Transfer!DY279,Transfer!EL279)</f>
        <v>-9999</v>
      </c>
      <c r="AO279" s="1080">
        <f>CHOOSE(Tables!$U$2,Transfer!CM279,Transfer!CZ279,Transfer!DM279,Transfer!DZ279,Transfer!EM279)</f>
        <v>-9999</v>
      </c>
      <c r="AR279" s="22">
        <v>179</v>
      </c>
      <c r="AS279" s="30" t="s">
        <v>973</v>
      </c>
      <c r="AT279" s="25">
        <f t="shared" si="42"/>
        <v>0</v>
      </c>
      <c r="AU279" s="25">
        <f t="shared" si="42"/>
        <v>0</v>
      </c>
      <c r="AV279" s="25">
        <f t="shared" si="42"/>
        <v>0</v>
      </c>
      <c r="AW279" s="25">
        <f t="shared" si="41"/>
        <v>0</v>
      </c>
      <c r="AX279" s="25">
        <f t="shared" si="41"/>
        <v>0</v>
      </c>
      <c r="AY279" s="25">
        <f t="shared" si="41"/>
        <v>0</v>
      </c>
      <c r="AZ279" s="25">
        <f t="shared" si="41"/>
        <v>0</v>
      </c>
      <c r="BA279" s="25">
        <f t="shared" si="41"/>
        <v>0</v>
      </c>
      <c r="BB279" s="25">
        <f t="shared" si="41"/>
        <v>0</v>
      </c>
      <c r="BC279" s="25">
        <f t="shared" si="41"/>
        <v>0</v>
      </c>
      <c r="BD279" s="25">
        <f t="shared" si="41"/>
        <v>0</v>
      </c>
      <c r="BE279" s="25">
        <f t="shared" si="41"/>
        <v>0</v>
      </c>
      <c r="BF279" s="25">
        <f t="shared" si="41"/>
        <v>0</v>
      </c>
      <c r="CA279" s="16">
        <v>-9999</v>
      </c>
      <c r="CB279" s="16">
        <v>-9999</v>
      </c>
      <c r="CC279" s="16">
        <v>-9999</v>
      </c>
      <c r="CD279" s="16">
        <v>-9999</v>
      </c>
      <c r="CE279" s="16">
        <v>-9999</v>
      </c>
      <c r="CF279" s="16">
        <v>-9999</v>
      </c>
      <c r="CG279" s="16">
        <v>-9999</v>
      </c>
      <c r="CH279" s="16">
        <v>-9999</v>
      </c>
      <c r="CI279" s="16">
        <v>-9999</v>
      </c>
      <c r="CJ279" s="16">
        <v>-9999</v>
      </c>
      <c r="CK279" s="16">
        <v>-9999</v>
      </c>
      <c r="CL279" s="16">
        <v>-9999</v>
      </c>
      <c r="CM279" s="16">
        <v>-9999</v>
      </c>
      <c r="CN279" s="16">
        <v>-9999</v>
      </c>
      <c r="CO279" s="16">
        <v>-9999</v>
      </c>
      <c r="CP279" s="16">
        <v>-9999</v>
      </c>
      <c r="CQ279" s="16">
        <v>-9999</v>
      </c>
      <c r="CR279" s="16">
        <v>-9999</v>
      </c>
      <c r="CS279" s="16">
        <v>-9999</v>
      </c>
      <c r="CT279" s="16">
        <v>-9999</v>
      </c>
      <c r="CU279" s="16">
        <v>-9999</v>
      </c>
      <c r="CV279" s="16">
        <v>-9999</v>
      </c>
      <c r="CW279" s="16">
        <v>-9999</v>
      </c>
      <c r="CX279" s="16">
        <v>-9999</v>
      </c>
      <c r="CY279" s="16">
        <v>-9999</v>
      </c>
      <c r="CZ279" s="16">
        <v>-9999</v>
      </c>
      <c r="DA279" s="16">
        <v>-9999</v>
      </c>
      <c r="DB279" s="16">
        <v>-9999</v>
      </c>
      <c r="DC279" s="16">
        <v>-9999</v>
      </c>
      <c r="DD279" s="16">
        <v>-9999</v>
      </c>
      <c r="DE279" s="16">
        <v>-9999</v>
      </c>
      <c r="DF279" s="16">
        <v>-9999</v>
      </c>
      <c r="DG279" s="16">
        <v>-9999</v>
      </c>
      <c r="DH279" s="16">
        <v>-9999</v>
      </c>
      <c r="DI279" s="16">
        <v>-9999</v>
      </c>
      <c r="DJ279" s="16">
        <v>-9999</v>
      </c>
      <c r="DK279" s="16">
        <v>-9999</v>
      </c>
      <c r="DL279" s="16">
        <v>-9999</v>
      </c>
      <c r="DM279" s="16">
        <v>-9999</v>
      </c>
      <c r="DN279" s="16">
        <v>-9999</v>
      </c>
      <c r="DO279" s="16">
        <v>-9999</v>
      </c>
      <c r="DP279" s="16">
        <v>-9999</v>
      </c>
      <c r="DQ279" s="16">
        <v>-9999</v>
      </c>
      <c r="DR279" s="16">
        <v>-9999</v>
      </c>
      <c r="DS279" s="16">
        <v>-9999</v>
      </c>
      <c r="DT279" s="16">
        <v>-9999</v>
      </c>
      <c r="DU279" s="16">
        <v>-9999</v>
      </c>
      <c r="DV279" s="16">
        <v>-9999</v>
      </c>
      <c r="DW279" s="16">
        <v>-9999</v>
      </c>
      <c r="DX279" s="16">
        <v>-9999</v>
      </c>
      <c r="DY279" s="16">
        <v>-9999</v>
      </c>
      <c r="DZ279" s="16">
        <v>-9999</v>
      </c>
      <c r="EA279" s="2257">
        <v>-9999</v>
      </c>
      <c r="EB279" s="2257">
        <v>-9999</v>
      </c>
      <c r="EC279" s="2257">
        <v>-9999</v>
      </c>
      <c r="ED279" s="2257">
        <v>-9999</v>
      </c>
      <c r="EE279" s="2257">
        <v>-9999</v>
      </c>
      <c r="EF279" s="2257">
        <v>-9999</v>
      </c>
      <c r="EG279" s="2257">
        <v>-9999</v>
      </c>
      <c r="EH279" s="2257">
        <v>-9999</v>
      </c>
      <c r="EI279" s="2257">
        <v>-9999</v>
      </c>
      <c r="EJ279" s="2257">
        <v>-9999</v>
      </c>
      <c r="EK279" s="2257">
        <v>-9999</v>
      </c>
      <c r="EL279" s="2257">
        <v>-9999</v>
      </c>
      <c r="EM279" s="2257">
        <v>-9999</v>
      </c>
    </row>
    <row r="280" spans="1:144" ht="13.15">
      <c r="A280" s="22">
        <v>180</v>
      </c>
      <c r="B280" s="33" t="s">
        <v>1496</v>
      </c>
      <c r="C280" s="35">
        <f>IF('VVP1'!F3="N",0,1)</f>
        <v>1</v>
      </c>
      <c r="D280" s="25">
        <v>-9999</v>
      </c>
      <c r="E280" s="25">
        <v>-9999</v>
      </c>
      <c r="F280" s="25">
        <v>-9999</v>
      </c>
      <c r="G280" s="25">
        <v>-9999</v>
      </c>
      <c r="H280" s="25">
        <v>-9999</v>
      </c>
      <c r="I280" s="25">
        <v>-9999</v>
      </c>
      <c r="J280" s="25">
        <v>-9999</v>
      </c>
      <c r="K280" s="25">
        <v>-9999</v>
      </c>
      <c r="L280" s="25">
        <v>-9999</v>
      </c>
      <c r="M280" s="25">
        <v>-9999</v>
      </c>
      <c r="N280" s="25">
        <v>-9999</v>
      </c>
      <c r="O280" s="25">
        <v>-9999</v>
      </c>
      <c r="P280" s="26"/>
      <c r="Q280"/>
      <c r="AA280" s="22">
        <v>180</v>
      </c>
      <c r="AB280" s="1080" t="str">
        <f t="shared" si="30"/>
        <v>INDICATOR CHAINED INDEX (col 1)</v>
      </c>
      <c r="AC280" s="1080">
        <f>CHOOSE(Tables!$U$2,Transfer!CA280,Transfer!CN280,Transfer!DA280,Transfer!DN280,Transfer!EA280)</f>
        <v>1</v>
      </c>
      <c r="AD280" s="1080">
        <f>CHOOSE(Tables!$U$2,Transfer!CB280,Transfer!CO280,Transfer!DB280,Transfer!DO280,Transfer!EB280)</f>
        <v>-9999</v>
      </c>
      <c r="AE280" s="1080">
        <f>CHOOSE(Tables!$U$2,Transfer!CC280,Transfer!CP280,Transfer!DC280,Transfer!DP280,Transfer!EC280)</f>
        <v>-9999</v>
      </c>
      <c r="AF280" s="1080">
        <f>CHOOSE(Tables!$U$2,Transfer!CD280,Transfer!CQ280,Transfer!DD280,Transfer!DQ280,Transfer!ED280)</f>
        <v>-9999</v>
      </c>
      <c r="AG280" s="1080">
        <f>CHOOSE(Tables!$U$2,Transfer!CE280,Transfer!CR280,Transfer!DE280,Transfer!DR280,Transfer!EE280)</f>
        <v>-9999</v>
      </c>
      <c r="AH280" s="1080">
        <f>CHOOSE(Tables!$U$2,Transfer!CF280,Transfer!CS280,Transfer!DF280,Transfer!DS280,Transfer!EF280)</f>
        <v>-9999</v>
      </c>
      <c r="AI280" s="1080">
        <f>CHOOSE(Tables!$U$2,Transfer!CG280,Transfer!CT280,Transfer!DG280,Transfer!DT280,Transfer!EG280)</f>
        <v>-9999</v>
      </c>
      <c r="AJ280" s="1080">
        <f>CHOOSE(Tables!$U$2,Transfer!CH280,Transfer!CU280,Transfer!DH280,Transfer!DU280,Transfer!EH280)</f>
        <v>-9999</v>
      </c>
      <c r="AK280" s="1080">
        <f>CHOOSE(Tables!$U$2,Transfer!CI280,Transfer!CV280,Transfer!DI280,Transfer!DV280,Transfer!EI280)</f>
        <v>-9999</v>
      </c>
      <c r="AL280" s="1080">
        <f>CHOOSE(Tables!$U$2,Transfer!CJ280,Transfer!CW280,Transfer!DJ280,Transfer!DW280,Transfer!EJ280)</f>
        <v>-9999</v>
      </c>
      <c r="AM280" s="1080">
        <f>CHOOSE(Tables!$U$2,Transfer!CK280,Transfer!CX280,Transfer!DK280,Transfer!DX280,Transfer!EK280)</f>
        <v>-9999</v>
      </c>
      <c r="AN280" s="1080">
        <f>CHOOSE(Tables!$U$2,Transfer!CL280,Transfer!CY280,Transfer!DL280,Transfer!DY280,Transfer!EL280)</f>
        <v>-9999</v>
      </c>
      <c r="AO280" s="1080">
        <f>CHOOSE(Tables!$U$2,Transfer!CM280,Transfer!CZ280,Transfer!DM280,Transfer!DZ280,Transfer!EM280)</f>
        <v>-9999</v>
      </c>
      <c r="AR280" s="22">
        <v>180</v>
      </c>
      <c r="AS280" s="33" t="s">
        <v>1496</v>
      </c>
      <c r="AT280" s="34">
        <f t="shared" si="42"/>
        <v>0</v>
      </c>
      <c r="AU280" s="25">
        <f t="shared" si="42"/>
        <v>0</v>
      </c>
      <c r="AV280" s="25">
        <f t="shared" si="42"/>
        <v>0</v>
      </c>
      <c r="AW280" s="25">
        <f t="shared" si="41"/>
        <v>0</v>
      </c>
      <c r="AX280" s="25">
        <f t="shared" si="41"/>
        <v>0</v>
      </c>
      <c r="AY280" s="25">
        <f t="shared" si="41"/>
        <v>0</v>
      </c>
      <c r="AZ280" s="25">
        <f t="shared" si="41"/>
        <v>0</v>
      </c>
      <c r="BA280" s="25">
        <f t="shared" si="41"/>
        <v>0</v>
      </c>
      <c r="BB280" s="25">
        <f t="shared" si="41"/>
        <v>0</v>
      </c>
      <c r="BC280" s="25">
        <f t="shared" si="41"/>
        <v>0</v>
      </c>
      <c r="BD280" s="25">
        <f t="shared" si="41"/>
        <v>0</v>
      </c>
      <c r="BE280" s="25">
        <f t="shared" si="41"/>
        <v>0</v>
      </c>
      <c r="BF280" s="25">
        <f t="shared" si="41"/>
        <v>0</v>
      </c>
      <c r="CA280" s="16">
        <v>1</v>
      </c>
      <c r="CB280" s="16">
        <v>-9999</v>
      </c>
      <c r="CC280" s="16">
        <v>-9999</v>
      </c>
      <c r="CD280" s="16">
        <v>-9999</v>
      </c>
      <c r="CE280" s="16">
        <v>-9999</v>
      </c>
      <c r="CF280" s="16">
        <v>-9999</v>
      </c>
      <c r="CG280" s="16">
        <v>-9999</v>
      </c>
      <c r="CH280" s="16">
        <v>-9999</v>
      </c>
      <c r="CI280" s="16">
        <v>-9999</v>
      </c>
      <c r="CJ280" s="16">
        <v>-9999</v>
      </c>
      <c r="CK280" s="16">
        <v>-9999</v>
      </c>
      <c r="CL280" s="16">
        <v>-9999</v>
      </c>
      <c r="CM280" s="16">
        <v>-9999</v>
      </c>
      <c r="CN280" s="16">
        <v>1</v>
      </c>
      <c r="CO280" s="16">
        <v>-9999</v>
      </c>
      <c r="CP280" s="16">
        <v>-9999</v>
      </c>
      <c r="CQ280" s="16">
        <v>-9999</v>
      </c>
      <c r="CR280" s="16">
        <v>-9999</v>
      </c>
      <c r="CS280" s="16">
        <v>-9999</v>
      </c>
      <c r="CT280" s="16">
        <v>-9999</v>
      </c>
      <c r="CU280" s="16">
        <v>-9999</v>
      </c>
      <c r="CV280" s="16">
        <v>-9999</v>
      </c>
      <c r="CW280" s="16">
        <v>-9999</v>
      </c>
      <c r="CX280" s="16">
        <v>-9999</v>
      </c>
      <c r="CY280" s="16">
        <v>-9999</v>
      </c>
      <c r="CZ280" s="16">
        <v>-9999</v>
      </c>
      <c r="DA280" s="16">
        <v>1</v>
      </c>
      <c r="DB280" s="16">
        <v>-9999</v>
      </c>
      <c r="DC280" s="16">
        <v>-9999</v>
      </c>
      <c r="DD280" s="16">
        <v>-9999</v>
      </c>
      <c r="DE280" s="16">
        <v>-9999</v>
      </c>
      <c r="DF280" s="16">
        <v>-9999</v>
      </c>
      <c r="DG280" s="16">
        <v>-9999</v>
      </c>
      <c r="DH280" s="16">
        <v>-9999</v>
      </c>
      <c r="DI280" s="16">
        <v>-9999</v>
      </c>
      <c r="DJ280" s="16">
        <v>-9999</v>
      </c>
      <c r="DK280" s="16">
        <v>-9999</v>
      </c>
      <c r="DL280" s="16">
        <v>-9999</v>
      </c>
      <c r="DM280" s="16">
        <v>-9999</v>
      </c>
      <c r="DN280" s="16">
        <v>1</v>
      </c>
      <c r="DO280" s="16">
        <v>-9999</v>
      </c>
      <c r="DP280" s="16">
        <v>-9999</v>
      </c>
      <c r="DQ280" s="16">
        <v>-9999</v>
      </c>
      <c r="DR280" s="16">
        <v>-9999</v>
      </c>
      <c r="DS280" s="16">
        <v>-9999</v>
      </c>
      <c r="DT280" s="16">
        <v>-9999</v>
      </c>
      <c r="DU280" s="16">
        <v>-9999</v>
      </c>
      <c r="DV280" s="16">
        <v>-9999</v>
      </c>
      <c r="DW280" s="16">
        <v>-9999</v>
      </c>
      <c r="DX280" s="16">
        <v>-9999</v>
      </c>
      <c r="DY280" s="16">
        <v>-9999</v>
      </c>
      <c r="DZ280" s="16">
        <v>-9999</v>
      </c>
      <c r="EA280" s="2256">
        <v>1</v>
      </c>
      <c r="EB280" s="2257">
        <v>-9999</v>
      </c>
      <c r="EC280" s="2257">
        <v>-9999</v>
      </c>
      <c r="ED280" s="2257">
        <v>-9999</v>
      </c>
      <c r="EE280" s="2257">
        <v>-9999</v>
      </c>
      <c r="EF280" s="2257">
        <v>-9999</v>
      </c>
      <c r="EG280" s="2257">
        <v>-9999</v>
      </c>
      <c r="EH280" s="2257">
        <v>-9999</v>
      </c>
      <c r="EI280" s="2257">
        <v>-9999</v>
      </c>
      <c r="EJ280" s="2257">
        <v>-9999</v>
      </c>
      <c r="EK280" s="2257">
        <v>-9999</v>
      </c>
      <c r="EL280" s="2257">
        <v>-9999</v>
      </c>
      <c r="EM280" s="2257">
        <v>-9999</v>
      </c>
    </row>
    <row r="281" spans="1:144" customFormat="1">
      <c r="A281" s="16"/>
      <c r="B281" s="21"/>
      <c r="C281" s="16"/>
      <c r="D281" s="16"/>
      <c r="E281" s="16"/>
      <c r="F281" s="16"/>
      <c r="G281" s="16"/>
      <c r="H281" s="38"/>
      <c r="I281" s="38"/>
      <c r="J281" s="38"/>
      <c r="K281" s="38"/>
      <c r="L281" s="38"/>
      <c r="M281" s="38"/>
      <c r="N281" s="38"/>
      <c r="O281" s="38"/>
      <c r="R281" s="16"/>
      <c r="S281" s="16"/>
      <c r="T281" s="16"/>
      <c r="U281" s="16"/>
      <c r="V281" s="16"/>
      <c r="W281" s="16"/>
      <c r="X281" s="16"/>
      <c r="Y281" s="16"/>
      <c r="Z281" s="16"/>
      <c r="AA281" s="16"/>
      <c r="AB281" s="16"/>
      <c r="AC281" s="16"/>
      <c r="AD281" s="16"/>
      <c r="AE281" s="16"/>
      <c r="AF281" s="16"/>
      <c r="AG281" s="16"/>
      <c r="AH281" s="16"/>
      <c r="AI281" s="16"/>
      <c r="AJ281" s="16"/>
      <c r="AK281" s="16"/>
      <c r="AL281" s="16"/>
      <c r="AM281" s="16"/>
      <c r="AN281" s="16"/>
      <c r="AO281" s="16"/>
      <c r="AP281" s="16"/>
      <c r="AQ281" s="16"/>
      <c r="AR281" s="16"/>
      <c r="AS281" s="16"/>
      <c r="AT281" s="16"/>
      <c r="AU281" s="16"/>
      <c r="AV281" s="16"/>
      <c r="AW281" s="16"/>
      <c r="AX281" s="16"/>
      <c r="AY281" s="16"/>
      <c r="AZ281" s="16"/>
    </row>
    <row r="282" spans="1:144" customFormat="1" ht="13.15">
      <c r="A282" s="16"/>
      <c r="B282" s="2167" t="s">
        <v>340</v>
      </c>
      <c r="C282" s="25"/>
      <c r="D282" s="25"/>
      <c r="E282" s="25"/>
      <c r="F282" s="25"/>
      <c r="G282" s="25"/>
      <c r="H282" s="38"/>
      <c r="I282" s="38"/>
      <c r="J282" s="38"/>
      <c r="K282" s="38"/>
      <c r="L282" s="38"/>
      <c r="M282" s="38"/>
      <c r="N282" s="38"/>
      <c r="O282" s="38"/>
      <c r="R282" s="16"/>
      <c r="S282" s="16"/>
      <c r="T282" s="16"/>
      <c r="U282" s="16"/>
      <c r="V282" s="16"/>
      <c r="W282" s="16"/>
      <c r="X282" s="16"/>
      <c r="Y282" s="16"/>
      <c r="Z282" s="16"/>
      <c r="AA282" s="16"/>
      <c r="AB282" s="2167" t="s">
        <v>340</v>
      </c>
      <c r="AC282" s="25"/>
      <c r="AD282" s="25"/>
      <c r="AE282" s="25"/>
      <c r="AF282" s="25"/>
      <c r="AG282" s="25"/>
      <c r="AH282" s="16"/>
      <c r="AI282" s="16"/>
      <c r="AJ282" s="16"/>
      <c r="AK282" s="16"/>
      <c r="AL282" s="16"/>
      <c r="AM282" s="16"/>
      <c r="AN282" s="16"/>
      <c r="AO282" s="16"/>
      <c r="AP282" s="16"/>
      <c r="AQ282" s="16"/>
      <c r="AR282" s="16"/>
      <c r="AS282" s="16"/>
      <c r="AT282" s="16"/>
      <c r="AU282" s="16"/>
      <c r="AV282" s="16"/>
      <c r="AW282" s="16"/>
      <c r="AX282" s="16"/>
      <c r="AY282" s="16"/>
      <c r="AZ282" s="16"/>
      <c r="BA282" s="16"/>
      <c r="BB282" s="16"/>
      <c r="BC282" s="16"/>
      <c r="BD282" s="16"/>
      <c r="BE282" s="16"/>
      <c r="BF282" s="16"/>
      <c r="BG282" s="16"/>
      <c r="BH282" s="16"/>
      <c r="BI282" s="16"/>
      <c r="BJ282" s="16"/>
      <c r="BK282" s="16"/>
      <c r="BL282" s="16"/>
      <c r="BM282" s="16"/>
      <c r="BN282" s="16"/>
      <c r="BO282" s="16"/>
      <c r="BP282" s="16"/>
      <c r="BQ282" s="16"/>
      <c r="BR282" s="16"/>
      <c r="BS282" s="16"/>
      <c r="BT282" s="16"/>
      <c r="BU282" s="16"/>
      <c r="BV282" s="16"/>
      <c r="BW282" s="16"/>
      <c r="BX282" s="16"/>
      <c r="BY282" s="16"/>
      <c r="BZ282" s="16"/>
      <c r="CA282" s="16"/>
      <c r="CB282" s="16"/>
      <c r="CC282" s="16"/>
      <c r="CD282" s="16"/>
      <c r="CE282" s="16"/>
      <c r="CF282" s="16"/>
      <c r="CG282" s="16"/>
      <c r="CH282" s="16"/>
      <c r="CI282" s="16"/>
      <c r="CJ282" s="16"/>
      <c r="CK282" s="16"/>
      <c r="CL282" s="16"/>
      <c r="CM282" s="16"/>
      <c r="CN282" s="16"/>
      <c r="CO282" s="16"/>
      <c r="CP282" s="16"/>
      <c r="CQ282" s="16"/>
      <c r="CR282" s="16"/>
      <c r="CS282" s="16"/>
      <c r="CT282" s="16"/>
      <c r="CU282" s="16"/>
      <c r="CV282" s="16"/>
      <c r="CW282" s="16"/>
      <c r="CX282" s="16"/>
      <c r="CY282" s="16"/>
      <c r="CZ282" s="16"/>
      <c r="DA282" s="16"/>
      <c r="DB282" s="16"/>
      <c r="DC282" s="16"/>
      <c r="DD282" s="16"/>
      <c r="DE282" s="16"/>
      <c r="DF282" s="16"/>
      <c r="DG282" s="16"/>
      <c r="DH282" s="16"/>
      <c r="DI282" s="16"/>
      <c r="DJ282" s="16"/>
      <c r="DK282" s="16"/>
      <c r="DL282" s="16"/>
      <c r="DM282" s="16"/>
      <c r="DN282" s="16"/>
      <c r="DO282" s="16"/>
      <c r="DP282" s="16"/>
      <c r="DQ282" s="16"/>
      <c r="DR282" s="16"/>
      <c r="DS282" s="16"/>
      <c r="DT282" s="16"/>
      <c r="DU282" s="16"/>
      <c r="DV282" s="16"/>
      <c r="DW282" s="16"/>
      <c r="DX282" s="16"/>
      <c r="DY282" s="16"/>
      <c r="DZ282" s="16"/>
      <c r="EA282" s="16"/>
      <c r="EB282" s="16"/>
      <c r="EC282" s="16"/>
      <c r="ED282" s="16"/>
      <c r="EE282" s="16"/>
      <c r="EF282" s="16"/>
      <c r="EG282" s="16"/>
      <c r="EH282" s="16"/>
      <c r="EI282" s="16"/>
      <c r="EJ282" s="16"/>
      <c r="EK282" s="16"/>
      <c r="EL282" s="16"/>
      <c r="EM282" s="16"/>
      <c r="EN282" s="16"/>
    </row>
    <row r="283" spans="1:144">
      <c r="B283" s="2168" t="s">
        <v>339</v>
      </c>
      <c r="C283" s="2168"/>
      <c r="D283" s="2168"/>
      <c r="E283" s="2168"/>
      <c r="F283" s="2168"/>
      <c r="G283" s="2168"/>
      <c r="P283"/>
      <c r="Q283"/>
      <c r="AA283" s="15"/>
      <c r="AB283" s="2168" t="s">
        <v>339</v>
      </c>
      <c r="AC283" s="2168"/>
      <c r="AD283" s="2168"/>
      <c r="AE283" s="2168"/>
      <c r="AF283" s="2168"/>
      <c r="AG283" s="2168"/>
    </row>
    <row r="284" spans="1:144" ht="13.15">
      <c r="A284" s="2166">
        <v>1</v>
      </c>
      <c r="B284" s="2169" t="str">
        <f t="shared" ref="B284:B295" si="43">+B101</f>
        <v>VOL. PRIVATE CONSUMPTION EXPEND.</v>
      </c>
      <c r="C284" s="2170">
        <f t="shared" ref="C284:C295" ca="1" si="44">IF($C$280=1,D284/(D101/C136),C101)</f>
        <v>1962.61</v>
      </c>
      <c r="D284" s="2170">
        <f t="shared" ref="D284:D295" ca="1" si="45">+D101</f>
        <v>2006.0415340095806</v>
      </c>
      <c r="E284" s="2170">
        <f ca="1">IF($C$280=1,D284*E101/D136,E101)</f>
        <v>2054.1865308258102</v>
      </c>
      <c r="F284" s="2170">
        <f t="shared" ref="E284:G295" ca="1" si="46">IF($C$280=1,E284*F101/E136,F101)</f>
        <v>2102.0490769940516</v>
      </c>
      <c r="G284" s="2170">
        <f t="shared" ca="1" si="46"/>
        <v>2146.1921076109261</v>
      </c>
      <c r="I284" s="16"/>
      <c r="P284"/>
      <c r="Q284"/>
      <c r="AA284" s="2166">
        <v>1</v>
      </c>
      <c r="AB284" s="2169" t="str">
        <f t="shared" ref="AB284:AB295" si="47">+AB101</f>
        <v>VOL. PRIVATE CONSUMPTION EXPEND.</v>
      </c>
      <c r="AC284" s="2170">
        <f t="shared" ref="AC284:AC295" si="48">IF($C$280=1,AD284/(AD101/AC136),AC101)</f>
        <v>1889.1010000000001</v>
      </c>
      <c r="AD284" s="2170">
        <f t="shared" ref="AD284:AD295" si="49">+AD101</f>
        <v>1930.0599003483269</v>
      </c>
      <c r="AE284" s="2170">
        <f t="shared" ref="AE284:AG295" si="50">IF($C$280=1,AD284*AE101/AD136,AE101)</f>
        <v>1976.0775407330138</v>
      </c>
      <c r="AF284" s="2170">
        <f t="shared" si="50"/>
        <v>2020.73689315358</v>
      </c>
      <c r="AG284" s="2170">
        <f t="shared" si="50"/>
        <v>2065.7993258709048</v>
      </c>
    </row>
    <row r="285" spans="1:144" ht="13.15">
      <c r="A285" s="2166">
        <v>2</v>
      </c>
      <c r="B285" s="2169" t="str">
        <f t="shared" si="43"/>
        <v xml:space="preserve">VOL. GOVERNMENT CONSUMPTION EXPEND. </v>
      </c>
      <c r="C285" s="2170">
        <f t="shared" ca="1" si="44"/>
        <v>1153.528</v>
      </c>
      <c r="D285" s="2170">
        <f t="shared" ca="1" si="45"/>
        <v>1153.4962405963208</v>
      </c>
      <c r="E285" s="2170">
        <f t="shared" ca="1" si="46"/>
        <v>1165.7233007466418</v>
      </c>
      <c r="F285" s="2170">
        <f ca="1">IF($C$280=1,E285*F102/E137,F102)</f>
        <v>1176.2148104533615</v>
      </c>
      <c r="G285" s="2170">
        <f t="shared" ca="1" si="46"/>
        <v>1187.1536081905779</v>
      </c>
      <c r="I285" s="16"/>
      <c r="P285"/>
      <c r="Q285"/>
      <c r="AA285" s="2166">
        <v>2</v>
      </c>
      <c r="AB285" s="2169" t="str">
        <f t="shared" si="47"/>
        <v xml:space="preserve">VOL. GOVERNMENT CONSUMPTION EXPEND. </v>
      </c>
      <c r="AC285" s="2170">
        <f t="shared" si="48"/>
        <v>1086.6300000000001</v>
      </c>
      <c r="AD285" s="2170">
        <f t="shared" si="49"/>
        <v>1119.7915395311297</v>
      </c>
      <c r="AE285" s="2170">
        <f t="shared" si="50"/>
        <v>1124.1210293669433</v>
      </c>
      <c r="AF285" s="2170">
        <f t="shared" si="50"/>
        <v>1139.296663263397</v>
      </c>
      <c r="AG285" s="2170">
        <f t="shared" si="50"/>
        <v>1148.7528255684833</v>
      </c>
    </row>
    <row r="286" spans="1:144" ht="13.15">
      <c r="A286" s="2166">
        <v>3</v>
      </c>
      <c r="B286" s="2169" t="str">
        <f t="shared" si="43"/>
        <v>VOL. G.F.C.F. TOTAL</v>
      </c>
      <c r="C286" s="2170">
        <f t="shared" ca="1" si="44"/>
        <v>1049.8009999999999</v>
      </c>
      <c r="D286" s="2170">
        <f t="shared" ca="1" si="45"/>
        <v>1113.3623115524583</v>
      </c>
      <c r="E286" s="2170">
        <f t="shared" ca="1" si="46"/>
        <v>1152.7660789232359</v>
      </c>
      <c r="F286" s="2170">
        <f t="shared" ca="1" si="46"/>
        <v>1175.6234780329432</v>
      </c>
      <c r="G286" s="2170">
        <f t="shared" ca="1" si="46"/>
        <v>1200.819305853897</v>
      </c>
      <c r="I286" s="16"/>
      <c r="P286"/>
      <c r="Q286"/>
      <c r="AA286" s="2166">
        <v>3</v>
      </c>
      <c r="AB286" s="2169" t="str">
        <f t="shared" si="47"/>
        <v>VOL. G.F.C.F. TOTAL</v>
      </c>
      <c r="AC286" s="2170">
        <f t="shared" si="48"/>
        <v>989.73</v>
      </c>
      <c r="AD286" s="2170">
        <f t="shared" si="49"/>
        <v>1045.4819099951021</v>
      </c>
      <c r="AE286" s="2170">
        <f t="shared" si="50"/>
        <v>1108.6107302253963</v>
      </c>
      <c r="AF286" s="2170">
        <f t="shared" si="50"/>
        <v>1149.2506449046389</v>
      </c>
      <c r="AG286" s="2170">
        <f t="shared" si="50"/>
        <v>1171.4424452561695</v>
      </c>
    </row>
    <row r="287" spans="1:144" ht="13.15">
      <c r="A287" s="2166">
        <v>4</v>
      </c>
      <c r="B287" s="2169" t="str">
        <f t="shared" si="43"/>
        <v>VOL. G.F.C.F. CONSTRUCTION</v>
      </c>
      <c r="C287" s="2170">
        <f t="shared" ca="1" si="44"/>
        <v>456.26599999999996</v>
      </c>
      <c r="D287" s="2170">
        <f t="shared" ca="1" si="45"/>
        <v>493.1752835839344</v>
      </c>
      <c r="E287" s="2170">
        <f t="shared" ca="1" si="46"/>
        <v>506.06593085773261</v>
      </c>
      <c r="F287" s="2170">
        <f t="shared" ca="1" si="46"/>
        <v>502.69575661483293</v>
      </c>
      <c r="G287" s="2170">
        <f t="shared" ca="1" si="46"/>
        <v>506.5625938172758</v>
      </c>
      <c r="I287" s="16"/>
      <c r="P287"/>
      <c r="Q287"/>
      <c r="AA287" s="2166">
        <v>4</v>
      </c>
      <c r="AB287" s="2169" t="str">
        <f t="shared" si="47"/>
        <v>VOL. G.F.C.F. CONSTRUCTION</v>
      </c>
      <c r="AC287" s="2170">
        <f t="shared" si="48"/>
        <v>410.77699999999999</v>
      </c>
      <c r="AD287" s="2170">
        <f t="shared" si="49"/>
        <v>448.08752406587075</v>
      </c>
      <c r="AE287" s="2170">
        <f t="shared" si="50"/>
        <v>488.1717201340872</v>
      </c>
      <c r="AF287" s="2170">
        <f t="shared" si="50"/>
        <v>499.10006848590257</v>
      </c>
      <c r="AG287" s="2170">
        <f t="shared" si="50"/>
        <v>496.68947419114505</v>
      </c>
    </row>
    <row r="288" spans="1:144" ht="13.15">
      <c r="A288" s="2166">
        <v>5</v>
      </c>
      <c r="B288" s="2169" t="str">
        <f t="shared" si="43"/>
        <v>VOL. G.F.C.F. EQUIPMENT</v>
      </c>
      <c r="C288" s="2170">
        <f t="shared" ca="1" si="44"/>
        <v>319.94400000000002</v>
      </c>
      <c r="D288" s="2170">
        <f t="shared" ca="1" si="45"/>
        <v>338.34666774569848</v>
      </c>
      <c r="E288" s="2170">
        <f t="shared" ca="1" si="46"/>
        <v>354.24896112974625</v>
      </c>
      <c r="F288" s="2170">
        <f t="shared" ca="1" si="46"/>
        <v>369.30454197776055</v>
      </c>
      <c r="G288" s="2170">
        <f t="shared" ca="1" si="46"/>
        <v>382.41485321797109</v>
      </c>
      <c r="I288" s="16"/>
      <c r="P288"/>
      <c r="Q288"/>
      <c r="AA288" s="2166">
        <v>5</v>
      </c>
      <c r="AB288" s="2169" t="str">
        <f t="shared" si="47"/>
        <v>VOL. G.F.C.F. EQUIPMENT</v>
      </c>
      <c r="AC288" s="2170">
        <f t="shared" si="48"/>
        <v>302.709</v>
      </c>
      <c r="AD288" s="2170">
        <f t="shared" si="49"/>
        <v>317.23953439345092</v>
      </c>
      <c r="AE288" s="2170">
        <f t="shared" si="50"/>
        <v>332.52166533850101</v>
      </c>
      <c r="AF288" s="2170">
        <f t="shared" si="50"/>
        <v>351.47540026279557</v>
      </c>
      <c r="AG288" s="2170">
        <f t="shared" si="50"/>
        <v>364.90176055283433</v>
      </c>
    </row>
    <row r="289" spans="1:33" ht="13.15">
      <c r="A289" s="2166">
        <v>6</v>
      </c>
      <c r="B289" s="2169" t="str">
        <f t="shared" si="43"/>
        <v>VOL. G.F.C.F. OTHER</v>
      </c>
      <c r="C289" s="2170">
        <f t="shared" ca="1" si="44"/>
        <v>273.59100000000001</v>
      </c>
      <c r="D289" s="2170">
        <f t="shared" ca="1" si="45"/>
        <v>281.83918770711443</v>
      </c>
      <c r="E289" s="2170">
        <f t="shared" ca="1" si="46"/>
        <v>292.54907683998476</v>
      </c>
      <c r="F289" s="2170">
        <f t="shared" ca="1" si="46"/>
        <v>303.98774574442814</v>
      </c>
      <c r="G289" s="2170">
        <f t="shared" ca="1" si="46"/>
        <v>312.34740875239993</v>
      </c>
      <c r="I289" s="16"/>
      <c r="P289"/>
      <c r="Q289"/>
      <c r="AA289" s="2166">
        <v>6</v>
      </c>
      <c r="AB289" s="2169" t="str">
        <f t="shared" si="47"/>
        <v>VOL. G.F.C.F. OTHER</v>
      </c>
      <c r="AC289" s="2170">
        <f t="shared" si="48"/>
        <v>276.24400000000003</v>
      </c>
      <c r="AD289" s="2170">
        <f t="shared" si="49"/>
        <v>280.15362702657762</v>
      </c>
      <c r="AE289" s="2170">
        <f t="shared" si="50"/>
        <v>287.71867103165755</v>
      </c>
      <c r="AF289" s="2170">
        <f t="shared" si="50"/>
        <v>298.65198053086056</v>
      </c>
      <c r="AG289" s="2170">
        <f t="shared" si="50"/>
        <v>310.23967737545792</v>
      </c>
    </row>
    <row r="290" spans="1:33" ht="13.15">
      <c r="A290" s="2166">
        <v>7</v>
      </c>
      <c r="B290" s="2169" t="str">
        <f t="shared" si="43"/>
        <v>VOL. CHANGE IN INVENTORIES</v>
      </c>
      <c r="C290" s="2170">
        <f t="shared" ca="1" si="44"/>
        <v>25.434999999999999</v>
      </c>
      <c r="D290" s="2170">
        <f t="shared" ca="1" si="45"/>
        <v>31.512262532056411</v>
      </c>
      <c r="E290" s="2170">
        <f t="shared" ca="1" si="46"/>
        <v>37.814715038467689</v>
      </c>
      <c r="F290" s="2170">
        <f t="shared" ca="1" si="46"/>
        <v>31.386213481928181</v>
      </c>
      <c r="G290" s="2170">
        <f t="shared" ca="1" si="46"/>
        <v>31.386213481928181</v>
      </c>
      <c r="I290" s="16"/>
      <c r="P290"/>
      <c r="Q290"/>
      <c r="AA290" s="2166">
        <v>7</v>
      </c>
      <c r="AB290" s="2169" t="str">
        <f t="shared" si="47"/>
        <v>VOL. CHANGE IN INVENTORIES</v>
      </c>
      <c r="AC290" s="2170">
        <f t="shared" si="48"/>
        <v>30.216000000000001</v>
      </c>
      <c r="AD290" s="2170">
        <f t="shared" si="49"/>
        <v>31.027457033998417</v>
      </c>
      <c r="AE290" s="2170">
        <f t="shared" si="50"/>
        <v>37.187135385935392</v>
      </c>
      <c r="AF290" s="2170">
        <f t="shared" si="50"/>
        <v>37.187135385935392</v>
      </c>
      <c r="AG290" s="2170">
        <f t="shared" si="50"/>
        <v>37.187135385935392</v>
      </c>
    </row>
    <row r="291" spans="1:33" ht="13.15">
      <c r="A291" s="2166">
        <v>8</v>
      </c>
      <c r="B291" s="2169" t="str">
        <f t="shared" si="43"/>
        <v>VOL. EXPORTS OF GOODS (FOB)</v>
      </c>
      <c r="C291" s="2170">
        <f t="shared" ca="1" si="44"/>
        <v>1309.0509999999999</v>
      </c>
      <c r="D291" s="2170">
        <f t="shared" ca="1" si="45"/>
        <v>1373.9064326571938</v>
      </c>
      <c r="E291" s="2170">
        <f t="shared" ca="1" si="46"/>
        <v>1422.6801110165245</v>
      </c>
      <c r="F291" s="2170">
        <f t="shared" ca="1" si="46"/>
        <v>1470.3398947355781</v>
      </c>
      <c r="G291" s="2170">
        <f t="shared" ca="1" si="46"/>
        <v>1514.7441595565924</v>
      </c>
      <c r="I291" s="16"/>
      <c r="P291"/>
      <c r="Q291"/>
      <c r="AA291" s="2166">
        <v>8</v>
      </c>
      <c r="AB291" s="2169" t="str">
        <f t="shared" si="47"/>
        <v>VOL. EXPORTS OF GOODS (FOB)</v>
      </c>
      <c r="AC291" s="2170">
        <f t="shared" si="48"/>
        <v>1299.6780000000001</v>
      </c>
      <c r="AD291" s="2170">
        <f t="shared" si="49"/>
        <v>1345.9194838691337</v>
      </c>
      <c r="AE291" s="2170">
        <f t="shared" si="50"/>
        <v>1414.6622912175064</v>
      </c>
      <c r="AF291" s="2170">
        <f t="shared" si="50"/>
        <v>1482.4246149668249</v>
      </c>
      <c r="AG291" s="2170">
        <f t="shared" si="50"/>
        <v>1541.8698420269945</v>
      </c>
    </row>
    <row r="292" spans="1:33" ht="13.15">
      <c r="A292" s="2166">
        <v>9</v>
      </c>
      <c r="B292" s="2169" t="str">
        <f t="shared" si="43"/>
        <v>VOL. EXPORTS OF SERVICES</v>
      </c>
      <c r="C292" s="2170">
        <f t="shared" ca="1" si="44"/>
        <v>638.101</v>
      </c>
      <c r="D292" s="2170">
        <f t="shared" ca="1" si="45"/>
        <v>636.21698495744249</v>
      </c>
      <c r="E292" s="2170">
        <f t="shared" ca="1" si="46"/>
        <v>656.51230677758485</v>
      </c>
      <c r="F292" s="2170">
        <f t="shared" ca="1" si="46"/>
        <v>676.14202475023467</v>
      </c>
      <c r="G292" s="2170">
        <f t="shared" ca="1" si="46"/>
        <v>696.35867129026678</v>
      </c>
      <c r="I292" s="16"/>
      <c r="P292"/>
      <c r="Q292"/>
      <c r="AA292" s="2166">
        <v>9</v>
      </c>
      <c r="AB292" s="2169" t="str">
        <f t="shared" si="47"/>
        <v>VOL. EXPORTS OF SERVICES</v>
      </c>
      <c r="AC292" s="2170">
        <f t="shared" si="48"/>
        <v>613.41</v>
      </c>
      <c r="AD292" s="2170">
        <f t="shared" si="49"/>
        <v>629.85195018982279</v>
      </c>
      <c r="AE292" s="2170">
        <f t="shared" si="50"/>
        <v>633.91491154518292</v>
      </c>
      <c r="AF292" s="2170">
        <f t="shared" si="50"/>
        <v>661.80716765317095</v>
      </c>
      <c r="AG292" s="2170">
        <f t="shared" si="50"/>
        <v>682.32318985041923</v>
      </c>
    </row>
    <row r="293" spans="1:33" ht="13.15">
      <c r="A293" s="2166">
        <v>10</v>
      </c>
      <c r="B293" s="2169" t="str">
        <f t="shared" si="43"/>
        <v>VOL. IMPORTS OF GOODS (FOB)</v>
      </c>
      <c r="C293" s="2170">
        <f t="shared" ca="1" si="44"/>
        <v>1213.4359999999999</v>
      </c>
      <c r="D293" s="2170">
        <f t="shared" ca="1" si="45"/>
        <v>1262.2438072276314</v>
      </c>
      <c r="E293" s="2170">
        <f t="shared" ca="1" si="46"/>
        <v>1312.8597838974595</v>
      </c>
      <c r="F293" s="2170">
        <f t="shared" ca="1" si="46"/>
        <v>1356.9718726364142</v>
      </c>
      <c r="G293" s="2170">
        <f t="shared" ca="1" si="46"/>
        <v>1399.3093950626703</v>
      </c>
      <c r="I293" s="16"/>
      <c r="P293"/>
      <c r="Q293"/>
      <c r="AA293" s="2166">
        <v>10</v>
      </c>
      <c r="AB293" s="2169" t="str">
        <f t="shared" si="47"/>
        <v>VOL. IMPORTS OF GOODS (FOB)</v>
      </c>
      <c r="AC293" s="2170">
        <f t="shared" si="48"/>
        <v>1172.4559999999999</v>
      </c>
      <c r="AD293" s="2170">
        <f t="shared" si="49"/>
        <v>1231.0678375673806</v>
      </c>
      <c r="AE293" s="2170">
        <f t="shared" si="50"/>
        <v>1282.3939470905318</v>
      </c>
      <c r="AF293" s="2170">
        <f t="shared" si="50"/>
        <v>1342.1535050249504</v>
      </c>
      <c r="AG293" s="2170">
        <f t="shared" si="50"/>
        <v>1390.0683851543413</v>
      </c>
    </row>
    <row r="294" spans="1:33" ht="13.15">
      <c r="A294" s="2166">
        <v>11</v>
      </c>
      <c r="B294" s="2169" t="str">
        <f t="shared" si="43"/>
        <v>VOL. IMPORTS OF SERVICES</v>
      </c>
      <c r="C294" s="2170">
        <f t="shared" ca="1" si="44"/>
        <v>539.59299999999996</v>
      </c>
      <c r="D294" s="2170">
        <f t="shared" ca="1" si="45"/>
        <v>574.07714544180521</v>
      </c>
      <c r="E294" s="2170">
        <f t="shared" ca="1" si="46"/>
        <v>591.58649837778023</v>
      </c>
      <c r="F294" s="2170">
        <f t="shared" ca="1" si="46"/>
        <v>608.32839628187128</v>
      </c>
      <c r="G294" s="2170">
        <f t="shared" ca="1" si="46"/>
        <v>627.85573780251912</v>
      </c>
      <c r="I294" s="16"/>
      <c r="P294"/>
      <c r="Q294"/>
      <c r="AA294" s="2166">
        <v>11</v>
      </c>
      <c r="AB294" s="2169" t="str">
        <f t="shared" si="47"/>
        <v>VOL. IMPORTS OF SERVICES</v>
      </c>
      <c r="AC294" s="2170">
        <f t="shared" si="48"/>
        <v>536.44899999999996</v>
      </c>
      <c r="AD294" s="2170">
        <f t="shared" si="49"/>
        <v>535.34028979417189</v>
      </c>
      <c r="AE294" s="2170">
        <f t="shared" si="50"/>
        <v>571.96887012929346</v>
      </c>
      <c r="AF294" s="2170">
        <f t="shared" si="50"/>
        <v>591.98778058381879</v>
      </c>
      <c r="AG294" s="2170">
        <f t="shared" si="50"/>
        <v>610.93138956250095</v>
      </c>
    </row>
    <row r="295" spans="1:33" ht="13.15">
      <c r="A295" s="2166">
        <v>12</v>
      </c>
      <c r="B295" s="2169" t="str">
        <f t="shared" si="43"/>
        <v>VOL. GROSS DOMESTIC PRODUCT</v>
      </c>
      <c r="C295" s="2170">
        <f t="shared" ca="1" si="44"/>
        <v>4385.4970000000003</v>
      </c>
      <c r="D295" s="2170">
        <f t="shared" ca="1" si="45"/>
        <v>4478.2150204918016</v>
      </c>
      <c r="E295" s="2170">
        <f t="shared" ca="1" si="46"/>
        <v>4584.5931361746043</v>
      </c>
      <c r="F295" s="2170">
        <f t="shared" ca="1" si="46"/>
        <v>4665.3163898663497</v>
      </c>
      <c r="G295" s="2170">
        <f t="shared" ca="1" si="46"/>
        <v>4747.468904012926</v>
      </c>
      <c r="I295" s="16"/>
      <c r="P295"/>
      <c r="Q295"/>
      <c r="AA295" s="2166">
        <v>12</v>
      </c>
      <c r="AB295" s="2169" t="str">
        <f t="shared" si="47"/>
        <v>VOL. GROSS DOMESTIC PRODUCT</v>
      </c>
      <c r="AC295" s="2170">
        <f t="shared" si="48"/>
        <v>4199.8599999999997</v>
      </c>
      <c r="AD295" s="2170">
        <f t="shared" si="49"/>
        <v>4335.7230318203374</v>
      </c>
      <c r="AE295" s="2170">
        <f t="shared" si="50"/>
        <v>4439.9478450427932</v>
      </c>
      <c r="AF295" s="2170">
        <f t="shared" si="50"/>
        <v>4555.7503677160539</v>
      </c>
      <c r="AG295" s="2170">
        <f t="shared" si="50"/>
        <v>4644.7392475965225</v>
      </c>
    </row>
    <row r="296" spans="1:33" ht="13.15">
      <c r="A296" s="2166">
        <v>28</v>
      </c>
      <c r="B296" s="2218" t="str">
        <f>+B128</f>
        <v xml:space="preserve">VOL. FIXED INVESTMENT GOVERNMENT  </v>
      </c>
      <c r="C296" s="2219">
        <f ca="1">IF($C$280=1,D296/(D128/C226),C128)</f>
        <v>192.80699999999999</v>
      </c>
      <c r="D296" s="2219">
        <f ca="1">+D128</f>
        <v>203.28180170651078</v>
      </c>
      <c r="E296" s="2219">
        <f ca="1">IF($C$280=1,D296*E128/D226,E128)</f>
        <v>211.6163555764777</v>
      </c>
      <c r="F296" s="2219">
        <f ca="1">IF($C$280=1,E296*F128/E226,F128)</f>
        <v>218.38807895492496</v>
      </c>
      <c r="G296" s="2219">
        <f ca="1">IF($C$280=1,F296*G128/F226,G128)</f>
        <v>223.84778092879804</v>
      </c>
      <c r="I296" s="16"/>
      <c r="P296"/>
      <c r="Q296"/>
      <c r="AA296" s="2166">
        <v>28</v>
      </c>
      <c r="AB296" s="2218" t="str">
        <f>+AB128</f>
        <v xml:space="preserve">VOL. FIXED INVESTMENT GOVERNMENT  </v>
      </c>
      <c r="AC296" s="2219">
        <f>IF($C$280=1,AD296/(AD128/AC226),AC128)</f>
        <v>175.76900000000001</v>
      </c>
      <c r="AD296" s="2219">
        <f>+AD128</f>
        <v>189.77837265046495</v>
      </c>
      <c r="AE296" s="2219">
        <f>IF($C$280=1,AD296*AE128/AD226,AE128)</f>
        <v>197.25110512851921</v>
      </c>
      <c r="AF296" s="2219">
        <f>IF($C$280=1,AE296*AF128/AE226,AF128)</f>
        <v>204.15489380801736</v>
      </c>
      <c r="AG296" s="2219">
        <f>IF($C$280=1,AF296*AG128/AF226,AG128)</f>
        <v>209.87123083464186</v>
      </c>
    </row>
    <row r="297" spans="1:33" ht="13.15">
      <c r="A297" s="2166">
        <v>29</v>
      </c>
      <c r="B297" s="2218" t="str">
        <f>+B129</f>
        <v>FOR FUTURE USE</v>
      </c>
      <c r="C297" s="2220">
        <f>IF(C129=-9999,-9999,IF($C$280=1,D297/(D129/C209),C129))</f>
        <v>-9999</v>
      </c>
      <c r="D297" s="2220">
        <f>+D129</f>
        <v>-9999</v>
      </c>
      <c r="E297" s="2220">
        <f>IF(E129=-9999,-9999,IF($C$280=1,D297*E129/D209,E129))</f>
        <v>-9999</v>
      </c>
      <c r="F297" s="2220">
        <f>IF(F129=-9999,-9999,IF($C$280=1,E297*F129/E209,F129))</f>
        <v>-9999</v>
      </c>
      <c r="G297" s="2220">
        <f>IF(G129=-9999,-9999,IF($C$280=1,F297*G129/F209,G129))</f>
        <v>-9999</v>
      </c>
      <c r="I297" s="16"/>
      <c r="P297"/>
      <c r="Q297"/>
      <c r="AA297" s="2166">
        <v>29</v>
      </c>
      <c r="AB297" s="2218" t="str">
        <f>+AB129</f>
        <v>FOR FUTURE USE</v>
      </c>
      <c r="AC297" s="2220">
        <f>IF(AC129=-9999,-9999,IF($C$280=1,AD297/(AD129/AC209),AC129))</f>
        <v>-9999</v>
      </c>
      <c r="AD297" s="2220">
        <f>+AD129</f>
        <v>-9999</v>
      </c>
      <c r="AE297" s="2220">
        <f>IF(AE129=-9999,-9999,IF($C$280=1,AD297*AE129/AD209,AE129))</f>
        <v>-9999</v>
      </c>
      <c r="AF297" s="2220">
        <f>IF(AF129=-9999,-9999,IF($C$280=1,AE297*AF129/AE209,AF129))</f>
        <v>-9999</v>
      </c>
      <c r="AG297" s="2220">
        <f>IF(AG129=-9999,-9999,IF($C$280=1,AF297*AG129/AF209,AG129))</f>
        <v>-9999</v>
      </c>
    </row>
    <row r="298" spans="1:33" ht="13.15">
      <c r="A298" s="2166">
        <v>30</v>
      </c>
      <c r="B298" s="2218" t="str">
        <f>+B130</f>
        <v>FOR FUTURE USE</v>
      </c>
      <c r="C298" s="2220">
        <f>IF(C130=-9999,-9999,IF($C$280=1,D298/(D130/C196),C130))</f>
        <v>-9999</v>
      </c>
      <c r="D298" s="2220">
        <f>+D130</f>
        <v>-9999</v>
      </c>
      <c r="E298" s="2220">
        <f>IF(E130=-9999,-9999,IF($C$280=1,D298*E130/D196,E130))</f>
        <v>-9999</v>
      </c>
      <c r="F298" s="2220">
        <f>IF(F130=-9999,-9999,IF($C$280=1,E298*F130/E196,F130))</f>
        <v>-9999</v>
      </c>
      <c r="G298" s="2220">
        <f>IF(G130=-9999,-9999,IF($C$280=1,F298*G130/F196,G130))</f>
        <v>-9999</v>
      </c>
      <c r="I298" s="16"/>
      <c r="P298"/>
      <c r="Q298"/>
      <c r="AA298" s="2166">
        <v>30</v>
      </c>
      <c r="AB298" s="2218" t="str">
        <f>+AB130</f>
        <v>FOR FUTURE USE</v>
      </c>
      <c r="AC298" s="2220">
        <f>IF(AC130=-9999,-9999,IF($C$280=1,AD298/(AD130/AC196),AC130))</f>
        <v>-9999</v>
      </c>
      <c r="AD298" s="2220">
        <f>+AD130</f>
        <v>-9999</v>
      </c>
      <c r="AE298" s="2220">
        <f>IF(AE130=-9999,-9999,IF($C$280=1,AD298*AE130/AD196,AE130))</f>
        <v>-9999</v>
      </c>
      <c r="AF298" s="2220">
        <f>IF(AF130=-9999,-9999,IF($C$280=1,AE298*AF130/AE196,AF130))</f>
        <v>-9999</v>
      </c>
      <c r="AG298" s="2220">
        <f>IF(AG130=-9999,-9999,IF($C$280=1,AF298*AG130/AF196,AG130))</f>
        <v>-9999</v>
      </c>
    </row>
    <row r="299" spans="1:33" ht="13.15">
      <c r="A299" s="2166">
        <v>31</v>
      </c>
      <c r="B299" s="2218" t="str">
        <f>+B131</f>
        <v>VOL. FIXED INVESTMENT HOUSING</v>
      </c>
      <c r="C299" s="2219">
        <f ca="1">IF($C$280=1,D299/(D131/C133),C131)</f>
        <v>224.84800000000001</v>
      </c>
      <c r="D299" s="2219">
        <f ca="1">+D131</f>
        <v>250.84455729234074</v>
      </c>
      <c r="E299" s="2219">
        <f t="shared" ref="E299:G300" ca="1" si="51">IF($C$280=1,D299*E131/D133,E131)</f>
        <v>255.13399922203973</v>
      </c>
      <c r="F299" s="2219">
        <f t="shared" ca="1" si="51"/>
        <v>242.68346006000425</v>
      </c>
      <c r="G299" s="2219">
        <f t="shared" ca="1" si="51"/>
        <v>238.92186642907419</v>
      </c>
      <c r="I299" s="16"/>
      <c r="P299"/>
      <c r="Q299"/>
      <c r="AA299" s="2166">
        <v>31</v>
      </c>
      <c r="AB299" s="2218" t="str">
        <f>+AB131</f>
        <v>VOL. FIXED INVESTMENT HOUSING</v>
      </c>
      <c r="AC299" s="2219">
        <f>IF($C$280=1,AD299/(AD131/AC133),AC131)</f>
        <v>191.25899999999999</v>
      </c>
      <c r="AD299" s="2219">
        <f>+AD131</f>
        <v>218.61663837488499</v>
      </c>
      <c r="AE299" s="2219">
        <f t="shared" ref="AE299:AG300" si="52">IF($C$280=1,AD299*AE131/AD133,AE131)</f>
        <v>249.63673660570288</v>
      </c>
      <c r="AF299" s="2219">
        <f t="shared" si="52"/>
        <v>253.45617867577013</v>
      </c>
      <c r="AG299" s="2219">
        <f t="shared" si="52"/>
        <v>243.36862276447445</v>
      </c>
    </row>
    <row r="300" spans="1:33" ht="13.15">
      <c r="A300" s="2166">
        <v>32</v>
      </c>
      <c r="B300" s="2218" t="str">
        <f>+B132</f>
        <v>FOR FUTURE USE</v>
      </c>
      <c r="C300" s="2219">
        <f>IF($C$280=1,D300/(D132/C134),C132)</f>
        <v>-9999</v>
      </c>
      <c r="D300" s="2219">
        <f>+D132</f>
        <v>-9999</v>
      </c>
      <c r="E300" s="2219">
        <f t="shared" si="51"/>
        <v>-9999</v>
      </c>
      <c r="F300" s="2219">
        <f t="shared" si="51"/>
        <v>-9999</v>
      </c>
      <c r="G300" s="2219">
        <f t="shared" si="51"/>
        <v>-9999</v>
      </c>
      <c r="I300" s="16"/>
      <c r="P300"/>
      <c r="Q300"/>
      <c r="AA300" s="2166">
        <v>32</v>
      </c>
      <c r="AB300" s="2218" t="str">
        <f>+AB132</f>
        <v>FOR FUTURE USE</v>
      </c>
      <c r="AC300" s="2219">
        <f>IF($C$280=1,AD300/(AD132/AC134),AC132)</f>
        <v>-9999</v>
      </c>
      <c r="AD300" s="2219">
        <f>+AD132</f>
        <v>-9999</v>
      </c>
      <c r="AE300" s="2219">
        <f t="shared" si="52"/>
        <v>-9999</v>
      </c>
      <c r="AF300" s="2219">
        <f t="shared" si="52"/>
        <v>-9999</v>
      </c>
      <c r="AG300" s="2219">
        <f t="shared" si="52"/>
        <v>-9999</v>
      </c>
    </row>
    <row r="301" spans="1:33" ht="13.15">
      <c r="A301" s="2166">
        <v>58</v>
      </c>
      <c r="B301" s="2169" t="str">
        <f>+B158</f>
        <v>VOL GROSS VALUE ADDED</v>
      </c>
      <c r="C301" s="2170">
        <f ca="1">IF($C$280=1,D301/(D158/C157),C158)</f>
        <v>3876.3760000000002</v>
      </c>
      <c r="D301" s="2170">
        <f ca="1">+D158</f>
        <v>3959.9459822966428</v>
      </c>
      <c r="E301" s="2170">
        <f ca="1">IF($C$280=1,D301*E158/D157,E158)</f>
        <v>4053.8191714220393</v>
      </c>
      <c r="F301" s="2170">
        <f ca="1">IF($C$280=1,E301*F158/E157,F158)</f>
        <v>4122.1744534734044</v>
      </c>
      <c r="G301" s="2170">
        <f ca="1">IF($C$280=1,F301*G158/F157,G158)</f>
        <v>4195.1688211103556</v>
      </c>
      <c r="I301" s="16"/>
      <c r="P301"/>
      <c r="Q301"/>
      <c r="AA301" s="2166">
        <v>58</v>
      </c>
      <c r="AB301" s="2169" t="str">
        <f>+AB158</f>
        <v>VOL GROSS VALUE ADDED</v>
      </c>
      <c r="AC301" s="2170">
        <f>IF($C$280=1,AD301/(AD158/AC157),AC158)</f>
        <v>3719.7570000000001</v>
      </c>
      <c r="AD301" s="2170">
        <f>+AD158</f>
        <v>3831.7221412813342</v>
      </c>
      <c r="AE301" s="2170">
        <f>IF($C$280=1,AD301*AE158/AD157,AE158)</f>
        <v>3924.9817502917203</v>
      </c>
      <c r="AF301" s="2170">
        <f>IF($C$280=1,AE301*AF158/AE157,AF158)</f>
        <v>4026.9426847701561</v>
      </c>
      <c r="AG301" s="2170">
        <f>IF($C$280=1,AF301*AG158/AF157,AG158)</f>
        <v>4105.601785160673</v>
      </c>
    </row>
    <row r="302" spans="1:33" ht="13.15">
      <c r="A302" s="2166">
        <v>66</v>
      </c>
      <c r="B302" s="2169" t="str">
        <f>+B166</f>
        <v>FOR FUTURE USE</v>
      </c>
      <c r="C302" s="2170">
        <f>IF($C$280=1,D302/(D166/C165),C166)</f>
        <v>-9999</v>
      </c>
      <c r="D302" s="2170">
        <f>+D166</f>
        <v>-9999</v>
      </c>
      <c r="E302" s="2170">
        <f>IF($C$280=1,D302*E166/D165,E166)</f>
        <v>-9999</v>
      </c>
      <c r="F302" s="2170">
        <f>IF($C$280=1,E302*F166/E165,F166)</f>
        <v>-9999</v>
      </c>
      <c r="G302" s="2170">
        <f>IF($C$280=1,F302*G166/F165,G166)</f>
        <v>-9999</v>
      </c>
      <c r="I302" s="16"/>
      <c r="P302"/>
      <c r="Q302"/>
      <c r="AA302" s="2166">
        <v>66</v>
      </c>
      <c r="AB302" s="2169" t="str">
        <f>+AB166</f>
        <v>FOR FUTURE USE</v>
      </c>
      <c r="AC302" s="2170">
        <f>IF($C$280=1,AD302/(AD166/AC165),AC166)</f>
        <v>-9999</v>
      </c>
      <c r="AD302" s="2170">
        <f>+AD166</f>
        <v>-9999</v>
      </c>
      <c r="AE302" s="2170">
        <f>IF($C$280=1,AD302*AE166/AD165,AE166)</f>
        <v>-9999</v>
      </c>
      <c r="AF302" s="2170">
        <f>IF($C$280=1,AE302*AF166/AE165,AF166)</f>
        <v>-9999</v>
      </c>
      <c r="AG302" s="2170">
        <f>IF($C$280=1,AF302*AG166/AF165,AG166)</f>
        <v>-9999</v>
      </c>
    </row>
    <row r="303" spans="1:33" ht="13.15">
      <c r="B303" s="2167" t="s">
        <v>98</v>
      </c>
      <c r="C303" s="25"/>
      <c r="D303" s="25"/>
      <c r="E303" s="25"/>
      <c r="F303" s="25"/>
      <c r="G303" s="25"/>
      <c r="P303"/>
      <c r="Q303"/>
      <c r="AA303" s="15"/>
      <c r="AB303" s="2167" t="s">
        <v>98</v>
      </c>
      <c r="AC303" s="25"/>
      <c r="AD303" s="25"/>
      <c r="AE303" s="25"/>
      <c r="AF303" s="25"/>
      <c r="AG303" s="25"/>
    </row>
    <row r="304" spans="1:33">
      <c r="B304" s="2168" t="s">
        <v>339</v>
      </c>
      <c r="C304" s="2168"/>
      <c r="D304" s="2168"/>
      <c r="E304" s="2168"/>
      <c r="F304" s="2168"/>
      <c r="G304" s="2168"/>
      <c r="P304"/>
      <c r="Q304"/>
      <c r="AA304" s="15"/>
      <c r="AB304" s="2168" t="s">
        <v>339</v>
      </c>
      <c r="AC304" s="2168"/>
      <c r="AD304" s="2168"/>
      <c r="AE304" s="2168"/>
      <c r="AF304" s="2168"/>
      <c r="AG304" s="2168"/>
    </row>
    <row r="305" spans="2:33">
      <c r="B305" s="2169" t="s">
        <v>1144</v>
      </c>
      <c r="C305" s="2170">
        <f ca="1">+C136+C137+C138</f>
        <v>4165.9390000000003</v>
      </c>
      <c r="D305" s="2170">
        <f ca="1">+D136+D137+D138</f>
        <v>4379.0640000000003</v>
      </c>
      <c r="E305" s="2170">
        <f ca="1">+E136+E137+E138</f>
        <v>4605.4946312554994</v>
      </c>
      <c r="F305" s="2170">
        <f ca="1">+F136+F137+F138</f>
        <v>4792.8681147874559</v>
      </c>
      <c r="G305" s="2170">
        <f ca="1">+G136+G137+G138</f>
        <v>4971.6631769528094</v>
      </c>
      <c r="P305"/>
      <c r="Q305"/>
      <c r="AA305" s="15"/>
      <c r="AB305" s="2169" t="s">
        <v>1144</v>
      </c>
      <c r="AC305" s="2170">
        <f>+AC136+AC137+AC138</f>
        <v>3965.4610000000002</v>
      </c>
      <c r="AD305" s="2170">
        <f>+AD136+AD137+AD138</f>
        <v>4161.0429999999997</v>
      </c>
      <c r="AE305" s="2170">
        <f>+AE136+AE137+AE138</f>
        <v>4376.8010000000004</v>
      </c>
      <c r="AF305" s="2170">
        <f>+AF136+AF137+AF138</f>
        <v>4590.9155770399302</v>
      </c>
      <c r="AG305" s="2170">
        <f>+AG136+AG137+AG138</f>
        <v>4778.8078705503003</v>
      </c>
    </row>
    <row r="306" spans="2:33">
      <c r="B306" s="2169" t="s">
        <v>1145</v>
      </c>
      <c r="C306" s="2170">
        <f ca="1">+C101+C102+C103</f>
        <v>4101.6179939365056</v>
      </c>
      <c r="D306" s="2170">
        <f ca="1">+D101+D102+D103</f>
        <v>4272.900086158359</v>
      </c>
      <c r="E306" s="2170">
        <f ca="1">+E101+E102+E103</f>
        <v>4481.1561259</v>
      </c>
      <c r="F306" s="2170">
        <f ca="1">+F101+F102+F103</f>
        <v>4690.6632571293385</v>
      </c>
      <c r="G306" s="2170">
        <f ca="1">+G101+G102+G103</f>
        <v>4878.9107699283359</v>
      </c>
      <c r="P306"/>
      <c r="Q306"/>
      <c r="AA306" s="15"/>
      <c r="AB306" s="2169" t="s">
        <v>1145</v>
      </c>
      <c r="AC306" s="2170">
        <f>+AC101+AC102+AC103</f>
        <v>3899.6499027687632</v>
      </c>
      <c r="AD306" s="2170">
        <f>+AD101+AD102+AD103</f>
        <v>4095.3333498745587</v>
      </c>
      <c r="AE306" s="2170">
        <f>+AE101+AE102+AE103</f>
        <v>4275.9611925401068</v>
      </c>
      <c r="AF306" s="2170">
        <f>+AF101+AF102+AF103</f>
        <v>4480.9609627</v>
      </c>
      <c r="AG306" s="2170">
        <f>+AG101+AG102+AG103</f>
        <v>4672.065904898931</v>
      </c>
    </row>
    <row r="307" spans="2:33">
      <c r="B307" s="2169" t="s">
        <v>1146</v>
      </c>
      <c r="C307" s="2170">
        <f ca="1">IF($C$280=1,D307/(D306/C305),C306)</f>
        <v>4165.9390000000003</v>
      </c>
      <c r="D307" s="2170">
        <f ca="1">+D306</f>
        <v>4272.900086158359</v>
      </c>
      <c r="E307" s="2170">
        <f ca="1">IF($C$280=1,D307*E306/D305,E306)</f>
        <v>4372.5171398379116</v>
      </c>
      <c r="F307" s="2170">
        <f ca="1">IF($C$280=1,E307*F306/E305,F306)</f>
        <v>4453.3773527415324</v>
      </c>
      <c r="G307" s="2170">
        <f ca="1">IF($C$280=1,F307*G306/F305,G306)</f>
        <v>4533.3253927453698</v>
      </c>
      <c r="P307"/>
      <c r="Q307"/>
      <c r="AA307" s="15"/>
      <c r="AB307" s="2169" t="s">
        <v>1146</v>
      </c>
      <c r="AC307" s="2170">
        <f>IF($C$280=1,AD307/(AD306/AC305),AC306)</f>
        <v>3965.4610000000002</v>
      </c>
      <c r="AD307" s="2170">
        <f>+AD306</f>
        <v>4095.3333498745587</v>
      </c>
      <c r="AE307" s="2170">
        <f>IF($C$280=1,AD307*AE306/AD305,AE306)</f>
        <v>4208.4367968749393</v>
      </c>
      <c r="AF307" s="2170">
        <f>IF($C$280=1,AE307*AF306/AE305,AF306)</f>
        <v>4308.5899954754241</v>
      </c>
      <c r="AG307" s="2170">
        <f>IF($C$280=1,AF307*AG306/AF305,AG306)</f>
        <v>4384.749856155825</v>
      </c>
    </row>
    <row r="308" spans="2:33">
      <c r="B308" s="2218" t="s">
        <v>94</v>
      </c>
      <c r="C308" s="2219">
        <f ca="1">+C136+C137+C138+C142</f>
        <v>4191.3740000000007</v>
      </c>
      <c r="D308" s="2219">
        <f ca="1">+D136+D137+D138+D142</f>
        <v>4409.8209999999999</v>
      </c>
      <c r="E308" s="2219">
        <f ca="1">+E136+E137+E138+E142</f>
        <v>4644.2853596554996</v>
      </c>
      <c r="F308" s="2219">
        <f ca="1">+F136+F137+F138+F142</f>
        <v>4826.062504801188</v>
      </c>
      <c r="G308" s="2219">
        <f ca="1">+G136+G137+G138+G142</f>
        <v>5004.8575669665415</v>
      </c>
      <c r="P308"/>
      <c r="Q308"/>
      <c r="AA308" s="15"/>
      <c r="AB308" s="2218" t="s">
        <v>94</v>
      </c>
      <c r="AC308" s="2219">
        <f>+AC136+AC137+AC138+AC142</f>
        <v>3995.6770000000001</v>
      </c>
      <c r="AD308" s="2219">
        <f>+AD136+AD137+AD138+AD142</f>
        <v>4191.6610000000001</v>
      </c>
      <c r="AE308" s="2219">
        <f>+AE136+AE137+AE138+AE142</f>
        <v>4412.0370000000003</v>
      </c>
      <c r="AF308" s="2219">
        <f>+AF136+AF137+AF138+AF142</f>
        <v>4626.1515770399301</v>
      </c>
      <c r="AG308" s="2219">
        <f>+AG136+AG137+AG138+AG142</f>
        <v>4814.0438705503002</v>
      </c>
    </row>
    <row r="309" spans="2:33">
      <c r="B309" s="2218" t="s">
        <v>95</v>
      </c>
      <c r="C309" s="2219">
        <f ca="1">+C101+C102+C103+C107</f>
        <v>4126.9310008263565</v>
      </c>
      <c r="D309" s="2219">
        <f ca="1">+D101+D102+D103+D107</f>
        <v>4304.4123486904155</v>
      </c>
      <c r="E309" s="2219">
        <f ca="1">+E101+E102+E103+E107</f>
        <v>4518.0645259000003</v>
      </c>
      <c r="F309" s="2219">
        <f ca="1">+F101+F102+F103+F107</f>
        <v>4722.8595617013389</v>
      </c>
      <c r="G309" s="2219">
        <f ca="1">+G101+G102+G103+G107</f>
        <v>4912.105159942068</v>
      </c>
      <c r="P309"/>
      <c r="Q309"/>
      <c r="AA309" s="15"/>
      <c r="AB309" s="2218" t="s">
        <v>95</v>
      </c>
      <c r="AC309" s="2219">
        <f>+AC101+AC102+AC103+AC107</f>
        <v>3928.2324316020613</v>
      </c>
      <c r="AD309" s="2219">
        <f>+AD101+AD102+AD103+AD107</f>
        <v>4126.3608069085567</v>
      </c>
      <c r="AE309" s="2219">
        <f>+AE101+AE102+AE103+AE107</f>
        <v>4312.6575840619435</v>
      </c>
      <c r="AF309" s="2219">
        <f>+AF101+AF102+AF103+AF107</f>
        <v>4516.1969626999999</v>
      </c>
      <c r="AG309" s="2219">
        <f>+AG101+AG102+AG103+AG107</f>
        <v>4707.3019048989308</v>
      </c>
    </row>
    <row r="310" spans="2:33">
      <c r="B310" s="2218" t="s">
        <v>96</v>
      </c>
      <c r="C310" s="2219">
        <f ca="1">IF($C$280=1,D310/(D309/C308),C309)</f>
        <v>4191.3740000000007</v>
      </c>
      <c r="D310" s="2219">
        <f ca="1">+D309</f>
        <v>4304.4123486904155</v>
      </c>
      <c r="E310" s="2219">
        <f ca="1">IF($C$280=1,D310*E309/D308,E309)</f>
        <v>4410.06851240993</v>
      </c>
      <c r="F310" s="2219">
        <f ca="1">IF($C$280=1,E310*F309/E308,F309)</f>
        <v>4484.6801237765058</v>
      </c>
      <c r="G310" s="2219">
        <f ca="1">IF($C$280=1,F310*G309/F308,G309)</f>
        <v>4564.6363582685735</v>
      </c>
      <c r="P310"/>
      <c r="Q310"/>
      <c r="AA310" s="15"/>
      <c r="AB310" s="2218" t="s">
        <v>96</v>
      </c>
      <c r="AC310" s="2219">
        <f>IF($C$280=1,AD310/(AD309/AC308),AC309)</f>
        <v>3995.6770000000001</v>
      </c>
      <c r="AD310" s="2219">
        <f>+AD309</f>
        <v>4126.3608069085567</v>
      </c>
      <c r="AE310" s="2219">
        <f>IF($C$280=1,AD310*AE309/AD308,AE309)</f>
        <v>4245.472434075692</v>
      </c>
      <c r="AF310" s="2219">
        <f>IF($C$280=1,AE310*AF309/AE308,AF309)</f>
        <v>4345.7001181085325</v>
      </c>
      <c r="AG310" s="2219">
        <f>IF($C$280=1,AF310*AG309/AF308,AG309)</f>
        <v>4421.9308648725746</v>
      </c>
    </row>
    <row r="311" spans="2:33">
      <c r="B311" s="2169" t="s">
        <v>1143</v>
      </c>
      <c r="C311" s="2170">
        <f ca="1">+C143+C144</f>
        <v>1947.152</v>
      </c>
      <c r="D311" s="2170">
        <f ca="1">+D143+D144</f>
        <v>2076.6559999999999</v>
      </c>
      <c r="E311" s="2170">
        <f ca="1">+E143+E144</f>
        <v>2258.1871678207999</v>
      </c>
      <c r="F311" s="2170">
        <f ca="1">+F143+F144</f>
        <v>2386.5850196344786</v>
      </c>
      <c r="G311" s="2170">
        <f ca="1">+G143+G144</f>
        <v>2486.7314454445541</v>
      </c>
      <c r="P311"/>
      <c r="Q311"/>
      <c r="AA311" s="15"/>
      <c r="AB311" s="2169" t="s">
        <v>1143</v>
      </c>
      <c r="AC311" s="2170">
        <f>+AC143+AC144</f>
        <v>1913.0880000000002</v>
      </c>
      <c r="AD311" s="2170">
        <f>+AD143+AD144</f>
        <v>1950.1480000000001</v>
      </c>
      <c r="AE311" s="2170">
        <f>+AE143+AE144</f>
        <v>2085.8589999999999</v>
      </c>
      <c r="AF311" s="2170">
        <f>+AF143+AF144</f>
        <v>2265.9249267960004</v>
      </c>
      <c r="AG311" s="2170">
        <f>+AG143+AG144</f>
        <v>2397.5863182590701</v>
      </c>
    </row>
    <row r="312" spans="2:33">
      <c r="B312" s="2169" t="s">
        <v>341</v>
      </c>
      <c r="C312" s="2170">
        <f ca="1">+C108+C109</f>
        <v>1969.858988610144</v>
      </c>
      <c r="D312" s="2170">
        <f ca="1">+D108+D109</f>
        <v>2010.1234176146363</v>
      </c>
      <c r="E312" s="2170">
        <f ca="1">+E108+E109</f>
        <v>2148.0498916000001</v>
      </c>
      <c r="F312" s="2170">
        <f ca="1">+F108+F109</f>
        <v>2331.3315270627954</v>
      </c>
      <c r="G312" s="2170">
        <f ca="1">+G108+G109</f>
        <v>2458.4400016165046</v>
      </c>
      <c r="P312"/>
      <c r="Q312"/>
      <c r="AA312" s="15"/>
      <c r="AB312" s="2169" t="s">
        <v>341</v>
      </c>
      <c r="AC312" s="2170">
        <f>+AC108+AC109</f>
        <v>1873.6655790098607</v>
      </c>
      <c r="AD312" s="2170">
        <f>+AD108+AD109</f>
        <v>1975.7714340589564</v>
      </c>
      <c r="AE312" s="2170">
        <f>+AE108+AE109</f>
        <v>2021.7309519725102</v>
      </c>
      <c r="AF312" s="2170">
        <f>+AF108+AF109</f>
        <v>2183.2740588000001</v>
      </c>
      <c r="AG312" s="2170">
        <f>+AG108+AG109</f>
        <v>2350.503617649847</v>
      </c>
    </row>
    <row r="313" spans="2:33">
      <c r="B313" s="2169" t="s">
        <v>342</v>
      </c>
      <c r="C313" s="2170">
        <f ca="1">IF($C$280=1,D313/(D312/C311),C312)</f>
        <v>1947.152</v>
      </c>
      <c r="D313" s="2170">
        <f ca="1">+D312</f>
        <v>2010.1234176146363</v>
      </c>
      <c r="E313" s="2170">
        <f ca="1">IF($C$280=1,D313*E312/D311,E312)</f>
        <v>2079.2299684250747</v>
      </c>
      <c r="F313" s="2170">
        <f ca="1">IF($C$280=1,E313*F312/E311,F312)</f>
        <v>2146.5777710892671</v>
      </c>
      <c r="G313" s="2170">
        <f ca="1">IF($C$280=1,F313*G312/F311,G312)</f>
        <v>2211.2066469917313</v>
      </c>
      <c r="P313"/>
      <c r="Q313"/>
      <c r="AA313" s="15"/>
      <c r="AB313" s="2169" t="s">
        <v>342</v>
      </c>
      <c r="AC313" s="2170">
        <f>IF($C$280=1,AD313/(AD312/AC311),AC312)</f>
        <v>1913.0880000000004</v>
      </c>
      <c r="AD313" s="2170">
        <f>+AD312</f>
        <v>1975.7714340589564</v>
      </c>
      <c r="AE313" s="2170">
        <f>IF($C$280=1,AD313*AE312/AD311,AE312)</f>
        <v>2048.294930569426</v>
      </c>
      <c r="AF313" s="2170">
        <f>IF($C$280=1,AE313*AF312/AE311,AF312)</f>
        <v>2143.955649295458</v>
      </c>
      <c r="AG313" s="2170">
        <f>IF($C$280=1,AF313*AG312/AF311,AG312)</f>
        <v>2223.9816730713305</v>
      </c>
    </row>
    <row r="314" spans="2:33">
      <c r="B314" s="2218" t="s">
        <v>97</v>
      </c>
      <c r="C314" s="2219">
        <f ca="1">+C136+C137+C138+C142+C143+C144</f>
        <v>6138.5260000000007</v>
      </c>
      <c r="D314" s="2219">
        <f ca="1">+D136+D137+D138+D142+D143+D144</f>
        <v>6486.4769999999999</v>
      </c>
      <c r="E314" s="2219">
        <f ca="1">+E136+E137+E138+E142+E143+E144</f>
        <v>6902.4725274762995</v>
      </c>
      <c r="F314" s="2219">
        <f ca="1">+F136+F137+F138+F142+F143+F144</f>
        <v>7212.6475244356661</v>
      </c>
      <c r="G314" s="2219">
        <f ca="1">+G136+G137+G138+G142+G143+G144</f>
        <v>7491.5890124110956</v>
      </c>
      <c r="P314"/>
      <c r="Q314"/>
      <c r="AA314" s="15"/>
      <c r="AB314" s="2218" t="s">
        <v>97</v>
      </c>
      <c r="AC314" s="2219">
        <f>+AC136+AC137+AC138+AC142+AC143+AC144</f>
        <v>5908.7650000000003</v>
      </c>
      <c r="AD314" s="2219">
        <f>+AD136+AD137+AD138+AD142+AD143+AD144</f>
        <v>6141.8089999999993</v>
      </c>
      <c r="AE314" s="2219">
        <f>+AE136+AE137+AE138+AE142+AE143+AE144</f>
        <v>6497.8960000000006</v>
      </c>
      <c r="AF314" s="2219">
        <f>+AF136+AF137+AF138+AF142+AF143+AF144</f>
        <v>6892.0765038359295</v>
      </c>
      <c r="AG314" s="2219">
        <f>+AG136+AG137+AG138+AG142+AG143+AG144</f>
        <v>7211.6301888093694</v>
      </c>
    </row>
    <row r="315" spans="2:33">
      <c r="B315" s="2218" t="s">
        <v>99</v>
      </c>
      <c r="C315" s="2219">
        <f ca="1">+C101+C102+C103+C107+C108+C109</f>
        <v>6096.7899894365</v>
      </c>
      <c r="D315" s="2219">
        <f ca="1">+D101+D102+D103+D107+D108+D109</f>
        <v>6314.5357663050509</v>
      </c>
      <c r="E315" s="2219">
        <f ca="1">+E101+E102+E103+E107+E108+E109</f>
        <v>6666.1144175000009</v>
      </c>
      <c r="F315" s="2219">
        <f ca="1">+F101+F102+F103+F107+F108+F109</f>
        <v>7054.1910887641334</v>
      </c>
      <c r="G315" s="2219">
        <f ca="1">+G101+G102+G103+G107+G108+G109</f>
        <v>7370.5451615585725</v>
      </c>
      <c r="P315"/>
      <c r="Q315"/>
      <c r="AA315" s="15"/>
      <c r="AB315" s="2218" t="s">
        <v>99</v>
      </c>
      <c r="AC315" s="2219">
        <f>+AC101+AC102+AC103+AC107+AC108+AC109</f>
        <v>5801.8980106119225</v>
      </c>
      <c r="AD315" s="2219">
        <f>+AD101+AD102+AD103+AD107+AD108+AD109</f>
        <v>6102.1322409675131</v>
      </c>
      <c r="AE315" s="2219">
        <f>+AE101+AE102+AE103+AE107+AE108+AE109</f>
        <v>6334.3885360344539</v>
      </c>
      <c r="AF315" s="2219">
        <f>+AF101+AF102+AF103+AF107+AF108+AF109</f>
        <v>6699.4710214999996</v>
      </c>
      <c r="AG315" s="2219">
        <f>+AG101+AG102+AG103+AG107+AG108+AG109</f>
        <v>7057.8055225487778</v>
      </c>
    </row>
    <row r="316" spans="2:33">
      <c r="B316" s="2218" t="s">
        <v>100</v>
      </c>
      <c r="C316" s="2219">
        <f ca="1">IF($C$280=1,D316/(D315/C314),C315)</f>
        <v>6138.5259999999998</v>
      </c>
      <c r="D316" s="2219">
        <f ca="1">+D315</f>
        <v>6314.5357663050509</v>
      </c>
      <c r="E316" s="2219">
        <f ca="1">IF($C$280=1,D316*E315/D314,E315)</f>
        <v>6489.4114188003005</v>
      </c>
      <c r="F316" s="2219">
        <f ca="1">IF($C$280=1,E316*F315/E314,F315)</f>
        <v>6632.0507643603187</v>
      </c>
      <c r="G316" s="2219">
        <f ca="1">IF($C$280=1,F316*G315/F314,G315)</f>
        <v>6777.2381094265938</v>
      </c>
      <c r="P316"/>
      <c r="Q316"/>
      <c r="AA316" s="15"/>
      <c r="AB316" s="2218" t="s">
        <v>100</v>
      </c>
      <c r="AC316" s="2219">
        <f>IF($C$280=1,AD316/(AD315/AC314),AC315)</f>
        <v>5908.7650000000003</v>
      </c>
      <c r="AD316" s="2219">
        <f>+AD315</f>
        <v>6102.1322409675131</v>
      </c>
      <c r="AE316" s="2219">
        <f>IF($C$280=1,AD316*AE315/AD314,AE315)</f>
        <v>6293.4676921003002</v>
      </c>
      <c r="AF316" s="2219">
        <f>IF($C$280=1,AE316*AF315/AE314,AF315)</f>
        <v>6488.7010238348594</v>
      </c>
      <c r="AG316" s="2219">
        <f>IF($C$280=1,AF316*AG315/AF314,AG315)</f>
        <v>6644.7303500912776</v>
      </c>
    </row>
    <row r="317" spans="2:33">
      <c r="B317" s="2169" t="s">
        <v>101</v>
      </c>
      <c r="C317" s="2170">
        <f ca="1">+C145+C146</f>
        <v>1753.029</v>
      </c>
      <c r="D317" s="2170">
        <f ca="1">+D145+D146</f>
        <v>1907.578</v>
      </c>
      <c r="E317" s="2170">
        <f ca="1">+E145+E146</f>
        <v>2099.2973846679006</v>
      </c>
      <c r="F317" s="2170">
        <f ca="1">+F145+F146</f>
        <v>2227.8511249766038</v>
      </c>
      <c r="G317" s="2170">
        <f ca="1">+G145+G146</f>
        <v>2330.0733974199097</v>
      </c>
      <c r="P317"/>
      <c r="Q317"/>
      <c r="AA317" s="15"/>
      <c r="AB317" s="2169" t="s">
        <v>101</v>
      </c>
      <c r="AC317" s="2170">
        <f>+AC145+AC146</f>
        <v>1708.9049999999997</v>
      </c>
      <c r="AD317" s="2170">
        <f>+AD145+AD146</f>
        <v>1737.0070000000001</v>
      </c>
      <c r="AE317" s="2170">
        <f>+AE145+AE146</f>
        <v>1893.691</v>
      </c>
      <c r="AF317" s="2170">
        <f>+AF145+AF146</f>
        <v>2067.7425209789999</v>
      </c>
      <c r="AG317" s="2170">
        <f>+AG145+AG146</f>
        <v>2177.6133094398292</v>
      </c>
    </row>
    <row r="318" spans="2:33">
      <c r="B318" s="2169" t="s">
        <v>102</v>
      </c>
      <c r="C318" s="2170">
        <f ca="1">+C110+C111</f>
        <v>1782.4790006496955</v>
      </c>
      <c r="D318" s="2170">
        <f ca="1">+D110+D111</f>
        <v>1836.3209526694366</v>
      </c>
      <c r="E318" s="2170">
        <f ca="1">+E110+E111</f>
        <v>1978.4455962000002</v>
      </c>
      <c r="F318" s="2170">
        <f ca="1">+F110+F111</f>
        <v>2166.44400814964</v>
      </c>
      <c r="G318" s="2170">
        <f ca="1">+G110+G111</f>
        <v>2297.9704588714849</v>
      </c>
      <c r="P318"/>
      <c r="Q318"/>
      <c r="AA318" s="15"/>
      <c r="AB318" s="2169" t="s">
        <v>102</v>
      </c>
      <c r="AC318" s="2170">
        <f>+AC110+AC111</f>
        <v>1687.0357948023864</v>
      </c>
      <c r="AD318" s="2170">
        <f>+AD110+AD111</f>
        <v>1766.4081273615525</v>
      </c>
      <c r="AE318" s="2170">
        <f>+AE110+AE111</f>
        <v>1823.7009990170991</v>
      </c>
      <c r="AF318" s="2170">
        <f>+AF110+AF111</f>
        <v>1975.1793509999998</v>
      </c>
      <c r="AG318" s="2170">
        <f>+AG110+AG111</f>
        <v>2139.2363330514663</v>
      </c>
    </row>
    <row r="319" spans="2:33">
      <c r="B319" s="2169" t="s">
        <v>103</v>
      </c>
      <c r="C319" s="2170">
        <f ca="1">IF($C$280=1,D319/(D318/C317),C318)</f>
        <v>1753.0290000000002</v>
      </c>
      <c r="D319" s="2170">
        <f ca="1">+D318</f>
        <v>1836.3209526694366</v>
      </c>
      <c r="E319" s="2170">
        <f ca="1">IF($C$280=1,D319*E318/D317,E318)</f>
        <v>1904.5413094608114</v>
      </c>
      <c r="F319" s="2170">
        <f ca="1">IF($C$280=1,E319*F318/E317,F318)</f>
        <v>1965.458604526186</v>
      </c>
      <c r="G319" s="2170">
        <f ca="1">IF($C$280=1,F319*G318/F317,G318)</f>
        <v>2027.3194024054815</v>
      </c>
      <c r="P319"/>
      <c r="Q319"/>
      <c r="AA319" s="15"/>
      <c r="AB319" s="2169" t="s">
        <v>103</v>
      </c>
      <c r="AC319" s="2170">
        <f>IF($C$280=1,AD319/(AD318/AC317),AC318)</f>
        <v>1708.9049999999997</v>
      </c>
      <c r="AD319" s="2170">
        <f>+AD318</f>
        <v>1766.4081273615525</v>
      </c>
      <c r="AE319" s="2170">
        <f>IF($C$280=1,AD319*AE318/AD317,AE318)</f>
        <v>1854.5695363007669</v>
      </c>
      <c r="AF319" s="2170">
        <f>IF($C$280=1,AE319*AF318/AE317,AF318)</f>
        <v>1934.3744323096637</v>
      </c>
      <c r="AG319" s="2170">
        <f>IF($C$280=1,AF319*AG318/AF317,AG318)</f>
        <v>2001.2569385879856</v>
      </c>
    </row>
    <row r="320" spans="2:33">
      <c r="B320" s="2218" t="s">
        <v>104</v>
      </c>
      <c r="C320" s="2219">
        <f ca="1">+C138-C226</f>
        <v>856.99399999999991</v>
      </c>
      <c r="D320" s="2219">
        <f ca="1">+D138-D226</f>
        <v>932.87600000000009</v>
      </c>
      <c r="E320" s="2219">
        <f ca="1">+E138-E226</f>
        <v>1005.6766050128999</v>
      </c>
      <c r="F320" s="2219">
        <f ca="1">+F138-F226</f>
        <v>1047.9336775855777</v>
      </c>
      <c r="G320" s="2219">
        <f ca="1">+G138-G226</f>
        <v>1084.9682195517528</v>
      </c>
      <c r="P320"/>
      <c r="Q320"/>
      <c r="AA320" s="15"/>
      <c r="AB320" s="2218" t="s">
        <v>104</v>
      </c>
      <c r="AC320" s="2219">
        <f>+AC138-AC226</f>
        <v>813.96100000000001</v>
      </c>
      <c r="AD320" s="2219">
        <f>+AD138-AD226</f>
        <v>866.30300000000011</v>
      </c>
      <c r="AE320" s="2219">
        <f>+AE138-AE226</f>
        <v>939.47800000000007</v>
      </c>
      <c r="AF320" s="2219">
        <f>+AF138-AF226</f>
        <v>996.77892605413001</v>
      </c>
      <c r="AG320" s="2219">
        <f>+AG138-AG226</f>
        <v>1031.9200364136154</v>
      </c>
    </row>
    <row r="321" spans="2:33">
      <c r="B321" s="2218" t="s">
        <v>1054</v>
      </c>
      <c r="C321" s="2219">
        <f ca="1">+C103-C128</f>
        <v>842.80398818129106</v>
      </c>
      <c r="D321" s="2219">
        <f ca="1">+D103-D128</f>
        <v>910.08050984594752</v>
      </c>
      <c r="E321" s="2219">
        <f ca="1">+E103-E128</f>
        <v>964.71578150000005</v>
      </c>
      <c r="F321" s="2219">
        <f ca="1">+F103-F128</f>
        <v>1022.8775642690457</v>
      </c>
      <c r="G321" s="2219">
        <f ca="1">+G103-G128</f>
        <v>1069.5465637956759</v>
      </c>
      <c r="P321"/>
      <c r="Q321"/>
      <c r="AA321" s="15"/>
      <c r="AB321" s="2218" t="s">
        <v>1054</v>
      </c>
      <c r="AC321" s="2219">
        <f>+AC103-AC128</f>
        <v>796.72054905254527</v>
      </c>
      <c r="AD321" s="2219">
        <f>+AD103-AD128</f>
        <v>855.7035373446372</v>
      </c>
      <c r="AE321" s="2219">
        <f>+AE103-AE128</f>
        <v>922.67186826050204</v>
      </c>
      <c r="AF321" s="2219">
        <f>+AF103-AF128</f>
        <v>974.2646245000002</v>
      </c>
      <c r="AG321" s="2219">
        <f>+AG103-AG128</f>
        <v>1014.0870976340716</v>
      </c>
    </row>
    <row r="322" spans="2:33">
      <c r="B322" s="2218" t="s">
        <v>1055</v>
      </c>
      <c r="C322" s="2219">
        <f ca="1">IF($C$280=1,D322/(D321/C320),C321)</f>
        <v>856.99399999999991</v>
      </c>
      <c r="D322" s="2219">
        <f ca="1">+D321</f>
        <v>910.08050984594752</v>
      </c>
      <c r="E322" s="2219">
        <f ca="1">IF($C$280=1,D322*E321/D320,E321)</f>
        <v>941.14226358481915</v>
      </c>
      <c r="F322" s="2219">
        <f ca="1">IF($C$280=1,E322*F321/E320,F321)</f>
        <v>957.23943602520978</v>
      </c>
      <c r="G322" s="2219">
        <f ca="1">IF($C$280=1,F322*G321/F320,G321)</f>
        <v>976.98181805676916</v>
      </c>
      <c r="P322"/>
      <c r="Q322"/>
      <c r="AA322" s="15"/>
      <c r="AB322" s="2218" t="s">
        <v>1055</v>
      </c>
      <c r="AC322" s="2219">
        <f>IF($C$280=1,AD322/(AD321/AC320),AC321)</f>
        <v>813.96100000000001</v>
      </c>
      <c r="AD322" s="2219">
        <f>+AD321</f>
        <v>855.7035373446372</v>
      </c>
      <c r="AE322" s="2219">
        <f>IF($C$280=1,AD322*AE321/AD320,AE321)</f>
        <v>911.38271653093273</v>
      </c>
      <c r="AF322" s="2219">
        <f>IF($C$280=1,AE322*AF321/AE320,AF321)</f>
        <v>945.12903984638194</v>
      </c>
      <c r="AG322" s="2219">
        <f>IF($C$280=1,AF322*AG321/AF320,AG321)</f>
        <v>961.54035750094317</v>
      </c>
    </row>
    <row r="323" spans="2:33">
      <c r="C323" s="3406"/>
      <c r="D323" s="3406"/>
      <c r="E323" s="3406"/>
      <c r="P323"/>
      <c r="Q323"/>
      <c r="AA323" s="15"/>
      <c r="AB323" s="2169" t="s">
        <v>798</v>
      </c>
      <c r="AC323" s="2170">
        <f t="shared" ref="AC323:AG324" si="53">+AC157-AC165</f>
        <v>13718.757</v>
      </c>
      <c r="AD323" s="2170">
        <f t="shared" si="53"/>
        <v>13893.261</v>
      </c>
      <c r="AE323" s="2170">
        <f t="shared" si="53"/>
        <v>14070.897000000001</v>
      </c>
      <c r="AF323" s="2170">
        <f t="shared" si="53"/>
        <v>14265.141477915658</v>
      </c>
      <c r="AG323" s="2170">
        <f t="shared" si="53"/>
        <v>14450.562871065184</v>
      </c>
    </row>
    <row r="324" spans="2:33">
      <c r="P324"/>
      <c r="Q324"/>
      <c r="AA324" s="15"/>
      <c r="AB324" s="2169" t="s">
        <v>799</v>
      </c>
      <c r="AC324" s="2170">
        <f t="shared" si="53"/>
        <v>13638.414691225742</v>
      </c>
      <c r="AD324" s="2170">
        <f t="shared" si="53"/>
        <v>13830.722141281334</v>
      </c>
      <c r="AE324" s="2170">
        <f t="shared" si="53"/>
        <v>13988.042731256472</v>
      </c>
      <c r="AF324" s="2170">
        <f t="shared" si="53"/>
        <v>14176.674414936791</v>
      </c>
      <c r="AG324" s="2170">
        <f t="shared" si="53"/>
        <v>14348.472897570733</v>
      </c>
    </row>
    <row r="325" spans="2:33">
      <c r="P325"/>
      <c r="Q325"/>
      <c r="AA325" s="15"/>
      <c r="AB325" s="2169" t="s">
        <v>800</v>
      </c>
      <c r="AC325" s="2170">
        <f>IF($C$280=1,AD325/(AD324/AC323),AC324)</f>
        <v>13718.757000000001</v>
      </c>
      <c r="AD325" s="2170">
        <f>+AD324</f>
        <v>13830.722141281334</v>
      </c>
      <c r="AE325" s="2170">
        <f>IF($C$280=1,AD325*AE324/AD323,AE324)</f>
        <v>13925.077223869781</v>
      </c>
      <c r="AF325" s="2170">
        <f>IF($C$280=1,AE325*AF324/AE323,AF324)</f>
        <v>14029.758444373074</v>
      </c>
      <c r="AG325" s="2170">
        <f>IF($C$280=1,AF325*AG324/AF323,AG324)</f>
        <v>14111.714847707546</v>
      </c>
    </row>
    <row r="326" spans="2:33">
      <c r="P326"/>
      <c r="Q326"/>
    </row>
    <row r="327" spans="2:33">
      <c r="P327"/>
      <c r="Q327"/>
    </row>
    <row r="328" spans="2:33">
      <c r="P328"/>
      <c r="Q328"/>
    </row>
    <row r="329" spans="2:33">
      <c r="P329"/>
      <c r="Q329"/>
    </row>
    <row r="330" spans="2:33">
      <c r="P330"/>
      <c r="Q330"/>
    </row>
    <row r="331" spans="2:33">
      <c r="P331"/>
      <c r="Q331"/>
    </row>
    <row r="332" spans="2:33">
      <c r="P332"/>
      <c r="Q332"/>
    </row>
    <row r="333" spans="2:33">
      <c r="P333"/>
      <c r="Q333"/>
    </row>
    <row r="334" spans="2:33">
      <c r="P334"/>
      <c r="Q334"/>
    </row>
    <row r="335" spans="2:33">
      <c r="P335"/>
      <c r="Q335"/>
    </row>
    <row r="336" spans="2:33">
      <c r="P336"/>
      <c r="Q336"/>
    </row>
  </sheetData>
  <protectedRanges>
    <protectedRange sqref="H94:H95 E94:E95" name="Range1"/>
  </protectedRanges>
  <phoneticPr fontId="0" type="noConversion"/>
  <conditionalFormatting sqref="AC303:AG303 C303:G303 C155:G155 C164:G164 C160:G160 AC282:AG282 H281:O282 C282:G282">
    <cfRule type="cellIs" dxfId="4" priority="1" stopIfTrue="1" operator="equal">
      <formula>-9999</formula>
    </cfRule>
  </conditionalFormatting>
  <conditionalFormatting sqref="AT101:BF280">
    <cfRule type="cellIs" dxfId="3" priority="2" stopIfTrue="1" operator="notEqual">
      <formula>0</formula>
    </cfRule>
  </conditionalFormatting>
  <pageMargins left="0.25" right="0.25" top="0.75" bottom="0.75" header="0.3" footer="0.3"/>
  <pageSetup paperSize="9" scale="23" orientation="portrait" horizontalDpi="1200" verticalDpi="1200" r:id="rId1"/>
  <headerFooter alignWithMargins="0">
    <oddFooter>&amp;L&amp;F  &amp;A&amp;CPage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TransferMatrixMacroFDMS.Transfer_forecast">
                <anchor moveWithCells="1" sizeWithCells="1">
                  <from>
                    <xdr:col>8</xdr:col>
                    <xdr:colOff>95250</xdr:colOff>
                    <xdr:row>92</xdr:row>
                    <xdr:rowOff>0</xdr:rowOff>
                  </from>
                  <to>
                    <xdr:col>9</xdr:col>
                    <xdr:colOff>285750</xdr:colOff>
                    <xdr:row>95</xdr:row>
                    <xdr:rowOff>9525</xdr:rowOff>
                  </to>
                </anchor>
              </controlPr>
            </control>
          </mc:Choice>
        </mc:AlternateContent>
        <mc:AlternateContent xmlns:mc="http://schemas.openxmlformats.org/markup-compatibility/2006">
          <mc:Choice Requires="x14">
            <control shapeId="17416" r:id="rId5" name="Button 8">
              <controlPr defaultSize="0" print="0" autoFill="0" autoPict="0" macro="[0]!Save_Values">
                <anchor moveWithCells="1" sizeWithCells="1">
                  <from>
                    <xdr:col>9</xdr:col>
                    <xdr:colOff>361950</xdr:colOff>
                    <xdr:row>92</xdr:row>
                    <xdr:rowOff>0</xdr:rowOff>
                  </from>
                  <to>
                    <xdr:col>10</xdr:col>
                    <xdr:colOff>552450</xdr:colOff>
                    <xdr:row>95</xdr:row>
                    <xdr:rowOff>9525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tabColor indexed="44"/>
    <pageSetUpPr fitToPage="1"/>
  </sheetPr>
  <dimension ref="A1:IV553"/>
  <sheetViews>
    <sheetView topLeftCell="A16" zoomScale="90" zoomScaleNormal="90" workbookViewId="0">
      <selection activeCell="K312" sqref="K312"/>
    </sheetView>
  </sheetViews>
  <sheetFormatPr defaultRowHeight="12.75"/>
  <cols>
    <col min="1" max="1" width="3.1328125" customWidth="1"/>
    <col min="2" max="2" width="2.3984375" customWidth="1"/>
    <col min="3" max="3" width="39.1328125" customWidth="1"/>
    <col min="4" max="4" width="14.1328125" customWidth="1"/>
    <col min="5" max="5" width="8.73046875" customWidth="1"/>
    <col min="6" max="6" width="9.3984375" bestFit="1" customWidth="1"/>
    <col min="7" max="7" width="8.73046875" customWidth="1"/>
    <col min="8" max="8" width="8.73046875" style="28" customWidth="1"/>
    <col min="9" max="17" width="8.73046875" customWidth="1"/>
    <col min="18" max="18" width="2.86328125" customWidth="1"/>
    <col min="19" max="19" width="2.3984375" customWidth="1"/>
    <col min="20" max="20" width="39.1328125" customWidth="1"/>
    <col min="21" max="21" width="14.1328125" customWidth="1"/>
    <col min="22" max="26" width="8.73046875" customWidth="1"/>
    <col min="27" max="34" width="9.265625" customWidth="1"/>
    <col min="35" max="35" width="3.1328125" customWidth="1"/>
    <col min="36" max="36" width="2.3984375" customWidth="1"/>
    <col min="37" max="37" width="39.1328125" customWidth="1"/>
    <col min="38" max="38" width="14.1328125" customWidth="1"/>
    <col min="39" max="52" width="9.265625" customWidth="1"/>
    <col min="53" max="54" width="48.3984375" customWidth="1"/>
    <col min="55" max="55" width="9.265625" customWidth="1"/>
  </cols>
  <sheetData>
    <row r="1" spans="1:256" s="45" customFormat="1">
      <c r="A1" s="41"/>
      <c r="B1" s="41"/>
      <c r="C1" s="41"/>
      <c r="D1" s="41"/>
      <c r="E1" s="42"/>
      <c r="F1" s="42"/>
      <c r="G1" s="42"/>
      <c r="H1" s="42"/>
      <c r="I1" s="42"/>
      <c r="J1" s="42"/>
      <c r="K1" s="42"/>
      <c r="L1" s="42"/>
      <c r="M1" s="42"/>
      <c r="N1" s="42"/>
      <c r="O1" s="42"/>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c r="BB1" s="43"/>
      <c r="BC1" s="43"/>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row>
    <row r="2" spans="1:256" s="45" customFormat="1" ht="13.15">
      <c r="A2" s="41"/>
      <c r="B2" s="41"/>
      <c r="C2" s="41"/>
      <c r="D2" s="41"/>
      <c r="E2" s="42"/>
      <c r="F2" s="42"/>
      <c r="G2" s="42"/>
      <c r="H2" s="42"/>
      <c r="I2" s="42"/>
      <c r="J2" s="42"/>
      <c r="K2" s="42"/>
      <c r="L2" s="42"/>
      <c r="M2" s="42"/>
      <c r="N2" s="42"/>
      <c r="O2" s="42"/>
      <c r="P2" s="43"/>
      <c r="Q2" s="43"/>
      <c r="R2" s="43"/>
      <c r="S2" s="43"/>
      <c r="T2" s="2139" t="s">
        <v>44</v>
      </c>
      <c r="U2" s="2138">
        <v>2</v>
      </c>
      <c r="V2" s="2099">
        <v>1</v>
      </c>
      <c r="W2" s="2156" t="str">
        <f>+Transfer!CA98</f>
        <v>ST1 AF18</v>
      </c>
      <c r="X2" s="43"/>
      <c r="Y2" s="43"/>
      <c r="Z2" s="43"/>
      <c r="AA2" s="43"/>
      <c r="AB2" s="43"/>
      <c r="AC2" s="43"/>
      <c r="AD2" s="43"/>
      <c r="AE2" s="43"/>
      <c r="AF2" s="43"/>
      <c r="AG2" s="43"/>
      <c r="AH2" s="43"/>
      <c r="AI2" s="43"/>
      <c r="AJ2" s="43"/>
      <c r="AK2" s="43"/>
      <c r="AL2" s="43"/>
      <c r="AM2" s="43"/>
      <c r="AN2" s="43"/>
      <c r="AO2" s="43"/>
      <c r="AP2" s="43"/>
      <c r="AQ2" s="43"/>
      <c r="AR2" s="43"/>
      <c r="AS2" s="43"/>
      <c r="AT2" s="43"/>
      <c r="AU2" s="43"/>
      <c r="AV2" s="43"/>
      <c r="AW2" s="43"/>
      <c r="AX2" s="43"/>
      <c r="AY2" s="43"/>
      <c r="AZ2" s="43"/>
      <c r="BA2" s="43"/>
      <c r="BB2" s="43"/>
      <c r="BC2" s="43"/>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row>
    <row r="3" spans="1:256" ht="13.15">
      <c r="A3" s="41"/>
      <c r="B3" s="46"/>
      <c r="C3" s="46"/>
      <c r="D3" s="41"/>
      <c r="E3" s="47"/>
      <c r="F3" s="47"/>
      <c r="G3" s="47"/>
      <c r="H3" s="47"/>
      <c r="I3" s="47"/>
      <c r="J3" s="47"/>
      <c r="K3" s="47"/>
      <c r="L3" s="42"/>
      <c r="M3" s="42"/>
      <c r="N3" s="42"/>
      <c r="O3" s="42"/>
      <c r="P3" s="43"/>
      <c r="Q3" s="43"/>
      <c r="R3" s="43"/>
      <c r="S3" s="43"/>
      <c r="T3" s="43"/>
      <c r="U3" s="43"/>
      <c r="V3" s="2099">
        <v>2</v>
      </c>
      <c r="W3" s="2156" t="str">
        <f>+Transfer!CN98</f>
        <v>final storage SF18</v>
      </c>
      <c r="X3" s="43"/>
      <c r="Y3" s="43"/>
      <c r="Z3" s="43"/>
      <c r="AA3" s="43"/>
      <c r="AB3" s="43"/>
      <c r="AC3" s="43"/>
      <c r="AD3" s="43"/>
      <c r="AE3" s="43"/>
      <c r="AF3" s="43"/>
      <c r="AG3" s="43"/>
      <c r="AH3" s="43"/>
      <c r="AI3" s="43"/>
      <c r="AJ3" s="43"/>
      <c r="AK3" s="43"/>
      <c r="AL3" s="43"/>
      <c r="AM3" s="43"/>
      <c r="AN3" s="43"/>
      <c r="AO3" s="43"/>
      <c r="AP3" s="43"/>
      <c r="AQ3" s="43"/>
      <c r="AR3" s="43"/>
      <c r="AS3" s="43"/>
      <c r="AT3" s="43"/>
      <c r="AU3" s="43"/>
      <c r="AV3" s="43"/>
      <c r="AW3" s="43"/>
      <c r="AX3" s="43"/>
      <c r="AY3" s="43"/>
      <c r="AZ3" s="43"/>
      <c r="BA3" s="43"/>
      <c r="BB3" s="43"/>
      <c r="BC3" s="43"/>
    </row>
    <row r="4" spans="1:256" ht="13.15">
      <c r="A4" s="41"/>
      <c r="B4" s="46"/>
      <c r="C4" s="46"/>
      <c r="D4" s="41"/>
      <c r="E4" s="47"/>
      <c r="F4" s="47"/>
      <c r="G4" s="47"/>
      <c r="H4" s="47"/>
      <c r="I4" s="47"/>
      <c r="J4" s="47"/>
      <c r="K4" s="47"/>
      <c r="L4" s="42"/>
      <c r="M4" s="42"/>
      <c r="N4" s="42"/>
      <c r="O4" s="42"/>
      <c r="P4" s="43"/>
      <c r="Q4" s="43"/>
      <c r="R4" s="43"/>
      <c r="S4" s="43"/>
      <c r="T4" s="2099" t="str">
        <f>VLOOKUP(U2,V2:W6,2)</f>
        <v>final storage SF18</v>
      </c>
      <c r="U4" s="43"/>
      <c r="V4" s="2099">
        <v>3</v>
      </c>
      <c r="W4" s="2156" t="str">
        <f>+Transfer!DA98</f>
        <v>TCE4 AF18</v>
      </c>
      <c r="X4" s="43"/>
      <c r="Y4" s="43"/>
      <c r="Z4" s="43"/>
      <c r="AA4" s="43"/>
      <c r="AB4" s="43"/>
      <c r="AC4" s="43"/>
      <c r="AD4" s="43"/>
      <c r="AE4" s="43"/>
      <c r="AF4" s="43"/>
      <c r="AG4" s="43"/>
      <c r="AH4" s="43"/>
      <c r="AI4" s="43"/>
      <c r="AJ4" s="43"/>
      <c r="AK4" s="43"/>
      <c r="AL4" s="43"/>
      <c r="AM4" s="43"/>
      <c r="AN4" s="43"/>
      <c r="AO4" s="43"/>
      <c r="AP4" s="43"/>
      <c r="AQ4" s="43"/>
      <c r="AR4" s="43"/>
      <c r="AS4" s="43"/>
      <c r="AT4" s="43"/>
      <c r="AU4" s="43"/>
      <c r="AV4" s="43"/>
      <c r="AW4" s="43"/>
      <c r="AX4" s="43"/>
      <c r="AY4" s="43"/>
      <c r="AZ4" s="43"/>
      <c r="BA4" s="43"/>
      <c r="BB4" s="43"/>
      <c r="BC4" s="43"/>
    </row>
    <row r="5" spans="1:256" s="1" customFormat="1" ht="13.5" customHeight="1">
      <c r="A5" s="46"/>
      <c r="B5" s="46"/>
      <c r="C5" s="46"/>
      <c r="D5" s="46"/>
      <c r="E5" s="47"/>
      <c r="F5" s="47"/>
      <c r="G5" s="47"/>
      <c r="H5" s="47"/>
      <c r="I5" s="47"/>
      <c r="J5" s="47"/>
      <c r="K5" s="47"/>
      <c r="L5" s="47"/>
      <c r="M5" s="47"/>
      <c r="N5" s="47"/>
      <c r="O5" s="47"/>
      <c r="P5" s="2133"/>
      <c r="Q5" s="2133"/>
      <c r="R5" s="2133"/>
      <c r="S5" s="2133"/>
      <c r="T5" s="2133"/>
      <c r="U5" s="2133"/>
      <c r="V5" s="2137">
        <v>4</v>
      </c>
      <c r="W5" s="2156" t="str">
        <f>Transfer!DN98</f>
        <v>ST2 AF18</v>
      </c>
      <c r="X5" s="2133"/>
      <c r="Y5" s="2133"/>
      <c r="Z5" s="2133"/>
      <c r="AA5" s="2133"/>
      <c r="AB5" s="2133"/>
      <c r="AC5" s="2133"/>
      <c r="AD5" s="2133"/>
      <c r="AE5" s="2133"/>
      <c r="AF5" s="2133"/>
      <c r="AG5" s="2133"/>
      <c r="AH5" s="2133"/>
      <c r="AI5" s="2133"/>
      <c r="AJ5" s="2133"/>
      <c r="AK5" s="2133"/>
      <c r="AL5" s="2133"/>
      <c r="AM5" s="2133"/>
      <c r="AN5" s="2133"/>
      <c r="AO5" s="2133"/>
      <c r="AP5" s="2133"/>
      <c r="AQ5" s="2133"/>
      <c r="AR5" s="2133"/>
      <c r="AS5" s="2133"/>
      <c r="AT5" s="2133"/>
      <c r="AU5" s="2133"/>
      <c r="AV5" s="2133"/>
      <c r="AW5" s="2133"/>
      <c r="AX5" s="2133"/>
      <c r="AY5" s="2133"/>
      <c r="AZ5" s="2133"/>
      <c r="BA5" s="2133"/>
      <c r="BB5" s="2133"/>
      <c r="BC5" s="2133"/>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row>
    <row r="6" spans="1:256" s="1" customFormat="1" ht="13.5" customHeight="1">
      <c r="A6" s="46"/>
      <c r="B6" s="46"/>
      <c r="C6" s="46"/>
      <c r="D6" s="46"/>
      <c r="E6" s="47"/>
      <c r="F6" s="47"/>
      <c r="G6" s="47"/>
      <c r="H6" s="47"/>
      <c r="I6" s="47"/>
      <c r="J6" s="47"/>
      <c r="K6" s="47"/>
      <c r="L6" s="47"/>
      <c r="M6" s="47"/>
      <c r="N6" s="47"/>
      <c r="O6" s="47"/>
      <c r="P6" s="2133"/>
      <c r="Q6" s="2133"/>
      <c r="R6" s="2133"/>
      <c r="S6" s="2133"/>
      <c r="T6" s="2133"/>
      <c r="U6" s="2133"/>
      <c r="V6" s="2137">
        <v>5</v>
      </c>
      <c r="W6" s="2156" t="str">
        <f>+Transfer!EA98</f>
        <v>Final storage 2018 AF</v>
      </c>
      <c r="X6" s="2133"/>
      <c r="Y6" s="2133"/>
      <c r="Z6" s="2133"/>
      <c r="AA6" s="2133"/>
      <c r="AB6" s="2133"/>
      <c r="AC6" s="2133"/>
      <c r="AD6" s="2133"/>
      <c r="AE6" s="2133"/>
      <c r="AF6" s="2133"/>
      <c r="AG6" s="2133"/>
      <c r="AH6" s="2133"/>
      <c r="AI6" s="2133"/>
      <c r="AJ6" s="2133"/>
      <c r="AK6" s="2133"/>
      <c r="AL6" s="2133"/>
      <c r="AM6" s="2133"/>
      <c r="AN6" s="2133"/>
      <c r="AO6" s="2133"/>
      <c r="AP6" s="2133"/>
      <c r="AQ6" s="2133"/>
      <c r="AR6" s="2133"/>
      <c r="AS6" s="2133"/>
      <c r="AT6" s="2133"/>
      <c r="AU6" s="2133"/>
      <c r="AV6" s="2133"/>
      <c r="AW6" s="2133"/>
      <c r="AX6" s="2133"/>
      <c r="AY6" s="2133"/>
      <c r="AZ6" s="2133"/>
      <c r="BA6" s="2133"/>
      <c r="BB6" s="2133"/>
      <c r="BC6" s="2133"/>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c r="IE6"/>
      <c r="IF6"/>
      <c r="IG6"/>
      <c r="IH6"/>
      <c r="II6"/>
      <c r="IJ6"/>
      <c r="IK6"/>
      <c r="IL6"/>
      <c r="IM6"/>
      <c r="IN6"/>
      <c r="IO6"/>
      <c r="IP6"/>
      <c r="IQ6"/>
      <c r="IR6"/>
      <c r="IS6"/>
      <c r="IT6"/>
      <c r="IU6"/>
      <c r="IV6"/>
    </row>
    <row r="7" spans="1:256" s="113" customFormat="1" ht="13.5" customHeight="1">
      <c r="A7" s="2134"/>
      <c r="B7" s="2134"/>
      <c r="C7" s="2134"/>
      <c r="D7" s="2134"/>
      <c r="E7" s="2135"/>
      <c r="F7" s="2135"/>
      <c r="G7" s="2135"/>
      <c r="H7" s="2135"/>
      <c r="I7" s="2135"/>
      <c r="J7" s="2135"/>
      <c r="K7" s="2135"/>
      <c r="L7" s="2135"/>
      <c r="M7" s="2135"/>
      <c r="N7" s="2135"/>
      <c r="O7" s="2135"/>
      <c r="P7" s="2136"/>
      <c r="Q7" s="2136"/>
      <c r="R7" s="2136"/>
      <c r="S7" s="2136"/>
      <c r="T7" s="2136"/>
      <c r="U7" s="2136"/>
      <c r="V7" s="2136"/>
      <c r="W7" s="2136"/>
      <c r="X7" s="2136"/>
      <c r="Y7" s="2136"/>
      <c r="Z7" s="2136"/>
      <c r="AA7" s="2136"/>
      <c r="AB7" s="2136"/>
      <c r="AC7" s="2136"/>
      <c r="AD7" s="2136"/>
      <c r="AE7" s="2136"/>
      <c r="AF7" s="2136"/>
      <c r="AG7" s="2136"/>
      <c r="AH7" s="2136"/>
      <c r="AI7" s="2136"/>
      <c r="AJ7" s="2136"/>
      <c r="AK7" s="2136"/>
      <c r="AL7" s="2136"/>
      <c r="AM7" s="2136"/>
      <c r="AN7" s="2136"/>
      <c r="AO7" s="2136"/>
      <c r="AP7" s="2136"/>
      <c r="AQ7" s="2136"/>
      <c r="AR7" s="2136"/>
      <c r="AS7" s="2136"/>
      <c r="AT7" s="2136"/>
      <c r="AU7" s="2136"/>
      <c r="AV7" s="2136"/>
      <c r="AW7" s="2136"/>
      <c r="AX7" s="2136"/>
      <c r="AY7" s="2136"/>
      <c r="AZ7" s="2136"/>
      <c r="BA7" s="2136"/>
      <c r="BB7" s="2136"/>
      <c r="BC7" s="2136"/>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row>
    <row r="8" spans="1:256">
      <c r="A8" s="51"/>
      <c r="B8" s="51"/>
      <c r="C8" s="51"/>
      <c r="D8" s="51"/>
      <c r="E8" s="52"/>
      <c r="F8" s="52"/>
      <c r="G8" s="52"/>
      <c r="H8" s="52"/>
      <c r="I8" s="52"/>
      <c r="J8" s="52"/>
      <c r="K8" s="52"/>
      <c r="L8" s="53"/>
      <c r="M8" s="53"/>
      <c r="N8" s="53"/>
      <c r="O8" s="53"/>
      <c r="P8" s="54"/>
      <c r="Q8" s="54"/>
      <c r="R8" s="54"/>
      <c r="S8" s="54"/>
      <c r="T8" s="54"/>
      <c r="U8" s="54"/>
      <c r="V8" s="54"/>
      <c r="W8" s="54"/>
      <c r="X8" s="54"/>
      <c r="Y8" s="54"/>
      <c r="Z8" s="54"/>
      <c r="AA8" s="54"/>
      <c r="AB8" s="54"/>
      <c r="AC8" s="54"/>
      <c r="AD8" s="54"/>
      <c r="AE8" s="54"/>
      <c r="AF8" s="54"/>
      <c r="AG8" s="54"/>
      <c r="AH8" s="54"/>
      <c r="AI8" s="51"/>
      <c r="AJ8" s="51"/>
      <c r="AK8" s="51"/>
      <c r="AL8" s="51"/>
      <c r="AM8" s="52"/>
      <c r="AN8" s="52"/>
      <c r="AO8" s="52"/>
      <c r="AP8" s="52"/>
      <c r="AQ8" s="52"/>
      <c r="AR8" s="52"/>
      <c r="AS8" s="52"/>
      <c r="AT8" s="53"/>
      <c r="AU8" s="53"/>
      <c r="AV8" s="53"/>
      <c r="AW8" s="53"/>
      <c r="AX8" s="54"/>
      <c r="AY8" s="54"/>
      <c r="AZ8" s="54"/>
      <c r="BA8" s="54"/>
      <c r="BB8" s="54"/>
      <c r="BC8" s="54"/>
    </row>
    <row r="9" spans="1:256" ht="13.15">
      <c r="A9" s="45"/>
      <c r="B9" s="2410"/>
      <c r="C9" s="2411" t="s">
        <v>575</v>
      </c>
      <c r="D9" s="2412"/>
      <c r="E9" s="2413"/>
      <c r="F9" s="2411"/>
      <c r="G9" s="2411"/>
      <c r="H9" s="2411"/>
      <c r="I9" s="2414"/>
      <c r="J9" s="53"/>
      <c r="K9" s="53"/>
      <c r="L9" s="53"/>
      <c r="M9" s="53"/>
      <c r="N9" s="54"/>
      <c r="O9" s="54"/>
      <c r="P9" s="54"/>
      <c r="Q9" s="54"/>
      <c r="R9" s="54"/>
      <c r="S9" s="2410"/>
      <c r="T9" s="2411" t="s">
        <v>575</v>
      </c>
      <c r="U9" s="2412"/>
      <c r="V9" s="2413"/>
      <c r="W9" s="2411"/>
      <c r="X9" s="2411"/>
      <c r="Y9" s="2411"/>
      <c r="Z9" s="2414"/>
      <c r="AA9" s="54"/>
      <c r="AB9" s="54"/>
      <c r="AC9" s="54"/>
      <c r="AD9" s="54"/>
      <c r="AE9" s="54"/>
      <c r="AF9" s="54"/>
      <c r="AG9" s="54"/>
      <c r="AH9" s="54"/>
      <c r="AI9" s="45"/>
      <c r="AJ9" s="55"/>
      <c r="AK9" s="56" t="s">
        <v>575</v>
      </c>
      <c r="AL9" s="57"/>
      <c r="AM9" s="58"/>
      <c r="AN9" s="56"/>
      <c r="AO9" s="56"/>
      <c r="AP9" s="56"/>
      <c r="AQ9" s="59"/>
      <c r="AR9" s="53"/>
      <c r="AS9" s="53"/>
      <c r="AT9" s="53"/>
      <c r="AU9" s="53"/>
      <c r="AV9" s="54"/>
      <c r="AW9" s="54"/>
      <c r="AX9" s="54"/>
      <c r="AY9" s="54"/>
      <c r="AZ9" s="54"/>
      <c r="BA9" s="54"/>
      <c r="BB9" s="54"/>
      <c r="BC9" s="54"/>
    </row>
    <row r="10" spans="1:256" ht="15">
      <c r="A10" s="45"/>
      <c r="B10" s="1720"/>
      <c r="C10" s="3886" t="str">
        <f>UPPER(Country)</f>
        <v>SWEDEN</v>
      </c>
      <c r="D10" s="3886"/>
      <c r="E10" s="3886"/>
      <c r="F10" s="3886"/>
      <c r="G10" s="3886"/>
      <c r="H10" s="3886"/>
      <c r="I10" s="2415"/>
      <c r="J10" s="53"/>
      <c r="K10" s="53"/>
      <c r="L10" s="53"/>
      <c r="M10" s="53"/>
      <c r="N10" s="54"/>
      <c r="O10" s="54"/>
      <c r="P10" s="54"/>
      <c r="Q10" s="54"/>
      <c r="R10" s="54"/>
      <c r="S10" s="60"/>
      <c r="T10" s="3886" t="str">
        <f>UPPER(Country)</f>
        <v>SWEDEN</v>
      </c>
      <c r="U10" s="3886"/>
      <c r="V10" s="3886"/>
      <c r="W10" s="3886"/>
      <c r="X10" s="3886"/>
      <c r="Y10" s="3886"/>
      <c r="Z10" s="2415"/>
      <c r="AA10" s="54"/>
      <c r="AB10" s="54"/>
      <c r="AC10" s="54"/>
      <c r="AD10" s="54"/>
      <c r="AE10" s="54"/>
      <c r="AF10" s="54"/>
      <c r="AG10" s="54"/>
      <c r="AH10" s="54"/>
      <c r="AI10" s="45"/>
      <c r="AJ10" s="60"/>
      <c r="AK10" s="3887" t="str">
        <f>UPPER(Country)</f>
        <v>SWEDEN</v>
      </c>
      <c r="AL10" s="3887"/>
      <c r="AM10" s="3887"/>
      <c r="AN10" s="3887"/>
      <c r="AO10" s="3887"/>
      <c r="AP10" s="3887"/>
      <c r="AQ10" s="61"/>
      <c r="AR10" s="53"/>
      <c r="AS10" s="53"/>
      <c r="AT10" s="53"/>
      <c r="AU10" s="53"/>
      <c r="AV10" s="54"/>
      <c r="AW10" s="54"/>
      <c r="AX10" s="54"/>
      <c r="AY10" s="54"/>
      <c r="AZ10" s="54"/>
      <c r="BA10" s="54"/>
      <c r="BB10" s="54"/>
      <c r="BC10" s="54"/>
    </row>
    <row r="11" spans="1:256" ht="15">
      <c r="A11" s="45"/>
      <c r="B11" s="1720"/>
      <c r="C11" s="3888" t="s">
        <v>184</v>
      </c>
      <c r="D11" s="3888"/>
      <c r="E11" s="3888"/>
      <c r="F11" s="3888"/>
      <c r="G11" s="3888"/>
      <c r="H11" s="3888"/>
      <c r="I11" s="2417"/>
      <c r="J11" s="53"/>
      <c r="K11" s="53"/>
      <c r="L11" s="53"/>
      <c r="M11" s="53"/>
      <c r="N11" s="54"/>
      <c r="O11" s="54"/>
      <c r="P11" s="54"/>
      <c r="Q11" s="54"/>
      <c r="R11" s="54"/>
      <c r="S11" s="1720"/>
      <c r="T11" s="3886" t="s">
        <v>184</v>
      </c>
      <c r="U11" s="3886"/>
      <c r="V11" s="3886"/>
      <c r="W11" s="3886"/>
      <c r="X11" s="3886"/>
      <c r="Y11" s="3886"/>
      <c r="Z11" s="2417"/>
      <c r="AA11" s="54"/>
      <c r="AB11" s="54"/>
      <c r="AC11" s="54"/>
      <c r="AD11" s="54"/>
      <c r="AE11" s="54"/>
      <c r="AF11" s="54"/>
      <c r="AG11" s="54"/>
      <c r="AH11" s="54"/>
      <c r="AI11" s="45"/>
      <c r="AJ11" s="60"/>
      <c r="AK11" s="3889" t="s">
        <v>184</v>
      </c>
      <c r="AL11" s="3889"/>
      <c r="AM11" s="3889"/>
      <c r="AN11" s="3889"/>
      <c r="AO11" s="3889"/>
      <c r="AP11" s="3889"/>
      <c r="AQ11" s="62"/>
      <c r="AR11" s="53"/>
      <c r="AS11" s="53"/>
      <c r="AT11" s="53"/>
      <c r="AU11" s="53"/>
      <c r="AV11" s="54"/>
      <c r="AW11" s="54"/>
      <c r="AX11" s="54"/>
      <c r="AY11" s="54"/>
      <c r="AZ11" s="54"/>
      <c r="BA11" s="54"/>
      <c r="BB11" s="54"/>
      <c r="BC11" s="54"/>
    </row>
    <row r="12" spans="1:256" ht="15">
      <c r="A12" s="45"/>
      <c r="B12" s="1720"/>
      <c r="C12" s="2418" t="str">
        <f>"Country: " &amp;UPPER(Country)</f>
        <v>Country: SWEDEN</v>
      </c>
      <c r="D12" s="2419"/>
      <c r="E12" s="2420"/>
      <c r="F12" s="2420"/>
      <c r="G12" s="2420"/>
      <c r="H12" s="2420"/>
      <c r="I12" s="2421"/>
      <c r="J12" s="53"/>
      <c r="K12" s="53"/>
      <c r="L12" s="53"/>
      <c r="M12" s="53"/>
      <c r="N12" s="54"/>
      <c r="O12" s="54"/>
      <c r="P12" s="54"/>
      <c r="Q12" s="54"/>
      <c r="R12" s="54"/>
      <c r="S12" s="1720"/>
      <c r="T12" s="2418" t="str">
        <f>"Country: " &amp;UPPER(Country)</f>
        <v>Country: SWEDEN</v>
      </c>
      <c r="U12" s="2419"/>
      <c r="V12" s="2066" t="s">
        <v>1553</v>
      </c>
      <c r="W12" s="65"/>
      <c r="X12" s="65"/>
      <c r="Y12" s="49"/>
      <c r="Z12" s="2421"/>
      <c r="AA12" s="54"/>
      <c r="AB12" s="54"/>
      <c r="AC12" s="54"/>
      <c r="AD12" s="54"/>
      <c r="AE12" s="54"/>
      <c r="AF12" s="54"/>
      <c r="AG12" s="54"/>
      <c r="AH12" s="54"/>
      <c r="AI12" s="45"/>
      <c r="AJ12" s="60"/>
      <c r="AK12" s="63" t="str">
        <f>"Country: " &amp;UPPER(Country)</f>
        <v>Country: SWEDEN</v>
      </c>
      <c r="AL12" s="64"/>
      <c r="AM12" s="65"/>
      <c r="AN12" s="65"/>
      <c r="AO12" s="65"/>
      <c r="AP12" s="49"/>
      <c r="AQ12" s="66"/>
      <c r="AR12" s="53"/>
      <c r="AS12" s="53"/>
      <c r="AT12" s="53"/>
      <c r="AU12" s="53"/>
      <c r="AV12" s="54"/>
      <c r="AW12" s="54"/>
      <c r="AX12" s="54"/>
      <c r="AY12" s="54"/>
      <c r="AZ12" s="54"/>
      <c r="BA12" s="54"/>
      <c r="BB12" s="54"/>
      <c r="BC12" s="54"/>
    </row>
    <row r="13" spans="1:256" ht="15">
      <c r="A13" s="45"/>
      <c r="B13" s="1720"/>
      <c r="C13" s="2418" t="str">
        <f>"Currency unit: " &amp; Currency</f>
        <v>Currency unit: bn SEK</v>
      </c>
      <c r="D13" s="2422"/>
      <c r="E13" s="2420"/>
      <c r="F13" s="2423"/>
      <c r="G13" s="2420"/>
      <c r="H13" s="2420"/>
      <c r="I13" s="2421"/>
      <c r="J13" s="53"/>
      <c r="K13" s="53"/>
      <c r="L13" s="53"/>
      <c r="M13" s="53"/>
      <c r="N13" s="54"/>
      <c r="O13" s="54"/>
      <c r="P13" s="54"/>
      <c r="Q13" s="54"/>
      <c r="R13" s="54"/>
      <c r="S13" s="1720"/>
      <c r="T13" s="63" t="str">
        <f>"Currency unit: " &amp; Currency</f>
        <v>Currency unit: bn SEK</v>
      </c>
      <c r="U13" s="2422"/>
      <c r="V13" s="2066" t="str">
        <f>$T$4</f>
        <v>final storage SF18</v>
      </c>
      <c r="W13" s="68"/>
      <c r="X13" s="65"/>
      <c r="Y13" s="65"/>
      <c r="Z13" s="2421"/>
      <c r="AA13" s="54"/>
      <c r="AB13" s="54"/>
      <c r="AC13" s="54"/>
      <c r="AD13" s="54"/>
      <c r="AE13" s="54"/>
      <c r="AF13" s="54"/>
      <c r="AG13" s="54"/>
      <c r="AH13" s="54"/>
      <c r="AI13" s="45"/>
      <c r="AJ13" s="60"/>
      <c r="AK13" s="63" t="str">
        <f>"Currency unit: " &amp; Currency</f>
        <v>Currency unit: bn SEK</v>
      </c>
      <c r="AL13" s="67"/>
      <c r="AM13" s="65"/>
      <c r="AN13" s="68"/>
      <c r="AO13" s="65"/>
      <c r="AP13" s="65"/>
      <c r="AQ13" s="66"/>
      <c r="AR13" s="53"/>
      <c r="AS13" s="53"/>
      <c r="AT13" s="53"/>
      <c r="AU13" s="53"/>
      <c r="AV13" s="54"/>
      <c r="AW13" s="54"/>
      <c r="AX13" s="54"/>
      <c r="AY13" s="54"/>
      <c r="AZ13" s="54"/>
      <c r="BA13" s="54"/>
      <c r="BB13" s="54"/>
      <c r="BC13" s="54"/>
    </row>
    <row r="14" spans="1:256">
      <c r="A14" s="45"/>
      <c r="B14" s="1720"/>
      <c r="C14" s="2424" t="s">
        <v>576</v>
      </c>
      <c r="D14" s="2420"/>
      <c r="E14" s="2420"/>
      <c r="F14" s="2420"/>
      <c r="G14" s="2420"/>
      <c r="H14" s="2420"/>
      <c r="I14" s="2421"/>
      <c r="J14" s="53"/>
      <c r="K14" s="53"/>
      <c r="L14" s="53"/>
      <c r="M14" s="53"/>
      <c r="N14" s="54"/>
      <c r="O14" s="54"/>
      <c r="P14" s="54"/>
      <c r="Q14" s="54"/>
      <c r="R14" s="54"/>
      <c r="S14" s="1720"/>
      <c r="T14" s="2424" t="s">
        <v>576</v>
      </c>
      <c r="U14" s="2420"/>
      <c r="V14" s="2420"/>
      <c r="W14" s="2420"/>
      <c r="X14" s="2420"/>
      <c r="Y14" s="2420"/>
      <c r="Z14" s="2421"/>
      <c r="AA14" s="54"/>
      <c r="AB14" s="54"/>
      <c r="AC14" s="54"/>
      <c r="AD14" s="54"/>
      <c r="AE14" s="54"/>
      <c r="AF14" s="54"/>
      <c r="AG14" s="54"/>
      <c r="AH14" s="54"/>
      <c r="AI14" s="45"/>
      <c r="AJ14" s="60"/>
      <c r="AK14" s="69" t="s">
        <v>576</v>
      </c>
      <c r="AL14" s="65"/>
      <c r="AM14" s="65"/>
      <c r="AN14" s="65"/>
      <c r="AO14" s="65"/>
      <c r="AP14" s="65"/>
      <c r="AQ14" s="66"/>
      <c r="AR14" s="53"/>
      <c r="AS14" s="53"/>
      <c r="AT14" s="53"/>
      <c r="AU14" s="53"/>
      <c r="AV14" s="54"/>
      <c r="AW14" s="54"/>
      <c r="AX14" s="54"/>
      <c r="AY14" s="54"/>
      <c r="AZ14" s="54"/>
      <c r="BA14" s="54"/>
      <c r="BB14" s="54"/>
      <c r="BC14" s="54"/>
    </row>
    <row r="15" spans="1:256" ht="13.15" thickBot="1">
      <c r="A15" s="45"/>
      <c r="B15" s="1720"/>
      <c r="C15" s="2420"/>
      <c r="D15" s="2420"/>
      <c r="E15" s="2420"/>
      <c r="F15" s="2420"/>
      <c r="G15" s="3878">
        <f ca="1">NOW()</f>
        <v>43493.476067824071</v>
      </c>
      <c r="H15" s="3878"/>
      <c r="I15" s="2425"/>
      <c r="J15" s="53"/>
      <c r="K15" s="53"/>
      <c r="L15" s="53"/>
      <c r="M15" s="53"/>
      <c r="N15" s="53"/>
      <c r="O15" s="54"/>
      <c r="P15" s="54"/>
      <c r="Q15" s="54"/>
      <c r="R15" s="54"/>
      <c r="S15" s="1720"/>
      <c r="T15" s="2420"/>
      <c r="U15" s="2420"/>
      <c r="V15" s="2420"/>
      <c r="W15" s="2420"/>
      <c r="X15" s="3878">
        <f ca="1">NOW()</f>
        <v>43493.476067824071</v>
      </c>
      <c r="Y15" s="3878"/>
      <c r="Z15" s="2425"/>
      <c r="AA15" s="54"/>
      <c r="AB15" s="54"/>
      <c r="AC15" s="54"/>
      <c r="AD15" s="54"/>
      <c r="AE15" s="54"/>
      <c r="AF15" s="54"/>
      <c r="AG15" s="54"/>
      <c r="AH15" s="54"/>
      <c r="AI15" s="45"/>
      <c r="AJ15" s="60"/>
      <c r="AK15" s="65"/>
      <c r="AL15" s="65"/>
      <c r="AM15" s="65"/>
      <c r="AN15" s="65"/>
      <c r="AO15" s="3879">
        <f ca="1">NOW()</f>
        <v>43493.476067824071</v>
      </c>
      <c r="AP15" s="3879"/>
      <c r="AQ15" s="71"/>
      <c r="AR15" s="53"/>
      <c r="AS15" s="53"/>
      <c r="AT15" s="53"/>
      <c r="AU15" s="53"/>
      <c r="AV15" s="53"/>
      <c r="AW15" s="54"/>
      <c r="AX15" s="54"/>
      <c r="AY15" s="54"/>
      <c r="AZ15" s="54"/>
      <c r="BA15" s="54"/>
      <c r="BB15" s="54"/>
      <c r="BC15" s="54"/>
    </row>
    <row r="16" spans="1:256" ht="13.15">
      <c r="A16" s="45"/>
      <c r="B16" s="1720"/>
      <c r="C16" s="2426"/>
      <c r="D16" s="2427"/>
      <c r="E16" s="2428">
        <f>Last_forecast_year - 3</f>
        <v>2017</v>
      </c>
      <c r="F16" s="2429">
        <f>E16+1</f>
        <v>2018</v>
      </c>
      <c r="G16" s="2429">
        <f>F16+1</f>
        <v>2019</v>
      </c>
      <c r="H16" s="2430">
        <f>G16+1</f>
        <v>2020</v>
      </c>
      <c r="I16" s="2431"/>
      <c r="J16" s="53"/>
      <c r="K16" s="53"/>
      <c r="L16" s="53"/>
      <c r="M16" s="53"/>
      <c r="N16" s="53"/>
      <c r="O16" s="54"/>
      <c r="P16" s="54"/>
      <c r="Q16" s="54"/>
      <c r="R16" s="54"/>
      <c r="S16" s="1720"/>
      <c r="T16" s="2426"/>
      <c r="U16" s="2427"/>
      <c r="V16" s="2428">
        <f>Last_forecast_year-3</f>
        <v>2017</v>
      </c>
      <c r="W16" s="2429">
        <f>V16+1</f>
        <v>2018</v>
      </c>
      <c r="X16" s="2429">
        <f>W16+1</f>
        <v>2019</v>
      </c>
      <c r="Y16" s="2430">
        <f>X16+1</f>
        <v>2020</v>
      </c>
      <c r="Z16" s="2431"/>
      <c r="AA16" s="54"/>
      <c r="AB16" s="54"/>
      <c r="AC16" s="54"/>
      <c r="AD16" s="54"/>
      <c r="AE16" s="54"/>
      <c r="AF16" s="54"/>
      <c r="AG16" s="54"/>
      <c r="AH16" s="54"/>
      <c r="AI16" s="45"/>
      <c r="AJ16" s="60"/>
      <c r="AK16" s="72"/>
      <c r="AL16" s="73"/>
      <c r="AM16" s="74">
        <f>Last_forecast_year - 3</f>
        <v>2017</v>
      </c>
      <c r="AN16" s="75">
        <f>AM16+1</f>
        <v>2018</v>
      </c>
      <c r="AO16" s="75">
        <f>AN16+1</f>
        <v>2019</v>
      </c>
      <c r="AP16" s="1730">
        <f>AO16+1</f>
        <v>2020</v>
      </c>
      <c r="AQ16" s="76"/>
      <c r="AR16" s="53"/>
      <c r="AS16" s="53"/>
      <c r="AT16" s="53"/>
      <c r="AU16" s="53"/>
      <c r="AV16" s="53"/>
      <c r="AW16" s="54"/>
      <c r="AX16" s="54"/>
      <c r="AY16" s="54"/>
      <c r="AZ16" s="54"/>
      <c r="BA16" s="54"/>
      <c r="BB16" s="54"/>
      <c r="BC16" s="54"/>
    </row>
    <row r="17" spans="1:55" ht="13.15">
      <c r="A17" s="45"/>
      <c r="B17" s="1720"/>
      <c r="C17" s="1721"/>
      <c r="D17" s="2420"/>
      <c r="E17" s="3880" t="s">
        <v>577</v>
      </c>
      <c r="F17" s="3881"/>
      <c r="G17" s="3881"/>
      <c r="H17" s="3882"/>
      <c r="I17" s="2432"/>
      <c r="J17" s="53"/>
      <c r="K17" s="53"/>
      <c r="L17" s="53"/>
      <c r="M17" s="53"/>
      <c r="N17" s="53"/>
      <c r="O17" s="54"/>
      <c r="P17" s="54"/>
      <c r="Q17" s="54"/>
      <c r="R17" s="54"/>
      <c r="S17" s="1720"/>
      <c r="T17" s="1721"/>
      <c r="U17" s="2420"/>
      <c r="V17" s="3880" t="s">
        <v>577</v>
      </c>
      <c r="W17" s="3881"/>
      <c r="X17" s="3881"/>
      <c r="Y17" s="3882"/>
      <c r="Z17" s="2432"/>
      <c r="AA17" s="54"/>
      <c r="AB17" s="54"/>
      <c r="AC17" s="54"/>
      <c r="AD17" s="54"/>
      <c r="AE17" s="54"/>
      <c r="AF17" s="54"/>
      <c r="AG17" s="54"/>
      <c r="AH17" s="54"/>
      <c r="AI17" s="45"/>
      <c r="AJ17" s="60"/>
      <c r="AK17" s="40"/>
      <c r="AL17" s="65"/>
      <c r="AM17" s="3883" t="s">
        <v>577</v>
      </c>
      <c r="AN17" s="3884"/>
      <c r="AO17" s="3884"/>
      <c r="AP17" s="3885"/>
      <c r="AQ17" s="77"/>
      <c r="AR17" s="53"/>
      <c r="AS17" s="53"/>
      <c r="AT17" s="53"/>
      <c r="AU17" s="53"/>
      <c r="AV17" s="53"/>
      <c r="AW17" s="54"/>
      <c r="AX17" s="54"/>
      <c r="AY17" s="54"/>
      <c r="AZ17" s="54"/>
      <c r="BA17" s="54"/>
      <c r="BB17" s="54"/>
      <c r="BC17" s="54"/>
    </row>
    <row r="18" spans="1:55">
      <c r="A18" s="45"/>
      <c r="B18" s="1720"/>
      <c r="C18" s="2433" t="s">
        <v>578</v>
      </c>
      <c r="D18" s="2412"/>
      <c r="E18" s="2434"/>
      <c r="F18" s="2435"/>
      <c r="G18" s="2434"/>
      <c r="H18" s="2436"/>
      <c r="I18" s="2437"/>
      <c r="J18" s="53"/>
      <c r="K18" s="53"/>
      <c r="L18" s="53"/>
      <c r="M18" s="53"/>
      <c r="N18" s="53"/>
      <c r="O18" s="54"/>
      <c r="P18" s="54"/>
      <c r="Q18" s="54"/>
      <c r="R18" s="54"/>
      <c r="S18" s="1720"/>
      <c r="T18" s="2433" t="s">
        <v>578</v>
      </c>
      <c r="U18" s="2412"/>
      <c r="V18" s="2434"/>
      <c r="W18" s="2435"/>
      <c r="X18" s="2434"/>
      <c r="Y18" s="2436"/>
      <c r="Z18" s="2437"/>
      <c r="AA18" s="54"/>
      <c r="AB18" s="54"/>
      <c r="AC18" s="54"/>
      <c r="AD18" s="54"/>
      <c r="AE18" s="54"/>
      <c r="AF18" s="54"/>
      <c r="AG18" s="54"/>
      <c r="AH18" s="54"/>
      <c r="AI18" s="45"/>
      <c r="AJ18" s="60"/>
      <c r="AK18" s="78" t="s">
        <v>578</v>
      </c>
      <c r="AL18" s="57"/>
      <c r="AM18" s="79"/>
      <c r="AN18" s="80"/>
      <c r="AO18" s="79"/>
      <c r="AP18" s="81"/>
      <c r="AQ18" s="82"/>
      <c r="AR18" s="53"/>
      <c r="AS18" s="53"/>
      <c r="AT18" s="53"/>
      <c r="AU18" s="53"/>
      <c r="AV18" s="53"/>
      <c r="AW18" s="54"/>
      <c r="AX18" s="54"/>
      <c r="AY18" s="54"/>
      <c r="AZ18" s="54"/>
      <c r="BA18" s="54"/>
      <c r="BB18" s="54"/>
      <c r="BC18" s="54"/>
    </row>
    <row r="19" spans="1:55">
      <c r="A19" s="45"/>
      <c r="B19" s="1720"/>
      <c r="C19" s="1721" t="s">
        <v>579</v>
      </c>
      <c r="D19" s="2420"/>
      <c r="E19" s="2438"/>
      <c r="F19" s="2438"/>
      <c r="G19" s="2438"/>
      <c r="H19" s="2439"/>
      <c r="I19" s="2437"/>
      <c r="J19" s="53"/>
      <c r="K19" s="53"/>
      <c r="L19" s="53"/>
      <c r="M19" s="53"/>
      <c r="N19" s="53"/>
      <c r="O19" s="54"/>
      <c r="P19" s="54"/>
      <c r="Q19" s="54"/>
      <c r="R19" s="54"/>
      <c r="S19" s="1720"/>
      <c r="T19" s="1721" t="s">
        <v>579</v>
      </c>
      <c r="U19" s="2420"/>
      <c r="V19" s="2438"/>
      <c r="W19" s="2438"/>
      <c r="X19" s="2438"/>
      <c r="Y19" s="2439"/>
      <c r="Z19" s="2437"/>
      <c r="AA19" s="54"/>
      <c r="AB19" s="54"/>
      <c r="AC19" s="54"/>
      <c r="AD19" s="54"/>
      <c r="AE19" s="54"/>
      <c r="AF19" s="54"/>
      <c r="AG19" s="54"/>
      <c r="AH19" s="54"/>
      <c r="AI19" s="45"/>
      <c r="AJ19" s="60"/>
      <c r="AK19" s="40" t="s">
        <v>579</v>
      </c>
      <c r="AL19" s="65"/>
      <c r="AM19" s="83"/>
      <c r="AN19" s="83"/>
      <c r="AO19" s="83"/>
      <c r="AP19" s="84"/>
      <c r="AQ19" s="82"/>
      <c r="AR19" s="53"/>
      <c r="AS19" s="53"/>
      <c r="AT19" s="53"/>
      <c r="AU19" s="53"/>
      <c r="AV19" s="53"/>
      <c r="AW19" s="54"/>
      <c r="AX19" s="54"/>
      <c r="AY19" s="54"/>
      <c r="AZ19" s="54"/>
      <c r="BA19" s="2051" t="s">
        <v>264</v>
      </c>
      <c r="BB19" s="1752"/>
      <c r="BC19" s="54"/>
    </row>
    <row r="20" spans="1:55">
      <c r="A20" s="45"/>
      <c r="B20" s="1720"/>
      <c r="C20" s="1721" t="s">
        <v>1222</v>
      </c>
      <c r="D20" s="2420"/>
      <c r="E20" s="2438"/>
      <c r="F20" s="2438"/>
      <c r="G20" s="2438"/>
      <c r="H20" s="2439"/>
      <c r="I20" s="2437"/>
      <c r="J20" s="53"/>
      <c r="K20" s="53"/>
      <c r="L20" s="53"/>
      <c r="M20" s="53"/>
      <c r="N20" s="53"/>
      <c r="O20" s="54"/>
      <c r="P20" s="54"/>
      <c r="Q20" s="54"/>
      <c r="R20" s="54"/>
      <c r="S20" s="1720"/>
      <c r="T20" s="1721" t="s">
        <v>1222</v>
      </c>
      <c r="U20" s="2420"/>
      <c r="V20" s="2438"/>
      <c r="W20" s="2438"/>
      <c r="X20" s="2438"/>
      <c r="Y20" s="2439"/>
      <c r="Z20" s="2437"/>
      <c r="AA20" s="54"/>
      <c r="AB20" s="54"/>
      <c r="AC20" s="54"/>
      <c r="AD20" s="54"/>
      <c r="AE20" s="54"/>
      <c r="AF20" s="54"/>
      <c r="AG20" s="54"/>
      <c r="AH20" s="54"/>
      <c r="AI20" s="45"/>
      <c r="AJ20" s="60"/>
      <c r="AK20" s="40" t="s">
        <v>1222</v>
      </c>
      <c r="AL20" s="65"/>
      <c r="AM20" s="83"/>
      <c r="AN20" s="83"/>
      <c r="AO20" s="83"/>
      <c r="AP20" s="84"/>
      <c r="AQ20" s="82"/>
      <c r="AR20" s="53"/>
      <c r="AS20" s="53"/>
      <c r="AT20" s="53"/>
      <c r="AU20" s="53"/>
      <c r="AV20" s="53"/>
      <c r="AW20" s="54"/>
      <c r="AX20" s="54"/>
      <c r="AY20" s="54"/>
      <c r="AZ20" s="54"/>
      <c r="BA20" s="1728" t="s">
        <v>265</v>
      </c>
      <c r="BB20" s="1754"/>
      <c r="BC20" s="54"/>
    </row>
    <row r="21" spans="1:55" ht="13.15">
      <c r="A21" s="45"/>
      <c r="B21" s="1720"/>
      <c r="C21" s="2440" t="s">
        <v>224</v>
      </c>
      <c r="D21" s="2420"/>
      <c r="E21" s="2438"/>
      <c r="F21" s="2438"/>
      <c r="G21" s="2438"/>
      <c r="H21" s="2439"/>
      <c r="I21" s="2441"/>
      <c r="J21" s="53"/>
      <c r="K21" s="53"/>
      <c r="L21" s="53"/>
      <c r="M21" s="53"/>
      <c r="N21" s="53"/>
      <c r="O21" s="54"/>
      <c r="P21" s="54"/>
      <c r="Q21" s="54"/>
      <c r="R21" s="54"/>
      <c r="S21" s="1720"/>
      <c r="T21" s="2440" t="s">
        <v>224</v>
      </c>
      <c r="U21" s="2420"/>
      <c r="V21" s="2438"/>
      <c r="W21" s="2438"/>
      <c r="X21" s="2438"/>
      <c r="Y21" s="2439"/>
      <c r="Z21" s="2441"/>
      <c r="AA21" s="54"/>
      <c r="AB21" s="54"/>
      <c r="AC21" s="54"/>
      <c r="AD21" s="54"/>
      <c r="AE21" s="54"/>
      <c r="AF21" s="54"/>
      <c r="AG21" s="54"/>
      <c r="AH21" s="54"/>
      <c r="AI21" s="45"/>
      <c r="AJ21" s="60"/>
      <c r="AK21" s="158" t="s">
        <v>224</v>
      </c>
      <c r="AL21" s="65"/>
      <c r="AM21" s="83"/>
      <c r="AN21" s="83"/>
      <c r="AO21" s="83"/>
      <c r="AP21" s="84"/>
      <c r="AQ21" s="85"/>
      <c r="AR21" s="53"/>
      <c r="AS21" s="53"/>
      <c r="AT21" s="53"/>
      <c r="AU21" s="53"/>
      <c r="AV21" s="53"/>
      <c r="AW21" s="54"/>
      <c r="AX21" s="54"/>
      <c r="AY21" s="54"/>
      <c r="AZ21" s="54"/>
      <c r="BA21" s="1728" t="s">
        <v>266</v>
      </c>
      <c r="BB21" s="1754"/>
      <c r="BC21" s="54"/>
    </row>
    <row r="22" spans="1:55">
      <c r="A22" s="45"/>
      <c r="B22" s="1720"/>
      <c r="C22" s="2442" t="s">
        <v>1223</v>
      </c>
      <c r="D22" s="2420"/>
      <c r="E22" s="2443"/>
      <c r="F22" s="2443"/>
      <c r="G22" s="2443"/>
      <c r="H22" s="2444"/>
      <c r="I22" s="1719"/>
      <c r="J22" s="53"/>
      <c r="K22" s="53"/>
      <c r="L22" s="53"/>
      <c r="M22" s="53"/>
      <c r="N22" s="53"/>
      <c r="O22" s="54"/>
      <c r="P22" s="54"/>
      <c r="Q22" s="54"/>
      <c r="R22" s="54"/>
      <c r="S22" s="1720"/>
      <c r="T22" s="2442" t="s">
        <v>1223</v>
      </c>
      <c r="U22" s="2420"/>
      <c r="V22" s="2443"/>
      <c r="W22" s="2443"/>
      <c r="X22" s="2443"/>
      <c r="Y22" s="2444"/>
      <c r="Z22" s="1719"/>
      <c r="AA22" s="54"/>
      <c r="AB22" s="54"/>
      <c r="AC22" s="54"/>
      <c r="AD22" s="54"/>
      <c r="AE22" s="54"/>
      <c r="AF22" s="54"/>
      <c r="AG22" s="54"/>
      <c r="AH22" s="54"/>
      <c r="AI22" s="45"/>
      <c r="AJ22" s="60"/>
      <c r="AK22" s="86" t="s">
        <v>1223</v>
      </c>
      <c r="AL22" s="65"/>
      <c r="AM22" s="87"/>
      <c r="AN22" s="88"/>
      <c r="AO22" s="87"/>
      <c r="AP22" s="89"/>
      <c r="AQ22" s="90"/>
      <c r="AR22" s="53"/>
      <c r="AS22" s="53"/>
      <c r="AT22" s="53"/>
      <c r="AU22" s="53"/>
      <c r="AV22" s="53"/>
      <c r="AW22" s="54"/>
      <c r="AX22" s="54"/>
      <c r="AY22" s="54"/>
      <c r="AZ22" s="54"/>
      <c r="BA22" s="1728"/>
      <c r="BB22" s="1754"/>
      <c r="BC22" s="54"/>
    </row>
    <row r="23" spans="1:55">
      <c r="A23" s="45"/>
      <c r="B23" s="1720"/>
      <c r="C23" s="1721" t="s">
        <v>272</v>
      </c>
      <c r="D23" s="2420"/>
      <c r="E23" s="2445"/>
      <c r="F23" s="2446"/>
      <c r="G23" s="2445"/>
      <c r="H23" s="2447"/>
      <c r="I23" s="2437"/>
      <c r="J23" s="53"/>
      <c r="K23" s="53"/>
      <c r="L23" s="53"/>
      <c r="M23" s="53"/>
      <c r="N23" s="53"/>
      <c r="O23" s="54"/>
      <c r="P23" s="54"/>
      <c r="Q23" s="54"/>
      <c r="R23" s="54"/>
      <c r="S23" s="1720"/>
      <c r="T23" s="1721" t="s">
        <v>272</v>
      </c>
      <c r="U23" s="2420"/>
      <c r="V23" s="2445"/>
      <c r="W23" s="2446"/>
      <c r="X23" s="2445"/>
      <c r="Y23" s="2447"/>
      <c r="Z23" s="2437"/>
      <c r="AA23" s="54"/>
      <c r="AB23" s="54"/>
      <c r="AC23" s="54"/>
      <c r="AD23" s="54"/>
      <c r="AE23" s="54"/>
      <c r="AF23" s="54"/>
      <c r="AG23" s="54"/>
      <c r="AH23" s="54"/>
      <c r="AI23" s="45"/>
      <c r="AJ23" s="60"/>
      <c r="AK23" s="40" t="s">
        <v>272</v>
      </c>
      <c r="AL23" s="65"/>
      <c r="AM23" s="91"/>
      <c r="AN23" s="92"/>
      <c r="AO23" s="91"/>
      <c r="AP23" s="93"/>
      <c r="AQ23" s="82"/>
      <c r="AR23" s="53"/>
      <c r="AS23" s="53"/>
      <c r="AT23" s="53"/>
      <c r="AU23" s="53"/>
      <c r="AV23" s="53"/>
      <c r="AW23" s="54"/>
      <c r="AX23" s="54"/>
      <c r="AY23" s="54"/>
      <c r="AZ23" s="54"/>
      <c r="BA23" s="1728" t="s">
        <v>267</v>
      </c>
      <c r="BB23" s="1754"/>
      <c r="BC23" s="54"/>
    </row>
    <row r="24" spans="1:55" ht="13.15">
      <c r="A24" s="45"/>
      <c r="B24" s="1720"/>
      <c r="C24" s="2448" t="s">
        <v>273</v>
      </c>
      <c r="D24" s="2449"/>
      <c r="E24" s="2450"/>
      <c r="F24" s="2451"/>
      <c r="G24" s="2450"/>
      <c r="H24" s="2452"/>
      <c r="I24" s="2441"/>
      <c r="J24" s="53"/>
      <c r="K24" s="53"/>
      <c r="L24" s="53"/>
      <c r="M24" s="53"/>
      <c r="N24" s="53"/>
      <c r="O24" s="54"/>
      <c r="P24" s="54"/>
      <c r="Q24" s="54"/>
      <c r="R24" s="54"/>
      <c r="S24" s="1720"/>
      <c r="T24" s="2448" t="s">
        <v>273</v>
      </c>
      <c r="U24" s="2449"/>
      <c r="V24" s="2450"/>
      <c r="W24" s="2451"/>
      <c r="X24" s="2450"/>
      <c r="Y24" s="2452"/>
      <c r="Z24" s="2441"/>
      <c r="AA24" s="54"/>
      <c r="AB24" s="54"/>
      <c r="AC24" s="54"/>
      <c r="AD24" s="54"/>
      <c r="AE24" s="54"/>
      <c r="AF24" s="54"/>
      <c r="AG24" s="54"/>
      <c r="AH24" s="54"/>
      <c r="AI24" s="45"/>
      <c r="AJ24" s="60"/>
      <c r="AK24" s="94" t="s">
        <v>273</v>
      </c>
      <c r="AL24" s="95"/>
      <c r="AM24" s="96"/>
      <c r="AN24" s="97"/>
      <c r="AO24" s="96"/>
      <c r="AP24" s="98"/>
      <c r="AQ24" s="85"/>
      <c r="AR24" s="53"/>
      <c r="AS24" s="53"/>
      <c r="AT24" s="53"/>
      <c r="AU24" s="53"/>
      <c r="AV24" s="53"/>
      <c r="AW24" s="54"/>
      <c r="AX24" s="54"/>
      <c r="AY24" s="54"/>
      <c r="AZ24" s="54"/>
      <c r="BA24" s="2052" t="s">
        <v>268</v>
      </c>
      <c r="BB24" s="1754"/>
      <c r="BC24" s="54"/>
    </row>
    <row r="25" spans="1:55" ht="13.15">
      <c r="A25" s="45"/>
      <c r="B25" s="1720"/>
      <c r="C25" s="1721"/>
      <c r="D25" s="2420"/>
      <c r="E25" s="3890" t="s">
        <v>404</v>
      </c>
      <c r="F25" s="3891"/>
      <c r="G25" s="3891"/>
      <c r="H25" s="3892"/>
      <c r="I25" s="2441"/>
      <c r="J25" s="53"/>
      <c r="K25" s="53"/>
      <c r="L25" s="53"/>
      <c r="M25" s="53"/>
      <c r="N25" s="53"/>
      <c r="O25" s="54"/>
      <c r="P25" s="54"/>
      <c r="Q25" s="54"/>
      <c r="R25" s="54"/>
      <c r="S25" s="1720"/>
      <c r="T25" s="1721"/>
      <c r="U25" s="2420"/>
      <c r="V25" s="3890" t="s">
        <v>404</v>
      </c>
      <c r="W25" s="3891"/>
      <c r="X25" s="3891"/>
      <c r="Y25" s="3892"/>
      <c r="Z25" s="2441"/>
      <c r="AA25" s="54"/>
      <c r="AB25" s="54"/>
      <c r="AC25" s="54"/>
      <c r="AD25" s="54"/>
      <c r="AE25" s="54"/>
      <c r="AF25" s="54"/>
      <c r="AG25" s="54"/>
      <c r="AH25" s="54"/>
      <c r="AI25" s="45"/>
      <c r="AJ25" s="60"/>
      <c r="AK25" s="40"/>
      <c r="AL25" s="49"/>
      <c r="AM25" s="3893" t="s">
        <v>404</v>
      </c>
      <c r="AN25" s="3894"/>
      <c r="AO25" s="3894"/>
      <c r="AP25" s="3895"/>
      <c r="AQ25" s="85"/>
      <c r="AR25" s="53"/>
      <c r="AS25" s="53"/>
      <c r="AT25" s="53"/>
      <c r="AU25" s="53"/>
      <c r="AV25" s="53"/>
      <c r="AW25" s="54"/>
      <c r="AX25" s="54"/>
      <c r="AY25" s="54"/>
      <c r="AZ25" s="54"/>
      <c r="BA25" s="2053"/>
      <c r="BB25" s="1754"/>
      <c r="BC25" s="54"/>
    </row>
    <row r="26" spans="1:55">
      <c r="A26" s="45"/>
      <c r="B26" s="1720"/>
      <c r="C26" s="2453" t="s">
        <v>1188</v>
      </c>
      <c r="D26" s="2412"/>
      <c r="E26" s="2434"/>
      <c r="F26" s="2435"/>
      <c r="G26" s="2434"/>
      <c r="H26" s="2436"/>
      <c r="I26" s="2437"/>
      <c r="J26" s="53"/>
      <c r="K26" s="53"/>
      <c r="L26" s="53"/>
      <c r="M26" s="53"/>
      <c r="N26" s="53"/>
      <c r="O26" s="54"/>
      <c r="P26" s="54"/>
      <c r="Q26" s="54"/>
      <c r="R26" s="54"/>
      <c r="S26" s="1720"/>
      <c r="T26" s="2453" t="s">
        <v>1188</v>
      </c>
      <c r="U26" s="2412"/>
      <c r="V26" s="2434"/>
      <c r="W26" s="2435"/>
      <c r="X26" s="2434"/>
      <c r="Y26" s="2436"/>
      <c r="Z26" s="2437"/>
      <c r="AA26" s="54"/>
      <c r="AB26" s="54"/>
      <c r="AC26" s="54"/>
      <c r="AD26" s="54"/>
      <c r="AE26" s="54"/>
      <c r="AF26" s="54"/>
      <c r="AG26" s="54"/>
      <c r="AH26" s="54"/>
      <c r="AI26" s="45"/>
      <c r="AJ26" s="60"/>
      <c r="AK26" s="99" t="s">
        <v>1188</v>
      </c>
      <c r="AL26" s="100"/>
      <c r="AM26" s="79"/>
      <c r="AN26" s="80"/>
      <c r="AO26" s="79"/>
      <c r="AP26" s="81"/>
      <c r="AQ26" s="82"/>
      <c r="AR26" s="53"/>
      <c r="AS26" s="53"/>
      <c r="AT26" s="53"/>
      <c r="AU26" s="53"/>
      <c r="AV26" s="53"/>
      <c r="AW26" s="54"/>
      <c r="AX26" s="54"/>
      <c r="AY26" s="54"/>
      <c r="AZ26" s="54"/>
      <c r="BA26" s="1728" t="s">
        <v>1173</v>
      </c>
      <c r="BB26" s="1754"/>
      <c r="BC26" s="54"/>
    </row>
    <row r="27" spans="1:55">
      <c r="A27" s="45"/>
      <c r="B27" s="1720"/>
      <c r="C27" s="2454" t="s">
        <v>1407</v>
      </c>
      <c r="D27" s="2455"/>
      <c r="E27" s="2456">
        <f ca="1">(((Transfer!D145/Transfer!D293)/(Transfer!C145/Transfer!C293))-1)*100</f>
        <v>4.6950670253263826</v>
      </c>
      <c r="F27" s="2457">
        <f ca="1">(((Transfer!E145/Transfer!E293)/(Transfer!D145/Transfer!D293))-1)*100</f>
        <v>6.2000000000000055</v>
      </c>
      <c r="G27" s="2456">
        <f ca="1">(((Transfer!F145/Transfer!F293)/(Transfer!E145/Transfer!E293))-1)*100</f>
        <v>2.709999999999968</v>
      </c>
      <c r="H27" s="2458">
        <f ca="1">(((Transfer!G145/Transfer!G293)/(Transfer!F145/Transfer!F293))-1)*100</f>
        <v>1.330000000000009</v>
      </c>
      <c r="I27" s="2459"/>
      <c r="J27" s="53"/>
      <c r="K27" s="53"/>
      <c r="L27" s="53"/>
      <c r="M27" s="53"/>
      <c r="N27" s="53"/>
      <c r="O27" s="54"/>
      <c r="P27" s="54"/>
      <c r="Q27" s="54"/>
      <c r="R27" s="54"/>
      <c r="S27" s="1720"/>
      <c r="T27" s="1721" t="s">
        <v>1407</v>
      </c>
      <c r="U27" s="2461"/>
      <c r="V27" s="2445">
        <f t="shared" ref="V27:Y29" ca="1" si="0">ROUND(E27,1)-ROUND(AM27,1)</f>
        <v>7</v>
      </c>
      <c r="W27" s="2445">
        <f t="shared" ca="1" si="0"/>
        <v>1.6000000000000005</v>
      </c>
      <c r="X27" s="2445">
        <f t="shared" ca="1" si="0"/>
        <v>-2.2000000000000002</v>
      </c>
      <c r="Y27" s="2447">
        <f t="shared" ca="1" si="0"/>
        <v>-0.39999999999999991</v>
      </c>
      <c r="Z27" s="2459"/>
      <c r="AA27" s="54"/>
      <c r="AB27" s="54"/>
      <c r="AC27" s="54"/>
      <c r="AD27" s="54"/>
      <c r="AE27" s="54"/>
      <c r="AF27" s="54"/>
      <c r="AG27" s="54"/>
      <c r="AH27" s="54"/>
      <c r="AI27" s="45"/>
      <c r="AJ27" s="60"/>
      <c r="AK27" s="2171" t="s">
        <v>1407</v>
      </c>
      <c r="AL27" s="2172"/>
      <c r="AM27" s="2173">
        <f>(((Transfer!AD145/Transfer!AD293)/(Transfer!AC145/Transfer!AC293))-1)*100</f>
        <v>-2.2822330914678668</v>
      </c>
      <c r="AN27" s="2174">
        <f>(((Transfer!AE145/Transfer!AE293)/(Transfer!AD145/Transfer!AD293))-1)*100</f>
        <v>4.6290826485224645</v>
      </c>
      <c r="AO27" s="2173">
        <f>(((Transfer!AF145/Transfer!AF293)/(Transfer!AE145/Transfer!AE293))-1)*100</f>
        <v>4.8999999999999932</v>
      </c>
      <c r="AP27" s="2175">
        <f>(((Transfer!AG145/Transfer!AG293)/(Transfer!AF145/Transfer!AF293))-1)*100</f>
        <v>1.6999999999999904</v>
      </c>
      <c r="AQ27" s="103"/>
      <c r="AR27" s="53"/>
      <c r="AS27" s="53"/>
      <c r="AT27" s="53"/>
      <c r="AU27" s="53"/>
      <c r="AV27" s="53"/>
      <c r="AW27" s="54"/>
      <c r="AX27" s="54"/>
      <c r="AY27" s="54"/>
      <c r="AZ27" s="54"/>
      <c r="BA27" s="1728" t="s">
        <v>269</v>
      </c>
      <c r="BB27" s="1754"/>
      <c r="BC27" s="54"/>
    </row>
    <row r="28" spans="1:55">
      <c r="A28" s="45"/>
      <c r="B28" s="1720"/>
      <c r="C28" s="2454" t="s">
        <v>1408</v>
      </c>
      <c r="D28" s="2455"/>
      <c r="E28" s="2456">
        <f ca="1">IF(Transfer!$C$280=1,((SUM(Transfer!D101,Transfer!D102,Transfer!D103,Transfer!D107,Transfer!D108,Transfer!D109)/SUM(Transfer!C136,Transfer!C137,Transfer!C138,Transfer!C142,Transfer!C143,Transfer!C144))-1)*100,((SUM(Transfer!D101,Transfer!D102,Transfer!D103,Transfer!D107,Transfer!D108,Transfer!D109)/SUM(Transfer!C101,Transfer!C102,Transfer!C103,Transfer!C107,Transfer!C108,Transfer!C109))-1)*100)</f>
        <v>2.8672969097964351</v>
      </c>
      <c r="F28" s="2457">
        <f ca="1">IF(Transfer!$C$280=1,((SUM(Transfer!E101,Transfer!E102,Transfer!E103,Transfer!E107,Transfer!E108,Transfer!E109)/SUM(Transfer!D136,Transfer!D137,Transfer!D138,Transfer!D142,Transfer!D143,Transfer!D144))-1)*100,((SUM(Transfer!E101,Transfer!E102,Transfer!E103,Transfer!E107,Transfer!E108,Transfer!E109)/SUM(Transfer!D101,Transfer!D102,Transfer!D103,Transfer!D107,Transfer!D108,Transfer!D109))-1)*100)</f>
        <v>2.769414236726675</v>
      </c>
      <c r="G28" s="2456">
        <f ca="1">IF(Transfer!$C$280=1,((SUM(Transfer!F101,Transfer!F102,Transfer!F103,Transfer!F107,Transfer!F108,Transfer!F109)/SUM(Transfer!E136,Transfer!E137,Transfer!E138,Transfer!E142,Transfer!E143,Transfer!E144))-1)*100,((SUM(Transfer!F101,Transfer!F102,Transfer!F103,Transfer!F107,Transfer!F108,Transfer!F109)/SUM(Transfer!E101,Transfer!E102,Transfer!E103,Transfer!E107,Transfer!E108,Transfer!E109))-1)*100)</f>
        <v>2.1980320918902008</v>
      </c>
      <c r="H28" s="2458">
        <f ca="1">IF(Transfer!$C$280=1,((SUM(Transfer!G101,Transfer!G102,Transfer!G103,Transfer!G107,Transfer!G108,Transfer!G109)/SUM(Transfer!F136,Transfer!F137,Transfer!F138,Transfer!F142,Transfer!F143,Transfer!F144))-1)*100,((SUM(Transfer!G101,Transfer!G102,Transfer!G103,Transfer!G107,Transfer!G108,Transfer!G109)/SUM(Transfer!F101,Transfer!F102,Transfer!F103,Transfer!F107,Transfer!F108,Transfer!F109))-1)*100)</f>
        <v>2.1891772277512045</v>
      </c>
      <c r="I28" s="2459"/>
      <c r="J28" s="53"/>
      <c r="K28" s="53"/>
      <c r="L28" s="53"/>
      <c r="M28" s="53"/>
      <c r="N28" s="53"/>
      <c r="O28" s="54"/>
      <c r="P28" s="54"/>
      <c r="Q28" s="54"/>
      <c r="R28" s="54"/>
      <c r="S28" s="1720"/>
      <c r="T28" s="1721" t="s">
        <v>1408</v>
      </c>
      <c r="U28" s="2461"/>
      <c r="V28" s="2445">
        <f t="shared" ca="1" si="0"/>
        <v>-0.39999999999999991</v>
      </c>
      <c r="W28" s="2445">
        <f t="shared" ca="1" si="0"/>
        <v>-0.30000000000000027</v>
      </c>
      <c r="X28" s="2445">
        <f t="shared" ca="1" si="0"/>
        <v>-0.89999999999999991</v>
      </c>
      <c r="Y28" s="2447">
        <f t="shared" ca="1" si="0"/>
        <v>-0.19999999999999973</v>
      </c>
      <c r="Z28" s="2459"/>
      <c r="AA28" s="54"/>
      <c r="AB28" s="54"/>
      <c r="AC28" s="54"/>
      <c r="AD28" s="54"/>
      <c r="AE28" s="54"/>
      <c r="AF28" s="54"/>
      <c r="AG28" s="54"/>
      <c r="AH28" s="54"/>
      <c r="AI28" s="45"/>
      <c r="AJ28" s="60"/>
      <c r="AK28" s="2171" t="s">
        <v>1408</v>
      </c>
      <c r="AL28" s="2172"/>
      <c r="AM28" s="2173">
        <f>IF(Transfer!$C$280=1,((SUM(Transfer!AD101,Transfer!AD102,Transfer!AD103,Transfer!AD107,Transfer!AD108,Transfer!AD109)/SUM(Transfer!AC136,Transfer!AC137,Transfer!AC138,Transfer!AC142,Transfer!AC143,Transfer!AC144))-1)*100,((SUM(Transfer!AD101,Transfer!AD102,Transfer!AD103,Transfer!AD107,Transfer!AD108,Transfer!AD109)/SUM(Transfer!AC101,Transfer!AC102,Transfer!AC103,Transfer!AC107,Transfer!AC108,Transfer!AC109))-1)*100)</f>
        <v>3.2725491869707524</v>
      </c>
      <c r="AN28" s="2174">
        <f>IF(Transfer!$C$280=1,((SUM(Transfer!AE101,Transfer!AE102,Transfer!AE103,Transfer!AE107,Transfer!AE108,Transfer!AE109)/SUM(Transfer!AD136,Transfer!AD137,Transfer!AD138,Transfer!AD142,Transfer!AD143,Transfer!AD144))-1)*100,((SUM(Transfer!AE101,Transfer!AE102,Transfer!AE103,Transfer!AE107,Transfer!AE108,Transfer!AE109)/SUM(Transfer!AD101,Transfer!AD102,Transfer!AD103,Transfer!AD107,Transfer!AD108,Transfer!AD109))-1)*100)</f>
        <v>3.1355507153422391</v>
      </c>
      <c r="AO28" s="2173">
        <f>IF(Transfer!$C$280=1,((SUM(Transfer!AF101,Transfer!AF102,Transfer!AF103,Transfer!AF107,Transfer!AF108,Transfer!AF109)/SUM(Transfer!AE136,Transfer!AE137,Transfer!AE138,Transfer!AE142,Transfer!AE143,Transfer!AE144))-1)*100,((SUM(Transfer!AF101,Transfer!AF102,Transfer!AF103,Transfer!AF107,Transfer!AF108,Transfer!AF109)/SUM(Transfer!AE101,Transfer!AE102,Transfer!AE103,Transfer!AE107,Transfer!AE108,Transfer!AE109))-1)*100)</f>
        <v>3.1021583217090365</v>
      </c>
      <c r="AP28" s="2175">
        <f>IF(Transfer!$C$280=1,((SUM(Transfer!AG101,Transfer!AG102,Transfer!AG103,Transfer!AG107,Transfer!AG108,Transfer!AG109)/SUM(Transfer!AF136,Transfer!AF137,Transfer!AF138,Transfer!AF142,Transfer!AF143,Transfer!AF144))-1)*100,((SUM(Transfer!AG101,Transfer!AG102,Transfer!AG103,Transfer!AG107,Transfer!AG108,Transfer!AG109)/SUM(Transfer!AF101,Transfer!AF102,Transfer!AF103,Transfer!AF107,Transfer!AF108,Transfer!AF109))-1)*100)</f>
        <v>2.404631153188852</v>
      </c>
      <c r="AQ28" s="103"/>
      <c r="AR28" s="53"/>
      <c r="AS28" s="53"/>
      <c r="AT28" s="53"/>
      <c r="AU28" s="53"/>
      <c r="AV28" s="53"/>
      <c r="AW28" s="54"/>
      <c r="AX28" s="54"/>
      <c r="AY28" s="54"/>
      <c r="AZ28" s="54"/>
      <c r="BA28" s="1728" t="s">
        <v>254</v>
      </c>
      <c r="BB28" s="1754"/>
      <c r="BC28" s="54"/>
    </row>
    <row r="29" spans="1:55" ht="13.15">
      <c r="A29" s="45"/>
      <c r="B29" s="1720"/>
      <c r="C29" s="2454" t="s">
        <v>1409</v>
      </c>
      <c r="D29" s="2455"/>
      <c r="E29" s="2456">
        <f ca="1">((Transfer!D295/Transfer!C295)-1)*100</f>
        <v>2.1141964181437434</v>
      </c>
      <c r="F29" s="2457">
        <f ca="1">((Transfer!E295/Transfer!D295)-1)*100</f>
        <v>2.3754579714468482</v>
      </c>
      <c r="G29" s="2456">
        <f ca="1">((Transfer!F295/Transfer!E295)-1)*100</f>
        <v>1.7607506553809715</v>
      </c>
      <c r="H29" s="2458">
        <f ca="1">((Transfer!G295/Transfer!F295)-1)*100</f>
        <v>1.7609205310281206</v>
      </c>
      <c r="I29" s="2441"/>
      <c r="J29" s="53"/>
      <c r="K29" s="53"/>
      <c r="L29" s="53"/>
      <c r="M29" s="53"/>
      <c r="N29" s="53"/>
      <c r="O29" s="54"/>
      <c r="P29" s="54"/>
      <c r="Q29" s="54"/>
      <c r="R29" s="54"/>
      <c r="S29" s="1720"/>
      <c r="T29" s="1721" t="s">
        <v>1409</v>
      </c>
      <c r="U29" s="2422"/>
      <c r="V29" s="2445">
        <f t="shared" ca="1" si="0"/>
        <v>-1.1000000000000001</v>
      </c>
      <c r="W29" s="2445">
        <f t="shared" ca="1" si="0"/>
        <v>0</v>
      </c>
      <c r="X29" s="2445">
        <f t="shared" ca="1" si="0"/>
        <v>-0.8</v>
      </c>
      <c r="Y29" s="2447">
        <f t="shared" ca="1" si="0"/>
        <v>-0.19999999999999996</v>
      </c>
      <c r="Z29" s="2441"/>
      <c r="AA29" s="54"/>
      <c r="AB29" s="54"/>
      <c r="AC29" s="54"/>
      <c r="AD29" s="54"/>
      <c r="AE29" s="54"/>
      <c r="AF29" s="54"/>
      <c r="AG29" s="54"/>
      <c r="AH29" s="54"/>
      <c r="AI29" s="45"/>
      <c r="AJ29" s="60"/>
      <c r="AK29" s="2171" t="s">
        <v>1409</v>
      </c>
      <c r="AL29" s="2172"/>
      <c r="AM29" s="2173">
        <f>((Transfer!AD295/Transfer!AC295)-1)*100</f>
        <v>3.2349419223578257</v>
      </c>
      <c r="AN29" s="2174">
        <f>((Transfer!AE295/Transfer!AD295)-1)*100</f>
        <v>2.4038623421638983</v>
      </c>
      <c r="AO29" s="2173">
        <f>((Transfer!AF295/Transfer!AE295)-1)*100</f>
        <v>2.6081955625346875</v>
      </c>
      <c r="AP29" s="2175">
        <f>((Transfer!AG295/Transfer!AF295)-1)*100</f>
        <v>1.9533309048511693</v>
      </c>
      <c r="AQ29" s="85"/>
      <c r="AR29" s="53"/>
      <c r="AS29" s="53"/>
      <c r="AT29" s="53"/>
      <c r="AU29" s="53"/>
      <c r="AV29" s="53"/>
      <c r="AW29" s="54"/>
      <c r="AX29" s="54"/>
      <c r="AY29" s="54"/>
      <c r="AZ29" s="54"/>
      <c r="BA29" s="1728" t="s">
        <v>258</v>
      </c>
      <c r="BB29" s="1754"/>
      <c r="BC29" s="54"/>
    </row>
    <row r="30" spans="1:55">
      <c r="A30" s="45"/>
      <c r="B30" s="1720"/>
      <c r="C30" s="1721" t="s">
        <v>1389</v>
      </c>
      <c r="D30" s="2420"/>
      <c r="E30" s="1723"/>
      <c r="F30" s="2460"/>
      <c r="G30" s="3285"/>
      <c r="H30" s="1724"/>
      <c r="I30" s="2437"/>
      <c r="J30" s="53"/>
      <c r="K30" s="53"/>
      <c r="L30" s="53"/>
      <c r="M30" s="53"/>
      <c r="N30" s="53"/>
      <c r="O30" s="54"/>
      <c r="P30" s="54"/>
      <c r="Q30" s="54"/>
      <c r="R30" s="54"/>
      <c r="S30" s="1720"/>
      <c r="T30" s="1721" t="s">
        <v>1389</v>
      </c>
      <c r="U30" s="2420"/>
      <c r="V30" s="2445"/>
      <c r="W30" s="2446"/>
      <c r="X30" s="2445"/>
      <c r="Y30" s="2447"/>
      <c r="Z30" s="2437"/>
      <c r="AA30" s="54"/>
      <c r="AB30" s="54"/>
      <c r="AC30" s="54"/>
      <c r="AD30" s="54"/>
      <c r="AE30" s="54"/>
      <c r="AF30" s="54"/>
      <c r="AG30" s="54"/>
      <c r="AH30" s="54"/>
      <c r="AI30" s="45"/>
      <c r="AJ30" s="60"/>
      <c r="AK30" s="101" t="s">
        <v>1389</v>
      </c>
      <c r="AL30" s="65"/>
      <c r="AM30" s="2042"/>
      <c r="AN30" s="177"/>
      <c r="AO30" s="2042"/>
      <c r="AP30" s="2043"/>
      <c r="AQ30" s="82"/>
      <c r="AR30" s="53"/>
      <c r="AS30" s="53"/>
      <c r="AT30" s="53"/>
      <c r="AU30" s="53"/>
      <c r="AV30" s="53"/>
      <c r="AW30" s="54"/>
      <c r="AX30" s="54"/>
      <c r="AY30" s="54"/>
      <c r="AZ30" s="54"/>
      <c r="BA30" s="1728" t="s">
        <v>270</v>
      </c>
      <c r="BB30" s="1754"/>
      <c r="BC30" s="54"/>
    </row>
    <row r="31" spans="1:55">
      <c r="A31" s="45"/>
      <c r="B31" s="1720"/>
      <c r="C31" s="1721" t="s">
        <v>1390</v>
      </c>
      <c r="D31" s="2461"/>
      <c r="E31" s="1723">
        <f ca="1">IF(Transfer!C160=-9999,(((Transfer!D159/Transfer!C159))-1)*100,(((Transfer!D160/Transfer!C160))-1)*100)</f>
        <v>2.3445318084345912</v>
      </c>
      <c r="F31" s="2460">
        <f ca="1">IF(Transfer!D160=-9999,(((Transfer!E159/Transfer!D159))-1)*100,(((Transfer!E160/Transfer!D160))-1)*100)</f>
        <v>1.6609139345080015</v>
      </c>
      <c r="G31" s="1723">
        <f ca="1">IF(Transfer!E160=-9999,(((Transfer!F159/Transfer!E159))-1)*100,(((Transfer!F160/Transfer!E160))-1)*100)</f>
        <v>0.85891061979850303</v>
      </c>
      <c r="H31" s="1724">
        <f ca="1">IF(Transfer!F160=-9999,(((Transfer!G159/Transfer!F159))-1)*100,(((Transfer!G160/Transfer!F160))-1)*100)</f>
        <v>0.66045796907086007</v>
      </c>
      <c r="I31" s="2459"/>
      <c r="J31" s="53"/>
      <c r="K31" s="53"/>
      <c r="L31" s="53"/>
      <c r="M31" s="53"/>
      <c r="N31" s="53"/>
      <c r="O31" s="54"/>
      <c r="P31" s="54"/>
      <c r="Q31" s="54"/>
      <c r="R31" s="54"/>
      <c r="S31" s="1720"/>
      <c r="T31" s="1721" t="s">
        <v>1390</v>
      </c>
      <c r="U31" s="2461"/>
      <c r="V31" s="2445">
        <f ca="1">ROUND(E31,1)-ROUND(AM31,1)</f>
        <v>0.59999999999999987</v>
      </c>
      <c r="W31" s="2445">
        <f ca="1">ROUND(F31,1)-ROUND(AN31,1)</f>
        <v>-0.59999999999999987</v>
      </c>
      <c r="X31" s="2445">
        <f ca="1">ROUND(G31,1)-ROUND(AO31,1)</f>
        <v>-0.70000000000000007</v>
      </c>
      <c r="Y31" s="2447">
        <f ca="1">ROUND(H31,1)-ROUND(AP31,1)</f>
        <v>-0.60000000000000009</v>
      </c>
      <c r="Z31" s="2459"/>
      <c r="AA31" s="54"/>
      <c r="AB31" s="54"/>
      <c r="AC31" s="54"/>
      <c r="AD31" s="54"/>
      <c r="AE31" s="54"/>
      <c r="AF31" s="54"/>
      <c r="AG31" s="54"/>
      <c r="AH31" s="54"/>
      <c r="AI31" s="45"/>
      <c r="AJ31" s="60"/>
      <c r="AK31" s="101" t="s">
        <v>1390</v>
      </c>
      <c r="AL31" s="105"/>
      <c r="AM31" s="2042">
        <f>IF(Transfer!AC160=-9999,(((Transfer!AD159/Transfer!AC159))-1)*100,(((Transfer!AD160/Transfer!AC160))-1)*100)</f>
        <v>1.7140242126721494</v>
      </c>
      <c r="AN31" s="177">
        <f>IF(Transfer!AD160=-9999,(((Transfer!AE159/Transfer!AD159))-1)*100,(((Transfer!AE160/Transfer!AD160))-1)*100)</f>
        <v>2.3252484764203052</v>
      </c>
      <c r="AO31" s="2042">
        <f>IF(Transfer!AE160=-9999,(((Transfer!AF159/Transfer!AE159))-1)*100,(((Transfer!AF160/Transfer!AE160))-1)*100)</f>
        <v>1.6401119216548521</v>
      </c>
      <c r="AP31" s="2043">
        <f>IF(Transfer!AF160=-9999,(((Transfer!AG159/Transfer!AF159))-1)*100,(((Transfer!AG160/Transfer!AF160))-1)*100)</f>
        <v>1.2628923385670232</v>
      </c>
      <c r="AQ31" s="103"/>
      <c r="AR31" s="53"/>
      <c r="AS31" s="53"/>
      <c r="AT31" s="53"/>
      <c r="AU31" s="53"/>
      <c r="AV31" s="53"/>
      <c r="AW31" s="54"/>
      <c r="AX31" s="54"/>
      <c r="AY31" s="54"/>
      <c r="AZ31" s="54"/>
      <c r="BA31" s="1728" t="s">
        <v>271</v>
      </c>
      <c r="BB31" s="1754"/>
      <c r="BC31" s="54"/>
    </row>
    <row r="32" spans="1:55">
      <c r="A32" s="45"/>
      <c r="B32" s="1720"/>
      <c r="C32" s="1721" t="s">
        <v>1391</v>
      </c>
      <c r="D32" s="2461"/>
      <c r="E32" s="1723"/>
      <c r="F32" s="2460"/>
      <c r="G32" s="1723"/>
      <c r="H32" s="1724"/>
      <c r="I32" s="2459"/>
      <c r="J32" s="53"/>
      <c r="K32" s="53"/>
      <c r="L32" s="53"/>
      <c r="M32" s="53"/>
      <c r="N32" s="53"/>
      <c r="O32" s="54"/>
      <c r="P32" s="54"/>
      <c r="Q32" s="54"/>
      <c r="R32" s="54"/>
      <c r="S32" s="1720"/>
      <c r="T32" s="1721" t="s">
        <v>1391</v>
      </c>
      <c r="U32" s="2461"/>
      <c r="V32" s="2445"/>
      <c r="W32" s="2446"/>
      <c r="X32" s="2445"/>
      <c r="Y32" s="2447"/>
      <c r="Z32" s="2459"/>
      <c r="AA32" s="54"/>
      <c r="AB32" s="54"/>
      <c r="AC32" s="54"/>
      <c r="AD32" s="54"/>
      <c r="AE32" s="54"/>
      <c r="AF32" s="54"/>
      <c r="AG32" s="54"/>
      <c r="AH32" s="54"/>
      <c r="AI32" s="45"/>
      <c r="AJ32" s="60"/>
      <c r="AK32" s="101" t="s">
        <v>1391</v>
      </c>
      <c r="AL32" s="105"/>
      <c r="AM32" s="2042"/>
      <c r="AN32" s="177"/>
      <c r="AO32" s="2042"/>
      <c r="AP32" s="2043"/>
      <c r="AQ32" s="103"/>
      <c r="AR32" s="53"/>
      <c r="AS32" s="53"/>
      <c r="AT32" s="53"/>
      <c r="AU32" s="53"/>
      <c r="AV32" s="53"/>
      <c r="AW32" s="54"/>
      <c r="AX32" s="54"/>
      <c r="AY32" s="54"/>
      <c r="AZ32" s="54"/>
      <c r="BA32" s="1728" t="s">
        <v>0</v>
      </c>
      <c r="BB32" s="1754"/>
      <c r="BC32" s="54"/>
    </row>
    <row r="33" spans="1:256" ht="13.15">
      <c r="A33" s="45"/>
      <c r="B33" s="1720"/>
      <c r="C33" s="2454" t="s">
        <v>1392</v>
      </c>
      <c r="D33" s="2455"/>
      <c r="E33" s="2456">
        <f ca="1">IF(Transfer!C160=-9999,(((Transfer!D295/Transfer!D159)/(Transfer!C295/Transfer!C159))-1)*100,(((Transfer!D295/Transfer!D160)/(Transfer!C295/Transfer!C160))-1)*100)</f>
        <v>-0.22505881479041312</v>
      </c>
      <c r="F33" s="2457">
        <f ca="1">IF(Transfer!D160=-9999,(((Transfer!E295/Transfer!E159)/(Transfer!D295/Transfer!D159))-1)*100,(((Transfer!E295/Transfer!E160)/(Transfer!D295/Transfer!D160))-1)*100)</f>
        <v>0.70286997163842013</v>
      </c>
      <c r="G33" s="2456">
        <f ca="1">IF(Transfer!E160=-9999,(((Transfer!F295/Transfer!F159)/(Transfer!E295/Transfer!E159))-1)*100,(((Transfer!F295/Transfer!F160)/(Transfer!E295/Transfer!E160))-1)*100)</f>
        <v>0.89416000038120558</v>
      </c>
      <c r="H33" s="2458">
        <f ca="1">IF(Transfer!F160=-9999,(((Transfer!G295/Transfer!G159)/(Transfer!F295/Transfer!F159))-1)*100,(((Transfer!G295/Transfer!G160)/(Transfer!F295/Transfer!F160))-1)*100)</f>
        <v>1.0932421570100548</v>
      </c>
      <c r="I33" s="2441"/>
      <c r="J33" s="53"/>
      <c r="K33" s="53"/>
      <c r="L33" s="53"/>
      <c r="M33" s="53"/>
      <c r="N33" s="53"/>
      <c r="O33" s="54"/>
      <c r="P33" s="54"/>
      <c r="Q33" s="54"/>
      <c r="R33" s="54"/>
      <c r="S33" s="1720"/>
      <c r="T33" s="1721" t="s">
        <v>1392</v>
      </c>
      <c r="U33" s="2422"/>
      <c r="V33" s="2445">
        <f t="shared" ref="V33:Y35" ca="1" si="1">ROUND(E33,1)-ROUND(AM33,1)</f>
        <v>-1.7</v>
      </c>
      <c r="W33" s="2445">
        <f t="shared" ca="1" si="1"/>
        <v>0.6</v>
      </c>
      <c r="X33" s="2445">
        <f t="shared" ca="1" si="1"/>
        <v>-9.9999999999999978E-2</v>
      </c>
      <c r="Y33" s="2447">
        <f t="shared" ca="1" si="1"/>
        <v>0.40000000000000013</v>
      </c>
      <c r="Z33" s="2441"/>
      <c r="AA33" s="54"/>
      <c r="AB33" s="54"/>
      <c r="AC33" s="54"/>
      <c r="AD33" s="54"/>
      <c r="AE33" s="54"/>
      <c r="AF33" s="54"/>
      <c r="AG33" s="54"/>
      <c r="AH33" s="54"/>
      <c r="AI33" s="45"/>
      <c r="AJ33" s="60"/>
      <c r="AK33" s="2171" t="s">
        <v>1392</v>
      </c>
      <c r="AL33" s="2172"/>
      <c r="AM33" s="2173">
        <f>IF(Transfer!AC160=-9999,(((Transfer!AD295/Transfer!AD159)/(Transfer!AC295/Transfer!AC159))-1)*100,(((Transfer!AD295/Transfer!AD160)/(Transfer!AC295/Transfer!AC160))-1)*100)</f>
        <v>1.4952881094406623</v>
      </c>
      <c r="AN33" s="2174">
        <f>IF(Transfer!AD160=-9999,(((Transfer!AE295/Transfer!AE159)/(Transfer!AD295/Transfer!AD159))-1)*100,(((Transfer!AE295/Transfer!AE160)/(Transfer!AD295/Transfer!AD160))-1)*100)</f>
        <v>7.6827436936754978E-2</v>
      </c>
      <c r="AO33" s="2173">
        <f>IF(Transfer!AE160=-9999,(((Transfer!AF295/Transfer!AF159)/(Transfer!AE295/Transfer!AE159))-1)*100,(((Transfer!AF295/Transfer!AF160)/(Transfer!AE295/Transfer!AE160))-1)*100)</f>
        <v>0.95246219487248318</v>
      </c>
      <c r="AP33" s="2175">
        <f>IF(Transfer!AF160=-9999,(((Transfer!AG295/Transfer!AG159)/(Transfer!AF295/Transfer!AF159))-1)*100,(((Transfer!AG295/Transfer!AG160)/(Transfer!AF295/Transfer!AF160))-1)*100)</f>
        <v>0.68182781504571022</v>
      </c>
      <c r="AQ33" s="85"/>
      <c r="AR33" s="53"/>
      <c r="AS33" s="53"/>
      <c r="AT33" s="53"/>
      <c r="AU33" s="53"/>
      <c r="AV33" s="53"/>
      <c r="AW33" s="54"/>
      <c r="AX33" s="54"/>
      <c r="AY33" s="54"/>
      <c r="AZ33" s="54"/>
      <c r="BA33" s="1728" t="s">
        <v>1</v>
      </c>
      <c r="BB33" s="1754"/>
      <c r="BC33" s="54"/>
    </row>
    <row r="34" spans="1:256" ht="13.15">
      <c r="A34" s="45"/>
      <c r="B34" s="1720"/>
      <c r="C34" s="1721" t="s">
        <v>1909</v>
      </c>
      <c r="D34" s="2420"/>
      <c r="E34" s="1723">
        <f ca="1">IF(Transfer!C164=-9999,(((Transfer!D161/Transfer!D163)/(Transfer!C161/Transfer!C163))-1)*100,(((Transfer!D161/Transfer!D164)/(Transfer!C161/Transfer!C164))-1)*100)</f>
        <v>1.9945994440549342</v>
      </c>
      <c r="F34" s="2460">
        <f ca="1">IF(Transfer!D164=-9999,(((Transfer!E161/Transfer!E163)/(Transfer!D161/Transfer!D163))-1)*100,(((Transfer!E161/Transfer!E164)/(Transfer!D161/Transfer!D164))-1)*100)</f>
        <v>2.7025915991121918</v>
      </c>
      <c r="G34" s="1723">
        <f ca="1">IF(Transfer!E164=-9999,(((Transfer!F161/Transfer!F163)/(Transfer!E161/Transfer!E163))-1)*100,(((Transfer!F161/Transfer!F164)/(Transfer!E161/Transfer!E164))-1)*100)</f>
        <v>2.6696619737264893</v>
      </c>
      <c r="H34" s="1724">
        <f ca="1">IF(Transfer!F164=-9999,(((Transfer!G161/Transfer!G163)/(Transfer!F161/Transfer!F163))-1)*100,(((Transfer!G161/Transfer!G164)/(Transfer!F161/Transfer!F164))-1)*100)</f>
        <v>2.4560522557840914</v>
      </c>
      <c r="I34" s="2417"/>
      <c r="J34" s="53"/>
      <c r="K34" s="53"/>
      <c r="L34" s="53"/>
      <c r="M34" s="53"/>
      <c r="N34" s="53"/>
      <c r="O34" s="54"/>
      <c r="P34" s="54"/>
      <c r="Q34" s="54"/>
      <c r="R34" s="54"/>
      <c r="S34" s="1720"/>
      <c r="T34" s="1721" t="s">
        <v>1909</v>
      </c>
      <c r="U34" s="2420"/>
      <c r="V34" s="2445">
        <f t="shared" ca="1" si="1"/>
        <v>-0.79999999999999982</v>
      </c>
      <c r="W34" s="2445">
        <f t="shared" ca="1" si="1"/>
        <v>0.60000000000000009</v>
      </c>
      <c r="X34" s="2445">
        <f t="shared" ca="1" si="1"/>
        <v>0</v>
      </c>
      <c r="Y34" s="2447">
        <f t="shared" ca="1" si="1"/>
        <v>0.10000000000000009</v>
      </c>
      <c r="Z34" s="2417"/>
      <c r="AA34" s="54"/>
      <c r="AB34" s="54"/>
      <c r="AC34" s="54"/>
      <c r="AD34" s="54"/>
      <c r="AE34" s="54"/>
      <c r="AF34" s="54"/>
      <c r="AG34" s="54"/>
      <c r="AH34" s="54"/>
      <c r="AI34" s="45"/>
      <c r="AJ34" s="60"/>
      <c r="AK34" s="101" t="s">
        <v>1909</v>
      </c>
      <c r="AL34" s="65"/>
      <c r="AM34" s="2042">
        <f>IF(Transfer!AC164=-9999,(((Transfer!AD161/Transfer!AD163)/(Transfer!AC161/Transfer!AC163))-1)*100,(((Transfer!AD161/Transfer!AD164)/(Transfer!AC161/Transfer!AC164))-1)*100)</f>
        <v>2.7826018407997033</v>
      </c>
      <c r="AN34" s="177">
        <f>IF(Transfer!AD164=-9999,(((Transfer!AE161/Transfer!AE163)/(Transfer!AD161/Transfer!AD163))-1)*100,(((Transfer!AE161/Transfer!AE164)/(Transfer!AD161/Transfer!AD164))-1)*100)</f>
        <v>2.1058313993852718</v>
      </c>
      <c r="AO34" s="2042">
        <f>IF(Transfer!AE164=-9999,(((Transfer!AF161/Transfer!AF163)/(Transfer!AE161/Transfer!AE163))-1)*100,(((Transfer!AF161/Transfer!AF164)/(Transfer!AE161/Transfer!AE164))-1)*100)</f>
        <v>2.6657770299630901</v>
      </c>
      <c r="AP34" s="2043">
        <f>IF(Transfer!AF164=-9999,(((Transfer!AG161/Transfer!AG163)/(Transfer!AF161/Transfer!AF163))-1)*100,(((Transfer!AG161/Transfer!AG164)/(Transfer!AF161/Transfer!AF164))-1)*100)</f>
        <v>2.4494788615756269</v>
      </c>
      <c r="AQ34" s="106"/>
      <c r="AR34" s="53"/>
      <c r="AS34" s="53"/>
      <c r="AT34" s="53"/>
      <c r="AU34" s="53"/>
      <c r="AV34" s="53"/>
      <c r="AW34" s="54"/>
      <c r="AX34" s="54"/>
      <c r="AY34" s="54"/>
      <c r="AZ34" s="54"/>
      <c r="BA34" s="1728" t="s">
        <v>2</v>
      </c>
      <c r="BB34" s="1754"/>
      <c r="BC34" s="54"/>
    </row>
    <row r="35" spans="1:256">
      <c r="A35" s="45"/>
      <c r="B35" s="1720"/>
      <c r="C35" s="2454" t="s">
        <v>1910</v>
      </c>
      <c r="D35" s="2455"/>
      <c r="E35" s="2456">
        <f ca="1">IF(Transfer!C164=-9999,((((Transfer!D161/Transfer!D163)/(Transfer!D301/Transfer!D159))/((Transfer!C161/Transfer!C163)/(Transfer!C301/Transfer!C159)))-1)*100,((((Transfer!D161/Transfer!D164)/(Transfer!D301/Transfer!D159))/((Transfer!C161/Transfer!C164)/(Transfer!C301/Transfer!C159)))-1)*100)</f>
        <v>2.1829542563549742</v>
      </c>
      <c r="F35" s="2457">
        <f ca="1">IF(Transfer!D164=-9999,((((Transfer!E161/Transfer!E163)/(Transfer!E301/Transfer!E159))/((Transfer!D161/Transfer!D163)/(Transfer!D301/Transfer!D159)))-1)*100,((((Transfer!E161/Transfer!E164)/(Transfer!E301/Transfer!E159))/((Transfer!D161/Transfer!D164)/(Transfer!D301/Transfer!D159)))-1)*100)</f>
        <v>1.990636459375672</v>
      </c>
      <c r="G35" s="2456">
        <f ca="1">IF(Transfer!E164=-9999,((((Transfer!F161/Transfer!F163)/(Transfer!F301/Transfer!F159))/((Transfer!E161/Transfer!E163)/(Transfer!E301/Transfer!E159)))-1)*100,((((Transfer!F161/Transfer!F164)/(Transfer!F301/Transfer!F159))/((Transfer!E161/Transfer!E164)/(Transfer!E301/Transfer!E159)))-1)*100)</f>
        <v>1.8343767888930884</v>
      </c>
      <c r="H35" s="2458">
        <f ca="1">IF(Transfer!F164=-9999,((((Transfer!G161/Transfer!G163)/(Transfer!G301/Transfer!G159))/((Transfer!F161/Transfer!F163)/(Transfer!F301/Transfer!F159)))-1)*100,((((Transfer!G161/Transfer!G164)/(Transfer!G301/Transfer!G159))/((Transfer!F161/Transfer!F164)/(Transfer!F301/Transfer!F159)))-1)*100)</f>
        <v>1.3382604837502088</v>
      </c>
      <c r="I35" s="2437"/>
      <c r="J35" s="53"/>
      <c r="K35" s="53"/>
      <c r="L35" s="53"/>
      <c r="M35" s="53"/>
      <c r="N35" s="53"/>
      <c r="O35" s="54"/>
      <c r="P35" s="54"/>
      <c r="Q35" s="54"/>
      <c r="R35" s="54"/>
      <c r="S35" s="1720"/>
      <c r="T35" s="1721" t="s">
        <v>1910</v>
      </c>
      <c r="U35" s="2420"/>
      <c r="V35" s="2445">
        <f t="shared" ca="1" si="1"/>
        <v>0.70000000000000018</v>
      </c>
      <c r="W35" s="2445">
        <f t="shared" ca="1" si="1"/>
        <v>0</v>
      </c>
      <c r="X35" s="2445">
        <f t="shared" ca="1" si="1"/>
        <v>0.10000000000000009</v>
      </c>
      <c r="Y35" s="2447">
        <f t="shared" ca="1" si="1"/>
        <v>-0.5</v>
      </c>
      <c r="Z35" s="2437"/>
      <c r="AA35" s="54"/>
      <c r="AB35" s="54"/>
      <c r="AC35" s="54"/>
      <c r="AD35" s="54"/>
      <c r="AE35" s="54"/>
      <c r="AF35" s="54"/>
      <c r="AG35" s="54"/>
      <c r="AH35" s="54"/>
      <c r="AI35" s="45"/>
      <c r="AJ35" s="60"/>
      <c r="AK35" s="2171" t="s">
        <v>1910</v>
      </c>
      <c r="AL35" s="2172"/>
      <c r="AM35" s="2173">
        <f>IF(Transfer!AC164=-9999,((((Transfer!AD161/Transfer!AD163)/(Transfer!AD301/Transfer!AD159))/((Transfer!AC161/Transfer!AC163)/(Transfer!AC301/Transfer!AC159)))-1)*100,((((Transfer!AD161/Transfer!AD164)/(Transfer!AD301/Transfer!AD159))/((Transfer!AC161/Transfer!AC164)/(Transfer!AC301/Transfer!AC159)))-1)*100)</f>
        <v>1.4894748982916539</v>
      </c>
      <c r="AN35" s="2174">
        <f>IF(Transfer!AD164=-9999,((((Transfer!AE161/Transfer!AE163)/(Transfer!AE301/Transfer!AE159))/((Transfer!AD161/Transfer!AD163)/(Transfer!AD301/Transfer!AD159)))-1)*100,((((Transfer!AE161/Transfer!AE164)/(Transfer!AE301/Transfer!AE159))/((Transfer!AD161/Transfer!AD164)/(Transfer!AD301/Transfer!AD159)))-1)*100)</f>
        <v>1.9975454296893957</v>
      </c>
      <c r="AO35" s="2173">
        <f>IF(Transfer!AE164=-9999,((((Transfer!AF161/Transfer!AF163)/(Transfer!AF301/Transfer!AF159))/((Transfer!AE161/Transfer!AE163)/(Transfer!AE301/Transfer!AE159)))-1)*100,((((Transfer!AF161/Transfer!AF164)/(Transfer!AF301/Transfer!AF159))/((Transfer!AE161/Transfer!AE164)/(Transfer!AE301/Transfer!AE159)))-1)*100)</f>
        <v>1.707511038613263</v>
      </c>
      <c r="AP35" s="2175">
        <f>IF(Transfer!AF164=-9999,((((Transfer!AG161/Transfer!AG163)/(Transfer!AG301/Transfer!AG159))/((Transfer!AF161/Transfer!AF163)/(Transfer!AF301/Transfer!AF159)))-1)*100,((((Transfer!AG161/Transfer!AG164)/(Transfer!AG301/Transfer!AG159))/((Transfer!AF161/Transfer!AF164)/(Transfer!AF301/Transfer!AF159)))-1)*100)</f>
        <v>1.7556906299720509</v>
      </c>
      <c r="AQ35" s="82"/>
      <c r="AR35" s="53"/>
      <c r="AS35" s="53"/>
      <c r="AT35" s="53"/>
      <c r="AU35" s="53"/>
      <c r="AV35" s="53"/>
      <c r="AW35" s="54"/>
      <c r="AX35" s="54"/>
      <c r="AY35" s="54"/>
      <c r="AZ35" s="54"/>
      <c r="BA35" s="1728" t="s">
        <v>3</v>
      </c>
      <c r="BB35" s="1754"/>
      <c r="BC35" s="54"/>
    </row>
    <row r="36" spans="1:256">
      <c r="A36" s="45"/>
      <c r="B36" s="1720"/>
      <c r="C36" s="1721" t="s">
        <v>1911</v>
      </c>
      <c r="D36" s="2420"/>
      <c r="E36" s="2462"/>
      <c r="F36" s="2462"/>
      <c r="G36" s="2462"/>
      <c r="H36" s="2447"/>
      <c r="I36" s="2437"/>
      <c r="J36" s="53"/>
      <c r="K36" s="53"/>
      <c r="L36" s="53"/>
      <c r="M36" s="53"/>
      <c r="N36" s="53"/>
      <c r="O36" s="54"/>
      <c r="P36" s="54"/>
      <c r="Q36" s="54"/>
      <c r="R36" s="54"/>
      <c r="S36" s="1720"/>
      <c r="T36" s="1721" t="s">
        <v>1911</v>
      </c>
      <c r="U36" s="2420"/>
      <c r="V36" s="2462"/>
      <c r="W36" s="2462"/>
      <c r="X36" s="2462"/>
      <c r="Y36" s="2447"/>
      <c r="Z36" s="2437"/>
      <c r="AA36" s="54"/>
      <c r="AB36" s="54"/>
      <c r="AC36" s="54"/>
      <c r="AD36" s="54"/>
      <c r="AE36" s="54"/>
      <c r="AF36" s="54"/>
      <c r="AG36" s="54"/>
      <c r="AH36" s="54"/>
      <c r="AI36" s="45"/>
      <c r="AJ36" s="60"/>
      <c r="AK36" s="101" t="s">
        <v>1911</v>
      </c>
      <c r="AL36" s="49"/>
      <c r="AM36" s="107"/>
      <c r="AN36" s="107"/>
      <c r="AO36" s="107"/>
      <c r="AP36" s="93"/>
      <c r="AQ36" s="82"/>
      <c r="AR36" s="53"/>
      <c r="AS36" s="53"/>
      <c r="AT36" s="53"/>
      <c r="AU36" s="53"/>
      <c r="AV36" s="53"/>
      <c r="AW36" s="54"/>
      <c r="AX36" s="54"/>
      <c r="AY36" s="54"/>
      <c r="AZ36" s="54"/>
      <c r="BA36" s="1728" t="s">
        <v>4</v>
      </c>
      <c r="BB36" s="1754"/>
      <c r="BC36" s="54"/>
    </row>
    <row r="37" spans="1:256">
      <c r="A37" s="45"/>
      <c r="B37" s="1720"/>
      <c r="C37" s="1721" t="s">
        <v>1912</v>
      </c>
      <c r="D37" s="2420"/>
      <c r="E37" s="2462">
        <f ca="1">(((Transfer!D154/Transfer!C154))-1)*100</f>
        <v>1.8663019206842435</v>
      </c>
      <c r="F37" s="2462">
        <f ca="1">(((Transfer!E154/Transfer!D154))-1)*100</f>
        <v>2.0884262323802583</v>
      </c>
      <c r="G37" s="2462">
        <f ca="1">(((Transfer!F154/Transfer!E154))-1)*100</f>
        <v>1.9035951384301919</v>
      </c>
      <c r="H37" s="2447">
        <f ca="1">(((Transfer!G154/Transfer!F154))-1)*100</f>
        <v>1.5974596010288611</v>
      </c>
      <c r="I37" s="2437"/>
      <c r="J37" s="53"/>
      <c r="K37" s="53"/>
      <c r="L37" s="53"/>
      <c r="M37" s="53"/>
      <c r="N37" s="53"/>
      <c r="O37" s="54"/>
      <c r="P37" s="54"/>
      <c r="Q37" s="54"/>
      <c r="R37" s="54"/>
      <c r="S37" s="1720"/>
      <c r="T37" s="1721" t="s">
        <v>1912</v>
      </c>
      <c r="U37" s="2420"/>
      <c r="V37" s="2445">
        <f t="shared" ref="V37:Y38" ca="1" si="2">ROUND(E37,1)-ROUND(AM37,1)</f>
        <v>0.79999999999999982</v>
      </c>
      <c r="W37" s="2445">
        <f t="shared" ca="1" si="2"/>
        <v>0.20000000000000018</v>
      </c>
      <c r="X37" s="2445">
        <f t="shared" ca="1" si="2"/>
        <v>0</v>
      </c>
      <c r="Y37" s="2447">
        <f t="shared" ca="1" si="2"/>
        <v>-9.9999999999999867E-2</v>
      </c>
      <c r="Z37" s="2437"/>
      <c r="AA37" s="54"/>
      <c r="AB37" s="54"/>
      <c r="AC37" s="54"/>
      <c r="AD37" s="54"/>
      <c r="AE37" s="54"/>
      <c r="AF37" s="54"/>
      <c r="AG37" s="54"/>
      <c r="AH37" s="54"/>
      <c r="AI37" s="45"/>
      <c r="AJ37" s="60"/>
      <c r="AK37" s="101" t="s">
        <v>1912</v>
      </c>
      <c r="AL37" s="49"/>
      <c r="AM37" s="107">
        <f>(((Transfer!AD154/Transfer!AC154))-1)*100</f>
        <v>1.1358333333330028</v>
      </c>
      <c r="AN37" s="107">
        <f>(((Transfer!AE154/Transfer!AD154))-1)*100</f>
        <v>1.8663019206842435</v>
      </c>
      <c r="AO37" s="107">
        <f>(((Transfer!AF154/Transfer!AE154))-1)*100</f>
        <v>1.9427618330935648</v>
      </c>
      <c r="AP37" s="93">
        <f>(((Transfer!AG154/Transfer!AF154))-1)*100</f>
        <v>1.6654262033999778</v>
      </c>
      <c r="AQ37" s="82"/>
      <c r="AR37" s="53"/>
      <c r="AS37" s="53"/>
      <c r="AT37" s="53"/>
      <c r="AU37" s="53"/>
      <c r="AV37" s="53"/>
      <c r="AW37" s="54"/>
      <c r="AX37" s="54"/>
      <c r="AY37" s="54"/>
      <c r="AZ37" s="54"/>
      <c r="BA37" s="1728" t="s">
        <v>1913</v>
      </c>
      <c r="BB37" s="1754"/>
      <c r="BC37" s="54"/>
    </row>
    <row r="38" spans="1:256">
      <c r="A38" s="45"/>
      <c r="B38" s="1720"/>
      <c r="C38" s="2448" t="s">
        <v>1914</v>
      </c>
      <c r="D38" s="2449"/>
      <c r="E38" s="2450">
        <f>(((Transfer!D155/Transfer!C155))-1)*100</f>
        <v>0</v>
      </c>
      <c r="F38" s="2451">
        <f>(((Transfer!E155/Transfer!D155))-1)*100</f>
        <v>0</v>
      </c>
      <c r="G38" s="2450">
        <f>(((Transfer!F155/Transfer!E155))-1)*100</f>
        <v>0</v>
      </c>
      <c r="H38" s="2452">
        <f>(((Transfer!G155/Transfer!F155))-1)*100</f>
        <v>0</v>
      </c>
      <c r="I38" s="2437"/>
      <c r="J38" s="53"/>
      <c r="K38" s="53"/>
      <c r="L38" s="53"/>
      <c r="M38" s="53"/>
      <c r="N38" s="53"/>
      <c r="O38" s="54"/>
      <c r="P38" s="54"/>
      <c r="Q38" s="54"/>
      <c r="R38" s="54"/>
      <c r="S38" s="1720"/>
      <c r="T38" s="2448" t="s">
        <v>1914</v>
      </c>
      <c r="U38" s="2449"/>
      <c r="V38" s="2445">
        <f t="shared" si="2"/>
        <v>0</v>
      </c>
      <c r="W38" s="2445">
        <f t="shared" si="2"/>
        <v>0</v>
      </c>
      <c r="X38" s="2445">
        <f t="shared" si="2"/>
        <v>0</v>
      </c>
      <c r="Y38" s="2447">
        <f t="shared" si="2"/>
        <v>0</v>
      </c>
      <c r="Z38" s="2437"/>
      <c r="AA38" s="54"/>
      <c r="AB38" s="54"/>
      <c r="AC38" s="54"/>
      <c r="AD38" s="54"/>
      <c r="AE38" s="54"/>
      <c r="AF38" s="54"/>
      <c r="AG38" s="54"/>
      <c r="AH38" s="54"/>
      <c r="AI38" s="45"/>
      <c r="AJ38" s="60"/>
      <c r="AK38" s="94" t="s">
        <v>1914</v>
      </c>
      <c r="AL38" s="95"/>
      <c r="AM38" s="96">
        <f>(((Transfer!AD155/Transfer!AC155))-1)*100</f>
        <v>0</v>
      </c>
      <c r="AN38" s="97">
        <f>(((Transfer!AE155/Transfer!AD155))-1)*100</f>
        <v>0</v>
      </c>
      <c r="AO38" s="96">
        <f>(((Transfer!AF155/Transfer!AE155))-1)*100</f>
        <v>0</v>
      </c>
      <c r="AP38" s="98">
        <f>(((Transfer!AG155/Transfer!AF155))-1)*100</f>
        <v>0</v>
      </c>
      <c r="AQ38" s="82"/>
      <c r="AR38" s="53"/>
      <c r="AS38" s="53"/>
      <c r="AT38" s="53"/>
      <c r="AU38" s="53"/>
      <c r="AV38" s="53"/>
      <c r="AW38" s="54"/>
      <c r="AX38" s="54"/>
      <c r="AY38" s="54"/>
      <c r="AZ38" s="54"/>
      <c r="BA38" s="1728" t="s">
        <v>5</v>
      </c>
      <c r="BB38" s="1754"/>
      <c r="BC38" s="54"/>
    </row>
    <row r="39" spans="1:256" ht="13.15">
      <c r="A39" s="45"/>
      <c r="B39" s="1720"/>
      <c r="C39" s="1721"/>
      <c r="D39" s="2420"/>
      <c r="E39" s="3890" t="s">
        <v>672</v>
      </c>
      <c r="F39" s="3891"/>
      <c r="G39" s="3891"/>
      <c r="H39" s="3892"/>
      <c r="I39" s="2437"/>
      <c r="J39" s="53"/>
      <c r="K39" s="53"/>
      <c r="L39" s="53"/>
      <c r="M39" s="53"/>
      <c r="N39" s="53"/>
      <c r="O39" s="54"/>
      <c r="P39" s="54"/>
      <c r="Q39" s="54"/>
      <c r="R39" s="54"/>
      <c r="S39" s="1720"/>
      <c r="T39" s="1721"/>
      <c r="U39" s="2420"/>
      <c r="V39" s="3890" t="s">
        <v>672</v>
      </c>
      <c r="W39" s="3891"/>
      <c r="X39" s="3891"/>
      <c r="Y39" s="3892"/>
      <c r="Z39" s="2437"/>
      <c r="AA39" s="54"/>
      <c r="AB39" s="54"/>
      <c r="AC39" s="54"/>
      <c r="AD39" s="54"/>
      <c r="AE39" s="54"/>
      <c r="AF39" s="54"/>
      <c r="AG39" s="54"/>
      <c r="AH39" s="54"/>
      <c r="AI39" s="45"/>
      <c r="AJ39" s="60"/>
      <c r="AK39" s="40"/>
      <c r="AL39" s="49"/>
      <c r="AM39" s="3893" t="s">
        <v>672</v>
      </c>
      <c r="AN39" s="3894"/>
      <c r="AO39" s="3894"/>
      <c r="AP39" s="3895"/>
      <c r="AQ39" s="82"/>
      <c r="AR39" s="53"/>
      <c r="AS39" s="53"/>
      <c r="AT39" s="53"/>
      <c r="AU39" s="53"/>
      <c r="AV39" s="53"/>
      <c r="AW39" s="54"/>
      <c r="AX39" s="54"/>
      <c r="AY39" s="54"/>
      <c r="AZ39" s="54"/>
      <c r="BA39" s="2053"/>
      <c r="BB39" s="1754"/>
      <c r="BC39" s="54"/>
    </row>
    <row r="40" spans="1:256">
      <c r="A40" s="108"/>
      <c r="B40" s="1720"/>
      <c r="C40" s="2453" t="s">
        <v>673</v>
      </c>
      <c r="D40" s="2412"/>
      <c r="E40" s="2445">
        <f ca="1">(((Transfer!D143+Transfer!D144+Transfer!D240+Transfer!D241) - (Transfer!D145+Transfer!D146)) / Transfer!D147)*100</f>
        <v>3.6271601535652969</v>
      </c>
      <c r="F40" s="2446">
        <f ca="1">(((Transfer!E143+Transfer!E144+Transfer!E240+Transfer!E241) - (Transfer!E145+Transfer!E146)) / Transfer!E147)*100</f>
        <v>3.207192602669461</v>
      </c>
      <c r="G40" s="2445">
        <f ca="1">(((Transfer!F143+Transfer!F144+Transfer!F240+Transfer!F241) - (Transfer!F145+Transfer!F146)) / Transfer!F147)*100</f>
        <v>3.0437043545642224</v>
      </c>
      <c r="H40" s="2447">
        <f ca="1">(((Transfer!G143+Transfer!G144+Transfer!G240+Transfer!G241) - (Transfer!G145+Transfer!G146)) / Transfer!G147)*100</f>
        <v>2.8780695951905586</v>
      </c>
      <c r="I40" s="2463"/>
      <c r="J40" s="108"/>
      <c r="K40" s="53"/>
      <c r="L40" s="53"/>
      <c r="M40" s="53"/>
      <c r="N40" s="53"/>
      <c r="O40" s="54"/>
      <c r="P40" s="54"/>
      <c r="Q40" s="54"/>
      <c r="R40" s="54"/>
      <c r="S40" s="1720"/>
      <c r="T40" s="2453" t="s">
        <v>673</v>
      </c>
      <c r="U40" s="2412"/>
      <c r="V40" s="2445">
        <f t="shared" ref="V40:Y41" ca="1" si="3">ROUND(E40,1)-ROUND(AM40,1)</f>
        <v>-1.1000000000000001</v>
      </c>
      <c r="W40" s="2445">
        <f t="shared" ca="1" si="3"/>
        <v>-0.79999999999999982</v>
      </c>
      <c r="X40" s="2445">
        <f t="shared" ca="1" si="3"/>
        <v>-1.0999999999999996</v>
      </c>
      <c r="Y40" s="2436">
        <f t="shared" ca="1" si="3"/>
        <v>-1.5000000000000004</v>
      </c>
      <c r="Z40" s="2437"/>
      <c r="AA40" s="54"/>
      <c r="AB40" s="54"/>
      <c r="AC40" s="54"/>
      <c r="AD40" s="54"/>
      <c r="AE40" s="54"/>
      <c r="AF40" s="54"/>
      <c r="AG40" s="54"/>
      <c r="AH40" s="54"/>
      <c r="AI40" s="108"/>
      <c r="AJ40" s="60"/>
      <c r="AK40" s="99" t="s">
        <v>673</v>
      </c>
      <c r="AL40" s="100"/>
      <c r="AM40" s="91">
        <f>(((Transfer!AD143+Transfer!AD144+Transfer!AD240+Transfer!AD241) - (Transfer!AD145+Transfer!AD146)) / Transfer!AD147)*100</f>
        <v>4.6956934727145514</v>
      </c>
      <c r="AN40" s="92">
        <f>(((Transfer!AE143+Transfer!AE144+Transfer!AE240+Transfer!AE241) - (Transfer!AE145+Transfer!AE146)) / Transfer!AE147)*100</f>
        <v>4.0486033962432106</v>
      </c>
      <c r="AO40" s="91">
        <f>(((Transfer!AF143+Transfer!AF144+Transfer!AF240+Transfer!AF241) - (Transfer!AF145+Transfer!AF146)) / Transfer!AF147)*100</f>
        <v>4.1250147142686222</v>
      </c>
      <c r="AP40" s="93">
        <f>(((Transfer!AG143+Transfer!AG144+Transfer!AG240+Transfer!AG241) - (Transfer!AG145+Transfer!AG146)) / Transfer!AG147)*100</f>
        <v>4.4146467432620753</v>
      </c>
      <c r="AQ40" s="242"/>
      <c r="AR40" s="108"/>
      <c r="AS40" s="53"/>
      <c r="AT40" s="53"/>
      <c r="AU40" s="53"/>
      <c r="AV40" s="53"/>
      <c r="AW40" s="54"/>
      <c r="AX40" s="54"/>
      <c r="AY40" s="54"/>
      <c r="AZ40" s="54"/>
      <c r="BA40" s="1728" t="s">
        <v>263</v>
      </c>
      <c r="BB40" s="1754"/>
      <c r="BC40" s="54"/>
    </row>
    <row r="41" spans="1:256" s="45" customFormat="1">
      <c r="A41" s="108"/>
      <c r="B41" s="1720"/>
      <c r="C41" s="1721" t="s">
        <v>674</v>
      </c>
      <c r="D41" s="1722"/>
      <c r="E41" s="1723">
        <f ca="1">(((Transfer!D187+Transfer!D189+Transfer!D190+Transfer!D191+Transfer!D194+Transfer!D200+Transfer!D201+Transfer!D205+Transfer!D206)-(Transfer!D192+Transfer!D193+Transfer!D195+Transfer!D196+Transfer!D197+Transfer!D202+Transfer!D203+Transfer!D207+Transfer!D208+Transfer!D209+Transfer!D210))/Transfer!D147)*100</f>
        <v>1.9014396255519377</v>
      </c>
      <c r="F41" s="1723">
        <f ca="1">(((Transfer!E187+Transfer!E189+Transfer!E190+Transfer!E191+Transfer!E194+Transfer!E200+Transfer!E201+Transfer!E205+Transfer!E206)-(Transfer!E192+Transfer!E193+Transfer!E195+Transfer!E196+Transfer!E197+Transfer!E202+Transfer!E203+Transfer!E207+Transfer!E208+Transfer!E209+Transfer!E210))/Transfer!E147)*100</f>
        <v>1.8522687331940471</v>
      </c>
      <c r="G41" s="1723">
        <f ca="1">(((Transfer!F187+Transfer!F189+Transfer!F190+Transfer!F191+Transfer!F194+Transfer!F200+Transfer!F201+Transfer!F205+Transfer!F206)-(Transfer!F192+Transfer!F193+Transfer!F195+Transfer!F196+Transfer!F197+Transfer!F202+Transfer!F203+Transfer!F207+Transfer!F208+Transfer!F209+Transfer!F210))/Transfer!F147)*100</f>
        <v>1.7142224615776791</v>
      </c>
      <c r="H41" s="1724">
        <f ca="1">(((Transfer!G187+Transfer!G189+Transfer!G190+Transfer!G191+Transfer!G194+Transfer!G200+Transfer!G201+Transfer!G205+Transfer!G206)-(Transfer!G192+Transfer!G193+Transfer!G195+Transfer!G196+Transfer!G197+Transfer!G202+Transfer!G203+Transfer!G207+Transfer!G208+Transfer!G209+Transfer!G210))/Transfer!G147)*100</f>
        <v>1.6717429688594048</v>
      </c>
      <c r="I41" s="2437"/>
      <c r="J41" s="108"/>
      <c r="K41" s="53"/>
      <c r="L41" s="53"/>
      <c r="M41" s="53"/>
      <c r="N41" s="53"/>
      <c r="O41" s="54"/>
      <c r="P41" s="54"/>
      <c r="Q41" s="54"/>
      <c r="R41" s="54"/>
      <c r="S41" s="1720"/>
      <c r="T41" s="1721" t="s">
        <v>674</v>
      </c>
      <c r="U41" s="1722"/>
      <c r="V41" s="2445">
        <f t="shared" ca="1" si="3"/>
        <v>-1.3000000000000003</v>
      </c>
      <c r="W41" s="2445">
        <f t="shared" ca="1" si="3"/>
        <v>-0.80000000000000027</v>
      </c>
      <c r="X41" s="2445">
        <f t="shared" ca="1" si="3"/>
        <v>-1.4000000000000001</v>
      </c>
      <c r="Y41" s="2447">
        <f t="shared" ca="1" si="3"/>
        <v>-1.5999999999999999</v>
      </c>
      <c r="Z41" s="2437"/>
      <c r="AA41" s="54"/>
      <c r="AB41" s="54"/>
      <c r="AC41" s="54"/>
      <c r="AD41" s="54"/>
      <c r="AE41" s="54"/>
      <c r="AF41" s="54"/>
      <c r="AG41" s="54"/>
      <c r="AH41" s="54"/>
      <c r="AI41" s="108"/>
      <c r="AJ41" s="1720"/>
      <c r="AK41" s="1721" t="s">
        <v>674</v>
      </c>
      <c r="AL41" s="1722"/>
      <c r="AM41" s="1723">
        <f>(((Transfer!AD187+Transfer!AD189+Transfer!AD190+Transfer!AD191+Transfer!AD194+Transfer!AD200+Transfer!AD201+Transfer!AD205+Transfer!AD206)-(Transfer!AD192+Transfer!AD193+Transfer!AD195+Transfer!AD196+Transfer!AD197+Transfer!AD202+Transfer!AD203+Transfer!AD207+Transfer!AD208+Transfer!AD209+Transfer!AD210))/Transfer!AD147)*100</f>
        <v>3.1862726179292138</v>
      </c>
      <c r="AN41" s="1723">
        <f>(((Transfer!AE187+Transfer!AE189+Transfer!AE190+Transfer!AE191+Transfer!AE194+Transfer!AE200+Transfer!AE201+Transfer!AE205+Transfer!AE206)-(Transfer!AE192+Transfer!AE193+Transfer!AE195+Transfer!AE196+Transfer!AE197+Transfer!AE202+Transfer!AE203+Transfer!AE207+Transfer!AE208+Transfer!AE209+Transfer!AE210))/Transfer!AE147)*100</f>
        <v>2.697599259807077</v>
      </c>
      <c r="AO41" s="1723">
        <f>(((Transfer!AF187+Transfer!AF189+Transfer!AF190+Transfer!AF191+Transfer!AF194+Transfer!AF200+Transfer!AF201+Transfer!AF205+Transfer!AF206)-(Transfer!AF192+Transfer!AF193+Transfer!AF195+Transfer!AF196+Transfer!AF197+Transfer!AF202+Transfer!AF203+Transfer!AF207+Transfer!AF208+Transfer!AF209+Transfer!AF210))/Transfer!AF147)*100</f>
        <v>3.0917918134834834</v>
      </c>
      <c r="AP41" s="1724">
        <f>(((Transfer!AG187+Transfer!AG189+Transfer!AG190+Transfer!AG191+Transfer!AG194+Transfer!AG200+Transfer!AG201+Transfer!AG205+Transfer!AG206)-(Transfer!AG192+Transfer!AG193+Transfer!AG195+Transfer!AG196+Transfer!AG197+Transfer!AG202+Transfer!AG203+Transfer!AG207+Transfer!AG208+Transfer!AG209+Transfer!AG210))/Transfer!AG147)*100</f>
        <v>3.2928376846882226</v>
      </c>
      <c r="AQ41" s="82"/>
      <c r="AR41" s="108"/>
      <c r="AS41" s="53"/>
      <c r="AT41" s="53"/>
      <c r="AU41" s="53"/>
      <c r="AV41" s="53"/>
      <c r="AW41" s="54"/>
      <c r="AX41" s="54"/>
      <c r="AY41" s="54"/>
      <c r="AZ41" s="54"/>
      <c r="BA41" s="1728" t="s">
        <v>1677</v>
      </c>
      <c r="BB41" s="1754"/>
      <c r="BC41" s="54"/>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row>
    <row r="42" spans="1:256">
      <c r="A42" s="108"/>
      <c r="B42" s="1720"/>
      <c r="C42" s="2442" t="s">
        <v>675</v>
      </c>
      <c r="D42" s="1722"/>
      <c r="E42" s="2445"/>
      <c r="F42" s="2445"/>
      <c r="G42" s="2445"/>
      <c r="H42" s="2447"/>
      <c r="I42" s="2437"/>
      <c r="J42" s="108"/>
      <c r="K42" s="53"/>
      <c r="L42" s="53"/>
      <c r="M42" s="53"/>
      <c r="N42" s="53"/>
      <c r="O42" s="54"/>
      <c r="P42" s="54"/>
      <c r="Q42" s="54"/>
      <c r="R42" s="54"/>
      <c r="S42" s="1720"/>
      <c r="T42" s="2442" t="s">
        <v>675</v>
      </c>
      <c r="U42" s="1722"/>
      <c r="V42" s="2067"/>
      <c r="W42" s="91"/>
      <c r="X42" s="91"/>
      <c r="Y42" s="93"/>
      <c r="Z42" s="82"/>
      <c r="AA42" s="54"/>
      <c r="AB42" s="54"/>
      <c r="AC42" s="54"/>
      <c r="AD42" s="54"/>
      <c r="AE42" s="54"/>
      <c r="AF42" s="54"/>
      <c r="AG42" s="54"/>
      <c r="AH42" s="54"/>
      <c r="AI42" s="108"/>
      <c r="AJ42" s="60"/>
      <c r="AK42" s="86" t="s">
        <v>675</v>
      </c>
      <c r="AL42" s="44"/>
      <c r="AM42" s="91"/>
      <c r="AN42" s="91"/>
      <c r="AO42" s="91"/>
      <c r="AP42" s="93"/>
      <c r="AQ42" s="82"/>
      <c r="AR42" s="108"/>
      <c r="AS42" s="53"/>
      <c r="AT42" s="53"/>
      <c r="AU42" s="53"/>
      <c r="AV42" s="53"/>
      <c r="AW42" s="54"/>
      <c r="AX42" s="54"/>
      <c r="AY42" s="54"/>
      <c r="AZ42" s="54"/>
      <c r="BA42" s="1728"/>
      <c r="BB42" s="1754"/>
      <c r="BC42" s="54"/>
    </row>
    <row r="43" spans="1:256">
      <c r="A43" s="108"/>
      <c r="B43" s="1720"/>
      <c r="C43" s="1721" t="s">
        <v>125</v>
      </c>
      <c r="D43" s="1722"/>
      <c r="E43" s="2445">
        <f ca="1">100*Transfer!D237/Transfer!D147</f>
        <v>1.5523163974571161</v>
      </c>
      <c r="F43" s="2445">
        <f ca="1">100*Transfer!E237/Transfer!E147</f>
        <v>1.0521553483443902</v>
      </c>
      <c r="G43" s="2445">
        <f ca="1">100*Transfer!F237/Transfer!F147</f>
        <v>0.94511676569394043</v>
      </c>
      <c r="H43" s="2447">
        <f ca="1">100*Transfer!G237/Transfer!G147</f>
        <v>0.83901290941847817</v>
      </c>
      <c r="I43" s="2463"/>
      <c r="J43" s="108"/>
      <c r="K43" s="53"/>
      <c r="L43" s="53"/>
      <c r="M43" s="53"/>
      <c r="N43" s="53"/>
      <c r="O43" s="54"/>
      <c r="P43" s="54"/>
      <c r="Q43" s="54"/>
      <c r="R43" s="54"/>
      <c r="S43" s="60"/>
      <c r="T43" s="101" t="s">
        <v>676</v>
      </c>
      <c r="U43" s="44"/>
      <c r="V43" s="91">
        <f ca="1">ROUND(E43,1)-ROUND(AM43,1)</f>
        <v>0.40000000000000013</v>
      </c>
      <c r="W43" s="91">
        <f ca="1">ROUND(F43,1)-ROUND(AN43,1)</f>
        <v>-0.19999999999999996</v>
      </c>
      <c r="X43" s="91">
        <f ca="1">ROUND(G43,1)-ROUND(AO43,1)</f>
        <v>9.9999999999999978E-2</v>
      </c>
      <c r="Y43" s="93">
        <f ca="1">ROUND(H43,1)-ROUND(AP43,1)</f>
        <v>-9.9999999999999978E-2</v>
      </c>
      <c r="Z43" s="82"/>
      <c r="AA43" s="54"/>
      <c r="AB43" s="54"/>
      <c r="AC43" s="54"/>
      <c r="AD43" s="54"/>
      <c r="AE43" s="54"/>
      <c r="AF43" s="54"/>
      <c r="AG43" s="54"/>
      <c r="AH43" s="54"/>
      <c r="AI43" s="108"/>
      <c r="AJ43" s="60"/>
      <c r="AK43" s="101" t="s">
        <v>125</v>
      </c>
      <c r="AL43" s="44"/>
      <c r="AM43" s="91">
        <f>100*Transfer!AD237/Transfer!AD147</f>
        <v>1.185819476108112</v>
      </c>
      <c r="AN43" s="91">
        <f>100*Transfer!AE237/Transfer!AE147</f>
        <v>1.2703170254148148</v>
      </c>
      <c r="AO43" s="91">
        <f>100*Transfer!AF237/Transfer!AF147</f>
        <v>0.76121458682338672</v>
      </c>
      <c r="AP43" s="93">
        <f>100*Transfer!AG237/Transfer!AG147</f>
        <v>0.87118917622267766</v>
      </c>
      <c r="AQ43" s="242"/>
      <c r="AR43" s="108"/>
      <c r="AS43" s="53"/>
      <c r="AT43" s="53"/>
      <c r="AU43" s="53"/>
      <c r="AV43" s="53"/>
      <c r="AW43" s="54"/>
      <c r="AX43" s="54"/>
      <c r="AY43" s="54"/>
      <c r="AZ43" s="54"/>
      <c r="BA43" s="1728" t="s">
        <v>1904</v>
      </c>
      <c r="BB43" s="1754"/>
      <c r="BC43" s="54"/>
    </row>
    <row r="44" spans="1:256">
      <c r="A44" s="108"/>
      <c r="B44" s="1720"/>
      <c r="C44" s="1721" t="s">
        <v>677</v>
      </c>
      <c r="D44" s="1722"/>
      <c r="E44" s="2462"/>
      <c r="F44" s="2462"/>
      <c r="G44" s="2462"/>
      <c r="H44" s="2447"/>
      <c r="I44" s="2437"/>
      <c r="J44" s="108"/>
      <c r="K44" s="53"/>
      <c r="L44" s="53"/>
      <c r="M44" s="53"/>
      <c r="N44" s="53"/>
      <c r="O44" s="54"/>
      <c r="P44" s="54"/>
      <c r="Q44" s="54"/>
      <c r="R44" s="54"/>
      <c r="S44" s="60"/>
      <c r="T44" s="101" t="s">
        <v>677</v>
      </c>
      <c r="U44" s="44"/>
      <c r="V44" s="107"/>
      <c r="W44" s="107"/>
      <c r="X44" s="107"/>
      <c r="Y44" s="93"/>
      <c r="Z44" s="82"/>
      <c r="AA44" s="54"/>
      <c r="AB44" s="54"/>
      <c r="AC44" s="54"/>
      <c r="AD44" s="54"/>
      <c r="AE44" s="54"/>
      <c r="AF44" s="54"/>
      <c r="AG44" s="54"/>
      <c r="AH44" s="54"/>
      <c r="AI44" s="108"/>
      <c r="AJ44" s="60"/>
      <c r="AK44" s="101" t="s">
        <v>677</v>
      </c>
      <c r="AL44" s="44"/>
      <c r="AM44" s="107"/>
      <c r="AN44" s="107"/>
      <c r="AO44" s="107"/>
      <c r="AP44" s="93"/>
      <c r="AQ44" s="82"/>
      <c r="AR44" s="108"/>
      <c r="AS44" s="53"/>
      <c r="AT44" s="53"/>
      <c r="AU44" s="53"/>
      <c r="AV44" s="53"/>
      <c r="AW44" s="54"/>
      <c r="AX44" s="54"/>
      <c r="AY44" s="54"/>
      <c r="AZ44" s="54"/>
      <c r="BA44" s="1728" t="s">
        <v>262</v>
      </c>
      <c r="BB44" s="1754"/>
      <c r="BC44" s="54"/>
    </row>
    <row r="45" spans="1:256" ht="13.15" thickBot="1">
      <c r="A45" s="108"/>
      <c r="B45" s="1720"/>
      <c r="C45" s="2464" t="s">
        <v>678</v>
      </c>
      <c r="D45" s="2465"/>
      <c r="E45" s="2466">
        <f ca="1">(((Transfer!D228) / Transfer!D147)*100)</f>
        <v>40.828745076054304</v>
      </c>
      <c r="F45" s="2466">
        <f ca="1">(((Transfer!E228) / Transfer!E147)*100)</f>
        <v>37.846909609518498</v>
      </c>
      <c r="G45" s="2466">
        <f ca="1">(((Transfer!F228) / Transfer!F147)*100)</f>
        <v>35.511402786815196</v>
      </c>
      <c r="H45" s="2467">
        <f ca="1">(((Transfer!G228) / Transfer!G147)*100)</f>
        <v>33.456027958197268</v>
      </c>
      <c r="I45" s="2437"/>
      <c r="J45" s="108"/>
      <c r="K45" s="53"/>
      <c r="L45" s="53"/>
      <c r="M45" s="53"/>
      <c r="N45" s="53"/>
      <c r="O45" s="54"/>
      <c r="P45" s="54"/>
      <c r="Q45" s="54"/>
      <c r="R45" s="54"/>
      <c r="S45" s="60"/>
      <c r="T45" s="109" t="s">
        <v>678</v>
      </c>
      <c r="U45" s="110"/>
      <c r="V45" s="111">
        <f ca="1">ROUND(E45,1)-ROUND(AM45,1)</f>
        <v>-1.3000000000000043</v>
      </c>
      <c r="W45" s="111">
        <f ca="1">ROUND(F45,1)-ROUND(AN45,1)</f>
        <v>-2.8000000000000043</v>
      </c>
      <c r="X45" s="111">
        <f ca="1">ROUND(G45,1)-ROUND(AO45,1)</f>
        <v>-2.5</v>
      </c>
      <c r="Y45" s="112">
        <f ca="1">ROUND(H45,1)-ROUND(AP45,1)</f>
        <v>-2</v>
      </c>
      <c r="Z45" s="82"/>
      <c r="AA45" s="54"/>
      <c r="AB45" s="54"/>
      <c r="AC45" s="54"/>
      <c r="AD45" s="54"/>
      <c r="AE45" s="54"/>
      <c r="AF45" s="54"/>
      <c r="AG45" s="54"/>
      <c r="AH45" s="54"/>
      <c r="AI45" s="108"/>
      <c r="AJ45" s="60"/>
      <c r="AK45" s="109" t="s">
        <v>678</v>
      </c>
      <c r="AL45" s="110"/>
      <c r="AM45" s="111">
        <f>(((Transfer!AD228) / Transfer!AD147)*100)</f>
        <v>42.134266194030971</v>
      </c>
      <c r="AN45" s="111">
        <f>(((Transfer!AE228) / Transfer!AE147)*100)</f>
        <v>40.61365642928584</v>
      </c>
      <c r="AO45" s="111">
        <f>(((Transfer!AF228) / Transfer!AF147)*100)</f>
        <v>37.975324250161215</v>
      </c>
      <c r="AP45" s="112">
        <f>(((Transfer!AG228) / Transfer!AG147)*100)</f>
        <v>35.509813677248864</v>
      </c>
      <c r="AQ45" s="82"/>
      <c r="AR45" s="108"/>
      <c r="AS45" s="53"/>
      <c r="AT45" s="53"/>
      <c r="AU45" s="53"/>
      <c r="AV45" s="53"/>
      <c r="AW45" s="54"/>
      <c r="AX45" s="54"/>
      <c r="AY45" s="54"/>
      <c r="AZ45" s="54"/>
      <c r="BA45" s="2054" t="s">
        <v>679</v>
      </c>
      <c r="BB45" s="1757"/>
      <c r="BC45" s="54"/>
    </row>
    <row r="46" spans="1:256" ht="13.15">
      <c r="A46" s="108"/>
      <c r="B46" s="1756"/>
      <c r="C46" s="2449"/>
      <c r="D46" s="2468"/>
      <c r="E46" s="2468"/>
      <c r="F46" s="2468"/>
      <c r="G46" s="2468"/>
      <c r="H46" s="2469" t="str">
        <f>UPPER(Country)</f>
        <v>SWEDEN</v>
      </c>
      <c r="I46" s="1757"/>
      <c r="J46" s="108"/>
      <c r="K46" s="53"/>
      <c r="L46" s="53"/>
      <c r="M46" s="53"/>
      <c r="N46" s="53"/>
      <c r="O46" s="54"/>
      <c r="P46" s="54"/>
      <c r="Q46" s="54"/>
      <c r="R46" s="54"/>
      <c r="S46" s="114"/>
      <c r="T46" s="115"/>
      <c r="U46" s="116"/>
      <c r="V46" s="116"/>
      <c r="W46" s="117"/>
      <c r="X46" s="116"/>
      <c r="Y46" s="118" t="str">
        <f>UPPER(Country)</f>
        <v>SWEDEN</v>
      </c>
      <c r="Z46" s="119"/>
      <c r="AA46" s="54"/>
      <c r="AB46" s="54"/>
      <c r="AC46" s="54"/>
      <c r="AD46" s="54"/>
      <c r="AE46" s="54"/>
      <c r="AF46" s="54"/>
      <c r="AG46" s="54"/>
      <c r="AH46" s="54"/>
      <c r="AI46" s="108"/>
      <c r="AJ46" s="114"/>
      <c r="AK46" s="115"/>
      <c r="AL46" s="116"/>
      <c r="AM46" s="116"/>
      <c r="AN46" s="117"/>
      <c r="AO46" s="116"/>
      <c r="AP46" s="118" t="str">
        <f>UPPER(Country)</f>
        <v>SWEDEN</v>
      </c>
      <c r="AQ46" s="119"/>
      <c r="AR46" s="108"/>
      <c r="AS46" s="53"/>
      <c r="AT46" s="53"/>
      <c r="AU46" s="53"/>
      <c r="AV46" s="53"/>
      <c r="AW46" s="54"/>
      <c r="AX46" s="54"/>
      <c r="AY46" s="54"/>
      <c r="AZ46" s="54"/>
      <c r="BA46" s="54"/>
      <c r="BB46" s="54"/>
      <c r="BC46" s="54"/>
    </row>
    <row r="47" spans="1:256">
      <c r="A47" s="108"/>
      <c r="B47" s="108"/>
      <c r="C47" s="108"/>
      <c r="D47" s="108"/>
      <c r="E47" s="120"/>
      <c r="F47" s="120"/>
      <c r="G47" s="120"/>
      <c r="H47" s="120"/>
      <c r="I47" s="108"/>
      <c r="J47" s="108"/>
      <c r="K47" s="108"/>
      <c r="L47" s="108"/>
      <c r="M47" s="108"/>
      <c r="N47" s="108"/>
      <c r="O47" s="108"/>
      <c r="P47" s="108"/>
      <c r="Q47" s="108"/>
      <c r="R47" s="54"/>
      <c r="S47" s="54"/>
      <c r="T47" s="54"/>
      <c r="U47" s="54"/>
      <c r="V47" s="54"/>
      <c r="W47" s="54"/>
      <c r="X47" s="54"/>
      <c r="Y47" s="54"/>
      <c r="Z47" s="54"/>
      <c r="AA47" s="54"/>
      <c r="AB47" s="54"/>
      <c r="AC47" s="54"/>
      <c r="AD47" s="54"/>
      <c r="AE47" s="54"/>
      <c r="AF47" s="54"/>
      <c r="AG47" s="54"/>
      <c r="AH47" s="54"/>
      <c r="AI47" s="108"/>
      <c r="AJ47" s="108"/>
      <c r="AK47" s="108"/>
      <c r="AL47" s="108"/>
      <c r="AM47" s="120"/>
      <c r="AN47" s="120"/>
      <c r="AO47" s="120"/>
      <c r="AP47" s="120"/>
      <c r="AQ47" s="108"/>
      <c r="AR47" s="108"/>
      <c r="AS47" s="108"/>
      <c r="AT47" s="108"/>
      <c r="AU47" s="108"/>
      <c r="AV47" s="108"/>
      <c r="AW47" s="108"/>
      <c r="AX47" s="108"/>
      <c r="AY47" s="108"/>
      <c r="AZ47" s="54"/>
      <c r="BA47" s="54"/>
      <c r="BB47" s="54"/>
      <c r="BC47" s="54"/>
    </row>
    <row r="48" spans="1:256" ht="15">
      <c r="A48" s="108"/>
      <c r="B48" s="108"/>
      <c r="C48" s="108"/>
      <c r="D48" s="121"/>
      <c r="E48" s="108"/>
      <c r="F48" s="108"/>
      <c r="G48" s="108"/>
      <c r="H48" s="108"/>
      <c r="I48" s="108"/>
      <c r="J48" s="108"/>
      <c r="K48" s="108"/>
      <c r="L48" s="108"/>
      <c r="M48" s="108"/>
      <c r="N48" s="108"/>
      <c r="O48" s="108"/>
      <c r="P48" s="108"/>
      <c r="Q48" s="108"/>
      <c r="R48" s="54"/>
      <c r="S48" s="54"/>
      <c r="T48" s="54"/>
      <c r="U48" s="54"/>
      <c r="V48" s="54"/>
      <c r="W48" s="54"/>
      <c r="X48" s="54"/>
      <c r="Y48" s="54"/>
      <c r="Z48" s="54"/>
      <c r="AA48" s="54"/>
      <c r="AB48" s="54"/>
      <c r="AC48" s="54"/>
      <c r="AD48" s="54"/>
      <c r="AE48" s="54"/>
      <c r="AF48" s="54"/>
      <c r="AG48" s="54"/>
      <c r="AH48" s="54"/>
      <c r="AI48" s="108"/>
      <c r="AJ48" s="108"/>
      <c r="AK48" s="108"/>
      <c r="AL48" s="121"/>
      <c r="AM48" s="108"/>
      <c r="AN48" s="108"/>
      <c r="AO48" s="108"/>
      <c r="AP48" s="108"/>
      <c r="AQ48" s="108"/>
      <c r="AR48" s="108"/>
      <c r="AS48" s="108"/>
      <c r="AT48" s="108"/>
      <c r="AU48" s="108"/>
      <c r="AV48" s="108"/>
      <c r="AW48" s="108"/>
      <c r="AX48" s="108"/>
      <c r="AY48" s="108"/>
      <c r="AZ48" s="54"/>
      <c r="BA48" s="54"/>
      <c r="BB48" s="54"/>
      <c r="BC48" s="54"/>
    </row>
    <row r="49" spans="1:256" s="45" customFormat="1">
      <c r="A49" s="108"/>
      <c r="B49" s="108"/>
      <c r="C49" s="108"/>
      <c r="D49" s="108"/>
      <c r="E49" s="108"/>
      <c r="F49" s="108"/>
      <c r="G49" s="122"/>
      <c r="H49" s="108"/>
      <c r="I49" s="108"/>
      <c r="J49" s="108"/>
      <c r="K49" s="108"/>
      <c r="L49" s="108"/>
      <c r="M49" s="108"/>
      <c r="N49" s="108"/>
      <c r="O49" s="108"/>
      <c r="P49" s="108"/>
      <c r="Q49" s="108"/>
      <c r="R49" s="54"/>
      <c r="S49" s="54"/>
      <c r="T49" s="54"/>
      <c r="U49" s="54"/>
      <c r="V49" s="54"/>
      <c r="W49" s="54"/>
      <c r="X49" s="54"/>
      <c r="Y49" s="54"/>
      <c r="Z49" s="54"/>
      <c r="AA49" s="54"/>
      <c r="AB49" s="54"/>
      <c r="AC49" s="54"/>
      <c r="AD49" s="54"/>
      <c r="AE49" s="54"/>
      <c r="AF49" s="54"/>
      <c r="AG49" s="54"/>
      <c r="AH49" s="54"/>
      <c r="AI49" s="108"/>
      <c r="AJ49" s="108"/>
      <c r="AK49" s="108"/>
      <c r="AL49" s="108"/>
      <c r="AM49" s="108"/>
      <c r="AN49" s="108"/>
      <c r="AO49" s="122"/>
      <c r="AP49" s="108"/>
      <c r="AQ49" s="108"/>
      <c r="AR49" s="108"/>
      <c r="AS49" s="108"/>
      <c r="AT49" s="108"/>
      <c r="AU49" s="108"/>
      <c r="AV49" s="108"/>
      <c r="AW49" s="108"/>
      <c r="AX49" s="108"/>
      <c r="AY49" s="108"/>
      <c r="AZ49" s="54"/>
      <c r="BA49" s="54"/>
      <c r="BB49" s="54"/>
      <c r="BC49" s="54"/>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c r="IU49"/>
      <c r="IV49"/>
    </row>
    <row r="50" spans="1:256">
      <c r="A50" s="45"/>
      <c r="B50" s="50"/>
      <c r="C50" s="108"/>
      <c r="D50" s="51"/>
      <c r="E50" s="52"/>
      <c r="F50" s="52"/>
      <c r="G50" s="52"/>
      <c r="H50" s="52"/>
      <c r="I50" s="52"/>
      <c r="J50" s="52"/>
      <c r="K50" s="52"/>
      <c r="L50" s="53"/>
      <c r="M50" s="53"/>
      <c r="N50" s="53"/>
      <c r="O50" s="53"/>
      <c r="P50" s="54"/>
      <c r="Q50" s="54"/>
      <c r="R50" s="54"/>
      <c r="S50" s="54"/>
      <c r="T50" s="54"/>
      <c r="U50" s="54"/>
      <c r="V50" s="54"/>
      <c r="W50" s="54"/>
      <c r="X50" s="54"/>
      <c r="Y50" s="54"/>
      <c r="Z50" s="54"/>
      <c r="AA50" s="54"/>
      <c r="AB50" s="54"/>
      <c r="AC50" s="54"/>
      <c r="AD50" s="54"/>
      <c r="AE50" s="54"/>
      <c r="AF50" s="54"/>
      <c r="AG50" s="54"/>
      <c r="AH50" s="54"/>
      <c r="AI50" s="45"/>
      <c r="AJ50" s="50"/>
      <c r="AK50" s="108"/>
      <c r="AL50" s="51"/>
      <c r="AM50" s="52"/>
      <c r="AN50" s="52"/>
      <c r="AO50" s="52"/>
      <c r="AP50" s="52"/>
      <c r="AQ50" s="52"/>
      <c r="AR50" s="52"/>
      <c r="AS50" s="52"/>
      <c r="AT50" s="53"/>
      <c r="AU50" s="53"/>
      <c r="AV50" s="53"/>
      <c r="AW50" s="53"/>
      <c r="AX50" s="54"/>
      <c r="AY50" s="54"/>
      <c r="AZ50" s="54"/>
      <c r="BA50" s="54"/>
      <c r="BB50" s="54"/>
      <c r="BC50" s="54"/>
    </row>
    <row r="51" spans="1:256" ht="13.15">
      <c r="A51" s="45"/>
      <c r="B51" s="2410"/>
      <c r="C51" s="2411" t="s">
        <v>680</v>
      </c>
      <c r="D51" s="2412"/>
      <c r="E51" s="2413"/>
      <c r="F51" s="2411"/>
      <c r="G51" s="2411"/>
      <c r="H51" s="2411"/>
      <c r="I51" s="2411"/>
      <c r="J51" s="2411"/>
      <c r="K51" s="2414"/>
      <c r="L51" s="123"/>
      <c r="M51" s="123"/>
      <c r="N51" s="123"/>
      <c r="O51" s="123"/>
      <c r="P51" s="54"/>
      <c r="Q51" s="54"/>
      <c r="R51" s="54"/>
      <c r="S51" s="55"/>
      <c r="T51" s="56" t="s">
        <v>680</v>
      </c>
      <c r="U51" s="57"/>
      <c r="V51" s="58"/>
      <c r="W51" s="56"/>
      <c r="X51" s="56"/>
      <c r="Y51" s="56"/>
      <c r="Z51" s="56"/>
      <c r="AA51" s="3896">
        <f ca="1">NOW()</f>
        <v>43493.476067824071</v>
      </c>
      <c r="AB51" s="3896"/>
      <c r="AC51" s="54"/>
      <c r="AD51" s="54"/>
      <c r="AE51" s="54"/>
      <c r="AF51" s="54"/>
      <c r="AG51" s="54"/>
      <c r="AH51" s="54"/>
      <c r="AI51" s="45"/>
      <c r="AJ51" s="55"/>
      <c r="AK51" s="56" t="s">
        <v>680</v>
      </c>
      <c r="AL51" s="57"/>
      <c r="AM51" s="58"/>
      <c r="AN51" s="56"/>
      <c r="AO51" s="56"/>
      <c r="AP51" s="56"/>
      <c r="AQ51" s="56"/>
      <c r="AR51" s="56"/>
      <c r="AS51" s="59"/>
      <c r="AT51" s="123"/>
      <c r="AU51" s="123"/>
      <c r="AV51" s="123"/>
      <c r="AW51" s="123"/>
      <c r="AX51" s="54"/>
      <c r="AY51" s="54"/>
      <c r="AZ51" s="54"/>
      <c r="BA51" s="54"/>
      <c r="BB51" s="54"/>
      <c r="BC51" s="54"/>
    </row>
    <row r="52" spans="1:256" ht="13.15">
      <c r="A52" s="45"/>
      <c r="B52" s="1720"/>
      <c r="C52" s="3888" t="s">
        <v>1630</v>
      </c>
      <c r="D52" s="3888"/>
      <c r="E52" s="3888"/>
      <c r="F52" s="3888"/>
      <c r="G52" s="3888"/>
      <c r="H52" s="3888"/>
      <c r="I52" s="3888"/>
      <c r="J52" s="3888"/>
      <c r="K52" s="2470"/>
      <c r="L52" s="128"/>
      <c r="M52" s="129"/>
      <c r="N52" s="129"/>
      <c r="O52" s="129"/>
      <c r="P52" s="54"/>
      <c r="Q52" s="54"/>
      <c r="R52" s="54"/>
      <c r="S52" s="60"/>
      <c r="T52" s="3889" t="s">
        <v>1630</v>
      </c>
      <c r="U52" s="3889"/>
      <c r="V52" s="3889"/>
      <c r="W52" s="3889"/>
      <c r="X52" s="3889"/>
      <c r="Y52" s="3889"/>
      <c r="Z52" s="3889"/>
      <c r="AA52" s="3889"/>
      <c r="AB52" s="127"/>
      <c r="AC52" s="54"/>
      <c r="AD52" s="54"/>
      <c r="AE52" s="54"/>
      <c r="AF52" s="54"/>
      <c r="AG52" s="54"/>
      <c r="AH52" s="54"/>
      <c r="AI52" s="45"/>
      <c r="AJ52" s="60"/>
      <c r="AK52" s="3889" t="s">
        <v>1630</v>
      </c>
      <c r="AL52" s="3889"/>
      <c r="AM52" s="3889"/>
      <c r="AN52" s="3889"/>
      <c r="AO52" s="3889"/>
      <c r="AP52" s="3889"/>
      <c r="AQ52" s="3889"/>
      <c r="AR52" s="3889"/>
      <c r="AS52" s="127"/>
      <c r="AT52" s="128"/>
      <c r="AU52" s="129"/>
      <c r="AV52" s="129"/>
      <c r="AW52" s="129"/>
      <c r="AX52" s="54"/>
      <c r="AY52" s="54"/>
      <c r="AZ52" s="54"/>
      <c r="BA52" s="54"/>
      <c r="BB52" s="54"/>
      <c r="BC52" s="54"/>
    </row>
    <row r="53" spans="1:256" ht="13.15">
      <c r="A53" s="45"/>
      <c r="B53" s="1720"/>
      <c r="C53" s="3888" t="s">
        <v>1256</v>
      </c>
      <c r="D53" s="3888"/>
      <c r="E53" s="3888"/>
      <c r="F53" s="3888"/>
      <c r="G53" s="3888"/>
      <c r="H53" s="3888"/>
      <c r="I53" s="3888"/>
      <c r="J53" s="3888"/>
      <c r="K53" s="2471"/>
      <c r="L53" s="132"/>
      <c r="M53" s="132"/>
      <c r="N53" s="132"/>
      <c r="O53" s="132"/>
      <c r="P53" s="54"/>
      <c r="Q53" s="54"/>
      <c r="R53" s="54"/>
      <c r="S53" s="60"/>
      <c r="T53" s="3889" t="s">
        <v>1256</v>
      </c>
      <c r="U53" s="3889"/>
      <c r="V53" s="3889"/>
      <c r="W53" s="3889"/>
      <c r="X53" s="3889"/>
      <c r="Y53" s="3889"/>
      <c r="Z53" s="3889"/>
      <c r="AA53" s="3889"/>
      <c r="AB53" s="131"/>
      <c r="AC53" s="54"/>
      <c r="AD53" s="54"/>
      <c r="AE53" s="54"/>
      <c r="AF53" s="54"/>
      <c r="AG53" s="54"/>
      <c r="AH53" s="54"/>
      <c r="AI53" s="45"/>
      <c r="AJ53" s="60"/>
      <c r="AK53" s="3889" t="s">
        <v>1256</v>
      </c>
      <c r="AL53" s="3889"/>
      <c r="AM53" s="3889"/>
      <c r="AN53" s="3889"/>
      <c r="AO53" s="3889"/>
      <c r="AP53" s="3889"/>
      <c r="AQ53" s="3889"/>
      <c r="AR53" s="3889"/>
      <c r="AS53" s="131"/>
      <c r="AT53" s="132"/>
      <c r="AU53" s="132"/>
      <c r="AV53" s="132"/>
      <c r="AW53" s="132"/>
      <c r="AX53" s="54"/>
      <c r="AY53" s="54"/>
      <c r="AZ53" s="54"/>
      <c r="BA53" s="54"/>
      <c r="BB53" s="54"/>
      <c r="BC53" s="54"/>
    </row>
    <row r="54" spans="1:256" ht="15">
      <c r="A54" s="45"/>
      <c r="B54" s="1720"/>
      <c r="C54" s="2418" t="str">
        <f>"Country: " &amp;UPPER(Country)</f>
        <v>Country: SWEDEN</v>
      </c>
      <c r="D54" s="2419"/>
      <c r="E54" s="2420"/>
      <c r="F54" s="2420"/>
      <c r="G54" s="2420"/>
      <c r="H54" s="2420"/>
      <c r="I54" s="2420"/>
      <c r="J54" s="2423"/>
      <c r="K54" s="2421"/>
      <c r="L54" s="133"/>
      <c r="M54" s="133"/>
      <c r="N54" s="133"/>
      <c r="O54" s="133"/>
      <c r="P54" s="54"/>
      <c r="Q54" s="54"/>
      <c r="R54" s="54"/>
      <c r="S54" s="60"/>
      <c r="T54" s="63" t="str">
        <f>"Country: " &amp;UPPER(Country)</f>
        <v>Country: SWEDEN</v>
      </c>
      <c r="U54" s="64"/>
      <c r="V54" s="65"/>
      <c r="W54" s="65"/>
      <c r="X54" s="2066" t="s">
        <v>1553</v>
      </c>
      <c r="Y54" s="49"/>
      <c r="Z54" s="65"/>
      <c r="AA54" s="68"/>
      <c r="AB54" s="66"/>
      <c r="AC54" s="54"/>
      <c r="AD54" s="54"/>
      <c r="AE54" s="54"/>
      <c r="AF54" s="54"/>
      <c r="AG54" s="54"/>
      <c r="AH54" s="54"/>
      <c r="AI54" s="45"/>
      <c r="AJ54" s="60"/>
      <c r="AK54" s="63" t="str">
        <f>"Country: " &amp;UPPER(Country)</f>
        <v>Country: SWEDEN</v>
      </c>
      <c r="AL54" s="64"/>
      <c r="AM54" s="65"/>
      <c r="AN54" s="65"/>
      <c r="AO54" s="65"/>
      <c r="AP54" s="49"/>
      <c r="AQ54" s="65"/>
      <c r="AR54" s="68"/>
      <c r="AS54" s="66"/>
      <c r="AT54" s="133"/>
      <c r="AU54" s="133"/>
      <c r="AV54" s="133"/>
      <c r="AW54" s="133"/>
      <c r="AX54" s="54"/>
      <c r="AY54" s="54"/>
      <c r="AZ54" s="54"/>
      <c r="BA54" s="54"/>
      <c r="BB54" s="54"/>
      <c r="BC54" s="54"/>
    </row>
    <row r="55" spans="1:256" ht="15">
      <c r="A55" s="45"/>
      <c r="B55" s="1720"/>
      <c r="C55" s="2418" t="str">
        <f>"Currency unit: " &amp; Currency</f>
        <v>Currency unit: bn SEK</v>
      </c>
      <c r="D55" s="2422"/>
      <c r="E55" s="2420"/>
      <c r="F55" s="2423"/>
      <c r="G55" s="2420"/>
      <c r="H55" s="2420"/>
      <c r="I55" s="2420"/>
      <c r="J55" s="2423"/>
      <c r="K55" s="2421"/>
      <c r="L55" s="133"/>
      <c r="M55" s="135"/>
      <c r="N55" s="133"/>
      <c r="O55" s="133"/>
      <c r="P55" s="54"/>
      <c r="Q55" s="54"/>
      <c r="R55" s="54"/>
      <c r="S55" s="60"/>
      <c r="T55" s="63" t="str">
        <f>"Currency unit: " &amp; Currency</f>
        <v>Currency unit: bn SEK</v>
      </c>
      <c r="U55" s="67"/>
      <c r="V55" s="65"/>
      <c r="W55" s="68"/>
      <c r="X55" s="2066" t="str">
        <f>$T$4</f>
        <v>final storage SF18</v>
      </c>
      <c r="Y55" s="49"/>
      <c r="Z55" s="65"/>
      <c r="AA55" s="68"/>
      <c r="AB55" s="66"/>
      <c r="AC55" s="54"/>
      <c r="AD55" s="54"/>
      <c r="AE55" s="54"/>
      <c r="AF55" s="54"/>
      <c r="AG55" s="54"/>
      <c r="AH55" s="54"/>
      <c r="AI55" s="45"/>
      <c r="AJ55" s="60"/>
      <c r="AK55" s="63" t="str">
        <f>"Currency unit: " &amp; Currency</f>
        <v>Currency unit: bn SEK</v>
      </c>
      <c r="AL55" s="67"/>
      <c r="AM55" s="65"/>
      <c r="AN55" s="68"/>
      <c r="AO55" s="65"/>
      <c r="AP55" s="49"/>
      <c r="AQ55" s="65"/>
      <c r="AR55" s="68"/>
      <c r="AS55" s="66"/>
      <c r="AT55" s="133"/>
      <c r="AU55" s="135"/>
      <c r="AV55" s="133"/>
      <c r="AW55" s="133"/>
      <c r="AX55" s="54"/>
      <c r="AY55" s="54"/>
      <c r="AZ55" s="54"/>
      <c r="BA55" s="54"/>
      <c r="BB55" s="54"/>
      <c r="BC55" s="54"/>
    </row>
    <row r="56" spans="1:256">
      <c r="A56" s="45"/>
      <c r="B56" s="1720"/>
      <c r="C56" s="2424" t="s">
        <v>576</v>
      </c>
      <c r="D56" s="2420"/>
      <c r="E56" s="2420"/>
      <c r="F56" s="2420"/>
      <c r="G56" s="2420"/>
      <c r="H56" s="2420"/>
      <c r="I56" s="2420"/>
      <c r="J56" s="2423"/>
      <c r="K56" s="2421"/>
      <c r="L56" s="133"/>
      <c r="M56" s="135"/>
      <c r="N56" s="135"/>
      <c r="O56" s="133"/>
      <c r="P56" s="54"/>
      <c r="Q56" s="54"/>
      <c r="R56" s="54"/>
      <c r="S56" s="60"/>
      <c r="T56" s="69" t="s">
        <v>576</v>
      </c>
      <c r="U56" s="65"/>
      <c r="V56" s="65"/>
      <c r="W56" s="65"/>
      <c r="X56" s="65"/>
      <c r="Y56" s="49"/>
      <c r="Z56" s="65"/>
      <c r="AA56" s="68"/>
      <c r="AB56" s="66"/>
      <c r="AC56" s="54"/>
      <c r="AD56" s="54"/>
      <c r="AE56" s="54"/>
      <c r="AF56" s="54"/>
      <c r="AG56" s="54"/>
      <c r="AH56" s="54"/>
      <c r="AI56" s="45"/>
      <c r="AJ56" s="60"/>
      <c r="AK56" s="69" t="s">
        <v>576</v>
      </c>
      <c r="AL56" s="65"/>
      <c r="AM56" s="65"/>
      <c r="AN56" s="65"/>
      <c r="AO56" s="65"/>
      <c r="AP56" s="49"/>
      <c r="AQ56" s="65"/>
      <c r="AR56" s="68"/>
      <c r="AS56" s="66"/>
      <c r="AT56" s="133"/>
      <c r="AU56" s="135"/>
      <c r="AV56" s="135"/>
      <c r="AW56" s="133"/>
      <c r="AX56" s="54"/>
      <c r="AY56" s="54"/>
      <c r="AZ56" s="54"/>
      <c r="BA56" s="54"/>
      <c r="BB56" s="54"/>
      <c r="BC56" s="54"/>
    </row>
    <row r="57" spans="1:256" ht="13.15" thickBot="1">
      <c r="A57" s="45"/>
      <c r="B57" s="1720"/>
      <c r="C57" s="2420"/>
      <c r="D57" s="2420"/>
      <c r="E57" s="2420"/>
      <c r="F57" s="2420"/>
      <c r="G57" s="2420"/>
      <c r="H57" s="2420"/>
      <c r="I57" s="3878">
        <f ca="1">NOW()</f>
        <v>43493.476067824071</v>
      </c>
      <c r="J57" s="3878"/>
      <c r="K57" s="2472"/>
      <c r="L57" s="139"/>
      <c r="M57" s="135"/>
      <c r="N57" s="135"/>
      <c r="O57" s="45"/>
      <c r="P57" s="54"/>
      <c r="Q57" s="54"/>
      <c r="R57" s="54"/>
      <c r="S57" s="60"/>
      <c r="T57" s="65"/>
      <c r="U57" s="65"/>
      <c r="V57" s="65"/>
      <c r="W57" s="65"/>
      <c r="X57" s="65"/>
      <c r="Y57" s="49"/>
      <c r="Z57" s="3879">
        <f ca="1">NOW()</f>
        <v>43493.476067824071</v>
      </c>
      <c r="AA57" s="3879"/>
      <c r="AB57" s="138"/>
      <c r="AC57" s="54"/>
      <c r="AD57" s="54"/>
      <c r="AE57" s="54"/>
      <c r="AF57" s="54"/>
      <c r="AG57" s="54"/>
      <c r="AH57" s="54"/>
      <c r="AI57" s="45"/>
      <c r="AJ57" s="60"/>
      <c r="AK57" s="65"/>
      <c r="AL57" s="65"/>
      <c r="AM57" s="65"/>
      <c r="AN57" s="65"/>
      <c r="AO57" s="65"/>
      <c r="AP57" s="49"/>
      <c r="AQ57" s="3879">
        <f ca="1">NOW()</f>
        <v>43493.476067824071</v>
      </c>
      <c r="AR57" s="3879"/>
      <c r="AS57" s="138"/>
      <c r="AT57" s="139"/>
      <c r="AU57" s="135"/>
      <c r="AV57" s="135"/>
      <c r="AW57" s="45"/>
      <c r="AX57" s="54"/>
      <c r="AY57" s="54"/>
      <c r="AZ57" s="54"/>
      <c r="BA57" s="54"/>
      <c r="BB57" s="54"/>
      <c r="BC57" s="54"/>
    </row>
    <row r="58" spans="1:256" ht="13.15">
      <c r="A58" s="45"/>
      <c r="B58" s="1720"/>
      <c r="C58" s="2426"/>
      <c r="D58" s="2427"/>
      <c r="E58" s="2473" t="s">
        <v>576</v>
      </c>
      <c r="F58" s="3897">
        <f>E16</f>
        <v>2017</v>
      </c>
      <c r="G58" s="3898"/>
      <c r="H58" s="2429">
        <f>F58+1</f>
        <v>2018</v>
      </c>
      <c r="I58" s="2429">
        <f>H58+1</f>
        <v>2019</v>
      </c>
      <c r="J58" s="2430">
        <f>I58+1</f>
        <v>2020</v>
      </c>
      <c r="K58" s="2431"/>
      <c r="L58" s="143"/>
      <c r="M58" s="135"/>
      <c r="N58" s="135"/>
      <c r="O58" s="45"/>
      <c r="P58" s="54"/>
      <c r="Q58" s="54"/>
      <c r="R58" s="54"/>
      <c r="S58" s="60"/>
      <c r="T58" s="72"/>
      <c r="U58" s="73"/>
      <c r="V58" s="142" t="s">
        <v>576</v>
      </c>
      <c r="W58" s="3899">
        <f>Last_forecast_year - 3</f>
        <v>2017</v>
      </c>
      <c r="X58" s="3900"/>
      <c r="Y58" s="75">
        <f>W58+1</f>
        <v>2018</v>
      </c>
      <c r="Z58" s="75">
        <f>Y58+1</f>
        <v>2019</v>
      </c>
      <c r="AA58" s="1730">
        <f>Z58+1</f>
        <v>2020</v>
      </c>
      <c r="AB58" s="76"/>
      <c r="AC58" s="54"/>
      <c r="AD58" s="54"/>
      <c r="AE58" s="54"/>
      <c r="AF58" s="54"/>
      <c r="AG58" s="54"/>
      <c r="AH58" s="54"/>
      <c r="AI58" s="45"/>
      <c r="AJ58" s="60"/>
      <c r="AK58" s="72"/>
      <c r="AL58" s="73"/>
      <c r="AM58" s="142" t="s">
        <v>576</v>
      </c>
      <c r="AN58" s="3899">
        <f>Last_forecast_year - 3</f>
        <v>2017</v>
      </c>
      <c r="AO58" s="3900"/>
      <c r="AP58" s="75">
        <f>AN58+1</f>
        <v>2018</v>
      </c>
      <c r="AQ58" s="75">
        <f>AP58+1</f>
        <v>2019</v>
      </c>
      <c r="AR58" s="1730">
        <f>AQ58+1</f>
        <v>2020</v>
      </c>
      <c r="AS58" s="76"/>
      <c r="AT58" s="143"/>
      <c r="AU58" s="135"/>
      <c r="AV58" s="135"/>
      <c r="AW58" s="45"/>
      <c r="AX58" s="54"/>
      <c r="AY58" s="54"/>
      <c r="AZ58" s="54"/>
      <c r="BA58" s="54"/>
      <c r="BB58" s="54"/>
      <c r="BC58" s="54"/>
    </row>
    <row r="59" spans="1:256" ht="13.15">
      <c r="A59" s="45"/>
      <c r="B59" s="1720"/>
      <c r="C59" s="1721"/>
      <c r="D59" s="2420"/>
      <c r="E59" s="2475" t="s">
        <v>1794</v>
      </c>
      <c r="F59" s="2416" t="s">
        <v>577</v>
      </c>
      <c r="G59" s="3880" t="s">
        <v>1795</v>
      </c>
      <c r="H59" s="3881"/>
      <c r="I59" s="3881"/>
      <c r="J59" s="3882"/>
      <c r="K59" s="2432"/>
      <c r="L59" s="147"/>
      <c r="M59" s="135"/>
      <c r="N59" s="135"/>
      <c r="O59" s="45"/>
      <c r="P59" s="54"/>
      <c r="Q59" s="54"/>
      <c r="R59" s="54"/>
      <c r="S59" s="60"/>
      <c r="T59" s="40"/>
      <c r="U59" s="65"/>
      <c r="V59" s="146" t="s">
        <v>1794</v>
      </c>
      <c r="W59" s="126" t="s">
        <v>577</v>
      </c>
      <c r="X59" s="3883" t="s">
        <v>1795</v>
      </c>
      <c r="Y59" s="3884"/>
      <c r="Z59" s="3884"/>
      <c r="AA59" s="3885"/>
      <c r="AB59" s="77"/>
      <c r="AC59" s="54"/>
      <c r="AD59" s="54"/>
      <c r="AE59" s="54"/>
      <c r="AF59" s="54"/>
      <c r="AG59" s="54"/>
      <c r="AH59" s="54"/>
      <c r="AI59" s="45"/>
      <c r="AJ59" s="60"/>
      <c r="AK59" s="40"/>
      <c r="AL59" s="65"/>
      <c r="AM59" s="146" t="s">
        <v>1794</v>
      </c>
      <c r="AN59" s="126" t="s">
        <v>577</v>
      </c>
      <c r="AO59" s="3883" t="s">
        <v>1795</v>
      </c>
      <c r="AP59" s="3884"/>
      <c r="AQ59" s="3884"/>
      <c r="AR59" s="3885"/>
      <c r="AS59" s="77"/>
      <c r="AT59" s="147"/>
      <c r="AU59" s="135"/>
      <c r="AV59" s="135"/>
      <c r="AW59" s="45"/>
      <c r="AX59" s="54"/>
      <c r="AY59" s="54"/>
      <c r="AZ59" s="54"/>
      <c r="BA59" s="54"/>
      <c r="BB59" s="54"/>
      <c r="BC59" s="54"/>
    </row>
    <row r="60" spans="1:256">
      <c r="A60" s="45"/>
      <c r="B60" s="1720"/>
      <c r="C60" s="2476" t="s">
        <v>818</v>
      </c>
      <c r="D60" s="2477"/>
      <c r="E60" s="2478" t="s">
        <v>1797</v>
      </c>
      <c r="F60" s="2479" t="s">
        <v>1328</v>
      </c>
      <c r="G60" s="2480">
        <f ca="1">((Transfer!D284/Transfer!C284)-1)*100</f>
        <v>2.2129477588303637</v>
      </c>
      <c r="H60" s="2480">
        <f ca="1">((Transfer!E284/Transfer!D284)-1)*100</f>
        <v>2.3999999999999799</v>
      </c>
      <c r="I60" s="2480">
        <f ca="1">((Transfer!F284/Transfer!E284)-1)*100</f>
        <v>2.3299999999999876</v>
      </c>
      <c r="J60" s="2481">
        <f ca="1">((Transfer!G284/Transfer!F284)-1)*100</f>
        <v>2.0999999999999686</v>
      </c>
      <c r="K60" s="2437"/>
      <c r="L60" s="150"/>
      <c r="M60" s="135"/>
      <c r="N60" s="135"/>
      <c r="O60" s="45"/>
      <c r="P60" s="54"/>
      <c r="Q60" s="54"/>
      <c r="R60" s="54"/>
      <c r="S60" s="60"/>
      <c r="T60" s="148" t="s">
        <v>818</v>
      </c>
      <c r="U60" s="57"/>
      <c r="V60" s="149" t="s">
        <v>1797</v>
      </c>
      <c r="W60" s="2068">
        <v>0</v>
      </c>
      <c r="X60" s="2068">
        <f t="shared" ref="X60:AA63" ca="1" si="4">ROUND(G60,1)-ROUND(AO60,1)</f>
        <v>0</v>
      </c>
      <c r="Y60" s="2068">
        <f t="shared" ca="1" si="4"/>
        <v>0</v>
      </c>
      <c r="Z60" s="2068">
        <f t="shared" ca="1" si="4"/>
        <v>0</v>
      </c>
      <c r="AA60" s="81">
        <f t="shared" ca="1" si="4"/>
        <v>-0.10000000000000009</v>
      </c>
      <c r="AB60" s="82"/>
      <c r="AC60" s="54"/>
      <c r="AD60" s="54"/>
      <c r="AE60" s="54"/>
      <c r="AF60" s="54"/>
      <c r="AG60" s="54"/>
      <c r="AH60" s="54"/>
      <c r="AI60" s="45"/>
      <c r="AJ60" s="60"/>
      <c r="AK60" s="2176" t="s">
        <v>818</v>
      </c>
      <c r="AL60" s="2177"/>
      <c r="AM60" s="2178" t="s">
        <v>1797</v>
      </c>
      <c r="AN60" s="2179" t="s">
        <v>1328</v>
      </c>
      <c r="AO60" s="2180">
        <f>((Transfer!AD284/Transfer!AC284)-1)*100</f>
        <v>2.1681688987686076</v>
      </c>
      <c r="AP60" s="2180">
        <f>((Transfer!AE284/Transfer!AD284)-1)*100</f>
        <v>2.3842596997317056</v>
      </c>
      <c r="AQ60" s="2180">
        <f>((Transfer!AF284/Transfer!AE284)-1)*100</f>
        <v>2.2599999999999953</v>
      </c>
      <c r="AR60" s="2181">
        <f>((Transfer!AG284/Transfer!AF284)-1)*100</f>
        <v>2.2299999999999986</v>
      </c>
      <c r="AS60" s="82"/>
      <c r="AT60" s="150"/>
      <c r="AU60" s="135"/>
      <c r="AV60" s="135"/>
      <c r="AW60" s="45"/>
      <c r="AX60" s="54"/>
      <c r="AY60" s="54"/>
      <c r="AZ60" s="54"/>
      <c r="BA60" s="2047" t="s">
        <v>247</v>
      </c>
      <c r="BB60" s="54"/>
      <c r="BC60" s="54"/>
    </row>
    <row r="61" spans="1:256">
      <c r="A61" s="45"/>
      <c r="B61" s="1720"/>
      <c r="C61" s="2454" t="s">
        <v>588</v>
      </c>
      <c r="D61" s="2482"/>
      <c r="E61" s="2483" t="s">
        <v>1797</v>
      </c>
      <c r="F61" s="2484" t="s">
        <v>1328</v>
      </c>
      <c r="G61" s="2456">
        <f ca="1">((Transfer!D285/Transfer!C285)-1)*100</f>
        <v>-2.753240812458646E-3</v>
      </c>
      <c r="H61" s="2456">
        <f ca="1">((Transfer!E285/Transfer!D285)-1)*100</f>
        <v>1.0599999999999943</v>
      </c>
      <c r="I61" s="2456">
        <f ca="1">((Transfer!F285/Transfer!E285)-1)*100</f>
        <v>0.8999999999999897</v>
      </c>
      <c r="J61" s="2458">
        <f ca="1">((Transfer!G285/Transfer!F285)-1)*100</f>
        <v>0.9300000000000086</v>
      </c>
      <c r="K61" s="2437"/>
      <c r="L61" s="150"/>
      <c r="M61" s="135"/>
      <c r="N61" s="135"/>
      <c r="O61" s="45"/>
      <c r="P61" s="54"/>
      <c r="Q61" s="54"/>
      <c r="R61" s="54"/>
      <c r="S61" s="60"/>
      <c r="T61" s="40" t="s">
        <v>588</v>
      </c>
      <c r="U61" s="65"/>
      <c r="V61" s="152" t="s">
        <v>1797</v>
      </c>
      <c r="W61" s="91"/>
      <c r="X61" s="91">
        <f t="shared" ca="1" si="4"/>
        <v>-3.1</v>
      </c>
      <c r="Y61" s="91">
        <f t="shared" ca="1" si="4"/>
        <v>0.70000000000000007</v>
      </c>
      <c r="Z61" s="91">
        <f t="shared" ca="1" si="4"/>
        <v>-0.49999999999999989</v>
      </c>
      <c r="AA61" s="93">
        <f t="shared" ca="1" si="4"/>
        <v>9.9999999999999978E-2</v>
      </c>
      <c r="AB61" s="82"/>
      <c r="AC61" s="54"/>
      <c r="AD61" s="54"/>
      <c r="AE61" s="54"/>
      <c r="AF61" s="54"/>
      <c r="AG61" s="54"/>
      <c r="AH61" s="54"/>
      <c r="AI61" s="45"/>
      <c r="AJ61" s="60"/>
      <c r="AK61" s="2182" t="s">
        <v>588</v>
      </c>
      <c r="AL61" s="2183"/>
      <c r="AM61" s="2184" t="s">
        <v>1797</v>
      </c>
      <c r="AN61" s="2200" t="s">
        <v>1328</v>
      </c>
      <c r="AO61" s="2173">
        <f>((Transfer!AD285/Transfer!AC285)-1)*100</f>
        <v>3.0517783910926077</v>
      </c>
      <c r="AP61" s="2173">
        <f>((Transfer!AE285/Transfer!AD285)-1)*100</f>
        <v>0.38663355481560746</v>
      </c>
      <c r="AQ61" s="2173">
        <f>((Transfer!AF285/Transfer!AE285)-1)*100</f>
        <v>1.3500000000000068</v>
      </c>
      <c r="AR61" s="2175">
        <f>((Transfer!AG285/Transfer!AF285)-1)*100</f>
        <v>0.83000000000001961</v>
      </c>
      <c r="AS61" s="82"/>
      <c r="AT61" s="150"/>
      <c r="AU61" s="135"/>
      <c r="AV61" s="135"/>
      <c r="AW61" s="45"/>
      <c r="AX61" s="54"/>
      <c r="AY61" s="54"/>
      <c r="AZ61" s="54"/>
      <c r="BA61" s="2048" t="s">
        <v>248</v>
      </c>
      <c r="BB61" s="54"/>
      <c r="BC61" s="54"/>
    </row>
    <row r="62" spans="1:256">
      <c r="A62" s="45"/>
      <c r="B62" s="1720"/>
      <c r="C62" s="2454" t="s">
        <v>589</v>
      </c>
      <c r="D62" s="2482"/>
      <c r="E62" s="2483" t="s">
        <v>123</v>
      </c>
      <c r="F62" s="2484" t="s">
        <v>1328</v>
      </c>
      <c r="G62" s="2456">
        <f ca="1">((Transfer!D286/Transfer!C286)-1)*100</f>
        <v>6.0546057350353344</v>
      </c>
      <c r="H62" s="2456">
        <f ca="1">((Transfer!E286/Transfer!D286)-1)*100</f>
        <v>3.5391684236044885</v>
      </c>
      <c r="I62" s="2456">
        <f ca="1">((Transfer!F286/Transfer!E286)-1)*100</f>
        <v>1.9828306477457813</v>
      </c>
      <c r="J62" s="2458">
        <f ca="1">((Transfer!G286/Transfer!F286)-1)*100</f>
        <v>2.1431885541373763</v>
      </c>
      <c r="K62" s="2437"/>
      <c r="L62" s="150"/>
      <c r="M62" s="135"/>
      <c r="N62" s="135"/>
      <c r="O62" s="45"/>
      <c r="P62" s="54"/>
      <c r="Q62" s="54"/>
      <c r="R62" s="54"/>
      <c r="S62" s="60"/>
      <c r="T62" s="40" t="s">
        <v>589</v>
      </c>
      <c r="U62" s="65"/>
      <c r="V62" s="152" t="s">
        <v>123</v>
      </c>
      <c r="W62" s="91"/>
      <c r="X62" s="91">
        <f t="shared" ca="1" si="4"/>
        <v>0.5</v>
      </c>
      <c r="Y62" s="91">
        <f t="shared" ca="1" si="4"/>
        <v>-2.5</v>
      </c>
      <c r="Z62" s="91">
        <f t="shared" ca="1" si="4"/>
        <v>-1.7000000000000002</v>
      </c>
      <c r="AA62" s="93">
        <f t="shared" ca="1" si="4"/>
        <v>0.20000000000000018</v>
      </c>
      <c r="AB62" s="82"/>
      <c r="AC62" s="54"/>
      <c r="AD62" s="54"/>
      <c r="AE62" s="54"/>
      <c r="AF62" s="54"/>
      <c r="AG62" s="54"/>
      <c r="AH62" s="54"/>
      <c r="AI62" s="45"/>
      <c r="AJ62" s="60"/>
      <c r="AK62" s="2182" t="s">
        <v>589</v>
      </c>
      <c r="AL62" s="2183"/>
      <c r="AM62" s="2184" t="s">
        <v>123</v>
      </c>
      <c r="AN62" s="2200" t="s">
        <v>1328</v>
      </c>
      <c r="AO62" s="2173">
        <f>((Transfer!AD286/Transfer!AC286)-1)*100</f>
        <v>5.6330423443870625</v>
      </c>
      <c r="AP62" s="2173">
        <f>((Transfer!AE286/Transfer!AD286)-1)*100</f>
        <v>6.0382508417185177</v>
      </c>
      <c r="AQ62" s="2173">
        <f>((Transfer!AF286/Transfer!AE286)-1)*100</f>
        <v>3.6658417216456129</v>
      </c>
      <c r="AR62" s="2175">
        <f>((Transfer!AG286/Transfer!AF286)-1)*100</f>
        <v>1.9309800216272377</v>
      </c>
      <c r="AS62" s="82"/>
      <c r="AT62" s="150"/>
      <c r="AU62" s="135"/>
      <c r="AV62" s="135"/>
      <c r="AW62" s="45"/>
      <c r="AX62" s="54"/>
      <c r="AY62" s="54"/>
      <c r="AZ62" s="54"/>
      <c r="BA62" s="2048" t="s">
        <v>246</v>
      </c>
      <c r="BB62" s="54"/>
      <c r="BC62" s="54"/>
    </row>
    <row r="63" spans="1:256" ht="13.15">
      <c r="A63" s="45"/>
      <c r="B63" s="1720"/>
      <c r="C63" s="2485" t="s">
        <v>1142</v>
      </c>
      <c r="D63" s="2486"/>
      <c r="E63" s="2487"/>
      <c r="F63" s="2488" t="s">
        <v>1328</v>
      </c>
      <c r="G63" s="2489">
        <f ca="1">+Transfer!D307/Transfer!C307*100-100</f>
        <v>2.5675144585256504</v>
      </c>
      <c r="H63" s="2489">
        <f ca="1">+Transfer!E307/Transfer!D307*100-100</f>
        <v>2.3313686646278597</v>
      </c>
      <c r="I63" s="2489">
        <f ca="1">+Transfer!F307/Transfer!E307*100-100</f>
        <v>1.849282926003994</v>
      </c>
      <c r="J63" s="2490">
        <f ca="1">+Transfer!G307/Transfer!F307*100-100</f>
        <v>1.7952226741940365</v>
      </c>
      <c r="K63" s="2441"/>
      <c r="L63" s="157"/>
      <c r="M63" s="135"/>
      <c r="N63" s="135"/>
      <c r="O63" s="45"/>
      <c r="P63" s="54"/>
      <c r="Q63" s="54"/>
      <c r="R63" s="54"/>
      <c r="S63" s="60"/>
      <c r="T63" s="154" t="s">
        <v>1142</v>
      </c>
      <c r="U63" s="115"/>
      <c r="V63" s="155"/>
      <c r="W63" s="156"/>
      <c r="X63" s="290">
        <f t="shared" ca="1" si="4"/>
        <v>-0.69999999999999973</v>
      </c>
      <c r="Y63" s="290">
        <f t="shared" ca="1" si="4"/>
        <v>-0.5</v>
      </c>
      <c r="Z63" s="290">
        <f t="shared" ca="1" si="4"/>
        <v>-0.59999999999999987</v>
      </c>
      <c r="AA63" s="317">
        <f t="shared" ca="1" si="4"/>
        <v>0</v>
      </c>
      <c r="AB63" s="85"/>
      <c r="AC63" s="54"/>
      <c r="AD63" s="54"/>
      <c r="AE63" s="54"/>
      <c r="AF63" s="54"/>
      <c r="AG63" s="54"/>
      <c r="AH63" s="54"/>
      <c r="AI63" s="45"/>
      <c r="AJ63" s="60"/>
      <c r="AK63" s="2221" t="s">
        <v>1142</v>
      </c>
      <c r="AL63" s="2222"/>
      <c r="AM63" s="2223"/>
      <c r="AN63" s="2224" t="s">
        <v>1328</v>
      </c>
      <c r="AO63" s="2225">
        <f>+Transfer!AD307/Transfer!AC307*100-100</f>
        <v>3.2750883156979427</v>
      </c>
      <c r="AP63" s="2225">
        <f>+Transfer!AE307/Transfer!AD307*100-100</f>
        <v>2.7617641187583644</v>
      </c>
      <c r="AQ63" s="2225">
        <f>+Transfer!AF307/Transfer!AE307*100-100</f>
        <v>2.3798194777418473</v>
      </c>
      <c r="AR63" s="2226">
        <f>+Transfer!AG307/Transfer!AF307*100-100</f>
        <v>1.7676284065176446</v>
      </c>
      <c r="AS63" s="85"/>
      <c r="AT63" s="157"/>
      <c r="AU63" s="135"/>
      <c r="AV63" s="135"/>
      <c r="AW63" s="45"/>
      <c r="AX63" s="54"/>
      <c r="AY63" s="54"/>
      <c r="AZ63" s="54"/>
      <c r="BA63" s="2048" t="s">
        <v>249</v>
      </c>
      <c r="BB63" s="54"/>
      <c r="BC63" s="54"/>
    </row>
    <row r="64" spans="1:256">
      <c r="A64" s="45"/>
      <c r="B64" s="1720"/>
      <c r="C64" s="2476" t="s">
        <v>1025</v>
      </c>
      <c r="D64" s="2477"/>
      <c r="E64" s="2478" t="s">
        <v>124</v>
      </c>
      <c r="F64" s="2479" t="s">
        <v>1328</v>
      </c>
      <c r="G64" s="2479" t="s">
        <v>1328</v>
      </c>
      <c r="H64" s="2479" t="s">
        <v>1328</v>
      </c>
      <c r="I64" s="2479" t="s">
        <v>1328</v>
      </c>
      <c r="J64" s="2481" t="s">
        <v>1328</v>
      </c>
      <c r="K64" s="2437"/>
      <c r="L64" s="150"/>
      <c r="M64" s="135"/>
      <c r="N64" s="135"/>
      <c r="O64" s="45"/>
      <c r="P64" s="54"/>
      <c r="Q64" s="54"/>
      <c r="R64" s="54"/>
      <c r="S64" s="60"/>
      <c r="T64" s="99" t="s">
        <v>1025</v>
      </c>
      <c r="U64" s="100"/>
      <c r="V64" s="161"/>
      <c r="W64" s="2068"/>
      <c r="X64" s="2068"/>
      <c r="Y64" s="2068"/>
      <c r="Z64" s="2068"/>
      <c r="AA64" s="81"/>
      <c r="AB64" s="82"/>
      <c r="AC64" s="54"/>
      <c r="AD64" s="54"/>
      <c r="AE64" s="54"/>
      <c r="AF64" s="54"/>
      <c r="AG64" s="54"/>
      <c r="AH64" s="54"/>
      <c r="AI64" s="45"/>
      <c r="AJ64" s="60"/>
      <c r="AK64" s="2176" t="s">
        <v>1025</v>
      </c>
      <c r="AL64" s="2177"/>
      <c r="AM64" s="2178"/>
      <c r="AN64" s="2479" t="s">
        <v>1328</v>
      </c>
      <c r="AO64" s="2479" t="s">
        <v>1328</v>
      </c>
      <c r="AP64" s="2479" t="s">
        <v>1328</v>
      </c>
      <c r="AQ64" s="2479" t="s">
        <v>1328</v>
      </c>
      <c r="AR64" s="2481" t="s">
        <v>1328</v>
      </c>
      <c r="AS64" s="82"/>
      <c r="AT64" s="150"/>
      <c r="AU64" s="135"/>
      <c r="AV64" s="135"/>
      <c r="AW64" s="45"/>
      <c r="AX64" s="54"/>
      <c r="AY64" s="54"/>
      <c r="AZ64" s="54"/>
      <c r="BA64" s="2049"/>
      <c r="BB64" s="54"/>
      <c r="BC64" s="54"/>
    </row>
    <row r="65" spans="1:55" ht="13.15">
      <c r="A65" s="45"/>
      <c r="B65" s="1720"/>
      <c r="C65" s="2485" t="s">
        <v>1028</v>
      </c>
      <c r="D65" s="2486"/>
      <c r="E65" s="2487"/>
      <c r="F65" s="2488" t="s">
        <v>1328</v>
      </c>
      <c r="G65" s="2489">
        <f ca="1">+Transfer!D310/Transfer!C310*100-100</f>
        <v>2.6969282314204008</v>
      </c>
      <c r="H65" s="2489">
        <f ca="1">+Transfer!E310/Transfer!D310*100-100</f>
        <v>2.4546013522998038</v>
      </c>
      <c r="I65" s="2489">
        <f ca="1">+Transfer!F310/Transfer!E310*100-100</f>
        <v>1.6918469896016148</v>
      </c>
      <c r="J65" s="2490">
        <f ca="1">+Transfer!G310/Transfer!F310*100-100</f>
        <v>1.7828748603085955</v>
      </c>
      <c r="K65" s="2441"/>
      <c r="L65" s="157"/>
      <c r="M65" s="135"/>
      <c r="N65" s="135"/>
      <c r="O65" s="45"/>
      <c r="P65" s="54"/>
      <c r="Q65" s="54"/>
      <c r="R65" s="54"/>
      <c r="S65" s="60"/>
      <c r="T65" s="159" t="s">
        <v>1028</v>
      </c>
      <c r="U65" s="95"/>
      <c r="V65" s="160"/>
      <c r="W65" s="290"/>
      <c r="X65" s="290">
        <f t="shared" ref="X65:AA73" ca="1" si="5">ROUND(G65,1)-ROUND(AO65,1)</f>
        <v>-0.59999999999999964</v>
      </c>
      <c r="Y65" s="290">
        <f t="shared" ca="1" si="5"/>
        <v>-0.39999999999999991</v>
      </c>
      <c r="Z65" s="290">
        <f t="shared" ca="1" si="5"/>
        <v>-0.7</v>
      </c>
      <c r="AA65" s="317">
        <f t="shared" ca="1" si="5"/>
        <v>0</v>
      </c>
      <c r="AB65" s="85"/>
      <c r="AC65" s="54"/>
      <c r="AD65" s="54"/>
      <c r="AE65" s="54"/>
      <c r="AF65" s="54"/>
      <c r="AG65" s="54"/>
      <c r="AH65" s="54"/>
      <c r="AI65" s="45"/>
      <c r="AJ65" s="60"/>
      <c r="AK65" s="2221" t="s">
        <v>1028</v>
      </c>
      <c r="AL65" s="2222"/>
      <c r="AM65" s="2223"/>
      <c r="AN65" s="2224" t="s">
        <v>1328</v>
      </c>
      <c r="AO65" s="2225">
        <f>+Transfer!AD310/Transfer!AC310*100-100</f>
        <v>3.270629905984805</v>
      </c>
      <c r="AP65" s="2225">
        <f>+Transfer!AE310/Transfer!AD310*100-100</f>
        <v>2.8866023292900707</v>
      </c>
      <c r="AQ65" s="2225">
        <f>+Transfer!AF310/Transfer!AE310*100-100</f>
        <v>2.3608134451274907</v>
      </c>
      <c r="AR65" s="2226">
        <f>+Transfer!AG310/Transfer!AF310*100-100</f>
        <v>1.7541649145643703</v>
      </c>
      <c r="AS65" s="85"/>
      <c r="AT65" s="157"/>
      <c r="AU65" s="135"/>
      <c r="AV65" s="135"/>
      <c r="AW65" s="45"/>
      <c r="AX65" s="54"/>
      <c r="AY65" s="54"/>
      <c r="AZ65" s="54"/>
      <c r="BA65" s="2048" t="s">
        <v>250</v>
      </c>
      <c r="BB65" s="54"/>
      <c r="BC65" s="54"/>
    </row>
    <row r="66" spans="1:55">
      <c r="A66" s="45"/>
      <c r="B66" s="1720"/>
      <c r="C66" s="2476" t="s">
        <v>559</v>
      </c>
      <c r="D66" s="2477"/>
      <c r="E66" s="2478" t="s">
        <v>897</v>
      </c>
      <c r="F66" s="2479" t="s">
        <v>1328</v>
      </c>
      <c r="G66" s="2480">
        <f ca="1">+Transfer!D313/Transfer!C313*100-100</f>
        <v>3.2340268050278667</v>
      </c>
      <c r="H66" s="2480">
        <f ca="1">+Transfer!E313/Transfer!D313*100-100</f>
        <v>3.4379257614164658</v>
      </c>
      <c r="I66" s="2480">
        <f ca="1">+Transfer!F313/Transfer!E313*100-100</f>
        <v>3.2390742576303495</v>
      </c>
      <c r="J66" s="2481">
        <f ca="1">+Transfer!G313/Transfer!F313*100-100</f>
        <v>3.0107866005557611</v>
      </c>
      <c r="K66" s="2437"/>
      <c r="L66" s="150"/>
      <c r="M66" s="135"/>
      <c r="N66" s="135"/>
      <c r="O66" s="45"/>
      <c r="P66" s="54"/>
      <c r="Q66" s="54"/>
      <c r="R66" s="54"/>
      <c r="S66" s="60"/>
      <c r="T66" s="99" t="s">
        <v>559</v>
      </c>
      <c r="U66" s="100"/>
      <c r="V66" s="161" t="s">
        <v>897</v>
      </c>
      <c r="W66" s="2068"/>
      <c r="X66" s="2068">
        <f t="shared" ca="1" si="5"/>
        <v>-9.9999999999999645E-2</v>
      </c>
      <c r="Y66" s="2068">
        <f t="shared" ca="1" si="5"/>
        <v>-0.30000000000000027</v>
      </c>
      <c r="Z66" s="2068">
        <f t="shared" ca="1" si="5"/>
        <v>-1.5</v>
      </c>
      <c r="AA66" s="81">
        <f t="shared" ca="1" si="5"/>
        <v>-0.70000000000000018</v>
      </c>
      <c r="AB66" s="82"/>
      <c r="AC66" s="54"/>
      <c r="AD66" s="54"/>
      <c r="AE66" s="54"/>
      <c r="AF66" s="54"/>
      <c r="AG66" s="54"/>
      <c r="AH66" s="54"/>
      <c r="AI66" s="45"/>
      <c r="AJ66" s="60"/>
      <c r="AK66" s="2176" t="s">
        <v>559</v>
      </c>
      <c r="AL66" s="2177"/>
      <c r="AM66" s="2178" t="s">
        <v>897</v>
      </c>
      <c r="AN66" s="2179" t="s">
        <v>1328</v>
      </c>
      <c r="AO66" s="2180">
        <f>+Transfer!AD313/Transfer!AC313*100-100</f>
        <v>3.2765577986457544</v>
      </c>
      <c r="AP66" s="2180">
        <f>+Transfer!AE313/Transfer!AD313*100-100</f>
        <v>3.6706420216573292</v>
      </c>
      <c r="AQ66" s="2180">
        <f>+Transfer!AF313/Transfer!AE313*100-100</f>
        <v>4.6702609716188874</v>
      </c>
      <c r="AR66" s="2181">
        <f>+Transfer!AG313/Transfer!AF313*100-100</f>
        <v>3.7326342922331577</v>
      </c>
      <c r="AS66" s="82"/>
      <c r="AT66" s="150"/>
      <c r="AU66" s="135"/>
      <c r="AV66" s="135"/>
      <c r="AW66" s="45"/>
      <c r="AX66" s="54"/>
      <c r="AY66" s="54"/>
      <c r="AZ66" s="54"/>
      <c r="BA66" s="2049" t="s">
        <v>251</v>
      </c>
      <c r="BB66" s="54"/>
      <c r="BC66" s="54"/>
    </row>
    <row r="67" spans="1:55">
      <c r="A67" s="45"/>
      <c r="B67" s="1720"/>
      <c r="C67" s="2492" t="s">
        <v>1026</v>
      </c>
      <c r="D67" s="2455"/>
      <c r="E67" s="2493" t="s">
        <v>294</v>
      </c>
      <c r="F67" s="2457" t="s">
        <v>1328</v>
      </c>
      <c r="G67" s="2456">
        <f ca="1">((Transfer!D291/Transfer!C291)-1)*100</f>
        <v>4.9543854790373931</v>
      </c>
      <c r="H67" s="2456">
        <f ca="1">((Transfer!E291/Transfer!D291)-1)*100</f>
        <v>3.5500000000000309</v>
      </c>
      <c r="I67" s="2456">
        <f ca="1">((Transfer!F291/Transfer!E291)-1)*100</f>
        <v>3.3500000000000085</v>
      </c>
      <c r="J67" s="2458">
        <f ca="1">((Transfer!G291/Transfer!F291)-1)*100</f>
        <v>3.0199999999999783</v>
      </c>
      <c r="K67" s="2459"/>
      <c r="L67" s="150"/>
      <c r="M67" s="135"/>
      <c r="N67" s="135"/>
      <c r="O67" s="45"/>
      <c r="P67" s="54"/>
      <c r="Q67" s="54"/>
      <c r="R67" s="54"/>
      <c r="S67" s="60"/>
      <c r="T67" s="162" t="s">
        <v>1026</v>
      </c>
      <c r="U67" s="102"/>
      <c r="V67" s="163" t="s">
        <v>294</v>
      </c>
      <c r="W67" s="91"/>
      <c r="X67" s="91">
        <f t="shared" ca="1" si="5"/>
        <v>1.4</v>
      </c>
      <c r="Y67" s="91">
        <f t="shared" ca="1" si="5"/>
        <v>-1.4999999999999996</v>
      </c>
      <c r="Z67" s="91">
        <f t="shared" ca="1" si="5"/>
        <v>-1.4</v>
      </c>
      <c r="AA67" s="93">
        <f t="shared" ca="1" si="5"/>
        <v>-1</v>
      </c>
      <c r="AB67" s="103"/>
      <c r="AC67" s="54"/>
      <c r="AD67" s="54"/>
      <c r="AE67" s="54"/>
      <c r="AF67" s="54"/>
      <c r="AG67" s="54"/>
      <c r="AH67" s="54"/>
      <c r="AI67" s="45"/>
      <c r="AJ67" s="60"/>
      <c r="AK67" s="2185" t="s">
        <v>1026</v>
      </c>
      <c r="AL67" s="2172"/>
      <c r="AM67" s="2186" t="s">
        <v>294</v>
      </c>
      <c r="AN67" s="2174" t="s">
        <v>1328</v>
      </c>
      <c r="AO67" s="2173">
        <f>((Transfer!AD291/Transfer!AC291)-1)*100</f>
        <v>3.5579184897438942</v>
      </c>
      <c r="AP67" s="2173">
        <f>((Transfer!AE291/Transfer!AD291)-1)*100</f>
        <v>5.1074977494758311</v>
      </c>
      <c r="AQ67" s="2173">
        <f>((Transfer!AF291/Transfer!AE291)-1)*100</f>
        <v>4.7900000000000054</v>
      </c>
      <c r="AR67" s="2175">
        <f>((Transfer!AG291/Transfer!AF291)-1)*100</f>
        <v>4.0100000000000025</v>
      </c>
      <c r="AS67" s="103"/>
      <c r="AT67" s="150"/>
      <c r="AU67" s="135"/>
      <c r="AV67" s="135"/>
      <c r="AW67" s="45"/>
      <c r="AX67" s="54"/>
      <c r="AY67" s="54"/>
      <c r="AZ67" s="54"/>
      <c r="BA67" s="2048" t="s">
        <v>252</v>
      </c>
      <c r="BB67" s="54"/>
      <c r="BC67" s="54"/>
    </row>
    <row r="68" spans="1:55">
      <c r="A68" s="45"/>
      <c r="B68" s="1720"/>
      <c r="C68" s="2492" t="s">
        <v>1027</v>
      </c>
      <c r="D68" s="2455"/>
      <c r="E68" s="2493" t="s">
        <v>1498</v>
      </c>
      <c r="F68" s="2457" t="s">
        <v>1328</v>
      </c>
      <c r="G68" s="2456">
        <f ca="1">((Transfer!D292/Transfer!C292)-1)*100</f>
        <v>-0.29525342266467636</v>
      </c>
      <c r="H68" s="2456">
        <f ca="1">((Transfer!E292/Transfer!D292)-1)*100</f>
        <v>3.1899999999999817</v>
      </c>
      <c r="I68" s="2456">
        <f ca="1">((Transfer!F292/Transfer!E292)-1)*100</f>
        <v>2.9900000000000038</v>
      </c>
      <c r="J68" s="2458">
        <f ca="1">((Transfer!G292/Transfer!F292)-1)*100</f>
        <v>2.9900000000000038</v>
      </c>
      <c r="K68" s="2459"/>
      <c r="L68" s="150"/>
      <c r="M68" s="135"/>
      <c r="N68" s="135"/>
      <c r="O68" s="45"/>
      <c r="P68" s="54"/>
      <c r="Q68" s="54"/>
      <c r="R68" s="54"/>
      <c r="S68" s="60"/>
      <c r="T68" s="162" t="s">
        <v>1027</v>
      </c>
      <c r="U68" s="102"/>
      <c r="V68" s="163" t="s">
        <v>1498</v>
      </c>
      <c r="W68" s="91"/>
      <c r="X68" s="91">
        <f t="shared" ca="1" si="5"/>
        <v>-3</v>
      </c>
      <c r="Y68" s="91">
        <f t="shared" ca="1" si="5"/>
        <v>2.6</v>
      </c>
      <c r="Z68" s="91">
        <f t="shared" ca="1" si="5"/>
        <v>-1.4000000000000004</v>
      </c>
      <c r="AA68" s="93">
        <f t="shared" ca="1" si="5"/>
        <v>-0.10000000000000009</v>
      </c>
      <c r="AB68" s="103"/>
      <c r="AC68" s="54"/>
      <c r="AD68" s="54"/>
      <c r="AE68" s="54"/>
      <c r="AF68" s="54"/>
      <c r="AG68" s="54"/>
      <c r="AH68" s="54"/>
      <c r="AI68" s="45"/>
      <c r="AJ68" s="60"/>
      <c r="AK68" s="2185" t="s">
        <v>1027</v>
      </c>
      <c r="AL68" s="2172"/>
      <c r="AM68" s="2186" t="s">
        <v>1498</v>
      </c>
      <c r="AN68" s="2174" t="s">
        <v>1328</v>
      </c>
      <c r="AO68" s="2173">
        <f>((Transfer!AD292/Transfer!AC292)-1)*100</f>
        <v>2.6804176961286563</v>
      </c>
      <c r="AP68" s="2173">
        <f>((Transfer!AE292/Transfer!AD292)-1)*100</f>
        <v>0.64506609118788472</v>
      </c>
      <c r="AQ68" s="2173">
        <f>((Transfer!AF292/Transfer!AE292)-1)*100</f>
        <v>4.4000000000000039</v>
      </c>
      <c r="AR68" s="2175">
        <f>((Transfer!AG292/Transfer!AF292)-1)*100</f>
        <v>3.0999999999999917</v>
      </c>
      <c r="AS68" s="103"/>
      <c r="AT68" s="150"/>
      <c r="AU68" s="135"/>
      <c r="AV68" s="135"/>
      <c r="AW68" s="45"/>
      <c r="AX68" s="54"/>
      <c r="AY68" s="54"/>
      <c r="AZ68" s="54"/>
      <c r="BA68" s="2048" t="s">
        <v>253</v>
      </c>
      <c r="BB68" s="54"/>
      <c r="BC68" s="54"/>
    </row>
    <row r="69" spans="1:55" ht="13.15">
      <c r="A69" s="45"/>
      <c r="B69" s="1720"/>
      <c r="C69" s="2485" t="s">
        <v>1924</v>
      </c>
      <c r="D69" s="2486"/>
      <c r="E69" s="2487"/>
      <c r="F69" s="2488" t="s">
        <v>1328</v>
      </c>
      <c r="G69" s="2489">
        <f ca="1">+Transfer!D316/Transfer!C316*100-100</f>
        <v>2.8672969097964369</v>
      </c>
      <c r="H69" s="2489">
        <f ca="1">+Transfer!E316/Transfer!D316*100-100</f>
        <v>2.769414236726675</v>
      </c>
      <c r="I69" s="2489">
        <f ca="1">+Transfer!F316/Transfer!E316*100-100</f>
        <v>2.1980320918901981</v>
      </c>
      <c r="J69" s="2490">
        <f ca="1">+Transfer!G316/Transfer!F316*100-100</f>
        <v>2.1891772277512018</v>
      </c>
      <c r="K69" s="2441"/>
      <c r="L69" s="157"/>
      <c r="M69" s="135"/>
      <c r="N69" s="135"/>
      <c r="O69" s="45"/>
      <c r="P69" s="54"/>
      <c r="Q69" s="54"/>
      <c r="R69" s="54"/>
      <c r="S69" s="60"/>
      <c r="T69" s="164" t="s">
        <v>1924</v>
      </c>
      <c r="U69" s="104"/>
      <c r="V69" s="165"/>
      <c r="W69" s="156"/>
      <c r="X69" s="156">
        <f t="shared" ca="1" si="5"/>
        <v>-0.39999999999999991</v>
      </c>
      <c r="Y69" s="156">
        <f t="shared" ca="1" si="5"/>
        <v>-0.30000000000000027</v>
      </c>
      <c r="Z69" s="156">
        <f t="shared" ca="1" si="5"/>
        <v>-0.89999999999999991</v>
      </c>
      <c r="AA69" s="283">
        <f t="shared" ca="1" si="5"/>
        <v>-0.19999999999999973</v>
      </c>
      <c r="AB69" s="85"/>
      <c r="AC69" s="54"/>
      <c r="AD69" s="54"/>
      <c r="AE69" s="54"/>
      <c r="AF69" s="54"/>
      <c r="AG69" s="54"/>
      <c r="AH69" s="54"/>
      <c r="AI69" s="45"/>
      <c r="AJ69" s="60"/>
      <c r="AK69" s="2221" t="s">
        <v>1924</v>
      </c>
      <c r="AL69" s="2222"/>
      <c r="AM69" s="2223"/>
      <c r="AN69" s="2224" t="s">
        <v>1328</v>
      </c>
      <c r="AO69" s="2225">
        <f>+Transfer!AD316/Transfer!AC316*100-100</f>
        <v>3.2725491869707497</v>
      </c>
      <c r="AP69" s="2225">
        <f>+Transfer!AE316/Transfer!AD316*100-100</f>
        <v>3.1355507153422622</v>
      </c>
      <c r="AQ69" s="2225">
        <f>+Transfer!AF316/Transfer!AE316*100-100</f>
        <v>3.1021583217090409</v>
      </c>
      <c r="AR69" s="2226">
        <f>+Transfer!AG316/Transfer!AF316*100-100</f>
        <v>2.4046311531888733</v>
      </c>
      <c r="AS69" s="85"/>
      <c r="AT69" s="157"/>
      <c r="AU69" s="135"/>
      <c r="AV69" s="135"/>
      <c r="AW69" s="45"/>
      <c r="AX69" s="54"/>
      <c r="AY69" s="54"/>
      <c r="AZ69" s="54"/>
      <c r="BA69" s="2048" t="s">
        <v>254</v>
      </c>
      <c r="BB69" s="54"/>
      <c r="BC69" s="54"/>
    </row>
    <row r="70" spans="1:55">
      <c r="A70" s="45"/>
      <c r="B70" s="1720"/>
      <c r="C70" s="2476" t="s">
        <v>222</v>
      </c>
      <c r="D70" s="2477"/>
      <c r="E70" s="2478" t="s">
        <v>1318</v>
      </c>
      <c r="F70" s="2479" t="s">
        <v>1328</v>
      </c>
      <c r="G70" s="2480">
        <f ca="1">+Transfer!D319/Transfer!C319*100-100</f>
        <v>4.7513163027785907</v>
      </c>
      <c r="H70" s="2480">
        <f ca="1">+Transfer!E319/Transfer!D319*100-100</f>
        <v>3.715056275549415</v>
      </c>
      <c r="I70" s="2480">
        <f ca="1">+Transfer!F319/Transfer!E319*100-100</f>
        <v>3.1985284206106854</v>
      </c>
      <c r="J70" s="2481">
        <f ca="1">+Transfer!G319/Transfer!F319*100-100</f>
        <v>3.1473976473907186</v>
      </c>
      <c r="K70" s="2437"/>
      <c r="L70" s="150"/>
      <c r="M70" s="135"/>
      <c r="N70" s="135"/>
      <c r="O70" s="45"/>
      <c r="P70" s="54"/>
      <c r="Q70" s="54"/>
      <c r="R70" s="54"/>
      <c r="S70" s="60"/>
      <c r="T70" s="166" t="s">
        <v>222</v>
      </c>
      <c r="U70" s="57"/>
      <c r="V70" s="149" t="s">
        <v>1318</v>
      </c>
      <c r="W70" s="91"/>
      <c r="X70" s="91">
        <f t="shared" ca="1" si="5"/>
        <v>1.4</v>
      </c>
      <c r="Y70" s="91">
        <f t="shared" ca="1" si="5"/>
        <v>-1.2999999999999998</v>
      </c>
      <c r="Z70" s="91">
        <f t="shared" ca="1" si="5"/>
        <v>-1.0999999999999996</v>
      </c>
      <c r="AA70" s="93">
        <f t="shared" ca="1" si="5"/>
        <v>-0.39999999999999991</v>
      </c>
      <c r="AB70" s="82"/>
      <c r="AC70" s="54"/>
      <c r="AD70" s="54"/>
      <c r="AE70" s="54"/>
      <c r="AF70" s="54"/>
      <c r="AG70" s="54"/>
      <c r="AH70" s="54"/>
      <c r="AI70" s="45"/>
      <c r="AJ70" s="60"/>
      <c r="AK70" s="2176" t="s">
        <v>222</v>
      </c>
      <c r="AL70" s="2177"/>
      <c r="AM70" s="2178" t="s">
        <v>1318</v>
      </c>
      <c r="AN70" s="2179" t="s">
        <v>1328</v>
      </c>
      <c r="AO70" s="2180">
        <f>+Transfer!AD319/Transfer!AC319*100-100</f>
        <v>3.3649107095802719</v>
      </c>
      <c r="AP70" s="2180">
        <f>+Transfer!AE319/Transfer!AD319*100-100</f>
        <v>4.9909988282775402</v>
      </c>
      <c r="AQ70" s="2180">
        <f>+Transfer!AF319/Transfer!AE319*100-100</f>
        <v>4.3031492994369103</v>
      </c>
      <c r="AR70" s="2181">
        <f>+Transfer!AG319/Transfer!AF319*100-100</f>
        <v>3.457578075950039</v>
      </c>
      <c r="AS70" s="82"/>
      <c r="AT70" s="150"/>
      <c r="AU70" s="135"/>
      <c r="AV70" s="135"/>
      <c r="AW70" s="45"/>
      <c r="AX70" s="54"/>
      <c r="AY70" s="54"/>
      <c r="AZ70" s="54"/>
      <c r="BA70" s="2049" t="s">
        <v>255</v>
      </c>
      <c r="BB70" s="54"/>
      <c r="BC70" s="54"/>
    </row>
    <row r="71" spans="1:55">
      <c r="A71" s="45"/>
      <c r="B71" s="1720"/>
      <c r="C71" s="2492" t="s">
        <v>1029</v>
      </c>
      <c r="D71" s="2455"/>
      <c r="E71" s="2493" t="s">
        <v>425</v>
      </c>
      <c r="F71" s="2457" t="s">
        <v>1328</v>
      </c>
      <c r="G71" s="2456">
        <f ca="1">((Transfer!D293/Transfer!C293)-1)*100</f>
        <v>4.0222811279401194</v>
      </c>
      <c r="H71" s="2456">
        <f ca="1">((Transfer!E293/Transfer!D293)-1)*100</f>
        <v>4.0100000000000025</v>
      </c>
      <c r="I71" s="2456">
        <f ca="1">((Transfer!F293/Transfer!E293)-1)*100</f>
        <v>3.3600000000000074</v>
      </c>
      <c r="J71" s="2458">
        <f ca="1">((Transfer!G293/Transfer!F293)-1)*100</f>
        <v>3.1199999999999894</v>
      </c>
      <c r="K71" s="2459"/>
      <c r="L71" s="150"/>
      <c r="M71" s="135"/>
      <c r="N71" s="135"/>
      <c r="O71" s="45"/>
      <c r="P71" s="54"/>
      <c r="Q71" s="54"/>
      <c r="R71" s="54"/>
      <c r="S71" s="60"/>
      <c r="T71" s="168" t="s">
        <v>1029</v>
      </c>
      <c r="U71" s="105"/>
      <c r="V71" s="169" t="s">
        <v>425</v>
      </c>
      <c r="W71" s="91"/>
      <c r="X71" s="91">
        <f t="shared" ca="1" si="5"/>
        <v>-1</v>
      </c>
      <c r="Y71" s="91">
        <f t="shared" ca="1" si="5"/>
        <v>-0.20000000000000018</v>
      </c>
      <c r="Z71" s="91">
        <f t="shared" ca="1" si="5"/>
        <v>-1.3000000000000003</v>
      </c>
      <c r="AA71" s="93">
        <f t="shared" ca="1" si="5"/>
        <v>-0.5</v>
      </c>
      <c r="AB71" s="103"/>
      <c r="AC71" s="54"/>
      <c r="AD71" s="54"/>
      <c r="AE71" s="54"/>
      <c r="AF71" s="54"/>
      <c r="AG71" s="54"/>
      <c r="AH71" s="54"/>
      <c r="AI71" s="45"/>
      <c r="AJ71" s="60"/>
      <c r="AK71" s="2185" t="s">
        <v>1029</v>
      </c>
      <c r="AL71" s="2172"/>
      <c r="AM71" s="2186" t="s">
        <v>425</v>
      </c>
      <c r="AN71" s="2174" t="s">
        <v>1328</v>
      </c>
      <c r="AO71" s="2173">
        <f>((Transfer!AD293/Transfer!AC293)-1)*100</f>
        <v>4.9990650026423777</v>
      </c>
      <c r="AP71" s="2173">
        <f>((Transfer!AE293/Transfer!AD293)-1)*100</f>
        <v>4.1692348672330626</v>
      </c>
      <c r="AQ71" s="2173">
        <f>((Transfer!AF293/Transfer!AE293)-1)*100</f>
        <v>4.6599999999999753</v>
      </c>
      <c r="AR71" s="2175">
        <f>((Transfer!AG293/Transfer!AF293)-1)*100</f>
        <v>3.5700000000000065</v>
      </c>
      <c r="AS71" s="103"/>
      <c r="AT71" s="150"/>
      <c r="AU71" s="135"/>
      <c r="AV71" s="135"/>
      <c r="AW71" s="45"/>
      <c r="AX71" s="54"/>
      <c r="AY71" s="54"/>
      <c r="AZ71" s="54"/>
      <c r="BA71" s="2048" t="s">
        <v>256</v>
      </c>
      <c r="BB71" s="54"/>
      <c r="BC71" s="54"/>
    </row>
    <row r="72" spans="1:55" ht="13.15">
      <c r="A72" s="45"/>
      <c r="B72" s="1720"/>
      <c r="C72" s="2492" t="s">
        <v>1030</v>
      </c>
      <c r="D72" s="2455"/>
      <c r="E72" s="2493" t="s">
        <v>426</v>
      </c>
      <c r="F72" s="2457" t="s">
        <v>1328</v>
      </c>
      <c r="G72" s="2456">
        <f ca="1">((Transfer!D294/Transfer!C294)-1)*100</f>
        <v>6.3907696063153718</v>
      </c>
      <c r="H72" s="2456">
        <f ca="1">((Transfer!E294/Transfer!D294)-1)*100</f>
        <v>3.0499999999999972</v>
      </c>
      <c r="I72" s="2456">
        <f ca="1">((Transfer!F294/Transfer!E294)-1)*100</f>
        <v>2.829999999999977</v>
      </c>
      <c r="J72" s="2458">
        <f ca="1">((Transfer!G294/Transfer!F294)-1)*100</f>
        <v>3.2099999999999573</v>
      </c>
      <c r="K72" s="2459"/>
      <c r="L72" s="150"/>
      <c r="M72" s="135"/>
      <c r="N72" s="135"/>
      <c r="O72" s="45"/>
      <c r="P72" s="54"/>
      <c r="Q72" s="54"/>
      <c r="R72" s="54"/>
      <c r="S72" s="60"/>
      <c r="T72" s="170" t="s">
        <v>1030</v>
      </c>
      <c r="U72" s="171"/>
      <c r="V72" s="172" t="s">
        <v>426</v>
      </c>
      <c r="W72" s="156"/>
      <c r="X72" s="156">
        <f t="shared" ca="1" si="5"/>
        <v>6.6000000000000005</v>
      </c>
      <c r="Y72" s="156">
        <f t="shared" ca="1" si="5"/>
        <v>-3.6999999999999997</v>
      </c>
      <c r="Z72" s="156">
        <f t="shared" ca="1" si="5"/>
        <v>-0.70000000000000018</v>
      </c>
      <c r="AA72" s="283">
        <f t="shared" ca="1" si="5"/>
        <v>0</v>
      </c>
      <c r="AB72" s="103"/>
      <c r="AC72" s="54"/>
      <c r="AD72" s="54"/>
      <c r="AE72" s="54"/>
      <c r="AF72" s="54"/>
      <c r="AG72" s="54"/>
      <c r="AH72" s="54"/>
      <c r="AI72" s="45"/>
      <c r="AJ72" s="60"/>
      <c r="AK72" s="2185" t="s">
        <v>1030</v>
      </c>
      <c r="AL72" s="2172"/>
      <c r="AM72" s="2186" t="s">
        <v>426</v>
      </c>
      <c r="AN72" s="2174" t="s">
        <v>1328</v>
      </c>
      <c r="AO72" s="2173">
        <f>((Transfer!AD294/Transfer!AC294)-1)*100</f>
        <v>-0.20667578946518272</v>
      </c>
      <c r="AP72" s="2173">
        <f>((Transfer!AE294/Transfer!AD294)-1)*100</f>
        <v>6.8421116499945311</v>
      </c>
      <c r="AQ72" s="2173">
        <f>((Transfer!AF294/Transfer!AE294)-1)*100</f>
        <v>3.5000000000000142</v>
      </c>
      <c r="AR72" s="2175">
        <f>((Transfer!AG294/Transfer!AF294)-1)*100</f>
        <v>3.2000000000000028</v>
      </c>
      <c r="AS72" s="103"/>
      <c r="AT72" s="150"/>
      <c r="AU72" s="135"/>
      <c r="AV72" s="135"/>
      <c r="AW72" s="45"/>
      <c r="AX72" s="54"/>
      <c r="AY72" s="54"/>
      <c r="AZ72" s="54"/>
      <c r="BA72" s="2048" t="s">
        <v>257</v>
      </c>
      <c r="BB72" s="54"/>
      <c r="BC72" s="54"/>
    </row>
    <row r="73" spans="1:55" ht="13.15">
      <c r="A73" s="45"/>
      <c r="B73" s="1720"/>
      <c r="C73" s="2494" t="s">
        <v>1925</v>
      </c>
      <c r="D73" s="2495"/>
      <c r="E73" s="2496" t="s">
        <v>427</v>
      </c>
      <c r="F73" s="2497" t="s">
        <v>1328</v>
      </c>
      <c r="G73" s="2498">
        <f ca="1">((Transfer!D295/Transfer!C295)-1)*100</f>
        <v>2.1141964181437434</v>
      </c>
      <c r="H73" s="2498">
        <f ca="1">((Transfer!E295/Transfer!D295)-1)*100</f>
        <v>2.3754579714468482</v>
      </c>
      <c r="I73" s="2498">
        <f ca="1">((Transfer!F295/Transfer!E295)-1)*100</f>
        <v>1.7607506553809715</v>
      </c>
      <c r="J73" s="3373">
        <f ca="1">((Transfer!G295/Transfer!F295)-1)*100</f>
        <v>1.7609205310281206</v>
      </c>
      <c r="K73" s="2441"/>
      <c r="L73" s="157"/>
      <c r="M73" s="135"/>
      <c r="N73" s="135"/>
      <c r="O73" s="45"/>
      <c r="P73" s="54"/>
      <c r="Q73" s="54"/>
      <c r="R73" s="54"/>
      <c r="S73" s="60"/>
      <c r="T73" s="173" t="s">
        <v>1925</v>
      </c>
      <c r="U73" s="174"/>
      <c r="V73" s="175" t="s">
        <v>427</v>
      </c>
      <c r="W73" s="290"/>
      <c r="X73" s="290">
        <f t="shared" ca="1" si="5"/>
        <v>-1.1000000000000001</v>
      </c>
      <c r="Y73" s="290">
        <f t="shared" ca="1" si="5"/>
        <v>0</v>
      </c>
      <c r="Z73" s="290">
        <f t="shared" ca="1" si="5"/>
        <v>-0.8</v>
      </c>
      <c r="AA73" s="283">
        <f t="shared" ca="1" si="5"/>
        <v>-0.19999999999999996</v>
      </c>
      <c r="AB73" s="85"/>
      <c r="AC73" s="54"/>
      <c r="AD73" s="54"/>
      <c r="AE73" s="54"/>
      <c r="AF73" s="54"/>
      <c r="AG73" s="54"/>
      <c r="AH73" s="54"/>
      <c r="AI73" s="45"/>
      <c r="AJ73" s="60"/>
      <c r="AK73" s="2188" t="s">
        <v>1925</v>
      </c>
      <c r="AL73" s="2189"/>
      <c r="AM73" s="2190" t="s">
        <v>427</v>
      </c>
      <c r="AN73" s="2191" t="s">
        <v>1328</v>
      </c>
      <c r="AO73" s="2192">
        <f>((Transfer!AD295/Transfer!AC295)-1)*100</f>
        <v>3.2349419223578257</v>
      </c>
      <c r="AP73" s="2192">
        <f>((Transfer!AE295/Transfer!AD295)-1)*100</f>
        <v>2.4038623421638983</v>
      </c>
      <c r="AQ73" s="2192">
        <f>((Transfer!AF295/Transfer!AE295)-1)*100</f>
        <v>2.6081955625346875</v>
      </c>
      <c r="AR73" s="2193">
        <f>((Transfer!AG295/Transfer!AF295)-1)*100</f>
        <v>1.9533309048511693</v>
      </c>
      <c r="AS73" s="85"/>
      <c r="AT73" s="157"/>
      <c r="AU73" s="135"/>
      <c r="AV73" s="135"/>
      <c r="AW73" s="45"/>
      <c r="AX73" s="54"/>
      <c r="AY73" s="54"/>
      <c r="AZ73" s="54"/>
      <c r="BA73" s="2048" t="s">
        <v>258</v>
      </c>
      <c r="BB73" s="54"/>
      <c r="BC73" s="54"/>
    </row>
    <row r="74" spans="1:55" ht="13.15">
      <c r="A74" s="45"/>
      <c r="B74" s="1720"/>
      <c r="C74" s="1721"/>
      <c r="D74" s="2420"/>
      <c r="E74" s="2491"/>
      <c r="F74" s="2499"/>
      <c r="G74" s="3904" t="s">
        <v>305</v>
      </c>
      <c r="H74" s="3905"/>
      <c r="I74" s="3905"/>
      <c r="J74" s="3906"/>
      <c r="K74" s="2417"/>
      <c r="L74" s="178"/>
      <c r="M74" s="135"/>
      <c r="N74" s="135"/>
      <c r="O74" s="45"/>
      <c r="P74" s="54"/>
      <c r="Q74" s="54"/>
      <c r="R74" s="54"/>
      <c r="S74" s="60"/>
      <c r="T74" s="40"/>
      <c r="U74" s="65"/>
      <c r="V74" s="152"/>
      <c r="W74" s="2070"/>
      <c r="X74" s="3893" t="s">
        <v>305</v>
      </c>
      <c r="Y74" s="3907"/>
      <c r="Z74" s="3907"/>
      <c r="AA74" s="3908"/>
      <c r="AB74" s="106"/>
      <c r="AC74" s="54"/>
      <c r="AD74" s="54"/>
      <c r="AE74" s="54"/>
      <c r="AF74" s="54"/>
      <c r="AG74" s="54"/>
      <c r="AH74" s="54"/>
      <c r="AI74" s="45"/>
      <c r="AJ74" s="60"/>
      <c r="AK74" s="40"/>
      <c r="AL74" s="65"/>
      <c r="AM74" s="152"/>
      <c r="AN74" s="2044"/>
      <c r="AO74" s="3909" t="s">
        <v>305</v>
      </c>
      <c r="AP74" s="3910"/>
      <c r="AQ74" s="3910"/>
      <c r="AR74" s="3911"/>
      <c r="AS74" s="106"/>
      <c r="AT74" s="178"/>
      <c r="AU74" s="135"/>
      <c r="AV74" s="135"/>
      <c r="AW74" s="45"/>
      <c r="AX74" s="54"/>
      <c r="AY74" s="54"/>
      <c r="AZ74" s="54"/>
      <c r="BA74" s="2049"/>
      <c r="BB74" s="54"/>
      <c r="BC74" s="54"/>
    </row>
    <row r="75" spans="1:55">
      <c r="A75" s="45"/>
      <c r="B75" s="1720"/>
      <c r="C75" s="2500" t="s">
        <v>1038</v>
      </c>
      <c r="D75" s="2501"/>
      <c r="E75" s="2502"/>
      <c r="F75" s="2503" t="s">
        <v>1328</v>
      </c>
      <c r="G75" s="2504">
        <f ca="1">IF(Transfer!$C$280=1,(((Transfer!D101+Transfer!D102+Transfer!D103) - (Transfer!C136+Transfer!C137+Transfer!C138))/Transfer!C147)*100,(((Transfer!D101+Transfer!D102+Transfer!D103) - (Transfer!C101+Transfer!C102+Transfer!C103))/Transfer!C112)*100)</f>
        <v>2.4389729638022493</v>
      </c>
      <c r="H75" s="2504">
        <f ca="1">IF(Transfer!$C$280=1,(((Transfer!E101+Transfer!E102+Transfer!E103) - (Transfer!D136+Transfer!D137+Transfer!D138))/Transfer!D147)*100,(((Transfer!E101+Transfer!E102+Transfer!E103) - (Transfer!D101+Transfer!D102+Transfer!D103))/Transfer!D112)*100)</f>
        <v>2.2296217038200603</v>
      </c>
      <c r="I75" s="2504">
        <f ca="1">IF(Transfer!$C$280=1,(((Transfer!F101+Transfer!F102+Transfer!F103) - (Transfer!E136+Transfer!E137+Transfer!E138))/Transfer!E147)*100,(((Transfer!F101+Transfer!F102+Transfer!F103) - (Transfer!E101+Transfer!E102+Transfer!E103))/Transfer!E112)*100)</f>
        <v>1.7731734392687861</v>
      </c>
      <c r="J75" s="2505">
        <f ca="1">IF(Transfer!$C$280=1,(((Transfer!G101+Transfer!G102+Transfer!G103) - (Transfer!F136+Transfer!F137+Transfer!F138))/Transfer!F147)*100,(((Transfer!G101+Transfer!G102+Transfer!G103) - (Transfer!F101+Transfer!F102+Transfer!F103))/Transfer!F112)*100)</f>
        <v>1.7261016949502119</v>
      </c>
      <c r="K75" s="2437"/>
      <c r="L75" s="150"/>
      <c r="M75" s="135"/>
      <c r="N75" s="135"/>
      <c r="O75" s="45"/>
      <c r="P75" s="54"/>
      <c r="Q75" s="54"/>
      <c r="R75" s="54"/>
      <c r="S75" s="60"/>
      <c r="T75" s="179" t="s">
        <v>1038</v>
      </c>
      <c r="U75" s="65"/>
      <c r="V75" s="152"/>
      <c r="W75" s="91"/>
      <c r="X75" s="91">
        <f t="shared" ref="X75:AA77" ca="1" si="6">ROUND(G75,1)-ROUND(AO75,1)</f>
        <v>-0.70000000000000018</v>
      </c>
      <c r="Y75" s="91">
        <f t="shared" ca="1" si="6"/>
        <v>-0.39999999999999991</v>
      </c>
      <c r="Z75" s="91">
        <f t="shared" ca="1" si="6"/>
        <v>-0.49999999999999978</v>
      </c>
      <c r="AA75" s="81">
        <f t="shared" ca="1" si="6"/>
        <v>0</v>
      </c>
      <c r="AB75" s="82"/>
      <c r="AC75" s="54"/>
      <c r="AD75" s="54"/>
      <c r="AE75" s="54"/>
      <c r="AF75" s="54"/>
      <c r="AG75" s="54"/>
      <c r="AH75" s="54"/>
      <c r="AI75" s="45"/>
      <c r="AJ75" s="60"/>
      <c r="AK75" s="2194" t="s">
        <v>1038</v>
      </c>
      <c r="AL75" s="2195"/>
      <c r="AM75" s="2196"/>
      <c r="AN75" s="2162" t="s">
        <v>1328</v>
      </c>
      <c r="AO75" s="2164">
        <f>IF(Transfer!$C$280=1,(((Transfer!AD101+Transfer!AD102+Transfer!AD103) - (Transfer!AC136+Transfer!AC137+Transfer!AC138))/Transfer!AC147)*100,(((Transfer!AD101+Transfer!AD102+Transfer!AD103) - (Transfer!AC101+Transfer!AC102+Transfer!AC103))/Transfer!AC112)*100)</f>
        <v>3.0923018832665496</v>
      </c>
      <c r="AP75" s="2164">
        <f>IF(Transfer!$C$280=1,(((Transfer!AE101+Transfer!AE102+Transfer!AE103) - (Transfer!AD136+Transfer!AD137+Transfer!AD138))/Transfer!AD147)*100,(((Transfer!AE101+Transfer!AE102+Transfer!AE103) - (Transfer!AD101+Transfer!AD102+Transfer!AD103))/Transfer!AD112)*100)</f>
        <v>2.608929812057549</v>
      </c>
      <c r="AQ75" s="2164">
        <f>IF(Transfer!$C$280=1,(((Transfer!AF101+Transfer!AF102+Transfer!AF103) - (Transfer!AE136+Transfer!AE137+Transfer!AE138))/Transfer!AE147)*100,(((Transfer!AF101+Transfer!AF102+Transfer!AF103) - (Transfer!AE101+Transfer!AE102+Transfer!AE103))/Transfer!AE112)*100)</f>
        <v>2.2622789971341328</v>
      </c>
      <c r="AR75" s="2160">
        <f>IF(Transfer!$C$280=1,(((Transfer!AG101+Transfer!AG102+Transfer!AG103) - (Transfer!AF136+Transfer!AF137+Transfer!AF138))/Transfer!AF147)*100,(((Transfer!AG101+Transfer!AG102+Transfer!AG103) - (Transfer!AF101+Transfer!AF102+Transfer!AF103))/Transfer!AF112)*100)</f>
        <v>1.6821042686382219</v>
      </c>
      <c r="AS75" s="82"/>
      <c r="AT75" s="150"/>
      <c r="AU75" s="135"/>
      <c r="AV75" s="135"/>
      <c r="AW75" s="45"/>
      <c r="AX75" s="54"/>
      <c r="AY75" s="54"/>
      <c r="AZ75" s="54"/>
      <c r="BA75" s="2048" t="s">
        <v>259</v>
      </c>
      <c r="BB75" s="54"/>
      <c r="BC75" s="54"/>
    </row>
    <row r="76" spans="1:55">
      <c r="A76" s="45"/>
      <c r="B76" s="1720"/>
      <c r="C76" s="2500" t="s">
        <v>1031</v>
      </c>
      <c r="D76" s="2501"/>
      <c r="E76" s="2502" t="s">
        <v>124</v>
      </c>
      <c r="F76" s="2503" t="s">
        <v>1328</v>
      </c>
      <c r="G76" s="2503">
        <f ca="1">IF(Transfer!$C$280=1,((Transfer!D107 - Transfer!C142)/Transfer!C147)*100,((Transfer!D107 - Transfer!C107)/Transfer!C112)*100)</f>
        <v>0.13857636961230191</v>
      </c>
      <c r="H76" s="2503">
        <f ca="1">IF(Transfer!$C$280=1,((Transfer!E107 - Transfer!D142)/Transfer!D147)*100,((Transfer!E107 - Transfer!D107)/Transfer!D112)*100)</f>
        <v>0.1343423386276919</v>
      </c>
      <c r="I76" s="2503">
        <f ca="1">IF(Transfer!$C$280=1,((Transfer!F107 - Transfer!E142)/Transfer!E147)*100,((Transfer!F107 - Transfer!E107)/Transfer!E112)*100)</f>
        <v>-0.13729301205835828</v>
      </c>
      <c r="J76" s="1724">
        <f ca="1">IF(Transfer!$C$280=1,((Transfer!G107 - Transfer!F142)/Transfer!F147)*100,((Transfer!G107 - Transfer!F107)/Transfer!F112)*100)</f>
        <v>0</v>
      </c>
      <c r="K76" s="2437"/>
      <c r="L76" s="150"/>
      <c r="M76" s="135"/>
      <c r="N76" s="135"/>
      <c r="O76" s="45"/>
      <c r="P76" s="54"/>
      <c r="Q76" s="54"/>
      <c r="R76" s="54"/>
      <c r="S76" s="60"/>
      <c r="T76" s="180" t="s">
        <v>1031</v>
      </c>
      <c r="U76" s="49"/>
      <c r="V76" s="181" t="s">
        <v>124</v>
      </c>
      <c r="W76" s="91"/>
      <c r="X76" s="91">
        <f t="shared" ca="1" si="6"/>
        <v>0.1</v>
      </c>
      <c r="Y76" s="91">
        <f t="shared" ca="1" si="6"/>
        <v>0</v>
      </c>
      <c r="Z76" s="91">
        <f t="shared" ca="1" si="6"/>
        <v>-0.1</v>
      </c>
      <c r="AA76" s="93">
        <f t="shared" ca="1" si="6"/>
        <v>0</v>
      </c>
      <c r="AB76" s="82"/>
      <c r="AC76" s="54"/>
      <c r="AD76" s="54"/>
      <c r="AE76" s="54"/>
      <c r="AF76" s="54"/>
      <c r="AG76" s="54"/>
      <c r="AH76" s="54"/>
      <c r="AI76" s="45"/>
      <c r="AJ76" s="60"/>
      <c r="AK76" s="2194" t="s">
        <v>1031</v>
      </c>
      <c r="AL76" s="2195"/>
      <c r="AM76" s="2196" t="s">
        <v>124</v>
      </c>
      <c r="AN76" s="2162" t="s">
        <v>1328</v>
      </c>
      <c r="AO76" s="2162">
        <f>IF(Transfer!$C$280=1,((Transfer!AD107 - Transfer!AC142)/Transfer!AC147)*100,((Transfer!AD107 - Transfer!AC107)/Transfer!AC112)*100)</f>
        <v>1.9321049606377726E-2</v>
      </c>
      <c r="AP76" s="2162">
        <f>IF(Transfer!$C$280=1,((Transfer!AE107 - Transfer!AD142)/Transfer!AD147)*100,((Transfer!AE107 - Transfer!AD107)/Transfer!AD112)*100)</f>
        <v>0.13799465950652567</v>
      </c>
      <c r="AQ76" s="2162">
        <f>IF(Transfer!$C$280=1,((Transfer!AF107 - Transfer!AE142)/Transfer!AE147)*100,((Transfer!AF107 - Transfer!AE107)/Transfer!AE112)*100)</f>
        <v>0</v>
      </c>
      <c r="AR76" s="2161">
        <f>IF(Transfer!$C$280=1,((Transfer!AG107 - Transfer!AF142)/Transfer!AF147)*100,((Transfer!AG107 - Transfer!AF107)/Transfer!AF112)*100)</f>
        <v>0</v>
      </c>
      <c r="AS76" s="82"/>
      <c r="AT76" s="150"/>
      <c r="AU76" s="135"/>
      <c r="AV76" s="135"/>
      <c r="AW76" s="45"/>
      <c r="AX76" s="54"/>
      <c r="AY76" s="54"/>
      <c r="AZ76" s="54"/>
      <c r="BA76" s="2049" t="s">
        <v>260</v>
      </c>
      <c r="BB76" s="54"/>
      <c r="BC76" s="54"/>
    </row>
    <row r="77" spans="1:55" ht="13.15" thickBot="1">
      <c r="A77" s="45"/>
      <c r="B77" s="1720"/>
      <c r="C77" s="2506" t="s">
        <v>1032</v>
      </c>
      <c r="D77" s="2507"/>
      <c r="E77" s="2508" t="s">
        <v>490</v>
      </c>
      <c r="F77" s="2509" t="s">
        <v>1328</v>
      </c>
      <c r="G77" s="2509">
        <f ca="1">IF(Transfer!$C$280=1,(((Transfer!D108+Transfer!D109-Transfer!D110-Transfer!D111) - (Transfer!C143+Transfer!C144-Transfer!C145-Transfer!C146)) / Transfer!C147)*100,(((Transfer!D108+Transfer!D109-Transfer!D110-Transfer!D111) - (Transfer!C108+Transfer!C109-Transfer!C110-Transfer!C111)) / Transfer!C112)*100)</f>
        <v>-0.46335763209507186</v>
      </c>
      <c r="H77" s="2509">
        <f ca="1">IF(Transfer!$C$280=1,(((Transfer!E108+Transfer!E109-Transfer!E110-Transfer!E111) - (Transfer!D143+Transfer!D144-Transfer!D145-Transfer!D146)) / Transfer!D147)*100,(((Transfer!E108+Transfer!E109-Transfer!E110-Transfer!E111) - (Transfer!D108+Transfer!D109-Transfer!D110-Transfer!D111)) / Transfer!D112)*100)</f>
        <v>1.1493928999091147E-2</v>
      </c>
      <c r="I77" s="2509">
        <f ca="1">IF(Transfer!$C$280=1,(((Transfer!F108+Transfer!F109-Transfer!F110-Transfer!F111) - (Transfer!E143+Transfer!E144-Transfer!E145-Transfer!E146)) / Transfer!E147)*100,(((Transfer!F108+Transfer!F109-Transfer!F110-Transfer!F111) - (Transfer!E108+Transfer!E109-Transfer!E110-Transfer!E111)) / Transfer!E112)*100)</f>
        <v>0.12487022817054741</v>
      </c>
      <c r="J77" s="2510">
        <f ca="1">IF(Transfer!$C$280=1,(((Transfer!G108+Transfer!G109-Transfer!G110-Transfer!G111) - (Transfer!F143+Transfer!F144-Transfer!F145-Transfer!F146)) / Transfer!F147)*100,(((Transfer!G108+Transfer!G109-Transfer!G110-Transfer!G111) - (Transfer!F108+Transfer!F109-Transfer!F110-Transfer!F111)) / Transfer!F112)*100)</f>
        <v>3.4818836077903953E-2</v>
      </c>
      <c r="K77" s="2437"/>
      <c r="L77" s="150"/>
      <c r="M77" s="135"/>
      <c r="N77" s="135"/>
      <c r="O77" s="45"/>
      <c r="P77" s="54"/>
      <c r="Q77" s="54"/>
      <c r="R77" s="54"/>
      <c r="S77" s="60"/>
      <c r="T77" s="182" t="s">
        <v>1032</v>
      </c>
      <c r="U77" s="183"/>
      <c r="V77" s="184" t="s">
        <v>490</v>
      </c>
      <c r="W77" s="405"/>
      <c r="X77" s="405">
        <f t="shared" ca="1" si="6"/>
        <v>-0.6</v>
      </c>
      <c r="Y77" s="405">
        <f t="shared" ca="1" si="6"/>
        <v>0.3</v>
      </c>
      <c r="Z77" s="405">
        <f t="shared" ca="1" si="6"/>
        <v>-0.19999999999999998</v>
      </c>
      <c r="AA77" s="112">
        <f t="shared" ca="1" si="6"/>
        <v>-0.3</v>
      </c>
      <c r="AB77" s="82"/>
      <c r="AC77" s="54"/>
      <c r="AD77" s="54"/>
      <c r="AE77" s="54"/>
      <c r="AF77" s="54"/>
      <c r="AG77" s="54"/>
      <c r="AH77" s="54"/>
      <c r="AI77" s="45"/>
      <c r="AJ77" s="60"/>
      <c r="AK77" s="2197" t="s">
        <v>1032</v>
      </c>
      <c r="AL77" s="2198"/>
      <c r="AM77" s="2199" t="s">
        <v>490</v>
      </c>
      <c r="AN77" s="2163" t="s">
        <v>1328</v>
      </c>
      <c r="AO77" s="2163">
        <f>IF(Transfer!$C$280=1,(((Transfer!AD108+Transfer!AD109-Transfer!AD110-Transfer!AD111) - (Transfer!AC143+Transfer!AC144-Transfer!AC145-Transfer!AC146)) / Transfer!AC147)*100,(((Transfer!AD108+Transfer!AD109-Transfer!AD110-Transfer!AD111) - (Transfer!AC108+Transfer!AC109-Transfer!AC110-Transfer!AC111)) / Transfer!AC112)*100)</f>
        <v>0.12334474714403768</v>
      </c>
      <c r="AP77" s="2163">
        <f>IF(Transfer!$C$280=1,(((Transfer!AE108+Transfer!AE109-Transfer!AE110-Transfer!AE111) - (Transfer!AD143+Transfer!AD144-Transfer!AD145-Transfer!AD146)) / Transfer!AD147)*100,(((Transfer!AE108+Transfer!AE109-Transfer!AE110-Transfer!AE111) - (Transfer!AD108+Transfer!AD109-Transfer!AD110-Transfer!AD111)) / Transfer!AD112)*100)</f>
        <v>-0.34305848582045717</v>
      </c>
      <c r="AQ77" s="2163">
        <f>IF(Transfer!$C$280=1,(((Transfer!AF108+Transfer!AF109-Transfer!AF110-Transfer!AF111) - (Transfer!AE143+Transfer!AE144-Transfer!AE145-Transfer!AE146)) / Transfer!AE147)*100,(((Transfer!AF108+Transfer!AF109-Transfer!AF110-Transfer!AF111) - (Transfer!AE108+Transfer!AE109-Transfer!AE110-Transfer!AE111)) / Transfer!AE112)*100)</f>
        <v>0.34591656540054955</v>
      </c>
      <c r="AR77" s="2165">
        <f>IF(Transfer!$C$280=1,(((Transfer!AG108+Transfer!AG109-Transfer!AG110-Transfer!AG111) - (Transfer!AF143+Transfer!AF144-Transfer!AF145-Transfer!AF146)) / Transfer!AF147)*100,(((Transfer!AG108+Transfer!AG109-Transfer!AG110-Transfer!AG111) - (Transfer!AF108+Transfer!AF109-Transfer!AF110-Transfer!AF111)) / Transfer!AF112)*100)</f>
        <v>0.27122663621293186</v>
      </c>
      <c r="AS77" s="82"/>
      <c r="AT77" s="150"/>
      <c r="AU77" s="135"/>
      <c r="AV77" s="135"/>
      <c r="AW77" s="45"/>
      <c r="AX77" s="54"/>
      <c r="AY77" s="54"/>
      <c r="AZ77" s="54"/>
      <c r="BA77" s="2050" t="s">
        <v>261</v>
      </c>
      <c r="BB77" s="54"/>
      <c r="BC77" s="54"/>
    </row>
    <row r="78" spans="1:55" ht="13.15">
      <c r="A78" s="45"/>
      <c r="B78" s="1756"/>
      <c r="C78" s="2468"/>
      <c r="D78" s="2468"/>
      <c r="E78" s="2468"/>
      <c r="F78" s="2468"/>
      <c r="G78" s="2468"/>
      <c r="H78" s="2468"/>
      <c r="I78" s="2468"/>
      <c r="J78" s="2469" t="str">
        <f>UPPER(Country)</f>
        <v>SWEDEN</v>
      </c>
      <c r="K78" s="1757"/>
      <c r="L78" s="54"/>
      <c r="M78" s="135"/>
      <c r="N78" s="135"/>
      <c r="O78" s="45"/>
      <c r="P78" s="54"/>
      <c r="Q78" s="54"/>
      <c r="R78" s="54"/>
      <c r="S78" s="114"/>
      <c r="T78" s="116"/>
      <c r="U78" s="116"/>
      <c r="V78" s="116"/>
      <c r="W78" s="116"/>
      <c r="X78" s="116"/>
      <c r="Y78" s="117"/>
      <c r="Z78" s="116"/>
      <c r="AA78" s="118" t="str">
        <f>UPPER(Country)</f>
        <v>SWEDEN</v>
      </c>
      <c r="AB78" s="119"/>
      <c r="AC78" s="54"/>
      <c r="AD78" s="54"/>
      <c r="AE78" s="54"/>
      <c r="AF78" s="54"/>
      <c r="AG78" s="54"/>
      <c r="AH78" s="54"/>
      <c r="AI78" s="45"/>
      <c r="AJ78" s="114"/>
      <c r="AK78" s="116"/>
      <c r="AL78" s="116"/>
      <c r="AM78" s="116"/>
      <c r="AN78" s="116"/>
      <c r="AO78" s="116"/>
      <c r="AP78" s="117"/>
      <c r="AQ78" s="116"/>
      <c r="AR78" s="118" t="str">
        <f>UPPER(Country)</f>
        <v>SWEDEN</v>
      </c>
      <c r="AS78" s="119"/>
      <c r="AT78" s="54"/>
      <c r="AU78" s="135"/>
      <c r="AV78" s="135"/>
      <c r="AW78" s="45"/>
      <c r="AX78" s="54"/>
      <c r="AY78" s="54"/>
      <c r="AZ78" s="54"/>
      <c r="BA78" s="54"/>
      <c r="BB78" s="54"/>
      <c r="BC78" s="54"/>
    </row>
    <row r="79" spans="1:55">
      <c r="A79" s="45"/>
      <c r="B79" s="45"/>
      <c r="C79" s="185"/>
      <c r="D79" s="185"/>
      <c r="E79" s="186"/>
      <c r="F79" s="186"/>
      <c r="G79" s="186"/>
      <c r="H79" s="186"/>
      <c r="I79" s="186"/>
      <c r="J79" s="186"/>
      <c r="K79" s="50"/>
      <c r="L79" s="54"/>
      <c r="M79" s="135"/>
      <c r="N79" s="135"/>
      <c r="O79" s="45"/>
      <c r="P79" s="54"/>
      <c r="Q79" s="54"/>
      <c r="R79" s="54"/>
      <c r="S79" s="54"/>
      <c r="T79" s="54"/>
      <c r="U79" s="54"/>
      <c r="V79" s="54"/>
      <c r="W79" s="54"/>
      <c r="X79" s="54"/>
      <c r="Y79" s="54"/>
      <c r="Z79" s="54"/>
      <c r="AA79" s="54"/>
      <c r="AB79" s="54"/>
      <c r="AC79" s="54"/>
      <c r="AD79" s="54"/>
      <c r="AE79" s="54"/>
      <c r="AF79" s="54"/>
      <c r="AG79" s="54"/>
      <c r="AH79" s="54"/>
      <c r="AI79" s="45"/>
      <c r="AJ79" s="45"/>
      <c r="AK79" s="185"/>
      <c r="AL79" s="185"/>
      <c r="AM79" s="186"/>
      <c r="AN79" s="186"/>
      <c r="AO79" s="186"/>
      <c r="AP79" s="186"/>
      <c r="AQ79" s="186"/>
      <c r="AR79" s="186"/>
      <c r="AS79" s="50"/>
      <c r="AT79" s="54"/>
      <c r="AU79" s="135"/>
      <c r="AV79" s="135"/>
      <c r="AW79" s="45"/>
      <c r="AX79" s="54"/>
      <c r="AY79" s="54"/>
      <c r="AZ79" s="54"/>
      <c r="BA79" s="54"/>
      <c r="BB79" s="54"/>
      <c r="BC79" s="54"/>
    </row>
    <row r="80" spans="1:55">
      <c r="A80" s="45"/>
      <c r="B80" s="45"/>
      <c r="C80" s="54"/>
      <c r="D80" s="54"/>
      <c r="E80" s="54"/>
      <c r="F80" s="54"/>
      <c r="G80" s="54"/>
      <c r="H80" s="54"/>
      <c r="I80" s="54"/>
      <c r="J80" s="54"/>
      <c r="K80" s="54"/>
      <c r="L80" s="54"/>
      <c r="M80" s="135"/>
      <c r="N80" s="135"/>
      <c r="O80" s="45"/>
      <c r="P80" s="54"/>
      <c r="Q80" s="54"/>
      <c r="R80" s="54"/>
      <c r="S80" s="54"/>
      <c r="T80" s="54"/>
      <c r="U80" s="54"/>
      <c r="V80" s="54"/>
      <c r="W80" s="54"/>
      <c r="X80" s="54"/>
      <c r="Y80" s="54"/>
      <c r="Z80" s="54"/>
      <c r="AA80" s="54"/>
      <c r="AB80" s="54"/>
      <c r="AC80" s="54"/>
      <c r="AD80" s="54"/>
      <c r="AE80" s="54"/>
      <c r="AF80" s="54"/>
      <c r="AG80" s="54"/>
      <c r="AH80" s="54"/>
      <c r="AI80" s="45"/>
      <c r="AJ80" s="45"/>
      <c r="AK80" s="54"/>
      <c r="AL80" s="54"/>
      <c r="AM80" s="54"/>
      <c r="AN80" s="54"/>
      <c r="AO80" s="54"/>
      <c r="AP80" s="54"/>
      <c r="AQ80" s="54"/>
      <c r="AR80" s="54"/>
      <c r="AS80" s="54"/>
      <c r="AT80" s="54"/>
      <c r="AU80" s="135"/>
      <c r="AV80" s="135"/>
      <c r="AW80" s="45"/>
      <c r="AX80" s="54"/>
      <c r="AY80" s="54"/>
      <c r="AZ80" s="54"/>
      <c r="BA80" s="54"/>
      <c r="BB80" s="54"/>
      <c r="BC80" s="54"/>
    </row>
    <row r="81" spans="1:55">
      <c r="A81" s="45"/>
      <c r="B81" s="45"/>
      <c r="C81" s="54"/>
      <c r="D81" s="54"/>
      <c r="E81" s="54"/>
      <c r="F81" s="54"/>
      <c r="G81" s="54"/>
      <c r="H81" s="54"/>
      <c r="I81" s="54"/>
      <c r="J81" s="54"/>
      <c r="K81" s="54"/>
      <c r="L81" s="54"/>
      <c r="M81" s="135"/>
      <c r="N81" s="135"/>
      <c r="O81" s="45"/>
      <c r="P81" s="54"/>
      <c r="Q81" s="54"/>
      <c r="R81" s="54"/>
      <c r="S81" s="54"/>
      <c r="T81" s="54"/>
      <c r="U81" s="54"/>
      <c r="V81" s="54"/>
      <c r="W81" s="54"/>
      <c r="X81" s="54"/>
      <c r="Y81" s="54"/>
      <c r="Z81" s="54"/>
      <c r="AA81" s="54"/>
      <c r="AB81" s="54"/>
      <c r="AC81" s="54"/>
      <c r="AD81" s="54"/>
      <c r="AE81" s="54"/>
      <c r="AF81" s="54"/>
      <c r="AG81" s="54"/>
      <c r="AH81" s="54"/>
      <c r="AI81" s="45"/>
      <c r="AJ81" s="45"/>
      <c r="AK81" s="54"/>
      <c r="AL81" s="54"/>
      <c r="AM81" s="54"/>
      <c r="AN81" s="54"/>
      <c r="AO81" s="54"/>
      <c r="AP81" s="54"/>
      <c r="AQ81" s="54"/>
      <c r="AR81" s="54"/>
      <c r="AS81" s="54"/>
      <c r="AT81" s="54"/>
      <c r="AU81" s="135"/>
      <c r="AV81" s="135"/>
      <c r="AW81" s="45"/>
      <c r="AX81" s="54"/>
      <c r="AY81" s="54"/>
      <c r="AZ81" s="54"/>
      <c r="BA81" s="54"/>
      <c r="BB81" s="54"/>
      <c r="BC81" s="54"/>
    </row>
    <row r="82" spans="1:55">
      <c r="A82" s="45"/>
      <c r="B82" s="45"/>
      <c r="C82" s="54"/>
      <c r="D82" s="54"/>
      <c r="E82" s="54"/>
      <c r="F82" s="54"/>
      <c r="G82" s="54"/>
      <c r="H82" s="54"/>
      <c r="I82" s="54"/>
      <c r="J82" s="54"/>
      <c r="K82" s="54"/>
      <c r="L82" s="54"/>
      <c r="M82" s="54"/>
      <c r="N82" s="54"/>
      <c r="O82" s="54"/>
      <c r="P82" s="54"/>
      <c r="Q82" s="54"/>
      <c r="R82" s="54"/>
      <c r="S82" s="54"/>
      <c r="T82" s="54"/>
      <c r="U82" s="54"/>
      <c r="V82" s="54"/>
      <c r="W82" s="54"/>
      <c r="X82" s="54"/>
      <c r="Y82" s="54"/>
      <c r="Z82" s="54"/>
      <c r="AA82" s="54"/>
      <c r="AB82" s="54"/>
      <c r="AC82" s="54"/>
      <c r="AD82" s="54"/>
      <c r="AE82" s="54"/>
      <c r="AF82" s="54"/>
      <c r="AG82" s="54"/>
      <c r="AH82" s="54"/>
      <c r="AI82" s="45"/>
      <c r="AJ82" s="45"/>
      <c r="AK82" s="54"/>
      <c r="AL82" s="54"/>
      <c r="AM82" s="54"/>
      <c r="AN82" s="54"/>
      <c r="AO82" s="54"/>
      <c r="AP82" s="54"/>
      <c r="AQ82" s="54"/>
      <c r="AR82" s="54"/>
      <c r="AS82" s="54"/>
      <c r="AT82" s="54"/>
      <c r="AU82" s="54"/>
      <c r="AV82" s="54"/>
      <c r="AW82" s="54"/>
      <c r="AX82" s="54"/>
      <c r="AY82" s="54"/>
      <c r="AZ82" s="54"/>
      <c r="BA82" s="54"/>
      <c r="BB82" s="54"/>
      <c r="BC82" s="54"/>
    </row>
    <row r="83" spans="1:55">
      <c r="A83" s="45"/>
      <c r="B83" s="45"/>
      <c r="C83" s="54"/>
      <c r="D83" s="54"/>
      <c r="E83" s="54"/>
      <c r="F83" s="54"/>
      <c r="G83" s="54"/>
      <c r="H83" s="54"/>
      <c r="I83" s="54"/>
      <c r="J83" s="54"/>
      <c r="K83" s="54"/>
      <c r="L83" s="54"/>
      <c r="M83" s="54"/>
      <c r="N83" s="54"/>
      <c r="O83" s="54"/>
      <c r="P83" s="54"/>
      <c r="Q83" s="54"/>
      <c r="R83" s="54"/>
      <c r="S83" s="54"/>
      <c r="T83" s="54"/>
      <c r="U83" s="54"/>
      <c r="V83" s="54"/>
      <c r="W83" s="54"/>
      <c r="X83" s="54"/>
      <c r="Y83" s="54"/>
      <c r="Z83" s="54"/>
      <c r="AA83" s="54"/>
      <c r="AB83" s="54"/>
      <c r="AC83" s="54"/>
      <c r="AD83" s="54"/>
      <c r="AE83" s="54"/>
      <c r="AF83" s="54"/>
      <c r="AG83" s="54"/>
      <c r="AH83" s="54"/>
      <c r="AI83" s="45"/>
      <c r="AJ83" s="45"/>
      <c r="AK83" s="54"/>
      <c r="AL83" s="54"/>
      <c r="AM83" s="54"/>
      <c r="AN83" s="54"/>
      <c r="AO83" s="54"/>
      <c r="AP83" s="54"/>
      <c r="AQ83" s="54"/>
      <c r="AR83" s="54"/>
      <c r="AS83" s="54"/>
      <c r="AT83" s="54"/>
      <c r="AU83" s="54"/>
      <c r="AV83" s="54"/>
      <c r="AW83" s="54"/>
      <c r="AX83" s="54"/>
      <c r="AY83" s="54"/>
      <c r="AZ83" s="54"/>
      <c r="BA83" s="54"/>
      <c r="BB83" s="54"/>
      <c r="BC83" s="54"/>
    </row>
    <row r="84" spans="1:55" ht="14.25" customHeight="1">
      <c r="A84" s="45"/>
      <c r="B84" s="45"/>
      <c r="C84" s="45"/>
      <c r="D84" s="54"/>
      <c r="E84" s="54"/>
      <c r="F84" s="54"/>
      <c r="G84" s="54"/>
      <c r="H84" s="54"/>
      <c r="I84" s="54"/>
      <c r="J84" s="54"/>
      <c r="K84" s="54"/>
      <c r="L84" s="54"/>
      <c r="M84" s="54"/>
      <c r="N84" s="45"/>
      <c r="O84" s="45"/>
      <c r="P84" s="54"/>
      <c r="Q84" s="54"/>
      <c r="R84" s="54"/>
      <c r="S84" s="54"/>
      <c r="T84" s="54"/>
      <c r="U84" s="54"/>
      <c r="V84" s="54"/>
      <c r="W84" s="54"/>
      <c r="X84" s="54"/>
      <c r="Y84" s="54"/>
      <c r="Z84" s="54"/>
      <c r="AA84" s="54"/>
      <c r="AB84" s="54"/>
      <c r="AC84" s="54"/>
      <c r="AD84" s="54"/>
      <c r="AE84" s="54"/>
      <c r="AF84" s="54"/>
      <c r="AG84" s="54"/>
      <c r="AH84" s="54"/>
      <c r="AI84" s="45"/>
      <c r="AJ84" s="45"/>
      <c r="AK84" s="45"/>
      <c r="AL84" s="54"/>
      <c r="AM84" s="54"/>
      <c r="AN84" s="54"/>
      <c r="AO84" s="54"/>
      <c r="AP84" s="54"/>
      <c r="AQ84" s="54"/>
      <c r="AR84" s="54"/>
      <c r="AS84" s="54"/>
      <c r="AT84" s="54"/>
      <c r="AU84" s="54"/>
      <c r="AV84" s="45"/>
      <c r="AW84" s="45"/>
      <c r="AX84" s="54"/>
      <c r="AY84" s="54"/>
      <c r="AZ84" s="54"/>
      <c r="BA84" s="54"/>
      <c r="BB84" s="54"/>
      <c r="BC84" s="54"/>
    </row>
    <row r="85" spans="1:55">
      <c r="A85" s="45"/>
      <c r="B85" s="45"/>
      <c r="C85" s="45"/>
      <c r="D85" s="54"/>
      <c r="E85" s="54"/>
      <c r="F85" s="54"/>
      <c r="G85" s="54"/>
      <c r="H85" s="54"/>
      <c r="I85" s="54"/>
      <c r="J85" s="54"/>
      <c r="K85" s="54"/>
      <c r="L85" s="54"/>
      <c r="M85" s="54"/>
      <c r="N85" s="45"/>
      <c r="O85" s="45"/>
      <c r="P85" s="54"/>
      <c r="Q85" s="54"/>
      <c r="R85" s="54"/>
      <c r="S85" s="54"/>
      <c r="T85" s="54"/>
      <c r="U85" s="54"/>
      <c r="V85" s="54"/>
      <c r="W85" s="54"/>
      <c r="X85" s="54"/>
      <c r="Y85" s="54"/>
      <c r="Z85" s="54"/>
      <c r="AA85" s="54"/>
      <c r="AB85" s="54"/>
      <c r="AC85" s="54"/>
      <c r="AD85" s="54"/>
      <c r="AE85" s="54"/>
      <c r="AF85" s="54"/>
      <c r="AG85" s="54"/>
      <c r="AH85" s="54"/>
      <c r="AI85" s="45"/>
      <c r="AJ85" s="45"/>
      <c r="AK85" s="45"/>
      <c r="AL85" s="54"/>
      <c r="AM85" s="54"/>
      <c r="AN85" s="54"/>
      <c r="AO85" s="54"/>
      <c r="AP85" s="54"/>
      <c r="AQ85" s="54"/>
      <c r="AR85" s="54"/>
      <c r="AS85" s="54"/>
      <c r="AT85" s="54"/>
      <c r="AU85" s="54"/>
      <c r="AV85" s="45"/>
      <c r="AW85" s="45"/>
      <c r="AX85" s="54"/>
      <c r="AY85" s="54"/>
      <c r="AZ85" s="54"/>
      <c r="BA85" s="54"/>
      <c r="BB85" s="54"/>
      <c r="BC85" s="54"/>
    </row>
    <row r="86" spans="1:55">
      <c r="A86" s="45"/>
      <c r="B86" s="45"/>
      <c r="C86" s="45"/>
      <c r="D86" s="54"/>
      <c r="E86" s="54"/>
      <c r="F86" s="54"/>
      <c r="G86" s="54"/>
      <c r="H86" s="54"/>
      <c r="I86" s="54"/>
      <c r="J86" s="54"/>
      <c r="K86" s="54"/>
      <c r="L86" s="54"/>
      <c r="M86" s="54"/>
      <c r="N86" s="45"/>
      <c r="O86" s="45"/>
      <c r="P86" s="54"/>
      <c r="Q86" s="54"/>
      <c r="R86" s="54"/>
      <c r="S86" s="54"/>
      <c r="T86" s="54"/>
      <c r="U86" s="54"/>
      <c r="V86" s="54"/>
      <c r="W86" s="54"/>
      <c r="X86" s="54"/>
      <c r="Y86" s="54"/>
      <c r="Z86" s="54"/>
      <c r="AA86" s="54"/>
      <c r="AB86" s="54"/>
      <c r="AC86" s="54"/>
      <c r="AD86" s="54"/>
      <c r="AE86" s="54"/>
      <c r="AF86" s="54"/>
      <c r="AG86" s="54"/>
      <c r="AH86" s="54"/>
      <c r="AI86" s="45"/>
      <c r="AJ86" s="45"/>
      <c r="AK86" s="45"/>
      <c r="AL86" s="54"/>
      <c r="AM86" s="54"/>
      <c r="AN86" s="54"/>
      <c r="AO86" s="54"/>
      <c r="AP86" s="54"/>
      <c r="AQ86" s="54"/>
      <c r="AR86" s="54"/>
      <c r="AS86" s="54"/>
      <c r="AT86" s="54"/>
      <c r="AU86" s="54"/>
      <c r="AV86" s="45"/>
      <c r="AW86" s="45"/>
      <c r="AX86" s="54"/>
      <c r="AY86" s="54"/>
      <c r="AZ86" s="54"/>
      <c r="BA86" s="54"/>
      <c r="BB86" s="54"/>
      <c r="BC86" s="54"/>
    </row>
    <row r="87" spans="1:55">
      <c r="A87" s="45"/>
      <c r="B87" s="45"/>
      <c r="C87" s="45"/>
      <c r="D87" s="45"/>
      <c r="E87" s="45"/>
      <c r="F87" s="45"/>
      <c r="G87" s="45"/>
      <c r="H87" s="45"/>
      <c r="I87" s="45"/>
      <c r="J87" s="45"/>
      <c r="K87" s="187"/>
      <c r="L87" s="45"/>
      <c r="M87" s="45"/>
      <c r="N87" s="45"/>
      <c r="O87" s="45"/>
      <c r="P87" s="54"/>
      <c r="Q87" s="54"/>
      <c r="R87" s="54"/>
      <c r="S87" s="54"/>
      <c r="T87" s="54"/>
      <c r="U87" s="54"/>
      <c r="V87" s="54"/>
      <c r="W87" s="54"/>
      <c r="X87" s="54"/>
      <c r="Y87" s="54"/>
      <c r="Z87" s="54"/>
      <c r="AA87" s="54"/>
      <c r="AB87" s="54"/>
      <c r="AC87" s="54"/>
      <c r="AD87" s="54"/>
      <c r="AE87" s="54"/>
      <c r="AF87" s="54"/>
      <c r="AG87" s="54"/>
      <c r="AH87" s="54"/>
      <c r="AI87" s="45"/>
      <c r="AJ87" s="45"/>
      <c r="AK87" s="45"/>
      <c r="AL87" s="45"/>
      <c r="AM87" s="45"/>
      <c r="AN87" s="45"/>
      <c r="AO87" s="45"/>
      <c r="AP87" s="45"/>
      <c r="AQ87" s="45"/>
      <c r="AR87" s="45"/>
      <c r="AS87" s="187"/>
      <c r="AT87" s="45"/>
      <c r="AU87" s="45"/>
      <c r="AV87" s="45"/>
      <c r="AW87" s="45"/>
      <c r="AX87" s="54"/>
      <c r="AY87" s="54"/>
      <c r="AZ87" s="54"/>
      <c r="BA87" s="54"/>
      <c r="BB87" s="54"/>
      <c r="BC87" s="54"/>
    </row>
    <row r="88" spans="1:55">
      <c r="A88" s="45"/>
      <c r="B88" s="45"/>
      <c r="C88" s="45"/>
      <c r="D88" s="45"/>
      <c r="E88" s="45"/>
      <c r="F88" s="45"/>
      <c r="G88" s="45"/>
      <c r="H88" s="45"/>
      <c r="I88" s="45"/>
      <c r="J88" s="45"/>
      <c r="K88" s="54"/>
      <c r="L88" s="45"/>
      <c r="M88" s="45"/>
      <c r="N88" s="45"/>
      <c r="O88" s="45"/>
      <c r="P88" s="54"/>
      <c r="Q88" s="54"/>
      <c r="R88" s="54"/>
      <c r="S88" s="54"/>
      <c r="T88" s="54"/>
      <c r="U88" s="54"/>
      <c r="V88" s="54"/>
      <c r="W88" s="54"/>
      <c r="X88" s="54"/>
      <c r="Y88" s="54"/>
      <c r="Z88" s="54"/>
      <c r="AA88" s="54"/>
      <c r="AB88" s="54"/>
      <c r="AC88" s="54"/>
      <c r="AD88" s="54"/>
      <c r="AE88" s="54"/>
      <c r="AF88" s="54"/>
      <c r="AG88" s="54"/>
      <c r="AH88" s="54"/>
      <c r="AI88" s="45"/>
      <c r="AJ88" s="45"/>
      <c r="AK88" s="45"/>
      <c r="AL88" s="45"/>
      <c r="AM88" s="45"/>
      <c r="AN88" s="45"/>
      <c r="AO88" s="45"/>
      <c r="AP88" s="45"/>
      <c r="AQ88" s="45"/>
      <c r="AR88" s="45"/>
      <c r="AS88" s="54"/>
      <c r="AT88" s="45"/>
      <c r="AU88" s="45"/>
      <c r="AV88" s="45"/>
      <c r="AW88" s="45"/>
      <c r="AX88" s="54"/>
      <c r="AY88" s="54"/>
      <c r="AZ88" s="54"/>
      <c r="BA88" s="54"/>
      <c r="BB88" s="54"/>
      <c r="BC88" s="54"/>
    </row>
    <row r="89" spans="1:55">
      <c r="A89" s="45"/>
      <c r="B89" s="45"/>
      <c r="C89" s="45"/>
      <c r="D89" s="45"/>
      <c r="E89" s="45"/>
      <c r="F89" s="45"/>
      <c r="G89" s="45"/>
      <c r="H89" s="45"/>
      <c r="I89" s="45"/>
      <c r="J89" s="45"/>
      <c r="K89" s="45"/>
      <c r="L89" s="45"/>
      <c r="M89" s="45"/>
      <c r="N89" s="45"/>
      <c r="O89" s="45"/>
      <c r="P89" s="54"/>
      <c r="Q89" s="54"/>
      <c r="R89" s="54"/>
      <c r="S89" s="54"/>
      <c r="T89" s="54"/>
      <c r="U89" s="54"/>
      <c r="V89" s="54"/>
      <c r="W89" s="54"/>
      <c r="X89" s="54"/>
      <c r="Y89" s="54"/>
      <c r="Z89" s="54"/>
      <c r="AA89" s="54"/>
      <c r="AB89" s="54"/>
      <c r="AC89" s="54"/>
      <c r="AD89" s="54"/>
      <c r="AE89" s="54"/>
      <c r="AF89" s="54"/>
      <c r="AG89" s="54"/>
      <c r="AH89" s="54"/>
      <c r="AI89" s="45"/>
      <c r="AJ89" s="45"/>
      <c r="AK89" s="45"/>
      <c r="AL89" s="45"/>
      <c r="AM89" s="45"/>
      <c r="AN89" s="45"/>
      <c r="AO89" s="45"/>
      <c r="AP89" s="45"/>
      <c r="AQ89" s="45"/>
      <c r="AR89" s="45"/>
      <c r="AS89" s="45"/>
      <c r="AT89" s="45"/>
      <c r="AU89" s="45"/>
      <c r="AV89" s="45"/>
      <c r="AW89" s="45"/>
      <c r="AX89" s="54"/>
      <c r="AY89" s="54"/>
      <c r="AZ89" s="54"/>
      <c r="BA89" s="54"/>
      <c r="BB89" s="54"/>
      <c r="BC89" s="54"/>
    </row>
    <row r="90" spans="1:55">
      <c r="A90" s="45"/>
      <c r="B90" s="45"/>
      <c r="C90" s="45"/>
      <c r="D90" s="45"/>
      <c r="E90" s="45"/>
      <c r="F90" s="45"/>
      <c r="G90" s="45"/>
      <c r="H90" s="45"/>
      <c r="I90" s="45"/>
      <c r="J90" s="45"/>
      <c r="K90" s="45"/>
      <c r="L90" s="45"/>
      <c r="M90" s="45"/>
      <c r="N90" s="45"/>
      <c r="O90" s="45"/>
      <c r="P90" s="54"/>
      <c r="Q90" s="54"/>
      <c r="R90" s="54"/>
      <c r="S90" s="54"/>
      <c r="T90" s="54"/>
      <c r="U90" s="54"/>
      <c r="V90" s="54"/>
      <c r="W90" s="54"/>
      <c r="X90" s="54"/>
      <c r="Y90" s="54"/>
      <c r="Z90" s="54"/>
      <c r="AA90" s="54"/>
      <c r="AB90" s="54"/>
      <c r="AC90" s="54"/>
      <c r="AD90" s="54"/>
      <c r="AE90" s="54"/>
      <c r="AF90" s="54"/>
      <c r="AG90" s="54"/>
      <c r="AH90" s="54"/>
      <c r="AI90" s="45"/>
      <c r="AJ90" s="45"/>
      <c r="AK90" s="45"/>
      <c r="AL90" s="45"/>
      <c r="AM90" s="45"/>
      <c r="AN90" s="45"/>
      <c r="AO90" s="45"/>
      <c r="AP90" s="45"/>
      <c r="AQ90" s="45"/>
      <c r="AR90" s="45"/>
      <c r="AS90" s="45"/>
      <c r="AT90" s="45"/>
      <c r="AU90" s="45"/>
      <c r="AV90" s="45"/>
      <c r="AW90" s="45"/>
      <c r="AX90" s="54"/>
      <c r="AY90" s="54"/>
      <c r="AZ90" s="54"/>
      <c r="BA90" s="54"/>
      <c r="BB90" s="54"/>
      <c r="BC90" s="54"/>
    </row>
    <row r="91" spans="1:55">
      <c r="A91" s="45"/>
      <c r="B91" s="45"/>
      <c r="C91" s="45"/>
      <c r="D91" s="45"/>
      <c r="E91" s="45"/>
      <c r="F91" s="45"/>
      <c r="G91" s="45"/>
      <c r="H91" s="45"/>
      <c r="I91" s="45"/>
      <c r="J91" s="45"/>
      <c r="K91" s="45"/>
      <c r="L91" s="45"/>
      <c r="M91" s="45"/>
      <c r="N91" s="45"/>
      <c r="O91" s="45"/>
      <c r="P91" s="45"/>
      <c r="Q91" s="45"/>
      <c r="R91" s="45"/>
      <c r="S91" s="45"/>
      <c r="T91" s="45"/>
      <c r="U91" s="45"/>
      <c r="V91" s="45"/>
      <c r="W91" s="45"/>
      <c r="X91" s="45"/>
      <c r="Y91" s="45"/>
      <c r="Z91" s="45"/>
      <c r="AA91" s="45"/>
      <c r="AB91" s="45"/>
      <c r="AC91" s="54"/>
      <c r="AD91" s="54"/>
      <c r="AE91" s="54"/>
      <c r="AF91" s="54"/>
      <c r="AG91" s="54"/>
      <c r="AH91" s="54"/>
      <c r="AI91" s="45"/>
      <c r="AJ91" s="45"/>
      <c r="AK91" s="45"/>
      <c r="AL91" s="45"/>
      <c r="AM91" s="45"/>
      <c r="AN91" s="45"/>
      <c r="AO91" s="45"/>
      <c r="AP91" s="45"/>
      <c r="AQ91" s="45"/>
      <c r="AR91" s="45"/>
      <c r="AS91" s="45"/>
      <c r="AT91" s="45"/>
      <c r="AU91" s="45"/>
      <c r="AV91" s="45"/>
      <c r="AW91" s="45"/>
      <c r="AX91" s="45"/>
      <c r="AY91" s="45"/>
      <c r="AZ91" s="54"/>
      <c r="BA91" s="45"/>
      <c r="BB91" s="54"/>
      <c r="BC91" s="54"/>
    </row>
    <row r="92" spans="1:55" ht="13.15">
      <c r="A92" s="45"/>
      <c r="B92" s="2410" t="s">
        <v>974</v>
      </c>
      <c r="C92" s="2411" t="s">
        <v>491</v>
      </c>
      <c r="D92" s="2511"/>
      <c r="E92" s="2511"/>
      <c r="F92" s="2511"/>
      <c r="G92" s="2511"/>
      <c r="H92" s="2511"/>
      <c r="I92" s="2511"/>
      <c r="J92" s="2511"/>
      <c r="K92" s="2511"/>
      <c r="L92" s="2511"/>
      <c r="M92" s="2511"/>
      <c r="N92" s="2511"/>
      <c r="O92" s="2511"/>
      <c r="P92" s="2511"/>
      <c r="Q92" s="2512"/>
      <c r="R92" s="45"/>
      <c r="S92" s="188"/>
      <c r="T92" s="56" t="s">
        <v>491</v>
      </c>
      <c r="U92" s="23"/>
      <c r="V92" s="23"/>
      <c r="W92" s="23"/>
      <c r="X92" s="23"/>
      <c r="Y92" s="23"/>
      <c r="Z92" s="23"/>
      <c r="AA92" s="23"/>
      <c r="AB92" s="23"/>
      <c r="AC92" s="23"/>
      <c r="AD92" s="23"/>
      <c r="AE92" s="23"/>
      <c r="AF92" s="23"/>
      <c r="AG92" s="23"/>
      <c r="AH92" s="189"/>
      <c r="AI92" s="45"/>
      <c r="AJ92" s="188"/>
      <c r="AK92" s="56" t="s">
        <v>491</v>
      </c>
      <c r="AL92" s="23"/>
      <c r="AM92" s="23"/>
      <c r="AN92" s="23"/>
      <c r="AO92" s="23"/>
      <c r="AP92" s="23"/>
      <c r="AQ92" s="23"/>
      <c r="AR92" s="23"/>
      <c r="AS92" s="23"/>
      <c r="AT92" s="23"/>
      <c r="AU92" s="23"/>
      <c r="AV92" s="23"/>
      <c r="AW92" s="23"/>
      <c r="AX92" s="23"/>
      <c r="AY92" s="189"/>
      <c r="AZ92" s="54"/>
      <c r="BA92" s="45"/>
      <c r="BB92" s="54"/>
      <c r="BC92" s="54"/>
    </row>
    <row r="93" spans="1:55" ht="13.15">
      <c r="A93" s="45"/>
      <c r="B93" s="1720"/>
      <c r="C93" s="3912" t="s">
        <v>436</v>
      </c>
      <c r="D93" s="3912"/>
      <c r="E93" s="3912"/>
      <c r="F93" s="3912"/>
      <c r="G93" s="3912"/>
      <c r="H93" s="3912"/>
      <c r="I93" s="3912"/>
      <c r="J93" s="3912"/>
      <c r="K93" s="3912"/>
      <c r="L93" s="3912"/>
      <c r="M93" s="3912"/>
      <c r="N93" s="3912"/>
      <c r="O93" s="3912"/>
      <c r="P93" s="3912"/>
      <c r="Q93" s="1719"/>
      <c r="R93" s="45"/>
      <c r="S93" s="190"/>
      <c r="T93" s="3913" t="s">
        <v>436</v>
      </c>
      <c r="U93" s="3913"/>
      <c r="V93" s="3913"/>
      <c r="W93" s="3913"/>
      <c r="X93" s="3913"/>
      <c r="Y93" s="3913"/>
      <c r="Z93" s="3913"/>
      <c r="AA93" s="3913"/>
      <c r="AB93" s="3913"/>
      <c r="AC93" s="3913"/>
      <c r="AD93" s="3913"/>
      <c r="AE93" s="3913"/>
      <c r="AF93" s="3913"/>
      <c r="AG93" s="3913"/>
      <c r="AH93" s="90"/>
      <c r="AI93" s="45"/>
      <c r="AJ93" s="190"/>
      <c r="AK93" s="3913" t="s">
        <v>436</v>
      </c>
      <c r="AL93" s="3913"/>
      <c r="AM93" s="3913"/>
      <c r="AN93" s="3913"/>
      <c r="AO93" s="3913"/>
      <c r="AP93" s="3913"/>
      <c r="AQ93" s="3913"/>
      <c r="AR93" s="3913"/>
      <c r="AS93" s="3913"/>
      <c r="AT93" s="3913"/>
      <c r="AU93" s="3913"/>
      <c r="AV93" s="3913"/>
      <c r="AW93" s="3913"/>
      <c r="AX93" s="3913"/>
      <c r="AY93" s="90"/>
      <c r="AZ93" s="54"/>
      <c r="BA93" s="45"/>
      <c r="BB93" s="54"/>
      <c r="BC93" s="54"/>
    </row>
    <row r="94" spans="1:55">
      <c r="A94" s="45"/>
      <c r="B94" s="1720"/>
      <c r="C94" s="2513"/>
      <c r="D94" s="2513"/>
      <c r="E94" s="2513"/>
      <c r="F94" s="2513"/>
      <c r="G94" s="2513"/>
      <c r="H94" s="2513"/>
      <c r="I94" s="2513"/>
      <c r="J94" s="2513"/>
      <c r="K94" s="2513"/>
      <c r="L94" s="2513"/>
      <c r="M94" s="2513"/>
      <c r="N94" s="2513"/>
      <c r="O94" s="2513"/>
      <c r="P94" s="2513"/>
      <c r="Q94" s="1719"/>
      <c r="R94" s="45"/>
      <c r="S94" s="190"/>
      <c r="T94" s="1"/>
      <c r="U94" s="1"/>
      <c r="V94" s="1"/>
      <c r="W94" s="1"/>
      <c r="X94" s="1"/>
      <c r="Y94" s="1"/>
      <c r="Z94" s="1"/>
      <c r="AA94" s="1"/>
      <c r="AB94" s="1"/>
      <c r="AC94" s="1"/>
      <c r="AD94" s="1"/>
      <c r="AE94" s="1"/>
      <c r="AF94" s="1"/>
      <c r="AG94" s="1"/>
      <c r="AH94" s="90"/>
      <c r="AI94" s="45"/>
      <c r="AJ94" s="190"/>
      <c r="AK94" s="1"/>
      <c r="AL94" s="1"/>
      <c r="AM94" s="1"/>
      <c r="AN94" s="1"/>
      <c r="AO94" s="1"/>
      <c r="AP94" s="1"/>
      <c r="AQ94" s="1"/>
      <c r="AR94" s="1"/>
      <c r="AS94" s="1"/>
      <c r="AT94" s="1"/>
      <c r="AU94" s="1"/>
      <c r="AV94" s="1"/>
      <c r="AW94" s="1"/>
      <c r="AX94" s="1"/>
      <c r="AY94" s="90"/>
      <c r="AZ94" s="54"/>
      <c r="BA94" s="45"/>
      <c r="BB94" s="54"/>
      <c r="BC94" s="54"/>
    </row>
    <row r="95" spans="1:55" ht="15">
      <c r="A95" s="45"/>
      <c r="B95" s="1720"/>
      <c r="C95" s="2418" t="str">
        <f>"Country: " &amp;UPPER(Country)</f>
        <v>Country: SWEDEN</v>
      </c>
      <c r="D95" s="2419"/>
      <c r="E95" s="2513"/>
      <c r="F95" s="2513"/>
      <c r="G95" s="2513"/>
      <c r="H95" s="2513"/>
      <c r="I95" s="2513"/>
      <c r="J95" s="2513"/>
      <c r="K95" s="2513"/>
      <c r="L95" s="2513"/>
      <c r="M95" s="2513"/>
      <c r="N95" s="2513"/>
      <c r="O95" s="2513"/>
      <c r="P95" s="2513"/>
      <c r="Q95" s="1719"/>
      <c r="R95" s="45"/>
      <c r="S95" s="190"/>
      <c r="T95" s="63" t="str">
        <f>"Country: " &amp;UPPER(Country)</f>
        <v>Country: SWEDEN</v>
      </c>
      <c r="U95" s="64"/>
      <c r="V95" s="1"/>
      <c r="W95" s="1"/>
      <c r="X95" s="2066" t="s">
        <v>1553</v>
      </c>
      <c r="Y95" s="1"/>
      <c r="Z95" s="1"/>
      <c r="AA95" s="1"/>
      <c r="AB95" s="1"/>
      <c r="AC95" s="1"/>
      <c r="AD95" s="1"/>
      <c r="AE95" s="1"/>
      <c r="AF95" s="1"/>
      <c r="AG95" s="1"/>
      <c r="AH95" s="90"/>
      <c r="AI95" s="45"/>
      <c r="AJ95" s="190"/>
      <c r="AK95" s="63" t="str">
        <f>"Country: " &amp;UPPER(Country)</f>
        <v>Country: SWEDEN</v>
      </c>
      <c r="AL95" s="64"/>
      <c r="AM95" s="1"/>
      <c r="AN95" s="1"/>
      <c r="AO95" s="1"/>
      <c r="AP95" s="1"/>
      <c r="AQ95" s="1"/>
      <c r="AR95" s="1"/>
      <c r="AS95" s="1"/>
      <c r="AT95" s="1"/>
      <c r="AU95" s="1"/>
      <c r="AV95" s="1"/>
      <c r="AW95" s="1"/>
      <c r="AX95" s="1"/>
      <c r="AY95" s="90"/>
      <c r="AZ95" s="54"/>
      <c r="BA95" s="45"/>
      <c r="BB95" s="54"/>
      <c r="BC95" s="54"/>
    </row>
    <row r="96" spans="1:55" ht="15">
      <c r="A96" s="45"/>
      <c r="B96" s="1720"/>
      <c r="C96" s="2418" t="str">
        <f>"Currency unit: " &amp; Currency</f>
        <v>Currency unit: bn SEK</v>
      </c>
      <c r="D96" s="2422"/>
      <c r="E96" s="2513"/>
      <c r="F96" s="2513"/>
      <c r="G96" s="2513"/>
      <c r="H96" s="2513"/>
      <c r="I96" s="2513"/>
      <c r="J96" s="2513"/>
      <c r="K96" s="2513"/>
      <c r="L96" s="2513"/>
      <c r="M96" s="2513"/>
      <c r="N96" s="2513"/>
      <c r="O96" s="2513"/>
      <c r="P96" s="2513"/>
      <c r="Q96" s="1719"/>
      <c r="R96" s="45"/>
      <c r="S96" s="190"/>
      <c r="T96" s="63" t="str">
        <f>"Currency unit: " &amp; Currency</f>
        <v>Currency unit: bn SEK</v>
      </c>
      <c r="U96" s="67"/>
      <c r="V96" s="1"/>
      <c r="W96" s="1"/>
      <c r="X96" s="2066" t="str">
        <f>$T$4</f>
        <v>final storage SF18</v>
      </c>
      <c r="Y96" s="1"/>
      <c r="Z96" s="1"/>
      <c r="AA96" s="1"/>
      <c r="AB96" s="1"/>
      <c r="AC96" s="1"/>
      <c r="AD96" s="1"/>
      <c r="AE96" s="1"/>
      <c r="AF96" s="1"/>
      <c r="AG96" s="1"/>
      <c r="AH96" s="90"/>
      <c r="AI96" s="45"/>
      <c r="AJ96" s="190"/>
      <c r="AK96" s="63" t="str">
        <f>"Currency unit: " &amp; Currency</f>
        <v>Currency unit: bn SEK</v>
      </c>
      <c r="AL96" s="67"/>
      <c r="AM96" s="1"/>
      <c r="AN96" s="1"/>
      <c r="AO96" s="1"/>
      <c r="AP96" s="1"/>
      <c r="AQ96" s="1"/>
      <c r="AR96" s="1"/>
      <c r="AS96" s="1"/>
      <c r="AT96" s="1"/>
      <c r="AU96" s="1"/>
      <c r="AV96" s="1"/>
      <c r="AW96" s="1"/>
      <c r="AX96" s="1"/>
      <c r="AY96" s="90"/>
      <c r="AZ96" s="54"/>
      <c r="BA96" s="45"/>
      <c r="BB96" s="54"/>
      <c r="BC96" s="54"/>
    </row>
    <row r="97" spans="1:256">
      <c r="A97" s="45"/>
      <c r="B97" s="1720"/>
      <c r="C97" s="2424" t="s">
        <v>576</v>
      </c>
      <c r="D97" s="2513"/>
      <c r="E97" s="2513"/>
      <c r="F97" s="2513"/>
      <c r="G97" s="2513"/>
      <c r="H97" s="2513"/>
      <c r="I97" s="2513"/>
      <c r="J97" s="2513"/>
      <c r="K97" s="2513"/>
      <c r="L97" s="2513"/>
      <c r="M97" s="2513"/>
      <c r="N97" s="2513"/>
      <c r="O97" s="2513"/>
      <c r="P97" s="2513"/>
      <c r="Q97" s="1719"/>
      <c r="R97" s="45"/>
      <c r="S97" s="190"/>
      <c r="T97" s="69" t="s">
        <v>576</v>
      </c>
      <c r="U97" s="1"/>
      <c r="V97" s="1"/>
      <c r="W97" s="1"/>
      <c r="X97" s="1"/>
      <c r="Y97" s="1"/>
      <c r="Z97" s="1"/>
      <c r="AA97" s="1"/>
      <c r="AB97" s="1"/>
      <c r="AC97" s="1"/>
      <c r="AD97" s="1"/>
      <c r="AE97" s="1"/>
      <c r="AF97" s="1"/>
      <c r="AG97" s="1"/>
      <c r="AH97" s="90"/>
      <c r="AI97" s="45"/>
      <c r="AJ97" s="190"/>
      <c r="AK97" s="69" t="s">
        <v>576</v>
      </c>
      <c r="AL97" s="1"/>
      <c r="AM97" s="1"/>
      <c r="AN97" s="1"/>
      <c r="AO97" s="1"/>
      <c r="AP97" s="1"/>
      <c r="AQ97" s="1"/>
      <c r="AR97" s="1"/>
      <c r="AS97" s="1"/>
      <c r="AT97" s="1"/>
      <c r="AU97" s="1"/>
      <c r="AV97" s="1"/>
      <c r="AW97" s="1"/>
      <c r="AX97" s="1"/>
      <c r="AY97" s="90"/>
      <c r="AZ97" s="54"/>
      <c r="BA97" s="45"/>
      <c r="BB97" s="54"/>
      <c r="BC97" s="54"/>
    </row>
    <row r="98" spans="1:256" ht="13.15" thickBot="1">
      <c r="A98" s="45"/>
      <c r="B98" s="1720"/>
      <c r="C98" s="2513"/>
      <c r="D98" s="2513"/>
      <c r="E98" s="2513"/>
      <c r="F98" s="2513"/>
      <c r="G98" s="2513"/>
      <c r="H98" s="2513"/>
      <c r="I98" s="2513"/>
      <c r="J98" s="2513"/>
      <c r="K98" s="2513"/>
      <c r="L98" s="2513"/>
      <c r="M98" s="2513"/>
      <c r="N98" s="2513"/>
      <c r="O98" s="3878">
        <f ca="1">NOW()</f>
        <v>43493.476067824071</v>
      </c>
      <c r="P98" s="3878"/>
      <c r="Q98" s="1719"/>
      <c r="R98" s="45"/>
      <c r="S98" s="190"/>
      <c r="T98" s="1"/>
      <c r="U98" s="1"/>
      <c r="V98" s="1"/>
      <c r="W98" s="1"/>
      <c r="X98" s="1"/>
      <c r="Y98" s="1"/>
      <c r="Z98" s="1"/>
      <c r="AA98" s="1"/>
      <c r="AB98" s="1"/>
      <c r="AC98" s="1"/>
      <c r="AD98" s="1"/>
      <c r="AE98" s="1"/>
      <c r="AF98" s="3879">
        <f ca="1">NOW()</f>
        <v>43493.476067824071</v>
      </c>
      <c r="AG98" s="3879"/>
      <c r="AH98" s="90"/>
      <c r="AI98" s="45"/>
      <c r="AJ98" s="190"/>
      <c r="AK98" s="1"/>
      <c r="AL98" s="1"/>
      <c r="AM98" s="1"/>
      <c r="AN98" s="1"/>
      <c r="AO98" s="1"/>
      <c r="AP98" s="1"/>
      <c r="AQ98" s="1"/>
      <c r="AR98" s="1"/>
      <c r="AS98" s="1"/>
      <c r="AT98" s="1"/>
      <c r="AU98" s="1"/>
      <c r="AV98" s="1"/>
      <c r="AW98" s="3879">
        <f ca="1">NOW()</f>
        <v>43493.476067824071</v>
      </c>
      <c r="AX98" s="3879"/>
      <c r="AY98" s="90"/>
      <c r="AZ98" s="54"/>
      <c r="BA98" s="45"/>
      <c r="BB98" s="54"/>
      <c r="BC98" s="54"/>
    </row>
    <row r="99" spans="1:256" ht="13.15">
      <c r="A99" s="45"/>
      <c r="B99" s="1720"/>
      <c r="C99" s="2426"/>
      <c r="D99" s="2427"/>
      <c r="E99" s="3897">
        <f>F16</f>
        <v>2018</v>
      </c>
      <c r="F99" s="3901"/>
      <c r="G99" s="3901"/>
      <c r="H99" s="3898"/>
      <c r="I99" s="3897">
        <f>E99+1</f>
        <v>2019</v>
      </c>
      <c r="J99" s="3901"/>
      <c r="K99" s="3901"/>
      <c r="L99" s="3898"/>
      <c r="M99" s="3897">
        <f>I99+1</f>
        <v>2020</v>
      </c>
      <c r="N99" s="3901"/>
      <c r="O99" s="3901"/>
      <c r="P99" s="3902"/>
      <c r="Q99" s="2515"/>
      <c r="R99" s="45"/>
      <c r="S99" s="190"/>
      <c r="T99" s="191"/>
      <c r="U99" s="73"/>
      <c r="V99" s="3899">
        <f>Last_forecast_year-2</f>
        <v>2018</v>
      </c>
      <c r="W99" s="3903"/>
      <c r="X99" s="3903"/>
      <c r="Y99" s="3900"/>
      <c r="Z99" s="3899">
        <f>V99+1</f>
        <v>2019</v>
      </c>
      <c r="AA99" s="3903"/>
      <c r="AB99" s="3903"/>
      <c r="AC99" s="3900"/>
      <c r="AD99" s="3899">
        <f>Z99+1</f>
        <v>2020</v>
      </c>
      <c r="AE99" s="3903"/>
      <c r="AF99" s="3903"/>
      <c r="AG99" s="3914"/>
      <c r="AH99" s="192"/>
      <c r="AI99" s="45"/>
      <c r="AJ99" s="190"/>
      <c r="AK99" s="191"/>
      <c r="AL99" s="73"/>
      <c r="AM99" s="3899">
        <f>Last_forecast_year - 2</f>
        <v>2018</v>
      </c>
      <c r="AN99" s="3903"/>
      <c r="AO99" s="3903"/>
      <c r="AP99" s="3900"/>
      <c r="AQ99" s="3899">
        <f>AM99+1</f>
        <v>2019</v>
      </c>
      <c r="AR99" s="3903"/>
      <c r="AS99" s="3903"/>
      <c r="AT99" s="3900"/>
      <c r="AU99" s="3899">
        <f>AQ99+1</f>
        <v>2020</v>
      </c>
      <c r="AV99" s="3903"/>
      <c r="AW99" s="3903"/>
      <c r="AX99" s="3914"/>
      <c r="AY99" s="192"/>
      <c r="AZ99" s="54"/>
      <c r="BA99" s="45"/>
      <c r="BB99" s="54"/>
      <c r="BC99" s="54"/>
    </row>
    <row r="100" spans="1:256" ht="13.15">
      <c r="A100" s="45"/>
      <c r="B100" s="1720"/>
      <c r="C100" s="1721"/>
      <c r="D100" s="2420"/>
      <c r="E100" s="2516" t="s">
        <v>492</v>
      </c>
      <c r="F100" s="2516" t="s">
        <v>493</v>
      </c>
      <c r="G100" s="2516" t="s">
        <v>494</v>
      </c>
      <c r="H100" s="2516" t="s">
        <v>495</v>
      </c>
      <c r="I100" s="2516" t="s">
        <v>492</v>
      </c>
      <c r="J100" s="2516" t="s">
        <v>493</v>
      </c>
      <c r="K100" s="2516" t="s">
        <v>494</v>
      </c>
      <c r="L100" s="2516" t="s">
        <v>495</v>
      </c>
      <c r="M100" s="2516" t="s">
        <v>492</v>
      </c>
      <c r="N100" s="2516" t="s">
        <v>493</v>
      </c>
      <c r="O100" s="2516" t="s">
        <v>494</v>
      </c>
      <c r="P100" s="2517" t="s">
        <v>495</v>
      </c>
      <c r="Q100" s="2515"/>
      <c r="R100" s="45"/>
      <c r="S100" s="190"/>
      <c r="T100" s="40"/>
      <c r="U100" s="65"/>
      <c r="V100" s="193" t="s">
        <v>492</v>
      </c>
      <c r="W100" s="193" t="s">
        <v>493</v>
      </c>
      <c r="X100" s="193" t="s">
        <v>494</v>
      </c>
      <c r="Y100" s="193" t="s">
        <v>495</v>
      </c>
      <c r="Z100" s="193" t="s">
        <v>492</v>
      </c>
      <c r="AA100" s="193" t="s">
        <v>493</v>
      </c>
      <c r="AB100" s="193" t="s">
        <v>494</v>
      </c>
      <c r="AC100" s="193" t="s">
        <v>495</v>
      </c>
      <c r="AD100" s="193" t="s">
        <v>492</v>
      </c>
      <c r="AE100" s="193" t="s">
        <v>493</v>
      </c>
      <c r="AF100" s="193" t="s">
        <v>494</v>
      </c>
      <c r="AG100" s="194" t="s">
        <v>495</v>
      </c>
      <c r="AH100" s="192"/>
      <c r="AI100" s="45"/>
      <c r="AJ100" s="190"/>
      <c r="AK100" s="40"/>
      <c r="AL100" s="65"/>
      <c r="AM100" s="193" t="s">
        <v>492</v>
      </c>
      <c r="AN100" s="193" t="s">
        <v>493</v>
      </c>
      <c r="AO100" s="193" t="s">
        <v>494</v>
      </c>
      <c r="AP100" s="193" t="s">
        <v>495</v>
      </c>
      <c r="AQ100" s="193" t="s">
        <v>492</v>
      </c>
      <c r="AR100" s="193" t="s">
        <v>493</v>
      </c>
      <c r="AS100" s="193" t="s">
        <v>494</v>
      </c>
      <c r="AT100" s="193" t="s">
        <v>495</v>
      </c>
      <c r="AU100" s="193" t="s">
        <v>492</v>
      </c>
      <c r="AV100" s="193" t="s">
        <v>493</v>
      </c>
      <c r="AW100" s="193" t="s">
        <v>494</v>
      </c>
      <c r="AX100" s="194" t="s">
        <v>495</v>
      </c>
      <c r="AY100" s="192"/>
      <c r="AZ100" s="54"/>
      <c r="BA100" s="45"/>
      <c r="BB100" s="54"/>
      <c r="BC100" s="54"/>
    </row>
    <row r="101" spans="1:256" s="45" customFormat="1" ht="13.15">
      <c r="B101" s="1720"/>
      <c r="C101" s="1721"/>
      <c r="D101" s="2420"/>
      <c r="E101" s="3915" t="s">
        <v>354</v>
      </c>
      <c r="F101" s="3916"/>
      <c r="G101" s="3916"/>
      <c r="H101" s="3916"/>
      <c r="I101" s="3916"/>
      <c r="J101" s="3916"/>
      <c r="K101" s="3916"/>
      <c r="L101" s="3916"/>
      <c r="M101" s="3916"/>
      <c r="N101" s="3916"/>
      <c r="O101" s="3916"/>
      <c r="P101" s="3917"/>
      <c r="Q101" s="2515"/>
      <c r="S101" s="190"/>
      <c r="T101" s="40"/>
      <c r="U101" s="65"/>
      <c r="V101" s="3918" t="s">
        <v>354</v>
      </c>
      <c r="W101" s="3919"/>
      <c r="X101" s="3919"/>
      <c r="Y101" s="3919"/>
      <c r="Z101" s="3919"/>
      <c r="AA101" s="3919"/>
      <c r="AB101" s="3919"/>
      <c r="AC101" s="3919"/>
      <c r="AD101" s="3919"/>
      <c r="AE101" s="3919"/>
      <c r="AF101" s="3919"/>
      <c r="AG101" s="3920"/>
      <c r="AH101" s="192"/>
      <c r="AJ101" s="190"/>
      <c r="AK101" s="40"/>
      <c r="AL101" s="65"/>
      <c r="AM101" s="3918" t="s">
        <v>354</v>
      </c>
      <c r="AN101" s="3919"/>
      <c r="AO101" s="3919"/>
      <c r="AP101" s="3919"/>
      <c r="AQ101" s="3919"/>
      <c r="AR101" s="3919"/>
      <c r="AS101" s="3919"/>
      <c r="AT101" s="3919"/>
      <c r="AU101" s="3919"/>
      <c r="AV101" s="3919"/>
      <c r="AW101" s="3919"/>
      <c r="AX101" s="3920"/>
      <c r="AY101" s="192"/>
      <c r="AZ101" s="54"/>
      <c r="BB101" s="54"/>
      <c r="BC101" s="54"/>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c r="HB101"/>
      <c r="HC101"/>
      <c r="HD101"/>
      <c r="HE101"/>
      <c r="HF101"/>
      <c r="HG101"/>
      <c r="HH101"/>
      <c r="HI101"/>
      <c r="HJ101"/>
      <c r="HK101"/>
      <c r="HL101"/>
      <c r="HM101"/>
      <c r="HN101"/>
      <c r="HO101"/>
      <c r="HP101"/>
      <c r="HQ101"/>
      <c r="HR101"/>
      <c r="HS101"/>
      <c r="HT101"/>
      <c r="HU101"/>
      <c r="HV101"/>
      <c r="HW101"/>
      <c r="HX101"/>
      <c r="HY101"/>
      <c r="HZ101"/>
      <c r="IA101"/>
      <c r="IB101"/>
      <c r="IC101"/>
      <c r="ID101"/>
      <c r="IE101"/>
      <c r="IF101"/>
      <c r="IG101"/>
      <c r="IH101"/>
      <c r="II101"/>
      <c r="IJ101"/>
      <c r="IK101"/>
      <c r="IL101"/>
      <c r="IM101"/>
      <c r="IN101"/>
      <c r="IO101"/>
      <c r="IP101"/>
      <c r="IQ101"/>
      <c r="IR101"/>
      <c r="IS101"/>
      <c r="IT101"/>
      <c r="IU101"/>
      <c r="IV101"/>
    </row>
    <row r="102" spans="1:256" s="45" customFormat="1" ht="13.15">
      <c r="B102" s="1720"/>
      <c r="C102" s="1721"/>
      <c r="D102" s="2420"/>
      <c r="E102" s="3880" t="s">
        <v>1320</v>
      </c>
      <c r="F102" s="3881"/>
      <c r="G102" s="3881"/>
      <c r="H102" s="3881"/>
      <c r="I102" s="3881"/>
      <c r="J102" s="3881"/>
      <c r="K102" s="3881"/>
      <c r="L102" s="3881"/>
      <c r="M102" s="3881"/>
      <c r="N102" s="3881"/>
      <c r="O102" s="3881"/>
      <c r="P102" s="3882"/>
      <c r="Q102" s="2417"/>
      <c r="S102" s="190"/>
      <c r="T102" s="40"/>
      <c r="U102" s="65"/>
      <c r="V102" s="3883" t="s">
        <v>1320</v>
      </c>
      <c r="W102" s="3884"/>
      <c r="X102" s="3884"/>
      <c r="Y102" s="3884"/>
      <c r="Z102" s="3884"/>
      <c r="AA102" s="3884"/>
      <c r="AB102" s="3884"/>
      <c r="AC102" s="3884"/>
      <c r="AD102" s="3884"/>
      <c r="AE102" s="3884"/>
      <c r="AF102" s="3884"/>
      <c r="AG102" s="3885"/>
      <c r="AH102" s="62"/>
      <c r="AJ102" s="190"/>
      <c r="AK102" s="40"/>
      <c r="AL102" s="65"/>
      <c r="AM102" s="3883" t="s">
        <v>1320</v>
      </c>
      <c r="AN102" s="3884"/>
      <c r="AO102" s="3884"/>
      <c r="AP102" s="3884"/>
      <c r="AQ102" s="3884"/>
      <c r="AR102" s="3884"/>
      <c r="AS102" s="3884"/>
      <c r="AT102" s="3884"/>
      <c r="AU102" s="3884"/>
      <c r="AV102" s="3884"/>
      <c r="AW102" s="3884"/>
      <c r="AX102" s="3885"/>
      <c r="AY102" s="62"/>
      <c r="AZ102" s="54"/>
      <c r="BB102" s="54"/>
      <c r="BC102" s="54"/>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c r="HH102"/>
      <c r="HI102"/>
      <c r="HJ102"/>
      <c r="HK102"/>
      <c r="HL102"/>
      <c r="HM102"/>
      <c r="HN102"/>
      <c r="HO102"/>
      <c r="HP102"/>
      <c r="HQ102"/>
      <c r="HR102"/>
      <c r="HS102"/>
      <c r="HT102"/>
      <c r="HU102"/>
      <c r="HV102"/>
      <c r="HW102"/>
      <c r="HX102"/>
      <c r="HY102"/>
      <c r="HZ102"/>
      <c r="IA102"/>
      <c r="IB102"/>
      <c r="IC102"/>
      <c r="ID102"/>
      <c r="IE102"/>
      <c r="IF102"/>
      <c r="IG102"/>
      <c r="IH102"/>
      <c r="II102"/>
      <c r="IJ102"/>
      <c r="IK102"/>
      <c r="IL102"/>
      <c r="IM102"/>
      <c r="IN102"/>
      <c r="IO102"/>
      <c r="IP102"/>
      <c r="IQ102"/>
      <c r="IR102"/>
      <c r="IS102"/>
      <c r="IT102"/>
      <c r="IU102"/>
      <c r="IV102"/>
    </row>
    <row r="103" spans="1:256" s="45" customFormat="1">
      <c r="B103" s="1720"/>
      <c r="C103" s="2453" t="s">
        <v>1796</v>
      </c>
      <c r="D103" s="2412"/>
      <c r="E103" s="2518">
        <f ca="1">Transfer!D115</f>
        <v>0.49077426875407948</v>
      </c>
      <c r="F103" s="2518">
        <f ca="1">Transfer!E115</f>
        <v>0.85425419505966715</v>
      </c>
      <c r="G103" s="2518">
        <f ca="1">Transfer!F115</f>
        <v>0.32</v>
      </c>
      <c r="H103" s="2518">
        <f ca="1">Transfer!G115</f>
        <v>0.66</v>
      </c>
      <c r="I103" s="2518">
        <f ca="1">Transfer!H115</f>
        <v>0.74</v>
      </c>
      <c r="J103" s="2518">
        <f ca="1">Transfer!I115</f>
        <v>0.52</v>
      </c>
      <c r="K103" s="2518">
        <f ca="1">Transfer!J115</f>
        <v>0.43</v>
      </c>
      <c r="L103" s="2518">
        <f ca="1">Transfer!K115</f>
        <v>0.35</v>
      </c>
      <c r="M103" s="2518">
        <f ca="1">Transfer!L115</f>
        <v>0.71</v>
      </c>
      <c r="N103" s="2518">
        <f ca="1">Transfer!M115</f>
        <v>0.53</v>
      </c>
      <c r="O103" s="2518">
        <f ca="1">Transfer!N115</f>
        <v>0.55000000000000004</v>
      </c>
      <c r="P103" s="2519">
        <f ca="1">Transfer!O115</f>
        <v>0.39</v>
      </c>
      <c r="Q103" s="2520"/>
      <c r="S103" s="190"/>
      <c r="T103" s="2453" t="s">
        <v>1796</v>
      </c>
      <c r="U103" s="57"/>
      <c r="V103" s="195">
        <f t="shared" ref="V103:AG107" ca="1" si="7">ROUND(E103,1)-ROUND(AM103,1)</f>
        <v>-0.30000000000000004</v>
      </c>
      <c r="W103" s="195">
        <f t="shared" ca="1" si="7"/>
        <v>0.20000000000000007</v>
      </c>
      <c r="X103" s="195">
        <f t="shared" ca="1" si="7"/>
        <v>-0.2</v>
      </c>
      <c r="Y103" s="195">
        <f t="shared" ca="1" si="7"/>
        <v>9.9999999999999978E-2</v>
      </c>
      <c r="Z103" s="195">
        <f t="shared" ca="1" si="7"/>
        <v>0.19999999999999996</v>
      </c>
      <c r="AA103" s="195">
        <f t="shared" ca="1" si="7"/>
        <v>-0.19999999999999996</v>
      </c>
      <c r="AB103" s="195">
        <f t="shared" ca="1" si="7"/>
        <v>-0.19999999999999996</v>
      </c>
      <c r="AC103" s="195">
        <f t="shared" ca="1" si="7"/>
        <v>-9.9999999999999978E-2</v>
      </c>
      <c r="AD103" s="195">
        <f t="shared" ca="1" si="7"/>
        <v>9.9999999999999978E-2</v>
      </c>
      <c r="AE103" s="195">
        <f t="shared" ca="1" si="7"/>
        <v>-9.9999999999999978E-2</v>
      </c>
      <c r="AF103" s="195">
        <f t="shared" ca="1" si="7"/>
        <v>9.9999999999999978E-2</v>
      </c>
      <c r="AG103" s="358">
        <f t="shared" ca="1" si="7"/>
        <v>0</v>
      </c>
      <c r="AH103" s="196"/>
      <c r="AJ103" s="190"/>
      <c r="AK103" s="2453" t="s">
        <v>1796</v>
      </c>
      <c r="AL103" s="57"/>
      <c r="AM103" s="195">
        <f>Transfer!AD115</f>
        <v>0.84027165692830419</v>
      </c>
      <c r="AN103" s="195">
        <f>Transfer!AE115</f>
        <v>0.69009418948708934</v>
      </c>
      <c r="AO103" s="195">
        <f>Transfer!AF115</f>
        <v>0.46949715951665194</v>
      </c>
      <c r="AP103" s="195">
        <f>Transfer!AG115</f>
        <v>0.61340958437643422</v>
      </c>
      <c r="AQ103" s="195">
        <f>Transfer!AH115</f>
        <v>0.45</v>
      </c>
      <c r="AR103" s="195">
        <f>Transfer!AI115</f>
        <v>0.65</v>
      </c>
      <c r="AS103" s="195">
        <f>Transfer!AJ115</f>
        <v>0.61</v>
      </c>
      <c r="AT103" s="195">
        <f>Transfer!AK115</f>
        <v>0.53</v>
      </c>
      <c r="AU103" s="195">
        <f>Transfer!AL115</f>
        <v>0.6</v>
      </c>
      <c r="AV103" s="195">
        <f>Transfer!AM115</f>
        <v>0.55000000000000004</v>
      </c>
      <c r="AW103" s="195">
        <f>Transfer!AN115</f>
        <v>0.48</v>
      </c>
      <c r="AX103" s="358">
        <f>Transfer!AO115</f>
        <v>0.39</v>
      </c>
      <c r="AY103" s="196"/>
      <c r="AZ103" s="54"/>
      <c r="BA103" s="519" t="s">
        <v>6</v>
      </c>
      <c r="BB103" s="54"/>
      <c r="BC103" s="54"/>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c r="HB103"/>
      <c r="HC103"/>
      <c r="HD103"/>
      <c r="HE103"/>
      <c r="HF103"/>
      <c r="HG103"/>
      <c r="HH103"/>
      <c r="HI103"/>
      <c r="HJ103"/>
      <c r="HK103"/>
      <c r="HL103"/>
      <c r="HM103"/>
      <c r="HN103"/>
      <c r="HO103"/>
      <c r="HP103"/>
      <c r="HQ103"/>
      <c r="HR103"/>
      <c r="HS103"/>
      <c r="HT103"/>
      <c r="HU103"/>
      <c r="HV103"/>
      <c r="HW103"/>
      <c r="HX103"/>
      <c r="HY103"/>
      <c r="HZ103"/>
      <c r="IA103"/>
      <c r="IB103"/>
      <c r="IC103"/>
      <c r="ID103"/>
      <c r="IE103"/>
      <c r="IF103"/>
      <c r="IG103"/>
      <c r="IH103"/>
      <c r="II103"/>
      <c r="IJ103"/>
      <c r="IK103"/>
      <c r="IL103"/>
      <c r="IM103"/>
      <c r="IN103"/>
      <c r="IO103"/>
      <c r="IP103"/>
      <c r="IQ103"/>
      <c r="IR103"/>
      <c r="IS103"/>
      <c r="IT103"/>
      <c r="IU103"/>
      <c r="IV103"/>
    </row>
    <row r="104" spans="1:256" s="45" customFormat="1">
      <c r="B104" s="1720"/>
      <c r="C104" s="1721" t="s">
        <v>121</v>
      </c>
      <c r="D104" s="2420"/>
      <c r="E104" s="2521">
        <f ca="1">Transfer!D116</f>
        <v>0.18852218590648118</v>
      </c>
      <c r="F104" s="2521">
        <f ca="1">Transfer!E116</f>
        <v>0.31118609032760869</v>
      </c>
      <c r="G104" s="2521">
        <f ca="1">Transfer!F116</f>
        <v>0.32</v>
      </c>
      <c r="H104" s="2521">
        <f ca="1">Transfer!G116</f>
        <v>0.19</v>
      </c>
      <c r="I104" s="2521">
        <f ca="1">Transfer!H116</f>
        <v>0.38</v>
      </c>
      <c r="J104" s="2521">
        <f ca="1">Transfer!I116</f>
        <v>0.11</v>
      </c>
      <c r="K104" s="2521">
        <f ca="1">Transfer!J116</f>
        <v>0.08</v>
      </c>
      <c r="L104" s="2521">
        <f ca="1">Transfer!K116</f>
        <v>0.05</v>
      </c>
      <c r="M104" s="2521">
        <f ca="1">Transfer!L116</f>
        <v>0.42</v>
      </c>
      <c r="N104" s="2521">
        <f ca="1">Transfer!M116</f>
        <v>0.3</v>
      </c>
      <c r="O104" s="2521">
        <f ca="1">Transfer!N116</f>
        <v>0.26</v>
      </c>
      <c r="P104" s="2522">
        <f ca="1">Transfer!O116</f>
        <v>0.19</v>
      </c>
      <c r="Q104" s="2520"/>
      <c r="S104" s="190"/>
      <c r="T104" s="1721" t="s">
        <v>121</v>
      </c>
      <c r="U104" s="65"/>
      <c r="V104" s="197">
        <f t="shared" ca="1" si="7"/>
        <v>0.1</v>
      </c>
      <c r="W104" s="197">
        <f t="shared" ca="1" si="7"/>
        <v>0</v>
      </c>
      <c r="X104" s="197">
        <f t="shared" ca="1" si="7"/>
        <v>-0.2</v>
      </c>
      <c r="Y104" s="197">
        <f t="shared" ca="1" si="7"/>
        <v>0</v>
      </c>
      <c r="Z104" s="197">
        <f t="shared" ca="1" si="7"/>
        <v>-9.9999999999999978E-2</v>
      </c>
      <c r="AA104" s="197">
        <f t="shared" ca="1" si="7"/>
        <v>-0.19999999999999998</v>
      </c>
      <c r="AB104" s="197">
        <f t="shared" ca="1" si="7"/>
        <v>-0.1</v>
      </c>
      <c r="AC104" s="197">
        <f t="shared" ca="1" si="7"/>
        <v>-0.1</v>
      </c>
      <c r="AD104" s="197">
        <f t="shared" ca="1" si="7"/>
        <v>0</v>
      </c>
      <c r="AE104" s="197">
        <f t="shared" ca="1" si="7"/>
        <v>0.19999999999999998</v>
      </c>
      <c r="AF104" s="197">
        <f t="shared" ca="1" si="7"/>
        <v>0.19999999999999998</v>
      </c>
      <c r="AG104" s="341">
        <f t="shared" ca="1" si="7"/>
        <v>0.2</v>
      </c>
      <c r="AH104" s="196"/>
      <c r="AJ104" s="190"/>
      <c r="AK104" s="1721" t="s">
        <v>121</v>
      </c>
      <c r="AL104" s="65"/>
      <c r="AM104" s="197">
        <f>Transfer!AD116</f>
        <v>0.13681698586549551</v>
      </c>
      <c r="AN104" s="197">
        <f>Transfer!AE116</f>
        <v>0.26873835955947278</v>
      </c>
      <c r="AO104" s="197">
        <f>Transfer!AF116</f>
        <v>0.47257639043778443</v>
      </c>
      <c r="AP104" s="197">
        <f>Transfer!AG116</f>
        <v>0.21257298224488519</v>
      </c>
      <c r="AQ104" s="197">
        <f>Transfer!AH116</f>
        <v>0.49</v>
      </c>
      <c r="AR104" s="197">
        <f>Transfer!AI116</f>
        <v>0.33</v>
      </c>
      <c r="AS104" s="197">
        <f>Transfer!AJ116</f>
        <v>0.19</v>
      </c>
      <c r="AT104" s="197">
        <f>Transfer!AK116</f>
        <v>0.21</v>
      </c>
      <c r="AU104" s="197">
        <f>Transfer!AL116</f>
        <v>0.38</v>
      </c>
      <c r="AV104" s="197">
        <f>Transfer!AM116</f>
        <v>0.11</v>
      </c>
      <c r="AW104" s="197">
        <f>Transfer!AN116</f>
        <v>0.05</v>
      </c>
      <c r="AX104" s="341">
        <f>Transfer!AO116</f>
        <v>0.01</v>
      </c>
      <c r="AY104" s="196"/>
      <c r="AZ104" s="54"/>
      <c r="BA104" s="1732" t="s">
        <v>1321</v>
      </c>
      <c r="BB104" s="54"/>
      <c r="BC104" s="5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c r="HB104"/>
      <c r="HC104"/>
      <c r="HD104"/>
      <c r="HE104"/>
      <c r="HF104"/>
      <c r="HG104"/>
      <c r="HH104"/>
      <c r="HI104"/>
      <c r="HJ104"/>
      <c r="HK104"/>
      <c r="HL104"/>
      <c r="HM104"/>
      <c r="HN104"/>
      <c r="HO104"/>
      <c r="HP104"/>
      <c r="HQ104"/>
      <c r="HR104"/>
      <c r="HS104"/>
      <c r="HT104"/>
      <c r="HU104"/>
      <c r="HV104"/>
      <c r="HW104"/>
      <c r="HX104"/>
      <c r="HY104"/>
      <c r="HZ104"/>
      <c r="IA104"/>
      <c r="IB104"/>
      <c r="IC104"/>
      <c r="ID104"/>
      <c r="IE104"/>
      <c r="IF104"/>
      <c r="IG104"/>
      <c r="IH104"/>
      <c r="II104"/>
      <c r="IJ104"/>
      <c r="IK104"/>
      <c r="IL104"/>
      <c r="IM104"/>
      <c r="IN104"/>
      <c r="IO104"/>
      <c r="IP104"/>
      <c r="IQ104"/>
      <c r="IR104"/>
      <c r="IS104"/>
      <c r="IT104"/>
      <c r="IU104"/>
      <c r="IV104"/>
    </row>
    <row r="105" spans="1:256" s="45" customFormat="1">
      <c r="B105" s="1720"/>
      <c r="C105" s="2523" t="s">
        <v>1164</v>
      </c>
      <c r="D105" s="2501"/>
      <c r="E105" s="2521">
        <f ca="1">Transfer!D117</f>
        <v>2.4601178204925356</v>
      </c>
      <c r="F105" s="2521">
        <f ca="1">Transfer!E117</f>
        <v>-0.51308796836075921</v>
      </c>
      <c r="G105" s="2521">
        <f ca="1">Transfer!F117</f>
        <v>0.5</v>
      </c>
      <c r="H105" s="2521">
        <f ca="1">Transfer!G117</f>
        <v>0.41</v>
      </c>
      <c r="I105" s="2521">
        <f ca="1">Transfer!H117</f>
        <v>0.71</v>
      </c>
      <c r="J105" s="2521">
        <f ca="1">Transfer!I117</f>
        <v>0.63</v>
      </c>
      <c r="K105" s="2521">
        <f ca="1">Transfer!J117</f>
        <v>0.52</v>
      </c>
      <c r="L105" s="2521">
        <f ca="1">Transfer!K117</f>
        <v>0.48</v>
      </c>
      <c r="M105" s="2521">
        <f ca="1">Transfer!L117</f>
        <v>0.55000000000000004</v>
      </c>
      <c r="N105" s="2521">
        <f ca="1">Transfer!M117</f>
        <v>0.65</v>
      </c>
      <c r="O105" s="2521">
        <f ca="1">Transfer!N117</f>
        <v>0.42</v>
      </c>
      <c r="P105" s="2522">
        <f ca="1">Transfer!O117</f>
        <v>0.35</v>
      </c>
      <c r="Q105" s="2520"/>
      <c r="S105" s="190"/>
      <c r="T105" s="2523" t="s">
        <v>1164</v>
      </c>
      <c r="U105" s="198"/>
      <c r="V105" s="197">
        <f t="shared" ca="1" si="7"/>
        <v>0</v>
      </c>
      <c r="W105" s="197">
        <f t="shared" ca="1" si="7"/>
        <v>-1.8</v>
      </c>
      <c r="X105" s="197">
        <f t="shared" ca="1" si="7"/>
        <v>-3.3</v>
      </c>
      <c r="Y105" s="197">
        <f t="shared" ca="1" si="7"/>
        <v>1.7000000000000002</v>
      </c>
      <c r="Z105" s="197">
        <f t="shared" ca="1" si="7"/>
        <v>-0.5</v>
      </c>
      <c r="AA105" s="197">
        <f t="shared" ca="1" si="7"/>
        <v>-0.30000000000000004</v>
      </c>
      <c r="AB105" s="197">
        <f t="shared" ca="1" si="7"/>
        <v>-0.19999999999999996</v>
      </c>
      <c r="AC105" s="197">
        <f t="shared" ca="1" si="7"/>
        <v>-0.19999999999999996</v>
      </c>
      <c r="AD105" s="197">
        <f t="shared" ca="1" si="7"/>
        <v>9.9999999999999978E-2</v>
      </c>
      <c r="AE105" s="197">
        <f t="shared" ca="1" si="7"/>
        <v>0.39999999999999997</v>
      </c>
      <c r="AF105" s="197">
        <f t="shared" ca="1" si="7"/>
        <v>0.2</v>
      </c>
      <c r="AG105" s="341">
        <f t="shared" ca="1" si="7"/>
        <v>0.30000000000000004</v>
      </c>
      <c r="AH105" s="199"/>
      <c r="AJ105" s="190"/>
      <c r="AK105" s="2523" t="s">
        <v>1164</v>
      </c>
      <c r="AL105" s="198"/>
      <c r="AM105" s="197">
        <f>Transfer!AD117</f>
        <v>2.4570124945329397</v>
      </c>
      <c r="AN105" s="197">
        <f>Transfer!AE117</f>
        <v>1.3182738247414783</v>
      </c>
      <c r="AO105" s="197">
        <f>Transfer!AF117</f>
        <v>3.8482298875586851</v>
      </c>
      <c r="AP105" s="197">
        <f>Transfer!AG117</f>
        <v>-1.3247604289077675</v>
      </c>
      <c r="AQ105" s="197">
        <f>Transfer!AH117</f>
        <v>1.23</v>
      </c>
      <c r="AR105" s="197">
        <f>Transfer!AI117</f>
        <v>0.88</v>
      </c>
      <c r="AS105" s="197">
        <f>Transfer!AJ117</f>
        <v>0.73</v>
      </c>
      <c r="AT105" s="197">
        <f>Transfer!AK117</f>
        <v>0.66</v>
      </c>
      <c r="AU105" s="197">
        <f>Transfer!AL117</f>
        <v>0.49</v>
      </c>
      <c r="AV105" s="197">
        <f>Transfer!AM117</f>
        <v>0.33</v>
      </c>
      <c r="AW105" s="197">
        <f>Transfer!AN117</f>
        <v>0.18</v>
      </c>
      <c r="AX105" s="341">
        <f>Transfer!AO117</f>
        <v>0.06</v>
      </c>
      <c r="AY105" s="199"/>
      <c r="AZ105" s="54"/>
      <c r="BA105" s="1732" t="s">
        <v>7</v>
      </c>
      <c r="BB105" s="54"/>
      <c r="BC105" s="54"/>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c r="IC105"/>
      <c r="ID105"/>
      <c r="IE105"/>
      <c r="IF105"/>
      <c r="IG105"/>
      <c r="IH105"/>
      <c r="II105"/>
      <c r="IJ105"/>
      <c r="IK105"/>
      <c r="IL105"/>
      <c r="IM105"/>
      <c r="IN105"/>
      <c r="IO105"/>
      <c r="IP105"/>
      <c r="IQ105"/>
      <c r="IR105"/>
      <c r="IS105"/>
      <c r="IT105"/>
      <c r="IU105"/>
      <c r="IV105"/>
    </row>
    <row r="106" spans="1:256" s="45" customFormat="1" ht="13.15">
      <c r="B106" s="1720"/>
      <c r="C106" s="2524" t="s">
        <v>1033</v>
      </c>
      <c r="D106" s="2525"/>
      <c r="E106" s="2526">
        <f ca="1">Transfer!D118</f>
        <v>0.70887817615747917</v>
      </c>
      <c r="F106" s="2526">
        <f ca="1">Transfer!E118</f>
        <v>1.2869502052488491</v>
      </c>
      <c r="G106" s="2526">
        <f ca="1">Transfer!F118</f>
        <v>0.36807132961220779</v>
      </c>
      <c r="H106" s="2526">
        <f ca="1">Transfer!G118</f>
        <v>0.47605012399969693</v>
      </c>
      <c r="I106" s="2526">
        <f ca="1">Transfer!H118</f>
        <v>0.64254735494379445</v>
      </c>
      <c r="J106" s="2526">
        <f ca="1">Transfer!I118</f>
        <v>0.44782452243838627</v>
      </c>
      <c r="K106" s="2526">
        <f ca="1">Transfer!J118</f>
        <v>0.36767852739945034</v>
      </c>
      <c r="L106" s="2526">
        <f ca="1">Transfer!K118</f>
        <v>0.31100734637281979</v>
      </c>
      <c r="M106" s="2526">
        <f ca="1">Transfer!L118</f>
        <v>0.59577368524738072</v>
      </c>
      <c r="N106" s="2526">
        <f ca="1">Transfer!M118</f>
        <v>0.50584688193292138</v>
      </c>
      <c r="O106" s="2526">
        <f ca="1">Transfer!N118</f>
        <v>0.44407239423216671</v>
      </c>
      <c r="P106" s="2527">
        <f ca="1">Transfer!O118</f>
        <v>0.33039716192603147</v>
      </c>
      <c r="Q106" s="2528"/>
      <c r="S106" s="190"/>
      <c r="T106" s="2524" t="s">
        <v>1033</v>
      </c>
      <c r="U106" s="201"/>
      <c r="V106" s="202">
        <f t="shared" ca="1" si="7"/>
        <v>-0.7</v>
      </c>
      <c r="W106" s="202">
        <f t="shared" ca="1" si="7"/>
        <v>0.30000000000000004</v>
      </c>
      <c r="X106" s="202">
        <f t="shared" ca="1" si="7"/>
        <v>-0.5</v>
      </c>
      <c r="Y106" s="202">
        <f t="shared" ca="1" si="7"/>
        <v>0</v>
      </c>
      <c r="Z106" s="202">
        <f t="shared" ca="1" si="7"/>
        <v>-9.9999999999999978E-2</v>
      </c>
      <c r="AA106" s="202">
        <f t="shared" ca="1" si="7"/>
        <v>-0.19999999999999996</v>
      </c>
      <c r="AB106" s="202">
        <f t="shared" ca="1" si="7"/>
        <v>-9.9999999999999978E-2</v>
      </c>
      <c r="AC106" s="202">
        <f t="shared" ca="1" si="7"/>
        <v>-0.2</v>
      </c>
      <c r="AD106" s="202">
        <f t="shared" ca="1" si="7"/>
        <v>9.9999999999999978E-2</v>
      </c>
      <c r="AE106" s="202">
        <f t="shared" ca="1" si="7"/>
        <v>9.9999999999999978E-2</v>
      </c>
      <c r="AF106" s="202">
        <f t="shared" ca="1" si="7"/>
        <v>0.10000000000000003</v>
      </c>
      <c r="AG106" s="345">
        <f t="shared" ca="1" si="7"/>
        <v>9.9999999999999978E-2</v>
      </c>
      <c r="AH106" s="203"/>
      <c r="AJ106" s="190"/>
      <c r="AK106" s="2524" t="s">
        <v>1033</v>
      </c>
      <c r="AL106" s="201"/>
      <c r="AM106" s="202">
        <f>Transfer!AD118</f>
        <v>1.4455690218906359</v>
      </c>
      <c r="AN106" s="202">
        <f>Transfer!AE118</f>
        <v>0.99842473700793022</v>
      </c>
      <c r="AO106" s="202">
        <f>Transfer!AF118</f>
        <v>0.90456985811329105</v>
      </c>
      <c r="AP106" s="202">
        <f>Transfer!AG118</f>
        <v>0.52922047827190788</v>
      </c>
      <c r="AQ106" s="202">
        <f>Transfer!AH118</f>
        <v>0.66964476828627384</v>
      </c>
      <c r="AR106" s="202">
        <f>Transfer!AI118</f>
        <v>0.63205255518894443</v>
      </c>
      <c r="AS106" s="202">
        <f>Transfer!AJ118</f>
        <v>0.53769097522090381</v>
      </c>
      <c r="AT106" s="202">
        <f>Transfer!AK118</f>
        <v>0.48569987474588833</v>
      </c>
      <c r="AU106" s="202">
        <f>Transfer!AL118</f>
        <v>0.51552840984281478</v>
      </c>
      <c r="AV106" s="202">
        <f>Transfer!AM118</f>
        <v>0.38121915219374325</v>
      </c>
      <c r="AW106" s="202">
        <f>Transfer!AN118</f>
        <v>0.29227993500169258</v>
      </c>
      <c r="AX106" s="345">
        <f>Transfer!AO118</f>
        <v>0.20680742071841174</v>
      </c>
      <c r="AY106" s="203"/>
      <c r="AZ106" s="54"/>
      <c r="BA106" s="1732" t="s">
        <v>8</v>
      </c>
      <c r="BB106" s="54"/>
      <c r="BC106" s="54"/>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c r="HB106"/>
      <c r="HC106"/>
      <c r="HD106"/>
      <c r="HE106"/>
      <c r="HF106"/>
      <c r="HG106"/>
      <c r="HH106"/>
      <c r="HI106"/>
      <c r="HJ106"/>
      <c r="HK106"/>
      <c r="HL106"/>
      <c r="HM106"/>
      <c r="HN106"/>
      <c r="HO106"/>
      <c r="HP106"/>
      <c r="HQ106"/>
      <c r="HR106"/>
      <c r="HS106"/>
      <c r="HT106"/>
      <c r="HU106"/>
      <c r="HV106"/>
      <c r="HW106"/>
      <c r="HX106"/>
      <c r="HY106"/>
      <c r="HZ106"/>
      <c r="IA106"/>
      <c r="IB106"/>
      <c r="IC106"/>
      <c r="ID106"/>
      <c r="IE106"/>
      <c r="IF106"/>
      <c r="IG106"/>
      <c r="IH106"/>
      <c r="II106"/>
      <c r="IJ106"/>
      <c r="IK106"/>
      <c r="IL106"/>
      <c r="IM106"/>
      <c r="IN106"/>
      <c r="IO106"/>
      <c r="IP106"/>
      <c r="IQ106"/>
      <c r="IR106"/>
      <c r="IS106"/>
      <c r="IT106"/>
      <c r="IU106"/>
      <c r="IV106"/>
    </row>
    <row r="107" spans="1:256" s="45" customFormat="1">
      <c r="B107" s="1720"/>
      <c r="C107" s="2529" t="s">
        <v>1035</v>
      </c>
      <c r="D107" s="2530"/>
      <c r="E107" s="2521">
        <f ca="1">Transfer!D119</f>
        <v>0.62079825686999546</v>
      </c>
      <c r="F107" s="2521">
        <f ca="1">Transfer!E119</f>
        <v>1.5457349479050868</v>
      </c>
      <c r="G107" s="2521">
        <f ca="1">Transfer!F119</f>
        <v>1.1392274399101172</v>
      </c>
      <c r="H107" s="2521">
        <f ca="1">Transfer!G119</f>
        <v>0.75643428010060354</v>
      </c>
      <c r="I107" s="2521">
        <f ca="1">Transfer!H119</f>
        <v>0.84820068842145613</v>
      </c>
      <c r="J107" s="2521">
        <f ca="1">Transfer!I119</f>
        <v>0.84478278935385764</v>
      </c>
      <c r="K107" s="2521">
        <f ca="1">Transfer!J119</f>
        <v>0.84193609937917235</v>
      </c>
      <c r="L107" s="2521">
        <f ca="1">Transfer!K119</f>
        <v>0.93298104952654282</v>
      </c>
      <c r="M107" s="2521">
        <f ca="1">Transfer!L119</f>
        <v>0.92957655481314938</v>
      </c>
      <c r="N107" s="2521">
        <f ca="1">Transfer!M119</f>
        <v>1.0181544438258585</v>
      </c>
      <c r="O107" s="2521">
        <f ca="1">Transfer!N119</f>
        <v>1.0138647182542915</v>
      </c>
      <c r="P107" s="2522">
        <f ca="1">Transfer!O119</f>
        <v>1.0105185754332144</v>
      </c>
      <c r="Q107" s="2520"/>
      <c r="S107" s="190"/>
      <c r="T107" s="2529" t="s">
        <v>1035</v>
      </c>
      <c r="U107" s="205"/>
      <c r="V107" s="195">
        <f t="shared" ca="1" si="7"/>
        <v>-0.30000000000000004</v>
      </c>
      <c r="W107" s="195">
        <f t="shared" ca="1" si="7"/>
        <v>0.39999999999999991</v>
      </c>
      <c r="X107" s="195">
        <f t="shared" ca="1" si="7"/>
        <v>0.50000000000000011</v>
      </c>
      <c r="Y107" s="195">
        <f t="shared" ca="1" si="7"/>
        <v>-0.30000000000000004</v>
      </c>
      <c r="Z107" s="195">
        <f t="shared" ca="1" si="7"/>
        <v>-0.30000000000000004</v>
      </c>
      <c r="AA107" s="195">
        <f t="shared" ca="1" si="7"/>
        <v>-0.19999999999999996</v>
      </c>
      <c r="AB107" s="195">
        <f t="shared" ca="1" si="7"/>
        <v>-0.19999999999999996</v>
      </c>
      <c r="AC107" s="195">
        <f t="shared" ca="1" si="7"/>
        <v>0</v>
      </c>
      <c r="AD107" s="195">
        <f t="shared" ca="1" si="7"/>
        <v>0.20000000000000007</v>
      </c>
      <c r="AE107" s="195">
        <f t="shared" ca="1" si="7"/>
        <v>0.30000000000000004</v>
      </c>
      <c r="AF107" s="195">
        <f t="shared" ca="1" si="7"/>
        <v>0.30000000000000004</v>
      </c>
      <c r="AG107" s="358">
        <f t="shared" ca="1" si="7"/>
        <v>0.30000000000000004</v>
      </c>
      <c r="AH107" s="196"/>
      <c r="AJ107" s="190"/>
      <c r="AK107" s="2529" t="s">
        <v>1035</v>
      </c>
      <c r="AL107" s="205"/>
      <c r="AM107" s="197">
        <f>Transfer!AD119</f>
        <v>0.87598898937182246</v>
      </c>
      <c r="AN107" s="197">
        <f>Transfer!AE119</f>
        <v>1.0605199067719129</v>
      </c>
      <c r="AO107" s="197">
        <f>Transfer!AF119</f>
        <v>0.58021992819751178</v>
      </c>
      <c r="AP107" s="197">
        <f>Transfer!AG119</f>
        <v>1.1324833048974334</v>
      </c>
      <c r="AQ107" s="197">
        <f>Transfer!AH119</f>
        <v>1.1359997837552669</v>
      </c>
      <c r="AR107" s="197">
        <f>Transfer!AI119</f>
        <v>1.0354133793024567</v>
      </c>
      <c r="AS107" s="197">
        <f>Transfer!AJ119</f>
        <v>1.0310206433493883</v>
      </c>
      <c r="AT107" s="197">
        <f>Transfer!AK119</f>
        <v>0.93389417667195174</v>
      </c>
      <c r="AU107" s="197">
        <f>Transfer!AL119</f>
        <v>0.74388513189001937</v>
      </c>
      <c r="AV107" s="197">
        <f>Transfer!AM119</f>
        <v>0.74086744187064402</v>
      </c>
      <c r="AW107" s="197">
        <f>Transfer!AN119</f>
        <v>0.73769531390041954</v>
      </c>
      <c r="AX107" s="341">
        <f>Transfer!AO119</f>
        <v>0.73449869887804287</v>
      </c>
      <c r="AY107" s="196"/>
      <c r="AZ107" s="54"/>
      <c r="BA107" s="1732" t="s">
        <v>1322</v>
      </c>
      <c r="BB107" s="54"/>
      <c r="BC107" s="54"/>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c r="HB107"/>
      <c r="HC107"/>
      <c r="HD107"/>
      <c r="HE107"/>
      <c r="HF107"/>
      <c r="HG107"/>
      <c r="HH107"/>
      <c r="HI107"/>
      <c r="HJ107"/>
      <c r="HK107"/>
      <c r="HL107"/>
      <c r="HM107"/>
      <c r="HN107"/>
      <c r="HO107"/>
      <c r="HP107"/>
      <c r="HQ107"/>
      <c r="HR107"/>
      <c r="HS107"/>
      <c r="HT107"/>
      <c r="HU107"/>
      <c r="HV107"/>
      <c r="HW107"/>
      <c r="HX107"/>
      <c r="HY107"/>
      <c r="HZ107"/>
      <c r="IA107"/>
      <c r="IB107"/>
      <c r="IC107"/>
      <c r="ID107"/>
      <c r="IE107"/>
      <c r="IF107"/>
      <c r="IG107"/>
      <c r="IH107"/>
      <c r="II107"/>
      <c r="IJ107"/>
      <c r="IK107"/>
      <c r="IL107"/>
      <c r="IM107"/>
      <c r="IN107"/>
      <c r="IO107"/>
      <c r="IP107"/>
      <c r="IQ107"/>
      <c r="IR107"/>
      <c r="IS107"/>
      <c r="IT107"/>
      <c r="IU107"/>
      <c r="IV107"/>
    </row>
    <row r="108" spans="1:256" s="45" customFormat="1">
      <c r="B108" s="1720"/>
      <c r="C108" s="1721" t="s">
        <v>1036</v>
      </c>
      <c r="D108" s="2420"/>
      <c r="E108" s="2521"/>
      <c r="F108" s="2521"/>
      <c r="G108" s="2521"/>
      <c r="H108" s="2521"/>
      <c r="I108" s="2521"/>
      <c r="J108" s="2521"/>
      <c r="K108" s="2521"/>
      <c r="L108" s="2521"/>
      <c r="M108" s="2521"/>
      <c r="N108" s="2521"/>
      <c r="O108" s="2521"/>
      <c r="P108" s="2522"/>
      <c r="Q108" s="2520"/>
      <c r="S108" s="190"/>
      <c r="T108" s="1721" t="s">
        <v>1036</v>
      </c>
      <c r="U108" s="65"/>
      <c r="V108" s="197"/>
      <c r="W108" s="197"/>
      <c r="X108" s="197"/>
      <c r="Y108" s="197"/>
      <c r="Z108" s="197"/>
      <c r="AA108" s="197"/>
      <c r="AB108" s="197"/>
      <c r="AC108" s="197"/>
      <c r="AD108" s="197"/>
      <c r="AE108" s="197"/>
      <c r="AF108" s="197"/>
      <c r="AG108" s="341"/>
      <c r="AH108" s="196"/>
      <c r="AJ108" s="190"/>
      <c r="AK108" s="1721" t="s">
        <v>1036</v>
      </c>
      <c r="AL108" s="65"/>
      <c r="AM108" s="197"/>
      <c r="AN108" s="197"/>
      <c r="AO108" s="197"/>
      <c r="AP108" s="197"/>
      <c r="AQ108" s="197"/>
      <c r="AR108" s="197"/>
      <c r="AS108" s="197"/>
      <c r="AT108" s="197"/>
      <c r="AU108" s="197"/>
      <c r="AV108" s="197"/>
      <c r="AW108" s="197"/>
      <c r="AX108" s="341"/>
      <c r="AY108" s="196"/>
      <c r="AZ108" s="54"/>
      <c r="BA108" s="1732"/>
      <c r="BB108" s="54"/>
      <c r="BC108" s="54"/>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c r="HB108"/>
      <c r="HC108"/>
      <c r="HD108"/>
      <c r="HE108"/>
      <c r="HF108"/>
      <c r="HG108"/>
      <c r="HH108"/>
      <c r="HI108"/>
      <c r="HJ108"/>
      <c r="HK108"/>
      <c r="HL108"/>
      <c r="HM108"/>
      <c r="HN108"/>
      <c r="HO108"/>
      <c r="HP108"/>
      <c r="HQ108"/>
      <c r="HR108"/>
      <c r="HS108"/>
      <c r="HT108"/>
      <c r="HU108"/>
      <c r="HV108"/>
      <c r="HW108"/>
      <c r="HX108"/>
      <c r="HY108"/>
      <c r="HZ108"/>
      <c r="IA108"/>
      <c r="IB108"/>
      <c r="IC108"/>
      <c r="ID108"/>
      <c r="IE108"/>
      <c r="IF108"/>
      <c r="IG108"/>
      <c r="IH108"/>
      <c r="II108"/>
      <c r="IJ108"/>
      <c r="IK108"/>
      <c r="IL108"/>
      <c r="IM108"/>
      <c r="IN108"/>
      <c r="IO108"/>
      <c r="IP108"/>
      <c r="IQ108"/>
      <c r="IR108"/>
      <c r="IS108"/>
      <c r="IT108"/>
      <c r="IU108"/>
      <c r="IV108"/>
    </row>
    <row r="109" spans="1:256" s="45" customFormat="1" ht="13.15">
      <c r="B109" s="1720"/>
      <c r="C109" s="2531" t="s">
        <v>1034</v>
      </c>
      <c r="D109" s="2532"/>
      <c r="E109" s="2526">
        <f ca="1">Transfer!D120</f>
        <v>0.86823099301969187</v>
      </c>
      <c r="F109" s="2526">
        <f ca="1">Transfer!E120</f>
        <v>0.31488978405880275</v>
      </c>
      <c r="G109" s="2526">
        <f ca="1">Transfer!F120</f>
        <v>-4.8709418819823949E-2</v>
      </c>
      <c r="H109" s="2526">
        <f ca="1">Transfer!G120</f>
        <v>8.2689695087010268E-2</v>
      </c>
      <c r="I109" s="2526">
        <f ca="1">Transfer!H120</f>
        <v>0.73444292775006503</v>
      </c>
      <c r="J109" s="2526">
        <f ca="1">Transfer!I120</f>
        <v>0.44394850613538561</v>
      </c>
      <c r="K109" s="2526">
        <f ca="1">Transfer!J120</f>
        <v>0.36451025718467456</v>
      </c>
      <c r="L109" s="2526">
        <f ca="1">Transfer!K120</f>
        <v>0.40373338472212578</v>
      </c>
      <c r="M109" s="2526">
        <f ca="1">Transfer!L120</f>
        <v>0.59011308191282286</v>
      </c>
      <c r="N109" s="2526">
        <f ca="1">Transfer!M120</f>
        <v>0.59552414415939792</v>
      </c>
      <c r="O109" s="2526">
        <f ca="1">Transfer!N120</f>
        <v>0.4394857620603585</v>
      </c>
      <c r="P109" s="2527">
        <f ca="1">Transfer!O120</f>
        <v>0.32699956414378489</v>
      </c>
      <c r="Q109" s="2533"/>
      <c r="S109" s="190"/>
      <c r="T109" s="2531" t="s">
        <v>1034</v>
      </c>
      <c r="U109" s="207"/>
      <c r="V109" s="202">
        <f t="shared" ref="V109:AG113" ca="1" si="8">ROUND(E109,1)-ROUND(AM109,1)</f>
        <v>-9.9999999999999978E-2</v>
      </c>
      <c r="W109" s="202">
        <f t="shared" ca="1" si="8"/>
        <v>-0.5</v>
      </c>
      <c r="X109" s="202">
        <f t="shared" ca="1" si="8"/>
        <v>-1.4</v>
      </c>
      <c r="Y109" s="202">
        <f t="shared" ca="1" si="8"/>
        <v>0.2</v>
      </c>
      <c r="Z109" s="202">
        <f t="shared" ca="1" si="8"/>
        <v>0</v>
      </c>
      <c r="AA109" s="202">
        <f t="shared" ca="1" si="8"/>
        <v>-9.9999999999999978E-2</v>
      </c>
      <c r="AB109" s="202">
        <f t="shared" ca="1" si="8"/>
        <v>-9.9999999999999978E-2</v>
      </c>
      <c r="AC109" s="202">
        <f t="shared" ca="1" si="8"/>
        <v>0</v>
      </c>
      <c r="AD109" s="202">
        <f t="shared" ca="1" si="8"/>
        <v>0.3</v>
      </c>
      <c r="AE109" s="202">
        <f t="shared" ca="1" si="8"/>
        <v>0.19999999999999996</v>
      </c>
      <c r="AF109" s="202">
        <f t="shared" ca="1" si="8"/>
        <v>0.10000000000000003</v>
      </c>
      <c r="AG109" s="345">
        <f t="shared" ca="1" si="8"/>
        <v>9.9999999999999978E-2</v>
      </c>
      <c r="AH109" s="208"/>
      <c r="AJ109" s="190"/>
      <c r="AK109" s="2531" t="s">
        <v>1034</v>
      </c>
      <c r="AL109" s="207"/>
      <c r="AM109" s="202">
        <f>Transfer!AD120</f>
        <v>0.99820508560124477</v>
      </c>
      <c r="AN109" s="202">
        <f>Transfer!AE120</f>
        <v>0.80018868843443336</v>
      </c>
      <c r="AO109" s="202">
        <f>Transfer!AF120</f>
        <v>1.4178392149239549</v>
      </c>
      <c r="AP109" s="202">
        <f>Transfer!AG120</f>
        <v>-5.8564288872253734E-2</v>
      </c>
      <c r="AQ109" s="202">
        <f>Transfer!AH120</f>
        <v>0.67409977102309682</v>
      </c>
      <c r="AR109" s="202">
        <f>Transfer!AI120</f>
        <v>0.52643760493652092</v>
      </c>
      <c r="AS109" s="202">
        <f>Transfer!AJ120</f>
        <v>0.53191506671205302</v>
      </c>
      <c r="AT109" s="202">
        <f>Transfer!AK120</f>
        <v>0.38337166949379542</v>
      </c>
      <c r="AU109" s="202">
        <f>Transfer!AL120</f>
        <v>0.31700494513575067</v>
      </c>
      <c r="AV109" s="202">
        <f>Transfer!AM120</f>
        <v>0.37827731063117503</v>
      </c>
      <c r="AW109" s="202">
        <f>Transfer!AN120</f>
        <v>0.29003293107025713</v>
      </c>
      <c r="AX109" s="345">
        <f>Transfer!AO120</f>
        <v>0.20522211445883573</v>
      </c>
      <c r="AY109" s="208"/>
      <c r="AZ109" s="54"/>
      <c r="BA109" s="1732" t="s">
        <v>9</v>
      </c>
      <c r="BB109" s="54"/>
      <c r="BC109" s="54"/>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c r="HB109"/>
      <c r="HC109"/>
      <c r="HD109"/>
      <c r="HE109"/>
      <c r="HF109"/>
      <c r="HG109"/>
      <c r="HH109"/>
      <c r="HI109"/>
      <c r="HJ109"/>
      <c r="HK109"/>
      <c r="HL109"/>
      <c r="HM109"/>
      <c r="HN109"/>
      <c r="HO109"/>
      <c r="HP109"/>
      <c r="HQ109"/>
      <c r="HR109"/>
      <c r="HS109"/>
      <c r="HT109"/>
      <c r="HU109"/>
      <c r="HV109"/>
      <c r="HW109"/>
      <c r="HX109"/>
      <c r="HY109"/>
      <c r="HZ109"/>
      <c r="IA109"/>
      <c r="IB109"/>
      <c r="IC109"/>
      <c r="ID109"/>
      <c r="IE109"/>
      <c r="IF109"/>
      <c r="IG109"/>
      <c r="IH109"/>
      <c r="II109"/>
      <c r="IJ109"/>
      <c r="IK109"/>
      <c r="IL109"/>
      <c r="IM109"/>
      <c r="IN109"/>
      <c r="IO109"/>
      <c r="IP109"/>
      <c r="IQ109"/>
      <c r="IR109"/>
      <c r="IS109"/>
      <c r="IT109"/>
      <c r="IU109"/>
      <c r="IV109"/>
    </row>
    <row r="110" spans="1:256" s="45" customFormat="1">
      <c r="B110" s="1720"/>
      <c r="C110" s="1721" t="s">
        <v>896</v>
      </c>
      <c r="D110" s="2420"/>
      <c r="E110" s="2521">
        <f ca="1">Transfer!D121</f>
        <v>1.6754481058645077E-2</v>
      </c>
      <c r="F110" s="2521">
        <f ca="1">Transfer!E121</f>
        <v>0.40267124188804182</v>
      </c>
      <c r="G110" s="2521">
        <f ca="1">Transfer!F121</f>
        <v>1.08</v>
      </c>
      <c r="H110" s="2521">
        <f ca="1">Transfer!G121</f>
        <v>0.95</v>
      </c>
      <c r="I110" s="2521">
        <f ca="1">Transfer!H121</f>
        <v>0.71</v>
      </c>
      <c r="J110" s="2521">
        <f ca="1">Transfer!I121</f>
        <v>0.88</v>
      </c>
      <c r="K110" s="2521">
        <f ca="1">Transfer!J121</f>
        <v>0.65</v>
      </c>
      <c r="L110" s="2521">
        <f ca="1">Transfer!K121</f>
        <v>0.59</v>
      </c>
      <c r="M110" s="2521">
        <f ca="1">Transfer!L121</f>
        <v>0.88</v>
      </c>
      <c r="N110" s="2521">
        <f ca="1">Transfer!M121</f>
        <v>0.78</v>
      </c>
      <c r="O110" s="2521">
        <f ca="1">Transfer!N121</f>
        <v>0.76</v>
      </c>
      <c r="P110" s="2522">
        <f ca="1">Transfer!O121</f>
        <v>0.63</v>
      </c>
      <c r="Q110" s="2520"/>
      <c r="S110" s="190"/>
      <c r="T110" s="1721" t="s">
        <v>896</v>
      </c>
      <c r="U110" s="65"/>
      <c r="V110" s="195">
        <f t="shared" ca="1" si="8"/>
        <v>0.8</v>
      </c>
      <c r="W110" s="195">
        <f t="shared" ca="1" si="8"/>
        <v>-2.5</v>
      </c>
      <c r="X110" s="195">
        <f t="shared" ca="1" si="8"/>
        <v>0.90000000000000013</v>
      </c>
      <c r="Y110" s="195">
        <f t="shared" ca="1" si="8"/>
        <v>-1.4</v>
      </c>
      <c r="Z110" s="195">
        <f t="shared" ca="1" si="8"/>
        <v>-0.20000000000000007</v>
      </c>
      <c r="AA110" s="195">
        <f t="shared" ca="1" si="8"/>
        <v>9.9999999999999978E-2</v>
      </c>
      <c r="AB110" s="195">
        <f t="shared" ca="1" si="8"/>
        <v>0</v>
      </c>
      <c r="AC110" s="195">
        <f t="shared" ca="1" si="8"/>
        <v>0</v>
      </c>
      <c r="AD110" s="195">
        <f t="shared" ca="1" si="8"/>
        <v>-0.20000000000000007</v>
      </c>
      <c r="AE110" s="195">
        <f t="shared" ca="1" si="8"/>
        <v>-0.39999999999999991</v>
      </c>
      <c r="AF110" s="195">
        <f t="shared" ca="1" si="8"/>
        <v>-0.19999999999999996</v>
      </c>
      <c r="AG110" s="358">
        <f t="shared" ca="1" si="8"/>
        <v>-0.30000000000000004</v>
      </c>
      <c r="AH110" s="196"/>
      <c r="AJ110" s="190"/>
      <c r="AK110" s="1721" t="s">
        <v>896</v>
      </c>
      <c r="AL110" s="65"/>
      <c r="AM110" s="197">
        <f>Transfer!AD121</f>
        <v>-0.83422120328575655</v>
      </c>
      <c r="AN110" s="197">
        <f>Transfer!AE121</f>
        <v>2.8620272514829459</v>
      </c>
      <c r="AO110" s="197">
        <f>Transfer!AF121</f>
        <v>0.23983377949203799</v>
      </c>
      <c r="AP110" s="197">
        <f>Transfer!AG121</f>
        <v>2.4413276213831159</v>
      </c>
      <c r="AQ110" s="197">
        <f>Transfer!AH121</f>
        <v>0.92</v>
      </c>
      <c r="AR110" s="197">
        <f>Transfer!AI121</f>
        <v>0.77</v>
      </c>
      <c r="AS110" s="197">
        <f>Transfer!AJ121</f>
        <v>0.65</v>
      </c>
      <c r="AT110" s="197">
        <f>Transfer!AK121</f>
        <v>0.55000000000000004</v>
      </c>
      <c r="AU110" s="197">
        <f>Transfer!AL121</f>
        <v>1.1299999999999999</v>
      </c>
      <c r="AV110" s="197">
        <f>Transfer!AM121</f>
        <v>1.18</v>
      </c>
      <c r="AW110" s="197">
        <f>Transfer!AN121</f>
        <v>1.02</v>
      </c>
      <c r="AX110" s="341">
        <f>Transfer!AO121</f>
        <v>0.94</v>
      </c>
      <c r="AY110" s="196"/>
      <c r="AZ110" s="54"/>
      <c r="BA110" s="1732" t="s">
        <v>1323</v>
      </c>
      <c r="BB110" s="54"/>
      <c r="BC110" s="54"/>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c r="HB110"/>
      <c r="HC110"/>
      <c r="HD110"/>
      <c r="HE110"/>
      <c r="HF110"/>
      <c r="HG110"/>
      <c r="HH110"/>
      <c r="HI110"/>
      <c r="HJ110"/>
      <c r="HK110"/>
      <c r="HL110"/>
      <c r="HM110"/>
      <c r="HN110"/>
      <c r="HO110"/>
      <c r="HP110"/>
      <c r="HQ110"/>
      <c r="HR110"/>
      <c r="HS110"/>
      <c r="HT110"/>
      <c r="HU110"/>
      <c r="HV110"/>
      <c r="HW110"/>
      <c r="HX110"/>
      <c r="HY110"/>
      <c r="HZ110"/>
      <c r="IA110"/>
      <c r="IB110"/>
      <c r="IC110"/>
      <c r="ID110"/>
      <c r="IE110"/>
      <c r="IF110"/>
      <c r="IG110"/>
      <c r="IH110"/>
      <c r="II110"/>
      <c r="IJ110"/>
      <c r="IK110"/>
      <c r="IL110"/>
      <c r="IM110"/>
      <c r="IN110"/>
      <c r="IO110"/>
      <c r="IP110"/>
      <c r="IQ110"/>
      <c r="IR110"/>
      <c r="IS110"/>
      <c r="IT110"/>
      <c r="IU110"/>
      <c r="IV110"/>
    </row>
    <row r="111" spans="1:256" s="45" customFormat="1" ht="13.15">
      <c r="B111" s="1720"/>
      <c r="C111" s="2534" t="s">
        <v>1408</v>
      </c>
      <c r="D111" s="2535"/>
      <c r="E111" s="2526">
        <f ca="1">Transfer!D122</f>
        <v>0.57351117440500587</v>
      </c>
      <c r="F111" s="2526">
        <f ca="1">Transfer!E122</f>
        <v>0.34510520182786664</v>
      </c>
      <c r="G111" s="2526">
        <f ca="1">Transfer!F122</f>
        <v>0.34002861904447018</v>
      </c>
      <c r="H111" s="2526">
        <f ca="1">Transfer!G122</f>
        <v>0.383602319405422</v>
      </c>
      <c r="I111" s="2526">
        <f ca="1">Transfer!H122</f>
        <v>0.72591462375418048</v>
      </c>
      <c r="J111" s="2526">
        <f ca="1">Transfer!I122</f>
        <v>0.59606580447937196</v>
      </c>
      <c r="K111" s="2526">
        <f ca="1">Transfer!J122</f>
        <v>0.46438493964670896</v>
      </c>
      <c r="L111" s="2526">
        <f ca="1">Transfer!K122</f>
        <v>0.46901660582402693</v>
      </c>
      <c r="M111" s="2526">
        <f ca="1">Transfer!L122</f>
        <v>0.69183576937864744</v>
      </c>
      <c r="N111" s="2526">
        <f ca="1">Transfer!M122</f>
        <v>0.66037856076563273</v>
      </c>
      <c r="O111" s="2526">
        <f ca="1">Transfer!N122</f>
        <v>0.55229980007213553</v>
      </c>
      <c r="P111" s="2527">
        <f ca="1">Transfer!O122</f>
        <v>0.43386941955108188</v>
      </c>
      <c r="Q111" s="2528"/>
      <c r="S111" s="190"/>
      <c r="T111" s="2534" t="s">
        <v>1408</v>
      </c>
      <c r="U111" s="210"/>
      <c r="V111" s="202">
        <f t="shared" ca="1" si="8"/>
        <v>0.19999999999999996</v>
      </c>
      <c r="W111" s="202">
        <f t="shared" ca="1" si="8"/>
        <v>-1.2</v>
      </c>
      <c r="X111" s="202">
        <f t="shared" ca="1" si="8"/>
        <v>-0.7</v>
      </c>
      <c r="Y111" s="202">
        <f t="shared" ca="1" si="8"/>
        <v>-0.4</v>
      </c>
      <c r="Z111" s="202">
        <f t="shared" ca="1" si="8"/>
        <v>-0.10000000000000009</v>
      </c>
      <c r="AA111" s="202">
        <f t="shared" ca="1" si="8"/>
        <v>0</v>
      </c>
      <c r="AB111" s="202">
        <f t="shared" ca="1" si="8"/>
        <v>-9.9999999999999978E-2</v>
      </c>
      <c r="AC111" s="202">
        <f t="shared" ca="1" si="8"/>
        <v>9.9999999999999978E-2</v>
      </c>
      <c r="AD111" s="202">
        <f t="shared" ca="1" si="8"/>
        <v>9.9999999999999978E-2</v>
      </c>
      <c r="AE111" s="202">
        <f t="shared" ca="1" si="8"/>
        <v>0</v>
      </c>
      <c r="AF111" s="202">
        <f t="shared" ca="1" si="8"/>
        <v>9.9999999999999978E-2</v>
      </c>
      <c r="AG111" s="345">
        <f t="shared" ca="1" si="8"/>
        <v>-9.9999999999999978E-2</v>
      </c>
      <c r="AH111" s="203"/>
      <c r="AJ111" s="190"/>
      <c r="AK111" s="2534" t="s">
        <v>1408</v>
      </c>
      <c r="AL111" s="210"/>
      <c r="AM111" s="202">
        <f>Transfer!AD122</f>
        <v>0.3658325314709554</v>
      </c>
      <c r="AN111" s="202">
        <f>Transfer!AE122</f>
        <v>1.5032239247791956</v>
      </c>
      <c r="AO111" s="202">
        <f>Transfer!AF122</f>
        <v>1.0107918274365679</v>
      </c>
      <c r="AP111" s="202">
        <f>Transfer!AG122</f>
        <v>0.79865408402988169</v>
      </c>
      <c r="AQ111" s="202">
        <f>Transfer!AH122</f>
        <v>0.75979361762380138</v>
      </c>
      <c r="AR111" s="202">
        <f>Transfer!AI122</f>
        <v>0.61145169547612666</v>
      </c>
      <c r="AS111" s="202">
        <f>Transfer!AJ122</f>
        <v>0.57319690316420024</v>
      </c>
      <c r="AT111" s="202">
        <f>Transfer!AK122</f>
        <v>0.44166849246194223</v>
      </c>
      <c r="AU111" s="202">
        <f>Transfer!AL122</f>
        <v>0.60174732129979369</v>
      </c>
      <c r="AV111" s="202">
        <f>Transfer!AM122</f>
        <v>0.66054609889441729</v>
      </c>
      <c r="AW111" s="202">
        <f>Transfer!AN122</f>
        <v>0.54836441897044852</v>
      </c>
      <c r="AX111" s="345">
        <f>Transfer!AO122</f>
        <v>0.46647584931483982</v>
      </c>
      <c r="AY111" s="203"/>
      <c r="AZ111" s="54"/>
      <c r="BA111" s="1732" t="s">
        <v>10</v>
      </c>
      <c r="BB111" s="54"/>
      <c r="BC111" s="54"/>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c r="HB111"/>
      <c r="HC111"/>
      <c r="HD111"/>
      <c r="HE111"/>
      <c r="HF111"/>
      <c r="HG111"/>
      <c r="HH111"/>
      <c r="HI111"/>
      <c r="HJ111"/>
      <c r="HK111"/>
      <c r="HL111"/>
      <c r="HM111"/>
      <c r="HN111"/>
      <c r="HO111"/>
      <c r="HP111"/>
      <c r="HQ111"/>
      <c r="HR111"/>
      <c r="HS111"/>
      <c r="HT111"/>
      <c r="HU111"/>
      <c r="HV111"/>
      <c r="HW111"/>
      <c r="HX111"/>
      <c r="HY111"/>
      <c r="HZ111"/>
      <c r="IA111"/>
      <c r="IB111"/>
      <c r="IC111"/>
      <c r="ID111"/>
      <c r="IE111"/>
      <c r="IF111"/>
      <c r="IG111"/>
      <c r="IH111"/>
      <c r="II111"/>
      <c r="IJ111"/>
      <c r="IK111"/>
      <c r="IL111"/>
      <c r="IM111"/>
      <c r="IN111"/>
      <c r="IO111"/>
      <c r="IP111"/>
      <c r="IQ111"/>
      <c r="IR111"/>
      <c r="IS111"/>
      <c r="IT111"/>
      <c r="IU111"/>
      <c r="IV111"/>
    </row>
    <row r="112" spans="1:256" s="45" customFormat="1">
      <c r="B112" s="1720"/>
      <c r="C112" s="2536" t="s">
        <v>1317</v>
      </c>
      <c r="D112" s="2418"/>
      <c r="E112" s="2521">
        <f ca="1">Transfer!D123</f>
        <v>0.88212718145459501</v>
      </c>
      <c r="F112" s="2521">
        <f ca="1">Transfer!E123</f>
        <v>0.79031962162392499</v>
      </c>
      <c r="G112" s="2521">
        <f ca="1">Transfer!F123</f>
        <v>0.49</v>
      </c>
      <c r="H112" s="2521">
        <f ca="1">Transfer!G123</f>
        <v>0.33</v>
      </c>
      <c r="I112" s="2521">
        <f ca="1">Transfer!H123</f>
        <v>1.05</v>
      </c>
      <c r="J112" s="2521">
        <f ca="1">Transfer!I123</f>
        <v>0.99</v>
      </c>
      <c r="K112" s="2521">
        <f ca="1">Transfer!J123</f>
        <v>0.92</v>
      </c>
      <c r="L112" s="2521">
        <f ca="1">Transfer!K123</f>
        <v>0.88</v>
      </c>
      <c r="M112" s="2521">
        <f ca="1">Transfer!L123</f>
        <v>0.77</v>
      </c>
      <c r="N112" s="2521">
        <f ca="1">Transfer!M123</f>
        <v>0.74</v>
      </c>
      <c r="O112" s="2521">
        <f ca="1">Transfer!N123</f>
        <v>0.62</v>
      </c>
      <c r="P112" s="2522">
        <f ca="1">Transfer!O123</f>
        <v>0.45</v>
      </c>
      <c r="Q112" s="2520"/>
      <c r="S112" s="190"/>
      <c r="T112" s="2536" t="s">
        <v>1317</v>
      </c>
      <c r="U112" s="63"/>
      <c r="V112" s="195">
        <f t="shared" ca="1" si="8"/>
        <v>-0.79999999999999993</v>
      </c>
      <c r="W112" s="195">
        <f t="shared" ca="1" si="8"/>
        <v>-1.2</v>
      </c>
      <c r="X112" s="195">
        <f t="shared" ca="1" si="8"/>
        <v>-0.89999999999999991</v>
      </c>
      <c r="Y112" s="195">
        <f t="shared" ca="1" si="8"/>
        <v>-0.89999999999999991</v>
      </c>
      <c r="Z112" s="195">
        <f t="shared" ca="1" si="8"/>
        <v>0.30000000000000004</v>
      </c>
      <c r="AA112" s="195">
        <f t="shared" ca="1" si="8"/>
        <v>-0.10000000000000009</v>
      </c>
      <c r="AB112" s="195">
        <f t="shared" ca="1" si="8"/>
        <v>0</v>
      </c>
      <c r="AC112" s="195">
        <f t="shared" ca="1" si="8"/>
        <v>0.30000000000000004</v>
      </c>
      <c r="AD112" s="195">
        <f t="shared" ca="1" si="8"/>
        <v>-0.19999999999999996</v>
      </c>
      <c r="AE112" s="195">
        <f t="shared" ca="1" si="8"/>
        <v>-0.30000000000000004</v>
      </c>
      <c r="AF112" s="195">
        <f t="shared" ca="1" si="8"/>
        <v>-0.20000000000000007</v>
      </c>
      <c r="AG112" s="358">
        <f t="shared" ca="1" si="8"/>
        <v>-0.19999999999999996</v>
      </c>
      <c r="AH112" s="196"/>
      <c r="AJ112" s="190"/>
      <c r="AK112" s="2536" t="s">
        <v>1317</v>
      </c>
      <c r="AL112" s="63"/>
      <c r="AM112" s="197">
        <f>Transfer!AD123</f>
        <v>1.7326055051833933</v>
      </c>
      <c r="AN112" s="197">
        <f>Transfer!AE123</f>
        <v>1.9836362968097099</v>
      </c>
      <c r="AO112" s="197">
        <f>Transfer!AF123</f>
        <v>1.3933232464882206</v>
      </c>
      <c r="AP112" s="197">
        <f>Transfer!AG123</f>
        <v>1.1850500595899538</v>
      </c>
      <c r="AQ112" s="197">
        <f>Transfer!AH123</f>
        <v>0.76</v>
      </c>
      <c r="AR112" s="197">
        <f>Transfer!AI123</f>
        <v>1.08</v>
      </c>
      <c r="AS112" s="197">
        <f>Transfer!AJ123</f>
        <v>0.88</v>
      </c>
      <c r="AT112" s="197">
        <f>Transfer!AK123</f>
        <v>0.6</v>
      </c>
      <c r="AU112" s="197">
        <f>Transfer!AL123</f>
        <v>0.95</v>
      </c>
      <c r="AV112" s="197">
        <f>Transfer!AM123</f>
        <v>0.99</v>
      </c>
      <c r="AW112" s="197">
        <f>Transfer!AN123</f>
        <v>0.79</v>
      </c>
      <c r="AX112" s="341">
        <f>Transfer!AO123</f>
        <v>0.72</v>
      </c>
      <c r="AY112" s="196"/>
      <c r="AZ112" s="54"/>
      <c r="BA112" s="1732" t="s">
        <v>11</v>
      </c>
      <c r="BB112" s="54"/>
      <c r="BC112" s="54"/>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c r="HB112"/>
      <c r="HC112"/>
      <c r="HD112"/>
      <c r="HE112"/>
      <c r="HF112"/>
      <c r="HG112"/>
      <c r="HH112"/>
      <c r="HI112"/>
      <c r="HJ112"/>
      <c r="HK112"/>
      <c r="HL112"/>
      <c r="HM112"/>
      <c r="HN112"/>
      <c r="HO112"/>
      <c r="HP112"/>
      <c r="HQ112"/>
      <c r="HR112"/>
      <c r="HS112"/>
      <c r="HT112"/>
      <c r="HU112"/>
      <c r="HV112"/>
      <c r="HW112"/>
      <c r="HX112"/>
      <c r="HY112"/>
      <c r="HZ112"/>
      <c r="IA112"/>
      <c r="IB112"/>
      <c r="IC112"/>
      <c r="ID112"/>
      <c r="IE112"/>
      <c r="IF112"/>
      <c r="IG112"/>
      <c r="IH112"/>
      <c r="II112"/>
      <c r="IJ112"/>
      <c r="IK112"/>
      <c r="IL112"/>
      <c r="IM112"/>
      <c r="IN112"/>
      <c r="IO112"/>
      <c r="IP112"/>
      <c r="IQ112"/>
      <c r="IR112"/>
      <c r="IS112"/>
      <c r="IT112"/>
      <c r="IU112"/>
      <c r="IV112"/>
    </row>
    <row r="113" spans="2:256" s="45" customFormat="1" ht="13.5" thickBot="1">
      <c r="B113" s="1720"/>
      <c r="C113" s="2537" t="s">
        <v>407</v>
      </c>
      <c r="D113" s="2538"/>
      <c r="E113" s="2539">
        <f ca="1">Transfer!D124</f>
        <v>0.54930177229954857</v>
      </c>
      <c r="F113" s="2539">
        <f ca="1">Transfer!E124</f>
        <v>0.76488268205716636</v>
      </c>
      <c r="G113" s="2539">
        <f ca="1">Transfer!F124</f>
        <v>0.25200539014402779</v>
      </c>
      <c r="H113" s="2539">
        <f ca="1">Transfer!G124</f>
        <v>0.40329740728684005</v>
      </c>
      <c r="I113" s="2539">
        <f ca="1">Transfer!H124</f>
        <v>0.32868125784137892</v>
      </c>
      <c r="J113" s="2539">
        <f ca="1">Transfer!I124</f>
        <v>0.40458909801095455</v>
      </c>
      <c r="K113" s="2539">
        <f ca="1">Transfer!J124</f>
        <v>0.33811235517571259</v>
      </c>
      <c r="L113" s="2539">
        <f ca="1">Transfer!K124</f>
        <v>0.26833399675958436</v>
      </c>
      <c r="M113" s="2539">
        <f ca="1">Transfer!L124</f>
        <v>0.36624145647452533</v>
      </c>
      <c r="N113" s="2539">
        <f ca="1">Transfer!M124</f>
        <v>0.43016720058188795</v>
      </c>
      <c r="O113" s="2539">
        <f ca="1">Transfer!N124</f>
        <v>0.42310630741280164</v>
      </c>
      <c r="P113" s="2540">
        <f ca="1">Transfer!O124</f>
        <v>0.33113125304427005</v>
      </c>
      <c r="Q113" s="2528"/>
      <c r="S113" s="190"/>
      <c r="T113" s="2537" t="s">
        <v>407</v>
      </c>
      <c r="U113" s="1839"/>
      <c r="V113" s="371">
        <f t="shared" ca="1" si="8"/>
        <v>9.9999999999999978E-2</v>
      </c>
      <c r="W113" s="371">
        <f t="shared" ca="1" si="8"/>
        <v>-0.39999999999999991</v>
      </c>
      <c r="X113" s="371">
        <f t="shared" ca="1" si="8"/>
        <v>-0.5</v>
      </c>
      <c r="Y113" s="371">
        <f t="shared" ca="1" si="8"/>
        <v>-0.5</v>
      </c>
      <c r="Z113" s="371">
        <f t="shared" ca="1" si="8"/>
        <v>-0.39999999999999997</v>
      </c>
      <c r="AA113" s="371">
        <f t="shared" ca="1" si="8"/>
        <v>-0.19999999999999996</v>
      </c>
      <c r="AB113" s="371">
        <f t="shared" ca="1" si="8"/>
        <v>-0.10000000000000003</v>
      </c>
      <c r="AC113" s="371">
        <f t="shared" ca="1" si="8"/>
        <v>-0.10000000000000003</v>
      </c>
      <c r="AD113" s="371">
        <f t="shared" ca="1" si="8"/>
        <v>0</v>
      </c>
      <c r="AE113" s="371">
        <f t="shared" ca="1" si="8"/>
        <v>0</v>
      </c>
      <c r="AF113" s="371">
        <f t="shared" ca="1" si="8"/>
        <v>0</v>
      </c>
      <c r="AG113" s="372">
        <f t="shared" ca="1" si="8"/>
        <v>-0.10000000000000003</v>
      </c>
      <c r="AH113" s="203"/>
      <c r="AJ113" s="190"/>
      <c r="AK113" s="2537" t="s">
        <v>407</v>
      </c>
      <c r="AL113" s="1839"/>
      <c r="AM113" s="371">
        <f>Transfer!AD124</f>
        <v>0.42072803394428426</v>
      </c>
      <c r="AN113" s="371">
        <f>Transfer!AE124</f>
        <v>1.1564141480078671</v>
      </c>
      <c r="AO113" s="371">
        <f>Transfer!AF124</f>
        <v>0.8126137182127291</v>
      </c>
      <c r="AP113" s="371">
        <f>Transfer!AG124</f>
        <v>0.86166838598287221</v>
      </c>
      <c r="AQ113" s="371">
        <f>Transfer!AH124</f>
        <v>0.73643068445070625</v>
      </c>
      <c r="AR113" s="371">
        <f>Transfer!AI124</f>
        <v>0.57172873413382508</v>
      </c>
      <c r="AS113" s="371">
        <f>Transfer!AJ124</f>
        <v>0.42605703206854972</v>
      </c>
      <c r="AT113" s="371">
        <f>Transfer!AK124</f>
        <v>0.36377968370508995</v>
      </c>
      <c r="AU113" s="371">
        <f>Transfer!AL124</f>
        <v>0.43423497917411957</v>
      </c>
      <c r="AV113" s="371">
        <f>Transfer!AM124</f>
        <v>0.40731848220456612</v>
      </c>
      <c r="AW113" s="371">
        <f>Transfer!AN124</f>
        <v>0.43000516750641982</v>
      </c>
      <c r="AX113" s="372">
        <f>Transfer!AO124</f>
        <v>0.43521044043504098</v>
      </c>
      <c r="AY113" s="203"/>
      <c r="AZ113" s="54"/>
      <c r="BA113" s="1732" t="s">
        <v>408</v>
      </c>
      <c r="BB113" s="54"/>
      <c r="BC113" s="54"/>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c r="HB113"/>
      <c r="HC113"/>
      <c r="HD113"/>
      <c r="HE113"/>
      <c r="HF113"/>
      <c r="HG113"/>
      <c r="HH113"/>
      <c r="HI113"/>
      <c r="HJ113"/>
      <c r="HK113"/>
      <c r="HL113"/>
      <c r="HM113"/>
      <c r="HN113"/>
      <c r="HO113"/>
      <c r="HP113"/>
      <c r="HQ113"/>
      <c r="HR113"/>
      <c r="HS113"/>
      <c r="HT113"/>
      <c r="HU113"/>
      <c r="HV113"/>
      <c r="HW113"/>
      <c r="HX113"/>
      <c r="HY113"/>
      <c r="HZ113"/>
      <c r="IA113"/>
      <c r="IB113"/>
      <c r="IC113"/>
      <c r="ID113"/>
      <c r="IE113"/>
      <c r="IF113"/>
      <c r="IG113"/>
      <c r="IH113"/>
      <c r="II113"/>
      <c r="IJ113"/>
      <c r="IK113"/>
      <c r="IL113"/>
      <c r="IM113"/>
      <c r="IN113"/>
      <c r="IO113"/>
      <c r="IP113"/>
      <c r="IQ113"/>
      <c r="IR113"/>
      <c r="IS113"/>
      <c r="IT113"/>
      <c r="IU113"/>
      <c r="IV113"/>
    </row>
    <row r="114" spans="2:256" s="45" customFormat="1" ht="13.15" thickBot="1">
      <c r="B114" s="1720"/>
      <c r="C114" s="2536"/>
      <c r="D114" s="2418"/>
      <c r="E114" s="2420"/>
      <c r="F114" s="2420"/>
      <c r="G114" s="2420"/>
      <c r="H114" s="2420"/>
      <c r="I114" s="2420"/>
      <c r="J114" s="2420"/>
      <c r="K114" s="2420"/>
      <c r="L114" s="2420"/>
      <c r="M114" s="2420"/>
      <c r="N114" s="2420"/>
      <c r="O114" s="2420"/>
      <c r="P114" s="2541"/>
      <c r="Q114" s="2520"/>
      <c r="S114" s="190"/>
      <c r="T114" s="2536"/>
      <c r="U114" s="63"/>
      <c r="V114" s="65"/>
      <c r="W114" s="65"/>
      <c r="X114" s="65"/>
      <c r="Y114" s="65"/>
      <c r="Z114" s="65"/>
      <c r="AA114" s="49"/>
      <c r="AB114" s="65"/>
      <c r="AC114" s="65"/>
      <c r="AD114" s="65"/>
      <c r="AE114" s="65"/>
      <c r="AF114" s="65"/>
      <c r="AG114" s="1838"/>
      <c r="AH114" s="196"/>
      <c r="AJ114" s="190"/>
      <c r="AK114" s="2536"/>
      <c r="AL114" s="63"/>
      <c r="AM114" s="65"/>
      <c r="AN114" s="65"/>
      <c r="AO114" s="65"/>
      <c r="AP114" s="65"/>
      <c r="AQ114" s="65"/>
      <c r="AR114" s="49"/>
      <c r="AS114" s="65"/>
      <c r="AT114" s="65"/>
      <c r="AU114" s="65"/>
      <c r="AV114" s="65"/>
      <c r="AW114" s="65"/>
      <c r="AX114" s="1838"/>
      <c r="AY114" s="196"/>
      <c r="AZ114" s="54"/>
      <c r="BA114" s="1732"/>
      <c r="BB114" s="54"/>
      <c r="BC114" s="5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c r="HB114"/>
      <c r="HC114"/>
      <c r="HD114"/>
      <c r="HE114"/>
      <c r="HF114"/>
      <c r="HG114"/>
      <c r="HH114"/>
      <c r="HI114"/>
      <c r="HJ114"/>
      <c r="HK114"/>
      <c r="HL114"/>
      <c r="HM114"/>
      <c r="HN114"/>
      <c r="HO114"/>
      <c r="HP114"/>
      <c r="HQ114"/>
      <c r="HR114"/>
      <c r="HS114"/>
      <c r="HT114"/>
      <c r="HU114"/>
      <c r="HV114"/>
      <c r="HW114"/>
      <c r="HX114"/>
      <c r="HY114"/>
      <c r="HZ114"/>
      <c r="IA114"/>
      <c r="IB114"/>
      <c r="IC114"/>
      <c r="ID114"/>
      <c r="IE114"/>
      <c r="IF114"/>
      <c r="IG114"/>
      <c r="IH114"/>
      <c r="II114"/>
      <c r="IJ114"/>
      <c r="IK114"/>
      <c r="IL114"/>
      <c r="IM114"/>
      <c r="IN114"/>
      <c r="IO114"/>
      <c r="IP114"/>
      <c r="IQ114"/>
      <c r="IR114"/>
      <c r="IS114"/>
      <c r="IT114"/>
      <c r="IU114"/>
      <c r="IV114"/>
    </row>
    <row r="115" spans="2:256" s="45" customFormat="1" ht="13.15">
      <c r="B115" s="1720"/>
      <c r="C115" s="2542"/>
      <c r="D115" s="2543"/>
      <c r="E115" s="3921" t="s">
        <v>1364</v>
      </c>
      <c r="F115" s="3921"/>
      <c r="G115" s="3921"/>
      <c r="H115" s="3921"/>
      <c r="I115" s="3921"/>
      <c r="J115" s="3921"/>
      <c r="K115" s="3921"/>
      <c r="L115" s="3921"/>
      <c r="M115" s="3921"/>
      <c r="N115" s="3921"/>
      <c r="O115" s="3921"/>
      <c r="P115" s="3922"/>
      <c r="Q115" s="2417"/>
      <c r="S115" s="190"/>
      <c r="T115" s="2542"/>
      <c r="U115" s="212"/>
      <c r="V115" s="3923" t="s">
        <v>1364</v>
      </c>
      <c r="W115" s="3923"/>
      <c r="X115" s="3923"/>
      <c r="Y115" s="3923"/>
      <c r="Z115" s="3923"/>
      <c r="AA115" s="3923"/>
      <c r="AB115" s="3923"/>
      <c r="AC115" s="3923"/>
      <c r="AD115" s="3923"/>
      <c r="AE115" s="3923"/>
      <c r="AF115" s="3923"/>
      <c r="AG115" s="3924"/>
      <c r="AH115" s="62"/>
      <c r="AJ115" s="190"/>
      <c r="AK115" s="2542"/>
      <c r="AL115" s="2543"/>
      <c r="AM115" s="3921" t="s">
        <v>1364</v>
      </c>
      <c r="AN115" s="3921"/>
      <c r="AO115" s="3921"/>
      <c r="AP115" s="3921"/>
      <c r="AQ115" s="3921"/>
      <c r="AR115" s="3921"/>
      <c r="AS115" s="3921"/>
      <c r="AT115" s="3921"/>
      <c r="AU115" s="3921"/>
      <c r="AV115" s="3921"/>
      <c r="AW115" s="3921"/>
      <c r="AX115" s="3922"/>
      <c r="AY115" s="62"/>
      <c r="AZ115" s="54"/>
      <c r="BA115" s="1732"/>
      <c r="BB115" s="54"/>
      <c r="BC115" s="54"/>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c r="HB115"/>
      <c r="HC115"/>
      <c r="HD115"/>
      <c r="HE115"/>
      <c r="HF115"/>
      <c r="HG115"/>
      <c r="HH115"/>
      <c r="HI115"/>
      <c r="HJ115"/>
      <c r="HK115"/>
      <c r="HL115"/>
      <c r="HM115"/>
      <c r="HN115"/>
      <c r="HO115"/>
      <c r="HP115"/>
      <c r="HQ115"/>
      <c r="HR115"/>
      <c r="HS115"/>
      <c r="HT115"/>
      <c r="HU115"/>
      <c r="HV115"/>
      <c r="HW115"/>
      <c r="HX115"/>
      <c r="HY115"/>
      <c r="HZ115"/>
      <c r="IA115"/>
      <c r="IB115"/>
      <c r="IC115"/>
      <c r="ID115"/>
      <c r="IE115"/>
      <c r="IF115"/>
      <c r="IG115"/>
      <c r="IH115"/>
      <c r="II115"/>
      <c r="IJ115"/>
      <c r="IK115"/>
      <c r="IL115"/>
      <c r="IM115"/>
      <c r="IN115"/>
      <c r="IO115"/>
      <c r="IP115"/>
      <c r="IQ115"/>
      <c r="IR115"/>
      <c r="IS115"/>
      <c r="IT115"/>
      <c r="IU115"/>
      <c r="IV115"/>
    </row>
    <row r="116" spans="2:256" s="45" customFormat="1" ht="13.15">
      <c r="B116" s="1720"/>
      <c r="C116" s="3123"/>
      <c r="D116" s="2613"/>
      <c r="E116" s="3880" t="s">
        <v>1365</v>
      </c>
      <c r="F116" s="3881"/>
      <c r="G116" s="3881"/>
      <c r="H116" s="3881"/>
      <c r="I116" s="3881"/>
      <c r="J116" s="3881"/>
      <c r="K116" s="3881"/>
      <c r="L116" s="3881"/>
      <c r="M116" s="3881"/>
      <c r="N116" s="3881"/>
      <c r="O116" s="3881"/>
      <c r="P116" s="3882"/>
      <c r="Q116" s="2417"/>
      <c r="S116" s="190"/>
      <c r="T116" s="3123"/>
      <c r="U116" s="63"/>
      <c r="V116" s="3883" t="s">
        <v>1365</v>
      </c>
      <c r="W116" s="3884"/>
      <c r="X116" s="3884"/>
      <c r="Y116" s="3884"/>
      <c r="Z116" s="3884"/>
      <c r="AA116" s="3884"/>
      <c r="AB116" s="3884"/>
      <c r="AC116" s="3884"/>
      <c r="AD116" s="3884"/>
      <c r="AE116" s="3884"/>
      <c r="AF116" s="3884"/>
      <c r="AG116" s="3885"/>
      <c r="AH116" s="62"/>
      <c r="AJ116" s="190"/>
      <c r="AK116" s="3123"/>
      <c r="AL116" s="2613"/>
      <c r="AM116" s="3880" t="s">
        <v>1365</v>
      </c>
      <c r="AN116" s="3881"/>
      <c r="AO116" s="3881"/>
      <c r="AP116" s="3881"/>
      <c r="AQ116" s="3881"/>
      <c r="AR116" s="3881"/>
      <c r="AS116" s="3881"/>
      <c r="AT116" s="3881"/>
      <c r="AU116" s="3881"/>
      <c r="AV116" s="3881"/>
      <c r="AW116" s="3881"/>
      <c r="AX116" s="3882"/>
      <c r="AY116" s="62"/>
      <c r="AZ116" s="54"/>
      <c r="BA116" s="1732"/>
      <c r="BB116" s="54"/>
      <c r="BC116" s="54"/>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c r="HB116"/>
      <c r="HC116"/>
      <c r="HD116"/>
      <c r="HE116"/>
      <c r="HF116"/>
      <c r="HG116"/>
      <c r="HH116"/>
      <c r="HI116"/>
      <c r="HJ116"/>
      <c r="HK116"/>
      <c r="HL116"/>
      <c r="HM116"/>
      <c r="HN116"/>
      <c r="HO116"/>
      <c r="HP116"/>
      <c r="HQ116"/>
      <c r="HR116"/>
      <c r="HS116"/>
      <c r="HT116"/>
      <c r="HU116"/>
      <c r="HV116"/>
      <c r="HW116"/>
      <c r="HX116"/>
      <c r="HY116"/>
      <c r="HZ116"/>
      <c r="IA116"/>
      <c r="IB116"/>
      <c r="IC116"/>
      <c r="ID116"/>
      <c r="IE116"/>
      <c r="IF116"/>
      <c r="IG116"/>
      <c r="IH116"/>
      <c r="II116"/>
      <c r="IJ116"/>
      <c r="IK116"/>
      <c r="IL116"/>
      <c r="IM116"/>
      <c r="IN116"/>
      <c r="IO116"/>
      <c r="IP116"/>
      <c r="IQ116"/>
      <c r="IR116"/>
      <c r="IS116"/>
      <c r="IT116"/>
      <c r="IU116"/>
      <c r="IV116"/>
    </row>
    <row r="117" spans="2:256" s="45" customFormat="1" ht="13.15">
      <c r="B117" s="1720"/>
      <c r="C117" s="3121" t="s">
        <v>439</v>
      </c>
      <c r="D117" s="3122"/>
      <c r="E117" s="2807">
        <f ca="1">Transfer!D125</f>
        <v>1.725490196078411</v>
      </c>
      <c r="F117" s="2807">
        <f ca="1">Transfer!E125</f>
        <v>1.9725974152171659</v>
      </c>
      <c r="G117" s="2807">
        <f ca="1">Transfer!F125</f>
        <v>2.2320997197796686</v>
      </c>
      <c r="H117" s="2807">
        <f ca="1">Transfer!G125</f>
        <v>2.4169975008585709</v>
      </c>
      <c r="I117" s="2807">
        <f ca="1">Transfer!H125</f>
        <v>2.2737771719108224</v>
      </c>
      <c r="J117" s="2807">
        <f ca="1">Transfer!I125</f>
        <v>1.9853869429720845</v>
      </c>
      <c r="K117" s="2807">
        <f ca="1">Transfer!J125</f>
        <v>1.7005707106350343</v>
      </c>
      <c r="L117" s="2807">
        <f ca="1">Transfer!K125</f>
        <v>1.6633556682615449</v>
      </c>
      <c r="M117" s="2807">
        <f ca="1">Transfer!L125</f>
        <v>1.5062973100673673</v>
      </c>
      <c r="N117" s="2807">
        <f ca="1">Transfer!M125</f>
        <v>1.5741852142702868</v>
      </c>
      <c r="O117" s="2807">
        <f ca="1">Transfer!N125</f>
        <v>1.6578690505000111</v>
      </c>
      <c r="P117" s="2814">
        <f ca="1">Transfer!O125</f>
        <v>1.649929533784757</v>
      </c>
      <c r="Q117" s="2520"/>
      <c r="S117" s="190"/>
      <c r="T117" s="3121" t="s">
        <v>439</v>
      </c>
      <c r="U117" s="57"/>
      <c r="V117" s="195">
        <f t="shared" ref="V117:AG123" ca="1" si="9">ROUND(E117,1)-ROUND(AM117,1)</f>
        <v>9.9999999999999867E-2</v>
      </c>
      <c r="W117" s="195">
        <f t="shared" ca="1" si="9"/>
        <v>0.19999999999999996</v>
      </c>
      <c r="X117" s="195">
        <f t="shared" ca="1" si="9"/>
        <v>0</v>
      </c>
      <c r="Y117" s="195">
        <f t="shared" ca="1" si="9"/>
        <v>0.59999999999999987</v>
      </c>
      <c r="Z117" s="195">
        <f t="shared" ca="1" si="9"/>
        <v>0.59999999999999987</v>
      </c>
      <c r="AA117" s="195">
        <f t="shared" ca="1" si="9"/>
        <v>0</v>
      </c>
      <c r="AB117" s="195">
        <f t="shared" ca="1" si="9"/>
        <v>-0.40000000000000013</v>
      </c>
      <c r="AC117" s="195">
        <f t="shared" ca="1" si="9"/>
        <v>-0.19999999999999996</v>
      </c>
      <c r="AD117" s="195">
        <f t="shared" ca="1" si="9"/>
        <v>-0.19999999999999996</v>
      </c>
      <c r="AE117" s="195">
        <f t="shared" ca="1" si="9"/>
        <v>0</v>
      </c>
      <c r="AF117" s="195">
        <f t="shared" ca="1" si="9"/>
        <v>0</v>
      </c>
      <c r="AG117" s="358">
        <f t="shared" ca="1" si="9"/>
        <v>-9.9999999999999867E-2</v>
      </c>
      <c r="AH117" s="196"/>
      <c r="AJ117" s="190"/>
      <c r="AK117" s="3121" t="s">
        <v>439</v>
      </c>
      <c r="AL117" s="3122"/>
      <c r="AM117" s="2807">
        <f>Transfer!AD125</f>
        <v>1.6239912324399768</v>
      </c>
      <c r="AN117" s="2807">
        <f>Transfer!AE125</f>
        <v>1.847392207963594</v>
      </c>
      <c r="AO117" s="2807">
        <f>Transfer!AF125</f>
        <v>2.2325397609404405</v>
      </c>
      <c r="AP117" s="2807">
        <f>Transfer!AG125</f>
        <v>1.7598953222113067</v>
      </c>
      <c r="AQ117" s="2807">
        <f>Transfer!AH125</f>
        <v>1.725490196078411</v>
      </c>
      <c r="AR117" s="2807">
        <f>Transfer!AI125</f>
        <v>2.0302915567193196</v>
      </c>
      <c r="AS117" s="2807">
        <f>Transfer!AJ125</f>
        <v>2.1270368383515148</v>
      </c>
      <c r="AT117" s="2807">
        <f>Transfer!AK125</f>
        <v>1.8857032258840007</v>
      </c>
      <c r="AU117" s="2807">
        <f>Transfer!AL125</f>
        <v>1.7106406541398229</v>
      </c>
      <c r="AV117" s="2807">
        <f>Transfer!AM125</f>
        <v>1.6400369407282085</v>
      </c>
      <c r="AW117" s="2807">
        <f>Transfer!AN125</f>
        <v>1.6515905417761303</v>
      </c>
      <c r="AX117" s="2814">
        <f>Transfer!AO125</f>
        <v>1.660094512723532</v>
      </c>
      <c r="AY117" s="196"/>
      <c r="AZ117" s="54"/>
      <c r="BA117" s="1732" t="s">
        <v>1366</v>
      </c>
      <c r="BB117" s="54"/>
      <c r="BC117" s="54"/>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c r="HB117"/>
      <c r="HC117"/>
      <c r="HD117"/>
      <c r="HE117"/>
      <c r="HF117"/>
      <c r="HG117"/>
      <c r="HH117"/>
      <c r="HI117"/>
      <c r="HJ117"/>
      <c r="HK117"/>
      <c r="HL117"/>
      <c r="HM117"/>
      <c r="HN117"/>
      <c r="HO117"/>
      <c r="HP117"/>
      <c r="HQ117"/>
      <c r="HR117"/>
      <c r="HS117"/>
      <c r="HT117"/>
      <c r="HU117"/>
      <c r="HV117"/>
      <c r="HW117"/>
      <c r="HX117"/>
      <c r="HY117"/>
      <c r="HZ117"/>
      <c r="IA117"/>
      <c r="IB117"/>
      <c r="IC117"/>
      <c r="ID117"/>
      <c r="IE117"/>
      <c r="IF117"/>
      <c r="IG117"/>
      <c r="IH117"/>
      <c r="II117"/>
      <c r="IJ117"/>
      <c r="IK117"/>
      <c r="IL117"/>
      <c r="IM117"/>
      <c r="IN117"/>
      <c r="IO117"/>
      <c r="IP117"/>
      <c r="IQ117"/>
      <c r="IR117"/>
      <c r="IS117"/>
      <c r="IT117"/>
      <c r="IU117"/>
      <c r="IV117"/>
    </row>
    <row r="118" spans="2:256" s="45" customFormat="1">
      <c r="B118" s="1720"/>
      <c r="C118" s="2442" t="s">
        <v>1105</v>
      </c>
      <c r="D118" s="2420"/>
      <c r="E118" s="2521">
        <f ca="1">+Transfer!D267</f>
        <v>0.14596118759328647</v>
      </c>
      <c r="F118" s="2521">
        <f ca="1">+Transfer!E267</f>
        <v>9.5259994087300015E-2</v>
      </c>
      <c r="G118" s="2521">
        <f ca="1">+Transfer!F267</f>
        <v>6.2895163692928691E-2</v>
      </c>
      <c r="H118" s="2521">
        <f ca="1">+Transfer!G267</f>
        <v>0.3</v>
      </c>
      <c r="I118" s="2521">
        <f ca="1">+Transfer!H267</f>
        <v>0.26</v>
      </c>
      <c r="J118" s="2521">
        <f ca="1">+Transfer!I267</f>
        <v>0.21</v>
      </c>
      <c r="K118" s="2521">
        <f ca="1">+Transfer!J267</f>
        <v>0.15</v>
      </c>
      <c r="L118" s="2521">
        <f ca="1">+Transfer!K267</f>
        <v>0.1</v>
      </c>
      <c r="M118" s="2521">
        <f ca="1">+Transfer!L267</f>
        <v>-0.08</v>
      </c>
      <c r="N118" s="2521">
        <f ca="1">+Transfer!M267</f>
        <v>0.11</v>
      </c>
      <c r="O118" s="2521">
        <f ca="1">+Transfer!N267</f>
        <v>0.21</v>
      </c>
      <c r="P118" s="2522">
        <f ca="1">+Transfer!O267</f>
        <v>0.15</v>
      </c>
      <c r="Q118" s="2520"/>
      <c r="S118" s="190"/>
      <c r="T118" s="2442" t="s">
        <v>1105</v>
      </c>
      <c r="U118" s="65"/>
      <c r="V118" s="197">
        <f t="shared" ca="1" si="9"/>
        <v>-0.30000000000000004</v>
      </c>
      <c r="W118" s="197">
        <f t="shared" ca="1" si="9"/>
        <v>-0.19999999999999998</v>
      </c>
      <c r="X118" s="197">
        <f t="shared" ca="1" si="9"/>
        <v>0.1</v>
      </c>
      <c r="Y118" s="197">
        <f t="shared" ca="1" si="9"/>
        <v>0.5</v>
      </c>
      <c r="Z118" s="197">
        <f t="shared" ca="1" si="9"/>
        <v>0.19999999999999998</v>
      </c>
      <c r="AA118" s="197">
        <f t="shared" ca="1" si="9"/>
        <v>0</v>
      </c>
      <c r="AB118" s="197">
        <f t="shared" ca="1" si="9"/>
        <v>0</v>
      </c>
      <c r="AC118" s="197">
        <f t="shared" ca="1" si="9"/>
        <v>-0.1</v>
      </c>
      <c r="AD118" s="197">
        <f t="shared" ca="1" si="9"/>
        <v>-0.30000000000000004</v>
      </c>
      <c r="AE118" s="197">
        <f t="shared" ca="1" si="9"/>
        <v>-0.1</v>
      </c>
      <c r="AF118" s="197">
        <f t="shared" ca="1" si="9"/>
        <v>0</v>
      </c>
      <c r="AG118" s="341">
        <f t="shared" ca="1" si="9"/>
        <v>0</v>
      </c>
      <c r="AH118" s="196"/>
      <c r="AJ118" s="190"/>
      <c r="AK118" s="2442" t="s">
        <v>1105</v>
      </c>
      <c r="AL118" s="2420"/>
      <c r="AM118" s="2521">
        <f>+Transfer!AD267</f>
        <v>0.37960773867007447</v>
      </c>
      <c r="AN118" s="2521">
        <f>+Transfer!AE267</f>
        <v>0.2568746912563995</v>
      </c>
      <c r="AO118" s="2521">
        <f>+Transfer!AF267</f>
        <v>-2.9783572705028405E-2</v>
      </c>
      <c r="AP118" s="2521">
        <f>+Transfer!AG267</f>
        <v>-0.20200045613006523</v>
      </c>
      <c r="AQ118" s="2521">
        <f>+Transfer!AH267</f>
        <v>0.14596118759328647</v>
      </c>
      <c r="AR118" s="2521">
        <f>+Transfer!AI267</f>
        <v>0.17</v>
      </c>
      <c r="AS118" s="2521">
        <f>+Transfer!AJ267</f>
        <v>0.2</v>
      </c>
      <c r="AT118" s="2521">
        <f>+Transfer!AK267</f>
        <v>0.2</v>
      </c>
      <c r="AU118" s="2521">
        <f>+Transfer!AL267</f>
        <v>0.21</v>
      </c>
      <c r="AV118" s="2521">
        <f>+Transfer!AM267</f>
        <v>0.21</v>
      </c>
      <c r="AW118" s="2521">
        <f>+Transfer!AN267</f>
        <v>0.17</v>
      </c>
      <c r="AX118" s="2522">
        <f>+Transfer!AO267</f>
        <v>0.15</v>
      </c>
      <c r="AY118" s="196"/>
      <c r="AZ118" s="54"/>
      <c r="BA118" s="1732" t="s">
        <v>1040</v>
      </c>
      <c r="BB118" s="54"/>
      <c r="BC118" s="54"/>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c r="HB118"/>
      <c r="HC118"/>
      <c r="HD118"/>
      <c r="HE118"/>
      <c r="HF118"/>
      <c r="HG118"/>
      <c r="HH118"/>
      <c r="HI118"/>
      <c r="HJ118"/>
      <c r="HK118"/>
      <c r="HL118"/>
      <c r="HM118"/>
      <c r="HN118"/>
      <c r="HO118"/>
      <c r="HP118"/>
      <c r="HQ118"/>
      <c r="HR118"/>
      <c r="HS118"/>
      <c r="HT118"/>
      <c r="HU118"/>
      <c r="HV118"/>
      <c r="HW118"/>
      <c r="HX118"/>
      <c r="HY118"/>
      <c r="HZ118"/>
      <c r="IA118"/>
      <c r="IB118"/>
      <c r="IC118"/>
      <c r="ID118"/>
      <c r="IE118"/>
      <c r="IF118"/>
      <c r="IG118"/>
      <c r="IH118"/>
      <c r="II118"/>
      <c r="IJ118"/>
      <c r="IK118"/>
      <c r="IL118"/>
      <c r="IM118"/>
      <c r="IN118"/>
      <c r="IO118"/>
      <c r="IP118"/>
      <c r="IQ118"/>
      <c r="IR118"/>
      <c r="IS118"/>
      <c r="IT118"/>
      <c r="IU118"/>
      <c r="IV118"/>
    </row>
    <row r="119" spans="2:256" s="45" customFormat="1">
      <c r="B119" s="1720"/>
      <c r="C119" s="2442" t="s">
        <v>1109</v>
      </c>
      <c r="D119" s="2420"/>
      <c r="E119" s="2521">
        <f ca="1">+Transfer!D268</f>
        <v>5.2053083528493289</v>
      </c>
      <c r="F119" s="2521">
        <f ca="1">+Transfer!E268</f>
        <v>9.4027183970390951</v>
      </c>
      <c r="G119" s="2521">
        <f ca="1">+Transfer!F268</f>
        <v>13.037474107086794</v>
      </c>
      <c r="H119" s="2521">
        <f ca="1">+Transfer!G268</f>
        <v>11.5</v>
      </c>
      <c r="I119" s="2521">
        <f ca="1">+Transfer!H268</f>
        <v>10.665909408507911</v>
      </c>
      <c r="J119" s="2521">
        <f ca="1">+Transfer!I268</f>
        <v>6.752630777107349</v>
      </c>
      <c r="K119" s="2521">
        <f ca="1">+Transfer!J268</f>
        <v>4.037219675346071</v>
      </c>
      <c r="L119" s="2521">
        <f ca="1">+Transfer!K268</f>
        <v>2.19219795744936</v>
      </c>
      <c r="M119" s="2521">
        <f ca="1">+Transfer!L268</f>
        <v>0.84751654096302254</v>
      </c>
      <c r="N119" s="2521">
        <f ca="1">+Transfer!M268</f>
        <v>0.74261853964681102</v>
      </c>
      <c r="O119" s="2521">
        <f ca="1">+Transfer!N268</f>
        <v>1.0540094653401333</v>
      </c>
      <c r="P119" s="2522">
        <f ca="1">+Transfer!O268</f>
        <v>1.4389341197786454</v>
      </c>
      <c r="Q119" s="2520"/>
      <c r="S119" s="190"/>
      <c r="T119" s="2442" t="s">
        <v>1109</v>
      </c>
      <c r="U119" s="198"/>
      <c r="V119" s="197">
        <f t="shared" ca="1" si="9"/>
        <v>-2.8</v>
      </c>
      <c r="W119" s="197">
        <f t="shared" ca="1" si="9"/>
        <v>5</v>
      </c>
      <c r="X119" s="197">
        <f t="shared" ca="1" si="9"/>
        <v>7.5</v>
      </c>
      <c r="Y119" s="197">
        <f t="shared" ca="1" si="9"/>
        <v>8.1</v>
      </c>
      <c r="Z119" s="197">
        <f t="shared" ca="1" si="9"/>
        <v>5.4999999999999991</v>
      </c>
      <c r="AA119" s="197">
        <f t="shared" ca="1" si="9"/>
        <v>-0.70000000000000018</v>
      </c>
      <c r="AB119" s="197">
        <f t="shared" ca="1" si="9"/>
        <v>-3.3</v>
      </c>
      <c r="AC119" s="197">
        <f t="shared" ca="1" si="9"/>
        <v>-2.3999999999999995</v>
      </c>
      <c r="AD119" s="197">
        <f t="shared" ca="1" si="9"/>
        <v>-1.4000000000000001</v>
      </c>
      <c r="AE119" s="197">
        <f t="shared" ca="1" si="9"/>
        <v>-0.30000000000000004</v>
      </c>
      <c r="AF119" s="197">
        <f t="shared" ca="1" si="9"/>
        <v>0.30000000000000004</v>
      </c>
      <c r="AG119" s="341">
        <f t="shared" ca="1" si="9"/>
        <v>0.79999999999999993</v>
      </c>
      <c r="AH119" s="196"/>
      <c r="AJ119" s="190"/>
      <c r="AK119" s="2442" t="s">
        <v>1109</v>
      </c>
      <c r="AL119" s="2420"/>
      <c r="AM119" s="2521">
        <f>+Transfer!AD268</f>
        <v>7.9518640868334103</v>
      </c>
      <c r="AN119" s="2521">
        <f>+Transfer!AE268</f>
        <v>4.4385204931689515</v>
      </c>
      <c r="AO119" s="2521">
        <f>+Transfer!AF268</f>
        <v>5.5033112582781456</v>
      </c>
      <c r="AP119" s="2521">
        <f>+Transfer!AG268</f>
        <v>3.4289356277883911</v>
      </c>
      <c r="AQ119" s="2521">
        <f>+Transfer!AH268</f>
        <v>5.2053083528493289</v>
      </c>
      <c r="AR119" s="2521">
        <f>+Transfer!AI268</f>
        <v>7.5</v>
      </c>
      <c r="AS119" s="2521">
        <f>+Transfer!AJ268</f>
        <v>7.33</v>
      </c>
      <c r="AT119" s="2521">
        <f>+Transfer!AK268</f>
        <v>4.62</v>
      </c>
      <c r="AU119" s="2521">
        <f>+Transfer!AL268</f>
        <v>2.2262251820824863</v>
      </c>
      <c r="AV119" s="2521">
        <f>+Transfer!AM268</f>
        <v>1.0363013293860357</v>
      </c>
      <c r="AW119" s="2521">
        <f>+Transfer!AN268</f>
        <v>0.82271925053198913</v>
      </c>
      <c r="AX119" s="2522">
        <f>+Transfer!AO268</f>
        <v>0.55761858736940173</v>
      </c>
      <c r="AY119" s="196"/>
      <c r="AZ119" s="54"/>
      <c r="BA119" s="1732" t="s">
        <v>1041</v>
      </c>
      <c r="BB119" s="54"/>
      <c r="BC119" s="54"/>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c r="HB119"/>
      <c r="HC119"/>
      <c r="HD119"/>
      <c r="HE119"/>
      <c r="HF119"/>
      <c r="HG119"/>
      <c r="HH119"/>
      <c r="HI119"/>
      <c r="HJ119"/>
      <c r="HK119"/>
      <c r="HL119"/>
      <c r="HM119"/>
      <c r="HN119"/>
      <c r="HO119"/>
      <c r="HP119"/>
      <c r="HQ119"/>
      <c r="HR119"/>
      <c r="HS119"/>
      <c r="HT119"/>
      <c r="HU119"/>
      <c r="HV119"/>
      <c r="HW119"/>
      <c r="HX119"/>
      <c r="HY119"/>
      <c r="HZ119"/>
      <c r="IA119"/>
      <c r="IB119"/>
      <c r="IC119"/>
      <c r="ID119"/>
      <c r="IE119"/>
      <c r="IF119"/>
      <c r="IG119"/>
      <c r="IH119"/>
      <c r="II119"/>
      <c r="IJ119"/>
      <c r="IK119"/>
      <c r="IL119"/>
      <c r="IM119"/>
      <c r="IN119"/>
      <c r="IO119"/>
      <c r="IP119"/>
      <c r="IQ119"/>
      <c r="IR119"/>
      <c r="IS119"/>
      <c r="IT119"/>
      <c r="IU119"/>
      <c r="IV119"/>
    </row>
    <row r="120" spans="2:256" s="45" customFormat="1">
      <c r="B120" s="1720"/>
      <c r="C120" s="2442" t="s">
        <v>1106</v>
      </c>
      <c r="D120" s="2420"/>
      <c r="E120" s="2521">
        <f ca="1">+Transfer!D269</f>
        <v>2.3431346810186255</v>
      </c>
      <c r="F120" s="2521">
        <f ca="1">+Transfer!E269</f>
        <v>1.8188930177977625</v>
      </c>
      <c r="G120" s="2521">
        <f ca="1">+Transfer!F269</f>
        <v>1.4820088014496662</v>
      </c>
      <c r="H120" s="2521">
        <f ca="1">+Transfer!G269</f>
        <v>1.95</v>
      </c>
      <c r="I120" s="2521">
        <f ca="1">+Transfer!H269</f>
        <v>1.85</v>
      </c>
      <c r="J120" s="2521">
        <f ca="1">+Transfer!I269</f>
        <v>2.11</v>
      </c>
      <c r="K120" s="2521">
        <f ca="1">+Transfer!J269</f>
        <v>2.1800000000000002</v>
      </c>
      <c r="L120" s="2521">
        <f ca="1">+Transfer!K269</f>
        <v>2.23</v>
      </c>
      <c r="M120" s="2521">
        <f ca="1">+Transfer!L269</f>
        <v>2.15</v>
      </c>
      <c r="N120" s="2521">
        <f ca="1">+Transfer!M269</f>
        <v>2.15</v>
      </c>
      <c r="O120" s="2521">
        <f ca="1">+Transfer!N269</f>
        <v>2.02</v>
      </c>
      <c r="P120" s="2522">
        <f ca="1">+Transfer!O269</f>
        <v>1.99</v>
      </c>
      <c r="Q120" s="2520"/>
      <c r="S120" s="190"/>
      <c r="T120" s="2442" t="s">
        <v>1106</v>
      </c>
      <c r="U120" s="63"/>
      <c r="V120" s="197">
        <f t="shared" ca="1" si="9"/>
        <v>1.0999999999999999</v>
      </c>
      <c r="W120" s="197">
        <f t="shared" ca="1" si="9"/>
        <v>-9.9999999999999867E-2</v>
      </c>
      <c r="X120" s="197">
        <f t="shared" ca="1" si="9"/>
        <v>-0.89999999999999991</v>
      </c>
      <c r="Y120" s="197">
        <f t="shared" ca="1" si="9"/>
        <v>-0.79999999999999982</v>
      </c>
      <c r="Z120" s="197">
        <f t="shared" ca="1" si="9"/>
        <v>-0.39999999999999991</v>
      </c>
      <c r="AA120" s="197">
        <f t="shared" ca="1" si="9"/>
        <v>-0.19999999999999973</v>
      </c>
      <c r="AB120" s="197">
        <f t="shared" ca="1" si="9"/>
        <v>-9.9999999999999645E-2</v>
      </c>
      <c r="AC120" s="197">
        <f t="shared" ca="1" si="9"/>
        <v>-9.9999999999999645E-2</v>
      </c>
      <c r="AD120" s="197">
        <f t="shared" ca="1" si="9"/>
        <v>0</v>
      </c>
      <c r="AE120" s="197">
        <f t="shared" ca="1" si="9"/>
        <v>0</v>
      </c>
      <c r="AF120" s="197">
        <f t="shared" ca="1" si="9"/>
        <v>-0.29999999999999982</v>
      </c>
      <c r="AG120" s="341">
        <f t="shared" ca="1" si="9"/>
        <v>-0.29999999999999982</v>
      </c>
      <c r="AH120" s="196"/>
      <c r="AJ120" s="190"/>
      <c r="AK120" s="2442" t="s">
        <v>1106</v>
      </c>
      <c r="AL120" s="2420"/>
      <c r="AM120" s="2521">
        <f>+Transfer!AD269</f>
        <v>1.2459713592716923</v>
      </c>
      <c r="AN120" s="2521">
        <f>+Transfer!AE269</f>
        <v>1.852589641434264</v>
      </c>
      <c r="AO120" s="2521">
        <f>+Transfer!AF269</f>
        <v>2.3921542641309372</v>
      </c>
      <c r="AP120" s="2521">
        <f>+Transfer!AG269</f>
        <v>2.8069246301016335</v>
      </c>
      <c r="AQ120" s="2521">
        <f>+Transfer!AH269</f>
        <v>2.3431346810186255</v>
      </c>
      <c r="AR120" s="2521">
        <f>+Transfer!AI269</f>
        <v>2.31</v>
      </c>
      <c r="AS120" s="2521">
        <f>+Transfer!AJ269</f>
        <v>2.34</v>
      </c>
      <c r="AT120" s="2521">
        <f>+Transfer!AK269</f>
        <v>2.29</v>
      </c>
      <c r="AU120" s="2521">
        <f>+Transfer!AL269</f>
        <v>2.2000000000000002</v>
      </c>
      <c r="AV120" s="2521">
        <f>+Transfer!AM269</f>
        <v>2.1800000000000002</v>
      </c>
      <c r="AW120" s="2521">
        <f>+Transfer!AN269</f>
        <v>2.25</v>
      </c>
      <c r="AX120" s="2522">
        <f>+Transfer!AO269</f>
        <v>2.25</v>
      </c>
      <c r="AY120" s="196"/>
      <c r="AZ120" s="54"/>
      <c r="BA120" s="1732" t="s">
        <v>1042</v>
      </c>
      <c r="BB120" s="54"/>
      <c r="BC120" s="54"/>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c r="HB120"/>
      <c r="HC120"/>
      <c r="HD120"/>
      <c r="HE120"/>
      <c r="HF120"/>
      <c r="HG120"/>
      <c r="HH120"/>
      <c r="HI120"/>
      <c r="HJ120"/>
      <c r="HK120"/>
      <c r="HL120"/>
      <c r="HM120"/>
      <c r="HN120"/>
      <c r="HO120"/>
      <c r="HP120"/>
      <c r="HQ120"/>
      <c r="HR120"/>
      <c r="HS120"/>
      <c r="HT120"/>
      <c r="HU120"/>
      <c r="HV120"/>
      <c r="HW120"/>
      <c r="HX120"/>
      <c r="HY120"/>
      <c r="HZ120"/>
      <c r="IA120"/>
      <c r="IB120"/>
      <c r="IC120"/>
      <c r="ID120"/>
      <c r="IE120"/>
      <c r="IF120"/>
      <c r="IG120"/>
      <c r="IH120"/>
      <c r="II120"/>
      <c r="IJ120"/>
      <c r="IK120"/>
      <c r="IL120"/>
      <c r="IM120"/>
      <c r="IN120"/>
      <c r="IO120"/>
      <c r="IP120"/>
      <c r="IQ120"/>
      <c r="IR120"/>
      <c r="IS120"/>
      <c r="IT120"/>
      <c r="IU120"/>
      <c r="IV120"/>
    </row>
    <row r="121" spans="2:256" s="45" customFormat="1">
      <c r="B121" s="1720"/>
      <c r="C121" s="2442" t="s">
        <v>1107</v>
      </c>
      <c r="D121" s="2420"/>
      <c r="E121" s="2521">
        <f ca="1">+Transfer!D270</f>
        <v>1.0904710581373251</v>
      </c>
      <c r="F121" s="2521">
        <f ca="1">+Transfer!E270</f>
        <v>3.9764923823820482</v>
      </c>
      <c r="G121" s="2521">
        <f ca="1">+Transfer!F270</f>
        <v>4.6586803574824103</v>
      </c>
      <c r="H121" s="2521">
        <f ca="1">+Transfer!G270</f>
        <v>4</v>
      </c>
      <c r="I121" s="2521">
        <f ca="1">+Transfer!H270</f>
        <v>3.5</v>
      </c>
      <c r="J121" s="2521">
        <f ca="1">+Transfer!I270</f>
        <v>3.1</v>
      </c>
      <c r="K121" s="2521">
        <f ca="1">+Transfer!J270</f>
        <v>2.4500000000000002</v>
      </c>
      <c r="L121" s="2521">
        <f ca="1">+Transfer!K270</f>
        <v>2.4500000000000002</v>
      </c>
      <c r="M121" s="2521">
        <f ca="1">+Transfer!L270</f>
        <v>2.1</v>
      </c>
      <c r="N121" s="2521">
        <f ca="1">+Transfer!M270</f>
        <v>1.99</v>
      </c>
      <c r="O121" s="2521">
        <f ca="1">+Transfer!N270</f>
        <v>1.78</v>
      </c>
      <c r="P121" s="2522">
        <f ca="1">+Transfer!O270</f>
        <v>1.55</v>
      </c>
      <c r="Q121" s="2520"/>
      <c r="S121" s="190"/>
      <c r="T121" s="2442" t="s">
        <v>1107</v>
      </c>
      <c r="U121" s="63"/>
      <c r="V121" s="197">
        <f t="shared" ca="1" si="9"/>
        <v>-2.1</v>
      </c>
      <c r="W121" s="197">
        <f t="shared" ca="1" si="9"/>
        <v>2.2000000000000002</v>
      </c>
      <c r="X121" s="197">
        <f t="shared" ca="1" si="9"/>
        <v>2.4000000000000004</v>
      </c>
      <c r="Y121" s="197">
        <f t="shared" ca="1" si="9"/>
        <v>2.2000000000000002</v>
      </c>
      <c r="Z121" s="197">
        <f t="shared" ca="1" si="9"/>
        <v>2.4</v>
      </c>
      <c r="AA121" s="197">
        <f t="shared" ca="1" si="9"/>
        <v>1.2000000000000002</v>
      </c>
      <c r="AB121" s="197">
        <f t="shared" ca="1" si="9"/>
        <v>0.10000000000000009</v>
      </c>
      <c r="AC121" s="197">
        <f t="shared" ca="1" si="9"/>
        <v>0</v>
      </c>
      <c r="AD121" s="197">
        <f t="shared" ca="1" si="9"/>
        <v>-0.10000000000000009</v>
      </c>
      <c r="AE121" s="197">
        <f t="shared" ca="1" si="9"/>
        <v>0.19999999999999996</v>
      </c>
      <c r="AF121" s="197">
        <f t="shared" ca="1" si="9"/>
        <v>0.19999999999999996</v>
      </c>
      <c r="AG121" s="341">
        <f t="shared" ca="1" si="9"/>
        <v>0.10000000000000009</v>
      </c>
      <c r="AH121" s="196"/>
      <c r="AJ121" s="190"/>
      <c r="AK121" s="2442" t="s">
        <v>1107</v>
      </c>
      <c r="AL121" s="2420"/>
      <c r="AM121" s="2521">
        <f>+Transfer!AD270</f>
        <v>3.1690486313241877</v>
      </c>
      <c r="AN121" s="2521">
        <f>+Transfer!AE270</f>
        <v>1.7550131625987433</v>
      </c>
      <c r="AO121" s="2521">
        <f>+Transfer!AF270</f>
        <v>2.2621208192896063</v>
      </c>
      <c r="AP121" s="2521">
        <f>+Transfer!AG270</f>
        <v>1.8181818181818272</v>
      </c>
      <c r="AQ121" s="2521">
        <f>+Transfer!AH270</f>
        <v>1.0904710581373251</v>
      </c>
      <c r="AR121" s="2521">
        <f>+Transfer!AI270</f>
        <v>1.85</v>
      </c>
      <c r="AS121" s="2521">
        <f>+Transfer!AJ270</f>
        <v>2.4</v>
      </c>
      <c r="AT121" s="2521">
        <f>+Transfer!AK270</f>
        <v>2.4900000000000002</v>
      </c>
      <c r="AU121" s="2521">
        <f>+Transfer!AL270</f>
        <v>2.2000000000000002</v>
      </c>
      <c r="AV121" s="2521">
        <f>+Transfer!AM270</f>
        <v>1.8</v>
      </c>
      <c r="AW121" s="2521">
        <f>+Transfer!AN270</f>
        <v>1.6</v>
      </c>
      <c r="AX121" s="2522">
        <f>+Transfer!AO270</f>
        <v>1.45</v>
      </c>
      <c r="AY121" s="196"/>
      <c r="AZ121" s="54"/>
      <c r="BA121" s="1732" t="s">
        <v>1043</v>
      </c>
      <c r="BB121" s="54"/>
      <c r="BC121" s="54"/>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c r="HB121"/>
      <c r="HC121"/>
      <c r="HD121"/>
      <c r="HE121"/>
      <c r="HF121"/>
      <c r="HG121"/>
      <c r="HH121"/>
      <c r="HI121"/>
      <c r="HJ121"/>
      <c r="HK121"/>
      <c r="HL121"/>
      <c r="HM121"/>
      <c r="HN121"/>
      <c r="HO121"/>
      <c r="HP121"/>
      <c r="HQ121"/>
      <c r="HR121"/>
      <c r="HS121"/>
      <c r="HT121"/>
      <c r="HU121"/>
      <c r="HV121"/>
      <c r="HW121"/>
      <c r="HX121"/>
      <c r="HY121"/>
      <c r="HZ121"/>
      <c r="IA121"/>
      <c r="IB121"/>
      <c r="IC121"/>
      <c r="ID121"/>
      <c r="IE121"/>
      <c r="IF121"/>
      <c r="IG121"/>
      <c r="IH121"/>
      <c r="II121"/>
      <c r="IJ121"/>
      <c r="IK121"/>
      <c r="IL121"/>
      <c r="IM121"/>
      <c r="IN121"/>
      <c r="IO121"/>
      <c r="IP121"/>
      <c r="IQ121"/>
      <c r="IR121"/>
      <c r="IS121"/>
      <c r="IT121"/>
      <c r="IU121"/>
      <c r="IV121"/>
    </row>
    <row r="122" spans="2:256" s="45" customFormat="1" ht="13.15">
      <c r="B122" s="1720"/>
      <c r="C122" s="2815" t="s">
        <v>1108</v>
      </c>
      <c r="D122" s="2449"/>
      <c r="E122" s="2762">
        <f ca="1">+Transfer!D271</f>
        <v>1.9742657892151954</v>
      </c>
      <c r="F122" s="2762">
        <f ca="1">+Transfer!E271</f>
        <v>1.5086206896551886</v>
      </c>
      <c r="G122" s="2762">
        <f ca="1">+Transfer!F271</f>
        <v>1.380099850542166</v>
      </c>
      <c r="H122" s="2762">
        <f ca="1">+Transfer!G271</f>
        <v>1.88</v>
      </c>
      <c r="I122" s="2762">
        <f ca="1">+Transfer!H271</f>
        <v>1.88</v>
      </c>
      <c r="J122" s="2762">
        <f ca="1">+Transfer!I271</f>
        <v>1.99</v>
      </c>
      <c r="K122" s="2762">
        <f ca="1">+Transfer!J271</f>
        <v>2.0099999999999998</v>
      </c>
      <c r="L122" s="2762">
        <f ca="1">+Transfer!K271</f>
        <v>2.33</v>
      </c>
      <c r="M122" s="2762">
        <f ca="1">+Transfer!L271</f>
        <v>2.4500000000000002</v>
      </c>
      <c r="N122" s="2762">
        <f ca="1">+Transfer!M271</f>
        <v>2.5099999999999998</v>
      </c>
      <c r="O122" s="2762">
        <f ca="1">+Transfer!N271</f>
        <v>2.65</v>
      </c>
      <c r="P122" s="2818">
        <f ca="1">+Transfer!O271</f>
        <v>2.63</v>
      </c>
      <c r="Q122" s="2520"/>
      <c r="S122" s="190"/>
      <c r="T122" s="2815" t="s">
        <v>1108</v>
      </c>
      <c r="U122" s="210"/>
      <c r="V122" s="197">
        <f t="shared" ca="1" si="9"/>
        <v>0.89999999999999991</v>
      </c>
      <c r="W122" s="197">
        <f t="shared" ca="1" si="9"/>
        <v>-0.89999999999999991</v>
      </c>
      <c r="X122" s="197">
        <f t="shared" ca="1" si="9"/>
        <v>-1.6</v>
      </c>
      <c r="Y122" s="197">
        <f t="shared" ca="1" si="9"/>
        <v>-0.5</v>
      </c>
      <c r="Z122" s="197">
        <f t="shared" ca="1" si="9"/>
        <v>-0.10000000000000009</v>
      </c>
      <c r="AA122" s="197">
        <f t="shared" ca="1" si="9"/>
        <v>-0.10000000000000009</v>
      </c>
      <c r="AB122" s="197">
        <f t="shared" ca="1" si="9"/>
        <v>-0.29999999999999982</v>
      </c>
      <c r="AC122" s="197">
        <f t="shared" ca="1" si="9"/>
        <v>0</v>
      </c>
      <c r="AD122" s="197">
        <f t="shared" ca="1" si="9"/>
        <v>0</v>
      </c>
      <c r="AE122" s="197">
        <f t="shared" ca="1" si="9"/>
        <v>-0.10000000000000009</v>
      </c>
      <c r="AF122" s="197">
        <f t="shared" ca="1" si="9"/>
        <v>0</v>
      </c>
      <c r="AG122" s="341">
        <f t="shared" ca="1" si="9"/>
        <v>-0.19999999999999973</v>
      </c>
      <c r="AH122" s="196"/>
      <c r="AJ122" s="190"/>
      <c r="AK122" s="2815" t="s">
        <v>1108</v>
      </c>
      <c r="AL122" s="2449"/>
      <c r="AM122" s="2762">
        <f>+Transfer!AD271</f>
        <v>1.0788628917496794</v>
      </c>
      <c r="AN122" s="2762">
        <f>+Transfer!AE271</f>
        <v>2.3978919631093589</v>
      </c>
      <c r="AO122" s="2762">
        <f>+Transfer!AF271</f>
        <v>3.0441051182908581</v>
      </c>
      <c r="AP122" s="2762">
        <f>+Transfer!AG271</f>
        <v>2.4140766321328613</v>
      </c>
      <c r="AQ122" s="2762">
        <f>+Transfer!AH271</f>
        <v>1.9742657892151954</v>
      </c>
      <c r="AR122" s="2762">
        <f>+Transfer!AI271</f>
        <v>2.1</v>
      </c>
      <c r="AS122" s="2762">
        <f>+Transfer!AJ271</f>
        <v>2.25</v>
      </c>
      <c r="AT122" s="2762">
        <f>+Transfer!AK271</f>
        <v>2.25</v>
      </c>
      <c r="AU122" s="2762">
        <f>+Transfer!AL271</f>
        <v>2.4500000000000002</v>
      </c>
      <c r="AV122" s="2762">
        <f>+Transfer!AM271</f>
        <v>2.5499999999999998</v>
      </c>
      <c r="AW122" s="2762">
        <f>+Transfer!AN271</f>
        <v>2.66</v>
      </c>
      <c r="AX122" s="2818">
        <f>+Transfer!AO271</f>
        <v>2.77</v>
      </c>
      <c r="AY122" s="196"/>
      <c r="AZ122" s="54"/>
      <c r="BA122" s="1732" t="s">
        <v>1044</v>
      </c>
      <c r="BB122" s="54"/>
      <c r="BC122" s="54"/>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c r="HB122"/>
      <c r="HC122"/>
      <c r="HD122"/>
      <c r="HE122"/>
      <c r="HF122"/>
      <c r="HG122"/>
      <c r="HH122"/>
      <c r="HI122"/>
      <c r="HJ122"/>
      <c r="HK122"/>
      <c r="HL122"/>
      <c r="HM122"/>
      <c r="HN122"/>
      <c r="HO122"/>
      <c r="HP122"/>
      <c r="HQ122"/>
      <c r="HR122"/>
      <c r="HS122"/>
      <c r="HT122"/>
      <c r="HU122"/>
      <c r="HV122"/>
      <c r="HW122"/>
      <c r="HX122"/>
      <c r="HY122"/>
      <c r="HZ122"/>
      <c r="IA122"/>
      <c r="IB122"/>
      <c r="IC122"/>
      <c r="ID122"/>
      <c r="IE122"/>
      <c r="IF122"/>
      <c r="IG122"/>
      <c r="IH122"/>
      <c r="II122"/>
      <c r="IJ122"/>
      <c r="IK122"/>
      <c r="IL122"/>
      <c r="IM122"/>
      <c r="IN122"/>
      <c r="IO122"/>
      <c r="IP122"/>
      <c r="IQ122"/>
      <c r="IR122"/>
      <c r="IS122"/>
      <c r="IT122"/>
      <c r="IU122"/>
      <c r="IV122"/>
    </row>
    <row r="123" spans="2:256" s="45" customFormat="1" ht="13.5" thickBot="1">
      <c r="B123" s="1720"/>
      <c r="C123" s="2537" t="s">
        <v>187</v>
      </c>
      <c r="D123" s="2538"/>
      <c r="E123" s="2539">
        <f ca="1">+Transfer!D266</f>
        <v>1.4116485686080864</v>
      </c>
      <c r="F123" s="2539">
        <f ca="1">+Transfer!E266</f>
        <v>1.0780970936840504</v>
      </c>
      <c r="G123" s="2539">
        <f ca="1">+Transfer!F266</f>
        <v>0.94403672690827989</v>
      </c>
      <c r="H123" s="2539">
        <f ca="1">+Transfer!G266</f>
        <v>1.3520628683693587</v>
      </c>
      <c r="I123" s="2539">
        <f ca="1">+Transfer!H266</f>
        <v>1.3239979292491171</v>
      </c>
      <c r="J123" s="2539">
        <f ca="1">+Transfer!I266</f>
        <v>1.4061929457478186</v>
      </c>
      <c r="K123" s="2539">
        <f ca="1">+Transfer!J266</f>
        <v>1.4041679884679468</v>
      </c>
      <c r="L123" s="2539">
        <f ca="1">+Transfer!K266</f>
        <v>1.5528144889003954</v>
      </c>
      <c r="M123" s="2539">
        <f ca="1">+Transfer!L266</f>
        <v>1.5377477311425451</v>
      </c>
      <c r="N123" s="2539">
        <f ca="1">+Transfer!M266</f>
        <v>1.632991684748049</v>
      </c>
      <c r="O123" s="2539">
        <f ca="1">+Transfer!N266</f>
        <v>1.7166949475207787</v>
      </c>
      <c r="P123" s="2540">
        <f ca="1">+Transfer!O266</f>
        <v>1.6804109266731757</v>
      </c>
      <c r="Q123" s="2520"/>
      <c r="S123" s="190"/>
      <c r="T123" s="2537" t="s">
        <v>187</v>
      </c>
      <c r="U123" s="214"/>
      <c r="V123" s="1764">
        <f t="shared" ca="1" si="9"/>
        <v>0.49999999999999989</v>
      </c>
      <c r="W123" s="1764">
        <f t="shared" ca="1" si="9"/>
        <v>-0.5</v>
      </c>
      <c r="X123" s="1764">
        <f t="shared" ca="1" si="9"/>
        <v>-0.99999999999999989</v>
      </c>
      <c r="Y123" s="1764">
        <f t="shared" ca="1" si="9"/>
        <v>-0.20000000000000018</v>
      </c>
      <c r="Z123" s="1764">
        <f t="shared" ca="1" si="9"/>
        <v>-9.9999999999999867E-2</v>
      </c>
      <c r="AA123" s="1764">
        <f t="shared" ca="1" si="9"/>
        <v>-0.10000000000000009</v>
      </c>
      <c r="AB123" s="1764">
        <f t="shared" ca="1" si="9"/>
        <v>-0.20000000000000018</v>
      </c>
      <c r="AC123" s="1764">
        <f t="shared" ca="1" si="9"/>
        <v>0</v>
      </c>
      <c r="AD123" s="1764">
        <f t="shared" ca="1" si="9"/>
        <v>-0.10000000000000009</v>
      </c>
      <c r="AE123" s="1764">
        <f t="shared" ca="1" si="9"/>
        <v>-9.9999999999999867E-2</v>
      </c>
      <c r="AF123" s="1764">
        <f t="shared" ca="1" si="9"/>
        <v>0</v>
      </c>
      <c r="AG123" s="1765">
        <f t="shared" ca="1" si="9"/>
        <v>-0.10000000000000009</v>
      </c>
      <c r="AH123" s="196"/>
      <c r="AJ123" s="190"/>
      <c r="AK123" s="2537" t="s">
        <v>187</v>
      </c>
      <c r="AL123" s="2538"/>
      <c r="AM123" s="2539">
        <f>+Transfer!AD266</f>
        <v>0.85623257666267705</v>
      </c>
      <c r="AN123" s="2539">
        <f>+Transfer!AE266</f>
        <v>1.576673153676154</v>
      </c>
      <c r="AO123" s="2539">
        <f>+Transfer!AF266</f>
        <v>1.8874761183213877</v>
      </c>
      <c r="AP123" s="2539">
        <f>+Transfer!AG266</f>
        <v>1.5788091643143218</v>
      </c>
      <c r="AQ123" s="2539">
        <f>+Transfer!AH266</f>
        <v>1.4116485686080864</v>
      </c>
      <c r="AR123" s="2539">
        <f>+Transfer!AI266</f>
        <v>1.4816585467839047</v>
      </c>
      <c r="AS123" s="2539">
        <f>+Transfer!AJ266</f>
        <v>1.5723771748793212</v>
      </c>
      <c r="AT123" s="2539">
        <f>+Transfer!AK266</f>
        <v>1.5568223474465697</v>
      </c>
      <c r="AU123" s="2539">
        <f>+Transfer!AL266</f>
        <v>1.6467245510021371</v>
      </c>
      <c r="AV123" s="2539">
        <f>+Transfer!AM266</f>
        <v>1.6922305331517293</v>
      </c>
      <c r="AW123" s="2539">
        <f>+Transfer!AN266</f>
        <v>1.7463554600180515</v>
      </c>
      <c r="AX123" s="2540">
        <f>+Transfer!AO266</f>
        <v>1.791983224121509</v>
      </c>
      <c r="AY123" s="196"/>
      <c r="AZ123" s="54"/>
      <c r="BA123" s="1733" t="s">
        <v>1045</v>
      </c>
      <c r="BB123" s="54"/>
      <c r="BC123" s="54"/>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c r="HB123"/>
      <c r="HC123"/>
      <c r="HD123"/>
      <c r="HE123"/>
      <c r="HF123"/>
      <c r="HG123"/>
      <c r="HH123"/>
      <c r="HI123"/>
      <c r="HJ123"/>
      <c r="HK123"/>
      <c r="HL123"/>
      <c r="HM123"/>
      <c r="HN123"/>
      <c r="HO123"/>
      <c r="HP123"/>
      <c r="HQ123"/>
      <c r="HR123"/>
      <c r="HS123"/>
      <c r="HT123"/>
      <c r="HU123"/>
      <c r="HV123"/>
      <c r="HW123"/>
      <c r="HX123"/>
      <c r="HY123"/>
      <c r="HZ123"/>
      <c r="IA123"/>
      <c r="IB123"/>
      <c r="IC123"/>
      <c r="ID123"/>
      <c r="IE123"/>
      <c r="IF123"/>
      <c r="IG123"/>
      <c r="IH123"/>
      <c r="II123"/>
      <c r="IJ123"/>
      <c r="IK123"/>
      <c r="IL123"/>
      <c r="IM123"/>
      <c r="IN123"/>
      <c r="IO123"/>
      <c r="IP123"/>
      <c r="IQ123"/>
      <c r="IR123"/>
      <c r="IS123"/>
      <c r="IT123"/>
      <c r="IU123"/>
      <c r="IV123"/>
    </row>
    <row r="124" spans="2:256" s="45" customFormat="1" ht="13.15">
      <c r="B124" s="1756"/>
      <c r="C124" s="2545"/>
      <c r="D124" s="2545"/>
      <c r="E124" s="2545"/>
      <c r="F124" s="2545"/>
      <c r="G124" s="2545"/>
      <c r="H124" s="2545"/>
      <c r="I124" s="2545"/>
      <c r="J124" s="2545"/>
      <c r="K124" s="2545"/>
      <c r="L124" s="2545"/>
      <c r="M124" s="2545"/>
      <c r="N124" s="2545"/>
      <c r="O124" s="2545"/>
      <c r="P124" s="2469" t="str">
        <f>UPPER(Country)</f>
        <v>SWEDEN</v>
      </c>
      <c r="Q124" s="2546"/>
      <c r="S124" s="215"/>
      <c r="T124" s="113"/>
      <c r="U124" s="113"/>
      <c r="V124" s="113"/>
      <c r="W124" s="113"/>
      <c r="X124" s="113"/>
      <c r="Y124" s="113"/>
      <c r="Z124" s="113"/>
      <c r="AA124" s="113"/>
      <c r="AB124" s="113"/>
      <c r="AC124" s="113"/>
      <c r="AD124" s="113"/>
      <c r="AE124" s="113"/>
      <c r="AF124" s="113"/>
      <c r="AG124" s="118" t="str">
        <f>UPPER(Country)</f>
        <v>SWEDEN</v>
      </c>
      <c r="AH124" s="216"/>
      <c r="AJ124" s="215"/>
      <c r="AK124" s="113"/>
      <c r="AL124" s="113"/>
      <c r="AM124" s="113"/>
      <c r="AN124" s="113"/>
      <c r="AO124" s="113"/>
      <c r="AP124" s="113"/>
      <c r="AQ124" s="113"/>
      <c r="AR124" s="113"/>
      <c r="AS124" s="113"/>
      <c r="AT124" s="113"/>
      <c r="AU124" s="113"/>
      <c r="AV124" s="113"/>
      <c r="AW124" s="113"/>
      <c r="AX124" s="118" t="str">
        <f>UPPER(Country)</f>
        <v>SWEDEN</v>
      </c>
      <c r="AY124" s="216"/>
      <c r="AZ124" s="54"/>
      <c r="BB124" s="54"/>
      <c r="BC124" s="5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c r="HB124"/>
      <c r="HC124"/>
      <c r="HD124"/>
      <c r="HE124"/>
      <c r="HF124"/>
      <c r="HG124"/>
      <c r="HH124"/>
      <c r="HI124"/>
      <c r="HJ124"/>
      <c r="HK124"/>
      <c r="HL124"/>
      <c r="HM124"/>
      <c r="HN124"/>
      <c r="HO124"/>
      <c r="HP124"/>
      <c r="HQ124"/>
      <c r="HR124"/>
      <c r="HS124"/>
      <c r="HT124"/>
      <c r="HU124"/>
      <c r="HV124"/>
      <c r="HW124"/>
      <c r="HX124"/>
      <c r="HY124"/>
      <c r="HZ124"/>
      <c r="IA124"/>
      <c r="IB124"/>
      <c r="IC124"/>
      <c r="ID124"/>
      <c r="IE124"/>
      <c r="IF124"/>
      <c r="IG124"/>
      <c r="IH124"/>
      <c r="II124"/>
      <c r="IJ124"/>
      <c r="IK124"/>
      <c r="IL124"/>
      <c r="IM124"/>
      <c r="IN124"/>
      <c r="IO124"/>
      <c r="IP124"/>
      <c r="IQ124"/>
      <c r="IR124"/>
      <c r="IS124"/>
      <c r="IT124"/>
      <c r="IU124"/>
      <c r="IV124"/>
    </row>
    <row r="125" spans="2:256" s="45" customFormat="1">
      <c r="AZ125" s="54"/>
      <c r="BB125" s="54"/>
      <c r="BC125" s="54"/>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c r="HB125"/>
      <c r="HC125"/>
      <c r="HD125"/>
      <c r="HE125"/>
      <c r="HF125"/>
      <c r="HG125"/>
      <c r="HH125"/>
      <c r="HI125"/>
      <c r="HJ125"/>
      <c r="HK125"/>
      <c r="HL125"/>
      <c r="HM125"/>
      <c r="HN125"/>
      <c r="HO125"/>
      <c r="HP125"/>
      <c r="HQ125"/>
      <c r="HR125"/>
      <c r="HS125"/>
      <c r="HT125"/>
      <c r="HU125"/>
      <c r="HV125"/>
      <c r="HW125"/>
      <c r="HX125"/>
      <c r="HY125"/>
      <c r="HZ125"/>
      <c r="IA125"/>
      <c r="IB125"/>
      <c r="IC125"/>
      <c r="ID125"/>
      <c r="IE125"/>
      <c r="IF125"/>
      <c r="IG125"/>
      <c r="IH125"/>
      <c r="II125"/>
      <c r="IJ125"/>
      <c r="IK125"/>
      <c r="IL125"/>
      <c r="IM125"/>
      <c r="IN125"/>
      <c r="IO125"/>
      <c r="IP125"/>
      <c r="IQ125"/>
      <c r="IR125"/>
      <c r="IS125"/>
      <c r="IT125"/>
      <c r="IU125"/>
      <c r="IV125"/>
    </row>
    <row r="126" spans="2:256" s="45" customFormat="1">
      <c r="AZ126" s="54"/>
      <c r="BB126" s="54"/>
      <c r="BC126" s="54"/>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c r="HB126"/>
      <c r="HC126"/>
      <c r="HD126"/>
      <c r="HE126"/>
      <c r="HF126"/>
      <c r="HG126"/>
      <c r="HH126"/>
      <c r="HI126"/>
      <c r="HJ126"/>
      <c r="HK126"/>
      <c r="HL126"/>
      <c r="HM126"/>
      <c r="HN126"/>
      <c r="HO126"/>
      <c r="HP126"/>
      <c r="HQ126"/>
      <c r="HR126"/>
      <c r="HS126"/>
      <c r="HT126"/>
      <c r="HU126"/>
      <c r="HV126"/>
      <c r="HW126"/>
      <c r="HX126"/>
      <c r="HY126"/>
      <c r="HZ126"/>
      <c r="IA126"/>
      <c r="IB126"/>
      <c r="IC126"/>
      <c r="ID126"/>
      <c r="IE126"/>
      <c r="IF126"/>
      <c r="IG126"/>
      <c r="IH126"/>
      <c r="II126"/>
      <c r="IJ126"/>
      <c r="IK126"/>
      <c r="IL126"/>
      <c r="IM126"/>
      <c r="IN126"/>
      <c r="IO126"/>
      <c r="IP126"/>
      <c r="IQ126"/>
      <c r="IR126"/>
      <c r="IS126"/>
      <c r="IT126"/>
      <c r="IU126"/>
      <c r="IV126"/>
    </row>
    <row r="127" spans="2:256" s="45" customFormat="1">
      <c r="AZ127" s="54"/>
      <c r="BB127" s="54"/>
      <c r="BC127" s="54"/>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c r="HB127"/>
      <c r="HC127"/>
      <c r="HD127"/>
      <c r="HE127"/>
      <c r="HF127"/>
      <c r="HG127"/>
      <c r="HH127"/>
      <c r="HI127"/>
      <c r="HJ127"/>
      <c r="HK127"/>
      <c r="HL127"/>
      <c r="HM127"/>
      <c r="HN127"/>
      <c r="HO127"/>
      <c r="HP127"/>
      <c r="HQ127"/>
      <c r="HR127"/>
      <c r="HS127"/>
      <c r="HT127"/>
      <c r="HU127"/>
      <c r="HV127"/>
      <c r="HW127"/>
      <c r="HX127"/>
      <c r="HY127"/>
      <c r="HZ127"/>
      <c r="IA127"/>
      <c r="IB127"/>
      <c r="IC127"/>
      <c r="ID127"/>
      <c r="IE127"/>
      <c r="IF127"/>
      <c r="IG127"/>
      <c r="IH127"/>
      <c r="II127"/>
      <c r="IJ127"/>
      <c r="IK127"/>
      <c r="IL127"/>
      <c r="IM127"/>
      <c r="IN127"/>
      <c r="IO127"/>
      <c r="IP127"/>
      <c r="IQ127"/>
      <c r="IR127"/>
      <c r="IS127"/>
      <c r="IT127"/>
      <c r="IU127"/>
      <c r="IV127"/>
    </row>
    <row r="128" spans="2:256" s="45" customFormat="1">
      <c r="AZ128" s="54"/>
      <c r="BB128" s="54"/>
      <c r="BC128" s="54"/>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c r="HB128"/>
      <c r="HC128"/>
      <c r="HD128"/>
      <c r="HE128"/>
      <c r="HF128"/>
      <c r="HG128"/>
      <c r="HH128"/>
      <c r="HI128"/>
      <c r="HJ128"/>
      <c r="HK128"/>
      <c r="HL128"/>
      <c r="HM128"/>
      <c r="HN128"/>
      <c r="HO128"/>
      <c r="HP128"/>
      <c r="HQ128"/>
      <c r="HR128"/>
      <c r="HS128"/>
      <c r="HT128"/>
      <c r="HU128"/>
      <c r="HV128"/>
      <c r="HW128"/>
      <c r="HX128"/>
      <c r="HY128"/>
      <c r="HZ128"/>
      <c r="IA128"/>
      <c r="IB128"/>
      <c r="IC128"/>
      <c r="ID128"/>
      <c r="IE128"/>
      <c r="IF128"/>
      <c r="IG128"/>
      <c r="IH128"/>
      <c r="II128"/>
      <c r="IJ128"/>
      <c r="IK128"/>
      <c r="IL128"/>
      <c r="IM128"/>
      <c r="IN128"/>
      <c r="IO128"/>
      <c r="IP128"/>
      <c r="IQ128"/>
      <c r="IR128"/>
      <c r="IS128"/>
      <c r="IT128"/>
      <c r="IU128"/>
      <c r="IV128"/>
    </row>
    <row r="129" spans="1:256" s="45" customFormat="1">
      <c r="AZ129" s="54"/>
      <c r="BB129" s="54"/>
      <c r="BC129" s="54"/>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c r="HB129"/>
      <c r="HC129"/>
      <c r="HD129"/>
      <c r="HE129"/>
      <c r="HF129"/>
      <c r="HG129"/>
      <c r="HH129"/>
      <c r="HI129"/>
      <c r="HJ129"/>
      <c r="HK129"/>
      <c r="HL129"/>
      <c r="HM129"/>
      <c r="HN129"/>
      <c r="HO129"/>
      <c r="HP129"/>
      <c r="HQ129"/>
      <c r="HR129"/>
      <c r="HS129"/>
      <c r="HT129"/>
      <c r="HU129"/>
      <c r="HV129"/>
      <c r="HW129"/>
      <c r="HX129"/>
      <c r="HY129"/>
      <c r="HZ129"/>
      <c r="IA129"/>
      <c r="IB129"/>
      <c r="IC129"/>
      <c r="ID129"/>
      <c r="IE129"/>
      <c r="IF129"/>
      <c r="IG129"/>
      <c r="IH129"/>
      <c r="II129"/>
      <c r="IJ129"/>
      <c r="IK129"/>
      <c r="IL129"/>
      <c r="IM129"/>
      <c r="IN129"/>
      <c r="IO129"/>
      <c r="IP129"/>
      <c r="IQ129"/>
      <c r="IR129"/>
      <c r="IS129"/>
      <c r="IT129"/>
      <c r="IU129"/>
      <c r="IV129"/>
    </row>
    <row r="130" spans="1:256" s="45" customFormat="1">
      <c r="AZ130" s="54"/>
      <c r="BB130" s="54"/>
      <c r="BC130" s="54"/>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c r="HB130"/>
      <c r="HC130"/>
      <c r="HD130"/>
      <c r="HE130"/>
      <c r="HF130"/>
      <c r="HG130"/>
      <c r="HH130"/>
      <c r="HI130"/>
      <c r="HJ130"/>
      <c r="HK130"/>
      <c r="HL130"/>
      <c r="HM130"/>
      <c r="HN130"/>
      <c r="HO130"/>
      <c r="HP130"/>
      <c r="HQ130"/>
      <c r="HR130"/>
      <c r="HS130"/>
      <c r="HT130"/>
      <c r="HU130"/>
      <c r="HV130"/>
      <c r="HW130"/>
      <c r="HX130"/>
      <c r="HY130"/>
      <c r="HZ130"/>
      <c r="IA130"/>
      <c r="IB130"/>
      <c r="IC130"/>
      <c r="ID130"/>
      <c r="IE130"/>
      <c r="IF130"/>
      <c r="IG130"/>
      <c r="IH130"/>
      <c r="II130"/>
      <c r="IJ130"/>
      <c r="IK130"/>
      <c r="IL130"/>
      <c r="IM130"/>
      <c r="IN130"/>
      <c r="IO130"/>
      <c r="IP130"/>
      <c r="IQ130"/>
      <c r="IR130"/>
      <c r="IS130"/>
      <c r="IT130"/>
      <c r="IU130"/>
      <c r="IV130"/>
    </row>
    <row r="131" spans="1:256" s="45" customFormat="1">
      <c r="AZ131" s="54"/>
      <c r="BB131" s="54"/>
      <c r="BC131" s="54"/>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c r="HB131"/>
      <c r="HC131"/>
      <c r="HD131"/>
      <c r="HE131"/>
      <c r="HF131"/>
      <c r="HG131"/>
      <c r="HH131"/>
      <c r="HI131"/>
      <c r="HJ131"/>
      <c r="HK131"/>
      <c r="HL131"/>
      <c r="HM131"/>
      <c r="HN131"/>
      <c r="HO131"/>
      <c r="HP131"/>
      <c r="HQ131"/>
      <c r="HR131"/>
      <c r="HS131"/>
      <c r="HT131"/>
      <c r="HU131"/>
      <c r="HV131"/>
      <c r="HW131"/>
      <c r="HX131"/>
      <c r="HY131"/>
      <c r="HZ131"/>
      <c r="IA131"/>
      <c r="IB131"/>
      <c r="IC131"/>
      <c r="ID131"/>
      <c r="IE131"/>
      <c r="IF131"/>
      <c r="IG131"/>
      <c r="IH131"/>
      <c r="II131"/>
      <c r="IJ131"/>
      <c r="IK131"/>
      <c r="IL131"/>
      <c r="IM131"/>
      <c r="IN131"/>
      <c r="IO131"/>
      <c r="IP131"/>
      <c r="IQ131"/>
      <c r="IR131"/>
      <c r="IS131"/>
      <c r="IT131"/>
      <c r="IU131"/>
      <c r="IV131"/>
    </row>
    <row r="132" spans="1:256" s="45" customFormat="1">
      <c r="AZ132" s="54"/>
      <c r="BB132" s="54"/>
      <c r="BC132" s="54"/>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c r="HB132"/>
      <c r="HC132"/>
      <c r="HD132"/>
      <c r="HE132"/>
      <c r="HF132"/>
      <c r="HG132"/>
      <c r="HH132"/>
      <c r="HI132"/>
      <c r="HJ132"/>
      <c r="HK132"/>
      <c r="HL132"/>
      <c r="HM132"/>
      <c r="HN132"/>
      <c r="HO132"/>
      <c r="HP132"/>
      <c r="HQ132"/>
      <c r="HR132"/>
      <c r="HS132"/>
      <c r="HT132"/>
      <c r="HU132"/>
      <c r="HV132"/>
      <c r="HW132"/>
      <c r="HX132"/>
      <c r="HY132"/>
      <c r="HZ132"/>
      <c r="IA132"/>
      <c r="IB132"/>
      <c r="IC132"/>
      <c r="ID132"/>
      <c r="IE132"/>
      <c r="IF132"/>
      <c r="IG132"/>
      <c r="IH132"/>
      <c r="II132"/>
      <c r="IJ132"/>
      <c r="IK132"/>
      <c r="IL132"/>
      <c r="IM132"/>
      <c r="IN132"/>
      <c r="IO132"/>
      <c r="IP132"/>
      <c r="IQ132"/>
      <c r="IR132"/>
      <c r="IS132"/>
      <c r="IT132"/>
      <c r="IU132"/>
      <c r="IV132"/>
    </row>
    <row r="133" spans="1:256" s="45" customFormat="1">
      <c r="Q133" s="187"/>
      <c r="AY133" s="187"/>
      <c r="AZ133" s="54"/>
      <c r="BB133" s="54"/>
      <c r="BC133" s="54"/>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c r="HB133"/>
      <c r="HC133"/>
      <c r="HD133"/>
      <c r="HE133"/>
      <c r="HF133"/>
      <c r="HG133"/>
      <c r="HH133"/>
      <c r="HI133"/>
      <c r="HJ133"/>
      <c r="HK133"/>
      <c r="HL133"/>
      <c r="HM133"/>
      <c r="HN133"/>
      <c r="HO133"/>
      <c r="HP133"/>
      <c r="HQ133"/>
      <c r="HR133"/>
      <c r="HS133"/>
      <c r="HT133"/>
      <c r="HU133"/>
      <c r="HV133"/>
      <c r="HW133"/>
      <c r="HX133"/>
      <c r="HY133"/>
      <c r="HZ133"/>
      <c r="IA133"/>
      <c r="IB133"/>
      <c r="IC133"/>
      <c r="ID133"/>
      <c r="IE133"/>
      <c r="IF133"/>
      <c r="IG133"/>
      <c r="IH133"/>
      <c r="II133"/>
      <c r="IJ133"/>
      <c r="IK133"/>
      <c r="IL133"/>
      <c r="IM133"/>
      <c r="IN133"/>
      <c r="IO133"/>
      <c r="IP133"/>
      <c r="IQ133"/>
      <c r="IR133"/>
      <c r="IS133"/>
      <c r="IT133"/>
      <c r="IU133"/>
      <c r="IV133"/>
    </row>
    <row r="134" spans="1:256" s="45" customFormat="1">
      <c r="AZ134" s="54"/>
      <c r="BB134" s="54"/>
      <c r="BC134" s="5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c r="HB134"/>
      <c r="HC134"/>
      <c r="HD134"/>
      <c r="HE134"/>
      <c r="HF134"/>
      <c r="HG134"/>
      <c r="HH134"/>
      <c r="HI134"/>
      <c r="HJ134"/>
      <c r="HK134"/>
      <c r="HL134"/>
      <c r="HM134"/>
      <c r="HN134"/>
      <c r="HO134"/>
      <c r="HP134"/>
      <c r="HQ134"/>
      <c r="HR134"/>
      <c r="HS134"/>
      <c r="HT134"/>
      <c r="HU134"/>
      <c r="HV134"/>
      <c r="HW134"/>
      <c r="HX134"/>
      <c r="HY134"/>
      <c r="HZ134"/>
      <c r="IA134"/>
      <c r="IB134"/>
      <c r="IC134"/>
      <c r="ID134"/>
      <c r="IE134"/>
      <c r="IF134"/>
      <c r="IG134"/>
      <c r="IH134"/>
      <c r="II134"/>
      <c r="IJ134"/>
      <c r="IK134"/>
      <c r="IL134"/>
      <c r="IM134"/>
      <c r="IN134"/>
      <c r="IO134"/>
      <c r="IP134"/>
      <c r="IQ134"/>
      <c r="IR134"/>
      <c r="IS134"/>
      <c r="IT134"/>
      <c r="IU134"/>
      <c r="IV134"/>
    </row>
    <row r="135" spans="1:256" s="45" customFormat="1">
      <c r="AZ135" s="54"/>
      <c r="BB135" s="54"/>
      <c r="BC135" s="54"/>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c r="HB135"/>
      <c r="HC135"/>
      <c r="HD135"/>
      <c r="HE135"/>
      <c r="HF135"/>
      <c r="HG135"/>
      <c r="HH135"/>
      <c r="HI135"/>
      <c r="HJ135"/>
      <c r="HK135"/>
      <c r="HL135"/>
      <c r="HM135"/>
      <c r="HN135"/>
      <c r="HO135"/>
      <c r="HP135"/>
      <c r="HQ135"/>
      <c r="HR135"/>
      <c r="HS135"/>
      <c r="HT135"/>
      <c r="HU135"/>
      <c r="HV135"/>
      <c r="HW135"/>
      <c r="HX135"/>
      <c r="HY135"/>
      <c r="HZ135"/>
      <c r="IA135"/>
      <c r="IB135"/>
      <c r="IC135"/>
      <c r="ID135"/>
      <c r="IE135"/>
      <c r="IF135"/>
      <c r="IG135"/>
      <c r="IH135"/>
      <c r="II135"/>
      <c r="IJ135"/>
      <c r="IK135"/>
      <c r="IL135"/>
      <c r="IM135"/>
      <c r="IN135"/>
      <c r="IO135"/>
      <c r="IP135"/>
      <c r="IQ135"/>
      <c r="IR135"/>
      <c r="IS135"/>
      <c r="IT135"/>
      <c r="IU135"/>
      <c r="IV135"/>
    </row>
    <row r="136" spans="1:256" ht="13.15">
      <c r="A136" s="45"/>
      <c r="B136" s="2410"/>
      <c r="C136" s="2411" t="s">
        <v>333</v>
      </c>
      <c r="D136" s="2412"/>
      <c r="E136" s="2412"/>
      <c r="F136" s="2412"/>
      <c r="G136" s="2412"/>
      <c r="H136" s="2412"/>
      <c r="I136" s="2547"/>
      <c r="J136" s="2547"/>
      <c r="K136" s="1752"/>
      <c r="L136" s="54"/>
      <c r="M136" s="54"/>
      <c r="N136" s="54"/>
      <c r="O136" s="54"/>
      <c r="P136" s="45"/>
      <c r="Q136" s="45"/>
      <c r="R136" s="45"/>
      <c r="S136" s="188"/>
      <c r="T136" s="56" t="s">
        <v>333</v>
      </c>
      <c r="U136" s="57"/>
      <c r="V136" s="100"/>
      <c r="W136" s="100"/>
      <c r="X136" s="100"/>
      <c r="Y136" s="100"/>
      <c r="Z136" s="218"/>
      <c r="AA136" s="218"/>
      <c r="AB136" s="219"/>
      <c r="AC136" s="45"/>
      <c r="AD136" s="45"/>
      <c r="AE136" s="45"/>
      <c r="AF136" s="45"/>
      <c r="AG136" s="45"/>
      <c r="AH136" s="45"/>
      <c r="AI136" s="45"/>
      <c r="AJ136" s="188"/>
      <c r="AK136" s="56" t="s">
        <v>333</v>
      </c>
      <c r="AL136" s="57"/>
      <c r="AM136" s="100"/>
      <c r="AN136" s="100"/>
      <c r="AO136" s="100"/>
      <c r="AP136" s="100"/>
      <c r="AQ136" s="218"/>
      <c r="AR136" s="218"/>
      <c r="AS136" s="219"/>
      <c r="AT136" s="54"/>
      <c r="AU136" s="54"/>
      <c r="AV136" s="54"/>
      <c r="AW136" s="54"/>
      <c r="AX136" s="45"/>
      <c r="AY136" s="45"/>
      <c r="AZ136" s="54"/>
      <c r="BA136" s="45"/>
      <c r="BB136" s="54"/>
      <c r="BC136" s="54"/>
    </row>
    <row r="137" spans="1:256" ht="13.15">
      <c r="A137" s="45"/>
      <c r="B137" s="1720"/>
      <c r="C137" s="3888" t="s">
        <v>437</v>
      </c>
      <c r="D137" s="3888"/>
      <c r="E137" s="3888"/>
      <c r="F137" s="3888"/>
      <c r="G137" s="3888"/>
      <c r="H137" s="3888"/>
      <c r="I137" s="3888"/>
      <c r="J137" s="3888"/>
      <c r="K137" s="1754"/>
      <c r="L137" s="54"/>
      <c r="M137" s="54"/>
      <c r="N137" s="54"/>
      <c r="O137" s="54"/>
      <c r="P137" s="45"/>
      <c r="Q137" s="45"/>
      <c r="R137" s="45"/>
      <c r="S137" s="190"/>
      <c r="T137" s="3889" t="s">
        <v>437</v>
      </c>
      <c r="U137" s="3889"/>
      <c r="V137" s="3889"/>
      <c r="W137" s="3889"/>
      <c r="X137" s="3889"/>
      <c r="Y137" s="3889"/>
      <c r="Z137" s="3889"/>
      <c r="AA137" s="3889"/>
      <c r="AB137" s="221"/>
      <c r="AC137" s="45"/>
      <c r="AD137" s="45"/>
      <c r="AE137" s="45"/>
      <c r="AF137" s="45"/>
      <c r="AG137" s="45"/>
      <c r="AH137" s="45"/>
      <c r="AI137" s="45"/>
      <c r="AJ137" s="190"/>
      <c r="AK137" s="3889" t="s">
        <v>437</v>
      </c>
      <c r="AL137" s="3889"/>
      <c r="AM137" s="3889"/>
      <c r="AN137" s="3889"/>
      <c r="AO137" s="3889"/>
      <c r="AP137" s="3889"/>
      <c r="AQ137" s="3889"/>
      <c r="AR137" s="3889"/>
      <c r="AS137" s="221"/>
      <c r="AT137" s="54"/>
      <c r="AU137" s="54"/>
      <c r="AV137" s="54"/>
      <c r="AW137" s="54"/>
      <c r="AX137" s="45"/>
      <c r="AY137" s="45"/>
      <c r="AZ137" s="54"/>
      <c r="BA137" s="45"/>
      <c r="BB137" s="54"/>
      <c r="BC137" s="54"/>
    </row>
    <row r="138" spans="1:256" ht="13.15">
      <c r="A138" s="45"/>
      <c r="B138" s="1720"/>
      <c r="C138" s="3912" t="s">
        <v>1256</v>
      </c>
      <c r="D138" s="3912"/>
      <c r="E138" s="3912"/>
      <c r="F138" s="3912"/>
      <c r="G138" s="3912"/>
      <c r="H138" s="3912"/>
      <c r="I138" s="3912"/>
      <c r="J138" s="3912"/>
      <c r="K138" s="1754"/>
      <c r="L138" s="54"/>
      <c r="M138" s="54"/>
      <c r="N138" s="54"/>
      <c r="O138" s="54"/>
      <c r="P138" s="45"/>
      <c r="Q138" s="45"/>
      <c r="R138" s="45"/>
      <c r="S138" s="190"/>
      <c r="T138" s="3913" t="s">
        <v>1256</v>
      </c>
      <c r="U138" s="3913"/>
      <c r="V138" s="3913"/>
      <c r="W138" s="3913"/>
      <c r="X138" s="3913"/>
      <c r="Y138" s="3913"/>
      <c r="Z138" s="3913"/>
      <c r="AA138" s="3913"/>
      <c r="AB138" s="221"/>
      <c r="AC138" s="45"/>
      <c r="AD138" s="45"/>
      <c r="AE138" s="45"/>
      <c r="AF138" s="45"/>
      <c r="AG138" s="45"/>
      <c r="AH138" s="45"/>
      <c r="AI138" s="45"/>
      <c r="AJ138" s="190"/>
      <c r="AK138" s="3913" t="s">
        <v>1256</v>
      </c>
      <c r="AL138" s="3913"/>
      <c r="AM138" s="3913"/>
      <c r="AN138" s="3913"/>
      <c r="AO138" s="3913"/>
      <c r="AP138" s="3913"/>
      <c r="AQ138" s="3913"/>
      <c r="AR138" s="3913"/>
      <c r="AS138" s="221"/>
      <c r="AT138" s="54"/>
      <c r="AU138" s="54"/>
      <c r="AV138" s="54"/>
      <c r="AW138" s="54"/>
      <c r="AX138" s="45"/>
      <c r="AY138" s="45"/>
      <c r="AZ138" s="54"/>
      <c r="BA138" s="45"/>
      <c r="BB138" s="54"/>
      <c r="BC138" s="54"/>
    </row>
    <row r="139" spans="1:256" ht="15">
      <c r="A139" s="45"/>
      <c r="B139" s="1720"/>
      <c r="C139" s="2418" t="str">
        <f>"Country: " &amp;UPPER(Country)</f>
        <v>Country: SWEDEN</v>
      </c>
      <c r="D139" s="2548"/>
      <c r="E139" s="2423"/>
      <c r="F139" s="2423"/>
      <c r="G139" s="2423"/>
      <c r="H139" s="2420"/>
      <c r="I139" s="2549"/>
      <c r="J139" s="2549"/>
      <c r="K139" s="1754"/>
      <c r="L139" s="54"/>
      <c r="M139" s="54"/>
      <c r="N139" s="54"/>
      <c r="O139" s="54"/>
      <c r="P139" s="45"/>
      <c r="Q139" s="45"/>
      <c r="R139" s="45"/>
      <c r="S139" s="190"/>
      <c r="T139" s="63" t="str">
        <f>"Country: " &amp;UPPER(Country)</f>
        <v>Country: SWEDEN</v>
      </c>
      <c r="U139" s="222"/>
      <c r="V139" s="68"/>
      <c r="W139" s="68"/>
      <c r="X139" s="2066" t="s">
        <v>1553</v>
      </c>
      <c r="Y139" s="65"/>
      <c r="Z139" s="220"/>
      <c r="AA139" s="220"/>
      <c r="AB139" s="221"/>
      <c r="AC139" s="45"/>
      <c r="AD139" s="45"/>
      <c r="AE139" s="45"/>
      <c r="AF139" s="45"/>
      <c r="AG139" s="45"/>
      <c r="AH139" s="45"/>
      <c r="AI139" s="45"/>
      <c r="AJ139" s="190"/>
      <c r="AK139" s="63" t="str">
        <f>"Country: " &amp;UPPER(Country)</f>
        <v>Country: SWEDEN</v>
      </c>
      <c r="AL139" s="222"/>
      <c r="AM139" s="68"/>
      <c r="AN139" s="68"/>
      <c r="AO139" s="68"/>
      <c r="AP139" s="65"/>
      <c r="AQ139" s="220"/>
      <c r="AR139" s="220"/>
      <c r="AS139" s="221"/>
      <c r="AT139" s="54"/>
      <c r="AU139" s="54"/>
      <c r="AV139" s="54"/>
      <c r="AW139" s="54"/>
      <c r="AX139" s="45"/>
      <c r="AY139" s="45"/>
      <c r="AZ139" s="54"/>
      <c r="BA139" s="45"/>
      <c r="BB139" s="54"/>
      <c r="BC139" s="54"/>
    </row>
    <row r="140" spans="1:256" ht="15">
      <c r="A140" s="45"/>
      <c r="B140" s="1720"/>
      <c r="C140" s="2418" t="str">
        <f>"Currency unit: " &amp; Currency</f>
        <v>Currency unit: bn SEK</v>
      </c>
      <c r="D140" s="2548"/>
      <c r="E140" s="2423"/>
      <c r="F140" s="2423"/>
      <c r="G140" s="2423"/>
      <c r="H140" s="2420"/>
      <c r="I140" s="2549"/>
      <c r="J140" s="2549"/>
      <c r="K140" s="1754"/>
      <c r="L140" s="54"/>
      <c r="M140" s="54"/>
      <c r="N140" s="54"/>
      <c r="O140" s="54"/>
      <c r="P140" s="45"/>
      <c r="Q140" s="45"/>
      <c r="R140" s="45"/>
      <c r="S140" s="190"/>
      <c r="T140" s="63" t="str">
        <f>"Currency unit: " &amp; Currency</f>
        <v>Currency unit: bn SEK</v>
      </c>
      <c r="U140" s="222"/>
      <c r="V140" s="68"/>
      <c r="W140" s="68"/>
      <c r="X140" s="2066" t="str">
        <f>$T$4</f>
        <v>final storage SF18</v>
      </c>
      <c r="Y140" s="65"/>
      <c r="Z140" s="220"/>
      <c r="AA140" s="220"/>
      <c r="AB140" s="221"/>
      <c r="AC140" s="45"/>
      <c r="AD140" s="45"/>
      <c r="AE140" s="45"/>
      <c r="AF140" s="45"/>
      <c r="AG140" s="45"/>
      <c r="AH140" s="45"/>
      <c r="AI140" s="45"/>
      <c r="AJ140" s="190"/>
      <c r="AK140" s="63" t="str">
        <f>"Currency unit: " &amp; Currency</f>
        <v>Currency unit: bn SEK</v>
      </c>
      <c r="AL140" s="222"/>
      <c r="AM140" s="68"/>
      <c r="AN140" s="68"/>
      <c r="AO140" s="68"/>
      <c r="AP140" s="65"/>
      <c r="AQ140" s="220"/>
      <c r="AR140" s="220"/>
      <c r="AS140" s="221"/>
      <c r="AT140" s="54"/>
      <c r="AU140" s="54"/>
      <c r="AV140" s="54"/>
      <c r="AW140" s="54"/>
      <c r="AX140" s="45"/>
      <c r="AY140" s="45"/>
      <c r="AZ140" s="54"/>
      <c r="BA140" s="45"/>
      <c r="BB140" s="54"/>
      <c r="BC140" s="54"/>
    </row>
    <row r="141" spans="1:256">
      <c r="A141" s="45"/>
      <c r="B141" s="1720"/>
      <c r="C141" s="2424" t="s">
        <v>576</v>
      </c>
      <c r="D141" s="2424"/>
      <c r="E141" s="2423"/>
      <c r="F141" s="2423"/>
      <c r="G141" s="2423"/>
      <c r="H141" s="2420"/>
      <c r="I141" s="2549"/>
      <c r="J141" s="2549"/>
      <c r="K141" s="1754"/>
      <c r="L141" s="54"/>
      <c r="M141" s="54"/>
      <c r="N141" s="54"/>
      <c r="O141" s="54"/>
      <c r="P141" s="54"/>
      <c r="Q141" s="54"/>
      <c r="R141" s="54"/>
      <c r="S141" s="190"/>
      <c r="T141" s="69" t="s">
        <v>576</v>
      </c>
      <c r="U141" s="69"/>
      <c r="V141" s="68"/>
      <c r="W141" s="68"/>
      <c r="X141" s="68"/>
      <c r="Y141" s="65"/>
      <c r="Z141" s="220"/>
      <c r="AA141" s="220"/>
      <c r="AB141" s="221"/>
      <c r="AC141" s="45"/>
      <c r="AD141" s="45"/>
      <c r="AE141" s="45"/>
      <c r="AF141" s="45"/>
      <c r="AG141" s="45"/>
      <c r="AH141" s="45"/>
      <c r="AI141" s="45"/>
      <c r="AJ141" s="190"/>
      <c r="AK141" s="69" t="s">
        <v>576</v>
      </c>
      <c r="AL141" s="69"/>
      <c r="AM141" s="68"/>
      <c r="AN141" s="68"/>
      <c r="AO141" s="68"/>
      <c r="AP141" s="65"/>
      <c r="AQ141" s="220"/>
      <c r="AR141" s="220"/>
      <c r="AS141" s="221"/>
      <c r="AT141" s="54"/>
      <c r="AU141" s="54"/>
      <c r="AV141" s="54"/>
      <c r="AW141" s="54"/>
      <c r="AX141" s="54"/>
      <c r="AY141" s="54"/>
      <c r="AZ141" s="54"/>
      <c r="BA141" s="45"/>
      <c r="BB141" s="54"/>
      <c r="BC141" s="54"/>
    </row>
    <row r="142" spans="1:256" ht="13.15" thickBot="1">
      <c r="A142" s="45"/>
      <c r="B142" s="1720"/>
      <c r="C142" s="2423"/>
      <c r="D142" s="2420"/>
      <c r="E142" s="2423"/>
      <c r="F142" s="2423"/>
      <c r="G142" s="2423"/>
      <c r="H142" s="2550"/>
      <c r="I142" s="3878">
        <f ca="1">NOW()</f>
        <v>43493.476067824071</v>
      </c>
      <c r="J142" s="3878"/>
      <c r="K142" s="1754"/>
      <c r="L142" s="54"/>
      <c r="M142" s="54"/>
      <c r="N142" s="54"/>
      <c r="O142" s="54"/>
      <c r="P142" s="54"/>
      <c r="Q142" s="54"/>
      <c r="R142" s="54"/>
      <c r="S142" s="190"/>
      <c r="T142" s="68"/>
      <c r="U142" s="65"/>
      <c r="V142" s="68"/>
      <c r="W142" s="68"/>
      <c r="X142" s="68"/>
      <c r="Y142" s="153"/>
      <c r="Z142" s="3879">
        <f ca="1">NOW()</f>
        <v>43493.476067824071</v>
      </c>
      <c r="AA142" s="3879"/>
      <c r="AB142" s="221"/>
      <c r="AC142" s="45"/>
      <c r="AD142" s="45"/>
      <c r="AE142" s="45"/>
      <c r="AF142" s="45"/>
      <c r="AG142" s="45"/>
      <c r="AH142" s="45"/>
      <c r="AI142" s="45"/>
      <c r="AJ142" s="190"/>
      <c r="AK142" s="68"/>
      <c r="AL142" s="65"/>
      <c r="AM142" s="68"/>
      <c r="AN142" s="68"/>
      <c r="AO142" s="68"/>
      <c r="AP142" s="153"/>
      <c r="AQ142" s="3879">
        <f ca="1">NOW()</f>
        <v>43493.476067824071</v>
      </c>
      <c r="AR142" s="3879"/>
      <c r="AS142" s="221"/>
      <c r="AT142" s="54"/>
      <c r="AU142" s="54"/>
      <c r="AV142" s="54"/>
      <c r="AW142" s="54"/>
      <c r="AX142" s="54"/>
      <c r="AY142" s="54"/>
      <c r="AZ142" s="54"/>
      <c r="BA142" s="45"/>
      <c r="BB142" s="54"/>
      <c r="BC142" s="54"/>
    </row>
    <row r="143" spans="1:256" ht="13.15">
      <c r="A143" s="45"/>
      <c r="B143" s="1720"/>
      <c r="C143" s="2551"/>
      <c r="D143" s="2552"/>
      <c r="E143" s="2553" t="s">
        <v>576</v>
      </c>
      <c r="F143" s="3897">
        <f>E16</f>
        <v>2017</v>
      </c>
      <c r="G143" s="3898"/>
      <c r="H143" s="2474">
        <f>F143+1</f>
        <v>2018</v>
      </c>
      <c r="I143" s="2474">
        <f>H143+1</f>
        <v>2019</v>
      </c>
      <c r="J143" s="2514">
        <f>I143+1</f>
        <v>2020</v>
      </c>
      <c r="K143" s="2515"/>
      <c r="L143" s="228"/>
      <c r="M143" s="54"/>
      <c r="N143" s="54"/>
      <c r="O143" s="54"/>
      <c r="P143" s="54"/>
      <c r="Q143" s="54"/>
      <c r="R143" s="54"/>
      <c r="S143" s="190"/>
      <c r="T143" s="223"/>
      <c r="U143" s="224"/>
      <c r="V143" s="225" t="s">
        <v>576</v>
      </c>
      <c r="W143" s="3927">
        <f>Last_forecast_year-3</f>
        <v>2017</v>
      </c>
      <c r="X143" s="3928"/>
      <c r="Y143" s="226">
        <f>W143+1</f>
        <v>2018</v>
      </c>
      <c r="Z143" s="226">
        <f>Y143+1</f>
        <v>2019</v>
      </c>
      <c r="AA143" s="2071">
        <f>Z143+1</f>
        <v>2020</v>
      </c>
      <c r="AB143" s="227"/>
      <c r="AC143" s="45"/>
      <c r="AD143" s="45"/>
      <c r="AE143" s="45"/>
      <c r="AF143" s="45"/>
      <c r="AG143" s="45"/>
      <c r="AH143" s="45"/>
      <c r="AI143" s="45"/>
      <c r="AJ143" s="190"/>
      <c r="AK143" s="223"/>
      <c r="AL143" s="224"/>
      <c r="AM143" s="225" t="s">
        <v>576</v>
      </c>
      <c r="AN143" s="3927">
        <f>Last_forecast_year - 3</f>
        <v>2017</v>
      </c>
      <c r="AO143" s="3928"/>
      <c r="AP143" s="226">
        <f>AN143+1</f>
        <v>2018</v>
      </c>
      <c r="AQ143" s="226">
        <f>AP143+1</f>
        <v>2019</v>
      </c>
      <c r="AR143" s="226">
        <f>AQ143+1</f>
        <v>2020</v>
      </c>
      <c r="AS143" s="227"/>
      <c r="AT143" s="228"/>
      <c r="AU143" s="54"/>
      <c r="AV143" s="54"/>
      <c r="AW143" s="54"/>
      <c r="AX143" s="54"/>
      <c r="AY143" s="54"/>
      <c r="AZ143" s="54"/>
      <c r="BA143" s="45"/>
      <c r="BB143" s="54"/>
      <c r="BC143" s="54"/>
    </row>
    <row r="144" spans="1:256" ht="13.15">
      <c r="A144" s="45"/>
      <c r="B144" s="1720"/>
      <c r="C144" s="2554"/>
      <c r="D144" s="2421"/>
      <c r="E144" s="2555" t="s">
        <v>1794</v>
      </c>
      <c r="F144" s="2556" t="s">
        <v>577</v>
      </c>
      <c r="G144" s="3925" t="s">
        <v>1795</v>
      </c>
      <c r="H144" s="3891"/>
      <c r="I144" s="3891"/>
      <c r="J144" s="3892"/>
      <c r="K144" s="2432"/>
      <c r="L144" s="147"/>
      <c r="M144" s="54"/>
      <c r="N144" s="54"/>
      <c r="O144" s="54"/>
      <c r="P144" s="54"/>
      <c r="Q144" s="54"/>
      <c r="R144" s="54"/>
      <c r="S144" s="190"/>
      <c r="T144" s="229"/>
      <c r="U144" s="230"/>
      <c r="V144" s="231" t="s">
        <v>1794</v>
      </c>
      <c r="W144" s="1779" t="s">
        <v>577</v>
      </c>
      <c r="X144" s="3926" t="s">
        <v>1795</v>
      </c>
      <c r="Y144" s="3894"/>
      <c r="Z144" s="3894"/>
      <c r="AA144" s="3895"/>
      <c r="AB144" s="77"/>
      <c r="AC144" s="45"/>
      <c r="AD144" s="45"/>
      <c r="AE144" s="45"/>
      <c r="AF144" s="45"/>
      <c r="AG144" s="45"/>
      <c r="AH144" s="45"/>
      <c r="AI144" s="45"/>
      <c r="AJ144" s="190"/>
      <c r="AK144" s="229"/>
      <c r="AL144" s="230"/>
      <c r="AM144" s="231" t="s">
        <v>1794</v>
      </c>
      <c r="AN144" s="1779" t="s">
        <v>577</v>
      </c>
      <c r="AO144" s="3926" t="s">
        <v>1795</v>
      </c>
      <c r="AP144" s="3894"/>
      <c r="AQ144" s="3894"/>
      <c r="AR144" s="3895"/>
      <c r="AS144" s="77"/>
      <c r="AT144" s="147"/>
      <c r="AU144" s="54"/>
      <c r="AV144" s="54"/>
      <c r="AW144" s="54"/>
      <c r="AX144" s="54"/>
      <c r="AY144" s="54"/>
      <c r="AZ144" s="54"/>
      <c r="BA144" s="45"/>
      <c r="BB144" s="54"/>
      <c r="BC144" s="54"/>
    </row>
    <row r="145" spans="1:55">
      <c r="A145" s="45"/>
      <c r="B145" s="1720"/>
      <c r="C145" s="2557" t="s">
        <v>334</v>
      </c>
      <c r="D145" s="2558"/>
      <c r="E145" s="2559"/>
      <c r="F145" s="2560"/>
      <c r="G145" s="2561"/>
      <c r="H145" s="2562"/>
      <c r="I145" s="2563"/>
      <c r="J145" s="2564"/>
      <c r="K145" s="2520"/>
      <c r="L145" s="240"/>
      <c r="M145" s="54"/>
      <c r="N145" s="54"/>
      <c r="O145" s="54"/>
      <c r="P145" s="54"/>
      <c r="Q145" s="54"/>
      <c r="R145" s="54"/>
      <c r="S145" s="190"/>
      <c r="T145" s="232" t="s">
        <v>334</v>
      </c>
      <c r="U145" s="233"/>
      <c r="V145" s="234"/>
      <c r="W145" s="235"/>
      <c r="X145" s="236"/>
      <c r="Y145" s="237"/>
      <c r="Z145" s="238"/>
      <c r="AA145" s="239"/>
      <c r="AB145" s="199"/>
      <c r="AC145" s="45"/>
      <c r="AD145" s="45"/>
      <c r="AE145" s="45"/>
      <c r="AF145" s="45"/>
      <c r="AG145" s="45"/>
      <c r="AH145" s="45"/>
      <c r="AI145" s="45"/>
      <c r="AJ145" s="190"/>
      <c r="AK145" s="232" t="s">
        <v>334</v>
      </c>
      <c r="AL145" s="233"/>
      <c r="AM145" s="234"/>
      <c r="AN145" s="235"/>
      <c r="AO145" s="236"/>
      <c r="AP145" s="237"/>
      <c r="AQ145" s="238"/>
      <c r="AR145" s="239"/>
      <c r="AS145" s="199"/>
      <c r="AT145" s="240"/>
      <c r="AU145" s="54"/>
      <c r="AV145" s="54"/>
      <c r="AW145" s="54"/>
      <c r="AX145" s="54"/>
      <c r="AY145" s="54"/>
      <c r="AZ145" s="54"/>
      <c r="BA145" s="45"/>
      <c r="BB145" s="54"/>
      <c r="BC145" s="54"/>
    </row>
    <row r="146" spans="1:55">
      <c r="A146" s="45"/>
      <c r="B146" s="1720"/>
      <c r="C146" s="2565" t="s">
        <v>335</v>
      </c>
      <c r="D146" s="2566"/>
      <c r="E146" s="2567" t="s">
        <v>336</v>
      </c>
      <c r="F146" s="3132" t="s">
        <v>1328</v>
      </c>
      <c r="G146" s="2569">
        <f ca="1">((Transfer!D296/Transfer!C296)-1)*100</f>
        <v>5.4327911883441882</v>
      </c>
      <c r="H146" s="2570">
        <f ca="1">((Transfer!E296/Transfer!D296)-1)*100</f>
        <v>4.0999999999999925</v>
      </c>
      <c r="I146" s="2568">
        <f ca="1">((Transfer!F296/Transfer!E296)-1)*100</f>
        <v>3.1999999999999806</v>
      </c>
      <c r="J146" s="2571">
        <f ca="1">((Transfer!G296/Transfer!F296)-1)*100</f>
        <v>2.4999999999999911</v>
      </c>
      <c r="K146" s="2437"/>
      <c r="L146" s="150"/>
      <c r="M146" s="54"/>
      <c r="N146" s="54"/>
      <c r="O146" s="54"/>
      <c r="P146" s="54"/>
      <c r="Q146" s="54"/>
      <c r="R146" s="54"/>
      <c r="S146" s="190"/>
      <c r="T146" s="229" t="s">
        <v>335</v>
      </c>
      <c r="U146" s="230"/>
      <c r="V146" s="241" t="s">
        <v>336</v>
      </c>
      <c r="W146" s="242"/>
      <c r="X146" s="242">
        <f t="shared" ref="X146:AA147" ca="1" si="10">ROUND(G146,1)-ROUND(AO146,1)</f>
        <v>-2.5999999999999996</v>
      </c>
      <c r="Y146" s="242">
        <f t="shared" ca="1" si="10"/>
        <v>0.19999999999999973</v>
      </c>
      <c r="Z146" s="242">
        <f t="shared" ca="1" si="10"/>
        <v>-0.29999999999999982</v>
      </c>
      <c r="AA146" s="93">
        <f t="shared" ca="1" si="10"/>
        <v>-0.29999999999999982</v>
      </c>
      <c r="AB146" s="82"/>
      <c r="AC146" s="45"/>
      <c r="AD146" s="45"/>
      <c r="AE146" s="45"/>
      <c r="AF146" s="45"/>
      <c r="AG146" s="45"/>
      <c r="AH146" s="45"/>
      <c r="AI146" s="45"/>
      <c r="AJ146" s="190"/>
      <c r="AK146" s="2227" t="s">
        <v>335</v>
      </c>
      <c r="AL146" s="2228"/>
      <c r="AM146" s="2229" t="s">
        <v>336</v>
      </c>
      <c r="AN146" s="3132" t="s">
        <v>1328</v>
      </c>
      <c r="AO146" s="2230">
        <f>((Transfer!AD296/Transfer!AC296)-1)*100</f>
        <v>7.9703318847265114</v>
      </c>
      <c r="AP146" s="2205">
        <f>((Transfer!AE296/Transfer!AD296)-1)*100</f>
        <v>3.9376101574111422</v>
      </c>
      <c r="AQ146" s="2204">
        <f>((Transfer!AF296/Transfer!AE296)-1)*100</f>
        <v>3.499999999999992</v>
      </c>
      <c r="AR146" s="2206">
        <f>((Transfer!AG296/Transfer!AF296)-1)*100</f>
        <v>2.8000000000000025</v>
      </c>
      <c r="AS146" s="82"/>
      <c r="AT146" s="150"/>
      <c r="AU146" s="54"/>
      <c r="AV146" s="54"/>
      <c r="AW146" s="54"/>
      <c r="AX146" s="54"/>
      <c r="AY146" s="54"/>
      <c r="AZ146" s="54"/>
      <c r="BA146" s="519" t="s">
        <v>239</v>
      </c>
      <c r="BB146" s="54"/>
      <c r="BC146" s="54"/>
    </row>
    <row r="147" spans="1:55">
      <c r="A147" s="45"/>
      <c r="B147" s="1720"/>
      <c r="C147" s="2565" t="s">
        <v>337</v>
      </c>
      <c r="D147" s="2566"/>
      <c r="E147" s="2567" t="s">
        <v>338</v>
      </c>
      <c r="F147" s="3132" t="s">
        <v>1328</v>
      </c>
      <c r="G147" s="2457">
        <f ca="1">+Transfer!D322/Transfer!C322*100-100</f>
        <v>6.1945019271952333</v>
      </c>
      <c r="H147" s="2570">
        <f ca="1">+Transfer!E322/Transfer!D322*100-100</f>
        <v>3.4130775687229544</v>
      </c>
      <c r="I147" s="2568">
        <f ca="1">+Transfer!F322/Transfer!E322*100-100</f>
        <v>1.7103867356967157</v>
      </c>
      <c r="J147" s="2571">
        <f ca="1">+Transfer!G322/Transfer!F322*100-100</f>
        <v>2.0624288227757006</v>
      </c>
      <c r="K147" s="2437"/>
      <c r="L147" s="150"/>
      <c r="M147" s="54"/>
      <c r="N147" s="54"/>
      <c r="O147" s="54"/>
      <c r="P147" s="54"/>
      <c r="Q147" s="54"/>
      <c r="R147" s="54"/>
      <c r="S147" s="190"/>
      <c r="T147" s="229" t="s">
        <v>337</v>
      </c>
      <c r="U147" s="230"/>
      <c r="V147" s="241" t="s">
        <v>338</v>
      </c>
      <c r="W147" s="242"/>
      <c r="X147" s="242">
        <f t="shared" ca="1" si="10"/>
        <v>1.1000000000000005</v>
      </c>
      <c r="Y147" s="242">
        <f t="shared" ca="1" si="10"/>
        <v>-3.1</v>
      </c>
      <c r="Z147" s="242">
        <f t="shared" ca="1" si="10"/>
        <v>-2</v>
      </c>
      <c r="AA147" s="93">
        <f t="shared" ca="1" si="10"/>
        <v>0.40000000000000013</v>
      </c>
      <c r="AB147" s="82"/>
      <c r="AC147" s="45"/>
      <c r="AD147" s="45"/>
      <c r="AE147" s="45"/>
      <c r="AF147" s="45"/>
      <c r="AG147" s="45"/>
      <c r="AH147" s="45"/>
      <c r="AI147" s="45"/>
      <c r="AJ147" s="190"/>
      <c r="AK147" s="2227" t="s">
        <v>337</v>
      </c>
      <c r="AL147" s="2228"/>
      <c r="AM147" s="2229" t="s">
        <v>338</v>
      </c>
      <c r="AN147" s="3132" t="s">
        <v>1328</v>
      </c>
      <c r="AO147" s="2174">
        <f>+Transfer!AD322/Transfer!AC322*100-100</f>
        <v>5.1283215466880137</v>
      </c>
      <c r="AP147" s="2205">
        <f>+Transfer!AE322/Transfer!AD322*100-100</f>
        <v>6.5068305501079919</v>
      </c>
      <c r="AQ147" s="2204">
        <f>+Transfer!AF322/Transfer!AE322*100-100</f>
        <v>3.7027609481009733</v>
      </c>
      <c r="AR147" s="2206">
        <f>+Transfer!AG322/Transfer!AF322*100-100</f>
        <v>1.7364102638544097</v>
      </c>
      <c r="AS147" s="82"/>
      <c r="AT147" s="150"/>
      <c r="AU147" s="54"/>
      <c r="AV147" s="54"/>
      <c r="AW147" s="54"/>
      <c r="AX147" s="54"/>
      <c r="AY147" s="54"/>
      <c r="AZ147" s="54"/>
      <c r="BA147" s="1732" t="s">
        <v>240</v>
      </c>
      <c r="BB147" s="54"/>
      <c r="BC147" s="54"/>
    </row>
    <row r="148" spans="1:55">
      <c r="A148" s="45"/>
      <c r="B148" s="1720"/>
      <c r="C148" s="2575" t="s">
        <v>1361</v>
      </c>
      <c r="D148" s="2576"/>
      <c r="E148" s="2577"/>
      <c r="F148" s="2578"/>
      <c r="G148" s="2579"/>
      <c r="H148" s="2580"/>
      <c r="I148" s="2578"/>
      <c r="J148" s="2581"/>
      <c r="K148" s="2520"/>
      <c r="L148" s="54"/>
      <c r="M148" s="54"/>
      <c r="N148" s="54"/>
      <c r="O148" s="54"/>
      <c r="P148" s="54"/>
      <c r="Q148" s="54"/>
      <c r="R148" s="54"/>
      <c r="S148" s="190"/>
      <c r="T148" s="246" t="s">
        <v>1361</v>
      </c>
      <c r="U148" s="247"/>
      <c r="V148" s="241" t="s">
        <v>1362</v>
      </c>
      <c r="W148" s="248"/>
      <c r="X148" s="141"/>
      <c r="Y148" s="245"/>
      <c r="Z148" s="248"/>
      <c r="AA148" s="320"/>
      <c r="AB148" s="199"/>
      <c r="AC148" s="45"/>
      <c r="AD148" s="45"/>
      <c r="AE148" s="45"/>
      <c r="AF148" s="45"/>
      <c r="AG148" s="45"/>
      <c r="AH148" s="45"/>
      <c r="AI148" s="45"/>
      <c r="AJ148" s="190"/>
      <c r="AK148" s="246" t="s">
        <v>1361</v>
      </c>
      <c r="AL148" s="247"/>
      <c r="AM148" s="241"/>
      <c r="AN148" s="2578"/>
      <c r="AO148" s="145"/>
      <c r="AP148" s="450"/>
      <c r="AQ148" s="451"/>
      <c r="AR148" s="452"/>
      <c r="AS148" s="199"/>
      <c r="AT148" s="54"/>
      <c r="AU148" s="54"/>
      <c r="AV148" s="54"/>
      <c r="AW148" s="54"/>
      <c r="AX148" s="54"/>
      <c r="AY148" s="54"/>
      <c r="AZ148" s="54"/>
      <c r="BA148" s="2046"/>
      <c r="BB148" s="54"/>
      <c r="BC148" s="54"/>
    </row>
    <row r="149" spans="1:55">
      <c r="A149" s="45"/>
      <c r="B149" s="1720"/>
      <c r="C149" s="2565" t="s">
        <v>1363</v>
      </c>
      <c r="D149" s="2566"/>
      <c r="E149" s="2567" t="s">
        <v>1405</v>
      </c>
      <c r="F149" s="3132" t="s">
        <v>1328</v>
      </c>
      <c r="G149" s="2457">
        <f ca="1">((Transfer!D287/Transfer!C287)-1)*100</f>
        <v>8.0894223071485527</v>
      </c>
      <c r="H149" s="2570">
        <f ca="1">((Transfer!E287/Transfer!D287)-1)*100</f>
        <v>2.6138064300629704</v>
      </c>
      <c r="I149" s="2568">
        <f ca="1">((Transfer!F287/Transfer!E287)-1)*100</f>
        <v>-0.66595556772366393</v>
      </c>
      <c r="J149" s="2571">
        <f ca="1">((Transfer!G287/Transfer!F287)-1)*100</f>
        <v>0.76922017971312595</v>
      </c>
      <c r="K149" s="2437"/>
      <c r="L149" s="54"/>
      <c r="M149" s="54"/>
      <c r="N149" s="54"/>
      <c r="O149" s="54"/>
      <c r="P149" s="54"/>
      <c r="Q149" s="54"/>
      <c r="R149" s="54"/>
      <c r="S149" s="190"/>
      <c r="T149" s="229" t="s">
        <v>1363</v>
      </c>
      <c r="U149" s="247"/>
      <c r="V149" s="241" t="s">
        <v>1405</v>
      </c>
      <c r="W149" s="242"/>
      <c r="X149" s="242">
        <f t="shared" ref="X149:AA154" ca="1" si="11">ROUND(G149,1)-ROUND(AO149,1)</f>
        <v>-1</v>
      </c>
      <c r="Y149" s="242">
        <f t="shared" ca="1" si="11"/>
        <v>-6.3000000000000007</v>
      </c>
      <c r="Z149" s="242">
        <f t="shared" ca="1" si="11"/>
        <v>-2.9000000000000004</v>
      </c>
      <c r="AA149" s="93">
        <f t="shared" ca="1" si="11"/>
        <v>1.3</v>
      </c>
      <c r="AB149" s="82"/>
      <c r="AC149" s="45"/>
      <c r="AD149" s="45"/>
      <c r="AE149" s="45"/>
      <c r="AF149" s="45"/>
      <c r="AG149" s="45"/>
      <c r="AH149" s="45"/>
      <c r="AI149" s="45"/>
      <c r="AJ149" s="190"/>
      <c r="AK149" s="2227" t="s">
        <v>1363</v>
      </c>
      <c r="AL149" s="2228"/>
      <c r="AM149" s="2229" t="s">
        <v>1405</v>
      </c>
      <c r="AN149" s="3132" t="s">
        <v>1328</v>
      </c>
      <c r="AO149" s="2174">
        <f>((Transfer!AD287/Transfer!AC287)-1)*100</f>
        <v>9.0829145901232913</v>
      </c>
      <c r="AP149" s="2205">
        <f>((Transfer!AE287/Transfer!AD287)-1)*100</f>
        <v>8.9456175223311618</v>
      </c>
      <c r="AQ149" s="2204">
        <f>((Transfer!AF287/Transfer!AE287)-1)*100</f>
        <v>2.2386279051178182</v>
      </c>
      <c r="AR149" s="2206">
        <f>((Transfer!AG287/Transfer!AF287)-1)*100</f>
        <v>-0.48298817150445039</v>
      </c>
      <c r="AS149" s="82"/>
      <c r="AT149" s="54"/>
      <c r="AU149" s="54"/>
      <c r="AV149" s="54"/>
      <c r="AW149" s="54"/>
      <c r="AX149" s="54"/>
      <c r="AY149" s="54"/>
      <c r="AZ149" s="54"/>
      <c r="BA149" s="1732" t="s">
        <v>241</v>
      </c>
      <c r="BB149" s="54"/>
      <c r="BC149" s="54"/>
    </row>
    <row r="150" spans="1:55">
      <c r="A150" s="45"/>
      <c r="B150" s="1720"/>
      <c r="C150" s="2572" t="s">
        <v>117</v>
      </c>
      <c r="D150" s="2573"/>
      <c r="E150" s="2574" t="s">
        <v>118</v>
      </c>
      <c r="F150" s="3132" t="s">
        <v>1328</v>
      </c>
      <c r="G150" s="2457">
        <f ca="1">((Transfer!D299/Transfer!C299)-1)*100</f>
        <v>11.561836125889812</v>
      </c>
      <c r="H150" s="2456">
        <f ca="1">((Transfer!E299/Transfer!D299)-1)*100</f>
        <v>1.7099999999999893</v>
      </c>
      <c r="I150" s="2568">
        <f ca="1">((Transfer!F299/Transfer!E299)-1)*100</f>
        <v>-4.8799999999999732</v>
      </c>
      <c r="J150" s="2571">
        <f ca="1">((Transfer!G299/Transfer!F299)-1)*100</f>
        <v>-1.5499999999999958</v>
      </c>
      <c r="K150" s="2459"/>
      <c r="L150" s="54"/>
      <c r="M150" s="54"/>
      <c r="N150" s="54"/>
      <c r="O150" s="54"/>
      <c r="P150" s="54"/>
      <c r="Q150" s="54"/>
      <c r="R150" s="54"/>
      <c r="S150" s="190"/>
      <c r="T150" s="244" t="s">
        <v>117</v>
      </c>
      <c r="U150" s="230"/>
      <c r="V150" s="250" t="s">
        <v>118</v>
      </c>
      <c r="W150" s="242"/>
      <c r="X150" s="242">
        <f t="shared" ca="1" si="11"/>
        <v>-2.7000000000000011</v>
      </c>
      <c r="Y150" s="242">
        <f t="shared" ca="1" si="11"/>
        <v>-12.5</v>
      </c>
      <c r="Z150" s="242">
        <f t="shared" ca="1" si="11"/>
        <v>-6.4</v>
      </c>
      <c r="AA150" s="93">
        <f t="shared" ca="1" si="11"/>
        <v>2.4</v>
      </c>
      <c r="AB150" s="103"/>
      <c r="AC150" s="45"/>
      <c r="AD150" s="45"/>
      <c r="AE150" s="45"/>
      <c r="AF150" s="45"/>
      <c r="AG150" s="45"/>
      <c r="AH150" s="45"/>
      <c r="AI150" s="45"/>
      <c r="AJ150" s="190"/>
      <c r="AK150" s="2201" t="s">
        <v>117</v>
      </c>
      <c r="AL150" s="2202"/>
      <c r="AM150" s="2203" t="s">
        <v>118</v>
      </c>
      <c r="AN150" s="3132" t="s">
        <v>1328</v>
      </c>
      <c r="AO150" s="2174">
        <f>((Transfer!AD299/Transfer!AC299)-1)*100</f>
        <v>14.303974388073248</v>
      </c>
      <c r="AP150" s="2173">
        <f>((Transfer!AE299/Transfer!AD299)-1)*100</f>
        <v>14.189266865234874</v>
      </c>
      <c r="AQ150" s="2204">
        <f>((Transfer!AF299/Transfer!AE299)-1)*100</f>
        <v>1.5300000000000091</v>
      </c>
      <c r="AR150" s="2206">
        <f>((Transfer!AG299/Transfer!AF299)-1)*100</f>
        <v>-3.9800000000000169</v>
      </c>
      <c r="AS150" s="103"/>
      <c r="AT150" s="54"/>
      <c r="AU150" s="54"/>
      <c r="AV150" s="54"/>
      <c r="AW150" s="54"/>
      <c r="AX150" s="54"/>
      <c r="AY150" s="54"/>
      <c r="AZ150" s="54"/>
      <c r="BA150" s="1732" t="s">
        <v>242</v>
      </c>
      <c r="BB150" s="54"/>
      <c r="BC150" s="54"/>
    </row>
    <row r="151" spans="1:55">
      <c r="A151" s="45"/>
      <c r="B151" s="1720"/>
      <c r="C151" s="2572" t="s">
        <v>1021</v>
      </c>
      <c r="D151" s="2573"/>
      <c r="E151" s="2574" t="s">
        <v>1756</v>
      </c>
      <c r="F151" s="3132" t="s">
        <v>1328</v>
      </c>
      <c r="G151" s="2457">
        <f ca="1">(((Transfer!D287-Transfer!D299)/(Transfer!C287-Transfer!C299))-1)*100</f>
        <v>4.7155909616338088</v>
      </c>
      <c r="H151" s="2456">
        <f ca="1">(((Transfer!E287-Transfer!E299)/(Transfer!D287-Transfer!D299))-1)*100</f>
        <v>3.5493663868895853</v>
      </c>
      <c r="I151" s="2568">
        <f ca="1">(((Transfer!F287-Transfer!F299)/(Transfer!E287-Transfer!E299))-1)*100</f>
        <v>3.6186566053773017</v>
      </c>
      <c r="J151" s="2571">
        <f ca="1">(((Transfer!G287-Transfer!G299)/(Transfer!F287-Transfer!F299))-1)*100</f>
        <v>2.9338731030993159</v>
      </c>
      <c r="K151" s="2459"/>
      <c r="L151" s="54"/>
      <c r="M151" s="54"/>
      <c r="N151" s="54"/>
      <c r="O151" s="54"/>
      <c r="P151" s="54"/>
      <c r="Q151" s="54"/>
      <c r="R151" s="54"/>
      <c r="S151" s="190"/>
      <c r="T151" s="244" t="s">
        <v>1021</v>
      </c>
      <c r="U151" s="230"/>
      <c r="V151" s="250" t="s">
        <v>1756</v>
      </c>
      <c r="W151" s="242"/>
      <c r="X151" s="242">
        <f t="shared" ca="1" si="11"/>
        <v>0.20000000000000018</v>
      </c>
      <c r="Y151" s="242">
        <f t="shared" ca="1" si="11"/>
        <v>-0.39999999999999991</v>
      </c>
      <c r="Z151" s="242">
        <f t="shared" ca="1" si="11"/>
        <v>0.60000000000000009</v>
      </c>
      <c r="AA151" s="93">
        <f t="shared" ca="1" si="11"/>
        <v>-0.20000000000000018</v>
      </c>
      <c r="AB151" s="103"/>
      <c r="AC151" s="45"/>
      <c r="AD151" s="45"/>
      <c r="AE151" s="45"/>
      <c r="AF151" s="45"/>
      <c r="AG151" s="45"/>
      <c r="AH151" s="45"/>
      <c r="AI151" s="45"/>
      <c r="AJ151" s="190"/>
      <c r="AK151" s="2201" t="s">
        <v>1021</v>
      </c>
      <c r="AL151" s="2202"/>
      <c r="AM151" s="2203" t="s">
        <v>1756</v>
      </c>
      <c r="AN151" s="3132" t="s">
        <v>1328</v>
      </c>
      <c r="AO151" s="2174">
        <f>(((Transfer!AD287-Transfer!AD299)/(Transfer!AC287-Transfer!AC299))-1)*100</f>
        <v>4.5339724719548169</v>
      </c>
      <c r="AP151" s="2173">
        <f>(((Transfer!AE287-Transfer!AE299)/(Transfer!AD287-Transfer!AD299))-1)*100</f>
        <v>3.9499990641970184</v>
      </c>
      <c r="AQ151" s="2204">
        <f>(((Transfer!AF287-Transfer!AF299)/(Transfer!AE287-Transfer!AE299))-1)*100</f>
        <v>2.9802363479745964</v>
      </c>
      <c r="AR151" s="2206">
        <f>(((Transfer!AG287-Transfer!AG299)/(Transfer!AF287-Transfer!AF299))-1)*100</f>
        <v>3.1252402095049092</v>
      </c>
      <c r="AS151" s="103"/>
      <c r="AT151" s="54"/>
      <c r="AU151" s="54"/>
      <c r="AV151" s="54"/>
      <c r="AW151" s="54"/>
      <c r="AX151" s="54"/>
      <c r="AY151" s="54"/>
      <c r="AZ151" s="54"/>
      <c r="BA151" s="1732" t="s">
        <v>243</v>
      </c>
      <c r="BB151" s="54"/>
      <c r="BC151" s="54"/>
    </row>
    <row r="152" spans="1:55">
      <c r="A152" s="45"/>
      <c r="B152" s="1720"/>
      <c r="C152" s="2565" t="s">
        <v>475</v>
      </c>
      <c r="D152" s="2566"/>
      <c r="E152" s="2567" t="s">
        <v>1435</v>
      </c>
      <c r="F152" s="3132" t="s">
        <v>1328</v>
      </c>
      <c r="G152" s="2457">
        <f ca="1">((Transfer!D288/Transfer!C288)-1)*100</f>
        <v>5.7518402425732251</v>
      </c>
      <c r="H152" s="2570">
        <f ca="1">((Transfer!E288/Transfer!D288)-1)*100</f>
        <v>4.6999999999999709</v>
      </c>
      <c r="I152" s="2568">
        <f ca="1">((Transfer!F288/Transfer!E288)-1)*100</f>
        <v>4.2500000000000204</v>
      </c>
      <c r="J152" s="2571">
        <f ca="1">((Transfer!G288/Transfer!F288)-1)*100</f>
        <v>3.5500000000000087</v>
      </c>
      <c r="K152" s="2437"/>
      <c r="L152" s="54"/>
      <c r="M152" s="54"/>
      <c r="N152" s="54"/>
      <c r="O152" s="54"/>
      <c r="P152" s="54"/>
      <c r="Q152" s="54"/>
      <c r="R152" s="54"/>
      <c r="S152" s="190"/>
      <c r="T152" s="229" t="s">
        <v>475</v>
      </c>
      <c r="U152" s="230"/>
      <c r="V152" s="241" t="s">
        <v>1435</v>
      </c>
      <c r="W152" s="242"/>
      <c r="X152" s="242">
        <f t="shared" ca="1" si="11"/>
        <v>1</v>
      </c>
      <c r="Y152" s="242">
        <f t="shared" ca="1" si="11"/>
        <v>-9.9999999999999645E-2</v>
      </c>
      <c r="Z152" s="242">
        <f t="shared" ca="1" si="11"/>
        <v>-1.4000000000000004</v>
      </c>
      <c r="AA152" s="93">
        <f t="shared" ca="1" si="11"/>
        <v>-0.19999999999999973</v>
      </c>
      <c r="AB152" s="82"/>
      <c r="AC152" s="45"/>
      <c r="AD152" s="45"/>
      <c r="AE152" s="45"/>
      <c r="AF152" s="45"/>
      <c r="AG152" s="45"/>
      <c r="AH152" s="45"/>
      <c r="AI152" s="45"/>
      <c r="AJ152" s="190"/>
      <c r="AK152" s="2227" t="s">
        <v>475</v>
      </c>
      <c r="AL152" s="2228"/>
      <c r="AM152" s="2229" t="s">
        <v>1435</v>
      </c>
      <c r="AN152" s="3132" t="s">
        <v>1328</v>
      </c>
      <c r="AO152" s="2174">
        <f>((Transfer!AD288/Transfer!AC288)-1)*100</f>
        <v>4.8001659658123641</v>
      </c>
      <c r="AP152" s="2205">
        <f>((Transfer!AE288/Transfer!AD288)-1)*100</f>
        <v>4.8172214646162947</v>
      </c>
      <c r="AQ152" s="2204">
        <f>((Transfer!AF288/Transfer!AE288)-1)*100</f>
        <v>5.699999999999994</v>
      </c>
      <c r="AR152" s="2206">
        <f>((Transfer!AG288/Transfer!AF288)-1)*100</f>
        <v>3.8200000000000012</v>
      </c>
      <c r="AS152" s="82"/>
      <c r="AT152" s="54"/>
      <c r="AU152" s="54"/>
      <c r="AV152" s="54"/>
      <c r="AW152" s="54"/>
      <c r="AX152" s="54"/>
      <c r="AY152" s="54"/>
      <c r="AZ152" s="54"/>
      <c r="BA152" s="1732" t="s">
        <v>244</v>
      </c>
      <c r="BB152" s="54"/>
      <c r="BC152" s="54"/>
    </row>
    <row r="153" spans="1:55">
      <c r="A153" s="45"/>
      <c r="B153" s="1720"/>
      <c r="C153" s="2582" t="s">
        <v>1329</v>
      </c>
      <c r="D153" s="2583"/>
      <c r="E153" s="2584" t="s">
        <v>210</v>
      </c>
      <c r="F153" s="3133" t="s">
        <v>1328</v>
      </c>
      <c r="G153" s="2586">
        <f ca="1">((Transfer!D289/Transfer!C289)-1)*100</f>
        <v>3.0147876600891133</v>
      </c>
      <c r="H153" s="2587">
        <f ca="1">((Transfer!E289/Transfer!D289)-1)*100</f>
        <v>3.8000000000000034</v>
      </c>
      <c r="I153" s="2585">
        <f ca="1">((Transfer!F289/Transfer!E289)-1)*100</f>
        <v>3.9099999999999913</v>
      </c>
      <c r="J153" s="2588">
        <f ca="1">((Transfer!G289/Transfer!F289)-1)*100</f>
        <v>2.750000000000008</v>
      </c>
      <c r="K153" s="2520"/>
      <c r="L153" s="54"/>
      <c r="M153" s="54"/>
      <c r="N153" s="54"/>
      <c r="O153" s="54"/>
      <c r="P153" s="54"/>
      <c r="Q153" s="54"/>
      <c r="R153" s="54"/>
      <c r="S153" s="190"/>
      <c r="T153" s="229" t="s">
        <v>1329</v>
      </c>
      <c r="U153" s="230"/>
      <c r="V153" s="241" t="s">
        <v>210</v>
      </c>
      <c r="W153" s="96"/>
      <c r="X153" s="2072">
        <f t="shared" ca="1" si="11"/>
        <v>1.6</v>
      </c>
      <c r="Y153" s="2072">
        <f t="shared" ca="1" si="11"/>
        <v>1.0999999999999996</v>
      </c>
      <c r="Z153" s="2072">
        <f t="shared" ca="1" si="11"/>
        <v>0.10000000000000009</v>
      </c>
      <c r="AA153" s="98">
        <f t="shared" ca="1" si="11"/>
        <v>-1.1000000000000001</v>
      </c>
      <c r="AB153" s="199"/>
      <c r="AC153" s="45"/>
      <c r="AD153" s="45"/>
      <c r="AE153" s="45"/>
      <c r="AF153" s="45"/>
      <c r="AG153" s="45"/>
      <c r="AH153" s="45"/>
      <c r="AI153" s="45"/>
      <c r="AJ153" s="190"/>
      <c r="AK153" s="2231" t="s">
        <v>1329</v>
      </c>
      <c r="AL153" s="2232"/>
      <c r="AM153" s="2233" t="s">
        <v>210</v>
      </c>
      <c r="AN153" s="3133" t="s">
        <v>1328</v>
      </c>
      <c r="AO153" s="2187">
        <f>((Transfer!AD289/Transfer!AC289)-1)*100</f>
        <v>1.4152803415015791</v>
      </c>
      <c r="AP153" s="2234">
        <f>((Transfer!AE289/Transfer!AD289)-1)*100</f>
        <v>2.7003198514228943</v>
      </c>
      <c r="AQ153" s="2207">
        <f>((Transfer!AF289/Transfer!AE289)-1)*100</f>
        <v>3.8000000000000034</v>
      </c>
      <c r="AR153" s="2208">
        <f>((Transfer!AG289/Transfer!AF289)-1)*100</f>
        <v>3.8799999999999946</v>
      </c>
      <c r="AS153" s="199"/>
      <c r="AT153" s="54"/>
      <c r="AU153" s="54"/>
      <c r="AV153" s="54"/>
      <c r="AW153" s="54"/>
      <c r="AX153" s="54"/>
      <c r="AY153" s="54"/>
      <c r="AZ153" s="54"/>
      <c r="BA153" s="1732" t="s">
        <v>245</v>
      </c>
      <c r="BB153" s="54"/>
      <c r="BC153" s="54"/>
    </row>
    <row r="154" spans="1:55">
      <c r="A154" s="45"/>
      <c r="B154" s="1720"/>
      <c r="C154" s="2565" t="s">
        <v>211</v>
      </c>
      <c r="D154" s="2566"/>
      <c r="E154" s="2567" t="s">
        <v>123</v>
      </c>
      <c r="F154" s="3132" t="s">
        <v>1328</v>
      </c>
      <c r="G154" s="2457">
        <f ca="1">((Transfer!D286/Transfer!C286)-1)*100</f>
        <v>6.0546057350353344</v>
      </c>
      <c r="H154" s="2570">
        <f ca="1">((Transfer!E286/Transfer!D286)-1)*100</f>
        <v>3.5391684236044885</v>
      </c>
      <c r="I154" s="2568">
        <f ca="1">((Transfer!F286/Transfer!E286)-1)*100</f>
        <v>1.9828306477457813</v>
      </c>
      <c r="J154" s="2571">
        <f ca="1">((Transfer!G286/Transfer!F286)-1)*100</f>
        <v>2.1431885541373763</v>
      </c>
      <c r="K154" s="2437"/>
      <c r="L154" s="54"/>
      <c r="M154" s="54"/>
      <c r="N154" s="54"/>
      <c r="O154" s="54"/>
      <c r="P154" s="54"/>
      <c r="Q154" s="54"/>
      <c r="R154" s="54"/>
      <c r="S154" s="190"/>
      <c r="T154" s="251" t="s">
        <v>211</v>
      </c>
      <c r="U154" s="252"/>
      <c r="V154" s="253" t="s">
        <v>123</v>
      </c>
      <c r="W154" s="3124"/>
      <c r="X154" s="3124">
        <f t="shared" ca="1" si="11"/>
        <v>0.5</v>
      </c>
      <c r="Y154" s="3124">
        <f t="shared" ca="1" si="11"/>
        <v>-2.5</v>
      </c>
      <c r="Z154" s="3124">
        <f t="shared" ca="1" si="11"/>
        <v>-1.7000000000000002</v>
      </c>
      <c r="AA154" s="81">
        <f t="shared" ca="1" si="11"/>
        <v>0.20000000000000018</v>
      </c>
      <c r="AB154" s="82"/>
      <c r="AC154" s="45"/>
      <c r="AD154" s="45"/>
      <c r="AE154" s="45"/>
      <c r="AF154" s="45"/>
      <c r="AG154" s="45"/>
      <c r="AH154" s="45"/>
      <c r="AI154" s="45"/>
      <c r="AJ154" s="190"/>
      <c r="AK154" s="2227" t="s">
        <v>211</v>
      </c>
      <c r="AL154" s="2228"/>
      <c r="AM154" s="2229" t="s">
        <v>123</v>
      </c>
      <c r="AN154" s="3132" t="s">
        <v>1328</v>
      </c>
      <c r="AO154" s="2174">
        <f>((Transfer!AD286/Transfer!AC286)-1)*100</f>
        <v>5.6330423443870625</v>
      </c>
      <c r="AP154" s="2205">
        <f>((Transfer!AE286/Transfer!AD286)-1)*100</f>
        <v>6.0382508417185177</v>
      </c>
      <c r="AQ154" s="2204">
        <f>((Transfer!AF286/Transfer!AE286)-1)*100</f>
        <v>3.6658417216456129</v>
      </c>
      <c r="AR154" s="2206">
        <f>((Transfer!AG286/Transfer!AF286)-1)*100</f>
        <v>1.9309800216272377</v>
      </c>
      <c r="AS154" s="82"/>
      <c r="AT154" s="54"/>
      <c r="AU154" s="54"/>
      <c r="AV154" s="54"/>
      <c r="AW154" s="54"/>
      <c r="AX154" s="54"/>
      <c r="AY154" s="54"/>
      <c r="AZ154" s="54"/>
      <c r="BA154" s="2046" t="s">
        <v>246</v>
      </c>
      <c r="BB154" s="54"/>
      <c r="BC154" s="54"/>
    </row>
    <row r="155" spans="1:55" ht="13.15" thickBot="1">
      <c r="A155" s="45"/>
      <c r="B155" s="1720"/>
      <c r="C155" s="2590" t="s">
        <v>212</v>
      </c>
      <c r="D155" s="2591"/>
      <c r="E155" s="2592"/>
      <c r="F155" s="2593"/>
      <c r="G155" s="2594"/>
      <c r="H155" s="2595"/>
      <c r="I155" s="2593"/>
      <c r="J155" s="2596"/>
      <c r="K155" s="2437"/>
      <c r="L155" s="54"/>
      <c r="M155" s="54"/>
      <c r="N155" s="54"/>
      <c r="O155" s="54"/>
      <c r="P155" s="54"/>
      <c r="Q155" s="54"/>
      <c r="R155" s="54"/>
      <c r="S155" s="190"/>
      <c r="T155" s="109" t="s">
        <v>212</v>
      </c>
      <c r="U155" s="3125"/>
      <c r="V155" s="386"/>
      <c r="W155" s="405"/>
      <c r="X155" s="3126"/>
      <c r="Y155" s="3126"/>
      <c r="Z155" s="3126"/>
      <c r="AA155" s="112"/>
      <c r="AB155" s="82"/>
      <c r="AC155" s="45"/>
      <c r="AD155" s="45"/>
      <c r="AE155" s="45"/>
      <c r="AF155" s="45"/>
      <c r="AG155" s="45"/>
      <c r="AH155" s="45"/>
      <c r="AI155" s="45"/>
      <c r="AJ155" s="190"/>
      <c r="AK155" s="2235" t="s">
        <v>212</v>
      </c>
      <c r="AL155" s="2236"/>
      <c r="AM155" s="2237"/>
      <c r="AN155" s="2238"/>
      <c r="AO155" s="2239"/>
      <c r="AP155" s="2240"/>
      <c r="AQ155" s="2238"/>
      <c r="AR155" s="2241"/>
      <c r="AS155" s="82"/>
      <c r="AT155" s="54"/>
      <c r="AU155" s="54"/>
      <c r="AV155" s="54"/>
      <c r="AW155" s="54"/>
      <c r="AX155" s="54"/>
      <c r="AY155" s="54"/>
      <c r="AZ155" s="54"/>
      <c r="BA155" s="1733"/>
      <c r="BB155" s="54"/>
      <c r="BC155" s="54"/>
    </row>
    <row r="156" spans="1:55" ht="13.15">
      <c r="A156" s="45"/>
      <c r="B156" s="1756"/>
      <c r="C156" s="2468"/>
      <c r="D156" s="2468"/>
      <c r="E156" s="2468"/>
      <c r="F156" s="2468"/>
      <c r="G156" s="2468"/>
      <c r="H156" s="2468"/>
      <c r="I156" s="2545"/>
      <c r="J156" s="2469" t="str">
        <f>UPPER(Country)</f>
        <v>SWEDEN</v>
      </c>
      <c r="K156" s="2546"/>
      <c r="L156" s="256"/>
      <c r="M156" s="54"/>
      <c r="N156" s="54"/>
      <c r="O156" s="54"/>
      <c r="P156" s="54"/>
      <c r="Q156" s="54"/>
      <c r="R156" s="54"/>
      <c r="S156" s="215"/>
      <c r="T156" s="117"/>
      <c r="U156" s="117"/>
      <c r="V156" s="117"/>
      <c r="W156" s="117"/>
      <c r="X156" s="117"/>
      <c r="Y156" s="117"/>
      <c r="Z156" s="255"/>
      <c r="AA156" s="118" t="str">
        <f>UPPER(Country)</f>
        <v>SWEDEN</v>
      </c>
      <c r="AB156" s="216"/>
      <c r="AC156" s="45"/>
      <c r="AD156" s="45"/>
      <c r="AE156" s="45"/>
      <c r="AF156" s="45"/>
      <c r="AG156" s="45"/>
      <c r="AH156" s="45"/>
      <c r="AI156" s="45"/>
      <c r="AJ156" s="215"/>
      <c r="AK156" s="117"/>
      <c r="AL156" s="117"/>
      <c r="AM156" s="117"/>
      <c r="AN156" s="117"/>
      <c r="AO156" s="117"/>
      <c r="AP156" s="117"/>
      <c r="AQ156" s="255"/>
      <c r="AR156" s="118" t="str">
        <f>UPPER(Country)</f>
        <v>SWEDEN</v>
      </c>
      <c r="AS156" s="216"/>
      <c r="AT156" s="256"/>
      <c r="AU156" s="54"/>
      <c r="AV156" s="54"/>
      <c r="AW156" s="54"/>
      <c r="AX156" s="54"/>
      <c r="AY156" s="54"/>
      <c r="AZ156" s="54"/>
      <c r="BA156" s="45"/>
      <c r="BB156" s="54"/>
      <c r="BC156" s="54"/>
    </row>
    <row r="157" spans="1:55">
      <c r="A157" s="45"/>
      <c r="B157" s="45"/>
      <c r="C157" s="54"/>
      <c r="D157" s="54"/>
      <c r="E157" s="54"/>
      <c r="F157" s="54"/>
      <c r="G157" s="54"/>
      <c r="H157" s="54"/>
      <c r="I157" s="45"/>
      <c r="J157" s="45"/>
      <c r="K157" s="45"/>
      <c r="L157" s="54"/>
      <c r="M157" s="54"/>
      <c r="N157" s="54"/>
      <c r="O157" s="54"/>
      <c r="P157" s="54"/>
      <c r="Q157" s="54"/>
      <c r="R157" s="54"/>
      <c r="S157" s="45"/>
      <c r="T157" s="45"/>
      <c r="U157" s="45"/>
      <c r="V157" s="45"/>
      <c r="W157" s="45"/>
      <c r="X157" s="54"/>
      <c r="Y157" s="54"/>
      <c r="Z157" s="54"/>
      <c r="AA157" s="45"/>
      <c r="AB157" s="45"/>
      <c r="AC157" s="45"/>
      <c r="AD157" s="45"/>
      <c r="AE157" s="45"/>
      <c r="AF157" s="45"/>
      <c r="AG157" s="45"/>
      <c r="AH157" s="45"/>
      <c r="AI157" s="45"/>
      <c r="AJ157" s="45"/>
      <c r="AK157" s="54"/>
      <c r="AL157" s="54"/>
      <c r="AM157" s="54"/>
      <c r="AN157" s="54"/>
      <c r="AO157" s="54"/>
      <c r="AP157" s="54"/>
      <c r="AQ157" s="45"/>
      <c r="AR157" s="45"/>
      <c r="AS157" s="45"/>
      <c r="AT157" s="54"/>
      <c r="AU157" s="54"/>
      <c r="AV157" s="54"/>
      <c r="AW157" s="54"/>
      <c r="AX157" s="54"/>
      <c r="AY157" s="54"/>
      <c r="AZ157" s="54"/>
      <c r="BA157" s="54"/>
      <c r="BB157" s="54"/>
      <c r="BC157" s="54"/>
    </row>
    <row r="158" spans="1:55">
      <c r="A158" s="45"/>
      <c r="B158" s="45"/>
      <c r="C158" s="54"/>
      <c r="D158" s="54"/>
      <c r="E158" s="45"/>
      <c r="F158" s="45"/>
      <c r="G158" s="45"/>
      <c r="H158" s="45"/>
      <c r="I158" s="45"/>
      <c r="J158" s="45"/>
      <c r="K158" s="187"/>
      <c r="L158" s="54"/>
      <c r="M158" s="54"/>
      <c r="N158" s="54"/>
      <c r="O158" s="54"/>
      <c r="P158" s="54"/>
      <c r="Q158" s="54"/>
      <c r="R158" s="54"/>
      <c r="S158" s="45"/>
      <c r="T158" s="45"/>
      <c r="U158" s="45"/>
      <c r="V158" s="45"/>
      <c r="W158" s="45"/>
      <c r="X158" s="54"/>
      <c r="Y158" s="54"/>
      <c r="Z158" s="54"/>
      <c r="AA158" s="45"/>
      <c r="AB158" s="45"/>
      <c r="AC158" s="45"/>
      <c r="AD158" s="45"/>
      <c r="AE158" s="45"/>
      <c r="AF158" s="45"/>
      <c r="AG158" s="45"/>
      <c r="AH158" s="45"/>
      <c r="AI158" s="45"/>
      <c r="AJ158" s="45"/>
      <c r="AK158" s="54"/>
      <c r="AL158" s="54"/>
      <c r="AM158" s="45"/>
      <c r="AN158" s="45"/>
      <c r="AO158" s="45"/>
      <c r="AP158" s="45"/>
      <c r="AQ158" s="45"/>
      <c r="AR158" s="45"/>
      <c r="AS158" s="187"/>
      <c r="AT158" s="54"/>
      <c r="AU158" s="54"/>
      <c r="AV158" s="54"/>
      <c r="AW158" s="54"/>
      <c r="AX158" s="54"/>
      <c r="AY158" s="54"/>
      <c r="AZ158" s="54"/>
      <c r="BA158" s="54"/>
      <c r="BB158" s="54"/>
      <c r="BC158" s="54"/>
    </row>
    <row r="159" spans="1:55">
      <c r="A159" s="45"/>
      <c r="B159" s="45"/>
      <c r="C159" s="54"/>
      <c r="D159" s="54"/>
      <c r="E159" s="54"/>
      <c r="F159" s="54"/>
      <c r="G159" s="54"/>
      <c r="H159" s="54"/>
      <c r="I159" s="54"/>
      <c r="J159" s="54"/>
      <c r="K159" s="54"/>
      <c r="L159" s="54"/>
      <c r="M159" s="54"/>
      <c r="N159" s="54"/>
      <c r="O159" s="54"/>
      <c r="P159" s="54"/>
      <c r="Q159" s="54"/>
      <c r="R159" s="54"/>
      <c r="S159" s="45"/>
      <c r="T159" s="45"/>
      <c r="U159" s="45"/>
      <c r="V159" s="45"/>
      <c r="W159" s="45"/>
      <c r="X159" s="54"/>
      <c r="Y159" s="54"/>
      <c r="Z159" s="54"/>
      <c r="AA159" s="45"/>
      <c r="AB159" s="45"/>
      <c r="AC159" s="45"/>
      <c r="AD159" s="45"/>
      <c r="AE159" s="45"/>
      <c r="AF159" s="45"/>
      <c r="AG159" s="45"/>
      <c r="AH159" s="45"/>
      <c r="AI159" s="45"/>
      <c r="AJ159" s="45"/>
      <c r="AK159" s="54"/>
      <c r="AL159" s="54"/>
      <c r="AM159" s="54"/>
      <c r="AN159" s="54"/>
      <c r="AO159" s="54"/>
      <c r="AP159" s="54"/>
      <c r="AQ159" s="54"/>
      <c r="AR159" s="54"/>
      <c r="AS159" s="54"/>
      <c r="AT159" s="54"/>
      <c r="AU159" s="54"/>
      <c r="AV159" s="54"/>
      <c r="AW159" s="54"/>
      <c r="AX159" s="54"/>
      <c r="AY159" s="54"/>
      <c r="AZ159" s="54"/>
      <c r="BA159" s="54"/>
      <c r="BB159" s="54"/>
      <c r="BC159" s="54"/>
    </row>
    <row r="160" spans="1:55">
      <c r="A160" s="45"/>
      <c r="B160" s="45"/>
      <c r="C160" s="54"/>
      <c r="D160" s="54"/>
      <c r="E160" s="54"/>
      <c r="F160" s="54"/>
      <c r="G160" s="54"/>
      <c r="H160" s="54"/>
      <c r="I160" s="54"/>
      <c r="J160" s="54"/>
      <c r="K160" s="54"/>
      <c r="L160" s="54"/>
      <c r="M160" s="54"/>
      <c r="N160" s="54"/>
      <c r="O160" s="54"/>
      <c r="P160" s="54"/>
      <c r="Q160" s="54"/>
      <c r="R160" s="54"/>
      <c r="S160" s="45"/>
      <c r="T160" s="45"/>
      <c r="U160" s="45"/>
      <c r="V160" s="45"/>
      <c r="W160" s="45"/>
      <c r="X160" s="54"/>
      <c r="Y160" s="54"/>
      <c r="Z160" s="54"/>
      <c r="AA160" s="45"/>
      <c r="AB160" s="45"/>
      <c r="AC160" s="45"/>
      <c r="AD160" s="45"/>
      <c r="AE160" s="45"/>
      <c r="AF160" s="45"/>
      <c r="AG160" s="45"/>
      <c r="AH160" s="45"/>
      <c r="AI160" s="45"/>
      <c r="AJ160" s="45"/>
      <c r="AK160" s="54"/>
      <c r="AL160" s="54"/>
      <c r="AM160" s="54"/>
      <c r="AN160" s="54"/>
      <c r="AO160" s="54"/>
      <c r="AP160" s="54"/>
      <c r="AQ160" s="54"/>
      <c r="AR160" s="54"/>
      <c r="AS160" s="54"/>
      <c r="AT160" s="54"/>
      <c r="AU160" s="54"/>
      <c r="AV160" s="54"/>
      <c r="AW160" s="54"/>
      <c r="AX160" s="54"/>
      <c r="AY160" s="54"/>
      <c r="AZ160" s="54"/>
      <c r="BA160" s="54"/>
      <c r="BB160" s="54"/>
      <c r="BC160" s="54"/>
    </row>
    <row r="161" spans="1:55">
      <c r="A161" s="45"/>
      <c r="B161" s="45"/>
      <c r="C161" s="54"/>
      <c r="D161" s="54"/>
      <c r="E161" s="54"/>
      <c r="F161" s="54"/>
      <c r="G161" s="54"/>
      <c r="H161" s="54"/>
      <c r="I161" s="54"/>
      <c r="J161" s="54"/>
      <c r="K161" s="54"/>
      <c r="L161" s="54"/>
      <c r="M161" s="54"/>
      <c r="N161" s="54"/>
      <c r="O161" s="54"/>
      <c r="P161" s="54"/>
      <c r="Q161" s="54"/>
      <c r="R161" s="54"/>
      <c r="S161" s="45"/>
      <c r="T161" s="45"/>
      <c r="U161" s="45"/>
      <c r="V161" s="45"/>
      <c r="W161" s="45"/>
      <c r="X161" s="54"/>
      <c r="Y161" s="54"/>
      <c r="Z161" s="54"/>
      <c r="AA161" s="45"/>
      <c r="AB161" s="45"/>
      <c r="AC161" s="45"/>
      <c r="AD161" s="45"/>
      <c r="AE161" s="45"/>
      <c r="AF161" s="45"/>
      <c r="AG161" s="45"/>
      <c r="AH161" s="45"/>
      <c r="AI161" s="45"/>
      <c r="AJ161" s="45"/>
      <c r="AK161" s="54"/>
      <c r="AL161" s="54"/>
      <c r="AM161" s="54"/>
      <c r="AN161" s="54"/>
      <c r="AO161" s="54"/>
      <c r="AP161" s="54"/>
      <c r="AQ161" s="54"/>
      <c r="AR161" s="54"/>
      <c r="AS161" s="54"/>
      <c r="AT161" s="54"/>
      <c r="AU161" s="54"/>
      <c r="AV161" s="54"/>
      <c r="AW161" s="54"/>
      <c r="AX161" s="54"/>
      <c r="AY161" s="54"/>
      <c r="AZ161" s="54"/>
      <c r="BA161" s="54"/>
      <c r="BB161" s="54"/>
      <c r="BC161" s="54"/>
    </row>
    <row r="162" spans="1:55">
      <c r="A162" s="45"/>
      <c r="B162" s="45"/>
      <c r="C162" s="54"/>
      <c r="D162" s="54"/>
      <c r="E162" s="54"/>
      <c r="F162" s="54"/>
      <c r="G162" s="54"/>
      <c r="H162" s="54"/>
      <c r="I162" s="54"/>
      <c r="J162" s="54"/>
      <c r="K162" s="54"/>
      <c r="L162" s="54"/>
      <c r="M162" s="54"/>
      <c r="N162" s="54"/>
      <c r="O162" s="54"/>
      <c r="P162" s="54"/>
      <c r="Q162" s="54"/>
      <c r="R162" s="54"/>
      <c r="S162" s="45"/>
      <c r="T162" s="45"/>
      <c r="U162" s="45"/>
      <c r="V162" s="45"/>
      <c r="W162" s="45"/>
      <c r="X162" s="54"/>
      <c r="Y162" s="54"/>
      <c r="Z162" s="54"/>
      <c r="AA162" s="45"/>
      <c r="AB162" s="45"/>
      <c r="AC162" s="45"/>
      <c r="AD162" s="45"/>
      <c r="AE162" s="45"/>
      <c r="AF162" s="45"/>
      <c r="AG162" s="45"/>
      <c r="AH162" s="45"/>
      <c r="AI162" s="45"/>
      <c r="AJ162" s="45"/>
      <c r="AK162" s="54"/>
      <c r="AL162" s="54"/>
      <c r="AM162" s="54"/>
      <c r="AN162" s="54"/>
      <c r="AO162" s="54"/>
      <c r="AP162" s="54"/>
      <c r="AQ162" s="54"/>
      <c r="AR162" s="54"/>
      <c r="AS162" s="54"/>
      <c r="AT162" s="54"/>
      <c r="AU162" s="54"/>
      <c r="AV162" s="54"/>
      <c r="AW162" s="54"/>
      <c r="AX162" s="54"/>
      <c r="AY162" s="54"/>
      <c r="AZ162" s="54"/>
      <c r="BA162" s="54"/>
      <c r="BB162" s="54"/>
      <c r="BC162" s="54"/>
    </row>
    <row r="163" spans="1:55">
      <c r="A163" s="45"/>
      <c r="B163" s="45"/>
      <c r="C163" s="54"/>
      <c r="D163" s="54"/>
      <c r="E163" s="54"/>
      <c r="F163" s="54"/>
      <c r="G163" s="54"/>
      <c r="H163" s="54"/>
      <c r="I163" s="54"/>
      <c r="J163" s="54"/>
      <c r="K163" s="54"/>
      <c r="L163" s="54"/>
      <c r="M163" s="54"/>
      <c r="N163" s="54"/>
      <c r="O163" s="54"/>
      <c r="P163" s="54"/>
      <c r="Q163" s="54"/>
      <c r="R163" s="54"/>
      <c r="S163" s="45"/>
      <c r="T163" s="45"/>
      <c r="U163" s="45"/>
      <c r="V163" s="45"/>
      <c r="W163" s="45"/>
      <c r="X163" s="54"/>
      <c r="Y163" s="54"/>
      <c r="Z163" s="54"/>
      <c r="AA163" s="45"/>
      <c r="AB163" s="45"/>
      <c r="AC163" s="45"/>
      <c r="AD163" s="45"/>
      <c r="AE163" s="45"/>
      <c r="AF163" s="45"/>
      <c r="AG163" s="45"/>
      <c r="AH163" s="45"/>
      <c r="AI163" s="45"/>
      <c r="AJ163" s="45"/>
      <c r="AK163" s="54"/>
      <c r="AL163" s="54"/>
      <c r="AM163" s="54"/>
      <c r="AN163" s="54"/>
      <c r="AO163" s="54"/>
      <c r="AP163" s="54"/>
      <c r="AQ163" s="54"/>
      <c r="AR163" s="54"/>
      <c r="AS163" s="54"/>
      <c r="AT163" s="54"/>
      <c r="AU163" s="54"/>
      <c r="AV163" s="54"/>
      <c r="AW163" s="54"/>
      <c r="AX163" s="54"/>
      <c r="AY163" s="54"/>
      <c r="AZ163" s="54"/>
      <c r="BA163" s="54"/>
      <c r="BB163" s="54"/>
      <c r="BC163" s="54"/>
    </row>
    <row r="164" spans="1:55">
      <c r="A164" s="45"/>
      <c r="B164" s="45"/>
      <c r="C164" s="54"/>
      <c r="D164" s="54"/>
      <c r="E164" s="54"/>
      <c r="F164" s="54"/>
      <c r="G164" s="54"/>
      <c r="H164" s="54"/>
      <c r="I164" s="54"/>
      <c r="J164" s="54"/>
      <c r="K164" s="54"/>
      <c r="L164" s="54"/>
      <c r="M164" s="54"/>
      <c r="N164" s="54"/>
      <c r="O164" s="54"/>
      <c r="P164" s="54"/>
      <c r="Q164" s="54"/>
      <c r="R164" s="54"/>
      <c r="S164" s="45"/>
      <c r="T164" s="45"/>
      <c r="U164" s="45"/>
      <c r="V164" s="45"/>
      <c r="W164" s="45"/>
      <c r="X164" s="54"/>
      <c r="Y164" s="54"/>
      <c r="Z164" s="54"/>
      <c r="AA164" s="45"/>
      <c r="AB164" s="45"/>
      <c r="AC164" s="45"/>
      <c r="AD164" s="45"/>
      <c r="AE164" s="45"/>
      <c r="AF164" s="45"/>
      <c r="AG164" s="45"/>
      <c r="AH164" s="45"/>
      <c r="AI164" s="45"/>
      <c r="AJ164" s="45"/>
      <c r="AK164" s="54"/>
      <c r="AL164" s="54"/>
      <c r="AM164" s="54"/>
      <c r="AN164" s="54"/>
      <c r="AO164" s="54"/>
      <c r="AP164" s="54"/>
      <c r="AQ164" s="54"/>
      <c r="AR164" s="54"/>
      <c r="AS164" s="54"/>
      <c r="AT164" s="54"/>
      <c r="AU164" s="54"/>
      <c r="AV164" s="54"/>
      <c r="AW164" s="54"/>
      <c r="AX164" s="54"/>
      <c r="AY164" s="54"/>
      <c r="AZ164" s="54"/>
      <c r="BA164" s="54"/>
      <c r="BB164" s="54"/>
      <c r="BC164" s="54"/>
    </row>
    <row r="165" spans="1:55">
      <c r="A165" s="45"/>
      <c r="B165" s="45"/>
      <c r="C165" s="54"/>
      <c r="D165" s="54"/>
      <c r="E165" s="54"/>
      <c r="F165" s="54"/>
      <c r="G165" s="54"/>
      <c r="H165" s="54"/>
      <c r="I165" s="54"/>
      <c r="J165" s="54"/>
      <c r="K165" s="54"/>
      <c r="L165" s="54"/>
      <c r="M165" s="54"/>
      <c r="N165" s="54"/>
      <c r="O165" s="54"/>
      <c r="P165" s="54"/>
      <c r="Q165" s="54"/>
      <c r="R165" s="54"/>
      <c r="S165" s="45"/>
      <c r="T165" s="45"/>
      <c r="U165" s="45"/>
      <c r="V165" s="45"/>
      <c r="W165" s="45"/>
      <c r="X165" s="54"/>
      <c r="Y165" s="54"/>
      <c r="Z165" s="54"/>
      <c r="AA165" s="45"/>
      <c r="AB165" s="45"/>
      <c r="AC165" s="45"/>
      <c r="AD165" s="45"/>
      <c r="AE165" s="45"/>
      <c r="AF165" s="45"/>
      <c r="AG165" s="45"/>
      <c r="AH165" s="45"/>
      <c r="AI165" s="45"/>
      <c r="AJ165" s="45"/>
      <c r="AK165" s="54"/>
      <c r="AL165" s="54"/>
      <c r="AM165" s="54"/>
      <c r="AN165" s="54"/>
      <c r="AO165" s="54"/>
      <c r="AP165" s="54"/>
      <c r="AQ165" s="54"/>
      <c r="AR165" s="54"/>
      <c r="AS165" s="54"/>
      <c r="AT165" s="54"/>
      <c r="AU165" s="54"/>
      <c r="AV165" s="54"/>
      <c r="AW165" s="54"/>
      <c r="AX165" s="54"/>
      <c r="AY165" s="54"/>
      <c r="AZ165" s="54"/>
      <c r="BA165" s="54"/>
      <c r="BB165" s="54"/>
      <c r="BC165" s="54"/>
    </row>
    <row r="166" spans="1:55" ht="13.15">
      <c r="A166" s="45"/>
      <c r="B166" s="2597"/>
      <c r="C166" s="2411" t="s">
        <v>213</v>
      </c>
      <c r="D166" s="2411"/>
      <c r="E166" s="2412"/>
      <c r="F166" s="2412"/>
      <c r="G166" s="2412"/>
      <c r="H166" s="2412"/>
      <c r="I166" s="2412"/>
      <c r="J166" s="2412"/>
      <c r="K166" s="2412"/>
      <c r="L166" s="2412"/>
      <c r="M166" s="2412"/>
      <c r="N166" s="2563"/>
      <c r="O166" s="258"/>
      <c r="P166" s="258"/>
      <c r="Q166" s="258"/>
      <c r="R166" s="54"/>
      <c r="S166" s="257"/>
      <c r="T166" s="56" t="s">
        <v>213</v>
      </c>
      <c r="U166" s="56"/>
      <c r="V166" s="100"/>
      <c r="W166" s="100"/>
      <c r="X166" s="100"/>
      <c r="Y166" s="100"/>
      <c r="Z166" s="100"/>
      <c r="AA166" s="100"/>
      <c r="AB166" s="100"/>
      <c r="AC166" s="100"/>
      <c r="AD166" s="100"/>
      <c r="AE166" s="238"/>
      <c r="AF166" s="45"/>
      <c r="AG166" s="45"/>
      <c r="AH166" s="45"/>
      <c r="AI166" s="45"/>
      <c r="AJ166" s="257"/>
      <c r="AK166" s="56" t="s">
        <v>213</v>
      </c>
      <c r="AL166" s="56"/>
      <c r="AM166" s="100"/>
      <c r="AN166" s="100"/>
      <c r="AO166" s="100"/>
      <c r="AP166" s="100"/>
      <c r="AQ166" s="100"/>
      <c r="AR166" s="100"/>
      <c r="AS166" s="100"/>
      <c r="AT166" s="100"/>
      <c r="AU166" s="100"/>
      <c r="AV166" s="238"/>
      <c r="AW166" s="258"/>
      <c r="AX166" s="258"/>
      <c r="AY166" s="258"/>
      <c r="AZ166" s="54"/>
      <c r="BA166" s="45"/>
      <c r="BB166" s="54"/>
      <c r="BC166" s="54"/>
    </row>
    <row r="167" spans="1:55" ht="13.15">
      <c r="A167" s="45"/>
      <c r="B167" s="2052"/>
      <c r="C167" s="3888" t="s">
        <v>438</v>
      </c>
      <c r="D167" s="3888"/>
      <c r="E167" s="3888"/>
      <c r="F167" s="3888"/>
      <c r="G167" s="3888"/>
      <c r="H167" s="3888"/>
      <c r="I167" s="3888"/>
      <c r="J167" s="3888"/>
      <c r="K167" s="3888"/>
      <c r="L167" s="3888"/>
      <c r="M167" s="3888"/>
      <c r="N167" s="2598"/>
      <c r="O167" s="261"/>
      <c r="P167" s="261"/>
      <c r="Q167" s="261"/>
      <c r="R167" s="54"/>
      <c r="S167" s="259"/>
      <c r="T167" s="3889" t="s">
        <v>438</v>
      </c>
      <c r="U167" s="3889"/>
      <c r="V167" s="3889"/>
      <c r="W167" s="3889"/>
      <c r="X167" s="3889"/>
      <c r="Y167" s="3889"/>
      <c r="Z167" s="3889"/>
      <c r="AA167" s="3889"/>
      <c r="AB167" s="3889"/>
      <c r="AC167" s="3889"/>
      <c r="AD167" s="3889"/>
      <c r="AE167" s="260"/>
      <c r="AF167" s="45"/>
      <c r="AG167" s="45"/>
      <c r="AH167" s="45"/>
      <c r="AI167" s="45"/>
      <c r="AJ167" s="259"/>
      <c r="AK167" s="3889" t="s">
        <v>438</v>
      </c>
      <c r="AL167" s="3889"/>
      <c r="AM167" s="3889"/>
      <c r="AN167" s="3889"/>
      <c r="AO167" s="3889"/>
      <c r="AP167" s="3889"/>
      <c r="AQ167" s="3889"/>
      <c r="AR167" s="3889"/>
      <c r="AS167" s="3889"/>
      <c r="AT167" s="3889"/>
      <c r="AU167" s="3889"/>
      <c r="AV167" s="260"/>
      <c r="AW167" s="261"/>
      <c r="AX167" s="261"/>
      <c r="AY167" s="261"/>
      <c r="AZ167" s="54"/>
      <c r="BA167" s="45"/>
      <c r="BB167" s="54"/>
      <c r="BC167" s="54"/>
    </row>
    <row r="168" spans="1:55" ht="15">
      <c r="A168" s="45"/>
      <c r="B168" s="2052"/>
      <c r="C168" s="2418" t="str">
        <f>"Country: " &amp;UPPER(Country)</f>
        <v>Country: SWEDEN</v>
      </c>
      <c r="D168" s="2548"/>
      <c r="E168" s="2422"/>
      <c r="F168" s="2513"/>
      <c r="G168" s="2513"/>
      <c r="H168" s="2420"/>
      <c r="I168" s="2420"/>
      <c r="J168" s="2420"/>
      <c r="K168" s="2420"/>
      <c r="L168" s="2420"/>
      <c r="M168" s="2420"/>
      <c r="N168" s="2520"/>
      <c r="O168" s="258"/>
      <c r="P168" s="258"/>
      <c r="Q168" s="258"/>
      <c r="R168" s="54"/>
      <c r="S168" s="259"/>
      <c r="T168" s="63" t="str">
        <f>"Country: " &amp;UPPER(Country)</f>
        <v>Country: SWEDEN</v>
      </c>
      <c r="U168" s="222"/>
      <c r="V168" s="67"/>
      <c r="W168" s="1"/>
      <c r="X168" s="2066" t="s">
        <v>1553</v>
      </c>
      <c r="Y168" s="65"/>
      <c r="Z168" s="65"/>
      <c r="AA168" s="65"/>
      <c r="AB168" s="65"/>
      <c r="AC168" s="65"/>
      <c r="AD168" s="65"/>
      <c r="AE168" s="196"/>
      <c r="AF168" s="45"/>
      <c r="AG168" s="45"/>
      <c r="AH168" s="45"/>
      <c r="AI168" s="45"/>
      <c r="AJ168" s="259"/>
      <c r="AK168" s="63" t="str">
        <f>"Country: " &amp;UPPER(Country)</f>
        <v>Country: SWEDEN</v>
      </c>
      <c r="AL168" s="222"/>
      <c r="AM168" s="67"/>
      <c r="AN168" s="1"/>
      <c r="AO168" s="1"/>
      <c r="AP168" s="65"/>
      <c r="AQ168" s="65"/>
      <c r="AR168" s="65"/>
      <c r="AS168" s="65"/>
      <c r="AT168" s="65"/>
      <c r="AU168" s="65"/>
      <c r="AV168" s="196"/>
      <c r="AW168" s="258"/>
      <c r="AX168" s="258"/>
      <c r="AY168" s="258"/>
      <c r="AZ168" s="54"/>
      <c r="BA168" s="45"/>
      <c r="BB168" s="54"/>
      <c r="BC168" s="54"/>
    </row>
    <row r="169" spans="1:55" ht="15">
      <c r="A169" s="45"/>
      <c r="B169" s="2052"/>
      <c r="C169" s="2418" t="str">
        <f>"Currency unit: " &amp; Currency</f>
        <v>Currency unit: bn SEK</v>
      </c>
      <c r="D169" s="2548"/>
      <c r="E169" s="2420"/>
      <c r="F169" s="2420"/>
      <c r="G169" s="2420"/>
      <c r="H169" s="2420"/>
      <c r="I169" s="2420"/>
      <c r="J169" s="2420"/>
      <c r="K169" s="2420"/>
      <c r="L169" s="2420"/>
      <c r="M169" s="2420"/>
      <c r="N169" s="2520"/>
      <c r="O169" s="258"/>
      <c r="P169" s="258"/>
      <c r="Q169" s="258"/>
      <c r="R169" s="54"/>
      <c r="S169" s="259"/>
      <c r="T169" s="63" t="str">
        <f>"Currency unit: " &amp; Currency</f>
        <v>Currency unit: bn SEK</v>
      </c>
      <c r="U169" s="222"/>
      <c r="V169" s="65"/>
      <c r="W169" s="65"/>
      <c r="X169" s="2066" t="str">
        <f>$T$4</f>
        <v>final storage SF18</v>
      </c>
      <c r="Y169" s="65"/>
      <c r="Z169" s="65"/>
      <c r="AA169" s="65"/>
      <c r="AB169" s="65"/>
      <c r="AC169" s="65"/>
      <c r="AD169" s="65"/>
      <c r="AE169" s="196"/>
      <c r="AF169" s="45"/>
      <c r="AG169" s="45"/>
      <c r="AH169" s="45"/>
      <c r="AI169" s="45"/>
      <c r="AJ169" s="259"/>
      <c r="AK169" s="63" t="str">
        <f>"Currency unit: " &amp; Currency</f>
        <v>Currency unit: bn SEK</v>
      </c>
      <c r="AL169" s="222"/>
      <c r="AM169" s="65"/>
      <c r="AN169" s="65"/>
      <c r="AO169" s="65"/>
      <c r="AP169" s="65"/>
      <c r="AQ169" s="65"/>
      <c r="AR169" s="65"/>
      <c r="AS169" s="65"/>
      <c r="AT169" s="65"/>
      <c r="AU169" s="65"/>
      <c r="AV169" s="196"/>
      <c r="AW169" s="258"/>
      <c r="AX169" s="258"/>
      <c r="AY169" s="258"/>
      <c r="AZ169" s="54"/>
      <c r="BA169" s="45"/>
      <c r="BB169" s="54"/>
      <c r="BC169" s="54"/>
    </row>
    <row r="170" spans="1:55" ht="13.15" thickBot="1">
      <c r="A170" s="45"/>
      <c r="B170" s="2052"/>
      <c r="C170" s="2424" t="s">
        <v>576</v>
      </c>
      <c r="D170" s="2424"/>
      <c r="E170" s="2420"/>
      <c r="F170" s="2420"/>
      <c r="G170" s="2420"/>
      <c r="H170" s="2420"/>
      <c r="I170" s="2420"/>
      <c r="J170" s="2420"/>
      <c r="K170" s="2420"/>
      <c r="L170" s="3878">
        <f ca="1">NOW()</f>
        <v>43493.476067824071</v>
      </c>
      <c r="M170" s="3878"/>
      <c r="N170" s="2472"/>
      <c r="O170" s="139"/>
      <c r="P170" s="54"/>
      <c r="Q170" s="54"/>
      <c r="R170" s="54"/>
      <c r="S170" s="259"/>
      <c r="T170" s="69" t="s">
        <v>576</v>
      </c>
      <c r="U170" s="69"/>
      <c r="V170" s="65"/>
      <c r="W170" s="65"/>
      <c r="X170" s="65"/>
      <c r="Y170" s="65"/>
      <c r="Z170" s="65"/>
      <c r="AA170" s="65"/>
      <c r="AB170" s="65"/>
      <c r="AC170" s="3879">
        <f ca="1">NOW()</f>
        <v>43493.476067824071</v>
      </c>
      <c r="AD170" s="3879"/>
      <c r="AE170" s="138"/>
      <c r="AF170" s="45"/>
      <c r="AG170" s="45"/>
      <c r="AH170" s="45"/>
      <c r="AI170" s="45"/>
      <c r="AJ170" s="259"/>
      <c r="AK170" s="69" t="s">
        <v>576</v>
      </c>
      <c r="AL170" s="69"/>
      <c r="AM170" s="65"/>
      <c r="AN170" s="65"/>
      <c r="AO170" s="65"/>
      <c r="AP170" s="65"/>
      <c r="AQ170" s="65"/>
      <c r="AR170" s="65"/>
      <c r="AS170" s="65"/>
      <c r="AT170" s="3879">
        <f ca="1">NOW()</f>
        <v>43493.476067824071</v>
      </c>
      <c r="AU170" s="3879"/>
      <c r="AV170" s="138"/>
      <c r="AW170" s="139"/>
      <c r="AX170" s="54"/>
      <c r="AY170" s="54"/>
      <c r="AZ170" s="54"/>
      <c r="BA170" s="45"/>
      <c r="BB170" s="54"/>
      <c r="BC170" s="54"/>
    </row>
    <row r="171" spans="1:55" ht="13.15">
      <c r="A171" s="45"/>
      <c r="B171" s="2052"/>
      <c r="C171" s="2426"/>
      <c r="D171" s="2427"/>
      <c r="E171" s="2599"/>
      <c r="F171" s="2427"/>
      <c r="G171" s="2600"/>
      <c r="H171" s="2601" t="s">
        <v>1218</v>
      </c>
      <c r="I171" s="2602"/>
      <c r="J171" s="2602"/>
      <c r="K171" s="2602"/>
      <c r="L171" s="2602"/>
      <c r="M171" s="2603"/>
      <c r="N171" s="2432"/>
      <c r="O171" s="147"/>
      <c r="P171" s="54"/>
      <c r="Q171" s="54"/>
      <c r="R171" s="54"/>
      <c r="S171" s="259"/>
      <c r="T171" s="191"/>
      <c r="U171" s="73"/>
      <c r="V171" s="262"/>
      <c r="W171" s="73"/>
      <c r="X171" s="263"/>
      <c r="Y171" s="264" t="s">
        <v>1218</v>
      </c>
      <c r="Z171" s="265"/>
      <c r="AA171" s="265"/>
      <c r="AB171" s="265"/>
      <c r="AC171" s="265"/>
      <c r="AD171" s="266"/>
      <c r="AE171" s="267"/>
      <c r="AF171" s="45"/>
      <c r="AG171" s="45"/>
      <c r="AH171" s="45"/>
      <c r="AI171" s="45"/>
      <c r="AJ171" s="259"/>
      <c r="AK171" s="191"/>
      <c r="AL171" s="73"/>
      <c r="AM171" s="262"/>
      <c r="AN171" s="73"/>
      <c r="AO171" s="263"/>
      <c r="AP171" s="264" t="s">
        <v>1218</v>
      </c>
      <c r="AQ171" s="265"/>
      <c r="AR171" s="265"/>
      <c r="AS171" s="265"/>
      <c r="AT171" s="265"/>
      <c r="AU171" s="266"/>
      <c r="AV171" s="267"/>
      <c r="AW171" s="147"/>
      <c r="AX171" s="54"/>
      <c r="AY171" s="54"/>
      <c r="AZ171" s="54"/>
      <c r="BA171" s="45"/>
      <c r="BB171" s="54"/>
      <c r="BC171" s="54"/>
    </row>
    <row r="172" spans="1:55" ht="13.15">
      <c r="A172" s="45"/>
      <c r="B172" s="2052"/>
      <c r="C172" s="1721"/>
      <c r="D172" s="2420"/>
      <c r="E172" s="2475" t="s">
        <v>576</v>
      </c>
      <c r="F172" s="3915">
        <f>E16</f>
        <v>2017</v>
      </c>
      <c r="G172" s="3929"/>
      <c r="H172" s="3915">
        <f>F172+1</f>
        <v>2018</v>
      </c>
      <c r="I172" s="3929"/>
      <c r="J172" s="3915">
        <f>H172+1</f>
        <v>2019</v>
      </c>
      <c r="K172" s="3929"/>
      <c r="L172" s="3916">
        <f>J172+1</f>
        <v>2020</v>
      </c>
      <c r="M172" s="3917"/>
      <c r="N172" s="2515"/>
      <c r="O172" s="228"/>
      <c r="P172" s="54"/>
      <c r="Q172" s="54"/>
      <c r="R172" s="54"/>
      <c r="S172" s="259"/>
      <c r="T172" s="40"/>
      <c r="U172" s="65"/>
      <c r="V172" s="146" t="s">
        <v>576</v>
      </c>
      <c r="W172" s="3918">
        <f>Last_forecast_year - 3</f>
        <v>2017</v>
      </c>
      <c r="X172" s="3930"/>
      <c r="Y172" s="3918">
        <f>W172+1</f>
        <v>2018</v>
      </c>
      <c r="Z172" s="3930"/>
      <c r="AA172" s="3918">
        <f>Y172+1</f>
        <v>2019</v>
      </c>
      <c r="AB172" s="3930"/>
      <c r="AC172" s="3919">
        <f>AA172+1</f>
        <v>2020</v>
      </c>
      <c r="AD172" s="3920"/>
      <c r="AE172" s="192"/>
      <c r="AF172" s="45"/>
      <c r="AG172" s="45"/>
      <c r="AH172" s="45"/>
      <c r="AI172" s="45"/>
      <c r="AJ172" s="259"/>
      <c r="AK172" s="40"/>
      <c r="AL172" s="65"/>
      <c r="AM172" s="146" t="s">
        <v>576</v>
      </c>
      <c r="AN172" s="3918">
        <f>Last_forecast_year - 3</f>
        <v>2017</v>
      </c>
      <c r="AO172" s="3930"/>
      <c r="AP172" s="3918">
        <f>AN172+1</f>
        <v>2018</v>
      </c>
      <c r="AQ172" s="3930"/>
      <c r="AR172" s="3918">
        <f>AP172+1</f>
        <v>2019</v>
      </c>
      <c r="AS172" s="3930"/>
      <c r="AT172" s="3919">
        <f>AR172+1</f>
        <v>2020</v>
      </c>
      <c r="AU172" s="3920"/>
      <c r="AV172" s="192"/>
      <c r="AW172" s="228"/>
      <c r="AX172" s="54"/>
      <c r="AY172" s="54"/>
      <c r="AZ172" s="54"/>
      <c r="BA172" s="45"/>
      <c r="BB172" s="54"/>
      <c r="BC172" s="54"/>
    </row>
    <row r="173" spans="1:55" ht="13.15">
      <c r="A173" s="45"/>
      <c r="B173" s="2604"/>
      <c r="C173" s="1721"/>
      <c r="D173" s="2420"/>
      <c r="E173" s="2605" t="s">
        <v>1794</v>
      </c>
      <c r="F173" s="2605" t="s">
        <v>1219</v>
      </c>
      <c r="G173" s="2606" t="s">
        <v>1220</v>
      </c>
      <c r="H173" s="2607" t="s">
        <v>1219</v>
      </c>
      <c r="I173" s="2606" t="s">
        <v>1220</v>
      </c>
      <c r="J173" s="2607" t="s">
        <v>1219</v>
      </c>
      <c r="K173" s="2606" t="s">
        <v>1220</v>
      </c>
      <c r="L173" s="2607" t="s">
        <v>1219</v>
      </c>
      <c r="M173" s="2608" t="s">
        <v>1220</v>
      </c>
      <c r="N173" s="3279"/>
      <c r="O173" s="3282" t="s">
        <v>2346</v>
      </c>
      <c r="P173" s="54"/>
      <c r="Q173" s="54"/>
      <c r="R173" s="54"/>
      <c r="S173" s="268"/>
      <c r="T173" s="40"/>
      <c r="U173" s="65"/>
      <c r="V173" s="269" t="s">
        <v>1794</v>
      </c>
      <c r="W173" s="269" t="s">
        <v>1219</v>
      </c>
      <c r="X173" s="270" t="s">
        <v>1220</v>
      </c>
      <c r="Y173" s="271" t="s">
        <v>1219</v>
      </c>
      <c r="Z173" s="270" t="s">
        <v>1220</v>
      </c>
      <c r="AA173" s="271" t="s">
        <v>1219</v>
      </c>
      <c r="AB173" s="270" t="s">
        <v>1220</v>
      </c>
      <c r="AC173" s="271" t="s">
        <v>1219</v>
      </c>
      <c r="AD173" s="272" t="s">
        <v>1220</v>
      </c>
      <c r="AE173" s="273"/>
      <c r="AF173" s="45"/>
      <c r="AG173" s="45"/>
      <c r="AH173" s="45"/>
      <c r="AI173" s="45"/>
      <c r="AJ173" s="268"/>
      <c r="AK173" s="40"/>
      <c r="AL173" s="65"/>
      <c r="AM173" s="269" t="s">
        <v>1794</v>
      </c>
      <c r="AN173" s="269" t="s">
        <v>1219</v>
      </c>
      <c r="AO173" s="270" t="s">
        <v>1220</v>
      </c>
      <c r="AP173" s="271" t="s">
        <v>1219</v>
      </c>
      <c r="AQ173" s="270" t="s">
        <v>1220</v>
      </c>
      <c r="AR173" s="271" t="s">
        <v>1219</v>
      </c>
      <c r="AS173" s="270" t="s">
        <v>1220</v>
      </c>
      <c r="AT173" s="271" t="s">
        <v>1219</v>
      </c>
      <c r="AU173" s="272" t="s">
        <v>1220</v>
      </c>
      <c r="AV173" s="273"/>
      <c r="AW173" s="178"/>
      <c r="AX173" s="54"/>
      <c r="AY173" s="54"/>
      <c r="AZ173" s="54"/>
      <c r="BA173" s="45"/>
      <c r="BB173" s="54"/>
      <c r="BC173" s="54"/>
    </row>
    <row r="174" spans="1:55" ht="13.15">
      <c r="A174" s="45"/>
      <c r="B174" s="2610"/>
      <c r="C174" s="2453" t="s">
        <v>1796</v>
      </c>
      <c r="D174" s="2412"/>
      <c r="E174" s="2491" t="s">
        <v>1797</v>
      </c>
      <c r="F174" s="2445">
        <f ca="1">Transfer!D136</f>
        <v>2040.8019999999999</v>
      </c>
      <c r="G174" s="2445">
        <f ca="1">100*((Transfer!D136/Transfer!C136)-1)</f>
        <v>3.9840824208579484</v>
      </c>
      <c r="H174" s="2435">
        <f ca="1">Transfer!E136</f>
        <v>2125.3075292159997</v>
      </c>
      <c r="I174" s="2445">
        <f ca="1">100*((Transfer!E136/Transfer!D136)-1)</f>
        <v>4.1407999999999889</v>
      </c>
      <c r="J174" s="2435">
        <f ca="1">Transfer!F136</f>
        <v>2211.7992569557268</v>
      </c>
      <c r="K174" s="2445">
        <f ca="1">100*((Transfer!F136/Transfer!E136)-1)</f>
        <v>4.0696099999999902</v>
      </c>
      <c r="L174" s="2435">
        <f ca="1">Transfer!G136</f>
        <v>2298.8954880961292</v>
      </c>
      <c r="M174" s="2447">
        <f ca="1">100*((Transfer!G136/Transfer!F136)-1)</f>
        <v>3.9377999999999913</v>
      </c>
      <c r="N174" s="3272"/>
      <c r="O174" s="3281">
        <f ca="1">+H174/$H$187</f>
        <v>0.44247970686601701</v>
      </c>
      <c r="P174" s="54"/>
      <c r="Q174" s="54"/>
      <c r="R174" s="54"/>
      <c r="S174" s="274"/>
      <c r="T174" s="148" t="s">
        <v>1796</v>
      </c>
      <c r="U174" s="57"/>
      <c r="V174" s="152" t="s">
        <v>1797</v>
      </c>
      <c r="W174" s="2141">
        <f t="shared" ref="W174:AD201" ca="1" si="12">ROUND(F174,1)-ROUND(AN174,1)</f>
        <v>91</v>
      </c>
      <c r="X174" s="2141">
        <f t="shared" ca="1" si="12"/>
        <v>0.79999999999999982</v>
      </c>
      <c r="Y174" s="2141">
        <f t="shared" ca="1" si="12"/>
        <v>95.300000000000182</v>
      </c>
      <c r="Z174" s="2141">
        <f t="shared" ca="1" si="12"/>
        <v>0</v>
      </c>
      <c r="AA174" s="2141">
        <f t="shared" ca="1" si="12"/>
        <v>96.5</v>
      </c>
      <c r="AB174" s="2141">
        <f t="shared" ca="1" si="12"/>
        <v>-0.10000000000000053</v>
      </c>
      <c r="AC174" s="2141">
        <f t="shared" ca="1" si="12"/>
        <v>91</v>
      </c>
      <c r="AD174" s="2142">
        <f t="shared" ca="1" si="12"/>
        <v>-0.50000000000000044</v>
      </c>
      <c r="AE174" s="82"/>
      <c r="AF174" s="45"/>
      <c r="AG174" s="45"/>
      <c r="AH174" s="45"/>
      <c r="AI174" s="45"/>
      <c r="AJ174" s="274"/>
      <c r="AK174" s="148" t="s">
        <v>1796</v>
      </c>
      <c r="AL174" s="57"/>
      <c r="AM174" s="152" t="s">
        <v>1797</v>
      </c>
      <c r="AN174" s="91">
        <f>Transfer!AD136</f>
        <v>1949.7529999999999</v>
      </c>
      <c r="AO174" s="91">
        <f>100*((Transfer!AD136/Transfer!AC136)-1)</f>
        <v>3.2106277006893613</v>
      </c>
      <c r="AP174" s="80">
        <f>Transfer!AE136</f>
        <v>2029.9870000000001</v>
      </c>
      <c r="AQ174" s="91">
        <f>100*((Transfer!AE136/Transfer!AD136)-1)</f>
        <v>4.1150853467080362</v>
      </c>
      <c r="AR174" s="80">
        <f>Transfer!AF136</f>
        <v>2115.3061356178</v>
      </c>
      <c r="AS174" s="91">
        <f>100*((Transfer!AF136/Transfer!AE136)-1)</f>
        <v>4.2029399999999884</v>
      </c>
      <c r="AT174" s="80">
        <f>Transfer!AG136</f>
        <v>2207.8894891533605</v>
      </c>
      <c r="AU174" s="93">
        <f>100*((Transfer!AG136/Transfer!AF136)-1)</f>
        <v>4.3768299999999982</v>
      </c>
      <c r="AV174" s="82"/>
      <c r="AW174" s="150"/>
      <c r="AX174" s="54"/>
      <c r="AY174" s="54"/>
      <c r="AZ174" s="54"/>
      <c r="BA174" s="1761" t="s">
        <v>12</v>
      </c>
      <c r="BB174" s="54"/>
      <c r="BC174" s="54"/>
    </row>
    <row r="175" spans="1:55" ht="13.15">
      <c r="A175" s="45"/>
      <c r="B175" s="2610"/>
      <c r="C175" s="1721" t="s">
        <v>121</v>
      </c>
      <c r="D175" s="2420"/>
      <c r="E175" s="2491" t="s">
        <v>1797</v>
      </c>
      <c r="F175" s="2445">
        <f ca="1">Transfer!D137</f>
        <v>1195.6489999999999</v>
      </c>
      <c r="G175" s="2445">
        <f ca="1">100*((Transfer!D137/Transfer!C137)-1)</f>
        <v>3.6514935051424668</v>
      </c>
      <c r="H175" s="2446">
        <f ca="1">Transfer!E137</f>
        <v>1249.4058572996</v>
      </c>
      <c r="I175" s="2445">
        <f ca="1">100*((Transfer!E137/Transfer!D137)-1)</f>
        <v>4.4960400000000122</v>
      </c>
      <c r="J175" s="2446">
        <f ca="1">Transfer!F137</f>
        <v>1295.9487242957246</v>
      </c>
      <c r="K175" s="2445">
        <f ca="1">100*((Transfer!F137/Transfer!E137)-1)</f>
        <v>3.7251999999999841</v>
      </c>
      <c r="L175" s="2446">
        <f ca="1">Transfer!G137</f>
        <v>1342.0090746648987</v>
      </c>
      <c r="M175" s="2447">
        <f ca="1">100*((Transfer!G137/Transfer!F137)-1)</f>
        <v>3.554180000000029</v>
      </c>
      <c r="N175" s="3272"/>
      <c r="O175" s="3281">
        <f t="shared" ref="O175:O187" ca="1" si="13">+H175/$H$187</f>
        <v>0.26012082011422905</v>
      </c>
      <c r="P175" s="54"/>
      <c r="Q175" s="54"/>
      <c r="R175" s="54"/>
      <c r="S175" s="274"/>
      <c r="T175" s="40" t="s">
        <v>121</v>
      </c>
      <c r="U175" s="65"/>
      <c r="V175" s="152" t="s">
        <v>1797</v>
      </c>
      <c r="W175" s="2141">
        <f t="shared" ca="1" si="12"/>
        <v>43.899999999999864</v>
      </c>
      <c r="X175" s="2141">
        <f t="shared" ca="1" si="12"/>
        <v>-2.2999999999999998</v>
      </c>
      <c r="Y175" s="2141">
        <f t="shared" ca="1" si="12"/>
        <v>51.200000000000045</v>
      </c>
      <c r="Z175" s="2141">
        <f t="shared" ca="1" si="12"/>
        <v>0.5</v>
      </c>
      <c r="AA175" s="2141">
        <f t="shared" ca="1" si="12"/>
        <v>40.200000000000045</v>
      </c>
      <c r="AB175" s="2141">
        <f t="shared" ca="1" si="12"/>
        <v>-1.0999999999999996</v>
      </c>
      <c r="AC175" s="2141">
        <f t="shared" ca="1" si="12"/>
        <v>35.400000000000091</v>
      </c>
      <c r="AD175" s="2143">
        <f t="shared" ca="1" si="12"/>
        <v>-0.49999999999999956</v>
      </c>
      <c r="AE175" s="82"/>
      <c r="AF175" s="45"/>
      <c r="AG175" s="45"/>
      <c r="AH175" s="45"/>
      <c r="AI175" s="45"/>
      <c r="AJ175" s="274"/>
      <c r="AK175" s="40" t="s">
        <v>121</v>
      </c>
      <c r="AL175" s="65"/>
      <c r="AM175" s="152" t="s">
        <v>1797</v>
      </c>
      <c r="AN175" s="91">
        <f>Transfer!AD137</f>
        <v>1151.7449999999999</v>
      </c>
      <c r="AO175" s="91">
        <f>100*((Transfer!AD137/Transfer!AC137)-1)</f>
        <v>5.9923801109853292</v>
      </c>
      <c r="AP175" s="92">
        <f>Transfer!AE137</f>
        <v>1198.192</v>
      </c>
      <c r="AQ175" s="91">
        <f>100*((Transfer!AE137/Transfer!AD137)-1)</f>
        <v>4.0327503049720326</v>
      </c>
      <c r="AR175" s="92">
        <f>Transfer!AF137</f>
        <v>1255.6560901280002</v>
      </c>
      <c r="AS175" s="91">
        <f>100*((Transfer!AF137/Transfer!AE137)-1)</f>
        <v>4.7959000000000085</v>
      </c>
      <c r="AT175" s="92">
        <f>Transfer!AG137</f>
        <v>1306.5925328176968</v>
      </c>
      <c r="AU175" s="93">
        <f>100*((Transfer!AG137/Transfer!AF137)-1)</f>
        <v>4.056560000000009</v>
      </c>
      <c r="AV175" s="82"/>
      <c r="AW175" s="150"/>
      <c r="AX175" s="54"/>
      <c r="AY175" s="54"/>
      <c r="AZ175" s="54"/>
      <c r="BA175" s="1762" t="s">
        <v>13</v>
      </c>
      <c r="BB175" s="54"/>
      <c r="BC175" s="54"/>
    </row>
    <row r="176" spans="1:55">
      <c r="A176" s="45"/>
      <c r="B176" s="1728"/>
      <c r="C176" s="1721" t="s">
        <v>1164</v>
      </c>
      <c r="D176" s="2420"/>
      <c r="E176" s="2491" t="s">
        <v>123</v>
      </c>
      <c r="F176" s="2445">
        <f ca="1">Transfer!D138</f>
        <v>1142.6130000000001</v>
      </c>
      <c r="G176" s="2445">
        <f ca="1">100*((Transfer!D138/Transfer!C138)-1)</f>
        <v>8.8409136588744062</v>
      </c>
      <c r="H176" s="2446">
        <f ca="1">Transfer!E138</f>
        <v>1230.7812447398999</v>
      </c>
      <c r="I176" s="2445">
        <f ca="1">100*((Transfer!E138/Transfer!D138)-1)</f>
        <v>7.7163698242449286</v>
      </c>
      <c r="J176" s="2446">
        <f ca="1">Transfer!F138</f>
        <v>1285.1201335360051</v>
      </c>
      <c r="K176" s="2445">
        <f ca="1">100*((Transfer!F138/Transfer!E138)-1)</f>
        <v>4.4149916183999549</v>
      </c>
      <c r="L176" s="2446">
        <f ca="1">Transfer!G138</f>
        <v>1330.758614191782</v>
      </c>
      <c r="M176" s="2447">
        <f ca="1">100*((Transfer!G138/Transfer!F138)-1)</f>
        <v>3.5513007278317854</v>
      </c>
      <c r="N176" s="3272"/>
      <c r="O176" s="3281">
        <f t="shared" ca="1" si="13"/>
        <v>0.25624325745912035</v>
      </c>
      <c r="P176" s="54"/>
      <c r="Q176" s="54"/>
      <c r="R176" s="54"/>
      <c r="S176" s="275"/>
      <c r="T176" s="40" t="s">
        <v>1164</v>
      </c>
      <c r="U176" s="65"/>
      <c r="V176" s="152" t="s">
        <v>123</v>
      </c>
      <c r="W176" s="2141">
        <f t="shared" ca="1" si="12"/>
        <v>83.099999999999909</v>
      </c>
      <c r="X176" s="2141">
        <f t="shared" ca="1" si="12"/>
        <v>1.7000000000000011</v>
      </c>
      <c r="Y176" s="2141">
        <f t="shared" ca="1" si="12"/>
        <v>82.200000000000045</v>
      </c>
      <c r="Z176" s="2141">
        <f t="shared" ca="1" si="12"/>
        <v>-0.70000000000000018</v>
      </c>
      <c r="AA176" s="2141">
        <f t="shared" ca="1" si="12"/>
        <v>65.099999999999909</v>
      </c>
      <c r="AB176" s="2141">
        <f t="shared" ca="1" si="12"/>
        <v>-1.7999999999999998</v>
      </c>
      <c r="AC176" s="2141">
        <f t="shared" ca="1" si="12"/>
        <v>66.5</v>
      </c>
      <c r="AD176" s="2143">
        <f t="shared" ca="1" si="12"/>
        <v>0</v>
      </c>
      <c r="AE176" s="82"/>
      <c r="AF176" s="45"/>
      <c r="AG176" s="45"/>
      <c r="AH176" s="45"/>
      <c r="AI176" s="45"/>
      <c r="AJ176" s="275"/>
      <c r="AK176" s="40" t="s">
        <v>1164</v>
      </c>
      <c r="AL176" s="65"/>
      <c r="AM176" s="152" t="s">
        <v>123</v>
      </c>
      <c r="AN176" s="91">
        <f>Transfer!AD138</f>
        <v>1059.5450000000001</v>
      </c>
      <c r="AO176" s="91">
        <f>100*((Transfer!AD138/Transfer!AC138)-1)</f>
        <v>7.0539440049306457</v>
      </c>
      <c r="AP176" s="92">
        <f>Transfer!AE138</f>
        <v>1148.6220000000001</v>
      </c>
      <c r="AQ176" s="91">
        <f>100*((Transfer!AE138/Transfer!AD138)-1)</f>
        <v>8.4070992737448549</v>
      </c>
      <c r="AR176" s="92">
        <f>Transfer!AF138</f>
        <v>1219.95335129413</v>
      </c>
      <c r="AS176" s="91">
        <f>100*((Transfer!AF138/Transfer!AE138)-1)</f>
        <v>6.2101676003184725</v>
      </c>
      <c r="AT176" s="92">
        <f>Transfer!AG138</f>
        <v>1264.3258485792428</v>
      </c>
      <c r="AU176" s="93">
        <f>100*((Transfer!AG138/Transfer!AF138)-1)</f>
        <v>3.6372290168343202</v>
      </c>
      <c r="AV176" s="82"/>
      <c r="AW176" s="150"/>
      <c r="AX176" s="54"/>
      <c r="AY176" s="54"/>
      <c r="AZ176" s="54"/>
      <c r="BA176" s="1762" t="s">
        <v>14</v>
      </c>
      <c r="BB176" s="54"/>
      <c r="BC176" s="54"/>
    </row>
    <row r="177" spans="1:55" ht="13.15">
      <c r="A177" s="45"/>
      <c r="B177" s="2611"/>
      <c r="C177" s="2612" t="s">
        <v>189</v>
      </c>
      <c r="D177" s="2613"/>
      <c r="E177" s="2614"/>
      <c r="F177" s="2450">
        <f ca="1">SUM(Transfer!D136,Transfer!D137,Transfer!D138)</f>
        <v>4379.0640000000003</v>
      </c>
      <c r="G177" s="2450">
        <f ca="1">100*((SUM(Transfer!D136,Transfer!D137,Transfer!D138)/SUM(Transfer!C136,Transfer!C137,Transfer!C138))-1)</f>
        <v>5.1158934396303035</v>
      </c>
      <c r="H177" s="2451">
        <f ca="1">SUM(Transfer!E136,Transfer!E137,Transfer!E138)</f>
        <v>4605.4946312554994</v>
      </c>
      <c r="I177" s="2450">
        <f ca="1">100*((SUM(Transfer!E136,Transfer!E137,Transfer!E138)/SUM(Transfer!D136,Transfer!D137,Transfer!D138))-1)</f>
        <v>5.1707540984899714</v>
      </c>
      <c r="J177" s="2451">
        <f ca="1">SUM(Transfer!F136,Transfer!F137,Transfer!F138)</f>
        <v>4792.8681147874559</v>
      </c>
      <c r="K177" s="2450">
        <f ca="1">100*((SUM(Transfer!F136,Transfer!F137,Transfer!F138)/SUM(Transfer!E136,Transfer!E137,Transfer!E138))-1)</f>
        <v>4.0684768637082591</v>
      </c>
      <c r="L177" s="2451">
        <f ca="1">SUM(Transfer!G136,Transfer!G137,Transfer!G138)</f>
        <v>4971.6631769528094</v>
      </c>
      <c r="M177" s="2452">
        <f ca="1">100*((SUM(Transfer!G136,Transfer!G137,Transfer!G138)/SUM(Transfer!F136,Transfer!F137,Transfer!F138))-1)</f>
        <v>3.7304398511136982</v>
      </c>
      <c r="N177" s="3273"/>
      <c r="O177" s="3280">
        <f t="shared" ca="1" si="13"/>
        <v>0.95884378443936635</v>
      </c>
      <c r="P177" s="54"/>
      <c r="Q177" s="54"/>
      <c r="R177" s="54"/>
      <c r="S177" s="276"/>
      <c r="T177" s="154" t="s">
        <v>189</v>
      </c>
      <c r="U177" s="277"/>
      <c r="V177" s="155"/>
      <c r="W177" s="2144">
        <f t="shared" ca="1" si="12"/>
        <v>218.10000000000036</v>
      </c>
      <c r="X177" s="2144">
        <f t="shared" ca="1" si="12"/>
        <v>0.19999999999999929</v>
      </c>
      <c r="Y177" s="2144">
        <f t="shared" ca="1" si="12"/>
        <v>228.69999999999982</v>
      </c>
      <c r="Z177" s="2144">
        <f t="shared" ca="1" si="12"/>
        <v>0</v>
      </c>
      <c r="AA177" s="2144">
        <f t="shared" ca="1" si="12"/>
        <v>202</v>
      </c>
      <c r="AB177" s="2144">
        <f t="shared" ca="1" si="12"/>
        <v>-0.80000000000000071</v>
      </c>
      <c r="AC177" s="2144">
        <f t="shared" ca="1" si="12"/>
        <v>192.89999999999964</v>
      </c>
      <c r="AD177" s="2145">
        <f t="shared" ca="1" si="12"/>
        <v>-0.39999999999999947</v>
      </c>
      <c r="AE177" s="82"/>
      <c r="AF177" s="45"/>
      <c r="AG177" s="45"/>
      <c r="AH177" s="45"/>
      <c r="AI177" s="45"/>
      <c r="AJ177" s="276"/>
      <c r="AK177" s="154" t="s">
        <v>189</v>
      </c>
      <c r="AL177" s="277"/>
      <c r="AM177" s="155"/>
      <c r="AN177" s="96">
        <f>SUM(Transfer!AD136,Transfer!AD137,Transfer!AD138)</f>
        <v>4161.0429999999997</v>
      </c>
      <c r="AO177" s="96">
        <f>100*((SUM(Transfer!AD136,Transfer!AD137,Transfer!AD138)/SUM(Transfer!AC136,Transfer!AC137,Transfer!AC138))-1)</f>
        <v>4.932137776667056</v>
      </c>
      <c r="AP177" s="97">
        <f>SUM(Transfer!AE136,Transfer!AE137,Transfer!AE138)</f>
        <v>4376.8010000000004</v>
      </c>
      <c r="AQ177" s="96">
        <f>100*((SUM(Transfer!AE136,Transfer!AE137,Transfer!AE138)/SUM(Transfer!AD136,Transfer!AD137,Transfer!AD138))-1)</f>
        <v>5.1851903477085237</v>
      </c>
      <c r="AR177" s="97">
        <f>SUM(Transfer!AF136,Transfer!AF137,Transfer!AF138)</f>
        <v>4590.9155770399302</v>
      </c>
      <c r="AS177" s="96">
        <f>100*((SUM(Transfer!AF136,Transfer!AF137,Transfer!AF138)/SUM(Transfer!AE136,Transfer!AE137,Transfer!AE138))-1)</f>
        <v>4.892033634609616</v>
      </c>
      <c r="AT177" s="97">
        <f>SUM(Transfer!AG136,Transfer!AG137,Transfer!AG138)</f>
        <v>4778.8078705503003</v>
      </c>
      <c r="AU177" s="98">
        <f>100*((SUM(Transfer!AG136,Transfer!AG137,Transfer!AG138)/SUM(Transfer!AF136,Transfer!AF137,Transfer!AF138))-1)</f>
        <v>4.0926976407507087</v>
      </c>
      <c r="AV177" s="82"/>
      <c r="AW177" s="150"/>
      <c r="AX177" s="54"/>
      <c r="AY177" s="54"/>
      <c r="AZ177" s="54"/>
      <c r="BA177" s="1762" t="s">
        <v>15</v>
      </c>
      <c r="BB177" s="54"/>
      <c r="BC177" s="54"/>
    </row>
    <row r="178" spans="1:55">
      <c r="A178" s="45"/>
      <c r="B178" s="2611"/>
      <c r="C178" s="2453" t="s">
        <v>1037</v>
      </c>
      <c r="D178" s="2412"/>
      <c r="E178" s="2615" t="s">
        <v>124</v>
      </c>
      <c r="F178" s="2434">
        <f ca="1">100*Transfer!D142/Transfer!D147</f>
        <v>0.67171169313845969</v>
      </c>
      <c r="G178" s="2616"/>
      <c r="H178" s="2434">
        <f ca="1">100*Transfer!E142/Transfer!E147</f>
        <v>0.80760595328446005</v>
      </c>
      <c r="I178" s="2616"/>
      <c r="J178" s="2434">
        <f ca="1">100*Transfer!F142/Transfer!F147</f>
        <v>0.66591265427278357</v>
      </c>
      <c r="K178" s="2616"/>
      <c r="L178" s="2617">
        <f ca="1">100*Transfer!G142/Transfer!G147</f>
        <v>0.64311323436321088</v>
      </c>
      <c r="M178" s="2618"/>
      <c r="N178" s="3273"/>
      <c r="O178" s="3280">
        <f t="shared" ca="1" si="13"/>
        <v>1.6814001764929517E-4</v>
      </c>
      <c r="P178" s="54"/>
      <c r="Q178" s="54"/>
      <c r="R178" s="54"/>
      <c r="S178" s="276"/>
      <c r="T178" s="148" t="s">
        <v>1037</v>
      </c>
      <c r="U178" s="57"/>
      <c r="V178" s="149" t="s">
        <v>124</v>
      </c>
      <c r="W178" s="2141">
        <f t="shared" ca="1" si="12"/>
        <v>0</v>
      </c>
      <c r="X178" s="2146">
        <f t="shared" si="12"/>
        <v>0</v>
      </c>
      <c r="Y178" s="2141">
        <f t="shared" ca="1" si="12"/>
        <v>0</v>
      </c>
      <c r="Z178" s="2146">
        <f t="shared" si="12"/>
        <v>0</v>
      </c>
      <c r="AA178" s="2141">
        <f t="shared" ca="1" si="12"/>
        <v>0</v>
      </c>
      <c r="AB178" s="2146">
        <f t="shared" si="12"/>
        <v>0</v>
      </c>
      <c r="AC178" s="2141">
        <f t="shared" ca="1" si="12"/>
        <v>-9.9999999999999978E-2</v>
      </c>
      <c r="AD178" s="2143">
        <f t="shared" si="12"/>
        <v>0</v>
      </c>
      <c r="AE178" s="281"/>
      <c r="AF178" s="45"/>
      <c r="AG178" s="45"/>
      <c r="AH178" s="45"/>
      <c r="AI178" s="45"/>
      <c r="AJ178" s="276"/>
      <c r="AK178" s="148" t="s">
        <v>1037</v>
      </c>
      <c r="AL178" s="57"/>
      <c r="AM178" s="149" t="s">
        <v>124</v>
      </c>
      <c r="AN178" s="79">
        <f>100*Transfer!AD142/Transfer!AD147</f>
        <v>0.69510502401697061</v>
      </c>
      <c r="AO178" s="278"/>
      <c r="AP178" s="79">
        <f>100*Transfer!AE142/Transfer!AE147</f>
        <v>0.76530041559834971</v>
      </c>
      <c r="AQ178" s="278"/>
      <c r="AR178" s="79">
        <f>100*Transfer!AF142/Transfer!AF147</f>
        <v>0.7303806105715247</v>
      </c>
      <c r="AS178" s="278"/>
      <c r="AT178" s="279">
        <f>100*Transfer!AG142/Transfer!AG147</f>
        <v>0.69995792315287098</v>
      </c>
      <c r="AU178" s="280"/>
      <c r="AV178" s="281"/>
      <c r="AW178" s="150"/>
      <c r="AX178" s="54"/>
      <c r="AY178" s="54"/>
      <c r="AZ178" s="54"/>
      <c r="BA178" s="1762" t="s">
        <v>238</v>
      </c>
      <c r="BB178" s="54"/>
      <c r="BC178" s="54"/>
    </row>
    <row r="179" spans="1:55" ht="13.15">
      <c r="A179" s="45"/>
      <c r="B179" s="1728"/>
      <c r="C179" s="2531" t="s">
        <v>188</v>
      </c>
      <c r="D179" s="2420"/>
      <c r="E179" s="2614"/>
      <c r="F179" s="2620">
        <f ca="1">SUM(Transfer!D136,Transfer!D137,Transfer!D138,Transfer!D142)</f>
        <v>4409.8209999999999</v>
      </c>
      <c r="G179" s="2620">
        <f ca="1">100*((SUM(Transfer!D136,Transfer!D137,Transfer!D138,Transfer!D142)/SUM(Transfer!C136,Transfer!C137,Transfer!C138,Transfer!C142))-1)</f>
        <v>5.2118231396195869</v>
      </c>
      <c r="H179" s="2621">
        <f ca="1">SUM(Transfer!E136,Transfer!E137,Transfer!E138,Transfer!E142)</f>
        <v>4644.2853596554996</v>
      </c>
      <c r="I179" s="2620">
        <f ca="1">100*((SUM(Transfer!E136,Transfer!E137,Transfer!E138,Transfer!E142)/SUM(Transfer!D136,Transfer!D137,Transfer!D138,Transfer!D142))-1)</f>
        <v>5.3168679557628273</v>
      </c>
      <c r="J179" s="2620">
        <f ca="1">SUM(Transfer!F136,Transfer!F137,Transfer!F138,Transfer!F142)</f>
        <v>4826.062504801188</v>
      </c>
      <c r="K179" s="2620">
        <f ca="1">100*((SUM(Transfer!F136,Transfer!F137,Transfer!F138,Transfer!F142)/SUM(Transfer!E136,Transfer!E137,Transfer!E138,Transfer!E142))-1)</f>
        <v>3.9139960417757802</v>
      </c>
      <c r="L179" s="2620">
        <f ca="1">SUM(Transfer!G136,Transfer!G137,Transfer!G138,Transfer!G142)</f>
        <v>5004.8575669665415</v>
      </c>
      <c r="M179" s="2622">
        <f ca="1">100*((SUM(Transfer!G136,Transfer!G137,Transfer!G138,Transfer!G142)/SUM(Transfer!F136,Transfer!F137,Transfer!F138,Transfer!F142))-1)</f>
        <v>3.7047813199161839</v>
      </c>
      <c r="N179" s="3273"/>
      <c r="O179" s="3280">
        <f t="shared" ca="1" si="13"/>
        <v>0.96691984397221109</v>
      </c>
      <c r="P179" s="54"/>
      <c r="Q179" s="54"/>
      <c r="R179" s="54"/>
      <c r="S179" s="275"/>
      <c r="T179" s="206" t="s">
        <v>188</v>
      </c>
      <c r="U179" s="65"/>
      <c r="V179" s="155"/>
      <c r="W179" s="2144">
        <f t="shared" ca="1" si="12"/>
        <v>218.10000000000036</v>
      </c>
      <c r="X179" s="2144">
        <f t="shared" ca="1" si="12"/>
        <v>0.29999999999999982</v>
      </c>
      <c r="Y179" s="2144">
        <f t="shared" ca="1" si="12"/>
        <v>232.30000000000018</v>
      </c>
      <c r="Z179" s="2144">
        <f t="shared" ca="1" si="12"/>
        <v>0</v>
      </c>
      <c r="AA179" s="2144">
        <f t="shared" ca="1" si="12"/>
        <v>199.90000000000055</v>
      </c>
      <c r="AB179" s="2144">
        <f t="shared" ca="1" si="12"/>
        <v>-1.0000000000000004</v>
      </c>
      <c r="AC179" s="2144">
        <f t="shared" ca="1" si="12"/>
        <v>190.89999999999964</v>
      </c>
      <c r="AD179" s="2145">
        <f t="shared" ca="1" si="12"/>
        <v>-0.39999999999999947</v>
      </c>
      <c r="AE179" s="85"/>
      <c r="AF179" s="45"/>
      <c r="AG179" s="45"/>
      <c r="AH179" s="45"/>
      <c r="AI179" s="45"/>
      <c r="AJ179" s="275"/>
      <c r="AK179" s="206" t="s">
        <v>188</v>
      </c>
      <c r="AL179" s="65"/>
      <c r="AM179" s="155"/>
      <c r="AN179" s="156">
        <f>SUM(Transfer!AD136,Transfer!AD137,Transfer!AD138,Transfer!AD142)</f>
        <v>4191.6610000000001</v>
      </c>
      <c r="AO179" s="156">
        <f>100*((SUM(Transfer!AD136,Transfer!AD137,Transfer!AD138,Transfer!AD142)/SUM(Transfer!AC136,Transfer!AC137,Transfer!AC138,Transfer!AC142))-1)</f>
        <v>4.904900971725179</v>
      </c>
      <c r="AP179" s="282">
        <f>SUM(Transfer!AE136,Transfer!AE137,Transfer!AE138,Transfer!AE142)</f>
        <v>4412.0370000000003</v>
      </c>
      <c r="AQ179" s="156">
        <f>100*((SUM(Transfer!AE136,Transfer!AE137,Transfer!AE138,Transfer!AE142)/SUM(Transfer!AD136,Transfer!AD137,Transfer!AD138,Transfer!AD142))-1)</f>
        <v>5.2574862327845695</v>
      </c>
      <c r="AR179" s="156">
        <f>SUM(Transfer!AF136,Transfer!AF137,Transfer!AF138,Transfer!AF142)</f>
        <v>4626.1515770399301</v>
      </c>
      <c r="AS179" s="156">
        <f>100*((SUM(Transfer!AF136,Transfer!AF137,Transfer!AF138,Transfer!AF142)/SUM(Transfer!AE136,Transfer!AE137,Transfer!AE138,Transfer!AE142))-1)</f>
        <v>4.8529642212866708</v>
      </c>
      <c r="AT179" s="156">
        <f>SUM(Transfer!AG136,Transfer!AG137,Transfer!AG138,Transfer!AG142)</f>
        <v>4814.0438705503002</v>
      </c>
      <c r="AU179" s="283">
        <f>100*((SUM(Transfer!AG136,Transfer!AG137,Transfer!AG138,Transfer!AG142)/SUM(Transfer!AF136,Transfer!AF137,Transfer!AF138,Transfer!AF142))-1)</f>
        <v>4.0615247983420755</v>
      </c>
      <c r="AV179" s="85"/>
      <c r="AW179" s="157"/>
      <c r="AX179" s="54"/>
      <c r="AY179" s="54"/>
      <c r="AZ179" s="54"/>
      <c r="BA179" s="1762" t="s">
        <v>16</v>
      </c>
      <c r="BB179" s="54"/>
      <c r="BC179" s="54"/>
    </row>
    <row r="180" spans="1:55">
      <c r="A180" s="45"/>
      <c r="B180" s="2611"/>
      <c r="C180" s="2453" t="s">
        <v>896</v>
      </c>
      <c r="D180" s="2412"/>
      <c r="E180" s="2491" t="s">
        <v>897</v>
      </c>
      <c r="F180" s="2445">
        <f ca="1">SUM(Transfer!D143,Transfer!D144)</f>
        <v>2076.6559999999999</v>
      </c>
      <c r="G180" s="2445">
        <f ca="1">100*((SUM(Transfer!D143,Transfer!D144)/SUM(Transfer!C143,Transfer!C144))-1)</f>
        <v>6.6509445590277494</v>
      </c>
      <c r="H180" s="2435">
        <f ca="1">SUM(Transfer!E143,Transfer!E144)</f>
        <v>2258.1871678207999</v>
      </c>
      <c r="I180" s="2445">
        <f ca="1">100*((SUM(Transfer!E143,Transfer!E144)/SUM(Transfer!D143,Transfer!D144))-1)</f>
        <v>8.7415136556463935</v>
      </c>
      <c r="J180" s="2435">
        <f ca="1">SUM(Transfer!F143,Transfer!F144)</f>
        <v>2386.5850196344786</v>
      </c>
      <c r="K180" s="2445">
        <f ca="1">100*((SUM(Transfer!F143,Transfer!F144)/SUM(Transfer!E143,Transfer!E144))-1)</f>
        <v>5.6858817392707817</v>
      </c>
      <c r="L180" s="2435">
        <f ca="1">SUM(Transfer!G143,Transfer!G144)</f>
        <v>2486.7314454445541</v>
      </c>
      <c r="M180" s="2447">
        <f ca="1">100*((SUM(Transfer!G143,Transfer!G144)/SUM(Transfer!F143,Transfer!F144))-1)</f>
        <v>4.1962228450346029</v>
      </c>
      <c r="N180" s="3272"/>
      <c r="O180" s="3281">
        <f t="shared" ca="1" si="13"/>
        <v>0.47014466486859069</v>
      </c>
      <c r="P180" s="54"/>
      <c r="Q180" s="54"/>
      <c r="R180" s="54"/>
      <c r="S180" s="276"/>
      <c r="T180" s="148" t="s">
        <v>896</v>
      </c>
      <c r="U180" s="57"/>
      <c r="V180" s="152" t="s">
        <v>897</v>
      </c>
      <c r="W180" s="2141">
        <f t="shared" ca="1" si="12"/>
        <v>126.59999999999991</v>
      </c>
      <c r="X180" s="2141">
        <f t="shared" ca="1" si="12"/>
        <v>4.8000000000000007</v>
      </c>
      <c r="Y180" s="2141">
        <f t="shared" ca="1" si="12"/>
        <v>172.29999999999973</v>
      </c>
      <c r="Z180" s="2141">
        <f t="shared" ca="1" si="12"/>
        <v>1.6999999999999993</v>
      </c>
      <c r="AA180" s="2141">
        <f t="shared" ca="1" si="12"/>
        <v>120.69999999999982</v>
      </c>
      <c r="AB180" s="2141">
        <f t="shared" ca="1" si="12"/>
        <v>-2.8999999999999995</v>
      </c>
      <c r="AC180" s="2141">
        <f t="shared" ca="1" si="12"/>
        <v>89.099999999999909</v>
      </c>
      <c r="AD180" s="2143">
        <f t="shared" ca="1" si="12"/>
        <v>-1.5999999999999996</v>
      </c>
      <c r="AE180" s="82"/>
      <c r="AF180" s="45"/>
      <c r="AG180" s="45"/>
      <c r="AH180" s="45"/>
      <c r="AI180" s="45"/>
      <c r="AJ180" s="276"/>
      <c r="AK180" s="148" t="s">
        <v>896</v>
      </c>
      <c r="AL180" s="57"/>
      <c r="AM180" s="152" t="s">
        <v>897</v>
      </c>
      <c r="AN180" s="91">
        <f>SUM(Transfer!AD143,Transfer!AD144)</f>
        <v>1950.1480000000001</v>
      </c>
      <c r="AO180" s="91">
        <f>100*((SUM(Transfer!AD143,Transfer!AD144)/SUM(Transfer!AC143,Transfer!AC144))-1)</f>
        <v>1.9371821892145036</v>
      </c>
      <c r="AP180" s="80">
        <f>SUM(Transfer!AE143,Transfer!AE144)</f>
        <v>2085.8589999999999</v>
      </c>
      <c r="AQ180" s="91">
        <f>100*((SUM(Transfer!AE143,Transfer!AE144)/SUM(Transfer!AD143,Transfer!AD144))-1)</f>
        <v>6.9590102905010109</v>
      </c>
      <c r="AR180" s="80">
        <f>SUM(Transfer!AF143,Transfer!AF144)</f>
        <v>2265.9249267960004</v>
      </c>
      <c r="AS180" s="91">
        <f>100*((SUM(Transfer!AF143,Transfer!AF144)/SUM(Transfer!AE143,Transfer!AE144))-1)</f>
        <v>8.632698892686431</v>
      </c>
      <c r="AT180" s="80">
        <f>SUM(Transfer!AG143,Transfer!AG144)</f>
        <v>2397.5863182590701</v>
      </c>
      <c r="AU180" s="93">
        <f>100*((SUM(Transfer!AG143,Transfer!AG144)/SUM(Transfer!AF143,Transfer!AF144))-1)</f>
        <v>5.8104922147283133</v>
      </c>
      <c r="AV180" s="82"/>
      <c r="AW180" s="150"/>
      <c r="AX180" s="54"/>
      <c r="AY180" s="54"/>
      <c r="AZ180" s="54"/>
      <c r="BA180" s="1762" t="s">
        <v>17</v>
      </c>
      <c r="BB180" s="54"/>
      <c r="BC180" s="54"/>
    </row>
    <row r="181" spans="1:55">
      <c r="A181" s="45"/>
      <c r="B181" s="2611"/>
      <c r="C181" s="2442" t="s">
        <v>805</v>
      </c>
      <c r="D181" s="2420"/>
      <c r="E181" s="2491" t="s">
        <v>294</v>
      </c>
      <c r="F181" s="2445">
        <f ca="1">Transfer!D143</f>
        <v>1430.1569999999999</v>
      </c>
      <c r="G181" s="2445">
        <f ca="1">100*((Transfer!D143/Transfer!C143)-1)</f>
        <v>9.2514348180475778</v>
      </c>
      <c r="H181" s="2446">
        <f ca="1">Transfer!E143</f>
        <v>1562.3785900425</v>
      </c>
      <c r="I181" s="2445">
        <f ca="1">100*((Transfer!E143/Transfer!D143)-1)</f>
        <v>9.2452500000000057</v>
      </c>
      <c r="J181" s="2446">
        <f ca="1">Transfer!F143</f>
        <v>1653.6329831836192</v>
      </c>
      <c r="K181" s="2445">
        <f ca="1">100*((Transfer!F143/Transfer!E143)-1)</f>
        <v>5.8407350000000191</v>
      </c>
      <c r="L181" s="2446">
        <f ca="1">Transfer!G143</f>
        <v>1723.3341425873634</v>
      </c>
      <c r="M181" s="2447">
        <f ca="1">100*((Transfer!G143/Transfer!F143)-1)</f>
        <v>4.2150319999999963</v>
      </c>
      <c r="N181" s="3273"/>
      <c r="O181" s="3280">
        <f t="shared" ca="1" si="13"/>
        <v>0.32528037050278852</v>
      </c>
      <c r="P181" s="54"/>
      <c r="Q181" s="54"/>
      <c r="R181" s="54"/>
      <c r="S181" s="276"/>
      <c r="T181" s="86" t="s">
        <v>805</v>
      </c>
      <c r="U181" s="65"/>
      <c r="V181" s="152" t="s">
        <v>294</v>
      </c>
      <c r="W181" s="2141">
        <f t="shared" ca="1" si="12"/>
        <v>108</v>
      </c>
      <c r="X181" s="2141">
        <f t="shared" ca="1" si="12"/>
        <v>7.6000000000000005</v>
      </c>
      <c r="Y181" s="2141">
        <f t="shared" ca="1" si="12"/>
        <v>116.90000000000009</v>
      </c>
      <c r="Z181" s="2141">
        <f t="shared" ca="1" si="12"/>
        <v>-0.10000000000000142</v>
      </c>
      <c r="AA181" s="2141">
        <f t="shared" ca="1" si="12"/>
        <v>78.299999999999955</v>
      </c>
      <c r="AB181" s="2141">
        <f t="shared" ca="1" si="12"/>
        <v>-3.2</v>
      </c>
      <c r="AC181" s="2141">
        <f t="shared" ca="1" si="12"/>
        <v>48.799999999999955</v>
      </c>
      <c r="AD181" s="2143">
        <f t="shared" ca="1" si="12"/>
        <v>-2.0999999999999996</v>
      </c>
      <c r="AE181" s="82"/>
      <c r="AF181" s="45"/>
      <c r="AG181" s="45"/>
      <c r="AH181" s="45"/>
      <c r="AI181" s="45"/>
      <c r="AJ181" s="276"/>
      <c r="AK181" s="86" t="s">
        <v>805</v>
      </c>
      <c r="AL181" s="65"/>
      <c r="AM181" s="152" t="s">
        <v>294</v>
      </c>
      <c r="AN181" s="91">
        <f>Transfer!AD143</f>
        <v>1322.221</v>
      </c>
      <c r="AO181" s="91">
        <f>100*((Transfer!AD143/Transfer!AC143)-1)</f>
        <v>1.7345065470062426</v>
      </c>
      <c r="AP181" s="92">
        <f>Transfer!AE143</f>
        <v>1445.452</v>
      </c>
      <c r="AQ181" s="91">
        <f>100*((Transfer!AE143/Transfer!AD143)-1)</f>
        <v>9.3200002117649117</v>
      </c>
      <c r="AR181" s="92">
        <f>Transfer!AF143</f>
        <v>1575.2767168320001</v>
      </c>
      <c r="AS181" s="91">
        <f>100*((Transfer!AF143/Transfer!AE143)-1)</f>
        <v>8.9816000000000109</v>
      </c>
      <c r="AT181" s="92">
        <f>Transfer!AG143</f>
        <v>1674.4911100668564</v>
      </c>
      <c r="AU181" s="93">
        <f>100*((Transfer!AG143/Transfer!AF143)-1)</f>
        <v>6.2982199999999988</v>
      </c>
      <c r="AV181" s="82"/>
      <c r="AW181" s="150"/>
      <c r="AX181" s="54"/>
      <c r="AY181" s="54"/>
      <c r="AZ181" s="54"/>
      <c r="BA181" s="1762" t="s">
        <v>418</v>
      </c>
      <c r="BB181" s="54"/>
      <c r="BC181" s="54"/>
    </row>
    <row r="182" spans="1:55">
      <c r="A182" s="45"/>
      <c r="B182" s="2611"/>
      <c r="C182" s="2442" t="s">
        <v>1861</v>
      </c>
      <c r="D182" s="2420"/>
      <c r="E182" s="2491" t="s">
        <v>1498</v>
      </c>
      <c r="F182" s="2445">
        <f ca="1">Transfer!D144</f>
        <v>646.49900000000002</v>
      </c>
      <c r="G182" s="2445">
        <f ca="1">100*((Transfer!D144/Transfer!C144)-1)</f>
        <v>1.3160925934922574</v>
      </c>
      <c r="H182" s="2446">
        <f ca="1">Transfer!E144</f>
        <v>695.80857777829999</v>
      </c>
      <c r="I182" s="2445">
        <f ca="1">100*((Transfer!E144/Transfer!D144)-1)</f>
        <v>7.6271699999999942</v>
      </c>
      <c r="J182" s="2446">
        <f ca="1">Transfer!F144</f>
        <v>732.9520364508594</v>
      </c>
      <c r="K182" s="2445">
        <f ca="1">100*((Transfer!F144/Transfer!E144)-1)</f>
        <v>5.3381719999999966</v>
      </c>
      <c r="L182" s="2446">
        <f ca="1">Transfer!G144</f>
        <v>763.39730285719065</v>
      </c>
      <c r="M182" s="2447">
        <f ca="1">100*((Transfer!G144/Transfer!F144)-1)</f>
        <v>4.1537870000000199</v>
      </c>
      <c r="N182" s="3273"/>
      <c r="O182" s="3280">
        <f t="shared" ca="1" si="13"/>
        <v>0.14486429436580223</v>
      </c>
      <c r="P182" s="54"/>
      <c r="Q182" s="54"/>
      <c r="R182" s="54"/>
      <c r="S182" s="276"/>
      <c r="T182" s="86" t="s">
        <v>1861</v>
      </c>
      <c r="U182" s="65"/>
      <c r="V182" s="152" t="s">
        <v>1498</v>
      </c>
      <c r="W182" s="2141">
        <f t="shared" ca="1" si="12"/>
        <v>18.600000000000023</v>
      </c>
      <c r="X182" s="2141">
        <f t="shared" ca="1" si="12"/>
        <v>-1.0999999999999999</v>
      </c>
      <c r="Y182" s="2141">
        <f t="shared" ca="1" si="12"/>
        <v>55.399999999999977</v>
      </c>
      <c r="Z182" s="2141">
        <f t="shared" ca="1" si="12"/>
        <v>5.6</v>
      </c>
      <c r="AA182" s="2141">
        <f t="shared" ca="1" si="12"/>
        <v>42.399999999999977</v>
      </c>
      <c r="AB182" s="2141">
        <f t="shared" ca="1" si="12"/>
        <v>-2.5</v>
      </c>
      <c r="AC182" s="2141">
        <f t="shared" ca="1" si="12"/>
        <v>40.299999999999955</v>
      </c>
      <c r="AD182" s="2143">
        <f t="shared" ca="1" si="12"/>
        <v>-0.5</v>
      </c>
      <c r="AE182" s="82"/>
      <c r="AF182" s="45"/>
      <c r="AG182" s="45"/>
      <c r="AH182" s="45"/>
      <c r="AI182" s="45"/>
      <c r="AJ182" s="276"/>
      <c r="AK182" s="86" t="s">
        <v>1861</v>
      </c>
      <c r="AL182" s="65"/>
      <c r="AM182" s="152" t="s">
        <v>1498</v>
      </c>
      <c r="AN182" s="91">
        <f>Transfer!AD144</f>
        <v>627.92700000000002</v>
      </c>
      <c r="AO182" s="91">
        <f>100*((Transfer!AD144/Transfer!AC144)-1)</f>
        <v>2.3666063481195376</v>
      </c>
      <c r="AP182" s="92">
        <f>Transfer!AE144</f>
        <v>640.40700000000004</v>
      </c>
      <c r="AQ182" s="91">
        <f>100*((Transfer!AE144/Transfer!AD144)-1)</f>
        <v>1.9874921766383613</v>
      </c>
      <c r="AR182" s="92">
        <f>Transfer!AF144</f>
        <v>690.64820996399999</v>
      </c>
      <c r="AS182" s="91">
        <f>100*((Transfer!AF144/Transfer!AE144)-1)</f>
        <v>7.8451999999999966</v>
      </c>
      <c r="AT182" s="92">
        <f>Transfer!AG144</f>
        <v>723.0952081922137</v>
      </c>
      <c r="AU182" s="93">
        <f>100*((Transfer!AG144/Transfer!AF144)-1)</f>
        <v>4.6980500000000092</v>
      </c>
      <c r="AV182" s="82"/>
      <c r="AW182" s="150"/>
      <c r="AX182" s="54"/>
      <c r="AY182" s="54"/>
      <c r="AZ182" s="54"/>
      <c r="BA182" s="1762" t="s">
        <v>46</v>
      </c>
      <c r="BB182" s="54"/>
      <c r="BC182" s="54"/>
    </row>
    <row r="183" spans="1:55" ht="13.15">
      <c r="A183" s="45"/>
      <c r="B183" s="1728"/>
      <c r="C183" s="2623" t="s">
        <v>1862</v>
      </c>
      <c r="D183" s="2548"/>
      <c r="E183" s="2607"/>
      <c r="F183" s="2620">
        <f ca="1">SUM(Transfer!D136,Transfer!D137,Transfer!D138,Transfer!D142,Transfer!D143,Transfer!D144)</f>
        <v>6486.4769999999999</v>
      </c>
      <c r="G183" s="2620">
        <f ca="1">100*((SUM(Transfer!D136,Transfer!D137,Transfer!D138,Transfer!D142,Transfer!D143,Transfer!D144)/SUM(Transfer!C136,Transfer!C137,Transfer!C138,Transfer!C142,Transfer!C143,Transfer!C144))-1)</f>
        <v>5.6683151623044159</v>
      </c>
      <c r="H183" s="2620">
        <f ca="1">SUM(Transfer!E136,Transfer!E137,Transfer!E138,Transfer!E142,Transfer!E143,Transfer!E144)</f>
        <v>6902.4725274762995</v>
      </c>
      <c r="I183" s="2620">
        <f ca="1">100*((SUM(Transfer!E136,Transfer!E137,Transfer!E138,Transfer!E142,Transfer!E143,Transfer!E144)/SUM(Transfer!D136,Transfer!D137,Transfer!D138,Transfer!D142,Transfer!D143,Transfer!D144))-1)</f>
        <v>6.4132737613391555</v>
      </c>
      <c r="J183" s="2620">
        <f ca="1">SUM(Transfer!F136,Transfer!F137,Transfer!F138,Transfer!F142,Transfer!F143,Transfer!F144)</f>
        <v>7212.6475244356661</v>
      </c>
      <c r="K183" s="2620">
        <f ca="1">100*((SUM(Transfer!F136,Transfer!F137,Transfer!F138,Transfer!F142,Transfer!F143,Transfer!F144)/SUM(Transfer!E136,Transfer!E137,Transfer!E138,Transfer!E142,Transfer!E143,Transfer!E144))-1)</f>
        <v>4.4936795579362254</v>
      </c>
      <c r="L183" s="2620">
        <f ca="1">SUM(Transfer!G136,Transfer!G137,Transfer!G138,Transfer!G142,Transfer!G143,Transfer!G144)</f>
        <v>7491.5890124110956</v>
      </c>
      <c r="M183" s="2622">
        <f ca="1">100*((SUM(Transfer!G136,Transfer!G137,Transfer!G138,Transfer!G142,Transfer!G143,Transfer!G144)/SUM(Transfer!F136,Transfer!F137,Transfer!F138,Transfer!F142,Transfer!F143,Transfer!F144))-1)</f>
        <v>3.8673938665435337</v>
      </c>
      <c r="N183" s="3273"/>
      <c r="O183" s="3280">
        <f t="shared" ca="1" si="13"/>
        <v>1.4370645088408018</v>
      </c>
      <c r="P183" s="54"/>
      <c r="Q183" s="54"/>
      <c r="R183" s="54"/>
      <c r="S183" s="275"/>
      <c r="T183" s="1734" t="s">
        <v>1862</v>
      </c>
      <c r="U183" s="124"/>
      <c r="V183" s="284"/>
      <c r="W183" s="2144">
        <f t="shared" ca="1" si="12"/>
        <v>344.69999999999982</v>
      </c>
      <c r="X183" s="2144">
        <f t="shared" ca="1" si="12"/>
        <v>1.8000000000000003</v>
      </c>
      <c r="Y183" s="2144">
        <f t="shared" ca="1" si="12"/>
        <v>404.60000000000036</v>
      </c>
      <c r="Z183" s="2144">
        <f t="shared" ca="1" si="12"/>
        <v>0.60000000000000053</v>
      </c>
      <c r="AA183" s="2144">
        <f t="shared" ca="1" si="12"/>
        <v>320.5</v>
      </c>
      <c r="AB183" s="2144">
        <f t="shared" ca="1" si="12"/>
        <v>-1.5999999999999996</v>
      </c>
      <c r="AC183" s="2144">
        <f t="shared" ca="1" si="12"/>
        <v>280</v>
      </c>
      <c r="AD183" s="2145">
        <f t="shared" ca="1" si="12"/>
        <v>-0.69999999999999973</v>
      </c>
      <c r="AE183" s="85"/>
      <c r="AF183" s="45"/>
      <c r="AG183" s="45"/>
      <c r="AH183" s="45"/>
      <c r="AI183" s="45"/>
      <c r="AJ183" s="275"/>
      <c r="AK183" s="1734" t="s">
        <v>1862</v>
      </c>
      <c r="AL183" s="124"/>
      <c r="AM183" s="284"/>
      <c r="AN183" s="156">
        <f>SUM(Transfer!AD136,Transfer!AD137,Transfer!AD138,Transfer!AD142,Transfer!AD143,Transfer!AD144)</f>
        <v>6141.8089999999993</v>
      </c>
      <c r="AO183" s="156">
        <f>100*((SUM(Transfer!AD136,Transfer!AD137,Transfer!AD138,Transfer!AD142,Transfer!AD143,Transfer!AD144)/SUM(Transfer!AC136,Transfer!AC137,Transfer!AC138,Transfer!AC142,Transfer!AC143,Transfer!AC144))-1)</f>
        <v>3.9440390673854742</v>
      </c>
      <c r="AP183" s="156">
        <f>SUM(Transfer!AE136,Transfer!AE137,Transfer!AE138,Transfer!AE142,Transfer!AE143,Transfer!AE144)</f>
        <v>6497.8960000000006</v>
      </c>
      <c r="AQ183" s="156">
        <f>100*((SUM(Transfer!AE136,Transfer!AE137,Transfer!AE138,Transfer!AE142,Transfer!AE143,Transfer!AE144)/SUM(Transfer!AD136,Transfer!AD137,Transfer!AD138,Transfer!AD142,Transfer!AD143,Transfer!AD144))-1)</f>
        <v>5.7977543749732519</v>
      </c>
      <c r="AR183" s="156">
        <f>SUM(Transfer!AF136,Transfer!AF137,Transfer!AF138,Transfer!AF142,Transfer!AF143,Transfer!AF144)</f>
        <v>6892.0765038359295</v>
      </c>
      <c r="AS183" s="156">
        <f>100*((SUM(Transfer!AF136,Transfer!AF137,Transfer!AF138,Transfer!AF142,Transfer!AF143,Transfer!AF144)/SUM(Transfer!AE136,Transfer!AE137,Transfer!AE138,Transfer!AE142,Transfer!AE143,Transfer!AE144))-1)</f>
        <v>6.0662790514949494</v>
      </c>
      <c r="AT183" s="156">
        <f>SUM(Transfer!AG136,Transfer!AG137,Transfer!AG138,Transfer!AG142,Transfer!AG143,Transfer!AG144)</f>
        <v>7211.6301888093694</v>
      </c>
      <c r="AU183" s="283">
        <f>100*((SUM(Transfer!AG136,Transfer!AG137,Transfer!AG138,Transfer!AG142,Transfer!AG143,Transfer!AG144)/SUM(Transfer!AF136,Transfer!AF137,Transfer!AF138,Transfer!AF142,Transfer!AF143,Transfer!AF144))-1)</f>
        <v>4.6365371132428113</v>
      </c>
      <c r="AV183" s="85"/>
      <c r="AW183" s="157"/>
      <c r="AX183" s="54"/>
      <c r="AY183" s="54"/>
      <c r="AZ183" s="54"/>
      <c r="BA183" s="1762" t="s">
        <v>18</v>
      </c>
      <c r="BB183" s="54"/>
      <c r="BC183" s="54"/>
    </row>
    <row r="184" spans="1:55">
      <c r="A184" s="45"/>
      <c r="B184" s="2611"/>
      <c r="C184" s="2624" t="s">
        <v>1317</v>
      </c>
      <c r="D184" s="2625"/>
      <c r="E184" s="2491" t="s">
        <v>1318</v>
      </c>
      <c r="F184" s="2445">
        <f ca="1">SUM(Transfer!D145,Transfer!D146)</f>
        <v>1907.578</v>
      </c>
      <c r="G184" s="2445">
        <f ca="1">100*((SUM(Transfer!D145,Transfer!D146)/SUM(Transfer!C145,Transfer!C146))-1)</f>
        <v>8.8161119981472034</v>
      </c>
      <c r="H184" s="2435">
        <f ca="1">SUM(Transfer!E145,Transfer!E146)</f>
        <v>2099.2973846679006</v>
      </c>
      <c r="I184" s="2445">
        <f ca="1">100*((SUM(Transfer!E145,Transfer!E146)/SUM(Transfer!D145,Transfer!D146))-1)</f>
        <v>10.050408668369037</v>
      </c>
      <c r="J184" s="2435">
        <f ca="1">SUM(Transfer!F145,Transfer!F146)</f>
        <v>2227.8511249766038</v>
      </c>
      <c r="K184" s="2445">
        <f ca="1">100*((SUM(Transfer!F145,Transfer!F146)/SUM(Transfer!E145,Transfer!E146))-1)</f>
        <v>6.1236555262531356</v>
      </c>
      <c r="L184" s="2435">
        <f ca="1">SUM(Transfer!G145,Transfer!G146)</f>
        <v>2330.0733974199097</v>
      </c>
      <c r="M184" s="2447">
        <f ca="1">100*((SUM(Transfer!G145,Transfer!G146)/SUM(Transfer!F145,Transfer!F146))-1)</f>
        <v>4.5883798651213503</v>
      </c>
      <c r="N184" s="3272"/>
      <c r="O184" s="3281">
        <f t="shared" ca="1" si="13"/>
        <v>0.43706450884080172</v>
      </c>
      <c r="P184" s="54"/>
      <c r="Q184" s="54"/>
      <c r="R184" s="54"/>
      <c r="S184" s="276"/>
      <c r="T184" s="285" t="s">
        <v>1317</v>
      </c>
      <c r="U184" s="286"/>
      <c r="V184" s="181" t="s">
        <v>1318</v>
      </c>
      <c r="W184" s="2141">
        <f t="shared" ca="1" si="12"/>
        <v>170.59999999999991</v>
      </c>
      <c r="X184" s="2141">
        <f t="shared" ca="1" si="12"/>
        <v>7.2000000000000011</v>
      </c>
      <c r="Y184" s="2141">
        <f t="shared" ca="1" si="12"/>
        <v>205.60000000000014</v>
      </c>
      <c r="Z184" s="2141">
        <f t="shared" ca="1" si="12"/>
        <v>1.0999999999999996</v>
      </c>
      <c r="AA184" s="2141">
        <f t="shared" ca="1" si="12"/>
        <v>160.20000000000027</v>
      </c>
      <c r="AB184" s="2141">
        <f t="shared" ca="1" si="12"/>
        <v>-3.0999999999999996</v>
      </c>
      <c r="AC184" s="2141">
        <f t="shared" ca="1" si="12"/>
        <v>152.5</v>
      </c>
      <c r="AD184" s="2143">
        <f t="shared" ca="1" si="12"/>
        <v>-0.70000000000000018</v>
      </c>
      <c r="AE184" s="82"/>
      <c r="AF184" s="45"/>
      <c r="AG184" s="45"/>
      <c r="AH184" s="45"/>
      <c r="AI184" s="45"/>
      <c r="AJ184" s="276"/>
      <c r="AK184" s="285" t="s">
        <v>1317</v>
      </c>
      <c r="AL184" s="286"/>
      <c r="AM184" s="181" t="s">
        <v>1318</v>
      </c>
      <c r="AN184" s="91">
        <f>SUM(Transfer!AD145,Transfer!AD146)</f>
        <v>1737.0070000000001</v>
      </c>
      <c r="AO184" s="91">
        <f>100*((SUM(Transfer!AD145,Transfer!AD146)/SUM(Transfer!AC145,Transfer!AC146))-1)</f>
        <v>1.6444448345578122</v>
      </c>
      <c r="AP184" s="80">
        <f>SUM(Transfer!AE145,Transfer!AE146)</f>
        <v>1893.691</v>
      </c>
      <c r="AQ184" s="91">
        <f>100*((SUM(Transfer!AE145,Transfer!AE146)/SUM(Transfer!AD145,Transfer!AD146))-1)</f>
        <v>9.0203436140441582</v>
      </c>
      <c r="AR184" s="80">
        <f>SUM(Transfer!AF145,Transfer!AF146)</f>
        <v>2067.7425209789999</v>
      </c>
      <c r="AS184" s="91">
        <f>100*((SUM(Transfer!AF145,Transfer!AF146)/SUM(Transfer!AE145,Transfer!AE146))-1)</f>
        <v>9.1911257422145454</v>
      </c>
      <c r="AT184" s="80">
        <f>SUM(Transfer!AG145,Transfer!AG146)</f>
        <v>2177.6133094398292</v>
      </c>
      <c r="AU184" s="93">
        <f>100*((SUM(Transfer!AG145,Transfer!AG146)/SUM(Transfer!AF145,Transfer!AF146))-1)</f>
        <v>5.3135623679494426</v>
      </c>
      <c r="AV184" s="82"/>
      <c r="AW184" s="150"/>
      <c r="AX184" s="54"/>
      <c r="AY184" s="54"/>
      <c r="AZ184" s="54"/>
      <c r="BA184" s="1762" t="s">
        <v>19</v>
      </c>
      <c r="BB184" s="54"/>
      <c r="BC184" s="54"/>
    </row>
    <row r="185" spans="1:55">
      <c r="A185" s="45"/>
      <c r="B185" s="1728"/>
      <c r="C185" s="2626" t="s">
        <v>424</v>
      </c>
      <c r="D185" s="2418"/>
      <c r="E185" s="2491" t="s">
        <v>425</v>
      </c>
      <c r="F185" s="2445">
        <f ca="1">Transfer!D145</f>
        <v>1321.5070000000001</v>
      </c>
      <c r="G185" s="2445">
        <f ca="1">100*((Transfer!D145/Transfer!C145)-1)</f>
        <v>8.9061969481703418</v>
      </c>
      <c r="H185" s="2446">
        <f ca="1">Transfer!E145</f>
        <v>1459.7183954034003</v>
      </c>
      <c r="I185" s="2445">
        <f ca="1">100*((Transfer!E145/Transfer!D145)-1)</f>
        <v>10.458620000000018</v>
      </c>
      <c r="J185" s="2446">
        <f ca="1">Transfer!F145</f>
        <v>1549.652463186505</v>
      </c>
      <c r="K185" s="2445">
        <f ca="1">100*((Transfer!F145/Transfer!E145)-1)</f>
        <v>6.161055999999987</v>
      </c>
      <c r="L185" s="2446">
        <f ca="1">Transfer!G145</f>
        <v>1619.2550415844285</v>
      </c>
      <c r="M185" s="2447">
        <f ca="1">100*((Transfer!G145/Transfer!F145)-1)</f>
        <v>4.4914960000000059</v>
      </c>
      <c r="N185" s="3273"/>
      <c r="O185" s="3280">
        <f t="shared" ca="1" si="13"/>
        <v>0.30390696820393442</v>
      </c>
      <c r="P185" s="54"/>
      <c r="Q185" s="54"/>
      <c r="R185" s="54"/>
      <c r="S185" s="275"/>
      <c r="T185" s="287" t="s">
        <v>424</v>
      </c>
      <c r="U185" s="130"/>
      <c r="V185" s="181" t="s">
        <v>425</v>
      </c>
      <c r="W185" s="2141">
        <f t="shared" ca="1" si="12"/>
        <v>118.5</v>
      </c>
      <c r="X185" s="2141">
        <f t="shared" ca="1" si="12"/>
        <v>6.3000000000000007</v>
      </c>
      <c r="Y185" s="2141">
        <f t="shared" ca="1" si="12"/>
        <v>148.60000000000014</v>
      </c>
      <c r="Z185" s="2141">
        <f t="shared" ca="1" si="12"/>
        <v>1.5</v>
      </c>
      <c r="AA185" s="2141">
        <f t="shared" ca="1" si="12"/>
        <v>110.20000000000005</v>
      </c>
      <c r="AB185" s="2141">
        <f t="shared" ca="1" si="12"/>
        <v>-3.6000000000000005</v>
      </c>
      <c r="AC185" s="2141">
        <f t="shared" ca="1" si="12"/>
        <v>103.09999999999991</v>
      </c>
      <c r="AD185" s="2143">
        <f t="shared" ca="1" si="12"/>
        <v>-0.79999999999999982</v>
      </c>
      <c r="AE185" s="82"/>
      <c r="AF185" s="45"/>
      <c r="AG185" s="45"/>
      <c r="AH185" s="45"/>
      <c r="AI185" s="45"/>
      <c r="AJ185" s="275"/>
      <c r="AK185" s="287" t="s">
        <v>424</v>
      </c>
      <c r="AL185" s="130"/>
      <c r="AM185" s="181" t="s">
        <v>425</v>
      </c>
      <c r="AN185" s="91">
        <f>Transfer!AD145</f>
        <v>1202.972</v>
      </c>
      <c r="AO185" s="91">
        <f>100*((Transfer!AD145/Transfer!AC145)-1)</f>
        <v>2.6027415954202215</v>
      </c>
      <c r="AP185" s="92">
        <f>Transfer!AE145</f>
        <v>1311.135</v>
      </c>
      <c r="AQ185" s="91">
        <f>100*((Transfer!AE145/Transfer!AD145)-1)</f>
        <v>8.9913148435707626</v>
      </c>
      <c r="AR185" s="92">
        <f>Transfer!AF145</f>
        <v>1439.4733516589997</v>
      </c>
      <c r="AS185" s="91">
        <f>100*((Transfer!AF145/Transfer!AE145)-1)</f>
        <v>9.7883399999999732</v>
      </c>
      <c r="AT185" s="92">
        <f>Transfer!AG145</f>
        <v>1516.2072136685508</v>
      </c>
      <c r="AU185" s="93">
        <f>100*((Transfer!AG145/Transfer!AF145)-1)</f>
        <v>5.3306899999999935</v>
      </c>
      <c r="AV185" s="82"/>
      <c r="AW185" s="150"/>
      <c r="AX185" s="54"/>
      <c r="AY185" s="54"/>
      <c r="AZ185" s="54"/>
      <c r="BA185" s="1762" t="s">
        <v>419</v>
      </c>
      <c r="BB185" s="54"/>
      <c r="BC185" s="54"/>
    </row>
    <row r="186" spans="1:55">
      <c r="A186" s="45"/>
      <c r="B186" s="1728"/>
      <c r="C186" s="2626" t="s">
        <v>1863</v>
      </c>
      <c r="D186" s="2418"/>
      <c r="E186" s="2491" t="s">
        <v>426</v>
      </c>
      <c r="F186" s="2445">
        <f ca="1">Transfer!D146</f>
        <v>586.07100000000003</v>
      </c>
      <c r="G186" s="2445">
        <f ca="1">100*((Transfer!D146/Transfer!C146)-1)</f>
        <v>8.6135290858109883</v>
      </c>
      <c r="H186" s="2446">
        <f ca="1">Transfer!E146</f>
        <v>639.57898926450014</v>
      </c>
      <c r="I186" s="2445">
        <f ca="1">100*((Transfer!E146/Transfer!D146)-1)</f>
        <v>9.129950000000008</v>
      </c>
      <c r="J186" s="2446">
        <f ca="1">Transfer!F146</f>
        <v>678.19866179009898</v>
      </c>
      <c r="K186" s="2445">
        <f ca="1">100*((Transfer!F146/Transfer!E146)-1)</f>
        <v>6.0382960000000097</v>
      </c>
      <c r="L186" s="2446">
        <f ca="1">Transfer!G146</f>
        <v>710.81835583548138</v>
      </c>
      <c r="M186" s="2447">
        <f ca="1">100*((Transfer!G146/Transfer!F146)-1)</f>
        <v>4.8097550000000044</v>
      </c>
      <c r="N186" s="3273"/>
      <c r="O186" s="3280">
        <f t="shared" ca="1" si="13"/>
        <v>0.13315754063686727</v>
      </c>
      <c r="P186" s="54"/>
      <c r="Q186" s="54"/>
      <c r="R186" s="54"/>
      <c r="S186" s="275"/>
      <c r="T186" s="287" t="s">
        <v>1863</v>
      </c>
      <c r="U186" s="130"/>
      <c r="V186" s="181" t="s">
        <v>426</v>
      </c>
      <c r="W186" s="2141">
        <f t="shared" ca="1" si="12"/>
        <v>52.100000000000023</v>
      </c>
      <c r="X186" s="2141">
        <f t="shared" ca="1" si="12"/>
        <v>9</v>
      </c>
      <c r="Y186" s="2141">
        <f t="shared" ca="1" si="12"/>
        <v>57</v>
      </c>
      <c r="Z186" s="2141">
        <f t="shared" ca="1" si="12"/>
        <v>0</v>
      </c>
      <c r="AA186" s="2141">
        <f t="shared" ca="1" si="12"/>
        <v>49.900000000000091</v>
      </c>
      <c r="AB186" s="2141">
        <f t="shared" ca="1" si="12"/>
        <v>-1.7999999999999998</v>
      </c>
      <c r="AC186" s="2141">
        <f t="shared" ca="1" si="12"/>
        <v>49.399999999999977</v>
      </c>
      <c r="AD186" s="2143">
        <f t="shared" ca="1" si="12"/>
        <v>-0.5</v>
      </c>
      <c r="AE186" s="82"/>
      <c r="AF186" s="45"/>
      <c r="AG186" s="45"/>
      <c r="AH186" s="45"/>
      <c r="AI186" s="45"/>
      <c r="AJ186" s="275"/>
      <c r="AK186" s="287" t="s">
        <v>1863</v>
      </c>
      <c r="AL186" s="130"/>
      <c r="AM186" s="181" t="s">
        <v>426</v>
      </c>
      <c r="AN186" s="91">
        <f>Transfer!AD146</f>
        <v>534.03499999999997</v>
      </c>
      <c r="AO186" s="91">
        <f>100*((Transfer!AD146/Transfer!AC146)-1)</f>
        <v>-0.44999617857428564</v>
      </c>
      <c r="AP186" s="92">
        <f>Transfer!AE146</f>
        <v>582.55600000000004</v>
      </c>
      <c r="AQ186" s="91">
        <f>100*((Transfer!AE146/Transfer!AD146)-1)</f>
        <v>9.0857340810995613</v>
      </c>
      <c r="AR186" s="92">
        <f>Transfer!AF146</f>
        <v>628.26916932000006</v>
      </c>
      <c r="AS186" s="91">
        <f>100*((Transfer!AF146/Transfer!AE146)-1)</f>
        <v>7.847000000000004</v>
      </c>
      <c r="AT186" s="92">
        <f>Transfer!AG146</f>
        <v>661.40609577127861</v>
      </c>
      <c r="AU186" s="93">
        <f>100*((Transfer!AG146/Transfer!AF146)-1)</f>
        <v>5.2743199999999879</v>
      </c>
      <c r="AV186" s="82"/>
      <c r="AW186" s="150"/>
      <c r="AX186" s="54"/>
      <c r="AY186" s="54"/>
      <c r="AZ186" s="54"/>
      <c r="BA186" s="1762" t="s">
        <v>48</v>
      </c>
      <c r="BB186" s="54"/>
      <c r="BC186" s="54"/>
    </row>
    <row r="187" spans="1:55" ht="13.15">
      <c r="A187" s="45"/>
      <c r="B187" s="2611"/>
      <c r="C187" s="2534" t="s">
        <v>1864</v>
      </c>
      <c r="D187" s="2535"/>
      <c r="E187" s="2627" t="s">
        <v>427</v>
      </c>
      <c r="F187" s="2628">
        <f ca="1">Transfer!D147</f>
        <v>4578.8990000000003</v>
      </c>
      <c r="G187" s="2628">
        <f ca="1">100*((Transfer!D147/Transfer!C147)-1)</f>
        <v>4.4100360802891814</v>
      </c>
      <c r="H187" s="2620">
        <f ca="1">Transfer!E147</f>
        <v>4803.175142808399</v>
      </c>
      <c r="I187" s="2620">
        <f ca="1">100*((Transfer!E147/Transfer!D147)-1)</f>
        <v>4.8980364670283993</v>
      </c>
      <c r="J187" s="2620">
        <f ca="1">Transfer!F147</f>
        <v>4984.7963994590627</v>
      </c>
      <c r="K187" s="2620">
        <f ca="1">100*((Transfer!F147/Transfer!E147)-1)</f>
        <v>3.7812749119215061</v>
      </c>
      <c r="L187" s="2620">
        <f ca="1">Transfer!G147</f>
        <v>5161.5156149911854</v>
      </c>
      <c r="M187" s="2622">
        <f ca="1">100*((Transfer!G147/Transfer!F147)-1)</f>
        <v>3.5451641625984909</v>
      </c>
      <c r="N187" s="3272"/>
      <c r="O187" s="3281">
        <f t="shared" ca="1" si="13"/>
        <v>1</v>
      </c>
      <c r="P187" s="54"/>
      <c r="Q187" s="54"/>
      <c r="R187" s="54"/>
      <c r="S187" s="276"/>
      <c r="T187" s="209" t="s">
        <v>1864</v>
      </c>
      <c r="U187" s="210"/>
      <c r="V187" s="289" t="s">
        <v>427</v>
      </c>
      <c r="W187" s="2144">
        <f t="shared" ca="1" si="12"/>
        <v>174.09999999999945</v>
      </c>
      <c r="X187" s="2144">
        <f t="shared" ca="1" si="12"/>
        <v>-0.5</v>
      </c>
      <c r="Y187" s="2144">
        <f t="shared" ca="1" si="12"/>
        <v>199</v>
      </c>
      <c r="Z187" s="2144">
        <f t="shared" ca="1" si="12"/>
        <v>0.40000000000000036</v>
      </c>
      <c r="AA187" s="2144">
        <f t="shared" ca="1" si="12"/>
        <v>160.5</v>
      </c>
      <c r="AB187" s="2144">
        <f t="shared" ca="1" si="12"/>
        <v>-1</v>
      </c>
      <c r="AC187" s="2144">
        <f t="shared" ca="1" si="12"/>
        <v>127.5</v>
      </c>
      <c r="AD187" s="2145">
        <f t="shared" ca="1" si="12"/>
        <v>-0.79999999999999982</v>
      </c>
      <c r="AE187" s="85"/>
      <c r="AF187" s="45"/>
      <c r="AG187" s="45"/>
      <c r="AH187" s="45"/>
      <c r="AI187" s="45"/>
      <c r="AJ187" s="276"/>
      <c r="AK187" s="209" t="s">
        <v>1864</v>
      </c>
      <c r="AL187" s="210"/>
      <c r="AM187" s="289" t="s">
        <v>427</v>
      </c>
      <c r="AN187" s="290">
        <f>Transfer!AD147</f>
        <v>4404.8019999999997</v>
      </c>
      <c r="AO187" s="290">
        <f>100*((Transfer!AD147/Transfer!AC147)-1)</f>
        <v>4.8797340863742988</v>
      </c>
      <c r="AP187" s="156">
        <f>Transfer!AE147</f>
        <v>4604.2049999999999</v>
      </c>
      <c r="AQ187" s="156">
        <f>100*((Transfer!AE147/Transfer!AD147)-1)</f>
        <v>4.526945819585082</v>
      </c>
      <c r="AR187" s="156">
        <f>Transfer!AF147</f>
        <v>4824.3339828569297</v>
      </c>
      <c r="AS187" s="156">
        <f>100*((Transfer!AF147/Transfer!AE147)-1)</f>
        <v>4.7810421746409926</v>
      </c>
      <c r="AT187" s="156">
        <f>Transfer!AG147</f>
        <v>5034.0168793695402</v>
      </c>
      <c r="AU187" s="283">
        <f>100*((Transfer!AG147/Transfer!AF147)-1)</f>
        <v>4.3463594613828649</v>
      </c>
      <c r="AV187" s="85"/>
      <c r="AW187" s="157"/>
      <c r="AX187" s="54"/>
      <c r="AY187" s="54"/>
      <c r="AZ187" s="54"/>
      <c r="BA187" s="1762" t="s">
        <v>49</v>
      </c>
      <c r="BB187" s="54"/>
      <c r="BC187" s="54"/>
    </row>
    <row r="188" spans="1:55" ht="13.15">
      <c r="A188" s="45"/>
      <c r="B188" s="2629"/>
      <c r="C188" s="2626" t="s">
        <v>1305</v>
      </c>
      <c r="D188" s="2418"/>
      <c r="E188" s="2615" t="s">
        <v>50</v>
      </c>
      <c r="F188" s="2434">
        <f ca="1">(SUM(Transfer!D143,Transfer!D144)-SUM(Transfer!D145,Transfer!D146))</f>
        <v>169.07799999999997</v>
      </c>
      <c r="G188" s="2616"/>
      <c r="H188" s="2434">
        <f ca="1">(SUM(Transfer!E143,Transfer!E144)-SUM(Transfer!E145,Transfer!E146))</f>
        <v>158.88978315289933</v>
      </c>
      <c r="I188" s="2616"/>
      <c r="J188" s="2434">
        <f ca="1">(SUM(Transfer!F143,Transfer!F144)-SUM(Transfer!F145,Transfer!F146))</f>
        <v>158.73389465787477</v>
      </c>
      <c r="K188" s="2616"/>
      <c r="L188" s="2434">
        <f ca="1">(SUM(Transfer!G143,Transfer!G144)-SUM(Transfer!G145,Transfer!G146))</f>
        <v>156.65804802464436</v>
      </c>
      <c r="M188" s="2630"/>
      <c r="N188" s="2619"/>
      <c r="O188" s="150"/>
      <c r="P188" s="54"/>
      <c r="Q188" s="54"/>
      <c r="R188" s="54"/>
      <c r="S188" s="291"/>
      <c r="T188" s="287" t="s">
        <v>1305</v>
      </c>
      <c r="U188" s="130"/>
      <c r="V188" s="161" t="s">
        <v>50</v>
      </c>
      <c r="W188" s="2141">
        <f t="shared" ca="1" si="12"/>
        <v>-44</v>
      </c>
      <c r="X188" s="2146">
        <f t="shared" si="12"/>
        <v>0</v>
      </c>
      <c r="Y188" s="2141">
        <f t="shared" ca="1" si="12"/>
        <v>-33.299999999999983</v>
      </c>
      <c r="Z188" s="2146">
        <f t="shared" si="12"/>
        <v>0</v>
      </c>
      <c r="AA188" s="2141">
        <f t="shared" ca="1" si="12"/>
        <v>-39.5</v>
      </c>
      <c r="AB188" s="2146">
        <f t="shared" si="12"/>
        <v>0</v>
      </c>
      <c r="AC188" s="2141">
        <f t="shared" ca="1" si="12"/>
        <v>-63.300000000000011</v>
      </c>
      <c r="AD188" s="2147">
        <f t="shared" si="12"/>
        <v>0</v>
      </c>
      <c r="AE188" s="281"/>
      <c r="AF188" s="45"/>
      <c r="AG188" s="45"/>
      <c r="AH188" s="45"/>
      <c r="AI188" s="45"/>
      <c r="AJ188" s="291"/>
      <c r="AK188" s="287" t="s">
        <v>1305</v>
      </c>
      <c r="AL188" s="130"/>
      <c r="AM188" s="161" t="s">
        <v>50</v>
      </c>
      <c r="AN188" s="79">
        <f>(SUM(Transfer!AD143,Transfer!AD144)-SUM(Transfer!AD145,Transfer!AD146))</f>
        <v>213.14100000000008</v>
      </c>
      <c r="AO188" s="278"/>
      <c r="AP188" s="79">
        <f>(SUM(Transfer!AE143,Transfer!AE144)-SUM(Transfer!AE145,Transfer!AE146))</f>
        <v>192.16799999999989</v>
      </c>
      <c r="AQ188" s="278"/>
      <c r="AR188" s="79">
        <f>(SUM(Transfer!AF143,Transfer!AF144)-SUM(Transfer!AF145,Transfer!AF146))</f>
        <v>198.18240581700047</v>
      </c>
      <c r="AS188" s="278"/>
      <c r="AT188" s="79">
        <f>(SUM(Transfer!AG143,Transfer!AG144)-SUM(Transfer!AG145,Transfer!AG146))</f>
        <v>219.97300881924093</v>
      </c>
      <c r="AU188" s="292"/>
      <c r="AV188" s="281"/>
      <c r="AW188" s="150"/>
      <c r="AX188" s="54"/>
      <c r="AY188" s="54"/>
      <c r="AZ188" s="54"/>
      <c r="BA188" s="1762" t="s">
        <v>686</v>
      </c>
      <c r="BB188" s="54"/>
      <c r="BC188" s="54"/>
    </row>
    <row r="189" spans="1:55">
      <c r="A189" s="45"/>
      <c r="B189" s="1720"/>
      <c r="C189" s="2626" t="s">
        <v>1306</v>
      </c>
      <c r="D189" s="2513"/>
      <c r="E189" s="2438"/>
      <c r="F189" s="2631">
        <f ca="1">(Transfer!D143-Transfer!D145)</f>
        <v>108.64999999999986</v>
      </c>
      <c r="G189" s="2632"/>
      <c r="H189" s="2631">
        <f ca="1">(Transfer!E143-Transfer!E145)</f>
        <v>102.6601946390997</v>
      </c>
      <c r="I189" s="2632"/>
      <c r="J189" s="2631">
        <f ca="1">(Transfer!F143-Transfer!F145)</f>
        <v>103.98051999711424</v>
      </c>
      <c r="K189" s="2632"/>
      <c r="L189" s="2631">
        <f ca="1">(Transfer!G143-Transfer!G145)</f>
        <v>104.07910100293498</v>
      </c>
      <c r="M189" s="2633"/>
      <c r="N189" s="2634"/>
      <c r="O189" s="50"/>
      <c r="P189" s="54"/>
      <c r="Q189" s="54"/>
      <c r="R189" s="54"/>
      <c r="S189" s="190"/>
      <c r="T189" s="287" t="s">
        <v>1306</v>
      </c>
      <c r="U189" s="29"/>
      <c r="V189" s="293"/>
      <c r="W189" s="2141">
        <f t="shared" ca="1" si="12"/>
        <v>-10.5</v>
      </c>
      <c r="X189" s="2148">
        <f t="shared" si="12"/>
        <v>0</v>
      </c>
      <c r="Y189" s="2141">
        <f t="shared" ca="1" si="12"/>
        <v>-31.600000000000009</v>
      </c>
      <c r="Z189" s="2148">
        <f t="shared" si="12"/>
        <v>0</v>
      </c>
      <c r="AA189" s="2141">
        <f t="shared" ca="1" si="12"/>
        <v>-31.800000000000011</v>
      </c>
      <c r="AB189" s="2148">
        <f t="shared" si="12"/>
        <v>0</v>
      </c>
      <c r="AC189" s="2141">
        <f t="shared" ca="1" si="12"/>
        <v>-54.200000000000017</v>
      </c>
      <c r="AD189" s="2149">
        <f t="shared" si="12"/>
        <v>0</v>
      </c>
      <c r="AE189" s="297"/>
      <c r="AF189" s="45"/>
      <c r="AG189" s="45"/>
      <c r="AH189" s="45"/>
      <c r="AI189" s="45"/>
      <c r="AJ189" s="190"/>
      <c r="AK189" s="287" t="s">
        <v>1306</v>
      </c>
      <c r="AL189" s="29"/>
      <c r="AM189" s="293"/>
      <c r="AN189" s="294">
        <f>(Transfer!AD143-Transfer!AD145)</f>
        <v>119.24900000000002</v>
      </c>
      <c r="AO189" s="295"/>
      <c r="AP189" s="294">
        <f>(Transfer!AE143-Transfer!AE145)</f>
        <v>134.31700000000001</v>
      </c>
      <c r="AQ189" s="295"/>
      <c r="AR189" s="294">
        <f>(Transfer!AF143-Transfer!AF145)</f>
        <v>135.80336517300043</v>
      </c>
      <c r="AS189" s="295"/>
      <c r="AT189" s="294">
        <f>(Transfer!AG143-Transfer!AG145)</f>
        <v>158.28389639830561</v>
      </c>
      <c r="AU189" s="296"/>
      <c r="AV189" s="297"/>
      <c r="AW189" s="50"/>
      <c r="AX189" s="54"/>
      <c r="AY189" s="54"/>
      <c r="AZ189" s="54"/>
      <c r="BA189" s="1762" t="s">
        <v>687</v>
      </c>
      <c r="BB189" s="54"/>
      <c r="BC189" s="54"/>
    </row>
    <row r="190" spans="1:55">
      <c r="A190" s="45"/>
      <c r="B190" s="2052"/>
      <c r="C190" s="2635" t="s">
        <v>1307</v>
      </c>
      <c r="D190" s="2545"/>
      <c r="E190" s="2636"/>
      <c r="F190" s="2637">
        <f ca="1">(Transfer!D144-Transfer!D146)</f>
        <v>60.427999999999997</v>
      </c>
      <c r="G190" s="2638"/>
      <c r="H190" s="2637">
        <f ca="1">(Transfer!E144-Transfer!E146)</f>
        <v>56.229588513799854</v>
      </c>
      <c r="I190" s="2638"/>
      <c r="J190" s="2637">
        <f ca="1">(Transfer!F144-Transfer!F146)</f>
        <v>54.753374660760414</v>
      </c>
      <c r="K190" s="2638"/>
      <c r="L190" s="2637">
        <f ca="1">(Transfer!G144-Transfer!G146)</f>
        <v>52.578947021709268</v>
      </c>
      <c r="M190" s="2639"/>
      <c r="N190" s="2634"/>
      <c r="O190" s="50"/>
      <c r="P190" s="54"/>
      <c r="Q190" s="54"/>
      <c r="R190" s="54"/>
      <c r="S190" s="259"/>
      <c r="T190" s="298" t="s">
        <v>1307</v>
      </c>
      <c r="U190" s="255"/>
      <c r="V190" s="299"/>
      <c r="W190" s="2144">
        <f t="shared" ca="1" si="12"/>
        <v>-33.500000000000007</v>
      </c>
      <c r="X190" s="2150">
        <f t="shared" si="12"/>
        <v>0</v>
      </c>
      <c r="Y190" s="2144">
        <f t="shared" ca="1" si="12"/>
        <v>-1.6999999999999957</v>
      </c>
      <c r="Z190" s="2150">
        <f t="shared" si="12"/>
        <v>0</v>
      </c>
      <c r="AA190" s="2144">
        <f t="shared" ca="1" si="12"/>
        <v>-7.6000000000000014</v>
      </c>
      <c r="AB190" s="2150">
        <f t="shared" si="12"/>
        <v>0</v>
      </c>
      <c r="AC190" s="2144">
        <f t="shared" ca="1" si="12"/>
        <v>-9.1000000000000014</v>
      </c>
      <c r="AD190" s="2151">
        <f t="shared" si="12"/>
        <v>0</v>
      </c>
      <c r="AE190" s="297"/>
      <c r="AF190" s="45"/>
      <c r="AG190" s="45"/>
      <c r="AH190" s="45"/>
      <c r="AI190" s="45"/>
      <c r="AJ190" s="259"/>
      <c r="AK190" s="298" t="s">
        <v>1307</v>
      </c>
      <c r="AL190" s="255"/>
      <c r="AM190" s="299"/>
      <c r="AN190" s="300">
        <f>(Transfer!AD144-Transfer!AD146)</f>
        <v>93.892000000000053</v>
      </c>
      <c r="AO190" s="301"/>
      <c r="AP190" s="300">
        <f>(Transfer!AE144-Transfer!AE146)</f>
        <v>57.850999999999999</v>
      </c>
      <c r="AQ190" s="301"/>
      <c r="AR190" s="300">
        <f>(Transfer!AF144-Transfer!AF146)</f>
        <v>62.379040643999929</v>
      </c>
      <c r="AS190" s="301"/>
      <c r="AT190" s="300">
        <f>(Transfer!AG144-Transfer!AG146)</f>
        <v>61.689112420935089</v>
      </c>
      <c r="AU190" s="302"/>
      <c r="AV190" s="297"/>
      <c r="AW190" s="50"/>
      <c r="AX190" s="54"/>
      <c r="AY190" s="54"/>
      <c r="AZ190" s="54"/>
      <c r="BA190" s="1762" t="s">
        <v>688</v>
      </c>
      <c r="BB190" s="54"/>
      <c r="BC190" s="54"/>
    </row>
    <row r="191" spans="1:55">
      <c r="A191" s="45"/>
      <c r="B191" s="2052"/>
      <c r="C191" s="2536" t="s">
        <v>706</v>
      </c>
      <c r="D191" s="2418"/>
      <c r="E191" s="2640" t="s">
        <v>707</v>
      </c>
      <c r="F191" s="2450">
        <f ca="1">Transfer!D240</f>
        <v>64.849999999999994</v>
      </c>
      <c r="G191" s="2450"/>
      <c r="H191" s="2450">
        <f ca="1">Transfer!E240</f>
        <v>64.60838789529727</v>
      </c>
      <c r="I191" s="2450"/>
      <c r="J191" s="2450">
        <f ca="1">Transfer!F240</f>
        <v>65.142782137422699</v>
      </c>
      <c r="K191" s="2450"/>
      <c r="L191" s="2450">
        <f ca="1">Transfer!G240</f>
        <v>65.777829427587847</v>
      </c>
      <c r="M191" s="2452"/>
      <c r="N191" s="2437"/>
      <c r="O191" s="150"/>
      <c r="P191" s="54"/>
      <c r="Q191" s="54"/>
      <c r="R191" s="54"/>
      <c r="S191" s="259"/>
      <c r="T191" s="179" t="s">
        <v>706</v>
      </c>
      <c r="U191" s="63"/>
      <c r="V191" s="303" t="s">
        <v>707</v>
      </c>
      <c r="W191" s="2152">
        <f t="shared" ca="1" si="12"/>
        <v>14.700000000000003</v>
      </c>
      <c r="X191" s="2152">
        <f t="shared" si="12"/>
        <v>0</v>
      </c>
      <c r="Y191" s="2152">
        <f t="shared" ca="1" si="12"/>
        <v>-1.9000000000000057</v>
      </c>
      <c r="Z191" s="2152">
        <f t="shared" si="12"/>
        <v>0</v>
      </c>
      <c r="AA191" s="2152">
        <f t="shared" ca="1" si="12"/>
        <v>-0.90000000000000568</v>
      </c>
      <c r="AB191" s="2152">
        <f t="shared" si="12"/>
        <v>0</v>
      </c>
      <c r="AC191" s="2152">
        <f t="shared" ca="1" si="12"/>
        <v>-0.79999999999999716</v>
      </c>
      <c r="AD191" s="2145">
        <f t="shared" si="12"/>
        <v>0</v>
      </c>
      <c r="AE191" s="82"/>
      <c r="AF191" s="45"/>
      <c r="AG191" s="45"/>
      <c r="AH191" s="45"/>
      <c r="AI191" s="45"/>
      <c r="AJ191" s="259"/>
      <c r="AK191" s="179" t="s">
        <v>706</v>
      </c>
      <c r="AL191" s="63"/>
      <c r="AM191" s="303" t="s">
        <v>707</v>
      </c>
      <c r="AN191" s="96">
        <f>Transfer!AD240</f>
        <v>50.234999999999992</v>
      </c>
      <c r="AO191" s="96"/>
      <c r="AP191" s="96">
        <f>Transfer!AE240</f>
        <v>66.50800000000001</v>
      </c>
      <c r="AQ191" s="96"/>
      <c r="AR191" s="96">
        <f>Transfer!AF240</f>
        <v>66.02824148309719</v>
      </c>
      <c r="AS191" s="96"/>
      <c r="AT191" s="96">
        <f>Transfer!AG240</f>
        <v>66.604109074951765</v>
      </c>
      <c r="AU191" s="98"/>
      <c r="AV191" s="82"/>
      <c r="AW191" s="150"/>
      <c r="AX191" s="54"/>
      <c r="AY191" s="54"/>
      <c r="AZ191" s="54"/>
      <c r="BA191" s="1762" t="s">
        <v>708</v>
      </c>
      <c r="BB191" s="54"/>
      <c r="BC191" s="54"/>
    </row>
    <row r="192" spans="1:55" ht="13.5" thickBot="1">
      <c r="A192" s="45"/>
      <c r="B192" s="2052"/>
      <c r="C192" s="2641" t="s">
        <v>1308</v>
      </c>
      <c r="D192" s="2642"/>
      <c r="E192" s="2643" t="s">
        <v>709</v>
      </c>
      <c r="F192" s="2644">
        <f ca="1">SUM(Transfer!D147,Transfer!D240)</f>
        <v>4643.7490000000007</v>
      </c>
      <c r="G192" s="2644">
        <f ca="1">100*((SUM(Transfer!D147,Transfer!D240)/SUM(Transfer!C147,Transfer!C240))-1)</f>
        <v>4.7455407431200136</v>
      </c>
      <c r="H192" s="2644">
        <f ca="1">SUM(Transfer!E147,Transfer!E240)</f>
        <v>4867.7835307036967</v>
      </c>
      <c r="I192" s="2644">
        <f ca="1">100*((SUM(Transfer!E147,Transfer!E240)/SUM(Transfer!D147,Transfer!D240))-1)</f>
        <v>4.8244323864984118</v>
      </c>
      <c r="J192" s="2644">
        <f ca="1">SUM(Transfer!F147,Transfer!F240)</f>
        <v>5049.9391815964855</v>
      </c>
      <c r="K192" s="2644">
        <f ca="1">100*((SUM(Transfer!F147,Transfer!F240)/SUM(Transfer!E147,Transfer!E240))-1)</f>
        <v>3.7420655570207018</v>
      </c>
      <c r="L192" s="2644">
        <f ca="1">SUM(Transfer!G147,Transfer!G240)</f>
        <v>5227.2934444187731</v>
      </c>
      <c r="M192" s="2645">
        <f ca="1">100*((SUM(Transfer!G147,Transfer!G240)/SUM(Transfer!F147,Transfer!F240))-1)</f>
        <v>3.5120078964241852</v>
      </c>
      <c r="N192" s="2441"/>
      <c r="O192" s="157"/>
      <c r="P192" s="54"/>
      <c r="Q192" s="54"/>
      <c r="R192" s="54"/>
      <c r="S192" s="259"/>
      <c r="T192" s="1735" t="s">
        <v>1308</v>
      </c>
      <c r="U192" s="304"/>
      <c r="V192" s="305" t="s">
        <v>709</v>
      </c>
      <c r="W192" s="2153">
        <f t="shared" ca="1" si="12"/>
        <v>188.69999999999982</v>
      </c>
      <c r="X192" s="2153">
        <f t="shared" ca="1" si="12"/>
        <v>0</v>
      </c>
      <c r="Y192" s="2153">
        <f t="shared" ca="1" si="12"/>
        <v>197.10000000000036</v>
      </c>
      <c r="Z192" s="2153">
        <f t="shared" ca="1" si="12"/>
        <v>0</v>
      </c>
      <c r="AA192" s="2153">
        <f t="shared" ca="1" si="12"/>
        <v>159.5</v>
      </c>
      <c r="AB192" s="2153">
        <f t="shared" ca="1" si="12"/>
        <v>-1</v>
      </c>
      <c r="AC192" s="2153">
        <f t="shared" ca="1" si="12"/>
        <v>126.69999999999982</v>
      </c>
      <c r="AD192" s="2154">
        <f t="shared" ca="1" si="12"/>
        <v>-0.79999999999999982</v>
      </c>
      <c r="AE192" s="85"/>
      <c r="AF192" s="45"/>
      <c r="AG192" s="45"/>
      <c r="AH192" s="45"/>
      <c r="AI192" s="45"/>
      <c r="AJ192" s="259"/>
      <c r="AK192" s="1735" t="s">
        <v>1308</v>
      </c>
      <c r="AL192" s="304"/>
      <c r="AM192" s="305" t="s">
        <v>709</v>
      </c>
      <c r="AN192" s="306">
        <f>SUM(Transfer!AD147,Transfer!AD240)</f>
        <v>4455.0369999999994</v>
      </c>
      <c r="AO192" s="306">
        <f>100*((SUM(Transfer!AD147,Transfer!AD240)/SUM(Transfer!AC147,Transfer!AC240))-1)</f>
        <v>4.7271639085216366</v>
      </c>
      <c r="AP192" s="306">
        <f>SUM(Transfer!AE147,Transfer!AE240)</f>
        <v>4670.7129999999997</v>
      </c>
      <c r="AQ192" s="306">
        <f>100*((SUM(Transfer!AE147,Transfer!AE240)/SUM(Transfer!AD147,Transfer!AD240))-1)</f>
        <v>4.8411719139481946</v>
      </c>
      <c r="AR192" s="306">
        <f>SUM(Transfer!AF147,Transfer!AF240)</f>
        <v>4890.3622243400268</v>
      </c>
      <c r="AS192" s="306">
        <f>100*((SUM(Transfer!AF147,Transfer!AF240)/SUM(Transfer!AE147,Transfer!AE240))-1)</f>
        <v>4.7026915235431233</v>
      </c>
      <c r="AT192" s="306">
        <f>SUM(Transfer!AG147,Transfer!AG240)</f>
        <v>5100.6209884444916</v>
      </c>
      <c r="AU192" s="307">
        <f>100*((SUM(Transfer!AG147,Transfer!AG240)/SUM(Transfer!AF147,Transfer!AF240))-1)</f>
        <v>4.2994517473159188</v>
      </c>
      <c r="AV192" s="85"/>
      <c r="AW192" s="157"/>
      <c r="AX192" s="54"/>
      <c r="AY192" s="54"/>
      <c r="AZ192" s="54"/>
      <c r="BA192" s="1762" t="s">
        <v>710</v>
      </c>
      <c r="BB192" s="54"/>
      <c r="BC192" s="54"/>
    </row>
    <row r="193" spans="1:55" ht="13.15" thickBot="1">
      <c r="A193" s="45"/>
      <c r="B193" s="2052"/>
      <c r="C193" s="2418"/>
      <c r="D193" s="2418"/>
      <c r="E193" s="2646"/>
      <c r="F193" s="2446"/>
      <c r="G193" s="2446"/>
      <c r="H193" s="2446"/>
      <c r="I193" s="2446"/>
      <c r="J193" s="2446"/>
      <c r="K193" s="2446"/>
      <c r="L193" s="2446"/>
      <c r="M193" s="2647"/>
      <c r="N193" s="2437"/>
      <c r="O193" s="150"/>
      <c r="P193" s="54"/>
      <c r="Q193" s="54"/>
      <c r="R193" s="54"/>
      <c r="S193" s="259"/>
      <c r="T193" s="63"/>
      <c r="U193" s="63"/>
      <c r="V193" s="308"/>
      <c r="W193" s="2073"/>
      <c r="X193" s="2073"/>
      <c r="Y193" s="2073"/>
      <c r="Z193" s="2073"/>
      <c r="AA193" s="2073"/>
      <c r="AB193" s="2073"/>
      <c r="AC193" s="2073"/>
      <c r="AD193" s="2074"/>
      <c r="AE193" s="82"/>
      <c r="AF193" s="45"/>
      <c r="AG193" s="45"/>
      <c r="AH193" s="45"/>
      <c r="AI193" s="45"/>
      <c r="AJ193" s="259"/>
      <c r="AK193" s="63"/>
      <c r="AL193" s="63"/>
      <c r="AM193" s="308"/>
      <c r="AN193" s="92"/>
      <c r="AO193" s="92"/>
      <c r="AP193" s="92"/>
      <c r="AQ193" s="92"/>
      <c r="AR193" s="92"/>
      <c r="AS193" s="92"/>
      <c r="AT193" s="92"/>
      <c r="AU193" s="136"/>
      <c r="AV193" s="82"/>
      <c r="AW193" s="150"/>
      <c r="AX193" s="54"/>
      <c r="AY193" s="54"/>
      <c r="AZ193" s="54"/>
      <c r="BA193" s="83"/>
      <c r="BB193" s="54"/>
      <c r="BC193" s="54"/>
    </row>
    <row r="194" spans="1:55">
      <c r="A194" s="45"/>
      <c r="B194" s="2052"/>
      <c r="C194" s="2648" t="s">
        <v>1309</v>
      </c>
      <c r="D194" s="2649"/>
      <c r="E194" s="2650" t="s">
        <v>711</v>
      </c>
      <c r="F194" s="2651">
        <f ca="1">Transfer!D161</f>
        <v>2157.2220000000002</v>
      </c>
      <c r="G194" s="2651">
        <f ca="1">100*((Transfer!D161/Transfer!C161)-1)</f>
        <v>4.5795505723650543</v>
      </c>
      <c r="H194" s="2651">
        <f ca="1">Transfer!E161</f>
        <v>2253.8903473306004</v>
      </c>
      <c r="I194" s="2651">
        <f ca="1">100*((Transfer!E161/Transfer!D161)-1)</f>
        <v>4.481149706919374</v>
      </c>
      <c r="J194" s="2651">
        <f ca="1">Transfer!F161</f>
        <v>2334.7706369596426</v>
      </c>
      <c r="K194" s="2651">
        <f ca="1">100*((Transfer!F161/Transfer!E161)-1)</f>
        <v>3.5884749107174985</v>
      </c>
      <c r="L194" s="2652">
        <f ca="1">Transfer!G161</f>
        <v>2408.5692444957795</v>
      </c>
      <c r="M194" s="2653">
        <f ca="1">100*((Transfer!G161/Transfer!F161)-1)</f>
        <v>3.1608504222169653</v>
      </c>
      <c r="N194" s="2437"/>
      <c r="O194" s="150"/>
      <c r="P194" s="54"/>
      <c r="Q194" s="54"/>
      <c r="R194" s="54"/>
      <c r="S194" s="259"/>
      <c r="T194" s="309" t="s">
        <v>1309</v>
      </c>
      <c r="U194" s="310"/>
      <c r="V194" s="311" t="s">
        <v>711</v>
      </c>
      <c r="W194" s="91">
        <f t="shared" ca="1" si="12"/>
        <v>92.099999999999909</v>
      </c>
      <c r="X194" s="91">
        <f t="shared" ca="1" si="12"/>
        <v>-0.40000000000000036</v>
      </c>
      <c r="Y194" s="91">
        <f t="shared" ca="1" si="12"/>
        <v>92.200000000000273</v>
      </c>
      <c r="Z194" s="91">
        <f t="shared" ca="1" si="12"/>
        <v>-0.20000000000000018</v>
      </c>
      <c r="AA194" s="91">
        <f t="shared" ca="1" si="12"/>
        <v>77.5</v>
      </c>
      <c r="AB194" s="91">
        <f t="shared" ca="1" si="12"/>
        <v>-0.80000000000000027</v>
      </c>
      <c r="AC194" s="91">
        <f t="shared" ca="1" si="12"/>
        <v>65.5</v>
      </c>
      <c r="AD194" s="93">
        <f t="shared" ca="1" si="12"/>
        <v>-0.59999999999999964</v>
      </c>
      <c r="AE194" s="82"/>
      <c r="AF194" s="45"/>
      <c r="AG194" s="45"/>
      <c r="AH194" s="45"/>
      <c r="AI194" s="45"/>
      <c r="AJ194" s="259"/>
      <c r="AK194" s="309" t="s">
        <v>1309</v>
      </c>
      <c r="AL194" s="310"/>
      <c r="AM194" s="311" t="s">
        <v>711</v>
      </c>
      <c r="AN194" s="312">
        <f>Transfer!AD161</f>
        <v>2065.1419999999998</v>
      </c>
      <c r="AO194" s="312">
        <f>100*((Transfer!AD161/Transfer!AC161)-1)</f>
        <v>4.9852624044394611</v>
      </c>
      <c r="AP194" s="312">
        <f>Transfer!AE161</f>
        <v>2161.7460000000001</v>
      </c>
      <c r="AQ194" s="312">
        <f>100*((Transfer!AE161/Transfer!AD161)-1)</f>
        <v>4.677838134133161</v>
      </c>
      <c r="AR194" s="312">
        <f>Transfer!AF161</f>
        <v>2257.3294039729999</v>
      </c>
      <c r="AS194" s="312">
        <f>100*((Transfer!AF161/Transfer!AE161)-1)</f>
        <v>4.4215834780311658</v>
      </c>
      <c r="AT194" s="313">
        <f>Transfer!AG161</f>
        <v>2343.0555097084439</v>
      </c>
      <c r="AU194" s="314">
        <f>100*((Transfer!AG161/Transfer!AF161)-1)</f>
        <v>3.7976781582945929</v>
      </c>
      <c r="AV194" s="82"/>
      <c r="AW194" s="150"/>
      <c r="AX194" s="54"/>
      <c r="AY194" s="54"/>
      <c r="AZ194" s="54"/>
      <c r="BA194" s="1762" t="s">
        <v>20</v>
      </c>
      <c r="BB194" s="54"/>
      <c r="BC194" s="54"/>
    </row>
    <row r="195" spans="1:55">
      <c r="A195" s="45"/>
      <c r="B195" s="2052"/>
      <c r="C195" s="2654" t="s">
        <v>1310</v>
      </c>
      <c r="D195" s="2418"/>
      <c r="E195" s="2491" t="s">
        <v>712</v>
      </c>
      <c r="F195" s="2445">
        <f ca="1">(SUM(Transfer!D147,Transfer!D223,Transfer!D233)-SUM(Transfer!D161,Transfer!D213,Transfer!D231))</f>
        <v>1463.3410000000003</v>
      </c>
      <c r="G195" s="2445">
        <f ca="1">100*((((SUM(Transfer!D147,Transfer!D223,Transfer!D233)-SUM(Transfer!D161,Transfer!D213,Transfer!D231)))/((SUM(Transfer!C147,Transfer!C223,Transfer!C233)-SUM(Transfer!C161,Transfer!C213,Transfer!C231))))-1)</f>
        <v>4.0159420774031229</v>
      </c>
      <c r="H195" s="2445">
        <f ca="1">(SUM(Transfer!E147,Transfer!E223,Transfer!E233)-SUM(Transfer!E161,Transfer!E213,Transfer!E231))</f>
        <v>1549.0188035482884</v>
      </c>
      <c r="I195" s="2445">
        <f ca="1">100*((((SUM(Transfer!E147,Transfer!E223,Transfer!E233)-SUM(Transfer!E161,Transfer!E213,Transfer!E231)))/((SUM(Transfer!D147,Transfer!D223,Transfer!D233)-SUM(Transfer!D161,Transfer!D213,Transfer!D231))))-1)</f>
        <v>5.8549445104242981</v>
      </c>
      <c r="J195" s="2445">
        <f ca="1">(SUM(Transfer!F147,Transfer!F223,Transfer!F233)-SUM(Transfer!F161,Transfer!F213,Transfer!F231))</f>
        <v>1614.2186553398633</v>
      </c>
      <c r="K195" s="2445">
        <f ca="1">100*((((SUM(Transfer!F147,Transfer!F223,Transfer!F233)-SUM(Transfer!F161,Transfer!F213,Transfer!F231)))/((SUM(Transfer!E147,Transfer!E223,Transfer!E233)-SUM(Transfer!E161,Transfer!E213,Transfer!E231))))-1)</f>
        <v>4.2091065416522744</v>
      </c>
      <c r="L195" s="2445">
        <f ca="1">(SUM(Transfer!G147,Transfer!G223,Transfer!G233)-SUM(Transfer!G161,Transfer!G213,Transfer!G231))</f>
        <v>1680.4397540600407</v>
      </c>
      <c r="M195" s="2447">
        <f ca="1">100*((((SUM(Transfer!G147,Transfer!G223,Transfer!G233)-SUM(Transfer!G161,Transfer!G213,Transfer!G231)))/((SUM(Transfer!F147,Transfer!F223,Transfer!F233)-SUM(Transfer!F161,Transfer!F213,Transfer!F231))))-1)</f>
        <v>4.1023623721059721</v>
      </c>
      <c r="N195" s="2437"/>
      <c r="O195" s="150"/>
      <c r="P195" s="54"/>
      <c r="Q195" s="54"/>
      <c r="R195" s="54"/>
      <c r="S195" s="259"/>
      <c r="T195" s="315" t="s">
        <v>1310</v>
      </c>
      <c r="U195" s="130"/>
      <c r="V195" s="181" t="s">
        <v>712</v>
      </c>
      <c r="W195" s="91">
        <f t="shared" ca="1" si="12"/>
        <v>39.399999999999864</v>
      </c>
      <c r="X195" s="91">
        <f t="shared" ca="1" si="12"/>
        <v>1.2000000000000002</v>
      </c>
      <c r="Y195" s="91">
        <f t="shared" ca="1" si="12"/>
        <v>64</v>
      </c>
      <c r="Z195" s="91">
        <f t="shared" ca="1" si="12"/>
        <v>1.6000000000000005</v>
      </c>
      <c r="AA195" s="91">
        <f t="shared" ca="1" si="12"/>
        <v>47.100000000000136</v>
      </c>
      <c r="AB195" s="91">
        <f t="shared" ca="1" si="12"/>
        <v>-1.2999999999999998</v>
      </c>
      <c r="AC195" s="91">
        <f t="shared" ca="1" si="12"/>
        <v>30.400000000000091</v>
      </c>
      <c r="AD195" s="93">
        <f t="shared" ca="1" si="12"/>
        <v>-1.2000000000000002</v>
      </c>
      <c r="AE195" s="82"/>
      <c r="AF195" s="45"/>
      <c r="AG195" s="45"/>
      <c r="AH195" s="45"/>
      <c r="AI195" s="45"/>
      <c r="AJ195" s="259"/>
      <c r="AK195" s="315" t="s">
        <v>1310</v>
      </c>
      <c r="AL195" s="130"/>
      <c r="AM195" s="181" t="s">
        <v>712</v>
      </c>
      <c r="AN195" s="91">
        <f>(SUM(Transfer!AD147,Transfer!AD223,Transfer!AD233)-SUM(Transfer!AD161,Transfer!AD213,Transfer!AD231))</f>
        <v>1423.9299999999998</v>
      </c>
      <c r="AO195" s="91">
        <f>100*((((SUM(Transfer!AD147,Transfer!AD223,Transfer!AD233)-SUM(Transfer!AD161,Transfer!AD213,Transfer!AD231)))/((SUM(Transfer!AC147,Transfer!AC223,Transfer!AC233)-SUM(Transfer!AC161,Transfer!AC213,Transfer!AC231))))-1)</f>
        <v>2.8249362728460792</v>
      </c>
      <c r="AP195" s="91">
        <f>(SUM(Transfer!AE147,Transfer!AE223,Transfer!AE233)-SUM(Transfer!AE161,Transfer!AE213,Transfer!AE231))</f>
        <v>1484.9600000000005</v>
      </c>
      <c r="AQ195" s="91">
        <f>100*((((SUM(Transfer!AE147,Transfer!AE223,Transfer!AE233)-SUM(Transfer!AE161,Transfer!AE213,Transfer!AE231)))/((SUM(Transfer!AD147,Transfer!AD223,Transfer!AD233)-SUM(Transfer!AD161,Transfer!AD213,Transfer!AD231))))-1)</f>
        <v>4.2860252961873568</v>
      </c>
      <c r="AR195" s="91">
        <f>(SUM(Transfer!AF147,Transfer!AF223,Transfer!AF233)-SUM(Transfer!AF161,Transfer!AF213,Transfer!AF231))</f>
        <v>1567.1303223703521</v>
      </c>
      <c r="AS195" s="91">
        <f>100*((((SUM(Transfer!AF147,Transfer!AF223,Transfer!AF233)-SUM(Transfer!AF161,Transfer!AF213,Transfer!AF231)))/((SUM(Transfer!AE147,Transfer!AE223,Transfer!AE233)-SUM(Transfer!AE161,Transfer!AE213,Transfer!AE231))))-1)</f>
        <v>5.533504092389796</v>
      </c>
      <c r="AT195" s="91">
        <f>(SUM(Transfer!AG147,Transfer!AG223,Transfer!AG233)-SUM(Transfer!AG161,Transfer!AG213,Transfer!AG231))</f>
        <v>1649.9873843007017</v>
      </c>
      <c r="AU195" s="93">
        <f>100*((((SUM(Transfer!AG147,Transfer!AG223,Transfer!AG233)-SUM(Transfer!AG161,Transfer!AG213,Transfer!AG231)))/((SUM(Transfer!AF147,Transfer!AF223,Transfer!AF233)-SUM(Transfer!AF161,Transfer!AF213,Transfer!AF231))))-1)</f>
        <v>5.2871838894052336</v>
      </c>
      <c r="AV195" s="82"/>
      <c r="AW195" s="150"/>
      <c r="AX195" s="54"/>
      <c r="AY195" s="54"/>
      <c r="AZ195" s="54"/>
      <c r="BA195" s="1762" t="s">
        <v>1885</v>
      </c>
      <c r="BB195" s="54"/>
      <c r="BC195" s="54"/>
    </row>
    <row r="196" spans="1:55" ht="13.15">
      <c r="A196" s="45"/>
      <c r="B196" s="2052"/>
      <c r="C196" s="2623" t="s">
        <v>445</v>
      </c>
      <c r="D196" s="2548"/>
      <c r="E196" s="2627" t="s">
        <v>1886</v>
      </c>
      <c r="F196" s="2628">
        <f ca="1">SUM(Transfer!D147,Transfer!D151)-Transfer!D150</f>
        <v>4049.0960000000005</v>
      </c>
      <c r="G196" s="2628">
        <f ca="1">100*(((SUM(Transfer!D147,Transfer!D151)-Transfer!D150))/(SUM(Transfer!C147,Transfer!C151)-Transfer!C150)-1)</f>
        <v>4.4557081150022437</v>
      </c>
      <c r="H196" s="2628">
        <f ca="1">SUM(Transfer!E147,Transfer!E151)-Transfer!E150</f>
        <v>4247.219295971765</v>
      </c>
      <c r="I196" s="2628">
        <f ca="1">100*(((SUM(Transfer!E147,Transfer!E151)-Transfer!E150))/(SUM(Transfer!D147,Transfer!D151)-Transfer!D150)-1)</f>
        <v>4.8930254054674105</v>
      </c>
      <c r="J196" s="2628">
        <f ca="1">SUM(Transfer!F147,Transfer!F151)-Transfer!F150</f>
        <v>4404.5889026853383</v>
      </c>
      <c r="K196" s="2628">
        <f ca="1">100*(((SUM(Transfer!F147,Transfer!F151)-Transfer!F150))/(SUM(Transfer!E147,Transfer!E151)-Transfer!E150)-1)</f>
        <v>3.7052385513229646</v>
      </c>
      <c r="L196" s="2628">
        <f ca="1">SUM(Transfer!G147,Transfer!G151)-Transfer!G150</f>
        <v>4561.1803964037335</v>
      </c>
      <c r="M196" s="2655">
        <f ca="1">100*(((SUM(Transfer!G147,Transfer!G151)-Transfer!G150))/(SUM(Transfer!F147,Transfer!F151)-Transfer!F150)-1)</f>
        <v>3.5551897618169681</v>
      </c>
      <c r="N196" s="2441"/>
      <c r="O196" s="157"/>
      <c r="P196" s="54"/>
      <c r="Q196" s="54"/>
      <c r="R196" s="54"/>
      <c r="S196" s="259"/>
      <c r="T196" s="316" t="s">
        <v>445</v>
      </c>
      <c r="U196" s="222"/>
      <c r="V196" s="289" t="s">
        <v>1886</v>
      </c>
      <c r="W196" s="91">
        <f t="shared" ca="1" si="12"/>
        <v>154.79999999999973</v>
      </c>
      <c r="X196" s="91">
        <f t="shared" ca="1" si="12"/>
        <v>-0.20000000000000018</v>
      </c>
      <c r="Y196" s="91">
        <f t="shared" ca="1" si="12"/>
        <v>175.29999999999973</v>
      </c>
      <c r="Z196" s="91">
        <f t="shared" ca="1" si="12"/>
        <v>0.30000000000000071</v>
      </c>
      <c r="AA196" s="91">
        <f t="shared" ca="1" si="12"/>
        <v>138.5</v>
      </c>
      <c r="AB196" s="91">
        <f t="shared" ca="1" si="12"/>
        <v>-1.0999999999999996</v>
      </c>
      <c r="AC196" s="91">
        <f t="shared" ca="1" si="12"/>
        <v>109.59999999999945</v>
      </c>
      <c r="AD196" s="93">
        <f t="shared" ca="1" si="12"/>
        <v>-0.69999999999999973</v>
      </c>
      <c r="AE196" s="85"/>
      <c r="AF196" s="45"/>
      <c r="AG196" s="45"/>
      <c r="AH196" s="45"/>
      <c r="AI196" s="45"/>
      <c r="AJ196" s="259"/>
      <c r="AK196" s="316" t="s">
        <v>445</v>
      </c>
      <c r="AL196" s="222"/>
      <c r="AM196" s="289" t="s">
        <v>1886</v>
      </c>
      <c r="AN196" s="290">
        <f>SUM(Transfer!AD147,Transfer!AD151)-Transfer!AD150</f>
        <v>3894.2609999999995</v>
      </c>
      <c r="AO196" s="290">
        <f>100*(((SUM(Transfer!AD147,Transfer!AD151)-Transfer!AD150))/(SUM(Transfer!AC147,Transfer!AC151)-Transfer!AC150)-1)</f>
        <v>4.6912741880719588</v>
      </c>
      <c r="AP196" s="290">
        <f>SUM(Transfer!AE147,Transfer!AE151)-Transfer!AE150</f>
        <v>4071.8969999999995</v>
      </c>
      <c r="AQ196" s="290">
        <f>100*(((SUM(Transfer!AE147,Transfer!AE151)-Transfer!AE150))/(SUM(Transfer!AD147,Transfer!AD151)-Transfer!AD150)-1)</f>
        <v>4.5614816264241131</v>
      </c>
      <c r="AR196" s="290">
        <f>SUM(Transfer!AF147,Transfer!AF151)-Transfer!AF150</f>
        <v>4266.1414779156576</v>
      </c>
      <c r="AS196" s="290">
        <f>100*(((SUM(Transfer!AF147,Transfer!AF151)-Transfer!AF150))/(SUM(Transfer!AE147,Transfer!AE151)-Transfer!AE150)-1)</f>
        <v>4.7703681580270274</v>
      </c>
      <c r="AT196" s="290">
        <f>SUM(Transfer!AG147,Transfer!AG151)-Transfer!AG150</f>
        <v>4451.5628710651845</v>
      </c>
      <c r="AU196" s="317">
        <f>100*(((SUM(Transfer!AG147,Transfer!AG151)-Transfer!AG150))/(SUM(Transfer!AF147,Transfer!AF151)-Transfer!AF150)-1)</f>
        <v>4.3463488988677357</v>
      </c>
      <c r="AV196" s="85"/>
      <c r="AW196" s="157"/>
      <c r="AX196" s="54"/>
      <c r="AY196" s="54"/>
      <c r="AZ196" s="54"/>
      <c r="BA196" s="2055" t="s">
        <v>444</v>
      </c>
      <c r="BB196" s="54"/>
      <c r="BC196" s="54"/>
    </row>
    <row r="197" spans="1:55">
      <c r="A197" s="45"/>
      <c r="B197" s="2052"/>
      <c r="C197" s="2626" t="s">
        <v>219</v>
      </c>
      <c r="D197" s="2656"/>
      <c r="E197" s="2657"/>
      <c r="F197" s="2445">
        <f ca="1">(Transfer!D159*Transfer!D161)/Transfer!D163</f>
        <v>2249.2325923475441</v>
      </c>
      <c r="G197" s="2445">
        <f ca="1">100*((((Transfer!D159*Transfer!D161)/Transfer!D163)/((Transfer!C159*Transfer!C161)/Transfer!C163))-1)</f>
        <v>4.3858952709062482</v>
      </c>
      <c r="H197" s="2445">
        <f ca="1">(Transfer!E159*Transfer!E161)/Transfer!E163</f>
        <v>2348.3876102172226</v>
      </c>
      <c r="I197" s="2445">
        <f ca="1">100*((((Transfer!E159*Transfer!E161)/Transfer!E163)/((Transfer!D159*Transfer!D161)/Transfer!D163))-1)</f>
        <v>4.4083932540826876</v>
      </c>
      <c r="J197" s="2445">
        <f ca="1">(Transfer!F159*Transfer!F161)/Transfer!F163</f>
        <v>2431.7906573397609</v>
      </c>
      <c r="K197" s="2445">
        <f ca="1">100*((((Transfer!F159*Transfer!F161)/Transfer!F163)/((Transfer!E159*Transfer!E161)/Transfer!E163))-1)</f>
        <v>3.5515026037300279</v>
      </c>
      <c r="L197" s="2445">
        <f ca="1">(Transfer!G159*Transfer!G161)/Transfer!G163</f>
        <v>2507.9721272750062</v>
      </c>
      <c r="M197" s="2447">
        <f ca="1">100*((((Transfer!G159*Transfer!G161)/Transfer!G163)/((Transfer!F159*Transfer!F161)/Transfer!F163))-1)</f>
        <v>3.1327314177028498</v>
      </c>
      <c r="N197" s="2459"/>
      <c r="O197" s="150"/>
      <c r="P197" s="54"/>
      <c r="Q197" s="54"/>
      <c r="R197" s="54"/>
      <c r="S197" s="259"/>
      <c r="T197" s="318" t="s">
        <v>219</v>
      </c>
      <c r="U197" s="319"/>
      <c r="V197" s="169"/>
      <c r="W197" s="96">
        <f t="shared" ca="1" si="12"/>
        <v>91.699999999999818</v>
      </c>
      <c r="X197" s="96">
        <f t="shared" ca="1" si="12"/>
        <v>-9.9999999999999645E-2</v>
      </c>
      <c r="Y197" s="96">
        <f t="shared" ca="1" si="12"/>
        <v>94.300000000000182</v>
      </c>
      <c r="Z197" s="96">
        <f t="shared" ca="1" si="12"/>
        <v>-9.9999999999999645E-2</v>
      </c>
      <c r="AA197" s="96">
        <f t="shared" ca="1" si="12"/>
        <v>79.600000000000364</v>
      </c>
      <c r="AB197" s="96">
        <f t="shared" ca="1" si="12"/>
        <v>-0.69999999999999973</v>
      </c>
      <c r="AC197" s="96">
        <f t="shared" ca="1" si="12"/>
        <v>67.800000000000182</v>
      </c>
      <c r="AD197" s="98">
        <f t="shared" ca="1" si="12"/>
        <v>-0.60000000000000009</v>
      </c>
      <c r="AE197" s="103"/>
      <c r="AF197" s="45"/>
      <c r="AG197" s="45"/>
      <c r="AH197" s="45"/>
      <c r="AI197" s="45"/>
      <c r="AJ197" s="259"/>
      <c r="AK197" s="318" t="s">
        <v>219</v>
      </c>
      <c r="AL197" s="319"/>
      <c r="AM197" s="169"/>
      <c r="AN197" s="91">
        <f>(Transfer!AD159*Transfer!AD161)/Transfer!AD163</f>
        <v>2157.489873218673</v>
      </c>
      <c r="AO197" s="91">
        <f>100*((((Transfer!AD159*Transfer!AD161)/Transfer!AD163)/((Transfer!AC159*Transfer!AC161)/Transfer!AC163))-1)</f>
        <v>4.5443205227654104</v>
      </c>
      <c r="AP197" s="91">
        <f>(Transfer!AE159*Transfer!AE161)/Transfer!AE163</f>
        <v>2254.1464052600868</v>
      </c>
      <c r="AQ197" s="91">
        <f>100*((((Transfer!AE159*Transfer!AE161)/Transfer!AE163)/((Transfer!AD159*Transfer!AD161)/Transfer!AD163))-1)</f>
        <v>4.4800456883357542</v>
      </c>
      <c r="AR197" s="91">
        <f>(Transfer!AF159*Transfer!AF161)/Transfer!AF163</f>
        <v>2352.1929980121026</v>
      </c>
      <c r="AS197" s="91">
        <f>100*((((Transfer!AF159*Transfer!AF161)/Transfer!AF163)/((Transfer!AE159*Transfer!AE161)/Transfer!AE163))-1)</f>
        <v>4.3496106784910893</v>
      </c>
      <c r="AT197" s="91">
        <f>(Transfer!AG159*Transfer!AG161)/Transfer!AG163</f>
        <v>2440.2427674308656</v>
      </c>
      <c r="AU197" s="93">
        <f>100*((((Transfer!AG159*Transfer!AG161)/Transfer!AG163)/((Transfer!AF159*Transfer!AF161)/Transfer!AF163))-1)</f>
        <v>3.7433054810203092</v>
      </c>
      <c r="AV197" s="103"/>
      <c r="AW197" s="150"/>
      <c r="AX197" s="54"/>
      <c r="AY197" s="54"/>
      <c r="AZ197" s="54"/>
      <c r="BA197" s="1762" t="s">
        <v>1887</v>
      </c>
      <c r="BB197" s="54"/>
      <c r="BC197" s="54"/>
    </row>
    <row r="198" spans="1:55">
      <c r="A198" s="45"/>
      <c r="B198" s="2052"/>
      <c r="C198" s="2453" t="s">
        <v>1081</v>
      </c>
      <c r="D198" s="2412"/>
      <c r="E198" s="2615"/>
      <c r="F198" s="2434">
        <f ca="1">(Transfer!D150-Transfer!D151)</f>
        <v>529.803</v>
      </c>
      <c r="G198" s="2434">
        <f ca="1">100*(((Transfer!D150-Transfer!D151)/(Transfer!C150-Transfer!C151))-1)</f>
        <v>4.062295603599142</v>
      </c>
      <c r="H198" s="2435">
        <f ca="1">(Transfer!E150-Transfer!E151)</f>
        <v>555.95584683663378</v>
      </c>
      <c r="I198" s="2434">
        <f ca="1">100*(((Transfer!E150-Transfer!E151)/(Transfer!D150-Transfer!D151))-1)</f>
        <v>4.9363342292576329</v>
      </c>
      <c r="J198" s="2434">
        <f ca="1">(Transfer!F150-Transfer!F151)</f>
        <v>580.20749677372521</v>
      </c>
      <c r="K198" s="2434">
        <f ca="1">100*(((Transfer!F150-Transfer!F151)/(Transfer!E150-Transfer!E151))-1)</f>
        <v>4.3621539507286977</v>
      </c>
      <c r="L198" s="2435">
        <f ca="1">(Transfer!G150-Transfer!G151)</f>
        <v>600.33521858745178</v>
      </c>
      <c r="M198" s="2436">
        <f ca="1">100*(((Transfer!G150-Transfer!G151)/(Transfer!F150-Transfer!F151))-1)</f>
        <v>3.4690557991146065</v>
      </c>
      <c r="N198" s="2437"/>
      <c r="O198" s="150"/>
      <c r="P198" s="54"/>
      <c r="Q198" s="54"/>
      <c r="R198" s="54"/>
      <c r="S198" s="259"/>
      <c r="T198" s="148" t="s">
        <v>1081</v>
      </c>
      <c r="U198" s="57"/>
      <c r="V198" s="149"/>
      <c r="W198" s="91">
        <f t="shared" ca="1" si="12"/>
        <v>19.299999999999955</v>
      </c>
      <c r="X198" s="91">
        <f t="shared" ca="1" si="12"/>
        <v>-2.2000000000000002</v>
      </c>
      <c r="Y198" s="91">
        <f t="shared" ca="1" si="12"/>
        <v>23.700000000000045</v>
      </c>
      <c r="Z198" s="91">
        <f t="shared" ca="1" si="12"/>
        <v>0.60000000000000053</v>
      </c>
      <c r="AA198" s="91">
        <f t="shared" ca="1" si="12"/>
        <v>22</v>
      </c>
      <c r="AB198" s="91">
        <f t="shared" ca="1" si="12"/>
        <v>-0.5</v>
      </c>
      <c r="AC198" s="91">
        <f t="shared" ca="1" si="12"/>
        <v>17.799999999999955</v>
      </c>
      <c r="AD198" s="93">
        <f t="shared" ca="1" si="12"/>
        <v>-0.79999999999999982</v>
      </c>
      <c r="AE198" s="82"/>
      <c r="AF198" s="45"/>
      <c r="AG198" s="45"/>
      <c r="AH198" s="45"/>
      <c r="AI198" s="45"/>
      <c r="AJ198" s="259"/>
      <c r="AK198" s="148" t="s">
        <v>1081</v>
      </c>
      <c r="AL198" s="57"/>
      <c r="AM198" s="149"/>
      <c r="AN198" s="79">
        <f>(Transfer!AD150-Transfer!AD151)</f>
        <v>510.541</v>
      </c>
      <c r="AO198" s="79">
        <f>100*(((Transfer!AD150-Transfer!AD151)/(Transfer!AC150-Transfer!AC151))-1)</f>
        <v>6.3398895653640874</v>
      </c>
      <c r="AP198" s="80">
        <f>(Transfer!AE150-Transfer!AE151)</f>
        <v>532.30799999999999</v>
      </c>
      <c r="AQ198" s="79">
        <f>100*(((Transfer!AE150-Transfer!AE151)/(Transfer!AD150-Transfer!AD151))-1)</f>
        <v>4.2635165442148626</v>
      </c>
      <c r="AR198" s="79">
        <f>(Transfer!AF150-Transfer!AF151)</f>
        <v>558.19250494127243</v>
      </c>
      <c r="AS198" s="79">
        <f>100*(((Transfer!AF150-Transfer!AF151)/(Transfer!AE150-Transfer!AE151))-1)</f>
        <v>4.8626932041736071</v>
      </c>
      <c r="AT198" s="80">
        <f>(Transfer!AG150-Transfer!AG151)</f>
        <v>582.4540083043554</v>
      </c>
      <c r="AU198" s="81">
        <f>100*(((Transfer!AG150-Transfer!AG151)/(Transfer!AF150-Transfer!AF151))-1)</f>
        <v>4.3464401883424708</v>
      </c>
      <c r="AV198" s="82"/>
      <c r="AW198" s="150"/>
      <c r="AX198" s="54"/>
      <c r="AY198" s="54"/>
      <c r="AZ198" s="54"/>
      <c r="BA198" s="1762" t="s">
        <v>1888</v>
      </c>
      <c r="BB198" s="54"/>
      <c r="BC198" s="54"/>
    </row>
    <row r="199" spans="1:55">
      <c r="A199" s="45"/>
      <c r="B199" s="2052"/>
      <c r="C199" s="2626" t="s">
        <v>362</v>
      </c>
      <c r="D199" s="2418"/>
      <c r="E199" s="2491" t="s">
        <v>1889</v>
      </c>
      <c r="F199" s="2445">
        <f ca="1">Transfer!D150</f>
        <v>554.44600000000003</v>
      </c>
      <c r="G199" s="2445">
        <f ca="1">100*((Transfer!D150/Transfer!C150)-1)</f>
        <v>4.1400891052659317</v>
      </c>
      <c r="H199" s="2446">
        <f ca="1">Transfer!E150</f>
        <v>581.83099683663374</v>
      </c>
      <c r="I199" s="2445">
        <f ca="1">100*((Transfer!E150/Transfer!D150)-1)</f>
        <v>4.9391639287926559</v>
      </c>
      <c r="J199" s="2446">
        <f ca="1">Transfer!F150</f>
        <v>607.37640427372526</v>
      </c>
      <c r="K199" s="2445">
        <f ca="1">100*((Transfer!F150/Transfer!E150)-1)</f>
        <v>4.390520198473391</v>
      </c>
      <c r="L199" s="2446">
        <f ca="1">Transfer!G150</f>
        <v>628.8625714624518</v>
      </c>
      <c r="M199" s="2447">
        <f ca="1">100*((Transfer!G150/Transfer!F150)-1)</f>
        <v>3.5375373553437228</v>
      </c>
      <c r="N199" s="2437"/>
      <c r="O199" s="150"/>
      <c r="P199" s="54"/>
      <c r="Q199" s="54"/>
      <c r="R199" s="54"/>
      <c r="S199" s="259"/>
      <c r="T199" s="287" t="s">
        <v>362</v>
      </c>
      <c r="U199" s="130"/>
      <c r="V199" s="181" t="s">
        <v>1889</v>
      </c>
      <c r="W199" s="91">
        <f t="shared" ca="1" si="12"/>
        <v>20.5</v>
      </c>
      <c r="X199" s="91">
        <f t="shared" ca="1" si="12"/>
        <v>-2.2000000000000002</v>
      </c>
      <c r="Y199" s="91">
        <f t="shared" ca="1" si="12"/>
        <v>25</v>
      </c>
      <c r="Z199" s="91">
        <f t="shared" ca="1" si="12"/>
        <v>0.60000000000000053</v>
      </c>
      <c r="AA199" s="91">
        <f t="shared" ca="1" si="12"/>
        <v>23.5</v>
      </c>
      <c r="AB199" s="91">
        <f t="shared" ca="1" si="12"/>
        <v>-0.5</v>
      </c>
      <c r="AC199" s="91">
        <f t="shared" ca="1" si="12"/>
        <v>19.399999999999977</v>
      </c>
      <c r="AD199" s="93">
        <f t="shared" ca="1" si="12"/>
        <v>-0.90000000000000036</v>
      </c>
      <c r="AE199" s="82"/>
      <c r="AF199" s="45"/>
      <c r="AG199" s="45"/>
      <c r="AH199" s="45"/>
      <c r="AI199" s="45"/>
      <c r="AJ199" s="259"/>
      <c r="AK199" s="287" t="s">
        <v>362</v>
      </c>
      <c r="AL199" s="130"/>
      <c r="AM199" s="181" t="s">
        <v>1889</v>
      </c>
      <c r="AN199" s="91">
        <f>Transfer!AD150</f>
        <v>533.93700000000001</v>
      </c>
      <c r="AO199" s="91">
        <f>100*((Transfer!AD150/Transfer!AC150)-1)</f>
        <v>6.2582339947063526</v>
      </c>
      <c r="AP199" s="92">
        <f>Transfer!AE150</f>
        <v>556.83299999999997</v>
      </c>
      <c r="AQ199" s="91">
        <f>100*((Transfer!AE150/Transfer!AD150)-1)</f>
        <v>4.288146354345157</v>
      </c>
      <c r="AR199" s="92">
        <f>Transfer!AF150</f>
        <v>583.94375494127246</v>
      </c>
      <c r="AS199" s="91">
        <f>100*((Transfer!AF150/Transfer!AE150)-1)</f>
        <v>4.8687407070472588</v>
      </c>
      <c r="AT199" s="92">
        <f>Transfer!AG150</f>
        <v>609.49282080435535</v>
      </c>
      <c r="AU199" s="93">
        <f>100*((Transfer!AG150/Transfer!AF150)-1)</f>
        <v>4.37526142661675</v>
      </c>
      <c r="AV199" s="82"/>
      <c r="AW199" s="150"/>
      <c r="AX199" s="54"/>
      <c r="AY199" s="54"/>
      <c r="AZ199" s="54"/>
      <c r="BA199" s="1762" t="s">
        <v>1890</v>
      </c>
      <c r="BB199" s="54"/>
      <c r="BC199" s="54"/>
    </row>
    <row r="200" spans="1:55">
      <c r="A200" s="45"/>
      <c r="B200" s="2052"/>
      <c r="C200" s="2626" t="s">
        <v>363</v>
      </c>
      <c r="D200" s="2418"/>
      <c r="E200" s="2491" t="s">
        <v>1891</v>
      </c>
      <c r="F200" s="2521">
        <f ca="1">Transfer!D151</f>
        <v>24.643000000000001</v>
      </c>
      <c r="G200" s="2521">
        <f ca="1">100*((Transfer!D151/Transfer!C151)-1)</f>
        <v>5.841171670317391</v>
      </c>
      <c r="H200" s="2446">
        <f ca="1">Transfer!E151</f>
        <v>25.875150000000001</v>
      </c>
      <c r="I200" s="2521">
        <f ca="1">100*((Transfer!E151/Transfer!D151)-1)</f>
        <v>5.0000000000000044</v>
      </c>
      <c r="J200" s="2445">
        <f ca="1">Transfer!F151</f>
        <v>27.168907500000003</v>
      </c>
      <c r="K200" s="2521">
        <f ca="1">100*((Transfer!F151/Transfer!E151)-1)</f>
        <v>5.0000000000000044</v>
      </c>
      <c r="L200" s="2446">
        <f ca="1">Transfer!G151</f>
        <v>28.527352875000005</v>
      </c>
      <c r="M200" s="2522">
        <f ca="1">100*((Transfer!G151/Transfer!F151)-1)</f>
        <v>5.0000000000000044</v>
      </c>
      <c r="N200" s="2520"/>
      <c r="O200" s="240"/>
      <c r="P200" s="54"/>
      <c r="Q200" s="54"/>
      <c r="R200" s="54"/>
      <c r="S200" s="259"/>
      <c r="T200" s="318" t="s">
        <v>363</v>
      </c>
      <c r="U200" s="63"/>
      <c r="V200" s="152" t="s">
        <v>1891</v>
      </c>
      <c r="W200" s="91">
        <f t="shared" ca="1" si="12"/>
        <v>1.2000000000000028</v>
      </c>
      <c r="X200" s="91">
        <f t="shared" ca="1" si="12"/>
        <v>1.2999999999999998</v>
      </c>
      <c r="Y200" s="91">
        <f t="shared" ca="1" si="12"/>
        <v>1.3999999999999986</v>
      </c>
      <c r="Z200" s="91">
        <f t="shared" ca="1" si="12"/>
        <v>0.20000000000000018</v>
      </c>
      <c r="AA200" s="91">
        <f t="shared" ca="1" si="12"/>
        <v>1.3999999999999986</v>
      </c>
      <c r="AB200" s="91">
        <f t="shared" ca="1" si="12"/>
        <v>0</v>
      </c>
      <c r="AC200" s="91">
        <f t="shared" ca="1" si="12"/>
        <v>1.5</v>
      </c>
      <c r="AD200" s="93">
        <f t="shared" ca="1" si="12"/>
        <v>0</v>
      </c>
      <c r="AE200" s="199"/>
      <c r="AF200" s="45"/>
      <c r="AG200" s="45"/>
      <c r="AH200" s="45"/>
      <c r="AI200" s="45"/>
      <c r="AJ200" s="259"/>
      <c r="AK200" s="318" t="s">
        <v>363</v>
      </c>
      <c r="AL200" s="63"/>
      <c r="AM200" s="152" t="s">
        <v>1891</v>
      </c>
      <c r="AN200" s="245">
        <f>Transfer!AD151</f>
        <v>23.396000000000001</v>
      </c>
      <c r="AO200" s="245">
        <f>100*((Transfer!AD151/Transfer!AC151)-1)</f>
        <v>4.5070800017867452</v>
      </c>
      <c r="AP200" s="92">
        <f>Transfer!AE151</f>
        <v>24.524999999999999</v>
      </c>
      <c r="AQ200" s="245">
        <f>100*((Transfer!AE151/Transfer!AD151)-1)</f>
        <v>4.8256112155923958</v>
      </c>
      <c r="AR200" s="91">
        <f>Transfer!AF151</f>
        <v>25.751249999999999</v>
      </c>
      <c r="AS200" s="245">
        <f>100*((Transfer!AF151/Transfer!AE151)-1)</f>
        <v>5.0000000000000044</v>
      </c>
      <c r="AT200" s="92">
        <f>Transfer!AG151</f>
        <v>27.038812499999999</v>
      </c>
      <c r="AU200" s="320">
        <f>100*((Transfer!AG151/Transfer!AF151)-1)</f>
        <v>5.0000000000000044</v>
      </c>
      <c r="AV200" s="199"/>
      <c r="AW200" s="240"/>
      <c r="AX200" s="54"/>
      <c r="AY200" s="54"/>
      <c r="AZ200" s="54"/>
      <c r="BA200" s="1762" t="s">
        <v>1892</v>
      </c>
      <c r="BB200" s="54"/>
      <c r="BC200" s="54"/>
    </row>
    <row r="201" spans="1:55" ht="13.5" thickBot="1">
      <c r="A201" s="45"/>
      <c r="B201" s="2052"/>
      <c r="C201" s="2537" t="s">
        <v>1546</v>
      </c>
      <c r="D201" s="2538"/>
      <c r="E201" s="2658" t="s">
        <v>427</v>
      </c>
      <c r="F201" s="2659">
        <f ca="1">Transfer!D147</f>
        <v>4578.8990000000003</v>
      </c>
      <c r="G201" s="2659">
        <f ca="1">100*((Transfer!D147/Transfer!C147)-1)</f>
        <v>4.4100360802891814</v>
      </c>
      <c r="H201" s="2660">
        <f ca="1">Transfer!E147</f>
        <v>4803.175142808399</v>
      </c>
      <c r="I201" s="2659">
        <f ca="1">100*((Transfer!E147/Transfer!D147)-1)</f>
        <v>4.8980364670283993</v>
      </c>
      <c r="J201" s="2660">
        <f ca="1">Transfer!F147</f>
        <v>4984.7963994590627</v>
      </c>
      <c r="K201" s="2659">
        <f ca="1">100*((Transfer!F147/Transfer!E147)-1)</f>
        <v>3.7812749119215061</v>
      </c>
      <c r="L201" s="2660">
        <f ca="1">Transfer!G147</f>
        <v>5161.5156149911854</v>
      </c>
      <c r="M201" s="2661">
        <f ca="1">100*((Transfer!G147/Transfer!F147)-1)</f>
        <v>3.5451641625984909</v>
      </c>
      <c r="N201" s="2441"/>
      <c r="O201" s="157"/>
      <c r="P201" s="54"/>
      <c r="Q201" s="54"/>
      <c r="R201" s="54"/>
      <c r="S201" s="259"/>
      <c r="T201" s="321" t="s">
        <v>1546</v>
      </c>
      <c r="U201" s="322"/>
      <c r="V201" s="323" t="s">
        <v>427</v>
      </c>
      <c r="W201" s="91">
        <f t="shared" ca="1" si="12"/>
        <v>174.09999999999945</v>
      </c>
      <c r="X201" s="91">
        <f t="shared" ca="1" si="12"/>
        <v>-0.5</v>
      </c>
      <c r="Y201" s="91">
        <f t="shared" ca="1" si="12"/>
        <v>199</v>
      </c>
      <c r="Z201" s="91">
        <f t="shared" ca="1" si="12"/>
        <v>0.40000000000000036</v>
      </c>
      <c r="AA201" s="91">
        <f t="shared" ca="1" si="12"/>
        <v>160.5</v>
      </c>
      <c r="AB201" s="91">
        <f t="shared" ca="1" si="12"/>
        <v>-1</v>
      </c>
      <c r="AC201" s="91">
        <f t="shared" ca="1" si="12"/>
        <v>127.5</v>
      </c>
      <c r="AD201" s="112">
        <f t="shared" ca="1" si="12"/>
        <v>-0.79999999999999982</v>
      </c>
      <c r="AE201" s="85"/>
      <c r="AF201" s="45"/>
      <c r="AG201" s="45"/>
      <c r="AH201" s="45"/>
      <c r="AI201" s="45"/>
      <c r="AJ201" s="259"/>
      <c r="AK201" s="321" t="s">
        <v>1546</v>
      </c>
      <c r="AL201" s="322"/>
      <c r="AM201" s="323" t="s">
        <v>427</v>
      </c>
      <c r="AN201" s="324">
        <f>Transfer!AD147</f>
        <v>4404.8019999999997</v>
      </c>
      <c r="AO201" s="324">
        <f>100*((Transfer!AD147/Transfer!AC147)-1)</f>
        <v>4.8797340863742988</v>
      </c>
      <c r="AP201" s="325">
        <f>Transfer!AE147</f>
        <v>4604.2049999999999</v>
      </c>
      <c r="AQ201" s="324">
        <f>100*((Transfer!AE147/Transfer!AD147)-1)</f>
        <v>4.526945819585082</v>
      </c>
      <c r="AR201" s="325">
        <f>Transfer!AF147</f>
        <v>4824.3339828569297</v>
      </c>
      <c r="AS201" s="324">
        <f>100*((Transfer!AF147/Transfer!AE147)-1)</f>
        <v>4.7810421746409926</v>
      </c>
      <c r="AT201" s="325">
        <f>Transfer!AG147</f>
        <v>5034.0168793695402</v>
      </c>
      <c r="AU201" s="326">
        <f>100*((Transfer!AG147/Transfer!AF147)-1)</f>
        <v>4.3463594613828649</v>
      </c>
      <c r="AV201" s="85"/>
      <c r="AW201" s="157"/>
      <c r="AX201" s="54"/>
      <c r="AY201" s="54"/>
      <c r="AZ201" s="54"/>
      <c r="BA201" s="1763" t="s">
        <v>1894</v>
      </c>
      <c r="BB201" s="54"/>
      <c r="BC201" s="54"/>
    </row>
    <row r="202" spans="1:55" ht="13.5" thickBot="1">
      <c r="A202" s="45"/>
      <c r="B202" s="1720"/>
      <c r="C202" s="2662" t="s">
        <v>446</v>
      </c>
      <c r="D202" s="2663"/>
      <c r="E202" s="2663"/>
      <c r="F202" s="2663"/>
      <c r="G202" s="2663"/>
      <c r="H202" s="2663"/>
      <c r="I202" s="2663"/>
      <c r="J202" s="2663"/>
      <c r="K202" s="2663"/>
      <c r="L202" s="2663"/>
      <c r="M202" s="2664"/>
      <c r="N202" s="1719"/>
      <c r="O202" s="331"/>
      <c r="P202" s="54"/>
      <c r="Q202" s="54"/>
      <c r="R202" s="54"/>
      <c r="S202" s="60"/>
      <c r="T202" s="1736" t="s">
        <v>446</v>
      </c>
      <c r="U202" s="1737"/>
      <c r="V202" s="1737"/>
      <c r="W202" s="1737"/>
      <c r="X202" s="1737"/>
      <c r="Y202" s="1738"/>
      <c r="Z202" s="1737"/>
      <c r="AA202" s="1737"/>
      <c r="AB202" s="1737"/>
      <c r="AC202" s="1737"/>
      <c r="AD202" s="1739"/>
      <c r="AE202" s="90"/>
      <c r="AF202" s="45"/>
      <c r="AG202" s="45"/>
      <c r="AH202" s="45"/>
      <c r="AI202" s="45"/>
      <c r="AJ202" s="60"/>
      <c r="AK202" s="1736" t="s">
        <v>446</v>
      </c>
      <c r="AL202" s="1737"/>
      <c r="AM202" s="1737"/>
      <c r="AN202" s="1737"/>
      <c r="AO202" s="1737"/>
      <c r="AP202" s="1738"/>
      <c r="AQ202" s="1737"/>
      <c r="AR202" s="1737"/>
      <c r="AS202" s="1737"/>
      <c r="AT202" s="1737"/>
      <c r="AU202" s="1739"/>
      <c r="AV202" s="90"/>
      <c r="AW202" s="331"/>
      <c r="AX202" s="54"/>
      <c r="AY202" s="54"/>
      <c r="AZ202" s="54"/>
      <c r="BA202" s="45"/>
      <c r="BB202" s="54"/>
      <c r="BC202" s="54"/>
    </row>
    <row r="203" spans="1:55" ht="13.15">
      <c r="A203" s="45"/>
      <c r="B203" s="2665"/>
      <c r="C203" s="2666"/>
      <c r="D203" s="2545"/>
      <c r="E203" s="2545"/>
      <c r="F203" s="2545"/>
      <c r="G203" s="2545"/>
      <c r="H203" s="2545"/>
      <c r="I203" s="2545"/>
      <c r="J203" s="2545"/>
      <c r="K203" s="2545"/>
      <c r="L203" s="2545"/>
      <c r="M203" s="2667" t="str">
        <f>UPPER(Country)</f>
        <v>SWEDEN</v>
      </c>
      <c r="N203" s="2668"/>
      <c r="O203" s="45"/>
      <c r="P203" s="45"/>
      <c r="Q203" s="45"/>
      <c r="R203" s="45"/>
      <c r="S203" s="327"/>
      <c r="T203" s="328"/>
      <c r="U203" s="113"/>
      <c r="V203" s="113"/>
      <c r="W203" s="113"/>
      <c r="X203" s="113"/>
      <c r="Y203" s="113"/>
      <c r="Z203" s="113"/>
      <c r="AA203" s="113"/>
      <c r="AB203" s="113"/>
      <c r="AC203" s="113"/>
      <c r="AD203" s="329" t="str">
        <f>UPPER(Country)</f>
        <v>SWEDEN</v>
      </c>
      <c r="AE203" s="330"/>
      <c r="AF203" s="45"/>
      <c r="AG203" s="45"/>
      <c r="AH203" s="45"/>
      <c r="AI203" s="45"/>
      <c r="AJ203" s="327"/>
      <c r="AK203" s="328"/>
      <c r="AL203" s="113"/>
      <c r="AM203" s="113"/>
      <c r="AN203" s="113"/>
      <c r="AO203" s="113"/>
      <c r="AP203" s="113"/>
      <c r="AQ203" s="113"/>
      <c r="AR203" s="113"/>
      <c r="AS203" s="113"/>
      <c r="AT203" s="113"/>
      <c r="AU203" s="329" t="str">
        <f>UPPER(Country)</f>
        <v>SWEDEN</v>
      </c>
      <c r="AV203" s="330"/>
      <c r="AW203" s="45"/>
      <c r="AX203" s="45"/>
      <c r="AY203" s="45"/>
      <c r="AZ203" s="54"/>
      <c r="BA203" s="45"/>
      <c r="BB203" s="54"/>
      <c r="BC203" s="54"/>
    </row>
    <row r="204" spans="1:55">
      <c r="A204" s="45"/>
      <c r="B204" s="54"/>
      <c r="C204" s="45"/>
      <c r="D204" s="45"/>
      <c r="E204" s="45"/>
      <c r="F204" s="45"/>
      <c r="G204" s="45"/>
      <c r="H204" s="45"/>
      <c r="I204" s="45"/>
      <c r="J204" s="45"/>
      <c r="K204" s="45"/>
      <c r="L204" s="45"/>
      <c r="M204" s="45"/>
      <c r="N204" s="187"/>
      <c r="O204" s="45"/>
      <c r="P204" s="45"/>
      <c r="Q204" s="45"/>
      <c r="R204" s="45"/>
      <c r="S204" s="45"/>
      <c r="T204" s="45"/>
      <c r="U204" s="45"/>
      <c r="V204" s="45"/>
      <c r="W204" s="45"/>
      <c r="X204" s="45"/>
      <c r="Y204" s="45"/>
      <c r="Z204" s="45"/>
      <c r="AA204" s="45"/>
      <c r="AB204" s="45"/>
      <c r="AC204" s="45"/>
      <c r="AD204" s="45"/>
      <c r="AE204" s="45"/>
      <c r="AF204" s="45"/>
      <c r="AG204" s="45"/>
      <c r="AH204" s="45"/>
      <c r="AI204" s="45"/>
      <c r="AJ204" s="54"/>
      <c r="AK204" s="45"/>
      <c r="AL204" s="45"/>
      <c r="AM204" s="45"/>
      <c r="AN204" s="45"/>
      <c r="AO204" s="45"/>
      <c r="AP204" s="45"/>
      <c r="AQ204" s="45"/>
      <c r="AR204" s="45"/>
      <c r="AS204" s="45"/>
      <c r="AT204" s="45"/>
      <c r="AU204" s="45"/>
      <c r="AV204" s="187"/>
      <c r="AW204" s="45"/>
      <c r="AX204" s="45"/>
      <c r="AY204" s="45"/>
      <c r="AZ204" s="54"/>
      <c r="BA204" s="45"/>
      <c r="BB204" s="54"/>
      <c r="BC204" s="54"/>
    </row>
    <row r="205" spans="1:55">
      <c r="A205" s="45"/>
      <c r="B205" s="54"/>
      <c r="C205" s="332"/>
      <c r="D205" s="332"/>
      <c r="E205" s="45"/>
      <c r="F205" s="45"/>
      <c r="G205" s="45"/>
      <c r="H205" s="45"/>
      <c r="I205" s="45"/>
      <c r="J205" s="45"/>
      <c r="K205" s="45"/>
      <c r="L205" s="45"/>
      <c r="M205" s="45"/>
      <c r="N205" s="187"/>
      <c r="O205" s="240"/>
      <c r="P205" s="45"/>
      <c r="Q205" s="45"/>
      <c r="R205" s="45"/>
      <c r="S205" s="45"/>
      <c r="T205" s="45"/>
      <c r="U205" s="45"/>
      <c r="V205" s="45"/>
      <c r="W205" s="45"/>
      <c r="X205" s="45"/>
      <c r="Y205" s="45"/>
      <c r="Z205" s="45"/>
      <c r="AA205" s="45"/>
      <c r="AB205" s="45"/>
      <c r="AC205" s="45"/>
      <c r="AD205" s="45"/>
      <c r="AE205" s="45"/>
      <c r="AF205" s="45"/>
      <c r="AG205" s="45"/>
      <c r="AH205" s="45"/>
      <c r="AI205" s="45"/>
      <c r="AJ205" s="54"/>
      <c r="AK205" s="332"/>
      <c r="AL205" s="332"/>
      <c r="AM205" s="45"/>
      <c r="AN205" s="45"/>
      <c r="AO205" s="45"/>
      <c r="AP205" s="45"/>
      <c r="AQ205" s="45"/>
      <c r="AR205" s="45"/>
      <c r="AS205" s="45"/>
      <c r="AT205" s="45"/>
      <c r="AU205" s="45"/>
      <c r="AV205" s="187"/>
      <c r="AW205" s="240"/>
      <c r="AX205" s="45"/>
      <c r="AY205" s="45"/>
      <c r="AZ205" s="54"/>
      <c r="BA205" s="45"/>
      <c r="BB205" s="54"/>
      <c r="BC205" s="54"/>
    </row>
    <row r="206" spans="1:55">
      <c r="A206" s="45"/>
      <c r="B206" s="54"/>
      <c r="C206" s="333"/>
      <c r="D206" s="333"/>
      <c r="E206" s="45"/>
      <c r="F206" s="45"/>
      <c r="G206" s="45"/>
      <c r="H206" s="45"/>
      <c r="I206" s="45"/>
      <c r="J206" s="45"/>
      <c r="K206" s="45"/>
      <c r="L206" s="45"/>
      <c r="M206" s="45"/>
      <c r="N206" s="187"/>
      <c r="O206" s="240"/>
      <c r="P206" s="45"/>
      <c r="Q206" s="45"/>
      <c r="R206" s="45"/>
      <c r="S206" s="45"/>
      <c r="T206" s="45"/>
      <c r="U206" s="45"/>
      <c r="V206" s="45"/>
      <c r="W206" s="45"/>
      <c r="X206" s="45"/>
      <c r="Y206" s="45"/>
      <c r="Z206" s="45"/>
      <c r="AA206" s="45"/>
      <c r="AB206" s="45"/>
      <c r="AC206" s="45"/>
      <c r="AD206" s="45"/>
      <c r="AE206" s="45"/>
      <c r="AF206" s="45"/>
      <c r="AG206" s="45"/>
      <c r="AH206" s="45"/>
      <c r="AI206" s="45"/>
      <c r="AJ206" s="54"/>
      <c r="AK206" s="333"/>
      <c r="AL206" s="333"/>
      <c r="AM206" s="45"/>
      <c r="AN206" s="45"/>
      <c r="AO206" s="45"/>
      <c r="AP206" s="45"/>
      <c r="AQ206" s="45"/>
      <c r="AR206" s="45"/>
      <c r="AS206" s="45"/>
      <c r="AT206" s="45"/>
      <c r="AU206" s="45"/>
      <c r="AV206" s="187"/>
      <c r="AW206" s="240"/>
      <c r="AX206" s="45"/>
      <c r="AY206" s="45"/>
      <c r="AZ206" s="54"/>
      <c r="BA206" s="45"/>
      <c r="BB206" s="54"/>
      <c r="BC206" s="54"/>
    </row>
    <row r="207" spans="1:55">
      <c r="A207" s="45"/>
      <c r="B207" s="54"/>
      <c r="C207" s="54"/>
      <c r="D207" s="54"/>
      <c r="E207" s="45"/>
      <c r="F207" s="45"/>
      <c r="G207" s="45"/>
      <c r="H207" s="45"/>
      <c r="I207" s="45"/>
      <c r="J207" s="45"/>
      <c r="K207" s="45"/>
      <c r="L207" s="45"/>
      <c r="M207" s="45"/>
      <c r="N207" s="334"/>
      <c r="O207" s="334"/>
      <c r="P207" s="45"/>
      <c r="Q207" s="45"/>
      <c r="R207" s="45"/>
      <c r="S207" s="45"/>
      <c r="T207" s="45"/>
      <c r="U207" s="45"/>
      <c r="V207" s="45"/>
      <c r="W207" s="45"/>
      <c r="X207" s="45"/>
      <c r="Y207" s="45"/>
      <c r="Z207" s="45"/>
      <c r="AA207" s="45"/>
      <c r="AB207" s="45"/>
      <c r="AC207" s="45"/>
      <c r="AD207" s="45"/>
      <c r="AE207" s="45"/>
      <c r="AF207" s="45"/>
      <c r="AG207" s="45"/>
      <c r="AH207" s="45"/>
      <c r="AI207" s="45"/>
      <c r="AJ207" s="54"/>
      <c r="AK207" s="54"/>
      <c r="AL207" s="54"/>
      <c r="AM207" s="45"/>
      <c r="AN207" s="45"/>
      <c r="AO207" s="45"/>
      <c r="AP207" s="45"/>
      <c r="AQ207" s="45"/>
      <c r="AR207" s="45"/>
      <c r="AS207" s="45"/>
      <c r="AT207" s="45"/>
      <c r="AU207" s="45"/>
      <c r="AV207" s="334"/>
      <c r="AW207" s="334"/>
      <c r="AX207" s="45"/>
      <c r="AY207" s="45"/>
      <c r="AZ207" s="54"/>
      <c r="BA207" s="45"/>
      <c r="BB207" s="54"/>
      <c r="BC207" s="54"/>
    </row>
    <row r="208" spans="1:55">
      <c r="A208" s="45"/>
      <c r="B208" s="54"/>
      <c r="C208" s="54"/>
      <c r="D208" s="54"/>
      <c r="E208" s="54"/>
      <c r="F208" s="54"/>
      <c r="G208" s="54"/>
      <c r="H208" s="54"/>
      <c r="I208" s="54"/>
      <c r="J208" s="54"/>
      <c r="K208" s="54"/>
      <c r="L208" s="54"/>
      <c r="M208" s="54"/>
      <c r="N208" s="54"/>
      <c r="O208" s="54"/>
      <c r="P208" s="45"/>
      <c r="Q208" s="45"/>
      <c r="R208" s="45"/>
      <c r="S208" s="54"/>
      <c r="T208" s="54"/>
      <c r="U208" s="54"/>
      <c r="V208" s="54"/>
      <c r="W208" s="54"/>
      <c r="X208" s="54"/>
      <c r="Y208" s="54"/>
      <c r="Z208" s="54"/>
      <c r="AA208" s="45"/>
      <c r="AB208" s="45"/>
      <c r="AC208" s="45"/>
      <c r="AD208" s="45"/>
      <c r="AE208" s="45"/>
      <c r="AF208" s="45"/>
      <c r="AG208" s="45"/>
      <c r="AH208" s="45"/>
      <c r="AI208" s="45"/>
      <c r="AJ208" s="54"/>
      <c r="AK208" s="54"/>
      <c r="AL208" s="54"/>
      <c r="AM208" s="54"/>
      <c r="AN208" s="54"/>
      <c r="AO208" s="54"/>
      <c r="AP208" s="54"/>
      <c r="AQ208" s="54"/>
      <c r="AR208" s="54"/>
      <c r="AS208" s="54"/>
      <c r="AT208" s="54"/>
      <c r="AU208" s="54"/>
      <c r="AV208" s="54"/>
      <c r="AW208" s="54"/>
      <c r="AX208" s="45"/>
      <c r="AY208" s="45"/>
      <c r="AZ208" s="54"/>
      <c r="BA208" s="45"/>
      <c r="BB208" s="54"/>
      <c r="BC208" s="54"/>
    </row>
    <row r="209" spans="1:55">
      <c r="A209" s="45"/>
      <c r="B209" s="54"/>
      <c r="C209" s="54"/>
      <c r="D209" s="54"/>
      <c r="E209" s="54"/>
      <c r="F209" s="54"/>
      <c r="G209" s="54"/>
      <c r="H209" s="54"/>
      <c r="I209" s="54"/>
      <c r="J209" s="54"/>
      <c r="K209" s="54"/>
      <c r="L209" s="54"/>
      <c r="M209" s="54"/>
      <c r="N209" s="54"/>
      <c r="O209" s="54"/>
      <c r="P209" s="54"/>
      <c r="Q209" s="54"/>
      <c r="R209" s="54"/>
      <c r="S209" s="54"/>
      <c r="T209" s="54"/>
      <c r="U209" s="54"/>
      <c r="V209" s="54"/>
      <c r="W209" s="54"/>
      <c r="X209" s="54"/>
      <c r="Y209" s="54"/>
      <c r="Z209" s="54"/>
      <c r="AA209" s="54"/>
      <c r="AB209" s="45"/>
      <c r="AC209" s="45"/>
      <c r="AD209" s="45"/>
      <c r="AE209" s="45"/>
      <c r="AF209" s="45"/>
      <c r="AG209" s="45"/>
      <c r="AH209" s="45"/>
      <c r="AI209" s="45"/>
      <c r="AJ209" s="54"/>
      <c r="AK209" s="54"/>
      <c r="AL209" s="54"/>
      <c r="AM209" s="54"/>
      <c r="AN209" s="54"/>
      <c r="AO209" s="54"/>
      <c r="AP209" s="54"/>
      <c r="AQ209" s="54"/>
      <c r="AR209" s="54"/>
      <c r="AS209" s="54"/>
      <c r="AT209" s="54"/>
      <c r="AU209" s="54"/>
      <c r="AV209" s="54"/>
      <c r="AW209" s="54"/>
      <c r="AX209" s="54"/>
      <c r="AY209" s="54"/>
      <c r="AZ209" s="54"/>
      <c r="BA209" s="54"/>
      <c r="BB209" s="54"/>
      <c r="BC209" s="54"/>
    </row>
    <row r="210" spans="1:55">
      <c r="A210" s="45"/>
      <c r="B210" s="54"/>
      <c r="C210" s="54"/>
      <c r="D210" s="54"/>
      <c r="E210" s="54"/>
      <c r="F210" s="54"/>
      <c r="G210" s="54"/>
      <c r="H210" s="54"/>
      <c r="I210" s="54"/>
      <c r="J210" s="54"/>
      <c r="K210" s="54"/>
      <c r="L210" s="54"/>
      <c r="M210" s="54"/>
      <c r="N210" s="54"/>
      <c r="O210" s="54"/>
      <c r="P210" s="54"/>
      <c r="Q210" s="54"/>
      <c r="R210" s="54"/>
      <c r="S210" s="54"/>
      <c r="T210" s="54"/>
      <c r="U210" s="54"/>
      <c r="V210" s="54"/>
      <c r="W210" s="54"/>
      <c r="X210" s="54"/>
      <c r="Y210" s="54"/>
      <c r="Z210" s="54"/>
      <c r="AA210" s="54"/>
      <c r="AB210" s="45"/>
      <c r="AC210" s="45"/>
      <c r="AD210" s="45"/>
      <c r="AE210" s="45"/>
      <c r="AF210" s="45"/>
      <c r="AG210" s="45"/>
      <c r="AH210" s="45"/>
      <c r="AI210" s="45"/>
      <c r="AJ210" s="54"/>
      <c r="AK210" s="54"/>
      <c r="AL210" s="54"/>
      <c r="AM210" s="54"/>
      <c r="AN210" s="54"/>
      <c r="AO210" s="54"/>
      <c r="AP210" s="54"/>
      <c r="AQ210" s="54"/>
      <c r="AR210" s="54"/>
      <c r="AS210" s="54"/>
      <c r="AT210" s="54"/>
      <c r="AU210" s="54"/>
      <c r="AV210" s="54"/>
      <c r="AW210" s="54"/>
      <c r="AX210" s="54"/>
      <c r="AY210" s="54"/>
      <c r="AZ210" s="54"/>
      <c r="BA210" s="54"/>
      <c r="BB210" s="54"/>
      <c r="BC210" s="54"/>
    </row>
    <row r="211" spans="1:55">
      <c r="A211" s="45"/>
      <c r="B211" s="45"/>
      <c r="C211" s="45"/>
      <c r="D211" s="54"/>
      <c r="E211" s="54"/>
      <c r="F211" s="54"/>
      <c r="G211" s="54"/>
      <c r="H211" s="54"/>
      <c r="I211" s="54"/>
      <c r="J211" s="54"/>
      <c r="K211" s="54"/>
      <c r="L211" s="54"/>
      <c r="M211" s="54"/>
      <c r="N211" s="54"/>
      <c r="O211" s="54"/>
      <c r="P211" s="54"/>
      <c r="Q211" s="54"/>
      <c r="R211" s="54"/>
      <c r="S211" s="54"/>
      <c r="T211" s="54"/>
      <c r="U211" s="54"/>
      <c r="V211" s="54"/>
      <c r="W211" s="54"/>
      <c r="X211" s="54"/>
      <c r="Y211" s="54"/>
      <c r="Z211" s="54"/>
      <c r="AA211" s="54"/>
      <c r="AB211" s="45"/>
      <c r="AC211" s="45"/>
      <c r="AD211" s="45"/>
      <c r="AE211" s="45"/>
      <c r="AF211" s="45"/>
      <c r="AG211" s="45"/>
      <c r="AH211" s="45"/>
      <c r="AI211" s="45"/>
      <c r="AJ211" s="45"/>
      <c r="AK211" s="45"/>
      <c r="AL211" s="54"/>
      <c r="AM211" s="54"/>
      <c r="AN211" s="54"/>
      <c r="AO211" s="54"/>
      <c r="AP211" s="54"/>
      <c r="AQ211" s="54"/>
      <c r="AR211" s="54"/>
      <c r="AS211" s="54"/>
      <c r="AT211" s="54"/>
      <c r="AU211" s="54"/>
      <c r="AV211" s="54"/>
      <c r="AW211" s="54"/>
      <c r="AX211" s="54"/>
      <c r="AY211" s="54"/>
      <c r="AZ211" s="54"/>
      <c r="BA211" s="54"/>
      <c r="BB211" s="54"/>
      <c r="BC211" s="54"/>
    </row>
    <row r="212" spans="1:55">
      <c r="A212" s="45"/>
      <c r="B212" s="45"/>
      <c r="C212" s="45"/>
      <c r="D212" s="54"/>
      <c r="E212" s="54"/>
      <c r="F212" s="54"/>
      <c r="G212" s="54"/>
      <c r="H212" s="54"/>
      <c r="I212" s="54"/>
      <c r="J212" s="54"/>
      <c r="K212" s="54"/>
      <c r="L212" s="54"/>
      <c r="M212" s="54"/>
      <c r="N212" s="54"/>
      <c r="O212" s="54"/>
      <c r="P212" s="54"/>
      <c r="Q212" s="54"/>
      <c r="R212" s="54"/>
      <c r="S212" s="54"/>
      <c r="T212" s="54"/>
      <c r="U212" s="54"/>
      <c r="V212" s="54"/>
      <c r="W212" s="54"/>
      <c r="X212" s="54"/>
      <c r="Y212" s="54"/>
      <c r="Z212" s="54"/>
      <c r="AA212" s="54"/>
      <c r="AB212" s="45"/>
      <c r="AC212" s="45"/>
      <c r="AD212" s="45"/>
      <c r="AE212" s="45"/>
      <c r="AF212" s="45"/>
      <c r="AG212" s="45"/>
      <c r="AH212" s="45"/>
      <c r="AI212" s="45"/>
      <c r="AJ212" s="45"/>
      <c r="AK212" s="45"/>
      <c r="AL212" s="54"/>
      <c r="AM212" s="54"/>
      <c r="AN212" s="54"/>
      <c r="AO212" s="54"/>
      <c r="AP212" s="54"/>
      <c r="AQ212" s="54"/>
      <c r="AR212" s="54"/>
      <c r="AS212" s="54"/>
      <c r="AT212" s="54"/>
      <c r="AU212" s="54"/>
      <c r="AV212" s="54"/>
      <c r="AW212" s="54"/>
      <c r="AX212" s="54"/>
      <c r="AY212" s="54"/>
      <c r="AZ212" s="54"/>
      <c r="BA212" s="54"/>
      <c r="BB212" s="54"/>
      <c r="BC212" s="54"/>
    </row>
    <row r="213" spans="1:55">
      <c r="A213" s="45"/>
      <c r="B213" s="45"/>
      <c r="C213" s="45"/>
      <c r="D213" s="54"/>
      <c r="E213" s="54"/>
      <c r="F213" s="54"/>
      <c r="G213" s="54"/>
      <c r="H213" s="54"/>
      <c r="I213" s="54"/>
      <c r="J213" s="54"/>
      <c r="K213" s="54"/>
      <c r="L213" s="54"/>
      <c r="M213" s="54"/>
      <c r="N213" s="54"/>
      <c r="O213" s="54"/>
      <c r="P213" s="54"/>
      <c r="Q213" s="54"/>
      <c r="R213" s="54"/>
      <c r="S213" s="54"/>
      <c r="T213" s="54"/>
      <c r="U213" s="54"/>
      <c r="V213" s="54"/>
      <c r="W213" s="54"/>
      <c r="X213" s="54"/>
      <c r="Y213" s="54"/>
      <c r="Z213" s="54"/>
      <c r="AA213" s="54"/>
      <c r="AB213" s="45"/>
      <c r="AC213" s="45"/>
      <c r="AD213" s="45"/>
      <c r="AE213" s="45"/>
      <c r="AF213" s="45"/>
      <c r="AG213" s="45"/>
      <c r="AH213" s="45"/>
      <c r="AI213" s="45"/>
      <c r="AJ213" s="45"/>
      <c r="AK213" s="45"/>
      <c r="AL213" s="54"/>
      <c r="AM213" s="54"/>
      <c r="AN213" s="54"/>
      <c r="AO213" s="54"/>
      <c r="AP213" s="54"/>
      <c r="AQ213" s="54"/>
      <c r="AR213" s="54"/>
      <c r="AS213" s="54"/>
      <c r="AT213" s="54"/>
      <c r="AU213" s="54"/>
      <c r="AV213" s="54"/>
      <c r="AW213" s="54"/>
      <c r="AX213" s="54"/>
      <c r="AY213" s="54"/>
      <c r="AZ213" s="54"/>
      <c r="BA213" s="54"/>
      <c r="BB213" s="54"/>
      <c r="BC213" s="54"/>
    </row>
    <row r="214" spans="1:55" ht="13.15">
      <c r="A214" s="45"/>
      <c r="B214" s="2051"/>
      <c r="C214" s="2669" t="s">
        <v>1895</v>
      </c>
      <c r="D214" s="2669"/>
      <c r="E214" s="2412"/>
      <c r="F214" s="2412"/>
      <c r="G214" s="2412"/>
      <c r="H214" s="2412"/>
      <c r="I214" s="2563"/>
      <c r="J214" s="258"/>
      <c r="K214" s="258"/>
      <c r="L214" s="258"/>
      <c r="M214" s="258"/>
      <c r="N214" s="54"/>
      <c r="O214" s="54"/>
      <c r="P214" s="54"/>
      <c r="Q214" s="54"/>
      <c r="R214" s="54"/>
      <c r="S214" s="335"/>
      <c r="T214" s="336" t="s">
        <v>1895</v>
      </c>
      <c r="U214" s="336"/>
      <c r="V214" s="100"/>
      <c r="W214" s="100"/>
      <c r="X214" s="100"/>
      <c r="Y214" s="3937">
        <f ca="1">+NOW()</f>
        <v>43493.476067824071</v>
      </c>
      <c r="Z214" s="3938"/>
      <c r="AA214" s="54"/>
      <c r="AB214" s="45"/>
      <c r="AC214" s="45"/>
      <c r="AD214" s="45"/>
      <c r="AE214" s="45"/>
      <c r="AF214" s="45"/>
      <c r="AG214" s="45"/>
      <c r="AH214" s="45"/>
      <c r="AI214" s="45"/>
      <c r="AJ214" s="335"/>
      <c r="AK214" s="336" t="s">
        <v>1895</v>
      </c>
      <c r="AL214" s="336"/>
      <c r="AM214" s="100"/>
      <c r="AN214" s="100"/>
      <c r="AO214" s="100"/>
      <c r="AP214" s="100"/>
      <c r="AQ214" s="238"/>
      <c r="AR214" s="258"/>
      <c r="AS214" s="258"/>
      <c r="AT214" s="258"/>
      <c r="AU214" s="258"/>
      <c r="AV214" s="54"/>
      <c r="AW214" s="54"/>
      <c r="AX214" s="54"/>
      <c r="AY214" s="54"/>
      <c r="AZ214" s="54"/>
      <c r="BA214" s="54"/>
      <c r="BB214" s="54"/>
      <c r="BC214" s="54"/>
    </row>
    <row r="215" spans="1:55" ht="13.15">
      <c r="A215" s="45"/>
      <c r="B215" s="1728"/>
      <c r="C215" s="3935" t="s">
        <v>1551</v>
      </c>
      <c r="D215" s="3935"/>
      <c r="E215" s="3935"/>
      <c r="F215" s="3935"/>
      <c r="G215" s="3935"/>
      <c r="H215" s="3935"/>
      <c r="I215" s="2598"/>
      <c r="J215" s="258"/>
      <c r="K215" s="258"/>
      <c r="L215" s="258"/>
      <c r="M215" s="258"/>
      <c r="N215" s="54"/>
      <c r="O215" s="54"/>
      <c r="P215" s="54"/>
      <c r="Q215" s="54"/>
      <c r="R215" s="54"/>
      <c r="S215" s="275"/>
      <c r="T215" s="3936" t="s">
        <v>1551</v>
      </c>
      <c r="U215" s="3936"/>
      <c r="V215" s="3936"/>
      <c r="W215" s="3936"/>
      <c r="X215" s="3936"/>
      <c r="Y215" s="3936"/>
      <c r="Z215" s="260"/>
      <c r="AA215" s="54"/>
      <c r="AB215" s="45"/>
      <c r="AC215" s="45"/>
      <c r="AD215" s="45"/>
      <c r="AE215" s="45"/>
      <c r="AF215" s="45"/>
      <c r="AG215" s="45"/>
      <c r="AH215" s="45"/>
      <c r="AI215" s="45"/>
      <c r="AJ215" s="275"/>
      <c r="AK215" s="3936" t="s">
        <v>1551</v>
      </c>
      <c r="AL215" s="3936"/>
      <c r="AM215" s="3936"/>
      <c r="AN215" s="3936"/>
      <c r="AO215" s="3936"/>
      <c r="AP215" s="3936"/>
      <c r="AQ215" s="260"/>
      <c r="AR215" s="258"/>
      <c r="AS215" s="258"/>
      <c r="AT215" s="258"/>
      <c r="AU215" s="258"/>
      <c r="AV215" s="54"/>
      <c r="AW215" s="54"/>
      <c r="AX215" s="54"/>
      <c r="AY215" s="54"/>
      <c r="AZ215" s="54"/>
      <c r="BA215" s="54"/>
      <c r="BB215" s="54"/>
      <c r="BC215" s="54"/>
    </row>
    <row r="216" spans="1:55" ht="15">
      <c r="A216" s="45"/>
      <c r="B216" s="1728"/>
      <c r="C216" s="2418" t="str">
        <f>"Country: " &amp;UPPER(Country)</f>
        <v>Country: SWEDEN</v>
      </c>
      <c r="D216" s="2548"/>
      <c r="E216" s="2420"/>
      <c r="F216" s="2420"/>
      <c r="G216" s="2420"/>
      <c r="H216" s="2420"/>
      <c r="I216" s="2520"/>
      <c r="J216" s="258"/>
      <c r="K216" s="258"/>
      <c r="L216" s="258"/>
      <c r="M216" s="258"/>
      <c r="N216" s="54"/>
      <c r="O216" s="54"/>
      <c r="P216" s="54"/>
      <c r="Q216" s="54"/>
      <c r="R216" s="54"/>
      <c r="S216" s="275"/>
      <c r="T216" s="63" t="str">
        <f>"Country: " &amp;UPPER(Country)</f>
        <v>Country: SWEDEN</v>
      </c>
      <c r="U216" s="222"/>
      <c r="V216" s="2066" t="s">
        <v>1553</v>
      </c>
      <c r="W216" s="65"/>
      <c r="X216" s="65"/>
      <c r="Y216" s="65"/>
      <c r="Z216" s="196"/>
      <c r="AA216" s="54"/>
      <c r="AB216" s="45"/>
      <c r="AC216" s="45"/>
      <c r="AD216" s="45"/>
      <c r="AE216" s="45"/>
      <c r="AF216" s="45"/>
      <c r="AG216" s="45"/>
      <c r="AH216" s="45"/>
      <c r="AI216" s="45"/>
      <c r="AJ216" s="275"/>
      <c r="AK216" s="63" t="str">
        <f>"Country: " &amp;UPPER(Country)</f>
        <v>Country: SWEDEN</v>
      </c>
      <c r="AL216" s="222"/>
      <c r="AM216" s="65"/>
      <c r="AN216" s="65"/>
      <c r="AO216" s="65"/>
      <c r="AP216" s="65"/>
      <c r="AQ216" s="196"/>
      <c r="AR216" s="258"/>
      <c r="AS216" s="258"/>
      <c r="AT216" s="258"/>
      <c r="AU216" s="258"/>
      <c r="AV216" s="54"/>
      <c r="AW216" s="54"/>
      <c r="AX216" s="54"/>
      <c r="AY216" s="54"/>
      <c r="AZ216" s="54"/>
      <c r="BA216" s="54"/>
      <c r="BB216" s="54"/>
      <c r="BC216" s="54"/>
    </row>
    <row r="217" spans="1:55" ht="15">
      <c r="A217" s="45"/>
      <c r="B217" s="1728"/>
      <c r="C217" s="2418" t="str">
        <f>"Currency unit: " &amp; Currency</f>
        <v>Currency unit: bn SEK</v>
      </c>
      <c r="D217" s="2548"/>
      <c r="E217" s="2420"/>
      <c r="F217" s="2513"/>
      <c r="G217" s="2513"/>
      <c r="H217" s="2513"/>
      <c r="I217" s="1719"/>
      <c r="J217" s="54"/>
      <c r="K217" s="54"/>
      <c r="L217" s="54"/>
      <c r="M217" s="54"/>
      <c r="N217" s="54"/>
      <c r="O217" s="54"/>
      <c r="P217" s="54"/>
      <c r="Q217" s="54"/>
      <c r="R217" s="54"/>
      <c r="S217" s="275"/>
      <c r="T217" s="63" t="str">
        <f>"Currency unit: " &amp; Currency</f>
        <v>Currency unit: bn SEK</v>
      </c>
      <c r="U217" s="222"/>
      <c r="V217" s="2066" t="str">
        <f>$T$4</f>
        <v>final storage SF18</v>
      </c>
      <c r="W217" s="1"/>
      <c r="X217" s="1"/>
      <c r="Y217" s="1"/>
      <c r="Z217" s="90"/>
      <c r="AA217" s="54"/>
      <c r="AB217" s="45"/>
      <c r="AC217" s="45"/>
      <c r="AD217" s="45"/>
      <c r="AE217" s="45"/>
      <c r="AF217" s="45"/>
      <c r="AG217" s="45"/>
      <c r="AH217" s="45"/>
      <c r="AI217" s="45"/>
      <c r="AJ217" s="275"/>
      <c r="AK217" s="63" t="str">
        <f>"Currency unit: " &amp; Currency</f>
        <v>Currency unit: bn SEK</v>
      </c>
      <c r="AL217" s="222"/>
      <c r="AM217" s="65"/>
      <c r="AN217" s="1"/>
      <c r="AO217" s="1"/>
      <c r="AP217" s="1"/>
      <c r="AQ217" s="90"/>
      <c r="AR217" s="54"/>
      <c r="AS217" s="54"/>
      <c r="AT217" s="54"/>
      <c r="AU217" s="54"/>
      <c r="AV217" s="54"/>
      <c r="AW217" s="54"/>
      <c r="AX217" s="54"/>
      <c r="AY217" s="54"/>
      <c r="AZ217" s="54"/>
      <c r="BA217" s="54"/>
      <c r="BB217" s="54"/>
      <c r="BC217" s="54"/>
    </row>
    <row r="218" spans="1:55" ht="13.15" thickBot="1">
      <c r="A218" s="45"/>
      <c r="B218" s="1720"/>
      <c r="C218" s="2424" t="s">
        <v>576</v>
      </c>
      <c r="D218" s="2424"/>
      <c r="E218" s="2420"/>
      <c r="F218" s="2513"/>
      <c r="G218" s="3878">
        <f ca="1">NOW()</f>
        <v>43493.476067824071</v>
      </c>
      <c r="H218" s="3878"/>
      <c r="I218" s="2670"/>
      <c r="J218" s="54"/>
      <c r="K218" s="54"/>
      <c r="L218" s="54"/>
      <c r="M218" s="54"/>
      <c r="N218" s="54"/>
      <c r="O218" s="54"/>
      <c r="P218" s="54"/>
      <c r="Q218" s="54"/>
      <c r="R218" s="54"/>
      <c r="S218" s="190"/>
      <c r="T218" s="69" t="s">
        <v>576</v>
      </c>
      <c r="U218" s="69"/>
      <c r="V218" s="65"/>
      <c r="W218" s="1"/>
      <c r="X218" s="3879">
        <f ca="1">NOW()</f>
        <v>43493.476067824071</v>
      </c>
      <c r="Y218" s="3879"/>
      <c r="Z218" s="337"/>
      <c r="AA218" s="54"/>
      <c r="AB218" s="45"/>
      <c r="AC218" s="45"/>
      <c r="AD218" s="45"/>
      <c r="AE218" s="45"/>
      <c r="AF218" s="45"/>
      <c r="AG218" s="45"/>
      <c r="AH218" s="45"/>
      <c r="AI218" s="45"/>
      <c r="AJ218" s="190"/>
      <c r="AK218" s="69" t="s">
        <v>576</v>
      </c>
      <c r="AL218" s="69"/>
      <c r="AM218" s="65"/>
      <c r="AN218" s="1"/>
      <c r="AO218" s="3879">
        <f ca="1">NOW()</f>
        <v>43493.476067824071</v>
      </c>
      <c r="AP218" s="3879"/>
      <c r="AQ218" s="337"/>
      <c r="AR218" s="54"/>
      <c r="AS218" s="54"/>
      <c r="AT218" s="54"/>
      <c r="AU218" s="54"/>
      <c r="AV218" s="54"/>
      <c r="AW218" s="54"/>
      <c r="AX218" s="54"/>
      <c r="AY218" s="54"/>
      <c r="AZ218" s="54"/>
      <c r="BA218" s="54"/>
      <c r="BB218" s="54"/>
      <c r="BC218" s="54"/>
    </row>
    <row r="219" spans="1:55" ht="13.15">
      <c r="A219" s="45"/>
      <c r="B219" s="1728"/>
      <c r="C219" s="2426"/>
      <c r="D219" s="2427"/>
      <c r="E219" s="2671">
        <f>E16</f>
        <v>2017</v>
      </c>
      <c r="F219" s="2671">
        <f>E219+1</f>
        <v>2018</v>
      </c>
      <c r="G219" s="2671">
        <f>F219+1</f>
        <v>2019</v>
      </c>
      <c r="H219" s="2672">
        <f>G219+1</f>
        <v>2020</v>
      </c>
      <c r="I219" s="2673"/>
      <c r="J219" s="54"/>
      <c r="K219" s="54"/>
      <c r="L219" s="54"/>
      <c r="M219" s="54"/>
      <c r="N219" s="54"/>
      <c r="O219" s="54"/>
      <c r="P219" s="54"/>
      <c r="Q219" s="54"/>
      <c r="R219" s="54"/>
      <c r="S219" s="275"/>
      <c r="T219" s="191"/>
      <c r="U219" s="73"/>
      <c r="V219" s="338">
        <f>Last_forecast_year - 3</f>
        <v>2017</v>
      </c>
      <c r="W219" s="338">
        <f>V219+1</f>
        <v>2018</v>
      </c>
      <c r="X219" s="338">
        <f>W219+1</f>
        <v>2019</v>
      </c>
      <c r="Y219" s="338">
        <f>X219+1</f>
        <v>2020</v>
      </c>
      <c r="Z219" s="339"/>
      <c r="AA219" s="54"/>
      <c r="AB219" s="45"/>
      <c r="AC219" s="45"/>
      <c r="AD219" s="45"/>
      <c r="AE219" s="45"/>
      <c r="AF219" s="45"/>
      <c r="AG219" s="45"/>
      <c r="AH219" s="45"/>
      <c r="AI219" s="45"/>
      <c r="AJ219" s="275"/>
      <c r="AK219" s="191"/>
      <c r="AL219" s="73"/>
      <c r="AM219" s="338">
        <f>AM16</f>
        <v>2017</v>
      </c>
      <c r="AN219" s="338">
        <f>AM219+1</f>
        <v>2018</v>
      </c>
      <c r="AO219" s="338">
        <f>AN219+1</f>
        <v>2019</v>
      </c>
      <c r="AP219" s="2209">
        <f>AO219+1</f>
        <v>2020</v>
      </c>
      <c r="AQ219" s="339"/>
      <c r="AR219" s="54"/>
      <c r="AS219" s="54"/>
      <c r="AT219" s="54"/>
      <c r="AU219" s="54"/>
      <c r="AV219" s="54"/>
      <c r="AW219" s="54"/>
      <c r="AX219" s="54"/>
      <c r="AY219" s="54"/>
      <c r="AZ219" s="54"/>
      <c r="BA219" s="54"/>
      <c r="BB219" s="54"/>
      <c r="BC219" s="54"/>
    </row>
    <row r="220" spans="1:55">
      <c r="A220" s="45"/>
      <c r="B220" s="1728"/>
      <c r="C220" s="2448"/>
      <c r="D220" s="2449"/>
      <c r="E220" s="3931" t="s">
        <v>1896</v>
      </c>
      <c r="F220" s="3931"/>
      <c r="G220" s="3931"/>
      <c r="H220" s="3932"/>
      <c r="I220" s="2609"/>
      <c r="J220" s="54"/>
      <c r="K220" s="54"/>
      <c r="L220" s="54"/>
      <c r="M220" s="54"/>
      <c r="N220" s="54"/>
      <c r="O220" s="54"/>
      <c r="P220" s="54"/>
      <c r="Q220" s="54"/>
      <c r="R220" s="54"/>
      <c r="S220" s="275"/>
      <c r="T220" s="94"/>
      <c r="U220" s="115"/>
      <c r="V220" s="3933" t="s">
        <v>1896</v>
      </c>
      <c r="W220" s="3933"/>
      <c r="X220" s="3933"/>
      <c r="Y220" s="3934"/>
      <c r="Z220" s="273"/>
      <c r="AA220" s="54"/>
      <c r="AB220" s="45"/>
      <c r="AC220" s="45"/>
      <c r="AD220" s="45"/>
      <c r="AE220" s="45"/>
      <c r="AF220" s="45"/>
      <c r="AG220" s="45"/>
      <c r="AH220" s="45"/>
      <c r="AI220" s="45"/>
      <c r="AJ220" s="275"/>
      <c r="AK220" s="94"/>
      <c r="AL220" s="115"/>
      <c r="AM220" s="3933" t="s">
        <v>1896</v>
      </c>
      <c r="AN220" s="3933"/>
      <c r="AO220" s="3933"/>
      <c r="AP220" s="3934"/>
      <c r="AQ220" s="273"/>
      <c r="AR220" s="54"/>
      <c r="AS220" s="54"/>
      <c r="AT220" s="54"/>
      <c r="AU220" s="54"/>
      <c r="AV220" s="54"/>
      <c r="AW220" s="54"/>
      <c r="AX220" s="54"/>
      <c r="AY220" s="54"/>
      <c r="AZ220" s="54"/>
      <c r="BA220" s="54"/>
      <c r="BB220" s="54"/>
      <c r="BC220" s="54"/>
    </row>
    <row r="221" spans="1:55">
      <c r="A221" s="45"/>
      <c r="B221" s="1728"/>
      <c r="C221" s="2454" t="s">
        <v>818</v>
      </c>
      <c r="D221" s="2482"/>
      <c r="E221" s="2480">
        <f ca="1">100*(((1000*(Transfer!D136)/Transfer!D284)/((1000*(Transfer!C136)/Transfer!C284)))-1)</f>
        <v>1.7327889478410796</v>
      </c>
      <c r="F221" s="2674">
        <f ca="1">100*(((1000*(Transfer!E136)/Transfer!E284)/((1000*(Transfer!D136)/Transfer!D284)))-1)</f>
        <v>1.7000000000000126</v>
      </c>
      <c r="G221" s="2570">
        <f ca="1">100*(((1000*(Transfer!F136)/Transfer!F284)/((1000*(Transfer!E136)/Transfer!E284)))-1)</f>
        <v>1.6999999999999904</v>
      </c>
      <c r="H221" s="2675">
        <f ca="1">100*(((1000*(Transfer!G136)/Transfer!G284)/((1000*(Transfer!F136)/Transfer!F284)))-1)</f>
        <v>1.8000000000000016</v>
      </c>
      <c r="I221" s="2520"/>
      <c r="J221" s="54"/>
      <c r="K221" s="54"/>
      <c r="L221" s="54"/>
      <c r="M221" s="54"/>
      <c r="N221" s="54"/>
      <c r="O221" s="54"/>
      <c r="P221" s="54"/>
      <c r="Q221" s="54"/>
      <c r="R221" s="54"/>
      <c r="S221" s="275"/>
      <c r="T221" s="40" t="s">
        <v>818</v>
      </c>
      <c r="U221" s="65"/>
      <c r="V221" s="79">
        <f t="shared" ref="V221:Y226" ca="1" si="14">ROUND(E221,1)-ROUND(AM221,1)</f>
        <v>0.7</v>
      </c>
      <c r="W221" s="79">
        <f t="shared" ca="1" si="14"/>
        <v>0</v>
      </c>
      <c r="X221" s="79">
        <f t="shared" ca="1" si="14"/>
        <v>-0.19999999999999996</v>
      </c>
      <c r="Y221" s="81">
        <f t="shared" ca="1" si="14"/>
        <v>-0.30000000000000004</v>
      </c>
      <c r="Z221" s="196"/>
      <c r="AA221" s="54"/>
      <c r="AB221" s="45"/>
      <c r="AC221" s="45"/>
      <c r="AD221" s="45"/>
      <c r="AE221" s="45"/>
      <c r="AF221" s="45"/>
      <c r="AG221" s="45"/>
      <c r="AH221" s="45"/>
      <c r="AI221" s="45"/>
      <c r="AJ221" s="275"/>
      <c r="AK221" s="2182" t="s">
        <v>818</v>
      </c>
      <c r="AL221" s="2183"/>
      <c r="AM221" s="2180">
        <f>100*(((1000*(Transfer!AD136)/Transfer!AD284)/((1000*(Transfer!AC136)/Transfer!AC284)))-1)</f>
        <v>1.0203361899866037</v>
      </c>
      <c r="AN221" s="2258">
        <f>100*(((1000*(Transfer!AE136)/Transfer!AE284)/((1000*(Transfer!AD136)/Transfer!AD284)))-1)</f>
        <v>1.6905192771353938</v>
      </c>
      <c r="AO221" s="2205">
        <f>100*(((1000*(Transfer!AF136)/Transfer!AF284)/((1000*(Transfer!AE136)/Transfer!AE284)))-1)</f>
        <v>1.9000000000000128</v>
      </c>
      <c r="AP221" s="2259">
        <f>100*(((1000*(Transfer!AG136)/Transfer!AG284)/((1000*(Transfer!AF136)/Transfer!AF284)))-1)</f>
        <v>2.0999999999999908</v>
      </c>
      <c r="AQ221" s="196"/>
      <c r="AR221" s="54"/>
      <c r="AS221" s="54"/>
      <c r="AT221" s="54"/>
      <c r="AU221" s="54"/>
      <c r="AV221" s="54"/>
      <c r="AW221" s="54"/>
      <c r="AX221" s="54"/>
      <c r="AY221" s="54"/>
      <c r="AZ221" s="54"/>
      <c r="BA221" s="2051" t="s">
        <v>21</v>
      </c>
      <c r="BB221" s="1752"/>
      <c r="BC221" s="54"/>
    </row>
    <row r="222" spans="1:55">
      <c r="A222" s="45"/>
      <c r="B222" s="1728"/>
      <c r="C222" s="2454" t="s">
        <v>588</v>
      </c>
      <c r="D222" s="2482"/>
      <c r="E222" s="2456">
        <f ca="1">100*(((1000*(Transfer!D137)/Transfer!D285)/((1000*(Transfer!C137)/Transfer!C285)))-1)</f>
        <v>3.6543473589378594</v>
      </c>
      <c r="F222" s="2674">
        <f ca="1">100*(((1000*(Transfer!E137)/Transfer!E285)/((1000*(Transfer!D137)/Transfer!D285)))-1)</f>
        <v>3.400000000000003</v>
      </c>
      <c r="G222" s="2570">
        <f ca="1">100*(((1000*(Transfer!F137)/Transfer!F285)/((1000*(Transfer!E137)/Transfer!E285)))-1)</f>
        <v>2.8000000000000247</v>
      </c>
      <c r="H222" s="2675">
        <f ca="1">100*(((1000*(Transfer!G137)/Transfer!G285)/((1000*(Transfer!F137)/Transfer!F285)))-1)</f>
        <v>2.6000000000000023</v>
      </c>
      <c r="I222" s="2520"/>
      <c r="J222" s="54"/>
      <c r="K222" s="54"/>
      <c r="L222" s="54"/>
      <c r="M222" s="54"/>
      <c r="N222" s="54"/>
      <c r="O222" s="54"/>
      <c r="P222" s="54"/>
      <c r="Q222" s="54"/>
      <c r="R222" s="54"/>
      <c r="S222" s="275"/>
      <c r="T222" s="40" t="s">
        <v>588</v>
      </c>
      <c r="U222" s="65"/>
      <c r="V222" s="91">
        <f t="shared" ca="1" si="14"/>
        <v>0.80000000000000027</v>
      </c>
      <c r="W222" s="91">
        <f t="shared" ca="1" si="14"/>
        <v>-0.20000000000000018</v>
      </c>
      <c r="X222" s="91">
        <f t="shared" ca="1" si="14"/>
        <v>-0.60000000000000009</v>
      </c>
      <c r="Y222" s="93">
        <f t="shared" ca="1" si="14"/>
        <v>-0.60000000000000009</v>
      </c>
      <c r="Z222" s="196"/>
      <c r="AA222" s="54"/>
      <c r="AB222" s="45"/>
      <c r="AC222" s="45"/>
      <c r="AD222" s="45"/>
      <c r="AE222" s="45"/>
      <c r="AF222" s="45"/>
      <c r="AG222" s="45"/>
      <c r="AH222" s="45"/>
      <c r="AI222" s="45"/>
      <c r="AJ222" s="275"/>
      <c r="AK222" s="2182" t="s">
        <v>588</v>
      </c>
      <c r="AL222" s="2183"/>
      <c r="AM222" s="2173">
        <f>100*(((1000*(Transfer!AD137)/Transfer!AD285)/((1000*(Transfer!AC137)/Transfer!AC285)))-1)</f>
        <v>2.8535186542175239</v>
      </c>
      <c r="AN222" s="2258">
        <f>100*(((1000*(Transfer!AE137)/Transfer!AE285)/((1000*(Transfer!AD137)/Transfer!AD285)))-1)</f>
        <v>3.6320739335934382</v>
      </c>
      <c r="AO222" s="2205">
        <f>100*(((1000*(Transfer!AF137)/Transfer!AF285)/((1000*(Transfer!AE137)/Transfer!AE285)))-1)</f>
        <v>3.4000000000000252</v>
      </c>
      <c r="AP222" s="2259">
        <f>100*(((1000*(Transfer!AG137)/Transfer!AG285)/((1000*(Transfer!AF137)/Transfer!AF285)))-1)</f>
        <v>3.2000000000000028</v>
      </c>
      <c r="AQ222" s="196"/>
      <c r="AR222" s="54"/>
      <c r="AS222" s="54"/>
      <c r="AT222" s="54"/>
      <c r="AU222" s="54"/>
      <c r="AV222" s="54"/>
      <c r="AW222" s="54"/>
      <c r="AX222" s="54"/>
      <c r="AY222" s="54"/>
      <c r="AZ222" s="54"/>
      <c r="BA222" s="1728" t="s">
        <v>22</v>
      </c>
      <c r="BB222" s="1754"/>
      <c r="BC222" s="54"/>
    </row>
    <row r="223" spans="1:55">
      <c r="A223" s="45"/>
      <c r="B223" s="1728"/>
      <c r="C223" s="2454" t="s">
        <v>589</v>
      </c>
      <c r="D223" s="2482"/>
      <c r="E223" s="2456">
        <f ca="1">100*(((1000*(Transfer!D138)/Transfer!D286)/((1000*(Transfer!C138)/Transfer!C286)))-1)</f>
        <v>2.6272389629171666</v>
      </c>
      <c r="F223" s="2674">
        <f ca="1">100*(((1000*(Transfer!E138)/Transfer!E286)/((1000*(Transfer!D138)/Transfer!D286)))-1)</f>
        <v>4.0344166021794692</v>
      </c>
      <c r="G223" s="2570">
        <f ca="1">100*(((1000*(Transfer!F138)/Transfer!F286)/((1000*(Transfer!E138)/Transfer!E286)))-1)</f>
        <v>2.3848729783300548</v>
      </c>
      <c r="H223" s="2675">
        <f ca="1">100*(((1000*(Transfer!G138)/Transfer!G286)/((1000*(Transfer!F138)/Transfer!F286)))-1)</f>
        <v>1.3785668859828792</v>
      </c>
      <c r="I223" s="2520"/>
      <c r="J223" s="54"/>
      <c r="K223" s="54"/>
      <c r="L223" s="54"/>
      <c r="M223" s="54"/>
      <c r="N223" s="54"/>
      <c r="O223" s="54"/>
      <c r="P223" s="54"/>
      <c r="Q223" s="54"/>
      <c r="R223" s="54"/>
      <c r="S223" s="275"/>
      <c r="T223" s="40" t="s">
        <v>589</v>
      </c>
      <c r="U223" s="65"/>
      <c r="V223" s="91">
        <f t="shared" ca="1" si="14"/>
        <v>1.3</v>
      </c>
      <c r="W223" s="91">
        <f t="shared" ca="1" si="14"/>
        <v>1.7999999999999998</v>
      </c>
      <c r="X223" s="91">
        <f t="shared" ca="1" si="14"/>
        <v>-0.10000000000000009</v>
      </c>
      <c r="Y223" s="93">
        <f t="shared" ca="1" si="14"/>
        <v>-0.30000000000000004</v>
      </c>
      <c r="Z223" s="196"/>
      <c r="AA223" s="54"/>
      <c r="AB223" s="45"/>
      <c r="AC223" s="45"/>
      <c r="AD223" s="45"/>
      <c r="AE223" s="45"/>
      <c r="AF223" s="45"/>
      <c r="AG223" s="45"/>
      <c r="AH223" s="45"/>
      <c r="AI223" s="45"/>
      <c r="AJ223" s="275"/>
      <c r="AK223" s="2182" t="s">
        <v>589</v>
      </c>
      <c r="AL223" s="2183"/>
      <c r="AM223" s="2173">
        <f>100*(((1000*(Transfer!AD138)/Transfer!AD286)/((1000*(Transfer!AC138)/Transfer!AC286)))-1)</f>
        <v>1.3451299224262803</v>
      </c>
      <c r="AN223" s="2258">
        <f>100*(((1000*(Transfer!AE138)/Transfer!AE286)/((1000*(Transfer!AD138)/Transfer!AD286)))-1)</f>
        <v>2.2339565328763022</v>
      </c>
      <c r="AO223" s="2205">
        <f>100*(((1000*(Transfer!AF138)/Transfer!AF286)/((1000*(Transfer!AE138)/Transfer!AE286)))-1)</f>
        <v>2.4543531759522619</v>
      </c>
      <c r="AP223" s="2259">
        <f>100*(((1000*(Transfer!AG138)/Transfer!AG286)/((1000*(Transfer!AF138)/Transfer!AF286)))-1)</f>
        <v>1.6739258220072717</v>
      </c>
      <c r="AQ223" s="196"/>
      <c r="AR223" s="54"/>
      <c r="AS223" s="54"/>
      <c r="AT223" s="54"/>
      <c r="AU223" s="54"/>
      <c r="AV223" s="54"/>
      <c r="AW223" s="54"/>
      <c r="AX223" s="54"/>
      <c r="AY223" s="54"/>
      <c r="AZ223" s="54"/>
      <c r="BA223" s="1728" t="s">
        <v>23</v>
      </c>
      <c r="BB223" s="1754"/>
      <c r="BC223" s="54"/>
    </row>
    <row r="224" spans="1:55">
      <c r="A224" s="45"/>
      <c r="B224" s="1728"/>
      <c r="C224" s="2676" t="s">
        <v>1604</v>
      </c>
      <c r="D224" s="2677"/>
      <c r="E224" s="2570">
        <f ca="1">100*(((1000*(Transfer!D139)/Transfer!D287)/((1000*(Transfer!C139)/Transfer!C287)))-1)</f>
        <v>3.8046749382305789</v>
      </c>
      <c r="F224" s="2570">
        <f ca="1">100*(((1000*(Transfer!E139)/Transfer!E287)/((1000*(Transfer!D139)/Transfer!D287)))-1)</f>
        <v>3.9587905639310694</v>
      </c>
      <c r="G224" s="2570">
        <f ca="1">100*(((1000*(Transfer!F139)/Transfer!F287)/((1000*(Transfer!E139)/Transfer!E287)))-1)</f>
        <v>2.3521736937877735</v>
      </c>
      <c r="H224" s="2675">
        <f ca="1">100*(((1000*(Transfer!G139)/Transfer!G287)/((1000*(Transfer!F139)/Transfer!F287)))-1)</f>
        <v>1.5832862614475252</v>
      </c>
      <c r="I224" s="2678"/>
      <c r="J224" s="54"/>
      <c r="K224" s="54"/>
      <c r="L224" s="54"/>
      <c r="M224" s="54"/>
      <c r="N224" s="54"/>
      <c r="O224" s="54"/>
      <c r="P224" s="54"/>
      <c r="Q224" s="54"/>
      <c r="R224" s="54"/>
      <c r="S224" s="275"/>
      <c r="T224" s="318" t="s">
        <v>1604</v>
      </c>
      <c r="U224" s="342"/>
      <c r="V224" s="91">
        <f t="shared" ca="1" si="14"/>
        <v>1.5999999999999996</v>
      </c>
      <c r="W224" s="91">
        <f t="shared" ca="1" si="14"/>
        <v>1.2000000000000002</v>
      </c>
      <c r="X224" s="91">
        <f t="shared" ca="1" si="14"/>
        <v>-0.60000000000000009</v>
      </c>
      <c r="Y224" s="93">
        <f t="shared" ca="1" si="14"/>
        <v>-0.39999999999999991</v>
      </c>
      <c r="Z224" s="343"/>
      <c r="AA224" s="54"/>
      <c r="AB224" s="45"/>
      <c r="AC224" s="45"/>
      <c r="AD224" s="45"/>
      <c r="AE224" s="45"/>
      <c r="AF224" s="45"/>
      <c r="AG224" s="45"/>
      <c r="AH224" s="45"/>
      <c r="AI224" s="45"/>
      <c r="AJ224" s="275"/>
      <c r="AK224" s="2210" t="s">
        <v>1604</v>
      </c>
      <c r="AL224" s="2211"/>
      <c r="AM224" s="2205">
        <f>100*(((1000*(Transfer!AD139)/Transfer!AD287)/((1000*(Transfer!AC139)/Transfer!AC287)))-1)</f>
        <v>2.220208195902984</v>
      </c>
      <c r="AN224" s="2205">
        <f>100*(((1000*(Transfer!AE139)/Transfer!AE287)/((1000*(Transfer!AD139)/Transfer!AD287)))-1)</f>
        <v>2.7896930277651055</v>
      </c>
      <c r="AO224" s="2205">
        <f>100*(((1000*(Transfer!AF139)/Transfer!AF287)/((1000*(Transfer!AE139)/Transfer!AE287)))-1)</f>
        <v>2.957192911929285</v>
      </c>
      <c r="AP224" s="2259">
        <f>100*(((1000*(Transfer!AG139)/Transfer!AG287)/((1000*(Transfer!AF139)/Transfer!AF287)))-1)</f>
        <v>2.002342301072435</v>
      </c>
      <c r="AQ224" s="343"/>
      <c r="AR224" s="54"/>
      <c r="AS224" s="54"/>
      <c r="AT224" s="54"/>
      <c r="AU224" s="54"/>
      <c r="AV224" s="54"/>
      <c r="AW224" s="54"/>
      <c r="AX224" s="54"/>
      <c r="AY224" s="54"/>
      <c r="AZ224" s="54"/>
      <c r="BA224" s="1728" t="s">
        <v>24</v>
      </c>
      <c r="BB224" s="1754"/>
      <c r="BC224" s="54"/>
    </row>
    <row r="225" spans="1:55">
      <c r="A225" s="45"/>
      <c r="B225" s="1728"/>
      <c r="C225" s="2676" t="s">
        <v>554</v>
      </c>
      <c r="D225" s="2677"/>
      <c r="E225" s="2570">
        <f ca="1">100*(((1000*(Transfer!D140)/Transfer!D288)/((1000*(Transfer!C140)/Transfer!C288)))-1)</f>
        <v>1.5491011893874695</v>
      </c>
      <c r="F225" s="2570">
        <f ca="1">100*(((1000*(Transfer!E140)/Transfer!E288)/((1000*(Transfer!D140)/Transfer!D288)))-1)</f>
        <v>3.8999999999999702</v>
      </c>
      <c r="G225" s="2570">
        <f ca="1">100*(((1000*(Transfer!F140)/Transfer!F288)/((1000*(Transfer!E140)/Transfer!E288)))-1)</f>
        <v>2.6499999999999968</v>
      </c>
      <c r="H225" s="2675">
        <f ca="1">100*(((1000*(Transfer!G140)/Transfer!G288)/((1000*(Transfer!F140)/Transfer!F288)))-1)</f>
        <v>1.330000000000009</v>
      </c>
      <c r="I225" s="2678"/>
      <c r="J225" s="54"/>
      <c r="K225" s="54"/>
      <c r="L225" s="54"/>
      <c r="M225" s="54"/>
      <c r="N225" s="54"/>
      <c r="O225" s="54"/>
      <c r="P225" s="54"/>
      <c r="Q225" s="54"/>
      <c r="R225" s="54"/>
      <c r="S225" s="275"/>
      <c r="T225" s="168" t="s">
        <v>554</v>
      </c>
      <c r="U225" s="319"/>
      <c r="V225" s="91">
        <f t="shared" ca="1" si="14"/>
        <v>0.8</v>
      </c>
      <c r="W225" s="91">
        <f t="shared" ca="1" si="14"/>
        <v>2.2000000000000002</v>
      </c>
      <c r="X225" s="91">
        <f t="shared" ca="1" si="14"/>
        <v>0.60000000000000009</v>
      </c>
      <c r="Y225" s="93">
        <f t="shared" ca="1" si="14"/>
        <v>-0.39999999999999991</v>
      </c>
      <c r="Z225" s="343"/>
      <c r="AA225" s="54"/>
      <c r="AB225" s="45"/>
      <c r="AC225" s="45"/>
      <c r="AD225" s="45"/>
      <c r="AE225" s="45"/>
      <c r="AF225" s="45"/>
      <c r="AG225" s="45"/>
      <c r="AH225" s="45"/>
      <c r="AI225" s="45"/>
      <c r="AJ225" s="275"/>
      <c r="AK225" s="2210" t="s">
        <v>554</v>
      </c>
      <c r="AL225" s="2211"/>
      <c r="AM225" s="2205">
        <f>100*(((1000*(Transfer!AD140)/Transfer!AD288)/((1000*(Transfer!AC140)/Transfer!AC288)))-1)</f>
        <v>0.68606380056330796</v>
      </c>
      <c r="AN225" s="2205">
        <f>100*(((1000*(Transfer!AE140)/Transfer!AE288)/((1000*(Transfer!AD140)/Transfer!AD288)))-1)</f>
        <v>1.6747234303800873</v>
      </c>
      <c r="AO225" s="2205">
        <f>100*(((1000*(Transfer!AF140)/Transfer!AF288)/((1000*(Transfer!AE140)/Transfer!AE288)))-1)</f>
        <v>2.0999999999999908</v>
      </c>
      <c r="AP225" s="2259">
        <f>100*(((1000*(Transfer!AG140)/Transfer!AG288)/((1000*(Transfer!AF140)/Transfer!AF288)))-1)</f>
        <v>1.6999999999999904</v>
      </c>
      <c r="AQ225" s="343"/>
      <c r="AR225" s="54"/>
      <c r="AS225" s="54"/>
      <c r="AT225" s="54"/>
      <c r="AU225" s="54"/>
      <c r="AV225" s="54"/>
      <c r="AW225" s="54"/>
      <c r="AX225" s="54"/>
      <c r="AY225" s="54"/>
      <c r="AZ225" s="54"/>
      <c r="BA225" s="1728" t="s">
        <v>25</v>
      </c>
      <c r="BB225" s="1754"/>
      <c r="BC225" s="54"/>
    </row>
    <row r="226" spans="1:55" ht="13.15">
      <c r="A226" s="45"/>
      <c r="B226" s="2679"/>
      <c r="C226" s="2680" t="s">
        <v>186</v>
      </c>
      <c r="D226" s="2681"/>
      <c r="E226" s="2682">
        <f ca="1">(Transfer!D305/Transfer!D307)/(Transfer!C305/Transfer!C307)*100-100</f>
        <v>2.4845868543837355</v>
      </c>
      <c r="F226" s="2683">
        <f ca="1">(Transfer!E305/Transfer!E307)/(Transfer!D305/Transfer!D307)*100-100</f>
        <v>2.7746970170678225</v>
      </c>
      <c r="G226" s="2683">
        <f ca="1">(Transfer!F305/Transfer!F307)/(Transfer!E305/Transfer!E307)*100-100</f>
        <v>2.1788999136268501</v>
      </c>
      <c r="H226" s="2684">
        <f ca="1">(Transfer!G305/Transfer!G307)/(Transfer!F305/Transfer!F307)*100-100</f>
        <v>1.9010884067846234</v>
      </c>
      <c r="I226" s="2528"/>
      <c r="J226" s="54"/>
      <c r="K226" s="54"/>
      <c r="L226" s="54"/>
      <c r="M226" s="54"/>
      <c r="N226" s="54"/>
      <c r="O226" s="54"/>
      <c r="P226" s="54"/>
      <c r="Q226" s="54"/>
      <c r="R226" s="54"/>
      <c r="S226" s="344"/>
      <c r="T226" s="200" t="s">
        <v>186</v>
      </c>
      <c r="U226" s="201"/>
      <c r="V226" s="156">
        <f t="shared" ca="1" si="14"/>
        <v>0.89999999999999991</v>
      </c>
      <c r="W226" s="156">
        <f t="shared" ca="1" si="14"/>
        <v>0.39999999999999991</v>
      </c>
      <c r="X226" s="156">
        <f t="shared" ca="1" si="14"/>
        <v>-0.29999999999999982</v>
      </c>
      <c r="Y226" s="283">
        <f t="shared" ca="1" si="14"/>
        <v>-0.39999999999999991</v>
      </c>
      <c r="Z226" s="203"/>
      <c r="AA226" s="54"/>
      <c r="AB226" s="45"/>
      <c r="AC226" s="45"/>
      <c r="AD226" s="45"/>
      <c r="AE226" s="45"/>
      <c r="AF226" s="45"/>
      <c r="AG226" s="45"/>
      <c r="AH226" s="45"/>
      <c r="AI226" s="45"/>
      <c r="AJ226" s="344"/>
      <c r="AK226" s="2242" t="s">
        <v>186</v>
      </c>
      <c r="AL226" s="2243"/>
      <c r="AM226" s="2244">
        <f>(Transfer!AD305/Transfer!AD307)/(Transfer!AC305/Transfer!AC307)*100-100</f>
        <v>1.6045006477300063</v>
      </c>
      <c r="AN226" s="2245">
        <f>(Transfer!AE305/Transfer!AE307)/(Transfer!AD305/Transfer!AD307)*100-100</f>
        <v>2.3582956654475851</v>
      </c>
      <c r="AO226" s="2245">
        <f>(Transfer!AF305/Transfer!AF307)/(Transfer!AE305/Transfer!AE307)*100-100</f>
        <v>2.4538177247068944</v>
      </c>
      <c r="AP226" s="2246">
        <f>(Transfer!AG305/Transfer!AG307)/(Transfer!AF305/Transfer!AF307)*100-100</f>
        <v>2.2846845019768125</v>
      </c>
      <c r="AQ226" s="203"/>
      <c r="AR226" s="54"/>
      <c r="AS226" s="54"/>
      <c r="AT226" s="54"/>
      <c r="AU226" s="54"/>
      <c r="AV226" s="54"/>
      <c r="AW226" s="54"/>
      <c r="AX226" s="54"/>
      <c r="AY226" s="54"/>
      <c r="AZ226" s="54"/>
      <c r="BA226" s="1728" t="s">
        <v>26</v>
      </c>
      <c r="BB226" s="1754"/>
      <c r="BC226" s="54"/>
    </row>
    <row r="227" spans="1:55" s="220" customFormat="1">
      <c r="A227" s="334"/>
      <c r="B227" s="2679"/>
      <c r="C227" s="2454" t="s">
        <v>1025</v>
      </c>
      <c r="D227" s="2482"/>
      <c r="E227" s="3112" t="s">
        <v>1328</v>
      </c>
      <c r="F227" s="3112" t="s">
        <v>1328</v>
      </c>
      <c r="G227" s="3112" t="s">
        <v>1328</v>
      </c>
      <c r="H227" s="2458" t="s">
        <v>1328</v>
      </c>
      <c r="I227" s="2520"/>
      <c r="J227" s="334"/>
      <c r="K227" s="334"/>
      <c r="L227" s="334"/>
      <c r="M227" s="334"/>
      <c r="N227" s="334"/>
      <c r="O227" s="334"/>
      <c r="P227" s="334"/>
      <c r="Q227" s="334"/>
      <c r="R227" s="334"/>
      <c r="S227" s="344"/>
      <c r="T227" s="204" t="s">
        <v>1023</v>
      </c>
      <c r="U227" s="205"/>
      <c r="V227" s="3112" t="s">
        <v>1328</v>
      </c>
      <c r="W227" s="3112" t="s">
        <v>1328</v>
      </c>
      <c r="X227" s="3112" t="s">
        <v>1328</v>
      </c>
      <c r="Y227" s="2458" t="s">
        <v>1328</v>
      </c>
      <c r="Z227" s="196"/>
      <c r="AA227" s="334"/>
      <c r="AB227" s="334"/>
      <c r="AC227" s="334"/>
      <c r="AD227" s="334"/>
      <c r="AE227" s="334"/>
      <c r="AF227" s="334"/>
      <c r="AG227" s="334"/>
      <c r="AH227" s="334"/>
      <c r="AI227" s="334"/>
      <c r="AJ227" s="344"/>
      <c r="AK227" s="3127" t="s">
        <v>1023</v>
      </c>
      <c r="AL227" s="3128"/>
      <c r="AM227" s="3112" t="s">
        <v>1328</v>
      </c>
      <c r="AN227" s="3112" t="s">
        <v>1328</v>
      </c>
      <c r="AO227" s="3112" t="s">
        <v>1328</v>
      </c>
      <c r="AP227" s="2458" t="s">
        <v>1328</v>
      </c>
      <c r="AQ227" s="196"/>
      <c r="AR227" s="334"/>
      <c r="AS227" s="334"/>
      <c r="AT227" s="334"/>
      <c r="AU227" s="334"/>
      <c r="AV227" s="334"/>
      <c r="AW227" s="334"/>
      <c r="AX227" s="334"/>
      <c r="AY227" s="334"/>
      <c r="AZ227" s="334"/>
      <c r="BA227" s="1728"/>
      <c r="BB227" s="1754"/>
      <c r="BC227" s="334"/>
    </row>
    <row r="228" spans="1:55" ht="13.15">
      <c r="A228" s="45"/>
      <c r="B228" s="1728"/>
      <c r="C228" s="2680" t="s">
        <v>1024</v>
      </c>
      <c r="D228" s="2681"/>
      <c r="E228" s="2682">
        <f ca="1">(Transfer!D308/Transfer!D310)/(Transfer!C308/Transfer!C310)*100-100</f>
        <v>2.4488511501844101</v>
      </c>
      <c r="F228" s="2683">
        <f ca="1">(Transfer!E308/Transfer!E310)/(Transfer!D308/Transfer!D310)*100-100</f>
        <v>2.7936925874327869</v>
      </c>
      <c r="G228" s="2683">
        <f ca="1">(Transfer!F308/Transfer!F310)/(Transfer!E308/Transfer!E310)*100-100</f>
        <v>2.1851791642661453</v>
      </c>
      <c r="H228" s="2684">
        <f ca="1">(Transfer!G308/Transfer!G310)/(Transfer!F308/Transfer!F310)*100-100</f>
        <v>1.8882414770120306</v>
      </c>
      <c r="I228" s="2528"/>
      <c r="J228" s="54"/>
      <c r="K228" s="54"/>
      <c r="L228" s="54"/>
      <c r="M228" s="54"/>
      <c r="N228" s="54"/>
      <c r="O228" s="54"/>
      <c r="P228" s="54"/>
      <c r="Q228" s="54"/>
      <c r="R228" s="54"/>
      <c r="S228" s="275"/>
      <c r="T228" s="206" t="s">
        <v>1024</v>
      </c>
      <c r="U228" s="207"/>
      <c r="V228" s="156">
        <f t="shared" ref="V228:Y239" ca="1" si="15">ROUND(E228,1)-ROUND(AM228,1)</f>
        <v>0.79999999999999982</v>
      </c>
      <c r="W228" s="156">
        <f t="shared" ca="1" si="15"/>
        <v>0.5</v>
      </c>
      <c r="X228" s="156">
        <f t="shared" ca="1" si="15"/>
        <v>-0.19999999999999973</v>
      </c>
      <c r="Y228" s="283">
        <f t="shared" ca="1" si="15"/>
        <v>-0.39999999999999991</v>
      </c>
      <c r="Z228" s="203"/>
      <c r="AA228" s="54"/>
      <c r="AB228" s="45"/>
      <c r="AC228" s="45"/>
      <c r="AD228" s="45"/>
      <c r="AE228" s="45"/>
      <c r="AF228" s="45"/>
      <c r="AG228" s="45"/>
      <c r="AH228" s="45"/>
      <c r="AI228" s="45"/>
      <c r="AJ228" s="275"/>
      <c r="AK228" s="2242" t="s">
        <v>1024</v>
      </c>
      <c r="AL228" s="2243"/>
      <c r="AM228" s="2244">
        <f>(Transfer!AD308/Transfer!AD310)/(Transfer!AC308/Transfer!AC310)*100-100</f>
        <v>1.5825129247571965</v>
      </c>
      <c r="AN228" s="2245">
        <f>(Transfer!AE308/Transfer!AE310)/(Transfer!AD308/Transfer!AD310)*100-100</f>
        <v>2.3043660202777971</v>
      </c>
      <c r="AO228" s="2245">
        <f>(Transfer!AF308/Transfer!AF310)/(Transfer!AE308/Transfer!AE310)*100-100</f>
        <v>2.4346726958116136</v>
      </c>
      <c r="AP228" s="2246">
        <f>(Transfer!AG308/Transfer!AG310)/(Transfer!AF308/Transfer!AF310)*100-100</f>
        <v>2.2675827428931541</v>
      </c>
      <c r="AQ228" s="203"/>
      <c r="AR228" s="54"/>
      <c r="AS228" s="54"/>
      <c r="AT228" s="54"/>
      <c r="AU228" s="54"/>
      <c r="AV228" s="54"/>
      <c r="AW228" s="54"/>
      <c r="AX228" s="54"/>
      <c r="AY228" s="54"/>
      <c r="AZ228" s="54"/>
      <c r="BA228" s="1728" t="s">
        <v>1987</v>
      </c>
      <c r="BB228" s="1754"/>
      <c r="BC228" s="54"/>
    </row>
    <row r="229" spans="1:55">
      <c r="A229" s="45"/>
      <c r="B229" s="1728"/>
      <c r="C229" s="2454" t="s">
        <v>559</v>
      </c>
      <c r="D229" s="2482"/>
      <c r="E229" s="2456">
        <f ca="1">(Transfer!D311/Transfer!D313)/(Transfer!C311/Transfer!C313)*100-100</f>
        <v>3.3098754933324557</v>
      </c>
      <c r="F229" s="2674">
        <f ca="1">(Transfer!E311/Transfer!E313)/(Transfer!D311/Transfer!D313)*100-100</f>
        <v>5.1273146239057894</v>
      </c>
      <c r="G229" s="2570">
        <f ca="1">(Transfer!F311/Transfer!F313)/(Transfer!E311/Transfer!E313)*100-100</f>
        <v>2.37004012214841</v>
      </c>
      <c r="H229" s="2675">
        <f ca="1">(Transfer!G311/Transfer!G313)/(Transfer!F311/Transfer!F313)*100-100</f>
        <v>1.1507884597324676</v>
      </c>
      <c r="I229" s="2520"/>
      <c r="J229" s="54"/>
      <c r="K229" s="54"/>
      <c r="L229" s="54"/>
      <c r="M229" s="54"/>
      <c r="N229" s="54"/>
      <c r="O229" s="54"/>
      <c r="P229" s="54"/>
      <c r="Q229" s="54"/>
      <c r="R229" s="54"/>
      <c r="S229" s="275"/>
      <c r="T229" s="40" t="s">
        <v>559</v>
      </c>
      <c r="U229" s="65"/>
      <c r="V229" s="91">
        <f t="shared" ca="1" si="15"/>
        <v>4.5999999999999996</v>
      </c>
      <c r="W229" s="91">
        <f t="shared" ca="1" si="15"/>
        <v>1.8999999999999995</v>
      </c>
      <c r="X229" s="91">
        <f t="shared" ca="1" si="15"/>
        <v>-1.4</v>
      </c>
      <c r="Y229" s="93">
        <f t="shared" ca="1" si="15"/>
        <v>-0.8</v>
      </c>
      <c r="Z229" s="196"/>
      <c r="AA229" s="54"/>
      <c r="AB229" s="45"/>
      <c r="AC229" s="45"/>
      <c r="AD229" s="45"/>
      <c r="AE229" s="45"/>
      <c r="AF229" s="45"/>
      <c r="AG229" s="45"/>
      <c r="AH229" s="45"/>
      <c r="AI229" s="45"/>
      <c r="AJ229" s="275"/>
      <c r="AK229" s="2182" t="s">
        <v>559</v>
      </c>
      <c r="AL229" s="2183"/>
      <c r="AM229" s="2173">
        <f>(Transfer!AD311/Transfer!AD313)/(Transfer!AC311/Transfer!AC313)*100-100</f>
        <v>-1.2968825045878987</v>
      </c>
      <c r="AN229" s="2258">
        <f>(Transfer!AE311/Transfer!AE313)/(Transfer!AD311/Transfer!AD313)*100-100</f>
        <v>3.1719377875143664</v>
      </c>
      <c r="AO229" s="2205">
        <f>(Transfer!AF311/Transfer!AF313)/(Transfer!AE311/Transfer!AE313)*100-100</f>
        <v>3.7856387136953344</v>
      </c>
      <c r="AP229" s="2259">
        <f>(Transfer!AG311/Transfer!AG313)/(Transfer!AF311/Transfer!AF313)*100-100</f>
        <v>2.0030899019121335</v>
      </c>
      <c r="AQ229" s="196"/>
      <c r="AR229" s="54"/>
      <c r="AS229" s="54"/>
      <c r="AT229" s="54"/>
      <c r="AU229" s="54"/>
      <c r="AV229" s="54"/>
      <c r="AW229" s="54"/>
      <c r="AX229" s="54"/>
      <c r="AY229" s="54"/>
      <c r="AZ229" s="54"/>
      <c r="BA229" s="1728" t="s">
        <v>1988</v>
      </c>
      <c r="BB229" s="1754"/>
      <c r="BC229" s="54"/>
    </row>
    <row r="230" spans="1:55">
      <c r="A230" s="45"/>
      <c r="B230" s="1728"/>
      <c r="C230" s="2676" t="s">
        <v>45</v>
      </c>
      <c r="D230" s="2677"/>
      <c r="E230" s="2570">
        <f ca="1">100*(((1000*(Transfer!D143)/Transfer!D291)/((1000*(Transfer!C143)/Transfer!C291)))-1)</f>
        <v>4.094206563544156</v>
      </c>
      <c r="F230" s="2570">
        <f ca="1">100*(((1000*(Transfer!E143)/Transfer!E291)/((1000*(Transfer!D143)/Transfer!D291)))-1)</f>
        <v>5.4999999999999716</v>
      </c>
      <c r="G230" s="2570">
        <f ca="1">100*(((1000*(Transfer!F143)/Transfer!F291)/((1000*(Transfer!E143)/Transfer!E291)))-1)</f>
        <v>2.410000000000001</v>
      </c>
      <c r="H230" s="2675">
        <f ca="1">100*(((1000*(Transfer!G143)/Transfer!G291)/((1000*(Transfer!F143)/Transfer!F291)))-1)</f>
        <v>1.1600000000000277</v>
      </c>
      <c r="I230" s="2678"/>
      <c r="J230" s="54"/>
      <c r="K230" s="54"/>
      <c r="L230" s="54"/>
      <c r="M230" s="54"/>
      <c r="N230" s="54"/>
      <c r="O230" s="54"/>
      <c r="P230" s="54"/>
      <c r="Q230" s="54"/>
      <c r="R230" s="54"/>
      <c r="S230" s="275"/>
      <c r="T230" s="86" t="s">
        <v>45</v>
      </c>
      <c r="U230" s="105"/>
      <c r="V230" s="91">
        <f t="shared" ca="1" si="15"/>
        <v>5.8999999999999995</v>
      </c>
      <c r="W230" s="91">
        <f t="shared" ca="1" si="15"/>
        <v>1.5</v>
      </c>
      <c r="X230" s="91">
        <f t="shared" ca="1" si="15"/>
        <v>-1.6</v>
      </c>
      <c r="Y230" s="93">
        <f t="shared" ca="1" si="15"/>
        <v>-1.0000000000000002</v>
      </c>
      <c r="Z230" s="343"/>
      <c r="AA230" s="54"/>
      <c r="AB230" s="45"/>
      <c r="AC230" s="45"/>
      <c r="AD230" s="45"/>
      <c r="AE230" s="45"/>
      <c r="AF230" s="45"/>
      <c r="AG230" s="45"/>
      <c r="AH230" s="45"/>
      <c r="AI230" s="45"/>
      <c r="AJ230" s="275"/>
      <c r="AK230" s="2210" t="s">
        <v>45</v>
      </c>
      <c r="AL230" s="2211"/>
      <c r="AM230" s="2205">
        <f>100*(((1000*(Transfer!AD143)/Transfer!AD291)/((1000*(Transfer!AC143)/Transfer!AC291)))-1)</f>
        <v>-1.7607653468993067</v>
      </c>
      <c r="AN230" s="2205">
        <f>100*(((1000*(Transfer!AE143)/Transfer!AE291)/((1000*(Transfer!AD143)/Transfer!AD291)))-1)</f>
        <v>4.0078039649745989</v>
      </c>
      <c r="AO230" s="2205">
        <f>100*(((1000*(Transfer!AF143)/Transfer!AF291)/((1000*(Transfer!AE143)/Transfer!AE291)))-1)</f>
        <v>4.0000000000000258</v>
      </c>
      <c r="AP230" s="2259">
        <f>100*(((1000*(Transfer!AG143)/Transfer!AG291)/((1000*(Transfer!AF143)/Transfer!AF291)))-1)</f>
        <v>2.200000000000002</v>
      </c>
      <c r="AQ230" s="343"/>
      <c r="AR230" s="54"/>
      <c r="AS230" s="54"/>
      <c r="AT230" s="54"/>
      <c r="AU230" s="54"/>
      <c r="AV230" s="54"/>
      <c r="AW230" s="54"/>
      <c r="AX230" s="54"/>
      <c r="AY230" s="54"/>
      <c r="AZ230" s="54"/>
      <c r="BA230" s="1728" t="s">
        <v>1989</v>
      </c>
      <c r="BB230" s="1754"/>
      <c r="BC230" s="54"/>
    </row>
    <row r="231" spans="1:55">
      <c r="A231" s="45"/>
      <c r="B231" s="2679"/>
      <c r="C231" s="2676" t="s">
        <v>1554</v>
      </c>
      <c r="D231" s="2677"/>
      <c r="E231" s="2570">
        <f ca="1">100*(((1000*(Transfer!D144)/Transfer!D292)/((1000*(Transfer!C144)/Transfer!C292)))-1)</f>
        <v>1.6161176588589843</v>
      </c>
      <c r="F231" s="2570">
        <f ca="1">100*(((1000*(Transfer!E144)/Transfer!E292)/((1000*(Transfer!D144)/Transfer!D292)))-1)</f>
        <v>4.3000000000000149</v>
      </c>
      <c r="G231" s="2570">
        <f ca="1">100*(((1000*(Transfer!F144)/Transfer!F292)/((1000*(Transfer!E144)/Transfer!E292)))-1)</f>
        <v>2.2799999999999931</v>
      </c>
      <c r="H231" s="2675">
        <f ca="1">100*(((1000*(Transfer!G144)/Transfer!G292)/((1000*(Transfer!F144)/Transfer!F292)))-1)</f>
        <v>1.1300000000000088</v>
      </c>
      <c r="I231" s="2678"/>
      <c r="J231" s="54"/>
      <c r="K231" s="54"/>
      <c r="L231" s="54"/>
      <c r="M231" s="54"/>
      <c r="N231" s="54"/>
      <c r="O231" s="54"/>
      <c r="P231" s="54"/>
      <c r="Q231" s="54"/>
      <c r="R231" s="54"/>
      <c r="S231" s="344"/>
      <c r="T231" s="86" t="s">
        <v>1554</v>
      </c>
      <c r="U231" s="105"/>
      <c r="V231" s="91">
        <f t="shared" ca="1" si="15"/>
        <v>1.9000000000000001</v>
      </c>
      <c r="W231" s="91">
        <f t="shared" ca="1" si="15"/>
        <v>3</v>
      </c>
      <c r="X231" s="91">
        <f t="shared" ca="1" si="15"/>
        <v>-1</v>
      </c>
      <c r="Y231" s="93">
        <f t="shared" ca="1" si="15"/>
        <v>-0.5</v>
      </c>
      <c r="Z231" s="343"/>
      <c r="AA231" s="54"/>
      <c r="AB231" s="45"/>
      <c r="AC231" s="45"/>
      <c r="AD231" s="45"/>
      <c r="AE231" s="45"/>
      <c r="AF231" s="45"/>
      <c r="AG231" s="45"/>
      <c r="AH231" s="45"/>
      <c r="AI231" s="45"/>
      <c r="AJ231" s="344"/>
      <c r="AK231" s="2210" t="s">
        <v>1554</v>
      </c>
      <c r="AL231" s="2211"/>
      <c r="AM231" s="2205">
        <f>100*(((1000*(Transfer!AD144)/Transfer!AD292)/((1000*(Transfer!AC144)/Transfer!AC292)))-1)</f>
        <v>-0.3056194696615111</v>
      </c>
      <c r="AN231" s="2205">
        <f>100*(((1000*(Transfer!AE144)/Transfer!AE292)/((1000*(Transfer!AD144)/Transfer!AD292)))-1)</f>
        <v>1.3338220516783128</v>
      </c>
      <c r="AO231" s="2205">
        <f>100*(((1000*(Transfer!AF144)/Transfer!AF292)/((1000*(Transfer!AE144)/Transfer!AE292)))-1)</f>
        <v>3.2999999999999918</v>
      </c>
      <c r="AP231" s="2259">
        <f>100*(((1000*(Transfer!AG144)/Transfer!AG292)/((1000*(Transfer!AF144)/Transfer!AF292)))-1)</f>
        <v>1.5500000000000069</v>
      </c>
      <c r="AQ231" s="343"/>
      <c r="AR231" s="54"/>
      <c r="AS231" s="54"/>
      <c r="AT231" s="54"/>
      <c r="AU231" s="54"/>
      <c r="AV231" s="54"/>
      <c r="AW231" s="54"/>
      <c r="AX231" s="54"/>
      <c r="AY231" s="54"/>
      <c r="AZ231" s="54"/>
      <c r="BA231" s="1728" t="s">
        <v>1990</v>
      </c>
      <c r="BB231" s="1754"/>
      <c r="BC231" s="54"/>
    </row>
    <row r="232" spans="1:55" ht="13.15">
      <c r="A232" s="45"/>
      <c r="B232" s="2685"/>
      <c r="C232" s="2680" t="s">
        <v>1555</v>
      </c>
      <c r="D232" s="2681"/>
      <c r="E232" s="2682">
        <f ca="1">(Transfer!D314/Transfer!D316)/(Transfer!C314/Transfer!C316)*100-100</f>
        <v>2.7229433810865658</v>
      </c>
      <c r="F232" s="2683">
        <f ca="1">(Transfer!E314/Transfer!E316)/(Transfer!D314/Transfer!D316)*100-100</f>
        <v>3.5456653632558215</v>
      </c>
      <c r="G232" s="2683">
        <f ca="1">(Transfer!F314/Transfer!F316)/(Transfer!E314/Transfer!E316)*100-100</f>
        <v>2.246273650339873</v>
      </c>
      <c r="H232" s="2684">
        <f ca="1">(Transfer!G314/Transfer!G316)/(Transfer!F314/Transfer!F316)*100-100</f>
        <v>1.6422645570891348</v>
      </c>
      <c r="I232" s="2528"/>
      <c r="J232" s="54"/>
      <c r="K232" s="54"/>
      <c r="L232" s="54"/>
      <c r="M232" s="54"/>
      <c r="N232" s="54"/>
      <c r="O232" s="54"/>
      <c r="P232" s="54"/>
      <c r="Q232" s="54"/>
      <c r="R232" s="54"/>
      <c r="S232" s="346"/>
      <c r="T232" s="288" t="s">
        <v>1555</v>
      </c>
      <c r="U232" s="210"/>
      <c r="V232" s="156">
        <f t="shared" ca="1" si="15"/>
        <v>2</v>
      </c>
      <c r="W232" s="156">
        <f t="shared" ca="1" si="15"/>
        <v>0.89999999999999991</v>
      </c>
      <c r="X232" s="156">
        <f t="shared" ca="1" si="15"/>
        <v>-0.69999999999999973</v>
      </c>
      <c r="Y232" s="283">
        <f t="shared" ca="1" si="15"/>
        <v>-0.60000000000000009</v>
      </c>
      <c r="Z232" s="203"/>
      <c r="AA232" s="54"/>
      <c r="AB232" s="45"/>
      <c r="AC232" s="45"/>
      <c r="AD232" s="45"/>
      <c r="AE232" s="45"/>
      <c r="AF232" s="45"/>
      <c r="AG232" s="45"/>
      <c r="AH232" s="45"/>
      <c r="AI232" s="45"/>
      <c r="AJ232" s="346"/>
      <c r="AK232" s="2242" t="s">
        <v>1555</v>
      </c>
      <c r="AL232" s="2243"/>
      <c r="AM232" s="2244">
        <f>(Transfer!AD314/Transfer!AD316)/(Transfer!AC314/Transfer!AC316)*100-100</f>
        <v>0.65021139276710471</v>
      </c>
      <c r="AN232" s="2245">
        <f>(Transfer!AE314/Transfer!AE316)/(Transfer!AD314/Transfer!AD316)*100-100</f>
        <v>2.5812667321463181</v>
      </c>
      <c r="AO232" s="2245">
        <f>(Transfer!AF314/Transfer!AF316)/(Transfer!AE314/Transfer!AE316)*100-100</f>
        <v>2.874935673545238</v>
      </c>
      <c r="AP232" s="2246">
        <f>(Transfer!AG314/Transfer!AG316)/(Transfer!AF314/Transfer!AF316)*100-100</f>
        <v>2.179497093949962</v>
      </c>
      <c r="AQ232" s="203"/>
      <c r="AR232" s="54"/>
      <c r="AS232" s="54"/>
      <c r="AT232" s="54"/>
      <c r="AU232" s="54"/>
      <c r="AV232" s="54"/>
      <c r="AW232" s="54"/>
      <c r="AX232" s="54"/>
      <c r="AY232" s="54"/>
      <c r="AZ232" s="54"/>
      <c r="BA232" s="1728" t="s">
        <v>1991</v>
      </c>
      <c r="BB232" s="1754"/>
      <c r="BC232" s="54"/>
    </row>
    <row r="233" spans="1:55">
      <c r="A233" s="45"/>
      <c r="B233" s="2686"/>
      <c r="C233" s="2454" t="s">
        <v>222</v>
      </c>
      <c r="D233" s="2482"/>
      <c r="E233" s="2456">
        <f ca="1">(Transfer!D317/Transfer!D319)/(Transfer!C317/Transfer!C319)*100-100</f>
        <v>3.8804244555930438</v>
      </c>
      <c r="F233" s="2674">
        <f ca="1">(Transfer!E317/Transfer!E319)/(Transfer!D317/Transfer!D319)*100-100</f>
        <v>6.1084211109984778</v>
      </c>
      <c r="G233" s="2570">
        <f ca="1">(Transfer!F317/Transfer!F319)/(Transfer!E317/Transfer!E319)*100-100</f>
        <v>2.8344659080024712</v>
      </c>
      <c r="H233" s="2675">
        <f ca="1">(Transfer!G317/Transfer!G319)/(Transfer!F317/Transfer!F319)*100-100</f>
        <v>1.3970126737047082</v>
      </c>
      <c r="I233" s="2520"/>
      <c r="J233" s="54"/>
      <c r="K233" s="54"/>
      <c r="L233" s="54"/>
      <c r="M233" s="54"/>
      <c r="N233" s="54"/>
      <c r="O233" s="54"/>
      <c r="P233" s="54"/>
      <c r="Q233" s="54"/>
      <c r="R233" s="54"/>
      <c r="S233" s="347"/>
      <c r="T233" s="179" t="s">
        <v>222</v>
      </c>
      <c r="U233" s="63"/>
      <c r="V233" s="91">
        <f t="shared" ca="1" si="15"/>
        <v>5.6</v>
      </c>
      <c r="W233" s="91">
        <f t="shared" ca="1" si="15"/>
        <v>2.2999999999999998</v>
      </c>
      <c r="X233" s="91">
        <f t="shared" ca="1" si="15"/>
        <v>-1.9000000000000004</v>
      </c>
      <c r="Y233" s="93">
        <f t="shared" ca="1" si="15"/>
        <v>-0.40000000000000013</v>
      </c>
      <c r="Z233" s="196"/>
      <c r="AA233" s="54"/>
      <c r="AB233" s="45"/>
      <c r="AC233" s="45"/>
      <c r="AD233" s="45"/>
      <c r="AE233" s="45"/>
      <c r="AF233" s="45"/>
      <c r="AG233" s="45"/>
      <c r="AH233" s="45"/>
      <c r="AI233" s="45"/>
      <c r="AJ233" s="347"/>
      <c r="AK233" s="2182" t="s">
        <v>222</v>
      </c>
      <c r="AL233" s="2183"/>
      <c r="AM233" s="2173">
        <f>(Transfer!AD317/Transfer!AD319)/(Transfer!AC317/Transfer!AC319)*100-100</f>
        <v>-1.6644583381456926</v>
      </c>
      <c r="AN233" s="2258">
        <f>(Transfer!AE317/Transfer!AE319)/(Transfer!AD317/Transfer!AD319)*100-100</f>
        <v>3.8378002216713725</v>
      </c>
      <c r="AO233" s="2205">
        <f>(Transfer!AF317/Transfer!AF319)/(Transfer!AE317/Transfer!AE319)*100-100</f>
        <v>4.6863172163143787</v>
      </c>
      <c r="AP233" s="2259">
        <f>(Transfer!AG317/Transfer!AG319)/(Transfer!AF317/Transfer!AF319)*100-100</f>
        <v>1.7939568338212268</v>
      </c>
      <c r="AQ233" s="196"/>
      <c r="AR233" s="54"/>
      <c r="AS233" s="54"/>
      <c r="AT233" s="54"/>
      <c r="AU233" s="54"/>
      <c r="AV233" s="54"/>
      <c r="AW233" s="54"/>
      <c r="AX233" s="54"/>
      <c r="AY233" s="54"/>
      <c r="AZ233" s="54"/>
      <c r="BA233" s="1728" t="s">
        <v>1992</v>
      </c>
      <c r="BB233" s="1754"/>
      <c r="BC233" s="54"/>
    </row>
    <row r="234" spans="1:55">
      <c r="A234" s="45"/>
      <c r="B234" s="2687"/>
      <c r="C234" s="2676" t="s">
        <v>223</v>
      </c>
      <c r="D234" s="2677"/>
      <c r="E234" s="2570">
        <f ca="1">100*(((1000*(Transfer!D145)/Transfer!D293)/((1000*(Transfer!C145)/Transfer!C293)))-1)</f>
        <v>4.6950670253263604</v>
      </c>
      <c r="F234" s="2570">
        <f ca="1">100*(((1000*(Transfer!E145)/Transfer!E293)/((1000*(Transfer!D145)/Transfer!D293)))-1)</f>
        <v>6.2000000000000055</v>
      </c>
      <c r="G234" s="2570">
        <f ca="1">100*(((1000*(Transfer!F145)/Transfer!F293)/((1000*(Transfer!E145)/Transfer!E293)))-1)</f>
        <v>2.709999999999968</v>
      </c>
      <c r="H234" s="2675">
        <f ca="1">100*(((1000*(Transfer!G145)/Transfer!G293)/((1000*(Transfer!F145)/Transfer!F293)))-1)</f>
        <v>1.330000000000009</v>
      </c>
      <c r="I234" s="2678"/>
      <c r="J234" s="54"/>
      <c r="K234" s="54"/>
      <c r="L234" s="54"/>
      <c r="M234" s="54"/>
      <c r="N234" s="54"/>
      <c r="O234" s="54"/>
      <c r="P234" s="54"/>
      <c r="Q234" s="54"/>
      <c r="R234" s="54"/>
      <c r="S234" s="348"/>
      <c r="T234" s="168" t="s">
        <v>223</v>
      </c>
      <c r="U234" s="319"/>
      <c r="V234" s="91">
        <f t="shared" ca="1" si="15"/>
        <v>7</v>
      </c>
      <c r="W234" s="91">
        <f t="shared" ca="1" si="15"/>
        <v>1.6000000000000005</v>
      </c>
      <c r="X234" s="91">
        <f t="shared" ca="1" si="15"/>
        <v>-2.2000000000000002</v>
      </c>
      <c r="Y234" s="93">
        <f t="shared" ca="1" si="15"/>
        <v>-0.39999999999999991</v>
      </c>
      <c r="Z234" s="343"/>
      <c r="AA234" s="54"/>
      <c r="AB234" s="45"/>
      <c r="AC234" s="45"/>
      <c r="AD234" s="45"/>
      <c r="AE234" s="45"/>
      <c r="AF234" s="45"/>
      <c r="AG234" s="45"/>
      <c r="AH234" s="45"/>
      <c r="AI234" s="45"/>
      <c r="AJ234" s="348"/>
      <c r="AK234" s="2210" t="s">
        <v>223</v>
      </c>
      <c r="AL234" s="2211"/>
      <c r="AM234" s="2205">
        <f>100*(((1000*(Transfer!AD145)/Transfer!AD293)/((1000*(Transfer!AC145)/Transfer!AC293)))-1)</f>
        <v>-2.2822330914678779</v>
      </c>
      <c r="AN234" s="2205">
        <f>100*(((1000*(Transfer!AE145)/Transfer!AE293)/((1000*(Transfer!AD145)/Transfer!AD293)))-1)</f>
        <v>4.6290826485224645</v>
      </c>
      <c r="AO234" s="2205">
        <f>100*(((1000*(Transfer!AF145)/Transfer!AF293)/((1000*(Transfer!AE145)/Transfer!AE293)))-1)</f>
        <v>4.8999999999999932</v>
      </c>
      <c r="AP234" s="2259">
        <f>100*(((1000*(Transfer!AG145)/Transfer!AG293)/((1000*(Transfer!AF145)/Transfer!AF293)))-1)</f>
        <v>1.6999999999999904</v>
      </c>
      <c r="AQ234" s="343"/>
      <c r="AR234" s="54"/>
      <c r="AS234" s="54"/>
      <c r="AT234" s="54"/>
      <c r="AU234" s="54"/>
      <c r="AV234" s="54"/>
      <c r="AW234" s="54"/>
      <c r="AX234" s="54"/>
      <c r="AY234" s="54"/>
      <c r="AZ234" s="54"/>
      <c r="BA234" s="1728" t="s">
        <v>269</v>
      </c>
      <c r="BB234" s="1754"/>
      <c r="BC234" s="54"/>
    </row>
    <row r="235" spans="1:55">
      <c r="A235" s="45"/>
      <c r="B235" s="2687"/>
      <c r="C235" s="2676" t="s">
        <v>47</v>
      </c>
      <c r="D235" s="2677"/>
      <c r="E235" s="2570">
        <f ca="1">100*(((1000*(Transfer!D146)/Transfer!D294)/((1000*(Transfer!C146)/Transfer!C294)))-1)</f>
        <v>2.0892409066318729</v>
      </c>
      <c r="F235" s="2570">
        <f ca="1">100*(((1000*(Transfer!E146)/Transfer!E294)/((1000*(Transfer!D146)/Transfer!D294)))-1)</f>
        <v>5.9000000000000163</v>
      </c>
      <c r="G235" s="2570">
        <f ca="1">100*(((1000*(Transfer!F146)/Transfer!F294)/((1000*(Transfer!E146)/Transfer!E294)))-1)</f>
        <v>3.1200000000000561</v>
      </c>
      <c r="H235" s="2675">
        <f ca="1">100*(((1000*(Transfer!G146)/Transfer!G294)/((1000*(Transfer!F146)/Transfer!F294)))-1)</f>
        <v>1.5500000000000291</v>
      </c>
      <c r="I235" s="2678"/>
      <c r="J235" s="54"/>
      <c r="K235" s="54"/>
      <c r="L235" s="54"/>
      <c r="M235" s="54"/>
      <c r="N235" s="54"/>
      <c r="O235" s="54"/>
      <c r="P235" s="54"/>
      <c r="Q235" s="54"/>
      <c r="R235" s="54"/>
      <c r="S235" s="348"/>
      <c r="T235" s="168" t="s">
        <v>47</v>
      </c>
      <c r="U235" s="319"/>
      <c r="V235" s="91">
        <f t="shared" ca="1" si="15"/>
        <v>2.3000000000000003</v>
      </c>
      <c r="W235" s="91">
        <f t="shared" ca="1" si="15"/>
        <v>3.8000000000000003</v>
      </c>
      <c r="X235" s="91">
        <f t="shared" ca="1" si="15"/>
        <v>-1.1000000000000001</v>
      </c>
      <c r="Y235" s="93">
        <f t="shared" ca="1" si="15"/>
        <v>-0.39999999999999991</v>
      </c>
      <c r="Z235" s="343"/>
      <c r="AA235" s="54"/>
      <c r="AB235" s="45"/>
      <c r="AC235" s="45"/>
      <c r="AD235" s="45"/>
      <c r="AE235" s="45"/>
      <c r="AF235" s="45"/>
      <c r="AG235" s="45"/>
      <c r="AH235" s="45"/>
      <c r="AI235" s="45"/>
      <c r="AJ235" s="348"/>
      <c r="AK235" s="2210" t="s">
        <v>47</v>
      </c>
      <c r="AL235" s="2211"/>
      <c r="AM235" s="2205">
        <f>100*(((1000*(Transfer!AD146)/Transfer!AD294)/((1000*(Transfer!AC146)/Transfer!AC294)))-1)</f>
        <v>-0.24382431493692458</v>
      </c>
      <c r="AN235" s="2205">
        <f>100*(((1000*(Transfer!AE146)/Transfer!AE294)/((1000*(Transfer!AD146)/Transfer!AD294)))-1)</f>
        <v>2.099942051365411</v>
      </c>
      <c r="AO235" s="2205">
        <f>100*(((1000*(Transfer!AF146)/Transfer!AF294)/((1000*(Transfer!AE146)/Transfer!AE294)))-1)</f>
        <v>4.2000000000000037</v>
      </c>
      <c r="AP235" s="2259">
        <f>100*(((1000*(Transfer!AG146)/Transfer!AG294)/((1000*(Transfer!AF146)/Transfer!AF294)))-1)</f>
        <v>2.0100000000000007</v>
      </c>
      <c r="AQ235" s="343"/>
      <c r="AR235" s="54"/>
      <c r="AS235" s="54"/>
      <c r="AT235" s="54"/>
      <c r="AU235" s="54"/>
      <c r="AV235" s="54"/>
      <c r="AW235" s="54"/>
      <c r="AX235" s="54"/>
      <c r="AY235" s="54"/>
      <c r="AZ235" s="54"/>
      <c r="BA235" s="1728" t="s">
        <v>1993</v>
      </c>
      <c r="BB235" s="1754"/>
      <c r="BC235" s="54"/>
    </row>
    <row r="236" spans="1:55" ht="13.15">
      <c r="A236" s="45"/>
      <c r="B236" s="2686"/>
      <c r="C236" s="2680" t="s">
        <v>819</v>
      </c>
      <c r="D236" s="2681"/>
      <c r="E236" s="2682">
        <f ca="1">100*(((1000*(Transfer!D147)/Transfer!D295)/((1000*(Transfer!C147)/Transfer!C295)))-1)</f>
        <v>2.2483060560397394</v>
      </c>
      <c r="F236" s="2683">
        <f ca="1">100*(((1000*(Transfer!E147)/Transfer!E295)/((1000*(Transfer!D147)/Transfer!D295)))-1)</f>
        <v>2.4640461157058979</v>
      </c>
      <c r="G236" s="2683">
        <f ca="1">100*(((1000*(Transfer!F147)/Transfer!F295)/((1000*(Transfer!E147)/Transfer!E295)))-1)</f>
        <v>1.9855634353397988</v>
      </c>
      <c r="H236" s="2684">
        <f ca="1">100*(((1000*(Transfer!G147)/Transfer!G295)/((1000*(Transfer!F147)/Transfer!F295)))-1)</f>
        <v>1.7533682107625292</v>
      </c>
      <c r="I236" s="2528"/>
      <c r="J236" s="54"/>
      <c r="K236" s="54"/>
      <c r="L236" s="54"/>
      <c r="M236" s="54"/>
      <c r="N236" s="54"/>
      <c r="O236" s="54"/>
      <c r="P236" s="54"/>
      <c r="Q236" s="54"/>
      <c r="R236" s="54"/>
      <c r="S236" s="347"/>
      <c r="T236" s="288" t="s">
        <v>819</v>
      </c>
      <c r="U236" s="210"/>
      <c r="V236" s="156">
        <f t="shared" ca="1" si="15"/>
        <v>0.60000000000000009</v>
      </c>
      <c r="W236" s="156">
        <f t="shared" ca="1" si="15"/>
        <v>0.39999999999999991</v>
      </c>
      <c r="X236" s="156">
        <f t="shared" ca="1" si="15"/>
        <v>-0.10000000000000009</v>
      </c>
      <c r="Y236" s="283">
        <f t="shared" ca="1" si="15"/>
        <v>-0.49999999999999978</v>
      </c>
      <c r="Z236" s="203"/>
      <c r="AA236" s="54"/>
      <c r="AB236" s="45"/>
      <c r="AC236" s="45"/>
      <c r="AD236" s="45"/>
      <c r="AE236" s="45"/>
      <c r="AF236" s="45"/>
      <c r="AG236" s="45"/>
      <c r="AH236" s="45"/>
      <c r="AI236" s="45"/>
      <c r="AJ236" s="347"/>
      <c r="AK236" s="2216" t="s">
        <v>819</v>
      </c>
      <c r="AL236" s="2217"/>
      <c r="AM236" s="2244">
        <f>100*(((1000*(Transfer!AD147)/Transfer!AD295)/((1000*(Transfer!AC147)/Transfer!AC295)))-1)</f>
        <v>1.5932514063440761</v>
      </c>
      <c r="AN236" s="2245">
        <f>100*(((1000*(Transfer!AE147)/Transfer!AE295)/((1000*(Transfer!AD147)/Transfer!AD295)))-1)</f>
        <v>2.0732455093610547</v>
      </c>
      <c r="AO236" s="2245">
        <f>100*(((1000*(Transfer!AF147)/Transfer!AF295)/((1000*(Transfer!AE147)/Transfer!AE295)))-1)</f>
        <v>2.1176150698236196</v>
      </c>
      <c r="AP236" s="2246">
        <f>100*(((1000*(Transfer!AG147)/Transfer!AG295)/((1000*(Transfer!AF147)/Transfer!AF295)))-1)</f>
        <v>2.3471803572214789</v>
      </c>
      <c r="AQ236" s="203"/>
      <c r="AR236" s="54"/>
      <c r="AS236" s="54"/>
      <c r="AT236" s="54"/>
      <c r="AU236" s="54"/>
      <c r="AV236" s="54"/>
      <c r="AW236" s="54"/>
      <c r="AX236" s="54"/>
      <c r="AY236" s="54"/>
      <c r="AZ236" s="54"/>
      <c r="BA236" s="1728" t="s">
        <v>1994</v>
      </c>
      <c r="BB236" s="1754"/>
      <c r="BC236" s="54"/>
    </row>
    <row r="237" spans="1:55">
      <c r="A237" s="45"/>
      <c r="B237" s="2687"/>
      <c r="C237" s="2454" t="s">
        <v>580</v>
      </c>
      <c r="D237" s="2482"/>
      <c r="E237" s="2456">
        <f ca="1">100*((((Transfer!D311/Transfer!D313)/(SUM(Transfer!D145,Transfer!D146)/Transfer!D319))/((SUM(Transfer!C143,Transfer!C144)/Transfer!C313)/(SUM(Transfer!C145,Transfer!C146)/Transfer!C319)))-1)</f>
        <v>-0.54923626395506631</v>
      </c>
      <c r="F237" s="2674">
        <f ca="1">100*((((Transfer!E311/Transfer!E313)/(SUM(Transfer!E145,Transfer!E146)/Transfer!E319))/((SUM(Transfer!D143,Transfer!D144)/Transfer!D313)/(SUM(Transfer!D145,Transfer!D146)/Transfer!D319)))-1)</f>
        <v>-0.92462641213590935</v>
      </c>
      <c r="G237" s="2570">
        <f ca="1">100*((((Transfer!F311/Transfer!F313)/(SUM(Transfer!F145,Transfer!F146)/Transfer!F319))/((SUM(Transfer!E143,Transfer!E144)/Transfer!E313)/(SUM(Transfer!E145,Transfer!E146)/Transfer!E319)))-1)</f>
        <v>-0.45162463941762487</v>
      </c>
      <c r="H237" s="2675">
        <f ca="1">100*((((Transfer!G311/Transfer!G313)/(SUM(Transfer!G145,Transfer!G146)/Transfer!G319))/((SUM(Transfer!F143,Transfer!F144)/Transfer!F313)/(SUM(Transfer!F145,Transfer!F146)/Transfer!F319)))-1)</f>
        <v>-0.24283182263423742</v>
      </c>
      <c r="I237" s="2520"/>
      <c r="J237" s="54"/>
      <c r="K237" s="54"/>
      <c r="L237" s="54"/>
      <c r="M237" s="54"/>
      <c r="N237" s="54"/>
      <c r="O237" s="54"/>
      <c r="P237" s="54"/>
      <c r="Q237" s="54"/>
      <c r="R237" s="54"/>
      <c r="S237" s="348"/>
      <c r="T237" s="349" t="s">
        <v>580</v>
      </c>
      <c r="U237" s="69"/>
      <c r="V237" s="91">
        <f t="shared" ca="1" si="15"/>
        <v>-0.9</v>
      </c>
      <c r="W237" s="91">
        <f t="shared" ca="1" si="15"/>
        <v>-0.30000000000000004</v>
      </c>
      <c r="X237" s="91">
        <f t="shared" ca="1" si="15"/>
        <v>0.4</v>
      </c>
      <c r="Y237" s="93">
        <f t="shared" ca="1" si="15"/>
        <v>-0.4</v>
      </c>
      <c r="Z237" s="196"/>
      <c r="AA237" s="54"/>
      <c r="AB237" s="45"/>
      <c r="AC237" s="45"/>
      <c r="AD237" s="45"/>
      <c r="AE237" s="45"/>
      <c r="AF237" s="45"/>
      <c r="AG237" s="45"/>
      <c r="AH237" s="45"/>
      <c r="AI237" s="45"/>
      <c r="AJ237" s="348"/>
      <c r="AK237" s="2182" t="s">
        <v>580</v>
      </c>
      <c r="AL237" s="2183"/>
      <c r="AM237" s="2173">
        <f>100*((((Transfer!AD311/Transfer!AD313)/(SUM(Transfer!AD145,Transfer!AD146)/Transfer!AD319))/((SUM(Transfer!AC143,Transfer!AC144)/Transfer!AC313)/(SUM(Transfer!AC145,Transfer!AC146)/Transfer!AC319)))-1)</f>
        <v>0.37379753784423375</v>
      </c>
      <c r="AN237" s="2258">
        <f>100*((((Transfer!AE311/Transfer!AE313)/(SUM(Transfer!AE145,Transfer!AE146)/Transfer!AE319))/((SUM(Transfer!AD143,Transfer!AD144)/Transfer!AD313)/(SUM(Transfer!AD145,Transfer!AD146)/Transfer!AD319)))-1)</f>
        <v>-0.64125244634951617</v>
      </c>
      <c r="AO237" s="2205">
        <f>100*((((Transfer!AF311/Transfer!AF313)/(SUM(Transfer!AF145,Transfer!AF146)/Transfer!AF319))/((SUM(Transfer!AE143,Transfer!AE144)/Transfer!AE313)/(SUM(Transfer!AE145,Transfer!AE146)/Transfer!AE319)))-1)</f>
        <v>-0.86035933498165296</v>
      </c>
      <c r="AP237" s="2259">
        <f>100*((((Transfer!AG311/Transfer!AG313)/(SUM(Transfer!AG145,Transfer!AG146)/Transfer!AG319))/((SUM(Transfer!AF143,Transfer!AF144)/Transfer!AF313)/(SUM(Transfer!AF145,Transfer!AF146)/Transfer!AF319)))-1)</f>
        <v>0.20544742988262144</v>
      </c>
      <c r="AQ237" s="196"/>
      <c r="AR237" s="54"/>
      <c r="AS237" s="54"/>
      <c r="AT237" s="54"/>
      <c r="AU237" s="54"/>
      <c r="AV237" s="54"/>
      <c r="AW237" s="54"/>
      <c r="AX237" s="54"/>
      <c r="AY237" s="54"/>
      <c r="AZ237" s="54"/>
      <c r="BA237" s="1728" t="s">
        <v>1995</v>
      </c>
      <c r="BB237" s="1754"/>
      <c r="BC237" s="54"/>
    </row>
    <row r="238" spans="1:55">
      <c r="A238" s="45"/>
      <c r="B238" s="1728"/>
      <c r="C238" s="2676" t="s">
        <v>35</v>
      </c>
      <c r="D238" s="2677"/>
      <c r="E238" s="2570">
        <f ca="1">100*(((((Transfer!D143)/Transfer!D291)/(((Transfer!D145)/Transfer!D293)))/(((Transfer!C143)/Transfer!C291)/(((Transfer!C145)/Transfer!C293))))-1)</f>
        <v>-0.5739147782740095</v>
      </c>
      <c r="F238" s="2570">
        <f ca="1">100*(((((Transfer!E143)/Transfer!E291)/(((Transfer!E145)/Transfer!E293)))/(((Transfer!D143)/Transfer!D291)/(((Transfer!D145)/Transfer!D293))))-1)</f>
        <v>-0.65913370998117449</v>
      </c>
      <c r="G238" s="2570">
        <f ca="1">100*(((((Transfer!F143)/Transfer!F291)/(((Transfer!F145)/Transfer!F293)))/(((Transfer!E143)/Transfer!E291)/(((Transfer!E145)/Transfer!E293))))-1)</f>
        <v>-0.29208450978479572</v>
      </c>
      <c r="H238" s="2675">
        <f ca="1">100*(((((Transfer!G143)/Transfer!G291)/(((Transfer!G145)/Transfer!G293)))/(((Transfer!F143)/Transfer!F291)/(((Transfer!F145)/Transfer!F293))))-1)</f>
        <v>-0.16776867660119876</v>
      </c>
      <c r="I238" s="2678"/>
      <c r="J238" s="54"/>
      <c r="K238" s="54"/>
      <c r="L238" s="54"/>
      <c r="M238" s="54"/>
      <c r="N238" s="54"/>
      <c r="O238" s="54"/>
      <c r="P238" s="54"/>
      <c r="Q238" s="54"/>
      <c r="R238" s="54"/>
      <c r="S238" s="275"/>
      <c r="T238" s="318" t="s">
        <v>35</v>
      </c>
      <c r="U238" s="342"/>
      <c r="V238" s="91">
        <f t="shared" ca="1" si="15"/>
        <v>-1.1000000000000001</v>
      </c>
      <c r="W238" s="91">
        <f t="shared" ca="1" si="15"/>
        <v>-9.9999999999999978E-2</v>
      </c>
      <c r="X238" s="91">
        <f t="shared" ca="1" si="15"/>
        <v>0.60000000000000009</v>
      </c>
      <c r="Y238" s="93">
        <f t="shared" ca="1" si="15"/>
        <v>-0.7</v>
      </c>
      <c r="Z238" s="343"/>
      <c r="AA238" s="54"/>
      <c r="AB238" s="45"/>
      <c r="AC238" s="45"/>
      <c r="AD238" s="45"/>
      <c r="AE238" s="45"/>
      <c r="AF238" s="45"/>
      <c r="AG238" s="45"/>
      <c r="AH238" s="45"/>
      <c r="AI238" s="45"/>
      <c r="AJ238" s="275"/>
      <c r="AK238" s="2210" t="s">
        <v>35</v>
      </c>
      <c r="AL238" s="2211"/>
      <c r="AM238" s="2205">
        <f>100*(((((Transfer!AD143)/Transfer!AD291)/(((Transfer!AD145)/Transfer!AD293)))/(((Transfer!AC143)/Transfer!AC291)/(((Transfer!AC145)/Transfer!AC293))))-1)</f>
        <v>0.53364680862659775</v>
      </c>
      <c r="AN238" s="2205">
        <f>100*(((((Transfer!AE143)/Transfer!AE291)/(((Transfer!AE145)/Transfer!AE293)))/(((Transfer!AD143)/Transfer!AD291)/(((Transfer!AD145)/Transfer!AD293))))-1)</f>
        <v>-0.59379158052539349</v>
      </c>
      <c r="AO238" s="2205">
        <f>100*(((((Transfer!AF143)/Transfer!AF291)/(((Transfer!AF145)/Transfer!AF293)))/(((Transfer!AE143)/Transfer!AE291)/(((Transfer!AE145)/Transfer!AE293))))-1)</f>
        <v>-0.85795996186841528</v>
      </c>
      <c r="AP238" s="2259">
        <f>100*(((((Transfer!AG143)/Transfer!AG291)/(((Transfer!AG145)/Transfer!AG293)))/(((Transfer!AF143)/Transfer!AF291)/(((Transfer!AF145)/Transfer!AF293))))-1)</f>
        <v>0.49164208456244918</v>
      </c>
      <c r="AQ238" s="343"/>
      <c r="AR238" s="54"/>
      <c r="AS238" s="54"/>
      <c r="AT238" s="54"/>
      <c r="AU238" s="54"/>
      <c r="AV238" s="54"/>
      <c r="AW238" s="54"/>
      <c r="AX238" s="54"/>
      <c r="AY238" s="54"/>
      <c r="AZ238" s="54"/>
      <c r="BA238" s="1728" t="s">
        <v>2001</v>
      </c>
      <c r="BB238" s="1754"/>
      <c r="BC238" s="54"/>
    </row>
    <row r="239" spans="1:55" ht="13.15" thickBot="1">
      <c r="A239" s="45"/>
      <c r="B239" s="1728"/>
      <c r="C239" s="2688" t="s">
        <v>1915</v>
      </c>
      <c r="D239" s="2689"/>
      <c r="E239" s="2595">
        <f ca="1">100*(((((Transfer!D144)/Transfer!D292)/(((Transfer!D146)/Transfer!D294)))/(((Transfer!C144)/Transfer!C292)/(((Transfer!C146)/Transfer!C294))))-1)</f>
        <v>-0.46344085191660778</v>
      </c>
      <c r="F239" s="2595">
        <f ca="1">100*(((((Transfer!E144)/Transfer!E292)/(((Transfer!E146)/Transfer!E294)))/(((Transfer!D144)/Transfer!D292)/(((Transfer!D146)/Transfer!D294))))-1)</f>
        <v>-1.5108593012275739</v>
      </c>
      <c r="G239" s="2595">
        <f ca="1">100*(((((Transfer!F144)/Transfer!F292)/(((Transfer!F146)/Transfer!F294)))/(((Transfer!E144)/Transfer!E292)/(((Transfer!E146)/Transfer!E294))))-1)</f>
        <v>-0.81458494957337146</v>
      </c>
      <c r="H239" s="2690">
        <f ca="1">100*(((((Transfer!G144)/Transfer!G292)/(((Transfer!G146)/Transfer!G294)))/(((Transfer!F144)/Transfer!F292)/(((Transfer!F146)/Transfer!F294))))-1)</f>
        <v>-0.41358936484492403</v>
      </c>
      <c r="I239" s="2678"/>
      <c r="J239" s="54"/>
      <c r="K239" s="54"/>
      <c r="L239" s="54"/>
      <c r="M239" s="54"/>
      <c r="N239" s="54"/>
      <c r="O239" s="54"/>
      <c r="P239" s="54"/>
      <c r="Q239" s="54"/>
      <c r="R239" s="54"/>
      <c r="S239" s="275"/>
      <c r="T239" s="350" t="s">
        <v>1915</v>
      </c>
      <c r="U239" s="351"/>
      <c r="V239" s="405">
        <f t="shared" ca="1" si="15"/>
        <v>-0.4</v>
      </c>
      <c r="W239" s="405">
        <f t="shared" ca="1" si="15"/>
        <v>-0.7</v>
      </c>
      <c r="X239" s="405">
        <f t="shared" ca="1" si="15"/>
        <v>9.9999999999999978E-2</v>
      </c>
      <c r="Y239" s="112">
        <f t="shared" ca="1" si="15"/>
        <v>9.9999999999999978E-2</v>
      </c>
      <c r="Z239" s="343"/>
      <c r="AA239" s="54"/>
      <c r="AB239" s="45"/>
      <c r="AC239" s="45"/>
      <c r="AD239" s="45"/>
      <c r="AE239" s="45"/>
      <c r="AF239" s="45"/>
      <c r="AG239" s="45"/>
      <c r="AH239" s="45"/>
      <c r="AI239" s="45"/>
      <c r="AJ239" s="275"/>
      <c r="AK239" s="2212" t="s">
        <v>1915</v>
      </c>
      <c r="AL239" s="2213"/>
      <c r="AM239" s="2240">
        <f>100*(((((Transfer!AD144)/Transfer!AD292)/(((Transfer!AD146)/Transfer!AD294)))/(((Transfer!AC144)/Transfer!AC292)/(((Transfer!AC146)/Transfer!AC294))))-1)</f>
        <v>-6.1946194609219241E-2</v>
      </c>
      <c r="AN239" s="2240">
        <f>100*(((((Transfer!AE144)/Transfer!AE292)/(((Transfer!AE146)/Transfer!AE294)))/(((Transfer!AD144)/Transfer!AD292)/(((Transfer!AD146)/Transfer!AD294))))-1)</f>
        <v>-0.75036281538894967</v>
      </c>
      <c r="AO239" s="2240">
        <f>100*(((((Transfer!AF144)/Transfer!AF292)/(((Transfer!AF146)/Transfer!AF294)))/(((Transfer!AE144)/Transfer!AE292)/(((Transfer!AE146)/Transfer!AE294))))-1)</f>
        <v>-0.86372360844527707</v>
      </c>
      <c r="AP239" s="2260">
        <f>100*(((((Transfer!AG144)/Transfer!AG292)/(((Transfer!AG146)/Transfer!AG294)))/(((Transfer!AF144)/Transfer!AF292)/(((Transfer!AF146)/Transfer!AF294))))-1)</f>
        <v>-0.45093618272719072</v>
      </c>
      <c r="AQ239" s="343"/>
      <c r="AR239" s="54"/>
      <c r="AS239" s="54"/>
      <c r="AT239" s="54"/>
      <c r="AU239" s="54"/>
      <c r="AV239" s="54"/>
      <c r="AW239" s="54"/>
      <c r="AX239" s="54"/>
      <c r="AY239" s="54"/>
      <c r="AZ239" s="54"/>
      <c r="BA239" s="1728" t="s">
        <v>2002</v>
      </c>
      <c r="BB239" s="1754"/>
      <c r="BC239" s="54"/>
    </row>
    <row r="240" spans="1:55" ht="13.15" thickBot="1">
      <c r="A240" s="45"/>
      <c r="B240" s="2685"/>
      <c r="C240" s="2626"/>
      <c r="D240" s="2691"/>
      <c r="E240" s="2461"/>
      <c r="F240" s="2461"/>
      <c r="G240" s="2461"/>
      <c r="H240" s="2692"/>
      <c r="I240" s="2678"/>
      <c r="J240" s="54"/>
      <c r="K240" s="54"/>
      <c r="L240" s="54"/>
      <c r="M240" s="54"/>
      <c r="N240" s="54"/>
      <c r="O240" s="54"/>
      <c r="P240" s="54"/>
      <c r="Q240" s="54"/>
      <c r="R240" s="54"/>
      <c r="S240" s="346"/>
      <c r="T240" s="342"/>
      <c r="U240" s="342"/>
      <c r="V240" s="105"/>
      <c r="W240" s="105"/>
      <c r="X240" s="105"/>
      <c r="Y240" s="105"/>
      <c r="Z240" s="343"/>
      <c r="AA240" s="54"/>
      <c r="AB240" s="45"/>
      <c r="AC240" s="45"/>
      <c r="AD240" s="45"/>
      <c r="AE240" s="45"/>
      <c r="AF240" s="45"/>
      <c r="AG240" s="45"/>
      <c r="AH240" s="45"/>
      <c r="AI240" s="45"/>
      <c r="AJ240" s="346"/>
      <c r="AK240" s="318"/>
      <c r="AL240" s="342"/>
      <c r="AM240" s="102"/>
      <c r="AN240" s="102"/>
      <c r="AO240" s="102"/>
      <c r="AP240" s="2261"/>
      <c r="AQ240" s="343"/>
      <c r="AR240" s="54"/>
      <c r="AS240" s="54"/>
      <c r="AT240" s="54"/>
      <c r="AU240" s="54"/>
      <c r="AV240" s="54"/>
      <c r="AW240" s="54"/>
      <c r="AX240" s="54"/>
      <c r="AY240" s="54"/>
      <c r="AZ240" s="54"/>
      <c r="BA240" s="1728"/>
      <c r="BB240" s="1754"/>
      <c r="BC240" s="54"/>
    </row>
    <row r="241" spans="1:55">
      <c r="A241" s="45"/>
      <c r="B241" s="1728"/>
      <c r="C241" s="2693"/>
      <c r="D241" s="2694"/>
      <c r="E241" s="3939" t="s">
        <v>1220</v>
      </c>
      <c r="F241" s="3940"/>
      <c r="G241" s="3940"/>
      <c r="H241" s="3941"/>
      <c r="I241" s="2609"/>
      <c r="J241" s="54"/>
      <c r="K241" s="54"/>
      <c r="L241" s="54"/>
      <c r="M241" s="54"/>
      <c r="N241" s="54"/>
      <c r="O241" s="54"/>
      <c r="P241" s="54"/>
      <c r="Q241" s="54"/>
      <c r="R241" s="54"/>
      <c r="S241" s="275"/>
      <c r="T241" s="2693"/>
      <c r="U241" s="2694"/>
      <c r="V241" s="3939" t="s">
        <v>1220</v>
      </c>
      <c r="W241" s="3940"/>
      <c r="X241" s="3940"/>
      <c r="Y241" s="3941"/>
      <c r="Z241" s="273"/>
      <c r="AA241" s="54"/>
      <c r="AB241" s="45"/>
      <c r="AC241" s="45"/>
      <c r="AD241" s="45"/>
      <c r="AE241" s="45"/>
      <c r="AF241" s="45"/>
      <c r="AG241" s="45"/>
      <c r="AH241" s="45"/>
      <c r="AI241" s="45"/>
      <c r="AJ241" s="275"/>
      <c r="AK241" s="2693"/>
      <c r="AL241" s="2694"/>
      <c r="AM241" s="3939" t="s">
        <v>1220</v>
      </c>
      <c r="AN241" s="3940"/>
      <c r="AO241" s="3940"/>
      <c r="AP241" s="3941"/>
      <c r="AQ241" s="273"/>
      <c r="AR241" s="54"/>
      <c r="AS241" s="54"/>
      <c r="AT241" s="54"/>
      <c r="AU241" s="54"/>
      <c r="AV241" s="54"/>
      <c r="AW241" s="54"/>
      <c r="AX241" s="54"/>
      <c r="AY241" s="54"/>
      <c r="AZ241" s="54"/>
      <c r="BA241" s="1728"/>
      <c r="BB241" s="1754"/>
      <c r="BC241" s="54"/>
    </row>
    <row r="242" spans="1:55" ht="13.15">
      <c r="A242" s="45"/>
      <c r="B242" s="1728"/>
      <c r="C242" s="3110" t="s">
        <v>423</v>
      </c>
      <c r="D242" s="3111"/>
      <c r="E242" s="2695">
        <f ca="1">((Transfer!D154/Transfer!C154)-1)*100</f>
        <v>1.8663019206842435</v>
      </c>
      <c r="F242" s="2696">
        <f ca="1">((Transfer!E154/Transfer!D154)-1)*100</f>
        <v>2.0884262323802583</v>
      </c>
      <c r="G242" s="2696">
        <f ca="1">((Transfer!F154/Transfer!E154)-1)*100</f>
        <v>1.9035951384301919</v>
      </c>
      <c r="H242" s="2757">
        <f ca="1">((Transfer!G154/Transfer!F154)-1)*100</f>
        <v>1.5974596010288611</v>
      </c>
      <c r="I242" s="2528"/>
      <c r="J242" s="54"/>
      <c r="K242" s="54"/>
      <c r="L242" s="54"/>
      <c r="M242" s="54"/>
      <c r="N242" s="54"/>
      <c r="O242" s="54"/>
      <c r="P242" s="54"/>
      <c r="Q242" s="54"/>
      <c r="R242" s="54"/>
      <c r="S242" s="275"/>
      <c r="T242" s="3110" t="s">
        <v>423</v>
      </c>
      <c r="U242" s="3111"/>
      <c r="V242" s="2117">
        <f t="shared" ref="V242:W248" ca="1" si="16">ROUND(E242,1)-ROUND(AM242,1)</f>
        <v>0.79999999999999982</v>
      </c>
      <c r="W242" s="2117">
        <f t="shared" ca="1" si="16"/>
        <v>0.20000000000000018</v>
      </c>
      <c r="X242" s="2117">
        <f t="shared" ref="X242:X248" ca="1" si="17">ROUND(G242,1)-ROUND(AO242,1)</f>
        <v>0</v>
      </c>
      <c r="Y242" s="2075">
        <f t="shared" ref="Y242:Y248" ca="1" si="18">ROUND(H242,1)-ROUND(AP242,1)</f>
        <v>-9.9999999999999867E-2</v>
      </c>
      <c r="Z242" s="203"/>
      <c r="AA242" s="54"/>
      <c r="AB242" s="45"/>
      <c r="AC242" s="45"/>
      <c r="AD242" s="45"/>
      <c r="AE242" s="45"/>
      <c r="AF242" s="45"/>
      <c r="AG242" s="45"/>
      <c r="AH242" s="45"/>
      <c r="AI242" s="45"/>
      <c r="AJ242" s="275"/>
      <c r="AK242" s="3110" t="s">
        <v>423</v>
      </c>
      <c r="AL242" s="3111"/>
      <c r="AM242" s="2695">
        <f>((Transfer!AD154/Transfer!AC154)-1)*100</f>
        <v>1.1358333333330028</v>
      </c>
      <c r="AN242" s="2696">
        <f>((Transfer!AE154/Transfer!AD154)-1)*100</f>
        <v>1.8663019206842435</v>
      </c>
      <c r="AO242" s="2696">
        <f>((Transfer!AF154/Transfer!AE154)-1)*100</f>
        <v>1.9427618330935648</v>
      </c>
      <c r="AP242" s="2757">
        <f>((Transfer!AG154/Transfer!AF154)-1)*100</f>
        <v>1.6654262033999778</v>
      </c>
      <c r="AQ242" s="203"/>
      <c r="AR242" s="54"/>
      <c r="AS242" s="54"/>
      <c r="AT242" s="54"/>
      <c r="AU242" s="54"/>
      <c r="AV242" s="54"/>
      <c r="AW242" s="54"/>
      <c r="AX242" s="54"/>
      <c r="AY242" s="54"/>
      <c r="AZ242" s="54"/>
      <c r="BA242" s="1728" t="s">
        <v>1913</v>
      </c>
      <c r="BB242" s="1754"/>
      <c r="BC242" s="54"/>
    </row>
    <row r="243" spans="1:55" s="217" customFormat="1">
      <c r="A243" s="54"/>
      <c r="B243" s="1728"/>
      <c r="C243" s="3131" t="s">
        <v>190</v>
      </c>
      <c r="D243" s="2549"/>
      <c r="E243" s="2794">
        <f ca="1">+Transfer!D272/Transfer!C272*100-100</f>
        <v>9.9746923095949569E-2</v>
      </c>
      <c r="F243" s="2521">
        <f ca="1">+Transfer!E272/Transfer!D272*100-100</f>
        <v>0.15144200678591346</v>
      </c>
      <c r="G243" s="2521">
        <f ca="1">+Transfer!F272/Transfer!E272*100-100</f>
        <v>0.17970898043664363</v>
      </c>
      <c r="H243" s="2760">
        <f ca="1">+Transfer!G272/Transfer!F272*100-100</f>
        <v>9.7742435107022629E-2</v>
      </c>
      <c r="I243" s="2520"/>
      <c r="J243" s="54"/>
      <c r="K243" s="54"/>
      <c r="L243" s="54"/>
      <c r="M243" s="54"/>
      <c r="N243" s="54"/>
      <c r="O243" s="54"/>
      <c r="P243" s="54"/>
      <c r="Q243" s="54"/>
      <c r="R243" s="54"/>
      <c r="S243" s="275"/>
      <c r="T243" s="3131" t="s">
        <v>190</v>
      </c>
      <c r="U243" s="2549"/>
      <c r="V243" s="91">
        <f t="shared" ca="1" si="16"/>
        <v>-1</v>
      </c>
      <c r="W243" s="91">
        <f t="shared" ca="1" si="16"/>
        <v>0.1</v>
      </c>
      <c r="X243" s="91">
        <f t="shared" ca="1" si="17"/>
        <v>0</v>
      </c>
      <c r="Y243" s="93">
        <f t="shared" ca="1" si="18"/>
        <v>-0.1</v>
      </c>
      <c r="Z243" s="196"/>
      <c r="AA243" s="54"/>
      <c r="AB243" s="54"/>
      <c r="AC243" s="54"/>
      <c r="AD243" s="54"/>
      <c r="AE243" s="54"/>
      <c r="AF243" s="54"/>
      <c r="AG243" s="54"/>
      <c r="AH243" s="54"/>
      <c r="AI243" s="54"/>
      <c r="AJ243" s="275"/>
      <c r="AK243" s="3131" t="s">
        <v>190</v>
      </c>
      <c r="AL243" s="2549"/>
      <c r="AM243" s="2794">
        <f>((Transfer!AD272/Transfer!AC272)-1)*100</f>
        <v>1.0883242639644575</v>
      </c>
      <c r="AN243" s="2521">
        <f>((Transfer!AE272/Transfer!AD272)-1)*100</f>
        <v>9.9746923095955786E-2</v>
      </c>
      <c r="AO243" s="2521">
        <f>((Transfer!AF272/Transfer!AE272)-1)*100</f>
        <v>0.17906339559246032</v>
      </c>
      <c r="AP243" s="2760">
        <f>((Transfer!AG272/Transfer!AF272)-1)*100</f>
        <v>0.18490812139662083</v>
      </c>
      <c r="AQ243" s="196"/>
      <c r="AR243" s="54"/>
      <c r="AS243" s="54"/>
      <c r="AT243" s="54"/>
      <c r="AU243" s="54"/>
      <c r="AV243" s="54"/>
      <c r="AW243" s="54"/>
      <c r="AX243" s="54"/>
      <c r="AY243" s="54"/>
      <c r="AZ243" s="54"/>
      <c r="BA243" s="1728" t="s">
        <v>1046</v>
      </c>
      <c r="BB243" s="1754"/>
      <c r="BC243" s="54"/>
    </row>
    <row r="244" spans="1:55" s="217" customFormat="1">
      <c r="A244" s="54"/>
      <c r="B244" s="1728"/>
      <c r="C244" s="3131" t="s">
        <v>191</v>
      </c>
      <c r="D244" s="2549"/>
      <c r="E244" s="2794">
        <f ca="1">+Transfer!D273/Transfer!C273*100-100</f>
        <v>5.3020056739460131</v>
      </c>
      <c r="F244" s="2521">
        <f ca="1">+Transfer!E273/Transfer!D273*100-100</f>
        <v>9.7900614794220076</v>
      </c>
      <c r="G244" s="2521">
        <f ca="1">+Transfer!F273/Transfer!E273*100-100</f>
        <v>5.8182469205519709</v>
      </c>
      <c r="H244" s="2760">
        <f ca="1">+Transfer!G273/Transfer!F273*100-100</f>
        <v>1.0212318281865578</v>
      </c>
      <c r="I244" s="2520"/>
      <c r="J244" s="54"/>
      <c r="K244" s="54"/>
      <c r="L244" s="54"/>
      <c r="M244" s="54"/>
      <c r="N244" s="54"/>
      <c r="O244" s="54"/>
      <c r="P244" s="54"/>
      <c r="Q244" s="54"/>
      <c r="R244" s="54"/>
      <c r="S244" s="275"/>
      <c r="T244" s="3131" t="s">
        <v>191</v>
      </c>
      <c r="U244" s="2549"/>
      <c r="V244" s="91">
        <f t="shared" ca="1" si="16"/>
        <v>4.3</v>
      </c>
      <c r="W244" s="91">
        <f t="shared" ca="1" si="16"/>
        <v>4.5000000000000009</v>
      </c>
      <c r="X244" s="91">
        <f t="shared" ca="1" si="17"/>
        <v>-0.29999999999999982</v>
      </c>
      <c r="Y244" s="93">
        <f t="shared" ca="1" si="18"/>
        <v>-0.19999999999999996</v>
      </c>
      <c r="Z244" s="196"/>
      <c r="AA244" s="54"/>
      <c r="AB244" s="54"/>
      <c r="AC244" s="54"/>
      <c r="AD244" s="54"/>
      <c r="AE244" s="54"/>
      <c r="AF244" s="54"/>
      <c r="AG244" s="54"/>
      <c r="AH244" s="54"/>
      <c r="AI244" s="54"/>
      <c r="AJ244" s="275"/>
      <c r="AK244" s="3131" t="s">
        <v>191</v>
      </c>
      <c r="AL244" s="2549"/>
      <c r="AM244" s="2794">
        <f>((Transfer!AD273/Transfer!AC273)-1)*100</f>
        <v>1.0449825836236215</v>
      </c>
      <c r="AN244" s="2521">
        <f>((Transfer!AE273/Transfer!AD273)-1)*100</f>
        <v>5.3020056739460086</v>
      </c>
      <c r="AO244" s="2521">
        <f>((Transfer!AF273/Transfer!AE273)-1)*100</f>
        <v>6.1499798723420929</v>
      </c>
      <c r="AP244" s="2760">
        <f>((Transfer!AG273/Transfer!AF273)-1)*100</f>
        <v>1.1582825967781263</v>
      </c>
      <c r="AQ244" s="196"/>
      <c r="AR244" s="54"/>
      <c r="AS244" s="54"/>
      <c r="AT244" s="54"/>
      <c r="AU244" s="54"/>
      <c r="AV244" s="54"/>
      <c r="AW244" s="54"/>
      <c r="AX244" s="54"/>
      <c r="AY244" s="54"/>
      <c r="AZ244" s="54"/>
      <c r="BA244" s="1728" t="s">
        <v>1047</v>
      </c>
      <c r="BB244" s="1754"/>
      <c r="BC244" s="54"/>
    </row>
    <row r="245" spans="1:55" s="217" customFormat="1">
      <c r="A245" s="54"/>
      <c r="B245" s="1728"/>
      <c r="C245" s="3131" t="s">
        <v>192</v>
      </c>
      <c r="D245" s="2549"/>
      <c r="E245" s="2794">
        <f ca="1">+Transfer!D274/Transfer!C274*100-100</f>
        <v>2.0752839731365924</v>
      </c>
      <c r="F245" s="2521">
        <f ca="1">+Transfer!E274/Transfer!D274*100-100</f>
        <v>1.8971599262466157</v>
      </c>
      <c r="G245" s="2521">
        <f ca="1">+Transfer!F274/Transfer!E274*100-100</f>
        <v>2.093154366893728</v>
      </c>
      <c r="H245" s="2760">
        <f ca="1">+Transfer!G274/Transfer!F274*100-100</f>
        <v>2.0770325896347259</v>
      </c>
      <c r="I245" s="2520"/>
      <c r="J245" s="54"/>
      <c r="K245" s="54"/>
      <c r="L245" s="54"/>
      <c r="M245" s="54"/>
      <c r="N245" s="54"/>
      <c r="O245" s="54"/>
      <c r="P245" s="54"/>
      <c r="Q245" s="54"/>
      <c r="R245" s="54"/>
      <c r="S245" s="275"/>
      <c r="T245" s="3131" t="s">
        <v>192</v>
      </c>
      <c r="U245" s="2549"/>
      <c r="V245" s="91">
        <f t="shared" ca="1" si="16"/>
        <v>1.6</v>
      </c>
      <c r="W245" s="91">
        <f t="shared" ca="1" si="16"/>
        <v>-0.20000000000000018</v>
      </c>
      <c r="X245" s="91">
        <f t="shared" ca="1" si="17"/>
        <v>-0.19999999999999973</v>
      </c>
      <c r="Y245" s="93">
        <f t="shared" ca="1" si="18"/>
        <v>-0.10000000000000009</v>
      </c>
      <c r="Z245" s="196"/>
      <c r="AA245" s="54"/>
      <c r="AB245" s="54"/>
      <c r="AC245" s="54"/>
      <c r="AD245" s="54"/>
      <c r="AE245" s="54"/>
      <c r="AF245" s="54"/>
      <c r="AG245" s="54"/>
      <c r="AH245" s="54"/>
      <c r="AI245" s="54"/>
      <c r="AJ245" s="275"/>
      <c r="AK245" s="3131" t="s">
        <v>192</v>
      </c>
      <c r="AL245" s="2549"/>
      <c r="AM245" s="2794">
        <f>((Transfer!AD274/Transfer!AC274)-1)*100</f>
        <v>0.50749577086857123</v>
      </c>
      <c r="AN245" s="2521">
        <f>((Transfer!AE274/Transfer!AD274)-1)*100</f>
        <v>2.075283973136588</v>
      </c>
      <c r="AO245" s="2521">
        <f>((Transfer!AF274/Transfer!AE274)-1)*100</f>
        <v>2.3206862800841499</v>
      </c>
      <c r="AP245" s="2760">
        <f>((Transfer!AG274/Transfer!AF274)-1)*100</f>
        <v>2.2201804846947448</v>
      </c>
      <c r="AQ245" s="196"/>
      <c r="AR245" s="54"/>
      <c r="AS245" s="54"/>
      <c r="AT245" s="54"/>
      <c r="AU245" s="54"/>
      <c r="AV245" s="54"/>
      <c r="AW245" s="54"/>
      <c r="AX245" s="54"/>
      <c r="AY245" s="54"/>
      <c r="AZ245" s="54"/>
      <c r="BA245" s="1728" t="s">
        <v>67</v>
      </c>
      <c r="BB245" s="1754"/>
      <c r="BC245" s="54"/>
    </row>
    <row r="246" spans="1:55" s="217" customFormat="1">
      <c r="A246" s="54"/>
      <c r="B246" s="1728"/>
      <c r="C246" s="3131" t="s">
        <v>193</v>
      </c>
      <c r="D246" s="2549"/>
      <c r="E246" s="2794">
        <f ca="1">+Transfer!D275/Transfer!C275*100-100</f>
        <v>2.2491714861264427</v>
      </c>
      <c r="F246" s="2521">
        <f ca="1">+Transfer!E275/Transfer!D275*100-100</f>
        <v>3.4301284546516086</v>
      </c>
      <c r="G246" s="2521">
        <f ca="1">+Transfer!F275/Transfer!E275*100-100</f>
        <v>2.8697009989640492</v>
      </c>
      <c r="H246" s="2760">
        <f ca="1">+Transfer!G275/Transfer!F275*100-100</f>
        <v>1.8538991223936137</v>
      </c>
      <c r="I246" s="2520"/>
      <c r="J246" s="54"/>
      <c r="K246" s="54"/>
      <c r="L246" s="54"/>
      <c r="M246" s="54"/>
      <c r="N246" s="54"/>
      <c r="O246" s="54"/>
      <c r="P246" s="54"/>
      <c r="Q246" s="54"/>
      <c r="R246" s="54"/>
      <c r="S246" s="275"/>
      <c r="T246" s="3131" t="s">
        <v>193</v>
      </c>
      <c r="U246" s="2549"/>
      <c r="V246" s="91">
        <f t="shared" ca="1" si="16"/>
        <v>-0.39999999999999991</v>
      </c>
      <c r="W246" s="91">
        <f t="shared" ca="1" si="16"/>
        <v>1.1999999999999997</v>
      </c>
      <c r="X246" s="91">
        <f t="shared" ca="1" si="17"/>
        <v>0.89999999999999991</v>
      </c>
      <c r="Y246" s="93">
        <f t="shared" ca="1" si="18"/>
        <v>9.9999999999999867E-2</v>
      </c>
      <c r="Z246" s="196"/>
      <c r="AA246" s="54"/>
      <c r="AB246" s="54"/>
      <c r="AC246" s="54"/>
      <c r="AD246" s="54"/>
      <c r="AE246" s="54"/>
      <c r="AF246" s="54"/>
      <c r="AG246" s="54"/>
      <c r="AH246" s="54"/>
      <c r="AI246" s="54"/>
      <c r="AJ246" s="275"/>
      <c r="AK246" s="3131" t="s">
        <v>193</v>
      </c>
      <c r="AL246" s="2549"/>
      <c r="AM246" s="2794">
        <f>((Transfer!AD275/Transfer!AC275)-1)*100</f>
        <v>2.5933333333333586</v>
      </c>
      <c r="AN246" s="2521">
        <f>((Transfer!AE275/Transfer!AD275)-1)*100</f>
        <v>2.2491714861264445</v>
      </c>
      <c r="AO246" s="2521">
        <f>((Transfer!AF275/Transfer!AE275)-1)*100</f>
        <v>1.9575355295874619</v>
      </c>
      <c r="AP246" s="2760">
        <f>((Transfer!AG275/Transfer!AF275)-1)*100</f>
        <v>1.7610757626255413</v>
      </c>
      <c r="AQ246" s="196"/>
      <c r="AR246" s="54"/>
      <c r="AS246" s="54"/>
      <c r="AT246" s="54"/>
      <c r="AU246" s="54"/>
      <c r="AV246" s="54"/>
      <c r="AW246" s="54"/>
      <c r="AX246" s="54"/>
      <c r="AY246" s="54"/>
      <c r="AZ246" s="54"/>
      <c r="BA246" s="1728" t="s">
        <v>68</v>
      </c>
      <c r="BB246" s="1754"/>
      <c r="BC246" s="54"/>
    </row>
    <row r="247" spans="1:55" s="217" customFormat="1">
      <c r="A247" s="54"/>
      <c r="B247" s="1728"/>
      <c r="C247" s="3131" t="s">
        <v>194</v>
      </c>
      <c r="D247" s="2549"/>
      <c r="E247" s="2794">
        <f ca="1">+Transfer!D276/Transfer!C276*100-100</f>
        <v>2.2362139917695458</v>
      </c>
      <c r="F247" s="2521">
        <f ca="1">+Transfer!E276/Transfer!D276*100-100</f>
        <v>1.6836771134385771</v>
      </c>
      <c r="G247" s="2521">
        <f ca="1">+Transfer!F276/Transfer!E276*100-100</f>
        <v>2.0533200931384954</v>
      </c>
      <c r="H247" s="2760">
        <f ca="1">+Transfer!G276/Transfer!F276*100-100</f>
        <v>2.560773417655767</v>
      </c>
      <c r="I247" s="2520"/>
      <c r="J247" s="54"/>
      <c r="K247" s="54"/>
      <c r="L247" s="54"/>
      <c r="M247" s="54"/>
      <c r="N247" s="54"/>
      <c r="O247" s="54"/>
      <c r="P247" s="54"/>
      <c r="Q247" s="54"/>
      <c r="R247" s="54"/>
      <c r="S247" s="275"/>
      <c r="T247" s="3131" t="s">
        <v>194</v>
      </c>
      <c r="U247" s="2549"/>
      <c r="V247" s="91">
        <f t="shared" ca="1" si="16"/>
        <v>0.90000000000000013</v>
      </c>
      <c r="W247" s="91">
        <f t="shared" ca="1" si="16"/>
        <v>-0.50000000000000022</v>
      </c>
      <c r="X247" s="91">
        <f t="shared" ca="1" si="17"/>
        <v>0</v>
      </c>
      <c r="Y247" s="93">
        <f t="shared" ca="1" si="18"/>
        <v>0</v>
      </c>
      <c r="Z247" s="196"/>
      <c r="AA247" s="54"/>
      <c r="AB247" s="54"/>
      <c r="AC247" s="54"/>
      <c r="AD247" s="54"/>
      <c r="AE247" s="54"/>
      <c r="AF247" s="54"/>
      <c r="AG247" s="54"/>
      <c r="AH247" s="54"/>
      <c r="AI247" s="54"/>
      <c r="AJ247" s="275"/>
      <c r="AK247" s="3131" t="s">
        <v>194</v>
      </c>
      <c r="AL247" s="2549"/>
      <c r="AM247" s="2794">
        <f>((Transfer!AD276/Transfer!AC276)-1)*100</f>
        <v>1.250843757031328</v>
      </c>
      <c r="AN247" s="2521">
        <f>((Transfer!AE276/Transfer!AD276)-1)*100</f>
        <v>2.2362139917695423</v>
      </c>
      <c r="AO247" s="2521">
        <f>((Transfer!AF276/Transfer!AE276)-1)*100</f>
        <v>2.1446605537084329</v>
      </c>
      <c r="AP247" s="2760">
        <f>((Transfer!AG276/Transfer!AF276)-1)*100</f>
        <v>2.6085360884869235</v>
      </c>
      <c r="AQ247" s="196"/>
      <c r="AR247" s="54"/>
      <c r="AS247" s="54"/>
      <c r="AT247" s="54"/>
      <c r="AU247" s="54"/>
      <c r="AV247" s="54"/>
      <c r="AW247" s="54"/>
      <c r="AX247" s="54"/>
      <c r="AY247" s="54"/>
      <c r="AZ247" s="54"/>
      <c r="BA247" s="1728" t="s">
        <v>69</v>
      </c>
      <c r="BB247" s="1754"/>
      <c r="BC247" s="54"/>
    </row>
    <row r="248" spans="1:55" s="217" customFormat="1" ht="13.15">
      <c r="A248" s="54"/>
      <c r="B248" s="1728"/>
      <c r="C248" s="3113" t="s">
        <v>195</v>
      </c>
      <c r="D248" s="3114"/>
      <c r="E248" s="3115">
        <f ca="1">+Transfer!D277/Transfer!C277*100-100</f>
        <v>1.4760086746431682</v>
      </c>
      <c r="F248" s="3116">
        <f ca="1">+Transfer!E277/Transfer!D277*100-100</f>
        <v>1.1956663626551176</v>
      </c>
      <c r="G248" s="3116">
        <f ca="1">+Transfer!F277/Transfer!E277*100-100</f>
        <v>1.4222724618000058</v>
      </c>
      <c r="H248" s="3117">
        <f ca="1">+Transfer!G277/Transfer!F277*100-100</f>
        <v>1.6423847519527754</v>
      </c>
      <c r="I248" s="2520"/>
      <c r="J248" s="54"/>
      <c r="K248" s="54"/>
      <c r="L248" s="54"/>
      <c r="M248" s="54"/>
      <c r="N248" s="54"/>
      <c r="O248" s="54"/>
      <c r="P248" s="54"/>
      <c r="Q248" s="54"/>
      <c r="R248" s="54"/>
      <c r="S248" s="275"/>
      <c r="T248" s="3113" t="s">
        <v>195</v>
      </c>
      <c r="U248" s="3114"/>
      <c r="V248" s="3129">
        <f t="shared" ca="1" si="16"/>
        <v>0.39999999999999991</v>
      </c>
      <c r="W248" s="3129">
        <f t="shared" ca="1" si="16"/>
        <v>-0.30000000000000004</v>
      </c>
      <c r="X248" s="3129">
        <f t="shared" ca="1" si="17"/>
        <v>-0.10000000000000009</v>
      </c>
      <c r="Y248" s="3130">
        <f t="shared" ca="1" si="18"/>
        <v>-9.9999999999999867E-2</v>
      </c>
      <c r="Z248" s="196"/>
      <c r="AA248" s="54"/>
      <c r="AB248" s="54"/>
      <c r="AC248" s="54"/>
      <c r="AD248" s="54"/>
      <c r="AE248" s="54"/>
      <c r="AF248" s="54"/>
      <c r="AG248" s="54"/>
      <c r="AH248" s="54"/>
      <c r="AI248" s="54"/>
      <c r="AJ248" s="275"/>
      <c r="AK248" s="3113" t="s">
        <v>195</v>
      </c>
      <c r="AL248" s="3114"/>
      <c r="AM248" s="3115">
        <f>((Transfer!AD277/Transfer!AC277)-1)*100</f>
        <v>1.0625177086284854</v>
      </c>
      <c r="AN248" s="3116">
        <f>((Transfer!AE277/Transfer!AD277)-1)*100</f>
        <v>1.47600867464317</v>
      </c>
      <c r="AO248" s="3116">
        <f>((Transfer!AF277/Transfer!AE277)-1)*100</f>
        <v>1.506072942564618</v>
      </c>
      <c r="AP248" s="3117">
        <f>((Transfer!AG277/Transfer!AF277)-1)*100</f>
        <v>1.7197138649045485</v>
      </c>
      <c r="AQ248" s="196"/>
      <c r="AR248" s="54"/>
      <c r="AS248" s="54"/>
      <c r="AT248" s="54"/>
      <c r="AU248" s="54"/>
      <c r="AV248" s="54"/>
      <c r="AW248" s="54"/>
      <c r="AX248" s="54"/>
      <c r="AY248" s="54"/>
      <c r="AZ248" s="54"/>
      <c r="BA248" s="1728" t="s">
        <v>70</v>
      </c>
      <c r="BB248" s="1754"/>
      <c r="BC248" s="54"/>
    </row>
    <row r="249" spans="1:55" ht="13.5" thickBot="1">
      <c r="A249" s="45"/>
      <c r="B249" s="1728"/>
      <c r="C249" s="2537" t="s">
        <v>1039</v>
      </c>
      <c r="D249" s="3118"/>
      <c r="E249" s="3119" t="s">
        <v>1328</v>
      </c>
      <c r="F249" s="2659" t="s">
        <v>1328</v>
      </c>
      <c r="G249" s="2659" t="s">
        <v>1328</v>
      </c>
      <c r="H249" s="3120" t="s">
        <v>1328</v>
      </c>
      <c r="I249" s="2520"/>
      <c r="J249" s="54"/>
      <c r="K249" s="54"/>
      <c r="L249" s="54"/>
      <c r="M249" s="54"/>
      <c r="N249" s="54"/>
      <c r="O249" s="54"/>
      <c r="P249" s="54"/>
      <c r="Q249" s="54"/>
      <c r="R249" s="54"/>
      <c r="S249" s="275"/>
      <c r="T249" s="2537" t="s">
        <v>1039</v>
      </c>
      <c r="U249" s="3118"/>
      <c r="V249" s="290"/>
      <c r="W249" s="290"/>
      <c r="X249" s="290"/>
      <c r="Y249" s="317"/>
      <c r="Z249" s="196"/>
      <c r="AA249" s="54"/>
      <c r="AB249" s="45"/>
      <c r="AC249" s="45"/>
      <c r="AD249" s="45"/>
      <c r="AE249" s="45"/>
      <c r="AF249" s="45"/>
      <c r="AG249" s="45"/>
      <c r="AH249" s="45"/>
      <c r="AI249" s="45"/>
      <c r="AJ249" s="275"/>
      <c r="AK249" s="2537" t="s">
        <v>1039</v>
      </c>
      <c r="AL249" s="3118"/>
      <c r="AM249" s="3119" t="s">
        <v>1328</v>
      </c>
      <c r="AN249" s="2659" t="s">
        <v>1328</v>
      </c>
      <c r="AO249" s="2659" t="s">
        <v>1328</v>
      </c>
      <c r="AP249" s="3120" t="s">
        <v>1328</v>
      </c>
      <c r="AQ249" s="196"/>
      <c r="AR249" s="54"/>
      <c r="AS249" s="54"/>
      <c r="AT249" s="54"/>
      <c r="AU249" s="54"/>
      <c r="AV249" s="54"/>
      <c r="AW249" s="54"/>
      <c r="AX249" s="54"/>
      <c r="AY249" s="54"/>
      <c r="AZ249" s="54"/>
      <c r="BA249" s="1728" t="s">
        <v>5</v>
      </c>
      <c r="BB249" s="1754"/>
      <c r="BC249" s="54"/>
    </row>
    <row r="250" spans="1:55" ht="13.15" thickBot="1">
      <c r="A250" s="45"/>
      <c r="B250" s="1728"/>
      <c r="C250" s="2648"/>
      <c r="D250" s="2699"/>
      <c r="E250" s="2427"/>
      <c r="F250" s="2427"/>
      <c r="G250" s="2427"/>
      <c r="H250" s="2700"/>
      <c r="I250" s="2520"/>
      <c r="J250" s="54"/>
      <c r="K250" s="54"/>
      <c r="L250" s="54"/>
      <c r="M250" s="54"/>
      <c r="N250" s="54"/>
      <c r="O250" s="54"/>
      <c r="P250" s="54"/>
      <c r="Q250" s="54"/>
      <c r="R250" s="54"/>
      <c r="S250" s="275"/>
      <c r="T250" s="2648"/>
      <c r="U250" s="2699"/>
      <c r="V250" s="2427"/>
      <c r="W250" s="2427"/>
      <c r="X250" s="2427"/>
      <c r="Y250" s="2700"/>
      <c r="Z250" s="196"/>
      <c r="AA250" s="54"/>
      <c r="AB250" s="45"/>
      <c r="AC250" s="45"/>
      <c r="AD250" s="45"/>
      <c r="AE250" s="45"/>
      <c r="AF250" s="45"/>
      <c r="AG250" s="45"/>
      <c r="AH250" s="45"/>
      <c r="AI250" s="45"/>
      <c r="AJ250" s="275"/>
      <c r="AK250" s="2214"/>
      <c r="AL250" s="2215"/>
      <c r="AM250" s="211"/>
      <c r="AN250" s="211"/>
      <c r="AO250" s="211"/>
      <c r="AP250" s="2262"/>
      <c r="AQ250" s="196"/>
      <c r="AR250" s="54"/>
      <c r="AS250" s="54"/>
      <c r="AT250" s="54"/>
      <c r="AU250" s="54"/>
      <c r="AV250" s="54"/>
      <c r="AW250" s="54"/>
      <c r="AX250" s="54"/>
      <c r="AY250" s="54"/>
      <c r="AZ250" s="54"/>
      <c r="BA250" s="1728"/>
      <c r="BB250" s="1754"/>
      <c r="BC250" s="54"/>
    </row>
    <row r="251" spans="1:55">
      <c r="A251" s="45"/>
      <c r="B251" s="1728"/>
      <c r="C251" s="2426"/>
      <c r="D251" s="2701"/>
      <c r="E251" s="3942" t="s">
        <v>1296</v>
      </c>
      <c r="F251" s="3943"/>
      <c r="G251" s="3943"/>
      <c r="H251" s="3944"/>
      <c r="I251" s="2609"/>
      <c r="J251" s="54"/>
      <c r="K251" s="54"/>
      <c r="L251" s="54"/>
      <c r="M251" s="54"/>
      <c r="N251" s="54"/>
      <c r="O251" s="54"/>
      <c r="P251" s="54"/>
      <c r="Q251" s="54"/>
      <c r="R251" s="54"/>
      <c r="S251" s="275"/>
      <c r="T251" s="191"/>
      <c r="U251" s="355"/>
      <c r="V251" s="3945" t="s">
        <v>1296</v>
      </c>
      <c r="W251" s="3945"/>
      <c r="X251" s="3945"/>
      <c r="Y251" s="3946"/>
      <c r="Z251" s="273"/>
      <c r="AA251" s="54"/>
      <c r="AB251" s="45"/>
      <c r="AC251" s="45"/>
      <c r="AD251" s="45"/>
      <c r="AE251" s="45"/>
      <c r="AF251" s="45"/>
      <c r="AG251" s="45"/>
      <c r="AH251" s="45"/>
      <c r="AI251" s="45"/>
      <c r="AJ251" s="275"/>
      <c r="AK251" s="191"/>
      <c r="AL251" s="355"/>
      <c r="AM251" s="3947" t="s">
        <v>1296</v>
      </c>
      <c r="AN251" s="3948"/>
      <c r="AO251" s="3948"/>
      <c r="AP251" s="3949"/>
      <c r="AQ251" s="273"/>
      <c r="AR251" s="54"/>
      <c r="AS251" s="54"/>
      <c r="AT251" s="54"/>
      <c r="AU251" s="54"/>
      <c r="AV251" s="54"/>
      <c r="AW251" s="54"/>
      <c r="AX251" s="54"/>
      <c r="AY251" s="54"/>
      <c r="AZ251" s="54"/>
      <c r="BA251" s="1728"/>
      <c r="BB251" s="1754"/>
      <c r="BC251" s="54"/>
    </row>
    <row r="252" spans="1:55">
      <c r="A252" s="45"/>
      <c r="B252" s="2702"/>
      <c r="C252" s="2703"/>
      <c r="D252" s="1719"/>
      <c r="E252" s="3953" t="s">
        <v>1926</v>
      </c>
      <c r="F252" s="3954"/>
      <c r="G252" s="3954"/>
      <c r="H252" s="3955"/>
      <c r="I252" s="2609"/>
      <c r="J252" s="54"/>
      <c r="K252" s="54"/>
      <c r="L252" s="54"/>
      <c r="M252" s="54"/>
      <c r="N252" s="54"/>
      <c r="O252" s="54"/>
      <c r="P252" s="54"/>
      <c r="Q252" s="54"/>
      <c r="R252" s="54"/>
      <c r="S252" s="356"/>
      <c r="T252" s="39"/>
      <c r="U252" s="90"/>
      <c r="V252" s="3956" t="s">
        <v>1938</v>
      </c>
      <c r="W252" s="3957"/>
      <c r="X252" s="3957"/>
      <c r="Y252" s="3958"/>
      <c r="Z252" s="273"/>
      <c r="AA252" s="54"/>
      <c r="AB252" s="45"/>
      <c r="AC252" s="45"/>
      <c r="AD252" s="45"/>
      <c r="AE252" s="45"/>
      <c r="AF252" s="45"/>
      <c r="AG252" s="45"/>
      <c r="AH252" s="45"/>
      <c r="AI252" s="45"/>
      <c r="AJ252" s="356"/>
      <c r="AK252" s="39"/>
      <c r="AL252" s="90"/>
      <c r="AM252" s="3950" t="s">
        <v>1938</v>
      </c>
      <c r="AN252" s="3951"/>
      <c r="AO252" s="3951"/>
      <c r="AP252" s="3952"/>
      <c r="AQ252" s="273"/>
      <c r="AR252" s="54"/>
      <c r="AS252" s="54"/>
      <c r="AT252" s="54"/>
      <c r="AU252" s="54"/>
      <c r="AV252" s="54"/>
      <c r="AW252" s="54"/>
      <c r="AX252" s="54"/>
      <c r="AY252" s="54"/>
      <c r="AZ252" s="54"/>
      <c r="BA252" s="1728"/>
      <c r="BB252" s="1754"/>
      <c r="BC252" s="54"/>
    </row>
    <row r="253" spans="1:55">
      <c r="A253" s="45"/>
      <c r="B253" s="2679"/>
      <c r="C253" s="2454" t="s">
        <v>544</v>
      </c>
      <c r="D253" s="2482"/>
      <c r="E253" s="2456">
        <f ca="1">IF(Transfer!$C$280=1,(Transfer!D161/Transfer!D147)*100*(((Transfer!D161/Transfer!D295)/(Transfer!C161/Transfer!C295))-1),(Transfer!D161/Transfer!D147)*100*(((Transfer!D161/Transfer!D112)/(Transfer!C161/Transfer!C112))-1))</f>
        <v>1.1374359961489946</v>
      </c>
      <c r="F253" s="2674">
        <f ca="1">IF(Transfer!$C$280=1,(Transfer!E161/Transfer!E147)*100*(((Transfer!E161/Transfer!E295)/(Transfer!D161/Transfer!D295))-1),(Transfer!E161/Transfer!E147)*100*(((Transfer!E161/Transfer!E112)/(Transfer!D161/Transfer!D112))-1))</f>
        <v>0.96516884698639227</v>
      </c>
      <c r="G253" s="2570">
        <f ca="1">IF(Transfer!$C$280=1,(Transfer!F161/Transfer!F147)*100*(((Transfer!F161/Transfer!F295)/(Transfer!E161/Transfer!E295))-1),(Transfer!F161/Transfer!F147)*100*(((Transfer!F161/Transfer!F112)/(Transfer!E161/Transfer!E112))-1))</f>
        <v>0.84125405689141763</v>
      </c>
      <c r="H253" s="2675">
        <f ca="1">IF(Transfer!$C$280=1,(Transfer!G161/Transfer!G147)*100*(((Transfer!G161/Transfer!G295)/(Transfer!F161/Transfer!F295))-1),(Transfer!G161/Transfer!G147)*100*(((Transfer!G161/Transfer!G112)/(Transfer!F161/Transfer!F112))-1))</f>
        <v>0.64195879121414701</v>
      </c>
      <c r="I253" s="2520"/>
      <c r="J253" s="54"/>
      <c r="K253" s="54"/>
      <c r="L253" s="54"/>
      <c r="M253" s="54"/>
      <c r="N253" s="54"/>
      <c r="O253" s="54"/>
      <c r="P253" s="54"/>
      <c r="Q253" s="54"/>
      <c r="R253" s="54"/>
      <c r="S253" s="344"/>
      <c r="T253" s="285" t="s">
        <v>544</v>
      </c>
      <c r="U253" s="357"/>
      <c r="V253" s="91">
        <f t="shared" ref="V253:Y254" ca="1" si="19">ROUND(E253,1)-ROUND(AM253,1)</f>
        <v>0.30000000000000004</v>
      </c>
      <c r="W253" s="91">
        <f t="shared" ca="1" si="19"/>
        <v>0</v>
      </c>
      <c r="X253" s="91">
        <f t="shared" ca="1" si="19"/>
        <v>0</v>
      </c>
      <c r="Y253" s="81">
        <f t="shared" ca="1" si="19"/>
        <v>-0.20000000000000007</v>
      </c>
      <c r="Z253" s="196"/>
      <c r="AA253" s="54"/>
      <c r="AB253" s="45"/>
      <c r="AC253" s="45"/>
      <c r="AD253" s="45"/>
      <c r="AE253" s="45"/>
      <c r="AF253" s="45"/>
      <c r="AG253" s="45"/>
      <c r="AH253" s="45"/>
      <c r="AI253" s="45"/>
      <c r="AJ253" s="344"/>
      <c r="AK253" s="2454" t="s">
        <v>544</v>
      </c>
      <c r="AL253" s="2183"/>
      <c r="AM253" s="2173">
        <f>IF(Transfer!$C$280=1,(Transfer!AD161/Transfer!AD147)*100*(((Transfer!AD161/Transfer!AD295)/(Transfer!AC161/Transfer!AC295))-1),(Transfer!AD161/Transfer!AD147)*100*(((Transfer!AD161/Transfer!AD112)/(Transfer!AC161/Transfer!AC112))-1))</f>
        <v>0.79490345594974932</v>
      </c>
      <c r="AN253" s="2258">
        <f>IF(Transfer!$C$280=1,(Transfer!AE161/Transfer!AE147)*100*(((Transfer!AE161/Transfer!AE295)/(Transfer!AD161/Transfer!AD295))-1),(Transfer!AE161/Transfer!AE147)*100*(((Transfer!AE161/Transfer!AE112)/(Transfer!AD161/Transfer!AD112))-1))</f>
        <v>1.0426043001015566</v>
      </c>
      <c r="AO253" s="2205">
        <f>IF(Transfer!$C$280=1,(Transfer!AF161/Transfer!AF147)*100*(((Transfer!AF161/Transfer!AF295)/(Transfer!AE161/Transfer!AE295))-1),(Transfer!AF161/Transfer!AF147)*100*(((Transfer!AF161/Transfer!AF112)/(Transfer!AE161/Transfer!AE112))-1))</f>
        <v>0.82692522446718086</v>
      </c>
      <c r="AP253" s="2259">
        <f>IF(Transfer!$C$280=1,(Transfer!AG161/Transfer!AG147)*100*(((Transfer!AG161/Transfer!AG295)/(Transfer!AF161/Transfer!AF295))-1),(Transfer!AG161/Transfer!AG147)*100*(((Transfer!AG161/Transfer!AG112)/(Transfer!AF161/Transfer!AF112))-1))</f>
        <v>0.84199436384380377</v>
      </c>
      <c r="AQ253" s="196"/>
      <c r="AR253" s="54"/>
      <c r="AS253" s="54"/>
      <c r="AT253" s="54"/>
      <c r="AU253" s="54"/>
      <c r="AV253" s="54"/>
      <c r="AW253" s="54"/>
      <c r="AX253" s="54"/>
      <c r="AY253" s="54"/>
      <c r="AZ253" s="54"/>
      <c r="BA253" s="1728" t="s">
        <v>2003</v>
      </c>
      <c r="BB253" s="1754"/>
      <c r="BC253" s="54"/>
    </row>
    <row r="254" spans="1:55">
      <c r="A254" s="45"/>
      <c r="B254" s="1728"/>
      <c r="C254" s="2676" t="s">
        <v>545</v>
      </c>
      <c r="D254" s="2677"/>
      <c r="E254" s="2570">
        <f ca="1">(Transfer!D162/Transfer!D147)*100*(((Transfer!D162/Transfer!D295)/(Transfer!C162/Transfer!C295))-1)</f>
        <v>1.0334385542626612</v>
      </c>
      <c r="F254" s="2570">
        <f ca="1">(Transfer!E162/Transfer!E147)*100*(((Transfer!E162/Transfer!E295)/(Transfer!D162/Transfer!D295))-1)</f>
        <v>0.82130164041482101</v>
      </c>
      <c r="G254" s="2570">
        <f ca="1">(Transfer!F162/Transfer!F147)*100*(((Transfer!F162/Transfer!F295)/(Transfer!E162/Transfer!E295))-1)</f>
        <v>0.75359256433054111</v>
      </c>
      <c r="H254" s="2675">
        <f ca="1">(Transfer!G162/Transfer!G147)*100*(((Transfer!G162/Transfer!G295)/(Transfer!F162/Transfer!F295))-1)</f>
        <v>0.57886139921073065</v>
      </c>
      <c r="I254" s="2459"/>
      <c r="J254" s="54"/>
      <c r="K254" s="54"/>
      <c r="L254" s="54"/>
      <c r="M254" s="54"/>
      <c r="N254" s="54"/>
      <c r="O254" s="54"/>
      <c r="P254" s="54"/>
      <c r="Q254" s="54"/>
      <c r="R254" s="54"/>
      <c r="S254" s="275"/>
      <c r="T254" s="86" t="s">
        <v>545</v>
      </c>
      <c r="U254" s="343"/>
      <c r="V254" s="91">
        <f t="shared" ca="1" si="19"/>
        <v>0.4</v>
      </c>
      <c r="W254" s="91">
        <f t="shared" ca="1" si="19"/>
        <v>-9.9999999999999978E-2</v>
      </c>
      <c r="X254" s="91">
        <f t="shared" ca="1" si="19"/>
        <v>0.10000000000000009</v>
      </c>
      <c r="Y254" s="93">
        <f t="shared" ca="1" si="19"/>
        <v>-9.9999999999999978E-2</v>
      </c>
      <c r="Z254" s="361"/>
      <c r="AA254" s="54"/>
      <c r="AB254" s="45"/>
      <c r="AC254" s="45"/>
      <c r="AD254" s="45"/>
      <c r="AE254" s="45"/>
      <c r="AF254" s="45"/>
      <c r="AG254" s="45"/>
      <c r="AH254" s="45"/>
      <c r="AI254" s="45"/>
      <c r="AJ254" s="275"/>
      <c r="AK254" s="2676" t="s">
        <v>545</v>
      </c>
      <c r="AL254" s="2211"/>
      <c r="AM254" s="2205">
        <f>(Transfer!AD162/Transfer!AD147)*100*(((Transfer!AD162/Transfer!AD295)/(Transfer!AC162/Transfer!AC295))-1)</f>
        <v>0.64567059902553292</v>
      </c>
      <c r="AN254" s="2205">
        <f>(Transfer!AE162/Transfer!AE147)*100*(((Transfer!AE162/Transfer!AE295)/(Transfer!AD162/Transfer!AD295))-1)</f>
        <v>0.91527159475136599</v>
      </c>
      <c r="AO254" s="2205">
        <f>(Transfer!AF162/Transfer!AF147)*100*(((Transfer!AF162/Transfer!AF295)/(Transfer!AE162/Transfer!AE295))-1)</f>
        <v>0.69265566620279917</v>
      </c>
      <c r="AP254" s="2259">
        <f>(Transfer!AG162/Transfer!AG147)*100*(((Transfer!AG162/Transfer!AG295)/(Transfer!AF162/Transfer!AF295))-1)</f>
        <v>0.74586415369428438</v>
      </c>
      <c r="AQ254" s="361"/>
      <c r="AR254" s="54"/>
      <c r="AS254" s="54"/>
      <c r="AT254" s="54"/>
      <c r="AU254" s="54"/>
      <c r="AV254" s="54"/>
      <c r="AW254" s="54"/>
      <c r="AX254" s="54"/>
      <c r="AY254" s="54"/>
      <c r="AZ254" s="54"/>
      <c r="BA254" s="1728" t="s">
        <v>2004</v>
      </c>
      <c r="BB254" s="1754"/>
      <c r="BC254" s="54"/>
    </row>
    <row r="255" spans="1:55" ht="13.15">
      <c r="A255" s="45"/>
      <c r="B255" s="1728"/>
      <c r="C255" s="2676" t="s">
        <v>546</v>
      </c>
      <c r="D255" s="2677"/>
      <c r="E255" s="2570">
        <f ca="1">+E253-E254</f>
        <v>0.10399744188633342</v>
      </c>
      <c r="F255" s="2570">
        <f ca="1">+F253-F254</f>
        <v>0.14386720657157126</v>
      </c>
      <c r="G255" s="2570">
        <f ca="1">+G253-G254</f>
        <v>8.7661492560876519E-2</v>
      </c>
      <c r="H255" s="2675">
        <f ca="1">+H253-H254</f>
        <v>6.3097392003416353E-2</v>
      </c>
      <c r="I255" s="2459"/>
      <c r="J255" s="54"/>
      <c r="K255" s="54"/>
      <c r="L255" s="54"/>
      <c r="M255" s="54"/>
      <c r="N255" s="54"/>
      <c r="O255" s="54"/>
      <c r="P255" s="54"/>
      <c r="Q255" s="54"/>
      <c r="R255" s="54"/>
      <c r="S255" s="275"/>
      <c r="T255" s="86" t="s">
        <v>546</v>
      </c>
      <c r="U255" s="343"/>
      <c r="V255" s="91">
        <f ca="1">ROUND(E255,1)-ROUND(AM255,1)</f>
        <v>0</v>
      </c>
      <c r="W255" s="91">
        <f ca="1">ROUND(F255,1)-ROUND(AN255,1)</f>
        <v>0</v>
      </c>
      <c r="X255" s="91">
        <f ca="1">ROUND(G255,1)-ROUND(AO255,1)</f>
        <v>0</v>
      </c>
      <c r="Y255" s="93">
        <f ca="1">ROUND(H255,1)-ROUND(AP255,1)</f>
        <v>0</v>
      </c>
      <c r="Z255" s="361"/>
      <c r="AA255" s="54"/>
      <c r="AB255" s="45"/>
      <c r="AC255" s="45"/>
      <c r="AD255" s="45"/>
      <c r="AE255" s="45"/>
      <c r="AF255" s="45"/>
      <c r="AG255" s="45"/>
      <c r="AH255" s="45"/>
      <c r="AI255" s="45"/>
      <c r="AJ255" s="275"/>
      <c r="AK255" s="2676" t="s">
        <v>546</v>
      </c>
      <c r="AL255" s="2211"/>
      <c r="AM255" s="2205">
        <f>+AM253-AM254</f>
        <v>0.14923285692421639</v>
      </c>
      <c r="AN255" s="2205">
        <f>+AN253-AN254</f>
        <v>0.12733270535019059</v>
      </c>
      <c r="AO255" s="2205">
        <f>+AO253-AO254</f>
        <v>0.13426955826438169</v>
      </c>
      <c r="AP255" s="2259">
        <f>+AP253-AP254</f>
        <v>9.6130210149519391E-2</v>
      </c>
      <c r="AQ255" s="361"/>
      <c r="AR255" s="54"/>
      <c r="AS255" s="54"/>
      <c r="AT255" s="54"/>
      <c r="AU255" s="54"/>
      <c r="AV255" s="54"/>
      <c r="AW255" s="54"/>
      <c r="AX255" s="54"/>
      <c r="AY255" s="54"/>
      <c r="AZ255" s="54"/>
      <c r="BA255" s="2056" t="s">
        <v>2005</v>
      </c>
      <c r="BB255" s="1754"/>
      <c r="BC255" s="54"/>
    </row>
    <row r="256" spans="1:55">
      <c r="A256" s="45"/>
      <c r="B256" s="2686"/>
      <c r="C256" s="2454" t="s">
        <v>547</v>
      </c>
      <c r="D256" s="2482"/>
      <c r="E256" s="2456">
        <f ca="1">1*((SUM(Transfer!D147,Transfer!D223,Transfer!D233)-SUM(Transfer!D161,Transfer!D213,Transfer!D231))/Transfer!D147)*100*((((SUM(Transfer!D147,Transfer!D223,Transfer!D233)-SUM(Transfer!D161,Transfer!D213,Transfer!D231))/Transfer!D295)/((SUM(Transfer!C147,Transfer!C223,Transfer!C233)-SUM(Transfer!C161,Transfer!C213,Transfer!C231))/Transfer!C295))-1)</f>
        <v>0.59518336764231605</v>
      </c>
      <c r="F256" s="2674">
        <f ca="1">1*((SUM(Transfer!E147,Transfer!E223,Transfer!E233)-SUM(Transfer!E161,Transfer!E213,Transfer!E231))/Transfer!E147)*100*((((SUM(Transfer!E147,Transfer!E223,Transfer!E233)-SUM(Transfer!E161,Transfer!E213,Transfer!E231))/Transfer!E295)/((SUM(Transfer!D147,Transfer!D223,Transfer!D233)-SUM(Transfer!D161,Transfer!D213,Transfer!D231))/Transfer!D295))-1)</f>
        <v>1.0960934178815975</v>
      </c>
      <c r="G256" s="2570">
        <f ca="1">1*((SUM(Transfer!F147,Transfer!F223,Transfer!F233)-SUM(Transfer!F161,Transfer!F213,Transfer!F231))/Transfer!F147)*100*((((SUM(Transfer!F147,Transfer!F223,Transfer!F233)-SUM(Transfer!F161,Transfer!F213,Transfer!F231))/Transfer!F295)/((SUM(Transfer!E147,Transfer!E223,Transfer!E233)-SUM(Transfer!E161,Transfer!E213,Transfer!E231))/Transfer!E295))-1)</f>
        <v>0.77912866262241109</v>
      </c>
      <c r="H256" s="2675">
        <f ca="1">1*((SUM(Transfer!G147,Transfer!G223,Transfer!G233)-SUM(Transfer!G161,Transfer!G213,Transfer!G231))/Transfer!G147)*100*((((SUM(Transfer!G147,Transfer!G223,Transfer!G233)-SUM(Transfer!G161,Transfer!G213,Transfer!G231))/Transfer!G295)/((SUM(Transfer!F147,Transfer!F223,Transfer!F233)-SUM(Transfer!F161,Transfer!F213,Transfer!F231))/Transfer!F295))-1)</f>
        <v>0.7491142343178675</v>
      </c>
      <c r="I256" s="2437"/>
      <c r="J256" s="54"/>
      <c r="K256" s="54"/>
      <c r="L256" s="54"/>
      <c r="M256" s="54"/>
      <c r="N256" s="54"/>
      <c r="O256" s="54"/>
      <c r="P256" s="54"/>
      <c r="Q256" s="54"/>
      <c r="R256" s="54"/>
      <c r="S256" s="347"/>
      <c r="T256" s="180" t="s">
        <v>547</v>
      </c>
      <c r="U256" s="363"/>
      <c r="V256" s="91">
        <f t="shared" ref="V256:Y259" ca="1" si="20">ROUND(E256,1)-ROUND(AM256,1)</f>
        <v>0.7</v>
      </c>
      <c r="W256" s="91">
        <f t="shared" ca="1" si="20"/>
        <v>0.50000000000000011</v>
      </c>
      <c r="X256" s="91">
        <f t="shared" ca="1" si="20"/>
        <v>-9.9999999999999978E-2</v>
      </c>
      <c r="Y256" s="93">
        <f t="shared" ca="1" si="20"/>
        <v>-0.40000000000000013</v>
      </c>
      <c r="Z256" s="364"/>
      <c r="AA256" s="54"/>
      <c r="AB256" s="45"/>
      <c r="AC256" s="45"/>
      <c r="AD256" s="45"/>
      <c r="AE256" s="45"/>
      <c r="AF256" s="45"/>
      <c r="AG256" s="45"/>
      <c r="AH256" s="45"/>
      <c r="AI256" s="45"/>
      <c r="AJ256" s="347"/>
      <c r="AK256" s="2454" t="s">
        <v>547</v>
      </c>
      <c r="AL256" s="2183"/>
      <c r="AM256" s="2173">
        <f>1*((SUM(Transfer!AD147,Transfer!AD223,Transfer!AD233)-SUM(Transfer!AD161,Transfer!AD213,Transfer!AD231))/Transfer!AD147)*100*((((SUM(Transfer!AD147,Transfer!AD223,Transfer!AD233)-SUM(Transfer!AD161,Transfer!AD213,Transfer!AD231))/Transfer!AD295)/((SUM(Transfer!AC147,Transfer!AC223,Transfer!AC233)-SUM(Transfer!AC161,Transfer!AC213,Transfer!AC231))/Transfer!AC295))-1)</f>
        <v>-0.12838827740905714</v>
      </c>
      <c r="AN256" s="2258">
        <f>1*((SUM(Transfer!AE147,Transfer!AE223,Transfer!AE233)-SUM(Transfer!AE161,Transfer!AE213,Transfer!AE231))/Transfer!AE147)*100*((((SUM(Transfer!AE147,Transfer!AE223,Transfer!AE233)-SUM(Transfer!AE161,Transfer!AE213,Transfer!AE231))/Transfer!AE295)/((SUM(Transfer!AD147,Transfer!AD223,Transfer!AD233)-SUM(Transfer!AD161,Transfer!AD213,Transfer!AD231))/Transfer!AD295))-1)</f>
        <v>0.59279016160624165</v>
      </c>
      <c r="AO256" s="2205">
        <f>1*((SUM(Transfer!AF147,Transfer!AF223,Transfer!AF233)-SUM(Transfer!AF161,Transfer!AF213,Transfer!AF231))/Transfer!AF147)*100*((((SUM(Transfer!AF147,Transfer!AF223,Transfer!AF233)-SUM(Transfer!AF161,Transfer!AF213,Transfer!AF231))/Transfer!AF295)/((SUM(Transfer!AE147,Transfer!AE223,Transfer!AE233)-SUM(Transfer!AE161,Transfer!AE213,Transfer!AE231))/Transfer!AE295))-1)</f>
        <v>0.9260989145873304</v>
      </c>
      <c r="AP256" s="2259">
        <f>1*((SUM(Transfer!AG147,Transfer!AG223,Transfer!AG233)-SUM(Transfer!AG161,Transfer!AG213,Transfer!AG231))/Transfer!AG147)*100*((((SUM(Transfer!AG147,Transfer!AG223,Transfer!AG233)-SUM(Transfer!AG161,Transfer!AG213,Transfer!AG231))/Transfer!AG295)/((SUM(Transfer!AF147,Transfer!AF223,Transfer!AF233)-SUM(Transfer!AF161,Transfer!AF213,Transfer!AF231))/Transfer!AF295))-1)</f>
        <v>1.0717931611267619</v>
      </c>
      <c r="AQ256" s="364"/>
      <c r="AR256" s="54"/>
      <c r="AS256" s="54"/>
      <c r="AT256" s="54"/>
      <c r="AU256" s="54"/>
      <c r="AV256" s="54"/>
      <c r="AW256" s="54"/>
      <c r="AX256" s="54"/>
      <c r="AY256" s="54"/>
      <c r="AZ256" s="54"/>
      <c r="BA256" s="1728" t="s">
        <v>2006</v>
      </c>
      <c r="BB256" s="1754"/>
      <c r="BC256" s="54"/>
    </row>
    <row r="257" spans="1:55" ht="13.15">
      <c r="A257" s="45"/>
      <c r="B257" s="1720"/>
      <c r="C257" s="2680" t="s">
        <v>548</v>
      </c>
      <c r="D257" s="2681"/>
      <c r="E257" s="2682">
        <f ca="1">((SUM(Transfer!D147,Transfer!D223,Transfer!D233)-SUM(Transfer!D213,Transfer!D231))/Transfer!D147)*100*((((SUM(Transfer!D147,Transfer!D223,Transfer!D233)-SUM(Transfer!D213,Transfer!D231))/Transfer!D295)/((SUM(Transfer!C147,Transfer!C223,Transfer!C233)-SUM(Transfer!C213,Transfer!C231))/Transfer!C295))-1)</f>
        <v>1.7320511363972946</v>
      </c>
      <c r="F257" s="2683">
        <f ca="1">((SUM(Transfer!E147,Transfer!E223,Transfer!E233)-SUM(Transfer!E213,Transfer!E231))/Transfer!E147)*100*((((SUM(Transfer!E147,Transfer!E223,Transfer!E233)-SUM(Transfer!E213,Transfer!E231))/Transfer!E295)/((SUM(Transfer!D147,Transfer!D223,Transfer!D233)-SUM(Transfer!D213,Transfer!D231))/Transfer!D295))-1)</f>
        <v>2.0579158195669889</v>
      </c>
      <c r="G257" s="2683">
        <f ca="1">((SUM(Transfer!F147,Transfer!F223,Transfer!F233)-SUM(Transfer!F213,Transfer!F231))/Transfer!F147)*100*((((SUM(Transfer!F147,Transfer!F223,Transfer!F233)-SUM(Transfer!F213,Transfer!F231))/Transfer!F295)/((SUM(Transfer!E147,Transfer!E223,Transfer!E233)-SUM(Transfer!E213,Transfer!E231))/Transfer!E295))-1)</f>
        <v>1.6196855897774209</v>
      </c>
      <c r="H257" s="2684">
        <f ca="1">((SUM(Transfer!G147,Transfer!G223,Transfer!G233)-SUM(Transfer!G213,Transfer!G231))/Transfer!G147)*100*((((SUM(Transfer!G147,Transfer!G223,Transfer!G233)-SUM(Transfer!G213,Transfer!G231))/Transfer!G295)/((SUM(Transfer!F147,Transfer!F223,Transfer!F233)-SUM(Transfer!F213,Transfer!F231))/Transfer!F295))-1)</f>
        <v>1.3894623278660128</v>
      </c>
      <c r="I257" s="2911"/>
      <c r="J257" s="54"/>
      <c r="K257" s="54"/>
      <c r="L257" s="54"/>
      <c r="M257" s="54"/>
      <c r="N257" s="54"/>
      <c r="O257" s="54"/>
      <c r="P257" s="54"/>
      <c r="Q257" s="54"/>
      <c r="R257" s="54"/>
      <c r="S257" s="190"/>
      <c r="T257" s="288" t="s">
        <v>548</v>
      </c>
      <c r="U257" s="365"/>
      <c r="V257" s="156">
        <f t="shared" ca="1" si="20"/>
        <v>1</v>
      </c>
      <c r="W257" s="156">
        <f t="shared" ca="1" si="20"/>
        <v>0.5</v>
      </c>
      <c r="X257" s="156">
        <f t="shared" ca="1" si="20"/>
        <v>-0.19999999999999996</v>
      </c>
      <c r="Y257" s="283">
        <f t="shared" ca="1" si="20"/>
        <v>-0.5</v>
      </c>
      <c r="Z257" s="366"/>
      <c r="AA257" s="54"/>
      <c r="AB257" s="45"/>
      <c r="AC257" s="45"/>
      <c r="AD257" s="45"/>
      <c r="AE257" s="45"/>
      <c r="AF257" s="45"/>
      <c r="AG257" s="45"/>
      <c r="AH257" s="45"/>
      <c r="AI257" s="45"/>
      <c r="AJ257" s="190"/>
      <c r="AK257" s="2680" t="s">
        <v>548</v>
      </c>
      <c r="AL257" s="2217"/>
      <c r="AM257" s="2244">
        <f>((SUM(Transfer!AD147,Transfer!AD223,Transfer!AD233)-SUM(Transfer!AD213,Transfer!AD231))/Transfer!AD147)*100*((((SUM(Transfer!AD147,Transfer!AD223,Transfer!AD233)-SUM(Transfer!AD213,Transfer!AD231))/Transfer!AD295)/((SUM(Transfer!AC147,Transfer!AC223,Transfer!AC233)-SUM(Transfer!AC213,Transfer!AC231))/Transfer!AC295))-1)</f>
        <v>0.65817437671917034</v>
      </c>
      <c r="AN257" s="2245">
        <f>((SUM(Transfer!AE147,Transfer!AE223,Transfer!AE233)-SUM(Transfer!AE213,Transfer!AE231))/Transfer!AE147)*100*((((SUM(Transfer!AE147,Transfer!AE223,Transfer!AE233)-SUM(Transfer!AE213,Transfer!AE231))/Transfer!AE295)/((SUM(Transfer!AD147,Transfer!AD223,Transfer!AD233)-SUM(Transfer!AD213,Transfer!AD231))/Transfer!AD295))-1)</f>
        <v>1.6351200422120191</v>
      </c>
      <c r="AO257" s="2245">
        <f>((SUM(Transfer!AF147,Transfer!AF223,Transfer!AF233)-SUM(Transfer!AF213,Transfer!AF231))/Transfer!AF147)*100*((((SUM(Transfer!AF147,Transfer!AF223,Transfer!AF233)-SUM(Transfer!AF213,Transfer!AF231))/Transfer!AF295)/((SUM(Transfer!AE147,Transfer!AE223,Transfer!AE233)-SUM(Transfer!AE213,Transfer!AE231))/Transfer!AE295))-1)</f>
        <v>1.7508255360589322</v>
      </c>
      <c r="AP257" s="2246">
        <f>((SUM(Transfer!AG147,Transfer!AG223,Transfer!AG233)-SUM(Transfer!AG213,Transfer!AG231))/Transfer!AG147)*100*((((SUM(Transfer!AG147,Transfer!AG223,Transfer!AG233)-SUM(Transfer!AG213,Transfer!AG231))/Transfer!AG295)/((SUM(Transfer!AF147,Transfer!AF223,Transfer!AF233)-SUM(Transfer!AF213,Transfer!AF231))/Transfer!AF295))-1)</f>
        <v>1.9097890145585557</v>
      </c>
      <c r="AQ257" s="366"/>
      <c r="AR257" s="54"/>
      <c r="AS257" s="54"/>
      <c r="AT257" s="54"/>
      <c r="AU257" s="54"/>
      <c r="AV257" s="54"/>
      <c r="AW257" s="54"/>
      <c r="AX257" s="54"/>
      <c r="AY257" s="54"/>
      <c r="AZ257" s="54"/>
      <c r="BA257" s="1728" t="s">
        <v>431</v>
      </c>
      <c r="BB257" s="1754"/>
      <c r="BC257" s="54"/>
    </row>
    <row r="258" spans="1:55">
      <c r="A258" s="45"/>
      <c r="B258" s="1728"/>
      <c r="C258" s="2454" t="s">
        <v>549</v>
      </c>
      <c r="D258" s="2482"/>
      <c r="E258" s="2456">
        <f ca="1">((Transfer!D150-Transfer!D151)/Transfer!D147)*100*((((Transfer!D150-Transfer!D151)/Transfer!D295)/((Transfer!C150-Transfer!C151)/Transfer!C295))-1)</f>
        <v>0.22073860304930754</v>
      </c>
      <c r="F258" s="2674">
        <f ca="1">((Transfer!E150-Transfer!E151)/Transfer!E147)*100*((((Transfer!E150-Transfer!E151)/Transfer!E295)/((Transfer!D150-Transfer!D151)/Transfer!D295))-1)</f>
        <v>0.28953736328176638</v>
      </c>
      <c r="G258" s="2570">
        <f ca="1">((Transfer!F150-Transfer!F151)/Transfer!F147)*100*((((Transfer!F150-Transfer!F151)/Transfer!F295)/((Transfer!E150-Transfer!E151)/Transfer!E295))-1)</f>
        <v>0.29755228896925018</v>
      </c>
      <c r="H258" s="2675">
        <f ca="1">((Transfer!G150-Transfer!G151)/Transfer!G147)*100*((((Transfer!G150-Transfer!G151)/Transfer!G295)/((Transfer!F150-Transfer!F151)/Transfer!F295))-1)</f>
        <v>0.19523505950838155</v>
      </c>
      <c r="I258" s="2437"/>
      <c r="J258" s="54"/>
      <c r="K258" s="54"/>
      <c r="L258" s="54"/>
      <c r="M258" s="54"/>
      <c r="N258" s="54"/>
      <c r="O258" s="54"/>
      <c r="P258" s="54"/>
      <c r="Q258" s="54"/>
      <c r="R258" s="54"/>
      <c r="S258" s="275"/>
      <c r="T258" s="40" t="s">
        <v>549</v>
      </c>
      <c r="U258" s="196"/>
      <c r="V258" s="91">
        <f t="shared" ca="1" si="20"/>
        <v>-9.9999999999999978E-2</v>
      </c>
      <c r="W258" s="91">
        <f t="shared" ca="1" si="20"/>
        <v>9.9999999999999978E-2</v>
      </c>
      <c r="X258" s="91">
        <f t="shared" ca="1" si="20"/>
        <v>0</v>
      </c>
      <c r="Y258" s="93">
        <f t="shared" ca="1" si="20"/>
        <v>-9.9999999999999978E-2</v>
      </c>
      <c r="Z258" s="364"/>
      <c r="AA258" s="54"/>
      <c r="AB258" s="45"/>
      <c r="AC258" s="45"/>
      <c r="AD258" s="45"/>
      <c r="AE258" s="45"/>
      <c r="AF258" s="45"/>
      <c r="AG258" s="45"/>
      <c r="AH258" s="45"/>
      <c r="AI258" s="45"/>
      <c r="AJ258" s="275"/>
      <c r="AK258" s="2454" t="s">
        <v>549</v>
      </c>
      <c r="AL258" s="2183"/>
      <c r="AM258" s="2173">
        <f>((Transfer!AD150-Transfer!AD151)/Transfer!AD147)*100*((((Transfer!AD150-Transfer!AD151)/Transfer!AD295)/((Transfer!AC150-Transfer!AC151)/Transfer!AC295))-1)</f>
        <v>0.3486035432134289</v>
      </c>
      <c r="AN258" s="2258">
        <f>((Transfer!AE150-Transfer!AE151)/Transfer!AE147)*100*((((Transfer!AE150-Transfer!AE151)/Transfer!AE295)/((Transfer!AD150-Transfer!AD151)/Transfer!AD295))-1)</f>
        <v>0.20995402250450798</v>
      </c>
      <c r="AO258" s="2205">
        <f>((Transfer!AF150-Transfer!AF151)/Transfer!AF147)*100*((((Transfer!AF150-Transfer!AF151)/Transfer!AF295)/((Transfer!AE150-Transfer!AE151)/Transfer!AE295))-1)</f>
        <v>0.25422272520357792</v>
      </c>
      <c r="AP258" s="2259">
        <f>((Transfer!AG150-Transfer!AG151)/Transfer!AG147)*100*((((Transfer!AG150-Transfer!AG151)/Transfer!AG295)/((Transfer!AF150-Transfer!AF151)/Transfer!AF295))-1)</f>
        <v>0.27158644059510217</v>
      </c>
      <c r="AQ258" s="364"/>
      <c r="AR258" s="54"/>
      <c r="AS258" s="54"/>
      <c r="AT258" s="54"/>
      <c r="AU258" s="54"/>
      <c r="AV258" s="54"/>
      <c r="AW258" s="54"/>
      <c r="AX258" s="54"/>
      <c r="AY258" s="54"/>
      <c r="AZ258" s="54"/>
      <c r="BA258" s="1728" t="s">
        <v>2007</v>
      </c>
      <c r="BB258" s="1754"/>
      <c r="BC258" s="54"/>
    </row>
    <row r="259" spans="1:55" ht="13.5" thickBot="1">
      <c r="A259" s="45"/>
      <c r="B259" s="1728"/>
      <c r="C259" s="2680" t="s">
        <v>550</v>
      </c>
      <c r="D259" s="2681"/>
      <c r="E259" s="2682">
        <f ca="1">100*(((1000*(Transfer!D147)/Transfer!D295)/((1000*(Transfer!C147)/Transfer!C295)))-1)</f>
        <v>2.2483060560397394</v>
      </c>
      <c r="F259" s="2683">
        <f ca="1">100*(((1000*(Transfer!E147)/Transfer!E295)/((1000*(Transfer!D147)/Transfer!D295)))-1)</f>
        <v>2.4640461157058979</v>
      </c>
      <c r="G259" s="2683">
        <f ca="1">100*(((1000*(Transfer!F147)/Transfer!F295)/((1000*(Transfer!E147)/Transfer!E295)))-1)</f>
        <v>1.9855634353397988</v>
      </c>
      <c r="H259" s="2684">
        <f ca="1">100*(((1000*(Transfer!G147)/Transfer!G295)/((1000*(Transfer!F147)/Transfer!F295)))-1)</f>
        <v>1.7533682107625292</v>
      </c>
      <c r="I259" s="2528"/>
      <c r="J259" s="54"/>
      <c r="K259" s="54"/>
      <c r="L259" s="54"/>
      <c r="M259" s="54"/>
      <c r="N259" s="54"/>
      <c r="O259" s="54"/>
      <c r="P259" s="54"/>
      <c r="Q259" s="54"/>
      <c r="R259" s="54"/>
      <c r="S259" s="275"/>
      <c r="T259" s="369" t="s">
        <v>550</v>
      </c>
      <c r="U259" s="370"/>
      <c r="V259" s="290">
        <f t="shared" ca="1" si="20"/>
        <v>0.60000000000000009</v>
      </c>
      <c r="W259" s="290">
        <f t="shared" ca="1" si="20"/>
        <v>0.39999999999999991</v>
      </c>
      <c r="X259" s="290">
        <f t="shared" ca="1" si="20"/>
        <v>-0.10000000000000009</v>
      </c>
      <c r="Y259" s="317">
        <f t="shared" ca="1" si="20"/>
        <v>-0.49999999999999978</v>
      </c>
      <c r="Z259" s="203"/>
      <c r="AA259" s="54"/>
      <c r="AB259" s="45"/>
      <c r="AC259" s="45"/>
      <c r="AD259" s="45"/>
      <c r="AE259" s="45"/>
      <c r="AF259" s="45"/>
      <c r="AG259" s="45"/>
      <c r="AH259" s="45"/>
      <c r="AI259" s="45"/>
      <c r="AJ259" s="275"/>
      <c r="AK259" s="2680" t="s">
        <v>550</v>
      </c>
      <c r="AL259" s="2217"/>
      <c r="AM259" s="2244">
        <f>100*(((1000*(Transfer!AD147)/Transfer!AD295)/((1000*(Transfer!AC147)/Transfer!AC295)))-1)</f>
        <v>1.5932514063440761</v>
      </c>
      <c r="AN259" s="2245">
        <f>100*(((1000*(Transfer!AE147)/Transfer!AE295)/((1000*(Transfer!AD147)/Transfer!AD295)))-1)</f>
        <v>2.0732455093610547</v>
      </c>
      <c r="AO259" s="2245">
        <f>100*(((1000*(Transfer!AF147)/Transfer!AF295)/((1000*(Transfer!AE147)/Transfer!AE295)))-1)</f>
        <v>2.1176150698236196</v>
      </c>
      <c r="AP259" s="2246">
        <f>100*(((1000*(Transfer!AG147)/Transfer!AG295)/((1000*(Transfer!AF147)/Transfer!AF295)))-1)</f>
        <v>2.3471803572214789</v>
      </c>
      <c r="AQ259" s="203"/>
      <c r="AR259" s="54"/>
      <c r="AS259" s="54"/>
      <c r="AT259" s="54"/>
      <c r="AU259" s="54"/>
      <c r="AV259" s="54"/>
      <c r="AW259" s="54"/>
      <c r="AX259" s="54"/>
      <c r="AY259" s="54"/>
      <c r="AZ259" s="54"/>
      <c r="BA259" s="2054" t="s">
        <v>2008</v>
      </c>
      <c r="BB259" s="1757"/>
      <c r="BC259" s="54"/>
    </row>
    <row r="260" spans="1:55" ht="13.15" thickBot="1">
      <c r="A260" s="45"/>
      <c r="B260" s="1720"/>
      <c r="C260" s="2704" t="s">
        <v>1939</v>
      </c>
      <c r="D260" s="2663"/>
      <c r="E260" s="2663"/>
      <c r="F260" s="2663"/>
      <c r="G260" s="2663"/>
      <c r="H260" s="2664"/>
      <c r="I260" s="1719"/>
      <c r="J260" s="54"/>
      <c r="K260" s="54"/>
      <c r="L260" s="54"/>
      <c r="M260" s="54"/>
      <c r="N260" s="54"/>
      <c r="O260" s="54"/>
      <c r="P260" s="54"/>
      <c r="Q260" s="54"/>
      <c r="R260" s="54"/>
      <c r="S260" s="60"/>
      <c r="T260" s="1749" t="s">
        <v>1939</v>
      </c>
      <c r="U260" s="1737"/>
      <c r="V260" s="1737"/>
      <c r="W260" s="1737"/>
      <c r="X260" s="1737"/>
      <c r="Y260" s="1750"/>
      <c r="Z260" s="90"/>
      <c r="AA260" s="54"/>
      <c r="AB260" s="45"/>
      <c r="AC260" s="45"/>
      <c r="AD260" s="45"/>
      <c r="AE260" s="45"/>
      <c r="AF260" s="45"/>
      <c r="AG260" s="45"/>
      <c r="AH260" s="45"/>
      <c r="AI260" s="45"/>
      <c r="AJ260" s="60"/>
      <c r="AK260" s="1749" t="s">
        <v>1939</v>
      </c>
      <c r="AL260" s="1737"/>
      <c r="AM260" s="1737"/>
      <c r="AN260" s="1737"/>
      <c r="AO260" s="1737"/>
      <c r="AP260" s="1750"/>
      <c r="AQ260" s="90"/>
      <c r="AR260" s="54"/>
      <c r="AS260" s="54"/>
      <c r="AT260" s="54"/>
      <c r="AU260" s="54"/>
      <c r="AV260" s="54"/>
      <c r="AW260" s="54"/>
      <c r="AX260" s="54"/>
      <c r="AY260" s="54"/>
      <c r="AZ260" s="54"/>
      <c r="BA260" s="54"/>
      <c r="BB260" s="54"/>
      <c r="BC260" s="54"/>
    </row>
    <row r="261" spans="1:55" ht="13.15">
      <c r="A261" s="45"/>
      <c r="B261" s="2665"/>
      <c r="C261" s="2468"/>
      <c r="D261" s="2468"/>
      <c r="E261" s="2705"/>
      <c r="F261" s="2705"/>
      <c r="G261" s="2468"/>
      <c r="H261" s="2469" t="str">
        <f>UPPER(Country)</f>
        <v>SWEDEN</v>
      </c>
      <c r="I261" s="2546"/>
      <c r="J261" s="54"/>
      <c r="K261" s="54"/>
      <c r="L261" s="54"/>
      <c r="M261" s="54"/>
      <c r="N261" s="54"/>
      <c r="O261" s="54"/>
      <c r="P261" s="54"/>
      <c r="Q261" s="54"/>
      <c r="R261" s="54"/>
      <c r="S261" s="327"/>
      <c r="T261" s="116"/>
      <c r="U261" s="116"/>
      <c r="V261" s="1740"/>
      <c r="W261" s="1740"/>
      <c r="X261" s="116"/>
      <c r="Y261" s="118" t="str">
        <f>UPPER(Country)</f>
        <v>SWEDEN</v>
      </c>
      <c r="Z261" s="216"/>
      <c r="AA261" s="54"/>
      <c r="AB261" s="45"/>
      <c r="AC261" s="45"/>
      <c r="AD261" s="45"/>
      <c r="AE261" s="45"/>
      <c r="AF261" s="45"/>
      <c r="AG261" s="45"/>
      <c r="AH261" s="45"/>
      <c r="AI261" s="45"/>
      <c r="AJ261" s="327"/>
      <c r="AK261" s="116"/>
      <c r="AL261" s="116"/>
      <c r="AM261" s="1740"/>
      <c r="AN261" s="1740"/>
      <c r="AO261" s="116"/>
      <c r="AP261" s="118" t="str">
        <f>UPPER(Country)</f>
        <v>SWEDEN</v>
      </c>
      <c r="AQ261" s="216"/>
      <c r="AR261" s="54"/>
      <c r="AS261" s="54"/>
      <c r="AT261" s="54"/>
      <c r="AU261" s="54"/>
      <c r="AV261" s="54"/>
      <c r="AW261" s="54"/>
      <c r="AX261" s="54"/>
      <c r="AY261" s="54"/>
      <c r="AZ261" s="54"/>
      <c r="BA261" s="54"/>
      <c r="BB261" s="54"/>
      <c r="BC261" s="54"/>
    </row>
    <row r="262" spans="1:55">
      <c r="A262" s="45"/>
      <c r="B262" s="54"/>
      <c r="C262" s="54"/>
      <c r="D262" s="373"/>
      <c r="E262" s="373"/>
      <c r="F262" s="373"/>
      <c r="G262" s="373"/>
      <c r="H262" s="373"/>
      <c r="I262" s="187"/>
      <c r="J262" s="54"/>
      <c r="K262" s="54"/>
      <c r="L262" s="54"/>
      <c r="M262" s="54"/>
      <c r="N262" s="54"/>
      <c r="O262" s="54"/>
      <c r="P262" s="54"/>
      <c r="Q262" s="54"/>
      <c r="R262" s="54"/>
      <c r="S262" s="54"/>
      <c r="T262" s="54"/>
      <c r="U262" s="54"/>
      <c r="V262" s="54"/>
      <c r="W262" s="54"/>
      <c r="X262" s="54"/>
      <c r="Y262" s="54"/>
      <c r="Z262" s="54"/>
      <c r="AA262" s="54"/>
      <c r="AB262" s="45"/>
      <c r="AC262" s="45"/>
      <c r="AD262" s="45"/>
      <c r="AE262" s="45"/>
      <c r="AF262" s="45"/>
      <c r="AG262" s="45"/>
      <c r="AH262" s="45"/>
      <c r="AI262" s="45"/>
      <c r="AJ262" s="54"/>
      <c r="AK262" s="54"/>
      <c r="AL262" s="373"/>
      <c r="AM262" s="373"/>
      <c r="AN262" s="373"/>
      <c r="AO262" s="373"/>
      <c r="AP262" s="373"/>
      <c r="AQ262" s="187"/>
      <c r="AR262" s="54"/>
      <c r="AS262" s="54"/>
      <c r="AT262" s="54"/>
      <c r="AU262" s="54"/>
      <c r="AV262" s="54"/>
      <c r="AW262" s="54"/>
      <c r="AX262" s="54"/>
      <c r="AY262" s="54"/>
      <c r="AZ262" s="54"/>
      <c r="BA262" s="54"/>
      <c r="BB262" s="54"/>
      <c r="BC262" s="54"/>
    </row>
    <row r="263" spans="1:55">
      <c r="A263" s="45"/>
      <c r="B263" s="54"/>
      <c r="C263" s="54"/>
      <c r="D263" s="373"/>
      <c r="E263" s="373"/>
      <c r="F263" s="373"/>
      <c r="G263" s="373"/>
      <c r="H263" s="373"/>
      <c r="I263" s="187"/>
      <c r="J263" s="54"/>
      <c r="K263" s="54"/>
      <c r="L263" s="54"/>
      <c r="M263" s="54"/>
      <c r="N263" s="54"/>
      <c r="O263" s="54"/>
      <c r="P263" s="54"/>
      <c r="Q263" s="54"/>
      <c r="R263" s="54"/>
      <c r="S263" s="54"/>
      <c r="T263" s="54"/>
      <c r="U263" s="54"/>
      <c r="V263" s="54"/>
      <c r="W263" s="54"/>
      <c r="X263" s="54"/>
      <c r="Y263" s="54"/>
      <c r="Z263" s="54"/>
      <c r="AA263" s="54"/>
      <c r="AB263" s="45"/>
      <c r="AC263" s="45"/>
      <c r="AD263" s="45"/>
      <c r="AE263" s="45"/>
      <c r="AF263" s="45"/>
      <c r="AG263" s="45"/>
      <c r="AH263" s="45"/>
      <c r="AI263" s="45"/>
      <c r="AJ263" s="54"/>
      <c r="AK263" s="54"/>
      <c r="AL263" s="373"/>
      <c r="AM263" s="373"/>
      <c r="AN263" s="373"/>
      <c r="AO263" s="373"/>
      <c r="AP263" s="373"/>
      <c r="AQ263" s="187"/>
      <c r="AR263" s="54"/>
      <c r="AS263" s="54"/>
      <c r="AT263" s="54"/>
      <c r="AU263" s="54"/>
      <c r="AV263" s="54"/>
      <c r="AW263" s="54"/>
      <c r="AX263" s="54"/>
      <c r="AY263" s="54"/>
      <c r="AZ263" s="54"/>
      <c r="BA263" s="54"/>
      <c r="BB263" s="54"/>
      <c r="BC263" s="54"/>
    </row>
    <row r="264" spans="1:55">
      <c r="A264" s="45"/>
      <c r="B264" s="54"/>
      <c r="C264" s="54"/>
      <c r="D264" s="54"/>
      <c r="E264" s="54"/>
      <c r="F264" s="54"/>
      <c r="G264" s="54"/>
      <c r="H264" s="54"/>
      <c r="I264" s="54"/>
      <c r="J264" s="54"/>
      <c r="K264" s="54"/>
      <c r="L264" s="54"/>
      <c r="M264" s="54"/>
      <c r="N264" s="54"/>
      <c r="O264" s="54"/>
      <c r="P264" s="54"/>
      <c r="Q264" s="54"/>
      <c r="R264" s="54"/>
      <c r="S264" s="54"/>
      <c r="T264" s="54"/>
      <c r="U264" s="54"/>
      <c r="V264" s="54"/>
      <c r="W264" s="54"/>
      <c r="X264" s="54"/>
      <c r="Y264" s="54"/>
      <c r="Z264" s="54"/>
      <c r="AA264" s="54"/>
      <c r="AB264" s="45"/>
      <c r="AC264" s="45"/>
      <c r="AD264" s="45"/>
      <c r="AE264" s="45"/>
      <c r="AF264" s="45"/>
      <c r="AG264" s="45"/>
      <c r="AH264" s="45"/>
      <c r="AI264" s="45"/>
      <c r="AJ264" s="54"/>
      <c r="AK264" s="54"/>
      <c r="AL264" s="54"/>
      <c r="AM264" s="54"/>
      <c r="AN264" s="54"/>
      <c r="AO264" s="54"/>
      <c r="AP264" s="54"/>
      <c r="AQ264" s="54"/>
      <c r="AR264" s="54"/>
      <c r="AS264" s="54"/>
      <c r="AT264" s="54"/>
      <c r="AU264" s="54"/>
      <c r="AV264" s="54"/>
      <c r="AW264" s="54"/>
      <c r="AX264" s="54"/>
      <c r="AY264" s="54"/>
      <c r="AZ264" s="54"/>
      <c r="BA264" s="54"/>
      <c r="BB264" s="54"/>
      <c r="BC264" s="54"/>
    </row>
    <row r="265" spans="1:55">
      <c r="A265" s="45"/>
      <c r="B265" s="54"/>
      <c r="C265" s="54"/>
      <c r="D265" s="54"/>
      <c r="E265" s="54"/>
      <c r="F265" s="54"/>
      <c r="G265" s="54"/>
      <c r="H265" s="54"/>
      <c r="I265" s="54"/>
      <c r="J265" s="54"/>
      <c r="K265" s="54"/>
      <c r="L265" s="54"/>
      <c r="M265" s="54"/>
      <c r="N265" s="54"/>
      <c r="O265" s="54"/>
      <c r="P265" s="54"/>
      <c r="Q265" s="54"/>
      <c r="R265" s="54"/>
      <c r="S265" s="54"/>
      <c r="T265" s="54"/>
      <c r="U265" s="54"/>
      <c r="V265" s="54"/>
      <c r="W265" s="54"/>
      <c r="X265" s="54"/>
      <c r="Y265" s="54"/>
      <c r="Z265" s="54"/>
      <c r="AA265" s="54"/>
      <c r="AB265" s="45"/>
      <c r="AC265" s="45"/>
      <c r="AD265" s="45"/>
      <c r="AE265" s="45"/>
      <c r="AF265" s="45"/>
      <c r="AG265" s="45"/>
      <c r="AH265" s="45"/>
      <c r="AI265" s="45"/>
      <c r="AJ265" s="54"/>
      <c r="AK265" s="54"/>
      <c r="AL265" s="54"/>
      <c r="AM265" s="54"/>
      <c r="AN265" s="54"/>
      <c r="AO265" s="54"/>
      <c r="AP265" s="54"/>
      <c r="AQ265" s="54"/>
      <c r="AR265" s="54"/>
      <c r="AS265" s="54"/>
      <c r="AT265" s="54"/>
      <c r="AU265" s="54"/>
      <c r="AV265" s="54"/>
      <c r="AW265" s="54"/>
      <c r="AX265" s="54"/>
      <c r="AY265" s="54"/>
      <c r="AZ265" s="54"/>
      <c r="BA265" s="54"/>
      <c r="BB265" s="54"/>
      <c r="BC265" s="54"/>
    </row>
    <row r="266" spans="1:55">
      <c r="A266" s="45"/>
      <c r="B266" s="54"/>
      <c r="C266" s="54"/>
      <c r="D266" s="54"/>
      <c r="E266" s="54"/>
      <c r="F266" s="54"/>
      <c r="G266" s="54"/>
      <c r="H266" s="54"/>
      <c r="I266" s="54"/>
      <c r="J266" s="54"/>
      <c r="K266" s="54"/>
      <c r="L266" s="54"/>
      <c r="M266" s="54"/>
      <c r="N266" s="54"/>
      <c r="O266" s="54"/>
      <c r="P266" s="54"/>
      <c r="Q266" s="54"/>
      <c r="R266" s="54"/>
      <c r="S266" s="54"/>
      <c r="T266" s="54"/>
      <c r="U266" s="54"/>
      <c r="V266" s="54"/>
      <c r="W266" s="54"/>
      <c r="X266" s="54"/>
      <c r="Y266" s="54"/>
      <c r="Z266" s="54"/>
      <c r="AA266" s="54"/>
      <c r="AB266" s="45"/>
      <c r="AC266" s="45"/>
      <c r="AD266" s="45"/>
      <c r="AE266" s="45"/>
      <c r="AF266" s="45"/>
      <c r="AG266" s="45"/>
      <c r="AH266" s="45"/>
      <c r="AI266" s="45"/>
      <c r="AJ266" s="54"/>
      <c r="AK266" s="54"/>
      <c r="AL266" s="54"/>
      <c r="AM266" s="54"/>
      <c r="AN266" s="54"/>
      <c r="AO266" s="54"/>
      <c r="AP266" s="54"/>
      <c r="AQ266" s="54"/>
      <c r="AR266" s="54"/>
      <c r="AS266" s="54"/>
      <c r="AT266" s="54"/>
      <c r="AU266" s="54"/>
      <c r="AV266" s="54"/>
      <c r="AW266" s="54"/>
      <c r="AX266" s="54"/>
      <c r="AY266" s="54"/>
      <c r="AZ266" s="54"/>
      <c r="BA266" s="54"/>
      <c r="BB266" s="54"/>
      <c r="BC266" s="54"/>
    </row>
    <row r="267" spans="1:55">
      <c r="A267" s="45"/>
      <c r="B267" s="54"/>
      <c r="C267" s="54"/>
      <c r="D267" s="54"/>
      <c r="E267" s="54"/>
      <c r="F267" s="54"/>
      <c r="G267" s="54"/>
      <c r="H267" s="54"/>
      <c r="I267" s="54"/>
      <c r="J267" s="54"/>
      <c r="K267" s="54"/>
      <c r="L267" s="54"/>
      <c r="M267" s="54"/>
      <c r="N267" s="54"/>
      <c r="O267" s="54"/>
      <c r="P267" s="54"/>
      <c r="Q267" s="54"/>
      <c r="R267" s="54"/>
      <c r="S267" s="54"/>
      <c r="T267" s="54"/>
      <c r="U267" s="54"/>
      <c r="V267" s="54"/>
      <c r="W267" s="54"/>
      <c r="X267" s="54"/>
      <c r="Y267" s="54"/>
      <c r="Z267" s="54"/>
      <c r="AA267" s="54"/>
      <c r="AB267" s="45"/>
      <c r="AC267" s="45"/>
      <c r="AD267" s="45"/>
      <c r="AE267" s="45"/>
      <c r="AF267" s="45"/>
      <c r="AG267" s="45"/>
      <c r="AH267" s="45"/>
      <c r="AI267" s="45"/>
      <c r="AJ267" s="54"/>
      <c r="AK267" s="54"/>
      <c r="AL267" s="54"/>
      <c r="AM267" s="54"/>
      <c r="AN267" s="54"/>
      <c r="AO267" s="54"/>
      <c r="AP267" s="54"/>
      <c r="AQ267" s="54"/>
      <c r="AR267" s="54"/>
      <c r="AS267" s="54"/>
      <c r="AT267" s="54"/>
      <c r="AU267" s="54"/>
      <c r="AV267" s="54"/>
      <c r="AW267" s="54"/>
      <c r="AX267" s="54"/>
      <c r="AY267" s="54"/>
      <c r="AZ267" s="54"/>
      <c r="BA267" s="54"/>
      <c r="BB267" s="54"/>
      <c r="BC267" s="54"/>
    </row>
    <row r="268" spans="1:55">
      <c r="A268" s="45"/>
      <c r="B268" s="54"/>
      <c r="C268" s="54"/>
      <c r="D268" s="54"/>
      <c r="E268" s="54"/>
      <c r="F268" s="54"/>
      <c r="G268" s="54"/>
      <c r="H268" s="54"/>
      <c r="I268" s="54"/>
      <c r="J268" s="54"/>
      <c r="K268" s="54"/>
      <c r="L268" s="54"/>
      <c r="M268" s="54"/>
      <c r="N268" s="54"/>
      <c r="O268" s="54"/>
      <c r="P268" s="54"/>
      <c r="Q268" s="54"/>
      <c r="R268" s="54"/>
      <c r="S268" s="54"/>
      <c r="T268" s="54"/>
      <c r="U268" s="54"/>
      <c r="V268" s="54"/>
      <c r="W268" s="54"/>
      <c r="X268" s="54"/>
      <c r="Y268" s="54"/>
      <c r="Z268" s="54"/>
      <c r="AA268" s="54"/>
      <c r="AB268" s="45"/>
      <c r="AC268" s="45"/>
      <c r="AD268" s="45"/>
      <c r="AE268" s="45"/>
      <c r="AF268" s="45"/>
      <c r="AG268" s="45"/>
      <c r="AH268" s="45"/>
      <c r="AI268" s="45"/>
      <c r="AJ268" s="54"/>
      <c r="AK268" s="54"/>
      <c r="AL268" s="54"/>
      <c r="AM268" s="54"/>
      <c r="AN268" s="54"/>
      <c r="AO268" s="54"/>
      <c r="AP268" s="54"/>
      <c r="AQ268" s="54"/>
      <c r="AR268" s="54"/>
      <c r="AS268" s="54"/>
      <c r="AT268" s="54"/>
      <c r="AU268" s="54"/>
      <c r="AV268" s="54"/>
      <c r="AW268" s="54"/>
      <c r="AX268" s="54"/>
      <c r="AY268" s="54"/>
      <c r="AZ268" s="54"/>
      <c r="BA268" s="54"/>
      <c r="BB268" s="54"/>
      <c r="BC268" s="54"/>
    </row>
    <row r="269" spans="1:55" ht="13.15">
      <c r="A269" s="45"/>
      <c r="B269" s="2051"/>
      <c r="C269" s="2411" t="s">
        <v>432</v>
      </c>
      <c r="D269" s="2411"/>
      <c r="E269" s="2412"/>
      <c r="F269" s="2412"/>
      <c r="G269" s="2412"/>
      <c r="H269" s="2412"/>
      <c r="I269" s="2412"/>
      <c r="J269" s="2412"/>
      <c r="K269" s="2412"/>
      <c r="L269" s="2412"/>
      <c r="M269" s="2412"/>
      <c r="N269" s="2563"/>
      <c r="O269" s="258"/>
      <c r="P269" s="258"/>
      <c r="Q269" s="123"/>
      <c r="R269" s="54"/>
      <c r="S269" s="335"/>
      <c r="T269" s="56" t="s">
        <v>432</v>
      </c>
      <c r="U269" s="56"/>
      <c r="V269" s="100"/>
      <c r="W269" s="100"/>
      <c r="X269" s="100"/>
      <c r="Y269" s="100"/>
      <c r="Z269" s="100"/>
      <c r="AA269" s="100"/>
      <c r="AB269" s="100"/>
      <c r="AC269" s="100"/>
      <c r="AD269" s="100"/>
      <c r="AE269" s="238"/>
      <c r="AF269" s="45"/>
      <c r="AG269" s="45"/>
      <c r="AH269" s="45"/>
      <c r="AI269" s="45"/>
      <c r="AJ269" s="335"/>
      <c r="AK269" s="56" t="s">
        <v>432</v>
      </c>
      <c r="AL269" s="56"/>
      <c r="AM269" s="100"/>
      <c r="AN269" s="100"/>
      <c r="AO269" s="100"/>
      <c r="AP269" s="100"/>
      <c r="AQ269" s="100"/>
      <c r="AR269" s="100"/>
      <c r="AS269" s="100"/>
      <c r="AT269" s="100"/>
      <c r="AU269" s="100"/>
      <c r="AV269" s="238"/>
      <c r="AW269" s="258"/>
      <c r="AX269" s="258"/>
      <c r="AY269" s="123"/>
      <c r="AZ269" s="54"/>
      <c r="BA269" s="54"/>
      <c r="BB269" s="54"/>
      <c r="BC269" s="54"/>
    </row>
    <row r="270" spans="1:55" ht="13.15">
      <c r="A270" s="45"/>
      <c r="B270" s="1728"/>
      <c r="C270" s="3888" t="s">
        <v>1552</v>
      </c>
      <c r="D270" s="3888"/>
      <c r="E270" s="3888"/>
      <c r="F270" s="3888"/>
      <c r="G270" s="3888"/>
      <c r="H270" s="3888"/>
      <c r="I270" s="3888"/>
      <c r="J270" s="3888"/>
      <c r="K270" s="3888"/>
      <c r="L270" s="3888"/>
      <c r="M270" s="3888"/>
      <c r="N270" s="2598"/>
      <c r="O270" s="261"/>
      <c r="P270" s="258"/>
      <c r="Q270" s="45"/>
      <c r="R270" s="54"/>
      <c r="S270" s="275"/>
      <c r="T270" s="3889" t="s">
        <v>1552</v>
      </c>
      <c r="U270" s="3889"/>
      <c r="V270" s="3889"/>
      <c r="W270" s="3889"/>
      <c r="X270" s="3889"/>
      <c r="Y270" s="3889"/>
      <c r="Z270" s="3889"/>
      <c r="AA270" s="3889"/>
      <c r="AB270" s="3889"/>
      <c r="AC270" s="3889"/>
      <c r="AD270" s="3889"/>
      <c r="AE270" s="260"/>
      <c r="AF270" s="45"/>
      <c r="AG270" s="45"/>
      <c r="AH270" s="45"/>
      <c r="AI270" s="45"/>
      <c r="AJ270" s="275"/>
      <c r="AK270" s="3889" t="s">
        <v>1552</v>
      </c>
      <c r="AL270" s="3889"/>
      <c r="AM270" s="3889"/>
      <c r="AN270" s="3889"/>
      <c r="AO270" s="3889"/>
      <c r="AP270" s="3889"/>
      <c r="AQ270" s="3889"/>
      <c r="AR270" s="3889"/>
      <c r="AS270" s="3889"/>
      <c r="AT270" s="3889"/>
      <c r="AU270" s="3889"/>
      <c r="AV270" s="260"/>
      <c r="AW270" s="261"/>
      <c r="AX270" s="258"/>
      <c r="AY270" s="45"/>
      <c r="AZ270" s="54"/>
      <c r="BA270" s="54"/>
      <c r="BB270" s="54"/>
      <c r="BC270" s="54"/>
    </row>
    <row r="271" spans="1:55">
      <c r="A271" s="45"/>
      <c r="B271" s="1728"/>
      <c r="C271" s="2420"/>
      <c r="D271" s="2420"/>
      <c r="E271" s="2420"/>
      <c r="F271" s="2420"/>
      <c r="G271" s="2420"/>
      <c r="H271" s="2420"/>
      <c r="I271" s="2420"/>
      <c r="J271" s="2420"/>
      <c r="K271" s="2420"/>
      <c r="L271" s="2420"/>
      <c r="M271" s="2420"/>
      <c r="N271" s="2520"/>
      <c r="O271" s="258"/>
      <c r="P271" s="258"/>
      <c r="Q271" s="45"/>
      <c r="R271" s="54"/>
      <c r="S271" s="275"/>
      <c r="T271" s="65"/>
      <c r="U271" s="65"/>
      <c r="V271" s="65"/>
      <c r="W271" s="65"/>
      <c r="X271" s="65"/>
      <c r="Y271" s="65"/>
      <c r="Z271" s="65"/>
      <c r="AA271" s="65"/>
      <c r="AB271" s="65"/>
      <c r="AC271" s="65"/>
      <c r="AD271" s="65"/>
      <c r="AE271" s="196"/>
      <c r="AF271" s="45"/>
      <c r="AG271" s="45"/>
      <c r="AH271" s="45"/>
      <c r="AI271" s="45"/>
      <c r="AJ271" s="275"/>
      <c r="AK271" s="65"/>
      <c r="AL271" s="65"/>
      <c r="AM271" s="65"/>
      <c r="AN271" s="65"/>
      <c r="AO271" s="65"/>
      <c r="AP271" s="65"/>
      <c r="AQ271" s="65"/>
      <c r="AR271" s="65"/>
      <c r="AS271" s="65"/>
      <c r="AT271" s="65"/>
      <c r="AU271" s="65"/>
      <c r="AV271" s="196"/>
      <c r="AW271" s="258"/>
      <c r="AX271" s="258"/>
      <c r="AY271" s="45"/>
      <c r="AZ271" s="54"/>
      <c r="BA271" s="54"/>
      <c r="BB271" s="54"/>
      <c r="BC271" s="54"/>
    </row>
    <row r="272" spans="1:55" ht="15">
      <c r="A272" s="45"/>
      <c r="B272" s="1720"/>
      <c r="C272" s="2418" t="str">
        <f>"Country: " &amp;UPPER(Country)</f>
        <v>Country: SWEDEN</v>
      </c>
      <c r="D272" s="2548"/>
      <c r="E272" s="2420"/>
      <c r="F272" s="2420"/>
      <c r="G272" s="2420"/>
      <c r="H272" s="2420"/>
      <c r="I272" s="2420"/>
      <c r="J272" s="2420"/>
      <c r="K272" s="2420"/>
      <c r="L272" s="2420"/>
      <c r="M272" s="2420"/>
      <c r="N272" s="2520"/>
      <c r="O272" s="258"/>
      <c r="P272" s="258"/>
      <c r="Q272" s="45"/>
      <c r="R272" s="54"/>
      <c r="S272" s="190"/>
      <c r="T272" s="63" t="str">
        <f>"Country: " &amp;UPPER(Country)</f>
        <v>Country: SWEDEN</v>
      </c>
      <c r="U272" s="222"/>
      <c r="V272" s="65"/>
      <c r="W272" s="2066" t="s">
        <v>1553</v>
      </c>
      <c r="X272" s="65"/>
      <c r="Y272" s="65"/>
      <c r="Z272" s="65"/>
      <c r="AA272" s="65"/>
      <c r="AB272" s="65"/>
      <c r="AC272" s="65"/>
      <c r="AD272" s="65"/>
      <c r="AE272" s="196"/>
      <c r="AF272" s="45"/>
      <c r="AG272" s="45"/>
      <c r="AH272" s="45"/>
      <c r="AI272" s="45"/>
      <c r="AJ272" s="190"/>
      <c r="AK272" s="63" t="str">
        <f>"Country: " &amp;UPPER(Country)</f>
        <v>Country: SWEDEN</v>
      </c>
      <c r="AL272" s="222"/>
      <c r="AM272" s="65"/>
      <c r="AN272" s="65"/>
      <c r="AO272" s="65"/>
      <c r="AP272" s="65"/>
      <c r="AQ272" s="65"/>
      <c r="AR272" s="65"/>
      <c r="AS272" s="65"/>
      <c r="AT272" s="65"/>
      <c r="AU272" s="65"/>
      <c r="AV272" s="196"/>
      <c r="AW272" s="258"/>
      <c r="AX272" s="258"/>
      <c r="AY272" s="45"/>
      <c r="AZ272" s="54"/>
      <c r="BA272" s="54"/>
      <c r="BB272" s="54"/>
      <c r="BC272" s="54"/>
    </row>
    <row r="273" spans="1:55" ht="15">
      <c r="A273" s="45"/>
      <c r="B273" s="1728"/>
      <c r="C273" s="2418" t="str">
        <f>"Currency unit: " &amp; Currency</f>
        <v>Currency unit: bn SEK</v>
      </c>
      <c r="D273" s="2424"/>
      <c r="E273" s="2420"/>
      <c r="F273" s="2420"/>
      <c r="G273" s="2420"/>
      <c r="H273" s="2420"/>
      <c r="I273" s="2420"/>
      <c r="J273" s="2420"/>
      <c r="K273" s="2420"/>
      <c r="L273" s="2647"/>
      <c r="M273" s="2706"/>
      <c r="N273" s="2707"/>
      <c r="O273" s="376"/>
      <c r="P273" s="258"/>
      <c r="Q273" s="45"/>
      <c r="R273" s="54"/>
      <c r="S273" s="275"/>
      <c r="T273" s="63" t="str">
        <f>"Currency unit: " &amp; Currency</f>
        <v>Currency unit: bn SEK</v>
      </c>
      <c r="U273" s="69"/>
      <c r="V273" s="65"/>
      <c r="W273" s="2066" t="str">
        <f>$T$4</f>
        <v>final storage SF18</v>
      </c>
      <c r="X273" s="65"/>
      <c r="Y273" s="65"/>
      <c r="Z273" s="65"/>
      <c r="AA273" s="65"/>
      <c r="AB273" s="65"/>
      <c r="AC273" s="70"/>
      <c r="AD273" s="374"/>
      <c r="AE273" s="375"/>
      <c r="AF273" s="45"/>
      <c r="AG273" s="45"/>
      <c r="AH273" s="45"/>
      <c r="AI273" s="45"/>
      <c r="AJ273" s="275"/>
      <c r="AK273" s="63" t="str">
        <f>"Currency unit: " &amp; Currency</f>
        <v>Currency unit: bn SEK</v>
      </c>
      <c r="AL273" s="69"/>
      <c r="AM273" s="65"/>
      <c r="AN273" s="65"/>
      <c r="AO273" s="65"/>
      <c r="AP273" s="65"/>
      <c r="AQ273" s="65"/>
      <c r="AR273" s="65"/>
      <c r="AS273" s="65"/>
      <c r="AT273" s="70"/>
      <c r="AU273" s="374"/>
      <c r="AV273" s="375"/>
      <c r="AW273" s="376"/>
      <c r="AX273" s="258"/>
      <c r="AY273" s="45"/>
      <c r="AZ273" s="54"/>
      <c r="BA273" s="54"/>
      <c r="BB273" s="54"/>
      <c r="BC273" s="54"/>
    </row>
    <row r="274" spans="1:55" ht="13.15" thickBot="1">
      <c r="A274" s="45"/>
      <c r="B274" s="1728"/>
      <c r="C274" s="2424" t="s">
        <v>576</v>
      </c>
      <c r="D274" s="2420"/>
      <c r="E274" s="2420"/>
      <c r="F274" s="2420"/>
      <c r="G274" s="2420"/>
      <c r="H274" s="2420"/>
      <c r="I274" s="2420"/>
      <c r="J274" s="2420"/>
      <c r="K274" s="2420"/>
      <c r="L274" s="3878">
        <f ca="1">NOW()</f>
        <v>43493.476067824071</v>
      </c>
      <c r="M274" s="3878"/>
      <c r="N274" s="2472"/>
      <c r="O274" s="54"/>
      <c r="P274" s="54"/>
      <c r="Q274" s="54"/>
      <c r="R274" s="54"/>
      <c r="S274" s="275"/>
      <c r="T274" s="69" t="s">
        <v>576</v>
      </c>
      <c r="U274" s="65"/>
      <c r="V274" s="65"/>
      <c r="W274" s="65"/>
      <c r="X274" s="65"/>
      <c r="Y274" s="65"/>
      <c r="Z274" s="65"/>
      <c r="AA274" s="65"/>
      <c r="AB274" s="65"/>
      <c r="AC274" s="3879">
        <f ca="1">NOW()</f>
        <v>43493.476067824071</v>
      </c>
      <c r="AD274" s="3879"/>
      <c r="AE274" s="138"/>
      <c r="AF274" s="45"/>
      <c r="AG274" s="45"/>
      <c r="AH274" s="45"/>
      <c r="AI274" s="45"/>
      <c r="AJ274" s="275"/>
      <c r="AK274" s="69" t="s">
        <v>576</v>
      </c>
      <c r="AL274" s="65"/>
      <c r="AM274" s="65"/>
      <c r="AN274" s="65"/>
      <c r="AO274" s="65"/>
      <c r="AP274" s="65"/>
      <c r="AQ274" s="65"/>
      <c r="AR274" s="65"/>
      <c r="AS274" s="65"/>
      <c r="AT274" s="3879">
        <f ca="1">NOW()</f>
        <v>43493.476067824071</v>
      </c>
      <c r="AU274" s="3879"/>
      <c r="AV274" s="138"/>
      <c r="AW274" s="54"/>
      <c r="AX274" s="54"/>
      <c r="AY274" s="54"/>
      <c r="AZ274" s="54"/>
      <c r="BA274" s="54"/>
      <c r="BB274" s="54"/>
      <c r="BC274" s="54"/>
    </row>
    <row r="275" spans="1:55" ht="13.15">
      <c r="A275" s="45"/>
      <c r="B275" s="1728"/>
      <c r="C275" s="2426"/>
      <c r="D275" s="2427"/>
      <c r="E275" s="2473" t="s">
        <v>433</v>
      </c>
      <c r="F275" s="3897">
        <f>E16</f>
        <v>2017</v>
      </c>
      <c r="G275" s="3898"/>
      <c r="H275" s="3897">
        <f>F275+1</f>
        <v>2018</v>
      </c>
      <c r="I275" s="3898"/>
      <c r="J275" s="3897">
        <f>H275+1</f>
        <v>2019</v>
      </c>
      <c r="K275" s="3898"/>
      <c r="L275" s="3897">
        <f>J275+1</f>
        <v>2020</v>
      </c>
      <c r="M275" s="3902"/>
      <c r="N275" s="2515"/>
      <c r="O275" s="54"/>
      <c r="P275" s="54"/>
      <c r="Q275" s="54"/>
      <c r="R275" s="54"/>
      <c r="S275" s="275"/>
      <c r="T275" s="191"/>
      <c r="U275" s="73"/>
      <c r="V275" s="142" t="s">
        <v>433</v>
      </c>
      <c r="W275" s="3899">
        <f>Last_forecast_year - 3</f>
        <v>2017</v>
      </c>
      <c r="X275" s="3900"/>
      <c r="Y275" s="3899">
        <f>W275+1</f>
        <v>2018</v>
      </c>
      <c r="Z275" s="3900"/>
      <c r="AA275" s="3899">
        <f>Y275+1</f>
        <v>2019</v>
      </c>
      <c r="AB275" s="3900"/>
      <c r="AC275" s="3899">
        <f>AA275+1</f>
        <v>2020</v>
      </c>
      <c r="AD275" s="3914"/>
      <c r="AE275" s="192"/>
      <c r="AF275" s="45"/>
      <c r="AG275" s="45"/>
      <c r="AH275" s="45"/>
      <c r="AI275" s="45"/>
      <c r="AJ275" s="275"/>
      <c r="AK275" s="191"/>
      <c r="AL275" s="73"/>
      <c r="AM275" s="142" t="s">
        <v>433</v>
      </c>
      <c r="AN275" s="3899">
        <f>Last_forecast_year - 3</f>
        <v>2017</v>
      </c>
      <c r="AO275" s="3900"/>
      <c r="AP275" s="3899">
        <f>AN275+1</f>
        <v>2018</v>
      </c>
      <c r="AQ275" s="3900"/>
      <c r="AR275" s="3899">
        <f>AP275+1</f>
        <v>2019</v>
      </c>
      <c r="AS275" s="3900"/>
      <c r="AT275" s="3899">
        <f>AR275+1</f>
        <v>2020</v>
      </c>
      <c r="AU275" s="3914"/>
      <c r="AV275" s="192"/>
      <c r="AW275" s="54"/>
      <c r="AX275" s="54"/>
      <c r="AY275" s="54"/>
      <c r="AZ275" s="54"/>
      <c r="BA275" s="54"/>
      <c r="BB275" s="54"/>
      <c r="BC275" s="54"/>
    </row>
    <row r="276" spans="1:55" ht="13.15">
      <c r="A276" s="45"/>
      <c r="B276" s="1728"/>
      <c r="C276" s="1721"/>
      <c r="D276" s="2420"/>
      <c r="E276" s="2708"/>
      <c r="F276" s="2709" t="s">
        <v>1219</v>
      </c>
      <c r="G276" s="2710" t="s">
        <v>1220</v>
      </c>
      <c r="H276" s="2709" t="s">
        <v>1219</v>
      </c>
      <c r="I276" s="2710" t="s">
        <v>1220</v>
      </c>
      <c r="J276" s="2709" t="s">
        <v>1219</v>
      </c>
      <c r="K276" s="2710" t="s">
        <v>1220</v>
      </c>
      <c r="L276" s="2709" t="s">
        <v>1219</v>
      </c>
      <c r="M276" s="2711" t="s">
        <v>1220</v>
      </c>
      <c r="N276" s="2712"/>
      <c r="O276" s="54"/>
      <c r="P276" s="54"/>
      <c r="Q276" s="54"/>
      <c r="R276" s="54"/>
      <c r="S276" s="275"/>
      <c r="T276" s="40"/>
      <c r="U276" s="65"/>
      <c r="V276" s="377"/>
      <c r="W276" s="489" t="s">
        <v>1219</v>
      </c>
      <c r="X276" s="1803" t="s">
        <v>1220</v>
      </c>
      <c r="Y276" s="489" t="s">
        <v>1219</v>
      </c>
      <c r="Z276" s="1803" t="s">
        <v>1220</v>
      </c>
      <c r="AA276" s="489" t="s">
        <v>1219</v>
      </c>
      <c r="AB276" s="1803" t="s">
        <v>1220</v>
      </c>
      <c r="AC276" s="489" t="s">
        <v>1219</v>
      </c>
      <c r="AD276" s="1804" t="s">
        <v>1220</v>
      </c>
      <c r="AE276" s="378"/>
      <c r="AF276" s="45"/>
      <c r="AG276" s="45"/>
      <c r="AH276" s="45"/>
      <c r="AI276" s="45"/>
      <c r="AJ276" s="275"/>
      <c r="AK276" s="40"/>
      <c r="AL276" s="65"/>
      <c r="AM276" s="377"/>
      <c r="AN276" s="489" t="s">
        <v>1219</v>
      </c>
      <c r="AO276" s="1803" t="s">
        <v>1220</v>
      </c>
      <c r="AP276" s="489" t="s">
        <v>1219</v>
      </c>
      <c r="AQ276" s="1803" t="s">
        <v>1220</v>
      </c>
      <c r="AR276" s="489" t="s">
        <v>1219</v>
      </c>
      <c r="AS276" s="1803" t="s">
        <v>1220</v>
      </c>
      <c r="AT276" s="489" t="s">
        <v>1219</v>
      </c>
      <c r="AU276" s="1804" t="s">
        <v>1220</v>
      </c>
      <c r="AV276" s="378"/>
      <c r="AW276" s="54"/>
      <c r="AX276" s="54"/>
      <c r="AY276" s="54"/>
      <c r="AZ276" s="54"/>
      <c r="BA276" s="54"/>
      <c r="BB276" s="54"/>
      <c r="BC276" s="54"/>
    </row>
    <row r="277" spans="1:55" ht="13.15">
      <c r="A277" s="45"/>
      <c r="B277" s="1728"/>
      <c r="C277" s="2453"/>
      <c r="D277" s="2412"/>
      <c r="E277" s="2713"/>
      <c r="F277" s="2714"/>
      <c r="G277" s="3881" t="s">
        <v>434</v>
      </c>
      <c r="H277" s="3881"/>
      <c r="I277" s="3881"/>
      <c r="J277" s="3881"/>
      <c r="K277" s="3881"/>
      <c r="L277" s="3881"/>
      <c r="M277" s="2715"/>
      <c r="N277" s="2432"/>
      <c r="O277" s="334"/>
      <c r="P277" s="54"/>
      <c r="Q277" s="54"/>
      <c r="R277" s="54"/>
      <c r="S277" s="275"/>
      <c r="T277" s="148"/>
      <c r="U277" s="57"/>
      <c r="V277" s="379"/>
      <c r="W277" s="380"/>
      <c r="X277" s="3884" t="s">
        <v>434</v>
      </c>
      <c r="Y277" s="3884"/>
      <c r="Z277" s="3884"/>
      <c r="AA277" s="3884"/>
      <c r="AB277" s="3884"/>
      <c r="AC277" s="3884"/>
      <c r="AD277" s="381"/>
      <c r="AE277" s="267"/>
      <c r="AF277" s="45"/>
      <c r="AG277" s="45"/>
      <c r="AH277" s="45"/>
      <c r="AI277" s="45"/>
      <c r="AJ277" s="275"/>
      <c r="AK277" s="148"/>
      <c r="AL277" s="57"/>
      <c r="AM277" s="379"/>
      <c r="AN277" s="380"/>
      <c r="AO277" s="3884" t="s">
        <v>434</v>
      </c>
      <c r="AP277" s="3884"/>
      <c r="AQ277" s="3884"/>
      <c r="AR277" s="3884"/>
      <c r="AS277" s="3884"/>
      <c r="AT277" s="3884"/>
      <c r="AU277" s="381"/>
      <c r="AV277" s="267"/>
      <c r="AW277" s="334"/>
      <c r="AX277" s="54"/>
      <c r="AY277" s="54"/>
      <c r="AZ277" s="54"/>
      <c r="BA277" s="334"/>
      <c r="BB277" s="334"/>
      <c r="BC277" s="54"/>
    </row>
    <row r="278" spans="1:55">
      <c r="A278" s="45"/>
      <c r="B278" s="1728"/>
      <c r="C278" s="2716" t="s">
        <v>468</v>
      </c>
      <c r="D278" s="2717"/>
      <c r="E278" s="2718" t="s">
        <v>1886</v>
      </c>
      <c r="F278" s="2484">
        <f ca="1">Transfer!D301</f>
        <v>3959.9459822966428</v>
      </c>
      <c r="G278" s="2480">
        <f ca="1">100*((Transfer!D301/Transfer!C301)-1)</f>
        <v>2.1558791586946846</v>
      </c>
      <c r="H278" s="2480">
        <f ca="1">Transfer!E301</f>
        <v>4053.8191714220393</v>
      </c>
      <c r="I278" s="2457">
        <f ca="1">100*((Transfer!E301/Transfer!D301)-1)</f>
        <v>2.3705674154411938</v>
      </c>
      <c r="J278" s="2480">
        <f ca="1">Transfer!F301</f>
        <v>4122.1744534734044</v>
      </c>
      <c r="K278" s="2457">
        <f ca="1">100*((Transfer!F301/Transfer!E301)-1)</f>
        <v>1.686194651533679</v>
      </c>
      <c r="L278" s="2480">
        <f ca="1">Transfer!G301</f>
        <v>4195.1688211103556</v>
      </c>
      <c r="M278" s="2481">
        <f ca="1">100*((Transfer!G301/Transfer!F301)-1)</f>
        <v>1.7707733736364473</v>
      </c>
      <c r="N278" s="2437"/>
      <c r="O278" s="334"/>
      <c r="P278" s="54"/>
      <c r="Q278" s="54"/>
      <c r="R278" s="54"/>
      <c r="S278" s="275"/>
      <c r="T278" s="179" t="s">
        <v>468</v>
      </c>
      <c r="U278" s="63"/>
      <c r="V278" s="382" t="s">
        <v>1886</v>
      </c>
      <c r="W278" s="107">
        <f t="shared" ref="W278:AD284" ca="1" si="21">ROUND(F278,1)-ROUND(AN278,1)</f>
        <v>128.20000000000027</v>
      </c>
      <c r="X278" s="107">
        <f t="shared" ca="1" si="21"/>
        <v>-0.79999999999999982</v>
      </c>
      <c r="Y278" s="107">
        <f t="shared" ca="1" si="21"/>
        <v>128.80000000000018</v>
      </c>
      <c r="Z278" s="107">
        <f t="shared" ca="1" si="21"/>
        <v>0</v>
      </c>
      <c r="AA278" s="107">
        <f t="shared" ca="1" si="21"/>
        <v>95.299999999999727</v>
      </c>
      <c r="AB278" s="107">
        <f t="shared" ca="1" si="21"/>
        <v>-0.90000000000000013</v>
      </c>
      <c r="AC278" s="107">
        <f t="shared" ca="1" si="21"/>
        <v>89.599999999999454</v>
      </c>
      <c r="AD278" s="81">
        <f t="shared" ca="1" si="21"/>
        <v>-0.19999999999999996</v>
      </c>
      <c r="AE278" s="82"/>
      <c r="AF278" s="45"/>
      <c r="AG278" s="45"/>
      <c r="AH278" s="45"/>
      <c r="AI278" s="45"/>
      <c r="AJ278" s="275"/>
      <c r="AK278" s="2247" t="s">
        <v>468</v>
      </c>
      <c r="AL278" s="2248"/>
      <c r="AM278" s="2249" t="s">
        <v>1886</v>
      </c>
      <c r="AN278" s="2200">
        <f>Transfer!AD301</f>
        <v>3831.7221412813342</v>
      </c>
      <c r="AO278" s="2180">
        <f>100*((Transfer!AD301/Transfer!AC301)-1)</f>
        <v>3.0100122476101054</v>
      </c>
      <c r="AP278" s="2180">
        <f>Transfer!AE301</f>
        <v>3924.9817502917203</v>
      </c>
      <c r="AQ278" s="2174">
        <f>100*((Transfer!AE301/Transfer!AD301)-1)</f>
        <v>2.4338823529411746</v>
      </c>
      <c r="AR278" s="2180">
        <f>Transfer!AF301</f>
        <v>4026.9426847701561</v>
      </c>
      <c r="AS278" s="2174">
        <f>100*((Transfer!AF301/Transfer!AE301)-1)</f>
        <v>2.5977428932212998</v>
      </c>
      <c r="AT278" s="2180">
        <f>Transfer!AG301</f>
        <v>4105.601785160673</v>
      </c>
      <c r="AU278" s="2181">
        <f>100*((Transfer!AG301/Transfer!AF301)-1)</f>
        <v>1.9533205845716273</v>
      </c>
      <c r="AV278" s="82"/>
      <c r="AW278" s="334"/>
      <c r="AX278" s="54"/>
      <c r="AY278" s="54"/>
      <c r="AZ278" s="54"/>
      <c r="BA278" s="1751" t="s">
        <v>1465</v>
      </c>
      <c r="BB278" s="2057" t="s">
        <v>1465</v>
      </c>
      <c r="BC278" s="54"/>
    </row>
    <row r="279" spans="1:55">
      <c r="A279" s="45"/>
      <c r="B279" s="1728"/>
      <c r="C279" s="1721" t="str">
        <f>IF(Transfer!C160=-9999,"  2. Employment ('000)","  2. Full-time equivalent employment ('000)")</f>
        <v xml:space="preserve">  2. Employment ('000)</v>
      </c>
      <c r="D279" s="2420"/>
      <c r="E279" s="2589"/>
      <c r="F279" s="1723">
        <f ca="1">IF(Transfer!D160=-9999,Transfer!D159,Transfer!D160)</f>
        <v>5011.3</v>
      </c>
      <c r="G279" s="1723">
        <f ca="1">IF(Transfer!D160=-9999,100*(Transfer!D159/Transfer!C159-1),100*(Transfer!D160/Transfer!C160-1))</f>
        <v>2.3445318084345912</v>
      </c>
      <c r="H279" s="1723">
        <f ca="1">IF(Transfer!E160=-9999,Transfer!E159,Transfer!E160)</f>
        <v>5094.5333799999999</v>
      </c>
      <c r="I279" s="1723">
        <f ca="1">IF(Transfer!E160=-9999,100*(Transfer!E159/Transfer!D159-1),100*(Transfer!E160/Transfer!D160-1))</f>
        <v>1.6609139345080015</v>
      </c>
      <c r="J279" s="1723">
        <f ca="1">IF(Transfer!F160=-9999,Transfer!F159,Transfer!F160)</f>
        <v>5138.2908682299994</v>
      </c>
      <c r="K279" s="1723">
        <f ca="1">IF(Transfer!F160=-9999,100*(Transfer!F159/Transfer!E159-1),100*(Transfer!F160/Transfer!E160-1))</f>
        <v>0.85891061979850303</v>
      </c>
      <c r="L279" s="1723">
        <f ca="1">IF(Transfer!G160=-9999,Transfer!G159,Transfer!G160)</f>
        <v>5172.2271197432647</v>
      </c>
      <c r="M279" s="1724">
        <f ca="1">IF(Transfer!G160=-9999,100*(Transfer!G159/Transfer!F159-1),100*(Transfer!G160/Transfer!F160-1))</f>
        <v>0.66045796907086007</v>
      </c>
      <c r="N279" s="2437"/>
      <c r="O279" s="334"/>
      <c r="P279" s="54"/>
      <c r="Q279" s="54"/>
      <c r="R279" s="54"/>
      <c r="S279" s="275"/>
      <c r="T279" s="40" t="str">
        <f>IF(Transfer!T160=-9999,"  2. Employment ('000)","  2. Full-time equivalent employment ('000)")</f>
        <v xml:space="preserve">  2. Full-time equivalent employment ('000)</v>
      </c>
      <c r="U279" s="65"/>
      <c r="V279" s="382"/>
      <c r="W279" s="107">
        <f t="shared" ca="1" si="21"/>
        <v>121.5</v>
      </c>
      <c r="X279" s="107">
        <f t="shared" ca="1" si="21"/>
        <v>0.59999999999999987</v>
      </c>
      <c r="Y279" s="107">
        <f t="shared" ca="1" si="21"/>
        <v>91</v>
      </c>
      <c r="Z279" s="107">
        <f t="shared" ca="1" si="21"/>
        <v>-0.59999999999999987</v>
      </c>
      <c r="AA279" s="107">
        <f t="shared" ca="1" si="21"/>
        <v>52.699999999999818</v>
      </c>
      <c r="AB279" s="107">
        <f t="shared" ca="1" si="21"/>
        <v>-0.70000000000000007</v>
      </c>
      <c r="AC279" s="107">
        <f t="shared" ca="1" si="21"/>
        <v>22.399999999999636</v>
      </c>
      <c r="AD279" s="93">
        <f t="shared" ca="1" si="21"/>
        <v>-0.60000000000000009</v>
      </c>
      <c r="AE279" s="82"/>
      <c r="AF279" s="45"/>
      <c r="AG279" s="45"/>
      <c r="AH279" s="45"/>
      <c r="AI279" s="45"/>
      <c r="AJ279" s="275"/>
      <c r="AK279" s="40" t="str">
        <f>IF(Transfer!AK160=-9999,"  2. Employment ('000)","  2. Full-time equivalent employment ('000)")</f>
        <v xml:space="preserve">  2. Employment ('000)</v>
      </c>
      <c r="AL279" s="65"/>
      <c r="AM279" s="382"/>
      <c r="AN279" s="2042">
        <f>IF(Transfer!AD160=-9999,Transfer!AD159,Transfer!AD160)</f>
        <v>4889.8</v>
      </c>
      <c r="AO279" s="2042">
        <f>IF(Transfer!AD160=-9999,100*(Transfer!AD159/Transfer!AC159-1),100*(Transfer!AD160/Transfer!AC160-1))</f>
        <v>1.7140242126721494</v>
      </c>
      <c r="AP279" s="2042">
        <f>IF(Transfer!AE160=-9999,Transfer!AE159,Transfer!AE160)</f>
        <v>5003.5</v>
      </c>
      <c r="AQ279" s="2042">
        <f>IF(Transfer!AE160=-9999,100*(Transfer!AE159/Transfer!AD159-1),100*(Transfer!AE160/Transfer!AD160-1))</f>
        <v>2.3252484764203052</v>
      </c>
      <c r="AR279" s="2042">
        <f>IF(Transfer!AF160=-9999,Transfer!AF159,Transfer!AF160)</f>
        <v>5085.5630000000001</v>
      </c>
      <c r="AS279" s="2042">
        <f>IF(Transfer!AF160=-9999,100*(Transfer!AF159/Transfer!AE159-1),100*(Transfer!AF160/Transfer!AE160-1))</f>
        <v>1.6401119216548521</v>
      </c>
      <c r="AT279" s="2042">
        <f>IF(Transfer!AG160=-9999,Transfer!AG159,Transfer!AG160)</f>
        <v>5149.7881854999996</v>
      </c>
      <c r="AU279" s="2043">
        <f>IF(Transfer!AG160=-9999,100*(Transfer!AG159/Transfer!AF159-1),100*(Transfer!AG160/Transfer!AF160-1))</f>
        <v>1.2628923385670232</v>
      </c>
      <c r="AV279" s="82"/>
      <c r="AW279" s="334"/>
      <c r="AX279" s="54"/>
      <c r="AY279" s="54"/>
      <c r="AZ279" s="54"/>
      <c r="BA279" s="1753" t="s">
        <v>271</v>
      </c>
      <c r="BB279" s="1790" t="s">
        <v>1466</v>
      </c>
      <c r="BC279" s="54"/>
    </row>
    <row r="280" spans="1:55">
      <c r="A280" s="45"/>
      <c r="B280" s="1728"/>
      <c r="C280" s="2716" t="str">
        <f>IF(Transfer!C160=-9999,"  3. GVA per occupied person (1:2)","  3. GVA per occupied f.t.e (1:2)")</f>
        <v xml:space="preserve">  3. GVA per occupied person (1:2)</v>
      </c>
      <c r="D280" s="2717"/>
      <c r="E280" s="2718"/>
      <c r="F280" s="2484">
        <f ca="1">IF(Transfer!D160=-9999,1000*(Transfer!D301)/Transfer!D159,1000*(Transfer!D301)/Transfer!D160)</f>
        <v>790.20333691789415</v>
      </c>
      <c r="G280" s="2456">
        <f ca="1">IF(Transfer!D160=-9999,100*(((1000*(Transfer!D301)/Transfer!D159)/((1000*(Transfer!C301)/Transfer!C159)))-1),100*(((1000*(Transfer!D301)/Transfer!D160)/((1000*(Transfer!C301)/Transfer!C160)))-1))</f>
        <v>-0.1843309519389047</v>
      </c>
      <c r="H280" s="2456">
        <f ca="1">IF(Transfer!E160=-9999,1000*(Transfer!E301)/Transfer!E159,1000*(Transfer!E301)/Transfer!E160)</f>
        <v>795.71942493034351</v>
      </c>
      <c r="I280" s="2457">
        <f ca="1">IF(Transfer!E160=-9999,100*(((1000*(Transfer!E301)/Transfer!E159)/((1000*(Transfer!D301)/Transfer!D159)))-1),100*(((1000*(Transfer!E301)/Transfer!E160)/((1000*(Transfer!D301)/Transfer!D160)))-1))</f>
        <v>0.69805931647470842</v>
      </c>
      <c r="J280" s="2456">
        <f ca="1">IF(Transfer!F160=-9999,1000*(Transfer!F301)/Transfer!F159,1000*(Transfer!F301)/Transfer!F160)</f>
        <v>802.24622528879547</v>
      </c>
      <c r="K280" s="2457">
        <f ca="1">IF(Transfer!F160=-9999,100*(((1000*(Transfer!F301)/Transfer!F159)/((1000*(Transfer!E301)/Transfer!E159)))-1),100*(((1000*(Transfer!F301)/Transfer!F160)/((1000*(Transfer!E301)/Transfer!E160)))-1))</f>
        <v>0.82023891260707416</v>
      </c>
      <c r="L280" s="2456">
        <f ca="1">IF(Transfer!G160=-9999,1000*(Transfer!G301)/Transfer!G159,1000*(Transfer!G301)/Transfer!G160)</f>
        <v>811.09524465712025</v>
      </c>
      <c r="M280" s="2458">
        <f ca="1">IF(Transfer!G160=-9999,100*(((1000*(Transfer!G301)/Transfer!G159)/((1000*(Transfer!F301)/Transfer!F159)))-1),100*(((1000*(Transfer!G301)/Transfer!G160)/((1000*(Transfer!F301)/Transfer!F160)))-1))</f>
        <v>1.1030303526999186</v>
      </c>
      <c r="N280" s="2437"/>
      <c r="O280" s="334"/>
      <c r="P280" s="54"/>
      <c r="Q280" s="54"/>
      <c r="R280" s="54"/>
      <c r="S280" s="275"/>
      <c r="T280" s="40" t="str">
        <f>IF(Transfer!T160=-9999,"  3. GVA per occupied person (1:2)","  3. GVA per occupied f.t.e (1:2)")</f>
        <v xml:space="preserve">  3. GVA per occupied f.t.e (1:2)</v>
      </c>
      <c r="U280" s="65"/>
      <c r="V280" s="382"/>
      <c r="W280" s="107">
        <f t="shared" ca="1" si="21"/>
        <v>6.6000000000000227</v>
      </c>
      <c r="X280" s="107">
        <f t="shared" ca="1" si="21"/>
        <v>-1.5</v>
      </c>
      <c r="Y280" s="107">
        <f t="shared" ca="1" si="21"/>
        <v>11.300000000000068</v>
      </c>
      <c r="Z280" s="107">
        <f t="shared" ca="1" si="21"/>
        <v>0.6</v>
      </c>
      <c r="AA280" s="107">
        <f t="shared" ca="1" si="21"/>
        <v>10.400000000000091</v>
      </c>
      <c r="AB280" s="107">
        <f t="shared" ca="1" si="21"/>
        <v>-9.9999999999999978E-2</v>
      </c>
      <c r="AC280" s="107">
        <f t="shared" ca="1" si="21"/>
        <v>13.899999999999977</v>
      </c>
      <c r="AD280" s="93">
        <f t="shared" ca="1" si="21"/>
        <v>0.40000000000000013</v>
      </c>
      <c r="AE280" s="82"/>
      <c r="AF280" s="45"/>
      <c r="AG280" s="45"/>
      <c r="AH280" s="45"/>
      <c r="AI280" s="45"/>
      <c r="AJ280" s="275"/>
      <c r="AK280" s="2247" t="str">
        <f>IF(Transfer!AK160=-9999,"  3. GVA per occupied person (1:2)","  3. GVA per occupied f.t.e (1:2)")</f>
        <v xml:space="preserve">  3. GVA per occupied person (1:2)</v>
      </c>
      <c r="AL280" s="2248"/>
      <c r="AM280" s="2249"/>
      <c r="AN280" s="2200">
        <f>IF(Transfer!AD160=-9999,1000*(Transfer!AD301)/Transfer!AD159,1000*(Transfer!AD301)/Transfer!AD160)</f>
        <v>783.61530968165039</v>
      </c>
      <c r="AO280" s="2173">
        <f>IF(Transfer!AD160=-9999,100*(((1000*(Transfer!AD301)/Transfer!AD159)/((1000*(Transfer!AC301)/Transfer!AC159)))-1),100*(((1000*(Transfer!AD301)/Transfer!AD160)/((1000*(Transfer!AC301)/Transfer!AC160)))-1))</f>
        <v>1.2741488157308689</v>
      </c>
      <c r="AP280" s="2173">
        <f>IF(Transfer!AE160=-9999,1000*(Transfer!AE301)/Transfer!AE159,1000*(Transfer!AE301)/Transfer!AE160)</f>
        <v>784.44723699244935</v>
      </c>
      <c r="AQ280" s="2174">
        <f>IF(Transfer!AE160=-9999,100*(((1000*(Transfer!AE301)/Transfer!AE159)/((1000*(Transfer!AD301)/Transfer!AD159)))-1),100*(((1000*(Transfer!AE301)/Transfer!AE160)/((1000*(Transfer!AD301)/Transfer!AD160)))-1))</f>
        <v>0.10616527019322586</v>
      </c>
      <c r="AR280" s="2173">
        <f>IF(Transfer!AF160=-9999,1000*(Transfer!AF301)/Transfer!AF159,1000*(Transfer!AF301)/Transfer!AF160)</f>
        <v>791.83812780810229</v>
      </c>
      <c r="AS280" s="2174">
        <f>IF(Transfer!AF160=-9999,100*(((1000*(Transfer!AF301)/Transfer!AF159)/((1000*(Transfer!AE301)/Transfer!AE159)))-1),100*(((1000*(Transfer!AF301)/Transfer!AF160)/((1000*(Transfer!AE301)/Transfer!AE160)))-1))</f>
        <v>0.94217819467239394</v>
      </c>
      <c r="AT280" s="2173">
        <f>IF(Transfer!AG160=-9999,1000*(Transfer!AG301)/Transfer!AG159,1000*(Transfer!AG301)/Transfer!AG160)</f>
        <v>797.23701971289029</v>
      </c>
      <c r="AU280" s="2175">
        <f>IF(Transfer!AG160=-9999,100*(((1000*(Transfer!AG301)/Transfer!AG159)/((1000*(Transfer!AF301)/Transfer!AF159)))-1),100*(((1000*(Transfer!AG301)/Transfer!AG160)/((1000*(Transfer!AF301)/Transfer!AF160)))-1))</f>
        <v>0.68181762347472308</v>
      </c>
      <c r="AV280" s="82"/>
      <c r="AW280" s="334"/>
      <c r="AX280" s="54"/>
      <c r="AY280" s="54"/>
      <c r="AZ280" s="54"/>
      <c r="BA280" s="1753" t="s">
        <v>1018</v>
      </c>
      <c r="BB280" s="1790" t="s">
        <v>1467</v>
      </c>
      <c r="BC280" s="54"/>
    </row>
    <row r="281" spans="1:55">
      <c r="A281" s="45"/>
      <c r="B281" s="1728"/>
      <c r="C281" s="1721" t="str">
        <f>IF(Transfer!D164=-9999,"  4. Compensation of employees per head","  4. Compensation of employees / f.t.e")</f>
        <v xml:space="preserve">  4. Compensation of employees per head</v>
      </c>
      <c r="D281" s="2420"/>
      <c r="E281" s="2589"/>
      <c r="F281" s="1723">
        <f ca="1">IF(Transfer!D164=-9999,1000*(Transfer!D161)/Transfer!D163,1000*(Transfer!D161)/Transfer!D164)</f>
        <v>448.83215779289679</v>
      </c>
      <c r="G281" s="1723">
        <f ca="1">IF(Transfer!D164=-9999,100*(((1000*(Transfer!D161)/Transfer!D163)/((1000*(Transfer!C161)/Transfer!C163)))-1),100*(((1000*(Transfer!D161)/Transfer!D164)/((1000*(Transfer!C161)/Transfer!C164)))-1))</f>
        <v>1.994599444054912</v>
      </c>
      <c r="H281" s="1723">
        <f ca="1">IF(Transfer!E164=-9999,1000*(Transfer!E161)/Transfer!E163,1000*(Transfer!E161)/Transfer!E164)</f>
        <v>460.96225798352162</v>
      </c>
      <c r="I281" s="1723">
        <f ca="1">IF(Transfer!E164=-9999,100*(((1000*(Transfer!E161)/Transfer!E163)/((1000*(Transfer!D161)/Transfer!D163)))-1),100*(((1000*(Transfer!E161)/Transfer!E164)/((1000*(Transfer!D161)/Transfer!D164)))-1))</f>
        <v>2.7025915991121918</v>
      </c>
      <c r="J281" s="1723">
        <f ca="1">IF(Transfer!F164=-9999,1000*(Transfer!F161)/Transfer!F163,1000*(Transfer!F161)/Transfer!F164)</f>
        <v>473.26839209813875</v>
      </c>
      <c r="K281" s="1723">
        <f ca="1">IF(Transfer!F164=-9999,100*(((1000*(Transfer!F161)/Transfer!F163)/((1000*(Transfer!E161)/Transfer!E163)))-1),100*(((1000*(Transfer!F161)/Transfer!F164)/((1000*(Transfer!E161)/Transfer!E164)))-1))</f>
        <v>2.6696619737264893</v>
      </c>
      <c r="L281" s="1723">
        <f ca="1">IF(Transfer!G164=-9999,1000*(Transfer!G161)/Transfer!G163,1000*(Transfer!G161)/Transfer!G164)</f>
        <v>484.89211111817821</v>
      </c>
      <c r="M281" s="1724">
        <f ca="1">IF(Transfer!G164=-9999,100*(((1000*(Transfer!G161)/Transfer!G163)/((1000*(Transfer!F161)/Transfer!F163)))-1),100*(((1000*(Transfer!G161)/Transfer!G164)/((1000*(Transfer!F161)/Transfer!F164)))-1))</f>
        <v>2.4560522557840914</v>
      </c>
      <c r="N281" s="2437"/>
      <c r="O281" s="334"/>
      <c r="P281" s="54"/>
      <c r="Q281" s="54"/>
      <c r="R281" s="54"/>
      <c r="S281" s="275"/>
      <c r="T281" s="40" t="str">
        <f>IF(Transfer!U164=-9999,"  4. Compensation of employees per head","  4. Compensation of employees / f.t.e")</f>
        <v xml:space="preserve">  4. Compensation of employees / f.t.e</v>
      </c>
      <c r="U281" s="65"/>
      <c r="V281" s="382"/>
      <c r="W281" s="107">
        <f t="shared" ca="1" si="21"/>
        <v>7.6000000000000227</v>
      </c>
      <c r="X281" s="107">
        <f t="shared" ca="1" si="21"/>
        <v>-0.79999999999999982</v>
      </c>
      <c r="Y281" s="107">
        <f t="shared" ca="1" si="21"/>
        <v>10.5</v>
      </c>
      <c r="Z281" s="107">
        <f t="shared" ca="1" si="21"/>
        <v>0.60000000000000009</v>
      </c>
      <c r="AA281" s="107">
        <f t="shared" ca="1" si="21"/>
        <v>10.800000000000011</v>
      </c>
      <c r="AB281" s="107">
        <f t="shared" ca="1" si="21"/>
        <v>0</v>
      </c>
      <c r="AC281" s="107">
        <f t="shared" ca="1" si="21"/>
        <v>11</v>
      </c>
      <c r="AD281" s="93">
        <f t="shared" ca="1" si="21"/>
        <v>0.10000000000000009</v>
      </c>
      <c r="AE281" s="82"/>
      <c r="AF281" s="45"/>
      <c r="AG281" s="45"/>
      <c r="AH281" s="45"/>
      <c r="AI281" s="45"/>
      <c r="AJ281" s="275"/>
      <c r="AK281" s="40" t="str">
        <f>IF(Transfer!AL164=-9999,"  4. Compensation of employees per head","  4. Compensation of employees / f.t.e")</f>
        <v xml:space="preserve">  4. Compensation of employees per head</v>
      </c>
      <c r="AL281" s="65"/>
      <c r="AM281" s="382"/>
      <c r="AN281" s="2042">
        <f>IF(Transfer!AD164=-9999,1000*(Transfer!AD161)/Transfer!AD163,1000*(Transfer!AD161)/Transfer!AD164)</f>
        <v>441.22251896164937</v>
      </c>
      <c r="AO281" s="2042">
        <f>IF(Transfer!AD164=-9999,100*(((1000*(Transfer!AD161)/Transfer!AD163)/((1000*(Transfer!AC161)/Transfer!AC163)))-1),100*(((1000*(Transfer!AD161)/Transfer!AD164)/((1000*(Transfer!AC161)/Transfer!AC164)))-1))</f>
        <v>2.7826018407997033</v>
      </c>
      <c r="AP281" s="2042">
        <f>IF(Transfer!AE164=-9999,1000*(Transfer!AE161)/Transfer!AE163,1000*(Transfer!AE161)/Transfer!AE164)</f>
        <v>450.51392130710241</v>
      </c>
      <c r="AQ281" s="2042">
        <f>IF(Transfer!AE164=-9999,100*(((1000*(Transfer!AE161)/Transfer!AE163)/((1000*(Transfer!AD161)/Transfer!AD163)))-1),100*(((1000*(Transfer!AE161)/Transfer!AE164)/((1000*(Transfer!AD161)/Transfer!AD164)))-1))</f>
        <v>2.1058313993852718</v>
      </c>
      <c r="AR281" s="2042">
        <f>IF(Transfer!AF164=-9999,1000*(Transfer!AF161)/Transfer!AF163,1000*(Transfer!AF161)/Transfer!AF164)</f>
        <v>462.5236179380932</v>
      </c>
      <c r="AS281" s="2042">
        <f>IF(Transfer!AF164=-9999,100*(((1000*(Transfer!AF161)/Transfer!AF163)/((1000*(Transfer!AE161)/Transfer!AE163)))-1),100*(((1000*(Transfer!AF161)/Transfer!AF164)/((1000*(Transfer!AE161)/Transfer!AE164)))-1))</f>
        <v>2.6657770299631123</v>
      </c>
      <c r="AT281" s="2042">
        <f>IF(Transfer!AG164=-9999,1000*(Transfer!AG161)/Transfer!AG163,1000*(Transfer!AG161)/Transfer!AG164)</f>
        <v>473.85303618928145</v>
      </c>
      <c r="AU281" s="2043">
        <f>IF(Transfer!AG164=-9999,100*(((1000*(Transfer!AG161)/Transfer!AG163)/((1000*(Transfer!AF161)/Transfer!AF163)))-1),100*(((1000*(Transfer!AG161)/Transfer!AG164)/((1000*(Transfer!AF161)/Transfer!AF164)))-1))</f>
        <v>2.4494788615756047</v>
      </c>
      <c r="AV281" s="82"/>
      <c r="AW281" s="334"/>
      <c r="AX281" s="54"/>
      <c r="AY281" s="54"/>
      <c r="AZ281" s="54"/>
      <c r="BA281" s="1753" t="s">
        <v>2</v>
      </c>
      <c r="BB281" s="1790" t="s">
        <v>1468</v>
      </c>
      <c r="BC281" s="54"/>
    </row>
    <row r="282" spans="1:55">
      <c r="A282" s="45"/>
      <c r="B282" s="1728"/>
      <c r="C282" s="2442" t="str">
        <f>IF(Transfer!D164=-9999,"  4a. - of which, wages and salaries per head","  4a. - of which, wages and salaries / f.t.e")</f>
        <v xml:space="preserve">  4a. - of which, wages and salaries per head</v>
      </c>
      <c r="D282" s="2420"/>
      <c r="E282" s="2589"/>
      <c r="F282" s="1723">
        <f ca="1">IF(Transfer!D164=-9999,1000*(Transfer!D162)/Transfer!D163,1000*(Transfer!D162)/Transfer!D164)</f>
        <v>375.36649813786073</v>
      </c>
      <c r="G282" s="1723">
        <f ca="1">IF(Transfer!D164=-9999,100*(((1000*(Transfer!D162)/Transfer!D163)/((1000*(Transfer!C162)/Transfer!C163)))-1),100*(((1000*(Transfer!D162)/Transfer!D164)/((1000*(Transfer!C162)/Transfer!C164)))-1))</f>
        <v>2.2023193351139447</v>
      </c>
      <c r="H282" s="1723">
        <f ca="1">IF(Transfer!E164=-9999,1000*(Transfer!E162)/Transfer!E163,1000*(Transfer!E162)/Transfer!E164)</f>
        <v>385.64423971802398</v>
      </c>
      <c r="I282" s="1723">
        <f ca="1">IF(Transfer!E164=-9999,100*(((1000*(Transfer!E162)/Transfer!E163)/((1000*(Transfer!D162)/Transfer!D163)))-1),100*(((1000*(Transfer!E162)/Transfer!E164)/((1000*(Transfer!D162)/Transfer!D164)))-1))</f>
        <v>2.7380551091132688</v>
      </c>
      <c r="J282" s="1723">
        <f ca="1">IF(Transfer!F164=-9999,1000*(Transfer!F162)/Transfer!F163,1000*(Transfer!F162)/Transfer!F164)</f>
        <v>396.42474062552219</v>
      </c>
      <c r="K282" s="1723">
        <f ca="1">IF(Transfer!F164=-9999,100*(((1000*(Transfer!F162)/Transfer!F163)/((1000*(Transfer!E162)/Transfer!E163)))-1),100*(((1000*(Transfer!F162)/Transfer!F164)/((1000*(Transfer!E162)/Transfer!E164)))-1))</f>
        <v>2.7954523359095651</v>
      </c>
      <c r="L282" s="1723">
        <f ca="1">IF(Transfer!G164=-9999,1000*(Transfer!G162)/Transfer!G163,1000*(Transfer!G162)/Transfer!G164)</f>
        <v>406.57672574080033</v>
      </c>
      <c r="M282" s="1724">
        <f ca="1">IF(Transfer!G164=-9999,100*(((1000*(Transfer!G162)/Transfer!G163)/((1000*(Transfer!F162)/Transfer!F163)))-1),100*(((1000*(Transfer!G162)/Transfer!G164)/((1000*(Transfer!F162)/Transfer!F164)))-1))</f>
        <v>2.5608858567351955</v>
      </c>
      <c r="N282" s="2437"/>
      <c r="O282" s="334"/>
      <c r="P282" s="54"/>
      <c r="Q282" s="54"/>
      <c r="R282" s="54"/>
      <c r="S282" s="275"/>
      <c r="T282" s="86" t="str">
        <f>IF(Transfer!U164=-9999,"  4a. - of which, wages and salaries per head","  4a. - of which, wages and salaries / f.t.e")</f>
        <v xml:space="preserve">  4a. - of which, wages and salaries / f.t.e</v>
      </c>
      <c r="U282" s="65"/>
      <c r="V282" s="382"/>
      <c r="W282" s="107">
        <f t="shared" ca="1" si="21"/>
        <v>7.0999999999999659</v>
      </c>
      <c r="X282" s="107">
        <f t="shared" ca="1" si="21"/>
        <v>-0.5</v>
      </c>
      <c r="Y282" s="107">
        <f t="shared" ca="1" si="21"/>
        <v>9.1000000000000227</v>
      </c>
      <c r="Z282" s="107">
        <f t="shared" ca="1" si="21"/>
        <v>0.5</v>
      </c>
      <c r="AA282" s="107">
        <f t="shared" ca="1" si="21"/>
        <v>9.7999999999999545</v>
      </c>
      <c r="AB282" s="107">
        <f t="shared" ca="1" si="21"/>
        <v>9.9999999999999645E-2</v>
      </c>
      <c r="AC282" s="107">
        <f t="shared" ca="1" si="21"/>
        <v>10.200000000000045</v>
      </c>
      <c r="AD282" s="93">
        <f t="shared" ca="1" si="21"/>
        <v>0</v>
      </c>
      <c r="AE282" s="82"/>
      <c r="AF282" s="45"/>
      <c r="AG282" s="45"/>
      <c r="AH282" s="45"/>
      <c r="AI282" s="45"/>
      <c r="AJ282" s="275"/>
      <c r="AK282" s="86" t="str">
        <f>IF(Transfer!AL164=-9999,"  4a. - of which, wages and salaries per head","  4a. - of which, wages and salaries / f.t.e")</f>
        <v xml:space="preserve">  4a. - of which, wages and salaries per head</v>
      </c>
      <c r="AL282" s="65"/>
      <c r="AM282" s="382"/>
      <c r="AN282" s="2042">
        <f>IF(Transfer!AD164=-9999,1000*(Transfer!AD162)/Transfer!AD163,1000*(Transfer!AD162)/Transfer!AD164)</f>
        <v>368.3367161628031</v>
      </c>
      <c r="AO282" s="2042">
        <f>IF(Transfer!AD164=-9999,100*(((1000*(Transfer!AD162)/Transfer!AD163)/((1000*(Transfer!AC162)/Transfer!AC163)))-1),100*(((1000*(Transfer!AD162)/Transfer!AD164)/((1000*(Transfer!AC162)/Transfer!AC164)))-1))</f>
        <v>2.7363210513771774</v>
      </c>
      <c r="AP282" s="2042">
        <f>IF(Transfer!AE164=-9999,1000*(Transfer!AE162)/Transfer!AE163,1000*(Transfer!AE162)/Transfer!AE164)</f>
        <v>376.50529343114374</v>
      </c>
      <c r="AQ282" s="2042">
        <f>IF(Transfer!AE164=-9999,100*(((1000*(Transfer!AE162)/Transfer!AE163)/((1000*(Transfer!AD162)/Transfer!AD163)))-1),100*(((1000*(Transfer!AE162)/Transfer!AE164)/((1000*(Transfer!AD162)/Transfer!AD164)))-1))</f>
        <v>2.2176929178925997</v>
      </c>
      <c r="AR282" s="2042">
        <f>IF(Transfer!AF164=-9999,1000*(Transfer!AF162)/Transfer!AF163,1000*(Transfer!AF162)/Transfer!AF164)</f>
        <v>386.55711625782232</v>
      </c>
      <c r="AS282" s="2042">
        <f>IF(Transfer!AF164=-9999,100*(((1000*(Transfer!AF162)/Transfer!AF163)/((1000*(Transfer!AE162)/Transfer!AE163)))-1),100*(((1000*(Transfer!AF162)/Transfer!AF164)/((1000*(Transfer!AE162)/Transfer!AE164)))-1))</f>
        <v>2.6697693238453502</v>
      </c>
      <c r="AT282" s="2042">
        <f>IF(Transfer!AG164=-9999,1000*(Transfer!AG162)/Transfer!AG163,1000*(Transfer!AG162)/Transfer!AG164)</f>
        <v>396.43957442015056</v>
      </c>
      <c r="AU282" s="2043">
        <f>IF(Transfer!AG164=-9999,100*(((1000*(Transfer!AG162)/Transfer!AG163)/((1000*(Transfer!AF162)/Transfer!AF163)))-1),100*(((1000*(Transfer!AG162)/Transfer!AG164)/((1000*(Transfer!AF162)/Transfer!AF164)))-1))</f>
        <v>2.5565324622654151</v>
      </c>
      <c r="AV282" s="82"/>
      <c r="AW282" s="334"/>
      <c r="AX282" s="54"/>
      <c r="AY282" s="54"/>
      <c r="AZ282" s="54"/>
      <c r="BA282" s="1753" t="s">
        <v>1019</v>
      </c>
      <c r="BB282" s="1790" t="s">
        <v>1469</v>
      </c>
      <c r="BC282" s="54"/>
    </row>
    <row r="283" spans="1:55">
      <c r="A283" s="45"/>
      <c r="B283" s="1728"/>
      <c r="C283" s="2442" t="str">
        <f>IF(Transfer!D164=-9999,"  4b. - of which, employers' contribution per head","  4b. - of which, employers' contribution / f.t.e")</f>
        <v xml:space="preserve">  4b. - of which, employers' contribution per head</v>
      </c>
      <c r="D283" s="2461"/>
      <c r="E283" s="2719"/>
      <c r="F283" s="1723">
        <f ca="1">IF(Transfer!D164=-9999,1000*(Transfer!D161-Transfer!D162)/Transfer!D163,1000*(Transfer!D161-Transfer!D162)/Transfer!D164)</f>
        <v>73.465659655036134</v>
      </c>
      <c r="G283" s="1723">
        <f ca="1">IF(Transfer!D164=-9999,100*(((1000*(Transfer!D161-Transfer!D162)/Transfer!D163)/((1000*(Transfer!C161-Transfer!C162)/Transfer!C163)))-1),100*(((1000*(Transfer!D161-Transfer!D162)/Transfer!D164)/((1000*(Transfer!C161-Transfer!C162)/Transfer!C164)))-1))</f>
        <v>0.94631550292305633</v>
      </c>
      <c r="H283" s="1723">
        <f ca="1">IF(Transfer!E164=-9999,1000*(Transfer!E161-Transfer!E162)/Transfer!E163,1000*(Transfer!E161-Transfer!E162)/Transfer!E164)</f>
        <v>75.318018265497642</v>
      </c>
      <c r="I283" s="1723">
        <f ca="1">IF(Transfer!E164=-9999,100*(((1000*(Transfer!E161-Transfer!E162)/Transfer!E163)/((1000*(Transfer!D161-Transfer!D162)/Transfer!D163)))-1),100*(((1000*(Transfer!E161-Transfer!E162)/Transfer!E164)/((1000*(Transfer!D161-Transfer!D162)/Transfer!D164)))-1))</f>
        <v>2.5213938310217454</v>
      </c>
      <c r="J283" s="1723">
        <f ca="1">IF(Transfer!F164=-9999,1000*(Transfer!F161-Transfer!F162)/Transfer!F163,1000*(Transfer!F161-Transfer!F162)/Transfer!F164)</f>
        <v>76.843651472616585</v>
      </c>
      <c r="K283" s="1723">
        <f ca="1">IF(Transfer!F164=-9999,100*(((1000*(Transfer!F161-Transfer!F162)/Transfer!F163)/((1000*(Transfer!E161-Transfer!E162)/Transfer!E163)))-1),100*(((1000*(Transfer!F161-Transfer!F162)/Transfer!F164)/((1000*(Transfer!E161-Transfer!E162)/Transfer!E164)))-1))</f>
        <v>2.0255886204295193</v>
      </c>
      <c r="L283" s="1723">
        <f ca="1">IF(Transfer!G164=-9999,1000*(Transfer!G161-Transfer!G162)/Transfer!G163,1000*(Transfer!G161-Transfer!G162)/Transfer!G164)</f>
        <v>78.315385377377865</v>
      </c>
      <c r="M283" s="1724">
        <f ca="1">IF(Transfer!G164=-9999,100*(((1000*(Transfer!G161-Transfer!G162)/Transfer!G163)/((1000*(Transfer!F161-Transfer!F162)/Transfer!F163)))-1),100*(((1000*(Transfer!G161-Transfer!G162)/Transfer!G164)/((1000*(Transfer!F161-Transfer!F162)/Transfer!F164)))-1))</f>
        <v>1.9152316119253276</v>
      </c>
      <c r="N283" s="2459"/>
      <c r="O283" s="334"/>
      <c r="P283" s="54"/>
      <c r="Q283" s="54"/>
      <c r="R283" s="54"/>
      <c r="S283" s="275"/>
      <c r="T283" s="86" t="str">
        <f>IF(Transfer!U164=-9999,"  4b. - of which, employers' contribution per head","  4b. - of which, employers' contribution / f.t.e")</f>
        <v xml:space="preserve">  4b. - of which, employers' contribution / f.t.e</v>
      </c>
      <c r="U283" s="102"/>
      <c r="V283" s="383"/>
      <c r="W283" s="107">
        <f t="shared" ca="1" si="21"/>
        <v>0.59999999999999432</v>
      </c>
      <c r="X283" s="107">
        <f t="shared" ca="1" si="21"/>
        <v>-2.1</v>
      </c>
      <c r="Y283" s="107">
        <f t="shared" ca="1" si="21"/>
        <v>1.2999999999999972</v>
      </c>
      <c r="Z283" s="107">
        <f t="shared" ca="1" si="21"/>
        <v>1</v>
      </c>
      <c r="AA283" s="107">
        <f t="shared" ca="1" si="21"/>
        <v>0.79999999999999716</v>
      </c>
      <c r="AB283" s="107">
        <f t="shared" ca="1" si="21"/>
        <v>-0.60000000000000009</v>
      </c>
      <c r="AC283" s="107">
        <f t="shared" ca="1" si="21"/>
        <v>0.89999999999999147</v>
      </c>
      <c r="AD283" s="93">
        <f t="shared" ca="1" si="21"/>
        <v>0</v>
      </c>
      <c r="AE283" s="103"/>
      <c r="AF283" s="45"/>
      <c r="AG283" s="45"/>
      <c r="AH283" s="45"/>
      <c r="AI283" s="45"/>
      <c r="AJ283" s="275"/>
      <c r="AK283" s="86" t="str">
        <f>IF(Transfer!AL164=-9999,"  4b. - of which, employers' contribution per head","  4b. - of which, employers' contribution / f.t.e")</f>
        <v xml:space="preserve">  4b. - of which, employers' contribution per head</v>
      </c>
      <c r="AL283" s="102"/>
      <c r="AM283" s="383"/>
      <c r="AN283" s="2042">
        <f>IF(Transfer!AD164=-9999,1000*(Transfer!AD161-Transfer!AD162)/Transfer!AD163,1000*(Transfer!AD161-Transfer!AD162)/Transfer!AD164)</f>
        <v>72.885802798846242</v>
      </c>
      <c r="AO283" s="2042">
        <f>IF(Transfer!AD164=-9999,100*(((1000*(Transfer!AD161-Transfer!AD162)/Transfer!AD163)/((1000*(Transfer!AC161-Transfer!AC162)/Transfer!AC163)))-1),100*(((1000*(Transfer!AD161-Transfer!AD162)/Transfer!AD164)/((1000*(Transfer!AC161-Transfer!AC162)/Transfer!AC164)))-1))</f>
        <v>3.0171263576071583</v>
      </c>
      <c r="AP283" s="2042">
        <f>IF(Transfer!AE164=-9999,1000*(Transfer!AE161-Transfer!AE162)/Transfer!AE163,1000*(Transfer!AE161-Transfer!AE162)/Transfer!AE164)</f>
        <v>74.008627875958666</v>
      </c>
      <c r="AQ283" s="2042">
        <f>IF(Transfer!AE164=-9999,100*(((1000*(Transfer!AE161-Transfer!AE162)/Transfer!AE163)/((1000*(Transfer!AD161-Transfer!AD162)/Transfer!AD163)))-1),100*(((1000*(Transfer!AE161-Transfer!AE162)/Transfer!AE164)/((1000*(Transfer!AD161-Transfer!AD162)/Transfer!AD164)))-1))</f>
        <v>1.5405264591943135</v>
      </c>
      <c r="AR283" s="2042">
        <f>IF(Transfer!AF164=-9999,1000*(Transfer!AF161-Transfer!AF162)/Transfer!AF163,1000*(Transfer!AF161-Transfer!AF162)/Transfer!AF164)</f>
        <v>75.966501680270866</v>
      </c>
      <c r="AS283" s="2042">
        <f>IF(Transfer!AF164=-9999,100*(((1000*(Transfer!AF161-Transfer!AF162)/Transfer!AF163)/((1000*(Transfer!AE161-Transfer!AE162)/Transfer!AE163)))-1),100*(((1000*(Transfer!AF161-Transfer!AF162)/Transfer!AF164)/((1000*(Transfer!AE161-Transfer!AE162)/Transfer!AE164)))-1))</f>
        <v>2.6454669685184173</v>
      </c>
      <c r="AT283" s="2042">
        <f>IF(Transfer!AG164=-9999,1000*(Transfer!AG161-Transfer!AG162)/Transfer!AG163,1000*(Transfer!AG161-Transfer!AG162)/Transfer!AG164)</f>
        <v>77.413461769130933</v>
      </c>
      <c r="AU283" s="2043">
        <f>IF(Transfer!AG164=-9999,100*(((1000*(Transfer!AG161-Transfer!AG162)/Transfer!AG163)/((1000*(Transfer!AF161-Transfer!AF162)/Transfer!AF163)))-1),100*(((1000*(Transfer!AG161-Transfer!AG162)/Transfer!AG164)/((1000*(Transfer!AF161-Transfer!AF162)/Transfer!AF164)))-1))</f>
        <v>1.9047343985248322</v>
      </c>
      <c r="AV283" s="103"/>
      <c r="AW283" s="334"/>
      <c r="AX283" s="54"/>
      <c r="AY283" s="54"/>
      <c r="AZ283" s="54"/>
      <c r="BA283" s="1753" t="s">
        <v>1020</v>
      </c>
      <c r="BB283" s="1790" t="s">
        <v>1470</v>
      </c>
      <c r="BC283" s="54"/>
    </row>
    <row r="284" spans="1:55" ht="13.15" thickBot="1">
      <c r="A284" s="45"/>
      <c r="B284" s="2702"/>
      <c r="C284" s="2720" t="s">
        <v>648</v>
      </c>
      <c r="D284" s="2721"/>
      <c r="E284" s="2722"/>
      <c r="F284" s="2723">
        <f ca="1">IF(Transfer!D160=-9999,100*(Transfer!D161/Transfer!D163)/(Transfer!D301/Transfer!D159),100*(Transfer!D161/Transfer!D164)/(Transfer!D301/Transfer!D160))</f>
        <v>56.79957763067921</v>
      </c>
      <c r="G284" s="2724">
        <f ca="1">IF(Transfer!D160=-9999,100*((((Transfer!D161/Transfer!D163)/(Transfer!D301/Transfer!D159))/((Transfer!C161/Transfer!C163)/(Transfer!C301/Transfer!C159)))-1),100*((((Transfer!D161/Transfer!D164)/(Transfer!D301/Transfer!D160))/((Transfer!C161/Transfer!C164)/(Transfer!C301/Transfer!C160)))-1))</f>
        <v>2.1829542563549742</v>
      </c>
      <c r="H284" s="2724">
        <f ca="1">IF(Transfer!E160=-9999,100*(Transfer!E161/Transfer!E163)/(Transfer!E301/Transfer!E159),100*(Transfer!E161/Transfer!E164)/(Transfer!E301/Transfer!E160))</f>
        <v>57.930250731766897</v>
      </c>
      <c r="I284" s="2594">
        <f ca="1">IF(Transfer!E160=-9999,100*((((Transfer!E161/Transfer!E163)/(Transfer!E301/Transfer!E159))/((Transfer!D161/Transfer!D163)/(Transfer!D301/Transfer!D159)))-1),100*((((Transfer!E161/Transfer!E164)/(Transfer!E301/Transfer!E160))/((Transfer!D161/Transfer!D164)/(Transfer!D301/Transfer!D160)))-1))</f>
        <v>1.990636459375672</v>
      </c>
      <c r="J284" s="2724">
        <f ca="1">IF(Transfer!F160=-9999,100*(Transfer!F161/Transfer!F163)/(Transfer!F301/Transfer!F159),100*(Transfer!F161/Transfer!F164)/(Transfer!F301/Transfer!F160))</f>
        <v>58.992909804937995</v>
      </c>
      <c r="K284" s="2594">
        <f ca="1">IF(Transfer!F160=-9999,100*((((Transfer!F161/Transfer!F163)/(Transfer!F301/Transfer!F159))/((Transfer!E161/Transfer!E163)/(Transfer!E301/Transfer!E159)))-1),100*((((Transfer!F161/Transfer!F164)/(Transfer!F301/Transfer!F160))/((Transfer!E161/Transfer!E164)/(Transfer!E301/Transfer!E160)))-1))</f>
        <v>1.8343767888930884</v>
      </c>
      <c r="L284" s="2724">
        <f ca="1">IF(Transfer!G160=-9999,100*(Transfer!G161/Transfer!G163)/(Transfer!G301/Transfer!G159),100*(Transfer!G161/Transfer!G164)/(Transfer!G301/Transfer!G160))</f>
        <v>59.782388605071894</v>
      </c>
      <c r="M284" s="2725">
        <f ca="1">IF(Transfer!G160=-9999,100*((((Transfer!G161/Transfer!G163)/(Transfer!G301/Transfer!G159))/((Transfer!F161/Transfer!F163)/(Transfer!F301/Transfer!F159)))-1),100*((((Transfer!G161/Transfer!G164)/(Transfer!G301/Transfer!G160))/((Transfer!F161/Transfer!F164)/(Transfer!F301/Transfer!F160)))-1))</f>
        <v>1.3382604837502088</v>
      </c>
      <c r="N284" s="2437"/>
      <c r="O284" s="334"/>
      <c r="P284" s="54"/>
      <c r="Q284" s="54"/>
      <c r="R284" s="54"/>
      <c r="S284" s="356"/>
      <c r="T284" s="213" t="s">
        <v>648</v>
      </c>
      <c r="U284" s="385"/>
      <c r="V284" s="386"/>
      <c r="W284" s="111">
        <f t="shared" ca="1" si="21"/>
        <v>0.5</v>
      </c>
      <c r="X284" s="111">
        <f t="shared" ca="1" si="21"/>
        <v>0.70000000000000018</v>
      </c>
      <c r="Y284" s="111">
        <f t="shared" ca="1" si="21"/>
        <v>0.5</v>
      </c>
      <c r="Z284" s="111">
        <f t="shared" ca="1" si="21"/>
        <v>0</v>
      </c>
      <c r="AA284" s="111">
        <f t="shared" ca="1" si="21"/>
        <v>0.60000000000000142</v>
      </c>
      <c r="AB284" s="111">
        <f t="shared" ca="1" si="21"/>
        <v>0.10000000000000009</v>
      </c>
      <c r="AC284" s="111">
        <f t="shared" ca="1" si="21"/>
        <v>0.39999999999999858</v>
      </c>
      <c r="AD284" s="112">
        <f t="shared" ca="1" si="21"/>
        <v>-0.5</v>
      </c>
      <c r="AE284" s="82"/>
      <c r="AF284" s="45"/>
      <c r="AG284" s="45"/>
      <c r="AH284" s="45"/>
      <c r="AI284" s="45"/>
      <c r="AJ284" s="356"/>
      <c r="AK284" s="2250" t="s">
        <v>648</v>
      </c>
      <c r="AL284" s="2251"/>
      <c r="AM284" s="2252"/>
      <c r="AN284" s="2253">
        <f>IF(Transfer!AD160=-9999,100*(Transfer!AD161/Transfer!AD163)/(Transfer!AD301/Transfer!AD159),100*(Transfer!AD161/Transfer!AD164)/(Transfer!AD301/Transfer!AD160))</f>
        <v>56.306010552665107</v>
      </c>
      <c r="AO284" s="2254">
        <f>IF(Transfer!AD160=-9999,100*((((Transfer!AD161/Transfer!AD163)/(Transfer!AD301/Transfer!AD159))/((Transfer!AC161/Transfer!AC163)/(Transfer!AC301/Transfer!AC159)))-1),100*((((Transfer!AD161/Transfer!AD164)/(Transfer!AD301/Transfer!AD160))/((Transfer!AC161/Transfer!AC164)/(Transfer!AC301/Transfer!AC160)))-1))</f>
        <v>1.4894748982916539</v>
      </c>
      <c r="AP284" s="2254">
        <f>IF(Transfer!AE160=-9999,100*(Transfer!AE161/Transfer!AE163)/(Transfer!AE301/Transfer!AE159),100*(Transfer!AE161/Transfer!AE164)/(Transfer!AE301/Transfer!AE160))</f>
        <v>57.430748693100284</v>
      </c>
      <c r="AQ284" s="2239">
        <f>IF(Transfer!AE160=-9999,100*((((Transfer!AE161/Transfer!AE163)/(Transfer!AE301/Transfer!AE159))/((Transfer!AD161/Transfer!AD163)/(Transfer!AD301/Transfer!AD159)))-1),100*((((Transfer!AE161/Transfer!AE164)/(Transfer!AE301/Transfer!AE160))/((Transfer!AD161/Transfer!AD164)/(Transfer!AD301/Transfer!AD160)))-1))</f>
        <v>1.9975454296893957</v>
      </c>
      <c r="AR284" s="2254">
        <f>IF(Transfer!AF160=-9999,100*(Transfer!AF161/Transfer!AF163)/(Transfer!AF301/Transfer!AF159),100*(Transfer!AF161/Transfer!AF164)/(Transfer!AF301/Transfer!AF160))</f>
        <v>58.411385066593212</v>
      </c>
      <c r="AS284" s="2239">
        <f>IF(Transfer!AF160=-9999,100*((((Transfer!AF161/Transfer!AF163)/(Transfer!AF301/Transfer!AF159))/((Transfer!AE161/Transfer!AE163)/(Transfer!AE301/Transfer!AE159)))-1),100*((((Transfer!AF161/Transfer!AF164)/(Transfer!AF301/Transfer!AF160))/((Transfer!AE161/Transfer!AE164)/(Transfer!AE301/Transfer!AE160)))-1))</f>
        <v>1.707511038613263</v>
      </c>
      <c r="AT284" s="2254">
        <f>IF(Transfer!AG160=-9999,100*(Transfer!AG161/Transfer!AG163)/(Transfer!AG301/Transfer!AG159),100*(Transfer!AG161/Transfer!AG164)/(Transfer!AG301/Transfer!AG160))</f>
        <v>59.436908281044282</v>
      </c>
      <c r="AU284" s="2255">
        <f>IF(Transfer!AG160=-9999,100*((((Transfer!AG161/Transfer!AG163)/(Transfer!AG301/Transfer!AG159))/((Transfer!AF161/Transfer!AF163)/(Transfer!AF301/Transfer!AF159)))-1),100*((((Transfer!AG161/Transfer!AG164)/(Transfer!AG301/Transfer!AG160))/((Transfer!AF161/Transfer!AF164)/(Transfer!AF301/Transfer!AF160)))-1))</f>
        <v>1.7556906299720509</v>
      </c>
      <c r="AV284" s="82"/>
      <c r="AW284" s="334"/>
      <c r="AX284" s="54"/>
      <c r="AY284" s="54"/>
      <c r="AZ284" s="54"/>
      <c r="BA284" s="1756" t="s">
        <v>3</v>
      </c>
      <c r="BB284" s="2058" t="s">
        <v>1471</v>
      </c>
      <c r="BC284" s="54"/>
    </row>
    <row r="285" spans="1:55" ht="13.15">
      <c r="A285" s="45"/>
      <c r="B285" s="2726"/>
      <c r="C285" s="2468"/>
      <c r="D285" s="2468"/>
      <c r="E285" s="2468"/>
      <c r="F285" s="2468"/>
      <c r="G285" s="2468"/>
      <c r="H285" s="2468"/>
      <c r="I285" s="2468"/>
      <c r="J285" s="2468"/>
      <c r="K285" s="2468"/>
      <c r="L285" s="2468"/>
      <c r="M285" s="2469" t="str">
        <f>UPPER(Country)</f>
        <v>SWEDEN</v>
      </c>
      <c r="N285" s="2546"/>
      <c r="O285" s="334"/>
      <c r="P285" s="54"/>
      <c r="Q285" s="54"/>
      <c r="R285" s="54"/>
      <c r="S285" s="387"/>
      <c r="T285" s="116"/>
      <c r="U285" s="116"/>
      <c r="V285" s="116"/>
      <c r="W285" s="116"/>
      <c r="X285" s="116"/>
      <c r="Y285" s="116"/>
      <c r="Z285" s="116"/>
      <c r="AA285" s="116"/>
      <c r="AB285" s="116"/>
      <c r="AC285" s="116"/>
      <c r="AD285" s="118" t="str">
        <f>UPPER(Country)</f>
        <v>SWEDEN</v>
      </c>
      <c r="AE285" s="216"/>
      <c r="AF285" s="45"/>
      <c r="AG285" s="45"/>
      <c r="AH285" s="45"/>
      <c r="AI285" s="45"/>
      <c r="AJ285" s="387"/>
      <c r="AK285" s="116"/>
      <c r="AL285" s="116"/>
      <c r="AM285" s="116"/>
      <c r="AN285" s="116"/>
      <c r="AO285" s="116"/>
      <c r="AP285" s="116"/>
      <c r="AQ285" s="116"/>
      <c r="AR285" s="116"/>
      <c r="AS285" s="116"/>
      <c r="AT285" s="116"/>
      <c r="AU285" s="118" t="str">
        <f>UPPER(Country)</f>
        <v>SWEDEN</v>
      </c>
      <c r="AV285" s="216"/>
      <c r="AW285" s="334"/>
      <c r="AX285" s="54"/>
      <c r="AY285" s="54"/>
      <c r="AZ285" s="54"/>
      <c r="BA285" s="334"/>
      <c r="BB285" s="334"/>
      <c r="BC285" s="54"/>
    </row>
    <row r="286" spans="1:55">
      <c r="A286" s="45"/>
      <c r="B286" s="332"/>
      <c r="C286" s="54"/>
      <c r="D286" s="54"/>
      <c r="E286" s="45"/>
      <c r="F286" s="45"/>
      <c r="G286" s="45">
        <f ca="1">F281*1.028</f>
        <v>461.39945821109791</v>
      </c>
      <c r="H286" s="45"/>
      <c r="I286" s="45"/>
      <c r="J286" s="45"/>
      <c r="K286" s="45"/>
      <c r="L286" s="45"/>
      <c r="M286" s="45"/>
      <c r="N286" s="45"/>
      <c r="O286" s="54"/>
      <c r="P286" s="54" t="s">
        <v>974</v>
      </c>
      <c r="Q286" s="54"/>
      <c r="R286" s="54"/>
      <c r="S286" s="54"/>
      <c r="T286" s="54"/>
      <c r="U286" s="54"/>
      <c r="V286" s="54"/>
      <c r="W286" s="54"/>
      <c r="X286" s="54"/>
      <c r="Y286" s="54"/>
      <c r="Z286" s="54"/>
      <c r="AA286" s="54"/>
      <c r="AB286" s="45"/>
      <c r="AC286" s="45"/>
      <c r="AD286" s="45"/>
      <c r="AE286" s="45"/>
      <c r="AF286" s="45"/>
      <c r="AG286" s="45"/>
      <c r="AH286" s="45"/>
      <c r="AI286" s="45"/>
      <c r="AJ286" s="332"/>
      <c r="AK286" s="54"/>
      <c r="AL286" s="54"/>
      <c r="AM286" s="45"/>
      <c r="AN286" s="45"/>
      <c r="AO286" s="45"/>
      <c r="AP286" s="45"/>
      <c r="AQ286" s="45"/>
      <c r="AR286" s="45"/>
      <c r="AS286" s="45"/>
      <c r="AT286" s="45"/>
      <c r="AU286" s="45"/>
      <c r="AV286" s="45"/>
      <c r="AW286" s="54"/>
      <c r="AX286" s="54"/>
      <c r="AY286" s="54"/>
      <c r="AZ286" s="54"/>
      <c r="BA286" s="54"/>
      <c r="BB286" s="54"/>
      <c r="BC286" s="54"/>
    </row>
    <row r="287" spans="1:55">
      <c r="A287" s="45"/>
      <c r="B287" s="50"/>
      <c r="C287" s="54"/>
      <c r="D287" s="54"/>
      <c r="E287" s="45"/>
      <c r="F287" s="45"/>
      <c r="G287" s="45"/>
      <c r="H287" s="45"/>
      <c r="I287" s="45"/>
      <c r="J287" s="45"/>
      <c r="K287" s="45"/>
      <c r="L287" s="45"/>
      <c r="M287" s="45"/>
      <c r="N287" s="187"/>
      <c r="O287" s="54"/>
      <c r="P287" s="54" t="s">
        <v>974</v>
      </c>
      <c r="Q287" s="54"/>
      <c r="R287" s="54"/>
      <c r="S287" s="54"/>
      <c r="T287" s="54"/>
      <c r="U287" s="54"/>
      <c r="V287" s="54"/>
      <c r="W287" s="54"/>
      <c r="X287" s="54"/>
      <c r="Y287" s="54"/>
      <c r="Z287" s="54"/>
      <c r="AA287" s="54"/>
      <c r="AB287" s="45"/>
      <c r="AC287" s="45"/>
      <c r="AD287" s="45"/>
      <c r="AE287" s="45"/>
      <c r="AF287" s="45"/>
      <c r="AG287" s="45"/>
      <c r="AH287" s="45"/>
      <c r="AI287" s="45"/>
      <c r="AJ287" s="50"/>
      <c r="AK287" s="54"/>
      <c r="AL287" s="54"/>
      <c r="AM287" s="45"/>
      <c r="AN287" s="45"/>
      <c r="AO287" s="45"/>
      <c r="AP287" s="45"/>
      <c r="AQ287" s="45"/>
      <c r="AR287" s="45"/>
      <c r="AS287" s="45"/>
      <c r="AT287" s="45"/>
      <c r="AU287" s="45"/>
      <c r="AV287" s="187"/>
      <c r="AW287" s="54"/>
      <c r="AX287" s="54"/>
      <c r="AY287" s="54"/>
      <c r="AZ287" s="54"/>
      <c r="BA287" s="54"/>
      <c r="BB287" s="54"/>
      <c r="BC287" s="54"/>
    </row>
    <row r="288" spans="1:55">
      <c r="A288" s="45"/>
      <c r="B288" s="240"/>
      <c r="C288" s="45"/>
      <c r="D288" s="54"/>
      <c r="E288" s="45"/>
      <c r="F288" s="45"/>
      <c r="G288" s="45"/>
      <c r="H288" s="45"/>
      <c r="I288" s="45"/>
      <c r="J288" s="45"/>
      <c r="K288" s="45"/>
      <c r="L288" s="45"/>
      <c r="M288" s="45"/>
      <c r="N288" s="187"/>
      <c r="O288" s="54"/>
      <c r="P288" s="54" t="s">
        <v>974</v>
      </c>
      <c r="Q288" s="54"/>
      <c r="R288" s="54"/>
      <c r="S288" s="54"/>
      <c r="T288" s="54"/>
      <c r="U288" s="54"/>
      <c r="V288" s="54"/>
      <c r="W288" s="54"/>
      <c r="X288" s="54"/>
      <c r="Y288" s="54"/>
      <c r="Z288" s="54"/>
      <c r="AA288" s="54"/>
      <c r="AB288" s="45"/>
      <c r="AC288" s="45"/>
      <c r="AD288" s="45"/>
      <c r="AE288" s="45"/>
      <c r="AF288" s="45"/>
      <c r="AG288" s="45"/>
      <c r="AH288" s="45"/>
      <c r="AI288" s="45"/>
      <c r="AJ288" s="240"/>
      <c r="AK288" s="45"/>
      <c r="AL288" s="54"/>
      <c r="AM288" s="45"/>
      <c r="AN288" s="45"/>
      <c r="AO288" s="45"/>
      <c r="AP288" s="45"/>
      <c r="AQ288" s="45"/>
      <c r="AR288" s="45"/>
      <c r="AS288" s="45"/>
      <c r="AT288" s="45"/>
      <c r="AU288" s="45"/>
      <c r="AV288" s="187"/>
      <c r="AW288" s="54"/>
      <c r="AX288" s="54"/>
      <c r="AY288" s="54"/>
      <c r="AZ288" s="54"/>
      <c r="BA288" s="54"/>
      <c r="BB288" s="54"/>
      <c r="BC288" s="54"/>
    </row>
    <row r="289" spans="1:55">
      <c r="A289" s="45"/>
      <c r="B289" s="54"/>
      <c r="C289" s="54"/>
      <c r="D289" s="54"/>
      <c r="E289" s="54"/>
      <c r="F289" s="54"/>
      <c r="G289" s="54"/>
      <c r="H289" s="54"/>
      <c r="I289" s="54"/>
      <c r="J289" s="54"/>
      <c r="K289" s="54"/>
      <c r="L289" s="54"/>
      <c r="M289" s="54"/>
      <c r="N289" s="54"/>
      <c r="O289" s="54"/>
      <c r="P289" s="54"/>
      <c r="Q289" s="54"/>
      <c r="R289" s="54"/>
      <c r="S289" s="54"/>
      <c r="T289" s="54"/>
      <c r="U289" s="54"/>
      <c r="V289" s="54"/>
      <c r="W289" s="54"/>
      <c r="X289" s="54"/>
      <c r="Y289" s="54"/>
      <c r="Z289" s="54"/>
      <c r="AA289" s="54"/>
      <c r="AB289" s="45"/>
      <c r="AC289" s="45"/>
      <c r="AD289" s="45"/>
      <c r="AE289" s="45"/>
      <c r="AF289" s="45"/>
      <c r="AG289" s="45"/>
      <c r="AH289" s="45"/>
      <c r="AI289" s="45"/>
      <c r="AJ289" s="54"/>
      <c r="AK289" s="54"/>
      <c r="AL289" s="54"/>
      <c r="AM289" s="54"/>
      <c r="AN289" s="54"/>
      <c r="AO289" s="54"/>
      <c r="AP289" s="54"/>
      <c r="AQ289" s="54"/>
      <c r="AR289" s="54"/>
      <c r="AS289" s="54"/>
      <c r="AT289" s="54"/>
      <c r="AU289" s="54"/>
      <c r="AV289" s="54"/>
      <c r="AW289" s="54"/>
      <c r="AX289" s="54"/>
      <c r="AY289" s="54"/>
      <c r="AZ289" s="54"/>
      <c r="BA289" s="54"/>
      <c r="BB289" s="54"/>
      <c r="BC289" s="54"/>
    </row>
    <row r="290" spans="1:55">
      <c r="A290" s="45"/>
      <c r="B290" s="54"/>
      <c r="C290" s="54"/>
      <c r="D290" s="54"/>
      <c r="E290" s="54"/>
      <c r="F290" s="54"/>
      <c r="G290" s="54"/>
      <c r="H290" s="54"/>
      <c r="I290" s="54"/>
      <c r="J290" s="54"/>
      <c r="K290" s="54"/>
      <c r="L290" s="54"/>
      <c r="M290" s="54"/>
      <c r="N290" s="54"/>
      <c r="O290" s="54"/>
      <c r="P290" s="54"/>
      <c r="Q290" s="54"/>
      <c r="R290" s="54"/>
      <c r="S290" s="54"/>
      <c r="T290" s="54"/>
      <c r="U290" s="54"/>
      <c r="V290" s="54"/>
      <c r="W290" s="54"/>
      <c r="X290" s="54"/>
      <c r="Y290" s="54"/>
      <c r="Z290" s="54"/>
      <c r="AA290" s="54"/>
      <c r="AB290" s="45"/>
      <c r="AC290" s="45"/>
      <c r="AD290" s="45"/>
      <c r="AE290" s="45"/>
      <c r="AF290" s="45"/>
      <c r="AG290" s="45"/>
      <c r="AH290" s="45"/>
      <c r="AI290" s="45"/>
      <c r="AJ290" s="54"/>
      <c r="AK290" s="54"/>
      <c r="AL290" s="54"/>
      <c r="AM290" s="54"/>
      <c r="AN290" s="54"/>
      <c r="AO290" s="54"/>
      <c r="AP290" s="54"/>
      <c r="AQ290" s="54"/>
      <c r="AR290" s="54"/>
      <c r="AS290" s="54"/>
      <c r="AT290" s="54"/>
      <c r="AU290" s="54"/>
      <c r="AV290" s="54"/>
      <c r="AW290" s="54"/>
      <c r="AX290" s="54"/>
      <c r="AY290" s="54"/>
      <c r="AZ290" s="54"/>
      <c r="BA290" s="54"/>
      <c r="BB290" s="54"/>
      <c r="BC290" s="54"/>
    </row>
    <row r="291" spans="1:55">
      <c r="A291" s="45"/>
      <c r="B291" s="54"/>
      <c r="C291" s="54"/>
      <c r="D291" s="54"/>
      <c r="E291" s="54"/>
      <c r="F291" s="54"/>
      <c r="G291" s="54"/>
      <c r="H291" s="54"/>
      <c r="I291" s="54"/>
      <c r="J291" s="54"/>
      <c r="K291" s="54"/>
      <c r="L291" s="54"/>
      <c r="M291" s="54"/>
      <c r="N291" s="54"/>
      <c r="O291" s="54"/>
      <c r="P291" s="54"/>
      <c r="Q291" s="54"/>
      <c r="R291" s="54"/>
      <c r="S291" s="54"/>
      <c r="T291" s="54"/>
      <c r="U291" s="54"/>
      <c r="V291" s="54"/>
      <c r="W291" s="54"/>
      <c r="X291" s="54"/>
      <c r="Y291" s="54"/>
      <c r="Z291" s="54"/>
      <c r="AA291" s="54"/>
      <c r="AB291" s="45"/>
      <c r="AC291" s="45"/>
      <c r="AD291" s="45"/>
      <c r="AE291" s="45"/>
      <c r="AF291" s="45"/>
      <c r="AG291" s="45"/>
      <c r="AH291" s="45"/>
      <c r="AI291" s="45"/>
      <c r="AJ291" s="54"/>
      <c r="AK291" s="54"/>
      <c r="AL291" s="54"/>
      <c r="AM291" s="54"/>
      <c r="AN291" s="54"/>
      <c r="AO291" s="54"/>
      <c r="AP291" s="54"/>
      <c r="AQ291" s="54"/>
      <c r="AR291" s="54"/>
      <c r="AS291" s="54"/>
      <c r="AT291" s="54"/>
      <c r="AU291" s="54"/>
      <c r="AV291" s="54"/>
      <c r="AW291" s="54"/>
      <c r="AX291" s="54"/>
      <c r="AY291" s="54"/>
      <c r="AZ291" s="54"/>
      <c r="BA291" s="54"/>
      <c r="BB291" s="54"/>
      <c r="BC291" s="54"/>
    </row>
    <row r="292" spans="1:55">
      <c r="A292" s="45"/>
      <c r="B292" s="54"/>
      <c r="C292" s="54"/>
      <c r="D292" s="54"/>
      <c r="E292" s="54"/>
      <c r="F292" s="54"/>
      <c r="G292" s="54"/>
      <c r="H292" s="54"/>
      <c r="I292" s="54"/>
      <c r="J292" s="54"/>
      <c r="K292" s="54"/>
      <c r="L292" s="54"/>
      <c r="M292" s="54"/>
      <c r="N292" s="54"/>
      <c r="O292" s="54"/>
      <c r="P292" s="54"/>
      <c r="Q292" s="54"/>
      <c r="R292" s="54"/>
      <c r="S292" s="54"/>
      <c r="T292" s="54"/>
      <c r="U292" s="54"/>
      <c r="V292" s="54"/>
      <c r="W292" s="54"/>
      <c r="X292" s="54"/>
      <c r="Y292" s="54"/>
      <c r="Z292" s="54"/>
      <c r="AA292" s="54"/>
      <c r="AB292" s="45"/>
      <c r="AC292" s="45"/>
      <c r="AD292" s="45"/>
      <c r="AE292" s="45"/>
      <c r="AF292" s="45"/>
      <c r="AG292" s="45"/>
      <c r="AH292" s="45"/>
      <c r="AI292" s="45"/>
      <c r="AJ292" s="54"/>
      <c r="AK292" s="54"/>
      <c r="AL292" s="54"/>
      <c r="AM292" s="54"/>
      <c r="AN292" s="54"/>
      <c r="AO292" s="54"/>
      <c r="AP292" s="54"/>
      <c r="AQ292" s="54"/>
      <c r="AR292" s="54"/>
      <c r="AS292" s="54"/>
      <c r="AT292" s="54"/>
      <c r="AU292" s="54"/>
      <c r="AV292" s="54"/>
      <c r="AW292" s="54"/>
      <c r="AX292" s="54"/>
      <c r="AY292" s="54"/>
      <c r="AZ292" s="54"/>
      <c r="BA292" s="54"/>
      <c r="BB292" s="54"/>
      <c r="BC292" s="54"/>
    </row>
    <row r="293" spans="1:55">
      <c r="A293" s="45"/>
      <c r="B293" s="54"/>
      <c r="C293" s="54"/>
      <c r="D293" s="54"/>
      <c r="E293" s="54"/>
      <c r="F293" s="54"/>
      <c r="G293" s="54"/>
      <c r="H293" s="54"/>
      <c r="I293" s="54"/>
      <c r="J293" s="54"/>
      <c r="K293" s="54"/>
      <c r="L293" s="54"/>
      <c r="M293" s="54"/>
      <c r="N293" s="54"/>
      <c r="O293" s="54"/>
      <c r="P293" s="54"/>
      <c r="Q293" s="54"/>
      <c r="R293" s="54"/>
      <c r="S293" s="54"/>
      <c r="T293" s="54"/>
      <c r="U293" s="54"/>
      <c r="V293" s="54"/>
      <c r="W293" s="54"/>
      <c r="X293" s="54"/>
      <c r="Y293" s="54"/>
      <c r="Z293" s="54"/>
      <c r="AA293" s="54"/>
      <c r="AB293" s="45"/>
      <c r="AC293" s="45"/>
      <c r="AD293" s="45"/>
      <c r="AE293" s="45"/>
      <c r="AF293" s="45"/>
      <c r="AG293" s="45"/>
      <c r="AH293" s="45"/>
      <c r="AI293" s="45"/>
      <c r="AJ293" s="54"/>
      <c r="AK293" s="54"/>
      <c r="AL293" s="54"/>
      <c r="AM293" s="54"/>
      <c r="AN293" s="54"/>
      <c r="AO293" s="54"/>
      <c r="AP293" s="54"/>
      <c r="AQ293" s="54"/>
      <c r="AR293" s="54"/>
      <c r="AS293" s="54"/>
      <c r="AT293" s="54"/>
      <c r="AU293" s="54"/>
      <c r="AV293" s="54"/>
      <c r="AW293" s="54"/>
      <c r="AX293" s="54"/>
      <c r="AY293" s="54"/>
      <c r="AZ293" s="54"/>
      <c r="BA293" s="54"/>
      <c r="BB293" s="54"/>
      <c r="BC293" s="54"/>
    </row>
    <row r="294" spans="1:55">
      <c r="A294" s="45"/>
      <c r="B294" s="54"/>
      <c r="C294" s="54"/>
      <c r="D294" s="54"/>
      <c r="E294" s="54"/>
      <c r="F294" s="54"/>
      <c r="G294" s="54"/>
      <c r="H294" s="54"/>
      <c r="I294" s="54"/>
      <c r="J294" s="54"/>
      <c r="K294" s="54"/>
      <c r="L294" s="54"/>
      <c r="M294" s="54"/>
      <c r="N294" s="54"/>
      <c r="O294" s="54"/>
      <c r="P294" s="54"/>
      <c r="Q294" s="54"/>
      <c r="R294" s="54"/>
      <c r="S294" s="54"/>
      <c r="T294" s="54"/>
      <c r="U294" s="54"/>
      <c r="V294" s="54"/>
      <c r="W294" s="54"/>
      <c r="X294" s="54"/>
      <c r="Y294" s="54"/>
      <c r="Z294" s="54"/>
      <c r="AA294" s="54"/>
      <c r="AB294" s="45"/>
      <c r="AC294" s="45"/>
      <c r="AD294" s="45"/>
      <c r="AE294" s="45"/>
      <c r="AF294" s="45"/>
      <c r="AG294" s="45"/>
      <c r="AH294" s="45"/>
      <c r="AI294" s="45"/>
      <c r="AJ294" s="54"/>
      <c r="AK294" s="54"/>
      <c r="AL294" s="54"/>
      <c r="AM294" s="54"/>
      <c r="AN294" s="54"/>
      <c r="AO294" s="54"/>
      <c r="AP294" s="54"/>
      <c r="AQ294" s="54"/>
      <c r="AR294" s="54"/>
      <c r="AS294" s="54"/>
      <c r="AT294" s="54"/>
      <c r="AU294" s="54"/>
      <c r="AV294" s="54"/>
      <c r="AW294" s="54"/>
      <c r="AX294" s="54"/>
      <c r="AY294" s="54"/>
      <c r="AZ294" s="54"/>
      <c r="BA294" s="54"/>
      <c r="BB294" s="54"/>
      <c r="BC294" s="54"/>
    </row>
    <row r="295" spans="1:55">
      <c r="A295" s="45"/>
      <c r="B295" s="54"/>
      <c r="C295" s="54"/>
      <c r="D295" s="54"/>
      <c r="E295" s="54"/>
      <c r="F295" s="54"/>
      <c r="G295" s="54"/>
      <c r="H295" s="54"/>
      <c r="I295" s="54"/>
      <c r="J295" s="54"/>
      <c r="K295" s="54"/>
      <c r="L295" s="54"/>
      <c r="M295" s="54"/>
      <c r="N295" s="54"/>
      <c r="O295" s="54"/>
      <c r="P295" s="54"/>
      <c r="Q295" s="54"/>
      <c r="R295" s="54"/>
      <c r="S295" s="54"/>
      <c r="T295" s="54"/>
      <c r="U295" s="54"/>
      <c r="V295" s="54"/>
      <c r="W295" s="54"/>
      <c r="X295" s="54"/>
      <c r="Y295" s="54"/>
      <c r="Z295" s="54"/>
      <c r="AA295" s="54"/>
      <c r="AB295" s="45"/>
      <c r="AC295" s="45"/>
      <c r="AD295" s="45"/>
      <c r="AE295" s="45"/>
      <c r="AF295" s="45"/>
      <c r="AG295" s="45"/>
      <c r="AH295" s="45"/>
      <c r="AI295" s="45"/>
      <c r="AJ295" s="54"/>
      <c r="AK295" s="54"/>
      <c r="AL295" s="54"/>
      <c r="AM295" s="54"/>
      <c r="AN295" s="54"/>
      <c r="AO295" s="54"/>
      <c r="AP295" s="54"/>
      <c r="AQ295" s="54"/>
      <c r="AR295" s="54"/>
      <c r="AS295" s="54"/>
      <c r="AT295" s="54"/>
      <c r="AU295" s="54"/>
      <c r="AV295" s="54"/>
      <c r="AW295" s="54"/>
      <c r="AX295" s="54"/>
      <c r="AY295" s="54"/>
      <c r="AZ295" s="54"/>
      <c r="BA295" s="54"/>
      <c r="BB295" s="54"/>
      <c r="BC295" s="54"/>
    </row>
    <row r="296" spans="1:55" ht="13.15">
      <c r="A296" s="45"/>
      <c r="B296" s="2410"/>
      <c r="C296" s="2669" t="s">
        <v>435</v>
      </c>
      <c r="D296" s="2669"/>
      <c r="E296" s="2412"/>
      <c r="F296" s="2412"/>
      <c r="G296" s="2412"/>
      <c r="H296" s="2412"/>
      <c r="I296" s="2412"/>
      <c r="J296" s="2412"/>
      <c r="K296" s="2412"/>
      <c r="L296" s="2412"/>
      <c r="M296" s="2563"/>
      <c r="N296" s="258"/>
      <c r="O296" s="45"/>
      <c r="P296" s="54"/>
      <c r="Q296" s="54"/>
      <c r="R296" s="54"/>
      <c r="S296" s="188"/>
      <c r="T296" s="336" t="s">
        <v>435</v>
      </c>
      <c r="U296" s="336"/>
      <c r="V296" s="100"/>
      <c r="W296" s="100"/>
      <c r="X296" s="100"/>
      <c r="Y296" s="100"/>
      <c r="Z296" s="100"/>
      <c r="AA296" s="100"/>
      <c r="AB296" s="100"/>
      <c r="AC296" s="100"/>
      <c r="AD296" s="238"/>
      <c r="AE296" s="45"/>
      <c r="AF296" s="45"/>
      <c r="AG296" s="45"/>
      <c r="AH296" s="45"/>
      <c r="AI296" s="45"/>
      <c r="AJ296" s="188"/>
      <c r="AK296" s="336" t="s">
        <v>435</v>
      </c>
      <c r="AL296" s="336"/>
      <c r="AM296" s="100"/>
      <c r="AN296" s="100"/>
      <c r="AO296" s="100"/>
      <c r="AP296" s="100"/>
      <c r="AQ296" s="100"/>
      <c r="AR296" s="100"/>
      <c r="AS296" s="100"/>
      <c r="AT296" s="100"/>
      <c r="AU296" s="238"/>
      <c r="AV296" s="258"/>
      <c r="AW296" s="45"/>
      <c r="AX296" s="54"/>
      <c r="AY296" s="54"/>
      <c r="AZ296" s="54"/>
      <c r="BA296" s="54"/>
      <c r="BB296" s="54"/>
      <c r="BC296" s="54"/>
    </row>
    <row r="297" spans="1:55" ht="13.15">
      <c r="A297" s="45"/>
      <c r="B297" s="1720"/>
      <c r="C297" s="3935" t="s">
        <v>1907</v>
      </c>
      <c r="D297" s="3935"/>
      <c r="E297" s="3935"/>
      <c r="F297" s="3935"/>
      <c r="G297" s="3935"/>
      <c r="H297" s="3935"/>
      <c r="I297" s="3935"/>
      <c r="J297" s="3935"/>
      <c r="K297" s="3935"/>
      <c r="L297" s="3935"/>
      <c r="M297" s="2598"/>
      <c r="N297" s="258"/>
      <c r="O297" s="45"/>
      <c r="P297" s="54"/>
      <c r="Q297" s="54"/>
      <c r="R297" s="54"/>
      <c r="S297" s="190"/>
      <c r="T297" s="3936" t="s">
        <v>1907</v>
      </c>
      <c r="U297" s="3936"/>
      <c r="V297" s="3936"/>
      <c r="W297" s="3936"/>
      <c r="X297" s="3936"/>
      <c r="Y297" s="3936"/>
      <c r="Z297" s="3936"/>
      <c r="AA297" s="3936"/>
      <c r="AB297" s="3936"/>
      <c r="AC297" s="3936"/>
      <c r="AD297" s="260"/>
      <c r="AE297" s="45"/>
      <c r="AF297" s="45"/>
      <c r="AG297" s="45"/>
      <c r="AH297" s="45"/>
      <c r="AI297" s="45"/>
      <c r="AJ297" s="190"/>
      <c r="AK297" s="3936" t="s">
        <v>1907</v>
      </c>
      <c r="AL297" s="3936"/>
      <c r="AM297" s="3936"/>
      <c r="AN297" s="3936"/>
      <c r="AO297" s="3936"/>
      <c r="AP297" s="3936"/>
      <c r="AQ297" s="3936"/>
      <c r="AR297" s="3936"/>
      <c r="AS297" s="3936"/>
      <c r="AT297" s="3936"/>
      <c r="AU297" s="260"/>
      <c r="AV297" s="258"/>
      <c r="AW297" s="45"/>
      <c r="AX297" s="54"/>
      <c r="AY297" s="54"/>
      <c r="AZ297" s="54"/>
      <c r="BA297" s="54"/>
      <c r="BB297" s="54"/>
      <c r="BC297" s="54"/>
    </row>
    <row r="298" spans="1:55" ht="15">
      <c r="A298" s="45"/>
      <c r="B298" s="1720"/>
      <c r="C298" s="2513"/>
      <c r="D298" s="2513"/>
      <c r="E298" s="2420"/>
      <c r="F298" s="2420"/>
      <c r="G298" s="2420"/>
      <c r="H298" s="2420"/>
      <c r="I298" s="2420"/>
      <c r="J298" s="2420"/>
      <c r="K298" s="2420"/>
      <c r="L298" s="2420"/>
      <c r="M298" s="2520"/>
      <c r="N298" s="258"/>
      <c r="O298" s="45"/>
      <c r="P298" s="54"/>
      <c r="Q298" s="54"/>
      <c r="R298" s="54"/>
      <c r="S298" s="190"/>
      <c r="T298" s="1"/>
      <c r="U298" s="1"/>
      <c r="V298" s="65"/>
      <c r="W298" s="2066" t="s">
        <v>1553</v>
      </c>
      <c r="X298" s="65"/>
      <c r="Y298" s="65"/>
      <c r="Z298" s="65"/>
      <c r="AA298" s="65"/>
      <c r="AB298" s="65"/>
      <c r="AC298" s="65"/>
      <c r="AD298" s="196"/>
      <c r="AE298" s="45"/>
      <c r="AF298" s="45"/>
      <c r="AG298" s="45"/>
      <c r="AH298" s="45"/>
      <c r="AI298" s="45"/>
      <c r="AJ298" s="190"/>
      <c r="AK298" s="1"/>
      <c r="AL298" s="1"/>
      <c r="AM298" s="65"/>
      <c r="AN298" s="65"/>
      <c r="AO298" s="65"/>
      <c r="AP298" s="65"/>
      <c r="AQ298" s="65"/>
      <c r="AR298" s="65"/>
      <c r="AS298" s="65"/>
      <c r="AT298" s="65"/>
      <c r="AU298" s="196"/>
      <c r="AV298" s="258"/>
      <c r="AW298" s="45"/>
      <c r="AX298" s="54"/>
      <c r="AY298" s="54"/>
      <c r="AZ298" s="54"/>
      <c r="BA298" s="54"/>
      <c r="BB298" s="54"/>
      <c r="BC298" s="54"/>
    </row>
    <row r="299" spans="1:55" ht="15">
      <c r="A299" s="45"/>
      <c r="B299" s="1720"/>
      <c r="C299" s="2418" t="str">
        <f>"Country: " &amp;UPPER(Country)</f>
        <v>Country: SWEDEN</v>
      </c>
      <c r="D299" s="2548"/>
      <c r="E299" s="2420"/>
      <c r="F299" s="2420"/>
      <c r="G299" s="2420"/>
      <c r="H299" s="2420"/>
      <c r="I299" s="2420"/>
      <c r="J299" s="2513"/>
      <c r="K299" s="2513"/>
      <c r="L299" s="2513"/>
      <c r="M299" s="1719"/>
      <c r="N299" s="258"/>
      <c r="O299" s="45"/>
      <c r="P299" s="54"/>
      <c r="Q299" s="54"/>
      <c r="R299" s="54"/>
      <c r="S299" s="190"/>
      <c r="T299" s="63" t="str">
        <f>"Country: " &amp;UPPER(Country)</f>
        <v>Country: SWEDEN</v>
      </c>
      <c r="U299" s="222"/>
      <c r="V299" s="65"/>
      <c r="W299" s="2066" t="str">
        <f>$T$4</f>
        <v>final storage SF18</v>
      </c>
      <c r="X299" s="65"/>
      <c r="Y299" s="65"/>
      <c r="Z299" s="65"/>
      <c r="AA299" s="1"/>
      <c r="AB299" s="1"/>
      <c r="AC299" s="1"/>
      <c r="AD299" s="90"/>
      <c r="AE299" s="45"/>
      <c r="AF299" s="45"/>
      <c r="AG299" s="45"/>
      <c r="AH299" s="45"/>
      <c r="AI299" s="45"/>
      <c r="AJ299" s="190"/>
      <c r="AK299" s="63" t="str">
        <f>"Country: " &amp;UPPER(Country)</f>
        <v>Country: SWEDEN</v>
      </c>
      <c r="AL299" s="222"/>
      <c r="AM299" s="65"/>
      <c r="AN299" s="65"/>
      <c r="AO299" s="65"/>
      <c r="AP299" s="65"/>
      <c r="AQ299" s="65"/>
      <c r="AR299" s="1"/>
      <c r="AS299" s="1"/>
      <c r="AT299" s="1"/>
      <c r="AU299" s="90"/>
      <c r="AV299" s="258"/>
      <c r="AW299" s="45"/>
      <c r="AX299" s="54"/>
      <c r="AY299" s="54"/>
      <c r="AZ299" s="54"/>
      <c r="BA299" s="54"/>
      <c r="BB299" s="54"/>
      <c r="BC299" s="54"/>
    </row>
    <row r="300" spans="1:55" ht="13.15" thickBot="1">
      <c r="A300" s="45"/>
      <c r="B300" s="1728"/>
      <c r="C300" s="2420" t="s">
        <v>1859</v>
      </c>
      <c r="D300" s="2727"/>
      <c r="E300" s="2420"/>
      <c r="F300" s="2420"/>
      <c r="G300" s="2420"/>
      <c r="H300" s="2420"/>
      <c r="I300" s="2420"/>
      <c r="J300" s="2513"/>
      <c r="K300" s="3959">
        <f ca="1">NOW()</f>
        <v>43493.476067824071</v>
      </c>
      <c r="L300" s="3959"/>
      <c r="M300" s="2670"/>
      <c r="N300" s="54"/>
      <c r="O300" s="54"/>
      <c r="P300" s="54"/>
      <c r="Q300" s="54"/>
      <c r="R300" s="54"/>
      <c r="S300" s="275"/>
      <c r="T300" s="65" t="s">
        <v>1859</v>
      </c>
      <c r="U300" s="388"/>
      <c r="V300" s="65"/>
      <c r="W300" s="65"/>
      <c r="X300" s="65"/>
      <c r="Y300" s="65"/>
      <c r="Z300" s="65"/>
      <c r="AA300" s="1"/>
      <c r="AB300" s="3960">
        <f ca="1">NOW()</f>
        <v>43493.476067824071</v>
      </c>
      <c r="AC300" s="3960"/>
      <c r="AD300" s="337"/>
      <c r="AE300" s="45"/>
      <c r="AF300" s="45"/>
      <c r="AG300" s="45"/>
      <c r="AH300" s="45"/>
      <c r="AI300" s="45"/>
      <c r="AJ300" s="275"/>
      <c r="AK300" s="65" t="s">
        <v>1859</v>
      </c>
      <c r="AL300" s="388"/>
      <c r="AM300" s="65"/>
      <c r="AN300" s="65"/>
      <c r="AO300" s="65"/>
      <c r="AP300" s="65"/>
      <c r="AQ300" s="65"/>
      <c r="AR300" s="1"/>
      <c r="AS300" s="3960">
        <f ca="1">NOW()</f>
        <v>43493.476067824071</v>
      </c>
      <c r="AT300" s="3960"/>
      <c r="AU300" s="337"/>
      <c r="AV300" s="54"/>
      <c r="AW300" s="54"/>
      <c r="AX300" s="54"/>
      <c r="AY300" s="54"/>
      <c r="AZ300" s="54"/>
      <c r="BA300" s="54"/>
      <c r="BB300" s="54"/>
      <c r="BC300" s="54"/>
    </row>
    <row r="301" spans="1:55" ht="13.15">
      <c r="A301" s="45"/>
      <c r="B301" s="2728"/>
      <c r="C301" s="2426"/>
      <c r="D301" s="2427"/>
      <c r="E301" s="3967">
        <f>E16</f>
        <v>2017</v>
      </c>
      <c r="F301" s="3968"/>
      <c r="G301" s="3969">
        <f>E301+1</f>
        <v>2018</v>
      </c>
      <c r="H301" s="3970"/>
      <c r="I301" s="3969">
        <f>G301+1</f>
        <v>2019</v>
      </c>
      <c r="J301" s="3970"/>
      <c r="K301" s="3969">
        <f>I301+1</f>
        <v>2020</v>
      </c>
      <c r="L301" s="3971"/>
      <c r="M301" s="2673"/>
      <c r="N301" s="54"/>
      <c r="O301" s="54"/>
      <c r="P301" s="54"/>
      <c r="Q301" s="54"/>
      <c r="R301" s="54"/>
      <c r="S301" s="389"/>
      <c r="T301" s="191"/>
      <c r="U301" s="73"/>
      <c r="V301" s="3965">
        <f>Last_forecast_year - 3</f>
        <v>2017</v>
      </c>
      <c r="W301" s="3966"/>
      <c r="X301" s="3961">
        <f>V301+1</f>
        <v>2018</v>
      </c>
      <c r="Y301" s="3962"/>
      <c r="Z301" s="3961">
        <f>X301+1</f>
        <v>2019</v>
      </c>
      <c r="AA301" s="3962"/>
      <c r="AB301" s="3961">
        <f>Z301+1</f>
        <v>2020</v>
      </c>
      <c r="AC301" s="3963"/>
      <c r="AD301" s="339"/>
      <c r="AE301" s="45"/>
      <c r="AF301" s="45"/>
      <c r="AG301" s="45"/>
      <c r="AH301" s="45"/>
      <c r="AI301" s="45"/>
      <c r="AJ301" s="389"/>
      <c r="AK301" s="191"/>
      <c r="AL301" s="73"/>
      <c r="AM301" s="3965">
        <f>Last_forecast_year - 3</f>
        <v>2017</v>
      </c>
      <c r="AN301" s="3966"/>
      <c r="AO301" s="3961">
        <f>AM301+1</f>
        <v>2018</v>
      </c>
      <c r="AP301" s="3962"/>
      <c r="AQ301" s="3961">
        <f>AO301+1</f>
        <v>2019</v>
      </c>
      <c r="AR301" s="3962"/>
      <c r="AS301" s="3961">
        <f>AQ301+1</f>
        <v>2020</v>
      </c>
      <c r="AT301" s="3963"/>
      <c r="AU301" s="339"/>
      <c r="AV301" s="54"/>
      <c r="AW301" s="54"/>
      <c r="AX301" s="54"/>
      <c r="AY301" s="54"/>
      <c r="AZ301" s="54"/>
      <c r="BA301" s="54"/>
      <c r="BB301" s="54"/>
      <c r="BC301" s="54"/>
    </row>
    <row r="302" spans="1:55">
      <c r="A302" s="45"/>
      <c r="B302" s="1728"/>
      <c r="C302" s="1721"/>
      <c r="D302" s="2420"/>
      <c r="E302" s="2709" t="s">
        <v>577</v>
      </c>
      <c r="F302" s="2710" t="s">
        <v>1220</v>
      </c>
      <c r="G302" s="2709" t="s">
        <v>577</v>
      </c>
      <c r="H302" s="2710" t="s">
        <v>1220</v>
      </c>
      <c r="I302" s="2709" t="s">
        <v>577</v>
      </c>
      <c r="J302" s="2710" t="s">
        <v>1220</v>
      </c>
      <c r="K302" s="2709" t="s">
        <v>577</v>
      </c>
      <c r="L302" s="2711" t="s">
        <v>1220</v>
      </c>
      <c r="M302" s="2729"/>
      <c r="N302" s="54"/>
      <c r="O302" s="54"/>
      <c r="P302" s="54"/>
      <c r="Q302" s="54"/>
      <c r="R302" s="54"/>
      <c r="S302" s="275"/>
      <c r="T302" s="40"/>
      <c r="U302" s="65"/>
      <c r="V302" s="390" t="s">
        <v>577</v>
      </c>
      <c r="W302" s="391" t="s">
        <v>1220</v>
      </c>
      <c r="X302" s="390" t="s">
        <v>577</v>
      </c>
      <c r="Y302" s="391" t="s">
        <v>1220</v>
      </c>
      <c r="Z302" s="390" t="s">
        <v>577</v>
      </c>
      <c r="AA302" s="391" t="s">
        <v>1220</v>
      </c>
      <c r="AB302" s="390" t="s">
        <v>577</v>
      </c>
      <c r="AC302" s="392" t="s">
        <v>1220</v>
      </c>
      <c r="AD302" s="393"/>
      <c r="AE302" s="45"/>
      <c r="AF302" s="45"/>
      <c r="AG302" s="45"/>
      <c r="AH302" s="45"/>
      <c r="AI302" s="45"/>
      <c r="AJ302" s="275"/>
      <c r="AK302" s="40"/>
      <c r="AL302" s="65"/>
      <c r="AM302" s="390" t="s">
        <v>577</v>
      </c>
      <c r="AN302" s="391" t="s">
        <v>1220</v>
      </c>
      <c r="AO302" s="390" t="s">
        <v>577</v>
      </c>
      <c r="AP302" s="391" t="s">
        <v>1220</v>
      </c>
      <c r="AQ302" s="390" t="s">
        <v>577</v>
      </c>
      <c r="AR302" s="391" t="s">
        <v>1220</v>
      </c>
      <c r="AS302" s="390" t="s">
        <v>577</v>
      </c>
      <c r="AT302" s="392" t="s">
        <v>1220</v>
      </c>
      <c r="AU302" s="393"/>
      <c r="AV302" s="54"/>
      <c r="AW302" s="54"/>
      <c r="AX302" s="54"/>
      <c r="AY302" s="54"/>
      <c r="AZ302" s="54"/>
      <c r="BA302" s="54"/>
      <c r="BB302" s="54"/>
      <c r="BC302" s="54"/>
    </row>
    <row r="303" spans="1:55">
      <c r="A303" s="45"/>
      <c r="B303" s="1728"/>
      <c r="C303" s="2453" t="s">
        <v>1908</v>
      </c>
      <c r="D303" s="2412"/>
      <c r="E303" s="2730">
        <f ca="1">Transfer!D175</f>
        <v>10057.6975</v>
      </c>
      <c r="F303" s="2434">
        <f ca="1">100*((Transfer!D175/Transfer!C175)-1)</f>
        <v>1.3565589733434802</v>
      </c>
      <c r="G303" s="2435">
        <f ca="1">Transfer!E175</f>
        <v>10225.145</v>
      </c>
      <c r="H303" s="2434">
        <f ca="1">100*((Transfer!E175/Transfer!D175)-1)</f>
        <v>1.6648691213868805</v>
      </c>
      <c r="I303" s="2730">
        <f ca="1">Transfer!F175</f>
        <v>10322.200999999999</v>
      </c>
      <c r="J303" s="2434">
        <f ca="1">100*((Transfer!F175/Transfer!E175)-1)</f>
        <v>0.94918947359670103</v>
      </c>
      <c r="K303" s="2435">
        <f ca="1">Transfer!G175</f>
        <v>10421.343999999999</v>
      </c>
      <c r="L303" s="2436">
        <f ca="1">100*((Transfer!G175/Transfer!F175)-1)</f>
        <v>0.96048313726888601</v>
      </c>
      <c r="M303" s="2437"/>
      <c r="N303" s="54"/>
      <c r="O303" s="54"/>
      <c r="P303" s="54"/>
      <c r="Q303" s="54"/>
      <c r="R303" s="54"/>
      <c r="S303" s="275"/>
      <c r="T303" s="2453" t="s">
        <v>1908</v>
      </c>
      <c r="U303" s="1731"/>
      <c r="V303" s="367">
        <f t="shared" ref="V303:AC312" ca="1" si="22">ROUND(E303,1)-ROUND(AM303,1)</f>
        <v>134.60000000000036</v>
      </c>
      <c r="W303" s="394">
        <f t="shared" ca="1" si="22"/>
        <v>9.9999999999999867E-2</v>
      </c>
      <c r="X303" s="394">
        <f t="shared" ca="1" si="22"/>
        <v>167.39999999999964</v>
      </c>
      <c r="Y303" s="394">
        <f t="shared" ca="1" si="22"/>
        <v>0.30000000000000004</v>
      </c>
      <c r="Z303" s="394">
        <f t="shared" ca="1" si="22"/>
        <v>128.80000000000109</v>
      </c>
      <c r="AA303" s="394">
        <f t="shared" ca="1" si="22"/>
        <v>-0.4</v>
      </c>
      <c r="AB303" s="394">
        <f t="shared" ca="1" si="22"/>
        <v>124.79999999999927</v>
      </c>
      <c r="AC303" s="368">
        <f t="shared" ca="1" si="22"/>
        <v>0</v>
      </c>
      <c r="AD303" s="364"/>
      <c r="AE303" s="45"/>
      <c r="AF303" s="45"/>
      <c r="AG303" s="45"/>
      <c r="AH303" s="45"/>
      <c r="AI303" s="45"/>
      <c r="AJ303" s="275"/>
      <c r="AK303" s="2453" t="s">
        <v>1908</v>
      </c>
      <c r="AL303" s="57"/>
      <c r="AM303" s="394">
        <f>Transfer!AD175</f>
        <v>9923.0849999999991</v>
      </c>
      <c r="AN303" s="367">
        <f>100*((Transfer!AD175/Transfer!AC175)-1)</f>
        <v>1.2643805311992162</v>
      </c>
      <c r="AO303" s="395">
        <f>Transfer!AE175</f>
        <v>10057.6975</v>
      </c>
      <c r="AP303" s="367">
        <f>100*((Transfer!AE175/Transfer!AD175)-1)</f>
        <v>1.3565589733434802</v>
      </c>
      <c r="AQ303" s="394">
        <f>Transfer!AF175</f>
        <v>10193.430657265833</v>
      </c>
      <c r="AR303" s="367">
        <f>100*((Transfer!AF175/Transfer!AE175)-1)</f>
        <v>1.349545035191535</v>
      </c>
      <c r="AS303" s="395">
        <f>Transfer!AG175</f>
        <v>10296.540542839941</v>
      </c>
      <c r="AT303" s="368">
        <f>100*((Transfer!AG175/Transfer!AF175)-1)</f>
        <v>1.0115327120081119</v>
      </c>
      <c r="AU303" s="364"/>
      <c r="AV303" s="54"/>
      <c r="AW303" s="54"/>
      <c r="AX303" s="54"/>
      <c r="AY303" s="54"/>
      <c r="AZ303" s="54"/>
      <c r="BA303" s="1725" t="s">
        <v>2009</v>
      </c>
      <c r="BB303" s="1731"/>
      <c r="BC303" s="54"/>
    </row>
    <row r="304" spans="1:55">
      <c r="A304" s="45"/>
      <c r="B304" s="1720"/>
      <c r="C304" s="1721" t="s">
        <v>643</v>
      </c>
      <c r="D304" s="2420"/>
      <c r="E304" s="2462">
        <f ca="1">Transfer!D176</f>
        <v>6288.3604999999998</v>
      </c>
      <c r="F304" s="2445">
        <f ca="1">100*((Transfer!D176/Transfer!C176)-1)</f>
        <v>1.0669603355011992</v>
      </c>
      <c r="G304" s="2446">
        <f ca="1">Transfer!E176</f>
        <v>6372.4819525517032</v>
      </c>
      <c r="H304" s="2445">
        <f ca="1">100*((Transfer!E176/Transfer!D176)-1)</f>
        <v>1.3377326657990407</v>
      </c>
      <c r="I304" s="2462">
        <f ca="1">Transfer!F176</f>
        <v>6423.9734930411896</v>
      </c>
      <c r="J304" s="2445">
        <f ca="1">100*((Transfer!F176/Transfer!E176)-1)</f>
        <v>0.80802960091346243</v>
      </c>
      <c r="K304" s="2446">
        <f ca="1">Transfer!G176</f>
        <v>6474.9159424573345</v>
      </c>
      <c r="L304" s="2447">
        <f ca="1">100*((Transfer!G176/Transfer!F176)-1)</f>
        <v>0.79300528670189774</v>
      </c>
      <c r="M304" s="2437"/>
      <c r="N304" s="54"/>
      <c r="O304" s="54"/>
      <c r="P304" s="54"/>
      <c r="Q304" s="54"/>
      <c r="R304" s="54"/>
      <c r="S304" s="190"/>
      <c r="T304" s="1721" t="s">
        <v>643</v>
      </c>
      <c r="U304" s="196"/>
      <c r="V304" s="359">
        <f t="shared" ca="1" si="22"/>
        <v>66.399999999999636</v>
      </c>
      <c r="W304" s="396">
        <f t="shared" ca="1" si="22"/>
        <v>0.30000000000000004</v>
      </c>
      <c r="X304" s="396">
        <f t="shared" ca="1" si="22"/>
        <v>84.100000000000364</v>
      </c>
      <c r="Y304" s="396">
        <f t="shared" ca="1" si="22"/>
        <v>0.19999999999999996</v>
      </c>
      <c r="Z304" s="396">
        <f t="shared" ca="1" si="22"/>
        <v>83.300000000000182</v>
      </c>
      <c r="AA304" s="396">
        <f t="shared" ca="1" si="22"/>
        <v>0</v>
      </c>
      <c r="AB304" s="396">
        <f t="shared" ca="1" si="22"/>
        <v>87.599999999999454</v>
      </c>
      <c r="AC304" s="360">
        <f t="shared" ca="1" si="22"/>
        <v>0.10000000000000009</v>
      </c>
      <c r="AD304" s="364"/>
      <c r="AE304" s="45"/>
      <c r="AF304" s="45"/>
      <c r="AG304" s="45"/>
      <c r="AH304" s="45"/>
      <c r="AI304" s="45"/>
      <c r="AJ304" s="190"/>
      <c r="AK304" s="1721" t="s">
        <v>643</v>
      </c>
      <c r="AL304" s="65"/>
      <c r="AM304" s="396">
        <f>Transfer!AD176</f>
        <v>6221.9745000000003</v>
      </c>
      <c r="AN304" s="359">
        <f>100*((Transfer!AD176/Transfer!AC176)-1)</f>
        <v>0.84985231887131363</v>
      </c>
      <c r="AO304" s="397">
        <f>Transfer!AE176</f>
        <v>6288.3604999999998</v>
      </c>
      <c r="AP304" s="359">
        <f>100*((Transfer!AE176/Transfer!AD176)-1)</f>
        <v>1.0669603355011992</v>
      </c>
      <c r="AQ304" s="396">
        <f>Transfer!AF176</f>
        <v>6340.6837483023583</v>
      </c>
      <c r="AR304" s="359">
        <f>100*((Transfer!AF176/Transfer!AE176)-1)</f>
        <v>0.83206502398134319</v>
      </c>
      <c r="AS304" s="397">
        <f>Transfer!AG176</f>
        <v>6387.3277988414429</v>
      </c>
      <c r="AT304" s="360">
        <f>100*((Transfer!AG176/Transfer!AF176)-1)</f>
        <v>0.7356312408984822</v>
      </c>
      <c r="AU304" s="364"/>
      <c r="AV304" s="54"/>
      <c r="AW304" s="54"/>
      <c r="AX304" s="54"/>
      <c r="AY304" s="54"/>
      <c r="AZ304" s="54"/>
      <c r="BA304" s="1726" t="s">
        <v>1010</v>
      </c>
      <c r="BB304" s="196"/>
      <c r="BC304" s="54"/>
    </row>
    <row r="305" spans="1:55">
      <c r="A305" s="45"/>
      <c r="B305" s="1720"/>
      <c r="C305" s="1721" t="s">
        <v>644</v>
      </c>
      <c r="D305" s="2420"/>
      <c r="E305" s="2462">
        <f ca="1">SUM(Transfer!D178,Transfer!D179)</f>
        <v>5379.8</v>
      </c>
      <c r="F305" s="2445">
        <f ca="1">100*((SUM(Transfer!D178,Transfer!D179)/SUM(Transfer!C178,Transfer!C179))-1)</f>
        <v>1.965466916851466</v>
      </c>
      <c r="G305" s="2446">
        <f ca="1">SUM(Transfer!E178,Transfer!E179)</f>
        <v>5445.9715400000005</v>
      </c>
      <c r="H305" s="2445">
        <f ca="1">100*((SUM(Transfer!E178,Transfer!E179)/SUM(Transfer!D178,Transfer!D179))-1)</f>
        <v>1.2299999999999978</v>
      </c>
      <c r="I305" s="2462">
        <f ca="1">SUM(Transfer!F178,Transfer!F179)</f>
        <v>5489.5393123200001</v>
      </c>
      <c r="J305" s="2445">
        <f ca="1">100*((SUM(Transfer!F178,Transfer!F179)/SUM(Transfer!E178,Transfer!E179))-1)</f>
        <v>0.80000000000000071</v>
      </c>
      <c r="K305" s="2446">
        <f ca="1">SUM(Transfer!G178,Transfer!G179)</f>
        <v>5525.2213178500797</v>
      </c>
      <c r="L305" s="2447">
        <f ca="1">100*((SUM(Transfer!G178,Transfer!G179)/SUM(Transfer!F178,Transfer!F179))-1)</f>
        <v>0.64999999999999503</v>
      </c>
      <c r="M305" s="2437"/>
      <c r="N305" s="54"/>
      <c r="O305" s="54"/>
      <c r="P305" s="54"/>
      <c r="Q305" s="54"/>
      <c r="R305" s="54"/>
      <c r="S305" s="190"/>
      <c r="T305" s="1721" t="s">
        <v>644</v>
      </c>
      <c r="U305" s="196"/>
      <c r="V305" s="359">
        <f t="shared" ca="1" si="22"/>
        <v>103.69999999999982</v>
      </c>
      <c r="W305" s="396">
        <f t="shared" ca="1" si="22"/>
        <v>1</v>
      </c>
      <c r="X305" s="396">
        <f t="shared" ca="1" si="22"/>
        <v>66.199999999999818</v>
      </c>
      <c r="Y305" s="396">
        <f t="shared" ca="1" si="22"/>
        <v>-0.8</v>
      </c>
      <c r="Z305" s="396">
        <f t="shared" ca="1" si="22"/>
        <v>39.800000000000182</v>
      </c>
      <c r="AA305" s="396">
        <f t="shared" ca="1" si="22"/>
        <v>-0.5</v>
      </c>
      <c r="AB305" s="359">
        <f t="shared" ca="1" si="22"/>
        <v>11.199999999999818</v>
      </c>
      <c r="AC305" s="360">
        <f t="shared" ca="1" si="22"/>
        <v>-0.6</v>
      </c>
      <c r="AD305" s="364"/>
      <c r="AE305" s="45"/>
      <c r="AF305" s="45"/>
      <c r="AG305" s="45"/>
      <c r="AH305" s="45"/>
      <c r="AI305" s="45"/>
      <c r="AJ305" s="190"/>
      <c r="AK305" s="1721" t="s">
        <v>644</v>
      </c>
      <c r="AL305" s="65"/>
      <c r="AM305" s="396">
        <f>SUM(Transfer!AD178,Transfer!AD179)</f>
        <v>5276.1</v>
      </c>
      <c r="AN305" s="359">
        <f>100*((SUM(Transfer!AD178,Transfer!AD179)/SUM(Transfer!AC178,Transfer!AC179))-1)</f>
        <v>0.99345354312623257</v>
      </c>
      <c r="AO305" s="397">
        <f>SUM(Transfer!AE178,Transfer!AE179)</f>
        <v>5379.8</v>
      </c>
      <c r="AP305" s="359">
        <f>100*((SUM(Transfer!AE178,Transfer!AE179)/SUM(Transfer!AD178,Transfer!AD179))-1)</f>
        <v>1.965466916851466</v>
      </c>
      <c r="AQ305" s="396">
        <f>SUM(Transfer!AF178,Transfer!AF179)</f>
        <v>5449.7374</v>
      </c>
      <c r="AR305" s="359">
        <f>100*((SUM(Transfer!AF178,Transfer!AF179)/SUM(Transfer!AE178,Transfer!AE179))-1)</f>
        <v>1.2999999999999901</v>
      </c>
      <c r="AS305" s="397">
        <f>SUM(Transfer!AG178,Transfer!AG179)</f>
        <v>5514.0443013200002</v>
      </c>
      <c r="AT305" s="360">
        <f>100*((SUM(Transfer!AG178,Transfer!AG179)/SUM(Transfer!AF178,Transfer!AF179))-1)</f>
        <v>1.1800000000000033</v>
      </c>
      <c r="AU305" s="364"/>
      <c r="AV305" s="54"/>
      <c r="AW305" s="54"/>
      <c r="AX305" s="54"/>
      <c r="AY305" s="54"/>
      <c r="AZ305" s="54"/>
      <c r="BA305" s="1726" t="s">
        <v>1011</v>
      </c>
      <c r="BB305" s="196"/>
      <c r="BC305" s="54"/>
    </row>
    <row r="306" spans="1:55">
      <c r="A306" s="45"/>
      <c r="B306" s="1720"/>
      <c r="C306" s="2442" t="s">
        <v>122</v>
      </c>
      <c r="D306" s="2461"/>
      <c r="E306" s="2462">
        <f ca="1">100*(SUM(Transfer!D178,Transfer!D179))/Transfer!D176</f>
        <v>85.551710974585504</v>
      </c>
      <c r="F306" s="2445"/>
      <c r="G306" s="2446">
        <f ca="1">100*(SUM(Transfer!E178,Transfer!E179))/Transfer!E176</f>
        <v>85.460760509793147</v>
      </c>
      <c r="H306" s="2445"/>
      <c r="I306" s="2462">
        <f ca="1">100*(SUM(Transfer!F178,Transfer!F179))/Transfer!F176</f>
        <v>85.453953355607382</v>
      </c>
      <c r="J306" s="2445"/>
      <c r="K306" s="2446">
        <f ca="1">100*(SUM(Transfer!G178,Transfer!G179))/Transfer!G176</f>
        <v>85.332711141778461</v>
      </c>
      <c r="L306" s="2447"/>
      <c r="M306" s="2459"/>
      <c r="N306" s="54"/>
      <c r="O306" s="54"/>
      <c r="P306" s="54"/>
      <c r="Q306" s="54"/>
      <c r="R306" s="54"/>
      <c r="S306" s="190"/>
      <c r="T306" s="2442" t="s">
        <v>122</v>
      </c>
      <c r="U306" s="343"/>
      <c r="V306" s="359">
        <f t="shared" ca="1" si="22"/>
        <v>0.79999999999999716</v>
      </c>
      <c r="W306" s="91"/>
      <c r="X306" s="396">
        <f t="shared" ca="1" si="22"/>
        <v>-9.9999999999994316E-2</v>
      </c>
      <c r="Y306" s="91"/>
      <c r="Z306" s="396">
        <f t="shared" ca="1" si="22"/>
        <v>-0.40000000000000568</v>
      </c>
      <c r="AA306" s="91"/>
      <c r="AB306" s="396">
        <f t="shared" ca="1" si="22"/>
        <v>-1</v>
      </c>
      <c r="AC306" s="93"/>
      <c r="AD306" s="103"/>
      <c r="AE306" s="45"/>
      <c r="AF306" s="45"/>
      <c r="AG306" s="45"/>
      <c r="AH306" s="45"/>
      <c r="AI306" s="45"/>
      <c r="AJ306" s="190"/>
      <c r="AK306" s="2442" t="s">
        <v>122</v>
      </c>
      <c r="AL306" s="105"/>
      <c r="AM306" s="396">
        <f>100*(SUM(Transfer!AD178,Transfer!AD179))/Transfer!AD176</f>
        <v>84.79784029973122</v>
      </c>
      <c r="AN306" s="91"/>
      <c r="AO306" s="397">
        <f>100*(SUM(Transfer!AE178,Transfer!AE179))/Transfer!AE176</f>
        <v>85.551710974585504</v>
      </c>
      <c r="AP306" s="91"/>
      <c r="AQ306" s="396">
        <f>100*(SUM(Transfer!AF178,Transfer!AF179))/Transfer!AF176</f>
        <v>85.948733864216166</v>
      </c>
      <c r="AR306" s="91"/>
      <c r="AS306" s="397">
        <f>100*(SUM(Transfer!AG178,Transfer!AG179))/Transfer!AG176</f>
        <v>86.327874112240764</v>
      </c>
      <c r="AT306" s="93"/>
      <c r="AU306" s="103"/>
      <c r="AV306" s="54"/>
      <c r="AW306" s="54"/>
      <c r="AX306" s="54"/>
      <c r="AY306" s="54"/>
      <c r="AZ306" s="54"/>
      <c r="BA306" s="1726" t="s">
        <v>1012</v>
      </c>
      <c r="BB306" s="196"/>
      <c r="BC306" s="54"/>
    </row>
    <row r="307" spans="1:55" ht="13.15">
      <c r="A307" s="45"/>
      <c r="B307" s="1720"/>
      <c r="C307" s="2731" t="s">
        <v>196</v>
      </c>
      <c r="D307" s="2422"/>
      <c r="E307" s="2732">
        <f ca="1">Transfer!D179</f>
        <v>5021.8</v>
      </c>
      <c r="F307" s="2628">
        <f ca="1">100*((Transfer!D179/Transfer!C179)-1)</f>
        <v>2.2749027514714637</v>
      </c>
      <c r="G307" s="2733">
        <f ca="1">Transfer!E179</f>
        <v>5105.0333799999999</v>
      </c>
      <c r="H307" s="2628">
        <f ca="1">100*((Transfer!E179/Transfer!D179)-1)</f>
        <v>1.6574411565573932</v>
      </c>
      <c r="I307" s="2732">
        <f ca="1">Transfer!F179</f>
        <v>5148.7908682299994</v>
      </c>
      <c r="J307" s="2628">
        <f ca="1">100*((Transfer!F179/Transfer!E179)-1)</f>
        <v>0.8571440179300005</v>
      </c>
      <c r="K307" s="2733">
        <f ca="1">Transfer!G179</f>
        <v>5182.7271197432647</v>
      </c>
      <c r="L307" s="2655">
        <f ca="1">100*((Transfer!G179/Transfer!F179)-1)</f>
        <v>0.65911108805496443</v>
      </c>
      <c r="M307" s="2441"/>
      <c r="N307" s="54"/>
      <c r="O307" s="54"/>
      <c r="P307" s="54"/>
      <c r="Q307" s="54"/>
      <c r="R307" s="54"/>
      <c r="S307" s="190"/>
      <c r="T307" s="2731" t="s">
        <v>196</v>
      </c>
      <c r="U307" s="203"/>
      <c r="V307" s="400">
        <f t="shared" ca="1" si="22"/>
        <v>111.69999999999982</v>
      </c>
      <c r="W307" s="399">
        <f ca="1">ROUND(F307,1)-ROUND(AN307,1)</f>
        <v>0.79999999999999982</v>
      </c>
      <c r="X307" s="399">
        <f t="shared" ca="1" si="22"/>
        <v>83.199999999999818</v>
      </c>
      <c r="Y307" s="399">
        <f ca="1">ROUND(H307,1)-ROUND(AP307,1)</f>
        <v>-0.59999999999999987</v>
      </c>
      <c r="Z307" s="399">
        <f t="shared" ca="1" si="22"/>
        <v>44.900000000000546</v>
      </c>
      <c r="AA307" s="399">
        <f ca="1">ROUND(J307,1)-ROUND(AR307,1)</f>
        <v>-0.70000000000000007</v>
      </c>
      <c r="AB307" s="399">
        <f t="shared" ca="1" si="22"/>
        <v>14.599999999999454</v>
      </c>
      <c r="AC307" s="402">
        <f t="shared" ca="1" si="22"/>
        <v>-0.60000000000000009</v>
      </c>
      <c r="AD307" s="366"/>
      <c r="AE307" s="45"/>
      <c r="AF307" s="45"/>
      <c r="AG307" s="45"/>
      <c r="AH307" s="45"/>
      <c r="AI307" s="45"/>
      <c r="AJ307" s="190"/>
      <c r="AK307" s="2731" t="s">
        <v>196</v>
      </c>
      <c r="AL307" s="67"/>
      <c r="AM307" s="399">
        <f>Transfer!AD179</f>
        <v>4910.1000000000004</v>
      </c>
      <c r="AN307" s="400">
        <f>100*((Transfer!AD179/Transfer!AC179)-1)</f>
        <v>1.5070702059042596</v>
      </c>
      <c r="AO307" s="401">
        <f>Transfer!AE179</f>
        <v>5021.8</v>
      </c>
      <c r="AP307" s="400">
        <f>100*((Transfer!AE179/Transfer!AD179)-1)</f>
        <v>2.2749027514714637</v>
      </c>
      <c r="AQ307" s="399">
        <f>Transfer!AF179</f>
        <v>5103.8630000000003</v>
      </c>
      <c r="AR307" s="400">
        <f>100*((Transfer!AF179/Transfer!AE179)-1)</f>
        <v>1.6341351706559371</v>
      </c>
      <c r="AS307" s="401">
        <f>Transfer!AG179</f>
        <v>5168.0881854999998</v>
      </c>
      <c r="AT307" s="402">
        <f>100*((Transfer!AG179/Transfer!AF179)-1)</f>
        <v>1.2583642135378437</v>
      </c>
      <c r="AU307" s="366"/>
      <c r="AV307" s="54"/>
      <c r="AW307" s="54"/>
      <c r="AX307" s="54"/>
      <c r="AY307" s="54"/>
      <c r="AZ307" s="54"/>
      <c r="BA307" s="1726" t="s">
        <v>1013</v>
      </c>
      <c r="BB307" s="196"/>
      <c r="BC307" s="54"/>
    </row>
    <row r="308" spans="1:55">
      <c r="A308" s="45"/>
      <c r="B308" s="1720"/>
      <c r="C308" s="2442" t="s">
        <v>197</v>
      </c>
      <c r="D308" s="2461"/>
      <c r="E308" s="2462">
        <f ca="1">+IF(Transfer!C183=-9999,Transfer!D163,Transfer!D183)</f>
        <v>4816.8</v>
      </c>
      <c r="F308" s="2445">
        <f ca="1">IF(Transfer!C183=-9999,100*((Transfer!D163/Transfer!C163)-1),100*((Transfer!D183/Transfer!C183)-1))</f>
        <v>2.4611261194188661</v>
      </c>
      <c r="G308" s="2446">
        <f ca="1">IF(Transfer!D183=-9999,Transfer!E163,Transfer!E183)</f>
        <v>4900.0333799999999</v>
      </c>
      <c r="H308" s="2445">
        <f ca="1">IF(Transfer!D183=-9999,100*((Transfer!E163/Transfer!D163)-1),100*((Transfer!E183/Transfer!D183)-1))</f>
        <v>1.7279808171400068</v>
      </c>
      <c r="I308" s="2462">
        <f ca="1">IF(Transfer!E183=-9999,Transfer!F163,Transfer!F183)</f>
        <v>4943.7908682299994</v>
      </c>
      <c r="J308" s="2445">
        <f ca="1">IF(Transfer!E183=-9999,100*((Transfer!F163/Transfer!E163)-1),100*((Transfer!F183/Transfer!E183)-1))</f>
        <v>0.89300388051640756</v>
      </c>
      <c r="K308" s="2446">
        <f ca="1">IF(Transfer!F183=-9999,Transfer!G163,Transfer!G183)</f>
        <v>4977.7271197432647</v>
      </c>
      <c r="L308" s="2447">
        <f ca="1">IF(Transfer!F183=-9999,100*((Transfer!G163/Transfer!F163)-1),100*((Transfer!G183/Transfer!F183)-1))</f>
        <v>0.6864418908038239</v>
      </c>
      <c r="M308" s="2459"/>
      <c r="N308" s="54"/>
      <c r="O308" s="54"/>
      <c r="P308" s="54"/>
      <c r="Q308" s="54"/>
      <c r="R308" s="54"/>
      <c r="S308" s="190"/>
      <c r="T308" s="2442" t="s">
        <v>197</v>
      </c>
      <c r="U308" s="343"/>
      <c r="V308" s="359">
        <f t="shared" ca="1" si="22"/>
        <v>116</v>
      </c>
      <c r="W308" s="396">
        <f ca="1">ROUND(F308,1)-ROUND(AN308,1)</f>
        <v>0.60000000000000009</v>
      </c>
      <c r="X308" s="396">
        <f t="shared" ca="1" si="22"/>
        <v>83.300000000000182</v>
      </c>
      <c r="Y308" s="396">
        <f ca="1">ROUND(H308,1)-ROUND(AP308,1)</f>
        <v>-0.8</v>
      </c>
      <c r="Z308" s="396">
        <f t="shared" ca="1" si="22"/>
        <v>45</v>
      </c>
      <c r="AA308" s="396">
        <f ca="1">ROUND(J308,1)-ROUND(AR308,1)</f>
        <v>-0.79999999999999993</v>
      </c>
      <c r="AB308" s="396">
        <f t="shared" ca="1" si="22"/>
        <v>14.699999999999818</v>
      </c>
      <c r="AC308" s="360">
        <f t="shared" ca="1" si="22"/>
        <v>-0.60000000000000009</v>
      </c>
      <c r="AD308" s="361"/>
      <c r="AE308" s="45"/>
      <c r="AF308" s="45"/>
      <c r="AG308" s="45"/>
      <c r="AH308" s="45"/>
      <c r="AI308" s="45"/>
      <c r="AJ308" s="190"/>
      <c r="AK308" s="2442" t="s">
        <v>197</v>
      </c>
      <c r="AL308" s="105"/>
      <c r="AM308" s="396">
        <f>+IF(Transfer!AC183=-9999,Transfer!AD163,Transfer!AD183)</f>
        <v>4700.8</v>
      </c>
      <c r="AN308" s="359">
        <f>IF(Transfer!AC183=-9999,100*((Transfer!AD163/Transfer!AC163)-1),100*((Transfer!AD183/Transfer!AC183)-1))</f>
        <v>1.9232020120986126</v>
      </c>
      <c r="AO308" s="397">
        <f>IF(Transfer!AD183=-9999,Transfer!AE163,Transfer!AE183)</f>
        <v>4816.7</v>
      </c>
      <c r="AP308" s="359">
        <f>IF(Transfer!AD183=-9999,100*((Transfer!AE163/Transfer!AD163)-1),100*((Transfer!AE183/Transfer!AD183)-1))</f>
        <v>2.4655377808032508</v>
      </c>
      <c r="AQ308" s="396">
        <f>IF(Transfer!AE183=-9999,Transfer!AF163,Transfer!AF183)</f>
        <v>4898.7629999999999</v>
      </c>
      <c r="AR308" s="359">
        <f>IF(Transfer!AE183=-9999,100*((Transfer!AF163/Transfer!AE163)-1),100*((Transfer!AF183/Transfer!AE183)-1))</f>
        <v>1.7037183133680855</v>
      </c>
      <c r="AS308" s="397">
        <f>IF(Transfer!AF183=-9999,Transfer!AG163,Transfer!AG183)</f>
        <v>4962.9881854999994</v>
      </c>
      <c r="AT308" s="360">
        <f>IF(Transfer!AF183=-9999,100*((Transfer!AG163/Transfer!AF163)-1),100*((Transfer!AG183/Transfer!AF183)-1))</f>
        <v>1.3110490444220302</v>
      </c>
      <c r="AU308" s="361"/>
      <c r="AV308" s="54"/>
      <c r="AW308" s="54"/>
      <c r="AX308" s="54"/>
      <c r="AY308" s="54"/>
      <c r="AZ308" s="54"/>
      <c r="BA308" s="1726" t="s">
        <v>1014</v>
      </c>
      <c r="BB308" s="196"/>
      <c r="BC308" s="54"/>
    </row>
    <row r="309" spans="1:55">
      <c r="A309" s="45"/>
      <c r="B309" s="1720"/>
      <c r="C309" s="2442" t="s">
        <v>198</v>
      </c>
      <c r="D309" s="2461"/>
      <c r="E309" s="2462">
        <f ca="1">IF(Transfer!C183=-9999,Transfer!D179-Transfer!D163,Transfer!D179-Transfer!D183)</f>
        <v>205</v>
      </c>
      <c r="F309" s="2445">
        <f ca="1">IF(Transfer!C183=-9999,100*(((Transfer!D179-Transfer!D163)/(Transfer!C179-Transfer!C163))-1),100*(((Transfer!D179-Transfer!D183)/(Transfer!C179-Transfer!C183))-1))</f>
        <v>-1.9138755980861233</v>
      </c>
      <c r="G309" s="2446">
        <f ca="1">IF(Transfer!D183=-9999,Transfer!E179-Transfer!E163,Transfer!E179-Transfer!E183)</f>
        <v>205</v>
      </c>
      <c r="H309" s="2445">
        <f ca="1">IF(Transfer!D183=-9999,100*(((Transfer!E179-Transfer!E163)/(Transfer!D179-Transfer!D163))-1),100*(((Transfer!E179-Transfer!E183)/(Transfer!D179-Transfer!D183))-1))</f>
        <v>0</v>
      </c>
      <c r="I309" s="2462">
        <f ca="1">IF(Transfer!E183=-9999,Transfer!F179-Transfer!F163,Transfer!F179-Transfer!F183)</f>
        <v>205</v>
      </c>
      <c r="J309" s="2445">
        <f ca="1">IF(Transfer!E183=-9999,100*(((Transfer!F179-Transfer!F163)/(Transfer!E179-Transfer!E163))-1),100*(((Transfer!F179-Transfer!F183)/(Transfer!E179-Transfer!E183))-1))</f>
        <v>0</v>
      </c>
      <c r="K309" s="2446">
        <f ca="1">IF(Transfer!F183=-9999,Transfer!G179-Transfer!G163,Transfer!G179-Transfer!G183)</f>
        <v>205</v>
      </c>
      <c r="L309" s="2447">
        <f ca="1">IF(Transfer!F183=-9999,100*(((Transfer!G179-Transfer!G163)/(Transfer!F179-Transfer!F163))-1),100*(((Transfer!G179-Transfer!G183)/(Transfer!F179-Transfer!F183))-1))</f>
        <v>0</v>
      </c>
      <c r="M309" s="2459"/>
      <c r="N309" s="54"/>
      <c r="O309" s="54"/>
      <c r="P309" s="54"/>
      <c r="Q309" s="54"/>
      <c r="R309" s="54"/>
      <c r="S309" s="190"/>
      <c r="T309" s="2442" t="s">
        <v>198</v>
      </c>
      <c r="U309" s="343"/>
      <c r="V309" s="359">
        <f t="shared" ca="1" si="22"/>
        <v>-4.3000000000000114</v>
      </c>
      <c r="W309" s="396">
        <f ca="1">ROUND(F309,1)-ROUND(AN309,1)</f>
        <v>5.0999999999999996</v>
      </c>
      <c r="X309" s="396">
        <f t="shared" ca="1" si="22"/>
        <v>-9.9999999999994316E-2</v>
      </c>
      <c r="Y309" s="396">
        <f ca="1">ROUND(H309,1)-ROUND(AP309,1)</f>
        <v>2</v>
      </c>
      <c r="Z309" s="396">
        <f t="shared" ca="1" si="22"/>
        <v>-9.9999999999994316E-2</v>
      </c>
      <c r="AA309" s="396">
        <f ca="1">ROUND(J309,1)-ROUND(AR309,1)</f>
        <v>0</v>
      </c>
      <c r="AB309" s="396">
        <f t="shared" ca="1" si="22"/>
        <v>-9.9999999999994316E-2</v>
      </c>
      <c r="AC309" s="360">
        <f t="shared" ca="1" si="22"/>
        <v>0</v>
      </c>
      <c r="AD309" s="361"/>
      <c r="AE309" s="45"/>
      <c r="AF309" s="45"/>
      <c r="AG309" s="45"/>
      <c r="AH309" s="45"/>
      <c r="AI309" s="45"/>
      <c r="AJ309" s="190"/>
      <c r="AK309" s="2442" t="s">
        <v>198</v>
      </c>
      <c r="AL309" s="105"/>
      <c r="AM309" s="396">
        <f>IF(Transfer!AC183=-9999,Transfer!AD179-Transfer!AD163,Transfer!AD179-Transfer!AD183)</f>
        <v>209.30000000000018</v>
      </c>
      <c r="AN309" s="359">
        <f>IF(Transfer!AC183=-9999,100*(((Transfer!AD179-Transfer!AD163)/(Transfer!AC179-Transfer!AC163))-1),100*(((Transfer!AD179-Transfer!AD183)/(Transfer!AC179-Transfer!AC183))-1))</f>
        <v>-7.0191026210570051</v>
      </c>
      <c r="AO309" s="397">
        <f>IF(Transfer!AD183=-9999,Transfer!AE179-Transfer!AE163,Transfer!AE179-Transfer!AE183)</f>
        <v>205.10000000000036</v>
      </c>
      <c r="AP309" s="359">
        <f>IF(Transfer!AD183=-9999,100*(((Transfer!AE179-Transfer!AE163)/(Transfer!AD179-Transfer!AD163))-1),100*(((Transfer!AE179-Transfer!AE183)/(Transfer!AD179-Transfer!AD183))-1))</f>
        <v>-2.0066889632106122</v>
      </c>
      <c r="AQ309" s="396">
        <f>IF(Transfer!AE183=-9999,Transfer!AF179-Transfer!AF163,Transfer!AF179-Transfer!AF183)</f>
        <v>205.10000000000036</v>
      </c>
      <c r="AR309" s="359">
        <f>IF(Transfer!AE183=-9999,100*(((Transfer!AF179-Transfer!AF163)/(Transfer!AE179-Transfer!AE163))-1),100*(((Transfer!AF179-Transfer!AF183)/(Transfer!AE179-Transfer!AE183))-1))</f>
        <v>0</v>
      </c>
      <c r="AS309" s="397">
        <f>IF(Transfer!AF183=-9999,Transfer!AG179-Transfer!AG163,Transfer!AG179-Transfer!AG183)</f>
        <v>205.10000000000036</v>
      </c>
      <c r="AT309" s="360">
        <f>IF(Transfer!AF183=-9999,100*(((Transfer!AG179-Transfer!AG163)/(Transfer!AF179-Transfer!AF163))-1),100*(((Transfer!AG179-Transfer!AG183)/(Transfer!AF179-Transfer!AF183))-1))</f>
        <v>0</v>
      </c>
      <c r="AU309" s="361"/>
      <c r="AV309" s="54"/>
      <c r="AW309" s="54"/>
      <c r="AX309" s="54"/>
      <c r="AY309" s="54"/>
      <c r="AZ309" s="54"/>
      <c r="BA309" s="1726" t="s">
        <v>1015</v>
      </c>
      <c r="BB309" s="196"/>
      <c r="BC309" s="54"/>
    </row>
    <row r="310" spans="1:55">
      <c r="A310" s="45"/>
      <c r="B310" s="1720"/>
      <c r="C310" s="2442" t="s">
        <v>518</v>
      </c>
      <c r="D310" s="2461"/>
      <c r="E310" s="2462">
        <f ca="1">100*Transfer!D179/Transfer!D176</f>
        <v>79.858653141784728</v>
      </c>
      <c r="F310" s="2445"/>
      <c r="G310" s="2462">
        <f ca="1">100*Transfer!E179/Transfer!E176</f>
        <v>80.110597691937201</v>
      </c>
      <c r="H310" s="2445"/>
      <c r="I310" s="2462">
        <f ca="1">100*Transfer!F179/Transfer!F176</f>
        <v>80.149628167168814</v>
      </c>
      <c r="J310" s="2445"/>
      <c r="K310" s="2462">
        <f ca="1">100*Transfer!G179/Transfer!G176</f>
        <v>80.043156788477731</v>
      </c>
      <c r="L310" s="2447"/>
      <c r="M310" s="2459"/>
      <c r="N310" s="54"/>
      <c r="O310" s="54"/>
      <c r="P310" s="54"/>
      <c r="Q310" s="54"/>
      <c r="R310" s="54"/>
      <c r="S310" s="190"/>
      <c r="T310" s="2442" t="s">
        <v>518</v>
      </c>
      <c r="U310" s="343"/>
      <c r="V310" s="359">
        <f t="shared" ca="1" si="22"/>
        <v>1</v>
      </c>
      <c r="W310" s="396"/>
      <c r="X310" s="396">
        <f t="shared" ca="1" si="22"/>
        <v>0.19999999999998863</v>
      </c>
      <c r="Y310" s="396"/>
      <c r="Z310" s="396">
        <f t="shared" ca="1" si="22"/>
        <v>-0.40000000000000568</v>
      </c>
      <c r="AA310" s="396"/>
      <c r="AB310" s="396">
        <f t="shared" ca="1" si="22"/>
        <v>-0.90000000000000568</v>
      </c>
      <c r="AC310" s="360"/>
      <c r="AD310" s="103"/>
      <c r="AE310" s="45"/>
      <c r="AF310" s="45"/>
      <c r="AG310" s="45"/>
      <c r="AH310" s="45"/>
      <c r="AI310" s="45"/>
      <c r="AJ310" s="190"/>
      <c r="AK310" s="2442" t="s">
        <v>518</v>
      </c>
      <c r="AL310" s="105"/>
      <c r="AM310" s="396">
        <f>100*Transfer!AD179/Transfer!AD176</f>
        <v>78.915463250452092</v>
      </c>
      <c r="AN310" s="91"/>
      <c r="AO310" s="396">
        <f>100*Transfer!AE179/Transfer!AE176</f>
        <v>79.858653141784728</v>
      </c>
      <c r="AP310" s="91"/>
      <c r="AQ310" s="396">
        <f>100*Transfer!AF179/Transfer!AF176</f>
        <v>80.493889974665564</v>
      </c>
      <c r="AR310" s="91"/>
      <c r="AS310" s="396">
        <f>100*Transfer!AG179/Transfer!AG176</f>
        <v>80.911585380625155</v>
      </c>
      <c r="AT310" s="93"/>
      <c r="AU310" s="103"/>
      <c r="AV310" s="54"/>
      <c r="AW310" s="54"/>
      <c r="AX310" s="54"/>
      <c r="AY310" s="54"/>
      <c r="AZ310" s="54"/>
      <c r="BA310" s="1726" t="s">
        <v>1016</v>
      </c>
      <c r="BB310" s="196"/>
      <c r="BC310" s="54"/>
    </row>
    <row r="311" spans="1:55">
      <c r="A311" s="45"/>
      <c r="B311" s="1720"/>
      <c r="C311" s="1721" t="s">
        <v>400</v>
      </c>
      <c r="D311" s="2420"/>
      <c r="E311" s="2462">
        <f ca="1">Transfer!D178</f>
        <v>358</v>
      </c>
      <c r="F311" s="2445">
        <f ca="1">100*((Transfer!D178/Transfer!C178)-1)</f>
        <v>-2.1857923497267784</v>
      </c>
      <c r="G311" s="2446">
        <f ca="1">Transfer!E178</f>
        <v>340.93816000000061</v>
      </c>
      <c r="H311" s="2445">
        <f ca="1">100*((Transfer!E178/Transfer!D178)-1)</f>
        <v>-4.7658770949718932</v>
      </c>
      <c r="I311" s="2462">
        <f ca="1">Transfer!F178</f>
        <v>340.7484440900007</v>
      </c>
      <c r="J311" s="2445">
        <f ca="1">100*((Transfer!F178/Transfer!E178)-1)</f>
        <v>-5.5645255432801299E-2</v>
      </c>
      <c r="K311" s="2446">
        <f ca="1">Transfer!G178</f>
        <v>342.49419810681502</v>
      </c>
      <c r="L311" s="2447">
        <f ca="1">100*((Transfer!G178/Transfer!F178)-1)</f>
        <v>0.51232927019710939</v>
      </c>
      <c r="M311" s="2437"/>
      <c r="N311" s="54"/>
      <c r="O311" s="54"/>
      <c r="P311" s="54"/>
      <c r="Q311" s="54"/>
      <c r="R311" s="54"/>
      <c r="S311" s="190"/>
      <c r="T311" s="1721" t="s">
        <v>400</v>
      </c>
      <c r="U311" s="196"/>
      <c r="V311" s="359">
        <f t="shared" ca="1" si="22"/>
        <v>-8</v>
      </c>
      <c r="W311" s="396">
        <f ca="1">ROUND(F311,1)-ROUND(AN311,1)</f>
        <v>3.2</v>
      </c>
      <c r="X311" s="396">
        <f t="shared" ca="1" si="22"/>
        <v>-17.100000000000023</v>
      </c>
      <c r="Y311" s="396">
        <f ca="1">ROUND(H311,1)-ROUND(AP311,1)</f>
        <v>-2.5999999999999996</v>
      </c>
      <c r="Z311" s="396">
        <f t="shared" ca="1" si="22"/>
        <v>-5.1999999999999886</v>
      </c>
      <c r="AA311" s="396">
        <f ca="1">ROUND(J311,1)-ROUND(AR311,1)</f>
        <v>3.3</v>
      </c>
      <c r="AB311" s="396">
        <f t="shared" ca="1" si="22"/>
        <v>-3.5</v>
      </c>
      <c r="AC311" s="360">
        <f t="shared" ca="1" si="22"/>
        <v>0.5</v>
      </c>
      <c r="AD311" s="364"/>
      <c r="AE311" s="45"/>
      <c r="AF311" s="45"/>
      <c r="AG311" s="45"/>
      <c r="AH311" s="45"/>
      <c r="AI311" s="45"/>
      <c r="AJ311" s="190"/>
      <c r="AK311" s="1721" t="s">
        <v>400</v>
      </c>
      <c r="AL311" s="65"/>
      <c r="AM311" s="396">
        <f>Transfer!AD178</f>
        <v>366</v>
      </c>
      <c r="AN311" s="359">
        <f>100*((Transfer!AD178/Transfer!AC178)-1)</f>
        <v>-5.4263565891472858</v>
      </c>
      <c r="AO311" s="397">
        <f>Transfer!AE178</f>
        <v>358</v>
      </c>
      <c r="AP311" s="359">
        <f>100*((Transfer!AE178/Transfer!AD178)-1)</f>
        <v>-2.1857923497267784</v>
      </c>
      <c r="AQ311" s="396">
        <f>Transfer!AF178</f>
        <v>345.8743999999997</v>
      </c>
      <c r="AR311" s="359">
        <f>100*((Transfer!AF178/Transfer!AE178)-1)</f>
        <v>-3.3870391061453398</v>
      </c>
      <c r="AS311" s="397">
        <f>Transfer!AG178</f>
        <v>345.95611582000038</v>
      </c>
      <c r="AT311" s="360">
        <f>100*((Transfer!AG178/Transfer!AF178)-1)</f>
        <v>2.3625865343213093E-2</v>
      </c>
      <c r="AU311" s="364"/>
      <c r="AV311" s="54"/>
      <c r="AW311" s="54"/>
      <c r="AX311" s="54"/>
      <c r="AY311" s="54"/>
      <c r="AZ311" s="54"/>
      <c r="BA311" s="1726" t="s">
        <v>1017</v>
      </c>
      <c r="BB311" s="196"/>
      <c r="BC311" s="54"/>
    </row>
    <row r="312" spans="1:55" ht="13.15" thickBot="1">
      <c r="A312" s="45"/>
      <c r="B312" s="1720"/>
      <c r="C312" s="2734" t="s">
        <v>1930</v>
      </c>
      <c r="D312" s="2735"/>
      <c r="E312" s="2466">
        <f ca="1">100*Transfer!D178/SUM(Transfer!D178,Transfer!D179)</f>
        <v>6.654522472954385</v>
      </c>
      <c r="F312" s="2736"/>
      <c r="G312" s="3427">
        <f ca="1">100*Transfer!E178/SUM(Transfer!E178,Transfer!E179)</f>
        <v>6.2603735163845649</v>
      </c>
      <c r="H312" s="3428"/>
      <c r="I312" s="3429">
        <f ca="1">100*Transfer!F178/SUM(Transfer!F178,Transfer!F179)</f>
        <v>6.207232059077703</v>
      </c>
      <c r="J312" s="3428"/>
      <c r="K312" s="3427">
        <f ca="1">100*Transfer!G178/SUM(Transfer!G178,Transfer!G179)</f>
        <v>6.1987417047048359</v>
      </c>
      <c r="L312" s="2467"/>
      <c r="M312" s="2459"/>
      <c r="N312" s="54"/>
      <c r="O312" s="54"/>
      <c r="P312" s="54"/>
      <c r="Q312" s="54"/>
      <c r="R312" s="54"/>
      <c r="S312" s="190"/>
      <c r="T312" s="2734" t="s">
        <v>199</v>
      </c>
      <c r="U312" s="2155"/>
      <c r="V312" s="2125">
        <f t="shared" ca="1" si="22"/>
        <v>-0.20000000000000018</v>
      </c>
      <c r="W312" s="404"/>
      <c r="X312" s="404">
        <f t="shared" ca="1" si="22"/>
        <v>-0.40000000000000036</v>
      </c>
      <c r="Y312" s="404"/>
      <c r="Z312" s="404">
        <f t="shared" ca="1" si="22"/>
        <v>-9.9999999999999645E-2</v>
      </c>
      <c r="AA312" s="404"/>
      <c r="AB312" s="404">
        <f t="shared" ca="1" si="22"/>
        <v>-9.9999999999999645E-2</v>
      </c>
      <c r="AC312" s="2076"/>
      <c r="AD312" s="103"/>
      <c r="AE312" s="45"/>
      <c r="AF312" s="45"/>
      <c r="AG312" s="45"/>
      <c r="AH312" s="45"/>
      <c r="AI312" s="45"/>
      <c r="AJ312" s="190"/>
      <c r="AK312" s="2734" t="s">
        <v>199</v>
      </c>
      <c r="AL312" s="403"/>
      <c r="AM312" s="404">
        <f>100*Transfer!AD178/SUM(Transfer!AD178,Transfer!AD179)</f>
        <v>6.9369420594757489</v>
      </c>
      <c r="AN312" s="405"/>
      <c r="AO312" s="406">
        <f>100*Transfer!AE178/SUM(Transfer!AE178,Transfer!AE179)</f>
        <v>6.654522472954385</v>
      </c>
      <c r="AP312" s="405"/>
      <c r="AQ312" s="404">
        <f>100*Transfer!AF178/SUM(Transfer!AF178,Transfer!AF179)</f>
        <v>6.3466250685766941</v>
      </c>
      <c r="AR312" s="405"/>
      <c r="AS312" s="406">
        <f>100*Transfer!AG178/SUM(Transfer!AG178,Transfer!AG179)</f>
        <v>6.2740902487341712</v>
      </c>
      <c r="AT312" s="112"/>
      <c r="AU312" s="103"/>
      <c r="AV312" s="54"/>
      <c r="AW312" s="54"/>
      <c r="AX312" s="54"/>
      <c r="AY312" s="54"/>
      <c r="AZ312" s="54"/>
      <c r="BA312" s="1726" t="s">
        <v>517</v>
      </c>
      <c r="BB312" s="196"/>
      <c r="BC312" s="54"/>
    </row>
    <row r="313" spans="1:55" ht="13.15" thickBot="1">
      <c r="A313" s="45"/>
      <c r="B313" s="1720"/>
      <c r="C313" s="2703"/>
      <c r="D313" s="2513"/>
      <c r="E313" s="2513"/>
      <c r="F313" s="2513"/>
      <c r="G313" s="2513"/>
      <c r="H313" s="2513"/>
      <c r="I313" s="2513"/>
      <c r="J313" s="2513"/>
      <c r="K313" s="2513"/>
      <c r="L313" s="2737"/>
      <c r="M313" s="1719"/>
      <c r="N313" s="54"/>
      <c r="O313" s="54"/>
      <c r="P313" s="54"/>
      <c r="Q313" s="54"/>
      <c r="R313" s="54"/>
      <c r="S313" s="190"/>
      <c r="T313" s="2703"/>
      <c r="U313" s="1"/>
      <c r="V313" s="1"/>
      <c r="W313" s="1"/>
      <c r="X313" s="1"/>
      <c r="Y313" s="1"/>
      <c r="Z313" s="1"/>
      <c r="AA313" s="1"/>
      <c r="AB313" s="1"/>
      <c r="AC313" s="2077"/>
      <c r="AD313" s="90"/>
      <c r="AE313" s="45"/>
      <c r="AF313" s="45"/>
      <c r="AG313" s="45"/>
      <c r="AH313" s="45"/>
      <c r="AI313" s="45"/>
      <c r="AJ313" s="190"/>
      <c r="AK313" s="2703"/>
      <c r="AL313" s="1"/>
      <c r="AM313" s="1"/>
      <c r="AN313" s="1"/>
      <c r="AO313" s="1"/>
      <c r="AP313" s="1"/>
      <c r="AQ313" s="1"/>
      <c r="AR313" s="1"/>
      <c r="AS313" s="1"/>
      <c r="AT313" s="407"/>
      <c r="AU313" s="90"/>
      <c r="AV313" s="54"/>
      <c r="AW313" s="54"/>
      <c r="AX313" s="54"/>
      <c r="AY313" s="54"/>
      <c r="AZ313" s="54"/>
      <c r="BA313" s="1726"/>
      <c r="BB313" s="196"/>
      <c r="BC313" s="54"/>
    </row>
    <row r="314" spans="1:55" ht="13.15">
      <c r="A314" s="45"/>
      <c r="B314" s="1720"/>
      <c r="C314" s="2738" t="s">
        <v>788</v>
      </c>
      <c r="D314" s="2600"/>
      <c r="E314" s="2739"/>
      <c r="F314" s="2739"/>
      <c r="G314" s="2739"/>
      <c r="H314" s="2739"/>
      <c r="I314" s="2739"/>
      <c r="J314" s="2739"/>
      <c r="K314" s="2739"/>
      <c r="L314" s="2740"/>
      <c r="M314" s="1719"/>
      <c r="N314" s="54"/>
      <c r="O314" s="54"/>
      <c r="P314" s="54"/>
      <c r="Q314" s="54"/>
      <c r="R314" s="54"/>
      <c r="S314" s="190"/>
      <c r="T314" s="2738" t="s">
        <v>788</v>
      </c>
      <c r="U314" s="263"/>
      <c r="V314" s="408"/>
      <c r="W314" s="408"/>
      <c r="X314" s="408"/>
      <c r="Y314" s="408"/>
      <c r="Z314" s="408"/>
      <c r="AA314" s="408"/>
      <c r="AB314" s="408"/>
      <c r="AC314" s="409"/>
      <c r="AD314" s="90"/>
      <c r="AE314" s="45"/>
      <c r="AF314" s="45"/>
      <c r="AG314" s="45"/>
      <c r="AH314" s="45"/>
      <c r="AI314" s="45"/>
      <c r="AJ314" s="190"/>
      <c r="AK314" s="2738" t="s">
        <v>788</v>
      </c>
      <c r="AL314" s="263"/>
      <c r="AM314" s="408"/>
      <c r="AN314" s="408"/>
      <c r="AO314" s="408"/>
      <c r="AP314" s="408"/>
      <c r="AQ314" s="408"/>
      <c r="AR314" s="408"/>
      <c r="AS314" s="408"/>
      <c r="AT314" s="409"/>
      <c r="AU314" s="90"/>
      <c r="AV314" s="54"/>
      <c r="AW314" s="54"/>
      <c r="AX314" s="54"/>
      <c r="AY314" s="54"/>
      <c r="AZ314" s="54"/>
      <c r="BA314" s="60"/>
      <c r="BB314" s="221"/>
      <c r="BC314" s="54"/>
    </row>
    <row r="315" spans="1:55" ht="13.15">
      <c r="A315" s="45"/>
      <c r="B315" s="1720"/>
      <c r="C315" s="2731" t="s">
        <v>789</v>
      </c>
      <c r="D315" s="2422"/>
      <c r="E315" s="2741"/>
      <c r="F315" s="2742"/>
      <c r="G315" s="2743"/>
      <c r="H315" s="2742"/>
      <c r="I315" s="2741"/>
      <c r="J315" s="2742"/>
      <c r="K315" s="2743"/>
      <c r="L315" s="2744"/>
      <c r="M315" s="2441"/>
      <c r="N315" s="54"/>
      <c r="O315" s="54"/>
      <c r="P315" s="54"/>
      <c r="Q315" s="54"/>
      <c r="R315" s="54"/>
      <c r="S315" s="190"/>
      <c r="T315" s="2731" t="s">
        <v>789</v>
      </c>
      <c r="U315" s="67"/>
      <c r="V315" s="410"/>
      <c r="W315" s="411"/>
      <c r="X315" s="412"/>
      <c r="Y315" s="411"/>
      <c r="Z315" s="410"/>
      <c r="AA315" s="411"/>
      <c r="AB315" s="412"/>
      <c r="AC315" s="413"/>
      <c r="AD315" s="366"/>
      <c r="AE315" s="45"/>
      <c r="AF315" s="45"/>
      <c r="AG315" s="45"/>
      <c r="AH315" s="45"/>
      <c r="AI315" s="45"/>
      <c r="AJ315" s="190"/>
      <c r="AK315" s="2731" t="s">
        <v>789</v>
      </c>
      <c r="AL315" s="67"/>
      <c r="AM315" s="410"/>
      <c r="AN315" s="411"/>
      <c r="AO315" s="412"/>
      <c r="AP315" s="411"/>
      <c r="AQ315" s="410"/>
      <c r="AR315" s="411"/>
      <c r="AS315" s="412"/>
      <c r="AT315" s="413"/>
      <c r="AU315" s="366"/>
      <c r="AV315" s="54"/>
      <c r="AW315" s="54"/>
      <c r="AX315" s="54"/>
      <c r="AY315" s="54"/>
      <c r="AZ315" s="54"/>
      <c r="BA315" s="1727" t="s">
        <v>1866</v>
      </c>
      <c r="BB315" s="196"/>
      <c r="BC315" s="54"/>
    </row>
    <row r="316" spans="1:55" ht="13.15">
      <c r="A316" s="45"/>
      <c r="B316" s="1720"/>
      <c r="C316" s="2731" t="s">
        <v>790</v>
      </c>
      <c r="D316" s="2422"/>
      <c r="E316" s="2611"/>
      <c r="F316" s="2742"/>
      <c r="G316" s="2647"/>
      <c r="H316" s="2742"/>
      <c r="I316" s="2611"/>
      <c r="J316" s="2742"/>
      <c r="K316" s="2647"/>
      <c r="L316" s="2744"/>
      <c r="M316" s="2441"/>
      <c r="N316" s="54"/>
      <c r="O316" s="54"/>
      <c r="P316" s="54"/>
      <c r="Q316" s="54"/>
      <c r="R316" s="54"/>
      <c r="S316" s="190"/>
      <c r="T316" s="2731" t="s">
        <v>790</v>
      </c>
      <c r="U316" s="67"/>
      <c r="V316" s="414"/>
      <c r="W316" s="411"/>
      <c r="X316" s="70"/>
      <c r="Y316" s="411"/>
      <c r="Z316" s="414"/>
      <c r="AA316" s="411"/>
      <c r="AB316" s="70"/>
      <c r="AC316" s="413"/>
      <c r="AD316" s="366"/>
      <c r="AE316" s="45"/>
      <c r="AF316" s="45"/>
      <c r="AG316" s="45"/>
      <c r="AH316" s="45"/>
      <c r="AI316" s="45"/>
      <c r="AJ316" s="190"/>
      <c r="AK316" s="2731" t="s">
        <v>790</v>
      </c>
      <c r="AL316" s="67"/>
      <c r="AM316" s="414"/>
      <c r="AN316" s="411"/>
      <c r="AO316" s="70"/>
      <c r="AP316" s="411"/>
      <c r="AQ316" s="414"/>
      <c r="AR316" s="411"/>
      <c r="AS316" s="70"/>
      <c r="AT316" s="413"/>
      <c r="AU316" s="366"/>
      <c r="AV316" s="54"/>
      <c r="AW316" s="54"/>
      <c r="AX316" s="54"/>
      <c r="AY316" s="54"/>
      <c r="AZ316" s="54"/>
      <c r="BA316" s="1726" t="s">
        <v>1857</v>
      </c>
      <c r="BB316" s="196"/>
      <c r="BC316" s="54"/>
    </row>
    <row r="317" spans="1:55" ht="13.5" thickBot="1">
      <c r="A317" s="45"/>
      <c r="B317" s="1720"/>
      <c r="C317" s="2745" t="s">
        <v>791</v>
      </c>
      <c r="D317" s="2746"/>
      <c r="E317" s="2747"/>
      <c r="F317" s="2748"/>
      <c r="G317" s="2747"/>
      <c r="H317" s="2748"/>
      <c r="I317" s="2747"/>
      <c r="J317" s="2748"/>
      <c r="K317" s="2747"/>
      <c r="L317" s="2749"/>
      <c r="M317" s="2441"/>
      <c r="N317" s="54"/>
      <c r="O317" s="54"/>
      <c r="P317" s="54"/>
      <c r="Q317" s="54"/>
      <c r="R317" s="54"/>
      <c r="S317" s="190"/>
      <c r="T317" s="2745" t="s">
        <v>791</v>
      </c>
      <c r="U317" s="415"/>
      <c r="V317" s="416"/>
      <c r="W317" s="417"/>
      <c r="X317" s="416"/>
      <c r="Y317" s="417"/>
      <c r="Z317" s="416"/>
      <c r="AA317" s="417"/>
      <c r="AB317" s="416"/>
      <c r="AC317" s="418"/>
      <c r="AD317" s="366"/>
      <c r="AE317" s="45"/>
      <c r="AF317" s="45"/>
      <c r="AG317" s="45"/>
      <c r="AH317" s="45"/>
      <c r="AI317" s="45"/>
      <c r="AJ317" s="190"/>
      <c r="AK317" s="2745" t="s">
        <v>791</v>
      </c>
      <c r="AL317" s="415"/>
      <c r="AM317" s="416"/>
      <c r="AN317" s="417"/>
      <c r="AO317" s="416"/>
      <c r="AP317" s="417"/>
      <c r="AQ317" s="416"/>
      <c r="AR317" s="417"/>
      <c r="AS317" s="416"/>
      <c r="AT317" s="418"/>
      <c r="AU317" s="366"/>
      <c r="AV317" s="54"/>
      <c r="AW317" s="54"/>
      <c r="AX317" s="54"/>
      <c r="AY317" s="54"/>
      <c r="AZ317" s="54"/>
      <c r="BA317" s="1729" t="s">
        <v>1858</v>
      </c>
      <c r="BB317" s="488"/>
      <c r="BC317" s="54"/>
    </row>
    <row r="318" spans="1:55" ht="13.15">
      <c r="A318" s="45"/>
      <c r="B318" s="1756"/>
      <c r="C318" s="2613"/>
      <c r="D318" s="2613"/>
      <c r="E318" s="2545"/>
      <c r="F318" s="2545"/>
      <c r="G318" s="2545"/>
      <c r="H318" s="2545"/>
      <c r="I318" s="2545"/>
      <c r="J318" s="2545"/>
      <c r="K318" s="2545"/>
      <c r="L318" s="2469" t="str">
        <f>UPPER(Country)</f>
        <v>SWEDEN</v>
      </c>
      <c r="M318" s="2546"/>
      <c r="N318" s="54"/>
      <c r="O318" s="54"/>
      <c r="P318" s="54"/>
      <c r="Q318" s="54"/>
      <c r="R318" s="54"/>
      <c r="S318" s="215"/>
      <c r="T318" s="277"/>
      <c r="U318" s="277"/>
      <c r="V318" s="113"/>
      <c r="W318" s="113"/>
      <c r="X318" s="113"/>
      <c r="Y318" s="113"/>
      <c r="Z318" s="113"/>
      <c r="AA318" s="113"/>
      <c r="AB318" s="113"/>
      <c r="AC318" s="118" t="str">
        <f>UPPER(Country)</f>
        <v>SWEDEN</v>
      </c>
      <c r="AD318" s="216"/>
      <c r="AE318" s="45"/>
      <c r="AF318" s="45"/>
      <c r="AG318" s="45"/>
      <c r="AH318" s="45"/>
      <c r="AI318" s="45"/>
      <c r="AJ318" s="215"/>
      <c r="AK318" s="277"/>
      <c r="AL318" s="277"/>
      <c r="AM318" s="113"/>
      <c r="AN318" s="113"/>
      <c r="AO318" s="113"/>
      <c r="AP318" s="113"/>
      <c r="AQ318" s="113"/>
      <c r="AR318" s="113"/>
      <c r="AS318" s="113"/>
      <c r="AT318" s="118" t="str">
        <f>UPPER(Country)</f>
        <v>SWEDEN</v>
      </c>
      <c r="AU318" s="216"/>
      <c r="AV318" s="54"/>
      <c r="AW318" s="54"/>
      <c r="AX318" s="54"/>
      <c r="AY318" s="54"/>
      <c r="AZ318" s="54"/>
      <c r="BA318" s="54"/>
      <c r="BB318" s="54"/>
      <c r="BC318" s="54"/>
    </row>
    <row r="319" spans="1:55">
      <c r="A319" s="45"/>
      <c r="B319" s="45"/>
      <c r="C319" s="45"/>
      <c r="D319" s="45"/>
      <c r="E319" s="45"/>
      <c r="F319" s="45"/>
      <c r="G319" s="45"/>
      <c r="H319" s="45"/>
      <c r="I319" s="45"/>
      <c r="J319" s="45"/>
      <c r="K319" s="45"/>
      <c r="L319" s="45"/>
      <c r="M319" s="45"/>
      <c r="N319" s="54"/>
      <c r="O319" s="54"/>
      <c r="P319" s="54"/>
      <c r="Q319" s="54"/>
      <c r="R319" s="54"/>
      <c r="S319" s="54"/>
      <c r="T319" s="54"/>
      <c r="U319" s="54"/>
      <c r="V319" s="54"/>
      <c r="W319" s="54"/>
      <c r="X319" s="54"/>
      <c r="Y319" s="54"/>
      <c r="Z319" s="54"/>
      <c r="AA319" s="54"/>
      <c r="AB319" s="45"/>
      <c r="AC319" s="45"/>
      <c r="AD319" s="45"/>
      <c r="AE319" s="45"/>
      <c r="AF319" s="45"/>
      <c r="AG319" s="45"/>
      <c r="AH319" s="45"/>
      <c r="AI319" s="45"/>
      <c r="AJ319" s="45"/>
      <c r="AK319" s="45"/>
      <c r="AL319" s="45"/>
      <c r="AM319" s="45"/>
      <c r="AN319" s="45"/>
      <c r="AO319" s="45"/>
      <c r="AP319" s="45"/>
      <c r="AQ319" s="45"/>
      <c r="AR319" s="45"/>
      <c r="AS319" s="45"/>
      <c r="AT319" s="45"/>
      <c r="AU319" s="45"/>
      <c r="AV319" s="54"/>
      <c r="AW319" s="54"/>
      <c r="AX319" s="54"/>
      <c r="AY319" s="54"/>
      <c r="AZ319" s="54"/>
      <c r="BA319" s="54"/>
      <c r="BB319" s="54"/>
      <c r="BC319" s="54"/>
    </row>
    <row r="320" spans="1:55">
      <c r="A320" s="45"/>
      <c r="B320" s="45"/>
      <c r="C320" s="45"/>
      <c r="D320" s="45"/>
      <c r="E320" s="1776"/>
      <c r="F320" s="45"/>
      <c r="G320" s="45"/>
      <c r="H320" s="45"/>
      <c r="I320" s="45"/>
      <c r="J320" s="45"/>
      <c r="K320" s="45"/>
      <c r="L320" s="45"/>
      <c r="M320" s="187"/>
      <c r="N320" s="54"/>
      <c r="O320" s="54"/>
      <c r="P320" s="54"/>
      <c r="Q320" s="54"/>
      <c r="R320" s="54"/>
      <c r="S320" s="54"/>
      <c r="T320" s="54"/>
      <c r="U320" s="54"/>
      <c r="V320" s="54"/>
      <c r="W320" s="54"/>
      <c r="X320" s="54"/>
      <c r="Y320" s="54"/>
      <c r="Z320" s="54"/>
      <c r="AA320" s="54"/>
      <c r="AB320" s="45"/>
      <c r="AC320" s="45"/>
      <c r="AD320" s="45"/>
      <c r="AE320" s="45"/>
      <c r="AF320" s="45"/>
      <c r="AG320" s="45"/>
      <c r="AH320" s="45"/>
      <c r="AI320" s="45"/>
      <c r="AJ320" s="45"/>
      <c r="AK320" s="45"/>
      <c r="AL320" s="45"/>
      <c r="AM320" s="45"/>
      <c r="AN320" s="45"/>
      <c r="AO320" s="45"/>
      <c r="AP320" s="45"/>
      <c r="AQ320" s="45"/>
      <c r="AR320" s="45"/>
      <c r="AS320" s="45"/>
      <c r="AT320" s="45"/>
      <c r="AU320" s="187"/>
      <c r="AV320" s="54"/>
      <c r="AW320" s="54"/>
      <c r="AX320" s="54"/>
      <c r="AY320" s="54"/>
      <c r="AZ320" s="54"/>
      <c r="BA320" s="54"/>
      <c r="BB320" s="54"/>
      <c r="BC320" s="54"/>
    </row>
    <row r="321" spans="1:55">
      <c r="A321" s="45"/>
      <c r="B321" s="45"/>
      <c r="C321" s="45"/>
      <c r="D321" s="45"/>
      <c r="E321" s="45"/>
      <c r="F321" s="45"/>
      <c r="G321" s="45"/>
      <c r="H321" s="45"/>
      <c r="I321" s="45"/>
      <c r="J321" s="45"/>
      <c r="K321" s="45"/>
      <c r="L321" s="45"/>
      <c r="M321" s="187"/>
      <c r="N321" s="54"/>
      <c r="O321" s="54"/>
      <c r="P321" s="54"/>
      <c r="Q321" s="54"/>
      <c r="R321" s="54"/>
      <c r="S321" s="54"/>
      <c r="T321" s="54"/>
      <c r="U321" s="54"/>
      <c r="V321" s="54"/>
      <c r="W321" s="54"/>
      <c r="X321" s="54"/>
      <c r="Y321" s="54"/>
      <c r="Z321" s="54"/>
      <c r="AA321" s="54"/>
      <c r="AB321" s="45"/>
      <c r="AC321" s="45"/>
      <c r="AD321" s="45"/>
      <c r="AE321" s="45"/>
      <c r="AF321" s="45"/>
      <c r="AG321" s="45"/>
      <c r="AH321" s="45"/>
      <c r="AI321" s="45"/>
      <c r="AJ321" s="45"/>
      <c r="AK321" s="45"/>
      <c r="AL321" s="45"/>
      <c r="AM321" s="45"/>
      <c r="AN321" s="45"/>
      <c r="AO321" s="45"/>
      <c r="AP321" s="45"/>
      <c r="AQ321" s="45"/>
      <c r="AR321" s="45"/>
      <c r="AS321" s="45"/>
      <c r="AT321" s="45"/>
      <c r="AU321" s="187"/>
      <c r="AV321" s="54"/>
      <c r="AW321" s="54"/>
      <c r="AX321" s="54"/>
      <c r="AY321" s="54"/>
      <c r="AZ321" s="54"/>
      <c r="BA321" s="54"/>
      <c r="BB321" s="54"/>
      <c r="BC321" s="54"/>
    </row>
    <row r="322" spans="1:55">
      <c r="A322" s="45"/>
      <c r="B322" s="45"/>
      <c r="C322" s="45"/>
      <c r="D322" s="45"/>
      <c r="E322" s="45"/>
      <c r="F322" s="45"/>
      <c r="G322" s="45"/>
      <c r="H322" s="45"/>
      <c r="I322" s="45"/>
      <c r="J322" s="45"/>
      <c r="K322" s="45"/>
      <c r="L322" s="45"/>
      <c r="M322" s="187"/>
      <c r="N322" s="54"/>
      <c r="O322" s="54"/>
      <c r="P322" s="54"/>
      <c r="Q322" s="54"/>
      <c r="R322" s="54"/>
      <c r="S322" s="54"/>
      <c r="T322" s="54"/>
      <c r="U322" s="54"/>
      <c r="V322" s="54"/>
      <c r="W322" s="54"/>
      <c r="X322" s="54"/>
      <c r="Y322" s="54"/>
      <c r="Z322" s="54"/>
      <c r="AA322" s="54"/>
      <c r="AB322" s="45"/>
      <c r="AC322" s="45"/>
      <c r="AD322" s="45"/>
      <c r="AE322" s="45"/>
      <c r="AF322" s="45"/>
      <c r="AG322" s="45"/>
      <c r="AH322" s="45"/>
      <c r="AI322" s="45"/>
      <c r="AJ322" s="45"/>
      <c r="AK322" s="45"/>
      <c r="AL322" s="45"/>
      <c r="AM322" s="45"/>
      <c r="AN322" s="45"/>
      <c r="AO322" s="45"/>
      <c r="AP322" s="45"/>
      <c r="AQ322" s="45"/>
      <c r="AR322" s="45"/>
      <c r="AS322" s="45"/>
      <c r="AT322" s="45"/>
      <c r="AU322" s="187"/>
      <c r="AV322" s="54"/>
      <c r="AW322" s="54"/>
      <c r="AX322" s="54"/>
      <c r="AY322" s="54"/>
      <c r="AZ322" s="54"/>
      <c r="BA322" s="54"/>
      <c r="BB322" s="54"/>
      <c r="BC322" s="54"/>
    </row>
    <row r="323" spans="1:55">
      <c r="A323" s="45"/>
      <c r="B323" s="45"/>
      <c r="C323" s="54"/>
      <c r="D323" s="54"/>
      <c r="E323" s="54"/>
      <c r="F323" s="54"/>
      <c r="G323" s="54"/>
      <c r="H323" s="54"/>
      <c r="I323" s="54"/>
      <c r="J323" s="54"/>
      <c r="K323" s="54"/>
      <c r="L323" s="54"/>
      <c r="M323" s="54"/>
      <c r="N323" s="54"/>
      <c r="O323" s="54"/>
      <c r="P323" s="54"/>
      <c r="Q323" s="54"/>
      <c r="R323" s="54"/>
      <c r="S323" s="54"/>
      <c r="T323" s="54"/>
      <c r="U323" s="54"/>
      <c r="V323" s="54"/>
      <c r="W323" s="54"/>
      <c r="X323" s="54"/>
      <c r="Y323" s="54"/>
      <c r="Z323" s="54"/>
      <c r="AA323" s="54"/>
      <c r="AB323" s="45"/>
      <c r="AC323" s="45"/>
      <c r="AD323" s="45"/>
      <c r="AE323" s="45"/>
      <c r="AF323" s="45"/>
      <c r="AG323" s="45"/>
      <c r="AH323" s="45"/>
      <c r="AI323" s="45"/>
      <c r="AJ323" s="45"/>
      <c r="AK323" s="54"/>
      <c r="AL323" s="54"/>
      <c r="AM323" s="54"/>
      <c r="AN323" s="54"/>
      <c r="AO323" s="54"/>
      <c r="AP323" s="54"/>
      <c r="AQ323" s="54"/>
      <c r="AR323" s="54"/>
      <c r="AS323" s="54"/>
      <c r="AT323" s="54"/>
      <c r="AU323" s="54"/>
      <c r="AV323" s="54"/>
      <c r="AW323" s="54"/>
      <c r="AX323" s="54"/>
      <c r="AY323" s="54"/>
      <c r="AZ323" s="54"/>
      <c r="BA323" s="54"/>
      <c r="BB323" s="54"/>
      <c r="BC323" s="54"/>
    </row>
    <row r="324" spans="1:55">
      <c r="A324" s="45"/>
      <c r="B324" s="54"/>
      <c r="C324" s="54"/>
      <c r="D324" s="54"/>
      <c r="E324" s="54"/>
      <c r="F324" s="54"/>
      <c r="G324" s="54"/>
      <c r="H324" s="54"/>
      <c r="I324" s="54"/>
      <c r="J324" s="54"/>
      <c r="K324" s="54"/>
      <c r="L324" s="54"/>
      <c r="M324" s="54"/>
      <c r="N324" s="54"/>
      <c r="O324" s="54"/>
      <c r="P324" s="54"/>
      <c r="Q324" s="54"/>
      <c r="R324" s="54"/>
      <c r="S324" s="54"/>
      <c r="T324" s="54"/>
      <c r="U324" s="54"/>
      <c r="V324" s="54"/>
      <c r="W324" s="54"/>
      <c r="X324" s="54"/>
      <c r="Y324" s="54"/>
      <c r="Z324" s="54"/>
      <c r="AA324" s="54"/>
      <c r="AB324" s="45"/>
      <c r="AC324" s="45"/>
      <c r="AD324" s="45"/>
      <c r="AE324" s="45"/>
      <c r="AF324" s="45"/>
      <c r="AG324" s="45"/>
      <c r="AH324" s="45"/>
      <c r="AI324" s="45"/>
      <c r="AJ324" s="54"/>
      <c r="AK324" s="54"/>
      <c r="AL324" s="54"/>
      <c r="AM324" s="54"/>
      <c r="AN324" s="54"/>
      <c r="AO324" s="54"/>
      <c r="AP324" s="54"/>
      <c r="AQ324" s="54"/>
      <c r="AR324" s="54"/>
      <c r="AS324" s="54"/>
      <c r="AT324" s="54"/>
      <c r="AU324" s="54"/>
      <c r="AV324" s="54"/>
      <c r="AW324" s="54"/>
      <c r="AX324" s="54"/>
      <c r="AY324" s="54"/>
      <c r="AZ324" s="54"/>
      <c r="BA324" s="54"/>
      <c r="BB324" s="54"/>
      <c r="BC324" s="54"/>
    </row>
    <row r="325" spans="1:55">
      <c r="A325" s="45"/>
      <c r="B325" s="54"/>
      <c r="C325" s="54"/>
      <c r="D325" s="54"/>
      <c r="E325" s="54"/>
      <c r="F325" s="54"/>
      <c r="G325" s="54"/>
      <c r="H325" s="54"/>
      <c r="I325" s="54"/>
      <c r="J325" s="54"/>
      <c r="K325" s="54"/>
      <c r="L325" s="54"/>
      <c r="M325" s="54"/>
      <c r="N325" s="54"/>
      <c r="O325" s="54"/>
      <c r="P325" s="54"/>
      <c r="Q325" s="54"/>
      <c r="R325" s="54"/>
      <c r="S325" s="54"/>
      <c r="T325" s="54"/>
      <c r="U325" s="54"/>
      <c r="V325" s="54"/>
      <c r="W325" s="54"/>
      <c r="X325" s="54"/>
      <c r="Y325" s="54"/>
      <c r="Z325" s="54"/>
      <c r="AA325" s="54"/>
      <c r="AB325" s="45"/>
      <c r="AC325" s="45"/>
      <c r="AD325" s="45"/>
      <c r="AE325" s="45"/>
      <c r="AF325" s="45"/>
      <c r="AG325" s="45"/>
      <c r="AH325" s="45"/>
      <c r="AI325" s="45"/>
      <c r="AJ325" s="54"/>
      <c r="AK325" s="54"/>
      <c r="AL325" s="54"/>
      <c r="AM325" s="54"/>
      <c r="AN325" s="54"/>
      <c r="AO325" s="54"/>
      <c r="AP325" s="54"/>
      <c r="AQ325" s="54"/>
      <c r="AR325" s="54"/>
      <c r="AS325" s="54"/>
      <c r="AT325" s="54"/>
      <c r="AU325" s="54"/>
      <c r="AV325" s="54"/>
      <c r="AW325" s="54"/>
      <c r="AX325" s="54"/>
      <c r="AY325" s="54"/>
      <c r="AZ325" s="54"/>
      <c r="BA325" s="54"/>
      <c r="BB325" s="54"/>
      <c r="BC325" s="54"/>
    </row>
    <row r="326" spans="1:55">
      <c r="A326" s="45"/>
      <c r="B326" s="54"/>
      <c r="C326" s="54"/>
      <c r="D326" s="54"/>
      <c r="E326" s="54"/>
      <c r="F326" s="54"/>
      <c r="G326" s="54"/>
      <c r="H326" s="54"/>
      <c r="I326" s="54"/>
      <c r="J326" s="54"/>
      <c r="K326" s="54"/>
      <c r="L326" s="54"/>
      <c r="M326" s="54"/>
      <c r="N326" s="54"/>
      <c r="O326" s="54"/>
      <c r="P326" s="54"/>
      <c r="Q326" s="54"/>
      <c r="R326" s="54"/>
      <c r="S326" s="54"/>
      <c r="T326" s="54"/>
      <c r="U326" s="54"/>
      <c r="V326" s="54"/>
      <c r="W326" s="54"/>
      <c r="X326" s="54"/>
      <c r="Y326" s="54"/>
      <c r="Z326" s="54"/>
      <c r="AA326" s="54"/>
      <c r="AB326" s="45"/>
      <c r="AC326" s="45"/>
      <c r="AD326" s="45"/>
      <c r="AE326" s="45"/>
      <c r="AF326" s="45"/>
      <c r="AG326" s="45"/>
      <c r="AH326" s="45"/>
      <c r="AI326" s="45"/>
      <c r="AJ326" s="54"/>
      <c r="AK326" s="54"/>
      <c r="AL326" s="54"/>
      <c r="AM326" s="54"/>
      <c r="AN326" s="54"/>
      <c r="AO326" s="54"/>
      <c r="AP326" s="54"/>
      <c r="AQ326" s="54"/>
      <c r="AR326" s="54"/>
      <c r="AS326" s="54"/>
      <c r="AT326" s="54"/>
      <c r="AU326" s="54"/>
      <c r="AV326" s="54"/>
      <c r="AW326" s="54"/>
      <c r="AX326" s="54"/>
      <c r="AY326" s="54"/>
      <c r="AZ326" s="54"/>
      <c r="BA326" s="54"/>
      <c r="BB326" s="54"/>
      <c r="BC326" s="54"/>
    </row>
    <row r="327" spans="1:55">
      <c r="A327" s="45"/>
      <c r="B327" s="54"/>
      <c r="C327" s="54"/>
      <c r="D327" s="54"/>
      <c r="E327" s="54"/>
      <c r="F327" s="54"/>
      <c r="G327" s="54"/>
      <c r="H327" s="54"/>
      <c r="I327" s="54"/>
      <c r="J327" s="54"/>
      <c r="K327" s="54"/>
      <c r="L327" s="54"/>
      <c r="M327" s="54"/>
      <c r="N327" s="54"/>
      <c r="O327" s="54"/>
      <c r="P327" s="54"/>
      <c r="Q327" s="54"/>
      <c r="R327" s="54"/>
      <c r="S327" s="54"/>
      <c r="T327" s="54"/>
      <c r="U327" s="54"/>
      <c r="V327" s="54"/>
      <c r="W327" s="54"/>
      <c r="X327" s="54"/>
      <c r="Y327" s="54"/>
      <c r="Z327" s="54"/>
      <c r="AA327" s="54"/>
      <c r="AB327" s="45"/>
      <c r="AC327" s="45"/>
      <c r="AD327" s="45"/>
      <c r="AE327" s="45"/>
      <c r="AF327" s="45"/>
      <c r="AG327" s="45"/>
      <c r="AH327" s="45"/>
      <c r="AI327" s="45"/>
      <c r="AJ327" s="54"/>
      <c r="AK327" s="54"/>
      <c r="AL327" s="54"/>
      <c r="AM327" s="54"/>
      <c r="AN327" s="54"/>
      <c r="AO327" s="54"/>
      <c r="AP327" s="54"/>
      <c r="AQ327" s="54"/>
      <c r="AR327" s="54"/>
      <c r="AS327" s="54"/>
      <c r="AT327" s="54"/>
      <c r="AU327" s="54"/>
      <c r="AV327" s="54"/>
      <c r="AW327" s="54"/>
      <c r="AX327" s="54"/>
      <c r="AY327" s="54"/>
      <c r="AZ327" s="54"/>
      <c r="BA327" s="54"/>
      <c r="BB327" s="54"/>
      <c r="BC327" s="54"/>
    </row>
    <row r="328" spans="1:55">
      <c r="A328" s="45"/>
      <c r="B328" s="54"/>
      <c r="C328" s="54"/>
      <c r="D328" s="54"/>
      <c r="E328" s="54"/>
      <c r="F328" s="54"/>
      <c r="G328" s="54"/>
      <c r="H328" s="54"/>
      <c r="I328" s="54"/>
      <c r="J328" s="54"/>
      <c r="K328" s="54"/>
      <c r="L328" s="54"/>
      <c r="M328" s="54"/>
      <c r="N328" s="54"/>
      <c r="O328" s="54"/>
      <c r="P328" s="54"/>
      <c r="Q328" s="54"/>
      <c r="R328" s="54"/>
      <c r="S328" s="54"/>
      <c r="T328" s="54"/>
      <c r="U328" s="54"/>
      <c r="V328" s="54"/>
      <c r="W328" s="54"/>
      <c r="X328" s="54"/>
      <c r="Y328" s="54"/>
      <c r="Z328" s="54"/>
      <c r="AA328" s="54"/>
      <c r="AB328" s="45"/>
      <c r="AC328" s="45"/>
      <c r="AD328" s="45"/>
      <c r="AE328" s="45"/>
      <c r="AF328" s="45"/>
      <c r="AG328" s="45"/>
      <c r="AH328" s="45"/>
      <c r="AI328" s="45"/>
      <c r="AJ328" s="54"/>
      <c r="AK328" s="54"/>
      <c r="AL328" s="54"/>
      <c r="AM328" s="54"/>
      <c r="AN328" s="54"/>
      <c r="AO328" s="54"/>
      <c r="AP328" s="54"/>
      <c r="AQ328" s="54"/>
      <c r="AR328" s="54"/>
      <c r="AS328" s="54"/>
      <c r="AT328" s="54"/>
      <c r="AU328" s="54"/>
      <c r="AV328" s="54"/>
      <c r="AW328" s="54"/>
      <c r="AX328" s="54"/>
      <c r="AY328" s="54"/>
      <c r="AZ328" s="54"/>
      <c r="BA328" s="54"/>
      <c r="BB328" s="54"/>
      <c r="BC328" s="54"/>
    </row>
    <row r="329" spans="1:55">
      <c r="A329" s="45"/>
      <c r="B329" s="2410"/>
      <c r="C329" s="2511"/>
      <c r="D329" s="2511"/>
      <c r="E329" s="2511"/>
      <c r="F329" s="2511"/>
      <c r="G329" s="2511"/>
      <c r="H329" s="2511"/>
      <c r="I329" s="2511"/>
      <c r="J329" s="2511"/>
      <c r="K329" s="2511"/>
      <c r="L329" s="2511"/>
      <c r="M329" s="2511"/>
      <c r="N329" s="2563"/>
      <c r="O329" s="54"/>
      <c r="P329" s="54"/>
      <c r="Q329" s="54"/>
      <c r="R329" s="54"/>
      <c r="S329" s="188"/>
      <c r="T329" s="23"/>
      <c r="U329" s="23"/>
      <c r="V329" s="23"/>
      <c r="W329" s="23"/>
      <c r="X329" s="23"/>
      <c r="Y329" s="23"/>
      <c r="Z329" s="23"/>
      <c r="AA329" s="23"/>
      <c r="AB329" s="23"/>
      <c r="AC329" s="23"/>
      <c r="AD329" s="23"/>
      <c r="AE329" s="238"/>
      <c r="AF329" s="45"/>
      <c r="AG329" s="45"/>
      <c r="AH329" s="45"/>
      <c r="AI329" s="45"/>
      <c r="AJ329" s="188"/>
      <c r="AK329" s="23"/>
      <c r="AL329" s="23"/>
      <c r="AM329" s="23"/>
      <c r="AN329" s="23"/>
      <c r="AO329" s="23"/>
      <c r="AP329" s="23"/>
      <c r="AQ329" s="23"/>
      <c r="AR329" s="23"/>
      <c r="AS329" s="23"/>
      <c r="AT329" s="23"/>
      <c r="AU329" s="23"/>
      <c r="AV329" s="238"/>
      <c r="AW329" s="54"/>
      <c r="AX329" s="54"/>
      <c r="AY329" s="54"/>
      <c r="AZ329" s="54"/>
      <c r="BA329" s="54"/>
      <c r="BB329" s="54"/>
      <c r="BC329" s="54"/>
    </row>
    <row r="330" spans="1:55" ht="13.15">
      <c r="A330" s="45"/>
      <c r="B330" s="1720"/>
      <c r="C330" s="2548" t="s">
        <v>792</v>
      </c>
      <c r="D330" s="2548"/>
      <c r="E330" s="2750"/>
      <c r="F330" s="2420"/>
      <c r="G330" s="2420"/>
      <c r="H330" s="2420"/>
      <c r="I330" s="2420"/>
      <c r="J330" s="2420"/>
      <c r="K330" s="2420"/>
      <c r="L330" s="2420"/>
      <c r="M330" s="2420"/>
      <c r="N330" s="2598"/>
      <c r="O330" s="54"/>
      <c r="P330" s="54"/>
      <c r="Q330" s="54"/>
      <c r="R330" s="54"/>
      <c r="S330" s="190"/>
      <c r="T330" s="124" t="s">
        <v>792</v>
      </c>
      <c r="U330" s="124"/>
      <c r="V330" s="125"/>
      <c r="W330" s="49"/>
      <c r="X330" s="49"/>
      <c r="Y330" s="49"/>
      <c r="Z330" s="49"/>
      <c r="AA330" s="49"/>
      <c r="AB330" s="49"/>
      <c r="AC330" s="49"/>
      <c r="AD330" s="49"/>
      <c r="AE330" s="260"/>
      <c r="AF330" s="45"/>
      <c r="AG330" s="45"/>
      <c r="AH330" s="45"/>
      <c r="AI330" s="45"/>
      <c r="AJ330" s="190"/>
      <c r="AK330" s="124" t="s">
        <v>792</v>
      </c>
      <c r="AL330" s="124"/>
      <c r="AM330" s="125"/>
      <c r="AN330" s="49"/>
      <c r="AO330" s="49"/>
      <c r="AP330" s="49"/>
      <c r="AQ330" s="49"/>
      <c r="AR330" s="49"/>
      <c r="AS330" s="49"/>
      <c r="AT330" s="49"/>
      <c r="AU330" s="49"/>
      <c r="AV330" s="260"/>
      <c r="AW330" s="54"/>
      <c r="AX330" s="54"/>
      <c r="AY330" s="54"/>
      <c r="AZ330" s="54"/>
      <c r="BA330" s="54"/>
      <c r="BB330" s="54"/>
      <c r="BC330" s="54"/>
    </row>
    <row r="331" spans="1:55" ht="13.15">
      <c r="A331" s="45"/>
      <c r="B331" s="1720"/>
      <c r="C331" s="3935" t="s">
        <v>770</v>
      </c>
      <c r="D331" s="3935"/>
      <c r="E331" s="3935"/>
      <c r="F331" s="3935"/>
      <c r="G331" s="3935"/>
      <c r="H331" s="3935"/>
      <c r="I331" s="3935"/>
      <c r="J331" s="3935"/>
      <c r="K331" s="3935"/>
      <c r="L331" s="3935"/>
      <c r="M331" s="3935"/>
      <c r="N331" s="2520"/>
      <c r="O331" s="54"/>
      <c r="P331" s="54"/>
      <c r="Q331" s="54"/>
      <c r="R331" s="54"/>
      <c r="S331" s="190"/>
      <c r="T331" s="3964" t="s">
        <v>770</v>
      </c>
      <c r="U331" s="3964"/>
      <c r="V331" s="3964"/>
      <c r="W331" s="3964"/>
      <c r="X331" s="3964"/>
      <c r="Y331" s="3964"/>
      <c r="Z331" s="3964"/>
      <c r="AA331" s="3964"/>
      <c r="AB331" s="3964"/>
      <c r="AC331" s="3964"/>
      <c r="AD331" s="3964"/>
      <c r="AE331" s="196"/>
      <c r="AF331" s="45"/>
      <c r="AG331" s="45"/>
      <c r="AH331" s="45"/>
      <c r="AI331" s="45"/>
      <c r="AJ331" s="190"/>
      <c r="AK331" s="3964" t="s">
        <v>770</v>
      </c>
      <c r="AL331" s="3964"/>
      <c r="AM331" s="3964"/>
      <c r="AN331" s="3964"/>
      <c r="AO331" s="3964"/>
      <c r="AP331" s="3964"/>
      <c r="AQ331" s="3964"/>
      <c r="AR331" s="3964"/>
      <c r="AS331" s="3964"/>
      <c r="AT331" s="3964"/>
      <c r="AU331" s="3964"/>
      <c r="AV331" s="196"/>
      <c r="AW331" s="54"/>
      <c r="AX331" s="54"/>
      <c r="AY331" s="54"/>
      <c r="AZ331" s="54"/>
      <c r="BA331" s="54"/>
      <c r="BB331" s="54"/>
      <c r="BC331" s="54"/>
    </row>
    <row r="332" spans="1:55" ht="13.15">
      <c r="A332" s="45"/>
      <c r="B332" s="1720"/>
      <c r="C332" s="2513"/>
      <c r="D332" s="2418"/>
      <c r="E332" s="2751"/>
      <c r="F332" s="2420"/>
      <c r="G332" s="2420"/>
      <c r="H332" s="2420"/>
      <c r="I332" s="2420"/>
      <c r="J332" s="2420"/>
      <c r="K332" s="2420"/>
      <c r="L332" s="2420"/>
      <c r="M332" s="2420"/>
      <c r="N332" s="1719"/>
      <c r="O332" s="54"/>
      <c r="P332" s="54"/>
      <c r="Q332" s="54"/>
      <c r="R332" s="54"/>
      <c r="S332" s="190"/>
      <c r="T332" s="1"/>
      <c r="U332" s="130"/>
      <c r="V332" s="48"/>
      <c r="W332" s="49"/>
      <c r="X332" s="49"/>
      <c r="Y332" s="49"/>
      <c r="Z332" s="49"/>
      <c r="AA332" s="49"/>
      <c r="AB332" s="49"/>
      <c r="AC332" s="49"/>
      <c r="AD332" s="49"/>
      <c r="AE332" s="90"/>
      <c r="AF332" s="45"/>
      <c r="AG332" s="45"/>
      <c r="AH332" s="45"/>
      <c r="AI332" s="45"/>
      <c r="AJ332" s="190"/>
      <c r="AK332" s="1"/>
      <c r="AL332" s="130"/>
      <c r="AM332" s="48"/>
      <c r="AN332" s="49"/>
      <c r="AO332" s="49"/>
      <c r="AP332" s="49"/>
      <c r="AQ332" s="49"/>
      <c r="AR332" s="49"/>
      <c r="AS332" s="49"/>
      <c r="AT332" s="49"/>
      <c r="AU332" s="49"/>
      <c r="AV332" s="90"/>
      <c r="AW332" s="54"/>
      <c r="AX332" s="54"/>
      <c r="AY332" s="54"/>
      <c r="AZ332" s="54"/>
      <c r="BA332" s="54"/>
      <c r="BB332" s="54"/>
      <c r="BC332" s="54"/>
    </row>
    <row r="333" spans="1:55" ht="15">
      <c r="A333" s="45"/>
      <c r="B333" s="1720"/>
      <c r="C333" s="2418" t="str">
        <f>"Country: " &amp;UPPER(Country)</f>
        <v>Country: SWEDEN</v>
      </c>
      <c r="D333" s="2418"/>
      <c r="E333" s="2751"/>
      <c r="F333" s="2420"/>
      <c r="G333" s="2420"/>
      <c r="H333" s="2420"/>
      <c r="I333" s="2420"/>
      <c r="J333" s="2420"/>
      <c r="K333" s="2420"/>
      <c r="L333" s="2420"/>
      <c r="M333" s="2420"/>
      <c r="N333" s="2670"/>
      <c r="O333" s="54"/>
      <c r="P333" s="54"/>
      <c r="Q333" s="54"/>
      <c r="R333" s="54"/>
      <c r="S333" s="190"/>
      <c r="T333" s="63" t="str">
        <f>"Country: " &amp;UPPER(Country)</f>
        <v>Country: SWEDEN</v>
      </c>
      <c r="U333" s="130"/>
      <c r="V333" s="48"/>
      <c r="W333" s="2066" t="s">
        <v>1553</v>
      </c>
      <c r="X333" s="49"/>
      <c r="Y333" s="49"/>
      <c r="Z333" s="49"/>
      <c r="AA333" s="49"/>
      <c r="AB333" s="49"/>
      <c r="AC333" s="49"/>
      <c r="AD333" s="49"/>
      <c r="AE333" s="337"/>
      <c r="AF333" s="45"/>
      <c r="AG333" s="45"/>
      <c r="AH333" s="45"/>
      <c r="AI333" s="45"/>
      <c r="AJ333" s="190"/>
      <c r="AK333" s="63" t="str">
        <f>"Country: " &amp;UPPER(Country)</f>
        <v>Country: SWEDEN</v>
      </c>
      <c r="AL333" s="130"/>
      <c r="AM333" s="48"/>
      <c r="AN333" s="49"/>
      <c r="AO333" s="49"/>
      <c r="AP333" s="49"/>
      <c r="AQ333" s="49"/>
      <c r="AR333" s="49"/>
      <c r="AS333" s="49"/>
      <c r="AT333" s="49"/>
      <c r="AU333" s="49"/>
      <c r="AV333" s="337"/>
      <c r="AW333" s="54"/>
      <c r="AX333" s="54"/>
      <c r="AY333" s="54"/>
      <c r="AZ333" s="54"/>
      <c r="BA333" s="54"/>
      <c r="BB333" s="54"/>
      <c r="BC333" s="54"/>
    </row>
    <row r="334" spans="1:55" ht="15">
      <c r="A334" s="45"/>
      <c r="B334" s="1720"/>
      <c r="C334" s="2418" t="str">
        <f>"Currency unit: " &amp; Currency</f>
        <v>Currency unit: bn SEK</v>
      </c>
      <c r="D334" s="2424"/>
      <c r="E334" s="2418"/>
      <c r="F334" s="2420"/>
      <c r="G334" s="2420"/>
      <c r="H334" s="2420"/>
      <c r="I334" s="2420"/>
      <c r="J334" s="2513"/>
      <c r="K334" s="2513"/>
      <c r="L334" s="2513"/>
      <c r="M334" s="2513"/>
      <c r="N334" s="2673"/>
      <c r="O334" s="54"/>
      <c r="P334" s="54"/>
      <c r="Q334" s="54"/>
      <c r="R334" s="54"/>
      <c r="S334" s="190"/>
      <c r="T334" s="63" t="str">
        <f>"Currency unit: " &amp; Currency</f>
        <v>Currency unit: bn SEK</v>
      </c>
      <c r="U334" s="134"/>
      <c r="V334" s="130"/>
      <c r="W334" s="2066" t="str">
        <f>$T$4</f>
        <v>final storage SF18</v>
      </c>
      <c r="X334" s="49"/>
      <c r="Y334" s="49"/>
      <c r="Z334" s="49"/>
      <c r="AA334" s="1"/>
      <c r="AB334" s="1"/>
      <c r="AC334" s="1"/>
      <c r="AD334" s="1"/>
      <c r="AE334" s="339"/>
      <c r="AF334" s="45"/>
      <c r="AG334" s="45"/>
      <c r="AH334" s="45"/>
      <c r="AI334" s="45"/>
      <c r="AJ334" s="190"/>
      <c r="AK334" s="63" t="str">
        <f>"Currency unit: " &amp; Currency</f>
        <v>Currency unit: bn SEK</v>
      </c>
      <c r="AL334" s="134"/>
      <c r="AM334" s="130"/>
      <c r="AN334" s="49"/>
      <c r="AO334" s="49"/>
      <c r="AP334" s="49"/>
      <c r="AQ334" s="49"/>
      <c r="AR334" s="1"/>
      <c r="AS334" s="1"/>
      <c r="AT334" s="1"/>
      <c r="AU334" s="1"/>
      <c r="AV334" s="339"/>
      <c r="AW334" s="54"/>
      <c r="AX334" s="54"/>
      <c r="AY334" s="54"/>
      <c r="AZ334" s="54"/>
      <c r="BA334" s="54"/>
      <c r="BB334" s="54"/>
      <c r="BC334" s="54"/>
    </row>
    <row r="335" spans="1:55" ht="13.15" thickBot="1">
      <c r="A335" s="45"/>
      <c r="B335" s="1720"/>
      <c r="C335" s="2424" t="s">
        <v>576</v>
      </c>
      <c r="D335" s="2420"/>
      <c r="E335" s="2420"/>
      <c r="F335" s="2420"/>
      <c r="G335" s="2420"/>
      <c r="H335" s="2420"/>
      <c r="I335" s="2420"/>
      <c r="J335" s="2513"/>
      <c r="K335" s="2513"/>
      <c r="L335" s="3959">
        <f ca="1">NOW()</f>
        <v>43493.476067824071</v>
      </c>
      <c r="M335" s="3959"/>
      <c r="N335" s="2729"/>
      <c r="O335" s="54"/>
      <c r="P335" s="54"/>
      <c r="Q335" s="54"/>
      <c r="R335" s="54"/>
      <c r="S335" s="190"/>
      <c r="T335" s="69" t="s">
        <v>576</v>
      </c>
      <c r="U335" s="49"/>
      <c r="V335" s="49"/>
      <c r="W335" s="49"/>
      <c r="X335" s="49"/>
      <c r="Y335" s="49"/>
      <c r="Z335" s="49"/>
      <c r="AA335" s="1"/>
      <c r="AB335" s="1"/>
      <c r="AC335" s="3960">
        <f ca="1">NOW()</f>
        <v>43493.476067824071</v>
      </c>
      <c r="AD335" s="3960"/>
      <c r="AE335" s="393"/>
      <c r="AF335" s="45"/>
      <c r="AG335" s="45"/>
      <c r="AH335" s="45"/>
      <c r="AI335" s="45"/>
      <c r="AJ335" s="190"/>
      <c r="AK335" s="69" t="s">
        <v>576</v>
      </c>
      <c r="AL335" s="49"/>
      <c r="AM335" s="49"/>
      <c r="AN335" s="49"/>
      <c r="AO335" s="49"/>
      <c r="AP335" s="49"/>
      <c r="AQ335" s="49"/>
      <c r="AR335" s="1"/>
      <c r="AS335" s="1"/>
      <c r="AT335" s="3960">
        <f ca="1">NOW()</f>
        <v>43493.476067824071</v>
      </c>
      <c r="AU335" s="3960"/>
      <c r="AV335" s="393"/>
      <c r="AW335" s="54"/>
      <c r="AX335" s="54"/>
      <c r="AY335" s="54"/>
      <c r="AZ335" s="54"/>
      <c r="BA335" s="54"/>
      <c r="BB335" s="54"/>
      <c r="BC335" s="54"/>
    </row>
    <row r="336" spans="1:55" ht="13.15">
      <c r="A336" s="45"/>
      <c r="B336" s="1720"/>
      <c r="C336" s="2426"/>
      <c r="D336" s="2701"/>
      <c r="E336" s="2473" t="s">
        <v>771</v>
      </c>
      <c r="F336" s="3897">
        <f>E16</f>
        <v>2017</v>
      </c>
      <c r="G336" s="3898"/>
      <c r="H336" s="3969">
        <f>F336+1</f>
        <v>2018</v>
      </c>
      <c r="I336" s="3970"/>
      <c r="J336" s="3976">
        <f>H336+1</f>
        <v>2019</v>
      </c>
      <c r="K336" s="3970"/>
      <c r="L336" s="3969">
        <f>J336+1</f>
        <v>2020</v>
      </c>
      <c r="M336" s="3971"/>
      <c r="N336" s="2437"/>
      <c r="O336" s="54"/>
      <c r="P336" s="54"/>
      <c r="Q336" s="54"/>
      <c r="R336" s="54"/>
      <c r="S336" s="190"/>
      <c r="T336" s="72"/>
      <c r="U336" s="419"/>
      <c r="V336" s="420" t="s">
        <v>771</v>
      </c>
      <c r="W336" s="3899">
        <f>Last_forecast_year - 3</f>
        <v>2017</v>
      </c>
      <c r="X336" s="3900"/>
      <c r="Y336" s="3972">
        <f>W336+1</f>
        <v>2018</v>
      </c>
      <c r="Z336" s="3974"/>
      <c r="AA336" s="3975">
        <f>Y336+1</f>
        <v>2019</v>
      </c>
      <c r="AB336" s="3974"/>
      <c r="AC336" s="3972">
        <f>AA336+1</f>
        <v>2020</v>
      </c>
      <c r="AD336" s="3973"/>
      <c r="AE336" s="364"/>
      <c r="AF336" s="45"/>
      <c r="AG336" s="45"/>
      <c r="AH336" s="45"/>
      <c r="AI336" s="45"/>
      <c r="AJ336" s="190"/>
      <c r="AK336" s="72"/>
      <c r="AL336" s="419"/>
      <c r="AM336" s="420" t="s">
        <v>771</v>
      </c>
      <c r="AN336" s="3899">
        <f>Last_forecast_year - 3</f>
        <v>2017</v>
      </c>
      <c r="AO336" s="3900"/>
      <c r="AP336" s="3972">
        <f>AN336+1</f>
        <v>2018</v>
      </c>
      <c r="AQ336" s="3974"/>
      <c r="AR336" s="3975">
        <f>AP336+1</f>
        <v>2019</v>
      </c>
      <c r="AS336" s="3974"/>
      <c r="AT336" s="3972">
        <f>AR336+1</f>
        <v>2020</v>
      </c>
      <c r="AU336" s="3973"/>
      <c r="AV336" s="364"/>
      <c r="AW336" s="54"/>
      <c r="AX336" s="54"/>
      <c r="AY336" s="54"/>
      <c r="AZ336" s="54"/>
      <c r="BA336" s="54"/>
      <c r="BB336" s="54"/>
      <c r="BC336" s="54"/>
    </row>
    <row r="337" spans="1:55" ht="13.15">
      <c r="A337" s="45"/>
      <c r="B337" s="1720"/>
      <c r="C337" s="1721"/>
      <c r="D337" s="2752"/>
      <c r="E337" s="2475" t="s">
        <v>772</v>
      </c>
      <c r="F337" s="2709" t="s">
        <v>577</v>
      </c>
      <c r="G337" s="2710" t="s">
        <v>1220</v>
      </c>
      <c r="H337" s="2709" t="s">
        <v>577</v>
      </c>
      <c r="I337" s="2710" t="s">
        <v>1220</v>
      </c>
      <c r="J337" s="2709" t="s">
        <v>577</v>
      </c>
      <c r="K337" s="2710" t="s">
        <v>1220</v>
      </c>
      <c r="L337" s="2709" t="s">
        <v>577</v>
      </c>
      <c r="M337" s="2711" t="s">
        <v>1220</v>
      </c>
      <c r="N337" s="2437"/>
      <c r="O337" s="54"/>
      <c r="P337" s="54"/>
      <c r="Q337" s="54"/>
      <c r="R337" s="54"/>
      <c r="S337" s="190"/>
      <c r="T337" s="101"/>
      <c r="U337" s="422"/>
      <c r="V337" s="423" t="s">
        <v>772</v>
      </c>
      <c r="W337" s="390" t="s">
        <v>577</v>
      </c>
      <c r="X337" s="391" t="s">
        <v>1220</v>
      </c>
      <c r="Y337" s="390" t="s">
        <v>577</v>
      </c>
      <c r="Z337" s="391" t="s">
        <v>1220</v>
      </c>
      <c r="AA337" s="390" t="s">
        <v>577</v>
      </c>
      <c r="AB337" s="391" t="s">
        <v>1220</v>
      </c>
      <c r="AC337" s="390" t="s">
        <v>577</v>
      </c>
      <c r="AD337" s="392" t="s">
        <v>1220</v>
      </c>
      <c r="AE337" s="364"/>
      <c r="AF337" s="45"/>
      <c r="AG337" s="45"/>
      <c r="AH337" s="45"/>
      <c r="AI337" s="45"/>
      <c r="AJ337" s="190"/>
      <c r="AK337" s="101"/>
      <c r="AL337" s="422"/>
      <c r="AM337" s="423" t="s">
        <v>772</v>
      </c>
      <c r="AN337" s="390" t="s">
        <v>577</v>
      </c>
      <c r="AO337" s="391" t="s">
        <v>1220</v>
      </c>
      <c r="AP337" s="390" t="s">
        <v>577</v>
      </c>
      <c r="AQ337" s="391" t="s">
        <v>1220</v>
      </c>
      <c r="AR337" s="390" t="s">
        <v>577</v>
      </c>
      <c r="AS337" s="391" t="s">
        <v>1220</v>
      </c>
      <c r="AT337" s="390" t="s">
        <v>577</v>
      </c>
      <c r="AU337" s="392" t="s">
        <v>1220</v>
      </c>
      <c r="AV337" s="364"/>
      <c r="AW337" s="54"/>
      <c r="AX337" s="54"/>
      <c r="AY337" s="54"/>
      <c r="AZ337" s="54"/>
      <c r="BA337" s="54"/>
      <c r="BB337" s="54"/>
      <c r="BC337" s="54"/>
    </row>
    <row r="338" spans="1:55" ht="13.15">
      <c r="A338" s="45"/>
      <c r="B338" s="1720"/>
      <c r="C338" s="2753" t="s">
        <v>773</v>
      </c>
      <c r="D338" s="2411"/>
      <c r="E338" s="2754" t="s">
        <v>711</v>
      </c>
      <c r="F338" s="2696">
        <f ca="1">Transfer!D187</f>
        <v>2164.6790000000001</v>
      </c>
      <c r="G338" s="2755">
        <f ca="1">100*((Transfer!D187/Transfer!C187)-1)</f>
        <v>4.4604721348372234</v>
      </c>
      <c r="H338" s="2755">
        <f ca="1">Transfer!E187</f>
        <v>2260.8083473306006</v>
      </c>
      <c r="I338" s="2756">
        <f ca="1">100*((Transfer!E187/Transfer!D187)-1)</f>
        <v>4.4408130411299096</v>
      </c>
      <c r="J338" s="2696">
        <f ca="1">Transfer!F187</f>
        <v>2341.6886369596423</v>
      </c>
      <c r="K338" s="2755">
        <f ca="1">100*((Transfer!F187/Transfer!E187)-1)</f>
        <v>3.5774942942217614</v>
      </c>
      <c r="L338" s="2755">
        <f ca="1">Transfer!G187</f>
        <v>2415.4872444957791</v>
      </c>
      <c r="M338" s="2757">
        <f ca="1">100*((Transfer!G187/Transfer!F187)-1)</f>
        <v>3.1515123903045561</v>
      </c>
      <c r="N338" s="2437"/>
      <c r="O338" s="54"/>
      <c r="P338" s="54"/>
      <c r="Q338" s="54"/>
      <c r="R338" s="54"/>
      <c r="S338" s="190"/>
      <c r="T338" s="424" t="s">
        <v>773</v>
      </c>
      <c r="U338" s="56"/>
      <c r="V338" s="425" t="s">
        <v>711</v>
      </c>
      <c r="W338" s="426">
        <f t="shared" ref="W338:AD353" ca="1" si="23">ROUND(F338,1)-ROUND(AN338,1)</f>
        <v>87.799999999999727</v>
      </c>
      <c r="X338" s="426">
        <f t="shared" ca="1" si="23"/>
        <v>-0.20000000000000018</v>
      </c>
      <c r="Y338" s="426">
        <f t="shared" ca="1" si="23"/>
        <v>87.900000000000091</v>
      </c>
      <c r="Z338" s="426">
        <f t="shared" ca="1" si="23"/>
        <v>-0.19999999999999929</v>
      </c>
      <c r="AA338" s="426">
        <f t="shared" ca="1" si="23"/>
        <v>74.099999999999909</v>
      </c>
      <c r="AB338" s="426">
        <f t="shared" ca="1" si="23"/>
        <v>-0.80000000000000027</v>
      </c>
      <c r="AC338" s="426">
        <f t="shared" ca="1" si="23"/>
        <v>62.099999999999909</v>
      </c>
      <c r="AD338" s="441">
        <f t="shared" ca="1" si="23"/>
        <v>-0.59999999999999964</v>
      </c>
      <c r="AE338" s="364"/>
      <c r="AF338" s="45"/>
      <c r="AG338" s="45"/>
      <c r="AH338" s="45"/>
      <c r="AI338" s="45"/>
      <c r="AJ338" s="190"/>
      <c r="AK338" s="424" t="s">
        <v>773</v>
      </c>
      <c r="AL338" s="56"/>
      <c r="AM338" s="425" t="s">
        <v>711</v>
      </c>
      <c r="AN338" s="2117">
        <f>Transfer!AD187</f>
        <v>2076.8829999999998</v>
      </c>
      <c r="AO338" s="2118">
        <f>100*((Transfer!AD187/Transfer!AC187)-1)</f>
        <v>4.7497112537890018</v>
      </c>
      <c r="AP338" s="2118">
        <f>Transfer!AE187</f>
        <v>2172.875</v>
      </c>
      <c r="AQ338" s="2123">
        <f>100*((Transfer!AE187/Transfer!AD187)-1)</f>
        <v>4.6219262230948965</v>
      </c>
      <c r="AR338" s="2117">
        <f>Transfer!AF187</f>
        <v>2267.6384039730001</v>
      </c>
      <c r="AS338" s="2118">
        <f>100*((Transfer!AF187/Transfer!AE187)-1)</f>
        <v>4.3611990553069191</v>
      </c>
      <c r="AT338" s="2118">
        <f>Transfer!AG187</f>
        <v>2353.3645097084436</v>
      </c>
      <c r="AU338" s="2124">
        <f>100*((Transfer!AG187/Transfer!AF187)-1)</f>
        <v>3.78041338448174</v>
      </c>
      <c r="AV338" s="364"/>
      <c r="AW338" s="54"/>
      <c r="AX338" s="54"/>
      <c r="AY338" s="54"/>
      <c r="AZ338" s="54"/>
      <c r="BA338" s="1751" t="s">
        <v>1984</v>
      </c>
      <c r="BB338" s="1752"/>
      <c r="BC338" s="54"/>
    </row>
    <row r="339" spans="1:55">
      <c r="A339" s="45"/>
      <c r="B339" s="1720"/>
      <c r="C339" s="1721" t="s">
        <v>1149</v>
      </c>
      <c r="D339" s="2420"/>
      <c r="E339" s="2589" t="s">
        <v>1150</v>
      </c>
      <c r="F339" s="2521">
        <f ca="1">Transfer!D188</f>
        <v>1811.0419999999999</v>
      </c>
      <c r="G339" s="2758">
        <f ca="1">100*((Transfer!D188/Transfer!C188)-1)</f>
        <v>4.6596444428520067</v>
      </c>
      <c r="H339" s="2758">
        <f ca="1">Transfer!E188</f>
        <v>1892.5383829059999</v>
      </c>
      <c r="I339" s="2759">
        <f ca="1">100*((Transfer!E188/Transfer!D188)-1)</f>
        <v>4.4999719998763066</v>
      </c>
      <c r="J339" s="2521">
        <f ca="1">Transfer!F188</f>
        <v>1962.5965528683344</v>
      </c>
      <c r="K339" s="2758">
        <f ca="1">100*((Transfer!F188/Transfer!E188)-1)</f>
        <v>3.701809727883032</v>
      </c>
      <c r="L339" s="2758">
        <f ca="1">Transfer!G188</f>
        <v>2026.4769383561229</v>
      </c>
      <c r="M339" s="2760">
        <f ca="1">100*((Transfer!G188/Transfer!F188)-1)</f>
        <v>3.2548913527045364</v>
      </c>
      <c r="N339" s="2459"/>
      <c r="O339" s="54"/>
      <c r="P339" s="54"/>
      <c r="Q339" s="54"/>
      <c r="R339" s="54"/>
      <c r="S339" s="190"/>
      <c r="T339" s="101" t="s">
        <v>1149</v>
      </c>
      <c r="U339" s="49"/>
      <c r="V339" s="254" t="s">
        <v>1150</v>
      </c>
      <c r="W339" s="245">
        <f t="shared" ca="1" si="23"/>
        <v>76.099999999999909</v>
      </c>
      <c r="X339" s="245">
        <f t="shared" ca="1" si="23"/>
        <v>0</v>
      </c>
      <c r="Y339" s="245">
        <f t="shared" ca="1" si="23"/>
        <v>75.599999999999909</v>
      </c>
      <c r="Z339" s="245">
        <f t="shared" ca="1" si="23"/>
        <v>-0.20000000000000018</v>
      </c>
      <c r="AA339" s="245">
        <f t="shared" ca="1" si="23"/>
        <v>65.699999999999818</v>
      </c>
      <c r="AB339" s="245">
        <f t="shared" ca="1" si="23"/>
        <v>-0.70000000000000018</v>
      </c>
      <c r="AC339" s="245">
        <f t="shared" ca="1" si="23"/>
        <v>55.900000000000091</v>
      </c>
      <c r="AD339" s="320">
        <f t="shared" ca="1" si="23"/>
        <v>-0.60000000000000009</v>
      </c>
      <c r="AE339" s="103"/>
      <c r="AF339" s="45"/>
      <c r="AG339" s="45"/>
      <c r="AH339" s="45"/>
      <c r="AI339" s="45"/>
      <c r="AJ339" s="190"/>
      <c r="AK339" s="101" t="s">
        <v>1149</v>
      </c>
      <c r="AL339" s="49"/>
      <c r="AM339" s="254" t="s">
        <v>1150</v>
      </c>
      <c r="AN339" s="91">
        <f>Transfer!AD188</f>
        <v>1734.874</v>
      </c>
      <c r="AO339" s="242">
        <f>100*((Transfer!AD188/Transfer!AC188)-1)</f>
        <v>4.6777140347108892</v>
      </c>
      <c r="AP339" s="242">
        <f>Transfer!AE188</f>
        <v>1816.932</v>
      </c>
      <c r="AQ339" s="92">
        <f>100*((Transfer!AE188/Transfer!AD188)-1)</f>
        <v>4.7299112212183747</v>
      </c>
      <c r="AR339" s="91">
        <f>Transfer!AF188</f>
        <v>1896.8867032830001</v>
      </c>
      <c r="AS339" s="242">
        <f>100*((Transfer!AF188/Transfer!AE188)-1)</f>
        <v>4.4005336073666967</v>
      </c>
      <c r="AT339" s="242">
        <f>Transfer!AG188</f>
        <v>1970.5790798999662</v>
      </c>
      <c r="AU339" s="243">
        <f>100*((Transfer!AG188/Transfer!AF188)-1)</f>
        <v>3.8849118658180526</v>
      </c>
      <c r="AV339" s="103"/>
      <c r="AW339" s="54"/>
      <c r="AX339" s="54"/>
      <c r="AY339" s="54"/>
      <c r="AZ339" s="54"/>
      <c r="BA339" s="1753" t="s">
        <v>1985</v>
      </c>
      <c r="BB339" s="1754"/>
      <c r="BC339" s="54"/>
    </row>
    <row r="340" spans="1:55">
      <c r="A340" s="45"/>
      <c r="B340" s="1720"/>
      <c r="C340" s="1721" t="s">
        <v>360</v>
      </c>
      <c r="D340" s="2420"/>
      <c r="E340" s="2491" t="s">
        <v>361</v>
      </c>
      <c r="F340" s="2521">
        <f ca="1">SUM(Transfer!D189,Transfer!D190)</f>
        <v>531.23099999999999</v>
      </c>
      <c r="G340" s="2758">
        <f ca="1">100*((SUM(Transfer!D189,Transfer!D190)/SUM(Transfer!C189,Transfer!C190))-1)</f>
        <v>0.79156223496801292</v>
      </c>
      <c r="H340" s="2758">
        <f ca="1">SUM(Transfer!E189,Transfer!E190)</f>
        <v>552.1721533678475</v>
      </c>
      <c r="I340" s="2759">
        <f ca="1">100*((SUM(Transfer!E189,Transfer!E190)/SUM(Transfer!D189,Transfer!D190))-1)</f>
        <v>3.9420051480142382</v>
      </c>
      <c r="J340" s="2521">
        <f ca="1">SUM(Transfer!F189,Transfer!F190)</f>
        <v>574.0637153669918</v>
      </c>
      <c r="K340" s="2758">
        <f ca="1">100*((SUM(Transfer!F189,Transfer!F190)/SUM(Transfer!E189,Transfer!E190))-1)</f>
        <v>3.9646262249231068</v>
      </c>
      <c r="L340" s="2758">
        <f ca="1">SUM(Transfer!G189,Transfer!G190)</f>
        <v>602.83080214116944</v>
      </c>
      <c r="M340" s="2760">
        <f ca="1">100*((SUM(Transfer!G189,Transfer!G190)/SUM(Transfer!F189,Transfer!F190))-1)</f>
        <v>5.011131343806885</v>
      </c>
      <c r="N340" s="2437"/>
      <c r="O340" s="54"/>
      <c r="P340" s="54"/>
      <c r="Q340" s="54"/>
      <c r="R340" s="54"/>
      <c r="S340" s="190"/>
      <c r="T340" s="101" t="s">
        <v>360</v>
      </c>
      <c r="U340" s="49"/>
      <c r="V340" s="181" t="s">
        <v>361</v>
      </c>
      <c r="W340" s="245">
        <f t="shared" ca="1" si="23"/>
        <v>4.5</v>
      </c>
      <c r="X340" s="245">
        <f t="shared" ca="1" si="23"/>
        <v>-11.2</v>
      </c>
      <c r="Y340" s="245">
        <f t="shared" ca="1" si="23"/>
        <v>25.300000000000068</v>
      </c>
      <c r="Z340" s="245">
        <f t="shared" ca="1" si="23"/>
        <v>3.9</v>
      </c>
      <c r="AA340" s="245">
        <f t="shared" ca="1" si="23"/>
        <v>27.700000000000045</v>
      </c>
      <c r="AB340" s="245">
        <f t="shared" ca="1" si="23"/>
        <v>0.29999999999999982</v>
      </c>
      <c r="AC340" s="245">
        <f t="shared" ca="1" si="23"/>
        <v>34.699999999999932</v>
      </c>
      <c r="AD340" s="320">
        <f t="shared" ca="1" si="23"/>
        <v>1</v>
      </c>
      <c r="AE340" s="364"/>
      <c r="AF340" s="45"/>
      <c r="AG340" s="45"/>
      <c r="AH340" s="45"/>
      <c r="AI340" s="45"/>
      <c r="AJ340" s="190"/>
      <c r="AK340" s="101" t="s">
        <v>360</v>
      </c>
      <c r="AL340" s="49"/>
      <c r="AM340" s="181" t="s">
        <v>361</v>
      </c>
      <c r="AN340" s="91">
        <f>SUM(Transfer!AD189,Transfer!AD190)</f>
        <v>526.74599999999998</v>
      </c>
      <c r="AO340" s="242">
        <f>100*((SUM(Transfer!AD189,Transfer!AD190)/SUM(Transfer!AC189,Transfer!AC190))-1)</f>
        <v>11.99736349719338</v>
      </c>
      <c r="AP340" s="242">
        <f>SUM(Transfer!AE189,Transfer!AE190)</f>
        <v>526.91300000000001</v>
      </c>
      <c r="AQ340" s="92">
        <f>100*((SUM(Transfer!AE189,Transfer!AE190)/SUM(Transfer!AD189,Transfer!AD190))-1)</f>
        <v>3.1704085080863642E-2</v>
      </c>
      <c r="AR340" s="91">
        <f>SUM(Transfer!AF189,Transfer!AF190)</f>
        <v>546.38532724197455</v>
      </c>
      <c r="AS340" s="242">
        <f>100*((SUM(Transfer!AF189,Transfer!AF190)/SUM(Transfer!AE189,Transfer!AE190))-1)</f>
        <v>3.6955488367101497</v>
      </c>
      <c r="AT340" s="242">
        <f>SUM(Transfer!AG189,Transfer!AG190)</f>
        <v>568.09171683050977</v>
      </c>
      <c r="AU340" s="243">
        <f>100*((SUM(Transfer!AG189,Transfer!AG190)/SUM(Transfer!AF189,Transfer!AF190))-1)</f>
        <v>3.9727255667907579</v>
      </c>
      <c r="AV340" s="364"/>
      <c r="AW340" s="54"/>
      <c r="AX340" s="54"/>
      <c r="AY340" s="54"/>
      <c r="AZ340" s="54"/>
      <c r="BA340" s="1753" t="s">
        <v>1986</v>
      </c>
      <c r="BB340" s="1754"/>
      <c r="BC340" s="54"/>
    </row>
    <row r="341" spans="1:55" ht="13.15">
      <c r="A341" s="45"/>
      <c r="B341" s="1720"/>
      <c r="C341" s="1721" t="s">
        <v>912</v>
      </c>
      <c r="D341" s="2420"/>
      <c r="E341" s="2589" t="s">
        <v>88</v>
      </c>
      <c r="F341" s="2521">
        <f ca="1">Transfer!D191</f>
        <v>907.50199999999995</v>
      </c>
      <c r="G341" s="2758">
        <f ca="1">100*((Transfer!D191/Transfer!C191)-1)</f>
        <v>3.0564839135712951</v>
      </c>
      <c r="H341" s="2758">
        <f ca="1">Transfer!E191</f>
        <v>941.67197449999992</v>
      </c>
      <c r="I341" s="2759">
        <f ca="1">100*((Transfer!E191/Transfer!D191)-1)</f>
        <v>3.765278148147333</v>
      </c>
      <c r="J341" s="2521">
        <f ca="1">Transfer!F191</f>
        <v>959.9048601715001</v>
      </c>
      <c r="K341" s="2758">
        <f ca="1">100*((Transfer!F191/Transfer!E191)-1)</f>
        <v>1.9362247327346926</v>
      </c>
      <c r="L341" s="2758">
        <f ca="1">Transfer!G191</f>
        <v>981.65581115624582</v>
      </c>
      <c r="M341" s="2760">
        <f ca="1">100*((Transfer!G191/Transfer!F191)-1)</f>
        <v>2.2659486254564376</v>
      </c>
      <c r="N341" s="2441"/>
      <c r="O341" s="54"/>
      <c r="P341" s="54"/>
      <c r="Q341" s="54"/>
      <c r="R341" s="54"/>
      <c r="S341" s="190"/>
      <c r="T341" s="101" t="s">
        <v>912</v>
      </c>
      <c r="U341" s="49"/>
      <c r="V341" s="254" t="s">
        <v>88</v>
      </c>
      <c r="W341" s="245">
        <f t="shared" ca="1" si="23"/>
        <v>30.5</v>
      </c>
      <c r="X341" s="245">
        <f t="shared" ca="1" si="23"/>
        <v>0.10000000000000009</v>
      </c>
      <c r="Y341" s="245">
        <f t="shared" ca="1" si="23"/>
        <v>33.900000000000091</v>
      </c>
      <c r="Z341" s="245">
        <f t="shared" ca="1" si="23"/>
        <v>0.29999999999999982</v>
      </c>
      <c r="AA341" s="245">
        <f t="shared" ca="1" si="23"/>
        <v>13.600000000000023</v>
      </c>
      <c r="AB341" s="245">
        <f t="shared" ca="1" si="23"/>
        <v>-2.3000000000000003</v>
      </c>
      <c r="AC341" s="245">
        <f t="shared" ca="1" si="23"/>
        <v>7.8000000000000682</v>
      </c>
      <c r="AD341" s="320">
        <f t="shared" ca="1" si="23"/>
        <v>-0.60000000000000009</v>
      </c>
      <c r="AE341" s="366"/>
      <c r="AF341" s="45"/>
      <c r="AG341" s="45"/>
      <c r="AH341" s="45"/>
      <c r="AI341" s="45"/>
      <c r="AJ341" s="190"/>
      <c r="AK341" s="101" t="s">
        <v>912</v>
      </c>
      <c r="AL341" s="49"/>
      <c r="AM341" s="254" t="s">
        <v>88</v>
      </c>
      <c r="AN341" s="91">
        <f>Transfer!AD191</f>
        <v>877.04000000000008</v>
      </c>
      <c r="AO341" s="242">
        <f>100*((Transfer!AD191/Transfer!AC191)-1)</f>
        <v>3.0485469290113754</v>
      </c>
      <c r="AP341" s="242">
        <f>Transfer!AE191</f>
        <v>907.76400000000001</v>
      </c>
      <c r="AQ341" s="92">
        <f>100*((Transfer!AE191/Transfer!AD191)-1)</f>
        <v>3.5031469488278733</v>
      </c>
      <c r="AR341" s="91">
        <f>Transfer!AF191</f>
        <v>946.34301099999993</v>
      </c>
      <c r="AS341" s="242">
        <f>100*((Transfer!AF191/Transfer!AE191)-1)</f>
        <v>4.2498943558017199</v>
      </c>
      <c r="AT341" s="242">
        <f>Transfer!AG191</f>
        <v>973.92511911000008</v>
      </c>
      <c r="AU341" s="243">
        <f>100*((Transfer!AG191/Transfer!AF191)-1)</f>
        <v>2.9145994411533982</v>
      </c>
      <c r="AV341" s="366"/>
      <c r="AW341" s="54"/>
      <c r="AX341" s="54"/>
      <c r="AY341" s="54"/>
      <c r="AZ341" s="54"/>
      <c r="BA341" s="1753" t="s">
        <v>851</v>
      </c>
      <c r="BB341" s="1754"/>
      <c r="BC341" s="54"/>
    </row>
    <row r="342" spans="1:55">
      <c r="A342" s="45"/>
      <c r="B342" s="1720"/>
      <c r="C342" s="1721" t="s">
        <v>764</v>
      </c>
      <c r="D342" s="2420"/>
      <c r="E342" s="2589" t="s">
        <v>765</v>
      </c>
      <c r="F342" s="2521">
        <f ca="1">Transfer!D192</f>
        <v>735.09299999999996</v>
      </c>
      <c r="G342" s="2758">
        <f ca="1">100*((Transfer!D192/Transfer!C192)-1)</f>
        <v>4.9305404880722437</v>
      </c>
      <c r="H342" s="2758">
        <f ca="1">Transfer!E192</f>
        <v>756.57994268260916</v>
      </c>
      <c r="I342" s="2759">
        <f ca="1">100*((Transfer!E192/Transfer!D192)-1)</f>
        <v>2.9230237102800816</v>
      </c>
      <c r="J342" s="2521">
        <f ca="1">Transfer!F192</f>
        <v>780.90266659148301</v>
      </c>
      <c r="K342" s="2758">
        <f ca="1">100*((Transfer!F192/Transfer!E192)-1)</f>
        <v>3.2148253656623105</v>
      </c>
      <c r="L342" s="2758">
        <f ca="1">Transfer!G192</f>
        <v>803.35586821466859</v>
      </c>
      <c r="M342" s="2760">
        <f ca="1">100*((Transfer!G192/Transfer!F192)-1)</f>
        <v>2.8752881228066851</v>
      </c>
      <c r="N342" s="2459"/>
      <c r="O342" s="54"/>
      <c r="P342" s="54"/>
      <c r="Q342" s="54"/>
      <c r="R342" s="54"/>
      <c r="S342" s="190"/>
      <c r="T342" s="101" t="s">
        <v>764</v>
      </c>
      <c r="U342" s="49"/>
      <c r="V342" s="254" t="s">
        <v>765</v>
      </c>
      <c r="W342" s="245">
        <f t="shared" ca="1" si="23"/>
        <v>33.899999999999977</v>
      </c>
      <c r="X342" s="245">
        <f t="shared" ca="1" si="23"/>
        <v>-2.8999999999999995</v>
      </c>
      <c r="Y342" s="245">
        <f t="shared" ca="1" si="23"/>
        <v>27</v>
      </c>
      <c r="Z342" s="245">
        <f t="shared" ca="1" si="23"/>
        <v>-1.1000000000000001</v>
      </c>
      <c r="AA342" s="245">
        <f t="shared" ca="1" si="23"/>
        <v>28</v>
      </c>
      <c r="AB342" s="245">
        <f t="shared" ca="1" si="23"/>
        <v>0</v>
      </c>
      <c r="AC342" s="245">
        <f t="shared" ca="1" si="23"/>
        <v>18.299999999999955</v>
      </c>
      <c r="AD342" s="320">
        <f t="shared" ca="1" si="23"/>
        <v>-1.4</v>
      </c>
      <c r="AE342" s="361"/>
      <c r="AF342" s="45"/>
      <c r="AG342" s="45"/>
      <c r="AH342" s="45"/>
      <c r="AI342" s="45"/>
      <c r="AJ342" s="190"/>
      <c r="AK342" s="101" t="s">
        <v>764</v>
      </c>
      <c r="AL342" s="49"/>
      <c r="AM342" s="254" t="s">
        <v>765</v>
      </c>
      <c r="AN342" s="91">
        <f>Transfer!AD192</f>
        <v>701.23199999999997</v>
      </c>
      <c r="AO342" s="242">
        <f>100*((Transfer!AD192/Transfer!AC192)-1)</f>
        <v>7.7639689508860243</v>
      </c>
      <c r="AP342" s="242">
        <f>Transfer!AE192</f>
        <v>729.56799999999998</v>
      </c>
      <c r="AQ342" s="92">
        <f>100*((Transfer!AE192/Transfer!AD192)-1)</f>
        <v>4.0408880370547795</v>
      </c>
      <c r="AR342" s="91">
        <f>Transfer!AF192</f>
        <v>752.93012455252688</v>
      </c>
      <c r="AS342" s="242">
        <f>100*((Transfer!AF192/Transfer!AE192)-1)</f>
        <v>3.202186026871634</v>
      </c>
      <c r="AT342" s="242">
        <f>Transfer!AG192</f>
        <v>785.12670295604687</v>
      </c>
      <c r="AU342" s="243">
        <f>100*((Transfer!AG192/Transfer!AF192)-1)</f>
        <v>4.2761708362585082</v>
      </c>
      <c r="AV342" s="361"/>
      <c r="AW342" s="54"/>
      <c r="AX342" s="54"/>
      <c r="AY342" s="54"/>
      <c r="AZ342" s="54"/>
      <c r="BA342" s="1753" t="s">
        <v>1070</v>
      </c>
      <c r="BB342" s="1754"/>
      <c r="BC342" s="54"/>
    </row>
    <row r="343" spans="1:55">
      <c r="A343" s="45"/>
      <c r="B343" s="1720"/>
      <c r="C343" s="1721" t="s">
        <v>767</v>
      </c>
      <c r="D343" s="2420"/>
      <c r="E343" s="2589" t="s">
        <v>1762</v>
      </c>
      <c r="F343" s="2521">
        <f ca="1">Transfer!D193</f>
        <v>550.97800000000007</v>
      </c>
      <c r="G343" s="2758">
        <f ca="1">100*((Transfer!D193/Transfer!C193)-1)</f>
        <v>1.220016276681557</v>
      </c>
      <c r="H343" s="2758">
        <f ca="1">Transfer!E193</f>
        <v>572.10992206435515</v>
      </c>
      <c r="I343" s="2759">
        <f ca="1">100*((Transfer!E193/Transfer!D193)-1)</f>
        <v>3.8353477025135474</v>
      </c>
      <c r="J343" s="2521">
        <f ca="1">Transfer!F193</f>
        <v>591.09704641792268</v>
      </c>
      <c r="K343" s="2758">
        <f ca="1">100*((Transfer!F193/Transfer!E193)-1)</f>
        <v>3.3187895579674498</v>
      </c>
      <c r="L343" s="2758">
        <f ca="1">Transfer!G193</f>
        <v>612.20191232993625</v>
      </c>
      <c r="M343" s="2760">
        <f ca="1">100*((Transfer!G193/Transfer!F193)-1)</f>
        <v>3.5704570070025143</v>
      </c>
      <c r="N343" s="2459"/>
      <c r="O343" s="54"/>
      <c r="P343" s="54"/>
      <c r="Q343" s="54"/>
      <c r="R343" s="54"/>
      <c r="S343" s="190"/>
      <c r="T343" s="101" t="s">
        <v>767</v>
      </c>
      <c r="U343" s="49"/>
      <c r="V343" s="254" t="s">
        <v>1762</v>
      </c>
      <c r="W343" s="245">
        <f t="shared" ca="1" si="23"/>
        <v>-0.20000000000004547</v>
      </c>
      <c r="X343" s="245">
        <f t="shared" ca="1" si="23"/>
        <v>-5.0999999999999996</v>
      </c>
      <c r="Y343" s="245">
        <f t="shared" ca="1" si="23"/>
        <v>8.7000000000000455</v>
      </c>
      <c r="Z343" s="245">
        <f t="shared" ca="1" si="23"/>
        <v>1.5999999999999996</v>
      </c>
      <c r="AA343" s="245">
        <f t="shared" ca="1" si="23"/>
        <v>5.1000000000000227</v>
      </c>
      <c r="AB343" s="245">
        <f t="shared" ca="1" si="23"/>
        <v>-0.70000000000000018</v>
      </c>
      <c r="AC343" s="245">
        <f t="shared" ca="1" si="23"/>
        <v>5.6000000000000227</v>
      </c>
      <c r="AD343" s="320">
        <f t="shared" ca="1" si="23"/>
        <v>0.10000000000000009</v>
      </c>
      <c r="AE343" s="361"/>
      <c r="AF343" s="45"/>
      <c r="AG343" s="45"/>
      <c r="AH343" s="45"/>
      <c r="AI343" s="45"/>
      <c r="AJ343" s="190"/>
      <c r="AK343" s="101" t="s">
        <v>767</v>
      </c>
      <c r="AL343" s="49"/>
      <c r="AM343" s="254" t="s">
        <v>1762</v>
      </c>
      <c r="AN343" s="91">
        <f>Transfer!AD193</f>
        <v>551.2360000000001</v>
      </c>
      <c r="AO343" s="242">
        <f>100*((Transfer!AD193/Transfer!AC193)-1)</f>
        <v>6.2570357919410569</v>
      </c>
      <c r="AP343" s="242">
        <f>Transfer!AE193</f>
        <v>563.41200000000003</v>
      </c>
      <c r="AQ343" s="92">
        <f>100*((Transfer!AE193/Transfer!AD193)-1)</f>
        <v>2.2088542838275993</v>
      </c>
      <c r="AR343" s="91">
        <f>Transfer!AF193</f>
        <v>585.95499780194552</v>
      </c>
      <c r="AS343" s="242">
        <f>100*((Transfer!AF193/Transfer!AE193)-1)</f>
        <v>4.0011568447149592</v>
      </c>
      <c r="AT343" s="242">
        <f>Transfer!AG193</f>
        <v>606.64134112541649</v>
      </c>
      <c r="AU343" s="243">
        <f>100*((Transfer!AG193/Transfer!AF193)-1)</f>
        <v>3.530363833582828</v>
      </c>
      <c r="AV343" s="361"/>
      <c r="AW343" s="54"/>
      <c r="AX343" s="54"/>
      <c r="AY343" s="54"/>
      <c r="AZ343" s="54"/>
      <c r="BA343" s="1753" t="s">
        <v>852</v>
      </c>
      <c r="BB343" s="1754"/>
      <c r="BC343" s="54"/>
    </row>
    <row r="344" spans="1:55">
      <c r="A344" s="45"/>
      <c r="B344" s="1720"/>
      <c r="C344" s="2448" t="s">
        <v>1763</v>
      </c>
      <c r="D344" s="2449"/>
      <c r="E344" s="2761" t="s">
        <v>1764</v>
      </c>
      <c r="F344" s="2762">
        <f ca="1">SUM(Transfer!D187,Transfer!D189,Transfer!D190,Transfer!D191)-(SUM(Transfer!D192,Transfer!D193))</f>
        <v>2317.3410000000003</v>
      </c>
      <c r="G344" s="2763">
        <f ca="1">100*(((SUM(Transfer!D187,Transfer!D189,Transfer!D190,Transfer!D191)-(SUM(Transfer!D192,Transfer!D193)))/(SUM(Transfer!C187,Transfer!C189,Transfer!C190,Transfer!C191)-(SUM(Transfer!C192,Transfer!C193))))-1)</f>
        <v>3.6839755096635507</v>
      </c>
      <c r="H344" s="2763">
        <f ca="1">SUM(Transfer!E187,Transfer!E189,Transfer!E190,Transfer!E191)-(SUM(Transfer!E192,Transfer!E193))</f>
        <v>2425.9626104514837</v>
      </c>
      <c r="I344" s="2764">
        <f ca="1">100*(((SUM(Transfer!E187,Transfer!E189,Transfer!E190,Transfer!E191)-(SUM(Transfer!E192,Transfer!E193)))/(SUM(Transfer!D187,Transfer!D189,Transfer!D190,Transfer!D191)-(SUM(Transfer!D192,Transfer!D193))))-1)</f>
        <v>4.6873382230532057</v>
      </c>
      <c r="J344" s="2762">
        <f ca="1">SUM(Transfer!F187,Transfer!F189,Transfer!F190,Transfer!F191)-(SUM(Transfer!F192,Transfer!F193))</f>
        <v>2503.6574994887283</v>
      </c>
      <c r="K344" s="2763">
        <f ca="1">100*(((SUM(Transfer!F187,Transfer!F189,Transfer!F190,Transfer!F191)-(SUM(Transfer!F192,Transfer!F193)))/(SUM(Transfer!E187,Transfer!E189,Transfer!E190,Transfer!E191)-(SUM(Transfer!E192,Transfer!E193))))-1)</f>
        <v>3.2026416525350099</v>
      </c>
      <c r="L344" s="2763">
        <f ca="1">SUM(Transfer!G187,Transfer!G189,Transfer!G190,Transfer!G191)-(SUM(Transfer!G192,Transfer!G193))</f>
        <v>2584.4160772485893</v>
      </c>
      <c r="M344" s="2765">
        <f ca="1">100*(((SUM(Transfer!G187,Transfer!G189,Transfer!G190,Transfer!G191)-(SUM(Transfer!G192,Transfer!G193)))/(SUM(Transfer!F187,Transfer!F189,Transfer!F190,Transfer!F191)-(SUM(Transfer!F192,Transfer!F193))))-1)</f>
        <v>3.2256240231083089</v>
      </c>
      <c r="N344" s="2459"/>
      <c r="O344" s="54"/>
      <c r="P344" s="54"/>
      <c r="Q344" s="54"/>
      <c r="R344" s="54"/>
      <c r="S344" s="190"/>
      <c r="T344" s="427" t="s">
        <v>1763</v>
      </c>
      <c r="U344" s="95"/>
      <c r="V344" s="384" t="s">
        <v>1764</v>
      </c>
      <c r="W344" s="428">
        <f t="shared" ca="1" si="23"/>
        <v>89.100000000000364</v>
      </c>
      <c r="X344" s="428">
        <f t="shared" ca="1" si="23"/>
        <v>-0.70000000000000018</v>
      </c>
      <c r="Y344" s="428">
        <f t="shared" ca="1" si="23"/>
        <v>111.40000000000009</v>
      </c>
      <c r="Z344" s="428">
        <f t="shared" ca="1" si="23"/>
        <v>0.80000000000000027</v>
      </c>
      <c r="AA344" s="428">
        <f t="shared" ca="1" si="23"/>
        <v>82.199999999999818</v>
      </c>
      <c r="AB344" s="428">
        <f t="shared" ca="1" si="23"/>
        <v>-1.3999999999999995</v>
      </c>
      <c r="AC344" s="428">
        <f t="shared" ca="1" si="23"/>
        <v>80.800000000000182</v>
      </c>
      <c r="AD344" s="467">
        <f t="shared" ca="1" si="23"/>
        <v>-0.19999999999999973</v>
      </c>
      <c r="AE344" s="103"/>
      <c r="AF344" s="45"/>
      <c r="AG344" s="45"/>
      <c r="AH344" s="45"/>
      <c r="AI344" s="45"/>
      <c r="AJ344" s="190"/>
      <c r="AK344" s="427" t="s">
        <v>1763</v>
      </c>
      <c r="AL344" s="95"/>
      <c r="AM344" s="384" t="s">
        <v>1764</v>
      </c>
      <c r="AN344" s="96">
        <f>SUM(Transfer!AD187,Transfer!AD189,Transfer!AD190,Transfer!AD191)-(SUM(Transfer!AD192,Transfer!AD193))</f>
        <v>2228.2009999999991</v>
      </c>
      <c r="AO344" s="2072">
        <f>100*(((SUM(Transfer!AD187,Transfer!AD189,Transfer!AD190,Transfer!AD191)-(SUM(Transfer!AD192,Transfer!AD193)))/(SUM(Transfer!AC187,Transfer!AC189,Transfer!AC190,Transfer!AC191)-(SUM(Transfer!AC192,Transfer!AC193))))-1)</f>
        <v>4.3831339942106862</v>
      </c>
      <c r="AP344" s="2072">
        <f>SUM(Transfer!AE187,Transfer!AE189,Transfer!AE190,Transfer!AE191)-(SUM(Transfer!AE192,Transfer!AE193))</f>
        <v>2314.5719999999997</v>
      </c>
      <c r="AQ344" s="97">
        <f>100*(((SUM(Transfer!AE187,Transfer!AE189,Transfer!AE190,Transfer!AE191)-(SUM(Transfer!AE192,Transfer!AE193)))/(SUM(Transfer!AD187,Transfer!AD189,Transfer!AD190,Transfer!AD191)-(SUM(Transfer!AD192,Transfer!AD193))))-1)</f>
        <v>3.876266099871617</v>
      </c>
      <c r="AR344" s="96">
        <f>SUM(Transfer!AF187,Transfer!AF189,Transfer!AF190,Transfer!AF191)-(SUM(Transfer!AF192,Transfer!AF193))</f>
        <v>2421.4816198605022</v>
      </c>
      <c r="AS344" s="2072">
        <f>100*(((SUM(Transfer!AF187,Transfer!AF189,Transfer!AF190,Transfer!AF191)-(SUM(Transfer!AF192,Transfer!AF193)))/(SUM(Transfer!AE187,Transfer!AE189,Transfer!AE190,Transfer!AE191)-(SUM(Transfer!AE192,Transfer!AE193))))-1)</f>
        <v>4.6189800905092726</v>
      </c>
      <c r="AT344" s="2072">
        <f>SUM(Transfer!AG187,Transfer!AG189,Transfer!AG190,Transfer!AG191)-(SUM(Transfer!AG192,Transfer!AG193))</f>
        <v>2503.6133015674905</v>
      </c>
      <c r="AU344" s="2116">
        <f>100*(((SUM(Transfer!AG187,Transfer!AG189,Transfer!AG190,Transfer!AG191)-(SUM(Transfer!AG192,Transfer!AG193)))/(SUM(Transfer!AF187,Transfer!AF189,Transfer!AF190,Transfer!AF191)-(SUM(Transfer!AF192,Transfer!AF193))))-1)</f>
        <v>3.3917945539359451</v>
      </c>
      <c r="AV344" s="103"/>
      <c r="AW344" s="54"/>
      <c r="AX344" s="54"/>
      <c r="AY344" s="54"/>
      <c r="AZ344" s="54"/>
      <c r="BA344" s="1753" t="s">
        <v>1948</v>
      </c>
      <c r="BB344" s="1754"/>
      <c r="BC344" s="54"/>
    </row>
    <row r="345" spans="1:55">
      <c r="A345" s="45"/>
      <c r="B345" s="1720"/>
      <c r="C345" s="1721" t="s">
        <v>933</v>
      </c>
      <c r="D345" s="2420"/>
      <c r="E345" s="2589" t="s">
        <v>934</v>
      </c>
      <c r="F345" s="2521">
        <f ca="1">Transfer!D194</f>
        <v>159.636</v>
      </c>
      <c r="G345" s="2758">
        <f ca="1">100*((Transfer!D194/Transfer!C194)-1)</f>
        <v>-7.2859374727757498</v>
      </c>
      <c r="H345" s="2758">
        <f ca="1">Transfer!E194</f>
        <v>163.22351999999998</v>
      </c>
      <c r="I345" s="2759">
        <f ca="1">100*((Transfer!E194/Transfer!D194)-1)</f>
        <v>2.2473126362474449</v>
      </c>
      <c r="J345" s="2521">
        <f ca="1">Transfer!F194</f>
        <v>166.95837599999999</v>
      </c>
      <c r="K345" s="2758">
        <f ca="1">100*((Transfer!F194/Transfer!E194)-1)</f>
        <v>2.2881849380530506</v>
      </c>
      <c r="L345" s="2758">
        <f ca="1">Transfer!G194</f>
        <v>170.79615225599997</v>
      </c>
      <c r="M345" s="2760">
        <f ca="1">100*((Transfer!G194/Transfer!F194)-1)</f>
        <v>2.2986425407012678</v>
      </c>
      <c r="N345" s="2437"/>
      <c r="O345" s="54"/>
      <c r="P345" s="54"/>
      <c r="Q345" s="54"/>
      <c r="R345" s="54"/>
      <c r="S345" s="190"/>
      <c r="T345" s="101" t="s">
        <v>933</v>
      </c>
      <c r="U345" s="49"/>
      <c r="V345" s="254" t="s">
        <v>934</v>
      </c>
      <c r="W345" s="245">
        <f t="shared" ca="1" si="23"/>
        <v>-17</v>
      </c>
      <c r="X345" s="245">
        <f t="shared" ca="1" si="23"/>
        <v>-19.8</v>
      </c>
      <c r="Y345" s="245">
        <f t="shared" ca="1" si="23"/>
        <v>-4.3000000000000114</v>
      </c>
      <c r="Z345" s="245">
        <f t="shared" ca="1" si="23"/>
        <v>7.3</v>
      </c>
      <c r="AA345" s="245">
        <f t="shared" ca="1" si="23"/>
        <v>-4.1999999999999886</v>
      </c>
      <c r="AB345" s="245">
        <f t="shared" ca="1" si="23"/>
        <v>9.9999999999999645E-2</v>
      </c>
      <c r="AC345" s="245">
        <f t="shared" ca="1" si="23"/>
        <v>-4.2999999999999829</v>
      </c>
      <c r="AD345" s="320">
        <f t="shared" ca="1" si="23"/>
        <v>0</v>
      </c>
      <c r="AE345" s="364"/>
      <c r="AF345" s="45"/>
      <c r="AG345" s="45"/>
      <c r="AH345" s="45"/>
      <c r="AI345" s="45"/>
      <c r="AJ345" s="190"/>
      <c r="AK345" s="101" t="s">
        <v>933</v>
      </c>
      <c r="AL345" s="49"/>
      <c r="AM345" s="254" t="s">
        <v>934</v>
      </c>
      <c r="AN345" s="91">
        <f>Transfer!AD194</f>
        <v>176.57599999999999</v>
      </c>
      <c r="AO345" s="242">
        <f>100*((Transfer!AD194/Transfer!AC194)-1)</f>
        <v>12.477386806634904</v>
      </c>
      <c r="AP345" s="242">
        <f>Transfer!AE194</f>
        <v>167.48500000000001</v>
      </c>
      <c r="AQ345" s="92">
        <f>100*((Transfer!AE194/Transfer!AD194)-1)</f>
        <v>-5.1484913011960787</v>
      </c>
      <c r="AR345" s="91">
        <f>Transfer!AF194</f>
        <v>171.22410000000002</v>
      </c>
      <c r="AS345" s="242">
        <f>100*((Transfer!AF194/Transfer!AE194)-1)</f>
        <v>2.2324984326954622</v>
      </c>
      <c r="AT345" s="242">
        <f>Transfer!AG194</f>
        <v>175.11324360000003</v>
      </c>
      <c r="AU345" s="243">
        <f>100*((Transfer!AG194/Transfer!AF194)-1)</f>
        <v>2.2713762840628204</v>
      </c>
      <c r="AV345" s="364"/>
      <c r="AW345" s="54"/>
      <c r="AX345" s="54"/>
      <c r="AY345" s="54"/>
      <c r="AZ345" s="54"/>
      <c r="BA345" s="1753" t="s">
        <v>1949</v>
      </c>
      <c r="BB345" s="1754"/>
      <c r="BC345" s="54"/>
    </row>
    <row r="346" spans="1:55">
      <c r="A346" s="45"/>
      <c r="B346" s="1720"/>
      <c r="C346" s="1721" t="s">
        <v>935</v>
      </c>
      <c r="D346" s="2420"/>
      <c r="E346" s="2589" t="s">
        <v>936</v>
      </c>
      <c r="F346" s="2521">
        <f ca="1">SUM(Transfer!D187,Transfer!D189,Transfer!D190,Transfer!D191,Transfer!D194)-(SUM(Transfer!D192,Transfer!D193))</f>
        <v>2476.9770000000003</v>
      </c>
      <c r="G346" s="2758">
        <f ca="1">100*(((SUM(Transfer!D187,Transfer!D189,Transfer!D190,Transfer!D191,Transfer!D194)-(SUM(Transfer!D192,Transfer!D193)))/(SUM(Transfer!C187,Transfer!C189,Transfer!C190,Transfer!C191,Transfer!C194)-(SUM(Transfer!C192,Transfer!C193))))-1)</f>
        <v>2.8993201602702356</v>
      </c>
      <c r="H346" s="2758">
        <f ca="1">SUM(Transfer!E187,Transfer!E189,Transfer!E190,Transfer!E191,Transfer!E194)-(SUM(Transfer!E192,Transfer!E193))</f>
        <v>2589.1861304514837</v>
      </c>
      <c r="I346" s="2759">
        <f ca="1">100*(((SUM(Transfer!E187,Transfer!E189,Transfer!E190,Transfer!E191,Transfer!E194)-(SUM(Transfer!E192,Transfer!E193)))/(SUM(Transfer!D187,Transfer!D189,Transfer!D190,Transfer!D191,Transfer!D194)-(SUM(Transfer!D192,Transfer!D193))))-1)</f>
        <v>4.5300836645428388</v>
      </c>
      <c r="J346" s="2521">
        <f ca="1">SUM(Transfer!F187,Transfer!F189,Transfer!F190,Transfer!F191,Transfer!F194)-(SUM(Transfer!F192,Transfer!F193))</f>
        <v>2670.6158754887283</v>
      </c>
      <c r="K346" s="2758">
        <f ca="1">100*(((SUM(Transfer!F187,Transfer!F189,Transfer!F190,Transfer!F191,Transfer!F194)-(SUM(Transfer!F192,Transfer!F193)))/(SUM(Transfer!E187,Transfer!E189,Transfer!E190,Transfer!E191,Transfer!E194)-(SUM(Transfer!E192,Transfer!E193))))-1)</f>
        <v>3.1449938681328282</v>
      </c>
      <c r="L346" s="2758">
        <f ca="1">SUM(Transfer!G187,Transfer!G189,Transfer!G190,Transfer!G191,Transfer!G194)-(SUM(Transfer!G192,Transfer!G193))</f>
        <v>2755.2122295045901</v>
      </c>
      <c r="M346" s="2760">
        <f ca="1">100*(((SUM(Transfer!G187,Transfer!G189,Transfer!G190,Transfer!G191,Transfer!G194)-(SUM(Transfer!G192,Transfer!G193)))/(SUM(Transfer!F187,Transfer!F189,Transfer!F190,Transfer!F191,Transfer!F194)-(SUM(Transfer!F192,Transfer!F193))))-1)</f>
        <v>3.1676721011171471</v>
      </c>
      <c r="N346" s="2459"/>
      <c r="O346" s="54"/>
      <c r="P346" s="54"/>
      <c r="Q346" s="54"/>
      <c r="R346" s="54"/>
      <c r="S346" s="190"/>
      <c r="T346" s="101" t="s">
        <v>935</v>
      </c>
      <c r="U346" s="49"/>
      <c r="V346" s="254" t="s">
        <v>936</v>
      </c>
      <c r="W346" s="245">
        <f t="shared" ca="1" si="23"/>
        <v>72.199999999999818</v>
      </c>
      <c r="X346" s="245">
        <f t="shared" ca="1" si="23"/>
        <v>-2.0000000000000004</v>
      </c>
      <c r="Y346" s="245">
        <f t="shared" ca="1" si="23"/>
        <v>107.09999999999991</v>
      </c>
      <c r="Z346" s="245">
        <f t="shared" ca="1" si="23"/>
        <v>1.2999999999999998</v>
      </c>
      <c r="AA346" s="245">
        <f t="shared" ca="1" si="23"/>
        <v>77.900000000000091</v>
      </c>
      <c r="AB346" s="245">
        <f t="shared" ca="1" si="23"/>
        <v>-1.4</v>
      </c>
      <c r="AC346" s="245">
        <f t="shared" ca="1" si="23"/>
        <v>76.5</v>
      </c>
      <c r="AD346" s="320">
        <f t="shared" ca="1" si="23"/>
        <v>-9.9999999999999645E-2</v>
      </c>
      <c r="AE346" s="103"/>
      <c r="AF346" s="45"/>
      <c r="AG346" s="45"/>
      <c r="AH346" s="45"/>
      <c r="AI346" s="45"/>
      <c r="AJ346" s="190"/>
      <c r="AK346" s="101" t="s">
        <v>935</v>
      </c>
      <c r="AL346" s="49"/>
      <c r="AM346" s="254" t="s">
        <v>936</v>
      </c>
      <c r="AN346" s="91">
        <f>SUM(Transfer!AD187,Transfer!AD189,Transfer!AD190,Transfer!AD191,Transfer!AD194)-(SUM(Transfer!AD192,Transfer!AD193))</f>
        <v>2404.7769999999991</v>
      </c>
      <c r="AO346" s="242">
        <f>100*(((SUM(Transfer!AD187,Transfer!AD189,Transfer!AD190,Transfer!AD191,Transfer!AD194)-(SUM(Transfer!AD192,Transfer!AD193)))/(SUM(Transfer!AC187,Transfer!AC189,Transfer!AC190,Transfer!AC191,Transfer!AC194)-(SUM(Transfer!AC192,Transfer!AC193))))-1)</f>
        <v>4.9376315933016501</v>
      </c>
      <c r="AP346" s="242">
        <f>SUM(Transfer!AE187,Transfer!AE189,Transfer!AE190,Transfer!AE191,Transfer!AE194)-(SUM(Transfer!AE192,Transfer!AE193))</f>
        <v>2482.0569999999998</v>
      </c>
      <c r="AQ346" s="92">
        <f>100*(((SUM(Transfer!AE187,Transfer!AE189,Transfer!AE190,Transfer!AE191,Transfer!AE194)-(SUM(Transfer!AE192,Transfer!AE193)))/(SUM(Transfer!AD187,Transfer!AD189,Transfer!AD190,Transfer!AD191,Transfer!AD194)-(SUM(Transfer!AD192,Transfer!AD193))))-1)</f>
        <v>3.2136035898547188</v>
      </c>
      <c r="AR346" s="91">
        <f>SUM(Transfer!AF187,Transfer!AF189,Transfer!AF190,Transfer!AF191,Transfer!AF194)-(SUM(Transfer!AF192,Transfer!AF193))</f>
        <v>2592.7057198605021</v>
      </c>
      <c r="AS346" s="242">
        <f>100*(((SUM(Transfer!AF187,Transfer!AF189,Transfer!AF190,Transfer!AF191,Transfer!AF194)-(SUM(Transfer!AF192,Transfer!AF193)))/(SUM(Transfer!AE187,Transfer!AE189,Transfer!AE190,Transfer!AE191,Transfer!AE194)-(SUM(Transfer!AE192,Transfer!AE193))))-1)</f>
        <v>4.4579443526277629</v>
      </c>
      <c r="AT346" s="242">
        <f>SUM(Transfer!AG187,Transfer!AG189,Transfer!AG190,Transfer!AG191,Transfer!AG194)-(SUM(Transfer!AG192,Transfer!AG193))</f>
        <v>2678.7265451674907</v>
      </c>
      <c r="AU346" s="243">
        <f>100*(((SUM(Transfer!AG187,Transfer!AG189,Transfer!AG190,Transfer!AG191,Transfer!AG194)-(SUM(Transfer!AG192,Transfer!AG193)))/(SUM(Transfer!AF187,Transfer!AF189,Transfer!AF190,Transfer!AF191,Transfer!AF194)-(SUM(Transfer!AF192,Transfer!AF193))))-1)</f>
        <v>3.3178013473745382</v>
      </c>
      <c r="AV346" s="103"/>
      <c r="AW346" s="54"/>
      <c r="AX346" s="54"/>
      <c r="AY346" s="54"/>
      <c r="AZ346" s="54"/>
      <c r="BA346" s="1753" t="s">
        <v>1950</v>
      </c>
      <c r="BB346" s="1754"/>
      <c r="BC346" s="54"/>
    </row>
    <row r="347" spans="1:55" ht="13.15">
      <c r="A347" s="45"/>
      <c r="B347" s="1720"/>
      <c r="C347" s="3016" t="s">
        <v>1956</v>
      </c>
      <c r="D347" s="3017"/>
      <c r="E347" s="3018"/>
      <c r="F347" s="3019">
        <f ca="1">(SUM(Transfer!D187,Transfer!D189,Transfer!D190,Transfer!D191,Transfer!D194)-(SUM(Transfer!D192,Transfer!D193)))/(Transfer!D136/Transfer!D284)</f>
        <v>2434.7872751920322</v>
      </c>
      <c r="G347" s="3020">
        <f ca="1">100*((((SUM(Transfer!D187,Transfer!D189,Transfer!D190,Transfer!D191,Transfer!D194)-(SUM(Transfer!D192,Transfer!D193)))/(Transfer!D136/Transfer!D284))/((SUM(Transfer!C187,Transfer!C189,Transfer!C190,Transfer!C191,Transfer!C194)-(SUM(Transfer!C192,Transfer!C193)))/(Transfer!C136/Transfer!C284)))-1)</f>
        <v>1.1466619803643052</v>
      </c>
      <c r="H347" s="3019">
        <f ca="1">(SUM(Transfer!E187,Transfer!E189,Transfer!E190,Transfer!E191,Transfer!E194)-(SUM(Transfer!E192,Transfer!E193)))/(Transfer!E136/Transfer!E284)</f>
        <v>2502.5419624502206</v>
      </c>
      <c r="I347" s="3020">
        <f ca="1">100*((((SUM(Transfer!E187,Transfer!E189,Transfer!E190,Transfer!E191,Transfer!E194)-(SUM(Transfer!E192,Transfer!E193)))/(Transfer!E136/Transfer!E284))/((SUM(Transfer!D187,Transfer!D189,Transfer!D190,Transfer!D191,Transfer!D194)-(SUM(Transfer!D192,Transfer!D193)))/(Transfer!D136/Transfer!D284)))-1)</f>
        <v>2.7827764646439102</v>
      </c>
      <c r="J347" s="3019">
        <f ca="1">(SUM(Transfer!F187,Transfer!F189,Transfer!F190,Transfer!F191,Transfer!F194)-(SUM(Transfer!F192,Transfer!F193)))/(Transfer!F136/Transfer!F284)</f>
        <v>2538.0990695346418</v>
      </c>
      <c r="K347" s="3020">
        <f ca="1">100*((((SUM(Transfer!F187,Transfer!F189,Transfer!F190,Transfer!F191,Transfer!F194)-(SUM(Transfer!F192,Transfer!F193)))/(Transfer!F136/Transfer!F284))/((SUM(Transfer!E187,Transfer!E189,Transfer!E190,Transfer!E191,Transfer!E194)-(SUM(Transfer!E192,Transfer!E193)))/(Transfer!E136/Transfer!E284)))-1)</f>
        <v>1.420839595017509</v>
      </c>
      <c r="L347" s="3021">
        <f ca="1">(SUM(Transfer!G187,Transfer!G189,Transfer!G190,Transfer!G191,Transfer!G194)-(SUM(Transfer!G192,Transfer!G193)))/(Transfer!G136/Transfer!G284)</f>
        <v>2572.1981588005933</v>
      </c>
      <c r="M347" s="3022">
        <f ca="1">100*((((SUM(Transfer!G187,Transfer!G189,Transfer!G190,Transfer!G191,Transfer!G194)-(SUM(Transfer!G192,Transfer!G193)))/(Transfer!G136/Transfer!G284))/((SUM(Transfer!F187,Transfer!F189,Transfer!F190,Transfer!F191,Transfer!F194)-(SUM(Transfer!F192,Transfer!F193)))/(Transfer!F136/Transfer!F284)))-1)</f>
        <v>1.343489293828215</v>
      </c>
      <c r="N347" s="2459"/>
      <c r="O347" s="54"/>
      <c r="P347" s="54"/>
      <c r="Q347" s="54"/>
      <c r="R347" s="54"/>
      <c r="S347" s="190"/>
      <c r="T347" s="432" t="s">
        <v>1956</v>
      </c>
      <c r="U347" s="1758"/>
      <c r="V347" s="433"/>
      <c r="W347" s="443">
        <f t="shared" ca="1" si="23"/>
        <v>54.300000000000182</v>
      </c>
      <c r="X347" s="443">
        <f t="shared" ca="1" si="23"/>
        <v>-2.8</v>
      </c>
      <c r="Y347" s="443">
        <f t="shared" ca="1" si="23"/>
        <v>86.400000000000091</v>
      </c>
      <c r="Z347" s="443">
        <f t="shared" ca="1" si="23"/>
        <v>1.2999999999999998</v>
      </c>
      <c r="AA347" s="443">
        <f t="shared" ca="1" si="23"/>
        <v>61.299999999999727</v>
      </c>
      <c r="AB347" s="443">
        <f t="shared" ca="1" si="23"/>
        <v>-1.1000000000000001</v>
      </c>
      <c r="AC347" s="443">
        <f t="shared" ca="1" si="23"/>
        <v>65.899999999999636</v>
      </c>
      <c r="AD347" s="444">
        <f t="shared" ca="1" si="23"/>
        <v>0.10000000000000009</v>
      </c>
      <c r="AE347" s="103"/>
      <c r="AF347" s="45"/>
      <c r="AG347" s="45"/>
      <c r="AH347" s="45"/>
      <c r="AI347" s="45"/>
      <c r="AJ347" s="190"/>
      <c r="AK347" s="3016" t="s">
        <v>1956</v>
      </c>
      <c r="AL347" s="3017"/>
      <c r="AM347" s="3018"/>
      <c r="AN347" s="3019">
        <f>(SUM(Transfer!AD187,Transfer!AD189,Transfer!AD190,Transfer!AD191,Transfer!AD194)-(SUM(Transfer!AD192,Transfer!AD193)))/(Transfer!AD136/Transfer!AD284)</f>
        <v>2380.4880192413843</v>
      </c>
      <c r="AO347" s="3020">
        <f>100*((((SUM(Transfer!AD187,Transfer!AD189,Transfer!AD190,Transfer!AD191,Transfer!AD194)-(SUM(Transfer!AD192,Transfer!AD193)))/(Transfer!AD136/Transfer!AD284))/((SUM(Transfer!AC187,Transfer!AC189,Transfer!AC190,Transfer!AC191,Transfer!AC194)-(SUM(Transfer!AC192,Transfer!AC193)))/(Transfer!AC136/Transfer!AC284)))-1)</f>
        <v>3.8777295256154254</v>
      </c>
      <c r="AP347" s="3019">
        <f>(SUM(Transfer!AE187,Transfer!AE189,Transfer!AE190,Transfer!AE191,Transfer!AE194)-(SUM(Transfer!AE192,Transfer!AE193)))/(Transfer!AE136/Transfer!AE284)</f>
        <v>2416.1421193924698</v>
      </c>
      <c r="AQ347" s="3020">
        <f>100*((((SUM(Transfer!AE187,Transfer!AE189,Transfer!AE190,Transfer!AE191,Transfer!AE194)-(SUM(Transfer!AE192,Transfer!AE193)))/(Transfer!AE136/Transfer!AE284))/((SUM(Transfer!AD187,Transfer!AD189,Transfer!AD190,Transfer!AD191,Transfer!AD194)-(SUM(Transfer!AD192,Transfer!AD193)))/(Transfer!AD136/Transfer!AD284)))-1)</f>
        <v>1.4977643181941946</v>
      </c>
      <c r="AR347" s="3019">
        <f>(SUM(Transfer!AF187,Transfer!AF189,Transfer!AF190,Transfer!AF191,Transfer!AF194)-(SUM(Transfer!AF192,Transfer!AF193)))/(Transfer!AF136/Transfer!AF284)</f>
        <v>2476.7933175224607</v>
      </c>
      <c r="AS347" s="3020">
        <f>100*((((SUM(Transfer!AF187,Transfer!AF189,Transfer!AF190,Transfer!AF191,Transfer!AF194)-(SUM(Transfer!AF192,Transfer!AF193)))/(Transfer!AF136/Transfer!AF284))/((SUM(Transfer!AE187,Transfer!AE189,Transfer!AE190,Transfer!AE191,Transfer!AE194)-(SUM(Transfer!AE192,Transfer!AE193)))/(Transfer!AE136/Transfer!AE284)))-1)</f>
        <v>2.5102496100370741</v>
      </c>
      <c r="AT347" s="3021">
        <f>(SUM(Transfer!AG187,Transfer!AG189,Transfer!AG190,Transfer!AG191,Transfer!AG194)-(SUM(Transfer!AG192,Transfer!AG193)))/(Transfer!AG136/Transfer!AG284)</f>
        <v>2506.3353570841364</v>
      </c>
      <c r="AU347" s="3022">
        <f>100*((((SUM(Transfer!AG187,Transfer!AG189,Transfer!AG190,Transfer!AG191,Transfer!AG194)-(SUM(Transfer!AG192,Transfer!AG193)))/(Transfer!AG136/Transfer!AG284))/((SUM(Transfer!AF187,Transfer!AF189,Transfer!AF190,Transfer!AF191,Transfer!AF194)-(SUM(Transfer!AF192,Transfer!AF193)))/(Transfer!AF136/Transfer!AF284)))-1)</f>
        <v>1.1927535233834829</v>
      </c>
      <c r="AV347" s="103"/>
      <c r="AW347" s="54"/>
      <c r="AX347" s="54"/>
      <c r="AY347" s="54"/>
      <c r="AZ347" s="54"/>
      <c r="BA347" s="1753" t="s">
        <v>1951</v>
      </c>
      <c r="BB347" s="1754"/>
      <c r="BC347" s="54"/>
    </row>
    <row r="348" spans="1:55">
      <c r="A348" s="45"/>
      <c r="B348" s="1720"/>
      <c r="C348" s="1721" t="s">
        <v>1957</v>
      </c>
      <c r="D348" s="2420"/>
      <c r="E348" s="2589" t="s">
        <v>1797</v>
      </c>
      <c r="F348" s="2521">
        <f ca="1">Transfer!D195</f>
        <v>2040.8019999999999</v>
      </c>
      <c r="G348" s="2758">
        <f ca="1">100*((Transfer!D195/Transfer!C195)-1)</f>
        <v>3.9840824208579484</v>
      </c>
      <c r="H348" s="2758">
        <f ca="1">Transfer!E195</f>
        <v>2125.3075292159997</v>
      </c>
      <c r="I348" s="2759">
        <f ca="1">100*((Transfer!E195/Transfer!D195)-1)</f>
        <v>4.1407999999999889</v>
      </c>
      <c r="J348" s="2521">
        <f ca="1">Transfer!F195</f>
        <v>2211.7992569557268</v>
      </c>
      <c r="K348" s="2758">
        <f ca="1">100*((Transfer!F195/Transfer!E195)-1)</f>
        <v>4.0696099999999902</v>
      </c>
      <c r="L348" s="2758">
        <f ca="1">Transfer!G195</f>
        <v>2298.8954880961292</v>
      </c>
      <c r="M348" s="2760">
        <f ca="1">100*((Transfer!G195/Transfer!F195)-1)</f>
        <v>3.9377999999999913</v>
      </c>
      <c r="N348" s="2459"/>
      <c r="O348" s="54"/>
      <c r="P348" s="54"/>
      <c r="Q348" s="54"/>
      <c r="R348" s="54"/>
      <c r="S348" s="190"/>
      <c r="T348" s="101" t="s">
        <v>1957</v>
      </c>
      <c r="U348" s="49"/>
      <c r="V348" s="254" t="s">
        <v>1797</v>
      </c>
      <c r="W348" s="245">
        <f t="shared" ca="1" si="23"/>
        <v>91</v>
      </c>
      <c r="X348" s="245">
        <f t="shared" ca="1" si="23"/>
        <v>0.79999999999999982</v>
      </c>
      <c r="Y348" s="245">
        <f t="shared" ca="1" si="23"/>
        <v>95.300000000000182</v>
      </c>
      <c r="Z348" s="245">
        <f t="shared" ca="1" si="23"/>
        <v>0</v>
      </c>
      <c r="AA348" s="245">
        <f t="shared" ca="1" si="23"/>
        <v>96.5</v>
      </c>
      <c r="AB348" s="245">
        <f t="shared" ca="1" si="23"/>
        <v>-0.10000000000000053</v>
      </c>
      <c r="AC348" s="245">
        <f t="shared" ca="1" si="23"/>
        <v>91</v>
      </c>
      <c r="AD348" s="320">
        <f t="shared" ca="1" si="23"/>
        <v>-0.50000000000000044</v>
      </c>
      <c r="AE348" s="103"/>
      <c r="AF348" s="45"/>
      <c r="AG348" s="45"/>
      <c r="AH348" s="45"/>
      <c r="AI348" s="45"/>
      <c r="AJ348" s="190"/>
      <c r="AK348" s="101" t="s">
        <v>1957</v>
      </c>
      <c r="AL348" s="49"/>
      <c r="AM348" s="254" t="s">
        <v>1797</v>
      </c>
      <c r="AN348" s="91">
        <f>Transfer!AD195</f>
        <v>1949.7529999999999</v>
      </c>
      <c r="AO348" s="242">
        <f>100*((Transfer!AD195/Transfer!AC195)-1)</f>
        <v>3.2106277006893613</v>
      </c>
      <c r="AP348" s="242">
        <f>Transfer!AE195</f>
        <v>2029.9870000000001</v>
      </c>
      <c r="AQ348" s="92">
        <f>100*((Transfer!AE195/Transfer!AD195)-1)</f>
        <v>4.1150853467080362</v>
      </c>
      <c r="AR348" s="91">
        <f>Transfer!AF195</f>
        <v>2115.3061356178</v>
      </c>
      <c r="AS348" s="242">
        <f>100*((Transfer!AF195/Transfer!AE195)-1)</f>
        <v>4.2029399999999884</v>
      </c>
      <c r="AT348" s="242">
        <f>Transfer!AG195</f>
        <v>2207.8894891533605</v>
      </c>
      <c r="AU348" s="243">
        <f>100*((Transfer!AG195/Transfer!AF195)-1)</f>
        <v>4.3768299999999982</v>
      </c>
      <c r="AV348" s="103"/>
      <c r="AW348" s="54"/>
      <c r="AX348" s="54"/>
      <c r="AY348" s="54"/>
      <c r="AZ348" s="54"/>
      <c r="BA348" s="1753" t="s">
        <v>1952</v>
      </c>
      <c r="BB348" s="1754"/>
      <c r="BC348" s="54"/>
    </row>
    <row r="349" spans="1:55">
      <c r="A349" s="45"/>
      <c r="B349" s="1720"/>
      <c r="C349" s="1721" t="s">
        <v>1958</v>
      </c>
      <c r="D349" s="2420"/>
      <c r="E349" s="2589" t="s">
        <v>1959</v>
      </c>
      <c r="F349" s="2758">
        <f ca="1">SUM(Transfer!D187,Transfer!D189,Transfer!D190,Transfer!D191,Transfer!D194)-(SUM(Transfer!D192,Transfer!D193,Transfer!D195))</f>
        <v>436.17500000000064</v>
      </c>
      <c r="G349" s="2463">
        <f ca="1">100*(((SUM(Transfer!D187,Transfer!D189,Transfer!D190,Transfer!D191,Transfer!D194)-(SUM(Transfer!D192,Transfer!D193,Transfer!D195)))/(SUM(Transfer!C187,Transfer!C189,Transfer!C190,Transfer!C191,Transfer!C194)-(SUM(Transfer!C192,Transfer!C193,Transfer!C195))))-1)</f>
        <v>-1.889444975538257</v>
      </c>
      <c r="H349" s="2758">
        <f ca="1">SUM(Transfer!E187,Transfer!E189,Transfer!E190,Transfer!E191,Transfer!E194)-(SUM(Transfer!E192,Transfer!E193,Transfer!E195))</f>
        <v>463.87860123548398</v>
      </c>
      <c r="I349" s="2463">
        <f ca="1">100*(((SUM(Transfer!E187,Transfer!E189,Transfer!E190,Transfer!E191,Transfer!E194)-(SUM(Transfer!E192,Transfer!E193,Transfer!E195)))/(SUM(Transfer!D187,Transfer!D189,Transfer!D190,Transfer!D191,Transfer!D194)-(SUM(Transfer!D192,Transfer!D193,Transfer!D195))))-1)</f>
        <v>6.3514876449781266</v>
      </c>
      <c r="J349" s="2758">
        <f ca="1">SUM(Transfer!F187,Transfer!F189,Transfer!F190,Transfer!F191,Transfer!F194)-(SUM(Transfer!F192,Transfer!F193,Transfer!F195))</f>
        <v>458.81661853300147</v>
      </c>
      <c r="K349" s="2463">
        <f ca="1">100*(((SUM(Transfer!F187,Transfer!F189,Transfer!F190,Transfer!F191,Transfer!F194)-(SUM(Transfer!F192,Transfer!F193,Transfer!F195)))/(SUM(Transfer!E187,Transfer!E189,Transfer!E190,Transfer!E191,Transfer!E194)-(SUM(Transfer!E192,Transfer!E193,Transfer!E195))))-1)</f>
        <v>-1.0912300522163632</v>
      </c>
      <c r="L349" s="2758">
        <f ca="1">SUM(Transfer!G187,Transfer!G189,Transfer!G190,Transfer!G191,Transfer!G194)-(SUM(Transfer!G192,Transfer!G193,Transfer!G195))</f>
        <v>456.31674140846098</v>
      </c>
      <c r="M349" s="2447">
        <f ca="1">100*(((SUM(Transfer!G187,Transfer!G189,Transfer!G190,Transfer!G191,Transfer!G194)-(SUM(Transfer!G192,Transfer!G193,Transfer!G195)))/(SUM(Transfer!F187,Transfer!F189,Transfer!F190,Transfer!F191,Transfer!F194)-(SUM(Transfer!F192,Transfer!F193,Transfer!F195))))-1)</f>
        <v>-0.54485322099567801</v>
      </c>
      <c r="N349" s="2459"/>
      <c r="O349" s="54"/>
      <c r="P349" s="54"/>
      <c r="Q349" s="54"/>
      <c r="R349" s="54"/>
      <c r="S349" s="190"/>
      <c r="T349" s="101" t="s">
        <v>1958</v>
      </c>
      <c r="U349" s="49"/>
      <c r="V349" s="254" t="s">
        <v>1959</v>
      </c>
      <c r="W349" s="245">
        <f t="shared" ca="1" si="23"/>
        <v>-18.800000000000011</v>
      </c>
      <c r="X349" s="245">
        <f t="shared" ca="1" si="23"/>
        <v>-14.9</v>
      </c>
      <c r="Y349" s="245">
        <f t="shared" ca="1" si="23"/>
        <v>11.799999999999955</v>
      </c>
      <c r="Z349" s="245">
        <f t="shared" ca="1" si="23"/>
        <v>7</v>
      </c>
      <c r="AA349" s="245">
        <f t="shared" ca="1" si="23"/>
        <v>-18.599999999999966</v>
      </c>
      <c r="AB349" s="245">
        <f t="shared" ca="1" si="23"/>
        <v>-6.6999999999999993</v>
      </c>
      <c r="AC349" s="245">
        <f t="shared" ca="1" si="23"/>
        <v>-14.5</v>
      </c>
      <c r="AD349" s="320">
        <f t="shared" ca="1" si="23"/>
        <v>0.89999999999999991</v>
      </c>
      <c r="AE349" s="103"/>
      <c r="AF349" s="45"/>
      <c r="AG349" s="45"/>
      <c r="AH349" s="45"/>
      <c r="AI349" s="45"/>
      <c r="AJ349" s="190"/>
      <c r="AK349" s="101" t="s">
        <v>1958</v>
      </c>
      <c r="AL349" s="49"/>
      <c r="AM349" s="254" t="s">
        <v>1959</v>
      </c>
      <c r="AN349" s="242">
        <f>SUM(Transfer!AD187,Transfer!AD189,Transfer!AD190,Transfer!AD191,Transfer!AD194)-(SUM(Transfer!AD192,Transfer!AD193,Transfer!AD195))</f>
        <v>455.02399999999943</v>
      </c>
      <c r="AO349" s="242">
        <f>100*(((SUM(Transfer!AD187,Transfer!AD189,Transfer!AD190,Transfer!AD191,Transfer!AD194)-(SUM(Transfer!AD192,Transfer!AD193,Transfer!AD195)))/(SUM(Transfer!AC187,Transfer!AC189,Transfer!AC190,Transfer!AC191,Transfer!AC194)-(SUM(Transfer!AC192,Transfer!AC193,Transfer!AC195))))-1)</f>
        <v>13.042700559469633</v>
      </c>
      <c r="AP349" s="242">
        <f>SUM(Transfer!AE187,Transfer!AE189,Transfer!AE190,Transfer!AE191,Transfer!AE194)-(SUM(Transfer!AE192,Transfer!AE193,Transfer!AE195))</f>
        <v>452.06999999999971</v>
      </c>
      <c r="AQ349" s="242">
        <f>100*(((SUM(Transfer!AE187,Transfer!AE189,Transfer!AE190,Transfer!AE191,Transfer!AE194)-(SUM(Transfer!AE192,Transfer!AE193,Transfer!AE195)))/(SUM(Transfer!AD187,Transfer!AD189,Transfer!AD190,Transfer!AD191,Transfer!AD194)-(SUM(Transfer!AD192,Transfer!AD193,Transfer!AD195))))-1)</f>
        <v>-0.64919652589747745</v>
      </c>
      <c r="AR349" s="242">
        <f>SUM(Transfer!AF187,Transfer!AF189,Transfer!AF190,Transfer!AF191,Transfer!AF194)-(SUM(Transfer!AF192,Transfer!AF193,Transfer!AF195))</f>
        <v>477.39958424270208</v>
      </c>
      <c r="AS349" s="242">
        <f>100*(((SUM(Transfer!AF187,Transfer!AF189,Transfer!AF190,Transfer!AF191,Transfer!AF194)-(SUM(Transfer!AF192,Transfer!AF193,Transfer!AF195)))/(SUM(Transfer!AE187,Transfer!AE189,Transfer!AE190,Transfer!AE191,Transfer!AE194)-(SUM(Transfer!AE192,Transfer!AE193,Transfer!AE195))))-1)</f>
        <v>5.6030225944438738</v>
      </c>
      <c r="AT349" s="242">
        <f>SUM(Transfer!AG187,Transfer!AG189,Transfer!AG190,Transfer!AG191,Transfer!AG194)-(SUM(Transfer!AG192,Transfer!AG193,Transfer!AG195))</f>
        <v>470.83705601413021</v>
      </c>
      <c r="AU349" s="93">
        <f>100*(((SUM(Transfer!AG187,Transfer!AG189,Transfer!AG190,Transfer!AG191,Transfer!AG194)-(SUM(Transfer!AG192,Transfer!AG193,Transfer!AG195)))/(SUM(Transfer!AF187,Transfer!AF189,Transfer!AF190,Transfer!AF191,Transfer!AF194)-(SUM(Transfer!AF192,Transfer!AF193,Transfer!AF195))))-1)</f>
        <v>-1.3746405412107698</v>
      </c>
      <c r="AV349" s="103"/>
      <c r="AW349" s="54"/>
      <c r="AX349" s="54"/>
      <c r="AY349" s="54"/>
      <c r="AZ349" s="54"/>
      <c r="BA349" s="1753" t="s">
        <v>1004</v>
      </c>
      <c r="BB349" s="1754"/>
      <c r="BC349" s="54"/>
    </row>
    <row r="350" spans="1:55" ht="13.15">
      <c r="A350" s="45"/>
      <c r="B350" s="1720"/>
      <c r="C350" s="2531" t="s">
        <v>653</v>
      </c>
      <c r="D350" s="2532"/>
      <c r="E350" s="2605"/>
      <c r="F350" s="2766">
        <f ca="1">100*(SUM(Transfer!D187,Transfer!D189,Transfer!D190,Transfer!D191,Transfer!D194)-(SUM(Transfer!D192,Transfer!D193,Transfer!D195)))/(SUM(Transfer!D187,Transfer!D189,Transfer!D190,Transfer!D191,Transfer!D194)-(SUM(Transfer!D192,Transfer!D193)))</f>
        <v>17.609166334608702</v>
      </c>
      <c r="G350" s="2621"/>
      <c r="H350" s="2766">
        <f ca="1">100*(SUM(Transfer!E187,Transfer!E189,Transfer!E190,Transfer!E191,Transfer!E194)-(SUM(Transfer!E192,Transfer!E193,Transfer!E195)))/(SUM(Transfer!E187,Transfer!E189,Transfer!E190,Transfer!E191,Transfer!E194)-(SUM(Transfer!E192,Transfer!E193)))</f>
        <v>17.916000544719282</v>
      </c>
      <c r="I350" s="2621"/>
      <c r="J350" s="2766">
        <f ca="1">100*(SUM(Transfer!F187,Transfer!F189,Transfer!F190,Transfer!F191,Transfer!F194)-(SUM(Transfer!F192,Transfer!F193,Transfer!F195)))/(SUM(Transfer!F187,Transfer!F189,Transfer!F190,Transfer!F191,Transfer!F194)-(SUM(Transfer!F192,Transfer!F193)))</f>
        <v>17.180180150357156</v>
      </c>
      <c r="K350" s="2621"/>
      <c r="L350" s="2766">
        <f ca="1">100*(SUM(Transfer!G187,Transfer!G189,Transfer!G190,Transfer!G191,Transfer!G194)-(SUM(Transfer!G192,Transfer!G193,Transfer!G195)))/(SUM(Transfer!G187,Transfer!G189,Transfer!G190,Transfer!G191,Transfer!G194)-(SUM(Transfer!G192,Transfer!G193)))</f>
        <v>16.56194526584656</v>
      </c>
      <c r="M350" s="2622"/>
      <c r="N350" s="2459"/>
      <c r="O350" s="54"/>
      <c r="P350" s="54"/>
      <c r="Q350" s="54"/>
      <c r="R350" s="54"/>
      <c r="S350" s="190"/>
      <c r="T350" s="159" t="s">
        <v>653</v>
      </c>
      <c r="U350" s="1759"/>
      <c r="V350" s="433"/>
      <c r="W350" s="443">
        <f ca="1">ROUND(F350,1)-ROUND(AN350,1)</f>
        <v>-1.2999999999999972</v>
      </c>
      <c r="X350" s="282"/>
      <c r="Y350" s="443">
        <f ca="1">ROUND(H350,1)-ROUND(AP350,1)</f>
        <v>-0.30000000000000071</v>
      </c>
      <c r="Z350" s="282"/>
      <c r="AA350" s="443">
        <f ca="1">ROUND(J350,1)-ROUND(AR350,1)</f>
        <v>-1.1999999999999993</v>
      </c>
      <c r="AB350" s="282"/>
      <c r="AC350" s="443">
        <f t="shared" ca="1" si="23"/>
        <v>-1</v>
      </c>
      <c r="AD350" s="283"/>
      <c r="AE350" s="103"/>
      <c r="AF350" s="45"/>
      <c r="AG350" s="45"/>
      <c r="AH350" s="45"/>
      <c r="AI350" s="45"/>
      <c r="AJ350" s="190"/>
      <c r="AK350" s="159" t="s">
        <v>653</v>
      </c>
      <c r="AL350" s="1759"/>
      <c r="AM350" s="433"/>
      <c r="AN350" s="282">
        <f>100*(SUM(Transfer!AD187,Transfer!AD189,Transfer!AD190,Transfer!AD191,Transfer!AD194)-(SUM(Transfer!AD192,Transfer!AD193,Transfer!AD195)))/(SUM(Transfer!AD187,Transfer!AD189,Transfer!AD190,Transfer!AD191,Transfer!AD194)-(SUM(Transfer!AD192,Transfer!AD193)))</f>
        <v>18.921671323370091</v>
      </c>
      <c r="AO350" s="282"/>
      <c r="AP350" s="282">
        <f>100*(SUM(Transfer!AE187,Transfer!AE189,Transfer!AE190,Transfer!AE191,Transfer!AE194)-(SUM(Transfer!AE192,Transfer!AE193,Transfer!AE195)))/(SUM(Transfer!AE187,Transfer!AE189,Transfer!AE190,Transfer!AE191,Transfer!AE194)-(SUM(Transfer!AE192,Transfer!AE193)))</f>
        <v>18.21352209074972</v>
      </c>
      <c r="AQ350" s="282"/>
      <c r="AR350" s="282">
        <f>100*(SUM(Transfer!AF187,Transfer!AF189,Transfer!AF190,Transfer!AF191,Transfer!AF194)-(SUM(Transfer!AF192,Transfer!AF193,Transfer!AF195)))/(SUM(Transfer!AF187,Transfer!AF189,Transfer!AF190,Transfer!AF191,Transfer!AF194)-(SUM(Transfer!AF192,Transfer!AF193)))</f>
        <v>18.413180508136808</v>
      </c>
      <c r="AS350" s="282"/>
      <c r="AT350" s="282">
        <f>100*(SUM(Transfer!AG187,Transfer!AG189,Transfer!AG190,Transfer!AG191,Transfer!AG194)-(SUM(Transfer!AG192,Transfer!AG193,Transfer!AG195)))/(SUM(Transfer!AG187,Transfer!AG189,Transfer!AG190,Transfer!AG191,Transfer!AG194)-(SUM(Transfer!AG192,Transfer!AG193)))</f>
        <v>17.576898876204272</v>
      </c>
      <c r="AU350" s="283"/>
      <c r="AV350" s="103"/>
      <c r="AW350" s="54"/>
      <c r="AX350" s="54"/>
      <c r="AY350" s="54"/>
      <c r="AZ350" s="54"/>
      <c r="BA350" s="1753" t="s">
        <v>1005</v>
      </c>
      <c r="BB350" s="1754"/>
      <c r="BC350" s="54"/>
    </row>
    <row r="351" spans="1:55">
      <c r="A351" s="45"/>
      <c r="B351" s="1720"/>
      <c r="C351" s="1721" t="s">
        <v>654</v>
      </c>
      <c r="D351" s="2420"/>
      <c r="E351" s="2589" t="s">
        <v>655</v>
      </c>
      <c r="F351" s="2445">
        <f ca="1">Transfer!D196</f>
        <v>158.58800000000002</v>
      </c>
      <c r="G351" s="2758">
        <f ca="1">100*((Transfer!D196/Transfer!C196)-1)</f>
        <v>8.4236362269001432</v>
      </c>
      <c r="H351" s="2463">
        <f ca="1">Transfer!E196</f>
        <v>167.94032000000004</v>
      </c>
      <c r="I351" s="2759">
        <f ca="1">100*((Transfer!E196/Transfer!D196)-1)</f>
        <v>5.8972431709839457</v>
      </c>
      <c r="J351" s="2445">
        <f ca="1">Transfer!F196</f>
        <v>173.10075964000004</v>
      </c>
      <c r="K351" s="2758">
        <f ca="1">100*((Transfer!F196/Transfer!E196)-1)</f>
        <v>3.0727818310695154</v>
      </c>
      <c r="L351" s="2463">
        <f ca="1">Transfer!G196</f>
        <v>176.90049917288005</v>
      </c>
      <c r="M351" s="2760">
        <f ca="1">100*((Transfer!G196/Transfer!F196)-1)</f>
        <v>2.1951027487010277</v>
      </c>
      <c r="N351" s="2459"/>
      <c r="O351" s="54"/>
      <c r="P351" s="54"/>
      <c r="Q351" s="54"/>
      <c r="R351" s="54"/>
      <c r="S351" s="190"/>
      <c r="T351" s="101" t="s">
        <v>654</v>
      </c>
      <c r="U351" s="49"/>
      <c r="V351" s="254" t="s">
        <v>655</v>
      </c>
      <c r="W351" s="245">
        <f ca="1">ROUND(F351,1)-ROUND(AN351,1)</f>
        <v>20.799999999999983</v>
      </c>
      <c r="X351" s="245">
        <f ca="1">ROUND(G351,1)-ROUND(AO351,1)</f>
        <v>2</v>
      </c>
      <c r="Y351" s="245">
        <f ca="1">ROUND(H351,1)-ROUND(AP351,1)</f>
        <v>18.900000000000006</v>
      </c>
      <c r="Z351" s="245">
        <f ca="1">ROUND(I351,1)-ROUND(AQ351,1)</f>
        <v>-2.2999999999999989</v>
      </c>
      <c r="AA351" s="245">
        <f ca="1">ROUND(J351,1)-ROUND(AR351,1)</f>
        <v>16.5</v>
      </c>
      <c r="AB351" s="245">
        <f ca="1">ROUND(K351,1)-ROUND(AS351,1)</f>
        <v>-1.9999999999999996</v>
      </c>
      <c r="AC351" s="245">
        <f t="shared" ca="1" si="23"/>
        <v>16.800000000000011</v>
      </c>
      <c r="AD351" s="320">
        <f t="shared" ca="1" si="23"/>
        <v>0</v>
      </c>
      <c r="AE351" s="103"/>
      <c r="AF351" s="45"/>
      <c r="AG351" s="45"/>
      <c r="AH351" s="45"/>
      <c r="AI351" s="45"/>
      <c r="AJ351" s="190"/>
      <c r="AK351" s="101" t="s">
        <v>654</v>
      </c>
      <c r="AL351" s="49"/>
      <c r="AM351" s="254" t="s">
        <v>655</v>
      </c>
      <c r="AN351" s="91">
        <f>Transfer!AD196</f>
        <v>137.78700000000001</v>
      </c>
      <c r="AO351" s="242">
        <f>100*((Transfer!AD196/Transfer!AC196)-1)</f>
        <v>6.3729425933360062</v>
      </c>
      <c r="AP351" s="242">
        <f>Transfer!AE196</f>
        <v>149.02100000000002</v>
      </c>
      <c r="AQ351" s="92">
        <f>100*((Transfer!AE196/Transfer!AD196)-1)</f>
        <v>8.1531639414458503</v>
      </c>
      <c r="AR351" s="91">
        <f>Transfer!AF196</f>
        <v>156.61457200000001</v>
      </c>
      <c r="AS351" s="242">
        <f>100*((Transfer!AF196/Transfer!AE196)-1)</f>
        <v>5.0956388696895116</v>
      </c>
      <c r="AT351" s="242">
        <f>Transfer!AG196</f>
        <v>160.050178184</v>
      </c>
      <c r="AU351" s="243">
        <f>100*((Transfer!AG196/Transfer!AF196)-1)</f>
        <v>2.1936695545801355</v>
      </c>
      <c r="AV351" s="103"/>
      <c r="AW351" s="54"/>
      <c r="AX351" s="54"/>
      <c r="AY351" s="54"/>
      <c r="AZ351" s="54"/>
      <c r="BA351" s="1753" t="s">
        <v>1006</v>
      </c>
      <c r="BB351" s="1754"/>
      <c r="BC351" s="54"/>
    </row>
    <row r="352" spans="1:55" ht="13.15">
      <c r="A352" s="45"/>
      <c r="B352" s="1720"/>
      <c r="C352" s="1721" t="s">
        <v>1511</v>
      </c>
      <c r="D352" s="2420"/>
      <c r="E352" s="2589" t="s">
        <v>1512</v>
      </c>
      <c r="F352" s="2521">
        <f ca="1">Transfer!D197</f>
        <v>9.652000000000001</v>
      </c>
      <c r="G352" s="2758">
        <f ca="1">100*((Transfer!D197/Transfer!C197)-1)</f>
        <v>18.342324668955378</v>
      </c>
      <c r="H352" s="2758">
        <f ca="1">Transfer!E197</f>
        <v>9.6394599999999997</v>
      </c>
      <c r="I352" s="2759">
        <f ca="1">100*((Transfer!E197/Transfer!D197)-1)</f>
        <v>-0.12992125984253589</v>
      </c>
      <c r="J352" s="2521">
        <f ca="1">Transfer!F197</f>
        <v>9.6265438000000003</v>
      </c>
      <c r="K352" s="2758">
        <f ca="1">100*((Transfer!F197/Transfer!E197)-1)</f>
        <v>-0.1339929830094122</v>
      </c>
      <c r="L352" s="2758">
        <f ca="1">Transfer!G197</f>
        <v>9.6132401139999999</v>
      </c>
      <c r="M352" s="2760">
        <f ca="1">100*((Transfer!G197/Transfer!F197)-1)</f>
        <v>-0.13819794805276508</v>
      </c>
      <c r="N352" s="2441"/>
      <c r="O352" s="54"/>
      <c r="P352" s="54"/>
      <c r="Q352" s="54"/>
      <c r="R352" s="54"/>
      <c r="S352" s="190"/>
      <c r="T352" s="101" t="s">
        <v>1511</v>
      </c>
      <c r="U352" s="49"/>
      <c r="V352" s="254" t="s">
        <v>1512</v>
      </c>
      <c r="W352" s="245">
        <f ca="1">ROUND(F352,1)-ROUND(AN352,1)</f>
        <v>0.89999999999999858</v>
      </c>
      <c r="X352" s="245">
        <f ca="1">ROUND(G352,1)-ROUND(AO352,1)</f>
        <v>-15.499999999999996</v>
      </c>
      <c r="Y352" s="245">
        <f ca="1">ROUND(H352,1)-ROUND(AP352,1)</f>
        <v>-0.5</v>
      </c>
      <c r="Z352" s="245">
        <f ca="1">ROUND(I352,1)-ROUND(AQ352,1)</f>
        <v>-14.9</v>
      </c>
      <c r="AA352" s="245">
        <f ca="1">ROUND(J352,1)-ROUND(AR352,1)</f>
        <v>-0.5</v>
      </c>
      <c r="AB352" s="245">
        <f ca="1">ROUND(K352,1)-ROUND(AS352,1)</f>
        <v>0.1</v>
      </c>
      <c r="AC352" s="245">
        <f t="shared" ca="1" si="23"/>
        <v>-0.5</v>
      </c>
      <c r="AD352" s="320">
        <f t="shared" ca="1" si="23"/>
        <v>0.1</v>
      </c>
      <c r="AE352" s="366"/>
      <c r="AF352" s="45"/>
      <c r="AG352" s="45"/>
      <c r="AH352" s="45"/>
      <c r="AI352" s="45"/>
      <c r="AJ352" s="190"/>
      <c r="AK352" s="101" t="s">
        <v>1511</v>
      </c>
      <c r="AL352" s="49"/>
      <c r="AM352" s="254" t="s">
        <v>1512</v>
      </c>
      <c r="AN352" s="91">
        <f>Transfer!AD197</f>
        <v>8.7959999999999994</v>
      </c>
      <c r="AO352" s="242">
        <f>100*((Transfer!AD197/Transfer!AC197)-1)</f>
        <v>33.759124087591232</v>
      </c>
      <c r="AP352" s="242">
        <f>Transfer!AE197</f>
        <v>10.093999999999999</v>
      </c>
      <c r="AQ352" s="92">
        <f>100*((Transfer!AE197/Transfer!AD197)-1)</f>
        <v>14.756707594361075</v>
      </c>
      <c r="AR352" s="91">
        <f>Transfer!AF197</f>
        <v>10.077829999999999</v>
      </c>
      <c r="AS352" s="242">
        <f>100*((Transfer!AF197/Transfer!AE197)-1)</f>
        <v>-0.16019417475728881</v>
      </c>
      <c r="AT352" s="242">
        <f>Transfer!AG197</f>
        <v>10.061174899999999</v>
      </c>
      <c r="AU352" s="243">
        <f>100*((Transfer!AG197/Transfer!AF197)-1)</f>
        <v>-0.1652647444935984</v>
      </c>
      <c r="AV352" s="366"/>
      <c r="AW352" s="54"/>
      <c r="AX352" s="54"/>
      <c r="AY352" s="54"/>
      <c r="AZ352" s="54"/>
      <c r="BA352" s="1753" t="s">
        <v>1007</v>
      </c>
      <c r="BB352" s="1754"/>
      <c r="BC352" s="54"/>
    </row>
    <row r="353" spans="1:55" ht="13.15">
      <c r="A353" s="45"/>
      <c r="B353" s="1720"/>
      <c r="C353" s="2523" t="s">
        <v>749</v>
      </c>
      <c r="D353" s="2501"/>
      <c r="E353" s="2589" t="s">
        <v>750</v>
      </c>
      <c r="F353" s="2767">
        <f ca="1">SUM(Transfer!D187,Transfer!D189,Transfer!D190,Transfer!D191,Transfer!D194)-(SUM(Transfer!D192,Transfer!D193,Transfer!D195,Transfer!D196,Transfer!D197))</f>
        <v>267.9350000000004</v>
      </c>
      <c r="G353" s="2463">
        <f ca="1">100*(((SUM(Transfer!D187,Transfer!D189,Transfer!D190,Transfer!D191,Transfer!D194)-(SUM(Transfer!D192,Transfer!D193,Transfer!D195,Transfer!D196,Transfer!D197)))/(SUM(Transfer!C187,Transfer!C189,Transfer!C190,Transfer!C191,Transfer!C194)-(SUM(Transfer!C192,Transfer!C193,Transfer!C195,Transfer!C196,Transfer!C197))))-1)</f>
        <v>-7.6570211475363354</v>
      </c>
      <c r="H353" s="2767">
        <f ca="1">SUM(Transfer!E187,Transfer!E189,Transfer!E190,Transfer!E191,Transfer!E194)-(SUM(Transfer!E192,Transfer!E193,Transfer!E195,Transfer!E196,Transfer!E197))</f>
        <v>286.29882123548396</v>
      </c>
      <c r="I353" s="2463">
        <f ca="1">100*(((SUM(Transfer!E187,Transfer!E189,Transfer!E190,Transfer!E191,Transfer!E194)-(SUM(Transfer!E192,Transfer!E193,Transfer!E195,Transfer!E196,Transfer!E197)))/(SUM(Transfer!D187,Transfer!D189,Transfer!D190,Transfer!D191,Transfer!D194)-(SUM(Transfer!D192,Transfer!D193,Transfer!D195,Transfer!D196,Transfer!D197))))-1)</f>
        <v>6.8538344133777018</v>
      </c>
      <c r="J353" s="2767">
        <f ca="1">SUM(Transfer!F187,Transfer!F189,Transfer!F190,Transfer!F191,Transfer!F194)-(SUM(Transfer!F192,Transfer!F193,Transfer!F195,Transfer!F196,Transfer!F197))</f>
        <v>276.08931509300146</v>
      </c>
      <c r="K353" s="2463">
        <f ca="1">100*(((SUM(Transfer!F187,Transfer!F189,Transfer!F190,Transfer!F191,Transfer!F194)-(SUM(Transfer!F192,Transfer!F193,Transfer!F195,Transfer!F196,Transfer!F197)))/(SUM(Transfer!E187,Transfer!E189,Transfer!E190,Transfer!E191,Transfer!E194)-(SUM(Transfer!E192,Transfer!E193,Transfer!E195,Transfer!E196,Transfer!E197))))-1)</f>
        <v>-3.5660314975886953</v>
      </c>
      <c r="L353" s="2767">
        <f ca="1">SUM(Transfer!G187,Transfer!G189,Transfer!G190,Transfer!G191,Transfer!G194)-(SUM(Transfer!G192,Transfer!G193,Transfer!G195,Transfer!G196,Transfer!G197))</f>
        <v>269.8030021215809</v>
      </c>
      <c r="M353" s="2447">
        <f ca="1">100*(((SUM(Transfer!G187,Transfer!G189,Transfer!G190,Transfer!G191,Transfer!G194)-(SUM(Transfer!G192,Transfer!G193,Transfer!G195,Transfer!G196,Transfer!G197)))/(SUM(Transfer!F187,Transfer!F189,Transfer!F190,Transfer!F191,Transfer!F194)-(SUM(Transfer!F192,Transfer!F193,Transfer!F195,Transfer!F196,Transfer!F197))))-1)</f>
        <v>-2.2769128060254662</v>
      </c>
      <c r="N353" s="2441"/>
      <c r="O353" s="54"/>
      <c r="P353" s="54"/>
      <c r="Q353" s="54"/>
      <c r="R353" s="54"/>
      <c r="S353" s="190"/>
      <c r="T353" s="434" t="s">
        <v>749</v>
      </c>
      <c r="U353" s="144"/>
      <c r="V353" s="254" t="s">
        <v>750</v>
      </c>
      <c r="W353" s="245">
        <f ca="1">ROUND(F353,1)-ROUND(AN353,1)</f>
        <v>-40.5</v>
      </c>
      <c r="X353" s="245">
        <f ca="1">ROUND(G353,1)-ROUND(AO353,1)</f>
        <v>-23.5</v>
      </c>
      <c r="Y353" s="245">
        <f ca="1">ROUND(H353,1)-ROUND(AP353,1)</f>
        <v>-6.6999999999999886</v>
      </c>
      <c r="Z353" s="245">
        <f ca="1">ROUND(I353,1)-ROUND(AQ353,1)</f>
        <v>11.9</v>
      </c>
      <c r="AA353" s="245">
        <f ca="1">ROUND(J353,1)-ROUND(AR353,1)</f>
        <v>-34.599999999999966</v>
      </c>
      <c r="AB353" s="245">
        <f ca="1">ROUND(K353,1)-ROUND(AS353,1)</f>
        <v>-9.6999999999999993</v>
      </c>
      <c r="AC353" s="245">
        <f t="shared" ca="1" si="23"/>
        <v>-30.899999999999977</v>
      </c>
      <c r="AD353" s="320">
        <f t="shared" ca="1" si="23"/>
        <v>0.90000000000000036</v>
      </c>
      <c r="AE353" s="366"/>
      <c r="AF353" s="45"/>
      <c r="AG353" s="45"/>
      <c r="AH353" s="45"/>
      <c r="AI353" s="45"/>
      <c r="AJ353" s="190"/>
      <c r="AK353" s="434" t="s">
        <v>749</v>
      </c>
      <c r="AL353" s="144"/>
      <c r="AM353" s="254" t="s">
        <v>750</v>
      </c>
      <c r="AN353" s="435">
        <f>SUM(Transfer!AD187,Transfer!AD189,Transfer!AD190,Transfer!AD191,Transfer!AD194)-(SUM(Transfer!AD192,Transfer!AD193,Transfer!AD195,Transfer!AD196,Transfer!AD197))</f>
        <v>308.4409999999998</v>
      </c>
      <c r="AO353" s="242">
        <f>100*(((SUM(Transfer!AD187,Transfer!AD189,Transfer!AD190,Transfer!AD191,Transfer!AD194)-(SUM(Transfer!AD192,Transfer!AD193,Transfer!AD195,Transfer!AD196,Transfer!AD197)))/(SUM(Transfer!AC187,Transfer!AC189,Transfer!AC190,Transfer!AC191,Transfer!AC194)-(SUM(Transfer!AC192,Transfer!AC193,Transfer!AC195,Transfer!AC196,Transfer!AC197))))-1)</f>
        <v>15.774202750585609</v>
      </c>
      <c r="AP353" s="435">
        <f>SUM(Transfer!AE187,Transfer!AE189,Transfer!AE190,Transfer!AE191,Transfer!AE194)-(SUM(Transfer!AE192,Transfer!AE193,Transfer!AE195,Transfer!AE196,Transfer!AE197))</f>
        <v>292.95499999999947</v>
      </c>
      <c r="AQ353" s="242">
        <f>100*(((SUM(Transfer!AE187,Transfer!AE189,Transfer!AE190,Transfer!AE191,Transfer!AE194)-(SUM(Transfer!AE192,Transfer!AE193,Transfer!AE195,Transfer!AE196,Transfer!AE197)))/(SUM(Transfer!AD187,Transfer!AD189,Transfer!AD190,Transfer!AD191,Transfer!AD194)-(SUM(Transfer!AD192,Transfer!AD193,Transfer!AD195,Transfer!AD196,Transfer!AD197))))-1)</f>
        <v>-5.0207333006961896</v>
      </c>
      <c r="AR353" s="435">
        <f>SUM(Transfer!AF187,Transfer!AF189,Transfer!AF190,Transfer!AF191,Transfer!AF194)-(SUM(Transfer!AF192,Transfer!AF193,Transfer!AF195,Transfer!AF196,Transfer!AF197))</f>
        <v>310.70718224270195</v>
      </c>
      <c r="AS353" s="242">
        <f>100*(((SUM(Transfer!AF187,Transfer!AF189,Transfer!AF190,Transfer!AF191,Transfer!AF194)-(SUM(Transfer!AF192,Transfer!AF193,Transfer!AF195,Transfer!AF196,Transfer!AF197)))/(SUM(Transfer!AE187,Transfer!AE189,Transfer!AE190,Transfer!AE191,Transfer!AE194)-(SUM(Transfer!AE192,Transfer!AE193,Transfer!AE195,Transfer!AE196,Transfer!AE197))))-1)</f>
        <v>6.0596959405719408</v>
      </c>
      <c r="AT353" s="435">
        <f>SUM(Transfer!AG187,Transfer!AG189,Transfer!AG190,Transfer!AG191,Transfer!AG194)-(SUM(Transfer!AG192,Transfer!AG193,Transfer!AG195,Transfer!AG196,Transfer!AG197))</f>
        <v>300.72570293013041</v>
      </c>
      <c r="AU353" s="93">
        <f>100*(((SUM(Transfer!AG187,Transfer!AG189,Transfer!AG190,Transfer!AG191,Transfer!AG194)-(SUM(Transfer!AG192,Transfer!AG193,Transfer!AG195,Transfer!AG196,Transfer!AG197)))/(SUM(Transfer!AF187,Transfer!AF189,Transfer!AF190,Transfer!AF191,Transfer!AF194)-(SUM(Transfer!AF192,Transfer!AF193,Transfer!AF195,Transfer!AF196,Transfer!AF197))))-1)</f>
        <v>-3.2125035670320434</v>
      </c>
      <c r="AV353" s="366"/>
      <c r="AW353" s="54"/>
      <c r="AX353" s="54"/>
      <c r="AY353" s="54"/>
      <c r="AZ353" s="54"/>
      <c r="BA353" s="1753" t="s">
        <v>1008</v>
      </c>
      <c r="BB353" s="1754"/>
      <c r="BC353" s="54"/>
    </row>
    <row r="354" spans="1:55" ht="13.5" thickBot="1">
      <c r="A354" s="45"/>
      <c r="B354" s="1720"/>
      <c r="C354" s="2745" t="s">
        <v>748</v>
      </c>
      <c r="D354" s="2746"/>
      <c r="E354" s="2768"/>
      <c r="F354" s="2769">
        <f ca="1">100*(SUM(Transfer!D187,Transfer!D189,Transfer!D190,Transfer!D191,Transfer!D194)-(SUM(Transfer!D192,Transfer!D193,Transfer!D195,Transfer!D196,Transfer!D197)))/Transfer!D147</f>
        <v>5.8515158338281843</v>
      </c>
      <c r="G354" s="2769"/>
      <c r="H354" s="2769">
        <f ca="1">100*(SUM(Transfer!E187,Transfer!E189,Transfer!E190,Transfer!E191,Transfer!E194)-(SUM(Transfer!E192,Transfer!E193,Transfer!E195,Transfer!E196,Transfer!E197)))/Transfer!E147</f>
        <v>5.960615899342077</v>
      </c>
      <c r="I354" s="2769"/>
      <c r="J354" s="2769">
        <f ca="1">100*(SUM(Transfer!F187,Transfer!F189,Transfer!F190,Transfer!F191,Transfer!F194)-(SUM(Transfer!F192,Transfer!F193,Transfer!F195,Transfer!F196,Transfer!F197)))/Transfer!F147</f>
        <v>5.5386277185355448</v>
      </c>
      <c r="K354" s="2769"/>
      <c r="L354" s="2769">
        <f ca="1">100*(SUM(Transfer!G187,Transfer!G189,Transfer!G190,Transfer!G191,Transfer!G194)-(SUM(Transfer!G192,Transfer!G193,Transfer!G195,Transfer!G196,Transfer!G197)))/Transfer!G147</f>
        <v>5.2272049964929082</v>
      </c>
      <c r="M354" s="2661"/>
      <c r="N354" s="2441"/>
      <c r="O354" s="54"/>
      <c r="P354" s="54"/>
      <c r="Q354" s="54"/>
      <c r="R354" s="54"/>
      <c r="S354" s="190"/>
      <c r="T354" s="436" t="s">
        <v>748</v>
      </c>
      <c r="U354" s="1760"/>
      <c r="V354" s="437"/>
      <c r="W354" s="1774">
        <f ca="1">ROUND(F354,1)-ROUND(AN354,1)</f>
        <v>-1.0999999999999996</v>
      </c>
      <c r="X354" s="438"/>
      <c r="Y354" s="1774">
        <f ca="1">ROUND(H354,1)-ROUND(AP354,1)</f>
        <v>-0.40000000000000036</v>
      </c>
      <c r="Z354" s="438"/>
      <c r="AA354" s="1774">
        <f ca="1">ROUND(J354,1)-ROUND(AR354,1)</f>
        <v>-0.90000000000000036</v>
      </c>
      <c r="AB354" s="438"/>
      <c r="AC354" s="1774">
        <f ca="1">ROUND(L354,1)-ROUND(AT354,1)</f>
        <v>-0.79999999999999982</v>
      </c>
      <c r="AD354" s="326"/>
      <c r="AE354" s="366"/>
      <c r="AF354" s="45"/>
      <c r="AG354" s="45"/>
      <c r="AH354" s="45"/>
      <c r="AI354" s="45"/>
      <c r="AJ354" s="190"/>
      <c r="AK354" s="436" t="s">
        <v>748</v>
      </c>
      <c r="AL354" s="1760"/>
      <c r="AM354" s="437"/>
      <c r="AN354" s="438">
        <f>100*(SUM(Transfer!AD187,Transfer!AD189,Transfer!AD190,Transfer!AD191,Transfer!AD194)-(SUM(Transfer!AD192,Transfer!AD193,Transfer!AD195,Transfer!AD196,Transfer!AD197)))/Transfer!AD147</f>
        <v>7.0023805837356559</v>
      </c>
      <c r="AO354" s="438"/>
      <c r="AP354" s="438">
        <f>100*(SUM(Transfer!AE187,Transfer!AE189,Transfer!AE190,Transfer!AE191,Transfer!AE194)-(SUM(Transfer!AE192,Transfer!AE193,Transfer!AE195,Transfer!AE196,Transfer!AE197)))/Transfer!AE147</f>
        <v>6.3627705543084963</v>
      </c>
      <c r="AQ354" s="438"/>
      <c r="AR354" s="438">
        <f>100*(SUM(Transfer!AF187,Transfer!AF189,Transfer!AF190,Transfer!AF191,Transfer!AF194)-(SUM(Transfer!AF192,Transfer!AF193,Transfer!AF195,Transfer!AF196,Transfer!AF197)))/Transfer!AF147</f>
        <v>6.4404160936366974</v>
      </c>
      <c r="AS354" s="438"/>
      <c r="AT354" s="438">
        <f>100*(SUM(Transfer!AG187,Transfer!AG189,Transfer!AG190,Transfer!AG191,Transfer!AG194)-(SUM(Transfer!AG192,Transfer!AG193,Transfer!AG195,Transfer!AG196,Transfer!AG197)))/Transfer!AG147</f>
        <v>5.9738715649239795</v>
      </c>
      <c r="AU354" s="326"/>
      <c r="AV354" s="366"/>
      <c r="AW354" s="54"/>
      <c r="AX354" s="54"/>
      <c r="AY354" s="54"/>
      <c r="AZ354" s="54"/>
      <c r="BA354" s="1791" t="s">
        <v>1009</v>
      </c>
      <c r="BB354" s="1757"/>
      <c r="BC354" s="54"/>
    </row>
    <row r="355" spans="1:55" ht="13.15">
      <c r="A355" s="45"/>
      <c r="B355" s="1756"/>
      <c r="C355" s="2545"/>
      <c r="D355" s="2545"/>
      <c r="E355" s="2545"/>
      <c r="F355" s="2545"/>
      <c r="G355" s="2545"/>
      <c r="H355" s="2545"/>
      <c r="I355" s="2545"/>
      <c r="J355" s="2545"/>
      <c r="K355" s="2545"/>
      <c r="L355" s="2545"/>
      <c r="M355" s="2469" t="str">
        <f>UPPER(Country)</f>
        <v>SWEDEN</v>
      </c>
      <c r="N355" s="2546"/>
      <c r="O355" s="54"/>
      <c r="P355" s="54"/>
      <c r="Q355" s="54"/>
      <c r="R355" s="54"/>
      <c r="S355" s="215"/>
      <c r="T355" s="113"/>
      <c r="U355" s="113"/>
      <c r="V355" s="113"/>
      <c r="W355" s="113"/>
      <c r="X355" s="113"/>
      <c r="Y355" s="113"/>
      <c r="Z355" s="113"/>
      <c r="AA355" s="113"/>
      <c r="AB355" s="113"/>
      <c r="AC355" s="113"/>
      <c r="AD355" s="118" t="str">
        <f>UPPER(Country)</f>
        <v>SWEDEN</v>
      </c>
      <c r="AE355" s="216"/>
      <c r="AF355" s="45"/>
      <c r="AG355" s="45"/>
      <c r="AH355" s="45"/>
      <c r="AI355" s="45"/>
      <c r="AJ355" s="215"/>
      <c r="AK355" s="113"/>
      <c r="AL355" s="113"/>
      <c r="AM355" s="113"/>
      <c r="AN355" s="113"/>
      <c r="AO355" s="113"/>
      <c r="AP355" s="113"/>
      <c r="AQ355" s="113"/>
      <c r="AR355" s="113"/>
      <c r="AS355" s="113"/>
      <c r="AT355" s="113"/>
      <c r="AU355" s="118" t="str">
        <f>UPPER(Country)</f>
        <v>SWEDEN</v>
      </c>
      <c r="AV355" s="216"/>
      <c r="AW355" s="54"/>
      <c r="AX355" s="54"/>
      <c r="AY355" s="54"/>
      <c r="AZ355" s="54"/>
      <c r="BA355" s="54"/>
      <c r="BB355" s="54"/>
      <c r="BC355" s="54"/>
    </row>
    <row r="356" spans="1:55">
      <c r="A356" s="45"/>
      <c r="B356" s="45"/>
      <c r="C356" s="45"/>
      <c r="D356" s="45"/>
      <c r="E356" s="45"/>
      <c r="F356" s="45"/>
      <c r="G356" s="45"/>
      <c r="H356" s="45"/>
      <c r="I356" s="45"/>
      <c r="J356" s="45"/>
      <c r="K356" s="45"/>
      <c r="L356" s="45"/>
      <c r="M356" s="45"/>
      <c r="N356" s="54"/>
      <c r="O356" s="54"/>
      <c r="P356" s="54"/>
      <c r="Q356" s="54"/>
      <c r="R356" s="54"/>
      <c r="S356" s="54"/>
      <c r="T356" s="54"/>
      <c r="U356" s="54"/>
      <c r="V356" s="54"/>
      <c r="W356" s="54"/>
      <c r="X356" s="54"/>
      <c r="Y356" s="54"/>
      <c r="Z356" s="54"/>
      <c r="AA356" s="54"/>
      <c r="AB356" s="45"/>
      <c r="AC356" s="45"/>
      <c r="AD356" s="45"/>
      <c r="AE356" s="45"/>
      <c r="AF356" s="45"/>
      <c r="AG356" s="45"/>
      <c r="AH356" s="45"/>
      <c r="AI356" s="45"/>
      <c r="AJ356" s="45"/>
      <c r="AK356" s="45"/>
      <c r="AL356" s="45"/>
      <c r="AM356" s="45"/>
      <c r="AN356" s="45"/>
      <c r="AO356" s="45"/>
      <c r="AP356" s="45"/>
      <c r="AQ356" s="45"/>
      <c r="AR356" s="45"/>
      <c r="AS356" s="45"/>
      <c r="AT356" s="45"/>
      <c r="AU356" s="45"/>
      <c r="AV356" s="54"/>
      <c r="AW356" s="54"/>
      <c r="AX356" s="54"/>
      <c r="AY356" s="54"/>
      <c r="AZ356" s="54"/>
      <c r="BA356" s="54"/>
      <c r="BB356" s="54"/>
      <c r="BC356" s="54"/>
    </row>
    <row r="357" spans="1:55">
      <c r="A357" s="45"/>
      <c r="B357" s="45"/>
      <c r="C357" s="45"/>
      <c r="D357" s="45"/>
      <c r="E357" s="45"/>
      <c r="F357" s="45"/>
      <c r="G357" s="1776"/>
      <c r="H357" s="45"/>
      <c r="I357" s="1776"/>
      <c r="J357" s="45"/>
      <c r="K357" s="1776"/>
      <c r="L357" s="45"/>
      <c r="M357" s="1776"/>
      <c r="N357" s="54"/>
      <c r="O357" s="54"/>
      <c r="P357" s="54"/>
      <c r="Q357" s="54"/>
      <c r="R357" s="54"/>
      <c r="S357" s="54"/>
      <c r="T357" s="54"/>
      <c r="U357" s="54"/>
      <c r="V357" s="54"/>
      <c r="W357" s="54"/>
      <c r="X357" s="54"/>
      <c r="Y357" s="54"/>
      <c r="Z357" s="54"/>
      <c r="AA357" s="54"/>
      <c r="AB357" s="45"/>
      <c r="AC357" s="45"/>
      <c r="AD357" s="45"/>
      <c r="AE357" s="45"/>
      <c r="AF357" s="45"/>
      <c r="AG357" s="45"/>
      <c r="AH357" s="45"/>
      <c r="AI357" s="45"/>
      <c r="AJ357" s="45"/>
      <c r="AK357" s="45"/>
      <c r="AL357" s="45"/>
      <c r="AM357" s="45"/>
      <c r="AN357" s="45"/>
      <c r="AO357" s="45"/>
      <c r="AP357" s="45"/>
      <c r="AQ357" s="45"/>
      <c r="AR357" s="45"/>
      <c r="AS357" s="45"/>
      <c r="AT357" s="45"/>
      <c r="AU357" s="45"/>
      <c r="AV357" s="54"/>
      <c r="AW357" s="54"/>
      <c r="AX357" s="54"/>
      <c r="AY357" s="54"/>
      <c r="AZ357" s="54"/>
      <c r="BA357" s="54"/>
      <c r="BB357" s="54"/>
      <c r="BC357" s="54"/>
    </row>
    <row r="358" spans="1:55">
      <c r="A358" s="45"/>
      <c r="B358" s="45"/>
      <c r="C358" s="45"/>
      <c r="D358" s="45"/>
      <c r="E358" s="45"/>
      <c r="F358" s="45"/>
      <c r="G358" s="45"/>
      <c r="H358" s="45"/>
      <c r="I358" s="45"/>
      <c r="J358" s="45"/>
      <c r="K358" s="45"/>
      <c r="L358" s="45"/>
      <c r="M358" s="45"/>
      <c r="N358" s="54"/>
      <c r="O358" s="54"/>
      <c r="P358" s="54"/>
      <c r="Q358" s="54"/>
      <c r="R358" s="54"/>
      <c r="S358" s="54"/>
      <c r="T358" s="54"/>
      <c r="U358" s="54"/>
      <c r="V358" s="54"/>
      <c r="W358" s="54"/>
      <c r="X358" s="54"/>
      <c r="Y358" s="54"/>
      <c r="Z358" s="54"/>
      <c r="AA358" s="54"/>
      <c r="AB358" s="45"/>
      <c r="AC358" s="45"/>
      <c r="AD358" s="45"/>
      <c r="AE358" s="45"/>
      <c r="AF358" s="45"/>
      <c r="AG358" s="45"/>
      <c r="AH358" s="45"/>
      <c r="AI358" s="45"/>
      <c r="AJ358" s="45"/>
      <c r="AK358" s="45"/>
      <c r="AL358" s="45"/>
      <c r="AM358" s="45"/>
      <c r="AN358" s="45"/>
      <c r="AO358" s="45"/>
      <c r="AP358" s="45"/>
      <c r="AQ358" s="45"/>
      <c r="AR358" s="45"/>
      <c r="AS358" s="45"/>
      <c r="AT358" s="45"/>
      <c r="AU358" s="45"/>
      <c r="AV358" s="54"/>
      <c r="AW358" s="54"/>
      <c r="AX358" s="54"/>
      <c r="AY358" s="54"/>
      <c r="AZ358" s="54"/>
      <c r="BA358" s="54"/>
      <c r="BB358" s="54"/>
      <c r="BC358" s="54"/>
    </row>
    <row r="359" spans="1:55">
      <c r="A359" s="45"/>
      <c r="B359" s="45"/>
      <c r="C359" s="45"/>
      <c r="D359" s="45"/>
      <c r="E359" s="45"/>
      <c r="F359" s="45"/>
      <c r="G359" s="45"/>
      <c r="H359" s="45"/>
      <c r="I359" s="45"/>
      <c r="J359" s="45"/>
      <c r="K359" s="45"/>
      <c r="L359" s="45"/>
      <c r="M359" s="45"/>
      <c r="N359" s="54"/>
      <c r="O359" s="54"/>
      <c r="P359" s="54"/>
      <c r="Q359" s="54"/>
      <c r="R359" s="54"/>
      <c r="S359" s="54"/>
      <c r="T359" s="54"/>
      <c r="U359" s="54"/>
      <c r="V359" s="54"/>
      <c r="W359" s="54"/>
      <c r="X359" s="54"/>
      <c r="Y359" s="54"/>
      <c r="Z359" s="54"/>
      <c r="AA359" s="54"/>
      <c r="AB359" s="45"/>
      <c r="AC359" s="45"/>
      <c r="AD359" s="45"/>
      <c r="AE359" s="45"/>
      <c r="AF359" s="45"/>
      <c r="AG359" s="45"/>
      <c r="AH359" s="45"/>
      <c r="AI359" s="45"/>
      <c r="AJ359" s="45"/>
      <c r="AK359" s="45"/>
      <c r="AL359" s="45"/>
      <c r="AM359" s="45"/>
      <c r="AN359" s="45"/>
      <c r="AO359" s="45"/>
      <c r="AP359" s="45"/>
      <c r="AQ359" s="45"/>
      <c r="AR359" s="45"/>
      <c r="AS359" s="45"/>
      <c r="AT359" s="45"/>
      <c r="AU359" s="45"/>
      <c r="AV359" s="54"/>
      <c r="AW359" s="54"/>
      <c r="AX359" s="54"/>
      <c r="AY359" s="54"/>
      <c r="AZ359" s="54"/>
      <c r="BA359" s="54"/>
      <c r="BB359" s="54"/>
      <c r="BC359" s="54"/>
    </row>
    <row r="360" spans="1:55">
      <c r="A360" s="45"/>
      <c r="B360" s="45"/>
      <c r="C360" s="45"/>
      <c r="D360" s="45"/>
      <c r="E360" s="45"/>
      <c r="F360" s="45"/>
      <c r="G360" s="45"/>
      <c r="H360" s="45"/>
      <c r="I360" s="45"/>
      <c r="J360" s="45"/>
      <c r="K360" s="45"/>
      <c r="L360" s="45"/>
      <c r="M360" s="45"/>
      <c r="N360" s="54"/>
      <c r="O360" s="54"/>
      <c r="P360" s="54"/>
      <c r="Q360" s="54"/>
      <c r="R360" s="54"/>
      <c r="S360" s="54"/>
      <c r="T360" s="54"/>
      <c r="U360" s="54"/>
      <c r="V360" s="54"/>
      <c r="W360" s="54"/>
      <c r="X360" s="54"/>
      <c r="Y360" s="54"/>
      <c r="Z360" s="54"/>
      <c r="AA360" s="54"/>
      <c r="AB360" s="45"/>
      <c r="AC360" s="45"/>
      <c r="AD360" s="45"/>
      <c r="AE360" s="45"/>
      <c r="AF360" s="45"/>
      <c r="AG360" s="45"/>
      <c r="AH360" s="45"/>
      <c r="AI360" s="45"/>
      <c r="AJ360" s="45"/>
      <c r="AK360" s="45"/>
      <c r="AL360" s="45"/>
      <c r="AM360" s="45"/>
      <c r="AN360" s="45"/>
      <c r="AO360" s="45"/>
      <c r="AP360" s="45"/>
      <c r="AQ360" s="45"/>
      <c r="AR360" s="45"/>
      <c r="AS360" s="45"/>
      <c r="AT360" s="45"/>
      <c r="AU360" s="45"/>
      <c r="AV360" s="54"/>
      <c r="AW360" s="54"/>
      <c r="AX360" s="54"/>
      <c r="AY360" s="54"/>
      <c r="AZ360" s="54"/>
      <c r="BA360" s="54"/>
      <c r="BB360" s="54"/>
      <c r="BC360" s="54"/>
    </row>
    <row r="361" spans="1:55">
      <c r="A361" s="45"/>
      <c r="B361" s="45"/>
      <c r="C361" s="45"/>
      <c r="D361" s="45"/>
      <c r="E361" s="45"/>
      <c r="F361" s="45"/>
      <c r="G361" s="45"/>
      <c r="H361" s="45"/>
      <c r="I361" s="45"/>
      <c r="J361" s="45"/>
      <c r="K361" s="45"/>
      <c r="L361" s="45"/>
      <c r="M361" s="45"/>
      <c r="N361" s="54"/>
      <c r="O361" s="54"/>
      <c r="P361" s="54"/>
      <c r="Q361" s="54"/>
      <c r="R361" s="54"/>
      <c r="S361" s="54"/>
      <c r="T361" s="54"/>
      <c r="U361" s="54"/>
      <c r="V361" s="54"/>
      <c r="W361" s="54"/>
      <c r="X361" s="54"/>
      <c r="Y361" s="54"/>
      <c r="Z361" s="54"/>
      <c r="AA361" s="54"/>
      <c r="AB361" s="45"/>
      <c r="AC361" s="45"/>
      <c r="AD361" s="45"/>
      <c r="AE361" s="45"/>
      <c r="AF361" s="45"/>
      <c r="AG361" s="45"/>
      <c r="AH361" s="45"/>
      <c r="AI361" s="45"/>
      <c r="AJ361" s="45"/>
      <c r="AK361" s="45"/>
      <c r="AL361" s="45"/>
      <c r="AM361" s="45"/>
      <c r="AN361" s="45"/>
      <c r="AO361" s="45"/>
      <c r="AP361" s="45"/>
      <c r="AQ361" s="45"/>
      <c r="AR361" s="45"/>
      <c r="AS361" s="45"/>
      <c r="AT361" s="45"/>
      <c r="AU361" s="45"/>
      <c r="AV361" s="54"/>
      <c r="AW361" s="54"/>
      <c r="AX361" s="54"/>
      <c r="AY361" s="54"/>
      <c r="AZ361" s="54"/>
      <c r="BA361" s="54"/>
      <c r="BB361" s="54"/>
      <c r="BC361" s="54"/>
    </row>
    <row r="362" spans="1:55">
      <c r="A362" s="45"/>
      <c r="B362" s="45"/>
      <c r="C362" s="45"/>
      <c r="D362" s="45"/>
      <c r="E362" s="45"/>
      <c r="F362" s="45"/>
      <c r="G362" s="45"/>
      <c r="H362" s="45"/>
      <c r="I362" s="45"/>
      <c r="J362" s="45"/>
      <c r="K362" s="45"/>
      <c r="L362" s="45"/>
      <c r="M362" s="45"/>
      <c r="N362" s="54"/>
      <c r="O362" s="54"/>
      <c r="P362" s="54"/>
      <c r="Q362" s="54"/>
      <c r="R362" s="54"/>
      <c r="S362" s="54"/>
      <c r="T362" s="54"/>
      <c r="U362" s="54"/>
      <c r="V362" s="54"/>
      <c r="W362" s="54"/>
      <c r="X362" s="54"/>
      <c r="Y362" s="54"/>
      <c r="Z362" s="54"/>
      <c r="AA362" s="54"/>
      <c r="AB362" s="45"/>
      <c r="AC362" s="45"/>
      <c r="AD362" s="45"/>
      <c r="AE362" s="45"/>
      <c r="AF362" s="45"/>
      <c r="AG362" s="45"/>
      <c r="AH362" s="45"/>
      <c r="AI362" s="45"/>
      <c r="AJ362" s="45"/>
      <c r="AK362" s="45"/>
      <c r="AL362" s="45"/>
      <c r="AM362" s="45"/>
      <c r="AN362" s="45"/>
      <c r="AO362" s="45"/>
      <c r="AP362" s="45"/>
      <c r="AQ362" s="45"/>
      <c r="AR362" s="45"/>
      <c r="AS362" s="45"/>
      <c r="AT362" s="45"/>
      <c r="AU362" s="45"/>
      <c r="AV362" s="54"/>
      <c r="AW362" s="54"/>
      <c r="AX362" s="54"/>
      <c r="AY362" s="54"/>
      <c r="AZ362" s="54"/>
      <c r="BA362" s="54"/>
      <c r="BB362" s="54"/>
      <c r="BC362" s="54"/>
    </row>
    <row r="363" spans="1:55">
      <c r="A363" s="45"/>
      <c r="B363" s="45"/>
      <c r="C363" s="45"/>
      <c r="D363" s="45"/>
      <c r="E363" s="45"/>
      <c r="F363" s="45"/>
      <c r="G363" s="45"/>
      <c r="H363" s="45"/>
      <c r="I363" s="45"/>
      <c r="J363" s="45"/>
      <c r="K363" s="45"/>
      <c r="L363" s="45"/>
      <c r="M363" s="45"/>
      <c r="N363" s="54"/>
      <c r="O363" s="54"/>
      <c r="P363" s="54"/>
      <c r="Q363" s="54"/>
      <c r="R363" s="54"/>
      <c r="S363" s="54"/>
      <c r="T363" s="54"/>
      <c r="U363" s="54"/>
      <c r="V363" s="54"/>
      <c r="W363" s="54"/>
      <c r="X363" s="54"/>
      <c r="Y363" s="54"/>
      <c r="Z363" s="54"/>
      <c r="AA363" s="54"/>
      <c r="AB363" s="45"/>
      <c r="AC363" s="45"/>
      <c r="AD363" s="45"/>
      <c r="AE363" s="45"/>
      <c r="AF363" s="45"/>
      <c r="AG363" s="45"/>
      <c r="AH363" s="45"/>
      <c r="AI363" s="45"/>
      <c r="AJ363" s="45"/>
      <c r="AK363" s="45"/>
      <c r="AL363" s="45"/>
      <c r="AM363" s="45"/>
      <c r="AN363" s="45"/>
      <c r="AO363" s="45"/>
      <c r="AP363" s="45"/>
      <c r="AQ363" s="45"/>
      <c r="AR363" s="45"/>
      <c r="AS363" s="45"/>
      <c r="AT363" s="45"/>
      <c r="AU363" s="45"/>
      <c r="AV363" s="54"/>
      <c r="AW363" s="54"/>
      <c r="AX363" s="54"/>
      <c r="AY363" s="54"/>
      <c r="AZ363" s="54"/>
      <c r="BA363" s="54"/>
      <c r="BB363" s="54"/>
      <c r="BC363" s="54"/>
    </row>
    <row r="364" spans="1:55">
      <c r="A364" s="45"/>
      <c r="B364" s="45"/>
      <c r="C364" s="45"/>
      <c r="D364" s="45"/>
      <c r="E364" s="45"/>
      <c r="F364" s="45"/>
      <c r="G364" s="45"/>
      <c r="H364" s="45"/>
      <c r="I364" s="45"/>
      <c r="J364" s="45"/>
      <c r="K364" s="45"/>
      <c r="L364" s="45"/>
      <c r="M364" s="45"/>
      <c r="N364" s="45"/>
      <c r="O364" s="54"/>
      <c r="P364" s="54"/>
      <c r="Q364" s="54"/>
      <c r="R364" s="54"/>
      <c r="S364" s="54"/>
      <c r="T364" s="54"/>
      <c r="U364" s="54"/>
      <c r="V364" s="54"/>
      <c r="W364" s="54"/>
      <c r="X364" s="54"/>
      <c r="Y364" s="54"/>
      <c r="Z364" s="54"/>
      <c r="AA364" s="54"/>
      <c r="AB364" s="45"/>
      <c r="AC364" s="45"/>
      <c r="AD364" s="45"/>
      <c r="AE364" s="45"/>
      <c r="AF364" s="45"/>
      <c r="AG364" s="45"/>
      <c r="AH364" s="45"/>
      <c r="AI364" s="45"/>
      <c r="AJ364" s="45"/>
      <c r="AK364" s="45"/>
      <c r="AL364" s="45"/>
      <c r="AM364" s="45"/>
      <c r="AN364" s="45"/>
      <c r="AO364" s="45"/>
      <c r="AP364" s="45"/>
      <c r="AQ364" s="45"/>
      <c r="AR364" s="45"/>
      <c r="AS364" s="45"/>
      <c r="AT364" s="45"/>
      <c r="AU364" s="45"/>
      <c r="AV364" s="45"/>
      <c r="AW364" s="54"/>
      <c r="AX364" s="54"/>
      <c r="AY364" s="54"/>
      <c r="AZ364" s="54"/>
      <c r="BA364" s="54"/>
      <c r="BB364" s="54"/>
      <c r="BC364" s="54"/>
    </row>
    <row r="365" spans="1:55">
      <c r="A365" s="45"/>
      <c r="B365" s="45"/>
      <c r="C365" s="45"/>
      <c r="D365" s="45"/>
      <c r="E365" s="45"/>
      <c r="F365" s="45"/>
      <c r="G365" s="45"/>
      <c r="H365" s="45"/>
      <c r="I365" s="45"/>
      <c r="J365" s="45"/>
      <c r="K365" s="45"/>
      <c r="L365" s="45"/>
      <c r="M365" s="45"/>
      <c r="N365" s="45"/>
      <c r="O365" s="54"/>
      <c r="P365" s="54"/>
      <c r="Q365" s="54"/>
      <c r="R365" s="54"/>
      <c r="S365" s="54"/>
      <c r="T365" s="54"/>
      <c r="U365" s="54"/>
      <c r="V365" s="54"/>
      <c r="W365" s="54"/>
      <c r="X365" s="54"/>
      <c r="Y365" s="54"/>
      <c r="Z365" s="54"/>
      <c r="AA365" s="54"/>
      <c r="AB365" s="45"/>
      <c r="AC365" s="45"/>
      <c r="AD365" s="45"/>
      <c r="AE365" s="45"/>
      <c r="AF365" s="45"/>
      <c r="AG365" s="45"/>
      <c r="AH365" s="45"/>
      <c r="AI365" s="45"/>
      <c r="AJ365" s="45"/>
      <c r="AK365" s="45"/>
      <c r="AL365" s="45"/>
      <c r="AM365" s="45"/>
      <c r="AN365" s="45"/>
      <c r="AO365" s="45"/>
      <c r="AP365" s="45"/>
      <c r="AQ365" s="45"/>
      <c r="AR365" s="45"/>
      <c r="AS365" s="45"/>
      <c r="AT365" s="45"/>
      <c r="AU365" s="45"/>
      <c r="AV365" s="45"/>
      <c r="AW365" s="54"/>
      <c r="AX365" s="54"/>
      <c r="AY365" s="54"/>
      <c r="AZ365" s="54"/>
      <c r="BA365" s="54"/>
      <c r="BB365" s="54"/>
      <c r="BC365" s="54"/>
    </row>
    <row r="366" spans="1:55">
      <c r="A366" s="45"/>
      <c r="B366" s="2410"/>
      <c r="C366" s="2511"/>
      <c r="D366" s="2511"/>
      <c r="E366" s="2511"/>
      <c r="F366" s="2511"/>
      <c r="G366" s="2511"/>
      <c r="H366" s="2511"/>
      <c r="I366" s="2511"/>
      <c r="J366" s="2511"/>
      <c r="K366" s="2511"/>
      <c r="L366" s="2511"/>
      <c r="M366" s="2511"/>
      <c r="N366" s="2512"/>
      <c r="O366" s="54"/>
      <c r="P366" s="54"/>
      <c r="Q366" s="54"/>
      <c r="R366" s="54"/>
      <c r="S366" s="188"/>
      <c r="T366" s="23"/>
      <c r="U366" s="23"/>
      <c r="V366" s="23"/>
      <c r="W366" s="23"/>
      <c r="X366" s="23"/>
      <c r="Y366" s="23"/>
      <c r="Z366" s="23"/>
      <c r="AA366" s="23"/>
      <c r="AB366" s="23"/>
      <c r="AC366" s="23"/>
      <c r="AD366" s="23"/>
      <c r="AE366" s="189"/>
      <c r="AF366" s="45"/>
      <c r="AG366" s="45"/>
      <c r="AH366" s="45"/>
      <c r="AI366" s="45"/>
      <c r="AJ366" s="188"/>
      <c r="AK366" s="23"/>
      <c r="AL366" s="23"/>
      <c r="AM366" s="23"/>
      <c r="AN366" s="23"/>
      <c r="AO366" s="23"/>
      <c r="AP366" s="23"/>
      <c r="AQ366" s="23"/>
      <c r="AR366" s="23"/>
      <c r="AS366" s="23"/>
      <c r="AT366" s="23"/>
      <c r="AU366" s="23"/>
      <c r="AV366" s="189"/>
      <c r="AW366" s="54"/>
      <c r="AX366" s="54"/>
      <c r="AY366" s="54"/>
      <c r="AZ366" s="54"/>
      <c r="BA366" s="54"/>
      <c r="BB366" s="54"/>
      <c r="BC366" s="54"/>
    </row>
    <row r="367" spans="1:55" ht="13.15">
      <c r="A367" s="45"/>
      <c r="B367" s="1720"/>
      <c r="C367" s="2548" t="s">
        <v>1525</v>
      </c>
      <c r="D367" s="2750"/>
      <c r="E367" s="2750"/>
      <c r="F367" s="2420"/>
      <c r="G367" s="2420"/>
      <c r="H367" s="2420"/>
      <c r="I367" s="2420"/>
      <c r="J367" s="2420"/>
      <c r="K367" s="2420"/>
      <c r="L367" s="2420"/>
      <c r="M367" s="2420"/>
      <c r="N367" s="2520"/>
      <c r="O367" s="54"/>
      <c r="P367" s="54"/>
      <c r="Q367" s="54"/>
      <c r="R367" s="54"/>
      <c r="S367" s="190"/>
      <c r="T367" s="124" t="s">
        <v>1525</v>
      </c>
      <c r="U367" s="125"/>
      <c r="V367" s="125"/>
      <c r="W367" s="49"/>
      <c r="X367" s="49"/>
      <c r="Y367" s="49"/>
      <c r="Z367" s="49"/>
      <c r="AA367" s="49"/>
      <c r="AB367" s="49"/>
      <c r="AC367" s="49"/>
      <c r="AD367" s="49"/>
      <c r="AE367" s="199"/>
      <c r="AF367" s="45"/>
      <c r="AG367" s="45"/>
      <c r="AH367" s="45"/>
      <c r="AI367" s="45"/>
      <c r="AJ367" s="190"/>
      <c r="AK367" s="124" t="s">
        <v>1525</v>
      </c>
      <c r="AL367" s="125"/>
      <c r="AM367" s="125"/>
      <c r="AN367" s="49"/>
      <c r="AO367" s="49"/>
      <c r="AP367" s="49"/>
      <c r="AQ367" s="49"/>
      <c r="AR367" s="49"/>
      <c r="AS367" s="49"/>
      <c r="AT367" s="49"/>
      <c r="AU367" s="49"/>
      <c r="AV367" s="199"/>
      <c r="AW367" s="54"/>
      <c r="AX367" s="54"/>
      <c r="AY367" s="54"/>
      <c r="AZ367" s="54"/>
      <c r="BA367" s="54"/>
      <c r="BB367" s="54"/>
      <c r="BC367" s="54"/>
    </row>
    <row r="368" spans="1:55" ht="13.15">
      <c r="A368" s="45"/>
      <c r="B368" s="1720"/>
      <c r="C368" s="3935" t="s">
        <v>1526</v>
      </c>
      <c r="D368" s="3935"/>
      <c r="E368" s="3935"/>
      <c r="F368" s="3935"/>
      <c r="G368" s="3935"/>
      <c r="H368" s="3935"/>
      <c r="I368" s="3935"/>
      <c r="J368" s="3935"/>
      <c r="K368" s="3935"/>
      <c r="L368" s="3935"/>
      <c r="M368" s="3935"/>
      <c r="N368" s="2598"/>
      <c r="O368" s="54"/>
      <c r="P368" s="54"/>
      <c r="Q368" s="54"/>
      <c r="R368" s="54"/>
      <c r="S368" s="190"/>
      <c r="T368" s="3964" t="s">
        <v>1526</v>
      </c>
      <c r="U368" s="3964"/>
      <c r="V368" s="3964"/>
      <c r="W368" s="3964"/>
      <c r="X368" s="3964"/>
      <c r="Y368" s="3964"/>
      <c r="Z368" s="3964"/>
      <c r="AA368" s="3964"/>
      <c r="AB368" s="3964"/>
      <c r="AC368" s="3964"/>
      <c r="AD368" s="3964"/>
      <c r="AE368" s="439"/>
      <c r="AF368" s="45"/>
      <c r="AG368" s="45"/>
      <c r="AH368" s="45"/>
      <c r="AI368" s="45"/>
      <c r="AJ368" s="190"/>
      <c r="AK368" s="3964" t="s">
        <v>1526</v>
      </c>
      <c r="AL368" s="3964"/>
      <c r="AM368" s="3964"/>
      <c r="AN368" s="3964"/>
      <c r="AO368" s="3964"/>
      <c r="AP368" s="3964"/>
      <c r="AQ368" s="3964"/>
      <c r="AR368" s="3964"/>
      <c r="AS368" s="3964"/>
      <c r="AT368" s="3964"/>
      <c r="AU368" s="3964"/>
      <c r="AV368" s="439"/>
      <c r="AW368" s="54"/>
      <c r="AX368" s="54"/>
      <c r="AY368" s="54"/>
      <c r="AZ368" s="54"/>
      <c r="BA368" s="54"/>
      <c r="BB368" s="54"/>
      <c r="BC368" s="54"/>
    </row>
    <row r="369" spans="1:55" ht="13.15">
      <c r="A369" s="45"/>
      <c r="B369" s="1720"/>
      <c r="C369" s="2513"/>
      <c r="D369" s="2513"/>
      <c r="E369" s="2751"/>
      <c r="F369" s="2420"/>
      <c r="G369" s="2420"/>
      <c r="H369" s="2420"/>
      <c r="I369" s="2420"/>
      <c r="J369" s="2420"/>
      <c r="K369" s="2420"/>
      <c r="L369" s="2420"/>
      <c r="M369" s="2420"/>
      <c r="N369" s="2520"/>
      <c r="O369" s="54"/>
      <c r="P369" s="54"/>
      <c r="Q369" s="54"/>
      <c r="R369" s="54"/>
      <c r="S369" s="190"/>
      <c r="T369" s="1"/>
      <c r="U369" s="1"/>
      <c r="V369" s="48"/>
      <c r="W369" s="49"/>
      <c r="X369" s="49"/>
      <c r="Y369" s="49"/>
      <c r="Z369" s="49"/>
      <c r="AA369" s="49"/>
      <c r="AB369" s="49"/>
      <c r="AC369" s="49"/>
      <c r="AD369" s="49"/>
      <c r="AE369" s="199"/>
      <c r="AF369" s="45"/>
      <c r="AG369" s="45"/>
      <c r="AH369" s="45"/>
      <c r="AI369" s="45"/>
      <c r="AJ369" s="190"/>
      <c r="AK369" s="1"/>
      <c r="AL369" s="1"/>
      <c r="AM369" s="48"/>
      <c r="AN369" s="49"/>
      <c r="AO369" s="49"/>
      <c r="AP369" s="49"/>
      <c r="AQ369" s="49"/>
      <c r="AR369" s="49"/>
      <c r="AS369" s="49"/>
      <c r="AT369" s="49"/>
      <c r="AU369" s="49"/>
      <c r="AV369" s="199"/>
      <c r="AW369" s="54"/>
      <c r="AX369" s="54"/>
      <c r="AY369" s="54"/>
      <c r="AZ369" s="54"/>
      <c r="BA369" s="54"/>
      <c r="BB369" s="54"/>
      <c r="BC369" s="54"/>
    </row>
    <row r="370" spans="1:55" ht="15">
      <c r="A370" s="45"/>
      <c r="B370" s="1720"/>
      <c r="C370" s="2418" t="str">
        <f>"Country: " &amp;UPPER(Country)</f>
        <v>Country: SWEDEN</v>
      </c>
      <c r="D370" s="2751"/>
      <c r="E370" s="2751"/>
      <c r="F370" s="2420"/>
      <c r="G370" s="2420"/>
      <c r="H370" s="2420"/>
      <c r="I370" s="2420"/>
      <c r="J370" s="2420"/>
      <c r="K370" s="2420"/>
      <c r="L370" s="2420"/>
      <c r="M370" s="2420"/>
      <c r="N370" s="2520"/>
      <c r="O370" s="54"/>
      <c r="P370" s="54"/>
      <c r="Q370" s="54"/>
      <c r="R370" s="54"/>
      <c r="S370" s="190"/>
      <c r="T370" s="63" t="str">
        <f>"Country: " &amp;UPPER(Country)</f>
        <v>Country: SWEDEN</v>
      </c>
      <c r="U370" s="48"/>
      <c r="V370" s="48"/>
      <c r="W370" s="2066" t="s">
        <v>1553</v>
      </c>
      <c r="X370" s="49"/>
      <c r="Y370" s="49"/>
      <c r="Z370" s="49"/>
      <c r="AA370" s="49"/>
      <c r="AB370" s="49"/>
      <c r="AC370" s="49"/>
      <c r="AD370" s="49"/>
      <c r="AE370" s="199"/>
      <c r="AF370" s="45"/>
      <c r="AG370" s="45"/>
      <c r="AH370" s="45"/>
      <c r="AI370" s="45"/>
      <c r="AJ370" s="190"/>
      <c r="AK370" s="63" t="str">
        <f>"Country: " &amp;UPPER(Country)</f>
        <v>Country: SWEDEN</v>
      </c>
      <c r="AL370" s="48"/>
      <c r="AM370" s="48"/>
      <c r="AN370" s="49"/>
      <c r="AO370" s="49"/>
      <c r="AP370" s="49"/>
      <c r="AQ370" s="49"/>
      <c r="AR370" s="49"/>
      <c r="AS370" s="49"/>
      <c r="AT370" s="49"/>
      <c r="AU370" s="49"/>
      <c r="AV370" s="199"/>
      <c r="AW370" s="54"/>
      <c r="AX370" s="54"/>
      <c r="AY370" s="54"/>
      <c r="AZ370" s="54"/>
      <c r="BA370" s="54"/>
      <c r="BB370" s="54"/>
      <c r="BC370" s="54"/>
    </row>
    <row r="371" spans="1:55" ht="15">
      <c r="A371" s="45"/>
      <c r="B371" s="1720"/>
      <c r="C371" s="2418" t="str">
        <f>"Currency unit: " &amp; Currency</f>
        <v>Currency unit: bn SEK</v>
      </c>
      <c r="D371" s="2418"/>
      <c r="E371" s="2418"/>
      <c r="F371" s="2420"/>
      <c r="G371" s="2420"/>
      <c r="H371" s="2420"/>
      <c r="I371" s="2420"/>
      <c r="J371" s="2513"/>
      <c r="K371" s="2513"/>
      <c r="L371" s="2513"/>
      <c r="M371" s="2513"/>
      <c r="N371" s="1719"/>
      <c r="O371" s="54"/>
      <c r="P371" s="54"/>
      <c r="Q371" s="54"/>
      <c r="R371" s="54"/>
      <c r="S371" s="190"/>
      <c r="T371" s="63" t="str">
        <f>"Currency unit: " &amp; Currency</f>
        <v>Currency unit: bn SEK</v>
      </c>
      <c r="U371" s="130"/>
      <c r="V371" s="130"/>
      <c r="W371" s="2066" t="str">
        <f>$T$4</f>
        <v>final storage SF18</v>
      </c>
      <c r="X371" s="49"/>
      <c r="Y371" s="49"/>
      <c r="Z371" s="49"/>
      <c r="AA371" s="1"/>
      <c r="AB371" s="1"/>
      <c r="AC371" s="1"/>
      <c r="AD371" s="1"/>
      <c r="AE371" s="90"/>
      <c r="AF371" s="45"/>
      <c r="AG371" s="45"/>
      <c r="AH371" s="45"/>
      <c r="AI371" s="45"/>
      <c r="AJ371" s="190"/>
      <c r="AK371" s="63" t="str">
        <f>"Currency unit: " &amp; Currency</f>
        <v>Currency unit: bn SEK</v>
      </c>
      <c r="AL371" s="130"/>
      <c r="AM371" s="130"/>
      <c r="AN371" s="49"/>
      <c r="AO371" s="49"/>
      <c r="AP371" s="49"/>
      <c r="AQ371" s="49"/>
      <c r="AR371" s="1"/>
      <c r="AS371" s="1"/>
      <c r="AT371" s="1"/>
      <c r="AU371" s="1"/>
      <c r="AV371" s="90"/>
      <c r="AW371" s="54"/>
      <c r="AX371" s="54"/>
      <c r="AY371" s="54"/>
      <c r="AZ371" s="54"/>
      <c r="BA371" s="54"/>
      <c r="BB371" s="54"/>
      <c r="BC371" s="54"/>
    </row>
    <row r="372" spans="1:55" ht="13.15" thickBot="1">
      <c r="A372" s="45"/>
      <c r="B372" s="1720"/>
      <c r="C372" s="2424" t="s">
        <v>576</v>
      </c>
      <c r="D372" s="2420"/>
      <c r="E372" s="2420"/>
      <c r="F372" s="2420"/>
      <c r="G372" s="2420"/>
      <c r="H372" s="2420"/>
      <c r="I372" s="2420"/>
      <c r="J372" s="2513"/>
      <c r="K372" s="2770"/>
      <c r="L372" s="3878">
        <f ca="1">NOW()</f>
        <v>43493.476067824071</v>
      </c>
      <c r="M372" s="3878"/>
      <c r="N372" s="2670"/>
      <c r="O372" s="54"/>
      <c r="P372" s="54"/>
      <c r="Q372" s="54"/>
      <c r="R372" s="54"/>
      <c r="S372" s="190"/>
      <c r="T372" s="69" t="s">
        <v>576</v>
      </c>
      <c r="U372" s="49"/>
      <c r="V372" s="49"/>
      <c r="W372" s="49"/>
      <c r="X372" s="49"/>
      <c r="Y372" s="49"/>
      <c r="Z372" s="49"/>
      <c r="AA372" s="1"/>
      <c r="AC372" s="3879">
        <f ca="1">NOW()</f>
        <v>43493.476067824071</v>
      </c>
      <c r="AD372" s="3879"/>
      <c r="AE372" s="337"/>
      <c r="AF372" s="45"/>
      <c r="AG372" s="45"/>
      <c r="AH372" s="45"/>
      <c r="AI372" s="45"/>
      <c r="AJ372" s="190"/>
      <c r="AK372" s="69" t="s">
        <v>576</v>
      </c>
      <c r="AL372" s="49"/>
      <c r="AM372" s="49"/>
      <c r="AN372" s="49"/>
      <c r="AO372" s="49"/>
      <c r="AP372" s="49"/>
      <c r="AQ372" s="49"/>
      <c r="AR372" s="1"/>
      <c r="AT372" s="3879">
        <f ca="1">NOW()</f>
        <v>43493.476067824071</v>
      </c>
      <c r="AU372" s="3879"/>
      <c r="AV372" s="337"/>
      <c r="AW372" s="54"/>
      <c r="AX372" s="54"/>
      <c r="AY372" s="54"/>
      <c r="AZ372" s="54"/>
      <c r="BA372" s="54"/>
      <c r="BB372" s="54"/>
      <c r="BC372" s="54"/>
    </row>
    <row r="373" spans="1:55" ht="13.15">
      <c r="A373" s="45"/>
      <c r="B373" s="1720"/>
      <c r="C373" s="2426"/>
      <c r="D373" s="2701"/>
      <c r="E373" s="2473" t="s">
        <v>576</v>
      </c>
      <c r="F373" s="3897">
        <f>E16</f>
        <v>2017</v>
      </c>
      <c r="G373" s="3898"/>
      <c r="H373" s="3969">
        <f>F373+1</f>
        <v>2018</v>
      </c>
      <c r="I373" s="3970"/>
      <c r="J373" s="3976">
        <f>H373+1</f>
        <v>2019</v>
      </c>
      <c r="K373" s="3970"/>
      <c r="L373" s="3969">
        <f>J373+1</f>
        <v>2020</v>
      </c>
      <c r="M373" s="3971"/>
      <c r="N373" s="2673"/>
      <c r="O373" s="54"/>
      <c r="P373" s="54"/>
      <c r="Q373" s="54"/>
      <c r="R373" s="54"/>
      <c r="S373" s="190"/>
      <c r="T373" s="72"/>
      <c r="U373" s="419"/>
      <c r="V373" s="420" t="s">
        <v>576</v>
      </c>
      <c r="W373" s="421">
        <f>Last_forecast_year - 3</f>
        <v>2017</v>
      </c>
      <c r="X373" s="75"/>
      <c r="Y373" s="3972">
        <f>W373+1</f>
        <v>2018</v>
      </c>
      <c r="Z373" s="3974"/>
      <c r="AA373" s="3975">
        <f>Y373+1</f>
        <v>2019</v>
      </c>
      <c r="AB373" s="3974"/>
      <c r="AC373" s="3972">
        <f>AA373+1</f>
        <v>2020</v>
      </c>
      <c r="AD373" s="3973"/>
      <c r="AE373" s="440"/>
      <c r="AF373" s="45"/>
      <c r="AG373" s="45"/>
      <c r="AH373" s="45"/>
      <c r="AI373" s="45"/>
      <c r="AJ373" s="190"/>
      <c r="AK373" s="72"/>
      <c r="AL373" s="419"/>
      <c r="AM373" s="420" t="s">
        <v>576</v>
      </c>
      <c r="AN373" s="421">
        <f>Last_forecast_year - 3</f>
        <v>2017</v>
      </c>
      <c r="AO373" s="75"/>
      <c r="AP373" s="3972">
        <f>AN373+1</f>
        <v>2018</v>
      </c>
      <c r="AQ373" s="3974"/>
      <c r="AR373" s="3975">
        <f>AP373+1</f>
        <v>2019</v>
      </c>
      <c r="AS373" s="3974"/>
      <c r="AT373" s="3972">
        <f>AR373+1</f>
        <v>2020</v>
      </c>
      <c r="AU373" s="3973"/>
      <c r="AV373" s="440"/>
      <c r="AW373" s="54"/>
      <c r="AX373" s="54"/>
      <c r="AY373" s="54"/>
      <c r="AZ373" s="54"/>
      <c r="BA373" s="54"/>
      <c r="BB373" s="54"/>
      <c r="BC373" s="54"/>
    </row>
    <row r="374" spans="1:55" ht="13.15">
      <c r="A374" s="45"/>
      <c r="B374" s="1720"/>
      <c r="C374" s="1721"/>
      <c r="D374" s="2752"/>
      <c r="E374" s="2605" t="s">
        <v>1527</v>
      </c>
      <c r="F374" s="2709" t="s">
        <v>577</v>
      </c>
      <c r="G374" s="2710" t="s">
        <v>1220</v>
      </c>
      <c r="H374" s="2709" t="s">
        <v>577</v>
      </c>
      <c r="I374" s="2710" t="s">
        <v>1220</v>
      </c>
      <c r="J374" s="2709" t="s">
        <v>577</v>
      </c>
      <c r="K374" s="2710" t="s">
        <v>1220</v>
      </c>
      <c r="L374" s="2709" t="s">
        <v>577</v>
      </c>
      <c r="M374" s="2711" t="s">
        <v>1220</v>
      </c>
      <c r="N374" s="2729"/>
      <c r="O374" s="54"/>
      <c r="P374" s="54"/>
      <c r="Q374" s="54"/>
      <c r="R374" s="54"/>
      <c r="S374" s="190"/>
      <c r="T374" s="101"/>
      <c r="U374" s="422"/>
      <c r="V374" s="433" t="s">
        <v>1527</v>
      </c>
      <c r="W374" s="390" t="s">
        <v>577</v>
      </c>
      <c r="X374" s="391" t="s">
        <v>1220</v>
      </c>
      <c r="Y374" s="390" t="s">
        <v>577</v>
      </c>
      <c r="Z374" s="391" t="s">
        <v>1220</v>
      </c>
      <c r="AA374" s="390" t="s">
        <v>577</v>
      </c>
      <c r="AB374" s="391" t="s">
        <v>1220</v>
      </c>
      <c r="AC374" s="390" t="s">
        <v>577</v>
      </c>
      <c r="AD374" s="392" t="s">
        <v>1220</v>
      </c>
      <c r="AE374" s="393"/>
      <c r="AF374" s="45"/>
      <c r="AG374" s="45"/>
      <c r="AH374" s="45"/>
      <c r="AI374" s="45"/>
      <c r="AJ374" s="190"/>
      <c r="AK374" s="101"/>
      <c r="AL374" s="422"/>
      <c r="AM374" s="433" t="s">
        <v>1527</v>
      </c>
      <c r="AN374" s="390" t="s">
        <v>577</v>
      </c>
      <c r="AO374" s="391" t="s">
        <v>1220</v>
      </c>
      <c r="AP374" s="390" t="s">
        <v>577</v>
      </c>
      <c r="AQ374" s="391" t="s">
        <v>1220</v>
      </c>
      <c r="AR374" s="390" t="s">
        <v>577</v>
      </c>
      <c r="AS374" s="391" t="s">
        <v>1220</v>
      </c>
      <c r="AT374" s="390" t="s">
        <v>577</v>
      </c>
      <c r="AU374" s="392" t="s">
        <v>1220</v>
      </c>
      <c r="AV374" s="393"/>
      <c r="AW374" s="54"/>
      <c r="AX374" s="54"/>
      <c r="AY374" s="54"/>
      <c r="AZ374" s="54"/>
      <c r="BA374" s="54"/>
      <c r="BB374" s="54"/>
      <c r="BC374" s="54"/>
    </row>
    <row r="375" spans="1:55" ht="13.15">
      <c r="A375" s="45"/>
      <c r="B375" s="1720"/>
      <c r="C375" s="2753" t="s">
        <v>1528</v>
      </c>
      <c r="D375" s="2414"/>
      <c r="E375" s="2754" t="s">
        <v>1886</v>
      </c>
      <c r="F375" s="2696">
        <f ca="1">Transfer!D200</f>
        <v>2894.855</v>
      </c>
      <c r="G375" s="2755">
        <f ca="1">100*((Transfer!D200/Transfer!C200)-1)</f>
        <v>4.2412656207689192</v>
      </c>
      <c r="H375" s="2696">
        <f ca="1">Transfer!E200</f>
        <v>3044.7155677528813</v>
      </c>
      <c r="I375" s="2696">
        <f ca="1">100*((Transfer!E200/Transfer!D200)-1)</f>
        <v>5.1767901243026326</v>
      </c>
      <c r="J375" s="2696">
        <f ca="1">Transfer!F200</f>
        <v>3157.6266520075574</v>
      </c>
      <c r="K375" s="2696">
        <f ca="1">100*((Transfer!F200/Transfer!E200)-1)</f>
        <v>3.7084279875117865</v>
      </c>
      <c r="L375" s="2696">
        <f ca="1">Transfer!G200</f>
        <v>3269.271878208453</v>
      </c>
      <c r="M375" s="2771">
        <f ca="1">100*((Transfer!G200/Transfer!F200)-1)</f>
        <v>3.5357323238297989</v>
      </c>
      <c r="N375" s="2528"/>
      <c r="O375" s="54"/>
      <c r="P375" s="54"/>
      <c r="Q375" s="54"/>
      <c r="R375" s="54"/>
      <c r="S375" s="190"/>
      <c r="T375" s="424" t="s">
        <v>1528</v>
      </c>
      <c r="U375" s="59"/>
      <c r="V375" s="425" t="s">
        <v>1886</v>
      </c>
      <c r="W375" s="426">
        <f t="shared" ref="W375:AD389" ca="1" si="24">ROUND(F375,1)-ROUND(AN375,1)</f>
        <v>111.20000000000027</v>
      </c>
      <c r="X375" s="426">
        <f t="shared" ca="1" si="24"/>
        <v>0</v>
      </c>
      <c r="Y375" s="426">
        <f t="shared" ca="1" si="24"/>
        <v>139.39999999999964</v>
      </c>
      <c r="Z375" s="426">
        <f t="shared" ca="1" si="24"/>
        <v>0.79999999999999982</v>
      </c>
      <c r="AA375" s="426">
        <f t="shared" ca="1" si="24"/>
        <v>107.59999999999991</v>
      </c>
      <c r="AB375" s="426">
        <f t="shared" ca="1" si="24"/>
        <v>-1.2999999999999998</v>
      </c>
      <c r="AC375" s="426">
        <f t="shared" ca="1" si="24"/>
        <v>82</v>
      </c>
      <c r="AD375" s="441">
        <f t="shared" ca="1" si="24"/>
        <v>-1</v>
      </c>
      <c r="AE375" s="442"/>
      <c r="AF375" s="45"/>
      <c r="AG375" s="45"/>
      <c r="AH375" s="45"/>
      <c r="AI375" s="45"/>
      <c r="AJ375" s="190"/>
      <c r="AK375" s="424" t="s">
        <v>1528</v>
      </c>
      <c r="AL375" s="59"/>
      <c r="AM375" s="425" t="s">
        <v>1886</v>
      </c>
      <c r="AN375" s="2117">
        <f>Transfer!AD200</f>
        <v>2783.67</v>
      </c>
      <c r="AO375" s="2118">
        <f>100*((Transfer!AD200/Transfer!AC200)-1)</f>
        <v>4.1931484883465098</v>
      </c>
      <c r="AP375" s="2117">
        <f>Transfer!AE200</f>
        <v>2905.268</v>
      </c>
      <c r="AQ375" s="2117">
        <f>100*((Transfer!AE200/Transfer!AD200)-1)</f>
        <v>4.3682620425553376</v>
      </c>
      <c r="AR375" s="2117">
        <f>Transfer!AF200</f>
        <v>3049.9818118987296</v>
      </c>
      <c r="AS375" s="2117">
        <f>100*((Transfer!AF200/Transfer!AE200)-1)</f>
        <v>4.9810830497816205</v>
      </c>
      <c r="AT375" s="2117">
        <f>Transfer!AG200</f>
        <v>3187.273061867676</v>
      </c>
      <c r="AU375" s="2075">
        <f>100*((Transfer!AG200/Transfer!AF200)-1)</f>
        <v>4.5013793011269509</v>
      </c>
      <c r="AV375" s="442"/>
      <c r="AW375" s="54"/>
      <c r="AX375" s="54"/>
      <c r="AY375" s="54"/>
      <c r="AZ375" s="54"/>
      <c r="BA375" s="1751" t="s">
        <v>55</v>
      </c>
      <c r="BB375" s="1752"/>
      <c r="BC375" s="54"/>
    </row>
    <row r="376" spans="1:55">
      <c r="A376" s="45"/>
      <c r="B376" s="1720"/>
      <c r="C376" s="1721" t="s">
        <v>1529</v>
      </c>
      <c r="D376" s="2520"/>
      <c r="E376" s="2589" t="s">
        <v>1530</v>
      </c>
      <c r="F376" s="2521">
        <f ca="1">Transfer!D201</f>
        <v>43.216999999999999</v>
      </c>
      <c r="G376" s="2758">
        <f ca="1">100*((Transfer!D201/Transfer!C201)-1)</f>
        <v>-0.19860055885273509</v>
      </c>
      <c r="H376" s="2521">
        <f ca="1">Transfer!E201</f>
        <v>44.081339999999997</v>
      </c>
      <c r="I376" s="2521">
        <f ca="1">100*((Transfer!E201/Transfer!D201)-1)</f>
        <v>2.0000000000000018</v>
      </c>
      <c r="J376" s="2521">
        <f ca="1">Transfer!F201</f>
        <v>44.962966799999997</v>
      </c>
      <c r="K376" s="2521">
        <f ca="1">100*((Transfer!F201/Transfer!E201)-1)</f>
        <v>2.0000000000000018</v>
      </c>
      <c r="L376" s="2521">
        <f ca="1">Transfer!G201</f>
        <v>45.862226135999997</v>
      </c>
      <c r="M376" s="2522">
        <f ca="1">100*((Transfer!G201/Transfer!F201)-1)</f>
        <v>2.0000000000000018</v>
      </c>
      <c r="N376" s="2520"/>
      <c r="O376" s="54"/>
      <c r="P376" s="54"/>
      <c r="Q376" s="54"/>
      <c r="R376" s="54"/>
      <c r="S376" s="190"/>
      <c r="T376" s="101" t="s">
        <v>1529</v>
      </c>
      <c r="U376" s="199"/>
      <c r="V376" s="254" t="s">
        <v>1530</v>
      </c>
      <c r="W376" s="245">
        <f t="shared" ca="1" si="24"/>
        <v>-9.9999999999994316E-2</v>
      </c>
      <c r="X376" s="245">
        <f t="shared" ca="1" si="24"/>
        <v>-6.9</v>
      </c>
      <c r="Y376" s="245">
        <f t="shared" ca="1" si="24"/>
        <v>0.60000000000000142</v>
      </c>
      <c r="Z376" s="245">
        <f t="shared" ca="1" si="24"/>
        <v>1.5</v>
      </c>
      <c r="AA376" s="245">
        <f t="shared" ca="1" si="24"/>
        <v>0.60000000000000142</v>
      </c>
      <c r="AB376" s="245">
        <f t="shared" ca="1" si="24"/>
        <v>0</v>
      </c>
      <c r="AC376" s="245">
        <f t="shared" ca="1" si="24"/>
        <v>0.60000000000000142</v>
      </c>
      <c r="AD376" s="320">
        <f t="shared" ca="1" si="24"/>
        <v>0</v>
      </c>
      <c r="AE376" s="199"/>
      <c r="AF376" s="45"/>
      <c r="AG376" s="45"/>
      <c r="AH376" s="45"/>
      <c r="AI376" s="45"/>
      <c r="AJ376" s="190"/>
      <c r="AK376" s="101" t="s">
        <v>1529</v>
      </c>
      <c r="AL376" s="199"/>
      <c r="AM376" s="254" t="s">
        <v>1530</v>
      </c>
      <c r="AN376" s="91">
        <f>Transfer!AD201</f>
        <v>43.311</v>
      </c>
      <c r="AO376" s="242">
        <f>100*((Transfer!AD201/Transfer!AC201)-1)</f>
        <v>6.7036215816703493</v>
      </c>
      <c r="AP376" s="91">
        <f>Transfer!AE201</f>
        <v>43.545999999999999</v>
      </c>
      <c r="AQ376" s="91">
        <f>100*((Transfer!AE201/Transfer!AD201)-1)</f>
        <v>0.54258733347185562</v>
      </c>
      <c r="AR376" s="91">
        <f>Transfer!AF201</f>
        <v>44.416919999999998</v>
      </c>
      <c r="AS376" s="91">
        <f>100*((Transfer!AF201/Transfer!AE201)-1)</f>
        <v>2.0000000000000018</v>
      </c>
      <c r="AT376" s="91">
        <f>Transfer!AG201</f>
        <v>45.3052584</v>
      </c>
      <c r="AU376" s="93">
        <f>100*((Transfer!AG201/Transfer!AF201)-1)</f>
        <v>2.0000000000000018</v>
      </c>
      <c r="AV376" s="199"/>
      <c r="AW376" s="54"/>
      <c r="AX376" s="54"/>
      <c r="AY376" s="54"/>
      <c r="AZ376" s="54"/>
      <c r="BA376" s="1753" t="s">
        <v>56</v>
      </c>
      <c r="BB376" s="1754"/>
      <c r="BC376" s="54"/>
    </row>
    <row r="377" spans="1:55">
      <c r="A377" s="45"/>
      <c r="B377" s="1720"/>
      <c r="C377" s="1721" t="s">
        <v>527</v>
      </c>
      <c r="D377" s="2520"/>
      <c r="E377" s="2589" t="s">
        <v>528</v>
      </c>
      <c r="F377" s="2521">
        <f ca="1">Transfer!D202</f>
        <v>331.97500000000002</v>
      </c>
      <c r="G377" s="2758">
        <f ca="1">100*((Transfer!D202/Transfer!C202)-1)</f>
        <v>5.2332105520087824</v>
      </c>
      <c r="H377" s="2521">
        <f ca="1">Transfer!E202</f>
        <v>343.35717959299228</v>
      </c>
      <c r="I377" s="2521">
        <f ca="1">100*((Transfer!E202/Transfer!D202)-1)</f>
        <v>3.4286255269198707</v>
      </c>
      <c r="J377" s="2521">
        <f ca="1">Transfer!F202</f>
        <v>349.84881903810788</v>
      </c>
      <c r="K377" s="2521">
        <f ca="1">100*((Transfer!F202/Transfer!E202)-1)</f>
        <v>1.8906374559607642</v>
      </c>
      <c r="L377" s="2521">
        <f ca="1">Transfer!G202</f>
        <v>361.01126249833959</v>
      </c>
      <c r="M377" s="2522">
        <f ca="1">100*((Transfer!G202/Transfer!F202)-1)</f>
        <v>3.1906477463386373</v>
      </c>
      <c r="N377" s="2520"/>
      <c r="O377" s="54"/>
      <c r="P377" s="54"/>
      <c r="Q377" s="54"/>
      <c r="R377" s="54"/>
      <c r="S377" s="190"/>
      <c r="T377" s="101" t="s">
        <v>527</v>
      </c>
      <c r="U377" s="199"/>
      <c r="V377" s="254" t="s">
        <v>528</v>
      </c>
      <c r="W377" s="245">
        <f t="shared" ca="1" si="24"/>
        <v>14.800000000000011</v>
      </c>
      <c r="X377" s="245">
        <f t="shared" ca="1" si="24"/>
        <v>-6.3</v>
      </c>
      <c r="Y377" s="245">
        <f t="shared" ca="1" si="24"/>
        <v>12.599999999999966</v>
      </c>
      <c r="Z377" s="245">
        <f t="shared" ca="1" si="24"/>
        <v>-0.89999999999999991</v>
      </c>
      <c r="AA377" s="245">
        <f t="shared" ca="1" si="24"/>
        <v>7.6000000000000227</v>
      </c>
      <c r="AB377" s="245">
        <f t="shared" ca="1" si="24"/>
        <v>-1.5</v>
      </c>
      <c r="AC377" s="245">
        <f t="shared" ca="1" si="24"/>
        <v>7.1999999999999886</v>
      </c>
      <c r="AD377" s="320">
        <f t="shared" ca="1" si="24"/>
        <v>-0.19999999999999973</v>
      </c>
      <c r="AE377" s="199"/>
      <c r="AF377" s="45"/>
      <c r="AG377" s="45"/>
      <c r="AH377" s="45"/>
      <c r="AI377" s="45"/>
      <c r="AJ377" s="190"/>
      <c r="AK377" s="101" t="s">
        <v>527</v>
      </c>
      <c r="AL377" s="199"/>
      <c r="AM377" s="254" t="s">
        <v>528</v>
      </c>
      <c r="AN377" s="91">
        <f>Transfer!AD202</f>
        <v>317.23399999999998</v>
      </c>
      <c r="AO377" s="242">
        <f>100*((Transfer!AD202/Transfer!AC202)-1)</f>
        <v>11.516382925620338</v>
      </c>
      <c r="AP377" s="91">
        <f>Transfer!AE202</f>
        <v>330.80099999999999</v>
      </c>
      <c r="AQ377" s="91">
        <f>100*((Transfer!AE202/Transfer!AD202)-1)</f>
        <v>4.2766538265129217</v>
      </c>
      <c r="AR377" s="91">
        <f>Transfer!AF202</f>
        <v>342.18832943337657</v>
      </c>
      <c r="AS377" s="91">
        <f>100*((Transfer!AF202/Transfer!AE202)-1)</f>
        <v>3.44235036574152</v>
      </c>
      <c r="AT377" s="91">
        <f>Transfer!AG202</f>
        <v>353.82273263411139</v>
      </c>
      <c r="AU377" s="93">
        <f>100*((Transfer!AG202/Transfer!AF202)-1)</f>
        <v>3.400000000000003</v>
      </c>
      <c r="AV377" s="199"/>
      <c r="AW377" s="54"/>
      <c r="AX377" s="54"/>
      <c r="AY377" s="54"/>
      <c r="AZ377" s="54"/>
      <c r="BA377" s="1753" t="s">
        <v>57</v>
      </c>
      <c r="BB377" s="1754"/>
      <c r="BC377" s="54"/>
    </row>
    <row r="378" spans="1:55">
      <c r="A378" s="45"/>
      <c r="B378" s="1720"/>
      <c r="C378" s="1721" t="s">
        <v>529</v>
      </c>
      <c r="D378" s="2520"/>
      <c r="E378" s="2589" t="s">
        <v>711</v>
      </c>
      <c r="F378" s="2521">
        <f ca="1">Transfer!D203</f>
        <v>1514.7650000000001</v>
      </c>
      <c r="G378" s="2758">
        <f ca="1">100*((Transfer!D203/Transfer!C203)-1)</f>
        <v>4.525879171419378</v>
      </c>
      <c r="H378" s="2521">
        <f ca="1">Transfer!E203</f>
        <v>1582.1332994116003</v>
      </c>
      <c r="I378" s="2521">
        <f ca="1">100*((Transfer!E203/Transfer!D203)-1)</f>
        <v>4.447442303697291</v>
      </c>
      <c r="J378" s="2521">
        <f ca="1">Transfer!F203</f>
        <v>1637.7014109868655</v>
      </c>
      <c r="K378" s="2521">
        <f ca="1">100*((Transfer!F203/Transfer!E203)-1)</f>
        <v>3.5122269151361074</v>
      </c>
      <c r="L378" s="2521">
        <f ca="1">Transfer!G203</f>
        <v>1686.8095827186821</v>
      </c>
      <c r="M378" s="2522">
        <f ca="1">100*((Transfer!G203/Transfer!F203)-1)</f>
        <v>2.998603494041352</v>
      </c>
      <c r="N378" s="2520"/>
      <c r="O378" s="54"/>
      <c r="P378" s="54"/>
      <c r="Q378" s="54"/>
      <c r="R378" s="54"/>
      <c r="S378" s="190"/>
      <c r="T378" s="101" t="s">
        <v>529</v>
      </c>
      <c r="U378" s="199"/>
      <c r="V378" s="254" t="s">
        <v>711</v>
      </c>
      <c r="W378" s="245">
        <f t="shared" ca="1" si="24"/>
        <v>62.299999999999955</v>
      </c>
      <c r="X378" s="245">
        <f t="shared" ca="1" si="24"/>
        <v>-0.5</v>
      </c>
      <c r="Y378" s="245">
        <f t="shared" ca="1" si="24"/>
        <v>61.5</v>
      </c>
      <c r="Z378" s="245">
        <f t="shared" ca="1" si="24"/>
        <v>-0.29999999999999982</v>
      </c>
      <c r="AA378" s="245">
        <f t="shared" ca="1" si="24"/>
        <v>51.5</v>
      </c>
      <c r="AB378" s="245">
        <f t="shared" ca="1" si="24"/>
        <v>-0.79999999999999982</v>
      </c>
      <c r="AC378" s="245">
        <f t="shared" ca="1" si="24"/>
        <v>42.899999999999864</v>
      </c>
      <c r="AD378" s="320">
        <f t="shared" ca="1" si="24"/>
        <v>-0.60000000000000009</v>
      </c>
      <c r="AE378" s="199"/>
      <c r="AF378" s="45"/>
      <c r="AG378" s="45"/>
      <c r="AH378" s="45"/>
      <c r="AI378" s="45"/>
      <c r="AJ378" s="190"/>
      <c r="AK378" s="101" t="s">
        <v>529</v>
      </c>
      <c r="AL378" s="199"/>
      <c r="AM378" s="254" t="s">
        <v>711</v>
      </c>
      <c r="AN378" s="91">
        <f>Transfer!AD203</f>
        <v>1452.4970000000001</v>
      </c>
      <c r="AO378" s="242">
        <f>100*((Transfer!AD203/Transfer!AC203)-1)</f>
        <v>4.9664973709541815</v>
      </c>
      <c r="AP378" s="91">
        <f>Transfer!AE203</f>
        <v>1520.6289999999999</v>
      </c>
      <c r="AQ378" s="91">
        <f>100*((Transfer!AE203/Transfer!AD203)-1)</f>
        <v>4.6906809446077835</v>
      </c>
      <c r="AR378" s="91">
        <f>Transfer!AF203</f>
        <v>1586.1683320949996</v>
      </c>
      <c r="AS378" s="91">
        <f>100*((Transfer!AF203/Transfer!AE203)-1)</f>
        <v>4.3100146120453875</v>
      </c>
      <c r="AT378" s="91">
        <f>Transfer!AG203</f>
        <v>1643.8515658544632</v>
      </c>
      <c r="AU378" s="93">
        <f>100*((Transfer!AG203/Transfer!AF203)-1)</f>
        <v>3.6366401088890665</v>
      </c>
      <c r="AV378" s="199"/>
      <c r="AW378" s="54"/>
      <c r="AX378" s="54"/>
      <c r="AY378" s="54"/>
      <c r="AZ378" s="54"/>
      <c r="BA378" s="1753" t="s">
        <v>58</v>
      </c>
      <c r="BB378" s="1754"/>
      <c r="BC378" s="54"/>
    </row>
    <row r="379" spans="1:55" ht="13.15">
      <c r="A379" s="45"/>
      <c r="B379" s="1720"/>
      <c r="C379" s="2531" t="s">
        <v>530</v>
      </c>
      <c r="D379" s="2772"/>
      <c r="E379" s="2605" t="s">
        <v>531</v>
      </c>
      <c r="F379" s="2526">
        <f ca="1">IF(OR(Transfer!D200=-9999,Transfer!D201=-9999,Transfer!D202=-9999,Transfer!D203=-9999),Transfer!D204,SUM(Transfer!D200,Transfer!D201)-(SUM(Transfer!D202,Transfer!D203)))</f>
        <v>1091.3319999999999</v>
      </c>
      <c r="G379" s="2766">
        <f ca="1">IF(OR(Transfer!D200=-9999,Transfer!D201=-9999,Transfer!D202=-9999,Transfer!D203=-9999),100*(Transfer!D204/Transfer!C204-1),100*(((SUM(Transfer!D200,Transfer!D201)-(SUM(Transfer!D202,Transfer!D203)))/(SUM(Transfer!C200,Transfer!C201)-(SUM(Transfer!C202,Transfer!C203))))-1))</f>
        <v>3.3720679111744145</v>
      </c>
      <c r="H379" s="2773">
        <f ca="1">IF(OR(Transfer!E200=-9999,Transfer!E201=-9999,Transfer!E202=-9999,Transfer!E203=-9999),Transfer!E204,SUM(Transfer!E200,Transfer!E201)-(SUM(Transfer!E202,Transfer!E203)))</f>
        <v>1163.3064287482889</v>
      </c>
      <c r="I379" s="2526">
        <f ca="1">IF(OR(Transfer!E200=-9999,Transfer!E201=-9999,Transfer!E202=-9999,Transfer!E203=-9999),100*(Transfer!E204/Transfer!D204-1),100*(((SUM(Transfer!E200,Transfer!E201)-(SUM(Transfer!E202,Transfer!E203)))/(SUM(Transfer!D200,Transfer!D201)-(SUM(Transfer!D202,Transfer!D203))))-1))</f>
        <v>6.5950992684434384</v>
      </c>
      <c r="J379" s="2526">
        <f ca="1">IF(OR(Transfer!F200=-9999,Transfer!F201=-9999,Transfer!F202=-9999,Transfer!F203=-9999),Transfer!F204,SUM(Transfer!F200,Transfer!F201)-(SUM(Transfer!F202,Transfer!F203)))</f>
        <v>1215.0393887825837</v>
      </c>
      <c r="K379" s="2526">
        <f ca="1">IF(OR(Transfer!F200=-9999,Transfer!F201=-9999,Transfer!F202=-9999,Transfer!F203=-9999),100*(Transfer!F204/Transfer!E204-1),100*(((SUM(Transfer!F200,Transfer!F201)-(SUM(Transfer!F202,Transfer!F203)))/(SUM(Transfer!E200,Transfer!E201)-(SUM(Transfer!E202,Transfer!E203))))-1))</f>
        <v>4.4470621631446772</v>
      </c>
      <c r="L379" s="2526">
        <f ca="1">IF(OR(Transfer!G200=-9999,Transfer!G201=-9999,Transfer!G202=-9999,Transfer!G203=-9999),Transfer!G204,SUM(Transfer!G200,Transfer!G201)-(SUM(Transfer!G202,Transfer!G203)))</f>
        <v>1267.3132591274314</v>
      </c>
      <c r="M379" s="2527">
        <f ca="1">IF(OR(Transfer!G200=-9999,Transfer!G201=-9999,Transfer!G202=-9999,Transfer!G203=-9999),100*(Transfer!G204/Transfer!F204-1),100*(((SUM(Transfer!G200,Transfer!G201)-(SUM(Transfer!G202,Transfer!G203)))/(SUM(Transfer!F200,Transfer!F201)-(SUM(Transfer!F202,Transfer!F203))))-1))</f>
        <v>4.3022366869294393</v>
      </c>
      <c r="N379" s="2528"/>
      <c r="O379" s="54"/>
      <c r="P379" s="54"/>
      <c r="Q379" s="54"/>
      <c r="R379" s="54"/>
      <c r="S379" s="190"/>
      <c r="T379" s="159" t="s">
        <v>530</v>
      </c>
      <c r="U379" s="1766"/>
      <c r="V379" s="433" t="s">
        <v>531</v>
      </c>
      <c r="W379" s="443">
        <f t="shared" ca="1" si="24"/>
        <v>34</v>
      </c>
      <c r="X379" s="443">
        <f t="shared" ca="1" si="24"/>
        <v>2.0999999999999996</v>
      </c>
      <c r="Y379" s="443">
        <f t="shared" ca="1" si="24"/>
        <v>65.899999999999864</v>
      </c>
      <c r="Z379" s="443">
        <f t="shared" ca="1" si="24"/>
        <v>2.8</v>
      </c>
      <c r="AA379" s="443">
        <f t="shared" ca="1" si="24"/>
        <v>49</v>
      </c>
      <c r="AB379" s="443">
        <f t="shared" ca="1" si="24"/>
        <v>-1.8999999999999995</v>
      </c>
      <c r="AC379" s="443">
        <f t="shared" ca="1" si="24"/>
        <v>32.399999999999864</v>
      </c>
      <c r="AD379" s="444">
        <f t="shared" ca="1" si="24"/>
        <v>-1.6000000000000005</v>
      </c>
      <c r="AE379" s="442"/>
      <c r="AF379" s="45"/>
      <c r="AG379" s="45"/>
      <c r="AH379" s="45"/>
      <c r="AI379" s="45"/>
      <c r="AJ379" s="190"/>
      <c r="AK379" s="159" t="s">
        <v>530</v>
      </c>
      <c r="AL379" s="1766"/>
      <c r="AM379" s="433" t="s">
        <v>531</v>
      </c>
      <c r="AN379" s="156">
        <f>IF(OR(Transfer!AD200=-9999,Transfer!AD201=-9999,Transfer!AD202=-9999,Transfer!AD203=-9999),Transfer!AD204,SUM(Transfer!AD200,Transfer!AD201)-(SUM(Transfer!AD202,Transfer!AD203)))</f>
        <v>1057.2500000000002</v>
      </c>
      <c r="AO379" s="282">
        <f>IF(OR(Transfer!AD200=-9999,Transfer!AD201=-9999,Transfer!AD202=-9999,Transfer!AD203=-9999),100*(Transfer!AD204/Transfer!AC204-1),100*(((SUM(Transfer!AD200,Transfer!AD201)-(SUM(Transfer!AD202,Transfer!AD203)))/(SUM(Transfer!AC200,Transfer!AC201)-(SUM(Transfer!AC202,Transfer!AC203))))-1))</f>
        <v>1.2702241115567503</v>
      </c>
      <c r="AP379" s="2069">
        <f>IF(OR(Transfer!AE200=-9999,Transfer!AE201=-9999,Transfer!AE202=-9999,Transfer!AE203=-9999),Transfer!AE204,SUM(Transfer!AE200,Transfer!AE201)-(SUM(Transfer!AE202,Transfer!AE203)))</f>
        <v>1097.384</v>
      </c>
      <c r="AQ379" s="156">
        <f>IF(OR(Transfer!AE200=-9999,Transfer!AE201=-9999,Transfer!AE202=-9999,Transfer!AE203=-9999),100*(Transfer!AE204/Transfer!AD204-1),100*(((SUM(Transfer!AE200,Transfer!AE201)-(SUM(Transfer!AE202,Transfer!AE203)))/(SUM(Transfer!AD200,Transfer!AD201)-(SUM(Transfer!AD202,Transfer!AD203))))-1))</f>
        <v>3.7960747221565283</v>
      </c>
      <c r="AR379" s="156">
        <f>IF(OR(Transfer!AF200=-9999,Transfer!AF201=-9999,Transfer!AF202=-9999,Transfer!AF203=-9999),Transfer!AF204,SUM(Transfer!AF200,Transfer!AF201)-(SUM(Transfer!AF202,Transfer!AF203)))</f>
        <v>1166.0420703703535</v>
      </c>
      <c r="AS379" s="156">
        <f>IF(OR(Transfer!AF200=-9999,Transfer!AF201=-9999,Transfer!AF202=-9999,Transfer!AF203=-9999),100*(Transfer!AF204/Transfer!AE204-1),100*(((SUM(Transfer!AF200,Transfer!AF201)-(SUM(Transfer!AF202,Transfer!AF203)))/(SUM(Transfer!AE200,Transfer!AE201)-(SUM(Transfer!AE202,Transfer!AE203))))-1))</f>
        <v>6.2565219075868983</v>
      </c>
      <c r="AT379" s="156">
        <f>IF(OR(Transfer!AG200=-9999,Transfer!AG201=-9999,Transfer!AG202=-9999,Transfer!AG203=-9999),Transfer!AG204,SUM(Transfer!AG200,Transfer!AG201)-(SUM(Transfer!AG202,Transfer!AG203)))</f>
        <v>1234.9040217791016</v>
      </c>
      <c r="AU379" s="283">
        <f>IF(OR(Transfer!AG200=-9999,Transfer!AG201=-9999,Transfer!AG202=-9999,Transfer!AG203=-9999),100*(Transfer!AG204/Transfer!AF204-1),100*(((SUM(Transfer!AG200,Transfer!AG201)-(SUM(Transfer!AG202,Transfer!AG203)))/(SUM(Transfer!AF200,Transfer!AF201)-(SUM(Transfer!AF202,Transfer!AF203))))-1))</f>
        <v>5.9056146565000356</v>
      </c>
      <c r="AV379" s="442"/>
      <c r="AW379" s="54"/>
      <c r="AX379" s="54"/>
      <c r="AY379" s="54"/>
      <c r="AZ379" s="54"/>
      <c r="BA379" s="1753" t="s">
        <v>1788</v>
      </c>
      <c r="BB379" s="1754"/>
      <c r="BC379" s="54"/>
    </row>
    <row r="380" spans="1:55">
      <c r="A380" s="45"/>
      <c r="B380" s="1720"/>
      <c r="C380" s="1721" t="s">
        <v>1507</v>
      </c>
      <c r="D380" s="2520"/>
      <c r="E380" s="2589" t="s">
        <v>1508</v>
      </c>
      <c r="F380" s="2521">
        <f ca="1">Transfer!D205</f>
        <v>-287.46800000000002</v>
      </c>
      <c r="G380" s="2758">
        <f ca="1">100*((Transfer!D205/Transfer!C205)-1)</f>
        <v>-9.3689802481201738</v>
      </c>
      <c r="H380" s="2759">
        <f ca="1">Transfer!E205</f>
        <v>-298.96672000000001</v>
      </c>
      <c r="I380" s="2521">
        <f ca="1">100*((Transfer!E205/Transfer!D205)-1)</f>
        <v>4.0000000000000036</v>
      </c>
      <c r="J380" s="2521">
        <f ca="1">Transfer!F205</f>
        <v>-310.92538880000001</v>
      </c>
      <c r="K380" s="2521">
        <f ca="1">100*((Transfer!F205/Transfer!E205)-1)</f>
        <v>4.0000000000000036</v>
      </c>
      <c r="L380" s="2521">
        <f ca="1">Transfer!G205</f>
        <v>-323.362404352</v>
      </c>
      <c r="M380" s="2522">
        <f ca="1">100*((Transfer!G205/Transfer!F205)-1)</f>
        <v>4.0000000000000036</v>
      </c>
      <c r="N380" s="2520"/>
      <c r="O380" s="54"/>
      <c r="P380" s="54"/>
      <c r="Q380" s="54"/>
      <c r="R380" s="54"/>
      <c r="S380" s="190"/>
      <c r="T380" s="101" t="s">
        <v>1507</v>
      </c>
      <c r="U380" s="199"/>
      <c r="V380" s="254" t="s">
        <v>1508</v>
      </c>
      <c r="W380" s="245">
        <f t="shared" ca="1" si="24"/>
        <v>16.100000000000023</v>
      </c>
      <c r="X380" s="245">
        <f t="shared" ca="1" si="24"/>
        <v>-23.6</v>
      </c>
      <c r="Y380" s="245">
        <f t="shared" ca="1" si="24"/>
        <v>-28.100000000000023</v>
      </c>
      <c r="Z380" s="245">
        <f t="shared" ca="1" si="24"/>
        <v>14.8</v>
      </c>
      <c r="AA380" s="245">
        <f t="shared" ca="1" si="24"/>
        <v>-29.199999999999989</v>
      </c>
      <c r="AB380" s="245">
        <f t="shared" ca="1" si="24"/>
        <v>0</v>
      </c>
      <c r="AC380" s="245">
        <f t="shared" ca="1" si="24"/>
        <v>-30.399999999999977</v>
      </c>
      <c r="AD380" s="320">
        <f t="shared" ca="1" si="24"/>
        <v>0</v>
      </c>
      <c r="AE380" s="199"/>
      <c r="AF380" s="45"/>
      <c r="AG380" s="45"/>
      <c r="AH380" s="45"/>
      <c r="AI380" s="45"/>
      <c r="AJ380" s="190"/>
      <c r="AK380" s="101" t="s">
        <v>1507</v>
      </c>
      <c r="AL380" s="199"/>
      <c r="AM380" s="254" t="s">
        <v>1508</v>
      </c>
      <c r="AN380" s="91">
        <f>Transfer!AD205</f>
        <v>-303.57499999999999</v>
      </c>
      <c r="AO380" s="242">
        <f>100*((Transfer!AD205/Transfer!AC205)-1)</f>
        <v>14.201931360341291</v>
      </c>
      <c r="AP380" s="92">
        <f>Transfer!AE205</f>
        <v>-270.87299999999999</v>
      </c>
      <c r="AQ380" s="91">
        <f>100*((Transfer!AE205/Transfer!AD205)-1)</f>
        <v>-10.772296796508273</v>
      </c>
      <c r="AR380" s="91">
        <f>Transfer!AF205</f>
        <v>-281.70792</v>
      </c>
      <c r="AS380" s="91">
        <f>100*((Transfer!AF205/Transfer!AE205)-1)</f>
        <v>4.0000000000000036</v>
      </c>
      <c r="AT380" s="91">
        <f>Transfer!AG205</f>
        <v>-292.97623680000004</v>
      </c>
      <c r="AU380" s="93">
        <f>100*((Transfer!AG205/Transfer!AF205)-1)</f>
        <v>4.0000000000000036</v>
      </c>
      <c r="AV380" s="199"/>
      <c r="AW380" s="54"/>
      <c r="AX380" s="54"/>
      <c r="AY380" s="54"/>
      <c r="AZ380" s="54"/>
      <c r="BA380" s="1753" t="s">
        <v>59</v>
      </c>
      <c r="BB380" s="1754"/>
      <c r="BC380" s="54"/>
    </row>
    <row r="381" spans="1:55">
      <c r="A381" s="45"/>
      <c r="B381" s="1720"/>
      <c r="C381" s="1721" t="s">
        <v>1509</v>
      </c>
      <c r="D381" s="2520"/>
      <c r="E381" s="2589" t="s">
        <v>1510</v>
      </c>
      <c r="F381" s="2521">
        <f ca="1">Transfer!D206</f>
        <v>102.39399999999998</v>
      </c>
      <c r="G381" s="2758">
        <f ca="1">100*((Transfer!D206/Transfer!C206)-1)</f>
        <v>-14.28810594075156</v>
      </c>
      <c r="H381" s="2759">
        <f ca="1">Transfer!E206</f>
        <v>107.19207479991582</v>
      </c>
      <c r="I381" s="2521">
        <f ca="1">100*((Transfer!E206/Transfer!D206)-1)</f>
        <v>4.685894485922848</v>
      </c>
      <c r="J381" s="2759">
        <f ca="1">Transfer!F206</f>
        <v>112.25198602716679</v>
      </c>
      <c r="K381" s="2521">
        <f ca="1">100*((Transfer!F206/Transfer!E206)-1)</f>
        <v>4.7204154194195658</v>
      </c>
      <c r="L381" s="2759">
        <f ca="1">Transfer!G206</f>
        <v>119.56914136378811</v>
      </c>
      <c r="M381" s="2522">
        <f ca="1">100*((Transfer!G206/Transfer!F206)-1)</f>
        <v>6.518508576632609</v>
      </c>
      <c r="N381" s="2520"/>
      <c r="O381" s="54"/>
      <c r="P381" s="54"/>
      <c r="Q381" s="54"/>
      <c r="R381" s="54"/>
      <c r="S381" s="190"/>
      <c r="T381" s="101" t="s">
        <v>1509</v>
      </c>
      <c r="U381" s="199"/>
      <c r="V381" s="254" t="s">
        <v>1510</v>
      </c>
      <c r="W381" s="245">
        <f t="shared" ca="1" si="24"/>
        <v>-26.299999999999983</v>
      </c>
      <c r="X381" s="245">
        <f t="shared" ca="1" si="24"/>
        <v>-29.3</v>
      </c>
      <c r="Y381" s="245">
        <f t="shared" ca="1" si="24"/>
        <v>-8.5</v>
      </c>
      <c r="Z381" s="245">
        <f t="shared" ca="1" si="24"/>
        <v>14.8</v>
      </c>
      <c r="AA381" s="245">
        <f t="shared" ca="1" si="24"/>
        <v>-10.100000000000009</v>
      </c>
      <c r="AB381" s="245">
        <f t="shared" ca="1" si="24"/>
        <v>-1.0999999999999996</v>
      </c>
      <c r="AC381" s="245">
        <f t="shared" ca="1" si="24"/>
        <v>-10.200000000000017</v>
      </c>
      <c r="AD381" s="320">
        <f t="shared" ca="1" si="24"/>
        <v>0.5</v>
      </c>
      <c r="AE381" s="199"/>
      <c r="AF381" s="45"/>
      <c r="AG381" s="45"/>
      <c r="AH381" s="45"/>
      <c r="AI381" s="45"/>
      <c r="AJ381" s="190"/>
      <c r="AK381" s="101" t="s">
        <v>1509</v>
      </c>
      <c r="AL381" s="199"/>
      <c r="AM381" s="254" t="s">
        <v>1510</v>
      </c>
      <c r="AN381" s="91">
        <f>Transfer!AD206</f>
        <v>128.739</v>
      </c>
      <c r="AO381" s="242">
        <f>100*((Transfer!AD206/Transfer!AC206)-1)</f>
        <v>14.97325248050867</v>
      </c>
      <c r="AP381" s="92">
        <f>Transfer!AE206</f>
        <v>115.72299999999997</v>
      </c>
      <c r="AQ381" s="91">
        <f>100*((Transfer!AE206/Transfer!AD206)-1)</f>
        <v>-10.110378362423223</v>
      </c>
      <c r="AR381" s="92">
        <f>Transfer!AF206</f>
        <v>122.43946457814647</v>
      </c>
      <c r="AS381" s="91">
        <f>100*((Transfer!AF206/Transfer!AE206)-1)</f>
        <v>5.8039150196127931</v>
      </c>
      <c r="AT381" s="92">
        <f>Transfer!AG206</f>
        <v>129.75066189783075</v>
      </c>
      <c r="AU381" s="93">
        <f>100*((Transfer!AG206/Transfer!AF206)-1)</f>
        <v>5.9712751479878756</v>
      </c>
      <c r="AV381" s="199"/>
      <c r="AW381" s="54"/>
      <c r="AX381" s="54"/>
      <c r="AY381" s="54"/>
      <c r="AZ381" s="54"/>
      <c r="BA381" s="1753" t="s">
        <v>60</v>
      </c>
      <c r="BB381" s="1754"/>
      <c r="BC381" s="54"/>
    </row>
    <row r="382" spans="1:55">
      <c r="A382" s="45"/>
      <c r="B382" s="1720"/>
      <c r="C382" s="1721" t="s">
        <v>747</v>
      </c>
      <c r="D382" s="2520"/>
      <c r="E382" s="2589" t="s">
        <v>766</v>
      </c>
      <c r="F382" s="2521">
        <f ca="1">Transfer!D207</f>
        <v>132.32</v>
      </c>
      <c r="G382" s="2758">
        <f ca="1">100*((Transfer!D207/Transfer!C207)-1)</f>
        <v>7.0844730751177476</v>
      </c>
      <c r="H382" s="2759">
        <f ca="1">Transfer!E207</f>
        <v>138.93600000000001</v>
      </c>
      <c r="I382" s="2521">
        <f ca="1">100*((Transfer!E207/Transfer!D207)-1)</f>
        <v>5.0000000000000044</v>
      </c>
      <c r="J382" s="2759">
        <f ca="1">Transfer!F207</f>
        <v>142.54833600000001</v>
      </c>
      <c r="K382" s="2521">
        <f ca="1">100*((Transfer!F207/Transfer!E207)-1)</f>
        <v>2.6000000000000023</v>
      </c>
      <c r="L382" s="2759">
        <f ca="1">Transfer!G207</f>
        <v>146.25459273600001</v>
      </c>
      <c r="M382" s="2522">
        <f ca="1">100*((Transfer!G207/Transfer!F207)-1)</f>
        <v>2.6000000000000023</v>
      </c>
      <c r="N382" s="2520"/>
      <c r="O382" s="54"/>
      <c r="P382" s="54"/>
      <c r="Q382" s="54"/>
      <c r="R382" s="54"/>
      <c r="S382" s="190"/>
      <c r="T382" s="101" t="s">
        <v>747</v>
      </c>
      <c r="U382" s="199"/>
      <c r="V382" s="254" t="s">
        <v>766</v>
      </c>
      <c r="W382" s="245">
        <f t="shared" ca="1" si="24"/>
        <v>8.1000000000000085</v>
      </c>
      <c r="X382" s="245">
        <f t="shared" ca="1" si="24"/>
        <v>5.3999999999999995</v>
      </c>
      <c r="Y382" s="245">
        <f t="shared" ca="1" si="24"/>
        <v>11.100000000000009</v>
      </c>
      <c r="Z382" s="245">
        <f t="shared" ca="1" si="24"/>
        <v>2.1</v>
      </c>
      <c r="AA382" s="245">
        <f t="shared" ca="1" si="24"/>
        <v>10.900000000000006</v>
      </c>
      <c r="AB382" s="245">
        <f t="shared" ca="1" si="24"/>
        <v>-0.39999999999999991</v>
      </c>
      <c r="AC382" s="245">
        <f t="shared" ca="1" si="24"/>
        <v>11.300000000000011</v>
      </c>
      <c r="AD382" s="320">
        <f t="shared" ca="1" si="24"/>
        <v>0</v>
      </c>
      <c r="AE382" s="199"/>
      <c r="AF382" s="45"/>
      <c r="AG382" s="45"/>
      <c r="AH382" s="45"/>
      <c r="AI382" s="45"/>
      <c r="AJ382" s="190"/>
      <c r="AK382" s="101" t="s">
        <v>747</v>
      </c>
      <c r="AL382" s="199"/>
      <c r="AM382" s="254" t="s">
        <v>766</v>
      </c>
      <c r="AN382" s="91">
        <f>Transfer!AD207</f>
        <v>124.19499999999999</v>
      </c>
      <c r="AO382" s="242">
        <f>100*((Transfer!AD207/Transfer!AC207)-1)</f>
        <v>1.729137315291096</v>
      </c>
      <c r="AP382" s="92">
        <f>Transfer!AE207</f>
        <v>127.78400000000001</v>
      </c>
      <c r="AQ382" s="91">
        <f>100*((Transfer!AE207/Transfer!AD207)-1)</f>
        <v>2.88981037883973</v>
      </c>
      <c r="AR382" s="92">
        <f>Transfer!AF207</f>
        <v>131.61752000000001</v>
      </c>
      <c r="AS382" s="91">
        <f>100*((Transfer!AF207/Transfer!AE207)-1)</f>
        <v>3.0000000000000027</v>
      </c>
      <c r="AT382" s="92">
        <f>Transfer!AG207</f>
        <v>135.03957552000003</v>
      </c>
      <c r="AU382" s="93">
        <f>100*((Transfer!AG207/Transfer!AF207)-1)</f>
        <v>2.6000000000000023</v>
      </c>
      <c r="AV382" s="199"/>
      <c r="AW382" s="54"/>
      <c r="AX382" s="54"/>
      <c r="AY382" s="54"/>
      <c r="AZ382" s="54"/>
      <c r="BA382" s="1753" t="s">
        <v>479</v>
      </c>
      <c r="BB382" s="1754"/>
      <c r="BC382" s="54"/>
    </row>
    <row r="383" spans="1:55">
      <c r="A383" s="45"/>
      <c r="B383" s="1720"/>
      <c r="C383" s="1721" t="s">
        <v>2441</v>
      </c>
      <c r="D383" s="2520"/>
      <c r="E383" s="2589" t="s">
        <v>934</v>
      </c>
      <c r="F383" s="2521">
        <f ca="1">Transfer!D208</f>
        <v>148.494</v>
      </c>
      <c r="G383" s="2758"/>
      <c r="H383" s="2759">
        <f ca="1">Transfer!E208</f>
        <v>151.46387999999999</v>
      </c>
      <c r="I383" s="2521"/>
      <c r="J383" s="2759">
        <f ca="1">Transfer!F208</f>
        <v>154.49315759999999</v>
      </c>
      <c r="K383" s="2521"/>
      <c r="L383" s="2759">
        <f ca="1">Transfer!G208</f>
        <v>157.58302075199998</v>
      </c>
      <c r="M383" s="2522"/>
      <c r="N383" s="2520"/>
      <c r="O383" s="54"/>
      <c r="P383" s="54"/>
      <c r="Q383" s="54"/>
      <c r="R383" s="54"/>
      <c r="S383" s="190"/>
      <c r="T383" s="101" t="s">
        <v>1817</v>
      </c>
      <c r="U383" s="199"/>
      <c r="V383" s="254" t="s">
        <v>934</v>
      </c>
      <c r="W383" s="245">
        <f t="shared" ca="1" si="24"/>
        <v>-18.199999999999989</v>
      </c>
      <c r="X383" s="248"/>
      <c r="Y383" s="245">
        <f t="shared" ca="1" si="24"/>
        <v>-5</v>
      </c>
      <c r="Z383" s="245"/>
      <c r="AA383" s="245">
        <f t="shared" ca="1" si="24"/>
        <v>-5.0999999999999943</v>
      </c>
      <c r="AB383" s="245"/>
      <c r="AC383" s="245">
        <f t="shared" ca="1" si="24"/>
        <v>-5.2000000000000171</v>
      </c>
      <c r="AD383" s="320"/>
      <c r="AE383" s="199"/>
      <c r="AF383" s="45"/>
      <c r="AG383" s="45"/>
      <c r="AH383" s="45"/>
      <c r="AI383" s="45"/>
      <c r="AJ383" s="190"/>
      <c r="AK383" s="101" t="s">
        <v>1817</v>
      </c>
      <c r="AL383" s="199"/>
      <c r="AM383" s="254" t="s">
        <v>934</v>
      </c>
      <c r="AN383" s="91">
        <f>Transfer!AD208</f>
        <v>166.654</v>
      </c>
      <c r="AO383" s="242"/>
      <c r="AP383" s="92">
        <f>Transfer!AE208</f>
        <v>156.47800000000001</v>
      </c>
      <c r="AQ383" s="91"/>
      <c r="AR383" s="92">
        <f>Transfer!AF208</f>
        <v>159.60756000000001</v>
      </c>
      <c r="AS383" s="91"/>
      <c r="AT383" s="92">
        <f>Transfer!AG208</f>
        <v>162.79971120000002</v>
      </c>
      <c r="AU383" s="93"/>
      <c r="AV383" s="199"/>
      <c r="AW383" s="54"/>
      <c r="AX383" s="54"/>
      <c r="AY383" s="54"/>
      <c r="AZ383" s="54"/>
      <c r="BA383" s="1753" t="s">
        <v>61</v>
      </c>
      <c r="BB383" s="1754"/>
      <c r="BC383" s="54"/>
    </row>
    <row r="384" spans="1:55">
      <c r="A384" s="45"/>
      <c r="B384" s="1720"/>
      <c r="C384" s="1721" t="s">
        <v>1818</v>
      </c>
      <c r="D384" s="2520"/>
      <c r="E384" s="2589" t="s">
        <v>1959</v>
      </c>
      <c r="F384" s="2521">
        <f ca="1">SUM(Transfer!D200,Transfer!D201,Transfer!D205,Transfer!D206)-(SUM(Transfer!D202,Transfer!D203,Transfer!D207,Transfer!D208))</f>
        <v>625.44399999999996</v>
      </c>
      <c r="G384" s="2758">
        <f ca="1">100*(((SUM(Transfer!D200,Transfer!D201,Transfer!D205,Transfer!D206)-(SUM(Transfer!D202,Transfer!D203,Transfer!D207,Transfer!D208)))/(SUM(Transfer!C200,Transfer!C201,Transfer!C205,Transfer!C206)-(SUM(Transfer!C202,Transfer!C203,Transfer!C207,Transfer!C208))))-1)</f>
        <v>9.3080035303266371</v>
      </c>
      <c r="H384" s="2521">
        <f ca="1">SUM(Transfer!E200,Transfer!E201,Transfer!E205,Transfer!E206)-(SUM(Transfer!E202,Transfer!E203,Transfer!E207,Transfer!E208))</f>
        <v>681.13190354820472</v>
      </c>
      <c r="I384" s="2758">
        <f ca="1">100*(((SUM(Transfer!E200,Transfer!E201,Transfer!E205,Transfer!E206)-(SUM(Transfer!E202,Transfer!E203,Transfer!E207,Transfer!E208)))/(SUM(Transfer!D200,Transfer!D201,Transfer!D205,Transfer!D206)-(SUM(Transfer!D202,Transfer!D203,Transfer!D207,Transfer!D208))))-1)</f>
        <v>8.9037393512776184</v>
      </c>
      <c r="J384" s="2521">
        <f ca="1">SUM(Transfer!F200,Transfer!F201,Transfer!F205,Transfer!F206)-(SUM(Transfer!F202,Transfer!F203,Transfer!F207,Transfer!F208))</f>
        <v>719.32449240975075</v>
      </c>
      <c r="K384" s="2758">
        <f ca="1">100*(((SUM(Transfer!F200,Transfer!F201,Transfer!F205,Transfer!F206)-(SUM(Transfer!F202,Transfer!F203,Transfer!F207,Transfer!F208)))/(SUM(Transfer!E200,Transfer!E201,Transfer!E205,Transfer!E206)-(SUM(Transfer!E202,Transfer!E203,Transfer!E207,Transfer!E208))))-1)</f>
        <v>5.6072236027398192</v>
      </c>
      <c r="L384" s="2521">
        <f ca="1">SUM(Transfer!G200,Transfer!G201,Transfer!G205,Transfer!G206)-(SUM(Transfer!G202,Transfer!G203,Transfer!G207,Transfer!G208))</f>
        <v>759.68238265122</v>
      </c>
      <c r="M384" s="2760">
        <f ca="1">100*(((SUM(Transfer!G200,Transfer!G201,Transfer!G205,Transfer!G206)-(SUM(Transfer!G202,Transfer!G203,Transfer!G207,Transfer!G208)))/(SUM(Transfer!F200,Transfer!F201,Transfer!F205,Transfer!F206)-(SUM(Transfer!F202,Transfer!F203,Transfer!F207,Transfer!F208))))-1)</f>
        <v>5.6105263573424935</v>
      </c>
      <c r="N384" s="2520"/>
      <c r="O384" s="54"/>
      <c r="P384" s="54"/>
      <c r="Q384" s="54"/>
      <c r="R384" s="54"/>
      <c r="S384" s="190"/>
      <c r="T384" s="101" t="s">
        <v>1818</v>
      </c>
      <c r="U384" s="199"/>
      <c r="V384" s="254" t="s">
        <v>1959</v>
      </c>
      <c r="W384" s="245">
        <f t="shared" ca="1" si="24"/>
        <v>33.799999999999955</v>
      </c>
      <c r="X384" s="245">
        <f ca="1">ROUND(G384,1)-ROUND(AO384,1)</f>
        <v>13.8</v>
      </c>
      <c r="Y384" s="245">
        <f t="shared" ca="1" si="24"/>
        <v>23.100000000000023</v>
      </c>
      <c r="Z384" s="245">
        <f ca="1">ROUND(I384,1)-ROUND(AQ384,1)</f>
        <v>-2.2999999999999989</v>
      </c>
      <c r="AA384" s="245">
        <f t="shared" ca="1" si="24"/>
        <v>3.7999999999999545</v>
      </c>
      <c r="AB384" s="245">
        <f ca="1">ROUND(K384,1)-ROUND(AS384,1)</f>
        <v>-3.2000000000000011</v>
      </c>
      <c r="AC384" s="245">
        <f t="shared" ca="1" si="24"/>
        <v>-14.099999999999909</v>
      </c>
      <c r="AD384" s="320">
        <f t="shared" ca="1" si="24"/>
        <v>-2.5</v>
      </c>
      <c r="AE384" s="199"/>
      <c r="AF384" s="45"/>
      <c r="AG384" s="45"/>
      <c r="AH384" s="45"/>
      <c r="AI384" s="45"/>
      <c r="AJ384" s="190"/>
      <c r="AK384" s="101" t="s">
        <v>1818</v>
      </c>
      <c r="AL384" s="199"/>
      <c r="AM384" s="254" t="s">
        <v>1959</v>
      </c>
      <c r="AN384" s="91">
        <f>SUM(Transfer!AD200,Transfer!AD201,Transfer!AD205,Transfer!AD206)-(SUM(Transfer!AD202,Transfer!AD203,Transfer!AD207,Transfer!AD208))</f>
        <v>591.56500000000051</v>
      </c>
      <c r="AO384" s="242">
        <f>100*(((SUM(Transfer!AD200,Transfer!AD201,Transfer!AD205,Transfer!AD206)-(SUM(Transfer!AD202,Transfer!AD203,Transfer!AD207,Transfer!AD208)))/(SUM(Transfer!AC200,Transfer!AC201,Transfer!AC205,Transfer!AC206)-(SUM(Transfer!AC202,Transfer!AC203,Transfer!AC207,Transfer!AC208))))-1)</f>
        <v>-4.5419485180211883</v>
      </c>
      <c r="AP384" s="91">
        <f>SUM(Transfer!AE200,Transfer!AE201,Transfer!AE205,Transfer!AE206)-(SUM(Transfer!AE202,Transfer!AE203,Transfer!AE207,Transfer!AE208))</f>
        <v>657.97199999999975</v>
      </c>
      <c r="AQ384" s="242">
        <f>100*(((SUM(Transfer!AE200,Transfer!AE201,Transfer!AE205,Transfer!AE206)-(SUM(Transfer!AE202,Transfer!AE203,Transfer!AE207,Transfer!AE208)))/(SUM(Transfer!AD200,Transfer!AD201,Transfer!AD205,Transfer!AD206)-(SUM(Transfer!AD202,Transfer!AD203,Transfer!AD207,Transfer!AD208))))-1)</f>
        <v>11.225647223889034</v>
      </c>
      <c r="AR384" s="91">
        <f>SUM(Transfer!AF200,Transfer!AF201,Transfer!AF205,Transfer!AF206)-(SUM(Transfer!AF202,Transfer!AF203,Transfer!AF207,Transfer!AF208))</f>
        <v>715.54853494850022</v>
      </c>
      <c r="AS384" s="242">
        <f>100*(((SUM(Transfer!AF200,Transfer!AF201,Transfer!AF205,Transfer!AF206)-(SUM(Transfer!AF202,Transfer!AF203,Transfer!AF207,Transfer!AF208)))/(SUM(Transfer!AE200,Transfer!AE201,Transfer!AE205,Transfer!AE206)-(SUM(Transfer!AE202,Transfer!AE203,Transfer!AE207,Transfer!AE208))))-1)</f>
        <v>8.7506056410455955</v>
      </c>
      <c r="AT384" s="91">
        <f>SUM(Transfer!AG200,Transfer!AG201,Transfer!AG205,Transfer!AG206)-(SUM(Transfer!AG202,Transfer!AG203,Transfer!AG207,Transfer!AG208))</f>
        <v>773.83916015693239</v>
      </c>
      <c r="AU384" s="243">
        <f>100*(((SUM(Transfer!AG200,Transfer!AG201,Transfer!AG205,Transfer!AG206)-(SUM(Transfer!AG202,Transfer!AG203,Transfer!AG207,Transfer!AG208)))/(SUM(Transfer!AF200,Transfer!AF201,Transfer!AF205,Transfer!AF206)-(SUM(Transfer!AF202,Transfer!AF203,Transfer!AF207,Transfer!AF208))))-1)</f>
        <v>8.146285312795376</v>
      </c>
      <c r="AV384" s="199"/>
      <c r="AW384" s="54"/>
      <c r="AX384" s="54"/>
      <c r="AY384" s="54"/>
      <c r="AZ384" s="54"/>
      <c r="BA384" s="1753" t="s">
        <v>62</v>
      </c>
      <c r="BB384" s="1754"/>
      <c r="BC384" s="54"/>
    </row>
    <row r="385" spans="1:55" ht="13.15">
      <c r="A385" s="45"/>
      <c r="B385" s="1720"/>
      <c r="C385" s="2774" t="s">
        <v>1819</v>
      </c>
      <c r="D385" s="2775"/>
      <c r="E385" s="2776"/>
      <c r="F385" s="2620">
        <f ca="1">100*(SUM(Transfer!D200,Transfer!D201,Transfer!D205,Transfer!D206)-(SUM(Transfer!D202,Transfer!D203,Transfer!D207,Transfer!D208)))/Transfer!D147</f>
        <v>13.659266124891593</v>
      </c>
      <c r="G385" s="2777"/>
      <c r="H385" s="2620">
        <f ca="1">100*(SUM(Transfer!E200,Transfer!E201,Transfer!E205,Transfer!E206)-(SUM(Transfer!E202,Transfer!E203,Transfer!E207,Transfer!E208)))/Transfer!E147</f>
        <v>14.180867515689828</v>
      </c>
      <c r="I385" s="2777"/>
      <c r="J385" s="2620">
        <f ca="1">100*(SUM(Transfer!F200,Transfer!F201,Transfer!F205,Transfer!F206)-(SUM(Transfer!F202,Transfer!F203,Transfer!F207,Transfer!F208)))/Transfer!F147</f>
        <v>14.430368560044098</v>
      </c>
      <c r="K385" s="2777"/>
      <c r="L385" s="2620">
        <f ca="1">100*(SUM(Transfer!G200,Transfer!G201,Transfer!G205,Transfer!G206)-(SUM(Transfer!G202,Transfer!G203,Transfer!G207,Transfer!G208)))/Transfer!G147</f>
        <v>14.718203708321385</v>
      </c>
      <c r="M385" s="2778"/>
      <c r="N385" s="2779"/>
      <c r="O385" s="54"/>
      <c r="P385" s="54"/>
      <c r="Q385" s="54"/>
      <c r="R385" s="54"/>
      <c r="S385" s="190"/>
      <c r="T385" s="445" t="s">
        <v>1819</v>
      </c>
      <c r="U385" s="1767"/>
      <c r="V385" s="446"/>
      <c r="W385" s="443">
        <f t="shared" ca="1" si="24"/>
        <v>0.29999999999999893</v>
      </c>
      <c r="X385" s="447"/>
      <c r="Y385" s="443">
        <f t="shared" ca="1" si="24"/>
        <v>-0.10000000000000142</v>
      </c>
      <c r="Z385" s="447"/>
      <c r="AA385" s="443">
        <f t="shared" ca="1" si="24"/>
        <v>-0.40000000000000036</v>
      </c>
      <c r="AB385" s="447"/>
      <c r="AC385" s="443">
        <f t="shared" ca="1" si="24"/>
        <v>-0.70000000000000107</v>
      </c>
      <c r="AD385" s="2078"/>
      <c r="AE385" s="448"/>
      <c r="AF385" s="45"/>
      <c r="AG385" s="45"/>
      <c r="AH385" s="45"/>
      <c r="AI385" s="45"/>
      <c r="AJ385" s="190"/>
      <c r="AK385" s="445" t="s">
        <v>1819</v>
      </c>
      <c r="AL385" s="1767"/>
      <c r="AM385" s="446"/>
      <c r="AN385" s="156">
        <f>100*(SUM(Transfer!AD200,Transfer!AD201,Transfer!AD205,Transfer!AD206)-(SUM(Transfer!AD202,Transfer!AD203,Transfer!AD207,Transfer!AD208)))/Transfer!AD147</f>
        <v>13.430002075008151</v>
      </c>
      <c r="AO385" s="2119"/>
      <c r="AP385" s="156">
        <f>100*(SUM(Transfer!AE200,Transfer!AE201,Transfer!AE205,Transfer!AE206)-(SUM(Transfer!AE202,Transfer!AE203,Transfer!AE207,Transfer!AE208)))/Transfer!AE147</f>
        <v>14.290675588945319</v>
      </c>
      <c r="AQ385" s="2119"/>
      <c r="AR385" s="156">
        <f>100*(SUM(Transfer!AF200,Transfer!AF201,Transfer!AF205,Transfer!AF206)-(SUM(Transfer!AF202,Transfer!AF203,Transfer!AF207,Transfer!AF208)))/Transfer!AF147</f>
        <v>14.832068789001179</v>
      </c>
      <c r="AS385" s="2119"/>
      <c r="AT385" s="156">
        <f>100*(SUM(Transfer!AG200,Transfer!AG201,Transfer!AG205,Transfer!AG206)-(SUM(Transfer!AG202,Transfer!AG203,Transfer!AG207,Transfer!AG208)))/Transfer!AG147</f>
        <v>15.372200346174601</v>
      </c>
      <c r="AU385" s="2120"/>
      <c r="AV385" s="448"/>
      <c r="AW385" s="54"/>
      <c r="AX385" s="54"/>
      <c r="AY385" s="54"/>
      <c r="AZ385" s="54"/>
      <c r="BA385" s="1753" t="s">
        <v>1121</v>
      </c>
      <c r="BB385" s="1754"/>
      <c r="BC385" s="54"/>
    </row>
    <row r="386" spans="1:55">
      <c r="A386" s="45"/>
      <c r="B386" s="1720"/>
      <c r="C386" s="1721" t="s">
        <v>636</v>
      </c>
      <c r="D386" s="2520"/>
      <c r="E386" s="2589" t="s">
        <v>655</v>
      </c>
      <c r="F386" s="2521">
        <f ca="1">Transfer!D209</f>
        <v>804.37799999999993</v>
      </c>
      <c r="G386" s="2521">
        <f ca="1">100*((Transfer!D209/Transfer!C209)-1)</f>
        <v>9.3872433361573684</v>
      </c>
      <c r="H386" s="2521">
        <f ca="1">Transfer!E209</f>
        <v>876.52701341290003</v>
      </c>
      <c r="I386" s="2521">
        <f ca="1">100*((Transfer!E209/Transfer!D209)-1)</f>
        <v>8.9695408642330055</v>
      </c>
      <c r="J386" s="2521">
        <f ca="1">Transfer!F209</f>
        <v>908.02730795930984</v>
      </c>
      <c r="K386" s="2521">
        <f ca="1">100*((Transfer!F209/Transfer!E209)-1)</f>
        <v>3.5937619793094955</v>
      </c>
      <c r="L386" s="2521">
        <f ca="1">Transfer!G209</f>
        <v>941.26211039260488</v>
      </c>
      <c r="M386" s="2522">
        <f ca="1">100*((Transfer!G209/Transfer!F209)-1)</f>
        <v>3.6601104550463948</v>
      </c>
      <c r="N386" s="2520"/>
      <c r="O386" s="54"/>
      <c r="P386" s="54"/>
      <c r="Q386" s="54"/>
      <c r="R386" s="54"/>
      <c r="S386" s="190"/>
      <c r="T386" s="101" t="s">
        <v>636</v>
      </c>
      <c r="U386" s="199"/>
      <c r="V386" s="254" t="s">
        <v>655</v>
      </c>
      <c r="W386" s="245">
        <f t="shared" ca="1" si="24"/>
        <v>46.100000000000023</v>
      </c>
      <c r="X386" s="245">
        <f ca="1">ROUND(G386,1)-ROUND(AO386,1)</f>
        <v>2.7</v>
      </c>
      <c r="Y386" s="245">
        <f t="shared" ca="1" si="24"/>
        <v>51.5</v>
      </c>
      <c r="Z386" s="245">
        <f ca="1">ROUND(I386,1)-ROUND(AQ386,1)</f>
        <v>0.19999999999999929</v>
      </c>
      <c r="AA386" s="245">
        <f t="shared" ca="1" si="24"/>
        <v>32.600000000000023</v>
      </c>
      <c r="AB386" s="245">
        <f ca="1">ROUND(K386,1)-ROUND(AS386,1)</f>
        <v>-2.4999999999999996</v>
      </c>
      <c r="AC386" s="245">
        <f t="shared" ca="1" si="24"/>
        <v>34.199999999999932</v>
      </c>
      <c r="AD386" s="320">
        <f t="shared" ca="1" si="24"/>
        <v>0.10000000000000009</v>
      </c>
      <c r="AE386" s="199"/>
      <c r="AF386" s="45"/>
      <c r="AG386" s="45"/>
      <c r="AH386" s="45"/>
      <c r="AI386" s="45"/>
      <c r="AJ386" s="190"/>
      <c r="AK386" s="101" t="s">
        <v>636</v>
      </c>
      <c r="AL386" s="199"/>
      <c r="AM386" s="254" t="s">
        <v>655</v>
      </c>
      <c r="AN386" s="91">
        <f>Transfer!AD209</f>
        <v>758.32600000000002</v>
      </c>
      <c r="AO386" s="91">
        <f>100*((Transfer!AD209/Transfer!AC209)-1)</f>
        <v>6.6760636292532594</v>
      </c>
      <c r="AP386" s="91">
        <f>Transfer!AE209</f>
        <v>825.02700000000004</v>
      </c>
      <c r="AQ386" s="91">
        <f>100*((Transfer!AE209/Transfer!AD209)-1)</f>
        <v>8.795821322228182</v>
      </c>
      <c r="AR386" s="91">
        <f>Transfer!AF209</f>
        <v>875.40035405413016</v>
      </c>
      <c r="AS386" s="91">
        <f>100*((Transfer!AF209/Transfer!AE209)-1)</f>
        <v>6.1056612758285667</v>
      </c>
      <c r="AT386" s="91">
        <f>Transfer!AG209</f>
        <v>907.10585822961536</v>
      </c>
      <c r="AU386" s="93">
        <f>100*((Transfer!AG209/Transfer!AF209)-1)</f>
        <v>3.6218290326993197</v>
      </c>
      <c r="AV386" s="199"/>
      <c r="AW386" s="54"/>
      <c r="AX386" s="54"/>
      <c r="AY386" s="54"/>
      <c r="AZ386" s="54"/>
      <c r="BA386" s="1753" t="s">
        <v>1122</v>
      </c>
      <c r="BB386" s="1754"/>
      <c r="BC386" s="54"/>
    </row>
    <row r="387" spans="1:55">
      <c r="A387" s="45"/>
      <c r="B387" s="1720"/>
      <c r="C387" s="2523" t="s">
        <v>520</v>
      </c>
      <c r="D387" s="2780"/>
      <c r="E387" s="2781" t="s">
        <v>1512</v>
      </c>
      <c r="F387" s="2580">
        <f ca="1">Transfer!D210</f>
        <v>1.9359999999999999</v>
      </c>
      <c r="G387" s="2578">
        <f ca="1">100*((Transfer!D210/Transfer!C210)-1)</f>
        <v>28.467153284671532</v>
      </c>
      <c r="H387" s="2580">
        <f ca="1">Transfer!E210</f>
        <v>1.9359999999999999</v>
      </c>
      <c r="I387" s="2580">
        <f ca="1">100*((Transfer!E210/Transfer!D210)-1)</f>
        <v>0</v>
      </c>
      <c r="J387" s="2580">
        <f ca="1">Transfer!F210</f>
        <v>1.9359999999999999</v>
      </c>
      <c r="K387" s="2578">
        <f ca="1">100*((Transfer!F210/Transfer!E210)-1)</f>
        <v>0</v>
      </c>
      <c r="L387" s="2580">
        <f ca="1">Transfer!G210</f>
        <v>1.9359999999999999</v>
      </c>
      <c r="M387" s="2581">
        <f ca="1">100*((Transfer!G210/Transfer!F210)-1)</f>
        <v>0</v>
      </c>
      <c r="N387" s="2780"/>
      <c r="O387" s="54"/>
      <c r="P387" s="54"/>
      <c r="Q387" s="54"/>
      <c r="R387" s="54"/>
      <c r="S387" s="190"/>
      <c r="T387" s="434" t="s">
        <v>520</v>
      </c>
      <c r="U387" s="453"/>
      <c r="V387" s="449" t="s">
        <v>1512</v>
      </c>
      <c r="W387" s="245">
        <f t="shared" ca="1" si="24"/>
        <v>0.59999999999999987</v>
      </c>
      <c r="X387" s="245">
        <f ca="1">ROUND(G387,1)-ROUND(AO387,1)</f>
        <v>32.5</v>
      </c>
      <c r="Y387" s="245">
        <f t="shared" ca="1" si="24"/>
        <v>0.19999999999999996</v>
      </c>
      <c r="Z387" s="245">
        <f ca="1">ROUND(I387,1)-ROUND(AQ387,1)</f>
        <v>-27.5</v>
      </c>
      <c r="AA387" s="245">
        <f t="shared" ca="1" si="24"/>
        <v>0.19999999999999996</v>
      </c>
      <c r="AB387" s="245">
        <f ca="1">ROUND(K387,1)-ROUND(AS387,1)</f>
        <v>0</v>
      </c>
      <c r="AC387" s="245">
        <f t="shared" ca="1" si="24"/>
        <v>0.19999999999999996</v>
      </c>
      <c r="AD387" s="320">
        <f t="shared" ca="1" si="24"/>
        <v>0</v>
      </c>
      <c r="AE387" s="453"/>
      <c r="AF387" s="45"/>
      <c r="AG387" s="45"/>
      <c r="AH387" s="45"/>
      <c r="AI387" s="45"/>
      <c r="AJ387" s="190"/>
      <c r="AK387" s="434" t="s">
        <v>520</v>
      </c>
      <c r="AL387" s="453"/>
      <c r="AM387" s="449" t="s">
        <v>1512</v>
      </c>
      <c r="AN387" s="2042">
        <f>Transfer!AD210</f>
        <v>1.331</v>
      </c>
      <c r="AO387" s="435">
        <f>100*((Transfer!AD210/Transfer!AC210)-1)</f>
        <v>-3.9682539682539653</v>
      </c>
      <c r="AP387" s="2042">
        <f>Transfer!AE210</f>
        <v>1.6970000000000001</v>
      </c>
      <c r="AQ387" s="2042">
        <f>100*((Transfer!AE210/Transfer!AD210)-1)</f>
        <v>27.498121712997747</v>
      </c>
      <c r="AR387" s="2042">
        <f>Transfer!AF210</f>
        <v>1.6970000000000001</v>
      </c>
      <c r="AS387" s="435">
        <f>100*((Transfer!AF210/Transfer!AE210)-1)</f>
        <v>0</v>
      </c>
      <c r="AT387" s="2042">
        <f>Transfer!AG210</f>
        <v>1.6970000000000001</v>
      </c>
      <c r="AU387" s="2045">
        <f>100*((Transfer!AG210/Transfer!AF210)-1)</f>
        <v>0</v>
      </c>
      <c r="AV387" s="453"/>
      <c r="AW387" s="54"/>
      <c r="AX387" s="54"/>
      <c r="AY387" s="54"/>
      <c r="AZ387" s="54"/>
      <c r="BA387" s="1753" t="s">
        <v>1123</v>
      </c>
      <c r="BB387" s="1754"/>
      <c r="BC387" s="54"/>
    </row>
    <row r="388" spans="1:55">
      <c r="A388" s="45"/>
      <c r="B388" s="1720"/>
      <c r="C388" s="1721" t="s">
        <v>1497</v>
      </c>
      <c r="D388" s="2520"/>
      <c r="E388" s="2589" t="s">
        <v>750</v>
      </c>
      <c r="F388" s="2758">
        <f ca="1">SUM(Transfer!D200,Transfer!D201,Transfer!D205,Transfer!D206)-(SUM(Transfer!D202,Transfer!D203,Transfer!D207,Transfer!D208,Transfer!D209,Transfer!D210))</f>
        <v>-180.86999999999989</v>
      </c>
      <c r="G388" s="2521"/>
      <c r="H388" s="2758">
        <f ca="1">SUM(Transfer!E200,Transfer!E201,Transfer!E205,Transfer!E206)-(SUM(Transfer!E202,Transfer!E203,Transfer!E207,Transfer!E208,Transfer!E209,Transfer!E210))</f>
        <v>-197.33110986469546</v>
      </c>
      <c r="I388" s="2521"/>
      <c r="J388" s="2758">
        <f ca="1">SUM(Transfer!F200,Transfer!F201,Transfer!F205,Transfer!F206)-(SUM(Transfer!F202,Transfer!F203,Transfer!F207,Transfer!F208,Transfer!F209,Transfer!F210))</f>
        <v>-190.63881554955924</v>
      </c>
      <c r="K388" s="2521"/>
      <c r="L388" s="2758">
        <f ca="1">SUM(Transfer!G200,Transfer!G201,Transfer!G205,Transfer!G206)-(SUM(Transfer!G202,Transfer!G203,Transfer!G207,Transfer!G208,Transfer!G209,Transfer!G210))</f>
        <v>-183.51572774138504</v>
      </c>
      <c r="M388" s="2522"/>
      <c r="N388" s="2520"/>
      <c r="O388" s="54"/>
      <c r="P388" s="54"/>
      <c r="Q388" s="54"/>
      <c r="R388" s="54"/>
      <c r="S388" s="190"/>
      <c r="T388" s="101" t="s">
        <v>1497</v>
      </c>
      <c r="U388" s="199"/>
      <c r="V388" s="254" t="s">
        <v>750</v>
      </c>
      <c r="W388" s="245">
        <f t="shared" ca="1" si="24"/>
        <v>-12.800000000000011</v>
      </c>
      <c r="X388" s="245"/>
      <c r="Y388" s="245">
        <f t="shared" ca="1" si="24"/>
        <v>-28.5</v>
      </c>
      <c r="Z388" s="245"/>
      <c r="AA388" s="245">
        <f t="shared" ca="1" si="24"/>
        <v>-29.099999999999994</v>
      </c>
      <c r="AB388" s="245"/>
      <c r="AC388" s="245">
        <f t="shared" ca="1" si="24"/>
        <v>-48.5</v>
      </c>
      <c r="AD388" s="320"/>
      <c r="AE388" s="199"/>
      <c r="AF388" s="45"/>
      <c r="AG388" s="45"/>
      <c r="AH388" s="45"/>
      <c r="AI388" s="45"/>
      <c r="AJ388" s="190"/>
      <c r="AK388" s="101" t="s">
        <v>1497</v>
      </c>
      <c r="AL388" s="199"/>
      <c r="AM388" s="254" t="s">
        <v>750</v>
      </c>
      <c r="AN388" s="242">
        <f>SUM(Transfer!AD200,Transfer!AD201,Transfer!AD205,Transfer!AD206)-(SUM(Transfer!AD202,Transfer!AD203,Transfer!AD207,Transfer!AD208,Transfer!AD209,Transfer!AD210))</f>
        <v>-168.09199999999964</v>
      </c>
      <c r="AO388" s="91"/>
      <c r="AP388" s="242">
        <f>SUM(Transfer!AE200,Transfer!AE201,Transfer!AE205,Transfer!AE206)-(SUM(Transfer!AE202,Transfer!AE203,Transfer!AE207,Transfer!AE208,Transfer!AE209,Transfer!AE210))</f>
        <v>-168.75200000000041</v>
      </c>
      <c r="AQ388" s="91"/>
      <c r="AR388" s="242">
        <f>SUM(Transfer!AF200,Transfer!AF201,Transfer!AF205,Transfer!AF206)-(SUM(Transfer!AF202,Transfer!AF203,Transfer!AF207,Transfer!AF208,Transfer!AF209,Transfer!AF210))</f>
        <v>-161.54881910563017</v>
      </c>
      <c r="AS388" s="91"/>
      <c r="AT388" s="242">
        <f>SUM(Transfer!AG200,Transfer!AG201,Transfer!AG205,Transfer!AG206)-(SUM(Transfer!AG202,Transfer!AG203,Transfer!AG207,Transfer!AG208,Transfer!AG209,Transfer!AG210))</f>
        <v>-134.9636980726832</v>
      </c>
      <c r="AU388" s="93"/>
      <c r="AV388" s="199"/>
      <c r="AW388" s="54"/>
      <c r="AX388" s="54"/>
      <c r="AY388" s="54"/>
      <c r="AZ388" s="54"/>
      <c r="BA388" s="1753" t="s">
        <v>1124</v>
      </c>
      <c r="BB388" s="1754"/>
      <c r="BC388" s="54"/>
    </row>
    <row r="389" spans="1:55" ht="13.5" thickBot="1">
      <c r="A389" s="45"/>
      <c r="B389" s="1720"/>
      <c r="C389" s="2782" t="s">
        <v>521</v>
      </c>
      <c r="D389" s="2783"/>
      <c r="E389" s="2768"/>
      <c r="F389" s="2784">
        <f ca="1">100*(SUM(Transfer!D200,Transfer!D201,Transfer!D205,Transfer!D206)-(SUM(Transfer!D202,Transfer!D203,Transfer!D207,Transfer!D208,Transfer!D209,Transfer!D210)))/Transfer!D147</f>
        <v>-3.9500762082762662</v>
      </c>
      <c r="G389" s="2785"/>
      <c r="H389" s="2784">
        <f ca="1">100*(SUM(Transfer!E200,Transfer!E201,Transfer!E205,Transfer!E206)-(SUM(Transfer!E202,Transfer!E203,Transfer!E207,Transfer!E208,Transfer!E209,Transfer!E210)))/Transfer!E147</f>
        <v>-4.1083471661480306</v>
      </c>
      <c r="I389" s="2785"/>
      <c r="J389" s="2784">
        <f ca="1">100*(SUM(Transfer!F200,Transfer!F201,Transfer!F205,Transfer!F206)-(SUM(Transfer!F202,Transfer!F203,Transfer!F207,Transfer!F208,Transfer!F209,Transfer!F210)))/Transfer!F147</f>
        <v>-3.8244052569578741</v>
      </c>
      <c r="K389" s="2785"/>
      <c r="L389" s="2784">
        <f ca="1">100*(SUM(Transfer!G200,Transfer!G201,Transfer!G205,Transfer!G206)-(SUM(Transfer!G202,Transfer!G203,Transfer!G207,Transfer!G208,Transfer!G209,Transfer!G210)))/Transfer!G147</f>
        <v>-3.5554620276334949</v>
      </c>
      <c r="M389" s="2786"/>
      <c r="N389" s="2779"/>
      <c r="O389" s="54"/>
      <c r="P389" s="54"/>
      <c r="Q389" s="54"/>
      <c r="R389" s="54"/>
      <c r="S389" s="190"/>
      <c r="T389" s="454" t="s">
        <v>521</v>
      </c>
      <c r="U389" s="1768"/>
      <c r="V389" s="437"/>
      <c r="W389" s="1774">
        <f t="shared" ca="1" si="24"/>
        <v>-0.20000000000000018</v>
      </c>
      <c r="X389" s="455"/>
      <c r="Y389" s="1774">
        <f t="shared" ca="1" si="24"/>
        <v>-0.39999999999999947</v>
      </c>
      <c r="Z389" s="455"/>
      <c r="AA389" s="1774">
        <f t="shared" ca="1" si="24"/>
        <v>-0.5</v>
      </c>
      <c r="AB389" s="455"/>
      <c r="AC389" s="1774">
        <f t="shared" ca="1" si="24"/>
        <v>-0.89999999999999991</v>
      </c>
      <c r="AD389" s="456"/>
      <c r="AE389" s="448"/>
      <c r="AF389" s="45"/>
      <c r="AG389" s="45"/>
      <c r="AH389" s="45"/>
      <c r="AI389" s="45"/>
      <c r="AJ389" s="190"/>
      <c r="AK389" s="454" t="s">
        <v>521</v>
      </c>
      <c r="AL389" s="1768"/>
      <c r="AM389" s="437"/>
      <c r="AN389" s="438">
        <f>100*(SUM(Transfer!AD200,Transfer!AD201,Transfer!AD205,Transfer!AD206)-(SUM(Transfer!AD202,Transfer!AD203,Transfer!AD207,Transfer!AD208,Transfer!AD209,Transfer!AD210)))/Transfer!AD147</f>
        <v>-3.8161079658064008</v>
      </c>
      <c r="AO389" s="2121"/>
      <c r="AP389" s="438">
        <f>100*(SUM(Transfer!AE200,Transfer!AE201,Transfer!AE205,Transfer!AE206)-(SUM(Transfer!AE202,Transfer!AE203,Transfer!AE207,Transfer!AE208,Transfer!AE209,Transfer!AE210)))/Transfer!AE147</f>
        <v>-3.6651712945014485</v>
      </c>
      <c r="AQ389" s="2121"/>
      <c r="AR389" s="438">
        <f>100*(SUM(Transfer!AF200,Transfer!AF201,Transfer!AF205,Transfer!AF206)-(SUM(Transfer!AF202,Transfer!AF203,Transfer!AF207,Transfer!AF208,Transfer!AF209,Transfer!AF210)))/Transfer!AF147</f>
        <v>-3.3486242801532229</v>
      </c>
      <c r="AS389" s="2121"/>
      <c r="AT389" s="438">
        <f>100*(SUM(Transfer!AG200,Transfer!AG201,Transfer!AG205,Transfer!AG206)-(SUM(Transfer!AG202,Transfer!AG203,Transfer!AG207,Transfer!AG208,Transfer!AG209,Transfer!AG210)))/Transfer!AG147</f>
        <v>-2.6810338802357383</v>
      </c>
      <c r="AU389" s="2122"/>
      <c r="AV389" s="448"/>
      <c r="AW389" s="54"/>
      <c r="AX389" s="54"/>
      <c r="AY389" s="54"/>
      <c r="AZ389" s="54"/>
      <c r="BA389" s="1791" t="s">
        <v>1125</v>
      </c>
      <c r="BB389" s="1757"/>
      <c r="BC389" s="54"/>
    </row>
    <row r="390" spans="1:55" ht="13.15">
      <c r="A390" s="45"/>
      <c r="B390" s="1756"/>
      <c r="C390" s="2545"/>
      <c r="D390" s="2545"/>
      <c r="E390" s="2545"/>
      <c r="F390" s="2545"/>
      <c r="G390" s="2545"/>
      <c r="H390" s="2545"/>
      <c r="I390" s="2545"/>
      <c r="J390" s="2545"/>
      <c r="K390" s="2545"/>
      <c r="L390" s="2545"/>
      <c r="M390" s="2469" t="str">
        <f>UPPER(Country)</f>
        <v>SWEDEN</v>
      </c>
      <c r="N390" s="2546"/>
      <c r="O390" s="54"/>
      <c r="P390" s="54"/>
      <c r="Q390" s="54"/>
      <c r="R390" s="54"/>
      <c r="S390" s="215"/>
      <c r="T390" s="113"/>
      <c r="U390" s="113"/>
      <c r="V390" s="113"/>
      <c r="W390" s="113"/>
      <c r="X390" s="113"/>
      <c r="Y390" s="113"/>
      <c r="Z390" s="113"/>
      <c r="AA390" s="113"/>
      <c r="AB390" s="113"/>
      <c r="AC390" s="113"/>
      <c r="AD390" s="118" t="str">
        <f>UPPER(Country)</f>
        <v>SWEDEN</v>
      </c>
      <c r="AE390" s="216"/>
      <c r="AF390" s="45"/>
      <c r="AG390" s="45"/>
      <c r="AH390" s="45"/>
      <c r="AI390" s="45"/>
      <c r="AJ390" s="215"/>
      <c r="AK390" s="113"/>
      <c r="AL390" s="113"/>
      <c r="AM390" s="113"/>
      <c r="AN390" s="113"/>
      <c r="AO390" s="113"/>
      <c r="AP390" s="113"/>
      <c r="AQ390" s="113"/>
      <c r="AR390" s="113"/>
      <c r="AS390" s="113"/>
      <c r="AT390" s="113"/>
      <c r="AU390" s="118" t="str">
        <f>UPPER(Country)</f>
        <v>SWEDEN</v>
      </c>
      <c r="AV390" s="216"/>
      <c r="AW390" s="54"/>
      <c r="AX390" s="54"/>
      <c r="AY390" s="54"/>
      <c r="AZ390" s="54"/>
      <c r="BA390" s="54"/>
      <c r="BB390" s="54"/>
      <c r="BC390" s="54"/>
    </row>
    <row r="391" spans="1:55">
      <c r="A391" s="45"/>
      <c r="B391" s="45"/>
      <c r="C391" s="45"/>
      <c r="D391" s="45"/>
      <c r="E391" s="45"/>
      <c r="F391" s="45"/>
      <c r="G391" s="45"/>
      <c r="H391" s="45"/>
      <c r="I391" s="45"/>
      <c r="J391" s="45"/>
      <c r="K391" s="45"/>
      <c r="L391" s="45"/>
      <c r="M391" s="45"/>
      <c r="N391" s="54"/>
      <c r="O391" s="54"/>
      <c r="P391" s="54"/>
      <c r="Q391" s="54"/>
      <c r="R391" s="54"/>
      <c r="S391" s="54"/>
      <c r="T391" s="54"/>
      <c r="U391" s="54"/>
      <c r="V391" s="54"/>
      <c r="W391" s="54"/>
      <c r="X391" s="54"/>
      <c r="Y391" s="54"/>
      <c r="Z391" s="54"/>
      <c r="AA391" s="54"/>
      <c r="AB391" s="45"/>
      <c r="AC391" s="45"/>
      <c r="AD391" s="45"/>
      <c r="AE391" s="45"/>
      <c r="AF391" s="45"/>
      <c r="AG391" s="45"/>
      <c r="AH391" s="45"/>
      <c r="AI391" s="45"/>
      <c r="AJ391" s="45"/>
      <c r="AK391" s="45"/>
      <c r="AL391" s="45"/>
      <c r="AM391" s="45"/>
      <c r="AN391" s="45"/>
      <c r="AO391" s="45"/>
      <c r="AP391" s="45"/>
      <c r="AQ391" s="45"/>
      <c r="AR391" s="45"/>
      <c r="AS391" s="45"/>
      <c r="AT391" s="45"/>
      <c r="AU391" s="45"/>
      <c r="AV391" s="54"/>
      <c r="AW391" s="54"/>
      <c r="AX391" s="54"/>
      <c r="AY391" s="54"/>
      <c r="AZ391" s="54"/>
      <c r="BA391" s="54"/>
      <c r="BB391" s="54"/>
      <c r="BC391" s="54"/>
    </row>
    <row r="392" spans="1:55">
      <c r="A392" s="45"/>
      <c r="B392" s="45"/>
      <c r="C392" s="45"/>
      <c r="D392" s="45"/>
      <c r="E392" s="45"/>
      <c r="F392" s="45"/>
      <c r="G392" s="45"/>
      <c r="H392" s="45"/>
      <c r="I392" s="45"/>
      <c r="J392" s="45"/>
      <c r="K392" s="45"/>
      <c r="L392" s="45"/>
      <c r="M392" s="45"/>
      <c r="N392" s="54"/>
      <c r="O392" s="54"/>
      <c r="P392" s="54"/>
      <c r="Q392" s="54"/>
      <c r="R392" s="54"/>
      <c r="S392" s="54"/>
      <c r="T392" s="54"/>
      <c r="U392" s="54"/>
      <c r="V392" s="54"/>
      <c r="W392" s="54"/>
      <c r="X392" s="54"/>
      <c r="Y392" s="54"/>
      <c r="Z392" s="54"/>
      <c r="AA392" s="54"/>
      <c r="AB392" s="45"/>
      <c r="AC392" s="45"/>
      <c r="AD392" s="45"/>
      <c r="AE392" s="45"/>
      <c r="AF392" s="45"/>
      <c r="AG392" s="45"/>
      <c r="AH392" s="45"/>
      <c r="AI392" s="45"/>
      <c r="AJ392" s="45"/>
      <c r="AK392" s="45"/>
      <c r="AL392" s="45"/>
      <c r="AM392" s="45"/>
      <c r="AN392" s="45"/>
      <c r="AO392" s="45"/>
      <c r="AP392" s="45"/>
      <c r="AQ392" s="45"/>
      <c r="AR392" s="45"/>
      <c r="AS392" s="45"/>
      <c r="AT392" s="45"/>
      <c r="AU392" s="45"/>
      <c r="AV392" s="54"/>
      <c r="AW392" s="54"/>
      <c r="AX392" s="54"/>
      <c r="AY392" s="54"/>
      <c r="AZ392" s="54"/>
      <c r="BA392" s="54"/>
      <c r="BB392" s="54"/>
      <c r="BC392" s="54"/>
    </row>
    <row r="393" spans="1:55">
      <c r="A393" s="45"/>
      <c r="B393" s="45"/>
      <c r="C393" s="45"/>
      <c r="D393" s="45"/>
      <c r="E393" s="45"/>
      <c r="F393" s="45"/>
      <c r="G393" s="45"/>
      <c r="H393" s="45"/>
      <c r="I393" s="45"/>
      <c r="J393" s="45"/>
      <c r="K393" s="45"/>
      <c r="L393" s="45"/>
      <c r="M393" s="45"/>
      <c r="N393" s="54"/>
      <c r="O393" s="54"/>
      <c r="P393" s="54"/>
      <c r="Q393" s="54"/>
      <c r="R393" s="54"/>
      <c r="S393" s="54"/>
      <c r="T393" s="54"/>
      <c r="U393" s="54"/>
      <c r="V393" s="54"/>
      <c r="W393" s="54"/>
      <c r="X393" s="54"/>
      <c r="Y393" s="54"/>
      <c r="Z393" s="54"/>
      <c r="AA393" s="54"/>
      <c r="AB393" s="45"/>
      <c r="AC393" s="45"/>
      <c r="AD393" s="45"/>
      <c r="AE393" s="45"/>
      <c r="AF393" s="45"/>
      <c r="AG393" s="45"/>
      <c r="AH393" s="45"/>
      <c r="AI393" s="45"/>
      <c r="AJ393" s="45"/>
      <c r="AK393" s="45"/>
      <c r="AL393" s="45"/>
      <c r="AM393" s="45"/>
      <c r="AN393" s="45"/>
      <c r="AO393" s="45"/>
      <c r="AP393" s="45"/>
      <c r="AQ393" s="45"/>
      <c r="AR393" s="45"/>
      <c r="AS393" s="45"/>
      <c r="AT393" s="45"/>
      <c r="AU393" s="45"/>
      <c r="AV393" s="54"/>
      <c r="AW393" s="54"/>
      <c r="AX393" s="54"/>
      <c r="AY393" s="54"/>
      <c r="AZ393" s="54"/>
      <c r="BA393" s="54"/>
      <c r="BB393" s="54"/>
      <c r="BC393" s="54"/>
    </row>
    <row r="394" spans="1:55">
      <c r="A394" s="45"/>
      <c r="B394" s="45"/>
      <c r="C394" s="45"/>
      <c r="D394" s="45"/>
      <c r="E394" s="45"/>
      <c r="F394" s="45"/>
      <c r="G394" s="45"/>
      <c r="H394" s="45"/>
      <c r="I394" s="45"/>
      <c r="J394" s="45"/>
      <c r="K394" s="45"/>
      <c r="L394" s="45"/>
      <c r="M394" s="45"/>
      <c r="N394" s="45"/>
      <c r="O394" s="45"/>
      <c r="P394" s="54"/>
      <c r="Q394" s="54"/>
      <c r="R394" s="54"/>
      <c r="S394" s="54"/>
      <c r="T394" s="54"/>
      <c r="U394" s="54"/>
      <c r="V394" s="54"/>
      <c r="W394" s="54"/>
      <c r="X394" s="54"/>
      <c r="Y394" s="54"/>
      <c r="Z394" s="54"/>
      <c r="AA394" s="54"/>
      <c r="AB394" s="45"/>
      <c r="AC394" s="45"/>
      <c r="AD394" s="45"/>
      <c r="AE394" s="45"/>
      <c r="AF394" s="45"/>
      <c r="AG394" s="45"/>
      <c r="AH394" s="45"/>
      <c r="AI394" s="45"/>
      <c r="AJ394" s="45"/>
      <c r="AK394" s="45"/>
      <c r="AL394" s="45"/>
      <c r="AM394" s="45"/>
      <c r="AN394" s="45"/>
      <c r="AO394" s="45"/>
      <c r="AP394" s="45"/>
      <c r="AQ394" s="45"/>
      <c r="AR394" s="45"/>
      <c r="AS394" s="45"/>
      <c r="AT394" s="45"/>
      <c r="AU394" s="45"/>
      <c r="AV394" s="45"/>
      <c r="AW394" s="45"/>
      <c r="AX394" s="54"/>
      <c r="AY394" s="54"/>
      <c r="AZ394" s="54"/>
      <c r="BA394" s="54"/>
      <c r="BB394" s="54"/>
      <c r="BC394" s="54"/>
    </row>
    <row r="395" spans="1:55">
      <c r="A395" s="45"/>
      <c r="B395" s="45"/>
      <c r="C395" s="45"/>
      <c r="D395" s="45"/>
      <c r="E395" s="45"/>
      <c r="F395" s="45"/>
      <c r="G395" s="45"/>
      <c r="H395" s="45"/>
      <c r="I395" s="45"/>
      <c r="J395" s="45"/>
      <c r="K395" s="45"/>
      <c r="L395" s="45"/>
      <c r="M395" s="45"/>
      <c r="N395" s="45"/>
      <c r="O395" s="45"/>
      <c r="P395" s="54"/>
      <c r="Q395" s="54"/>
      <c r="R395" s="54"/>
      <c r="S395" s="54"/>
      <c r="T395" s="54"/>
      <c r="U395" s="54"/>
      <c r="V395" s="54"/>
      <c r="W395" s="54"/>
      <c r="X395" s="54"/>
      <c r="Y395" s="54"/>
      <c r="Z395" s="54"/>
      <c r="AA395" s="54"/>
      <c r="AB395" s="45"/>
      <c r="AC395" s="45"/>
      <c r="AD395" s="45"/>
      <c r="AE395" s="45"/>
      <c r="AF395" s="45"/>
      <c r="AG395" s="45"/>
      <c r="AH395" s="45"/>
      <c r="AI395" s="45"/>
      <c r="AJ395" s="45"/>
      <c r="AK395" s="45"/>
      <c r="AL395" s="45"/>
      <c r="AM395" s="45"/>
      <c r="AN395" s="45"/>
      <c r="AO395" s="45"/>
      <c r="AP395" s="45"/>
      <c r="AQ395" s="45"/>
      <c r="AR395" s="45"/>
      <c r="AS395" s="45"/>
      <c r="AT395" s="45"/>
      <c r="AU395" s="45"/>
      <c r="AV395" s="45"/>
      <c r="AW395" s="45"/>
      <c r="AX395" s="54"/>
      <c r="AY395" s="54"/>
      <c r="AZ395" s="54"/>
      <c r="BA395" s="54"/>
      <c r="BB395" s="54"/>
      <c r="BC395" s="54"/>
    </row>
    <row r="396" spans="1:55">
      <c r="A396" s="45"/>
      <c r="B396" s="45"/>
      <c r="C396" s="45"/>
      <c r="D396" s="45"/>
      <c r="E396" s="45"/>
      <c r="F396" s="45"/>
      <c r="G396" s="45"/>
      <c r="H396" s="45"/>
      <c r="I396" s="45"/>
      <c r="J396" s="45"/>
      <c r="K396" s="45"/>
      <c r="L396" s="45"/>
      <c r="M396" s="45"/>
      <c r="N396" s="45"/>
      <c r="O396" s="45"/>
      <c r="P396" s="54"/>
      <c r="Q396" s="54"/>
      <c r="R396" s="54"/>
      <c r="S396" s="54"/>
      <c r="T396" s="54"/>
      <c r="U396" s="54"/>
      <c r="V396" s="54"/>
      <c r="W396" s="54"/>
      <c r="X396" s="54"/>
      <c r="Y396" s="54"/>
      <c r="Z396" s="54"/>
      <c r="AA396" s="54"/>
      <c r="AB396" s="45"/>
      <c r="AC396" s="45"/>
      <c r="AD396" s="45"/>
      <c r="AE396" s="45"/>
      <c r="AF396" s="45"/>
      <c r="AG396" s="45"/>
      <c r="AH396" s="45"/>
      <c r="AI396" s="45"/>
      <c r="AJ396" s="45"/>
      <c r="AK396" s="45"/>
      <c r="AL396" s="45"/>
      <c r="AM396" s="45"/>
      <c r="AN396" s="45"/>
      <c r="AO396" s="45"/>
      <c r="AP396" s="45"/>
      <c r="AQ396" s="45"/>
      <c r="AR396" s="45"/>
      <c r="AS396" s="45"/>
      <c r="AT396" s="45"/>
      <c r="AU396" s="45"/>
      <c r="AV396" s="45"/>
      <c r="AW396" s="45"/>
      <c r="AX396" s="54"/>
      <c r="AY396" s="54"/>
      <c r="AZ396" s="54"/>
      <c r="BA396" s="54"/>
      <c r="BB396" s="54"/>
      <c r="BC396" s="54"/>
    </row>
    <row r="397" spans="1:55">
      <c r="A397" s="45"/>
      <c r="B397" s="45"/>
      <c r="C397" s="45"/>
      <c r="D397" s="45"/>
      <c r="E397" s="45"/>
      <c r="F397" s="45"/>
      <c r="G397" s="45"/>
      <c r="H397" s="45"/>
      <c r="I397" s="45"/>
      <c r="J397" s="45"/>
      <c r="K397" s="45"/>
      <c r="L397" s="45"/>
      <c r="M397" s="45"/>
      <c r="N397" s="45"/>
      <c r="O397" s="45"/>
      <c r="P397" s="54"/>
      <c r="Q397" s="54"/>
      <c r="R397" s="54"/>
      <c r="S397" s="54"/>
      <c r="T397" s="54"/>
      <c r="U397" s="54"/>
      <c r="V397" s="54"/>
      <c r="W397" s="54"/>
      <c r="X397" s="54"/>
      <c r="Y397" s="54"/>
      <c r="Z397" s="54"/>
      <c r="AA397" s="54"/>
      <c r="AB397" s="45"/>
      <c r="AC397" s="45"/>
      <c r="AD397" s="45"/>
      <c r="AE397" s="45"/>
      <c r="AF397" s="45"/>
      <c r="AG397" s="45"/>
      <c r="AH397" s="45"/>
      <c r="AI397" s="45"/>
      <c r="AJ397" s="45"/>
      <c r="AK397" s="45"/>
      <c r="AL397" s="45"/>
      <c r="AM397" s="45"/>
      <c r="AN397" s="45"/>
      <c r="AO397" s="45"/>
      <c r="AP397" s="45"/>
      <c r="AQ397" s="45"/>
      <c r="AR397" s="45"/>
      <c r="AS397" s="45"/>
      <c r="AT397" s="45"/>
      <c r="AU397" s="45"/>
      <c r="AV397" s="45"/>
      <c r="AW397" s="45"/>
      <c r="AX397" s="54"/>
      <c r="AY397" s="54"/>
      <c r="AZ397" s="54"/>
      <c r="BA397" s="54"/>
      <c r="BB397" s="54"/>
      <c r="BC397" s="54"/>
    </row>
    <row r="398" spans="1:55">
      <c r="A398" s="45"/>
      <c r="B398" s="45"/>
      <c r="C398" s="45"/>
      <c r="D398" s="45"/>
      <c r="E398" s="45"/>
      <c r="F398" s="45"/>
      <c r="G398" s="45"/>
      <c r="H398" s="45"/>
      <c r="I398" s="45"/>
      <c r="J398" s="45"/>
      <c r="K398" s="45"/>
      <c r="L398" s="45"/>
      <c r="M398" s="45"/>
      <c r="N398" s="45"/>
      <c r="O398" s="45"/>
      <c r="P398" s="54"/>
      <c r="Q398" s="54"/>
      <c r="R398" s="54"/>
      <c r="S398" s="54"/>
      <c r="T398" s="54"/>
      <c r="U398" s="54"/>
      <c r="V398" s="54"/>
      <c r="W398" s="54"/>
      <c r="X398" s="54"/>
      <c r="Y398" s="54"/>
      <c r="Z398" s="54"/>
      <c r="AA398" s="54"/>
      <c r="AB398" s="45"/>
      <c r="AC398" s="45"/>
      <c r="AD398" s="45"/>
      <c r="AE398" s="45"/>
      <c r="AF398" s="45"/>
      <c r="AG398" s="45"/>
      <c r="AH398" s="45"/>
      <c r="AI398" s="45"/>
      <c r="AJ398" s="45"/>
      <c r="AK398" s="45"/>
      <c r="AL398" s="45"/>
      <c r="AM398" s="45"/>
      <c r="AN398" s="45"/>
      <c r="AO398" s="45"/>
      <c r="AP398" s="45"/>
      <c r="AQ398" s="45"/>
      <c r="AR398" s="45"/>
      <c r="AS398" s="45"/>
      <c r="AT398" s="45"/>
      <c r="AU398" s="45"/>
      <c r="AV398" s="45"/>
      <c r="AW398" s="45"/>
      <c r="AX398" s="54"/>
      <c r="AY398" s="54"/>
      <c r="AZ398" s="54"/>
      <c r="BA398" s="54"/>
      <c r="BB398" s="54"/>
      <c r="BC398" s="54"/>
    </row>
    <row r="399" spans="1:55">
      <c r="A399" s="45"/>
      <c r="B399" s="45"/>
      <c r="C399" s="45"/>
      <c r="D399" s="45"/>
      <c r="E399" s="45"/>
      <c r="F399" s="45"/>
      <c r="G399" s="45"/>
      <c r="H399" s="45"/>
      <c r="I399" s="45"/>
      <c r="J399" s="45"/>
      <c r="K399" s="45"/>
      <c r="L399" s="45"/>
      <c r="M399" s="45"/>
      <c r="N399" s="45"/>
      <c r="O399" s="45"/>
      <c r="P399" s="54"/>
      <c r="Q399" s="54"/>
      <c r="R399" s="54"/>
      <c r="S399" s="54"/>
      <c r="T399" s="54"/>
      <c r="U399" s="54"/>
      <c r="V399" s="54"/>
      <c r="W399" s="54"/>
      <c r="X399" s="54"/>
      <c r="Y399" s="54"/>
      <c r="Z399" s="54"/>
      <c r="AA399" s="54"/>
      <c r="AB399" s="45"/>
      <c r="AC399" s="45"/>
      <c r="AD399" s="45"/>
      <c r="AE399" s="45"/>
      <c r="AF399" s="45"/>
      <c r="AG399" s="45"/>
      <c r="AH399" s="45"/>
      <c r="AI399" s="45"/>
      <c r="AJ399" s="45"/>
      <c r="AK399" s="45"/>
      <c r="AL399" s="45"/>
      <c r="AM399" s="45"/>
      <c r="AN399" s="45"/>
      <c r="AO399" s="45"/>
      <c r="AP399" s="45"/>
      <c r="AQ399" s="45"/>
      <c r="AR399" s="45"/>
      <c r="AS399" s="45"/>
      <c r="AT399" s="45"/>
      <c r="AU399" s="45"/>
      <c r="AV399" s="45"/>
      <c r="AW399" s="45"/>
      <c r="AX399" s="54"/>
      <c r="AY399" s="54"/>
      <c r="AZ399" s="54"/>
      <c r="BA399" s="54"/>
      <c r="BB399" s="54"/>
      <c r="BC399" s="54"/>
    </row>
    <row r="400" spans="1:55" ht="13.15">
      <c r="A400" s="45"/>
      <c r="B400" s="2410"/>
      <c r="C400" s="2669" t="s">
        <v>522</v>
      </c>
      <c r="D400" s="2787"/>
      <c r="E400" s="2787"/>
      <c r="F400" s="2787"/>
      <c r="G400" s="2787"/>
      <c r="H400" s="2787"/>
      <c r="I400" s="2787"/>
      <c r="J400" s="2787"/>
      <c r="K400" s="2787"/>
      <c r="L400" s="2787"/>
      <c r="M400" s="2787"/>
      <c r="N400" s="2788"/>
      <c r="O400" s="54"/>
      <c r="P400" s="54"/>
      <c r="Q400" s="54"/>
      <c r="R400" s="54"/>
      <c r="S400" s="188"/>
      <c r="T400" s="457" t="s">
        <v>522</v>
      </c>
      <c r="U400" s="458"/>
      <c r="V400" s="458"/>
      <c r="W400" s="458"/>
      <c r="X400" s="458"/>
      <c r="Y400" s="458"/>
      <c r="Z400" s="458"/>
      <c r="AA400" s="458"/>
      <c r="AB400" s="458"/>
      <c r="AC400" s="458"/>
      <c r="AD400" s="458"/>
      <c r="AE400" s="459"/>
      <c r="AF400" s="45"/>
      <c r="AG400" s="45"/>
      <c r="AH400" s="45"/>
      <c r="AI400" s="45"/>
      <c r="AJ400" s="188"/>
      <c r="AK400" s="457" t="s">
        <v>522</v>
      </c>
      <c r="AL400" s="458"/>
      <c r="AM400" s="458"/>
      <c r="AN400" s="458"/>
      <c r="AO400" s="458"/>
      <c r="AP400" s="458"/>
      <c r="AQ400" s="458"/>
      <c r="AR400" s="458"/>
      <c r="AS400" s="458"/>
      <c r="AT400" s="458"/>
      <c r="AU400" s="458"/>
      <c r="AV400" s="459"/>
      <c r="AW400" s="54"/>
      <c r="AX400" s="54"/>
      <c r="AY400" s="54"/>
      <c r="AZ400" s="54"/>
      <c r="BA400" s="54"/>
      <c r="BB400" s="54"/>
      <c r="BC400" s="54"/>
    </row>
    <row r="401" spans="1:55" ht="13.15">
      <c r="A401" s="45"/>
      <c r="B401" s="1720"/>
      <c r="C401" s="3935" t="s">
        <v>1598</v>
      </c>
      <c r="D401" s="3935"/>
      <c r="E401" s="3935"/>
      <c r="F401" s="3935"/>
      <c r="G401" s="3935"/>
      <c r="H401" s="3935"/>
      <c r="I401" s="3935"/>
      <c r="J401" s="3935"/>
      <c r="K401" s="3935"/>
      <c r="L401" s="3935"/>
      <c r="M401" s="3935"/>
      <c r="N401" s="2520"/>
      <c r="O401" s="54"/>
      <c r="P401" s="54"/>
      <c r="Q401" s="54"/>
      <c r="R401" s="54"/>
      <c r="S401" s="190"/>
      <c r="T401" s="3964" t="s">
        <v>523</v>
      </c>
      <c r="U401" s="3964"/>
      <c r="V401" s="3964"/>
      <c r="W401" s="3964"/>
      <c r="X401" s="3964"/>
      <c r="Y401" s="3964"/>
      <c r="Z401" s="3964"/>
      <c r="AA401" s="3964"/>
      <c r="AB401" s="3964"/>
      <c r="AC401" s="3964"/>
      <c r="AD401" s="3964"/>
      <c r="AE401" s="199"/>
      <c r="AF401" s="45"/>
      <c r="AG401" s="45"/>
      <c r="AH401" s="45"/>
      <c r="AI401" s="45"/>
      <c r="AJ401" s="190"/>
      <c r="AK401" s="3964" t="s">
        <v>1598</v>
      </c>
      <c r="AL401" s="3964"/>
      <c r="AM401" s="3964"/>
      <c r="AN401" s="3964"/>
      <c r="AO401" s="3964"/>
      <c r="AP401" s="3964"/>
      <c r="AQ401" s="3964"/>
      <c r="AR401" s="3964"/>
      <c r="AS401" s="3964"/>
      <c r="AT401" s="3964"/>
      <c r="AU401" s="3964"/>
      <c r="AV401" s="199"/>
      <c r="AW401" s="54"/>
      <c r="AX401" s="54"/>
      <c r="AY401" s="54"/>
      <c r="AZ401" s="54"/>
      <c r="BA401" s="54"/>
      <c r="BB401" s="54"/>
      <c r="BC401" s="54"/>
    </row>
    <row r="402" spans="1:55" ht="15">
      <c r="A402" s="45"/>
      <c r="B402" s="1720"/>
      <c r="C402" s="2418" t="str">
        <f>"Country: " &amp;UPPER(Country)</f>
        <v>Country: SWEDEN</v>
      </c>
      <c r="D402" s="2420"/>
      <c r="E402" s="2420"/>
      <c r="F402" s="2420"/>
      <c r="G402" s="2420"/>
      <c r="H402" s="2420"/>
      <c r="I402" s="2420"/>
      <c r="J402" s="2420"/>
      <c r="K402" s="2420"/>
      <c r="L402" s="2420"/>
      <c r="M402" s="2420"/>
      <c r="N402" s="2520"/>
      <c r="O402" s="54"/>
      <c r="P402" s="54"/>
      <c r="Q402" s="54"/>
      <c r="R402" s="54"/>
      <c r="S402" s="190"/>
      <c r="T402" s="63" t="str">
        <f>"Country: " &amp;UPPER(Country)</f>
        <v>Country: SWEDEN</v>
      </c>
      <c r="U402" s="65"/>
      <c r="V402" s="65"/>
      <c r="W402" s="2066" t="s">
        <v>1553</v>
      </c>
      <c r="X402" s="65"/>
      <c r="Y402" s="65"/>
      <c r="Z402" s="65"/>
      <c r="AA402" s="65"/>
      <c r="AB402" s="65"/>
      <c r="AC402" s="65"/>
      <c r="AD402" s="65"/>
      <c r="AE402" s="196"/>
      <c r="AF402" s="45"/>
      <c r="AG402" s="45"/>
      <c r="AH402" s="45"/>
      <c r="AI402" s="45"/>
      <c r="AJ402" s="190"/>
      <c r="AK402" s="63" t="str">
        <f>"Country: " &amp;UPPER(Country)</f>
        <v>Country: SWEDEN</v>
      </c>
      <c r="AL402" s="65"/>
      <c r="AM402" s="65"/>
      <c r="AN402" s="65"/>
      <c r="AO402" s="65"/>
      <c r="AP402" s="65"/>
      <c r="AQ402" s="65"/>
      <c r="AR402" s="65"/>
      <c r="AS402" s="65"/>
      <c r="AT402" s="65"/>
      <c r="AU402" s="65"/>
      <c r="AV402" s="196"/>
      <c r="AW402" s="54"/>
      <c r="AX402" s="54"/>
      <c r="AY402" s="54"/>
      <c r="AZ402" s="54"/>
      <c r="BA402" s="54"/>
      <c r="BB402" s="54"/>
      <c r="BC402" s="54"/>
    </row>
    <row r="403" spans="1:55" ht="15">
      <c r="A403" s="45"/>
      <c r="B403" s="1720"/>
      <c r="C403" s="2418" t="str">
        <f>"Currency unit: " &amp; Currency</f>
        <v>Currency unit: bn SEK</v>
      </c>
      <c r="D403" s="2420"/>
      <c r="E403" s="2420"/>
      <c r="F403" s="2789"/>
      <c r="G403" s="2420"/>
      <c r="I403" s="2420"/>
      <c r="J403" s="2513"/>
      <c r="K403" s="3653"/>
      <c r="L403" s="2513"/>
      <c r="M403" s="3653"/>
      <c r="N403" s="1719"/>
      <c r="O403" s="54"/>
      <c r="P403" s="54"/>
      <c r="Q403" s="54"/>
      <c r="R403" s="54"/>
      <c r="S403" s="190"/>
      <c r="T403" s="63" t="str">
        <f>"Currency unit: " &amp; Currency</f>
        <v>Currency unit: bn SEK</v>
      </c>
      <c r="U403" s="65"/>
      <c r="V403" s="65"/>
      <c r="W403" s="2066" t="str">
        <f>$T$4</f>
        <v>final storage SF18</v>
      </c>
      <c r="X403" s="65"/>
      <c r="Y403" s="1"/>
      <c r="Z403" s="65"/>
      <c r="AA403" s="1"/>
      <c r="AB403" s="1"/>
      <c r="AC403" s="1"/>
      <c r="AD403" s="1"/>
      <c r="AE403" s="90"/>
      <c r="AF403" s="45"/>
      <c r="AG403" s="45"/>
      <c r="AH403" s="45"/>
      <c r="AI403" s="45"/>
      <c r="AJ403" s="190"/>
      <c r="AK403" s="63" t="str">
        <f>"Currency unit: " &amp; Currency</f>
        <v>Currency unit: bn SEK</v>
      </c>
      <c r="AL403" s="65"/>
      <c r="AM403" s="65"/>
      <c r="AN403" s="1965"/>
      <c r="AO403" s="65"/>
      <c r="AP403" s="1"/>
      <c r="AQ403" s="65"/>
      <c r="AR403" s="1"/>
      <c r="AS403" s="1"/>
      <c r="AT403" s="1"/>
      <c r="AU403" s="1"/>
      <c r="AV403" s="90"/>
      <c r="AW403" s="54"/>
      <c r="AX403" s="54"/>
      <c r="AY403" s="54"/>
      <c r="AZ403" s="54"/>
      <c r="BA403" s="54"/>
      <c r="BB403" s="54"/>
      <c r="BC403" s="54"/>
    </row>
    <row r="404" spans="1:55" ht="13.15" thickBot="1">
      <c r="A404" s="45"/>
      <c r="B404" s="1720"/>
      <c r="C404" s="2424" t="s">
        <v>576</v>
      </c>
      <c r="D404" s="2770"/>
      <c r="E404" s="2420"/>
      <c r="F404" s="2420"/>
      <c r="G404" s="2420"/>
      <c r="H404" s="2420"/>
      <c r="I404" s="2420"/>
      <c r="J404" s="2420"/>
      <c r="K404" s="2513"/>
      <c r="L404" s="3878">
        <f ca="1">NOW()</f>
        <v>43493.476067824071</v>
      </c>
      <c r="M404" s="3878"/>
      <c r="N404" s="2670"/>
      <c r="O404" s="54"/>
      <c r="P404" s="54"/>
      <c r="Q404" s="54"/>
      <c r="R404" s="54"/>
      <c r="S404" s="190"/>
      <c r="T404" s="69" t="s">
        <v>576</v>
      </c>
      <c r="V404" s="65"/>
      <c r="W404" s="65"/>
      <c r="X404" s="65"/>
      <c r="Y404" s="65"/>
      <c r="Z404" s="65"/>
      <c r="AA404" s="65"/>
      <c r="AB404" s="1"/>
      <c r="AC404" s="3879">
        <f ca="1">NOW()</f>
        <v>43493.476067824071</v>
      </c>
      <c r="AD404" s="3879"/>
      <c r="AE404" s="337"/>
      <c r="AF404" s="45"/>
      <c r="AG404" s="45"/>
      <c r="AH404" s="45"/>
      <c r="AI404" s="45"/>
      <c r="AJ404" s="190"/>
      <c r="AK404" s="69" t="s">
        <v>576</v>
      </c>
      <c r="AM404" s="65"/>
      <c r="AN404" s="65"/>
      <c r="AO404" s="65"/>
      <c r="AP404" s="65"/>
      <c r="AQ404" s="65"/>
      <c r="AR404" s="65"/>
      <c r="AS404" s="1"/>
      <c r="AT404" s="3879">
        <f ca="1">NOW()</f>
        <v>43493.476067824071</v>
      </c>
      <c r="AU404" s="3879"/>
      <c r="AV404" s="337"/>
      <c r="AW404" s="54"/>
      <c r="AX404" s="54"/>
      <c r="AY404" s="54"/>
      <c r="AZ404" s="54"/>
      <c r="BA404" s="54"/>
      <c r="BB404" s="54"/>
      <c r="BC404" s="54"/>
    </row>
    <row r="405" spans="1:55" ht="13.15">
      <c r="A405" s="45"/>
      <c r="B405" s="1720"/>
      <c r="C405" s="2426"/>
      <c r="D405" s="2427"/>
      <c r="E405" s="2790" t="s">
        <v>433</v>
      </c>
      <c r="F405" s="3897">
        <f>E16</f>
        <v>2017</v>
      </c>
      <c r="G405" s="3898"/>
      <c r="H405" s="3969">
        <f>F405+1</f>
        <v>2018</v>
      </c>
      <c r="I405" s="3970"/>
      <c r="J405" s="3976">
        <f>H405+1</f>
        <v>2019</v>
      </c>
      <c r="K405" s="3970"/>
      <c r="L405" s="3969">
        <f>J405+1</f>
        <v>2020</v>
      </c>
      <c r="M405" s="3971"/>
      <c r="N405" s="2673"/>
      <c r="O405" s="54"/>
      <c r="P405" s="54"/>
      <c r="Q405" s="54"/>
      <c r="R405" s="54"/>
      <c r="S405" s="190"/>
      <c r="T405" s="191"/>
      <c r="U405" s="73"/>
      <c r="V405" s="460" t="s">
        <v>433</v>
      </c>
      <c r="W405" s="3899">
        <f>Last_forecast_year - 3</f>
        <v>2017</v>
      </c>
      <c r="X405" s="3900"/>
      <c r="Y405" s="3972">
        <f>W405+1</f>
        <v>2018</v>
      </c>
      <c r="Z405" s="3974"/>
      <c r="AA405" s="3975">
        <f>Y405+1</f>
        <v>2019</v>
      </c>
      <c r="AB405" s="3974"/>
      <c r="AC405" s="3972">
        <f>AA405+1</f>
        <v>2020</v>
      </c>
      <c r="AD405" s="3973"/>
      <c r="AE405" s="339"/>
      <c r="AF405" s="45"/>
      <c r="AG405" s="45"/>
      <c r="AH405" s="45"/>
      <c r="AI405" s="45"/>
      <c r="AJ405" s="190"/>
      <c r="AK405" s="191"/>
      <c r="AL405" s="73"/>
      <c r="AM405" s="460" t="s">
        <v>433</v>
      </c>
      <c r="AN405" s="3899">
        <f>AM16</f>
        <v>2017</v>
      </c>
      <c r="AO405" s="3900"/>
      <c r="AP405" s="3972">
        <f>AN405+1</f>
        <v>2018</v>
      </c>
      <c r="AQ405" s="3974"/>
      <c r="AR405" s="3975">
        <f>AP405+1</f>
        <v>2019</v>
      </c>
      <c r="AS405" s="3974"/>
      <c r="AT405" s="3972">
        <f>AR405+1</f>
        <v>2020</v>
      </c>
      <c r="AU405" s="3973"/>
      <c r="AV405" s="339"/>
      <c r="AW405" s="54"/>
      <c r="AX405" s="54"/>
      <c r="AY405" s="54"/>
      <c r="AZ405" s="54"/>
      <c r="BA405" s="54"/>
      <c r="BB405" s="54"/>
      <c r="BC405" s="54"/>
    </row>
    <row r="406" spans="1:55" ht="13.15">
      <c r="A406" s="45"/>
      <c r="B406" s="1720"/>
      <c r="C406" s="2448"/>
      <c r="D406" s="2449"/>
      <c r="E406" s="2791" t="s">
        <v>772</v>
      </c>
      <c r="F406" s="2709" t="s">
        <v>577</v>
      </c>
      <c r="G406" s="2710" t="s">
        <v>1220</v>
      </c>
      <c r="H406" s="2709" t="s">
        <v>577</v>
      </c>
      <c r="I406" s="2710" t="s">
        <v>1220</v>
      </c>
      <c r="J406" s="2709" t="s">
        <v>577</v>
      </c>
      <c r="K406" s="2710" t="s">
        <v>1220</v>
      </c>
      <c r="L406" s="2709" t="s">
        <v>577</v>
      </c>
      <c r="M406" s="2711" t="s">
        <v>1220</v>
      </c>
      <c r="N406" s="2729"/>
      <c r="O406" s="54"/>
      <c r="P406" s="54"/>
      <c r="Q406" s="54"/>
      <c r="R406" s="54"/>
      <c r="S406" s="190"/>
      <c r="T406" s="2448"/>
      <c r="U406" s="115"/>
      <c r="V406" s="461" t="s">
        <v>772</v>
      </c>
      <c r="W406" s="390" t="s">
        <v>577</v>
      </c>
      <c r="X406" s="391" t="s">
        <v>1220</v>
      </c>
      <c r="Y406" s="390" t="s">
        <v>577</v>
      </c>
      <c r="Z406" s="391" t="s">
        <v>1220</v>
      </c>
      <c r="AA406" s="390" t="s">
        <v>577</v>
      </c>
      <c r="AB406" s="391" t="s">
        <v>1220</v>
      </c>
      <c r="AC406" s="390" t="s">
        <v>577</v>
      </c>
      <c r="AD406" s="392" t="s">
        <v>1220</v>
      </c>
      <c r="AE406" s="393"/>
      <c r="AF406" s="45"/>
      <c r="AG406" s="45"/>
      <c r="AH406" s="45"/>
      <c r="AI406" s="45"/>
      <c r="AJ406" s="190"/>
      <c r="AK406" s="2448"/>
      <c r="AL406" s="115"/>
      <c r="AM406" s="461" t="s">
        <v>772</v>
      </c>
      <c r="AN406" s="390" t="s">
        <v>577</v>
      </c>
      <c r="AO406" s="391" t="s">
        <v>1220</v>
      </c>
      <c r="AP406" s="390" t="s">
        <v>577</v>
      </c>
      <c r="AQ406" s="391" t="s">
        <v>1220</v>
      </c>
      <c r="AR406" s="390" t="s">
        <v>577</v>
      </c>
      <c r="AS406" s="391" t="s">
        <v>1220</v>
      </c>
      <c r="AT406" s="390" t="s">
        <v>577</v>
      </c>
      <c r="AU406" s="392" t="s">
        <v>1220</v>
      </c>
      <c r="AV406" s="393"/>
      <c r="AW406" s="54"/>
      <c r="AX406" s="54"/>
      <c r="AY406" s="54"/>
      <c r="AZ406" s="54"/>
      <c r="BA406" s="54"/>
      <c r="BB406" s="54"/>
      <c r="BC406" s="54"/>
    </row>
    <row r="407" spans="1:55">
      <c r="A407" s="45"/>
      <c r="B407" s="1720"/>
      <c r="C407" s="1721" t="s">
        <v>1344</v>
      </c>
      <c r="D407" s="2420"/>
      <c r="E407" s="2713" t="s">
        <v>1345</v>
      </c>
      <c r="F407" s="2759">
        <f ca="1">Transfer!D213</f>
        <v>1031.5340000000001</v>
      </c>
      <c r="G407" s="2518">
        <f ca="1">100*((Transfer!D213/Transfer!C213)-1)</f>
        <v>4.4653807164174886</v>
      </c>
      <c r="H407" s="2759">
        <f ca="1">Transfer!E213</f>
        <v>1075.2026598248071</v>
      </c>
      <c r="I407" s="2518">
        <f ca="1">100*((Transfer!E213/Transfer!D213)-1)</f>
        <v>4.2333708656047131</v>
      </c>
      <c r="J407" s="2759">
        <f ca="1">Transfer!F213</f>
        <v>1112.8032004969793</v>
      </c>
      <c r="K407" s="2518">
        <f ca="1">100*((Transfer!F213/Transfer!E213)-1)</f>
        <v>3.4970654442297189</v>
      </c>
      <c r="L407" s="2518">
        <f ca="1">Transfer!G213</f>
        <v>1151.7498222449526</v>
      </c>
      <c r="M407" s="2519">
        <f ca="1">100*((Transfer!G213/Transfer!F213)-1)</f>
        <v>3.4998660796967229</v>
      </c>
      <c r="N407" s="2520"/>
      <c r="O407" s="54"/>
      <c r="P407" s="54"/>
      <c r="Q407" s="54"/>
      <c r="R407" s="54"/>
      <c r="S407" s="190"/>
      <c r="T407" s="1721" t="s">
        <v>1344</v>
      </c>
      <c r="U407" s="65"/>
      <c r="V407" s="379" t="s">
        <v>1345</v>
      </c>
      <c r="W407" s="2079">
        <f t="shared" ref="W407:AD422" ca="1" si="25">ROUND(F407,1)-ROUND(AN407,1)</f>
        <v>44.100000000000023</v>
      </c>
      <c r="X407" s="2080">
        <f t="shared" ca="1" si="25"/>
        <v>-3.3</v>
      </c>
      <c r="Y407" s="2080">
        <f t="shared" ca="1" si="25"/>
        <v>44.299999999999955</v>
      </c>
      <c r="Z407" s="2080">
        <f t="shared" ca="1" si="25"/>
        <v>-0.20000000000000018</v>
      </c>
      <c r="AA407" s="2080">
        <f t="shared" ca="1" si="25"/>
        <v>37.700000000000045</v>
      </c>
      <c r="AB407" s="2080">
        <f t="shared" ca="1" si="25"/>
        <v>-0.79999999999999982</v>
      </c>
      <c r="AC407" s="2080">
        <f t="shared" ca="1" si="25"/>
        <v>33.400000000000091</v>
      </c>
      <c r="AD407" s="249">
        <f t="shared" ca="1" si="25"/>
        <v>-0.5</v>
      </c>
      <c r="AE407" s="196"/>
      <c r="AF407" s="45"/>
      <c r="AG407" s="45"/>
      <c r="AH407" s="45"/>
      <c r="AI407" s="45"/>
      <c r="AJ407" s="190"/>
      <c r="AK407" s="1721" t="s">
        <v>1344</v>
      </c>
      <c r="AL407" s="65"/>
      <c r="AM407" s="379" t="s">
        <v>1345</v>
      </c>
      <c r="AN407" s="141">
        <f>Transfer!AD213</f>
        <v>987.44799999999998</v>
      </c>
      <c r="AO407" s="195">
        <f>100*((Transfer!AD213/Transfer!AC213)-1)</f>
        <v>7.8071792990581201</v>
      </c>
      <c r="AP407" s="462">
        <f>Transfer!AE213</f>
        <v>1030.9090000000001</v>
      </c>
      <c r="AQ407" s="195">
        <f>100*((Transfer!AE213/Transfer!AD213)-1)</f>
        <v>4.4013456911148774</v>
      </c>
      <c r="AR407" s="462">
        <f>Transfer!AF213</f>
        <v>1075.086587996675</v>
      </c>
      <c r="AS407" s="195">
        <f>100*((Transfer!AF213/Transfer!AE213)-1)</f>
        <v>4.2853043281875447</v>
      </c>
      <c r="AT407" s="195">
        <f>Transfer!AG213</f>
        <v>1118.3080647353468</v>
      </c>
      <c r="AU407" s="358">
        <f>100*((Transfer!AG213/Transfer!AF213)-1)</f>
        <v>4.0202786660385126</v>
      </c>
      <c r="AV407" s="196"/>
      <c r="AW407" s="54"/>
      <c r="AX407" s="54"/>
      <c r="AY407" s="54"/>
      <c r="AZ407" s="54"/>
      <c r="BA407" s="1751" t="s">
        <v>1068</v>
      </c>
      <c r="BB407" s="1752"/>
      <c r="BC407" s="54"/>
    </row>
    <row r="408" spans="1:55">
      <c r="A408" s="45"/>
      <c r="B408" s="1720"/>
      <c r="C408" s="1721" t="s">
        <v>355</v>
      </c>
      <c r="D408" s="2420"/>
      <c r="E408" s="2589" t="s">
        <v>766</v>
      </c>
      <c r="F408" s="2579">
        <f ca="1">Transfer!D214</f>
        <v>867.20799999999997</v>
      </c>
      <c r="G408" s="2521">
        <f ca="1">100*((Transfer!D214/Transfer!C214)-1)</f>
        <v>5.1589495843155531</v>
      </c>
      <c r="H408" s="2759">
        <f ca="1">Transfer!E214</f>
        <v>895.41504268260928</v>
      </c>
      <c r="I408" s="2521">
        <f ca="1">100*((Transfer!E214/Transfer!D214)-1)</f>
        <v>3.2526271301244192</v>
      </c>
      <c r="J408" s="2759">
        <f ca="1">Transfer!F214</f>
        <v>923.42297259148313</v>
      </c>
      <c r="K408" s="2521">
        <f ca="1">100*((Transfer!F214/Transfer!E214)-1)</f>
        <v>3.1279271146667176</v>
      </c>
      <c r="L408" s="2521">
        <f ca="1">Transfer!G214</f>
        <v>949.63343995066862</v>
      </c>
      <c r="M408" s="2760">
        <f ca="1">100*((Transfer!G214/Transfer!F214)-1)</f>
        <v>2.8384032168518258</v>
      </c>
      <c r="N408" s="2520"/>
      <c r="O408" s="54"/>
      <c r="P408" s="54"/>
      <c r="Q408" s="54"/>
      <c r="R408" s="54"/>
      <c r="S408" s="190"/>
      <c r="T408" s="1721" t="s">
        <v>355</v>
      </c>
      <c r="U408" s="65"/>
      <c r="V408" s="382" t="s">
        <v>766</v>
      </c>
      <c r="W408" s="248">
        <f t="shared" ca="1" si="25"/>
        <v>41.800000000000068</v>
      </c>
      <c r="X408" s="245">
        <f t="shared" ca="1" si="25"/>
        <v>-1.7999999999999998</v>
      </c>
      <c r="Y408" s="245">
        <f t="shared" ca="1" si="25"/>
        <v>37.100000000000023</v>
      </c>
      <c r="Z408" s="245">
        <f t="shared" ca="1" si="25"/>
        <v>-0.70000000000000018</v>
      </c>
      <c r="AA408" s="245">
        <f t="shared" ca="1" si="25"/>
        <v>39.5</v>
      </c>
      <c r="AB408" s="245">
        <f t="shared" ca="1" si="25"/>
        <v>0.10000000000000009</v>
      </c>
      <c r="AC408" s="245">
        <f t="shared" ca="1" si="25"/>
        <v>29.899999999999977</v>
      </c>
      <c r="AD408" s="249">
        <f t="shared" ca="1" si="25"/>
        <v>-1.2999999999999998</v>
      </c>
      <c r="AE408" s="196"/>
      <c r="AF408" s="45"/>
      <c r="AG408" s="45"/>
      <c r="AH408" s="45"/>
      <c r="AI408" s="45"/>
      <c r="AJ408" s="190"/>
      <c r="AK408" s="1721" t="s">
        <v>355</v>
      </c>
      <c r="AL408" s="65"/>
      <c r="AM408" s="382" t="s">
        <v>766</v>
      </c>
      <c r="AN408" s="145">
        <f>Transfer!AD214</f>
        <v>825.40899999999999</v>
      </c>
      <c r="AO408" s="197">
        <f>100*((Transfer!AD214/Transfer!AC214)-1)</f>
        <v>7.0076683239234772</v>
      </c>
      <c r="AP408" s="462">
        <f>Transfer!AE214</f>
        <v>858.28399999999999</v>
      </c>
      <c r="AQ408" s="197">
        <f>100*((Transfer!AE214/Transfer!AD214)-1)</f>
        <v>3.9828739449170092</v>
      </c>
      <c r="AR408" s="462">
        <f>Transfer!AF214</f>
        <v>883.93514455252694</v>
      </c>
      <c r="AS408" s="197">
        <f>100*((Transfer!AF214/Transfer!AE214)-1)</f>
        <v>2.9886546355899712</v>
      </c>
      <c r="AT408" s="197">
        <f>Transfer!AG214</f>
        <v>919.73752847604692</v>
      </c>
      <c r="AU408" s="463">
        <f>100*((Transfer!AG214/Transfer!AF214)-1)</f>
        <v>4.0503405871076925</v>
      </c>
      <c r="AV408" s="196"/>
      <c r="AW408" s="54"/>
      <c r="AX408" s="54"/>
      <c r="AY408" s="54"/>
      <c r="AZ408" s="54"/>
      <c r="BA408" s="1753" t="s">
        <v>1069</v>
      </c>
      <c r="BB408" s="1754"/>
      <c r="BC408" s="54"/>
    </row>
    <row r="409" spans="1:55">
      <c r="A409" s="45"/>
      <c r="B409" s="1720"/>
      <c r="C409" s="2442" t="s">
        <v>1608</v>
      </c>
      <c r="D409" s="2461"/>
      <c r="E409" s="2719"/>
      <c r="F409" s="2759">
        <f ca="1">Transfer!D192</f>
        <v>735.09299999999996</v>
      </c>
      <c r="G409" s="2521">
        <f ca="1">100*((Transfer!D192/Transfer!C192)-1)</f>
        <v>4.9305404880722437</v>
      </c>
      <c r="H409" s="2759">
        <f ca="1">Transfer!E192</f>
        <v>756.57994268260916</v>
      </c>
      <c r="I409" s="2521">
        <f ca="1">100*((Transfer!E192/Transfer!D192)-1)</f>
        <v>2.9230237102800816</v>
      </c>
      <c r="J409" s="2759">
        <f ca="1">Transfer!F192</f>
        <v>780.90266659148301</v>
      </c>
      <c r="K409" s="2521">
        <f ca="1">100*((Transfer!F192/Transfer!E192)-1)</f>
        <v>3.2148253656623105</v>
      </c>
      <c r="L409" s="2521">
        <f ca="1">Transfer!G192</f>
        <v>803.35586821466859</v>
      </c>
      <c r="M409" s="2760">
        <f ca="1">100*((Transfer!G192/Transfer!F192)-1)</f>
        <v>2.8752881228066851</v>
      </c>
      <c r="N409" s="2678"/>
      <c r="O409" s="54"/>
      <c r="P409" s="54"/>
      <c r="Q409" s="54"/>
      <c r="R409" s="54"/>
      <c r="S409" s="190"/>
      <c r="T409" s="2442" t="s">
        <v>1608</v>
      </c>
      <c r="U409" s="102"/>
      <c r="V409" s="383"/>
      <c r="W409" s="248">
        <f t="shared" ca="1" si="25"/>
        <v>33.899999999999977</v>
      </c>
      <c r="X409" s="245">
        <f t="shared" ca="1" si="25"/>
        <v>-2.8999999999999995</v>
      </c>
      <c r="Y409" s="245">
        <f t="shared" ca="1" si="25"/>
        <v>27</v>
      </c>
      <c r="Z409" s="245">
        <f t="shared" ca="1" si="25"/>
        <v>-1.1000000000000001</v>
      </c>
      <c r="AA409" s="245">
        <f t="shared" ca="1" si="25"/>
        <v>28</v>
      </c>
      <c r="AB409" s="245">
        <f t="shared" ca="1" si="25"/>
        <v>0</v>
      </c>
      <c r="AC409" s="245">
        <f t="shared" ca="1" si="25"/>
        <v>18.299999999999955</v>
      </c>
      <c r="AD409" s="249">
        <f t="shared" ca="1" si="25"/>
        <v>-1.4</v>
      </c>
      <c r="AE409" s="464"/>
      <c r="AF409" s="45"/>
      <c r="AG409" s="45"/>
      <c r="AH409" s="45"/>
      <c r="AI409" s="45"/>
      <c r="AJ409" s="190"/>
      <c r="AK409" s="2442" t="s">
        <v>1608</v>
      </c>
      <c r="AL409" s="102"/>
      <c r="AM409" s="383"/>
      <c r="AN409" s="141">
        <f>Transfer!AD192</f>
        <v>701.23199999999997</v>
      </c>
      <c r="AO409" s="245">
        <f>100*((Transfer!AD192/Transfer!AC192)-1)</f>
        <v>7.7639689508860243</v>
      </c>
      <c r="AP409" s="141">
        <f>Transfer!AE192</f>
        <v>729.56799999999998</v>
      </c>
      <c r="AQ409" s="245">
        <f>100*((Transfer!AE192/Transfer!AD192)-1)</f>
        <v>4.0408880370547795</v>
      </c>
      <c r="AR409" s="141">
        <f>Transfer!AF192</f>
        <v>752.93012455252688</v>
      </c>
      <c r="AS409" s="245">
        <f>100*((Transfer!AF192/Transfer!AE192)-1)</f>
        <v>3.202186026871634</v>
      </c>
      <c r="AT409" s="197">
        <f>Transfer!AG192</f>
        <v>785.12670295604687</v>
      </c>
      <c r="AU409" s="249">
        <f>100*((Transfer!AG192/Transfer!AF192)-1)</f>
        <v>4.2761708362585082</v>
      </c>
      <c r="AV409" s="464"/>
      <c r="AW409" s="54"/>
      <c r="AX409" s="54"/>
      <c r="AY409" s="54"/>
      <c r="AZ409" s="54"/>
      <c r="BA409" s="1753" t="s">
        <v>1070</v>
      </c>
      <c r="BB409" s="1754"/>
      <c r="BC409" s="54"/>
    </row>
    <row r="410" spans="1:55">
      <c r="A410" s="45"/>
      <c r="B410" s="1720"/>
      <c r="C410" s="2442" t="s">
        <v>1609</v>
      </c>
      <c r="D410" s="2461"/>
      <c r="E410" s="2719"/>
      <c r="F410" s="2759">
        <f ca="1">Transfer!D207</f>
        <v>132.32</v>
      </c>
      <c r="G410" s="2521">
        <f ca="1">100*((Transfer!D207/Transfer!C207)-1)</f>
        <v>7.0844730751177476</v>
      </c>
      <c r="H410" s="2759">
        <f ca="1">Transfer!E207</f>
        <v>138.93600000000001</v>
      </c>
      <c r="I410" s="2521">
        <f ca="1">100*((Transfer!E207/Transfer!D207)-1)</f>
        <v>5.0000000000000044</v>
      </c>
      <c r="J410" s="2759">
        <f ca="1">Transfer!F207</f>
        <v>142.54833600000001</v>
      </c>
      <c r="K410" s="2521">
        <f ca="1">100*((Transfer!F207/Transfer!E207)-1)</f>
        <v>2.6000000000000023</v>
      </c>
      <c r="L410" s="2521">
        <f ca="1">Transfer!G207</f>
        <v>146.25459273600001</v>
      </c>
      <c r="M410" s="2760">
        <f ca="1">100*((Transfer!G207/Transfer!F207)-1)</f>
        <v>2.6000000000000023</v>
      </c>
      <c r="N410" s="2678"/>
      <c r="O410" s="54"/>
      <c r="P410" s="54"/>
      <c r="Q410" s="54"/>
      <c r="R410" s="54"/>
      <c r="S410" s="190"/>
      <c r="T410" s="2442" t="s">
        <v>1609</v>
      </c>
      <c r="U410" s="102"/>
      <c r="V410" s="383"/>
      <c r="W410" s="248">
        <f t="shared" ca="1" si="25"/>
        <v>8.1000000000000085</v>
      </c>
      <c r="X410" s="245">
        <f t="shared" ca="1" si="25"/>
        <v>5.3999999999999995</v>
      </c>
      <c r="Y410" s="245">
        <f t="shared" ca="1" si="25"/>
        <v>11.100000000000009</v>
      </c>
      <c r="Z410" s="245">
        <f t="shared" ca="1" si="25"/>
        <v>2.1</v>
      </c>
      <c r="AA410" s="245">
        <f t="shared" ca="1" si="25"/>
        <v>10.900000000000006</v>
      </c>
      <c r="AB410" s="245">
        <f t="shared" ca="1" si="25"/>
        <v>-0.39999999999999991</v>
      </c>
      <c r="AC410" s="245">
        <f t="shared" ca="1" si="25"/>
        <v>11.300000000000011</v>
      </c>
      <c r="AD410" s="249">
        <f t="shared" ca="1" si="25"/>
        <v>0</v>
      </c>
      <c r="AE410" s="464"/>
      <c r="AF410" s="45"/>
      <c r="AG410" s="45"/>
      <c r="AH410" s="45"/>
      <c r="AI410" s="45"/>
      <c r="AJ410" s="190"/>
      <c r="AK410" s="2442" t="s">
        <v>1609</v>
      </c>
      <c r="AL410" s="102"/>
      <c r="AM410" s="383"/>
      <c r="AN410" s="141">
        <f>Transfer!AD207</f>
        <v>124.19499999999999</v>
      </c>
      <c r="AO410" s="245">
        <f>100*((Transfer!AD207/Transfer!AC207)-1)</f>
        <v>1.729137315291096</v>
      </c>
      <c r="AP410" s="141">
        <f>Transfer!AE207</f>
        <v>127.78400000000001</v>
      </c>
      <c r="AQ410" s="245">
        <f>100*((Transfer!AE207/Transfer!AD207)-1)</f>
        <v>2.88981037883973</v>
      </c>
      <c r="AR410" s="141">
        <f>Transfer!AF207</f>
        <v>131.61752000000001</v>
      </c>
      <c r="AS410" s="245">
        <f>100*((Transfer!AF207/Transfer!AE207)-1)</f>
        <v>3.0000000000000027</v>
      </c>
      <c r="AT410" s="197">
        <f>Transfer!AG207</f>
        <v>135.03957552000003</v>
      </c>
      <c r="AU410" s="249">
        <f>100*((Transfer!AG207/Transfer!AF207)-1)</f>
        <v>2.6000000000000023</v>
      </c>
      <c r="AV410" s="464"/>
      <c r="AW410" s="54"/>
      <c r="AX410" s="54"/>
      <c r="AY410" s="54"/>
      <c r="AZ410" s="54"/>
      <c r="BA410" s="1753" t="s">
        <v>479</v>
      </c>
      <c r="BB410" s="1754"/>
      <c r="BC410" s="54"/>
    </row>
    <row r="411" spans="1:55">
      <c r="A411" s="45"/>
      <c r="B411" s="1720"/>
      <c r="C411" s="1721" t="s">
        <v>941</v>
      </c>
      <c r="D411" s="2420"/>
      <c r="E411" s="2589" t="s">
        <v>942</v>
      </c>
      <c r="F411" s="2759">
        <f ca="1">Transfer!D215</f>
        <v>153.01</v>
      </c>
      <c r="G411" s="2521">
        <f ca="1">100*((Transfer!D215/Transfer!C215)-1)</f>
        <v>5.0301341277577238</v>
      </c>
      <c r="H411" s="2759">
        <f ca="1">Transfer!E215</f>
        <v>159.91670808965222</v>
      </c>
      <c r="I411" s="2521">
        <f ca="1">100*((Transfer!E215/Transfer!D215)-1)</f>
        <v>4.5138932681865418</v>
      </c>
      <c r="J411" s="2759">
        <f ca="1">Transfer!F215</f>
        <v>166.53136532795457</v>
      </c>
      <c r="K411" s="2521">
        <f ca="1">100*((Transfer!F215/Transfer!E215)-1)</f>
        <v>4.136314033299171</v>
      </c>
      <c r="L411" s="2521">
        <f ca="1">Transfer!G215</f>
        <v>172.79813185204455</v>
      </c>
      <c r="M411" s="2760">
        <f ca="1">100*((Transfer!G215/Transfer!F215)-1)</f>
        <v>3.7631148413085125</v>
      </c>
      <c r="N411" s="2520"/>
      <c r="O411" s="54"/>
      <c r="P411" s="54"/>
      <c r="Q411" s="54"/>
      <c r="R411" s="54"/>
      <c r="S411" s="190"/>
      <c r="T411" s="1721" t="s">
        <v>941</v>
      </c>
      <c r="U411" s="49"/>
      <c r="V411" s="254" t="s">
        <v>942</v>
      </c>
      <c r="W411" s="248">
        <f t="shared" ca="1" si="25"/>
        <v>7.3000000000000114</v>
      </c>
      <c r="X411" s="245">
        <f t="shared" ca="1" si="25"/>
        <v>0.29999999999999982</v>
      </c>
      <c r="Y411" s="245">
        <f t="shared" ca="1" si="25"/>
        <v>7.2000000000000171</v>
      </c>
      <c r="Z411" s="245">
        <f t="shared" ca="1" si="25"/>
        <v>-0.29999999999999982</v>
      </c>
      <c r="AA411" s="245">
        <f t="shared" ca="1" si="25"/>
        <v>7.5</v>
      </c>
      <c r="AB411" s="245">
        <f t="shared" ca="1" si="25"/>
        <v>0</v>
      </c>
      <c r="AC411" s="245">
        <f t="shared" ca="1" si="25"/>
        <v>7.7000000000000171</v>
      </c>
      <c r="AD411" s="249">
        <f t="shared" ca="1" si="25"/>
        <v>0</v>
      </c>
      <c r="AE411" s="196"/>
      <c r="AF411" s="45"/>
      <c r="AG411" s="45"/>
      <c r="AH411" s="45"/>
      <c r="AI411" s="45"/>
      <c r="AJ411" s="190"/>
      <c r="AK411" s="1721" t="s">
        <v>941</v>
      </c>
      <c r="AL411" s="49"/>
      <c r="AM411" s="254" t="s">
        <v>942</v>
      </c>
      <c r="AN411" s="141">
        <f>Transfer!AD215</f>
        <v>145.68199999999999</v>
      </c>
      <c r="AO411" s="245">
        <f>100*((Transfer!AD215/Transfer!AC215)-1)</f>
        <v>4.6851870481884328</v>
      </c>
      <c r="AP411" s="141">
        <f>Transfer!AE215</f>
        <v>152.70100000000002</v>
      </c>
      <c r="AQ411" s="245">
        <f>100*((Transfer!AE215/Transfer!AD215)-1)</f>
        <v>4.8180283082330133</v>
      </c>
      <c r="AR411" s="141">
        <f>Transfer!AF215</f>
        <v>159.03660258201134</v>
      </c>
      <c r="AS411" s="197">
        <f>100*((Transfer!AF215/Transfer!AE215)-1)</f>
        <v>4.1490249454890993</v>
      </c>
      <c r="AT411" s="197">
        <f>Transfer!AG215</f>
        <v>165.05008962374333</v>
      </c>
      <c r="AU411" s="463">
        <f>100*((Transfer!AG215/Transfer!AF215)-1)</f>
        <v>3.7811968717270439</v>
      </c>
      <c r="AV411" s="196"/>
      <c r="AW411" s="54"/>
      <c r="AX411" s="54"/>
      <c r="AY411" s="54"/>
      <c r="AZ411" s="54"/>
      <c r="BA411" s="1753" t="s">
        <v>1071</v>
      </c>
      <c r="BB411" s="1754"/>
      <c r="BC411" s="54"/>
    </row>
    <row r="412" spans="1:55">
      <c r="A412" s="45"/>
      <c r="B412" s="1720"/>
      <c r="C412" s="2442" t="s">
        <v>524</v>
      </c>
      <c r="D412" s="2461"/>
      <c r="E412" s="2719" t="s">
        <v>1524</v>
      </c>
      <c r="F412" s="2759">
        <f ca="1">Transfer!D216</f>
        <v>145.512</v>
      </c>
      <c r="G412" s="2521">
        <f ca="1">100*((Transfer!D216/Transfer!C216)-1)</f>
        <v>5.0233847219816496</v>
      </c>
      <c r="H412" s="2759">
        <f ca="1">Transfer!E216</f>
        <v>152.11129008965221</v>
      </c>
      <c r="I412" s="2521">
        <f ca="1">100*((Transfer!E216/Transfer!D216)-1)</f>
        <v>4.5352205245287047</v>
      </c>
      <c r="J412" s="2759">
        <f ca="1">Transfer!F216</f>
        <v>158.43402469475458</v>
      </c>
      <c r="K412" s="2521">
        <f ca="1">100*((Transfer!F216/Transfer!E216)-1)</f>
        <v>4.1566504375683433</v>
      </c>
      <c r="L412" s="2521">
        <f ca="1">Transfer!G216</f>
        <v>164.39795067916288</v>
      </c>
      <c r="M412" s="2760">
        <f ca="1">100*((Transfer!G216/Transfer!F216)-1)</f>
        <v>3.7642962084051268</v>
      </c>
      <c r="N412" s="2678"/>
      <c r="O412" s="54"/>
      <c r="P412" s="54"/>
      <c r="Q412" s="54"/>
      <c r="R412" s="54"/>
      <c r="S412" s="190"/>
      <c r="T412" s="2442" t="s">
        <v>524</v>
      </c>
      <c r="U412" s="102"/>
      <c r="V412" s="383" t="s">
        <v>1524</v>
      </c>
      <c r="W412" s="248">
        <f t="shared" ca="1" si="25"/>
        <v>6.9000000000000057</v>
      </c>
      <c r="X412" s="245">
        <f t="shared" ca="1" si="25"/>
        <v>0.40000000000000036</v>
      </c>
      <c r="Y412" s="245">
        <f t="shared" ca="1" si="25"/>
        <v>7.1999999999999886</v>
      </c>
      <c r="Z412" s="245">
        <f t="shared" ca="1" si="25"/>
        <v>-9.9999999999999645E-2</v>
      </c>
      <c r="AA412" s="245">
        <f t="shared" ca="1" si="25"/>
        <v>7.4000000000000057</v>
      </c>
      <c r="AB412" s="245">
        <f t="shared" ca="1" si="25"/>
        <v>0</v>
      </c>
      <c r="AC412" s="245">
        <f t="shared" ca="1" si="25"/>
        <v>7.7000000000000171</v>
      </c>
      <c r="AD412" s="249">
        <f t="shared" ca="1" si="25"/>
        <v>0</v>
      </c>
      <c r="AE412" s="464"/>
      <c r="AF412" s="45"/>
      <c r="AG412" s="45"/>
      <c r="AH412" s="45"/>
      <c r="AI412" s="45"/>
      <c r="AJ412" s="190"/>
      <c r="AK412" s="2442" t="s">
        <v>524</v>
      </c>
      <c r="AL412" s="102"/>
      <c r="AM412" s="383" t="s">
        <v>1524</v>
      </c>
      <c r="AN412" s="141">
        <f>Transfer!AD216</f>
        <v>138.55199999999999</v>
      </c>
      <c r="AO412" s="245">
        <f>100*((Transfer!AD216/Transfer!AC216)-1)</f>
        <v>4.5920177550974106</v>
      </c>
      <c r="AP412" s="141">
        <f>Transfer!AE216</f>
        <v>144.94300000000001</v>
      </c>
      <c r="AQ412" s="245">
        <f>100*((Transfer!AE216/Transfer!AD216)-1)</f>
        <v>4.6127085859460903</v>
      </c>
      <c r="AR412" s="141">
        <f>Transfer!AF216</f>
        <v>150.96052458201135</v>
      </c>
      <c r="AS412" s="245">
        <f>100*((Transfer!AF216/Transfer!AE216)-1)</f>
        <v>4.1516489806415757</v>
      </c>
      <c r="AT412" s="197">
        <f>Transfer!AG216</f>
        <v>156.67196630654334</v>
      </c>
      <c r="AU412" s="249">
        <f>100*((Transfer!AG216/Transfer!AF216)-1)</f>
        <v>3.783400819748195</v>
      </c>
      <c r="AV412" s="464"/>
      <c r="AW412" s="54"/>
      <c r="AX412" s="54"/>
      <c r="AY412" s="54"/>
      <c r="AZ412" s="54"/>
      <c r="BA412" s="1753" t="s">
        <v>1072</v>
      </c>
      <c r="BB412" s="1754"/>
      <c r="BC412" s="54"/>
    </row>
    <row r="413" spans="1:55">
      <c r="A413" s="45"/>
      <c r="B413" s="1720"/>
      <c r="C413" s="1721" t="s">
        <v>1607</v>
      </c>
      <c r="D413" s="2420"/>
      <c r="E413" s="2719"/>
      <c r="F413" s="2759">
        <f ca="1">+Transfer!D243+Transfer!D217</f>
        <v>269.44399999999996</v>
      </c>
      <c r="G413" s="2521">
        <f ca="1">100*(((Transfer!D243+Transfer!D217)/(Transfer!C243+Transfer!D217))-1)</f>
        <v>1.5643022458103006</v>
      </c>
      <c r="H413" s="2759">
        <f ca="1">+Transfer!E243+Transfer!E217</f>
        <v>273.56244000000004</v>
      </c>
      <c r="I413" s="2521">
        <f ca="1">100*(((Transfer!E243+Transfer!E217)/(Transfer!D243+Transfer!D217))-1)</f>
        <v>1.5284957171063596</v>
      </c>
      <c r="J413" s="2759">
        <f ca="1">+Transfer!F243+Transfer!F217</f>
        <v>277.74129994999998</v>
      </c>
      <c r="K413" s="2521">
        <f ca="1">100*(((Transfer!F243+Transfer!F217)/(Transfer!E243+Transfer!E217))-1)</f>
        <v>1.5275707988274823</v>
      </c>
      <c r="L413" s="2521">
        <f ca="1">+Transfer!G243+Transfer!G217</f>
        <v>282.11017278225</v>
      </c>
      <c r="M413" s="2760">
        <f ca="1">100*(((Transfer!G243+Transfer!G217)/(Transfer!F243+Transfer!F217))-1)</f>
        <v>1.5730007863564044</v>
      </c>
      <c r="N413" s="2678"/>
      <c r="O413" s="54"/>
      <c r="P413" s="54"/>
      <c r="Q413" s="54"/>
      <c r="R413" s="54"/>
      <c r="S413" s="190"/>
      <c r="T413" s="1721" t="s">
        <v>1607</v>
      </c>
      <c r="U413" s="49"/>
      <c r="V413" s="383"/>
      <c r="W413" s="248">
        <f t="shared" ca="1" si="25"/>
        <v>4.8999999999999773</v>
      </c>
      <c r="X413" s="245">
        <f t="shared" ca="1" si="25"/>
        <v>0</v>
      </c>
      <c r="Y413" s="245">
        <f t="shared" ca="1" si="25"/>
        <v>4.8000000000000114</v>
      </c>
      <c r="Z413" s="245">
        <f t="shared" ca="1" si="25"/>
        <v>-0.10000000000000009</v>
      </c>
      <c r="AA413" s="245">
        <f t="shared" ca="1" si="25"/>
        <v>7.5</v>
      </c>
      <c r="AB413" s="245">
        <f t="shared" ca="1" si="25"/>
        <v>1</v>
      </c>
      <c r="AC413" s="245">
        <f t="shared" ca="1" si="25"/>
        <v>11.200000000000045</v>
      </c>
      <c r="AD413" s="249">
        <f t="shared" ca="1" si="25"/>
        <v>1.4000000000000001</v>
      </c>
      <c r="AE413" s="464"/>
      <c r="AF413" s="45"/>
      <c r="AG413" s="45"/>
      <c r="AH413" s="45"/>
      <c r="AI413" s="45"/>
      <c r="AJ413" s="190"/>
      <c r="AK413" s="1721" t="s">
        <v>1607</v>
      </c>
      <c r="AL413" s="49"/>
      <c r="AM413" s="383"/>
      <c r="AN413" s="141">
        <f>+Transfer!AD243+Transfer!AD217</f>
        <v>264.471</v>
      </c>
      <c r="AO413" s="245">
        <f>100*(((Transfer!AD243+Transfer!AD217)/(Transfer!AC243+Transfer!AD217))-1)</f>
        <v>1.5684346760783008</v>
      </c>
      <c r="AP413" s="141">
        <f>+Transfer!AE243+Transfer!AE217</f>
        <v>268.82000000000005</v>
      </c>
      <c r="AQ413" s="245">
        <f>100*(((Transfer!AE243+Transfer!AE217)/(Transfer!AD243+Transfer!AD217))-1)</f>
        <v>1.6444146995322928</v>
      </c>
      <c r="AR413" s="141">
        <f>+Transfer!AF243+Transfer!AF217</f>
        <v>270.21360600000003</v>
      </c>
      <c r="AS413" s="245">
        <f>100*(((Transfer!AF243+Transfer!AF217)/(Transfer!AE243+Transfer!AE217))-1)</f>
        <v>0.51841604047317968</v>
      </c>
      <c r="AT413" s="245">
        <f>+Transfer!AG243+Transfer!AG217</f>
        <v>270.85341071000005</v>
      </c>
      <c r="AU413" s="249">
        <f>100*(((Transfer!AG243+Transfer!AG217)/(Transfer!AF243+Transfer!AF217))-1)</f>
        <v>0.23677738492562383</v>
      </c>
      <c r="AV413" s="464"/>
      <c r="AW413" s="54"/>
      <c r="AX413" s="54"/>
      <c r="AY413" s="54"/>
      <c r="AZ413" s="54"/>
      <c r="BA413" s="1753" t="s">
        <v>480</v>
      </c>
      <c r="BB413" s="1754"/>
      <c r="BC413" s="54"/>
    </row>
    <row r="414" spans="1:55">
      <c r="A414" s="45"/>
      <c r="B414" s="1720"/>
      <c r="C414" s="2448" t="s">
        <v>1610</v>
      </c>
      <c r="D414" s="2449"/>
      <c r="E414" s="2761"/>
      <c r="F414" s="2764">
        <f ca="1">SUM(Transfer!D213,Transfer!D214,Transfer!D215,Transfer!D217,Transfer!D243)</f>
        <v>2321.1960000000004</v>
      </c>
      <c r="G414" s="2762">
        <f ca="1">100*((SUM(Transfer!D213,Transfer!D214,Transfer!D215,Transfer!D217,Transfer!D243)/SUM(Transfer!C213,Transfer!C214,Transfer!C215,Transfer!C217,Transfer!C243))-1)</f>
        <v>4.5164305677316108</v>
      </c>
      <c r="H414" s="2764">
        <f ca="1">SUM(Transfer!E213,Transfer!E214,Transfer!E215,Transfer!E217,Transfer!E243)</f>
        <v>2404.0968505970686</v>
      </c>
      <c r="I414" s="2762">
        <f ca="1">100*((SUM(Transfer!E213,Transfer!E214,Transfer!E215,Transfer!E217,Transfer!E243)/SUM(Transfer!D213,Transfer!D214,Transfer!D215,Transfer!D217,Transfer!D243))-1)</f>
        <v>3.5714713706670231</v>
      </c>
      <c r="J414" s="2764">
        <f ca="1">SUM(Transfer!F213,Transfer!F214,Transfer!F215,Transfer!F217,Transfer!F243)</f>
        <v>2480.4988383664172</v>
      </c>
      <c r="K414" s="2762">
        <f ca="1">100*((SUM(Transfer!F213,Transfer!F214,Transfer!F215,Transfer!F217,Transfer!F243)/SUM(Transfer!E213,Transfer!E214,Transfer!E215,Transfer!E217,Transfer!E243))-1)</f>
        <v>3.1779912589783521</v>
      </c>
      <c r="L414" s="2762">
        <f ca="1">SUM(Transfer!G213,Transfer!G214,Transfer!G215,Transfer!G217,Transfer!G243)</f>
        <v>2556.2915668299156</v>
      </c>
      <c r="M414" s="2765">
        <f ca="1">100*((SUM(Transfer!G213,Transfer!G214,Transfer!G215,Transfer!G217,Transfer!G243)/SUM(Transfer!F213,Transfer!F214,Transfer!F215,Transfer!F217,Transfer!F243))-1)</f>
        <v>3.0555437999484569</v>
      </c>
      <c r="N414" s="2520"/>
      <c r="O414" s="54"/>
      <c r="P414" s="54"/>
      <c r="Q414" s="54"/>
      <c r="R414" s="54"/>
      <c r="S414" s="190"/>
      <c r="T414" s="2448" t="s">
        <v>1610</v>
      </c>
      <c r="U414" s="95"/>
      <c r="V414" s="384"/>
      <c r="W414" s="429">
        <f t="shared" ca="1" si="25"/>
        <v>98.199999999999818</v>
      </c>
      <c r="X414" s="428">
        <f t="shared" ca="1" si="25"/>
        <v>-2.2999999999999998</v>
      </c>
      <c r="Y414" s="428">
        <f t="shared" ca="1" si="25"/>
        <v>93.400000000000091</v>
      </c>
      <c r="Z414" s="428">
        <f t="shared" ca="1" si="25"/>
        <v>-0.29999999999999982</v>
      </c>
      <c r="AA414" s="428">
        <f t="shared" ca="1" si="25"/>
        <v>92.199999999999818</v>
      </c>
      <c r="AB414" s="428">
        <f t="shared" ca="1" si="25"/>
        <v>-0.19999999999999973</v>
      </c>
      <c r="AC414" s="428">
        <f t="shared" ca="1" si="25"/>
        <v>82.400000000000091</v>
      </c>
      <c r="AD414" s="431">
        <f t="shared" ca="1" si="25"/>
        <v>-0.5</v>
      </c>
      <c r="AE414" s="199"/>
      <c r="AF414" s="45"/>
      <c r="AG414" s="45"/>
      <c r="AH414" s="45"/>
      <c r="AI414" s="45"/>
      <c r="AJ414" s="190"/>
      <c r="AK414" s="2448" t="s">
        <v>1610</v>
      </c>
      <c r="AL414" s="95"/>
      <c r="AM414" s="384"/>
      <c r="AN414" s="430">
        <f>SUM(Transfer!AD213,Transfer!AD214,Transfer!AD215,Transfer!AD217,Transfer!AD243)</f>
        <v>2223.0100000000002</v>
      </c>
      <c r="AO414" s="428">
        <f>100*((SUM(Transfer!AD213,Transfer!AD214,Transfer!AD215,Transfer!AD217,Transfer!AD243)/SUM(Transfer!AC213,Transfer!AC214,Transfer!AC215,Transfer!AC217,Transfer!AC243))-1)</f>
        <v>6.8194005839242289</v>
      </c>
      <c r="AP414" s="430">
        <f>SUM(Transfer!AE213,Transfer!AE214,Transfer!AE215,Transfer!AE217,Transfer!AE243)</f>
        <v>2310.7140000000004</v>
      </c>
      <c r="AQ414" s="428">
        <f>100*((SUM(Transfer!AE213,Transfer!AE214,Transfer!AE215,Transfer!AE217,Transfer!AE243)/SUM(Transfer!AD213,Transfer!AD214,Transfer!AD215,Transfer!AD217,Transfer!AD243))-1)</f>
        <v>3.9452813977445045</v>
      </c>
      <c r="AR414" s="430">
        <f>SUM(Transfer!AF213,Transfer!AF214,Transfer!AF215,Transfer!AF217,Transfer!AF243)</f>
        <v>2388.2719411312132</v>
      </c>
      <c r="AS414" s="428">
        <f>100*((SUM(Transfer!AF213,Transfer!AF214,Transfer!AF215,Transfer!AF217,Transfer!AF243)/SUM(Transfer!AE213,Transfer!AE214,Transfer!AE215,Transfer!AE217,Transfer!AE243))-1)</f>
        <v>3.3564491811281183</v>
      </c>
      <c r="AT414" s="428">
        <f>SUM(Transfer!AG213,Transfer!AG214,Transfer!AG215,Transfer!AG217,Transfer!AG243)</f>
        <v>2473.9490935451367</v>
      </c>
      <c r="AU414" s="431">
        <f>100*((SUM(Transfer!AG213,Transfer!AG214,Transfer!AG215,Transfer!AG217,Transfer!AG243)/SUM(Transfer!AF213,Transfer!AF214,Transfer!AF215,Transfer!AF217,Transfer!AF243))-1)</f>
        <v>3.5874119248473058</v>
      </c>
      <c r="AV414" s="199"/>
      <c r="AW414" s="54"/>
      <c r="AX414" s="54"/>
      <c r="AY414" s="54"/>
      <c r="AZ414" s="54"/>
      <c r="BA414" s="1753" t="s">
        <v>481</v>
      </c>
      <c r="BB414" s="1754"/>
      <c r="BC414" s="54"/>
    </row>
    <row r="415" spans="1:55">
      <c r="A415" s="45"/>
      <c r="B415" s="1720"/>
      <c r="C415" s="1721" t="s">
        <v>1611</v>
      </c>
      <c r="D415" s="2420"/>
      <c r="E415" s="2589" t="s">
        <v>711</v>
      </c>
      <c r="F415" s="2792">
        <f ca="1">Transfer!D220</f>
        <v>580.47299999999996</v>
      </c>
      <c r="G415" s="2518">
        <f ca="1">100*((Transfer!D220/Transfer!C220)-1)</f>
        <v>5.0991291122739035</v>
      </c>
      <c r="H415" s="2793">
        <f ca="1">Transfer!E220</f>
        <v>609.1532079189999</v>
      </c>
      <c r="I415" s="2518">
        <f ca="1">100*((Transfer!E220/Transfer!D220)-1)</f>
        <v>4.9408340989158805</v>
      </c>
      <c r="J415" s="2793">
        <f ca="1">Transfer!F220</f>
        <v>634.15236677277699</v>
      </c>
      <c r="K415" s="2518">
        <f ca="1">100*((Transfer!F220/Transfer!E220)-1)</f>
        <v>4.1039197575893471</v>
      </c>
      <c r="L415" s="2792">
        <f ca="1">Transfer!G220</f>
        <v>658.52821828109757</v>
      </c>
      <c r="M415" s="2519">
        <f ca="1">100*((Transfer!G220/Transfer!F220)-1)</f>
        <v>3.843847754187224</v>
      </c>
      <c r="N415" s="2520"/>
      <c r="O415" s="54"/>
      <c r="P415" s="54"/>
      <c r="Q415" s="54"/>
      <c r="R415" s="54"/>
      <c r="S415" s="190"/>
      <c r="T415" s="1721" t="s">
        <v>1611</v>
      </c>
      <c r="U415" s="49"/>
      <c r="V415" s="2390" t="s">
        <v>711</v>
      </c>
      <c r="W415" s="2079">
        <f t="shared" ca="1" si="25"/>
        <v>28.899999999999977</v>
      </c>
      <c r="X415" s="2080">
        <f t="shared" ca="1" si="25"/>
        <v>-0.5</v>
      </c>
      <c r="Y415" s="2080">
        <f t="shared" ca="1" si="25"/>
        <v>29.600000000000023</v>
      </c>
      <c r="Z415" s="2080">
        <f t="shared" ca="1" si="25"/>
        <v>-0.19999999999999929</v>
      </c>
      <c r="AA415" s="2080">
        <f t="shared" ca="1" si="25"/>
        <v>25.200000000000045</v>
      </c>
      <c r="AB415" s="2080">
        <f t="shared" ca="1" si="25"/>
        <v>-1</v>
      </c>
      <c r="AC415" s="2080">
        <f t="shared" ca="1" si="25"/>
        <v>21.799999999999955</v>
      </c>
      <c r="AD415" s="2407">
        <f t="shared" ca="1" si="25"/>
        <v>-0.79999999999999982</v>
      </c>
      <c r="AE415" s="199"/>
      <c r="AF415" s="45"/>
      <c r="AG415" s="45"/>
      <c r="AH415" s="45"/>
      <c r="AI415" s="45"/>
      <c r="AJ415" s="190"/>
      <c r="AK415" s="1721" t="s">
        <v>1611</v>
      </c>
      <c r="AL415" s="49"/>
      <c r="AM415" s="254" t="s">
        <v>711</v>
      </c>
      <c r="AN415" s="2377">
        <f>Transfer!AD220</f>
        <v>551.55899999999997</v>
      </c>
      <c r="AO415" s="2080">
        <f>100*((Transfer!AD220/Transfer!AC220)-1)</f>
        <v>5.5805254916674096</v>
      </c>
      <c r="AP415" s="2378">
        <f>Transfer!AE220</f>
        <v>579.57799999999997</v>
      </c>
      <c r="AQ415" s="2080">
        <f>100*((Transfer!AE220/Transfer!AD220)-1)</f>
        <v>5.0799642467986184</v>
      </c>
      <c r="AR415" s="2378">
        <f>Transfer!AF220</f>
        <v>609.00668187799999</v>
      </c>
      <c r="AS415" s="2080">
        <f>100*((Transfer!AF220/Transfer!AE220)-1)</f>
        <v>5.0776050640293446</v>
      </c>
      <c r="AT415" s="2377">
        <f>Transfer!AG220</f>
        <v>636.73878190398068</v>
      </c>
      <c r="AU415" s="2379">
        <f>100*((Transfer!AG220/Transfer!AF220)-1)</f>
        <v>4.5536610436625935</v>
      </c>
      <c r="AV415" s="199"/>
      <c r="AW415" s="54"/>
      <c r="AX415" s="54"/>
      <c r="AY415" s="54"/>
      <c r="AZ415" s="54"/>
      <c r="BA415" s="1753" t="s">
        <v>482</v>
      </c>
      <c r="BB415" s="1754"/>
      <c r="BC415" s="54"/>
    </row>
    <row r="416" spans="1:55">
      <c r="A416" s="45"/>
      <c r="B416" s="1720"/>
      <c r="C416" s="1721" t="s">
        <v>1612</v>
      </c>
      <c r="D416" s="2420"/>
      <c r="E416" s="2589" t="s">
        <v>1434</v>
      </c>
      <c r="F416" s="2794">
        <f ca="1">Transfer!D245</f>
        <v>358.77600000000001</v>
      </c>
      <c r="G416" s="2521">
        <f ca="1">100*((Transfer!D245/Transfer!C245)-1)</f>
        <v>1.7668566176991973</v>
      </c>
      <c r="H416" s="2759">
        <f ca="1">Transfer!E245</f>
        <v>377.16647313963722</v>
      </c>
      <c r="I416" s="2521">
        <f ca="1">100*((Transfer!E245/Transfer!D245)-1)</f>
        <v>5.1258927965184942</v>
      </c>
      <c r="J416" s="2759">
        <f ca="1">Transfer!F245</f>
        <v>390.10645678377944</v>
      </c>
      <c r="K416" s="2521">
        <f ca="1">100*((Transfer!F245/Transfer!E245)-1)</f>
        <v>3.430841436256582</v>
      </c>
      <c r="L416" s="2521">
        <f ca="1">Transfer!G245</f>
        <v>402.92820397364028</v>
      </c>
      <c r="M416" s="2760">
        <f ca="1">100*((Transfer!G245/Transfer!F245)-1)</f>
        <v>3.2867303185826202</v>
      </c>
      <c r="N416" s="2520"/>
      <c r="O416" s="54"/>
      <c r="P416" s="54"/>
      <c r="Q416" s="54"/>
      <c r="R416" s="54"/>
      <c r="S416" s="190"/>
      <c r="T416" s="1721" t="s">
        <v>1612</v>
      </c>
      <c r="U416" s="49"/>
      <c r="V416" s="254" t="s">
        <v>1434</v>
      </c>
      <c r="W416" s="248">
        <f t="shared" ca="1" si="25"/>
        <v>5.5</v>
      </c>
      <c r="X416" s="245">
        <f t="shared" ca="1" si="25"/>
        <v>-1.9000000000000001</v>
      </c>
      <c r="Y416" s="245">
        <f t="shared" ca="1" si="25"/>
        <v>16.5</v>
      </c>
      <c r="Z416" s="245">
        <f t="shared" ca="1" si="25"/>
        <v>2.9999999999999996</v>
      </c>
      <c r="AA416" s="245">
        <f t="shared" ca="1" si="25"/>
        <v>10.800000000000011</v>
      </c>
      <c r="AB416" s="245">
        <f t="shared" ca="1" si="25"/>
        <v>-1.8000000000000003</v>
      </c>
      <c r="AC416" s="245">
        <f t="shared" ca="1" si="25"/>
        <v>12.5</v>
      </c>
      <c r="AD416" s="249">
        <f t="shared" ca="1" si="25"/>
        <v>0.39999999999999991</v>
      </c>
      <c r="AE416" s="199"/>
      <c r="AF416" s="45"/>
      <c r="AG416" s="45"/>
      <c r="AH416" s="45"/>
      <c r="AI416" s="45"/>
      <c r="AJ416" s="190"/>
      <c r="AK416" s="1721" t="s">
        <v>1612</v>
      </c>
      <c r="AL416" s="49"/>
      <c r="AM416" s="254" t="s">
        <v>1434</v>
      </c>
      <c r="AN416" s="2380">
        <f>Transfer!AD245</f>
        <v>353.31099999999998</v>
      </c>
      <c r="AO416" s="245">
        <f>100*((Transfer!AD245/Transfer!AC245)-1)</f>
        <v>3.7301163220847533</v>
      </c>
      <c r="AP416" s="141">
        <f>Transfer!AE245</f>
        <v>360.72</v>
      </c>
      <c r="AQ416" s="245">
        <f>100*((Transfer!AE245/Transfer!AD245)-1)</f>
        <v>2.0970193399016956</v>
      </c>
      <c r="AR416" s="141">
        <f>Transfer!AF245</f>
        <v>379.33584735478019</v>
      </c>
      <c r="AS416" s="245">
        <f>100*((Transfer!AF245/Transfer!AE245)-1)</f>
        <v>5.1607472152306988</v>
      </c>
      <c r="AT416" s="245">
        <f>Transfer!AG245</f>
        <v>390.37401117068009</v>
      </c>
      <c r="AU416" s="249">
        <f>100*((Transfer!AG245/Transfer!AF245)-1)</f>
        <v>2.9098657279221785</v>
      </c>
      <c r="AV416" s="199"/>
      <c r="AW416" s="54"/>
      <c r="AX416" s="54"/>
      <c r="AY416" s="54"/>
      <c r="AZ416" s="54"/>
      <c r="BA416" s="1753" t="s">
        <v>1073</v>
      </c>
      <c r="BB416" s="1754"/>
      <c r="BC416" s="54"/>
    </row>
    <row r="417" spans="1:55">
      <c r="A417" s="45"/>
      <c r="B417" s="1720"/>
      <c r="C417" s="1721" t="s">
        <v>1613</v>
      </c>
      <c r="D417" s="2420"/>
      <c r="E417" s="2589"/>
      <c r="F417" s="2794">
        <f ca="1">Transfer!D246</f>
        <v>172.83099999999999</v>
      </c>
      <c r="G417" s="2521">
        <f ca="1">100*((Transfer!D246/Transfer!C246)-1)</f>
        <v>0.53691509412010507</v>
      </c>
      <c r="H417" s="2759">
        <f ca="1">Transfer!E246</f>
        <v>177.15177499999999</v>
      </c>
      <c r="I417" s="2521">
        <f ca="1">100*((Transfer!E246/Transfer!D246)-1)</f>
        <v>2.4999999999999911</v>
      </c>
      <c r="J417" s="2759">
        <f ca="1">Transfer!F246</f>
        <v>181.58056937499998</v>
      </c>
      <c r="K417" s="2521">
        <f ca="1">100*((Transfer!F246/Transfer!E246)-1)</f>
        <v>2.4999999999999911</v>
      </c>
      <c r="L417" s="2521">
        <f ca="1">Transfer!G246</f>
        <v>186.12008360937497</v>
      </c>
      <c r="M417" s="2760">
        <f ca="1">100*((Transfer!G246/Transfer!F246)-1)</f>
        <v>2.4999999999999911</v>
      </c>
      <c r="N417" s="2520"/>
      <c r="O417" s="54"/>
      <c r="P417" s="54"/>
      <c r="Q417" s="54"/>
      <c r="R417" s="54"/>
      <c r="S417" s="190"/>
      <c r="T417" s="1721" t="s">
        <v>1613</v>
      </c>
      <c r="U417" s="49"/>
      <c r="V417" s="254"/>
      <c r="W417" s="248">
        <f t="shared" ca="1" si="25"/>
        <v>2.8000000000000114</v>
      </c>
      <c r="X417" s="245">
        <f t="shared" ca="1" si="25"/>
        <v>-10.1</v>
      </c>
      <c r="Y417" s="245">
        <f t="shared" ca="1" si="25"/>
        <v>5.3999999999999773</v>
      </c>
      <c r="Z417" s="245">
        <f t="shared" ca="1" si="25"/>
        <v>1.4</v>
      </c>
      <c r="AA417" s="245">
        <f t="shared" ca="1" si="25"/>
        <v>5.5</v>
      </c>
      <c r="AB417" s="245">
        <f t="shared" ca="1" si="25"/>
        <v>0</v>
      </c>
      <c r="AC417" s="245">
        <f t="shared" ca="1" si="25"/>
        <v>5.5999999999999943</v>
      </c>
      <c r="AD417" s="249">
        <f t="shared" ca="1" si="25"/>
        <v>0</v>
      </c>
      <c r="AE417" s="199"/>
      <c r="AF417" s="45"/>
      <c r="AG417" s="45"/>
      <c r="AH417" s="45"/>
      <c r="AI417" s="45"/>
      <c r="AJ417" s="190"/>
      <c r="AK417" s="1721" t="s">
        <v>1613</v>
      </c>
      <c r="AL417" s="49"/>
      <c r="AM417" s="254"/>
      <c r="AN417" s="2380">
        <f>Transfer!AD246</f>
        <v>169.96600000000001</v>
      </c>
      <c r="AO417" s="245">
        <f>100*((Transfer!AD246/Transfer!AC246)-1)</f>
        <v>10.585831771809296</v>
      </c>
      <c r="AP417" s="141">
        <f>Transfer!AE246</f>
        <v>171.77600000000001</v>
      </c>
      <c r="AQ417" s="245">
        <f>100*((Transfer!AE246/Transfer!AD246)-1)</f>
        <v>1.0649188661261633</v>
      </c>
      <c r="AR417" s="141">
        <f>Transfer!AF246</f>
        <v>176.07040000000001</v>
      </c>
      <c r="AS417" s="245">
        <f>100*((Transfer!AF246/Transfer!AE246)-1)</f>
        <v>2.4999999999999911</v>
      </c>
      <c r="AT417" s="245">
        <f>Transfer!AG246</f>
        <v>180.47216</v>
      </c>
      <c r="AU417" s="249">
        <f>100*((Transfer!AG246/Transfer!AF246)-1)</f>
        <v>2.4999999999999911</v>
      </c>
      <c r="AV417" s="199"/>
      <c r="AW417" s="54"/>
      <c r="AX417" s="54"/>
      <c r="AY417" s="54"/>
      <c r="AZ417" s="54"/>
      <c r="BA417" s="1753" t="s">
        <v>483</v>
      </c>
      <c r="BB417" s="1754"/>
      <c r="BC417" s="54"/>
    </row>
    <row r="418" spans="1:55">
      <c r="A418" s="45"/>
      <c r="B418" s="1720"/>
      <c r="C418" s="1721" t="s">
        <v>587</v>
      </c>
      <c r="D418" s="2420"/>
      <c r="E418" s="2589" t="s">
        <v>1743</v>
      </c>
      <c r="F418" s="2446">
        <f ca="1">Transfer!D221</f>
        <v>591.447</v>
      </c>
      <c r="G418" s="2445">
        <f ca="1">100*((Transfer!D221/Transfer!C221)-1)</f>
        <v>2.3300114190802468</v>
      </c>
      <c r="H418" s="2446">
        <f ca="1">Transfer!E221</f>
        <v>612.44336850000002</v>
      </c>
      <c r="I418" s="2445">
        <f ca="1">100*((Transfer!E221/Transfer!D221)-1)</f>
        <v>3.5500000000000087</v>
      </c>
      <c r="J418" s="2446">
        <f ca="1">Transfer!F221</f>
        <v>621.6300190275</v>
      </c>
      <c r="K418" s="2445">
        <f ca="1">100*((Transfer!F221/Transfer!E221)-1)</f>
        <v>1.4999999999999902</v>
      </c>
      <c r="L418" s="2445">
        <f ca="1">Transfer!G221</f>
        <v>634.06261940804995</v>
      </c>
      <c r="M418" s="2795">
        <f ca="1">100*((Transfer!G221/Transfer!F221)-1)</f>
        <v>2.0000000000000018</v>
      </c>
      <c r="N418" s="2437"/>
      <c r="O418" s="54"/>
      <c r="P418" s="54"/>
      <c r="Q418" s="54"/>
      <c r="R418" s="54"/>
      <c r="S418" s="190"/>
      <c r="T418" s="1721" t="s">
        <v>587</v>
      </c>
      <c r="U418" s="49"/>
      <c r="V418" s="254" t="s">
        <v>1743</v>
      </c>
      <c r="W418" s="248">
        <f t="shared" ca="1" si="25"/>
        <v>13.5</v>
      </c>
      <c r="X418" s="245">
        <f t="shared" ca="1" si="25"/>
        <v>-0.70000000000000018</v>
      </c>
      <c r="Y418" s="245">
        <f t="shared" ca="1" si="25"/>
        <v>20.600000000000023</v>
      </c>
      <c r="Z418" s="245">
        <f t="shared" ca="1" si="25"/>
        <v>1.2000000000000002</v>
      </c>
      <c r="AA418" s="245">
        <f t="shared" ca="1" si="25"/>
        <v>4.3000000000000682</v>
      </c>
      <c r="AB418" s="245">
        <f t="shared" ca="1" si="25"/>
        <v>-2.8</v>
      </c>
      <c r="AC418" s="245">
        <f t="shared" ca="1" si="25"/>
        <v>-1.6999999999999318</v>
      </c>
      <c r="AD418" s="249">
        <f t="shared" ca="1" si="25"/>
        <v>-1</v>
      </c>
      <c r="AE418" s="82"/>
      <c r="AF418" s="45"/>
      <c r="AG418" s="45"/>
      <c r="AH418" s="45"/>
      <c r="AI418" s="45"/>
      <c r="AJ418" s="190"/>
      <c r="AK418" s="1721" t="s">
        <v>587</v>
      </c>
      <c r="AL418" s="49"/>
      <c r="AM418" s="254" t="s">
        <v>1743</v>
      </c>
      <c r="AN418" s="92">
        <f>Transfer!AD221</f>
        <v>577.93399999999997</v>
      </c>
      <c r="AO418" s="91">
        <f>100*((Transfer!AD221/Transfer!AC221)-1)</f>
        <v>3.0064199220768861</v>
      </c>
      <c r="AP418" s="92">
        <f>Transfer!AE221</f>
        <v>591.81700000000001</v>
      </c>
      <c r="AQ418" s="91">
        <f>100*((Transfer!AE221/Transfer!AD221)-1)</f>
        <v>2.4021774112614969</v>
      </c>
      <c r="AR418" s="92">
        <f>Transfer!AF221</f>
        <v>617.265131</v>
      </c>
      <c r="AS418" s="91">
        <f>100*((Transfer!AF221/Transfer!AE221)-1)</f>
        <v>4.2999999999999927</v>
      </c>
      <c r="AT418" s="91">
        <f>Transfer!AG221</f>
        <v>635.78308492999997</v>
      </c>
      <c r="AU418" s="243">
        <f>100*((Transfer!AG221/Transfer!AF221)-1)</f>
        <v>3.0000000000000027</v>
      </c>
      <c r="AV418" s="82"/>
      <c r="AW418" s="54"/>
      <c r="AX418" s="54"/>
      <c r="AY418" s="54"/>
      <c r="AZ418" s="54"/>
      <c r="BA418" s="1753" t="s">
        <v>1074</v>
      </c>
      <c r="BB418" s="1754"/>
      <c r="BC418" s="54"/>
    </row>
    <row r="419" spans="1:55">
      <c r="A419" s="45"/>
      <c r="B419" s="1720"/>
      <c r="C419" s="1721" t="s">
        <v>1614</v>
      </c>
      <c r="D419" s="2420"/>
      <c r="E419" s="2589" t="s">
        <v>645</v>
      </c>
      <c r="F419" s="2759">
        <f ca="1">Transfer!D222</f>
        <v>16.094000000000001</v>
      </c>
      <c r="G419" s="2521">
        <f ca="1">100*((Transfer!D222/Transfer!C222)-1)</f>
        <v>-11.464407525580366</v>
      </c>
      <c r="H419" s="2759">
        <f ca="1">Transfer!E222</f>
        <v>14.162720000000002</v>
      </c>
      <c r="I419" s="2521">
        <f ca="1">100*((Transfer!E222/Transfer!D222)-1)</f>
        <v>-12</v>
      </c>
      <c r="J419" s="2759">
        <f ca="1">Transfer!F222</f>
        <v>12.463193600000002</v>
      </c>
      <c r="K419" s="2521">
        <f ca="1">100*((Transfer!F222/Transfer!E222)-1)</f>
        <v>-12</v>
      </c>
      <c r="L419" s="2521">
        <f ca="1">Transfer!G222</f>
        <v>16.825311360000004</v>
      </c>
      <c r="M419" s="2760">
        <f ca="1">100*((Transfer!G222/Transfer!F222)-1)</f>
        <v>35.000000000000007</v>
      </c>
      <c r="N419" s="2520"/>
      <c r="O419" s="54"/>
      <c r="P419" s="54"/>
      <c r="Q419" s="54"/>
      <c r="R419" s="54"/>
      <c r="S419" s="190"/>
      <c r="T419" s="1721" t="s">
        <v>1614</v>
      </c>
      <c r="U419" s="49"/>
      <c r="V419" s="254" t="s">
        <v>645</v>
      </c>
      <c r="W419" s="248">
        <f t="shared" ca="1" si="25"/>
        <v>-2.0999999999999979</v>
      </c>
      <c r="X419" s="245">
        <f t="shared" ca="1" si="25"/>
        <v>-8.3000000000000007</v>
      </c>
      <c r="Y419" s="245">
        <f t="shared" ca="1" si="25"/>
        <v>-2</v>
      </c>
      <c r="Z419" s="245">
        <f t="shared" ca="1" si="25"/>
        <v>-0.90000000000000036</v>
      </c>
      <c r="AA419" s="245">
        <f t="shared" ca="1" si="25"/>
        <v>-1.6999999999999993</v>
      </c>
      <c r="AB419" s="245">
        <f t="shared" ca="1" si="25"/>
        <v>0</v>
      </c>
      <c r="AC419" s="245">
        <f t="shared" ca="1" si="25"/>
        <v>4.3000000000000007</v>
      </c>
      <c r="AD419" s="249">
        <f t="shared" ca="1" si="25"/>
        <v>47</v>
      </c>
      <c r="AE419" s="199"/>
      <c r="AF419" s="45"/>
      <c r="AG419" s="45"/>
      <c r="AH419" s="45"/>
      <c r="AI419" s="45"/>
      <c r="AJ419" s="190"/>
      <c r="AK419" s="1721" t="s">
        <v>1614</v>
      </c>
      <c r="AL419" s="49"/>
      <c r="AM419" s="254" t="s">
        <v>645</v>
      </c>
      <c r="AN419" s="141">
        <f>Transfer!AD222</f>
        <v>18.189</v>
      </c>
      <c r="AO419" s="245">
        <f>100*((Transfer!AD222/Transfer!AC222)-1)</f>
        <v>-3.1624341159559255</v>
      </c>
      <c r="AP419" s="141">
        <f>Transfer!AE222</f>
        <v>16.166</v>
      </c>
      <c r="AQ419" s="245">
        <f>100*((Transfer!AE222/Transfer!AD222)-1)</f>
        <v>-11.122106767826711</v>
      </c>
      <c r="AR419" s="141">
        <f>Transfer!AF222</f>
        <v>14.22608</v>
      </c>
      <c r="AS419" s="245">
        <f>100*((Transfer!AF222/Transfer!AE222)-1)</f>
        <v>-12</v>
      </c>
      <c r="AT419" s="245">
        <f>Transfer!AG222</f>
        <v>12.5189504</v>
      </c>
      <c r="AU419" s="249">
        <f>100*((Transfer!AG222/Transfer!AF222)-1)</f>
        <v>-12</v>
      </c>
      <c r="AV419" s="199"/>
      <c r="AW419" s="54"/>
      <c r="AX419" s="54"/>
      <c r="AY419" s="54"/>
      <c r="AZ419" s="54"/>
      <c r="BA419" s="1753" t="s">
        <v>1075</v>
      </c>
      <c r="BB419" s="1754"/>
      <c r="BC419" s="54"/>
    </row>
    <row r="420" spans="1:55">
      <c r="A420" s="45"/>
      <c r="B420" s="1720"/>
      <c r="C420" s="1721" t="s">
        <v>1615</v>
      </c>
      <c r="D420" s="2420"/>
      <c r="E420" s="2589" t="s">
        <v>624</v>
      </c>
      <c r="F420" s="2759">
        <f ca="1">Transfer!D223</f>
        <v>71.599999999999994</v>
      </c>
      <c r="G420" s="2521">
        <f ca="1">100*((Transfer!D223/Transfer!C223)-1)</f>
        <v>2.9253216416301298</v>
      </c>
      <c r="H420" s="2759">
        <f ca="1">Transfer!E223</f>
        <v>73.599230000000006</v>
      </c>
      <c r="I420" s="2521">
        <f ca="1">100*((Transfer!E223/Transfer!D223)-1)</f>
        <v>2.7922206703910879</v>
      </c>
      <c r="J420" s="2759">
        <f ca="1">Transfer!F223</f>
        <v>75.687790700000008</v>
      </c>
      <c r="K420" s="2521">
        <f ca="1">100*((Transfer!F223/Transfer!E223)-1)</f>
        <v>2.8377480307878233</v>
      </c>
      <c r="L420" s="2521">
        <f ca="1">Transfer!G223</f>
        <v>77.869020677000009</v>
      </c>
      <c r="M420" s="2760">
        <f ca="1">100*((Transfer!G223/Transfer!F223)-1)</f>
        <v>2.8818782485614314</v>
      </c>
      <c r="N420" s="2520"/>
      <c r="O420" s="54"/>
      <c r="P420" s="54"/>
      <c r="Q420" s="54"/>
      <c r="R420" s="54"/>
      <c r="S420" s="190"/>
      <c r="T420" s="1721" t="s">
        <v>1615</v>
      </c>
      <c r="U420" s="49"/>
      <c r="V420" s="254" t="s">
        <v>624</v>
      </c>
      <c r="W420" s="248">
        <f t="shared" ca="1" si="25"/>
        <v>1.8999999999999915</v>
      </c>
      <c r="X420" s="245">
        <f t="shared" ca="1" si="25"/>
        <v>-2.0000000000000004</v>
      </c>
      <c r="Y420" s="245">
        <f t="shared" ca="1" si="25"/>
        <v>1.7999999999999972</v>
      </c>
      <c r="Z420" s="245">
        <f t="shared" ca="1" si="25"/>
        <v>-0.30000000000000027</v>
      </c>
      <c r="AA420" s="245">
        <f t="shared" ca="1" si="25"/>
        <v>1.9000000000000057</v>
      </c>
      <c r="AB420" s="245">
        <f t="shared" ca="1" si="25"/>
        <v>0</v>
      </c>
      <c r="AC420" s="245">
        <f t="shared" ca="1" si="25"/>
        <v>2</v>
      </c>
      <c r="AD420" s="249">
        <f t="shared" ca="1" si="25"/>
        <v>0.10000000000000009</v>
      </c>
      <c r="AE420" s="199"/>
      <c r="AF420" s="45"/>
      <c r="AG420" s="45"/>
      <c r="AH420" s="45"/>
      <c r="AI420" s="45"/>
      <c r="AJ420" s="190"/>
      <c r="AK420" s="1721" t="s">
        <v>1615</v>
      </c>
      <c r="AL420" s="49"/>
      <c r="AM420" s="254" t="s">
        <v>624</v>
      </c>
      <c r="AN420" s="141">
        <f>Transfer!AD223</f>
        <v>69.662000000000006</v>
      </c>
      <c r="AO420" s="245">
        <f>100*((Transfer!AD223/Transfer!AC223)-1)</f>
        <v>4.871586427001473</v>
      </c>
      <c r="AP420" s="141">
        <f>Transfer!AE223</f>
        <v>71.81</v>
      </c>
      <c r="AQ420" s="245">
        <f>100*((Transfer!AE223/Transfer!AD223)-1)</f>
        <v>3.0834601360856695</v>
      </c>
      <c r="AR420" s="141">
        <f>Transfer!AF223</f>
        <v>73.809879999999993</v>
      </c>
      <c r="AS420" s="245">
        <f>100*((Transfer!AF223/Transfer!AE223)-1)</f>
        <v>2.7849603119342481</v>
      </c>
      <c r="AT420" s="245">
        <f>Transfer!AG223</f>
        <v>75.8989282</v>
      </c>
      <c r="AU420" s="249">
        <f>100*((Transfer!AG223/Transfer!AF223)-1)</f>
        <v>2.8303097092150953</v>
      </c>
      <c r="AV420" s="199"/>
      <c r="AW420" s="54"/>
      <c r="AX420" s="54"/>
      <c r="AY420" s="54"/>
      <c r="AZ420" s="54"/>
      <c r="BA420" s="1753" t="s">
        <v>1076</v>
      </c>
      <c r="BB420" s="1754"/>
      <c r="BC420" s="54"/>
    </row>
    <row r="421" spans="1:55">
      <c r="A421" s="45"/>
      <c r="B421" s="1720"/>
      <c r="C421" s="1721" t="s">
        <v>1616</v>
      </c>
      <c r="D421" s="2420"/>
      <c r="E421" s="2589"/>
      <c r="F421" s="2446">
        <f ca="1">Transfer!D224</f>
        <v>251.79</v>
      </c>
      <c r="G421" s="2445">
        <f ca="1">100*((Transfer!D224/Transfer!C224)-1)</f>
        <v>7.591529073941139</v>
      </c>
      <c r="H421" s="2446">
        <f ca="1">Transfer!E224</f>
        <v>263.27831096784746</v>
      </c>
      <c r="I421" s="2445">
        <f ca="1">100*((Transfer!E224/Transfer!D224)-1)</f>
        <v>4.5626557718128069</v>
      </c>
      <c r="J421" s="2446">
        <f ca="1">Transfer!F224</f>
        <v>273.90264508787186</v>
      </c>
      <c r="K421" s="2445">
        <f ca="1">100*((Transfer!F224/Transfer!E224)-1)</f>
        <v>4.0354004403051258</v>
      </c>
      <c r="L421" s="2445">
        <f ca="1">Transfer!G224</f>
        <v>283.82945577381952</v>
      </c>
      <c r="M421" s="2795">
        <f ca="1">100*((Transfer!G224/Transfer!F224)-1)</f>
        <v>3.6242113261677256</v>
      </c>
      <c r="N421" s="2437"/>
      <c r="O421" s="54"/>
      <c r="P421" s="54"/>
      <c r="Q421" s="54"/>
      <c r="R421" s="54"/>
      <c r="S421" s="190"/>
      <c r="T421" s="1721" t="s">
        <v>1616</v>
      </c>
      <c r="U421" s="49"/>
      <c r="V421" s="254"/>
      <c r="W421" s="248">
        <f t="shared" ca="1" si="25"/>
        <v>17.800000000000011</v>
      </c>
      <c r="X421" s="245">
        <f t="shared" ca="1" si="25"/>
        <v>6.1999999999999993</v>
      </c>
      <c r="Y421" s="245">
        <f t="shared" ca="1" si="25"/>
        <v>11.200000000000017</v>
      </c>
      <c r="Z421" s="245">
        <f t="shared" ca="1" si="25"/>
        <v>-3.1000000000000005</v>
      </c>
      <c r="AA421" s="245">
        <f t="shared" ca="1" si="25"/>
        <v>13.699999999999989</v>
      </c>
      <c r="AB421" s="245">
        <f t="shared" ca="1" si="25"/>
        <v>0.79999999999999982</v>
      </c>
      <c r="AC421" s="245">
        <f t="shared" ca="1" si="25"/>
        <v>16.400000000000034</v>
      </c>
      <c r="AD421" s="249">
        <f t="shared" ca="1" si="25"/>
        <v>0.80000000000000027</v>
      </c>
      <c r="AE421" s="82"/>
      <c r="AF421" s="45"/>
      <c r="AG421" s="45"/>
      <c r="AH421" s="45"/>
      <c r="AI421" s="45"/>
      <c r="AJ421" s="190"/>
      <c r="AK421" s="1721" t="s">
        <v>1616</v>
      </c>
      <c r="AL421" s="49"/>
      <c r="AM421" s="254"/>
      <c r="AN421" s="92">
        <f>Transfer!AD224</f>
        <v>234.017</v>
      </c>
      <c r="AO421" s="91">
        <f>100*((Transfer!AD224/Transfer!AC224)-1)</f>
        <v>1.4149389821106473</v>
      </c>
      <c r="AP421" s="92">
        <f>Transfer!AE224</f>
        <v>252.10300000000001</v>
      </c>
      <c r="AQ421" s="91">
        <f>100*((Transfer!AE224/Transfer!AD224)-1)</f>
        <v>7.7284983569569699</v>
      </c>
      <c r="AR421" s="92">
        <f>Transfer!AF224</f>
        <v>260.20419524197456</v>
      </c>
      <c r="AS421" s="91">
        <f>100*((Transfer!AF224/Transfer!AE224)-1)</f>
        <v>3.2134465841241688</v>
      </c>
      <c r="AT421" s="91">
        <f>Transfer!AG224</f>
        <v>267.4101306849098</v>
      </c>
      <c r="AU421" s="243">
        <f>100*((Transfer!AG224/Transfer!AF224)-1)</f>
        <v>2.7693386865781155</v>
      </c>
      <c r="AV421" s="82"/>
      <c r="AW421" s="54"/>
      <c r="AX421" s="54"/>
      <c r="AY421" s="54"/>
      <c r="AZ421" s="54"/>
      <c r="BA421" s="1753" t="s">
        <v>1077</v>
      </c>
      <c r="BB421" s="1754"/>
      <c r="BC421" s="54"/>
    </row>
    <row r="422" spans="1:55">
      <c r="A422" s="45"/>
      <c r="B422" s="1720"/>
      <c r="C422" s="1721" t="s">
        <v>1617</v>
      </c>
      <c r="D422" s="2420"/>
      <c r="E422" s="2589"/>
      <c r="F422" s="2759">
        <f ca="1">SUM(Transfer!D220,Transfer!D221,Transfer!D222,Transfer!D223,Transfer!D224,Transfer!D245,Transfer!D246)</f>
        <v>2043.011</v>
      </c>
      <c r="G422" s="2521">
        <f ca="1">100*(((SUM(Transfer!D220,Transfer!D221,Transfer!D222,Transfer!D223,Transfer!D224,Transfer!D245,Transfer!D246))/(SUM(Transfer!C220,Transfer!C221,Transfer!C222,Transfer!C223,Transfer!C224,Transfer!C245,Transfer!C246)))-1)</f>
        <v>3.3644622446005856</v>
      </c>
      <c r="H422" s="2759">
        <f ca="1">SUM(Transfer!E220,Transfer!E221,Transfer!E222,Transfer!E223,Transfer!E224,Transfer!E245,Transfer!E246)</f>
        <v>2126.9550855264847</v>
      </c>
      <c r="I422" s="2521">
        <f ca="1">100*(((SUM(Transfer!E220,Transfer!E221,Transfer!E222,Transfer!E223,Transfer!E224,Transfer!E245,Transfer!E246))/(SUM(Transfer!D220,Transfer!D221,Transfer!D222,Transfer!D223,Transfer!D224,Transfer!D245,Transfer!D246)))-1)</f>
        <v>4.1088415836471048</v>
      </c>
      <c r="J422" s="2759">
        <f ca="1">SUM(Transfer!F220,Transfer!F221,Transfer!F222,Transfer!F223,Transfer!F224,Transfer!F245,Transfer!F246)</f>
        <v>2189.5230413469285</v>
      </c>
      <c r="K422" s="2521">
        <f ca="1">100*(((SUM(Transfer!F220,Transfer!F221,Transfer!F222,Transfer!F223,Transfer!F224,Transfer!F245,Transfer!F246))/(SUM(Transfer!E220,Transfer!E221,Transfer!E222,Transfer!E223,Transfer!E224,Transfer!E245,Transfer!E246)))-1)</f>
        <v>2.9416679386512046</v>
      </c>
      <c r="L422" s="2521">
        <f ca="1">SUM(Transfer!G220,Transfer!G221,Transfer!G222,Transfer!G223,Transfer!G224,Transfer!G245,Transfer!G246)</f>
        <v>2260.1629130829824</v>
      </c>
      <c r="M422" s="2760">
        <f ca="1">100*(((SUM(Transfer!G220,Transfer!G221,Transfer!G222,Transfer!G223,Transfer!G224,Transfer!G245,Transfer!G246))/(SUM(Transfer!F220,Transfer!F221,Transfer!F222,Transfer!F223,Transfer!F224,Transfer!F245,Transfer!F246)))-1)</f>
        <v>3.226267566136154</v>
      </c>
      <c r="N422" s="2520"/>
      <c r="O422" s="54"/>
      <c r="P422" s="54"/>
      <c r="Q422" s="54"/>
      <c r="R422" s="54"/>
      <c r="S422" s="190"/>
      <c r="T422" s="1721" t="s">
        <v>1617</v>
      </c>
      <c r="U422" s="49"/>
      <c r="V422" s="384"/>
      <c r="W422" s="429">
        <f t="shared" ca="1" si="25"/>
        <v>68.400000000000091</v>
      </c>
      <c r="X422" s="428">
        <f t="shared" ca="1" si="25"/>
        <v>-0.89999999999999991</v>
      </c>
      <c r="Y422" s="428">
        <f t="shared" ca="1" si="25"/>
        <v>83</v>
      </c>
      <c r="Z422" s="428">
        <f t="shared" ca="1" si="25"/>
        <v>0.59999999999999964</v>
      </c>
      <c r="AA422" s="428">
        <f t="shared" ca="1" si="25"/>
        <v>59.599999999999909</v>
      </c>
      <c r="AB422" s="428">
        <f t="shared" ca="1" si="25"/>
        <v>-1.3000000000000003</v>
      </c>
      <c r="AC422" s="428">
        <f t="shared" ca="1" si="25"/>
        <v>61</v>
      </c>
      <c r="AD422" s="431">
        <f t="shared" ca="1" si="25"/>
        <v>-9.9999999999999645E-2</v>
      </c>
      <c r="AE422" s="199"/>
      <c r="AF422" s="45"/>
      <c r="AG422" s="45"/>
      <c r="AH422" s="45"/>
      <c r="AI422" s="45"/>
      <c r="AJ422" s="190"/>
      <c r="AK422" s="1721" t="s">
        <v>1617</v>
      </c>
      <c r="AL422" s="49"/>
      <c r="AM422" s="254"/>
      <c r="AN422" s="141">
        <f>SUM(Transfer!AD220,Transfer!AD221,Transfer!AD222,Transfer!AD223,Transfer!AD224,Transfer!AD245,Transfer!AD246)</f>
        <v>1974.6379999999999</v>
      </c>
      <c r="AO422" s="245">
        <f>100*(((SUM(Transfer!AD220,Transfer!AD221,Transfer!AD222,Transfer!AD223,Transfer!AD224,Transfer!AD245,Transfer!AD246))/(SUM(Transfer!AC220,Transfer!AC221,Transfer!AC222,Transfer!AC223,Transfer!AC224,Transfer!AC245,Transfer!AC246)))-1)</f>
        <v>4.2721394492893916</v>
      </c>
      <c r="AP422" s="141">
        <f>SUM(Transfer!AE220,Transfer!AE221,Transfer!AE222,Transfer!AE223,Transfer!AE224,Transfer!AE245,Transfer!AE246)</f>
        <v>2043.97</v>
      </c>
      <c r="AQ422" s="245">
        <f>100*(((SUM(Transfer!AE220,Transfer!AE221,Transfer!AE222,Transfer!AE223,Transfer!AE224,Transfer!AE245,Transfer!AE246))/(SUM(Transfer!AD220,Transfer!AD221,Transfer!AD222,Transfer!AD223,Transfer!AD224,Transfer!AD245,Transfer!AD246)))-1)</f>
        <v>3.5111245706808125</v>
      </c>
      <c r="AR422" s="141">
        <f>SUM(Transfer!AF220,Transfer!AF221,Transfer!AF222,Transfer!AF223,Transfer!AF224,Transfer!AF245,Transfer!AF246)</f>
        <v>2129.9182154747546</v>
      </c>
      <c r="AS422" s="245">
        <f>100*(((SUM(Transfer!AF220,Transfer!AF221,Transfer!AF222,Transfer!AF223,Transfer!AF224,Transfer!AF245,Transfer!AF246))/(SUM(Transfer!AE220,Transfer!AE221,Transfer!AE222,Transfer!AE223,Transfer!AE224,Transfer!AE245,Transfer!AE246)))-1)</f>
        <v>4.2049646264257667</v>
      </c>
      <c r="AT422" s="245">
        <f>SUM(Transfer!AG220,Transfer!AG221,Transfer!AG222,Transfer!AG223,Transfer!AG224,Transfer!AG245,Transfer!AG246)</f>
        <v>2199.1960472895703</v>
      </c>
      <c r="AU422" s="249">
        <f>100*(((SUM(Transfer!AG220,Transfer!AG221,Transfer!AG222,Transfer!AG223,Transfer!AG224,Transfer!AG245,Transfer!AG246))/(SUM(Transfer!AF220,Transfer!AF221,Transfer!AF222,Transfer!AF223,Transfer!AF224,Transfer!AF245,Transfer!AF246)))-1)</f>
        <v>3.2526052555202911</v>
      </c>
      <c r="AV422" s="199"/>
      <c r="AW422" s="54"/>
      <c r="AX422" s="54"/>
      <c r="AY422" s="54"/>
      <c r="AZ422" s="54"/>
      <c r="BA422" s="1753" t="s">
        <v>484</v>
      </c>
      <c r="BB422" s="1754"/>
      <c r="BC422" s="54"/>
    </row>
    <row r="423" spans="1:55">
      <c r="A423" s="45"/>
      <c r="B423" s="1720"/>
      <c r="C423" s="2453" t="s">
        <v>806</v>
      </c>
      <c r="D423" s="2412"/>
      <c r="E423" s="2713" t="s">
        <v>1959</v>
      </c>
      <c r="F423" s="2518">
        <f ca="1">SUM(Transfer!D213,Transfer!D214,Transfer!D215,Transfer!D217,Transfer!D243)-SUM(Transfer!D220,Transfer!D221,Transfer!D222,Transfer!D223,Transfer!D224,Transfer!D245,Transfer!D246)</f>
        <v>278.1850000000004</v>
      </c>
      <c r="G423" s="2796">
        <f ca="1">100*((SUM(Transfer!D213,Transfer!D214,Transfer!D215,Transfer!D217,Transfer!D243)-SUM(Transfer!D220,Transfer!D221,Transfer!D222,Transfer!D223,Transfer!D224,Transfer!D245,Transfer!D246))/(SUM(Transfer!C213,Transfer!C214,Transfer!C215,Transfer!C217,Transfer!C243)-SUM(Transfer!C220,Transfer!C221,Transfer!C222,Transfer!C223,Transfer!C224,Transfer!C245,Transfer!C246))-1)</f>
        <v>13.833430859443951</v>
      </c>
      <c r="H423" s="2518">
        <f ca="1">SUM(Transfer!E213,Transfer!E214,Transfer!E215,Transfer!E217,Transfer!E243)-SUM(Transfer!E220,Transfer!E221,Transfer!E222,Transfer!E223,Transfer!E224,Transfer!E245,Transfer!E246)</f>
        <v>277.14176507058392</v>
      </c>
      <c r="I423" s="2796">
        <f ca="1">100*((SUM(Transfer!E213,Transfer!E214,Transfer!E215,Transfer!E217,Transfer!E243)-SUM(Transfer!E220,Transfer!E221,Transfer!E222,Transfer!E223,Transfer!E224,Transfer!E245,Transfer!E246))/(SUM(Transfer!D213,Transfer!D214,Transfer!D215,Transfer!D217,Transfer!D243)-SUM(Transfer!D220,Transfer!D221,Transfer!D222,Transfer!D223,Transfer!D224,Transfer!D245,Transfer!D246))-1)</f>
        <v>-0.37501480288889555</v>
      </c>
      <c r="J423" s="2518">
        <f ca="1">SUM(Transfer!F213,Transfer!F214,Transfer!F215,Transfer!F217,Transfer!F243)-SUM(Transfer!F220,Transfer!F221,Transfer!F222,Transfer!F223,Transfer!F224,Transfer!F245,Transfer!F246)</f>
        <v>290.97579701948871</v>
      </c>
      <c r="K423" s="2796">
        <f ca="1">100*((SUM(Transfer!F213,Transfer!F214,Transfer!F215,Transfer!F217,Transfer!F243)-SUM(Transfer!F220,Transfer!F221,Transfer!F222,Transfer!F223,Transfer!F224,Transfer!F245,Transfer!F246))/(SUM(Transfer!E213,Transfer!E214,Transfer!E215,Transfer!E217,Transfer!E243)-SUM(Transfer!E220,Transfer!E221,Transfer!E222,Transfer!E223,Transfer!E224,Transfer!E245,Transfer!E246))-1)</f>
        <v>4.9916806820442527</v>
      </c>
      <c r="L423" s="2518">
        <f ca="1">SUM(Transfer!G213,Transfer!G214,Transfer!G215,Transfer!G217,Transfer!G243)-SUM(Transfer!G220,Transfer!G221,Transfer!G222,Transfer!G223,Transfer!G224,Transfer!G245,Transfer!G246)</f>
        <v>296.1286537469332</v>
      </c>
      <c r="M423" s="2797">
        <f ca="1">100*((SUM(Transfer!G213,Transfer!G214,Transfer!G215,Transfer!G217,Transfer!G243)-SUM(Transfer!G220,Transfer!G221,Transfer!G222,Transfer!G223,Transfer!G224,Transfer!G245,Transfer!G246))/(SUM(Transfer!F213,Transfer!F214,Transfer!F215,Transfer!F217,Transfer!F243)-SUM(Transfer!F220,Transfer!F221,Transfer!F222,Transfer!F223,Transfer!F224,Transfer!F245,Transfer!F246))-1)</f>
        <v>1.7708884313492712</v>
      </c>
      <c r="N423" s="2798"/>
      <c r="O423" s="54"/>
      <c r="P423" s="54"/>
      <c r="Q423" s="54"/>
      <c r="R423" s="54"/>
      <c r="S423" s="190"/>
      <c r="T423" s="2453" t="s">
        <v>806</v>
      </c>
      <c r="U423" s="100"/>
      <c r="V423" s="2390" t="s">
        <v>1959</v>
      </c>
      <c r="W423" s="2079">
        <f t="shared" ref="W423:AD427" ca="1" si="26">ROUND(F423,1)-ROUND(AN423,1)</f>
        <v>29.799999999999983</v>
      </c>
      <c r="X423" s="2080">
        <f t="shared" ca="1" si="26"/>
        <v>-18.8</v>
      </c>
      <c r="Y423" s="2080">
        <f t="shared" ca="1" si="26"/>
        <v>10.400000000000034</v>
      </c>
      <c r="Z423" s="2080">
        <f t="shared" ca="1" si="26"/>
        <v>-7.8000000000000007</v>
      </c>
      <c r="AA423" s="2080">
        <f t="shared" ca="1" si="26"/>
        <v>32.600000000000023</v>
      </c>
      <c r="AB423" s="2080">
        <f t="shared" ca="1" si="26"/>
        <v>8.1</v>
      </c>
      <c r="AC423" s="2080">
        <f t="shared" ca="1" si="26"/>
        <v>21.300000000000011</v>
      </c>
      <c r="AD423" s="2407">
        <f t="shared" ca="1" si="26"/>
        <v>-4.5</v>
      </c>
      <c r="AE423" s="468"/>
      <c r="AF423" s="45"/>
      <c r="AG423" s="45"/>
      <c r="AH423" s="45"/>
      <c r="AI423" s="45"/>
      <c r="AJ423" s="190"/>
      <c r="AK423" s="2453" t="s">
        <v>806</v>
      </c>
      <c r="AL423" s="100"/>
      <c r="AM423" s="2390" t="s">
        <v>1959</v>
      </c>
      <c r="AN423" s="2080">
        <f>SUM(Transfer!AD213,Transfer!AD214,Transfer!AD215,Transfer!AD217,Transfer!AD243)-SUM(Transfer!AD220,Transfer!AD221,Transfer!AD222,Transfer!AD223,Transfer!AD224,Transfer!AD245,Transfer!AD246)</f>
        <v>248.3720000000003</v>
      </c>
      <c r="AO423" s="2403">
        <f>100*((SUM(Transfer!AD213,Transfer!AD214,Transfer!AD215,Transfer!AD217,Transfer!AD243)-SUM(Transfer!AD220,Transfer!AD221,Transfer!AD222,Transfer!AD223,Transfer!AD224,Transfer!AD245,Transfer!AD246))/(SUM(Transfer!AC213,Transfer!AC214,Transfer!AC215,Transfer!AC217,Transfer!AC243)-SUM(Transfer!AC220,Transfer!AC221,Transfer!AC222,Transfer!AC223,Transfer!AC224,Transfer!AC245,Transfer!AC246))-1)</f>
        <v>32.566170466008913</v>
      </c>
      <c r="AP423" s="2080">
        <f>SUM(Transfer!AE213,Transfer!AE214,Transfer!AE215,Transfer!AE217,Transfer!AE243)-SUM(Transfer!AE220,Transfer!AE221,Transfer!AE222,Transfer!AE223,Transfer!AE224,Transfer!AE245,Transfer!AE246)</f>
        <v>266.74400000000037</v>
      </c>
      <c r="AQ423" s="2403">
        <f>100*((SUM(Transfer!AE213,Transfer!AE214,Transfer!AE215,Transfer!AE217,Transfer!AE243)-SUM(Transfer!AE220,Transfer!AE221,Transfer!AE222,Transfer!AE223,Transfer!AE224,Transfer!AE245,Transfer!AE246))/(SUM(Transfer!AD213,Transfer!AD214,Transfer!AD215,Transfer!AD217,Transfer!AD243)-SUM(Transfer!AD220,Transfer!AD221,Transfer!AD222,Transfer!AD223,Transfer!AD224,Transfer!AD245,Transfer!AD246))-1)</f>
        <v>7.3969690625352413</v>
      </c>
      <c r="AR423" s="2080">
        <f>SUM(Transfer!AF213,Transfer!AF214,Transfer!AF215,Transfer!AF217,Transfer!AF243)-SUM(Transfer!AF220,Transfer!AF221,Transfer!AF222,Transfer!AF223,Transfer!AF224,Transfer!AF245,Transfer!AF246)</f>
        <v>258.35372565645866</v>
      </c>
      <c r="AS423" s="2403">
        <f>100*((SUM(Transfer!AF213,Transfer!AF214,Transfer!AF215,Transfer!AF217,Transfer!AF243)-SUM(Transfer!AF220,Transfer!AF221,Transfer!AF222,Transfer!AF223,Transfer!AF224,Transfer!AF245,Transfer!AF246))/(SUM(Transfer!AE213,Transfer!AE214,Transfer!AE215,Transfer!AE217,Transfer!AE243)-SUM(Transfer!AE220,Transfer!AE221,Transfer!AE222,Transfer!AE223,Transfer!AE224,Transfer!AE245,Transfer!AE246))-1)</f>
        <v>-3.1454407010248375</v>
      </c>
      <c r="AT423" s="2080">
        <f>SUM(Transfer!AG213,Transfer!AG214,Transfer!AG215,Transfer!AG217,Transfer!AG243)-SUM(Transfer!AG220,Transfer!AG221,Transfer!AG222,Transfer!AG223,Transfer!AG224,Transfer!AG245,Transfer!AG246)</f>
        <v>274.75304625556646</v>
      </c>
      <c r="AU423" s="2404">
        <f>100*((SUM(Transfer!AG213,Transfer!AG214,Transfer!AG215,Transfer!AG217,Transfer!AG243)-SUM(Transfer!AG220,Transfer!AG221,Transfer!AG222,Transfer!AG223,Transfer!AG224,Transfer!AG245,Transfer!AG246))/(SUM(Transfer!AF213,Transfer!AF214,Transfer!AF215,Transfer!AF217,Transfer!AF243)-SUM(Transfer!AF220,Transfer!AF221,Transfer!AF222,Transfer!AF223,Transfer!AF224,Transfer!AF245,Transfer!AF246))-1)</f>
        <v>6.3476230340546724</v>
      </c>
      <c r="AV423" s="468"/>
      <c r="AW423" s="54"/>
      <c r="AX423" s="54"/>
      <c r="AY423" s="54"/>
      <c r="AZ423" s="54"/>
      <c r="BA423" s="1755" t="s">
        <v>53</v>
      </c>
      <c r="BB423" s="1754"/>
      <c r="BC423" s="54"/>
    </row>
    <row r="424" spans="1:55" ht="13.15">
      <c r="A424" s="45"/>
      <c r="B424" s="1720"/>
      <c r="C424" s="2531" t="s">
        <v>1829</v>
      </c>
      <c r="D424" s="2532"/>
      <c r="E424" s="2605"/>
      <c r="F424" s="2526">
        <f ca="1">100*(SUM(Transfer!D213,Transfer!D214,Transfer!D215,Transfer!D217,Transfer!D243)-SUM(Transfer!D220,Transfer!D221,Transfer!D222,Transfer!D223,Transfer!D224,Transfer!D245,Transfer!D246))/Transfer!D147</f>
        <v>6.0753687731483135</v>
      </c>
      <c r="G424" s="2526"/>
      <c r="H424" s="2799">
        <f ca="1">100*(SUM(Transfer!E213,Transfer!E214,Transfer!E215,Transfer!E217,Transfer!E243)-SUM(Transfer!E220,Transfer!E221,Transfer!E222,Transfer!E223,Transfer!E224,Transfer!E245,Transfer!E246))/Transfer!E147</f>
        <v>5.7699700058936463</v>
      </c>
      <c r="I424" s="2799"/>
      <c r="J424" s="2799">
        <f ca="1">100*(SUM(Transfer!F213,Transfer!F214,Transfer!F215,Transfer!F217,Transfer!F243)-SUM(Transfer!F220,Transfer!F221,Transfer!F222,Transfer!F223,Transfer!F224,Transfer!F245,Transfer!F246))/Transfer!F147</f>
        <v>5.8372654307619198</v>
      </c>
      <c r="K424" s="2799"/>
      <c r="L424" s="2799">
        <f ca="1">100*(SUM(Transfer!G213,Transfer!G214,Transfer!G215,Transfer!G217,Transfer!G243)-SUM(Transfer!G220,Transfer!G221,Transfer!G222,Transfer!G223,Transfer!G224,Transfer!G245,Transfer!G246))/Transfer!G147</f>
        <v>5.7372422334023865</v>
      </c>
      <c r="M424" s="2800"/>
      <c r="N424" s="2798"/>
      <c r="O424" s="54"/>
      <c r="P424" s="54"/>
      <c r="Q424" s="54"/>
      <c r="R424" s="54"/>
      <c r="S424" s="190"/>
      <c r="T424" s="2531" t="s">
        <v>1829</v>
      </c>
      <c r="U424" s="1759"/>
      <c r="V424" s="384"/>
      <c r="W424" s="429">
        <f t="shared" ca="1" si="26"/>
        <v>0.5</v>
      </c>
      <c r="X424" s="428">
        <f t="shared" si="26"/>
        <v>0</v>
      </c>
      <c r="Y424" s="428">
        <f t="shared" ca="1" si="26"/>
        <v>0</v>
      </c>
      <c r="Z424" s="428">
        <f t="shared" si="26"/>
        <v>0</v>
      </c>
      <c r="AA424" s="428">
        <f t="shared" ca="1" si="26"/>
        <v>0.39999999999999947</v>
      </c>
      <c r="AB424" s="428">
        <f t="shared" si="26"/>
        <v>0</v>
      </c>
      <c r="AC424" s="428">
        <f t="shared" ca="1" si="26"/>
        <v>0.20000000000000018</v>
      </c>
      <c r="AD424" s="431">
        <f t="shared" si="26"/>
        <v>0</v>
      </c>
      <c r="AE424" s="468"/>
      <c r="AF424" s="45"/>
      <c r="AG424" s="45"/>
      <c r="AH424" s="45"/>
      <c r="AI424" s="45"/>
      <c r="AJ424" s="190"/>
      <c r="AK424" s="2531" t="s">
        <v>1829</v>
      </c>
      <c r="AL424" s="1759"/>
      <c r="AM424" s="433"/>
      <c r="AN424" s="443">
        <f>100*(SUM(Transfer!AD213,Transfer!AD214,Transfer!AD215,Transfer!AD217,Transfer!AD243)-SUM(Transfer!AD220,Transfer!AD221,Transfer!AD222,Transfer!AD223,Transfer!AD224,Transfer!AD245,Transfer!AD246))/Transfer!AD147</f>
        <v>5.6386643485904777</v>
      </c>
      <c r="AO424" s="443"/>
      <c r="AP424" s="2405">
        <f>100*(SUM(Transfer!AE213,Transfer!AE214,Transfer!AE215,Transfer!AE217,Transfer!AE243)-SUM(Transfer!AE220,Transfer!AE221,Transfer!AE222,Transfer!AE223,Transfer!AE224,Transfer!AE245,Transfer!AE246))/Transfer!AE147</f>
        <v>5.7934866062653683</v>
      </c>
      <c r="AQ424" s="2405"/>
      <c r="AR424" s="2405">
        <f>100*(SUM(Transfer!AF213,Transfer!AF214,Transfer!AF215,Transfer!AF217,Transfer!AF243)-SUM(Transfer!AF220,Transfer!AF221,Transfer!AF222,Transfer!AF223,Transfer!AF224,Transfer!AF245,Transfer!AF246))/Transfer!AF147</f>
        <v>5.3552205667042934</v>
      </c>
      <c r="AS424" s="2405"/>
      <c r="AT424" s="2405">
        <f>100*(SUM(Transfer!AG213,Transfer!AG214,Transfer!AG215,Transfer!AG217,Transfer!AG243)-SUM(Transfer!AG220,Transfer!AG221,Transfer!AG222,Transfer!AG223,Transfer!AG224,Transfer!AG245,Transfer!AG246))/Transfer!AG147</f>
        <v>5.4579285854515547</v>
      </c>
      <c r="AU424" s="2406"/>
      <c r="AV424" s="468"/>
      <c r="AW424" s="54"/>
      <c r="AX424" s="54"/>
      <c r="AY424" s="54"/>
      <c r="AZ424" s="54"/>
      <c r="BA424" s="1755" t="s">
        <v>485</v>
      </c>
      <c r="BB424" s="1754"/>
      <c r="BC424" s="54"/>
    </row>
    <row r="425" spans="1:55">
      <c r="A425" s="45"/>
      <c r="B425" s="1720"/>
      <c r="C425" s="2453" t="s">
        <v>1826</v>
      </c>
      <c r="D425" s="2412"/>
      <c r="E425" s="2713" t="s">
        <v>625</v>
      </c>
      <c r="F425" s="2793">
        <f ca="1">Transfer!D225</f>
        <v>7.5030000000000001</v>
      </c>
      <c r="G425" s="2518">
        <f ca="1">100*((Transfer!D225/Transfer!C225)-1)</f>
        <v>9.007700130756934</v>
      </c>
      <c r="H425" s="2793">
        <f ca="1">Transfer!E225</f>
        <v>6.0999999999999988</v>
      </c>
      <c r="I425" s="2801">
        <f ca="1">100*((Transfer!E225/Transfer!D225)-1)</f>
        <v>-18.699186991869933</v>
      </c>
      <c r="J425" s="2793">
        <f ca="1">Transfer!F225</f>
        <v>6.2219999999999986</v>
      </c>
      <c r="K425" s="2801">
        <f ca="1">100*((Transfer!F225/Transfer!E225)-1)</f>
        <v>2.0000000000000018</v>
      </c>
      <c r="L425" s="2518">
        <f ca="1">Transfer!G225</f>
        <v>6.3153299999999977</v>
      </c>
      <c r="M425" s="2802">
        <f ca="1">100*((Transfer!G225/Transfer!F225)-1)</f>
        <v>1.4999999999999902</v>
      </c>
      <c r="N425" s="2798"/>
      <c r="O425" s="54"/>
      <c r="P425" s="54"/>
      <c r="Q425" s="54"/>
      <c r="R425" s="54"/>
      <c r="S425" s="190"/>
      <c r="T425" s="2453" t="s">
        <v>1826</v>
      </c>
      <c r="U425" s="100"/>
      <c r="V425" s="2390" t="s">
        <v>625</v>
      </c>
      <c r="W425" s="2079">
        <f t="shared" ca="1" si="26"/>
        <v>0.70000000000000018</v>
      </c>
      <c r="X425" s="2080">
        <f t="shared" ca="1" si="26"/>
        <v>47.4</v>
      </c>
      <c r="Y425" s="2080">
        <f t="shared" ca="1" si="26"/>
        <v>-0.90000000000000036</v>
      </c>
      <c r="Z425" s="2080">
        <f t="shared" ca="1" si="26"/>
        <v>-21.9</v>
      </c>
      <c r="AA425" s="2080">
        <f t="shared" ca="1" si="26"/>
        <v>-0.89999999999999947</v>
      </c>
      <c r="AB425" s="2080">
        <f t="shared" ca="1" si="26"/>
        <v>0.5</v>
      </c>
      <c r="AC425" s="2080">
        <f t="shared" ca="1" si="26"/>
        <v>-0.90000000000000036</v>
      </c>
      <c r="AD425" s="2407">
        <f t="shared" ca="1" si="26"/>
        <v>0</v>
      </c>
      <c r="AE425" s="468"/>
      <c r="AF425" s="45"/>
      <c r="AG425" s="45"/>
      <c r="AH425" s="45"/>
      <c r="AI425" s="45"/>
      <c r="AJ425" s="190"/>
      <c r="AK425" s="2453" t="s">
        <v>1826</v>
      </c>
      <c r="AL425" s="100"/>
      <c r="AM425" s="2390" t="s">
        <v>625</v>
      </c>
      <c r="AN425" s="2378">
        <f>Transfer!AD225</f>
        <v>6.8010000000000002</v>
      </c>
      <c r="AO425" s="2080">
        <f>100*((Transfer!AD225/Transfer!AC225)-1)</f>
        <v>-38.385577097300242</v>
      </c>
      <c r="AP425" s="2378">
        <f>Transfer!AE225</f>
        <v>7.0170000000000003</v>
      </c>
      <c r="AQ425" s="2393">
        <f>100*((Transfer!AE225/Transfer!AD225)-1)</f>
        <v>3.1760035288928234</v>
      </c>
      <c r="AR425" s="2378">
        <f>Transfer!AF225</f>
        <v>7.122255</v>
      </c>
      <c r="AS425" s="2393">
        <f>100*((Transfer!AF225/Transfer!AE225)-1)</f>
        <v>1.4999999999999902</v>
      </c>
      <c r="AT425" s="2080">
        <f>Transfer!AG225</f>
        <v>7.2290888249999989</v>
      </c>
      <c r="AU425" s="2394">
        <f>100*((Transfer!AG225/Transfer!AF225)-1)</f>
        <v>1.4999999999999902</v>
      </c>
      <c r="AV425" s="468"/>
      <c r="AW425" s="54"/>
      <c r="AX425" s="54"/>
      <c r="AY425" s="54"/>
      <c r="AZ425" s="54"/>
      <c r="BA425" s="1753" t="s">
        <v>626</v>
      </c>
      <c r="BB425" s="1754"/>
      <c r="BC425" s="54"/>
    </row>
    <row r="426" spans="1:55">
      <c r="A426" s="45"/>
      <c r="B426" s="1720"/>
      <c r="C426" s="1721" t="s">
        <v>1827</v>
      </c>
      <c r="D426" s="2420"/>
      <c r="E426" s="2589" t="s">
        <v>123</v>
      </c>
      <c r="F426" s="2759">
        <f ca="1">Transfer!D226</f>
        <v>209.73699999999999</v>
      </c>
      <c r="G426" s="2521">
        <f ca="1">100*((Transfer!D226/Transfer!C226)-1)</f>
        <v>8.780801526915516</v>
      </c>
      <c r="H426" s="2759">
        <f ca="1">Transfer!E226</f>
        <v>225.10463972699998</v>
      </c>
      <c r="I426" s="2521">
        <f ca="1">100*((Transfer!E226/Transfer!D226)-1)</f>
        <v>7.3270999999999864</v>
      </c>
      <c r="J426" s="2759">
        <f ca="1">Transfer!F226</f>
        <v>237.1864559504275</v>
      </c>
      <c r="K426" s="2521">
        <f ca="1">100*((Transfer!F226/Transfer!E226)-1)</f>
        <v>5.3671999999999942</v>
      </c>
      <c r="L426" s="2521">
        <f ca="1">Transfer!G226</f>
        <v>245.79039464002921</v>
      </c>
      <c r="M426" s="2522">
        <f ca="1">100*((Transfer!G226/Transfer!F226)-1)</f>
        <v>3.6274999999999835</v>
      </c>
      <c r="N426" s="2520"/>
      <c r="O426" s="54"/>
      <c r="P426" s="54"/>
      <c r="Q426" s="54"/>
      <c r="R426" s="54"/>
      <c r="S426" s="190"/>
      <c r="T426" s="1721" t="s">
        <v>1827</v>
      </c>
      <c r="U426" s="49"/>
      <c r="V426" s="254" t="s">
        <v>123</v>
      </c>
      <c r="W426" s="248">
        <f t="shared" ca="1" si="26"/>
        <v>16.5</v>
      </c>
      <c r="X426" s="245">
        <f t="shared" ca="1" si="26"/>
        <v>-1.0999999999999996</v>
      </c>
      <c r="Y426" s="245">
        <f t="shared" ca="1" si="26"/>
        <v>16</v>
      </c>
      <c r="Z426" s="245">
        <f t="shared" ca="1" si="26"/>
        <v>-0.89999999999999947</v>
      </c>
      <c r="AA426" s="245">
        <f t="shared" ca="1" si="26"/>
        <v>14</v>
      </c>
      <c r="AB426" s="245">
        <f t="shared" ca="1" si="26"/>
        <v>-1.2999999999999998</v>
      </c>
      <c r="AC426" s="245">
        <f t="shared" ca="1" si="26"/>
        <v>13.400000000000006</v>
      </c>
      <c r="AD426" s="249">
        <f t="shared" ca="1" si="26"/>
        <v>-0.49999999999999956</v>
      </c>
      <c r="AE426" s="199"/>
      <c r="AF426" s="45"/>
      <c r="AG426" s="45"/>
      <c r="AH426" s="45"/>
      <c r="AI426" s="45"/>
      <c r="AJ426" s="190"/>
      <c r="AK426" s="1721" t="s">
        <v>1827</v>
      </c>
      <c r="AL426" s="49"/>
      <c r="AM426" s="254" t="s">
        <v>123</v>
      </c>
      <c r="AN426" s="141">
        <f>Transfer!AD226</f>
        <v>193.24199999999999</v>
      </c>
      <c r="AO426" s="245">
        <f>100*((Transfer!AD226/Transfer!AC226)-1)</f>
        <v>9.9408883250174931</v>
      </c>
      <c r="AP426" s="141">
        <f>Transfer!AE226</f>
        <v>209.14400000000001</v>
      </c>
      <c r="AQ426" s="245">
        <f>100*((Transfer!AE226/Transfer!AD226)-1)</f>
        <v>8.2290599352107705</v>
      </c>
      <c r="AR426" s="141">
        <f>Transfer!AF226</f>
        <v>223.17442523999998</v>
      </c>
      <c r="AS426" s="245">
        <f>100*((Transfer!AF226/Transfer!AE226)-1)</f>
        <v>6.7084999999999839</v>
      </c>
      <c r="AT426" s="245">
        <f>Transfer!AG226</f>
        <v>232.40581216562734</v>
      </c>
      <c r="AU426" s="320">
        <f>100*((Transfer!AG226/Transfer!AF226)-1)</f>
        <v>4.1363999999999956</v>
      </c>
      <c r="AV426" s="199"/>
      <c r="AW426" s="54"/>
      <c r="AX426" s="54"/>
      <c r="AY426" s="54"/>
      <c r="AZ426" s="54"/>
      <c r="BA426" s="1753" t="s">
        <v>54</v>
      </c>
      <c r="BB426" s="1754"/>
      <c r="BC426" s="54"/>
    </row>
    <row r="427" spans="1:55" ht="13.15" thickBot="1">
      <c r="A427" s="45"/>
      <c r="B427" s="1720"/>
      <c r="C427" s="2464" t="s">
        <v>1828</v>
      </c>
      <c r="D427" s="2803"/>
      <c r="E427" s="2804"/>
      <c r="F427" s="2805">
        <f ca="1">Transfer!D227</f>
        <v>4.8720000000000008</v>
      </c>
      <c r="G427" s="2698">
        <f ca="1">100*((Transfer!D227/Transfer!C227)-1)</f>
        <v>-49.788725136555691</v>
      </c>
      <c r="H427" s="2805">
        <f ca="1">Transfer!E227</f>
        <v>7.6002611881767344</v>
      </c>
      <c r="I427" s="2698">
        <f ca="1">100*((Transfer!E227/Transfer!D227)-1)</f>
        <v>55.998792860770386</v>
      </c>
      <c r="J427" s="2805">
        <f ca="1">Transfer!F227</f>
        <v>12.899194562066155</v>
      </c>
      <c r="K427" s="2698">
        <f ca="1">100*((Transfer!F227/Transfer!E227)-1)</f>
        <v>69.720411479182459</v>
      </c>
      <c r="L427" s="2698">
        <f ca="1">Transfer!G227</f>
        <v>13.347806775477242</v>
      </c>
      <c r="M427" s="2806">
        <f ca="1">100*((Transfer!G227/Transfer!F227)-1)</f>
        <v>3.4778312029679848</v>
      </c>
      <c r="N427" s="2520"/>
      <c r="O427" s="54"/>
      <c r="P427" s="54"/>
      <c r="Q427" s="54"/>
      <c r="R427" s="54"/>
      <c r="S427" s="190"/>
      <c r="T427" s="2464" t="s">
        <v>1828</v>
      </c>
      <c r="U427" s="49"/>
      <c r="V427" s="254"/>
      <c r="W427" s="248">
        <f t="shared" ca="1" si="26"/>
        <v>-4.7999999999999989</v>
      </c>
      <c r="X427" s="245">
        <f t="shared" ca="1" si="26"/>
        <v>-14.699999999999996</v>
      </c>
      <c r="Y427" s="245">
        <f t="shared" ca="1" si="26"/>
        <v>1.5</v>
      </c>
      <c r="Z427" s="245">
        <f t="shared" ca="1" si="26"/>
        <v>92.8</v>
      </c>
      <c r="AA427" s="245">
        <f t="shared" ca="1" si="26"/>
        <v>7.3000000000000007</v>
      </c>
      <c r="AB427" s="245">
        <f t="shared" ca="1" si="26"/>
        <v>78.7</v>
      </c>
      <c r="AC427" s="245">
        <f t="shared" ca="1" si="26"/>
        <v>7.6000000000000005</v>
      </c>
      <c r="AD427" s="249">
        <f t="shared" ca="1" si="26"/>
        <v>0.89999999999999991</v>
      </c>
      <c r="AE427" s="199"/>
      <c r="AF427" s="45"/>
      <c r="AG427" s="45"/>
      <c r="AH427" s="45"/>
      <c r="AI427" s="45"/>
      <c r="AJ427" s="190"/>
      <c r="AK427" s="2464" t="s">
        <v>1828</v>
      </c>
      <c r="AL427" s="183"/>
      <c r="AM427" s="386"/>
      <c r="AN427" s="469">
        <f>Transfer!AD227</f>
        <v>9.6979999999999986</v>
      </c>
      <c r="AO427" s="470">
        <f>100*((Transfer!AD227/Transfer!AC227)-1)</f>
        <v>-35.056586084510833</v>
      </c>
      <c r="AP427" s="469">
        <f>Transfer!AE227</f>
        <v>6.1290000000000004</v>
      </c>
      <c r="AQ427" s="470">
        <f>100*((Transfer!AE227/Transfer!AD227)-1)</f>
        <v>-36.801402351000192</v>
      </c>
      <c r="AR427" s="469">
        <f>Transfer!AF227</f>
        <v>5.5780214218740989</v>
      </c>
      <c r="AS427" s="470">
        <f>100*((Transfer!AF227/Transfer!AE227)-1)</f>
        <v>-8.9896977994110223</v>
      </c>
      <c r="AT427" s="470">
        <f>Transfer!AG227</f>
        <v>5.7205127326488681</v>
      </c>
      <c r="AU427" s="471">
        <f>100*((Transfer!AG227/Transfer!AF227)-1)</f>
        <v>2.5545135093241633</v>
      </c>
      <c r="AV427" s="199"/>
      <c r="AW427" s="54"/>
      <c r="AX427" s="54"/>
      <c r="AY427" s="54"/>
      <c r="AZ427" s="54"/>
      <c r="BA427" s="1753" t="s">
        <v>627</v>
      </c>
      <c r="BB427" s="1754"/>
      <c r="BC427" s="54"/>
    </row>
    <row r="428" spans="1:55" ht="13.5" thickBot="1">
      <c r="A428" s="45"/>
      <c r="B428" s="1720"/>
      <c r="C428" s="1721"/>
      <c r="D428" s="2420"/>
      <c r="E428" s="2589"/>
      <c r="F428" s="2805"/>
      <c r="G428" s="2807" t="s">
        <v>628</v>
      </c>
      <c r="H428" s="2759"/>
      <c r="I428" s="2807" t="s">
        <v>628</v>
      </c>
      <c r="J428" s="2759"/>
      <c r="K428" s="2807" t="s">
        <v>628</v>
      </c>
      <c r="L428" s="2759"/>
      <c r="M428" s="2808" t="s">
        <v>628</v>
      </c>
      <c r="N428" s="2528"/>
      <c r="O428" s="54"/>
      <c r="P428" s="54"/>
      <c r="Q428" s="54"/>
      <c r="R428" s="54"/>
      <c r="S428" s="190"/>
      <c r="T428" s="1721"/>
      <c r="U428" s="479"/>
      <c r="V428" s="483"/>
      <c r="W428" s="481"/>
      <c r="X428" s="2399" t="s">
        <v>628</v>
      </c>
      <c r="Y428" s="481"/>
      <c r="Z428" s="2399" t="s">
        <v>628</v>
      </c>
      <c r="AA428" s="481"/>
      <c r="AB428" s="2399" t="s">
        <v>628</v>
      </c>
      <c r="AC428" s="481"/>
      <c r="AD428" s="473" t="s">
        <v>628</v>
      </c>
      <c r="AE428" s="442"/>
      <c r="AF428" s="45"/>
      <c r="AG428" s="45"/>
      <c r="AH428" s="45"/>
      <c r="AI428" s="45"/>
      <c r="AJ428" s="190"/>
      <c r="AK428" s="1721"/>
      <c r="AL428" s="49"/>
      <c r="AM428" s="254"/>
      <c r="AN428" s="141"/>
      <c r="AO428" s="472" t="s">
        <v>628</v>
      </c>
      <c r="AP428" s="141"/>
      <c r="AQ428" s="472" t="s">
        <v>628</v>
      </c>
      <c r="AR428" s="141"/>
      <c r="AS428" s="472" t="s">
        <v>628</v>
      </c>
      <c r="AT428" s="141"/>
      <c r="AU428" s="473" t="s">
        <v>628</v>
      </c>
      <c r="AV428" s="442"/>
      <c r="AW428" s="54"/>
      <c r="AX428" s="54"/>
      <c r="AY428" s="54"/>
      <c r="AZ428" s="54"/>
      <c r="BA428" s="1755" t="s">
        <v>853</v>
      </c>
      <c r="BB428" s="1754"/>
      <c r="BC428" s="54"/>
    </row>
    <row r="429" spans="1:55" ht="13.15">
      <c r="A429" s="45"/>
      <c r="B429" s="1720"/>
      <c r="C429" s="2809" t="s">
        <v>1231</v>
      </c>
      <c r="D429" s="2810"/>
      <c r="E429" s="2473" t="s">
        <v>1599</v>
      </c>
      <c r="F429" s="2811">
        <f ca="1">SUM(Transfer!D213,Transfer!D214,Transfer!D215,Transfer!D217,Transfer!D243,Transfer!D225)</f>
        <v>2328.6990000000005</v>
      </c>
      <c r="G429" s="2812">
        <f ca="1">100*(SUM(Transfer!D213,Transfer!D214,Transfer!D215,Transfer!D217,Transfer!D243,Transfer!D225))/Transfer!D147</f>
        <v>50.857182043106874</v>
      </c>
      <c r="H429" s="2811">
        <f ca="1">SUM(Transfer!E213,Transfer!E214,Transfer!E215,Transfer!E217,Transfer!E243,Transfer!E225)</f>
        <v>2410.1968505970685</v>
      </c>
      <c r="I429" s="2812">
        <f ca="1">100*(SUM(Transfer!E213,Transfer!E214,Transfer!E215,Transfer!E217,Transfer!E243,Transfer!E225))/Transfer!E147</f>
        <v>50.179241417122995</v>
      </c>
      <c r="J429" s="2811">
        <f ca="1">SUM(Transfer!F213,Transfer!F214,Transfer!F215,Transfer!F217,Transfer!F243,Transfer!F225)</f>
        <v>2486.7208383664174</v>
      </c>
      <c r="K429" s="2812">
        <f ca="1">100*(SUM(Transfer!F213,Transfer!F214,Transfer!F215,Transfer!F217,Transfer!F243,Transfer!F225))/Transfer!F147</f>
        <v>49.886106454343249</v>
      </c>
      <c r="L429" s="2811">
        <f ca="1">SUM(Transfer!G213,Transfer!G214,Transfer!G215,Transfer!G217,Transfer!G243,Transfer!G225)</f>
        <v>2562.6068968299155</v>
      </c>
      <c r="M429" s="2813">
        <f ca="1">100*(SUM(Transfer!G213,Transfer!G214,Transfer!G215,Transfer!G217,Transfer!G243,Transfer!G225))/Transfer!G147</f>
        <v>49.648341455890218</v>
      </c>
      <c r="N429" s="2528"/>
      <c r="O429" s="3418"/>
      <c r="P429" s="3418"/>
      <c r="Q429" s="3418"/>
      <c r="R429" s="3418"/>
      <c r="S429" s="190"/>
      <c r="T429" s="2809" t="s">
        <v>1231</v>
      </c>
      <c r="U429" s="104"/>
      <c r="V429" s="423" t="s">
        <v>1599</v>
      </c>
      <c r="W429" s="248">
        <f t="shared" ref="W429:AD433" ca="1" si="27">ROUND(F429,1)-ROUND(AN429,1)</f>
        <v>98.899999999999636</v>
      </c>
      <c r="X429" s="245">
        <f t="shared" ca="1" si="27"/>
        <v>0.29999999999999716</v>
      </c>
      <c r="Y429" s="245">
        <f t="shared" ca="1" si="27"/>
        <v>92.5</v>
      </c>
      <c r="Z429" s="245">
        <f t="shared" ca="1" si="27"/>
        <v>-9.9999999999994316E-2</v>
      </c>
      <c r="AA429" s="245">
        <f t="shared" ca="1" si="27"/>
        <v>91.299999999999727</v>
      </c>
      <c r="AB429" s="245">
        <f t="shared" ca="1" si="27"/>
        <v>0.19999999999999574</v>
      </c>
      <c r="AC429" s="245">
        <f t="shared" ca="1" si="27"/>
        <v>81.400000000000091</v>
      </c>
      <c r="AD429" s="249">
        <f t="shared" ca="1" si="27"/>
        <v>0.30000000000000426</v>
      </c>
      <c r="AE429" s="442"/>
      <c r="AF429" s="45"/>
      <c r="AG429" s="45"/>
      <c r="AH429" s="45"/>
      <c r="AI429" s="45"/>
      <c r="AJ429" s="190"/>
      <c r="AK429" s="2809" t="s">
        <v>1231</v>
      </c>
      <c r="AL429" s="1769"/>
      <c r="AM429" s="420" t="s">
        <v>1599</v>
      </c>
      <c r="AN429" s="474">
        <f>SUM(Transfer!AD213,Transfer!AD214,Transfer!AD215,Transfer!AD217,Transfer!AD243,Transfer!AD225)</f>
        <v>2229.8110000000001</v>
      </c>
      <c r="AO429" s="1772">
        <f>100*(SUM(Transfer!AD213,Transfer!AD214,Transfer!AD215,Transfer!AD217,Transfer!AD243,Transfer!AD225))/Transfer!AD147</f>
        <v>50.622275416692972</v>
      </c>
      <c r="AP429" s="474">
        <f>SUM(Transfer!AE213,Transfer!AE214,Transfer!AE215,Transfer!AE217,Transfer!AE243,Transfer!AE225)</f>
        <v>2317.7310000000002</v>
      </c>
      <c r="AQ429" s="1772">
        <f>100*(SUM(Transfer!AE213,Transfer!AE214,Transfer!AE215,Transfer!AE217,Transfer!AE243,Transfer!AE225))/Transfer!AE147</f>
        <v>50.339439707832305</v>
      </c>
      <c r="AR429" s="474">
        <f>SUM(Transfer!AF213,Transfer!AF214,Transfer!AF215,Transfer!AF217,Transfer!AF243,Transfer!AF225)</f>
        <v>2395.3941961312134</v>
      </c>
      <c r="AS429" s="1772">
        <f>100*(SUM(Transfer!AF213,Transfer!AF214,Transfer!AF215,Transfer!AF217,Transfer!AF243,Transfer!AF225))/Transfer!AF147</f>
        <v>49.652329308939784</v>
      </c>
      <c r="AT429" s="474">
        <f>SUM(Transfer!AG213,Transfer!AG214,Transfer!AG215,Transfer!AG217,Transfer!AG243,Transfer!AG225)</f>
        <v>2481.1781823701367</v>
      </c>
      <c r="AU429" s="1770">
        <f>100*(SUM(Transfer!AG213,Transfer!AG214,Transfer!AG215,Transfer!AG217,Transfer!AG243,Transfer!AG225))/Transfer!AG147</f>
        <v>49.288237243274388</v>
      </c>
      <c r="AV429" s="442"/>
      <c r="AW429" s="54"/>
      <c r="AX429" s="54"/>
      <c r="AY429" s="54"/>
      <c r="AZ429" s="54"/>
      <c r="BA429" s="1755" t="s">
        <v>854</v>
      </c>
      <c r="BB429" s="1754"/>
      <c r="BC429" s="54"/>
    </row>
    <row r="430" spans="1:55" ht="13.15">
      <c r="A430" s="45"/>
      <c r="B430" s="1720"/>
      <c r="C430" s="2731" t="s">
        <v>1230</v>
      </c>
      <c r="D430" s="2422"/>
      <c r="E430" s="2475" t="s">
        <v>1600</v>
      </c>
      <c r="F430" s="2521">
        <f ca="1">SUM(Transfer!D220,Transfer!D221,Transfer!D222,Transfer!D223,Transfer!D224,Transfer!D245,Transfer!D246,Transfer!D226,Transfer!D227)</f>
        <v>2257.62</v>
      </c>
      <c r="G430" s="2807">
        <f ca="1">100*((SUM(Transfer!D220,Transfer!D221,Transfer!D222,Transfer!D223,Transfer!D224,Transfer!D245,Transfer!D246,Transfer!D226,Transfer!D227)/Transfer!D147))</f>
        <v>49.304865645649741</v>
      </c>
      <c r="H430" s="2521">
        <f ca="1">SUM(Transfer!E220,Transfer!E221,Transfer!E222,Transfer!E223,Transfer!E224,Transfer!E245,Transfer!E246,Transfer!E226,Transfer!E227)</f>
        <v>2359.6599864416617</v>
      </c>
      <c r="I430" s="2807">
        <f ca="1">100*((SUM(Transfer!E220,Transfer!E221,Transfer!E222,Transfer!E223,Transfer!E224,Transfer!E245,Transfer!E246,Transfer!E226,Transfer!E227)/Transfer!E147))</f>
        <v>49.127086068778603</v>
      </c>
      <c r="J430" s="2521">
        <f ca="1">SUM(Transfer!F220,Transfer!F221,Transfer!F222,Transfer!F223,Transfer!F224,Transfer!F245,Transfer!F246,Transfer!F226,Transfer!F227)</f>
        <v>2439.6086918594219</v>
      </c>
      <c r="K430" s="2807">
        <f ca="1">100*((SUM(Transfer!F220,Transfer!F221,Transfer!F222,Transfer!F223,Transfer!F224,Transfer!F245,Transfer!F246,Transfer!F226,Transfer!F227)/Transfer!F147))</f>
        <v>48.94098968864931</v>
      </c>
      <c r="L430" s="2521">
        <f ca="1">SUM(Transfer!G220,Transfer!G221,Transfer!G222,Transfer!G223,Transfer!G224,Transfer!G245,Transfer!G246,Transfer!G226,Transfer!G227)</f>
        <v>2519.3011144984889</v>
      </c>
      <c r="M430" s="2697">
        <f ca="1">100*((SUM(Transfer!G220,Transfer!G221,Transfer!G222,Transfer!G223,Transfer!G224,Transfer!G245,Transfer!G246,Transfer!G226,Transfer!G227)/Transfer!G147))</f>
        <v>48.80932854647174</v>
      </c>
      <c r="N430" s="2528"/>
      <c r="O430" s="54"/>
      <c r="P430" s="54"/>
      <c r="Q430" s="54"/>
      <c r="R430" s="54"/>
      <c r="S430" s="190"/>
      <c r="T430" s="2731" t="s">
        <v>1230</v>
      </c>
      <c r="U430" s="104"/>
      <c r="V430" s="423" t="s">
        <v>1600</v>
      </c>
      <c r="W430" s="248">
        <f t="shared" ca="1" si="27"/>
        <v>80</v>
      </c>
      <c r="X430" s="245">
        <f t="shared" ca="1" si="27"/>
        <v>-0.10000000000000142</v>
      </c>
      <c r="Y430" s="245">
        <f t="shared" ca="1" si="27"/>
        <v>100.5</v>
      </c>
      <c r="Z430" s="245">
        <f t="shared" ca="1" si="27"/>
        <v>0</v>
      </c>
      <c r="AA430" s="245">
        <f t="shared" ca="1" si="27"/>
        <v>80.900000000000091</v>
      </c>
      <c r="AB430" s="245">
        <f t="shared" ca="1" si="27"/>
        <v>0</v>
      </c>
      <c r="AC430" s="245">
        <f t="shared" ca="1" si="27"/>
        <v>82</v>
      </c>
      <c r="AD430" s="249">
        <f t="shared" ca="1" si="27"/>
        <v>0.39999999999999858</v>
      </c>
      <c r="AE430" s="442"/>
      <c r="AF430" s="45"/>
      <c r="AG430" s="45"/>
      <c r="AH430" s="45"/>
      <c r="AI430" s="45"/>
      <c r="AJ430" s="190"/>
      <c r="AK430" s="2731" t="s">
        <v>1230</v>
      </c>
      <c r="AL430" s="104"/>
      <c r="AM430" s="423" t="s">
        <v>1600</v>
      </c>
      <c r="AN430" s="245">
        <f>SUM(Transfer!AD220,Transfer!AD221,Transfer!AD222,Transfer!AD223,Transfer!AD224,Transfer!AD245,Transfer!AD246,Transfer!AD226,Transfer!AD227)</f>
        <v>2177.578</v>
      </c>
      <c r="AO430" s="472">
        <f>100*((SUM(Transfer!AD220,Transfer!AD221,Transfer!AD222,Transfer!AD223,Transfer!AD224,Transfer!AD245,Transfer!AD246,Transfer!AD226,Transfer!AD227)/Transfer!AD147))</f>
        <v>49.436455940584842</v>
      </c>
      <c r="AP430" s="245">
        <f>SUM(Transfer!AE220,Transfer!AE221,Transfer!AE222,Transfer!AE223,Transfer!AE224,Transfer!AE245,Transfer!AE246,Transfer!AE226,Transfer!AE227)</f>
        <v>2259.2429999999999</v>
      </c>
      <c r="AQ430" s="472">
        <f>100*((SUM(Transfer!AE220,Transfer!AE221,Transfer!AE222,Transfer!AE223,Transfer!AE224,Transfer!AE245,Transfer!AE246,Transfer!AE226,Transfer!AE227)/Transfer!AE147))</f>
        <v>49.069122682417486</v>
      </c>
      <c r="AR430" s="245">
        <f>SUM(Transfer!AF220,Transfer!AF221,Transfer!AF222,Transfer!AF223,Transfer!AF224,Transfer!AF245,Transfer!AF246,Transfer!AF226,Transfer!AF227)</f>
        <v>2358.6706621366284</v>
      </c>
      <c r="AS430" s="472">
        <f>100*((SUM(Transfer!AF220,Transfer!AF221,Transfer!AF222,Transfer!AF223,Transfer!AF224,Transfer!AF245,Transfer!AF246,Transfer!AF226,Transfer!AF227)/Transfer!AF147))</f>
        <v>48.891114722116392</v>
      </c>
      <c r="AT430" s="245">
        <f>SUM(Transfer!AG220,Transfer!AG221,Transfer!AG222,Transfer!AG223,Transfer!AG224,Transfer!AG245,Transfer!AG246,Transfer!AG226,Transfer!AG227)</f>
        <v>2437.3223721878462</v>
      </c>
      <c r="AU430" s="1771">
        <f>100*((SUM(Transfer!AG220,Transfer!AG221,Transfer!AG222,Transfer!AG223,Transfer!AG224,Transfer!AG245,Transfer!AG246,Transfer!AG226,Transfer!AG227)/Transfer!AG147))</f>
        <v>48.417048067051702</v>
      </c>
      <c r="AV430" s="442"/>
      <c r="AW430" s="54"/>
      <c r="AX430" s="54"/>
      <c r="AY430" s="54"/>
      <c r="AZ430" s="54"/>
      <c r="BA430" s="1755" t="s">
        <v>855</v>
      </c>
      <c r="BB430" s="1754"/>
      <c r="BC430" s="54"/>
    </row>
    <row r="431" spans="1:55" ht="13.15">
      <c r="A431" s="45"/>
      <c r="B431" s="1720"/>
      <c r="C431" s="2731" t="s">
        <v>1830</v>
      </c>
      <c r="D431" s="2422"/>
      <c r="E431" s="2475" t="s">
        <v>750</v>
      </c>
      <c r="F431" s="2759">
        <f ca="1">SUM(Transfer!D213,Transfer!D214,Transfer!D215,Transfer!D217,Transfer!D243,Transfer!D225)-SUM(Transfer!D220,Transfer!D221,Transfer!D222,Transfer!D223,Transfer!D224,Transfer!D245,Transfer!D246,Transfer!D226,Transfer!D227)</f>
        <v>71.079000000000633</v>
      </c>
      <c r="G431" s="2807">
        <f ca="1">100*(SUM(Transfer!D213,Transfer!D214,Transfer!D215,Transfer!D217,Transfer!D243,Transfer!D225)-SUM(Transfer!D220,Transfer!D221,Transfer!D222,Transfer!D223,Transfer!D224,Transfer!D245,Transfer!D246,Transfer!D226,Transfer!D227))/Transfer!D147</f>
        <v>1.5523163974571317</v>
      </c>
      <c r="H431" s="2789">
        <f ca="1">SUM(Transfer!E213,Transfer!E214,Transfer!E215,Transfer!E217,Transfer!E243,Transfer!E225)-SUM(Transfer!E220,Transfer!E221,Transfer!E222,Transfer!E223,Transfer!E224,Transfer!E245,Transfer!E246,Transfer!E226,Transfer!E227)</f>
        <v>50.536864155406874</v>
      </c>
      <c r="I431" s="3325">
        <f ca="1">100*(SUM(Transfer!E213,Transfer!E214,Transfer!E215,Transfer!E217,Transfer!E243,Transfer!E225)-SUM(Transfer!E220,Transfer!E221,Transfer!E222,Transfer!E223,Transfer!E224,Transfer!E245,Transfer!E246,Transfer!E226,Transfer!E227))/Transfer!E147</f>
        <v>1.0521553483443902</v>
      </c>
      <c r="J431" s="2759">
        <f ca="1">SUM(Transfer!F213,Transfer!F214,Transfer!F215,Transfer!F217,Transfer!F243,Transfer!F225)-SUM(Transfer!F220,Transfer!F221,Transfer!F222,Transfer!F223,Transfer!F224,Transfer!F245,Transfer!F246,Transfer!F226,Transfer!F227)</f>
        <v>47.112146506995487</v>
      </c>
      <c r="K431" s="3404">
        <f ca="1">100*(SUM(Transfer!F213,Transfer!F214,Transfer!F215,Transfer!F217,Transfer!F243,Transfer!F225)-SUM(Transfer!F220,Transfer!F221,Transfer!F222,Transfer!F223,Transfer!F224,Transfer!F245,Transfer!F246,Transfer!F226,Transfer!F227))/Transfer!F147</f>
        <v>0.94511676569394043</v>
      </c>
      <c r="L431" s="2759">
        <f ca="1">SUM(Transfer!G213,Transfer!G214,Transfer!G215,Transfer!G217,Transfer!G243,Transfer!G225)-SUM(Transfer!G220,Transfer!G221,Transfer!G222,Transfer!G223,Transfer!G224,Transfer!G245,Transfer!G246,Transfer!G226,Transfer!G227)</f>
        <v>43.305782331426599</v>
      </c>
      <c r="M431" s="2814">
        <f ca="1">100*(SUM(Transfer!G213,Transfer!G214,Transfer!G215,Transfer!G217,Transfer!G243,Transfer!G225)-SUM(Transfer!G220,Transfer!G221,Transfer!G222,Transfer!G223,Transfer!G224,Transfer!G245,Transfer!G246,Transfer!G226,Transfer!G227))/Transfer!G147</f>
        <v>0.83901290941847817</v>
      </c>
      <c r="N431" s="2528"/>
      <c r="O431" s="54"/>
      <c r="P431" s="3418"/>
      <c r="Q431" s="54"/>
      <c r="R431" s="54"/>
      <c r="S431" s="190"/>
      <c r="T431" s="2731" t="s">
        <v>1830</v>
      </c>
      <c r="U431" s="104"/>
      <c r="V431" s="423" t="s">
        <v>750</v>
      </c>
      <c r="W431" s="248">
        <f t="shared" ca="1" si="27"/>
        <v>18.899999999999991</v>
      </c>
      <c r="X431" s="245">
        <f t="shared" ca="1" si="27"/>
        <v>0.40000000000000013</v>
      </c>
      <c r="Y431" s="245">
        <f t="shared" ca="1" si="27"/>
        <v>-8</v>
      </c>
      <c r="Z431" s="245">
        <f t="shared" ca="1" si="27"/>
        <v>-0.19999999999999996</v>
      </c>
      <c r="AA431" s="245">
        <f t="shared" ca="1" si="27"/>
        <v>10.399999999999999</v>
      </c>
      <c r="AB431" s="245">
        <f t="shared" ca="1" si="27"/>
        <v>9.9999999999999978E-2</v>
      </c>
      <c r="AC431" s="245">
        <f t="shared" ca="1" si="27"/>
        <v>-0.60000000000000142</v>
      </c>
      <c r="AD431" s="249">
        <f t="shared" ca="1" si="27"/>
        <v>-9.9999999999999978E-2</v>
      </c>
      <c r="AE431" s="442"/>
      <c r="AF431" s="45"/>
      <c r="AG431" s="45"/>
      <c r="AH431" s="45"/>
      <c r="AI431" s="45"/>
      <c r="AJ431" s="190"/>
      <c r="AK431" s="2731" t="s">
        <v>1830</v>
      </c>
      <c r="AL431" s="104"/>
      <c r="AM431" s="423" t="s">
        <v>750</v>
      </c>
      <c r="AN431" s="141">
        <f>SUM(Transfer!AD213,Transfer!AD214,Transfer!AD215,Transfer!AD217,Transfer!AD243,Transfer!AD225)-SUM(Transfer!AD220,Transfer!AD221,Transfer!AD222,Transfer!AD223,Transfer!AD224,Transfer!AD245,Transfer!AD246,Transfer!AD226,Transfer!AD227)</f>
        <v>52.233000000000175</v>
      </c>
      <c r="AO431" s="472">
        <f>100*(SUM(Transfer!AD213,Transfer!AD214,Transfer!AD215,Transfer!AD217,Transfer!AD243,Transfer!AD225)-SUM(Transfer!AD220,Transfer!AD221,Transfer!AD222,Transfer!AD223,Transfer!AD224,Transfer!AD245,Transfer!AD246,Transfer!AD226,Transfer!AD227))/Transfer!AD147</f>
        <v>1.1858194761081242</v>
      </c>
      <c r="AP431" s="141">
        <f>SUM(Transfer!AE213,Transfer!AE214,Transfer!AE215,Transfer!AE217,Transfer!AE243,Transfer!AE225)-SUM(Transfer!AE220,Transfer!AE221,Transfer!AE222,Transfer!AE223,Transfer!AE224,Transfer!AE245,Transfer!AE246,Transfer!AE226,Transfer!AE227)</f>
        <v>58.488000000000284</v>
      </c>
      <c r="AQ431" s="1958">
        <f>100*(SUM(Transfer!AE213,Transfer!AE214,Transfer!AE215,Transfer!AE217,Transfer!AE243,Transfer!AE225)-SUM(Transfer!AE220,Transfer!AE221,Transfer!AE222,Transfer!AE223,Transfer!AE224,Transfer!AE245,Transfer!AE246,Transfer!AE226,Transfer!AE227))/Transfer!AE147</f>
        <v>1.2703170254148173</v>
      </c>
      <c r="AR431" s="141">
        <f>SUM(Transfer!AF213,Transfer!AF214,Transfer!AF215,Transfer!AF217,Transfer!AF243,Transfer!AF225)-SUM(Transfer!AF220,Transfer!AF221,Transfer!AF222,Transfer!AF223,Transfer!AF224,Transfer!AF245,Transfer!AF246,Transfer!AF226,Transfer!AF227)</f>
        <v>36.723533994585068</v>
      </c>
      <c r="AS431" s="472">
        <f>100*(SUM(Transfer!AF213,Transfer!AF214,Transfer!AF215,Transfer!AF217,Transfer!AF243,Transfer!AF225)-SUM(Transfer!AF220,Transfer!AF221,Transfer!AF222,Transfer!AF223,Transfer!AF224,Transfer!AF245,Transfer!AF246,Transfer!AF226,Transfer!AF227))/Transfer!AF147</f>
        <v>0.76121458682339616</v>
      </c>
      <c r="AT431" s="141">
        <f>SUM(Transfer!AG213,Transfer!AG214,Transfer!AG215,Transfer!AG217,Transfer!AG243,Transfer!AG225)-SUM(Transfer!AG220,Transfer!AG221,Transfer!AG222,Transfer!AG223,Transfer!AG224,Transfer!AG245,Transfer!AG246,Transfer!AG226,Transfer!AG227)</f>
        <v>43.855810182290497</v>
      </c>
      <c r="AU431" s="475">
        <f>100*(SUM(Transfer!AG213,Transfer!AG214,Transfer!AG215,Transfer!AG217,Transfer!AG243,Transfer!AG225)-SUM(Transfer!AG220,Transfer!AG221,Transfer!AG222,Transfer!AG223,Transfer!AG224,Transfer!AG245,Transfer!AG246,Transfer!AG226,Transfer!AG227))/Transfer!AG147</f>
        <v>0.87118917622268666</v>
      </c>
      <c r="AV431" s="442"/>
      <c r="AW431" s="54"/>
      <c r="AX431" s="54"/>
      <c r="AY431" s="54"/>
      <c r="AZ431" s="54"/>
      <c r="BA431" s="1755" t="s">
        <v>856</v>
      </c>
      <c r="BB431" s="1754"/>
      <c r="BC431" s="54"/>
    </row>
    <row r="432" spans="1:55">
      <c r="A432" s="45"/>
      <c r="B432" s="1720"/>
      <c r="C432" s="2815" t="s">
        <v>1603</v>
      </c>
      <c r="D432" s="2816"/>
      <c r="E432" s="2817"/>
      <c r="F432" s="2764">
        <f ca="1">SUM(Transfer!D213,Transfer!D214,Transfer!D215,Transfer!D217,Transfer!D243,Transfer!D225)-SUM(Transfer!D220,Transfer!D221,Transfer!D223,Transfer!D224,Transfer!D245,Transfer!D246,Transfer!D226,Transfer!D227)</f>
        <v>87.173000000000684</v>
      </c>
      <c r="G432" s="2762">
        <f ca="1">100*(SUM(Transfer!D213,Transfer!D214,Transfer!D215,Transfer!D217,Transfer!D243,Transfer!D225)-SUM(Transfer!D220,Transfer!D221,,Transfer!D223,Transfer!D224,Transfer!D245,Transfer!D246,Transfer!D226,Transfer!D227))/Transfer!D147</f>
        <v>1.9037982711564654</v>
      </c>
      <c r="H432" s="2764">
        <f ca="1">SUM(Transfer!E213,Transfer!E214,Transfer!E215,Transfer!E217,Transfer!E243,Transfer!E225,)-SUM(Transfer!E220,Transfer!E221,Transfer!E223,Transfer!E224,Transfer!E245,Transfer!E246,Transfer!E226,Transfer!E227)</f>
        <v>64.699584155407138</v>
      </c>
      <c r="I432" s="2762">
        <f ca="1">100*(SUM(Transfer!E213,Transfer!E214,Transfer!E215,Transfer!E217,Transfer!E243,Transfer!E225)-SUM(Transfer!E220,Transfer!E221,Transfer!E223,Transfer!E224,Transfer!E245,Transfer!E246,Transfer!E226,Transfer!E227))/Transfer!E147</f>
        <v>1.3470169675632009</v>
      </c>
      <c r="J432" s="2764">
        <f ca="1">SUM(Transfer!F213,Transfer!F214,Transfer!F215,Transfer!F217,Transfer!F243,Transfer!F225)-SUM(Transfer!F220,Transfer!F221,Transfer!F223,Transfer!F224,Transfer!F245,Transfer!F246,Transfer!F226,Transfer!F227)</f>
        <v>59.575340106995554</v>
      </c>
      <c r="K432" s="2762">
        <f ca="1">100*(SUM(Transfer!F213,Transfer!F214,Transfer!F215,Transfer!F217,Transfer!F243,Transfer!F225)-SUM(Transfer!F220,Transfer!F221,Transfer!F223,Transfer!F224,Transfer!F245,Transfer!F246,Transfer!F226,Transfer!F227))/Transfer!F147</f>
        <v>1.1951408910795336</v>
      </c>
      <c r="L432" s="2764">
        <f ca="1">SUM(Transfer!G213,Transfer!G214,Transfer!G215,Transfer!G217,Transfer!G243,Transfer!G225)-SUM(Transfer!G220,Transfer!G221,Transfer!G223,Transfer!G224,Transfer!G245,Transfer!G246,Transfer!G226,Transfer!G227)</f>
        <v>60.13109369142694</v>
      </c>
      <c r="M432" s="2818">
        <f ca="1">100*(SUM(Transfer!G213,Transfer!G214,Transfer!G215,Transfer!G217,Transfer!G243,Transfer!G225)-SUM(Transfer!G220,Transfer!G221,Transfer!G223,Transfer!G224,Transfer!G245,Transfer!G246,Transfer!G226,Transfer!G227))/Transfer!G147</f>
        <v>1.1649890880264173</v>
      </c>
      <c r="N432" s="2678"/>
      <c r="O432" s="54"/>
      <c r="P432" s="54"/>
      <c r="Q432" s="54"/>
      <c r="R432" s="54"/>
      <c r="S432" s="190"/>
      <c r="T432" s="2815" t="s">
        <v>1603</v>
      </c>
      <c r="U432" s="465"/>
      <c r="V432" s="466"/>
      <c r="W432" s="429">
        <f t="shared" ca="1" si="27"/>
        <v>16.799999999999997</v>
      </c>
      <c r="X432" s="428">
        <f t="shared" ca="1" si="27"/>
        <v>0.29999999999999982</v>
      </c>
      <c r="Y432" s="428">
        <f t="shared" ca="1" si="27"/>
        <v>-10</v>
      </c>
      <c r="Z432" s="428">
        <f t="shared" ca="1" si="27"/>
        <v>-0.30000000000000004</v>
      </c>
      <c r="AA432" s="428">
        <f t="shared" ca="1" si="27"/>
        <v>8.7000000000000028</v>
      </c>
      <c r="AB432" s="428">
        <f t="shared" ca="1" si="27"/>
        <v>9.9999999999999867E-2</v>
      </c>
      <c r="AC432" s="428">
        <f t="shared" ca="1" si="27"/>
        <v>3.7000000000000028</v>
      </c>
      <c r="AD432" s="431">
        <f t="shared" ca="1" si="27"/>
        <v>9.9999999999999867E-2</v>
      </c>
      <c r="AE432" s="464"/>
      <c r="AF432" s="45"/>
      <c r="AG432" s="45"/>
      <c r="AH432" s="45"/>
      <c r="AI432" s="45"/>
      <c r="AJ432" s="190"/>
      <c r="AK432" s="2815" t="s">
        <v>1603</v>
      </c>
      <c r="AL432" s="465"/>
      <c r="AM432" s="466"/>
      <c r="AN432" s="430">
        <f>SUM(Transfer!AD213,Transfer!AD214,Transfer!AD215,Transfer!AD217,Transfer!AD243,Transfer!AD225)-SUM(Transfer!AD220,Transfer!AD221,Transfer!AD223,Transfer!AD224,Transfer!AD245,Transfer!AD246,Transfer!AD226,Transfer!AD227)</f>
        <v>70.422000000000025</v>
      </c>
      <c r="AO432" s="428">
        <f>100*(SUM(Transfer!AD213,Transfer!AD214,Transfer!AD215,Transfer!AD217,Transfer!AD243,Transfer!AD225)-SUM(Transfer!AD220,Transfer!AD221,Transfer!AD223,Transfer!AD224,Transfer!AD245,Transfer!AD246,Transfer!AD226,Transfer!AD227))/Transfer!AD147</f>
        <v>1.5987551767366621</v>
      </c>
      <c r="AP432" s="430">
        <f>SUM(Transfer!AE213,Transfer!AE214,Transfer!AE215,Transfer!AE217,Transfer!AE243,Transfer!AE225)-SUM(Transfer!AE220,Transfer!AE221,Transfer!AE223,Transfer!AE224,Transfer!AE245,Transfer!AE246,Transfer!AE226,Transfer!AE227)</f>
        <v>74.653999999999996</v>
      </c>
      <c r="AQ432" s="428">
        <f>100*(SUM(Transfer!AE213,Transfer!AE214,Transfer!AE215,Transfer!AE217,Transfer!AE243,Transfer!AE225)-SUM(Transfer!AE220,Transfer!AE221,Transfer!AE223,Transfer!AE224,Transfer!AE245,Transfer!AE246,Transfer!AE226,Transfer!AE227))/Transfer!AE147</f>
        <v>1.6214308441956862</v>
      </c>
      <c r="AR432" s="430">
        <f>SUM(Transfer!AF213,Transfer!AF214,Transfer!AF215,Transfer!AF217,Transfer!AF243,Transfer!AF225)-SUM(Transfer!AF220,Transfer!AF221,Transfer!AF223,Transfer!AF224,Transfer!AF245,Transfer!AF246,Transfer!AF226,Transfer!AF227)</f>
        <v>50.949613994584979</v>
      </c>
      <c r="AS432" s="428">
        <f>100*(SUM(Transfer!AF213,Transfer!AF214,Transfer!AF215,Transfer!AF217,Transfer!AF243,Transfer!AF225)-SUM(Transfer!AF220,Transfer!AF221,Transfer!AF223,Transfer!AF224,Transfer!AF245,Transfer!AF246,Transfer!AF226,Transfer!AF227))/Transfer!AF147</f>
        <v>1.0560963269879804</v>
      </c>
      <c r="AT432" s="430">
        <f>SUM(Transfer!AG213,Transfer!AG214,Transfer!AG215,Transfer!AG217,Transfer!AG243,Transfer!AG225)-SUM(Transfer!AG220,Transfer!AG221,Transfer!AG223,Transfer!AG224,Transfer!AG245,Transfer!AG246,Transfer!AG226,Transfer!AG227)</f>
        <v>56.374760582290492</v>
      </c>
      <c r="AU432" s="467">
        <f>100*(SUM(Transfer!AG213,Transfer!AG214,Transfer!AG215,Transfer!AG217,Transfer!AG243,Transfer!AG225)-SUM(Transfer!AG220,Transfer!AG221,Transfer!AG223,Transfer!AG224,Transfer!AG245,Transfer!AG246,Transfer!AG226,Transfer!AG227))/Transfer!AG147</f>
        <v>1.1198762724321827</v>
      </c>
      <c r="AV432" s="464"/>
      <c r="AW432" s="54"/>
      <c r="AX432" s="54"/>
      <c r="AY432" s="54"/>
      <c r="AZ432" s="54"/>
      <c r="BA432" s="1755" t="s">
        <v>1581</v>
      </c>
      <c r="BB432" s="1754"/>
      <c r="BC432" s="54"/>
    </row>
    <row r="433" spans="1:55" ht="13.5" thickBot="1">
      <c r="A433" s="45"/>
      <c r="B433" s="1720"/>
      <c r="C433" s="2745" t="s">
        <v>1831</v>
      </c>
      <c r="D433" s="2746"/>
      <c r="E433" s="2819" t="s">
        <v>1488</v>
      </c>
      <c r="F433" s="2698">
        <f ca="1">+Transfer!D237</f>
        <v>71.078999999999922</v>
      </c>
      <c r="G433" s="2539">
        <f ca="1">100*Transfer!D237/Transfer!D147</f>
        <v>1.5523163974571161</v>
      </c>
      <c r="H433" s="2698">
        <f ca="1">+Transfer!E237</f>
        <v>50.536864155406874</v>
      </c>
      <c r="I433" s="3387">
        <f ca="1">100*Transfer!E237/Transfer!E147</f>
        <v>1.0521553483443902</v>
      </c>
      <c r="J433" s="2698">
        <f ca="1">+Transfer!F237</f>
        <v>47.112146506995487</v>
      </c>
      <c r="K433" s="2539">
        <f ca="1">100*Transfer!F237/Transfer!F147</f>
        <v>0.94511676569394043</v>
      </c>
      <c r="L433" s="3678">
        <f ca="1">+Transfer!G237</f>
        <v>43.305782331426599</v>
      </c>
      <c r="M433" s="3681">
        <f ca="1">100*Transfer!G237/Transfer!G147</f>
        <v>0.83901290941847817</v>
      </c>
      <c r="N433" s="3258"/>
      <c r="O433" s="54"/>
      <c r="P433" s="54"/>
      <c r="Q433" s="54"/>
      <c r="R433" s="54"/>
      <c r="S433" s="190"/>
      <c r="T433" s="2745" t="s">
        <v>1831</v>
      </c>
      <c r="U433" s="1760"/>
      <c r="V433" s="476" t="s">
        <v>1488</v>
      </c>
      <c r="W433" s="2408">
        <f t="shared" ca="1" si="27"/>
        <v>18.899999999999991</v>
      </c>
      <c r="X433" s="477">
        <f t="shared" ca="1" si="27"/>
        <v>0.40000000000000013</v>
      </c>
      <c r="Y433" s="477">
        <f t="shared" ca="1" si="27"/>
        <v>-8</v>
      </c>
      <c r="Z433" s="477">
        <f t="shared" ca="1" si="27"/>
        <v>-0.19999999999999996</v>
      </c>
      <c r="AA433" s="477">
        <f t="shared" ca="1" si="27"/>
        <v>10.399999999999999</v>
      </c>
      <c r="AB433" s="477">
        <f t="shared" ca="1" si="27"/>
        <v>9.9999999999999978E-2</v>
      </c>
      <c r="AC433" s="477">
        <f t="shared" ca="1" si="27"/>
        <v>-0.60000000000000142</v>
      </c>
      <c r="AD433" s="2409">
        <f t="shared" ca="1" si="27"/>
        <v>-9.9999999999999978E-2</v>
      </c>
      <c r="AE433" s="442"/>
      <c r="AF433" s="45"/>
      <c r="AG433" s="45"/>
      <c r="AH433" s="45"/>
      <c r="AI433" s="45"/>
      <c r="AJ433" s="190"/>
      <c r="AK433" s="2745" t="s">
        <v>1831</v>
      </c>
      <c r="AL433" s="1760"/>
      <c r="AM433" s="1773" t="s">
        <v>1488</v>
      </c>
      <c r="AN433" s="470">
        <f>SUM(Transfer!AD213,Transfer!AD214,Transfer!AD215,Transfer!AD217,Transfer!AD243,Transfer!AD225)-SUM(Transfer!AD220,Transfer!AD221,Transfer!AD232,Transfer!AD223,Transfer!AD224,Transfer!AD245,Transfer!AD246,Transfer!AD226,Transfer!AD227)</f>
        <v>52.233000000000175</v>
      </c>
      <c r="AO433" s="1774">
        <f>100*(SUM(Transfer!AD213,Transfer!AD214,Transfer!AD215,Transfer!AD217,Transfer!AD243,Transfer!AD225)-SUM(Transfer!AD220,Transfer!AD221,Transfer!AD232,Transfer!AD223,Transfer!AD224,Transfer!AD245,Transfer!AD246,Transfer!AD226,Transfer!AD227))/Transfer!AD147</f>
        <v>1.1858194761081242</v>
      </c>
      <c r="AP433" s="470">
        <f>SUM(Transfer!AE213,Transfer!AE214,Transfer!AE215,Transfer!AE217,Transfer!AE243,Transfer!AE225)-SUM(Transfer!AE220,Transfer!AE221,Transfer!AE232,Transfer!AE223,Transfer!AE224,Transfer!AE245,Transfer!AE246,Transfer!AE226,Transfer!AE227)</f>
        <v>58.488000000000284</v>
      </c>
      <c r="AQ433" s="1774">
        <f>100*(SUM(Transfer!AE213,Transfer!AE214,Transfer!AE215,Transfer!AE217,Transfer!AE243,Transfer!AE225)-SUM(Transfer!AE220,Transfer!AE221,Transfer!AE232,Transfer!AE223,Transfer!AE224,Transfer!AE245,Transfer!AE246,Transfer!AE226,Transfer!AE227))/Transfer!AE147</f>
        <v>1.2703170254148173</v>
      </c>
      <c r="AR433" s="470">
        <f>SUM(Transfer!AF213,Transfer!AF214,Transfer!AF215,Transfer!AF217,Transfer!AF243,Transfer!AF225)-SUM(Transfer!AF220,Transfer!AF221,Transfer!AF232,Transfer!AF223,Transfer!AF224,Transfer!AF245,Transfer!AF246,Transfer!AF226,Transfer!AF227)</f>
        <v>36.723533994585068</v>
      </c>
      <c r="AS433" s="1774">
        <f>100*(SUM(Transfer!AF213,Transfer!AF214,Transfer!AF215,Transfer!AF217,Transfer!AF243,Transfer!AF225)-SUM(Transfer!AF220,Transfer!AF221,Transfer!AF232,Transfer!AF223,Transfer!AF224,Transfer!AF245,Transfer!AF246,Transfer!AF226,Transfer!AF227))/Transfer!AF147</f>
        <v>0.76121458682339616</v>
      </c>
      <c r="AT433" s="470">
        <f>SUM(Transfer!AG213,Transfer!AG214,Transfer!AG215,Transfer!AG217,Transfer!AG243,Transfer!AG225)-SUM(Transfer!AG220,Transfer!AG221,Transfer!AG232,Transfer!AG223,Transfer!AG224,Transfer!AG245,Transfer!AG246,Transfer!AG226,Transfer!AG227)</f>
        <v>43.855810182290497</v>
      </c>
      <c r="AU433" s="1959">
        <f>100*(SUM(Transfer!AG213,Transfer!AG214,Transfer!AG215,Transfer!AG217,Transfer!AG243,Transfer!AG225)-SUM(Transfer!AG220,Transfer!AG221,Transfer!AG232,Transfer!AG223,Transfer!AG224,Transfer!AG245,Transfer!AG246,Transfer!AG226,Transfer!AG227))/Transfer!AG147</f>
        <v>0.87118917622268666</v>
      </c>
      <c r="AV433" s="442"/>
      <c r="AW433" s="54"/>
      <c r="AX433" s="54"/>
      <c r="AY433" s="54"/>
      <c r="AZ433" s="54"/>
      <c r="BA433" s="1755" t="s">
        <v>932</v>
      </c>
      <c r="BB433" s="1754"/>
      <c r="BC433" s="54"/>
    </row>
    <row r="434" spans="1:55" ht="13.5" thickBot="1">
      <c r="A434" s="45"/>
      <c r="B434" s="1720"/>
      <c r="C434" s="2820"/>
      <c r="D434" s="2548"/>
      <c r="E434" s="2544"/>
      <c r="F434" s="2928"/>
      <c r="G434" s="2810"/>
      <c r="H434" s="2427"/>
      <c r="I434" s="3599"/>
      <c r="J434" s="2928"/>
      <c r="K434" s="3599"/>
      <c r="L434" s="2928"/>
      <c r="M434" s="3600"/>
      <c r="N434" s="2822"/>
      <c r="O434" s="54"/>
      <c r="P434" s="54"/>
      <c r="Q434" s="54"/>
      <c r="R434" s="54"/>
      <c r="S434" s="190"/>
      <c r="T434" s="2820"/>
      <c r="U434" s="124"/>
      <c r="V434" s="2395"/>
      <c r="W434" s="211"/>
      <c r="X434" s="1769"/>
      <c r="Y434" s="211"/>
      <c r="Z434" s="2396"/>
      <c r="AA434" s="211"/>
      <c r="AB434" s="2396"/>
      <c r="AC434" s="211"/>
      <c r="AD434" s="480"/>
      <c r="AE434" s="478"/>
      <c r="AF434" s="45"/>
      <c r="AG434" s="45"/>
      <c r="AH434" s="45"/>
      <c r="AI434" s="45"/>
      <c r="AJ434" s="190"/>
      <c r="AK434" s="2820"/>
      <c r="AL434" s="124"/>
      <c r="AM434" s="2395"/>
      <c r="AN434" s="211"/>
      <c r="AO434" s="1769"/>
      <c r="AP434" s="211"/>
      <c r="AQ434" s="2396"/>
      <c r="AR434" s="211"/>
      <c r="AS434" s="2396"/>
      <c r="AT434" s="211"/>
      <c r="AU434" s="480"/>
      <c r="AV434" s="478"/>
      <c r="AW434" s="54"/>
      <c r="AX434" s="54"/>
      <c r="AY434" s="54"/>
      <c r="AZ434" s="54"/>
      <c r="BA434" s="1720"/>
      <c r="BB434" s="1754"/>
      <c r="BC434" s="54"/>
    </row>
    <row r="435" spans="1:55" ht="13.5" thickBot="1">
      <c r="A435" s="45"/>
      <c r="B435" s="1720"/>
      <c r="C435" s="2823" t="s">
        <v>924</v>
      </c>
      <c r="D435" s="2824"/>
      <c r="E435" s="2825"/>
      <c r="F435" s="2826">
        <f ca="1">Transfer!D228</f>
        <v>1869.5070000000001</v>
      </c>
      <c r="G435" s="2827">
        <f ca="1">100*((Transfer!D228/Transfer!D147))</f>
        <v>40.828745076054304</v>
      </c>
      <c r="H435" s="2826">
        <f ca="1">Transfer!E228</f>
        <v>1817.8533546855558</v>
      </c>
      <c r="I435" s="2828">
        <f ca="1">100*((Transfer!E228/Transfer!E147))</f>
        <v>37.846909609518498</v>
      </c>
      <c r="J435" s="2826">
        <f ca="1">Transfer!F228</f>
        <v>1770.1711275145692</v>
      </c>
      <c r="K435" s="2828">
        <f ca="1">100*((Transfer!F228/Transfer!F147))</f>
        <v>35.511402786815196</v>
      </c>
      <c r="L435" s="2829">
        <f ca="1">Transfer!G228</f>
        <v>1726.8381072181687</v>
      </c>
      <c r="M435" s="2830">
        <f ca="1">100*((Transfer!G228/Transfer!G147))</f>
        <v>33.456027958197268</v>
      </c>
      <c r="N435" s="2822"/>
      <c r="O435" s="54"/>
      <c r="P435" s="54"/>
      <c r="Q435" s="54"/>
      <c r="R435" s="54"/>
      <c r="S435" s="190"/>
      <c r="T435" s="2823" t="s">
        <v>924</v>
      </c>
      <c r="U435" s="2397"/>
      <c r="V435" s="2398"/>
      <c r="W435" s="2081">
        <f t="shared" ref="W435:AD436" ca="1" si="28">ROUND(F435,1)-ROUND(AN435,1)</f>
        <v>13.599999999999909</v>
      </c>
      <c r="X435" s="2082">
        <f t="shared" ca="1" si="28"/>
        <v>-1.3000000000000043</v>
      </c>
      <c r="Y435" s="2082">
        <f t="shared" ca="1" si="28"/>
        <v>-52</v>
      </c>
      <c r="Z435" s="2082">
        <f t="shared" ca="1" si="28"/>
        <v>-2.8000000000000043</v>
      </c>
      <c r="AA435" s="2082">
        <f t="shared" ca="1" si="28"/>
        <v>-61.899999999999864</v>
      </c>
      <c r="AB435" s="2082">
        <f t="shared" ca="1" si="28"/>
        <v>-2.5</v>
      </c>
      <c r="AC435" s="2082">
        <f t="shared" ca="1" si="28"/>
        <v>-60.799999999999955</v>
      </c>
      <c r="AD435" s="2085">
        <f t="shared" ca="1" si="28"/>
        <v>-2</v>
      </c>
      <c r="AE435" s="478"/>
      <c r="AF435" s="45"/>
      <c r="AG435" s="45"/>
      <c r="AH435" s="45"/>
      <c r="AI435" s="45"/>
      <c r="AJ435" s="190"/>
      <c r="AK435" s="2823" t="s">
        <v>924</v>
      </c>
      <c r="AL435" s="2397"/>
      <c r="AM435" s="2398"/>
      <c r="AN435" s="481">
        <f>Transfer!AD228</f>
        <v>1855.931</v>
      </c>
      <c r="AO435" s="2399">
        <f>100*((Transfer!AD228/Transfer!AD147))</f>
        <v>42.134266194030971</v>
      </c>
      <c r="AP435" s="2400">
        <f>Transfer!AE228</f>
        <v>1869.9359999999999</v>
      </c>
      <c r="AQ435" s="2401">
        <f>100*((Transfer!AE228/Transfer!AE147))</f>
        <v>40.61365642928584</v>
      </c>
      <c r="AR435" s="481">
        <f>Transfer!AF228</f>
        <v>1832.056472900636</v>
      </c>
      <c r="AS435" s="2401">
        <f>100*((Transfer!AF228/Transfer!AF147))</f>
        <v>37.975324250161215</v>
      </c>
      <c r="AT435" s="2082">
        <f>Transfer!AG228</f>
        <v>1787.5700143453814</v>
      </c>
      <c r="AU435" s="2402">
        <f>100*((Transfer!AG228/Transfer!AG147))</f>
        <v>35.509813677248864</v>
      </c>
      <c r="AV435" s="478"/>
      <c r="AW435" s="54"/>
      <c r="AX435" s="54"/>
      <c r="AY435" s="54"/>
      <c r="AZ435" s="54"/>
      <c r="BA435" s="1755" t="s">
        <v>165</v>
      </c>
      <c r="BB435" s="1754"/>
      <c r="BC435" s="54"/>
    </row>
    <row r="436" spans="1:55" ht="13.15" thickBot="1">
      <c r="A436" s="45"/>
      <c r="B436" s="1720"/>
      <c r="C436" s="2831" t="s">
        <v>926</v>
      </c>
      <c r="D436" s="2832"/>
      <c r="E436" s="2833"/>
      <c r="F436" s="2834"/>
      <c r="G436" s="2835">
        <f ca="1">100*((SUM(Transfer!D213,Transfer!D214,Transfer!D216,Transfer!D230,Transfer!D231)/Transfer!D147))</f>
        <v>44.781769591336257</v>
      </c>
      <c r="H436" s="2836"/>
      <c r="I436" s="2835">
        <f ca="1">100*((SUM(Transfer!E213,Transfer!E214,Transfer!E216,Transfer!E230,Transfer!E231)/Transfer!E147))</f>
        <v>44.330000289283802</v>
      </c>
      <c r="J436" s="2836"/>
      <c r="K436" s="2835">
        <f ca="1">100*((SUM(Transfer!F213,Transfer!F214,Transfer!F216,Transfer!F230,Transfer!F231)/Transfer!F147))</f>
        <v>44.158431333016203</v>
      </c>
      <c r="L436" s="2836"/>
      <c r="M436" s="2837">
        <f ca="1">100*((SUM(Transfer!G213,Transfer!G214,Transfer!G216,Transfer!G230,Transfer!G231)/Transfer!G147))</f>
        <v>44.023174533127452</v>
      </c>
      <c r="N436" s="2437"/>
      <c r="O436" s="54"/>
      <c r="P436" s="54"/>
      <c r="Q436" s="54"/>
      <c r="R436" s="54"/>
      <c r="S436" s="190"/>
      <c r="T436" s="2831" t="s">
        <v>925</v>
      </c>
      <c r="U436" s="482"/>
      <c r="V436" s="483"/>
      <c r="W436" s="2081">
        <f t="shared" si="28"/>
        <v>0</v>
      </c>
      <c r="X436" s="2082">
        <f t="shared" ca="1" si="28"/>
        <v>0.39999999999999858</v>
      </c>
      <c r="Y436" s="2082">
        <f t="shared" si="28"/>
        <v>0</v>
      </c>
      <c r="Z436" s="2082">
        <f t="shared" ca="1" si="28"/>
        <v>0</v>
      </c>
      <c r="AA436" s="2082">
        <f t="shared" si="28"/>
        <v>0</v>
      </c>
      <c r="AB436" s="2082">
        <f t="shared" ca="1" si="28"/>
        <v>0.30000000000000426</v>
      </c>
      <c r="AC436" s="2082">
        <f t="shared" si="28"/>
        <v>0</v>
      </c>
      <c r="AD436" s="2085">
        <f t="shared" ca="1" si="28"/>
        <v>0.29999999999999716</v>
      </c>
      <c r="AE436" s="82"/>
      <c r="AF436" s="45"/>
      <c r="AG436" s="45"/>
      <c r="AH436" s="45"/>
      <c r="AI436" s="45"/>
      <c r="AJ436" s="190"/>
      <c r="AK436" s="2831" t="s">
        <v>925</v>
      </c>
      <c r="AL436" s="482"/>
      <c r="AM436" s="483"/>
      <c r="AN436" s="484"/>
      <c r="AO436" s="485">
        <f>100*((SUM(Transfer!AD213,Transfer!AD214,Transfer!AD216,Transfer!AD230,Transfer!AD231)/Transfer!AD147))</f>
        <v>44.439795477753599</v>
      </c>
      <c r="AP436" s="486"/>
      <c r="AQ436" s="485">
        <f>100*((SUM(Transfer!AE213,Transfer!AE214,Transfer!AE216,Transfer!AE230,Transfer!AE231)/Transfer!AE147))</f>
        <v>44.315880808956166</v>
      </c>
      <c r="AR436" s="486"/>
      <c r="AS436" s="485">
        <f>100*((SUM(Transfer!AF213,Transfer!AF214,Transfer!AF216,Transfer!AF230,Transfer!AF231)/Transfer!AF147))</f>
        <v>43.870051558801478</v>
      </c>
      <c r="AT436" s="486"/>
      <c r="AU436" s="487">
        <f>100*((SUM(Transfer!AG213,Transfer!AG214,Transfer!AG216,Transfer!AG230,Transfer!AG231)/Transfer!AG147))</f>
        <v>43.725328323067835</v>
      </c>
      <c r="AV436" s="82"/>
      <c r="AW436" s="54"/>
      <c r="AX436" s="54"/>
      <c r="AY436" s="54"/>
      <c r="AZ436" s="54"/>
      <c r="BA436" s="2062" t="s">
        <v>166</v>
      </c>
      <c r="BB436" s="1757"/>
      <c r="BC436" s="54"/>
    </row>
    <row r="437" spans="1:55" ht="13.5" thickBot="1">
      <c r="A437" s="45"/>
      <c r="B437" s="1720"/>
      <c r="C437" s="3140"/>
      <c r="D437" s="3141"/>
      <c r="E437" s="2544"/>
      <c r="F437" s="2928"/>
      <c r="G437" s="2810"/>
      <c r="H437" s="2427"/>
      <c r="I437" s="2821"/>
      <c r="J437" s="2427"/>
      <c r="K437" s="2821"/>
      <c r="L437" s="2427"/>
      <c r="M437" s="3142"/>
      <c r="N437" s="2822"/>
      <c r="O437" s="54"/>
      <c r="P437" s="54"/>
      <c r="Q437" s="54"/>
      <c r="R437" s="54"/>
      <c r="S437" s="190"/>
      <c r="T437" s="2820"/>
      <c r="U437" s="124"/>
      <c r="V437" s="2395"/>
      <c r="W437" s="211"/>
      <c r="X437" s="1769"/>
      <c r="Y437" s="211"/>
      <c r="Z437" s="2396"/>
      <c r="AA437" s="211"/>
      <c r="AB437" s="2396"/>
      <c r="AC437" s="211"/>
      <c r="AD437" s="480"/>
      <c r="AE437" s="478"/>
      <c r="AF437" s="45"/>
      <c r="AG437" s="45"/>
      <c r="AH437" s="45"/>
      <c r="AI437" s="45"/>
      <c r="AJ437" s="190"/>
      <c r="AK437" s="2820"/>
      <c r="AL437" s="124"/>
      <c r="AM437" s="2395"/>
      <c r="AN437" s="211"/>
      <c r="AO437" s="1769"/>
      <c r="AP437" s="211"/>
      <c r="AQ437" s="2396"/>
      <c r="AR437" s="211"/>
      <c r="AS437" s="2396"/>
      <c r="AT437" s="211"/>
      <c r="AU437" s="480"/>
      <c r="AV437" s="478"/>
      <c r="AW437" s="54"/>
      <c r="AX437" s="54"/>
      <c r="AY437" s="54"/>
      <c r="AZ437" s="54"/>
      <c r="BA437" s="1720"/>
      <c r="BB437" s="1754"/>
      <c r="BC437" s="54"/>
    </row>
    <row r="438" spans="1:55" s="217" customFormat="1">
      <c r="A438" s="54"/>
      <c r="B438" s="2052"/>
      <c r="C438" s="2648" t="s">
        <v>1482</v>
      </c>
      <c r="D438" s="2649"/>
      <c r="E438" s="3138"/>
      <c r="F438" s="2928">
        <f>+Transfer!D238</f>
        <v>0</v>
      </c>
      <c r="G438" s="2811">
        <f ca="1">100*((Transfer!D238/Transfer!D147))</f>
        <v>0</v>
      </c>
      <c r="H438" s="2928">
        <f>+Transfer!E238</f>
        <v>0</v>
      </c>
      <c r="I438" s="2811">
        <f ca="1">100*((Transfer!E238/Transfer!E147))</f>
        <v>0</v>
      </c>
      <c r="J438" s="2928">
        <f>+Transfer!F238</f>
        <v>0</v>
      </c>
      <c r="K438" s="2811">
        <f ca="1">100*((Transfer!F238/Transfer!F147))</f>
        <v>0</v>
      </c>
      <c r="L438" s="2928">
        <f>+Transfer!G238</f>
        <v>0</v>
      </c>
      <c r="M438" s="3143">
        <f ca="1">100*((Transfer!G238/Transfer!G147))</f>
        <v>0</v>
      </c>
      <c r="N438" s="2798"/>
      <c r="O438" s="54"/>
      <c r="P438" s="54"/>
      <c r="Q438" s="54"/>
      <c r="R438" s="54"/>
      <c r="S438" s="259"/>
      <c r="T438" s="2648" t="s">
        <v>1482</v>
      </c>
      <c r="U438" s="2649"/>
      <c r="V438" s="3138"/>
      <c r="W438" s="3144">
        <f t="shared" ref="W438:AD440" si="29">ROUND(F438,1)-ROUND(AN438,1)</f>
        <v>0</v>
      </c>
      <c r="X438" s="474">
        <f t="shared" ca="1" si="29"/>
        <v>0</v>
      </c>
      <c r="Y438" s="474">
        <f t="shared" si="29"/>
        <v>0</v>
      </c>
      <c r="Z438" s="474">
        <f t="shared" ca="1" si="29"/>
        <v>0</v>
      </c>
      <c r="AA438" s="474">
        <f t="shared" si="29"/>
        <v>0</v>
      </c>
      <c r="AB438" s="474">
        <f t="shared" ca="1" si="29"/>
        <v>0</v>
      </c>
      <c r="AC438" s="474">
        <f t="shared" si="29"/>
        <v>0</v>
      </c>
      <c r="AD438" s="3145">
        <f t="shared" ca="1" si="29"/>
        <v>0</v>
      </c>
      <c r="AE438" s="468"/>
      <c r="AF438" s="54"/>
      <c r="AG438" s="54"/>
      <c r="AH438" s="54"/>
      <c r="AI438" s="54"/>
      <c r="AJ438" s="259"/>
      <c r="AK438" s="2648" t="s">
        <v>1482</v>
      </c>
      <c r="AL438" s="2649"/>
      <c r="AM438" s="3138"/>
      <c r="AN438" s="2928">
        <f>+Transfer!AD238</f>
        <v>0</v>
      </c>
      <c r="AO438" s="2811">
        <f>100*((Transfer!AD238/Transfer!AD147))</f>
        <v>0</v>
      </c>
      <c r="AP438" s="2928">
        <f>+Transfer!AE238</f>
        <v>0</v>
      </c>
      <c r="AQ438" s="2811">
        <f>100*((Transfer!AE238/Transfer!AE147))</f>
        <v>0</v>
      </c>
      <c r="AR438" s="2928">
        <f>+Transfer!AF238</f>
        <v>0</v>
      </c>
      <c r="AS438" s="2811">
        <f>100*((Transfer!AF238/Transfer!AF147))</f>
        <v>0</v>
      </c>
      <c r="AT438" s="2928">
        <f>+Transfer!AG238</f>
        <v>0</v>
      </c>
      <c r="AU438" s="3143">
        <f>100*((Transfer!AG238/Transfer!AG147))</f>
        <v>0</v>
      </c>
      <c r="AV438" s="468"/>
      <c r="AW438" s="54"/>
      <c r="AX438" s="54"/>
      <c r="AY438" s="54"/>
      <c r="AZ438" s="54"/>
      <c r="BA438" s="1728" t="s">
        <v>165</v>
      </c>
      <c r="BB438" s="1754"/>
      <c r="BC438" s="54"/>
    </row>
    <row r="439" spans="1:55" s="217" customFormat="1">
      <c r="A439" s="54"/>
      <c r="B439" s="2052"/>
      <c r="C439" s="2904" t="s">
        <v>1481</v>
      </c>
      <c r="D439" s="2613"/>
      <c r="E439" s="2761"/>
      <c r="F439" s="2764">
        <f>+Transfer!D239</f>
        <v>0</v>
      </c>
      <c r="G439" s="2762">
        <f ca="1">100*((Transfer!D239/Transfer!D147))</f>
        <v>0</v>
      </c>
      <c r="H439" s="2764">
        <f>+Transfer!E239</f>
        <v>0</v>
      </c>
      <c r="I439" s="2762">
        <f ca="1">100*((Transfer!E239/Transfer!E147))</f>
        <v>0</v>
      </c>
      <c r="J439" s="2764">
        <f>+Transfer!F239</f>
        <v>0</v>
      </c>
      <c r="K439" s="2762">
        <f ca="1">100*((Transfer!F239/Transfer!F147))</f>
        <v>0</v>
      </c>
      <c r="L439" s="2764">
        <f>+Transfer!G239</f>
        <v>0</v>
      </c>
      <c r="M439" s="2818">
        <f ca="1">100*((Transfer!G239/Transfer!G147))</f>
        <v>0</v>
      </c>
      <c r="N439" s="2798"/>
      <c r="O439" s="54"/>
      <c r="P439" s="54"/>
      <c r="Q439" s="54"/>
      <c r="R439" s="54"/>
      <c r="S439" s="259"/>
      <c r="T439" s="2904" t="s">
        <v>1481</v>
      </c>
      <c r="U439" s="2613"/>
      <c r="V439" s="2761"/>
      <c r="W439" s="2764">
        <f t="shared" si="29"/>
        <v>0</v>
      </c>
      <c r="X439" s="2762">
        <f t="shared" ca="1" si="29"/>
        <v>0</v>
      </c>
      <c r="Y439" s="2764">
        <f t="shared" si="29"/>
        <v>0</v>
      </c>
      <c r="Z439" s="2762">
        <f t="shared" ca="1" si="29"/>
        <v>0</v>
      </c>
      <c r="AA439" s="2764">
        <f t="shared" si="29"/>
        <v>0</v>
      </c>
      <c r="AB439" s="2762">
        <f t="shared" ca="1" si="29"/>
        <v>0</v>
      </c>
      <c r="AC439" s="2764">
        <f t="shared" si="29"/>
        <v>0</v>
      </c>
      <c r="AD439" s="2818">
        <f t="shared" ca="1" si="29"/>
        <v>0</v>
      </c>
      <c r="AE439" s="468"/>
      <c r="AF439" s="54"/>
      <c r="AG439" s="54"/>
      <c r="AH439" s="54"/>
      <c r="AI439" s="54"/>
      <c r="AJ439" s="259"/>
      <c r="AK439" s="2904" t="s">
        <v>1481</v>
      </c>
      <c r="AL439" s="2613"/>
      <c r="AM439" s="2761"/>
      <c r="AN439" s="2764">
        <f>+Transfer!AD239</f>
        <v>0</v>
      </c>
      <c r="AO439" s="2762">
        <f>100*((Transfer!AD239/Transfer!AD147))</f>
        <v>0</v>
      </c>
      <c r="AP439" s="2764">
        <f>+Transfer!AE239</f>
        <v>0</v>
      </c>
      <c r="AQ439" s="2762">
        <f>100*((Transfer!AE239/Transfer!AE147))</f>
        <v>0</v>
      </c>
      <c r="AR439" s="2764">
        <f>+Transfer!AF239</f>
        <v>0</v>
      </c>
      <c r="AS439" s="2762">
        <f>100*((Transfer!AF239/Transfer!AF147))</f>
        <v>0</v>
      </c>
      <c r="AT439" s="2764">
        <f>+Transfer!AG239</f>
        <v>0</v>
      </c>
      <c r="AU439" s="2818">
        <f>100*((Transfer!AG239/Transfer!AG147))</f>
        <v>0</v>
      </c>
      <c r="AV439" s="468"/>
      <c r="AW439" s="54"/>
      <c r="AX439" s="54"/>
      <c r="AY439" s="54"/>
      <c r="AZ439" s="54"/>
      <c r="BA439" s="1728" t="s">
        <v>165</v>
      </c>
      <c r="BB439" s="1754"/>
      <c r="BC439" s="54"/>
    </row>
    <row r="440" spans="1:55" ht="13.5" thickBot="1">
      <c r="A440" s="45"/>
      <c r="B440" s="1720"/>
      <c r="C440" s="2641" t="s">
        <v>1483</v>
      </c>
      <c r="D440" s="3134"/>
      <c r="E440" s="3135"/>
      <c r="F440" s="3139">
        <f>+Transfer!D238+Transfer!D239</f>
        <v>0</v>
      </c>
      <c r="G440" s="3136">
        <f ca="1">100*(Transfer!D238+Transfer!D239)/Transfer!D147</f>
        <v>0</v>
      </c>
      <c r="H440" s="3139">
        <f>+Transfer!E238+Transfer!E239</f>
        <v>0</v>
      </c>
      <c r="I440" s="3136">
        <f ca="1">100*(Transfer!E238+Transfer!E239)/Transfer!E147</f>
        <v>0</v>
      </c>
      <c r="J440" s="3139">
        <f>+Transfer!F238+Transfer!F239</f>
        <v>0</v>
      </c>
      <c r="K440" s="3136">
        <f ca="1">100*(Transfer!F238+Transfer!F239)/Transfer!F147</f>
        <v>0</v>
      </c>
      <c r="L440" s="3139">
        <f>+Transfer!G238+Transfer!G239</f>
        <v>0</v>
      </c>
      <c r="M440" s="3137">
        <f ca="1">100*(Transfer!G238+Transfer!G239)/Transfer!G147</f>
        <v>0</v>
      </c>
      <c r="N440" s="2437"/>
      <c r="O440" s="54"/>
      <c r="P440" s="54"/>
      <c r="Q440" s="54"/>
      <c r="R440" s="54"/>
      <c r="S440" s="190"/>
      <c r="T440" s="2641" t="s">
        <v>1483</v>
      </c>
      <c r="U440" s="3134"/>
      <c r="V440" s="3135"/>
      <c r="W440" s="2408">
        <f t="shared" si="29"/>
        <v>0</v>
      </c>
      <c r="X440" s="477">
        <f t="shared" ca="1" si="29"/>
        <v>0</v>
      </c>
      <c r="Y440" s="477">
        <f t="shared" si="29"/>
        <v>0</v>
      </c>
      <c r="Z440" s="477">
        <f t="shared" ca="1" si="29"/>
        <v>0</v>
      </c>
      <c r="AA440" s="477">
        <f t="shared" si="29"/>
        <v>0</v>
      </c>
      <c r="AB440" s="477">
        <f t="shared" ca="1" si="29"/>
        <v>0</v>
      </c>
      <c r="AC440" s="477">
        <f t="shared" si="29"/>
        <v>0</v>
      </c>
      <c r="AD440" s="2409">
        <f t="shared" ca="1" si="29"/>
        <v>0</v>
      </c>
      <c r="AE440" s="82"/>
      <c r="AF440" s="45"/>
      <c r="AG440" s="45"/>
      <c r="AH440" s="45"/>
      <c r="AI440" s="45"/>
      <c r="AJ440" s="190"/>
      <c r="AK440" s="2641" t="s">
        <v>1483</v>
      </c>
      <c r="AL440" s="3134"/>
      <c r="AM440" s="3135"/>
      <c r="AN440" s="3139">
        <f>+Transfer!AD238+Transfer!AD239</f>
        <v>0</v>
      </c>
      <c r="AO440" s="3136">
        <f>100*(Transfer!AD238+Transfer!AD239)/Transfer!AD147</f>
        <v>0</v>
      </c>
      <c r="AP440" s="3139">
        <f>+Transfer!AE238+Transfer!AE239</f>
        <v>0</v>
      </c>
      <c r="AQ440" s="3136">
        <f>100*(Transfer!AE238+Transfer!AE239)/Transfer!AE147</f>
        <v>0</v>
      </c>
      <c r="AR440" s="3139">
        <f>+Transfer!AF238+Transfer!AF239</f>
        <v>0</v>
      </c>
      <c r="AS440" s="3136">
        <f>100*(Transfer!AF238+Transfer!AF239)/Transfer!AF147</f>
        <v>0</v>
      </c>
      <c r="AT440" s="3139">
        <f>+Transfer!AG238+Transfer!AG239</f>
        <v>0</v>
      </c>
      <c r="AU440" s="3137">
        <f>100*(Transfer!AG238+Transfer!AG239)/Transfer!AG147</f>
        <v>0</v>
      </c>
      <c r="AV440" s="82"/>
      <c r="AW440" s="54"/>
      <c r="AX440" s="54"/>
      <c r="AY440" s="54"/>
      <c r="AZ440" s="54"/>
      <c r="BA440" s="2062" t="s">
        <v>166</v>
      </c>
      <c r="BB440" s="1757"/>
      <c r="BC440" s="54"/>
    </row>
    <row r="441" spans="1:55" ht="13.15">
      <c r="A441" s="45"/>
      <c r="B441" s="1756"/>
      <c r="C441" s="2545"/>
      <c r="D441" s="2545"/>
      <c r="E441" s="2545"/>
      <c r="F441" s="2927"/>
      <c r="G441" s="2927"/>
      <c r="H441" s="2545"/>
      <c r="I441" s="2838"/>
      <c r="J441" s="2545"/>
      <c r="K441" s="2545"/>
      <c r="L441" s="2545"/>
      <c r="M441" s="2469" t="str">
        <f>UPPER(Country)</f>
        <v>SWEDEN</v>
      </c>
      <c r="N441" s="2546"/>
      <c r="O441" s="54"/>
      <c r="P441" s="54"/>
      <c r="Q441" s="54"/>
      <c r="R441" s="54"/>
      <c r="S441" s="215"/>
      <c r="T441" s="113"/>
      <c r="U441" s="113"/>
      <c r="V441" s="113"/>
      <c r="W441" s="113"/>
      <c r="X441" s="113"/>
      <c r="Y441" s="113"/>
      <c r="Z441" s="113"/>
      <c r="AA441" s="113"/>
      <c r="AB441" s="113"/>
      <c r="AC441" s="113"/>
      <c r="AD441" s="118" t="str">
        <f>UPPER(Country)</f>
        <v>SWEDEN</v>
      </c>
      <c r="AE441" s="216"/>
      <c r="AF441" s="45"/>
      <c r="AG441" s="45"/>
      <c r="AH441" s="45"/>
      <c r="AI441" s="45"/>
      <c r="AJ441" s="215"/>
      <c r="AK441" s="113"/>
      <c r="AL441" s="113"/>
      <c r="AM441" s="113"/>
      <c r="AN441" s="113"/>
      <c r="AO441" s="1564"/>
      <c r="AP441" s="113"/>
      <c r="AQ441" s="1564"/>
      <c r="AR441" s="113"/>
      <c r="AS441" s="113"/>
      <c r="AT441" s="113"/>
      <c r="AU441" s="118" t="str">
        <f>UPPER(Country)</f>
        <v>SWEDEN</v>
      </c>
      <c r="AV441" s="216"/>
      <c r="AW441" s="54"/>
      <c r="AX441" s="54"/>
      <c r="AY441" s="54"/>
      <c r="AZ441" s="54"/>
      <c r="BA441" s="54"/>
      <c r="BB441" s="54"/>
      <c r="BC441" s="54"/>
    </row>
    <row r="442" spans="1:55">
      <c r="A442" s="45"/>
      <c r="B442" s="45"/>
      <c r="C442" s="45"/>
      <c r="D442" s="45"/>
      <c r="E442" s="45"/>
      <c r="F442" s="45"/>
      <c r="G442" s="45"/>
      <c r="H442" s="45"/>
      <c r="I442" s="45"/>
      <c r="J442" s="45"/>
      <c r="K442" s="45"/>
      <c r="L442" s="45"/>
      <c r="M442" s="45"/>
      <c r="N442" s="54"/>
      <c r="O442" s="54"/>
      <c r="P442" s="54"/>
      <c r="Q442" s="54"/>
      <c r="R442" s="54"/>
      <c r="S442" s="54"/>
      <c r="T442" s="54"/>
      <c r="U442" s="54"/>
      <c r="V442" s="54"/>
      <c r="W442" s="54"/>
      <c r="X442" s="54"/>
      <c r="Y442" s="54"/>
      <c r="Z442" s="54"/>
      <c r="AA442" s="54"/>
      <c r="AB442" s="45"/>
      <c r="AC442" s="45"/>
      <c r="AD442" s="45"/>
      <c r="AE442" s="45"/>
      <c r="AF442" s="45"/>
      <c r="AG442" s="45"/>
      <c r="AH442" s="45"/>
      <c r="AI442" s="45"/>
      <c r="AJ442" s="45"/>
      <c r="AK442" s="45"/>
      <c r="AL442" s="45"/>
      <c r="AM442" s="45"/>
      <c r="AN442" s="45"/>
      <c r="AO442" s="45"/>
      <c r="AP442" s="45"/>
      <c r="AQ442" s="45"/>
      <c r="AR442" s="45"/>
      <c r="AS442" s="45"/>
      <c r="AT442" s="45"/>
      <c r="AU442" s="45"/>
      <c r="AV442" s="54"/>
      <c r="AW442" s="54"/>
      <c r="AX442" s="54"/>
      <c r="AY442" s="54"/>
      <c r="AZ442" s="54"/>
      <c r="BA442" s="54"/>
      <c r="BB442" s="54"/>
      <c r="BC442" s="54"/>
    </row>
    <row r="443" spans="1:55">
      <c r="A443" s="45"/>
      <c r="B443" s="45"/>
      <c r="C443" s="45"/>
      <c r="D443" s="45"/>
      <c r="E443" s="45"/>
      <c r="F443" s="45"/>
      <c r="G443" s="45"/>
      <c r="H443" s="1776"/>
      <c r="I443" s="1776"/>
      <c r="J443" s="1776"/>
      <c r="K443" s="1776"/>
      <c r="L443" s="1776"/>
      <c r="M443" s="187"/>
      <c r="N443" s="54"/>
      <c r="O443" s="54"/>
      <c r="P443" s="54"/>
      <c r="Q443" s="54"/>
      <c r="R443" s="54"/>
      <c r="S443" s="54"/>
      <c r="T443" s="54"/>
      <c r="U443" s="54"/>
      <c r="V443" s="54"/>
      <c r="W443" s="54"/>
      <c r="X443" s="54"/>
      <c r="Y443" s="54"/>
      <c r="Z443" s="54"/>
      <c r="AA443" s="54"/>
      <c r="AB443" s="45"/>
      <c r="AC443" s="45"/>
      <c r="AD443" s="45"/>
      <c r="AE443" s="45"/>
      <c r="AF443" s="45"/>
      <c r="AG443" s="45"/>
      <c r="AH443" s="45"/>
      <c r="AI443" s="45"/>
      <c r="AJ443" s="45"/>
      <c r="AK443" s="45"/>
      <c r="AL443" s="45"/>
      <c r="AM443" s="45"/>
      <c r="AN443" s="45"/>
      <c r="AO443" s="45"/>
      <c r="AP443" s="1776"/>
      <c r="AQ443" s="1776"/>
      <c r="AR443" s="1776"/>
      <c r="AS443" s="1776"/>
      <c r="AT443" s="1776"/>
      <c r="AU443" s="187"/>
      <c r="AV443" s="54"/>
      <c r="AW443" s="54"/>
      <c r="AX443" s="54"/>
      <c r="AY443" s="54"/>
      <c r="AZ443" s="54"/>
      <c r="BA443" s="54"/>
      <c r="BB443" s="54"/>
      <c r="BC443" s="54"/>
    </row>
    <row r="444" spans="1:55">
      <c r="A444" s="45"/>
      <c r="B444" s="45"/>
      <c r="C444" s="45"/>
      <c r="D444" s="45"/>
      <c r="E444" s="45"/>
      <c r="F444" s="45"/>
      <c r="G444" s="45"/>
      <c r="H444" s="45"/>
      <c r="I444" s="1776"/>
      <c r="J444" s="1776"/>
      <c r="K444" s="1776"/>
      <c r="L444" s="1776"/>
      <c r="M444" s="1776"/>
      <c r="N444" s="45"/>
      <c r="O444" s="54"/>
      <c r="P444" s="54"/>
      <c r="Q444" s="54"/>
      <c r="R444" s="54"/>
      <c r="S444" s="54"/>
      <c r="T444" s="54"/>
      <c r="U444" s="54"/>
      <c r="V444" s="54"/>
      <c r="W444" s="54"/>
      <c r="X444" s="54"/>
      <c r="Y444" s="54"/>
      <c r="Z444" s="54"/>
      <c r="AA444" s="54"/>
      <c r="AB444" s="45"/>
      <c r="AC444" s="45"/>
      <c r="AD444" s="45"/>
      <c r="AE444" s="45"/>
      <c r="AF444" s="45"/>
      <c r="AG444" s="45"/>
      <c r="AH444" s="45"/>
      <c r="AI444" s="45"/>
      <c r="AJ444" s="45"/>
      <c r="AK444" s="45"/>
      <c r="AL444" s="45"/>
      <c r="AM444" s="45"/>
      <c r="AN444" s="45"/>
      <c r="AO444" s="45"/>
      <c r="AP444" s="45"/>
      <c r="AQ444" s="1776"/>
      <c r="AR444" s="1776"/>
      <c r="AS444" s="1776"/>
      <c r="AT444" s="1776"/>
      <c r="AU444" s="1776"/>
      <c r="AV444" s="45"/>
      <c r="AW444" s="54"/>
      <c r="AX444" s="54"/>
      <c r="AY444" s="54"/>
      <c r="AZ444" s="54"/>
      <c r="BA444" s="54"/>
      <c r="BB444" s="54"/>
      <c r="BC444" s="54"/>
    </row>
    <row r="445" spans="1:55">
      <c r="A445" s="45"/>
      <c r="B445" s="45"/>
      <c r="C445" s="45"/>
      <c r="D445" s="45"/>
      <c r="E445" s="45"/>
      <c r="F445" s="45"/>
      <c r="G445" s="45"/>
      <c r="H445" s="45"/>
      <c r="I445" s="45"/>
      <c r="J445" s="45"/>
      <c r="K445" s="45"/>
      <c r="L445" s="45"/>
      <c r="M445" s="45"/>
      <c r="N445" s="45"/>
      <c r="O445" s="54"/>
      <c r="P445" s="54"/>
      <c r="Q445" s="54"/>
      <c r="R445" s="54"/>
      <c r="S445" s="54"/>
      <c r="T445" s="54"/>
      <c r="U445" s="54"/>
      <c r="V445" s="54"/>
      <c r="W445" s="54"/>
      <c r="X445" s="54"/>
      <c r="Y445" s="54"/>
      <c r="Z445" s="54"/>
      <c r="AA445" s="54"/>
      <c r="AB445" s="45"/>
      <c r="AC445" s="45"/>
      <c r="AD445" s="45"/>
      <c r="AE445" s="45"/>
      <c r="AF445" s="45"/>
      <c r="AG445" s="45"/>
      <c r="AH445" s="45"/>
      <c r="AI445" s="45"/>
      <c r="AJ445" s="45"/>
      <c r="AK445" s="45"/>
      <c r="AL445" s="45"/>
      <c r="AM445" s="45"/>
      <c r="AN445" s="45"/>
      <c r="AO445" s="45"/>
      <c r="AP445" s="45"/>
      <c r="AQ445" s="45"/>
      <c r="AR445" s="45"/>
      <c r="AS445" s="45"/>
      <c r="AT445" s="45"/>
      <c r="AU445" s="45"/>
      <c r="AV445" s="45"/>
      <c r="AW445" s="54"/>
      <c r="AX445" s="54"/>
      <c r="AY445" s="54"/>
      <c r="AZ445" s="54"/>
      <c r="BA445" s="54"/>
      <c r="BB445" s="54"/>
      <c r="BC445" s="54"/>
    </row>
    <row r="446" spans="1:55" ht="13.15">
      <c r="A446" s="45"/>
      <c r="B446" s="2410"/>
      <c r="C446" s="2669" t="s">
        <v>1489</v>
      </c>
      <c r="D446" s="2787"/>
      <c r="E446" s="2787"/>
      <c r="F446" s="2787"/>
      <c r="G446" s="2787"/>
      <c r="H446" s="2787"/>
      <c r="I446" s="2787"/>
      <c r="J446" s="2787"/>
      <c r="K446" s="2787"/>
      <c r="L446" s="2787"/>
      <c r="M446" s="2788"/>
      <c r="N446" s="54"/>
      <c r="O446" s="54"/>
      <c r="P446" s="54"/>
      <c r="Q446" s="54"/>
      <c r="R446" s="54"/>
      <c r="S446" s="188"/>
      <c r="T446" s="457" t="s">
        <v>1489</v>
      </c>
      <c r="U446" s="458"/>
      <c r="V446" s="458"/>
      <c r="W446" s="458"/>
      <c r="X446" s="458"/>
      <c r="Y446" s="458"/>
      <c r="Z446" s="458"/>
      <c r="AA446" s="458"/>
      <c r="AB446" s="458"/>
      <c r="AC446" s="458"/>
      <c r="AD446" s="459"/>
      <c r="AE446" s="45"/>
      <c r="AF446" s="45"/>
      <c r="AG446" s="45"/>
      <c r="AH446" s="45"/>
      <c r="AI446" s="45"/>
      <c r="AJ446" s="188"/>
      <c r="AK446" s="457" t="s">
        <v>1489</v>
      </c>
      <c r="AL446" s="458"/>
      <c r="AM446" s="458"/>
      <c r="AN446" s="458"/>
      <c r="AO446" s="458"/>
      <c r="AP446" s="458"/>
      <c r="AQ446" s="458"/>
      <c r="AR446" s="458"/>
      <c r="AS446" s="458"/>
      <c r="AT446" s="458"/>
      <c r="AU446" s="459"/>
      <c r="AV446" s="54"/>
      <c r="AW446" s="54"/>
      <c r="AX446" s="54"/>
      <c r="AY446" s="54"/>
      <c r="AZ446" s="54"/>
      <c r="BA446" s="54"/>
      <c r="BB446" s="54"/>
      <c r="BC446" s="54"/>
    </row>
    <row r="447" spans="1:55" ht="13.15">
      <c r="A447" s="45"/>
      <c r="B447" s="1720"/>
      <c r="C447" s="3935" t="s">
        <v>1536</v>
      </c>
      <c r="D447" s="3935"/>
      <c r="E447" s="3935"/>
      <c r="F447" s="3935"/>
      <c r="G447" s="3935"/>
      <c r="H447" s="3935"/>
      <c r="I447" s="3935"/>
      <c r="J447" s="3935"/>
      <c r="K447" s="3935"/>
      <c r="L447" s="3935"/>
      <c r="M447" s="2520"/>
      <c r="N447" s="54"/>
      <c r="O447" s="54"/>
      <c r="P447" s="54"/>
      <c r="Q447" s="54"/>
      <c r="R447" s="54"/>
      <c r="S447" s="190"/>
      <c r="T447" s="3964" t="s">
        <v>1536</v>
      </c>
      <c r="U447" s="3964"/>
      <c r="V447" s="3964"/>
      <c r="W447" s="3964"/>
      <c r="X447" s="3964"/>
      <c r="Y447" s="3964"/>
      <c r="Z447" s="3964"/>
      <c r="AA447" s="3964"/>
      <c r="AB447" s="3964"/>
      <c r="AC447" s="3964"/>
      <c r="AD447" s="199"/>
      <c r="AE447" s="45"/>
      <c r="AF447" s="45"/>
      <c r="AG447" s="45"/>
      <c r="AH447" s="45"/>
      <c r="AI447" s="45"/>
      <c r="AJ447" s="190"/>
      <c r="AK447" s="3964" t="s">
        <v>1536</v>
      </c>
      <c r="AL447" s="3964"/>
      <c r="AM447" s="3964"/>
      <c r="AN447" s="3964"/>
      <c r="AO447" s="3964"/>
      <c r="AP447" s="3964"/>
      <c r="AQ447" s="3964"/>
      <c r="AR447" s="3964"/>
      <c r="AS447" s="3964"/>
      <c r="AT447" s="3964"/>
      <c r="AU447" s="199"/>
      <c r="AV447" s="54"/>
      <c r="AW447" s="54"/>
      <c r="AX447" s="54"/>
      <c r="AY447" s="54"/>
      <c r="AZ447" s="54"/>
      <c r="BA447" s="54"/>
      <c r="BB447" s="54"/>
      <c r="BC447" s="54"/>
    </row>
    <row r="448" spans="1:55" ht="15">
      <c r="A448" s="45"/>
      <c r="B448" s="1720"/>
      <c r="C448" s="2418" t="str">
        <f>"Country: " &amp;UPPER(Country)</f>
        <v>Country: SWEDEN</v>
      </c>
      <c r="D448" s="2420"/>
      <c r="E448" s="2420"/>
      <c r="F448" s="2420"/>
      <c r="G448" s="2420"/>
      <c r="H448" s="2420"/>
      <c r="I448" s="2420"/>
      <c r="J448" s="2420"/>
      <c r="K448" s="2420"/>
      <c r="L448" s="2420"/>
      <c r="M448" s="2520"/>
      <c r="N448" s="54"/>
      <c r="O448" s="54"/>
      <c r="P448" s="54"/>
      <c r="Q448" s="54"/>
      <c r="R448" s="54"/>
      <c r="S448" s="190"/>
      <c r="T448" s="63" t="str">
        <f>"Country: " &amp;UPPER(Country)</f>
        <v>Country: SWEDEN</v>
      </c>
      <c r="U448" s="65"/>
      <c r="V448" s="65"/>
      <c r="W448" s="2066" t="s">
        <v>1553</v>
      </c>
      <c r="X448" s="65"/>
      <c r="Y448" s="65"/>
      <c r="Z448" s="65"/>
      <c r="AA448" s="65"/>
      <c r="AB448" s="65"/>
      <c r="AC448" s="65"/>
      <c r="AD448" s="196"/>
      <c r="AE448" s="45"/>
      <c r="AF448" s="45"/>
      <c r="AG448" s="45"/>
      <c r="AH448" s="45"/>
      <c r="AI448" s="45"/>
      <c r="AJ448" s="190"/>
      <c r="AK448" s="63" t="str">
        <f>"Country: " &amp;UPPER(Country)</f>
        <v>Country: SWEDEN</v>
      </c>
      <c r="AL448" s="65"/>
      <c r="AM448" s="65"/>
      <c r="AN448" s="65"/>
      <c r="AO448" s="65"/>
      <c r="AP448" s="65"/>
      <c r="AQ448" s="65"/>
      <c r="AR448" s="65"/>
      <c r="AS448" s="65"/>
      <c r="AT448" s="65"/>
      <c r="AU448" s="196"/>
      <c r="AV448" s="54"/>
      <c r="AW448" s="54"/>
      <c r="AX448" s="54"/>
      <c r="AY448" s="54"/>
      <c r="AZ448" s="54"/>
      <c r="BA448" s="54"/>
      <c r="BB448" s="54"/>
      <c r="BC448" s="54"/>
    </row>
    <row r="449" spans="1:55" ht="15.4" thickBot="1">
      <c r="A449" s="45"/>
      <c r="B449" s="1720"/>
      <c r="C449" s="2424" t="s">
        <v>576</v>
      </c>
      <c r="D449" s="2770"/>
      <c r="E449" s="2420"/>
      <c r="F449" s="2420"/>
      <c r="G449" s="2420"/>
      <c r="H449" s="2420"/>
      <c r="I449" s="2420"/>
      <c r="J449" s="2513"/>
      <c r="K449" s="3959">
        <f ca="1">NOW()</f>
        <v>43493.476067824071</v>
      </c>
      <c r="L449" s="3959"/>
      <c r="M449" s="2670"/>
      <c r="N449" s="54"/>
      <c r="O449" s="54"/>
      <c r="P449" s="54"/>
      <c r="Q449" s="54"/>
      <c r="R449" s="54"/>
      <c r="S449" s="190"/>
      <c r="T449" s="69" t="s">
        <v>576</v>
      </c>
      <c r="V449" s="65"/>
      <c r="W449" s="2066" t="str">
        <f>$T$4</f>
        <v>final storage SF18</v>
      </c>
      <c r="X449" s="65"/>
      <c r="Y449" s="65"/>
      <c r="Z449" s="65"/>
      <c r="AA449" s="1"/>
      <c r="AB449" s="3960">
        <f ca="1">NOW()</f>
        <v>43493.476067824071</v>
      </c>
      <c r="AC449" s="3960"/>
      <c r="AD449" s="337"/>
      <c r="AE449" s="45"/>
      <c r="AF449" s="45"/>
      <c r="AG449" s="45"/>
      <c r="AH449" s="45"/>
      <c r="AI449" s="45"/>
      <c r="AJ449" s="190"/>
      <c r="AK449" s="69" t="s">
        <v>576</v>
      </c>
      <c r="AM449" s="65"/>
      <c r="AN449" s="65"/>
      <c r="AO449" s="65"/>
      <c r="AP449" s="65"/>
      <c r="AQ449" s="65"/>
      <c r="AR449" s="1"/>
      <c r="AS449" s="3960">
        <f ca="1">NOW()</f>
        <v>43493.476067824071</v>
      </c>
      <c r="AT449" s="3960"/>
      <c r="AU449" s="337"/>
      <c r="AV449" s="54"/>
      <c r="AW449" s="54"/>
      <c r="AX449" s="54"/>
      <c r="AY449" s="54"/>
      <c r="AZ449" s="54"/>
      <c r="BA449" s="54"/>
      <c r="BB449" s="54"/>
      <c r="BC449" s="54"/>
    </row>
    <row r="450" spans="1:55" ht="13.5" thickBot="1">
      <c r="A450" s="45"/>
      <c r="B450" s="1720"/>
      <c r="C450" s="2839" t="s">
        <v>1678</v>
      </c>
      <c r="D450" s="2840"/>
      <c r="E450" s="2841"/>
      <c r="F450" s="2842"/>
      <c r="G450" s="3977">
        <f>+F16</f>
        <v>2018</v>
      </c>
      <c r="H450" s="3977"/>
      <c r="I450" s="3977">
        <f>G450+1</f>
        <v>2019</v>
      </c>
      <c r="J450" s="3977"/>
      <c r="K450" s="3977">
        <f>I450+1</f>
        <v>2020</v>
      </c>
      <c r="L450" s="3978"/>
      <c r="M450" s="2673"/>
      <c r="N450" s="54"/>
      <c r="O450" s="54"/>
      <c r="P450" s="54"/>
      <c r="Q450" s="54"/>
      <c r="R450" s="54"/>
      <c r="S450" s="190"/>
      <c r="T450" s="1784" t="s">
        <v>1678</v>
      </c>
      <c r="U450" s="1785"/>
      <c r="V450" s="1786"/>
      <c r="W450" s="1787"/>
      <c r="X450" s="3979">
        <f>Last_forecast_year - 3+1</f>
        <v>2018</v>
      </c>
      <c r="Y450" s="3979"/>
      <c r="Z450" s="3979">
        <f>X450+1</f>
        <v>2019</v>
      </c>
      <c r="AA450" s="3979"/>
      <c r="AB450" s="3979">
        <f>Z450+1</f>
        <v>2020</v>
      </c>
      <c r="AC450" s="3980"/>
      <c r="AD450" s="339"/>
      <c r="AE450" s="45"/>
      <c r="AF450" s="45"/>
      <c r="AG450" s="45"/>
      <c r="AH450" s="45"/>
      <c r="AI450" s="45"/>
      <c r="AJ450" s="190"/>
      <c r="AK450" s="1784" t="s">
        <v>1678</v>
      </c>
      <c r="AL450" s="1785"/>
      <c r="AM450" s="1786"/>
      <c r="AN450" s="1787"/>
      <c r="AO450" s="3979">
        <f>Last_forecast_year - 2</f>
        <v>2018</v>
      </c>
      <c r="AP450" s="3979"/>
      <c r="AQ450" s="3979">
        <f>G450+1</f>
        <v>2019</v>
      </c>
      <c r="AR450" s="3979"/>
      <c r="AS450" s="3979">
        <f>AQ450+1</f>
        <v>2020</v>
      </c>
      <c r="AT450" s="3980"/>
      <c r="AU450" s="339"/>
      <c r="AV450" s="54"/>
      <c r="AW450" s="54"/>
      <c r="AX450" s="54"/>
      <c r="AY450" s="54"/>
      <c r="AZ450" s="54"/>
      <c r="BA450" s="1751"/>
      <c r="BB450" s="1752"/>
      <c r="BC450" s="54"/>
    </row>
    <row r="451" spans="1:55" ht="13.15">
      <c r="A451" s="45"/>
      <c r="B451" s="1720"/>
      <c r="C451" s="1721" t="s">
        <v>1537</v>
      </c>
      <c r="D451" s="2420"/>
      <c r="E451" s="2843"/>
      <c r="F451" s="2844"/>
      <c r="G451" s="3981">
        <f>+Sector1!$F$36</f>
        <v>1</v>
      </c>
      <c r="H451" s="3982"/>
      <c r="I451" s="3982"/>
      <c r="J451" s="3982"/>
      <c r="K451" s="3982"/>
      <c r="L451" s="3983"/>
      <c r="M451" s="2729"/>
      <c r="N451" s="54"/>
      <c r="O451" s="54"/>
      <c r="P451" s="54"/>
      <c r="Q451" s="54"/>
      <c r="R451" s="54"/>
      <c r="S451" s="190"/>
      <c r="T451" s="40" t="s">
        <v>1537</v>
      </c>
      <c r="U451" s="65"/>
      <c r="V451" s="1777"/>
      <c r="W451" s="137"/>
      <c r="X451" s="3984">
        <f t="shared" ref="X451:AC455" si="30">ROUND(G451,1)-ROUND(AO451,1)</f>
        <v>0</v>
      </c>
      <c r="Y451" s="3985">
        <f t="shared" si="30"/>
        <v>0</v>
      </c>
      <c r="Z451" s="3985">
        <f t="shared" si="30"/>
        <v>0</v>
      </c>
      <c r="AA451" s="3985">
        <f t="shared" si="30"/>
        <v>0</v>
      </c>
      <c r="AB451" s="3985">
        <f t="shared" si="30"/>
        <v>0</v>
      </c>
      <c r="AC451" s="3986">
        <f t="shared" si="30"/>
        <v>0</v>
      </c>
      <c r="AD451" s="393"/>
      <c r="AE451" s="45"/>
      <c r="AF451" s="45"/>
      <c r="AG451" s="45"/>
      <c r="AH451" s="45"/>
      <c r="AI451" s="45"/>
      <c r="AJ451" s="190"/>
      <c r="AK451" s="40" t="s">
        <v>1537</v>
      </c>
      <c r="AL451" s="65"/>
      <c r="AM451" s="1777"/>
      <c r="AN451" s="137"/>
      <c r="AO451" s="3981">
        <f>+Sector1!$F$36</f>
        <v>1</v>
      </c>
      <c r="AP451" s="3982"/>
      <c r="AQ451" s="3982"/>
      <c r="AR451" s="3982"/>
      <c r="AS451" s="3982"/>
      <c r="AT451" s="3983"/>
      <c r="AU451" s="393"/>
      <c r="AV451" s="54"/>
      <c r="AW451" s="54"/>
      <c r="AX451" s="54"/>
      <c r="AY451" s="54"/>
      <c r="AZ451" s="54"/>
      <c r="BA451" s="1789"/>
      <c r="BB451" s="1754"/>
      <c r="BC451" s="54"/>
    </row>
    <row r="452" spans="1:55">
      <c r="A452" s="45"/>
      <c r="B452" s="1720"/>
      <c r="C452" s="1721" t="s">
        <v>409</v>
      </c>
      <c r="D452" s="2420"/>
      <c r="E452" s="2845"/>
      <c r="F452" s="2759"/>
      <c r="G452" s="3987">
        <f ca="1">((Transfer!E213+Transfer!E231-Transfer!D213-Transfer!D231)/(Transfer!D213+Transfer!D231))/((Transfer!E136-Transfer!D136)/Transfer!D136)</f>
        <v>1.0222542809717678</v>
      </c>
      <c r="H452" s="3988"/>
      <c r="I452" s="3987">
        <f ca="1">((Transfer!F213+Transfer!F231-Transfer!E213-Transfer!E231)/(Transfer!E213+Transfer!E231))/((Transfer!F136-Transfer!E136)/Transfer!E136)</f>
        <v>0.85479571474363192</v>
      </c>
      <c r="J452" s="3988"/>
      <c r="K452" s="3987">
        <f ca="1">((Transfer!G213+Transfer!G231-Transfer!F213-Transfer!F231)/(Transfer!F213+Transfer!F231))/((Transfer!G136-Transfer!F136)/Transfer!F136)</f>
        <v>0.8820934700988865</v>
      </c>
      <c r="L452" s="3989"/>
      <c r="M452" s="2520"/>
      <c r="N452" s="54"/>
      <c r="O452" s="54"/>
      <c r="P452" s="54"/>
      <c r="Q452" s="54"/>
      <c r="R452" s="54"/>
      <c r="S452" s="190"/>
      <c r="T452" s="40" t="s">
        <v>409</v>
      </c>
      <c r="U452" s="65"/>
      <c r="V452" s="1778"/>
      <c r="W452" s="141"/>
      <c r="X452" s="3990">
        <f t="shared" ca="1" si="30"/>
        <v>-0.10000000000000009</v>
      </c>
      <c r="Y452" s="3991">
        <f t="shared" si="30"/>
        <v>0</v>
      </c>
      <c r="Z452" s="3990">
        <f t="shared" ca="1" si="30"/>
        <v>-9.9999999999999978E-2</v>
      </c>
      <c r="AA452" s="3991">
        <f t="shared" si="30"/>
        <v>0</v>
      </c>
      <c r="AB452" s="3990">
        <f t="shared" ca="1" si="30"/>
        <v>0</v>
      </c>
      <c r="AC452" s="4001">
        <f t="shared" si="30"/>
        <v>0</v>
      </c>
      <c r="AD452" s="196"/>
      <c r="AE452" s="45"/>
      <c r="AF452" s="45"/>
      <c r="AG452" s="45"/>
      <c r="AH452" s="45"/>
      <c r="AI452" s="45"/>
      <c r="AJ452" s="190"/>
      <c r="AK452" s="40" t="s">
        <v>409</v>
      </c>
      <c r="AL452" s="65"/>
      <c r="AM452" s="1778"/>
      <c r="AN452" s="141"/>
      <c r="AO452" s="4002">
        <f>((Transfer!AE213+Transfer!AE231-Transfer!AD213-Transfer!AD231)/(Transfer!AD213+Transfer!AD231))/((Transfer!AE136-Transfer!AD136)/Transfer!AD136)</f>
        <v>1.0674741985330034</v>
      </c>
      <c r="AP452" s="4003"/>
      <c r="AQ452" s="4002">
        <f>((Transfer!AF213+Transfer!AF231-Transfer!AE213-Transfer!AE231)/(Transfer!AE213+Transfer!AE231))/((Transfer!AF136-Transfer!AE136)/Transfer!AE136)</f>
        <v>1.0179766624951636</v>
      </c>
      <c r="AR452" s="4003"/>
      <c r="AS452" s="4002">
        <f>((Transfer!AG213+Transfer!AG231-Transfer!AF213-Transfer!AF231)/(Transfer!AF213+Transfer!AF231))/((Transfer!AG136-Transfer!AF136)/Transfer!AF136)</f>
        <v>0.91236325072536972</v>
      </c>
      <c r="AT452" s="4004"/>
      <c r="AU452" s="196"/>
      <c r="AV452" s="54"/>
      <c r="AW452" s="54"/>
      <c r="AX452" s="54"/>
      <c r="AY452" s="54"/>
      <c r="AZ452" s="54"/>
      <c r="BA452" s="1753" t="s">
        <v>2049</v>
      </c>
      <c r="BB452" s="1754"/>
      <c r="BC452" s="54"/>
    </row>
    <row r="453" spans="1:55">
      <c r="A453" s="45"/>
      <c r="B453" s="1720"/>
      <c r="C453" s="1721" t="s">
        <v>410</v>
      </c>
      <c r="D453" s="2420"/>
      <c r="E453" s="2845"/>
      <c r="F453" s="2579"/>
      <c r="G453" s="3837">
        <f ca="1">+Transfer!C258</f>
        <v>49.486635125703735</v>
      </c>
      <c r="H453" s="3838"/>
      <c r="I453" s="3838"/>
      <c r="J453" s="3838"/>
      <c r="K453" s="3838"/>
      <c r="L453" s="3839"/>
      <c r="M453" s="2520"/>
      <c r="N453" s="54"/>
      <c r="O453" s="54"/>
      <c r="P453" s="54"/>
      <c r="Q453" s="54"/>
      <c r="R453" s="54"/>
      <c r="S453" s="190"/>
      <c r="T453" s="101" t="s">
        <v>410</v>
      </c>
      <c r="U453" s="65"/>
      <c r="V453" s="1778"/>
      <c r="W453" s="145"/>
      <c r="X453" s="3992">
        <f t="shared" ca="1" si="30"/>
        <v>0.70000000000000284</v>
      </c>
      <c r="Y453" s="3993">
        <f t="shared" si="30"/>
        <v>0</v>
      </c>
      <c r="Z453" s="3993">
        <f t="shared" si="30"/>
        <v>0</v>
      </c>
      <c r="AA453" s="3993">
        <f t="shared" si="30"/>
        <v>0</v>
      </c>
      <c r="AB453" s="3993">
        <f t="shared" si="30"/>
        <v>0</v>
      </c>
      <c r="AC453" s="3994">
        <f t="shared" si="30"/>
        <v>0</v>
      </c>
      <c r="AD453" s="196"/>
      <c r="AE453" s="45"/>
      <c r="AF453" s="45"/>
      <c r="AG453" s="45"/>
      <c r="AH453" s="45"/>
      <c r="AI453" s="45"/>
      <c r="AJ453" s="190"/>
      <c r="AK453" s="101" t="s">
        <v>410</v>
      </c>
      <c r="AL453" s="65"/>
      <c r="AM453" s="1778"/>
      <c r="AN453" s="145"/>
      <c r="AO453" s="3998">
        <f>+Transfer!AC258</f>
        <v>48.800167496912493</v>
      </c>
      <c r="AP453" s="3999"/>
      <c r="AQ453" s="3999"/>
      <c r="AR453" s="3999"/>
      <c r="AS453" s="3999"/>
      <c r="AT453" s="4000"/>
      <c r="AU453" s="196"/>
      <c r="AV453" s="54"/>
      <c r="AW453" s="54"/>
      <c r="AX453" s="54"/>
      <c r="AY453" s="54"/>
      <c r="AZ453" s="54"/>
      <c r="BA453" s="1753" t="s">
        <v>2050</v>
      </c>
      <c r="BB453" s="1754"/>
      <c r="BC453" s="54"/>
    </row>
    <row r="454" spans="1:55">
      <c r="A454" s="45"/>
      <c r="B454" s="1720"/>
      <c r="C454" s="1721" t="s">
        <v>1381</v>
      </c>
      <c r="D454" s="2420"/>
      <c r="E454" s="2845"/>
      <c r="F454" s="2759"/>
      <c r="G454" s="3987">
        <f ca="1">100*(Transfer!E213+Transfer!E231)/Transfer!E136</f>
        <v>50.897162272254484</v>
      </c>
      <c r="H454" s="3988"/>
      <c r="I454" s="3987">
        <f ca="1">100*(Transfer!F213+Transfer!F231)/Transfer!F136</f>
        <v>50.608159594022425</v>
      </c>
      <c r="J454" s="3988"/>
      <c r="K454" s="3987">
        <f ca="1">100*(Transfer!G213+Transfer!G231)/Transfer!G136</f>
        <v>50.382091883244968</v>
      </c>
      <c r="L454" s="3989"/>
      <c r="M454" s="2520"/>
      <c r="N454" s="54"/>
      <c r="O454" s="54"/>
      <c r="P454" s="54"/>
      <c r="Q454" s="54"/>
      <c r="R454" s="54"/>
      <c r="S454" s="190"/>
      <c r="T454" s="101" t="s">
        <v>1381</v>
      </c>
      <c r="U454" s="49"/>
      <c r="V454" s="140"/>
      <c r="W454" s="141"/>
      <c r="X454" s="3995">
        <f t="shared" ca="1" si="30"/>
        <v>-0.20000000000000284</v>
      </c>
      <c r="Y454" s="3996">
        <f t="shared" si="30"/>
        <v>0</v>
      </c>
      <c r="Z454" s="3995">
        <f t="shared" ca="1" si="30"/>
        <v>-0.5</v>
      </c>
      <c r="AA454" s="3996">
        <f t="shared" si="30"/>
        <v>0</v>
      </c>
      <c r="AB454" s="3995">
        <f t="shared" ca="1" si="30"/>
        <v>-0.5</v>
      </c>
      <c r="AC454" s="3997">
        <f t="shared" si="30"/>
        <v>0</v>
      </c>
      <c r="AD454" s="196"/>
      <c r="AE454" s="45"/>
      <c r="AF454" s="45"/>
      <c r="AG454" s="45"/>
      <c r="AH454" s="45"/>
      <c r="AI454" s="45"/>
      <c r="AJ454" s="190"/>
      <c r="AK454" s="101" t="s">
        <v>1381</v>
      </c>
      <c r="AL454" s="49"/>
      <c r="AM454" s="140"/>
      <c r="AN454" s="141"/>
      <c r="AO454" s="4002">
        <f>100*(Transfer!AE213+Transfer!AE231)/Transfer!AE136</f>
        <v>51.092297635403582</v>
      </c>
      <c r="AP454" s="4003"/>
      <c r="AQ454" s="4002">
        <f>100*(Transfer!AF213+Transfer!AF231)/Transfer!AF136</f>
        <v>51.129343327777981</v>
      </c>
      <c r="AR454" s="4003"/>
      <c r="AS454" s="4002">
        <f>100*(Transfer!AG213+Transfer!AG231)/Transfer!AG136</f>
        <v>50.941449700532132</v>
      </c>
      <c r="AT454" s="4004"/>
      <c r="AU454" s="196"/>
      <c r="AV454" s="54"/>
      <c r="AW454" s="54"/>
      <c r="AX454" s="54"/>
      <c r="AY454" s="54"/>
      <c r="AZ454" s="54"/>
      <c r="BA454" s="1753" t="s">
        <v>2051</v>
      </c>
      <c r="BB454" s="1754"/>
      <c r="BC454" s="54"/>
    </row>
    <row r="455" spans="1:55" ht="13.15" thickBot="1">
      <c r="A455" s="45"/>
      <c r="B455" s="1720"/>
      <c r="C455" s="1721" t="s">
        <v>1382</v>
      </c>
      <c r="D455" s="2461"/>
      <c r="E455" s="2846"/>
      <c r="F455" s="2759"/>
      <c r="G455" s="3987">
        <f ca="1">100*(((Transfer!E213+Transfer!E231)/(Transfer!D213+Transfer!D231)-1)-(Sector1!$F$36*((Transfer!E136/Transfer!D136)-1)))*((Transfer!D213+Transfer!D231)/Transfer!E147)</f>
        <v>1.9910387713874472E-2</v>
      </c>
      <c r="H455" s="3988"/>
      <c r="I455" s="3987">
        <f ca="1">100*(((Transfer!F213+Transfer!F231)/(Transfer!E213+Transfer!E231)-1)-(Sector1!$F$36*((Transfer!F136/Transfer!E136)-1)))*((Transfer!E213+Transfer!E231)/Transfer!F147)</f>
        <v>-0.12823310276849972</v>
      </c>
      <c r="J455" s="3988"/>
      <c r="K455" s="3987">
        <f ca="1">100*(((Transfer!G213+Transfer!G231)/(Transfer!F213+Transfer!F231)-1)-(Sector1!$F$36*((Transfer!G136/Transfer!F136)-1)))*((Transfer!F213+Transfer!F231)/Transfer!G147)</f>
        <v>-0.10068865020985013</v>
      </c>
      <c r="L455" s="3989"/>
      <c r="M455" s="2678"/>
      <c r="N455" s="54"/>
      <c r="O455" s="54"/>
      <c r="P455" s="54"/>
      <c r="Q455" s="54"/>
      <c r="R455" s="54"/>
      <c r="S455" s="190"/>
      <c r="T455" s="101" t="s">
        <v>1382</v>
      </c>
      <c r="U455" s="102"/>
      <c r="V455" s="151"/>
      <c r="W455" s="141"/>
      <c r="X455" s="3995">
        <f t="shared" ca="1" si="30"/>
        <v>-0.1</v>
      </c>
      <c r="Y455" s="3996">
        <f t="shared" si="30"/>
        <v>0</v>
      </c>
      <c r="Z455" s="3995">
        <f t="shared" ca="1" si="30"/>
        <v>-0.1</v>
      </c>
      <c r="AA455" s="3996">
        <f t="shared" si="30"/>
        <v>0</v>
      </c>
      <c r="AB455" s="3995">
        <f t="shared" ca="1" si="30"/>
        <v>0</v>
      </c>
      <c r="AC455" s="3997">
        <f t="shared" si="30"/>
        <v>0</v>
      </c>
      <c r="AD455" s="464"/>
      <c r="AE455" s="45"/>
      <c r="AF455" s="45"/>
      <c r="AG455" s="45"/>
      <c r="AH455" s="45"/>
      <c r="AI455" s="45"/>
      <c r="AJ455" s="190"/>
      <c r="AK455" s="101" t="s">
        <v>1382</v>
      </c>
      <c r="AL455" s="102"/>
      <c r="AM455" s="151"/>
      <c r="AN455" s="141"/>
      <c r="AO455" s="4002">
        <f>100*(((Transfer!AE213+Transfer!AE231)/(Transfer!AD213+Transfer!AD231)-1)-(Sector1!$F$36*((Transfer!AE136/Transfer!AD136)-1)))*((Transfer!AD213+Transfer!AD231)/Transfer!AE147)</f>
        <v>5.9915652321575787E-2</v>
      </c>
      <c r="AP455" s="4003"/>
      <c r="AQ455" s="4002">
        <f>100*(((Transfer!AF213+Transfer!AF231)/(Transfer!AE213+Transfer!AE231)-1)-(Sector1!$F$36*((Transfer!AF136/Transfer!AE136)-1)))*((Transfer!AE213+Transfer!AE231)/Transfer!AF147)</f>
        <v>1.624327433719161E-2</v>
      </c>
      <c r="AR455" s="4003"/>
      <c r="AS455" s="4002">
        <f>100*(((Transfer!AG213+Transfer!AG231)/(Transfer!AF213+Transfer!AF231)-1)-(Sector1!$F$36*((Transfer!AG136/Transfer!AF136)-1)))*((Transfer!AF213+Transfer!AF231)/Transfer!AG147)</f>
        <v>-8.2409013441160542E-2</v>
      </c>
      <c r="AT455" s="4004"/>
      <c r="AU455" s="464"/>
      <c r="AV455" s="54"/>
      <c r="AW455" s="54"/>
      <c r="AX455" s="54"/>
      <c r="AY455" s="54"/>
      <c r="AZ455" s="54"/>
      <c r="BA455" s="1753" t="s">
        <v>2052</v>
      </c>
      <c r="BB455" s="1754"/>
      <c r="BC455" s="54"/>
    </row>
    <row r="456" spans="1:55" ht="13.5" thickBot="1">
      <c r="A456" s="45"/>
      <c r="B456" s="1720"/>
      <c r="C456" s="2839" t="s">
        <v>1133</v>
      </c>
      <c r="D456" s="2840"/>
      <c r="E456" s="2847"/>
      <c r="F456" s="2826"/>
      <c r="G456" s="3829">
        <f>+G450</f>
        <v>2018</v>
      </c>
      <c r="H456" s="4005"/>
      <c r="I456" s="3829">
        <f>+I450</f>
        <v>2019</v>
      </c>
      <c r="J456" s="4005"/>
      <c r="K456" s="3829">
        <f>+K450</f>
        <v>2020</v>
      </c>
      <c r="L456" s="4006"/>
      <c r="M456" s="2520"/>
      <c r="N456" s="54"/>
      <c r="O456" s="54"/>
      <c r="P456" s="54"/>
      <c r="Q456" s="54"/>
      <c r="R456" s="54"/>
      <c r="S456" s="190"/>
      <c r="T456" s="1781" t="s">
        <v>1133</v>
      </c>
      <c r="U456" s="479"/>
      <c r="V456" s="1782"/>
      <c r="W456" s="481"/>
      <c r="X456" s="4007">
        <f>+X450</f>
        <v>2018</v>
      </c>
      <c r="Y456" s="4008"/>
      <c r="Z456" s="4007">
        <f>+Z450</f>
        <v>2019</v>
      </c>
      <c r="AA456" s="4008"/>
      <c r="AB456" s="4007">
        <f>+AB450</f>
        <v>2020</v>
      </c>
      <c r="AC456" s="4011"/>
      <c r="AD456" s="199"/>
      <c r="AE456" s="45"/>
      <c r="AF456" s="45"/>
      <c r="AG456" s="45"/>
      <c r="AH456" s="45"/>
      <c r="AI456" s="45"/>
      <c r="AJ456" s="190"/>
      <c r="AK456" s="1781" t="s">
        <v>1133</v>
      </c>
      <c r="AL456" s="479"/>
      <c r="AM456" s="1782"/>
      <c r="AN456" s="481"/>
      <c r="AO456" s="4009">
        <f>+G450</f>
        <v>2018</v>
      </c>
      <c r="AP456" s="4012"/>
      <c r="AQ456" s="4009">
        <f>+AQ450</f>
        <v>2019</v>
      </c>
      <c r="AR456" s="4012"/>
      <c r="AS456" s="4009">
        <f>+AS450</f>
        <v>2020</v>
      </c>
      <c r="AT456" s="4010"/>
      <c r="AU456" s="199"/>
      <c r="AV456" s="54"/>
      <c r="AW456" s="54"/>
      <c r="AX456" s="54"/>
      <c r="AY456" s="54"/>
      <c r="AZ456" s="54"/>
      <c r="BA456" s="1753"/>
      <c r="BB456" s="1754"/>
      <c r="BC456" s="54"/>
    </row>
    <row r="457" spans="1:55">
      <c r="A457" s="45"/>
      <c r="B457" s="1720"/>
      <c r="C457" s="1721" t="s">
        <v>1561</v>
      </c>
      <c r="D457" s="2420"/>
      <c r="E457" s="2845"/>
      <c r="F457" s="2759"/>
      <c r="G457" s="3981">
        <f>+Sector1!$F$242</f>
        <v>1.3557600000000001</v>
      </c>
      <c r="H457" s="3982"/>
      <c r="I457" s="3982"/>
      <c r="J457" s="3982"/>
      <c r="K457" s="3982"/>
      <c r="L457" s="3983"/>
      <c r="M457" s="2520"/>
      <c r="N457" s="54"/>
      <c r="O457" s="54"/>
      <c r="P457" s="54"/>
      <c r="Q457" s="54"/>
      <c r="R457" s="54"/>
      <c r="S457" s="190"/>
      <c r="T457" s="40" t="s">
        <v>1561</v>
      </c>
      <c r="U457" s="49"/>
      <c r="V457" s="140"/>
      <c r="W457" s="141"/>
      <c r="X457" s="3992">
        <f t="shared" ref="X457:AC461" si="31">ROUND(G457,1)-ROUND(AO457,1)</f>
        <v>0</v>
      </c>
      <c r="Y457" s="3993">
        <f t="shared" si="31"/>
        <v>0</v>
      </c>
      <c r="Z457" s="3993">
        <f t="shared" si="31"/>
        <v>0</v>
      </c>
      <c r="AA457" s="3993">
        <f t="shared" si="31"/>
        <v>0</v>
      </c>
      <c r="AB457" s="3993">
        <f t="shared" si="31"/>
        <v>0</v>
      </c>
      <c r="AC457" s="3994">
        <f t="shared" si="31"/>
        <v>0</v>
      </c>
      <c r="AD457" s="199"/>
      <c r="AE457" s="45"/>
      <c r="AF457" s="45"/>
      <c r="AG457" s="45"/>
      <c r="AH457" s="45"/>
      <c r="AI457" s="45"/>
      <c r="AJ457" s="190"/>
      <c r="AK457" s="40" t="s">
        <v>1561</v>
      </c>
      <c r="AL457" s="49"/>
      <c r="AM457" s="140"/>
      <c r="AN457" s="141"/>
      <c r="AO457" s="3981">
        <f>+Sector1!$F$242</f>
        <v>1.3557600000000001</v>
      </c>
      <c r="AP457" s="3982"/>
      <c r="AQ457" s="3982"/>
      <c r="AR457" s="3982"/>
      <c r="AS457" s="3982"/>
      <c r="AT457" s="3983"/>
      <c r="AU457" s="199"/>
      <c r="AV457" s="54"/>
      <c r="AW457" s="54"/>
      <c r="AX457" s="54"/>
      <c r="AY457" s="54"/>
      <c r="AZ457" s="54"/>
      <c r="BA457" s="1753"/>
      <c r="BB457" s="1754"/>
      <c r="BC457" s="54"/>
    </row>
    <row r="458" spans="1:55">
      <c r="A458" s="45"/>
      <c r="B458" s="1720"/>
      <c r="C458" s="1721" t="s">
        <v>409</v>
      </c>
      <c r="D458" s="2420"/>
      <c r="E458" s="2845"/>
      <c r="F458" s="2759"/>
      <c r="G458" s="3987">
        <f ca="1">((Transfer!E214-Transfer!D214)/Transfer!D214)/((Transfer!E147-Transfer!D147)/Transfer!D147)</f>
        <v>0.66406756095422814</v>
      </c>
      <c r="H458" s="3988"/>
      <c r="I458" s="3987">
        <f ca="1">((Transfer!F214-Transfer!E214)/Transfer!E214)/((Transfer!F147-Transfer!E147)/Transfer!E147)</f>
        <v>0.82721494404045226</v>
      </c>
      <c r="J458" s="3988"/>
      <c r="K458" s="3987">
        <f ca="1">((Transfer!G214-Transfer!F214)/Transfer!F214)/((Transfer!G147-Transfer!F147)/Transfer!F147)</f>
        <v>0.80064084106372513</v>
      </c>
      <c r="L458" s="3989"/>
      <c r="M458" s="2520"/>
      <c r="N458" s="54"/>
      <c r="O458" s="54"/>
      <c r="P458" s="54"/>
      <c r="Q458" s="54"/>
      <c r="R458" s="54"/>
      <c r="S458" s="190"/>
      <c r="T458" s="40" t="s">
        <v>409</v>
      </c>
      <c r="U458" s="49"/>
      <c r="V458" s="140"/>
      <c r="W458" s="141"/>
      <c r="X458" s="3990">
        <f t="shared" ca="1" si="31"/>
        <v>-0.20000000000000007</v>
      </c>
      <c r="Y458" s="3991">
        <f t="shared" si="31"/>
        <v>0</v>
      </c>
      <c r="Z458" s="3990">
        <f t="shared" ca="1" si="31"/>
        <v>0.20000000000000007</v>
      </c>
      <c r="AA458" s="3991">
        <f t="shared" si="31"/>
        <v>0</v>
      </c>
      <c r="AB458" s="3990">
        <f t="shared" ca="1" si="31"/>
        <v>-9.9999999999999978E-2</v>
      </c>
      <c r="AC458" s="4001">
        <f t="shared" si="31"/>
        <v>0</v>
      </c>
      <c r="AD458" s="199"/>
      <c r="AE458" s="45"/>
      <c r="AF458" s="45"/>
      <c r="AG458" s="45"/>
      <c r="AH458" s="45"/>
      <c r="AI458" s="45"/>
      <c r="AJ458" s="190"/>
      <c r="AK458" s="40" t="s">
        <v>409</v>
      </c>
      <c r="AL458" s="49"/>
      <c r="AM458" s="140"/>
      <c r="AN458" s="141"/>
      <c r="AO458" s="4002">
        <f>((Transfer!AE214-Transfer!AD214)/Transfer!AD214)/((Transfer!AE147-Transfer!AD147)/Transfer!AD147)</f>
        <v>0.8798148031031775</v>
      </c>
      <c r="AP458" s="4003"/>
      <c r="AQ458" s="4002">
        <f>((Transfer!AF214-Transfer!AE214)/Transfer!AE214)/((Transfer!AF147-Transfer!AE147)/Transfer!AE147)</f>
        <v>0.62510526500728336</v>
      </c>
      <c r="AR458" s="4003"/>
      <c r="AS458" s="4002">
        <f>((Transfer!AG214-Transfer!AF214)/Transfer!AF214)/((Transfer!AG147-Transfer!AF147)/Transfer!AF147)</f>
        <v>0.93189268469272235</v>
      </c>
      <c r="AT458" s="4004"/>
      <c r="AU458" s="199"/>
      <c r="AV458" s="54"/>
      <c r="AW458" s="54"/>
      <c r="AX458" s="54"/>
      <c r="AY458" s="54"/>
      <c r="AZ458" s="54"/>
      <c r="BA458" s="1753" t="s">
        <v>1060</v>
      </c>
      <c r="BB458" s="1754"/>
      <c r="BC458" s="54"/>
    </row>
    <row r="459" spans="1:55">
      <c r="A459" s="45"/>
      <c r="B459" s="1720"/>
      <c r="C459" s="1721" t="s">
        <v>410</v>
      </c>
      <c r="D459" s="2420"/>
      <c r="E459" s="2845"/>
      <c r="F459" s="2759"/>
      <c r="G459" s="3837">
        <f ca="1">+Transfer!C259</f>
        <v>18.474482378138173</v>
      </c>
      <c r="H459" s="3838"/>
      <c r="I459" s="3838"/>
      <c r="J459" s="3838"/>
      <c r="K459" s="3838"/>
      <c r="L459" s="3839"/>
      <c r="M459" s="2520"/>
      <c r="N459" s="54"/>
      <c r="O459" s="54"/>
      <c r="P459" s="54"/>
      <c r="Q459" s="54"/>
      <c r="R459" s="54"/>
      <c r="S459" s="190"/>
      <c r="T459" s="101" t="s">
        <v>410</v>
      </c>
      <c r="U459" s="49"/>
      <c r="V459" s="140"/>
      <c r="W459" s="141"/>
      <c r="X459" s="3992">
        <f t="shared" ca="1" si="31"/>
        <v>0.30000000000000071</v>
      </c>
      <c r="Y459" s="3993">
        <f t="shared" si="31"/>
        <v>0</v>
      </c>
      <c r="Z459" s="3993">
        <f t="shared" si="31"/>
        <v>0</v>
      </c>
      <c r="AA459" s="3993">
        <f t="shared" si="31"/>
        <v>0</v>
      </c>
      <c r="AB459" s="3993">
        <f t="shared" si="31"/>
        <v>0</v>
      </c>
      <c r="AC459" s="3994">
        <f t="shared" si="31"/>
        <v>0</v>
      </c>
      <c r="AD459" s="199"/>
      <c r="AE459" s="45"/>
      <c r="AF459" s="45"/>
      <c r="AG459" s="45"/>
      <c r="AH459" s="45"/>
      <c r="AI459" s="45"/>
      <c r="AJ459" s="190"/>
      <c r="AK459" s="101" t="s">
        <v>410</v>
      </c>
      <c r="AL459" s="49"/>
      <c r="AM459" s="140"/>
      <c r="AN459" s="141"/>
      <c r="AO459" s="3998">
        <f>+Transfer!AC259</f>
        <v>18.17666902483003</v>
      </c>
      <c r="AP459" s="3999"/>
      <c r="AQ459" s="3999"/>
      <c r="AR459" s="3999"/>
      <c r="AS459" s="3999"/>
      <c r="AT459" s="4000"/>
      <c r="AU459" s="199"/>
      <c r="AV459" s="54"/>
      <c r="AW459" s="54"/>
      <c r="AX459" s="54"/>
      <c r="AY459" s="54"/>
      <c r="AZ459" s="54"/>
      <c r="BA459" s="1753" t="s">
        <v>1061</v>
      </c>
      <c r="BB459" s="1754"/>
      <c r="BC459" s="54"/>
    </row>
    <row r="460" spans="1:55">
      <c r="A460" s="45"/>
      <c r="B460" s="1720"/>
      <c r="C460" s="1721" t="s">
        <v>1381</v>
      </c>
      <c r="D460" s="2420"/>
      <c r="E460" s="2845"/>
      <c r="F460" s="2759"/>
      <c r="G460" s="3987">
        <f ca="1">100*Transfer!E214/Transfer!E147</f>
        <v>18.642148496776727</v>
      </c>
      <c r="H460" s="3988"/>
      <c r="I460" s="3987">
        <f ca="1">100*Transfer!F214/Transfer!F147</f>
        <v>18.524788147650135</v>
      </c>
      <c r="J460" s="3988"/>
      <c r="K460" s="3987">
        <f ca="1">100*Transfer!G214/Transfer!G147</f>
        <v>18.398344803850609</v>
      </c>
      <c r="L460" s="3989"/>
      <c r="M460" s="2520"/>
      <c r="N460" s="54"/>
      <c r="O460" s="54"/>
      <c r="P460" s="54"/>
      <c r="Q460" s="54"/>
      <c r="R460" s="54"/>
      <c r="S460" s="190"/>
      <c r="T460" s="101" t="s">
        <v>1381</v>
      </c>
      <c r="U460" s="49"/>
      <c r="V460" s="140"/>
      <c r="W460" s="141"/>
      <c r="X460" s="3995">
        <f t="shared" ca="1" si="31"/>
        <v>0</v>
      </c>
      <c r="Y460" s="3996">
        <f t="shared" si="31"/>
        <v>0</v>
      </c>
      <c r="Z460" s="3995">
        <f t="shared" ca="1" si="31"/>
        <v>0.19999999999999929</v>
      </c>
      <c r="AA460" s="3996">
        <f t="shared" si="31"/>
        <v>0</v>
      </c>
      <c r="AB460" s="3995">
        <f t="shared" ca="1" si="31"/>
        <v>9.9999999999997868E-2</v>
      </c>
      <c r="AC460" s="3997">
        <f t="shared" si="31"/>
        <v>0</v>
      </c>
      <c r="AD460" s="199"/>
      <c r="AE460" s="45"/>
      <c r="AF460" s="45"/>
      <c r="AG460" s="45"/>
      <c r="AH460" s="45"/>
      <c r="AI460" s="45"/>
      <c r="AJ460" s="190"/>
      <c r="AK460" s="101" t="s">
        <v>1381</v>
      </c>
      <c r="AL460" s="49"/>
      <c r="AM460" s="140"/>
      <c r="AN460" s="141"/>
      <c r="AO460" s="4002">
        <f>100*Transfer!AE214/Transfer!AE147</f>
        <v>18.641307239794926</v>
      </c>
      <c r="AP460" s="4003"/>
      <c r="AQ460" s="4002">
        <f>100*Transfer!AF214/Transfer!AF147</f>
        <v>18.322428498805301</v>
      </c>
      <c r="AR460" s="4003"/>
      <c r="AS460" s="4002">
        <f>100*Transfer!AG214/Transfer!AG147</f>
        <v>18.270449831928946</v>
      </c>
      <c r="AT460" s="4004"/>
      <c r="AU460" s="199"/>
      <c r="AV460" s="54"/>
      <c r="AW460" s="54"/>
      <c r="AX460" s="54"/>
      <c r="AY460" s="54"/>
      <c r="AZ460" s="54"/>
      <c r="BA460" s="1753" t="s">
        <v>1062</v>
      </c>
      <c r="BB460" s="1754"/>
      <c r="BC460" s="54"/>
    </row>
    <row r="461" spans="1:55" ht="13.15" thickBot="1">
      <c r="A461" s="45"/>
      <c r="B461" s="1720"/>
      <c r="C461" s="1721" t="s">
        <v>1382</v>
      </c>
      <c r="D461" s="2461"/>
      <c r="E461" s="2846"/>
      <c r="F461" s="2759"/>
      <c r="G461" s="4013">
        <f ca="1">100*(((Transfer!E214/Transfer!D214)-1)-(Sector1!$F$228*((Transfer!E147/Transfer!D147)-1)))*(Transfer!D214/Transfer!E147)</f>
        <v>-0.5800640843024476</v>
      </c>
      <c r="H461" s="4014"/>
      <c r="I461" s="3987">
        <f ca="1">100*(((Transfer!F214/Transfer!E214)-1)-(Sector1!$F$228*((Transfer!F147/Transfer!E147)-1)))*(Transfer!E214/Transfer!F147)</f>
        <v>-0.33471312603167991</v>
      </c>
      <c r="J461" s="3988"/>
      <c r="K461" s="3987">
        <f ca="1">100*(((Transfer!G214/Transfer!F214)-1)-(Sector1!$F$228*((Transfer!G147/Transfer!F147)-1)))*(Transfer!F214/Transfer!G147)</f>
        <v>-0.32940301834741909</v>
      </c>
      <c r="L461" s="3989"/>
      <c r="M461" s="2678"/>
      <c r="N461" s="54"/>
      <c r="O461" s="54"/>
      <c r="P461" s="54"/>
      <c r="Q461" s="54"/>
      <c r="R461" s="54"/>
      <c r="S461" s="190"/>
      <c r="T461" s="101" t="s">
        <v>1382</v>
      </c>
      <c r="U461" s="102"/>
      <c r="V461" s="151"/>
      <c r="W461" s="141"/>
      <c r="X461" s="3995">
        <f t="shared" ca="1" si="31"/>
        <v>-0.19999999999999996</v>
      </c>
      <c r="Y461" s="3996">
        <f t="shared" si="31"/>
        <v>0</v>
      </c>
      <c r="Z461" s="3995">
        <f t="shared" ca="1" si="31"/>
        <v>0.3</v>
      </c>
      <c r="AA461" s="3996">
        <f t="shared" si="31"/>
        <v>0</v>
      </c>
      <c r="AB461" s="3995">
        <f t="shared" ca="1" si="31"/>
        <v>0</v>
      </c>
      <c r="AC461" s="3997">
        <f t="shared" si="31"/>
        <v>0</v>
      </c>
      <c r="AD461" s="464"/>
      <c r="AE461" s="45"/>
      <c r="AF461" s="45"/>
      <c r="AG461" s="45"/>
      <c r="AH461" s="45"/>
      <c r="AI461" s="45"/>
      <c r="AJ461" s="190"/>
      <c r="AK461" s="101" t="s">
        <v>1382</v>
      </c>
      <c r="AL461" s="102"/>
      <c r="AM461" s="151"/>
      <c r="AN461" s="141"/>
      <c r="AO461" s="4015">
        <f>100*(((Transfer!AE214/Transfer!AD214)-1)-(Sector1!$F$228*((Transfer!AE147/Transfer!AD147)-1)))*(Transfer!AD214/Transfer!AE147)</f>
        <v>-0.35723604944550225</v>
      </c>
      <c r="AP461" s="4016"/>
      <c r="AQ461" s="4002">
        <f>100*(((Transfer!AF214/Transfer!AE214)-1)-(Sector1!$F$228*((Transfer!AF147/Transfer!AE147)-1)))*(Transfer!AE214/Transfer!AF147)</f>
        <v>-0.59106500447145616</v>
      </c>
      <c r="AR461" s="4003"/>
      <c r="AS461" s="4002">
        <f>100*(((Transfer!AG214/Transfer!AF214)-1)-(Sector1!$F$228*((Transfer!AG147/Transfer!AF147)-1)))*(Transfer!AF214/Transfer!AG147)</f>
        <v>-0.29619873817692643</v>
      </c>
      <c r="AT461" s="4004"/>
      <c r="AU461" s="464"/>
      <c r="AV461" s="54"/>
      <c r="AW461" s="54"/>
      <c r="AX461" s="54"/>
      <c r="AY461" s="54"/>
      <c r="AZ461" s="54"/>
      <c r="BA461" s="1753" t="s">
        <v>1063</v>
      </c>
      <c r="BB461" s="1754"/>
      <c r="BC461" s="54"/>
    </row>
    <row r="462" spans="1:55" ht="13.5" thickBot="1">
      <c r="A462" s="45"/>
      <c r="B462" s="1720"/>
      <c r="C462" s="2839" t="s">
        <v>1134</v>
      </c>
      <c r="D462" s="2840"/>
      <c r="E462" s="2847"/>
      <c r="F462" s="2848"/>
      <c r="G462" s="3829">
        <f>+G456</f>
        <v>2018</v>
      </c>
      <c r="H462" s="4005"/>
      <c r="I462" s="3829">
        <f>+I456</f>
        <v>2019</v>
      </c>
      <c r="J462" s="4005"/>
      <c r="K462" s="3829">
        <f>+K456</f>
        <v>2020</v>
      </c>
      <c r="L462" s="4006"/>
      <c r="M462" s="2437"/>
      <c r="N462" s="54"/>
      <c r="O462" s="54"/>
      <c r="P462" s="54"/>
      <c r="Q462" s="54"/>
      <c r="R462" s="54"/>
      <c r="S462" s="190"/>
      <c r="T462" s="1781" t="s">
        <v>1134</v>
      </c>
      <c r="U462" s="479"/>
      <c r="V462" s="1782"/>
      <c r="W462" s="1783"/>
      <c r="X462" s="4009">
        <f>+X456</f>
        <v>2018</v>
      </c>
      <c r="Y462" s="4012"/>
      <c r="Z462" s="4009">
        <f>+Z456</f>
        <v>2019</v>
      </c>
      <c r="AA462" s="4012"/>
      <c r="AB462" s="4009">
        <f>+AB456</f>
        <v>2020</v>
      </c>
      <c r="AC462" s="4010"/>
      <c r="AD462" s="82"/>
      <c r="AE462" s="45"/>
      <c r="AF462" s="45"/>
      <c r="AG462" s="45"/>
      <c r="AH462" s="45"/>
      <c r="AI462" s="45"/>
      <c r="AJ462" s="190"/>
      <c r="AK462" s="1781" t="s">
        <v>1134</v>
      </c>
      <c r="AL462" s="479"/>
      <c r="AM462" s="1782"/>
      <c r="AN462" s="1783"/>
      <c r="AO462" s="4009">
        <f>+G450</f>
        <v>2018</v>
      </c>
      <c r="AP462" s="4012"/>
      <c r="AQ462" s="4009">
        <f>+AQ456</f>
        <v>2019</v>
      </c>
      <c r="AR462" s="4012"/>
      <c r="AS462" s="4009">
        <f>+AS456</f>
        <v>2020</v>
      </c>
      <c r="AT462" s="4010"/>
      <c r="AU462" s="82"/>
      <c r="AV462" s="54"/>
      <c r="AW462" s="54"/>
      <c r="AX462" s="54"/>
      <c r="AY462" s="54"/>
      <c r="AZ462" s="54"/>
      <c r="BA462" s="1753"/>
      <c r="BB462" s="1754"/>
      <c r="BC462" s="54"/>
    </row>
    <row r="463" spans="1:55">
      <c r="A463" s="45"/>
      <c r="B463" s="1720"/>
      <c r="C463" s="1721" t="s">
        <v>1562</v>
      </c>
      <c r="D463" s="2420"/>
      <c r="E463" s="2845"/>
      <c r="F463" s="2759"/>
      <c r="G463" s="3981">
        <f>+Sector1!$F$287</f>
        <v>0.95</v>
      </c>
      <c r="H463" s="3982"/>
      <c r="I463" s="3982"/>
      <c r="J463" s="3982"/>
      <c r="K463" s="3982"/>
      <c r="L463" s="3983"/>
      <c r="M463" s="2520"/>
      <c r="N463" s="54"/>
      <c r="O463" s="54"/>
      <c r="P463" s="54"/>
      <c r="Q463" s="54"/>
      <c r="R463" s="54"/>
      <c r="S463" s="190"/>
      <c r="T463" s="40" t="s">
        <v>1562</v>
      </c>
      <c r="U463" s="49"/>
      <c r="V463" s="140"/>
      <c r="W463" s="141"/>
      <c r="X463" s="4019">
        <f t="shared" ref="X463:AC467" si="32">ROUND(G463,1)-ROUND(AO463,1)</f>
        <v>0</v>
      </c>
      <c r="Y463" s="4020">
        <f t="shared" si="32"/>
        <v>0</v>
      </c>
      <c r="Z463" s="4020">
        <f t="shared" si="32"/>
        <v>0</v>
      </c>
      <c r="AA463" s="4020">
        <f t="shared" si="32"/>
        <v>0</v>
      </c>
      <c r="AB463" s="4020">
        <f t="shared" si="32"/>
        <v>0</v>
      </c>
      <c r="AC463" s="4021">
        <f t="shared" si="32"/>
        <v>0</v>
      </c>
      <c r="AD463" s="199"/>
      <c r="AE463" s="45"/>
      <c r="AF463" s="45"/>
      <c r="AG463" s="45"/>
      <c r="AH463" s="45"/>
      <c r="AI463" s="45"/>
      <c r="AJ463" s="190"/>
      <c r="AK463" s="40" t="s">
        <v>1562</v>
      </c>
      <c r="AL463" s="49"/>
      <c r="AM463" s="140"/>
      <c r="AN463" s="141"/>
      <c r="AO463" s="3981">
        <f>+Sector1!$F$287</f>
        <v>0.95</v>
      </c>
      <c r="AP463" s="3982"/>
      <c r="AQ463" s="3982"/>
      <c r="AR463" s="3982"/>
      <c r="AS463" s="3982"/>
      <c r="AT463" s="3983"/>
      <c r="AU463" s="199"/>
      <c r="AV463" s="54"/>
      <c r="AW463" s="54"/>
      <c r="AX463" s="54"/>
      <c r="AY463" s="54"/>
      <c r="AZ463" s="54"/>
      <c r="BA463" s="1753"/>
      <c r="BB463" s="1754"/>
      <c r="BC463" s="54"/>
    </row>
    <row r="464" spans="1:55">
      <c r="A464" s="45"/>
      <c r="B464" s="1720"/>
      <c r="C464" s="1721" t="s">
        <v>409</v>
      </c>
      <c r="D464" s="2420"/>
      <c r="E464" s="2845"/>
      <c r="F464" s="2759"/>
      <c r="G464" s="3987">
        <f ca="1">((Transfer!E215-Transfer!D215)/Transfer!D215)/((Transfer!E161-Transfer!D161)/Transfer!D161)</f>
        <v>1.0073069554486453</v>
      </c>
      <c r="H464" s="3988"/>
      <c r="I464" s="3987">
        <f ca="1">((Transfer!F215-Transfer!E215)/Transfer!E215)/((Transfer!F161-Transfer!E161)/Transfer!E161)</f>
        <v>1.1526662819755178</v>
      </c>
      <c r="J464" s="3988"/>
      <c r="K464" s="3987">
        <f ca="1">((Transfer!G215-Transfer!F215)/Transfer!F215)/((Transfer!G161-Transfer!F161)/Transfer!F161)</f>
        <v>1.1905387280772137</v>
      </c>
      <c r="L464" s="3989"/>
      <c r="M464" s="2520"/>
      <c r="N464" s="54"/>
      <c r="O464" s="54"/>
      <c r="P464" s="54"/>
      <c r="Q464" s="54"/>
      <c r="R464" s="54"/>
      <c r="S464" s="190"/>
      <c r="T464" s="40" t="s">
        <v>409</v>
      </c>
      <c r="U464" s="49"/>
      <c r="V464" s="140"/>
      <c r="W464" s="141"/>
      <c r="X464" s="4017">
        <f t="shared" ca="1" si="32"/>
        <v>0</v>
      </c>
      <c r="Y464" s="4018">
        <f t="shared" si="32"/>
        <v>0</v>
      </c>
      <c r="Z464" s="4017">
        <f t="shared" ca="1" si="32"/>
        <v>0.29999999999999993</v>
      </c>
      <c r="AA464" s="4018">
        <f t="shared" si="32"/>
        <v>0</v>
      </c>
      <c r="AB464" s="4017">
        <f t="shared" ca="1" si="32"/>
        <v>0.19999999999999996</v>
      </c>
      <c r="AC464" s="4024">
        <f t="shared" si="32"/>
        <v>0</v>
      </c>
      <c r="AD464" s="199"/>
      <c r="AE464" s="45"/>
      <c r="AF464" s="45"/>
      <c r="AG464" s="45"/>
      <c r="AH464" s="45"/>
      <c r="AI464" s="45"/>
      <c r="AJ464" s="190"/>
      <c r="AK464" s="40" t="s">
        <v>409</v>
      </c>
      <c r="AL464" s="49"/>
      <c r="AM464" s="140"/>
      <c r="AN464" s="141"/>
      <c r="AO464" s="4002">
        <f>((Transfer!AE215-Transfer!AD215)/Transfer!AD215)/((Transfer!AE161-Transfer!AD161)/Transfer!AD161)</f>
        <v>1.0299690092046847</v>
      </c>
      <c r="AP464" s="4003"/>
      <c r="AQ464" s="4002">
        <f>((Transfer!AF215-Transfer!AE215)/Transfer!AE215)/((Transfer!AF161-Transfer!AE161)/Transfer!AE161)</f>
        <v>0.93835725732731534</v>
      </c>
      <c r="AR464" s="4003"/>
      <c r="AS464" s="4002">
        <f>((Transfer!AG215-Transfer!AF215)/Transfer!AF215)/((Transfer!AG161-Transfer!AF161)/Transfer!AF161)</f>
        <v>0.99566016763912968</v>
      </c>
      <c r="AT464" s="4004"/>
      <c r="AU464" s="199"/>
      <c r="AV464" s="54"/>
      <c r="AW464" s="54"/>
      <c r="AX464" s="54"/>
      <c r="AY464" s="54"/>
      <c r="AZ464" s="54"/>
      <c r="BA464" s="1753" t="s">
        <v>1064</v>
      </c>
      <c r="BB464" s="1754"/>
      <c r="BC464" s="54"/>
    </row>
    <row r="465" spans="1:256">
      <c r="A465" s="45"/>
      <c r="B465" s="1720"/>
      <c r="C465" s="1721" t="s">
        <v>410</v>
      </c>
      <c r="D465" s="2420"/>
      <c r="E465" s="2845"/>
      <c r="F465" s="2446"/>
      <c r="G465" s="3837">
        <f ca="1">+Transfer!C260</f>
        <v>7.0611507842217787</v>
      </c>
      <c r="H465" s="3838"/>
      <c r="I465" s="3838"/>
      <c r="J465" s="3838"/>
      <c r="K465" s="3838"/>
      <c r="L465" s="3839"/>
      <c r="M465" s="2437"/>
      <c r="N465" s="54"/>
      <c r="O465" s="54"/>
      <c r="P465" s="54"/>
      <c r="Q465" s="54"/>
      <c r="R465" s="54"/>
      <c r="S465" s="190"/>
      <c r="T465" s="101" t="s">
        <v>410</v>
      </c>
      <c r="U465" s="49"/>
      <c r="V465" s="140"/>
      <c r="W465" s="92"/>
      <c r="X465" s="4019">
        <f t="shared" ca="1" si="32"/>
        <v>0</v>
      </c>
      <c r="Y465" s="4020">
        <f t="shared" si="32"/>
        <v>0</v>
      </c>
      <c r="Z465" s="4020">
        <f t="shared" si="32"/>
        <v>0</v>
      </c>
      <c r="AA465" s="4020">
        <f t="shared" si="32"/>
        <v>0</v>
      </c>
      <c r="AB465" s="4020">
        <f t="shared" si="32"/>
        <v>0</v>
      </c>
      <c r="AC465" s="4021">
        <f t="shared" si="32"/>
        <v>0</v>
      </c>
      <c r="AD465" s="82"/>
      <c r="AE465" s="45"/>
      <c r="AF465" s="45"/>
      <c r="AG465" s="45"/>
      <c r="AH465" s="45"/>
      <c r="AI465" s="45"/>
      <c r="AJ465" s="190"/>
      <c r="AK465" s="101" t="s">
        <v>410</v>
      </c>
      <c r="AL465" s="49"/>
      <c r="AM465" s="140"/>
      <c r="AN465" s="92"/>
      <c r="AO465" s="3998">
        <f>+Transfer!AC260</f>
        <v>7.0511582533608177</v>
      </c>
      <c r="AP465" s="3999"/>
      <c r="AQ465" s="3999"/>
      <c r="AR465" s="3999"/>
      <c r="AS465" s="3999"/>
      <c r="AT465" s="4000"/>
      <c r="AU465" s="82"/>
      <c r="AV465" s="54"/>
      <c r="AW465" s="54"/>
      <c r="AX465" s="54"/>
      <c r="AY465" s="54"/>
      <c r="AZ465" s="54"/>
      <c r="BA465" s="1753" t="s">
        <v>1065</v>
      </c>
      <c r="BB465" s="1754"/>
      <c r="BC465" s="54"/>
    </row>
    <row r="466" spans="1:256">
      <c r="A466" s="45"/>
      <c r="B466" s="1720"/>
      <c r="C466" s="1721" t="s">
        <v>1381</v>
      </c>
      <c r="D466" s="2420"/>
      <c r="E466" s="2845"/>
      <c r="F466" s="2759"/>
      <c r="G466" s="3987">
        <f ca="1">100*Transfer!E215/Transfer!E161</f>
        <v>7.0951414419539045</v>
      </c>
      <c r="H466" s="3988"/>
      <c r="I466" s="3987">
        <f ca="1">100*Transfer!F215/Transfer!F161</f>
        <v>7.1326648832971919</v>
      </c>
      <c r="J466" s="3988"/>
      <c r="K466" s="3987">
        <f ca="1">100*Transfer!G215/Transfer!G161</f>
        <v>7.1743061673204611</v>
      </c>
      <c r="L466" s="3989"/>
      <c r="M466" s="2520"/>
      <c r="N466" s="54"/>
      <c r="O466" s="54"/>
      <c r="P466" s="54"/>
      <c r="Q466" s="54"/>
      <c r="R466" s="54"/>
      <c r="S466" s="190"/>
      <c r="T466" s="101" t="s">
        <v>1381</v>
      </c>
      <c r="U466" s="49"/>
      <c r="V466" s="140"/>
      <c r="W466" s="141"/>
      <c r="X466" s="4022">
        <f t="shared" ca="1" si="32"/>
        <v>0</v>
      </c>
      <c r="Y466" s="4025">
        <f t="shared" si="32"/>
        <v>0</v>
      </c>
      <c r="Z466" s="4022">
        <f t="shared" ca="1" si="32"/>
        <v>9.9999999999999645E-2</v>
      </c>
      <c r="AA466" s="4025">
        <f t="shared" si="32"/>
        <v>0</v>
      </c>
      <c r="AB466" s="4022">
        <f t="shared" ca="1" si="32"/>
        <v>0.20000000000000018</v>
      </c>
      <c r="AC466" s="4023">
        <f t="shared" si="32"/>
        <v>0</v>
      </c>
      <c r="AD466" s="199"/>
      <c r="AE466" s="45"/>
      <c r="AF466" s="45"/>
      <c r="AG466" s="45"/>
      <c r="AH466" s="45"/>
      <c r="AI466" s="45"/>
      <c r="AJ466" s="190"/>
      <c r="AK466" s="101" t="s">
        <v>1381</v>
      </c>
      <c r="AL466" s="49"/>
      <c r="AM466" s="140"/>
      <c r="AN466" s="141"/>
      <c r="AO466" s="4002">
        <f>100*Transfer!AE215/Transfer!AE161</f>
        <v>7.063780851219339</v>
      </c>
      <c r="AP466" s="4003"/>
      <c r="AQ466" s="4002">
        <f>100*Transfer!AF215/Transfer!AF161</f>
        <v>7.0453431520494911</v>
      </c>
      <c r="AR466" s="4003"/>
      <c r="AS466" s="4002">
        <f>100*Transfer!AG215/Transfer!AG161</f>
        <v>7.0442244726963894</v>
      </c>
      <c r="AT466" s="4004"/>
      <c r="AU466" s="199"/>
      <c r="AV466" s="54"/>
      <c r="AW466" s="54"/>
      <c r="AX466" s="54"/>
      <c r="AY466" s="54"/>
      <c r="AZ466" s="54"/>
      <c r="BA466" s="1753" t="s">
        <v>1066</v>
      </c>
      <c r="BB466" s="1754"/>
      <c r="BC466" s="54"/>
    </row>
    <row r="467" spans="1:256" ht="13.15" thickBot="1">
      <c r="A467" s="45"/>
      <c r="B467" s="1720"/>
      <c r="C467" s="2464" t="s">
        <v>1382</v>
      </c>
      <c r="D467" s="2803"/>
      <c r="E467" s="2849"/>
      <c r="F467" s="2805"/>
      <c r="G467" s="3832">
        <f ca="1">100*(((Transfer!E215/Transfer!D215)-1)-(Sector1!$F$287*((Transfer!E161/Transfer!D161)-1)))*(Transfer!D215/Transfer!E147)</f>
        <v>8.1806569558697095E-3</v>
      </c>
      <c r="H467" s="3833"/>
      <c r="I467" s="3834">
        <f ca="1">100*(((Transfer!F215/Transfer!E215)-1)-(Sector1!$F$287*((Transfer!F161/Transfer!E161)-1)))*(Transfer!E215/Transfer!F147)</f>
        <v>2.3331240529265711E-2</v>
      </c>
      <c r="J467" s="3835"/>
      <c r="K467" s="3834">
        <f ca="1">100*(((Transfer!G215/Transfer!F215)-1)-(Sector1!$F$287*((Transfer!G161/Transfer!F161)-1)))*(Transfer!F215/Transfer!G147)</f>
        <v>2.4530576339337626E-2</v>
      </c>
      <c r="L467" s="3836"/>
      <c r="M467" s="2798"/>
      <c r="N467" s="54"/>
      <c r="O467" s="54"/>
      <c r="P467" s="54"/>
      <c r="Q467" s="54"/>
      <c r="R467" s="54"/>
      <c r="S467" s="190"/>
      <c r="T467" s="109" t="s">
        <v>1382</v>
      </c>
      <c r="U467" s="183"/>
      <c r="V467" s="1780"/>
      <c r="W467" s="469"/>
      <c r="X467" s="4026">
        <f t="shared" ca="1" si="32"/>
        <v>0</v>
      </c>
      <c r="Y467" s="4027">
        <f t="shared" si="32"/>
        <v>0</v>
      </c>
      <c r="Z467" s="4026">
        <f t="shared" ca="1" si="32"/>
        <v>0</v>
      </c>
      <c r="AA467" s="4027">
        <f t="shared" si="32"/>
        <v>0</v>
      </c>
      <c r="AB467" s="4026">
        <f t="shared" ca="1" si="32"/>
        <v>0</v>
      </c>
      <c r="AC467" s="4028">
        <f t="shared" si="32"/>
        <v>0</v>
      </c>
      <c r="AD467" s="468"/>
      <c r="AE467" s="45"/>
      <c r="AF467" s="45"/>
      <c r="AG467" s="45"/>
      <c r="AH467" s="45"/>
      <c r="AI467" s="45"/>
      <c r="AJ467" s="190"/>
      <c r="AK467" s="109" t="s">
        <v>1382</v>
      </c>
      <c r="AL467" s="183"/>
      <c r="AM467" s="1780"/>
      <c r="AN467" s="469"/>
      <c r="AO467" s="4033">
        <f>100*(((Transfer!AE215/Transfer!AD215)-1)-(Sector1!$F$287*((Transfer!AE161/Transfer!AD161)-1)))*(Transfer!AD215/Transfer!AE147)</f>
        <v>1.1836359522665494E-2</v>
      </c>
      <c r="AP467" s="4034"/>
      <c r="AQ467" s="4029">
        <f>100*(((Transfer!AF215/Transfer!AE215)-1)-(Sector1!$F$287*((Transfer!AF161/Transfer!AE161)-1)))*(Transfer!AE215/Transfer!AF147)</f>
        <v>-1.6294372594637576E-3</v>
      </c>
      <c r="AR467" s="4030"/>
      <c r="AS467" s="4029">
        <f>100*(((Transfer!AG215/Transfer!AF215)-1)-(Sector1!$F$287*((Transfer!AG161/Transfer!AF161)-1)))*(Transfer!AF215/Transfer!AG147)</f>
        <v>5.478202484955591E-3</v>
      </c>
      <c r="AT467" s="4031"/>
      <c r="AU467" s="468"/>
      <c r="AV467" s="54"/>
      <c r="AW467" s="54"/>
      <c r="AX467" s="54"/>
      <c r="AY467" s="54"/>
      <c r="AZ467" s="54"/>
      <c r="BA467" s="1791" t="s">
        <v>1067</v>
      </c>
      <c r="BB467" s="1757"/>
      <c r="BC467" s="54"/>
    </row>
    <row r="468" spans="1:256" ht="13.15">
      <c r="A468" s="45"/>
      <c r="B468" s="1756"/>
      <c r="C468" s="2545"/>
      <c r="D468" s="2545"/>
      <c r="E468" s="2545"/>
      <c r="F468" s="2545"/>
      <c r="G468" s="2545"/>
      <c r="H468" s="2545"/>
      <c r="I468" s="2545"/>
      <c r="J468" s="2545"/>
      <c r="K468" s="2545"/>
      <c r="L468" s="2469" t="str">
        <f>UPPER(Country)</f>
        <v>SWEDEN</v>
      </c>
      <c r="M468" s="2546"/>
      <c r="N468" s="54"/>
      <c r="O468" s="54"/>
      <c r="P468" s="54"/>
      <c r="Q468" s="54"/>
      <c r="R468" s="54"/>
      <c r="S468" s="215"/>
      <c r="T468" s="113"/>
      <c r="U468" s="113"/>
      <c r="V468" s="113"/>
      <c r="W468" s="113"/>
      <c r="X468" s="113"/>
      <c r="Y468" s="113"/>
      <c r="Z468" s="113"/>
      <c r="AA468" s="113"/>
      <c r="AB468" s="113"/>
      <c r="AC468" s="118" t="str">
        <f>UPPER(Country)</f>
        <v>SWEDEN</v>
      </c>
      <c r="AD468" s="216"/>
      <c r="AE468" s="45"/>
      <c r="AF468" s="45"/>
      <c r="AG468" s="45"/>
      <c r="AH468" s="45"/>
      <c r="AI468" s="45"/>
      <c r="AJ468" s="215"/>
      <c r="AK468" s="113"/>
      <c r="AL468" s="113"/>
      <c r="AM468" s="113"/>
      <c r="AN468" s="113"/>
      <c r="AO468" s="113"/>
      <c r="AP468" s="113"/>
      <c r="AQ468" s="113"/>
      <c r="AR468" s="113"/>
      <c r="AS468" s="113"/>
      <c r="AT468" s="118" t="str">
        <f>UPPER(Country)</f>
        <v>SWEDEN</v>
      </c>
      <c r="AU468" s="216"/>
      <c r="AV468" s="54"/>
      <c r="AW468" s="54"/>
      <c r="AX468" s="54"/>
      <c r="AY468" s="54"/>
      <c r="AZ468" s="54"/>
      <c r="BA468" s="54"/>
      <c r="BB468" s="54"/>
      <c r="BC468" s="54"/>
    </row>
    <row r="469" spans="1:256">
      <c r="A469" s="45"/>
      <c r="B469" s="45"/>
      <c r="C469" s="45"/>
      <c r="D469" s="45"/>
      <c r="E469" s="45"/>
      <c r="F469" s="45"/>
      <c r="G469" s="45"/>
      <c r="H469" s="45"/>
      <c r="I469" s="45"/>
      <c r="J469" s="45"/>
      <c r="K469" s="45"/>
      <c r="L469" s="45"/>
      <c r="M469" s="45"/>
      <c r="N469" s="45"/>
      <c r="O469" s="54"/>
      <c r="P469" s="54"/>
      <c r="Q469" s="54"/>
      <c r="R469" s="54"/>
      <c r="S469" s="54"/>
      <c r="T469" s="54"/>
      <c r="U469" s="54"/>
      <c r="V469" s="54"/>
      <c r="W469" s="54"/>
      <c r="X469" s="54"/>
      <c r="Y469" s="54"/>
      <c r="Z469" s="54"/>
      <c r="AA469" s="54"/>
      <c r="AB469" s="45"/>
      <c r="AC469" s="45"/>
      <c r="AD469" s="45"/>
      <c r="AE469" s="45"/>
      <c r="AF469" s="45"/>
      <c r="AG469" s="45"/>
      <c r="AH469" s="45"/>
      <c r="AI469" s="45"/>
      <c r="AJ469" s="45"/>
      <c r="AK469" s="45"/>
      <c r="AL469" s="45"/>
      <c r="AM469" s="45"/>
      <c r="AN469" s="45"/>
      <c r="AO469" s="45"/>
      <c r="AP469" s="45"/>
      <c r="AQ469" s="45"/>
      <c r="AR469" s="45"/>
      <c r="AS469" s="45"/>
      <c r="AT469" s="45"/>
      <c r="AU469" s="45"/>
      <c r="AV469" s="45"/>
      <c r="AW469" s="54"/>
      <c r="AX469" s="54"/>
      <c r="AY469" s="54"/>
      <c r="AZ469" s="54"/>
      <c r="BA469" s="54"/>
      <c r="BB469" s="54"/>
      <c r="BC469" s="54"/>
    </row>
    <row r="470" spans="1:256">
      <c r="A470" s="45"/>
      <c r="B470" s="45"/>
      <c r="C470" s="45"/>
      <c r="D470" s="45"/>
      <c r="E470" s="45"/>
      <c r="F470" s="45"/>
      <c r="G470" s="45"/>
      <c r="H470" s="45"/>
      <c r="I470" s="45"/>
      <c r="J470" s="45"/>
      <c r="K470" s="45"/>
      <c r="L470" s="45"/>
      <c r="M470" s="45"/>
      <c r="N470" s="45"/>
      <c r="O470" s="54"/>
      <c r="P470" s="54"/>
      <c r="Q470" s="54"/>
      <c r="R470" s="54"/>
      <c r="S470" s="54"/>
      <c r="T470" s="54"/>
      <c r="U470" s="54"/>
      <c r="V470" s="54"/>
      <c r="W470" s="54"/>
      <c r="X470" s="54"/>
      <c r="Y470" s="54"/>
      <c r="Z470" s="54"/>
      <c r="AA470" s="54"/>
      <c r="AB470" s="45"/>
      <c r="AC470" s="45"/>
      <c r="AD470" s="45"/>
      <c r="AE470" s="45"/>
      <c r="AF470" s="45"/>
      <c r="AG470" s="45"/>
      <c r="AH470" s="45"/>
      <c r="AI470" s="45"/>
      <c r="AJ470" s="45"/>
      <c r="AK470" s="45"/>
      <c r="AL470" s="45"/>
      <c r="AM470" s="45"/>
      <c r="AN470" s="45"/>
      <c r="AO470" s="45"/>
      <c r="AP470" s="45"/>
      <c r="AQ470" s="45"/>
      <c r="AR470" s="45"/>
      <c r="AS470" s="45"/>
      <c r="AT470" s="45"/>
      <c r="AU470" s="45"/>
      <c r="AV470" s="45"/>
      <c r="AW470" s="54"/>
      <c r="AX470" s="54"/>
      <c r="AY470" s="54"/>
      <c r="AZ470" s="54"/>
      <c r="BA470" s="54"/>
      <c r="BB470" s="54"/>
      <c r="BC470" s="54"/>
    </row>
    <row r="471" spans="1:256">
      <c r="A471" s="45"/>
      <c r="B471" s="45"/>
      <c r="C471" s="45"/>
      <c r="D471" s="45"/>
      <c r="E471" s="45"/>
      <c r="F471" s="45"/>
      <c r="G471" s="45"/>
      <c r="H471" s="45"/>
      <c r="I471" s="45"/>
      <c r="J471" s="45"/>
      <c r="K471" s="45"/>
      <c r="L471" s="45"/>
      <c r="M471" s="45"/>
      <c r="N471" s="45"/>
      <c r="O471" s="54"/>
      <c r="P471" s="54"/>
      <c r="Q471" s="54"/>
      <c r="R471" s="54"/>
      <c r="S471" s="54"/>
      <c r="T471" s="54"/>
      <c r="U471" s="54"/>
      <c r="V471" s="54"/>
      <c r="W471" s="54"/>
      <c r="X471" s="54"/>
      <c r="Y471" s="54"/>
      <c r="Z471" s="54"/>
      <c r="AA471" s="54"/>
      <c r="AB471" s="45"/>
      <c r="AC471" s="45"/>
      <c r="AD471" s="45"/>
      <c r="AE471" s="45"/>
      <c r="AF471" s="45"/>
      <c r="AG471" s="45"/>
      <c r="AH471" s="45"/>
      <c r="AI471" s="45"/>
      <c r="AJ471" s="45"/>
      <c r="AK471" s="45"/>
      <c r="AL471" s="45"/>
      <c r="AM471" s="45"/>
      <c r="AN471" s="45"/>
      <c r="AO471" s="45"/>
      <c r="AP471" s="45"/>
      <c r="AQ471" s="45"/>
      <c r="AR471" s="45"/>
      <c r="AS471" s="45"/>
      <c r="AT471" s="45"/>
      <c r="AU471" s="45"/>
      <c r="AV471" s="45"/>
      <c r="AW471" s="54"/>
      <c r="AX471" s="54"/>
      <c r="AY471" s="54"/>
      <c r="AZ471" s="54"/>
      <c r="BA471" s="54"/>
      <c r="BB471" s="54"/>
      <c r="BC471" s="54"/>
    </row>
    <row r="472" spans="1:256">
      <c r="A472" s="45"/>
      <c r="B472" s="45"/>
      <c r="C472" s="45"/>
      <c r="D472" s="45"/>
      <c r="E472" s="45"/>
      <c r="F472" s="45"/>
      <c r="G472" s="1775"/>
      <c r="H472" s="1775"/>
      <c r="I472" s="1775"/>
      <c r="J472" s="1775"/>
      <c r="K472" s="1775"/>
      <c r="L472" s="1775"/>
      <c r="M472" s="45"/>
      <c r="N472" s="45"/>
      <c r="O472" s="45"/>
      <c r="P472" s="54"/>
      <c r="Q472" s="54"/>
      <c r="R472" s="54"/>
      <c r="S472" s="54"/>
      <c r="T472" s="54"/>
      <c r="U472" s="54"/>
      <c r="V472" s="54"/>
      <c r="W472" s="54"/>
      <c r="X472" s="54"/>
      <c r="Y472" s="54"/>
      <c r="Z472" s="54"/>
      <c r="AA472" s="54"/>
      <c r="AB472" s="45"/>
      <c r="AC472" s="45"/>
      <c r="AD472" s="45"/>
      <c r="AE472" s="45"/>
      <c r="AF472" s="45"/>
      <c r="AG472" s="45"/>
      <c r="AH472" s="45"/>
      <c r="AI472" s="45"/>
      <c r="AJ472" s="45"/>
      <c r="AK472" s="45"/>
      <c r="AL472" s="45"/>
      <c r="AM472" s="45"/>
      <c r="AN472" s="45"/>
      <c r="AO472" s="45"/>
      <c r="AP472" s="45"/>
      <c r="AQ472" s="45"/>
      <c r="AR472" s="45"/>
      <c r="AS472" s="45"/>
      <c r="AT472" s="45"/>
      <c r="AU472" s="45"/>
      <c r="AV472" s="45"/>
      <c r="AW472" s="54"/>
      <c r="AX472" s="54"/>
      <c r="AY472" s="54"/>
      <c r="AZ472" s="54"/>
      <c r="BA472" s="54"/>
      <c r="BB472" s="54"/>
      <c r="BC472" s="54"/>
    </row>
    <row r="473" spans="1:256" s="217" customFormat="1" ht="13.15">
      <c r="A473" s="54"/>
      <c r="B473" s="2597"/>
      <c r="C473" s="2411" t="s">
        <v>356</v>
      </c>
      <c r="D473" s="2850"/>
      <c r="E473" s="2850"/>
      <c r="F473" s="2850"/>
      <c r="G473" s="2850"/>
      <c r="H473" s="2850"/>
      <c r="I473" s="2850"/>
      <c r="J473" s="2850"/>
      <c r="K473" s="2850"/>
      <c r="L473" s="2850"/>
      <c r="M473" s="2850"/>
      <c r="N473" s="2851"/>
      <c r="O473" s="54"/>
      <c r="P473" s="54"/>
      <c r="Q473" s="54"/>
      <c r="R473" s="54"/>
      <c r="S473" s="257"/>
      <c r="T473" s="56" t="s">
        <v>356</v>
      </c>
      <c r="U473" s="2384"/>
      <c r="V473" s="2384"/>
      <c r="W473" s="2384"/>
      <c r="X473" s="2384"/>
      <c r="Y473" s="2384"/>
      <c r="Z473" s="2384"/>
      <c r="AA473" s="2384"/>
      <c r="AB473" s="2384"/>
      <c r="AC473" s="2384"/>
      <c r="AD473" s="2384"/>
      <c r="AE473" s="2385"/>
      <c r="AF473" s="45"/>
      <c r="AG473" s="45"/>
      <c r="AH473" s="45"/>
      <c r="AI473" s="45"/>
      <c r="AJ473" s="257"/>
      <c r="AK473" s="56" t="s">
        <v>356</v>
      </c>
      <c r="AL473" s="2384"/>
      <c r="AM473" s="2384"/>
      <c r="AN473" s="2384"/>
      <c r="AO473" s="2384"/>
      <c r="AP473" s="2384"/>
      <c r="AQ473" s="2384"/>
      <c r="AR473" s="2384"/>
      <c r="AS473" s="2384"/>
      <c r="AT473" s="2384"/>
      <c r="AU473" s="2384"/>
      <c r="AV473" s="2385"/>
      <c r="AW473" s="54"/>
      <c r="AX473" s="54"/>
      <c r="AY473" s="54"/>
      <c r="AZ473" s="54"/>
      <c r="BA473" s="54"/>
      <c r="BB473" s="54"/>
      <c r="BC473" s="54"/>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ER473"/>
      <c r="ES473"/>
      <c r="ET473"/>
      <c r="EU473"/>
      <c r="EV473"/>
      <c r="EW473"/>
      <c r="EX473"/>
      <c r="EY473"/>
      <c r="EZ473"/>
      <c r="FA473"/>
      <c r="FB473"/>
      <c r="FC473"/>
      <c r="FD473"/>
      <c r="FE473"/>
      <c r="FF473"/>
      <c r="FG473"/>
      <c r="FH473"/>
      <c r="FI473"/>
      <c r="FJ473"/>
      <c r="FK473"/>
      <c r="FL473"/>
      <c r="FM473"/>
      <c r="FN473"/>
      <c r="FO473"/>
      <c r="FP473"/>
      <c r="FQ473"/>
      <c r="FR473"/>
      <c r="FS473"/>
      <c r="FT473"/>
      <c r="FU473"/>
      <c r="FV473"/>
      <c r="FW473"/>
      <c r="FX473"/>
      <c r="FY473"/>
      <c r="FZ473"/>
      <c r="GA473"/>
      <c r="GB473"/>
      <c r="GC473"/>
      <c r="GD473"/>
      <c r="GE473"/>
      <c r="GF473"/>
      <c r="GG473"/>
      <c r="GH473"/>
      <c r="GI473"/>
      <c r="GJ473"/>
      <c r="GK473"/>
      <c r="GL473"/>
      <c r="GM473"/>
      <c r="GN473"/>
      <c r="GO473"/>
      <c r="GP473"/>
      <c r="GQ473"/>
      <c r="GR473"/>
      <c r="GS473"/>
      <c r="GT473"/>
      <c r="GU473"/>
      <c r="GV473"/>
      <c r="GW473"/>
      <c r="GX473"/>
      <c r="GY473"/>
      <c r="GZ473"/>
      <c r="HA473"/>
      <c r="HB473"/>
      <c r="HC473"/>
      <c r="HD473"/>
      <c r="HE473"/>
      <c r="HF473"/>
      <c r="HG473"/>
      <c r="HH473"/>
      <c r="HI473"/>
      <c r="HJ473"/>
      <c r="HK473"/>
      <c r="HL473"/>
      <c r="HM473"/>
      <c r="HN473"/>
      <c r="HO473"/>
      <c r="HP473"/>
      <c r="HQ473"/>
      <c r="HR473"/>
      <c r="HS473"/>
      <c r="HT473"/>
      <c r="HU473"/>
      <c r="HV473"/>
      <c r="HW473"/>
      <c r="HX473"/>
      <c r="HY473"/>
      <c r="HZ473"/>
      <c r="IA473"/>
      <c r="IB473"/>
      <c r="IC473"/>
      <c r="ID473"/>
      <c r="IE473"/>
      <c r="IF473"/>
      <c r="IG473"/>
      <c r="IH473"/>
      <c r="II473"/>
      <c r="IJ473"/>
      <c r="IK473"/>
      <c r="IL473"/>
      <c r="IM473"/>
      <c r="IN473"/>
      <c r="IO473"/>
      <c r="IP473"/>
      <c r="IQ473"/>
      <c r="IR473"/>
      <c r="IS473"/>
      <c r="IT473"/>
      <c r="IU473"/>
      <c r="IV473"/>
    </row>
    <row r="474" spans="1:256" s="217" customFormat="1" ht="13.15">
      <c r="A474" s="54"/>
      <c r="B474" s="2052"/>
      <c r="C474" s="3888" t="s">
        <v>357</v>
      </c>
      <c r="D474" s="3888"/>
      <c r="E474" s="3888"/>
      <c r="F474" s="3888"/>
      <c r="G474" s="3888"/>
      <c r="H474" s="3888"/>
      <c r="I474" s="3888"/>
      <c r="J474" s="3888"/>
      <c r="K474" s="3888"/>
      <c r="L474" s="3888"/>
      <c r="M474" s="3888"/>
      <c r="N474" s="2520"/>
      <c r="O474" s="54"/>
      <c r="P474" s="54"/>
      <c r="Q474" s="54"/>
      <c r="R474" s="54"/>
      <c r="S474" s="259"/>
      <c r="T474" s="4032" t="s">
        <v>357</v>
      </c>
      <c r="U474" s="4032"/>
      <c r="V474" s="4032"/>
      <c r="W474" s="4032"/>
      <c r="X474" s="4032"/>
      <c r="Y474" s="4032"/>
      <c r="Z474" s="4032"/>
      <c r="AA474" s="4032"/>
      <c r="AB474" s="4032"/>
      <c r="AC474" s="4032"/>
      <c r="AD474" s="4032"/>
      <c r="AE474" s="199"/>
      <c r="AF474" s="45"/>
      <c r="AG474" s="45"/>
      <c r="AH474" s="45"/>
      <c r="AI474" s="45"/>
      <c r="AJ474" s="259"/>
      <c r="AK474" s="4032" t="s">
        <v>357</v>
      </c>
      <c r="AL474" s="4032"/>
      <c r="AM474" s="4032"/>
      <c r="AN474" s="4032"/>
      <c r="AO474" s="4032"/>
      <c r="AP474" s="4032"/>
      <c r="AQ474" s="4032"/>
      <c r="AR474" s="4032"/>
      <c r="AS474" s="4032"/>
      <c r="AT474" s="4032"/>
      <c r="AU474" s="4032"/>
      <c r="AV474" s="199"/>
      <c r="AW474" s="54"/>
      <c r="AX474" s="54"/>
      <c r="AY474" s="54"/>
      <c r="AZ474" s="54"/>
      <c r="BA474" s="54"/>
      <c r="BB474" s="54"/>
      <c r="BC474" s="5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ER474"/>
      <c r="ES474"/>
      <c r="ET474"/>
      <c r="EU474"/>
      <c r="EV474"/>
      <c r="EW474"/>
      <c r="EX474"/>
      <c r="EY474"/>
      <c r="EZ474"/>
      <c r="FA474"/>
      <c r="FB474"/>
      <c r="FC474"/>
      <c r="FD474"/>
      <c r="FE474"/>
      <c r="FF474"/>
      <c r="FG474"/>
      <c r="FH474"/>
      <c r="FI474"/>
      <c r="FJ474"/>
      <c r="FK474"/>
      <c r="FL474"/>
      <c r="FM474"/>
      <c r="FN474"/>
      <c r="FO474"/>
      <c r="FP474"/>
      <c r="FQ474"/>
      <c r="FR474"/>
      <c r="FS474"/>
      <c r="FT474"/>
      <c r="FU474"/>
      <c r="FV474"/>
      <c r="FW474"/>
      <c r="FX474"/>
      <c r="FY474"/>
      <c r="FZ474"/>
      <c r="GA474"/>
      <c r="GB474"/>
      <c r="GC474"/>
      <c r="GD474"/>
      <c r="GE474"/>
      <c r="GF474"/>
      <c r="GG474"/>
      <c r="GH474"/>
      <c r="GI474"/>
      <c r="GJ474"/>
      <c r="GK474"/>
      <c r="GL474"/>
      <c r="GM474"/>
      <c r="GN474"/>
      <c r="GO474"/>
      <c r="GP474"/>
      <c r="GQ474"/>
      <c r="GR474"/>
      <c r="GS474"/>
      <c r="GT474"/>
      <c r="GU474"/>
      <c r="GV474"/>
      <c r="GW474"/>
      <c r="GX474"/>
      <c r="GY474"/>
      <c r="GZ474"/>
      <c r="HA474"/>
      <c r="HB474"/>
      <c r="HC474"/>
      <c r="HD474"/>
      <c r="HE474"/>
      <c r="HF474"/>
      <c r="HG474"/>
      <c r="HH474"/>
      <c r="HI474"/>
      <c r="HJ474"/>
      <c r="HK474"/>
      <c r="HL474"/>
      <c r="HM474"/>
      <c r="HN474"/>
      <c r="HO474"/>
      <c r="HP474"/>
      <c r="HQ474"/>
      <c r="HR474"/>
      <c r="HS474"/>
      <c r="HT474"/>
      <c r="HU474"/>
      <c r="HV474"/>
      <c r="HW474"/>
      <c r="HX474"/>
      <c r="HY474"/>
      <c r="HZ474"/>
      <c r="IA474"/>
      <c r="IB474"/>
      <c r="IC474"/>
      <c r="ID474"/>
      <c r="IE474"/>
      <c r="IF474"/>
      <c r="IG474"/>
      <c r="IH474"/>
      <c r="II474"/>
      <c r="IJ474"/>
      <c r="IK474"/>
      <c r="IL474"/>
      <c r="IM474"/>
      <c r="IN474"/>
      <c r="IO474"/>
      <c r="IP474"/>
      <c r="IQ474"/>
      <c r="IR474"/>
      <c r="IS474"/>
      <c r="IT474"/>
      <c r="IU474"/>
      <c r="IV474"/>
    </row>
    <row r="475" spans="1:256" s="217" customFormat="1" ht="15">
      <c r="A475" s="54"/>
      <c r="B475" s="2052"/>
      <c r="C475" s="2418" t="str">
        <f>"Country: " &amp;UPPER(Country)</f>
        <v>Country: SWEDEN</v>
      </c>
      <c r="D475" s="2420"/>
      <c r="E475" s="2420"/>
      <c r="F475" s="2420"/>
      <c r="G475" s="2420"/>
      <c r="H475" s="2420"/>
      <c r="I475" s="2420"/>
      <c r="J475" s="2420"/>
      <c r="K475" s="2420"/>
      <c r="L475" s="2420"/>
      <c r="M475" s="2420"/>
      <c r="N475" s="2520"/>
      <c r="O475" s="54"/>
      <c r="P475" s="54"/>
      <c r="Q475" s="54"/>
      <c r="R475" s="54"/>
      <c r="S475" s="259"/>
      <c r="T475" s="130" t="str">
        <f>"Country: " &amp;UPPER(Country)</f>
        <v>Country: SWEDEN</v>
      </c>
      <c r="U475" s="49"/>
      <c r="V475" s="49"/>
      <c r="W475" s="2066" t="s">
        <v>1553</v>
      </c>
      <c r="X475" s="49"/>
      <c r="Y475" s="49"/>
      <c r="Z475" s="49"/>
      <c r="AA475" s="49"/>
      <c r="AB475" s="49"/>
      <c r="AC475" s="49"/>
      <c r="AD475" s="49"/>
      <c r="AE475" s="199"/>
      <c r="AF475" s="45"/>
      <c r="AG475" s="45"/>
      <c r="AH475" s="45"/>
      <c r="AI475" s="45"/>
      <c r="AJ475" s="259"/>
      <c r="AK475" s="130" t="str">
        <f>"Country: " &amp;UPPER(Country)</f>
        <v>Country: SWEDEN</v>
      </c>
      <c r="AL475" s="49"/>
      <c r="AM475" s="49"/>
      <c r="AN475" s="49"/>
      <c r="AO475" s="49"/>
      <c r="AP475" s="49"/>
      <c r="AQ475" s="49"/>
      <c r="AR475" s="49"/>
      <c r="AS475" s="49"/>
      <c r="AT475" s="49"/>
      <c r="AU475" s="49"/>
      <c r="AV475" s="199"/>
      <c r="AW475" s="54"/>
      <c r="AX475" s="54"/>
      <c r="AY475" s="54"/>
      <c r="AZ475" s="54"/>
      <c r="BA475" s="54"/>
      <c r="BB475" s="54"/>
      <c r="BC475" s="54"/>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ER475"/>
      <c r="ES475"/>
      <c r="ET475"/>
      <c r="EU475"/>
      <c r="EV475"/>
      <c r="EW475"/>
      <c r="EX475"/>
      <c r="EY475"/>
      <c r="EZ475"/>
      <c r="FA475"/>
      <c r="FB475"/>
      <c r="FC475"/>
      <c r="FD475"/>
      <c r="FE475"/>
      <c r="FF475"/>
      <c r="FG475"/>
      <c r="FH475"/>
      <c r="FI475"/>
      <c r="FJ475"/>
      <c r="FK475"/>
      <c r="FL475"/>
      <c r="FM475"/>
      <c r="FN475"/>
      <c r="FO475"/>
      <c r="FP475"/>
      <c r="FQ475"/>
      <c r="FR475"/>
      <c r="FS475"/>
      <c r="FT475"/>
      <c r="FU475"/>
      <c r="FV475"/>
      <c r="FW475"/>
      <c r="FX475"/>
      <c r="FY475"/>
      <c r="FZ475"/>
      <c r="GA475"/>
      <c r="GB475"/>
      <c r="GC475"/>
      <c r="GD475"/>
      <c r="GE475"/>
      <c r="GF475"/>
      <c r="GG475"/>
      <c r="GH475"/>
      <c r="GI475"/>
      <c r="GJ475"/>
      <c r="GK475"/>
      <c r="GL475"/>
      <c r="GM475"/>
      <c r="GN475"/>
      <c r="GO475"/>
      <c r="GP475"/>
      <c r="GQ475"/>
      <c r="GR475"/>
      <c r="GS475"/>
      <c r="GT475"/>
      <c r="GU475"/>
      <c r="GV475"/>
      <c r="GW475"/>
      <c r="GX475"/>
      <c r="GY475"/>
      <c r="GZ475"/>
      <c r="HA475"/>
      <c r="HB475"/>
      <c r="HC475"/>
      <c r="HD475"/>
      <c r="HE475"/>
      <c r="HF475"/>
      <c r="HG475"/>
      <c r="HH475"/>
      <c r="HI475"/>
      <c r="HJ475"/>
      <c r="HK475"/>
      <c r="HL475"/>
      <c r="HM475"/>
      <c r="HN475"/>
      <c r="HO475"/>
      <c r="HP475"/>
      <c r="HQ475"/>
      <c r="HR475"/>
      <c r="HS475"/>
      <c r="HT475"/>
      <c r="HU475"/>
      <c r="HV475"/>
      <c r="HW475"/>
      <c r="HX475"/>
      <c r="HY475"/>
      <c r="HZ475"/>
      <c r="IA475"/>
      <c r="IB475"/>
      <c r="IC475"/>
      <c r="ID475"/>
      <c r="IE475"/>
      <c r="IF475"/>
      <c r="IG475"/>
      <c r="IH475"/>
      <c r="II475"/>
      <c r="IJ475"/>
      <c r="IK475"/>
      <c r="IL475"/>
      <c r="IM475"/>
      <c r="IN475"/>
      <c r="IO475"/>
      <c r="IP475"/>
      <c r="IQ475"/>
      <c r="IR475"/>
      <c r="IS475"/>
      <c r="IT475"/>
      <c r="IU475"/>
      <c r="IV475"/>
    </row>
    <row r="476" spans="1:256" s="217" customFormat="1" ht="15">
      <c r="A476" s="54"/>
      <c r="B476" s="2052"/>
      <c r="C476" s="2418" t="str">
        <f>"Currency unit: " &amp; Currency</f>
        <v>Currency unit: bn SEK</v>
      </c>
      <c r="D476" s="2420"/>
      <c r="E476" s="2420"/>
      <c r="F476" s="2789"/>
      <c r="G476" s="2420"/>
      <c r="H476" s="2549"/>
      <c r="I476" s="2420"/>
      <c r="J476" s="2549"/>
      <c r="K476" s="2549"/>
      <c r="L476" s="2549"/>
      <c r="M476" s="2549"/>
      <c r="N476" s="1754"/>
      <c r="O476" s="54"/>
      <c r="P476" s="54"/>
      <c r="Q476" s="54"/>
      <c r="R476" s="54"/>
      <c r="S476" s="259"/>
      <c r="T476" s="130" t="str">
        <f>"Currency unit: " &amp; Currency</f>
        <v>Currency unit: bn SEK</v>
      </c>
      <c r="U476" s="49"/>
      <c r="V476" s="49"/>
      <c r="W476" s="2066" t="str">
        <f>$T$4</f>
        <v>final storage SF18</v>
      </c>
      <c r="X476" s="49"/>
      <c r="Y476" s="167"/>
      <c r="Z476" s="49"/>
      <c r="AA476" s="167"/>
      <c r="AB476" s="167"/>
      <c r="AC476" s="167"/>
      <c r="AD476" s="167"/>
      <c r="AE476" s="2387"/>
      <c r="AF476" s="45"/>
      <c r="AG476" s="45"/>
      <c r="AH476" s="45"/>
      <c r="AI476" s="45"/>
      <c r="AJ476" s="259"/>
      <c r="AK476" s="130" t="str">
        <f>"Currency unit: " &amp; Currency</f>
        <v>Currency unit: bn SEK</v>
      </c>
      <c r="AL476" s="49"/>
      <c r="AM476" s="49"/>
      <c r="AN476" s="2386"/>
      <c r="AO476" s="49"/>
      <c r="AP476" s="167"/>
      <c r="AQ476" s="49"/>
      <c r="AR476" s="167"/>
      <c r="AS476" s="167"/>
      <c r="AT476" s="167"/>
      <c r="AU476" s="167"/>
      <c r="AV476" s="2387"/>
      <c r="AW476" s="54"/>
      <c r="AX476" s="54"/>
      <c r="AY476" s="54"/>
      <c r="AZ476" s="54"/>
      <c r="BA476" s="54"/>
      <c r="BB476" s="54"/>
      <c r="BC476" s="54"/>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ER476"/>
      <c r="ES476"/>
      <c r="ET476"/>
      <c r="EU476"/>
      <c r="EV476"/>
      <c r="EW476"/>
      <c r="EX476"/>
      <c r="EY476"/>
      <c r="EZ476"/>
      <c r="FA476"/>
      <c r="FB476"/>
      <c r="FC476"/>
      <c r="FD476"/>
      <c r="FE476"/>
      <c r="FF476"/>
      <c r="FG476"/>
      <c r="FH476"/>
      <c r="FI476"/>
      <c r="FJ476"/>
      <c r="FK476"/>
      <c r="FL476"/>
      <c r="FM476"/>
      <c r="FN476"/>
      <c r="FO476"/>
      <c r="FP476"/>
      <c r="FQ476"/>
      <c r="FR476"/>
      <c r="FS476"/>
      <c r="FT476"/>
      <c r="FU476"/>
      <c r="FV476"/>
      <c r="FW476"/>
      <c r="FX476"/>
      <c r="FY476"/>
      <c r="FZ476"/>
      <c r="GA476"/>
      <c r="GB476"/>
      <c r="GC476"/>
      <c r="GD476"/>
      <c r="GE476"/>
      <c r="GF476"/>
      <c r="GG476"/>
      <c r="GH476"/>
      <c r="GI476"/>
      <c r="GJ476"/>
      <c r="GK476"/>
      <c r="GL476"/>
      <c r="GM476"/>
      <c r="GN476"/>
      <c r="GO476"/>
      <c r="GP476"/>
      <c r="GQ476"/>
      <c r="GR476"/>
      <c r="GS476"/>
      <c r="GT476"/>
      <c r="GU476"/>
      <c r="GV476"/>
      <c r="GW476"/>
      <c r="GX476"/>
      <c r="GY476"/>
      <c r="GZ476"/>
      <c r="HA476"/>
      <c r="HB476"/>
      <c r="HC476"/>
      <c r="HD476"/>
      <c r="HE476"/>
      <c r="HF476"/>
      <c r="HG476"/>
      <c r="HH476"/>
      <c r="HI476"/>
      <c r="HJ476"/>
      <c r="HK476"/>
      <c r="HL476"/>
      <c r="HM476"/>
      <c r="HN476"/>
      <c r="HO476"/>
      <c r="HP476"/>
      <c r="HQ476"/>
      <c r="HR476"/>
      <c r="HS476"/>
      <c r="HT476"/>
      <c r="HU476"/>
      <c r="HV476"/>
      <c r="HW476"/>
      <c r="HX476"/>
      <c r="HY476"/>
      <c r="HZ476"/>
      <c r="IA476"/>
      <c r="IB476"/>
      <c r="IC476"/>
      <c r="ID476"/>
      <c r="IE476"/>
      <c r="IF476"/>
      <c r="IG476"/>
      <c r="IH476"/>
      <c r="II476"/>
      <c r="IJ476"/>
      <c r="IK476"/>
      <c r="IL476"/>
      <c r="IM476"/>
      <c r="IN476"/>
      <c r="IO476"/>
      <c r="IP476"/>
      <c r="IQ476"/>
      <c r="IR476"/>
      <c r="IS476"/>
      <c r="IT476"/>
      <c r="IU476"/>
      <c r="IV476"/>
    </row>
    <row r="477" spans="1:256" s="217" customFormat="1" ht="13.15" thickBot="1">
      <c r="A477" s="54"/>
      <c r="B477" s="2052"/>
      <c r="C477" s="2424" t="s">
        <v>576</v>
      </c>
      <c r="D477" s="2549"/>
      <c r="E477" s="2420"/>
      <c r="F477" s="2420"/>
      <c r="G477" s="2420"/>
      <c r="H477" s="2420"/>
      <c r="I477" s="2420"/>
      <c r="J477" s="2420"/>
      <c r="K477" s="2549"/>
      <c r="L477" s="3878">
        <f ca="1">NOW()</f>
        <v>43493.476067824071</v>
      </c>
      <c r="M477" s="3878"/>
      <c r="N477" s="2670"/>
      <c r="O477" s="54"/>
      <c r="P477" s="54"/>
      <c r="Q477" s="54"/>
      <c r="R477" s="54"/>
      <c r="S477" s="259"/>
      <c r="T477" s="134" t="s">
        <v>576</v>
      </c>
      <c r="U477" s="167"/>
      <c r="V477" s="49"/>
      <c r="W477" s="49"/>
      <c r="X477" s="49"/>
      <c r="Y477" s="49"/>
      <c r="Z477" s="49"/>
      <c r="AA477" s="49"/>
      <c r="AB477" s="167"/>
      <c r="AC477" s="4035">
        <f ca="1">NOW()</f>
        <v>43493.476067824071</v>
      </c>
      <c r="AD477" s="4035"/>
      <c r="AE477" s="2388"/>
      <c r="AF477" s="45"/>
      <c r="AG477" s="45"/>
      <c r="AH477" s="45"/>
      <c r="AI477" s="45"/>
      <c r="AJ477" s="259"/>
      <c r="AK477" s="134" t="s">
        <v>576</v>
      </c>
      <c r="AL477" s="167"/>
      <c r="AM477" s="49"/>
      <c r="AN477" s="49"/>
      <c r="AO477" s="49"/>
      <c r="AP477" s="49"/>
      <c r="AQ477" s="49"/>
      <c r="AR477" s="49"/>
      <c r="AS477" s="167"/>
      <c r="AT477" s="4035">
        <f ca="1">NOW()</f>
        <v>43493.476067824071</v>
      </c>
      <c r="AU477" s="4035"/>
      <c r="AV477" s="2388"/>
      <c r="AW477" s="54"/>
      <c r="AX477" s="54"/>
      <c r="AY477" s="54"/>
      <c r="AZ477" s="54"/>
      <c r="BA477" s="54"/>
      <c r="BB477" s="54"/>
      <c r="BC477" s="54"/>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ER477"/>
      <c r="ES477"/>
      <c r="ET477"/>
      <c r="EU477"/>
      <c r="EV477"/>
      <c r="EW477"/>
      <c r="EX477"/>
      <c r="EY477"/>
      <c r="EZ477"/>
      <c r="FA477"/>
      <c r="FB477"/>
      <c r="FC477"/>
      <c r="FD477"/>
      <c r="FE477"/>
      <c r="FF477"/>
      <c r="FG477"/>
      <c r="FH477"/>
      <c r="FI477"/>
      <c r="FJ477"/>
      <c r="FK477"/>
      <c r="FL477"/>
      <c r="FM477"/>
      <c r="FN477"/>
      <c r="FO477"/>
      <c r="FP477"/>
      <c r="FQ477"/>
      <c r="FR477"/>
      <c r="FS477"/>
      <c r="FT477"/>
      <c r="FU477"/>
      <c r="FV477"/>
      <c r="FW477"/>
      <c r="FX477"/>
      <c r="FY477"/>
      <c r="FZ477"/>
      <c r="GA477"/>
      <c r="GB477"/>
      <c r="GC477"/>
      <c r="GD477"/>
      <c r="GE477"/>
      <c r="GF477"/>
      <c r="GG477"/>
      <c r="GH477"/>
      <c r="GI477"/>
      <c r="GJ477"/>
      <c r="GK477"/>
      <c r="GL477"/>
      <c r="GM477"/>
      <c r="GN477"/>
      <c r="GO477"/>
      <c r="GP477"/>
      <c r="GQ477"/>
      <c r="GR477"/>
      <c r="GS477"/>
      <c r="GT477"/>
      <c r="GU477"/>
      <c r="GV477"/>
      <c r="GW477"/>
      <c r="GX477"/>
      <c r="GY477"/>
      <c r="GZ477"/>
      <c r="HA477"/>
      <c r="HB477"/>
      <c r="HC477"/>
      <c r="HD477"/>
      <c r="HE477"/>
      <c r="HF477"/>
      <c r="HG477"/>
      <c r="HH477"/>
      <c r="HI477"/>
      <c r="HJ477"/>
      <c r="HK477"/>
      <c r="HL477"/>
      <c r="HM477"/>
      <c r="HN477"/>
      <c r="HO477"/>
      <c r="HP477"/>
      <c r="HQ477"/>
      <c r="HR477"/>
      <c r="HS477"/>
      <c r="HT477"/>
      <c r="HU477"/>
      <c r="HV477"/>
      <c r="HW477"/>
      <c r="HX477"/>
      <c r="HY477"/>
      <c r="HZ477"/>
      <c r="IA477"/>
      <c r="IB477"/>
      <c r="IC477"/>
      <c r="ID477"/>
      <c r="IE477"/>
      <c r="IF477"/>
      <c r="IG477"/>
      <c r="IH477"/>
      <c r="II477"/>
      <c r="IJ477"/>
      <c r="IK477"/>
      <c r="IL477"/>
      <c r="IM477"/>
      <c r="IN477"/>
      <c r="IO477"/>
      <c r="IP477"/>
      <c r="IQ477"/>
      <c r="IR477"/>
      <c r="IS477"/>
      <c r="IT477"/>
      <c r="IU477"/>
      <c r="IV477"/>
    </row>
    <row r="478" spans="1:256" s="217" customFormat="1" ht="13.5" thickBot="1">
      <c r="A478" s="54"/>
      <c r="B478" s="2052"/>
      <c r="C478" s="2426"/>
      <c r="D478" s="2427"/>
      <c r="E478" s="2473" t="s">
        <v>433</v>
      </c>
      <c r="F478" s="3897">
        <f>+E16</f>
        <v>2017</v>
      </c>
      <c r="G478" s="3898"/>
      <c r="H478" s="3897">
        <f>F478+1</f>
        <v>2018</v>
      </c>
      <c r="I478" s="3898"/>
      <c r="J478" s="3901">
        <f>H478+1</f>
        <v>2019</v>
      </c>
      <c r="K478" s="3898"/>
      <c r="L478" s="3897">
        <f>J478+1</f>
        <v>2020</v>
      </c>
      <c r="M478" s="3902"/>
      <c r="N478" s="2515"/>
      <c r="O478" s="54"/>
      <c r="P478" s="54"/>
      <c r="Q478" s="54"/>
      <c r="R478" s="54"/>
      <c r="S478" s="259"/>
      <c r="T478" s="72"/>
      <c r="U478" s="211"/>
      <c r="V478" s="420" t="s">
        <v>433</v>
      </c>
      <c r="W478" s="3979">
        <f>Last_forecast_year - 3</f>
        <v>2017</v>
      </c>
      <c r="X478" s="3979"/>
      <c r="Y478" s="3927">
        <f>W478+1</f>
        <v>2018</v>
      </c>
      <c r="Z478" s="3928"/>
      <c r="AA478" s="4036">
        <f>Y478+1</f>
        <v>2019</v>
      </c>
      <c r="AB478" s="3928"/>
      <c r="AC478" s="3927">
        <f>AA478+1</f>
        <v>2020</v>
      </c>
      <c r="AD478" s="4037"/>
      <c r="AE478" s="227"/>
      <c r="AF478" s="45"/>
      <c r="AG478" s="45"/>
      <c r="AH478" s="45"/>
      <c r="AI478" s="45"/>
      <c r="AJ478" s="259"/>
      <c r="AK478" s="72"/>
      <c r="AL478" s="211"/>
      <c r="AM478" s="420" t="s">
        <v>433</v>
      </c>
      <c r="AN478" s="3927">
        <v>2005</v>
      </c>
      <c r="AO478" s="3928"/>
      <c r="AP478" s="3927">
        <f>AN478+1</f>
        <v>2006</v>
      </c>
      <c r="AQ478" s="3928"/>
      <c r="AR478" s="4036">
        <f>AP478+1</f>
        <v>2007</v>
      </c>
      <c r="AS478" s="3928"/>
      <c r="AT478" s="3927">
        <f>AR478+1</f>
        <v>2008</v>
      </c>
      <c r="AU478" s="4037"/>
      <c r="AV478" s="227"/>
      <c r="AW478" s="54"/>
      <c r="AX478" s="54"/>
      <c r="AY478" s="54"/>
      <c r="AZ478" s="54"/>
      <c r="BA478" s="54"/>
      <c r="BB478" s="54"/>
      <c r="BC478" s="54"/>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ER478"/>
      <c r="ES478"/>
      <c r="ET478"/>
      <c r="EU478"/>
      <c r="EV478"/>
      <c r="EW478"/>
      <c r="EX478"/>
      <c r="EY478"/>
      <c r="EZ478"/>
      <c r="FA478"/>
      <c r="FB478"/>
      <c r="FC478"/>
      <c r="FD478"/>
      <c r="FE478"/>
      <c r="FF478"/>
      <c r="FG478"/>
      <c r="FH478"/>
      <c r="FI478"/>
      <c r="FJ478"/>
      <c r="FK478"/>
      <c r="FL478"/>
      <c r="FM478"/>
      <c r="FN478"/>
      <c r="FO478"/>
      <c r="FP478"/>
      <c r="FQ478"/>
      <c r="FR478"/>
      <c r="FS478"/>
      <c r="FT478"/>
      <c r="FU478"/>
      <c r="FV478"/>
      <c r="FW478"/>
      <c r="FX478"/>
      <c r="FY478"/>
      <c r="FZ478"/>
      <c r="GA478"/>
      <c r="GB478"/>
      <c r="GC478"/>
      <c r="GD478"/>
      <c r="GE478"/>
      <c r="GF478"/>
      <c r="GG478"/>
      <c r="GH478"/>
      <c r="GI478"/>
      <c r="GJ478"/>
      <c r="GK478"/>
      <c r="GL478"/>
      <c r="GM478"/>
      <c r="GN478"/>
      <c r="GO478"/>
      <c r="GP478"/>
      <c r="GQ478"/>
      <c r="GR478"/>
      <c r="GS478"/>
      <c r="GT478"/>
      <c r="GU478"/>
      <c r="GV478"/>
      <c r="GW478"/>
      <c r="GX478"/>
      <c r="GY478"/>
      <c r="GZ478"/>
      <c r="HA478"/>
      <c r="HB478"/>
      <c r="HC478"/>
      <c r="HD478"/>
      <c r="HE478"/>
      <c r="HF478"/>
      <c r="HG478"/>
      <c r="HH478"/>
      <c r="HI478"/>
      <c r="HJ478"/>
      <c r="HK478"/>
      <c r="HL478"/>
      <c r="HM478"/>
      <c r="HN478"/>
      <c r="HO478"/>
      <c r="HP478"/>
      <c r="HQ478"/>
      <c r="HR478"/>
      <c r="HS478"/>
      <c r="HT478"/>
      <c r="HU478"/>
      <c r="HV478"/>
      <c r="HW478"/>
      <c r="HX478"/>
      <c r="HY478"/>
      <c r="HZ478"/>
      <c r="IA478"/>
      <c r="IB478"/>
      <c r="IC478"/>
      <c r="ID478"/>
      <c r="IE478"/>
      <c r="IF478"/>
      <c r="IG478"/>
      <c r="IH478"/>
      <c r="II478"/>
      <c r="IJ478"/>
      <c r="IK478"/>
      <c r="IL478"/>
      <c r="IM478"/>
      <c r="IN478"/>
      <c r="IO478"/>
      <c r="IP478"/>
      <c r="IQ478"/>
      <c r="IR478"/>
      <c r="IS478"/>
      <c r="IT478"/>
      <c r="IU478"/>
      <c r="IV478"/>
    </row>
    <row r="479" spans="1:256" s="217" customFormat="1" ht="13.15">
      <c r="A479" s="54"/>
      <c r="B479" s="2052"/>
      <c r="C479" s="2448"/>
      <c r="D479" s="2449"/>
      <c r="E479" s="2852" t="s">
        <v>772</v>
      </c>
      <c r="F479" s="2709" t="s">
        <v>577</v>
      </c>
      <c r="G479" s="2710" t="s">
        <v>1220</v>
      </c>
      <c r="H479" s="2709" t="s">
        <v>577</v>
      </c>
      <c r="I479" s="2710" t="s">
        <v>1220</v>
      </c>
      <c r="J479" s="2709" t="s">
        <v>577</v>
      </c>
      <c r="K479" s="2710" t="s">
        <v>1220</v>
      </c>
      <c r="L479" s="2709" t="s">
        <v>577</v>
      </c>
      <c r="M479" s="2711" t="s">
        <v>1220</v>
      </c>
      <c r="N479" s="2729"/>
      <c r="O479" s="54"/>
      <c r="P479" s="54"/>
      <c r="Q479" s="54"/>
      <c r="R479" s="54"/>
      <c r="S479" s="259"/>
      <c r="T479" s="427"/>
      <c r="U479" s="95"/>
      <c r="V479" s="2389" t="s">
        <v>772</v>
      </c>
      <c r="W479" s="390" t="s">
        <v>577</v>
      </c>
      <c r="X479" s="391" t="s">
        <v>1220</v>
      </c>
      <c r="Y479" s="390" t="s">
        <v>577</v>
      </c>
      <c r="Z479" s="391" t="s">
        <v>1220</v>
      </c>
      <c r="AA479" s="390" t="s">
        <v>577</v>
      </c>
      <c r="AB479" s="391" t="s">
        <v>1220</v>
      </c>
      <c r="AC479" s="390" t="s">
        <v>577</v>
      </c>
      <c r="AD479" s="392" t="s">
        <v>1220</v>
      </c>
      <c r="AE479" s="393"/>
      <c r="AF479" s="45"/>
      <c r="AG479" s="45"/>
      <c r="AH479" s="45"/>
      <c r="AI479" s="45"/>
      <c r="AJ479" s="259"/>
      <c r="AK479" s="427"/>
      <c r="AL479" s="95"/>
      <c r="AM479" s="2389" t="s">
        <v>772</v>
      </c>
      <c r="AN479" s="390" t="s">
        <v>577</v>
      </c>
      <c r="AO479" s="391" t="s">
        <v>1220</v>
      </c>
      <c r="AP479" s="390" t="s">
        <v>577</v>
      </c>
      <c r="AQ479" s="391" t="s">
        <v>1220</v>
      </c>
      <c r="AR479" s="390" t="s">
        <v>577</v>
      </c>
      <c r="AS479" s="391" t="s">
        <v>1220</v>
      </c>
      <c r="AT479" s="390" t="s">
        <v>577</v>
      </c>
      <c r="AU479" s="392" t="s">
        <v>1220</v>
      </c>
      <c r="AV479" s="393"/>
      <c r="AW479" s="54"/>
      <c r="AX479" s="54"/>
      <c r="AY479" s="54"/>
      <c r="AZ479" s="54"/>
      <c r="BA479" s="54"/>
      <c r="BB479" s="54"/>
      <c r="BC479" s="54"/>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ER479"/>
      <c r="ES479"/>
      <c r="ET479"/>
      <c r="EU479"/>
      <c r="EV479"/>
      <c r="EW479"/>
      <c r="EX479"/>
      <c r="EY479"/>
      <c r="EZ479"/>
      <c r="FA479"/>
      <c r="FB479"/>
      <c r="FC479"/>
      <c r="FD479"/>
      <c r="FE479"/>
      <c r="FF479"/>
      <c r="FG479"/>
      <c r="FH479"/>
      <c r="FI479"/>
      <c r="FJ479"/>
      <c r="FK479"/>
      <c r="FL479"/>
      <c r="FM479"/>
      <c r="FN479"/>
      <c r="FO479"/>
      <c r="FP479"/>
      <c r="FQ479"/>
      <c r="FR479"/>
      <c r="FS479"/>
      <c r="FT479"/>
      <c r="FU479"/>
      <c r="FV479"/>
      <c r="FW479"/>
      <c r="FX479"/>
      <c r="FY479"/>
      <c r="FZ479"/>
      <c r="GA479"/>
      <c r="GB479"/>
      <c r="GC479"/>
      <c r="GD479"/>
      <c r="GE479"/>
      <c r="GF479"/>
      <c r="GG479"/>
      <c r="GH479"/>
      <c r="GI479"/>
      <c r="GJ479"/>
      <c r="GK479"/>
      <c r="GL479"/>
      <c r="GM479"/>
      <c r="GN479"/>
      <c r="GO479"/>
      <c r="GP479"/>
      <c r="GQ479"/>
      <c r="GR479"/>
      <c r="GS479"/>
      <c r="GT479"/>
      <c r="GU479"/>
      <c r="GV479"/>
      <c r="GW479"/>
      <c r="GX479"/>
      <c r="GY479"/>
      <c r="GZ479"/>
      <c r="HA479"/>
      <c r="HB479"/>
      <c r="HC479"/>
      <c r="HD479"/>
      <c r="HE479"/>
      <c r="HF479"/>
      <c r="HG479"/>
      <c r="HH479"/>
      <c r="HI479"/>
      <c r="HJ479"/>
      <c r="HK479"/>
      <c r="HL479"/>
      <c r="HM479"/>
      <c r="HN479"/>
      <c r="HO479"/>
      <c r="HP479"/>
      <c r="HQ479"/>
      <c r="HR479"/>
      <c r="HS479"/>
      <c r="HT479"/>
      <c r="HU479"/>
      <c r="HV479"/>
      <c r="HW479"/>
      <c r="HX479"/>
      <c r="HY479"/>
      <c r="HZ479"/>
      <c r="IA479"/>
      <c r="IB479"/>
      <c r="IC479"/>
      <c r="ID479"/>
      <c r="IE479"/>
      <c r="IF479"/>
      <c r="IG479"/>
      <c r="IH479"/>
      <c r="II479"/>
      <c r="IJ479"/>
      <c r="IK479"/>
      <c r="IL479"/>
      <c r="IM479"/>
      <c r="IN479"/>
      <c r="IO479"/>
      <c r="IP479"/>
      <c r="IQ479"/>
      <c r="IR479"/>
      <c r="IS479"/>
      <c r="IT479"/>
      <c r="IU479"/>
      <c r="IV479"/>
    </row>
    <row r="480" spans="1:256" s="217" customFormat="1">
      <c r="A480" s="54"/>
      <c r="B480" s="2052"/>
      <c r="C480" s="1721" t="s">
        <v>773</v>
      </c>
      <c r="D480" s="2420"/>
      <c r="E480" s="2713" t="s">
        <v>711</v>
      </c>
      <c r="F480" s="2759">
        <f ca="1">Transfer!D220</f>
        <v>580.47299999999996</v>
      </c>
      <c r="G480" s="2518">
        <f ca="1">100*((Transfer!D220/Transfer!C220)-1)</f>
        <v>5.0991291122739035</v>
      </c>
      <c r="H480" s="2759">
        <f ca="1">Transfer!E220</f>
        <v>609.1532079189999</v>
      </c>
      <c r="I480" s="2518">
        <f ca="1">100*((Transfer!E220/Transfer!D220)-1)</f>
        <v>4.9408340989158805</v>
      </c>
      <c r="J480" s="2759">
        <f ca="1">Transfer!F220</f>
        <v>634.15236677277699</v>
      </c>
      <c r="K480" s="2518">
        <f ca="1">100*((Transfer!F220/Transfer!E220)-1)</f>
        <v>4.1039197575893471</v>
      </c>
      <c r="L480" s="2518">
        <f ca="1">Transfer!G220</f>
        <v>658.52821828109757</v>
      </c>
      <c r="M480" s="2519">
        <f ca="1">100*((Transfer!G220/Transfer!F220)-1)</f>
        <v>3.843847754187224</v>
      </c>
      <c r="N480" s="2520"/>
      <c r="O480" s="54"/>
      <c r="P480" s="54"/>
      <c r="Q480" s="54"/>
      <c r="R480" s="54"/>
      <c r="S480" s="259"/>
      <c r="T480" s="101" t="s">
        <v>773</v>
      </c>
      <c r="U480" s="49"/>
      <c r="V480" s="2390" t="s">
        <v>711</v>
      </c>
      <c r="W480" s="2079">
        <f t="shared" ref="W480:AD488" ca="1" si="33">ROUND(F480,1)-ROUND(AN480,1)</f>
        <v>28.899999999999977</v>
      </c>
      <c r="X480" s="2080">
        <f t="shared" ca="1" si="33"/>
        <v>-0.5</v>
      </c>
      <c r="Y480" s="2080">
        <f t="shared" ca="1" si="33"/>
        <v>29.600000000000023</v>
      </c>
      <c r="Z480" s="2080">
        <f t="shared" ca="1" si="33"/>
        <v>-0.19999999999999929</v>
      </c>
      <c r="AA480" s="2080">
        <f t="shared" ca="1" si="33"/>
        <v>25.200000000000045</v>
      </c>
      <c r="AB480" s="2080">
        <f t="shared" ca="1" si="33"/>
        <v>-1</v>
      </c>
      <c r="AC480" s="2080">
        <f t="shared" ca="1" si="33"/>
        <v>21.799999999999955</v>
      </c>
      <c r="AD480" s="249">
        <f t="shared" ca="1" si="33"/>
        <v>-0.79999999999999982</v>
      </c>
      <c r="AE480" s="199"/>
      <c r="AF480" s="45"/>
      <c r="AG480" s="45"/>
      <c r="AH480" s="45"/>
      <c r="AI480" s="45"/>
      <c r="AJ480" s="259"/>
      <c r="AK480" s="101" t="s">
        <v>773</v>
      </c>
      <c r="AL480" s="49"/>
      <c r="AM480" s="2390" t="s">
        <v>711</v>
      </c>
      <c r="AN480" s="141">
        <f>Transfer!AD220</f>
        <v>551.55899999999997</v>
      </c>
      <c r="AO480" s="2080">
        <f>100*((Transfer!AD220/Transfer!AC220)-1)</f>
        <v>5.5805254916674096</v>
      </c>
      <c r="AP480" s="141">
        <f>Transfer!AE220</f>
        <v>579.57799999999997</v>
      </c>
      <c r="AQ480" s="2080">
        <f>100*((Transfer!AE220/Transfer!AD220)-1)</f>
        <v>5.0799642467986184</v>
      </c>
      <c r="AR480" s="141">
        <f>Transfer!AF220</f>
        <v>609.00668187799999</v>
      </c>
      <c r="AS480" s="2080">
        <f>100*((Transfer!AF220/Transfer!AE220)-1)</f>
        <v>5.0776050640293446</v>
      </c>
      <c r="AT480" s="2080">
        <f>Transfer!AG220</f>
        <v>636.73878190398068</v>
      </c>
      <c r="AU480" s="2379">
        <f>100*((Transfer!AG220/Transfer!AF220)-1)</f>
        <v>4.5536610436625935</v>
      </c>
      <c r="AV480" s="199"/>
      <c r="AW480" s="54"/>
      <c r="AX480" s="54"/>
      <c r="AY480" s="54"/>
      <c r="AZ480" s="54"/>
      <c r="BA480" s="2059" t="s">
        <v>379</v>
      </c>
      <c r="BB480" s="54"/>
      <c r="BC480" s="54"/>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ER480"/>
      <c r="ES480"/>
      <c r="ET480"/>
      <c r="EU480"/>
      <c r="EV480"/>
      <c r="EW480"/>
      <c r="EX480"/>
      <c r="EY480"/>
      <c r="EZ480"/>
      <c r="FA480"/>
      <c r="FB480"/>
      <c r="FC480"/>
      <c r="FD480"/>
      <c r="FE480"/>
      <c r="FF480"/>
      <c r="FG480"/>
      <c r="FH480"/>
      <c r="FI480"/>
      <c r="FJ480"/>
      <c r="FK480"/>
      <c r="FL480"/>
      <c r="FM480"/>
      <c r="FN480"/>
      <c r="FO480"/>
      <c r="FP480"/>
      <c r="FQ480"/>
      <c r="FR480"/>
      <c r="FS480"/>
      <c r="FT480"/>
      <c r="FU480"/>
      <c r="FV480"/>
      <c r="FW480"/>
      <c r="FX480"/>
      <c r="FY480"/>
      <c r="FZ480"/>
      <c r="GA480"/>
      <c r="GB480"/>
      <c r="GC480"/>
      <c r="GD480"/>
      <c r="GE480"/>
      <c r="GF480"/>
      <c r="GG480"/>
      <c r="GH480"/>
      <c r="GI480"/>
      <c r="GJ480"/>
      <c r="GK480"/>
      <c r="GL480"/>
      <c r="GM480"/>
      <c r="GN480"/>
      <c r="GO480"/>
      <c r="GP480"/>
      <c r="GQ480"/>
      <c r="GR480"/>
      <c r="GS480"/>
      <c r="GT480"/>
      <c r="GU480"/>
      <c r="GV480"/>
      <c r="GW480"/>
      <c r="GX480"/>
      <c r="GY480"/>
      <c r="GZ480"/>
      <c r="HA480"/>
      <c r="HB480"/>
      <c r="HC480"/>
      <c r="HD480"/>
      <c r="HE480"/>
      <c r="HF480"/>
      <c r="HG480"/>
      <c r="HH480"/>
      <c r="HI480"/>
      <c r="HJ480"/>
      <c r="HK480"/>
      <c r="HL480"/>
      <c r="HM480"/>
      <c r="HN480"/>
      <c r="HO480"/>
      <c r="HP480"/>
      <c r="HQ480"/>
      <c r="HR480"/>
      <c r="HS480"/>
      <c r="HT480"/>
      <c r="HU480"/>
      <c r="HV480"/>
      <c r="HW480"/>
      <c r="HX480"/>
      <c r="HY480"/>
      <c r="HZ480"/>
      <c r="IA480"/>
      <c r="IB480"/>
      <c r="IC480"/>
      <c r="ID480"/>
      <c r="IE480"/>
      <c r="IF480"/>
      <c r="IG480"/>
      <c r="IH480"/>
      <c r="II480"/>
      <c r="IJ480"/>
      <c r="IK480"/>
      <c r="IL480"/>
      <c r="IM480"/>
      <c r="IN480"/>
      <c r="IO480"/>
      <c r="IP480"/>
      <c r="IQ480"/>
      <c r="IR480"/>
      <c r="IS480"/>
      <c r="IT480"/>
      <c r="IU480"/>
      <c r="IV480"/>
    </row>
    <row r="481" spans="1:256" s="217" customFormat="1">
      <c r="A481" s="54"/>
      <c r="B481" s="2052"/>
      <c r="C481" s="1721" t="s">
        <v>358</v>
      </c>
      <c r="D481" s="2420"/>
      <c r="E481" s="2589" t="s">
        <v>1434</v>
      </c>
      <c r="F481" s="2579">
        <f ca="1">Transfer!D245</f>
        <v>358.77600000000001</v>
      </c>
      <c r="G481" s="2521">
        <f ca="1">100*((Transfer!D245/Transfer!C245)-1)</f>
        <v>1.7668566176991973</v>
      </c>
      <c r="H481" s="2759">
        <f ca="1">Transfer!E245</f>
        <v>377.16647313963722</v>
      </c>
      <c r="I481" s="2521">
        <f ca="1">100*((Transfer!E245/Transfer!D245)-1)</f>
        <v>5.1258927965184942</v>
      </c>
      <c r="J481" s="2759">
        <f ca="1">Transfer!F245</f>
        <v>390.10645678377944</v>
      </c>
      <c r="K481" s="2521">
        <f ca="1">100*((Transfer!F245/Transfer!E245)-1)</f>
        <v>3.430841436256582</v>
      </c>
      <c r="L481" s="2521">
        <f ca="1">Transfer!G245</f>
        <v>402.92820397364028</v>
      </c>
      <c r="M481" s="2760">
        <f ca="1">100*((Transfer!G245/Transfer!F245)-1)</f>
        <v>3.2867303185826202</v>
      </c>
      <c r="N481" s="2520"/>
      <c r="O481" s="54"/>
      <c r="P481" s="54"/>
      <c r="Q481" s="54"/>
      <c r="R481" s="54"/>
      <c r="S481" s="259"/>
      <c r="T481" s="101" t="s">
        <v>358</v>
      </c>
      <c r="U481" s="49"/>
      <c r="V481" s="254" t="s">
        <v>1434</v>
      </c>
      <c r="W481" s="248">
        <f t="shared" ca="1" si="33"/>
        <v>5.5</v>
      </c>
      <c r="X481" s="245">
        <f t="shared" ca="1" si="33"/>
        <v>-1.9000000000000001</v>
      </c>
      <c r="Y481" s="245">
        <f t="shared" ca="1" si="33"/>
        <v>16.5</v>
      </c>
      <c r="Z481" s="245">
        <f t="shared" ca="1" si="33"/>
        <v>2.9999999999999996</v>
      </c>
      <c r="AA481" s="245">
        <f t="shared" ca="1" si="33"/>
        <v>10.800000000000011</v>
      </c>
      <c r="AB481" s="245">
        <f t="shared" ca="1" si="33"/>
        <v>-1.8000000000000003</v>
      </c>
      <c r="AC481" s="245">
        <f t="shared" ca="1" si="33"/>
        <v>12.5</v>
      </c>
      <c r="AD481" s="249">
        <f t="shared" ca="1" si="33"/>
        <v>0.39999999999999991</v>
      </c>
      <c r="AE481" s="199"/>
      <c r="AF481" s="45"/>
      <c r="AG481" s="45"/>
      <c r="AH481" s="45"/>
      <c r="AI481" s="45"/>
      <c r="AJ481" s="259"/>
      <c r="AK481" s="101" t="s">
        <v>358</v>
      </c>
      <c r="AL481" s="49"/>
      <c r="AM481" s="254" t="s">
        <v>1434</v>
      </c>
      <c r="AN481" s="145">
        <f>Transfer!AD245</f>
        <v>353.31099999999998</v>
      </c>
      <c r="AO481" s="245">
        <f>100*((Transfer!AD245/Transfer!AC245)-1)</f>
        <v>3.7301163220847533</v>
      </c>
      <c r="AP481" s="141">
        <f>Transfer!AE245</f>
        <v>360.72</v>
      </c>
      <c r="AQ481" s="245">
        <f>100*((Transfer!AE245/Transfer!AD245)-1)</f>
        <v>2.0970193399016956</v>
      </c>
      <c r="AR481" s="141">
        <f>Transfer!AF245</f>
        <v>379.33584735478019</v>
      </c>
      <c r="AS481" s="245">
        <f>100*((Transfer!AF245/Transfer!AE245)-1)</f>
        <v>5.1607472152306988</v>
      </c>
      <c r="AT481" s="245">
        <f>Transfer!AG245</f>
        <v>390.37401117068009</v>
      </c>
      <c r="AU481" s="249">
        <f>100*((Transfer!AG245/Transfer!AF245)-1)</f>
        <v>2.9098657279221785</v>
      </c>
      <c r="AV481" s="199"/>
      <c r="AW481" s="54"/>
      <c r="AX481" s="54"/>
      <c r="AY481" s="54"/>
      <c r="AZ481" s="54"/>
      <c r="BA481" s="2060" t="s">
        <v>380</v>
      </c>
      <c r="BB481" s="54"/>
      <c r="BC481" s="54"/>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ER481"/>
      <c r="ES481"/>
      <c r="ET481"/>
      <c r="EU481"/>
      <c r="EV481"/>
      <c r="EW481"/>
      <c r="EX481"/>
      <c r="EY481"/>
      <c r="EZ481"/>
      <c r="FA481"/>
      <c r="FB481"/>
      <c r="FC481"/>
      <c r="FD481"/>
      <c r="FE481"/>
      <c r="FF481"/>
      <c r="FG481"/>
      <c r="FH481"/>
      <c r="FI481"/>
      <c r="FJ481"/>
      <c r="FK481"/>
      <c r="FL481"/>
      <c r="FM481"/>
      <c r="FN481"/>
      <c r="FO481"/>
      <c r="FP481"/>
      <c r="FQ481"/>
      <c r="FR481"/>
      <c r="FS481"/>
      <c r="FT481"/>
      <c r="FU481"/>
      <c r="FV481"/>
      <c r="FW481"/>
      <c r="FX481"/>
      <c r="FY481"/>
      <c r="FZ481"/>
      <c r="GA481"/>
      <c r="GB481"/>
      <c r="GC481"/>
      <c r="GD481"/>
      <c r="GE481"/>
      <c r="GF481"/>
      <c r="GG481"/>
      <c r="GH481"/>
      <c r="GI481"/>
      <c r="GJ481"/>
      <c r="GK481"/>
      <c r="GL481"/>
      <c r="GM481"/>
      <c r="GN481"/>
      <c r="GO481"/>
      <c r="GP481"/>
      <c r="GQ481"/>
      <c r="GR481"/>
      <c r="GS481"/>
      <c r="GT481"/>
      <c r="GU481"/>
      <c r="GV481"/>
      <c r="GW481"/>
      <c r="GX481"/>
      <c r="GY481"/>
      <c r="GZ481"/>
      <c r="HA481"/>
      <c r="HB481"/>
      <c r="HC481"/>
      <c r="HD481"/>
      <c r="HE481"/>
      <c r="HF481"/>
      <c r="HG481"/>
      <c r="HH481"/>
      <c r="HI481"/>
      <c r="HJ481"/>
      <c r="HK481"/>
      <c r="HL481"/>
      <c r="HM481"/>
      <c r="HN481"/>
      <c r="HO481"/>
      <c r="HP481"/>
      <c r="HQ481"/>
      <c r="HR481"/>
      <c r="HS481"/>
      <c r="HT481"/>
      <c r="HU481"/>
      <c r="HV481"/>
      <c r="HW481"/>
      <c r="HX481"/>
      <c r="HY481"/>
      <c r="HZ481"/>
      <c r="IA481"/>
      <c r="IB481"/>
      <c r="IC481"/>
      <c r="ID481"/>
      <c r="IE481"/>
      <c r="IF481"/>
      <c r="IG481"/>
      <c r="IH481"/>
      <c r="II481"/>
      <c r="IJ481"/>
      <c r="IK481"/>
      <c r="IL481"/>
      <c r="IM481"/>
      <c r="IN481"/>
      <c r="IO481"/>
      <c r="IP481"/>
      <c r="IQ481"/>
      <c r="IR481"/>
      <c r="IS481"/>
      <c r="IT481"/>
      <c r="IU481"/>
      <c r="IV481"/>
    </row>
    <row r="482" spans="1:256" s="217" customFormat="1">
      <c r="A482" s="54"/>
      <c r="B482" s="2052"/>
      <c r="C482" s="1721" t="s">
        <v>359</v>
      </c>
      <c r="D482" s="2420"/>
      <c r="E482" s="2589"/>
      <c r="F482" s="2579">
        <f ca="1">Transfer!D246</f>
        <v>172.83099999999999</v>
      </c>
      <c r="G482" s="2521">
        <f ca="1">100*((Transfer!D246/Transfer!C246)-1)</f>
        <v>0.53691509412010507</v>
      </c>
      <c r="H482" s="2759">
        <f ca="1">Transfer!E246</f>
        <v>177.15177499999999</v>
      </c>
      <c r="I482" s="2521">
        <f ca="1">100*((Transfer!E246/Transfer!D246)-1)</f>
        <v>2.4999999999999911</v>
      </c>
      <c r="J482" s="2759">
        <f ca="1">Transfer!F246</f>
        <v>181.58056937499998</v>
      </c>
      <c r="K482" s="2521">
        <f ca="1">100*((Transfer!F246/Transfer!E246)-1)</f>
        <v>2.4999999999999911</v>
      </c>
      <c r="L482" s="2521">
        <f ca="1">Transfer!G246</f>
        <v>186.12008360937497</v>
      </c>
      <c r="M482" s="2760">
        <f ca="1">100*((Transfer!G246/Transfer!F246)-1)</f>
        <v>2.4999999999999911</v>
      </c>
      <c r="N482" s="2520"/>
      <c r="O482" s="54"/>
      <c r="P482" s="54"/>
      <c r="Q482" s="54"/>
      <c r="R482" s="54"/>
      <c r="S482" s="259"/>
      <c r="T482" s="101" t="s">
        <v>359</v>
      </c>
      <c r="U482" s="49"/>
      <c r="V482" s="254"/>
      <c r="W482" s="248">
        <f t="shared" ca="1" si="33"/>
        <v>2.8000000000000114</v>
      </c>
      <c r="X482" s="245">
        <f t="shared" ca="1" si="33"/>
        <v>-10.1</v>
      </c>
      <c r="Y482" s="245">
        <f t="shared" ca="1" si="33"/>
        <v>5.3999999999999773</v>
      </c>
      <c r="Z482" s="245">
        <f t="shared" ca="1" si="33"/>
        <v>1.4</v>
      </c>
      <c r="AA482" s="245">
        <f t="shared" ca="1" si="33"/>
        <v>5.5</v>
      </c>
      <c r="AB482" s="245">
        <f t="shared" ca="1" si="33"/>
        <v>0</v>
      </c>
      <c r="AC482" s="245">
        <f t="shared" ca="1" si="33"/>
        <v>5.5999999999999943</v>
      </c>
      <c r="AD482" s="249">
        <f t="shared" ca="1" si="33"/>
        <v>0</v>
      </c>
      <c r="AE482" s="199"/>
      <c r="AF482" s="45"/>
      <c r="AG482" s="45"/>
      <c r="AH482" s="45"/>
      <c r="AI482" s="45"/>
      <c r="AJ482" s="259"/>
      <c r="AK482" s="101" t="s">
        <v>359</v>
      </c>
      <c r="AL482" s="49"/>
      <c r="AM482" s="254"/>
      <c r="AN482" s="145">
        <f>Transfer!AD246</f>
        <v>169.96600000000001</v>
      </c>
      <c r="AO482" s="245">
        <f>100*((Transfer!AD246/Transfer!AC246)-1)</f>
        <v>10.585831771809296</v>
      </c>
      <c r="AP482" s="141">
        <f>Transfer!AE246</f>
        <v>171.77600000000001</v>
      </c>
      <c r="AQ482" s="245">
        <f>100*((Transfer!AE246/Transfer!AD246)-1)</f>
        <v>1.0649188661261633</v>
      </c>
      <c r="AR482" s="141">
        <f>Transfer!AF246</f>
        <v>176.07040000000001</v>
      </c>
      <c r="AS482" s="245">
        <f>100*((Transfer!AF246/Transfer!AE246)-1)</f>
        <v>2.4999999999999911</v>
      </c>
      <c r="AT482" s="245">
        <f>Transfer!AG246</f>
        <v>180.47216</v>
      </c>
      <c r="AU482" s="249">
        <f>100*((Transfer!AG246/Transfer!AF246)-1)</f>
        <v>2.4999999999999911</v>
      </c>
      <c r="AV482" s="199"/>
      <c r="AW482" s="54"/>
      <c r="AX482" s="54"/>
      <c r="AY482" s="54"/>
      <c r="AZ482" s="54"/>
      <c r="BA482" s="2060" t="s">
        <v>381</v>
      </c>
      <c r="BB482" s="54"/>
      <c r="BC482" s="54"/>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ER482"/>
      <c r="ES482"/>
      <c r="ET482"/>
      <c r="EU482"/>
      <c r="EV482"/>
      <c r="EW482"/>
      <c r="EX482"/>
      <c r="EY482"/>
      <c r="EZ482"/>
      <c r="FA482"/>
      <c r="FB482"/>
      <c r="FC482"/>
      <c r="FD482"/>
      <c r="FE482"/>
      <c r="FF482"/>
      <c r="FG482"/>
      <c r="FH482"/>
      <c r="FI482"/>
      <c r="FJ482"/>
      <c r="FK482"/>
      <c r="FL482"/>
      <c r="FM482"/>
      <c r="FN482"/>
      <c r="FO482"/>
      <c r="FP482"/>
      <c r="FQ482"/>
      <c r="FR482"/>
      <c r="FS482"/>
      <c r="FT482"/>
      <c r="FU482"/>
      <c r="FV482"/>
      <c r="FW482"/>
      <c r="FX482"/>
      <c r="FY482"/>
      <c r="FZ482"/>
      <c r="GA482"/>
      <c r="GB482"/>
      <c r="GC482"/>
      <c r="GD482"/>
      <c r="GE482"/>
      <c r="GF482"/>
      <c r="GG482"/>
      <c r="GH482"/>
      <c r="GI482"/>
      <c r="GJ482"/>
      <c r="GK482"/>
      <c r="GL482"/>
      <c r="GM482"/>
      <c r="GN482"/>
      <c r="GO482"/>
      <c r="GP482"/>
      <c r="GQ482"/>
      <c r="GR482"/>
      <c r="GS482"/>
      <c r="GT482"/>
      <c r="GU482"/>
      <c r="GV482"/>
      <c r="GW482"/>
      <c r="GX482"/>
      <c r="GY482"/>
      <c r="GZ482"/>
      <c r="HA482"/>
      <c r="HB482"/>
      <c r="HC482"/>
      <c r="HD482"/>
      <c r="HE482"/>
      <c r="HF482"/>
      <c r="HG482"/>
      <c r="HH482"/>
      <c r="HI482"/>
      <c r="HJ482"/>
      <c r="HK482"/>
      <c r="HL482"/>
      <c r="HM482"/>
      <c r="HN482"/>
      <c r="HO482"/>
      <c r="HP482"/>
      <c r="HQ482"/>
      <c r="HR482"/>
      <c r="HS482"/>
      <c r="HT482"/>
      <c r="HU482"/>
      <c r="HV482"/>
      <c r="HW482"/>
      <c r="HX482"/>
      <c r="HY482"/>
      <c r="HZ482"/>
      <c r="IA482"/>
      <c r="IB482"/>
      <c r="IC482"/>
      <c r="ID482"/>
      <c r="IE482"/>
      <c r="IF482"/>
      <c r="IG482"/>
      <c r="IH482"/>
      <c r="II482"/>
      <c r="IJ482"/>
      <c r="IK482"/>
      <c r="IL482"/>
      <c r="IM482"/>
      <c r="IN482"/>
      <c r="IO482"/>
      <c r="IP482"/>
      <c r="IQ482"/>
      <c r="IR482"/>
      <c r="IS482"/>
      <c r="IT482"/>
      <c r="IU482"/>
      <c r="IV482"/>
    </row>
    <row r="483" spans="1:256" s="217" customFormat="1">
      <c r="A483" s="54"/>
      <c r="B483" s="2052"/>
      <c r="C483" s="1721" t="s">
        <v>690</v>
      </c>
      <c r="D483" s="2420"/>
      <c r="E483" s="2589" t="s">
        <v>691</v>
      </c>
      <c r="F483" s="2579">
        <f ca="1">Transfer!D244</f>
        <v>143.655</v>
      </c>
      <c r="G483" s="2521">
        <f ca="1">100*((Transfer!D244/Transfer!C244)-1)</f>
        <v>4.3761625203440957</v>
      </c>
      <c r="H483" s="2759">
        <f ca="1">Transfer!E244</f>
        <v>146.24079</v>
      </c>
      <c r="I483" s="2521">
        <f ca="1">100*((Transfer!E244/Transfer!D244)-1)</f>
        <v>1.8000000000000016</v>
      </c>
      <c r="J483" s="2759">
        <f ca="1">Transfer!F244</f>
        <v>150.6280137</v>
      </c>
      <c r="K483" s="2521">
        <f ca="1">100*((Transfer!F244/Transfer!E244)-1)</f>
        <v>3.0000000000000027</v>
      </c>
      <c r="L483" s="2521">
        <f ca="1">Transfer!G244</f>
        <v>155.14685411100001</v>
      </c>
      <c r="M483" s="2760">
        <f ca="1">100*((Transfer!G244/Transfer!F244)-1)</f>
        <v>3.0000000000000027</v>
      </c>
      <c r="N483" s="2520"/>
      <c r="O483" s="54"/>
      <c r="P483" s="54"/>
      <c r="Q483" s="54"/>
      <c r="R483" s="54"/>
      <c r="S483" s="259"/>
      <c r="T483" s="101" t="s">
        <v>690</v>
      </c>
      <c r="U483" s="49"/>
      <c r="V483" s="254" t="s">
        <v>691</v>
      </c>
      <c r="W483" s="248">
        <f t="shared" ca="1" si="33"/>
        <v>6.5999999999999943</v>
      </c>
      <c r="X483" s="245">
        <f t="shared" ca="1" si="33"/>
        <v>2.1000000000000005</v>
      </c>
      <c r="Y483" s="245">
        <f t="shared" ca="1" si="33"/>
        <v>1.3999999999999773</v>
      </c>
      <c r="Z483" s="245">
        <f t="shared" ca="1" si="33"/>
        <v>-3.8</v>
      </c>
      <c r="AA483" s="245">
        <f t="shared" ca="1" si="33"/>
        <v>3.1999999999999886</v>
      </c>
      <c r="AB483" s="245">
        <f t="shared" ca="1" si="33"/>
        <v>1.2</v>
      </c>
      <c r="AC483" s="245">
        <f t="shared" ca="1" si="33"/>
        <v>3.2999999999999829</v>
      </c>
      <c r="AD483" s="249">
        <f t="shared" ca="1" si="33"/>
        <v>0</v>
      </c>
      <c r="AE483" s="199"/>
      <c r="AF483" s="45"/>
      <c r="AG483" s="45"/>
      <c r="AH483" s="45"/>
      <c r="AI483" s="45"/>
      <c r="AJ483" s="259"/>
      <c r="AK483" s="101" t="s">
        <v>690</v>
      </c>
      <c r="AL483" s="49"/>
      <c r="AM483" s="254" t="s">
        <v>691</v>
      </c>
      <c r="AN483" s="145">
        <f>Transfer!AD244</f>
        <v>137.09899999999999</v>
      </c>
      <c r="AO483" s="245">
        <f>100*((Transfer!AD244/Transfer!AC244)-1)</f>
        <v>2.2569794067410998</v>
      </c>
      <c r="AP483" s="141">
        <f>Transfer!AE244</f>
        <v>144.80600000000001</v>
      </c>
      <c r="AQ483" s="245">
        <f>100*((Transfer!AE244/Transfer!AD244)-1)</f>
        <v>5.6214852041225782</v>
      </c>
      <c r="AR483" s="141">
        <f>Transfer!AF244</f>
        <v>147.412508</v>
      </c>
      <c r="AS483" s="245">
        <f>100*((Transfer!AF244/Transfer!AE244)-1)</f>
        <v>1.8000000000000016</v>
      </c>
      <c r="AT483" s="245">
        <f>Transfer!AG244</f>
        <v>151.83488324000001</v>
      </c>
      <c r="AU483" s="249">
        <f>100*((Transfer!AG244/Transfer!AF244)-1)</f>
        <v>3.0000000000000027</v>
      </c>
      <c r="AV483" s="199"/>
      <c r="AW483" s="54"/>
      <c r="AX483" s="54"/>
      <c r="AY483" s="54"/>
      <c r="AZ483" s="54"/>
      <c r="BA483" s="2060" t="s">
        <v>382</v>
      </c>
      <c r="BB483" s="54"/>
      <c r="BC483" s="54"/>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ER483"/>
      <c r="ES483"/>
      <c r="ET483"/>
      <c r="EU483"/>
      <c r="EV483"/>
      <c r="EW483"/>
      <c r="EX483"/>
      <c r="EY483"/>
      <c r="EZ483"/>
      <c r="FA483"/>
      <c r="FB483"/>
      <c r="FC483"/>
      <c r="FD483"/>
      <c r="FE483"/>
      <c r="FF483"/>
      <c r="FG483"/>
      <c r="FH483"/>
      <c r="FI483"/>
      <c r="FJ483"/>
      <c r="FK483"/>
      <c r="FL483"/>
      <c r="FM483"/>
      <c r="FN483"/>
      <c r="FO483"/>
      <c r="FP483"/>
      <c r="FQ483"/>
      <c r="FR483"/>
      <c r="FS483"/>
      <c r="FT483"/>
      <c r="FU483"/>
      <c r="FV483"/>
      <c r="FW483"/>
      <c r="FX483"/>
      <c r="FY483"/>
      <c r="FZ483"/>
      <c r="GA483"/>
      <c r="GB483"/>
      <c r="GC483"/>
      <c r="GD483"/>
      <c r="GE483"/>
      <c r="GF483"/>
      <c r="GG483"/>
      <c r="GH483"/>
      <c r="GI483"/>
      <c r="GJ483"/>
      <c r="GK483"/>
      <c r="GL483"/>
      <c r="GM483"/>
      <c r="GN483"/>
      <c r="GO483"/>
      <c r="GP483"/>
      <c r="GQ483"/>
      <c r="GR483"/>
      <c r="GS483"/>
      <c r="GT483"/>
      <c r="GU483"/>
      <c r="GV483"/>
      <c r="GW483"/>
      <c r="GX483"/>
      <c r="GY483"/>
      <c r="GZ483"/>
      <c r="HA483"/>
      <c r="HB483"/>
      <c r="HC483"/>
      <c r="HD483"/>
      <c r="HE483"/>
      <c r="HF483"/>
      <c r="HG483"/>
      <c r="HH483"/>
      <c r="HI483"/>
      <c r="HJ483"/>
      <c r="HK483"/>
      <c r="HL483"/>
      <c r="HM483"/>
      <c r="HN483"/>
      <c r="HO483"/>
      <c r="HP483"/>
      <c r="HQ483"/>
      <c r="HR483"/>
      <c r="HS483"/>
      <c r="HT483"/>
      <c r="HU483"/>
      <c r="HV483"/>
      <c r="HW483"/>
      <c r="HX483"/>
      <c r="HY483"/>
      <c r="HZ483"/>
      <c r="IA483"/>
      <c r="IB483"/>
      <c r="IC483"/>
      <c r="ID483"/>
      <c r="IE483"/>
      <c r="IF483"/>
      <c r="IG483"/>
      <c r="IH483"/>
      <c r="II483"/>
      <c r="IJ483"/>
      <c r="IK483"/>
      <c r="IL483"/>
      <c r="IM483"/>
      <c r="IN483"/>
      <c r="IO483"/>
      <c r="IP483"/>
      <c r="IQ483"/>
      <c r="IR483"/>
      <c r="IS483"/>
      <c r="IT483"/>
      <c r="IU483"/>
      <c r="IV483"/>
    </row>
    <row r="484" spans="1:256" s="217" customFormat="1">
      <c r="A484" s="54"/>
      <c r="B484" s="2052"/>
      <c r="C484" s="1721" t="s">
        <v>692</v>
      </c>
      <c r="D484" s="2420"/>
      <c r="E484" s="2589"/>
      <c r="F484" s="2759">
        <f ca="1">Transfer!D137-Transfer!D220-Transfer!D244-Transfer!D245-Transfer!D246+Transfer!D243</f>
        <v>110.75799999999995</v>
      </c>
      <c r="G484" s="2521">
        <f ca="1">100*((Transfer!D137-Transfer!D220-Transfer!D244-Transfer!D245-Transfer!D246+Transfer!D243)/(Transfer!C137-Transfer!C220-Transfer!C244-Transfer!C245-Transfer!C246+Transfer!C243)-1)</f>
        <v>4.6614694070398421</v>
      </c>
      <c r="H484" s="2759">
        <f ca="1">Transfer!E137-Transfer!E220-Transfer!E244-Transfer!E245-Transfer!E246+Transfer!E243</f>
        <v>115.66293124096293</v>
      </c>
      <c r="I484" s="2521">
        <f ca="1">100*((Transfer!E137-Transfer!E220-Transfer!E244-Transfer!E245-Transfer!E246+Transfer!E243)/(Transfer!D137-Transfer!D220-Transfer!D244-Transfer!D245-Transfer!D246+Transfer!D243)-1)</f>
        <v>4.4285119277731377</v>
      </c>
      <c r="J484" s="2759">
        <f ca="1">Transfer!F137-Transfer!F220-Transfer!F244-Transfer!F245-Transfer!F246+Transfer!F243</f>
        <v>120.72971726416819</v>
      </c>
      <c r="K484" s="2521">
        <f ca="1">100*((Transfer!F137-Transfer!F220-Transfer!F244-Transfer!F245-Transfer!F246+Transfer!F243)/(Transfer!E137-Transfer!E220-Transfer!E244-Transfer!E245-Transfer!E246+Transfer!E243)-1)</f>
        <v>4.3806481202257608</v>
      </c>
      <c r="L484" s="2521">
        <f ca="1">Transfer!G137-Transfer!G220-Transfer!G244-Transfer!G245-Transfer!G246+Transfer!G243</f>
        <v>125.97156627778583</v>
      </c>
      <c r="M484" s="2760">
        <f ca="1">100*((Transfer!G137-Transfer!G220-Transfer!G244-Transfer!G245-Transfer!G246+Transfer!G243)/(Transfer!F137-Transfer!F220-Transfer!F244-Transfer!F245-Transfer!F246+Transfer!F243)-1)</f>
        <v>4.3418050935611685</v>
      </c>
      <c r="N484" s="2520"/>
      <c r="O484" s="54"/>
      <c r="P484" s="54"/>
      <c r="Q484" s="54"/>
      <c r="R484" s="54"/>
      <c r="S484" s="259"/>
      <c r="T484" s="101" t="s">
        <v>692</v>
      </c>
      <c r="U484" s="49"/>
      <c r="V484" s="254"/>
      <c r="W484" s="248">
        <f t="shared" ca="1" si="33"/>
        <v>3.3999999999999915</v>
      </c>
      <c r="X484" s="245">
        <f t="shared" ca="1" si="33"/>
        <v>-3.3999999999999995</v>
      </c>
      <c r="Y484" s="245">
        <f t="shared" ca="1" si="33"/>
        <v>4.2999999999999972</v>
      </c>
      <c r="Z484" s="245">
        <f t="shared" ca="1" si="33"/>
        <v>0.70000000000000018</v>
      </c>
      <c r="AA484" s="245">
        <f t="shared" ca="1" si="33"/>
        <v>4.4000000000000057</v>
      </c>
      <c r="AB484" s="245">
        <f t="shared" ca="1" si="33"/>
        <v>0</v>
      </c>
      <c r="AC484" s="245">
        <f t="shared" ca="1" si="33"/>
        <v>4.7000000000000028</v>
      </c>
      <c r="AD484" s="249">
        <f t="shared" ca="1" si="33"/>
        <v>-0.10000000000000053</v>
      </c>
      <c r="AE484" s="199"/>
      <c r="AF484" s="45"/>
      <c r="AG484" s="45"/>
      <c r="AH484" s="45"/>
      <c r="AI484" s="45"/>
      <c r="AJ484" s="259"/>
      <c r="AK484" s="101" t="s">
        <v>692</v>
      </c>
      <c r="AL484" s="49"/>
      <c r="AM484" s="254"/>
      <c r="AN484" s="141">
        <f>Transfer!AD137-Transfer!AD220-Transfer!AD244-Transfer!AD245-Transfer!AD246+Transfer!AD243</f>
        <v>107.35499999999993</v>
      </c>
      <c r="AO484" s="245">
        <f>100*((Transfer!AD137-Transfer!AD220-Transfer!AD244-Transfer!AD245-Transfer!AD246+Transfer!AD243)/(Transfer!AC137-Transfer!AC220-Transfer!AC244-Transfer!AC245-Transfer!AC246+Transfer!AC243)-1)</f>
        <v>8.1008961836670288</v>
      </c>
      <c r="AP484" s="141">
        <f>Transfer!AE137-Transfer!AE220-Transfer!AE244-Transfer!AE245-Transfer!AE246+Transfer!AE243</f>
        <v>111.36099999999996</v>
      </c>
      <c r="AQ484" s="245">
        <f>100*((Transfer!AE137-Transfer!AE220-Transfer!AE244-Transfer!AE245-Transfer!AE246+Transfer!AE243)/(Transfer!AD137-Transfer!AD220-Transfer!AD244-Transfer!AD245-Transfer!AD246+Transfer!AD243)-1)</f>
        <v>3.7315448744818847</v>
      </c>
      <c r="AR484" s="141">
        <f>Transfer!AF137-Transfer!AF220-Transfer!AF244-Transfer!AF245-Transfer!AF246+Transfer!AF243</f>
        <v>116.26033889522</v>
      </c>
      <c r="AS484" s="245">
        <f>100*((Transfer!AF137-Transfer!AF220-Transfer!AF244-Transfer!AF245-Transfer!AF246+Transfer!AF243)/(Transfer!AE137-Transfer!AE220-Transfer!AE244-Transfer!AE245-Transfer!AE246+Transfer!AE243)-1)</f>
        <v>4.3995105065687712</v>
      </c>
      <c r="AT484" s="245">
        <f>Transfer!AG137-Transfer!AG220-Transfer!AG244-Transfer!AG245-Transfer!AG246+Transfer!AG243</f>
        <v>121.32667936303608</v>
      </c>
      <c r="AU484" s="249">
        <f>100*((Transfer!AG137-Transfer!AG220-Transfer!AG244-Transfer!AG245-Transfer!AG246+Transfer!AG243)/(Transfer!AF137-Transfer!AF220-Transfer!AF244-Transfer!AF245-Transfer!AF246+Transfer!AF243)-1)</f>
        <v>4.3577547734332089</v>
      </c>
      <c r="AV484" s="199"/>
      <c r="AW484" s="54"/>
      <c r="AX484" s="54"/>
      <c r="AY484" s="54"/>
      <c r="AZ484" s="54"/>
      <c r="BA484" s="2060" t="s">
        <v>929</v>
      </c>
      <c r="BB484" s="54"/>
      <c r="BC484" s="5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ER484"/>
      <c r="ES484"/>
      <c r="ET484"/>
      <c r="EU484"/>
      <c r="EV484"/>
      <c r="EW484"/>
      <c r="EX484"/>
      <c r="EY484"/>
      <c r="EZ484"/>
      <c r="FA484"/>
      <c r="FB484"/>
      <c r="FC484"/>
      <c r="FD484"/>
      <c r="FE484"/>
      <c r="FF484"/>
      <c r="FG484"/>
      <c r="FH484"/>
      <c r="FI484"/>
      <c r="FJ484"/>
      <c r="FK484"/>
      <c r="FL484"/>
      <c r="FM484"/>
      <c r="FN484"/>
      <c r="FO484"/>
      <c r="FP484"/>
      <c r="FQ484"/>
      <c r="FR484"/>
      <c r="FS484"/>
      <c r="FT484"/>
      <c r="FU484"/>
      <c r="FV484"/>
      <c r="FW484"/>
      <c r="FX484"/>
      <c r="FY484"/>
      <c r="FZ484"/>
      <c r="GA484"/>
      <c r="GB484"/>
      <c r="GC484"/>
      <c r="GD484"/>
      <c r="GE484"/>
      <c r="GF484"/>
      <c r="GG484"/>
      <c r="GH484"/>
      <c r="GI484"/>
      <c r="GJ484"/>
      <c r="GK484"/>
      <c r="GL484"/>
      <c r="GM484"/>
      <c r="GN484"/>
      <c r="GO484"/>
      <c r="GP484"/>
      <c r="GQ484"/>
      <c r="GR484"/>
      <c r="GS484"/>
      <c r="GT484"/>
      <c r="GU484"/>
      <c r="GV484"/>
      <c r="GW484"/>
      <c r="GX484"/>
      <c r="GY484"/>
      <c r="GZ484"/>
      <c r="HA484"/>
      <c r="HB484"/>
      <c r="HC484"/>
      <c r="HD484"/>
      <c r="HE484"/>
      <c r="HF484"/>
      <c r="HG484"/>
      <c r="HH484"/>
      <c r="HI484"/>
      <c r="HJ484"/>
      <c r="HK484"/>
      <c r="HL484"/>
      <c r="HM484"/>
      <c r="HN484"/>
      <c r="HO484"/>
      <c r="HP484"/>
      <c r="HQ484"/>
      <c r="HR484"/>
      <c r="HS484"/>
      <c r="HT484"/>
      <c r="HU484"/>
      <c r="HV484"/>
      <c r="HW484"/>
      <c r="HX484"/>
      <c r="HY484"/>
      <c r="HZ484"/>
      <c r="IA484"/>
      <c r="IB484"/>
      <c r="IC484"/>
      <c r="ID484"/>
      <c r="IE484"/>
      <c r="IF484"/>
      <c r="IG484"/>
      <c r="IH484"/>
      <c r="II484"/>
      <c r="IJ484"/>
      <c r="IK484"/>
      <c r="IL484"/>
      <c r="IM484"/>
      <c r="IN484"/>
      <c r="IO484"/>
      <c r="IP484"/>
      <c r="IQ484"/>
      <c r="IR484"/>
      <c r="IS484"/>
      <c r="IT484"/>
      <c r="IU484"/>
      <c r="IV484"/>
    </row>
    <row r="485" spans="1:256" s="217" customFormat="1">
      <c r="A485" s="54"/>
      <c r="B485" s="2052"/>
      <c r="C485" s="2448" t="s">
        <v>693</v>
      </c>
      <c r="D485" s="2449"/>
      <c r="E485" s="2761"/>
      <c r="F485" s="2764">
        <f ca="1">+Transfer!D243</f>
        <v>170.84399999999999</v>
      </c>
      <c r="G485" s="2762">
        <f ca="1">100*((Transfer!D243/Transfer!C243)-1)</f>
        <v>2.4895917069600593</v>
      </c>
      <c r="H485" s="2764">
        <f ca="1">+Transfer!E243</f>
        <v>175.96932000000001</v>
      </c>
      <c r="I485" s="2762">
        <f ca="1">100*((Transfer!E243/Transfer!D243)-1)</f>
        <v>3.0000000000000027</v>
      </c>
      <c r="J485" s="2764">
        <f ca="1">+Transfer!F243</f>
        <v>181.24839960000003</v>
      </c>
      <c r="K485" s="2762">
        <f ca="1">100*((Transfer!F243/Transfer!E243)-1)</f>
        <v>3.0000000000000027</v>
      </c>
      <c r="L485" s="2762">
        <f ca="1">+Transfer!G243</f>
        <v>186.68585158800002</v>
      </c>
      <c r="M485" s="2765">
        <f ca="1">100*((Transfer!G243/Transfer!F243)-1)</f>
        <v>3.0000000000000027</v>
      </c>
      <c r="N485" s="2520"/>
      <c r="O485" s="54"/>
      <c r="P485" s="54"/>
      <c r="Q485" s="54"/>
      <c r="R485" s="54"/>
      <c r="S485" s="259"/>
      <c r="T485" s="427" t="s">
        <v>693</v>
      </c>
      <c r="U485" s="95"/>
      <c r="V485" s="384"/>
      <c r="W485" s="429">
        <f t="shared" ca="1" si="33"/>
        <v>3.3000000000000114</v>
      </c>
      <c r="X485" s="428">
        <f t="shared" ca="1" si="33"/>
        <v>0</v>
      </c>
      <c r="Y485" s="428">
        <f t="shared" ca="1" si="33"/>
        <v>6</v>
      </c>
      <c r="Z485" s="428">
        <f t="shared" ca="1" si="33"/>
        <v>1.5</v>
      </c>
      <c r="AA485" s="428">
        <f t="shared" ca="1" si="33"/>
        <v>8.7999999999999829</v>
      </c>
      <c r="AB485" s="428">
        <f t="shared" ca="1" si="33"/>
        <v>1.6</v>
      </c>
      <c r="AC485" s="428">
        <f t="shared" ca="1" si="33"/>
        <v>12.5</v>
      </c>
      <c r="AD485" s="431">
        <f t="shared" ca="1" si="33"/>
        <v>2</v>
      </c>
      <c r="AE485" s="199"/>
      <c r="AF485" s="45"/>
      <c r="AG485" s="45"/>
      <c r="AH485" s="45"/>
      <c r="AI485" s="45"/>
      <c r="AJ485" s="259"/>
      <c r="AK485" s="427" t="s">
        <v>693</v>
      </c>
      <c r="AL485" s="95"/>
      <c r="AM485" s="384"/>
      <c r="AN485" s="430">
        <f>+Transfer!AD243</f>
        <v>167.54499999999999</v>
      </c>
      <c r="AO485" s="428">
        <f>100*((Transfer!AD243/Transfer!AC243)-1)</f>
        <v>2.4984552890291667</v>
      </c>
      <c r="AP485" s="430">
        <f>+Transfer!AE243</f>
        <v>170.04900000000001</v>
      </c>
      <c r="AQ485" s="428">
        <f>100*((Transfer!AE243/Transfer!AD243)-1)</f>
        <v>1.4945238592616983</v>
      </c>
      <c r="AR485" s="430">
        <f>+Transfer!AF243</f>
        <v>172.429686</v>
      </c>
      <c r="AS485" s="428">
        <f>100*((Transfer!AF243/Transfer!AE243)-1)</f>
        <v>1.4000000000000012</v>
      </c>
      <c r="AT485" s="428">
        <f>+Transfer!AG243</f>
        <v>174.15398286000001</v>
      </c>
      <c r="AU485" s="431">
        <f>100*((Transfer!AG243/Transfer!AF243)-1)</f>
        <v>1.0000000000000009</v>
      </c>
      <c r="AV485" s="199"/>
      <c r="AW485" s="54"/>
      <c r="AX485" s="54"/>
      <c r="AY485" s="54"/>
      <c r="AZ485" s="54"/>
      <c r="BA485" s="2060" t="s">
        <v>383</v>
      </c>
      <c r="BB485" s="54"/>
      <c r="BC485" s="54"/>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c r="EO485"/>
      <c r="EP485"/>
      <c r="EQ485"/>
      <c r="ER485"/>
      <c r="ES485"/>
      <c r="ET485"/>
      <c r="EU485"/>
      <c r="EV485"/>
      <c r="EW485"/>
      <c r="EX485"/>
      <c r="EY485"/>
      <c r="EZ485"/>
      <c r="FA485"/>
      <c r="FB485"/>
      <c r="FC485"/>
      <c r="FD485"/>
      <c r="FE485"/>
      <c r="FF485"/>
      <c r="FG485"/>
      <c r="FH485"/>
      <c r="FI485"/>
      <c r="FJ485"/>
      <c r="FK485"/>
      <c r="FL485"/>
      <c r="FM485"/>
      <c r="FN485"/>
      <c r="FO485"/>
      <c r="FP485"/>
      <c r="FQ485"/>
      <c r="FR485"/>
      <c r="FS485"/>
      <c r="FT485"/>
      <c r="FU485"/>
      <c r="FV485"/>
      <c r="FW485"/>
      <c r="FX485"/>
      <c r="FY485"/>
      <c r="FZ485"/>
      <c r="GA485"/>
      <c r="GB485"/>
      <c r="GC485"/>
      <c r="GD485"/>
      <c r="GE485"/>
      <c r="GF485"/>
      <c r="GG485"/>
      <c r="GH485"/>
      <c r="GI485"/>
      <c r="GJ485"/>
      <c r="GK485"/>
      <c r="GL485"/>
      <c r="GM485"/>
      <c r="GN485"/>
      <c r="GO485"/>
      <c r="GP485"/>
      <c r="GQ485"/>
      <c r="GR485"/>
      <c r="GS485"/>
      <c r="GT485"/>
      <c r="GU485"/>
      <c r="GV485"/>
      <c r="GW485"/>
      <c r="GX485"/>
      <c r="GY485"/>
      <c r="GZ485"/>
      <c r="HA485"/>
      <c r="HB485"/>
      <c r="HC485"/>
      <c r="HD485"/>
      <c r="HE485"/>
      <c r="HF485"/>
      <c r="HG485"/>
      <c r="HH485"/>
      <c r="HI485"/>
      <c r="HJ485"/>
      <c r="HK485"/>
      <c r="HL485"/>
      <c r="HM485"/>
      <c r="HN485"/>
      <c r="HO485"/>
      <c r="HP485"/>
      <c r="HQ485"/>
      <c r="HR485"/>
      <c r="HS485"/>
      <c r="HT485"/>
      <c r="HU485"/>
      <c r="HV485"/>
      <c r="HW485"/>
      <c r="HX485"/>
      <c r="HY485"/>
      <c r="HZ485"/>
      <c r="IA485"/>
      <c r="IB485"/>
      <c r="IC485"/>
      <c r="ID485"/>
      <c r="IE485"/>
      <c r="IF485"/>
      <c r="IG485"/>
      <c r="IH485"/>
      <c r="II485"/>
      <c r="IJ485"/>
      <c r="IK485"/>
      <c r="IL485"/>
      <c r="IM485"/>
      <c r="IN485"/>
      <c r="IO485"/>
      <c r="IP485"/>
      <c r="IQ485"/>
      <c r="IR485"/>
      <c r="IS485"/>
      <c r="IT485"/>
      <c r="IU485"/>
      <c r="IV485"/>
    </row>
    <row r="486" spans="1:256" s="217" customFormat="1">
      <c r="A486" s="54"/>
      <c r="B486" s="2052"/>
      <c r="C486" s="1721" t="s">
        <v>1605</v>
      </c>
      <c r="D486" s="2420"/>
      <c r="E486" s="2589" t="s">
        <v>1797</v>
      </c>
      <c r="F486" s="2792">
        <f ca="1">+Transfer!D137</f>
        <v>1195.6489999999999</v>
      </c>
      <c r="G486" s="2518">
        <f ca="1">100*((Transfer!D137/Transfer!C137)-1)</f>
        <v>3.6514935051424668</v>
      </c>
      <c r="H486" s="2793">
        <f ca="1">+Transfer!E137</f>
        <v>1249.4058572996</v>
      </c>
      <c r="I486" s="2518">
        <f ca="1">100*((Transfer!E137/Transfer!D137)-1)</f>
        <v>4.4960400000000122</v>
      </c>
      <c r="J486" s="2793">
        <f ca="1">+Transfer!F137</f>
        <v>1295.9487242957246</v>
      </c>
      <c r="K486" s="2518">
        <f ca="1">100*((Transfer!F137/Transfer!E137)-1)</f>
        <v>3.7251999999999841</v>
      </c>
      <c r="L486" s="2792">
        <f ca="1">+Transfer!G137</f>
        <v>1342.0090746648987</v>
      </c>
      <c r="M486" s="2519">
        <f ca="1">100*((Transfer!G137/Transfer!F137)-1)</f>
        <v>3.554180000000029</v>
      </c>
      <c r="N486" s="2520"/>
      <c r="O486" s="54"/>
      <c r="P486" s="54"/>
      <c r="Q486" s="54"/>
      <c r="R486" s="54"/>
      <c r="S486" s="259"/>
      <c r="T486" s="99" t="s">
        <v>1605</v>
      </c>
      <c r="U486" s="100"/>
      <c r="V486" s="2390" t="s">
        <v>1797</v>
      </c>
      <c r="W486" s="2079">
        <f t="shared" ca="1" si="33"/>
        <v>43.899999999999864</v>
      </c>
      <c r="X486" s="2080">
        <f t="shared" ca="1" si="33"/>
        <v>-2.2999999999999998</v>
      </c>
      <c r="Y486" s="2080">
        <f t="shared" ca="1" si="33"/>
        <v>51.200000000000045</v>
      </c>
      <c r="Z486" s="2080">
        <f t="shared" ca="1" si="33"/>
        <v>0.5</v>
      </c>
      <c r="AA486" s="2080">
        <f t="shared" ca="1" si="33"/>
        <v>40.200000000000045</v>
      </c>
      <c r="AB486" s="2080">
        <f t="shared" ca="1" si="33"/>
        <v>-1.0999999999999996</v>
      </c>
      <c r="AC486" s="2080">
        <f t="shared" ca="1" si="33"/>
        <v>35.400000000000091</v>
      </c>
      <c r="AD486" s="2407">
        <f t="shared" ca="1" si="33"/>
        <v>-0.49999999999999956</v>
      </c>
      <c r="AE486" s="199"/>
      <c r="AF486" s="45"/>
      <c r="AG486" s="45"/>
      <c r="AH486" s="45"/>
      <c r="AI486" s="45"/>
      <c r="AJ486" s="259"/>
      <c r="AK486" s="101" t="s">
        <v>1605</v>
      </c>
      <c r="AL486" s="49"/>
      <c r="AM486" s="254" t="s">
        <v>1797</v>
      </c>
      <c r="AN486" s="2377">
        <f>+Transfer!AD137</f>
        <v>1151.7449999999999</v>
      </c>
      <c r="AO486" s="2080">
        <f>100*((Transfer!AD137/Transfer!AC137)-1)</f>
        <v>5.9923801109853292</v>
      </c>
      <c r="AP486" s="2378">
        <f>+Transfer!AE137</f>
        <v>1198.192</v>
      </c>
      <c r="AQ486" s="2080">
        <f>100*((Transfer!AE137/Transfer!AD137)-1)</f>
        <v>4.0327503049720326</v>
      </c>
      <c r="AR486" s="2378">
        <f>+Transfer!AF137</f>
        <v>1255.6560901280002</v>
      </c>
      <c r="AS486" s="2080">
        <f>100*((Transfer!AF137/Transfer!AE137)-1)</f>
        <v>4.7959000000000085</v>
      </c>
      <c r="AT486" s="2377">
        <f>+Transfer!AG137</f>
        <v>1306.5925328176968</v>
      </c>
      <c r="AU486" s="2379">
        <f>100*((Transfer!AG137/Transfer!AF137)-1)</f>
        <v>4.056560000000009</v>
      </c>
      <c r="AV486" s="199"/>
      <c r="AW486" s="54"/>
      <c r="AX486" s="54"/>
      <c r="AY486" s="54"/>
      <c r="AZ486" s="54"/>
      <c r="BA486" s="2060" t="s">
        <v>384</v>
      </c>
      <c r="BB486" s="54"/>
      <c r="BC486" s="54"/>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c r="EO486"/>
      <c r="EP486"/>
      <c r="EQ486"/>
      <c r="ER486"/>
      <c r="ES486"/>
      <c r="ET486"/>
      <c r="EU486"/>
      <c r="EV486"/>
      <c r="EW486"/>
      <c r="EX486"/>
      <c r="EY486"/>
      <c r="EZ486"/>
      <c r="FA486"/>
      <c r="FB486"/>
      <c r="FC486"/>
      <c r="FD486"/>
      <c r="FE486"/>
      <c r="FF486"/>
      <c r="FG486"/>
      <c r="FH486"/>
      <c r="FI486"/>
      <c r="FJ486"/>
      <c r="FK486"/>
      <c r="FL486"/>
      <c r="FM486"/>
      <c r="FN486"/>
      <c r="FO486"/>
      <c r="FP486"/>
      <c r="FQ486"/>
      <c r="FR486"/>
      <c r="FS486"/>
      <c r="FT486"/>
      <c r="FU486"/>
      <c r="FV486"/>
      <c r="FW486"/>
      <c r="FX486"/>
      <c r="FY486"/>
      <c r="FZ486"/>
      <c r="GA486"/>
      <c r="GB486"/>
      <c r="GC486"/>
      <c r="GD486"/>
      <c r="GE486"/>
      <c r="GF486"/>
      <c r="GG486"/>
      <c r="GH486"/>
      <c r="GI486"/>
      <c r="GJ486"/>
      <c r="GK486"/>
      <c r="GL486"/>
      <c r="GM486"/>
      <c r="GN486"/>
      <c r="GO486"/>
      <c r="GP486"/>
      <c r="GQ486"/>
      <c r="GR486"/>
      <c r="GS486"/>
      <c r="GT486"/>
      <c r="GU486"/>
      <c r="GV486"/>
      <c r="GW486"/>
      <c r="GX486"/>
      <c r="GY486"/>
      <c r="GZ486"/>
      <c r="HA486"/>
      <c r="HB486"/>
      <c r="HC486"/>
      <c r="HD486"/>
      <c r="HE486"/>
      <c r="HF486"/>
      <c r="HG486"/>
      <c r="HH486"/>
      <c r="HI486"/>
      <c r="HJ486"/>
      <c r="HK486"/>
      <c r="HL486"/>
      <c r="HM486"/>
      <c r="HN486"/>
      <c r="HO486"/>
      <c r="HP486"/>
      <c r="HQ486"/>
      <c r="HR486"/>
      <c r="HS486"/>
      <c r="HT486"/>
      <c r="HU486"/>
      <c r="HV486"/>
      <c r="HW486"/>
      <c r="HX486"/>
      <c r="HY486"/>
      <c r="HZ486"/>
      <c r="IA486"/>
      <c r="IB486"/>
      <c r="IC486"/>
      <c r="ID486"/>
      <c r="IE486"/>
      <c r="IF486"/>
      <c r="IG486"/>
      <c r="IH486"/>
      <c r="II486"/>
      <c r="IJ486"/>
      <c r="IK486"/>
      <c r="IL486"/>
      <c r="IM486"/>
      <c r="IN486"/>
      <c r="IO486"/>
      <c r="IP486"/>
      <c r="IQ486"/>
      <c r="IR486"/>
      <c r="IS486"/>
      <c r="IT486"/>
      <c r="IU486"/>
      <c r="IV486"/>
    </row>
    <row r="487" spans="1:256" s="217" customFormat="1">
      <c r="A487" s="54"/>
      <c r="B487" s="2052"/>
      <c r="C487" s="2442" t="s">
        <v>1601</v>
      </c>
      <c r="D487" s="2461"/>
      <c r="E487" s="2589" t="s">
        <v>1606</v>
      </c>
      <c r="F487" s="2579">
        <f ca="1">+Transfer!D219</f>
        <v>881.56100000000004</v>
      </c>
      <c r="G487" s="2521">
        <f ca="1">100*((Transfer!D219/Transfer!C219)-1)</f>
        <v>4.0040253792374525</v>
      </c>
      <c r="H487" s="2759">
        <f ca="1">+Transfer!E219</f>
        <v>923.69660129960005</v>
      </c>
      <c r="I487" s="2521">
        <f ca="1">100*((Transfer!E219/Transfer!D219)-1)</f>
        <v>4.7796580497095453</v>
      </c>
      <c r="J487" s="2759">
        <f ca="1">+Transfer!F219</f>
        <v>959.81677210372459</v>
      </c>
      <c r="K487" s="2521">
        <f ca="1">100*((Transfer!F219/Transfer!E219)-1)</f>
        <v>3.9103933860214601</v>
      </c>
      <c r="L487" s="2521">
        <f ca="1">+Transfer!G219</f>
        <v>996.80155976371464</v>
      </c>
      <c r="M487" s="2760">
        <f ca="1">100*((Transfer!G219/Transfer!F219)-1)</f>
        <v>3.8533175013108822</v>
      </c>
      <c r="N487" s="2520"/>
      <c r="O487" s="54"/>
      <c r="P487" s="54"/>
      <c r="Q487" s="54"/>
      <c r="R487" s="54"/>
      <c r="S487" s="259"/>
      <c r="T487" s="162" t="s">
        <v>1601</v>
      </c>
      <c r="U487" s="102"/>
      <c r="V487" s="254" t="s">
        <v>1606</v>
      </c>
      <c r="W487" s="248">
        <f t="shared" ca="1" si="33"/>
        <v>35.100000000000023</v>
      </c>
      <c r="X487" s="245">
        <f t="shared" ca="1" si="33"/>
        <v>-3.5999999999999996</v>
      </c>
      <c r="Y487" s="245">
        <f t="shared" ca="1" si="33"/>
        <v>42.800000000000068</v>
      </c>
      <c r="Z487" s="245">
        <f t="shared" ca="1" si="33"/>
        <v>0.70000000000000018</v>
      </c>
      <c r="AA487" s="245">
        <f t="shared" ca="1" si="33"/>
        <v>33.199999999999932</v>
      </c>
      <c r="AB487" s="245">
        <f t="shared" ca="1" si="33"/>
        <v>-1.3000000000000003</v>
      </c>
      <c r="AC487" s="245">
        <f t="shared" ca="1" si="33"/>
        <v>29.799999999999955</v>
      </c>
      <c r="AD487" s="249">
        <f t="shared" ca="1" si="33"/>
        <v>-0.50000000000000044</v>
      </c>
      <c r="AE487" s="199"/>
      <c r="AF487" s="45"/>
      <c r="AG487" s="45"/>
      <c r="AH487" s="45"/>
      <c r="AI487" s="45"/>
      <c r="AJ487" s="259"/>
      <c r="AK487" s="162" t="s">
        <v>1601</v>
      </c>
      <c r="AL487" s="102"/>
      <c r="AM487" s="254" t="s">
        <v>1606</v>
      </c>
      <c r="AN487" s="145">
        <f>+Transfer!AD219</f>
        <v>846.54700000000003</v>
      </c>
      <c r="AO487" s="245">
        <f>100*((Transfer!AD219/Transfer!AC219)-1)</f>
        <v>7.5925765879350626</v>
      </c>
      <c r="AP487" s="141">
        <f>+Transfer!AE219</f>
        <v>880.85299999999995</v>
      </c>
      <c r="AQ487" s="245">
        <f>100*((Transfer!AE219/Transfer!AD219)-1)</f>
        <v>4.0524625330903064</v>
      </c>
      <c r="AR487" s="141">
        <f>+Transfer!AF219</f>
        <v>926.57554712800015</v>
      </c>
      <c r="AS487" s="245">
        <f>100*((Transfer!AF219/Transfer!AE219)-1)</f>
        <v>5.1907125397768095</v>
      </c>
      <c r="AT487" s="245">
        <f>+Transfer!AG219</f>
        <v>966.98141244169688</v>
      </c>
      <c r="AU487" s="249">
        <f>100*((Transfer!AG219/Transfer!AF219)-1)</f>
        <v>4.3607739745494145</v>
      </c>
      <c r="AV487" s="199"/>
      <c r="AW487" s="54"/>
      <c r="AX487" s="54"/>
      <c r="AY487" s="54"/>
      <c r="AZ487" s="54"/>
      <c r="BA487" s="2060" t="s">
        <v>930</v>
      </c>
      <c r="BB487" s="54"/>
      <c r="BC487" s="54"/>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c r="EO487"/>
      <c r="EP487"/>
      <c r="EQ487"/>
      <c r="ER487"/>
      <c r="ES487"/>
      <c r="ET487"/>
      <c r="EU487"/>
      <c r="EV487"/>
      <c r="EW487"/>
      <c r="EX487"/>
      <c r="EY487"/>
      <c r="EZ487"/>
      <c r="FA487"/>
      <c r="FB487"/>
      <c r="FC487"/>
      <c r="FD487"/>
      <c r="FE487"/>
      <c r="FF487"/>
      <c r="FG487"/>
      <c r="FH487"/>
      <c r="FI487"/>
      <c r="FJ487"/>
      <c r="FK487"/>
      <c r="FL487"/>
      <c r="FM487"/>
      <c r="FN487"/>
      <c r="FO487"/>
      <c r="FP487"/>
      <c r="FQ487"/>
      <c r="FR487"/>
      <c r="FS487"/>
      <c r="FT487"/>
      <c r="FU487"/>
      <c r="FV487"/>
      <c r="FW487"/>
      <c r="FX487"/>
      <c r="FY487"/>
      <c r="FZ487"/>
      <c r="GA487"/>
      <c r="GB487"/>
      <c r="GC487"/>
      <c r="GD487"/>
      <c r="GE487"/>
      <c r="GF487"/>
      <c r="GG487"/>
      <c r="GH487"/>
      <c r="GI487"/>
      <c r="GJ487"/>
      <c r="GK487"/>
      <c r="GL487"/>
      <c r="GM487"/>
      <c r="GN487"/>
      <c r="GO487"/>
      <c r="GP487"/>
      <c r="GQ487"/>
      <c r="GR487"/>
      <c r="GS487"/>
      <c r="GT487"/>
      <c r="GU487"/>
      <c r="GV487"/>
      <c r="GW487"/>
      <c r="GX487"/>
      <c r="GY487"/>
      <c r="GZ487"/>
      <c r="HA487"/>
      <c r="HB487"/>
      <c r="HC487"/>
      <c r="HD487"/>
      <c r="HE487"/>
      <c r="HF487"/>
      <c r="HG487"/>
      <c r="HH487"/>
      <c r="HI487"/>
      <c r="HJ487"/>
      <c r="HK487"/>
      <c r="HL487"/>
      <c r="HM487"/>
      <c r="HN487"/>
      <c r="HO487"/>
      <c r="HP487"/>
      <c r="HQ487"/>
      <c r="HR487"/>
      <c r="HS487"/>
      <c r="HT487"/>
      <c r="HU487"/>
      <c r="HV487"/>
      <c r="HW487"/>
      <c r="HX487"/>
      <c r="HY487"/>
      <c r="HZ487"/>
      <c r="IA487"/>
      <c r="IB487"/>
      <c r="IC487"/>
      <c r="ID487"/>
      <c r="IE487"/>
      <c r="IF487"/>
      <c r="IG487"/>
      <c r="IH487"/>
      <c r="II487"/>
      <c r="IJ487"/>
      <c r="IK487"/>
      <c r="IL487"/>
      <c r="IM487"/>
      <c r="IN487"/>
      <c r="IO487"/>
      <c r="IP487"/>
      <c r="IQ487"/>
      <c r="IR487"/>
      <c r="IS487"/>
      <c r="IT487"/>
      <c r="IU487"/>
      <c r="IV487"/>
    </row>
    <row r="488" spans="1:256" ht="13.15" thickBot="1">
      <c r="A488" s="45"/>
      <c r="B488" s="1720"/>
      <c r="C488" s="2734" t="s">
        <v>1602</v>
      </c>
      <c r="D488" s="2735"/>
      <c r="E488" s="2804" t="s">
        <v>1809</v>
      </c>
      <c r="F488" s="2805">
        <f ca="1">+Transfer!D218</f>
        <v>314.08800000000002</v>
      </c>
      <c r="G488" s="2698">
        <f ca="1">100*((Transfer!D218/Transfer!C218)-1)</f>
        <v>2.6746778422129802</v>
      </c>
      <c r="H488" s="2805">
        <f ca="1">+Transfer!E218</f>
        <v>325.70925599999998</v>
      </c>
      <c r="I488" s="2698">
        <f ca="1">100*((Transfer!E218/Transfer!D218)-1)</f>
        <v>3.6999999999999922</v>
      </c>
      <c r="J488" s="2805">
        <f ca="1">+Transfer!F218</f>
        <v>336.13195219199997</v>
      </c>
      <c r="K488" s="2698">
        <f ca="1">100*((Transfer!F218/Transfer!E218)-1)</f>
        <v>3.2000000000000028</v>
      </c>
      <c r="L488" s="2698">
        <f ca="1">+Transfer!G218</f>
        <v>345.20751490118397</v>
      </c>
      <c r="M488" s="2806">
        <f ca="1">100*((Transfer!G218/Transfer!F218)-1)</f>
        <v>2.6999999999999913</v>
      </c>
      <c r="N488" s="2520"/>
      <c r="O488" s="54"/>
      <c r="P488" s="54"/>
      <c r="Q488" s="54"/>
      <c r="R488" s="54"/>
      <c r="S488" s="190"/>
      <c r="T488" s="2381" t="s">
        <v>1602</v>
      </c>
      <c r="U488" s="2382"/>
      <c r="V488" s="386" t="s">
        <v>1809</v>
      </c>
      <c r="W488" s="2083">
        <f t="shared" ca="1" si="33"/>
        <v>8.9000000000000341</v>
      </c>
      <c r="X488" s="470">
        <f t="shared" ca="1" si="33"/>
        <v>0.90000000000000013</v>
      </c>
      <c r="Y488" s="470">
        <f t="shared" ca="1" si="33"/>
        <v>8.3999999999999773</v>
      </c>
      <c r="Z488" s="470">
        <f t="shared" ca="1" si="33"/>
        <v>-0.29999999999999982</v>
      </c>
      <c r="AA488" s="470">
        <f t="shared" ca="1" si="33"/>
        <v>7</v>
      </c>
      <c r="AB488" s="470">
        <f t="shared" ca="1" si="33"/>
        <v>-0.5</v>
      </c>
      <c r="AC488" s="470">
        <f t="shared" ca="1" si="33"/>
        <v>5.5999999999999659</v>
      </c>
      <c r="AD488" s="2084">
        <f t="shared" ca="1" si="33"/>
        <v>-0.5</v>
      </c>
      <c r="AE488" s="199"/>
      <c r="AF488" s="45"/>
      <c r="AG488" s="45"/>
      <c r="AH488" s="45"/>
      <c r="AI488" s="45"/>
      <c r="AJ488" s="190"/>
      <c r="AK488" s="2381" t="s">
        <v>1602</v>
      </c>
      <c r="AL488" s="2382"/>
      <c r="AM488" s="386" t="s">
        <v>1809</v>
      </c>
      <c r="AN488" s="469">
        <f>+Transfer!AD218</f>
        <v>305.19799999999998</v>
      </c>
      <c r="AO488" s="470">
        <f>100*((Transfer!AD218/Transfer!AC218)-1)</f>
        <v>1.7930638845714997</v>
      </c>
      <c r="AP488" s="469">
        <f>+Transfer!AE218</f>
        <v>317.339</v>
      </c>
      <c r="AQ488" s="470">
        <f>100*((Transfer!AE218/Transfer!AD218)-1)</f>
        <v>3.9780732508076788</v>
      </c>
      <c r="AR488" s="469">
        <f>+Transfer!AF218</f>
        <v>329.08054299999998</v>
      </c>
      <c r="AS488" s="470">
        <f>100*((Transfer!AF218/Transfer!AE218)-1)</f>
        <v>3.6999999999999922</v>
      </c>
      <c r="AT488" s="470">
        <f>+Transfer!AG218</f>
        <v>339.61112037599997</v>
      </c>
      <c r="AU488" s="471">
        <f>100*((Transfer!AG218/Transfer!AF218)-1)</f>
        <v>3.2000000000000028</v>
      </c>
      <c r="AV488" s="199"/>
      <c r="AW488" s="54"/>
      <c r="AX488" s="54"/>
      <c r="AY488" s="54"/>
      <c r="AZ488" s="54"/>
      <c r="BA488" s="2061" t="s">
        <v>931</v>
      </c>
      <c r="BB488" s="54"/>
      <c r="BC488" s="54"/>
    </row>
    <row r="489" spans="1:256" s="217" customFormat="1" ht="13.15">
      <c r="A489" s="54"/>
      <c r="B489" s="2665"/>
      <c r="C489" s="2468"/>
      <c r="D489" s="2468"/>
      <c r="E489" s="2468"/>
      <c r="F489" s="2853"/>
      <c r="G489" s="2853"/>
      <c r="H489" s="2853"/>
      <c r="I489" s="2853"/>
      <c r="J489" s="2468"/>
      <c r="K489" s="2468"/>
      <c r="L489" s="2468"/>
      <c r="M489" s="2469" t="str">
        <f>UPPER(Country)</f>
        <v>SWEDEN</v>
      </c>
      <c r="N489" s="2854"/>
      <c r="O489" s="54"/>
      <c r="P489" s="54"/>
      <c r="Q489" s="54"/>
      <c r="R489" s="54"/>
      <c r="S489" s="327"/>
      <c r="T489" s="117"/>
      <c r="U489" s="117"/>
      <c r="V489" s="117"/>
      <c r="W489" s="117"/>
      <c r="X489" s="2391"/>
      <c r="Y489" s="117"/>
      <c r="Z489" s="2391"/>
      <c r="AA489" s="117"/>
      <c r="AB489" s="117"/>
      <c r="AC489" s="117"/>
      <c r="AD489" s="2392" t="str">
        <f>UPPER(Country)</f>
        <v>SWEDEN</v>
      </c>
      <c r="AE489" s="2383"/>
      <c r="AF489" s="45"/>
      <c r="AG489" s="45"/>
      <c r="AH489" s="45"/>
      <c r="AI489" s="45"/>
      <c r="AJ489" s="327"/>
      <c r="AK489" s="117"/>
      <c r="AL489" s="117"/>
      <c r="AM489" s="117"/>
      <c r="AN489" s="117"/>
      <c r="AO489" s="2391"/>
      <c r="AP489" s="117"/>
      <c r="AQ489" s="2391"/>
      <c r="AR489" s="117"/>
      <c r="AS489" s="117"/>
      <c r="AT489" s="117"/>
      <c r="AU489" s="2392" t="str">
        <f>UPPER(Country)</f>
        <v>SWEDEN</v>
      </c>
      <c r="AV489" s="2383"/>
      <c r="AW489" s="54"/>
      <c r="AX489" s="54"/>
      <c r="AY489" s="54"/>
      <c r="AZ489" s="54"/>
      <c r="BA489" s="54"/>
      <c r="BB489" s="54"/>
      <c r="BC489" s="54"/>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c r="EO489"/>
      <c r="EP489"/>
      <c r="EQ489"/>
      <c r="ER489"/>
      <c r="ES489"/>
      <c r="ET489"/>
      <c r="EU489"/>
      <c r="EV489"/>
      <c r="EW489"/>
      <c r="EX489"/>
      <c r="EY489"/>
      <c r="EZ489"/>
      <c r="FA489"/>
      <c r="FB489"/>
      <c r="FC489"/>
      <c r="FD489"/>
      <c r="FE489"/>
      <c r="FF489"/>
      <c r="FG489"/>
      <c r="FH489"/>
      <c r="FI489"/>
      <c r="FJ489"/>
      <c r="FK489"/>
      <c r="FL489"/>
      <c r="FM489"/>
      <c r="FN489"/>
      <c r="FO489"/>
      <c r="FP489"/>
      <c r="FQ489"/>
      <c r="FR489"/>
      <c r="FS489"/>
      <c r="FT489"/>
      <c r="FU489"/>
      <c r="FV489"/>
      <c r="FW489"/>
      <c r="FX489"/>
      <c r="FY489"/>
      <c r="FZ489"/>
      <c r="GA489"/>
      <c r="GB489"/>
      <c r="GC489"/>
      <c r="GD489"/>
      <c r="GE489"/>
      <c r="GF489"/>
      <c r="GG489"/>
      <c r="GH489"/>
      <c r="GI489"/>
      <c r="GJ489"/>
      <c r="GK489"/>
      <c r="GL489"/>
      <c r="GM489"/>
      <c r="GN489"/>
      <c r="GO489"/>
      <c r="GP489"/>
      <c r="GQ489"/>
      <c r="GR489"/>
      <c r="GS489"/>
      <c r="GT489"/>
      <c r="GU489"/>
      <c r="GV489"/>
      <c r="GW489"/>
      <c r="GX489"/>
      <c r="GY489"/>
      <c r="GZ489"/>
      <c r="HA489"/>
      <c r="HB489"/>
      <c r="HC489"/>
      <c r="HD489"/>
      <c r="HE489"/>
      <c r="HF489"/>
      <c r="HG489"/>
      <c r="HH489"/>
      <c r="HI489"/>
      <c r="HJ489"/>
      <c r="HK489"/>
      <c r="HL489"/>
      <c r="HM489"/>
      <c r="HN489"/>
      <c r="HO489"/>
      <c r="HP489"/>
      <c r="HQ489"/>
      <c r="HR489"/>
      <c r="HS489"/>
      <c r="HT489"/>
      <c r="HU489"/>
      <c r="HV489"/>
      <c r="HW489"/>
      <c r="HX489"/>
      <c r="HY489"/>
      <c r="HZ489"/>
      <c r="IA489"/>
      <c r="IB489"/>
      <c r="IC489"/>
      <c r="ID489"/>
      <c r="IE489"/>
      <c r="IF489"/>
      <c r="IG489"/>
      <c r="IH489"/>
      <c r="II489"/>
      <c r="IJ489"/>
      <c r="IK489"/>
      <c r="IL489"/>
      <c r="IM489"/>
      <c r="IN489"/>
      <c r="IO489"/>
      <c r="IP489"/>
      <c r="IQ489"/>
      <c r="IR489"/>
      <c r="IS489"/>
      <c r="IT489"/>
      <c r="IU489"/>
      <c r="IV489"/>
    </row>
    <row r="490" spans="1:256">
      <c r="A490" s="45"/>
      <c r="B490" s="45"/>
      <c r="C490" s="45"/>
      <c r="D490" s="45"/>
      <c r="E490" s="45"/>
      <c r="F490" s="1776"/>
      <c r="G490" s="1775"/>
      <c r="H490" s="1775"/>
      <c r="I490" s="1775"/>
      <c r="J490" s="1775"/>
      <c r="K490" s="1775"/>
      <c r="L490" s="1775"/>
      <c r="M490" s="45"/>
      <c r="N490" s="45"/>
      <c r="O490" s="45"/>
      <c r="P490" s="54"/>
      <c r="Q490" s="54"/>
      <c r="R490" s="54"/>
      <c r="S490" s="54"/>
      <c r="T490" s="54"/>
      <c r="U490" s="54"/>
      <c r="V490" s="54"/>
      <c r="W490" s="54"/>
      <c r="X490" s="54"/>
      <c r="Y490" s="54"/>
      <c r="Z490" s="54"/>
      <c r="AA490" s="54"/>
      <c r="AB490" s="45"/>
      <c r="AC490" s="45"/>
      <c r="AD490" s="45"/>
      <c r="AE490" s="45"/>
      <c r="AF490" s="45"/>
      <c r="AG490" s="45"/>
      <c r="AH490" s="45"/>
      <c r="AI490" s="45"/>
      <c r="AJ490" s="45"/>
      <c r="AK490" s="45"/>
      <c r="AL490" s="45"/>
      <c r="AM490" s="45"/>
      <c r="AN490" s="45"/>
      <c r="AO490" s="45"/>
      <c r="AP490" s="45"/>
      <c r="AQ490" s="45"/>
      <c r="AR490" s="45"/>
      <c r="AS490" s="45"/>
      <c r="AT490" s="45"/>
      <c r="AU490" s="45"/>
      <c r="AV490" s="45"/>
      <c r="AW490" s="54"/>
      <c r="AX490" s="54"/>
      <c r="AY490" s="54"/>
      <c r="AZ490" s="54"/>
      <c r="BA490" s="54"/>
      <c r="BB490" s="54"/>
      <c r="BC490" s="54"/>
    </row>
    <row r="491" spans="1:256">
      <c r="A491" s="45"/>
      <c r="B491" s="45"/>
      <c r="C491" s="45"/>
      <c r="D491" s="45"/>
      <c r="E491" s="45"/>
      <c r="F491" s="1776"/>
      <c r="G491" s="1775"/>
      <c r="H491" s="1775"/>
      <c r="I491" s="1775"/>
      <c r="J491" s="1775"/>
      <c r="K491" s="1775"/>
      <c r="L491" s="1775"/>
      <c r="M491" s="45"/>
      <c r="N491" s="45"/>
      <c r="O491" s="45"/>
      <c r="P491" s="54"/>
      <c r="Q491" s="54"/>
      <c r="R491" s="54"/>
      <c r="S491" s="54"/>
      <c r="T491" s="54"/>
      <c r="U491" s="54"/>
      <c r="V491" s="54"/>
      <c r="W491" s="54"/>
      <c r="X491" s="54"/>
      <c r="Y491" s="54"/>
      <c r="Z491" s="54"/>
      <c r="AA491" s="54"/>
      <c r="AB491" s="45"/>
      <c r="AC491" s="45"/>
      <c r="AD491" s="45"/>
      <c r="AE491" s="45"/>
      <c r="AF491" s="45"/>
      <c r="AG491" s="45"/>
      <c r="AH491" s="45"/>
      <c r="AI491" s="45"/>
      <c r="AJ491" s="45"/>
      <c r="AK491" s="45"/>
      <c r="AL491" s="45"/>
      <c r="AM491" s="45"/>
      <c r="AN491" s="45"/>
      <c r="AO491" s="1775"/>
      <c r="AP491" s="1775"/>
      <c r="AQ491" s="1775"/>
      <c r="AR491" s="1775"/>
      <c r="AS491" s="1775"/>
      <c r="AT491" s="1775"/>
      <c r="AU491" s="45"/>
      <c r="AV491" s="45"/>
      <c r="AW491" s="45"/>
      <c r="AX491" s="54"/>
      <c r="AY491" s="54"/>
      <c r="AZ491" s="54"/>
      <c r="BA491" s="54"/>
      <c r="BB491" s="54"/>
      <c r="BC491" s="54"/>
    </row>
    <row r="492" spans="1:256">
      <c r="A492" s="45"/>
      <c r="B492" s="45"/>
      <c r="C492" s="45"/>
      <c r="D492" s="45"/>
      <c r="E492" s="45"/>
      <c r="F492" s="45"/>
      <c r="G492" s="45"/>
      <c r="H492" s="45"/>
      <c r="I492" s="45"/>
      <c r="J492" s="45"/>
      <c r="K492" s="45"/>
      <c r="L492" s="45"/>
      <c r="M492" s="45"/>
      <c r="N492" s="45"/>
      <c r="O492" s="45"/>
      <c r="P492" s="54"/>
      <c r="Q492" s="54"/>
      <c r="R492" s="54"/>
      <c r="S492" s="54"/>
      <c r="T492" s="54"/>
      <c r="U492" s="54"/>
      <c r="V492" s="54"/>
      <c r="W492" s="54"/>
      <c r="X492" s="54"/>
      <c r="Y492" s="54"/>
      <c r="Z492" s="54"/>
      <c r="AA492" s="54"/>
      <c r="AB492" s="45"/>
      <c r="AC492" s="45"/>
      <c r="AD492" s="45"/>
      <c r="AE492" s="45"/>
      <c r="AF492" s="45"/>
      <c r="AG492" s="45"/>
      <c r="AH492" s="45"/>
      <c r="AI492" s="45"/>
      <c r="AJ492" s="45"/>
      <c r="AK492" s="45"/>
      <c r="AL492" s="45"/>
      <c r="AM492" s="45"/>
      <c r="AN492" s="45"/>
      <c r="AO492" s="45"/>
      <c r="AP492" s="45"/>
      <c r="AQ492" s="45"/>
      <c r="AR492" s="45"/>
      <c r="AS492" s="45"/>
      <c r="AT492" s="45"/>
      <c r="AU492" s="45"/>
      <c r="AV492" s="45"/>
      <c r="AW492" s="45"/>
      <c r="AX492" s="54"/>
      <c r="AY492" s="54"/>
      <c r="AZ492" s="54"/>
      <c r="BA492" s="54"/>
      <c r="BB492" s="54"/>
      <c r="BC492" s="54"/>
    </row>
    <row r="493" spans="1:256" ht="13.15">
      <c r="A493" s="45"/>
      <c r="B493" s="2410"/>
      <c r="C493" s="2669" t="s">
        <v>181</v>
      </c>
      <c r="D493" s="2669"/>
      <c r="E493" s="2412"/>
      <c r="F493" s="2412"/>
      <c r="G493" s="2412"/>
      <c r="H493" s="2412"/>
      <c r="I493" s="2412"/>
      <c r="J493" s="2412"/>
      <c r="K493" s="2412"/>
      <c r="L493" s="2412"/>
      <c r="M493" s="2563"/>
      <c r="N493" s="54"/>
      <c r="O493" s="54"/>
      <c r="P493" s="54"/>
      <c r="Q493" s="54"/>
      <c r="R493" s="54"/>
      <c r="S493" s="2410"/>
      <c r="T493" s="2669" t="s">
        <v>181</v>
      </c>
      <c r="U493" s="2669"/>
      <c r="V493" s="2412"/>
      <c r="W493" s="2412"/>
      <c r="X493" s="2412"/>
      <c r="Y493" s="2412"/>
      <c r="Z493" s="2412"/>
      <c r="AA493" s="2412"/>
      <c r="AB493" s="2412"/>
      <c r="AC493" s="2412"/>
      <c r="AD493" s="2563"/>
      <c r="AE493" s="45"/>
      <c r="AF493" s="45"/>
      <c r="AG493" s="45"/>
      <c r="AH493" s="45"/>
      <c r="AI493" s="45"/>
      <c r="AJ493" s="188"/>
      <c r="AK493" s="336" t="s">
        <v>181</v>
      </c>
      <c r="AL493" s="336"/>
      <c r="AM493" s="100"/>
      <c r="AN493" s="100"/>
      <c r="AO493" s="100"/>
      <c r="AP493" s="100"/>
      <c r="AQ493" s="100"/>
      <c r="AR493" s="100"/>
      <c r="AS493" s="100"/>
      <c r="AT493" s="100"/>
      <c r="AU493" s="238"/>
      <c r="AV493" s="54"/>
      <c r="AW493" s="54"/>
      <c r="AX493" s="54"/>
      <c r="AY493" s="54"/>
      <c r="AZ493" s="54"/>
      <c r="BA493" s="54"/>
      <c r="BB493" s="54"/>
      <c r="BC493" s="54"/>
    </row>
    <row r="494" spans="1:256" ht="13.15">
      <c r="A494" s="45"/>
      <c r="B494" s="1720"/>
      <c r="C494" s="3935" t="s">
        <v>182</v>
      </c>
      <c r="D494" s="3935"/>
      <c r="E494" s="3935"/>
      <c r="F494" s="3935"/>
      <c r="G494" s="3935"/>
      <c r="H494" s="3935"/>
      <c r="I494" s="3935"/>
      <c r="J494" s="3935"/>
      <c r="K494" s="3935"/>
      <c r="L494" s="3935"/>
      <c r="M494" s="2598"/>
      <c r="N494" s="54"/>
      <c r="O494" s="54"/>
      <c r="P494" s="54"/>
      <c r="Q494" s="54"/>
      <c r="R494" s="54"/>
      <c r="S494" s="1720"/>
      <c r="T494" s="3935" t="s">
        <v>182</v>
      </c>
      <c r="U494" s="3935"/>
      <c r="V494" s="3935"/>
      <c r="W494" s="3935"/>
      <c r="X494" s="3935"/>
      <c r="Y494" s="3935"/>
      <c r="Z494" s="3935"/>
      <c r="AA494" s="3935"/>
      <c r="AB494" s="3935"/>
      <c r="AC494" s="3935"/>
      <c r="AD494" s="2598"/>
      <c r="AE494" s="45"/>
      <c r="AF494" s="45"/>
      <c r="AG494" s="45"/>
      <c r="AH494" s="45"/>
      <c r="AI494" s="45"/>
      <c r="AJ494" s="190"/>
      <c r="AK494" s="3936" t="s">
        <v>182</v>
      </c>
      <c r="AL494" s="3936"/>
      <c r="AM494" s="3936"/>
      <c r="AN494" s="3936"/>
      <c r="AO494" s="3936"/>
      <c r="AP494" s="3936"/>
      <c r="AQ494" s="3936"/>
      <c r="AR494" s="3936"/>
      <c r="AS494" s="3936"/>
      <c r="AT494" s="3936"/>
      <c r="AU494" s="260"/>
      <c r="AV494" s="54"/>
      <c r="AW494" s="54"/>
      <c r="AX494" s="54"/>
      <c r="AY494" s="54"/>
      <c r="AZ494" s="54"/>
      <c r="BA494" s="54"/>
      <c r="BB494" s="54"/>
      <c r="BC494" s="54"/>
    </row>
    <row r="495" spans="1:256" ht="15">
      <c r="A495" s="45"/>
      <c r="B495" s="1720"/>
      <c r="C495" s="2418" t="str">
        <f>"Country: " &amp;UPPER(Country)</f>
        <v>Country: SWEDEN</v>
      </c>
      <c r="D495" s="2418"/>
      <c r="E495" s="2420"/>
      <c r="F495" s="2420"/>
      <c r="G495" s="2420"/>
      <c r="H495" s="2420"/>
      <c r="I495" s="2420"/>
      <c r="J495" s="2420"/>
      <c r="K495" s="2420"/>
      <c r="L495" s="2420"/>
      <c r="M495" s="2520"/>
      <c r="N495" s="54"/>
      <c r="O495" s="54"/>
      <c r="P495" s="54"/>
      <c r="Q495" s="54"/>
      <c r="R495" s="54"/>
      <c r="S495" s="1720"/>
      <c r="T495" s="2418" t="str">
        <f>"Country: " &amp;UPPER(Country)</f>
        <v>Country: SWEDEN</v>
      </c>
      <c r="U495" s="2418"/>
      <c r="V495" s="2420"/>
      <c r="W495" s="2066" t="s">
        <v>1553</v>
      </c>
      <c r="X495" s="65"/>
      <c r="Y495" s="65"/>
      <c r="Z495" s="65"/>
      <c r="AA495" s="65"/>
      <c r="AB495" s="65"/>
      <c r="AC495" s="65"/>
      <c r="AD495" s="196"/>
      <c r="AE495" s="45"/>
      <c r="AF495" s="45"/>
      <c r="AG495" s="45"/>
      <c r="AH495" s="45"/>
      <c r="AI495" s="45"/>
      <c r="AJ495" s="190"/>
      <c r="AK495" s="63" t="str">
        <f>"Country: " &amp;UPPER(Country)</f>
        <v>Country: SWEDEN</v>
      </c>
      <c r="AL495" s="63"/>
      <c r="AM495" s="65"/>
      <c r="AN495" s="65"/>
      <c r="AO495" s="65"/>
      <c r="AP495" s="65"/>
      <c r="AQ495" s="65"/>
      <c r="AR495" s="65"/>
      <c r="AS495" s="65"/>
      <c r="AT495" s="65"/>
      <c r="AU495" s="196"/>
      <c r="AV495" s="54"/>
      <c r="AW495" s="54"/>
      <c r="AX495" s="54"/>
      <c r="AY495" s="54"/>
      <c r="AZ495" s="54"/>
      <c r="BA495" s="54"/>
      <c r="BB495" s="54"/>
      <c r="BC495" s="54"/>
    </row>
    <row r="496" spans="1:256" ht="15">
      <c r="A496" s="45"/>
      <c r="B496" s="1720"/>
      <c r="C496" s="2418" t="str">
        <f>"Currency unit: " &amp; Currency</f>
        <v>Currency unit: bn SEK</v>
      </c>
      <c r="D496" s="2420"/>
      <c r="E496" s="2420"/>
      <c r="F496" s="2420"/>
      <c r="G496" s="2420"/>
      <c r="H496" s="2420"/>
      <c r="I496" s="2513"/>
      <c r="J496" s="2513"/>
      <c r="K496" s="2513"/>
      <c r="L496" s="2513"/>
      <c r="M496" s="1719"/>
      <c r="N496" s="54"/>
      <c r="O496" s="54"/>
      <c r="P496" s="54"/>
      <c r="Q496" s="54"/>
      <c r="R496" s="54"/>
      <c r="S496" s="190"/>
      <c r="T496" s="63" t="str">
        <f>"Currency unit: " &amp; Currency</f>
        <v>Currency unit: bn SEK</v>
      </c>
      <c r="U496" s="65"/>
      <c r="V496" s="65"/>
      <c r="W496" s="2066" t="str">
        <f>$T$4</f>
        <v>final storage SF18</v>
      </c>
      <c r="X496" s="65"/>
      <c r="Y496" s="65"/>
      <c r="Z496" s="1"/>
      <c r="AA496" s="1"/>
      <c r="AB496" s="1"/>
      <c r="AC496" s="1"/>
      <c r="AD496" s="90"/>
      <c r="AE496" s="45"/>
      <c r="AF496" s="45"/>
      <c r="AG496" s="45"/>
      <c r="AH496" s="45"/>
      <c r="AI496" s="45"/>
      <c r="AJ496" s="190"/>
      <c r="AK496" s="63" t="str">
        <f>"Currency unit: " &amp; Currency</f>
        <v>Currency unit: bn SEK</v>
      </c>
      <c r="AL496" s="65"/>
      <c r="AM496" s="65"/>
      <c r="AN496" s="65"/>
      <c r="AO496" s="65"/>
      <c r="AP496" s="65"/>
      <c r="AQ496" s="1"/>
      <c r="AR496" s="1"/>
      <c r="AS496" s="1"/>
      <c r="AT496" s="1"/>
      <c r="AU496" s="90"/>
      <c r="AV496" s="54"/>
      <c r="AW496" s="54"/>
      <c r="AX496" s="54"/>
      <c r="AY496" s="54"/>
      <c r="AZ496" s="54"/>
      <c r="BA496" s="54"/>
      <c r="BB496" s="54"/>
      <c r="BC496" s="54"/>
    </row>
    <row r="497" spans="1:55" ht="13.15" thickBot="1">
      <c r="A497" s="45"/>
      <c r="B497" s="1720"/>
      <c r="C497" s="2424" t="s">
        <v>576</v>
      </c>
      <c r="D497" s="2420"/>
      <c r="E497" s="2770"/>
      <c r="F497" s="2770"/>
      <c r="G497" s="2770"/>
      <c r="H497" s="2770"/>
      <c r="I497" s="2770"/>
      <c r="J497" s="2770"/>
      <c r="K497" s="3878">
        <f ca="1">NOW()</f>
        <v>43493.476067824071</v>
      </c>
      <c r="L497" s="3878"/>
      <c r="M497" s="2670"/>
      <c r="N497" s="54"/>
      <c r="O497" s="54"/>
      <c r="P497" s="54"/>
      <c r="Q497" s="54"/>
      <c r="R497" s="54"/>
      <c r="S497" s="190"/>
      <c r="T497" s="69" t="s">
        <v>576</v>
      </c>
      <c r="U497" s="65"/>
      <c r="Y497" s="28"/>
      <c r="AB497" s="3879">
        <f ca="1">NOW()</f>
        <v>43493.476067824071</v>
      </c>
      <c r="AC497" s="3879"/>
      <c r="AD497" s="337"/>
      <c r="AE497" s="45"/>
      <c r="AF497" s="45"/>
      <c r="AG497" s="45"/>
      <c r="AH497" s="45"/>
      <c r="AI497" s="45"/>
      <c r="AJ497" s="190"/>
      <c r="AK497" s="69" t="s">
        <v>576</v>
      </c>
      <c r="AL497" s="65"/>
      <c r="AP497" s="28"/>
      <c r="AS497" s="3879">
        <f ca="1">NOW()</f>
        <v>43493.476067824071</v>
      </c>
      <c r="AT497" s="3879"/>
      <c r="AU497" s="337"/>
      <c r="AV497" s="54"/>
      <c r="AW497" s="54"/>
      <c r="AX497" s="54"/>
      <c r="AY497" s="54"/>
      <c r="AZ497" s="54"/>
      <c r="BA497" s="54"/>
      <c r="BB497" s="54"/>
      <c r="BC497" s="54"/>
    </row>
    <row r="498" spans="1:55" ht="13.15">
      <c r="A498" s="45"/>
      <c r="B498" s="1720"/>
      <c r="C498" s="2426"/>
      <c r="D498" s="2701"/>
      <c r="E498" s="3967">
        <f>E16</f>
        <v>2017</v>
      </c>
      <c r="F498" s="3968"/>
      <c r="G498" s="3967">
        <f>E498+1</f>
        <v>2018</v>
      </c>
      <c r="H498" s="3968"/>
      <c r="I498" s="3967">
        <f>G498+1</f>
        <v>2019</v>
      </c>
      <c r="J498" s="3968"/>
      <c r="K498" s="3967">
        <f>I498+1</f>
        <v>2020</v>
      </c>
      <c r="L498" s="4039"/>
      <c r="M498" s="2673"/>
      <c r="N498" s="54"/>
      <c r="O498" s="54"/>
      <c r="P498" s="54"/>
      <c r="Q498" s="54"/>
      <c r="R498" s="54"/>
      <c r="S498" s="190"/>
      <c r="T498" s="191"/>
      <c r="U498" s="355"/>
      <c r="V498" s="3965">
        <f>Last_forecast_year - 3</f>
        <v>2017</v>
      </c>
      <c r="W498" s="3966"/>
      <c r="X498" s="3965">
        <f>V498+1</f>
        <v>2018</v>
      </c>
      <c r="Y498" s="3966"/>
      <c r="Z498" s="3965">
        <f>X498+1</f>
        <v>2019</v>
      </c>
      <c r="AA498" s="3966"/>
      <c r="AB498" s="3965">
        <f>Z498+1</f>
        <v>2020</v>
      </c>
      <c r="AC498" s="4038"/>
      <c r="AD498" s="339"/>
      <c r="AE498" s="45"/>
      <c r="AF498" s="45"/>
      <c r="AG498" s="45"/>
      <c r="AH498" s="45"/>
      <c r="AI498" s="45"/>
      <c r="AJ498" s="190"/>
      <c r="AK498" s="191"/>
      <c r="AL498" s="355"/>
      <c r="AM498" s="3965">
        <f>Last_forecast_year - 3</f>
        <v>2017</v>
      </c>
      <c r="AN498" s="3966"/>
      <c r="AO498" s="3965">
        <f>AM498+1</f>
        <v>2018</v>
      </c>
      <c r="AP498" s="3966"/>
      <c r="AQ498" s="3965">
        <f>AO498+1</f>
        <v>2019</v>
      </c>
      <c r="AR498" s="3966"/>
      <c r="AS498" s="3965">
        <f>AQ498+1</f>
        <v>2020</v>
      </c>
      <c r="AT498" s="4038"/>
      <c r="AU498" s="339"/>
      <c r="AV498" s="54"/>
      <c r="AW498" s="54"/>
      <c r="AX498" s="54"/>
      <c r="AY498" s="54"/>
      <c r="AZ498" s="54"/>
      <c r="BA498" s="54"/>
      <c r="BB498" s="54"/>
      <c r="BC498" s="54"/>
    </row>
    <row r="499" spans="1:55" ht="13.15">
      <c r="A499" s="45"/>
      <c r="B499" s="1720"/>
      <c r="C499" s="1721"/>
      <c r="D499" s="2752"/>
      <c r="E499" s="2855" t="s">
        <v>577</v>
      </c>
      <c r="F499" s="2856" t="s">
        <v>1220</v>
      </c>
      <c r="G499" s="2855" t="s">
        <v>577</v>
      </c>
      <c r="H499" s="2856" t="s">
        <v>1220</v>
      </c>
      <c r="I499" s="2855" t="s">
        <v>577</v>
      </c>
      <c r="J499" s="2856" t="s">
        <v>1220</v>
      </c>
      <c r="K499" s="2855" t="s">
        <v>577</v>
      </c>
      <c r="L499" s="2857" t="s">
        <v>1220</v>
      </c>
      <c r="M499" s="2858"/>
      <c r="N499" s="54"/>
      <c r="O499" s="54"/>
      <c r="P499" s="54"/>
      <c r="Q499" s="54"/>
      <c r="R499" s="54"/>
      <c r="S499" s="190"/>
      <c r="T499" s="40"/>
      <c r="U499" s="488"/>
      <c r="V499" s="1798" t="s">
        <v>577</v>
      </c>
      <c r="W499" s="1801" t="s">
        <v>1220</v>
      </c>
      <c r="X499" s="1798" t="s">
        <v>577</v>
      </c>
      <c r="Y499" s="1801" t="s">
        <v>1220</v>
      </c>
      <c r="Z499" s="1798" t="s">
        <v>577</v>
      </c>
      <c r="AA499" s="1801" t="s">
        <v>1220</v>
      </c>
      <c r="AB499" s="1798" t="s">
        <v>577</v>
      </c>
      <c r="AC499" s="1802" t="s">
        <v>1220</v>
      </c>
      <c r="AD499" s="490"/>
      <c r="AE499" s="45"/>
      <c r="AF499" s="45"/>
      <c r="AG499" s="45"/>
      <c r="AH499" s="45"/>
      <c r="AI499" s="45"/>
      <c r="AJ499" s="190"/>
      <c r="AK499" s="40"/>
      <c r="AL499" s="488"/>
      <c r="AM499" s="1798" t="s">
        <v>577</v>
      </c>
      <c r="AN499" s="1801" t="s">
        <v>1220</v>
      </c>
      <c r="AO499" s="1798" t="s">
        <v>577</v>
      </c>
      <c r="AP499" s="1801" t="s">
        <v>1220</v>
      </c>
      <c r="AQ499" s="1798" t="s">
        <v>577</v>
      </c>
      <c r="AR499" s="1801" t="s">
        <v>1220</v>
      </c>
      <c r="AS499" s="1798" t="s">
        <v>577</v>
      </c>
      <c r="AT499" s="1802" t="s">
        <v>1220</v>
      </c>
      <c r="AU499" s="490"/>
      <c r="AV499" s="54"/>
      <c r="AW499" s="54"/>
      <c r="AX499" s="54"/>
      <c r="AY499" s="54"/>
      <c r="AZ499" s="54"/>
      <c r="BA499" s="54"/>
      <c r="BB499" s="54"/>
      <c r="BC499" s="54"/>
    </row>
    <row r="500" spans="1:55">
      <c r="A500" s="45"/>
      <c r="B500" s="1720"/>
      <c r="C500" s="2453" t="s">
        <v>183</v>
      </c>
      <c r="D500" s="2563"/>
      <c r="E500" s="2518">
        <f ca="1">Transfer!D143</f>
        <v>1430.1569999999999</v>
      </c>
      <c r="F500" s="2859">
        <f ca="1">100*((Transfer!D143/Transfer!C143)-1)</f>
        <v>9.2514348180475778</v>
      </c>
      <c r="G500" s="2518">
        <f ca="1">Transfer!E143</f>
        <v>1562.3785900425</v>
      </c>
      <c r="H500" s="2518">
        <f ca="1">100*((Transfer!E143/Transfer!D143)-1)</f>
        <v>9.2452500000000057</v>
      </c>
      <c r="I500" s="2518">
        <f ca="1">Transfer!F143</f>
        <v>1653.6329831836192</v>
      </c>
      <c r="J500" s="2859">
        <f ca="1">100*((Transfer!F143/Transfer!E143)-1)</f>
        <v>5.8407350000000191</v>
      </c>
      <c r="K500" s="2518">
        <f ca="1">Transfer!G143</f>
        <v>1723.3341425873634</v>
      </c>
      <c r="L500" s="2860">
        <f ca="1">100*((Transfer!G143/Transfer!F143)-1)</f>
        <v>4.2150319999999963</v>
      </c>
      <c r="M500" s="2520"/>
      <c r="N500" s="54"/>
      <c r="O500" s="54"/>
      <c r="P500" s="54"/>
      <c r="Q500" s="54"/>
      <c r="R500" s="54"/>
      <c r="S500" s="190"/>
      <c r="T500" s="148" t="s">
        <v>183</v>
      </c>
      <c r="U500" s="1731"/>
      <c r="V500" s="195">
        <f t="shared" ref="V500:AC518" ca="1" si="34">ROUND(E500,1)-ROUND(AM500,1)</f>
        <v>108</v>
      </c>
      <c r="W500" s="195">
        <f t="shared" ca="1" si="34"/>
        <v>7.6000000000000005</v>
      </c>
      <c r="X500" s="195">
        <f t="shared" ca="1" si="34"/>
        <v>116.90000000000009</v>
      </c>
      <c r="Y500" s="195">
        <f t="shared" ca="1" si="34"/>
        <v>-0.10000000000000142</v>
      </c>
      <c r="Z500" s="195">
        <f t="shared" ca="1" si="34"/>
        <v>78.299999999999955</v>
      </c>
      <c r="AA500" s="195">
        <f t="shared" ca="1" si="34"/>
        <v>-3.2</v>
      </c>
      <c r="AB500" s="195">
        <f t="shared" ca="1" si="34"/>
        <v>48.799999999999955</v>
      </c>
      <c r="AC500" s="358">
        <f t="shared" ca="1" si="34"/>
        <v>-2.0999999999999996</v>
      </c>
      <c r="AD500" s="196"/>
      <c r="AE500" s="45"/>
      <c r="AF500" s="45"/>
      <c r="AG500" s="45"/>
      <c r="AH500" s="45"/>
      <c r="AI500" s="45"/>
      <c r="AJ500" s="190"/>
      <c r="AK500" s="148" t="s">
        <v>183</v>
      </c>
      <c r="AL500" s="1731"/>
      <c r="AM500" s="367">
        <f>Transfer!AD143</f>
        <v>1322.221</v>
      </c>
      <c r="AN500" s="1819">
        <f>100*((Transfer!AD143/Transfer!AC143)-1)</f>
        <v>1.7345065470062426</v>
      </c>
      <c r="AO500" s="367">
        <f>Transfer!AE143</f>
        <v>1445.452</v>
      </c>
      <c r="AP500" s="367">
        <f>100*((Transfer!AE143/Transfer!AD143)-1)</f>
        <v>9.3200002117649117</v>
      </c>
      <c r="AQ500" s="367">
        <f>Transfer!AF143</f>
        <v>1575.2767168320001</v>
      </c>
      <c r="AR500" s="1819">
        <f>100*((Transfer!AF143/Transfer!AE143)-1)</f>
        <v>8.9816000000000109</v>
      </c>
      <c r="AS500" s="367">
        <f>Transfer!AG143</f>
        <v>1674.4911100668564</v>
      </c>
      <c r="AT500" s="1826">
        <f>100*((Transfer!AG143/Transfer!AF143)-1)</f>
        <v>6.2982199999999988</v>
      </c>
      <c r="AU500" s="196"/>
      <c r="AV500" s="54"/>
      <c r="AW500" s="54"/>
      <c r="AX500" s="54"/>
      <c r="AY500" s="54"/>
      <c r="AZ500" s="54"/>
      <c r="BA500" s="2047" t="s">
        <v>418</v>
      </c>
      <c r="BB500" s="2064"/>
      <c r="BC500" s="54"/>
    </row>
    <row r="501" spans="1:55">
      <c r="A501" s="45"/>
      <c r="B501" s="1720"/>
      <c r="C501" s="2536" t="s">
        <v>1881</v>
      </c>
      <c r="D501" s="2861"/>
      <c r="E501" s="2521">
        <f ca="1">Transfer!D145</f>
        <v>1321.5070000000001</v>
      </c>
      <c r="F501" s="2758">
        <f ca="1">100*((Transfer!D145/Transfer!C145)-1)</f>
        <v>8.9061969481703418</v>
      </c>
      <c r="G501" s="2521">
        <f ca="1">Transfer!E145</f>
        <v>1459.7183954034003</v>
      </c>
      <c r="H501" s="2758">
        <f ca="1">100*((Transfer!E145/Transfer!D145)-1)</f>
        <v>10.458620000000018</v>
      </c>
      <c r="I501" s="2521">
        <f ca="1">Transfer!F145</f>
        <v>1549.652463186505</v>
      </c>
      <c r="J501" s="2758">
        <f ca="1">100*((Transfer!F145/Transfer!E145)-1)</f>
        <v>6.161055999999987</v>
      </c>
      <c r="K501" s="2521">
        <f ca="1">Transfer!G145</f>
        <v>1619.2550415844285</v>
      </c>
      <c r="L501" s="2760">
        <f ca="1">100*((Transfer!G145/Transfer!F145)-1)</f>
        <v>4.4914960000000059</v>
      </c>
      <c r="M501" s="2520"/>
      <c r="N501" s="54"/>
      <c r="O501" s="54"/>
      <c r="P501" s="54"/>
      <c r="Q501" s="54"/>
      <c r="R501" s="54"/>
      <c r="S501" s="190"/>
      <c r="T501" s="179" t="s">
        <v>1881</v>
      </c>
      <c r="U501" s="1792"/>
      <c r="V501" s="197">
        <f t="shared" ca="1" si="34"/>
        <v>118.5</v>
      </c>
      <c r="W501" s="197">
        <f t="shared" ca="1" si="34"/>
        <v>6.3000000000000007</v>
      </c>
      <c r="X501" s="197">
        <f t="shared" ca="1" si="34"/>
        <v>148.60000000000014</v>
      </c>
      <c r="Y501" s="197">
        <f t="shared" ca="1" si="34"/>
        <v>1.5</v>
      </c>
      <c r="Z501" s="197">
        <f t="shared" ca="1" si="34"/>
        <v>110.20000000000005</v>
      </c>
      <c r="AA501" s="197">
        <f t="shared" ca="1" si="34"/>
        <v>-3.6000000000000005</v>
      </c>
      <c r="AB501" s="197">
        <f t="shared" ca="1" si="34"/>
        <v>103.09999999999991</v>
      </c>
      <c r="AC501" s="341">
        <f t="shared" ca="1" si="34"/>
        <v>-0.79999999999999982</v>
      </c>
      <c r="AD501" s="196"/>
      <c r="AE501" s="45"/>
      <c r="AF501" s="45"/>
      <c r="AG501" s="45"/>
      <c r="AH501" s="45"/>
      <c r="AI501" s="45"/>
      <c r="AJ501" s="190"/>
      <c r="AK501" s="179" t="s">
        <v>1881</v>
      </c>
      <c r="AL501" s="1792"/>
      <c r="AM501" s="359">
        <f>Transfer!AD145</f>
        <v>1202.972</v>
      </c>
      <c r="AN501" s="497">
        <f>100*((Transfer!AD145/Transfer!AC145)-1)</f>
        <v>2.6027415954202215</v>
      </c>
      <c r="AO501" s="359">
        <f>Transfer!AE145</f>
        <v>1311.135</v>
      </c>
      <c r="AP501" s="497">
        <f>100*((Transfer!AE145/Transfer!AD145)-1)</f>
        <v>8.9913148435707626</v>
      </c>
      <c r="AQ501" s="359">
        <f>Transfer!AF145</f>
        <v>1439.4733516589997</v>
      </c>
      <c r="AR501" s="497">
        <f>100*((Transfer!AF145/Transfer!AE145)-1)</f>
        <v>9.7883399999999732</v>
      </c>
      <c r="AS501" s="359">
        <f>Transfer!AG145</f>
        <v>1516.2072136685508</v>
      </c>
      <c r="AT501" s="498">
        <f>100*((Transfer!AG145/Transfer!AF145)-1)</f>
        <v>5.3306899999999935</v>
      </c>
      <c r="AU501" s="196"/>
      <c r="AV501" s="54"/>
      <c r="AW501" s="54"/>
      <c r="AX501" s="54"/>
      <c r="AY501" s="54"/>
      <c r="AZ501" s="54"/>
      <c r="BA501" s="2048" t="s">
        <v>419</v>
      </c>
      <c r="BB501" s="2064"/>
      <c r="BC501" s="54"/>
    </row>
    <row r="502" spans="1:55" ht="13.15">
      <c r="A502" s="45"/>
      <c r="B502" s="1720"/>
      <c r="C502" s="2731" t="s">
        <v>560</v>
      </c>
      <c r="D502" s="2528"/>
      <c r="E502" s="2862">
        <f ca="1">(Transfer!D143-Transfer!D145)</f>
        <v>108.64999999999986</v>
      </c>
      <c r="F502" s="2863"/>
      <c r="G502" s="2862">
        <f ca="1">(Transfer!E143-Transfer!E145)</f>
        <v>102.6601946390997</v>
      </c>
      <c r="H502" s="2863"/>
      <c r="I502" s="2862">
        <f ca="1">(Transfer!F143-Transfer!F145)</f>
        <v>103.98051999711424</v>
      </c>
      <c r="J502" s="2863"/>
      <c r="K502" s="2862">
        <f ca="1">(Transfer!G143-Transfer!G145)</f>
        <v>104.07910100293498</v>
      </c>
      <c r="L502" s="2864"/>
      <c r="M502" s="2417"/>
      <c r="N502" s="54"/>
      <c r="O502" s="54"/>
      <c r="P502" s="54"/>
      <c r="Q502" s="54"/>
      <c r="R502" s="54"/>
      <c r="S502" s="190"/>
      <c r="T502" s="398" t="s">
        <v>560</v>
      </c>
      <c r="U502" s="203"/>
      <c r="V502" s="2086">
        <f t="shared" ca="1" si="34"/>
        <v>-10.5</v>
      </c>
      <c r="W502" s="493"/>
      <c r="X502" s="2086">
        <f t="shared" ca="1" si="34"/>
        <v>-31.600000000000009</v>
      </c>
      <c r="Y502" s="493"/>
      <c r="Z502" s="2086">
        <f t="shared" ca="1" si="34"/>
        <v>-31.800000000000011</v>
      </c>
      <c r="AA502" s="493"/>
      <c r="AB502" s="2086">
        <f t="shared" ca="1" si="34"/>
        <v>-54.200000000000017</v>
      </c>
      <c r="AC502" s="2087"/>
      <c r="AD502" s="62"/>
      <c r="AE502" s="45"/>
      <c r="AF502" s="45"/>
      <c r="AG502" s="45"/>
      <c r="AH502" s="45"/>
      <c r="AI502" s="45"/>
      <c r="AJ502" s="190"/>
      <c r="AK502" s="398" t="s">
        <v>560</v>
      </c>
      <c r="AL502" s="203"/>
      <c r="AM502" s="2100">
        <f>(Transfer!AD143-Transfer!AD145)</f>
        <v>119.24900000000002</v>
      </c>
      <c r="AN502" s="1810"/>
      <c r="AO502" s="2100">
        <f>(Transfer!AE143-Transfer!AE145)</f>
        <v>134.31700000000001</v>
      </c>
      <c r="AP502" s="1810"/>
      <c r="AQ502" s="2100">
        <f>(Transfer!AF143-Transfer!AF145)</f>
        <v>135.80336517300043</v>
      </c>
      <c r="AR502" s="1810"/>
      <c r="AS502" s="2100">
        <f>(Transfer!AG143-Transfer!AG145)</f>
        <v>158.28389639830561</v>
      </c>
      <c r="AT502" s="1825"/>
      <c r="AU502" s="62"/>
      <c r="AV502" s="54"/>
      <c r="AW502" s="54"/>
      <c r="AX502" s="54"/>
      <c r="AY502" s="54"/>
      <c r="AZ502" s="54"/>
      <c r="BA502" s="2048" t="s">
        <v>488</v>
      </c>
      <c r="BB502" s="54"/>
      <c r="BC502" s="54"/>
    </row>
    <row r="503" spans="1:55" ht="13.15">
      <c r="A503" s="45"/>
      <c r="B503" s="1720"/>
      <c r="C503" s="2865" t="s">
        <v>489</v>
      </c>
      <c r="D503" s="2779"/>
      <c r="E503" s="2862">
        <f ca="1">100*(Transfer!D143-Transfer!D145)/Transfer!D147</f>
        <v>2.3728411567933656</v>
      </c>
      <c r="F503" s="2863"/>
      <c r="G503" s="2862">
        <f ca="1">100*(Transfer!E143-Transfer!E145)/Transfer!E147</f>
        <v>2.1373402298854058</v>
      </c>
      <c r="H503" s="2863"/>
      <c r="I503" s="2862">
        <f ca="1">100*(Transfer!F143-Transfer!F145)/Transfer!F147</f>
        <v>2.0859531997815988</v>
      </c>
      <c r="J503" s="2863"/>
      <c r="K503" s="2862">
        <f ca="1">100*(Transfer!G143-Transfer!G145)/Transfer!G147</f>
        <v>2.01644456331094</v>
      </c>
      <c r="L503" s="2866"/>
      <c r="M503" s="2867"/>
      <c r="N503" s="54"/>
      <c r="O503" s="54"/>
      <c r="P503" s="54"/>
      <c r="Q503" s="54"/>
      <c r="R503" s="54"/>
      <c r="S503" s="190"/>
      <c r="T503" s="495" t="s">
        <v>489</v>
      </c>
      <c r="U503" s="513"/>
      <c r="V503" s="2086">
        <f t="shared" ca="1" si="34"/>
        <v>-0.30000000000000027</v>
      </c>
      <c r="W503" s="493"/>
      <c r="X503" s="2086">
        <f t="shared" ca="1" si="34"/>
        <v>-0.79999999999999982</v>
      </c>
      <c r="Y503" s="493"/>
      <c r="Z503" s="2086">
        <f t="shared" ca="1" si="34"/>
        <v>-0.69999999999999973</v>
      </c>
      <c r="AA503" s="493"/>
      <c r="AB503" s="2086">
        <f t="shared" ca="1" si="34"/>
        <v>-1.1000000000000001</v>
      </c>
      <c r="AC503" s="2088"/>
      <c r="AD503" s="496"/>
      <c r="AE503" s="45"/>
      <c r="AF503" s="45"/>
      <c r="AG503" s="45"/>
      <c r="AH503" s="45"/>
      <c r="AI503" s="45"/>
      <c r="AJ503" s="190"/>
      <c r="AK503" s="495" t="s">
        <v>489</v>
      </c>
      <c r="AL503" s="513"/>
      <c r="AM503" s="2100">
        <f>100*(Transfer!AD143-Transfer!AD145)/Transfer!AD147</f>
        <v>2.7072499513031465</v>
      </c>
      <c r="AN503" s="1810"/>
      <c r="AO503" s="2100">
        <f>100*(Transfer!AE143-Transfer!AE145)/Transfer!AE147</f>
        <v>2.917268019125995</v>
      </c>
      <c r="AP503" s="1810"/>
      <c r="AQ503" s="2100">
        <f>100*(Transfer!AF143-Transfer!AF145)/Transfer!AF147</f>
        <v>2.8149660793712052</v>
      </c>
      <c r="AR503" s="1810"/>
      <c r="AS503" s="2100">
        <f>100*(Transfer!AG143-Transfer!AG145)/Transfer!AG147</f>
        <v>3.1442861673147404</v>
      </c>
      <c r="AT503" s="2101"/>
      <c r="AU503" s="496"/>
      <c r="AV503" s="54"/>
      <c r="AW503" s="54"/>
      <c r="AX503" s="54"/>
      <c r="AY503" s="54"/>
      <c r="AZ503" s="54"/>
      <c r="BA503" s="2048" t="s">
        <v>420</v>
      </c>
      <c r="BB503" s="54"/>
      <c r="BC503" s="54"/>
    </row>
    <row r="504" spans="1:55">
      <c r="A504" s="45"/>
      <c r="B504" s="1720"/>
      <c r="C504" s="2624" t="s">
        <v>1927</v>
      </c>
      <c r="D504" s="2868"/>
      <c r="E504" s="2518">
        <f ca="1">Transfer!D144</f>
        <v>646.49900000000002</v>
      </c>
      <c r="F504" s="2859">
        <f ca="1">100*((Transfer!D144/Transfer!C144)-1)</f>
        <v>1.3160925934922574</v>
      </c>
      <c r="G504" s="2518">
        <f ca="1">Transfer!E144</f>
        <v>695.80857777829999</v>
      </c>
      <c r="H504" s="2859">
        <f ca="1">100*((Transfer!E144/Transfer!D144)-1)</f>
        <v>7.6271699999999942</v>
      </c>
      <c r="I504" s="2518">
        <f ca="1">Transfer!F144</f>
        <v>732.9520364508594</v>
      </c>
      <c r="J504" s="2859">
        <f ca="1">100*((Transfer!F144/Transfer!E144)-1)</f>
        <v>5.3381719999999966</v>
      </c>
      <c r="K504" s="2518">
        <f ca="1">Transfer!G144</f>
        <v>763.39730285719065</v>
      </c>
      <c r="L504" s="2860">
        <f ca="1">100*((Transfer!G144/Transfer!F144)-1)</f>
        <v>4.1537870000000199</v>
      </c>
      <c r="M504" s="2520"/>
      <c r="N504" s="54"/>
      <c r="O504" s="54"/>
      <c r="P504" s="54"/>
      <c r="Q504" s="54"/>
      <c r="R504" s="54"/>
      <c r="S504" s="190"/>
      <c r="T504" s="166" t="s">
        <v>126</v>
      </c>
      <c r="U504" s="1793"/>
      <c r="V504" s="195">
        <f t="shared" ca="1" si="34"/>
        <v>18.600000000000023</v>
      </c>
      <c r="W504" s="195">
        <f t="shared" ca="1" si="34"/>
        <v>-1.0999999999999999</v>
      </c>
      <c r="X504" s="195">
        <f t="shared" ca="1" si="34"/>
        <v>55.399999999999977</v>
      </c>
      <c r="Y504" s="195">
        <f t="shared" ca="1" si="34"/>
        <v>5.6</v>
      </c>
      <c r="Z504" s="195">
        <f t="shared" ca="1" si="34"/>
        <v>42.399999999999977</v>
      </c>
      <c r="AA504" s="195">
        <f t="shared" ca="1" si="34"/>
        <v>-2.5</v>
      </c>
      <c r="AB504" s="195">
        <f t="shared" ca="1" si="34"/>
        <v>40.299999999999955</v>
      </c>
      <c r="AC504" s="358">
        <f t="shared" ca="1" si="34"/>
        <v>-0.5</v>
      </c>
      <c r="AD504" s="196"/>
      <c r="AE504" s="45"/>
      <c r="AF504" s="45"/>
      <c r="AG504" s="45"/>
      <c r="AH504" s="45"/>
      <c r="AI504" s="45"/>
      <c r="AJ504" s="190"/>
      <c r="AK504" s="166" t="s">
        <v>126</v>
      </c>
      <c r="AL504" s="1793"/>
      <c r="AM504" s="367">
        <f>Transfer!AD144</f>
        <v>627.92700000000002</v>
      </c>
      <c r="AN504" s="1819">
        <f>100*((Transfer!AD144/Transfer!AC144)-1)</f>
        <v>2.3666063481195376</v>
      </c>
      <c r="AO504" s="367">
        <f>Transfer!AE144</f>
        <v>640.40700000000004</v>
      </c>
      <c r="AP504" s="1819">
        <f>100*((Transfer!AE144/Transfer!AD144)-1)</f>
        <v>1.9874921766383613</v>
      </c>
      <c r="AQ504" s="367">
        <f>Transfer!AF144</f>
        <v>690.64820996399999</v>
      </c>
      <c r="AR504" s="1819">
        <f>100*((Transfer!AF144/Transfer!AE144)-1)</f>
        <v>7.8451999999999966</v>
      </c>
      <c r="AS504" s="367">
        <f>Transfer!AG144</f>
        <v>723.0952081922137</v>
      </c>
      <c r="AT504" s="1826">
        <f>100*((Transfer!AG144/Transfer!AF144)-1)</f>
        <v>4.6980500000000092</v>
      </c>
      <c r="AU504" s="196"/>
      <c r="AV504" s="54"/>
      <c r="AW504" s="54"/>
      <c r="AX504" s="54"/>
      <c r="AY504" s="54"/>
      <c r="AZ504" s="54"/>
      <c r="BA504" s="2048" t="s">
        <v>46</v>
      </c>
      <c r="BB504" s="54"/>
      <c r="BC504" s="54"/>
    </row>
    <row r="505" spans="1:55">
      <c r="A505" s="45"/>
      <c r="B505" s="1720"/>
      <c r="C505" s="2536" t="s">
        <v>1928</v>
      </c>
      <c r="D505" s="2861"/>
      <c r="E505" s="2521">
        <f ca="1">Transfer!D146</f>
        <v>586.07100000000003</v>
      </c>
      <c r="F505" s="2758">
        <f ca="1">100*((Transfer!D146/Transfer!C146)-1)</f>
        <v>8.6135290858109883</v>
      </c>
      <c r="G505" s="2521">
        <f ca="1">Transfer!E146</f>
        <v>639.57898926450014</v>
      </c>
      <c r="H505" s="2463">
        <f ca="1">100*((Transfer!E146/Transfer!D146)-1)</f>
        <v>9.129950000000008</v>
      </c>
      <c r="I505" s="2521">
        <f ca="1">Transfer!F146</f>
        <v>678.19866179009898</v>
      </c>
      <c r="J505" s="2463">
        <f ca="1">100*((Transfer!F146/Transfer!E146)-1)</f>
        <v>6.0382960000000097</v>
      </c>
      <c r="K505" s="2521">
        <f ca="1">Transfer!G146</f>
        <v>710.81835583548138</v>
      </c>
      <c r="L505" s="2795">
        <f ca="1">100*((Transfer!G146/Transfer!F146)-1)</f>
        <v>4.8097550000000044</v>
      </c>
      <c r="M505" s="2437"/>
      <c r="N505" s="54"/>
      <c r="O505" s="54"/>
      <c r="P505" s="54"/>
      <c r="Q505" s="54"/>
      <c r="R505" s="54"/>
      <c r="S505" s="190"/>
      <c r="T505" s="179" t="s">
        <v>1147</v>
      </c>
      <c r="U505" s="1792"/>
      <c r="V505" s="340">
        <f t="shared" ca="1" si="34"/>
        <v>52.100000000000023</v>
      </c>
      <c r="W505" s="197">
        <f t="shared" ca="1" si="34"/>
        <v>9</v>
      </c>
      <c r="X505" s="197">
        <f t="shared" ca="1" si="34"/>
        <v>57</v>
      </c>
      <c r="Y505" s="197">
        <f t="shared" ca="1" si="34"/>
        <v>0</v>
      </c>
      <c r="Z505" s="197">
        <f t="shared" ca="1" si="34"/>
        <v>49.900000000000091</v>
      </c>
      <c r="AA505" s="197">
        <f t="shared" ca="1" si="34"/>
        <v>-1.7999999999999998</v>
      </c>
      <c r="AB505" s="340">
        <f t="shared" ca="1" si="34"/>
        <v>49.399999999999977</v>
      </c>
      <c r="AC505" s="341">
        <f t="shared" ca="1" si="34"/>
        <v>-0.5</v>
      </c>
      <c r="AD505" s="364"/>
      <c r="AE505" s="45"/>
      <c r="AF505" s="45"/>
      <c r="AG505" s="45"/>
      <c r="AH505" s="45"/>
      <c r="AI505" s="45"/>
      <c r="AJ505" s="190"/>
      <c r="AK505" s="179" t="s">
        <v>1147</v>
      </c>
      <c r="AL505" s="1792"/>
      <c r="AM505" s="359">
        <f>Transfer!AD146</f>
        <v>534.03499999999997</v>
      </c>
      <c r="AN505" s="497">
        <f>100*((Transfer!AD146/Transfer!AC146)-1)</f>
        <v>-0.44999617857428564</v>
      </c>
      <c r="AO505" s="359">
        <f>Transfer!AE146</f>
        <v>582.55600000000004</v>
      </c>
      <c r="AP505" s="497">
        <f>100*((Transfer!AE146/Transfer!AD146)-1)</f>
        <v>9.0857340810995613</v>
      </c>
      <c r="AQ505" s="359">
        <f>Transfer!AF146</f>
        <v>628.26916932000006</v>
      </c>
      <c r="AR505" s="497">
        <f>100*((Transfer!AF146/Transfer!AE146)-1)</f>
        <v>7.847000000000004</v>
      </c>
      <c r="AS505" s="359">
        <f>Transfer!AG146</f>
        <v>661.40609577127861</v>
      </c>
      <c r="AT505" s="498">
        <f>100*((Transfer!AG146/Transfer!AF146)-1)</f>
        <v>5.2743199999999879</v>
      </c>
      <c r="AU505" s="364"/>
      <c r="AV505" s="54"/>
      <c r="AW505" s="54"/>
      <c r="AX505" s="54"/>
      <c r="AY505" s="54"/>
      <c r="AZ505" s="54"/>
      <c r="BA505" s="2048" t="s">
        <v>48</v>
      </c>
      <c r="BB505" s="54"/>
      <c r="BC505" s="54"/>
    </row>
    <row r="506" spans="1:55" ht="13.15">
      <c r="A506" s="45"/>
      <c r="B506" s="1720"/>
      <c r="C506" s="2731" t="s">
        <v>1929</v>
      </c>
      <c r="D506" s="2528"/>
      <c r="E506" s="2862">
        <f ca="1">(Transfer!D144-Transfer!D146)</f>
        <v>60.427999999999997</v>
      </c>
      <c r="F506" s="2863"/>
      <c r="G506" s="2862">
        <f ca="1">(Transfer!E144-Transfer!E146)</f>
        <v>56.229588513799854</v>
      </c>
      <c r="H506" s="3250"/>
      <c r="I506" s="2862">
        <f ca="1">(Transfer!F144-Transfer!F146)</f>
        <v>54.753374660760414</v>
      </c>
      <c r="J506" s="2869"/>
      <c r="K506" s="2862">
        <f ca="1">(Transfer!G144-Transfer!G146)</f>
        <v>52.578947021709268</v>
      </c>
      <c r="L506" s="2870"/>
      <c r="M506" s="2712"/>
      <c r="N506" s="54"/>
      <c r="O506" s="54"/>
      <c r="P506" s="54"/>
      <c r="Q506" s="54"/>
      <c r="R506" s="54"/>
      <c r="S506" s="190"/>
      <c r="T506" s="398" t="s">
        <v>1634</v>
      </c>
      <c r="U506" s="203"/>
      <c r="V506" s="511">
        <f t="shared" ca="1" si="34"/>
        <v>-33.500000000000007</v>
      </c>
      <c r="W506" s="493"/>
      <c r="X506" s="2086">
        <f t="shared" ca="1" si="34"/>
        <v>-1.6999999999999957</v>
      </c>
      <c r="Y506" s="1799"/>
      <c r="Z506" s="2086">
        <f t="shared" ca="1" si="34"/>
        <v>-7.6000000000000014</v>
      </c>
      <c r="AA506" s="1799"/>
      <c r="AB506" s="2086">
        <f t="shared" ca="1" si="34"/>
        <v>-9.1000000000000014</v>
      </c>
      <c r="AC506" s="1800"/>
      <c r="AD506" s="378"/>
      <c r="AE506" s="45"/>
      <c r="AF506" s="45"/>
      <c r="AG506" s="45"/>
      <c r="AH506" s="45"/>
      <c r="AI506" s="45"/>
      <c r="AJ506" s="190"/>
      <c r="AK506" s="398" t="s">
        <v>1634</v>
      </c>
      <c r="AL506" s="203"/>
      <c r="AM506" s="2100">
        <f>(Transfer!AD144-Transfer!AD146)</f>
        <v>93.892000000000053</v>
      </c>
      <c r="AN506" s="1810"/>
      <c r="AO506" s="2100">
        <f>(Transfer!AE144-Transfer!AE146)</f>
        <v>57.850999999999999</v>
      </c>
      <c r="AP506" s="2102"/>
      <c r="AQ506" s="2100">
        <f>(Transfer!AF144-Transfer!AF146)</f>
        <v>62.379040643999929</v>
      </c>
      <c r="AR506" s="2102"/>
      <c r="AS506" s="2100">
        <f>(Transfer!AG144-Transfer!AG146)</f>
        <v>61.689112420935089</v>
      </c>
      <c r="AT506" s="2103"/>
      <c r="AU506" s="378"/>
      <c r="AV506" s="54"/>
      <c r="AW506" s="54"/>
      <c r="AX506" s="54"/>
      <c r="AY506" s="54"/>
      <c r="AZ506" s="54"/>
      <c r="BA506" s="2048" t="s">
        <v>688</v>
      </c>
      <c r="BB506" s="54"/>
      <c r="BC506" s="54"/>
    </row>
    <row r="507" spans="1:55" ht="13.15">
      <c r="A507" s="45"/>
      <c r="B507" s="1720"/>
      <c r="C507" s="2774" t="s">
        <v>229</v>
      </c>
      <c r="D507" s="2775"/>
      <c r="E507" s="2871">
        <f ca="1">100*(Transfer!D144-Transfer!D146)/Transfer!D147</f>
        <v>1.3197058943645621</v>
      </c>
      <c r="F507" s="2872"/>
      <c r="G507" s="2871">
        <f ca="1">100*(Transfer!E144-Transfer!E146)/Transfer!E147</f>
        <v>1.1706753728934944</v>
      </c>
      <c r="H507" s="2873"/>
      <c r="I507" s="2871">
        <f ca="1">100*(Transfer!F144-Transfer!F146)/Transfer!F147</f>
        <v>1.0984074428135544</v>
      </c>
      <c r="J507" s="2873"/>
      <c r="K507" s="2871">
        <f ca="1">100*(Transfer!G144-Transfer!G146)/Transfer!G147</f>
        <v>1.0186726330730873</v>
      </c>
      <c r="L507" s="2874"/>
      <c r="M507" s="2875"/>
      <c r="N507" s="54"/>
      <c r="O507" s="54"/>
      <c r="P507" s="54"/>
      <c r="Q507" s="54"/>
      <c r="R507" s="54"/>
      <c r="S507" s="190"/>
      <c r="T507" s="501" t="s">
        <v>229</v>
      </c>
      <c r="U507" s="1794"/>
      <c r="V507" s="2086">
        <f t="shared" ca="1" si="34"/>
        <v>-0.8</v>
      </c>
      <c r="W507" s="499"/>
      <c r="X507" s="2086">
        <f t="shared" ca="1" si="34"/>
        <v>-0.10000000000000009</v>
      </c>
      <c r="Y507" s="500"/>
      <c r="Z507" s="2086">
        <f t="shared" ca="1" si="34"/>
        <v>-0.19999999999999996</v>
      </c>
      <c r="AA507" s="500"/>
      <c r="AB507" s="202">
        <f t="shared" ca="1" si="34"/>
        <v>-0.19999999999999996</v>
      </c>
      <c r="AC507" s="502"/>
      <c r="AD507" s="503"/>
      <c r="AE507" s="45"/>
      <c r="AF507" s="45"/>
      <c r="AG507" s="45"/>
      <c r="AH507" s="45"/>
      <c r="AI507" s="45"/>
      <c r="AJ507" s="190"/>
      <c r="AK507" s="501" t="s">
        <v>229</v>
      </c>
      <c r="AL507" s="1794"/>
      <c r="AM507" s="2104">
        <f>100*(Transfer!AD144-Transfer!AD146)/Transfer!AD147</f>
        <v>2.1315827589980221</v>
      </c>
      <c r="AN507" s="2105"/>
      <c r="AO507" s="2104">
        <f>100*(Transfer!AE144-Transfer!AE146)/Transfer!AE147</f>
        <v>1.2564818464859842</v>
      </c>
      <c r="AP507" s="2106"/>
      <c r="AQ507" s="2104">
        <f>100*(Transfer!AF144-Transfer!AF146)/Transfer!AF147</f>
        <v>1.2930083378485249</v>
      </c>
      <c r="AR507" s="2106"/>
      <c r="AS507" s="2104">
        <f>100*(Transfer!AG144-Transfer!AG146)/Transfer!AG147</f>
        <v>1.2254450848933391</v>
      </c>
      <c r="AT507" s="2107"/>
      <c r="AU507" s="503"/>
      <c r="AV507" s="54"/>
      <c r="AW507" s="54"/>
      <c r="AX507" s="54"/>
      <c r="AY507" s="54"/>
      <c r="AZ507" s="54"/>
      <c r="BA507" s="2048" t="s">
        <v>421</v>
      </c>
      <c r="BB507" s="54"/>
      <c r="BC507" s="54"/>
    </row>
    <row r="508" spans="1:55" ht="13.15">
      <c r="A508" s="45"/>
      <c r="B508" s="1720"/>
      <c r="C508" s="2753" t="s">
        <v>745</v>
      </c>
      <c r="D508" s="2414"/>
      <c r="E508" s="2876">
        <f ca="1">(Transfer!D143-Transfer!D145)+(Transfer!D144-Transfer!D146)</f>
        <v>169.07799999999986</v>
      </c>
      <c r="F508" s="2877"/>
      <c r="G508" s="2876">
        <f ca="1">(Transfer!E143-Transfer!E145)+(Transfer!E144-Transfer!E146)</f>
        <v>158.88978315289955</v>
      </c>
      <c r="H508" s="2877"/>
      <c r="I508" s="2876">
        <f ca="1">(Transfer!F143-Transfer!F145)+(Transfer!F144-Transfer!F146)</f>
        <v>158.73389465787466</v>
      </c>
      <c r="J508" s="2877"/>
      <c r="K508" s="2876">
        <f ca="1">(Transfer!G143-Transfer!G145)+(Transfer!G144-Transfer!G146)</f>
        <v>156.65804802464424</v>
      </c>
      <c r="L508" s="2878"/>
      <c r="M508" s="2417"/>
      <c r="N508" s="54"/>
      <c r="O508" s="54"/>
      <c r="P508" s="54"/>
      <c r="Q508" s="54"/>
      <c r="R508" s="54"/>
      <c r="S508" s="190"/>
      <c r="T508" s="424" t="s">
        <v>745</v>
      </c>
      <c r="U508" s="59"/>
      <c r="V508" s="353">
        <f t="shared" ca="1" si="34"/>
        <v>-44</v>
      </c>
      <c r="W508" s="504"/>
      <c r="X508" s="353">
        <f t="shared" ca="1" si="34"/>
        <v>-33.299999999999983</v>
      </c>
      <c r="Y508" s="504"/>
      <c r="Z508" s="353">
        <f t="shared" ca="1" si="34"/>
        <v>-39.5</v>
      </c>
      <c r="AA508" s="504"/>
      <c r="AB508" s="353">
        <f t="shared" ca="1" si="34"/>
        <v>-63.300000000000011</v>
      </c>
      <c r="AC508" s="505"/>
      <c r="AD508" s="62"/>
      <c r="AE508" s="45"/>
      <c r="AF508" s="45"/>
      <c r="AG508" s="45"/>
      <c r="AH508" s="45"/>
      <c r="AI508" s="45"/>
      <c r="AJ508" s="190"/>
      <c r="AK508" s="424" t="s">
        <v>745</v>
      </c>
      <c r="AL508" s="59"/>
      <c r="AM508" s="2108">
        <f>(Transfer!AD143-Transfer!AD145)+(Transfer!AD144-Transfer!AD146)</f>
        <v>213.14100000000008</v>
      </c>
      <c r="AN508" s="2109"/>
      <c r="AO508" s="2108">
        <f>(Transfer!AE143-Transfer!AE145)+(Transfer!AE144-Transfer!AE146)</f>
        <v>192.16800000000001</v>
      </c>
      <c r="AP508" s="2109"/>
      <c r="AQ508" s="2108">
        <f>(Transfer!AF143-Transfer!AF145)+(Transfer!AF144-Transfer!AF146)</f>
        <v>198.18240581700036</v>
      </c>
      <c r="AR508" s="2109"/>
      <c r="AS508" s="2108">
        <f>(Transfer!AG143-Transfer!AG145)+(Transfer!AG144-Transfer!AG146)</f>
        <v>219.9730088192407</v>
      </c>
      <c r="AT508" s="2110"/>
      <c r="AU508" s="62"/>
      <c r="AV508" s="54"/>
      <c r="AW508" s="54"/>
      <c r="AX508" s="54"/>
      <c r="AY508" s="54"/>
      <c r="AZ508" s="54"/>
      <c r="BA508" s="2048" t="s">
        <v>1531</v>
      </c>
      <c r="BB508" s="54"/>
      <c r="BC508" s="54"/>
    </row>
    <row r="509" spans="1:55" ht="13.15">
      <c r="A509" s="45"/>
      <c r="B509" s="1720"/>
      <c r="C509" s="2774" t="s">
        <v>1171</v>
      </c>
      <c r="D509" s="2775"/>
      <c r="E509" s="2871">
        <f ca="1">100*((Transfer!D143-Transfer!D145)+(Transfer!D144-Transfer!D146))/Transfer!D147</f>
        <v>3.6925470511579275</v>
      </c>
      <c r="F509" s="2872"/>
      <c r="G509" s="2871">
        <f ca="1">100*((Transfer!E143-Transfer!E145)+(Transfer!E144-Transfer!E146))/Transfer!E147</f>
        <v>3.3080156027788998</v>
      </c>
      <c r="H509" s="2873"/>
      <c r="I509" s="2871">
        <f ca="1">100*((Transfer!F143-Transfer!F145)+(Transfer!F144-Transfer!F146))/Transfer!F147</f>
        <v>3.1843606425951529</v>
      </c>
      <c r="J509" s="2873"/>
      <c r="K509" s="2871">
        <f ca="1">100*((Transfer!G143-Transfer!G145)+(Transfer!G144-Transfer!G146))/Transfer!G147</f>
        <v>3.0351171963840273</v>
      </c>
      <c r="L509" s="2874"/>
      <c r="M509" s="2875"/>
      <c r="N509" s="54"/>
      <c r="O509" s="54"/>
      <c r="P509" s="54"/>
      <c r="Q509" s="54"/>
      <c r="R509" s="54"/>
      <c r="S509" s="190"/>
      <c r="T509" s="501" t="s">
        <v>1171</v>
      </c>
      <c r="U509" s="1794"/>
      <c r="V509" s="2086">
        <f t="shared" ca="1" si="34"/>
        <v>-1.0999999999999996</v>
      </c>
      <c r="W509" s="499"/>
      <c r="X509" s="202">
        <f t="shared" ca="1" si="34"/>
        <v>-0.90000000000000036</v>
      </c>
      <c r="Y509" s="500"/>
      <c r="Z509" s="202">
        <f t="shared" ca="1" si="34"/>
        <v>-0.89999999999999947</v>
      </c>
      <c r="AA509" s="500"/>
      <c r="AB509" s="202">
        <f t="shared" ca="1" si="34"/>
        <v>-1.4000000000000004</v>
      </c>
      <c r="AC509" s="502"/>
      <c r="AD509" s="503"/>
      <c r="AE509" s="45"/>
      <c r="AF509" s="45"/>
      <c r="AG509" s="45"/>
      <c r="AH509" s="45"/>
      <c r="AI509" s="45"/>
      <c r="AJ509" s="190"/>
      <c r="AK509" s="501" t="s">
        <v>1171</v>
      </c>
      <c r="AL509" s="1794"/>
      <c r="AM509" s="2104">
        <f>100*((Transfer!AD143-Transfer!AD145)+(Transfer!AD144-Transfer!AD146))/Transfer!AD147</f>
        <v>4.8388327103011681</v>
      </c>
      <c r="AN509" s="2105"/>
      <c r="AO509" s="2104">
        <f>100*((Transfer!AE143-Transfer!AE145)+(Transfer!AE144-Transfer!AE146))/Transfer!AE147</f>
        <v>4.1737498656119785</v>
      </c>
      <c r="AP509" s="2106"/>
      <c r="AQ509" s="2104">
        <f>100*((Transfer!AF143-Transfer!AF145)+(Transfer!AF144-Transfer!AF146))/Transfer!AF147</f>
        <v>4.1079744172197303</v>
      </c>
      <c r="AR509" s="2106"/>
      <c r="AS509" s="2104">
        <f>100*((Transfer!AG143-Transfer!AG145)+(Transfer!AG144-Transfer!AG146))/Transfer!AG147</f>
        <v>4.36973125220808</v>
      </c>
      <c r="AT509" s="2107"/>
      <c r="AU509" s="503"/>
      <c r="AV509" s="54"/>
      <c r="AW509" s="54"/>
      <c r="AX509" s="54"/>
      <c r="AY509" s="54"/>
      <c r="AZ509" s="54"/>
      <c r="BA509" s="2048" t="s">
        <v>1532</v>
      </c>
      <c r="BB509" s="54"/>
      <c r="BC509" s="54"/>
    </row>
    <row r="510" spans="1:55">
      <c r="A510" s="45"/>
      <c r="B510" s="1720"/>
      <c r="C510" s="2654" t="s">
        <v>221</v>
      </c>
      <c r="D510" s="2879"/>
      <c r="E510" s="2880">
        <f ca="1">SUM(Transfer!D240,Transfer!D241)</f>
        <v>-2.9940000000000282</v>
      </c>
      <c r="F510" s="2881"/>
      <c r="G510" s="2880">
        <f ca="1">SUM(Transfer!E240,Transfer!E241)</f>
        <v>-4.8427052794898771</v>
      </c>
      <c r="H510" s="2881"/>
      <c r="I510" s="2880">
        <f ca="1">SUM(Transfer!F240,Transfer!F241)</f>
        <v>-7.011429581378664</v>
      </c>
      <c r="J510" s="2881"/>
      <c r="K510" s="2880">
        <f ca="1">SUM(Transfer!G240,Transfer!G241)</f>
        <v>-8.1060364585698039</v>
      </c>
      <c r="L510" s="2882"/>
      <c r="M510" s="2619"/>
      <c r="N510" s="54"/>
      <c r="O510" s="54"/>
      <c r="P510" s="54"/>
      <c r="Q510" s="54"/>
      <c r="R510" s="54"/>
      <c r="S510" s="190"/>
      <c r="T510" s="349" t="s">
        <v>221</v>
      </c>
      <c r="U510" s="1795"/>
      <c r="V510" s="195">
        <f t="shared" ca="1" si="34"/>
        <v>3.3</v>
      </c>
      <c r="W510" s="506"/>
      <c r="X510" s="195">
        <f t="shared" ca="1" si="34"/>
        <v>1</v>
      </c>
      <c r="Y510" s="506"/>
      <c r="Z510" s="195">
        <f t="shared" ca="1" si="34"/>
        <v>-7.8</v>
      </c>
      <c r="AA510" s="506"/>
      <c r="AB510" s="195">
        <f t="shared" ca="1" si="34"/>
        <v>-10.399999999999999</v>
      </c>
      <c r="AC510" s="507"/>
      <c r="AD510" s="508"/>
      <c r="AE510" s="45"/>
      <c r="AF510" s="45"/>
      <c r="AG510" s="45"/>
      <c r="AH510" s="45"/>
      <c r="AI510" s="45"/>
      <c r="AJ510" s="190"/>
      <c r="AK510" s="349" t="s">
        <v>221</v>
      </c>
      <c r="AL510" s="1795"/>
      <c r="AM510" s="362">
        <f>SUM(Transfer!AD240,Transfer!AD241)</f>
        <v>-6.3049999999999287</v>
      </c>
      <c r="AN510" s="497"/>
      <c r="AO510" s="362">
        <f>SUM(Transfer!AE240,Transfer!AE241)</f>
        <v>-5.7620000000000289</v>
      </c>
      <c r="AP510" s="497"/>
      <c r="AQ510" s="362">
        <f>SUM(Transfer!AF240,Transfer!AF241)</f>
        <v>0.82208084130948578</v>
      </c>
      <c r="AR510" s="497"/>
      <c r="AS510" s="362">
        <f>SUM(Transfer!AG240,Transfer!AG241)</f>
        <v>2.261053401109379</v>
      </c>
      <c r="AT510" s="498"/>
      <c r="AU510" s="508"/>
      <c r="AV510" s="54"/>
      <c r="AW510" s="54"/>
      <c r="AX510" s="54"/>
      <c r="AY510" s="54"/>
      <c r="AZ510" s="54"/>
      <c r="BA510" s="2048" t="s">
        <v>1533</v>
      </c>
      <c r="BB510" s="54"/>
      <c r="BC510" s="54"/>
    </row>
    <row r="511" spans="1:55">
      <c r="A511" s="45"/>
      <c r="B511" s="1720"/>
      <c r="C511" s="2442" t="s">
        <v>127</v>
      </c>
      <c r="D511" s="2678"/>
      <c r="E511" s="2146">
        <f ca="1">Transfer!D240</f>
        <v>64.849999999999994</v>
      </c>
      <c r="F511" s="2881"/>
      <c r="G511" s="2880">
        <f ca="1">Transfer!E240</f>
        <v>64.60838789529727</v>
      </c>
      <c r="H511" s="2881"/>
      <c r="I511" s="2880">
        <f ca="1">Transfer!F240</f>
        <v>65.142782137422699</v>
      </c>
      <c r="J511" s="2881"/>
      <c r="K511" s="2880">
        <f ca="1">Transfer!G240</f>
        <v>65.777829427587847</v>
      </c>
      <c r="L511" s="2883"/>
      <c r="M511" s="2884"/>
      <c r="N511" s="54"/>
      <c r="O511" s="54"/>
      <c r="P511" s="54"/>
      <c r="Q511" s="54"/>
      <c r="R511" s="54"/>
      <c r="S511" s="190"/>
      <c r="T511" s="86" t="s">
        <v>127</v>
      </c>
      <c r="U511" s="343"/>
      <c r="V511" s="197">
        <f t="shared" ca="1" si="34"/>
        <v>14.700000000000003</v>
      </c>
      <c r="W511" s="506"/>
      <c r="X511" s="197">
        <f t="shared" ca="1" si="34"/>
        <v>-1.9000000000000057</v>
      </c>
      <c r="Y511" s="506"/>
      <c r="Z511" s="197">
        <f t="shared" ca="1" si="34"/>
        <v>-0.90000000000000568</v>
      </c>
      <c r="AA511" s="506"/>
      <c r="AB511" s="197">
        <f t="shared" ca="1" si="34"/>
        <v>-0.79999999999999716</v>
      </c>
      <c r="AC511" s="509"/>
      <c r="AD511" s="510"/>
      <c r="AE511" s="45"/>
      <c r="AF511" s="45"/>
      <c r="AG511" s="45"/>
      <c r="AH511" s="45"/>
      <c r="AI511" s="45"/>
      <c r="AJ511" s="190"/>
      <c r="AK511" s="86" t="s">
        <v>127</v>
      </c>
      <c r="AL511" s="343"/>
      <c r="AM511" s="362">
        <f>Transfer!AD240</f>
        <v>50.234999999999992</v>
      </c>
      <c r="AN511" s="497"/>
      <c r="AO511" s="362">
        <f>Transfer!AE240</f>
        <v>66.50800000000001</v>
      </c>
      <c r="AP511" s="497"/>
      <c r="AQ511" s="362">
        <f>Transfer!AF240</f>
        <v>66.02824148309719</v>
      </c>
      <c r="AR511" s="497"/>
      <c r="AS511" s="362">
        <f>Transfer!AG240</f>
        <v>66.604109074951765</v>
      </c>
      <c r="AT511" s="2111"/>
      <c r="AU511" s="510"/>
      <c r="AV511" s="54"/>
      <c r="AW511" s="54"/>
      <c r="AX511" s="54"/>
      <c r="AY511" s="54"/>
      <c r="AZ511" s="54"/>
      <c r="BA511" s="2048" t="s">
        <v>708</v>
      </c>
      <c r="BB511" s="54"/>
      <c r="BC511" s="54"/>
    </row>
    <row r="512" spans="1:55">
      <c r="A512" s="45"/>
      <c r="B512" s="1720"/>
      <c r="C512" s="2626" t="s">
        <v>128</v>
      </c>
      <c r="D512" s="2885"/>
      <c r="E512" s="2146">
        <f ca="1">Transfer!D241</f>
        <v>-67.844000000000023</v>
      </c>
      <c r="F512" s="2881"/>
      <c r="G512" s="2880">
        <f ca="1">Transfer!E241</f>
        <v>-69.451093174787147</v>
      </c>
      <c r="H512" s="2881"/>
      <c r="I512" s="2880">
        <f ca="1">Transfer!F241</f>
        <v>-72.154211718801363</v>
      </c>
      <c r="J512" s="2881"/>
      <c r="K512" s="2880">
        <f ca="1">Transfer!G241</f>
        <v>-73.88386588615765</v>
      </c>
      <c r="L512" s="2883"/>
      <c r="M512" s="2884"/>
      <c r="N512" s="54"/>
      <c r="O512" s="54"/>
      <c r="P512" s="54"/>
      <c r="Q512" s="54"/>
      <c r="R512" s="54"/>
      <c r="S512" s="190"/>
      <c r="T512" s="318" t="s">
        <v>128</v>
      </c>
      <c r="U512" s="1796"/>
      <c r="V512" s="197">
        <f t="shared" ca="1" si="34"/>
        <v>-11.299999999999997</v>
      </c>
      <c r="W512" s="506"/>
      <c r="X512" s="197">
        <f t="shared" ca="1" si="34"/>
        <v>2.7999999999999972</v>
      </c>
      <c r="Y512" s="506"/>
      <c r="Z512" s="197">
        <f t="shared" ca="1" si="34"/>
        <v>-7</v>
      </c>
      <c r="AA512" s="506"/>
      <c r="AB512" s="197">
        <f t="shared" ca="1" si="34"/>
        <v>-9.6000000000000085</v>
      </c>
      <c r="AC512" s="509"/>
      <c r="AD512" s="510"/>
      <c r="AE512" s="45"/>
      <c r="AF512" s="45"/>
      <c r="AG512" s="45"/>
      <c r="AH512" s="45"/>
      <c r="AI512" s="45"/>
      <c r="AJ512" s="190"/>
      <c r="AK512" s="318" t="s">
        <v>128</v>
      </c>
      <c r="AL512" s="1796"/>
      <c r="AM512" s="362">
        <f>Transfer!AD241</f>
        <v>-56.539999999999921</v>
      </c>
      <c r="AN512" s="497"/>
      <c r="AO512" s="362">
        <f>Transfer!AE241</f>
        <v>-72.270000000000039</v>
      </c>
      <c r="AP512" s="497"/>
      <c r="AQ512" s="362">
        <f>Transfer!AF241</f>
        <v>-65.206160641787704</v>
      </c>
      <c r="AR512" s="497"/>
      <c r="AS512" s="362">
        <f>Transfer!AG241</f>
        <v>-64.343055673842386</v>
      </c>
      <c r="AT512" s="2111"/>
      <c r="AU512" s="510"/>
      <c r="AV512" s="54"/>
      <c r="AW512" s="54"/>
      <c r="AX512" s="54"/>
      <c r="AY512" s="54"/>
      <c r="AZ512" s="54"/>
      <c r="BA512" s="2048" t="s">
        <v>1534</v>
      </c>
      <c r="BB512" s="54"/>
      <c r="BC512" s="54"/>
    </row>
    <row r="513" spans="1:55">
      <c r="A513" s="45"/>
      <c r="B513" s="1720"/>
      <c r="C513" s="2626" t="s">
        <v>226</v>
      </c>
      <c r="D513" s="2885"/>
      <c r="E513" s="3271">
        <f ca="1">100*SUM(Transfer!D240,Transfer!D241)/Transfer!D147</f>
        <v>-6.5386897592631499E-2</v>
      </c>
      <c r="F513" s="2881"/>
      <c r="G513" s="3271">
        <f ca="1">100*SUM(Transfer!E240,Transfer!E241)/Transfer!E147</f>
        <v>-0.10082300010943104</v>
      </c>
      <c r="H513" s="2881"/>
      <c r="I513" s="3271">
        <f ca="1">100*SUM(Transfer!F240,Transfer!F241)/Transfer!F147</f>
        <v>-0.14065628803093194</v>
      </c>
      <c r="J513" s="3259"/>
      <c r="K513" s="3271">
        <f ca="1">100*SUM(Transfer!G240,Transfer!G241)/Transfer!G147</f>
        <v>-0.15704760119346547</v>
      </c>
      <c r="L513" s="2883"/>
      <c r="M513" s="2884"/>
      <c r="N513" s="54"/>
      <c r="O513" s="54"/>
      <c r="P513" s="54"/>
      <c r="Q513" s="54"/>
      <c r="R513" s="54"/>
      <c r="S513" s="190"/>
      <c r="T513" s="318" t="s">
        <v>226</v>
      </c>
      <c r="U513" s="1796"/>
      <c r="V513" s="197">
        <f t="shared" ca="1" si="34"/>
        <v>0</v>
      </c>
      <c r="W513" s="506"/>
      <c r="X513" s="197">
        <f t="shared" ca="1" si="34"/>
        <v>0</v>
      </c>
      <c r="Y513" s="506"/>
      <c r="Z513" s="197">
        <f t="shared" ca="1" si="34"/>
        <v>-0.1</v>
      </c>
      <c r="AA513" s="506"/>
      <c r="AB513" s="197">
        <f t="shared" ca="1" si="34"/>
        <v>-0.2</v>
      </c>
      <c r="AC513" s="509"/>
      <c r="AD513" s="510"/>
      <c r="AE513" s="45"/>
      <c r="AF513" s="45"/>
      <c r="AG513" s="45"/>
      <c r="AH513" s="45"/>
      <c r="AI513" s="45"/>
      <c r="AJ513" s="190"/>
      <c r="AK513" s="318" t="s">
        <v>226</v>
      </c>
      <c r="AL513" s="1796"/>
      <c r="AM513" s="362">
        <f>100*SUM(Transfer!AD240,Transfer!AD241)/Transfer!AD147</f>
        <v>-0.14313923758661409</v>
      </c>
      <c r="AN513" s="497"/>
      <c r="AO513" s="362">
        <f>100*SUM(Transfer!AE240,Transfer!AE241)/Transfer!AE147</f>
        <v>-0.12514646936876245</v>
      </c>
      <c r="AP513" s="497"/>
      <c r="AQ513" s="362">
        <f>100*SUM(Transfer!AF240,Transfer!AF241)/Transfer!AF147</f>
        <v>1.7040297048892466E-2</v>
      </c>
      <c r="AR513" s="497"/>
      <c r="AS513" s="362">
        <f>100*SUM(Transfer!AG240,Transfer!AG241)/Transfer!AG147</f>
        <v>4.4915491053986158E-2</v>
      </c>
      <c r="AT513" s="2111"/>
      <c r="AU513" s="510"/>
      <c r="AV513" s="54"/>
      <c r="AW513" s="54"/>
      <c r="AX513" s="54"/>
      <c r="AY513" s="54"/>
      <c r="AZ513" s="54"/>
      <c r="BA513" s="2048" t="s">
        <v>417</v>
      </c>
      <c r="BB513" s="54"/>
      <c r="BC513" s="54"/>
    </row>
    <row r="514" spans="1:55" ht="13.15">
      <c r="A514" s="45"/>
      <c r="B514" s="1720"/>
      <c r="C514" s="2731" t="s">
        <v>746</v>
      </c>
      <c r="D514" s="2528"/>
      <c r="E514" s="2862">
        <f ca="1">SUM((Transfer!D143-Transfer!D145),(Transfer!D144-Transfer!D146),Transfer!D240,Transfer!D241)</f>
        <v>166.08399999999983</v>
      </c>
      <c r="F514" s="2863"/>
      <c r="G514" s="2862">
        <f ca="1">SUM((Transfer!E143-Transfer!E145),(Transfer!E144-Transfer!E146),Transfer!E240,Transfer!E241)</f>
        <v>154.04707787340965</v>
      </c>
      <c r="H514" s="2863"/>
      <c r="I514" s="2862">
        <f ca="1">SUM((Transfer!F143-Transfer!F145),(Transfer!F144-Transfer!F146),Transfer!F240,Transfer!F241)</f>
        <v>151.72246507649601</v>
      </c>
      <c r="J514" s="2863"/>
      <c r="K514" s="2862">
        <f ca="1">SUM((Transfer!G143-Transfer!G145),(Transfer!G144-Transfer!G146),Transfer!G240,Transfer!G241)</f>
        <v>148.55201156607444</v>
      </c>
      <c r="L514" s="2864"/>
      <c r="M514" s="2417"/>
      <c r="N514" s="54"/>
      <c r="O514" s="54"/>
      <c r="P514" s="54"/>
      <c r="Q514" s="54"/>
      <c r="R514" s="54"/>
      <c r="S514" s="190"/>
      <c r="T514" s="398" t="s">
        <v>746</v>
      </c>
      <c r="U514" s="203"/>
      <c r="V514" s="2086">
        <f t="shared" ca="1" si="34"/>
        <v>-40.700000000000017</v>
      </c>
      <c r="W514" s="493"/>
      <c r="X514" s="2086">
        <f t="shared" ca="1" si="34"/>
        <v>-32.400000000000006</v>
      </c>
      <c r="Y514" s="493"/>
      <c r="Z514" s="2086">
        <f t="shared" ca="1" si="34"/>
        <v>-47.300000000000011</v>
      </c>
      <c r="AA514" s="493"/>
      <c r="AB514" s="2086">
        <f t="shared" ca="1" si="34"/>
        <v>-73.599999999999994</v>
      </c>
      <c r="AC514" s="494"/>
      <c r="AD514" s="62"/>
      <c r="AE514" s="45"/>
      <c r="AF514" s="45"/>
      <c r="AG514" s="45"/>
      <c r="AH514" s="45"/>
      <c r="AI514" s="45"/>
      <c r="AJ514" s="190"/>
      <c r="AK514" s="398" t="s">
        <v>746</v>
      </c>
      <c r="AL514" s="203"/>
      <c r="AM514" s="2100">
        <f>SUM((Transfer!AD143-Transfer!AD145),(Transfer!AD144-Transfer!AD146),Transfer!AD240,Transfer!AD241)</f>
        <v>206.83600000000018</v>
      </c>
      <c r="AN514" s="1810"/>
      <c r="AO514" s="2100">
        <f>SUM((Transfer!AE143-Transfer!AE145),(Transfer!AE144-Transfer!AE146),Transfer!AE240,Transfer!AE241)</f>
        <v>186.40600000000001</v>
      </c>
      <c r="AP514" s="1810"/>
      <c r="AQ514" s="2100">
        <f>SUM((Transfer!AF143-Transfer!AF145),(Transfer!AF144-Transfer!AF146),Transfer!AF240,Transfer!AF241)</f>
        <v>199.00448665830984</v>
      </c>
      <c r="AR514" s="1810"/>
      <c r="AS514" s="2100">
        <f>SUM((Transfer!AG143-Transfer!AG145),(Transfer!AG144-Transfer!AG146),Transfer!AG240,Transfer!AG241)</f>
        <v>222.2340622203501</v>
      </c>
      <c r="AT514" s="1825"/>
      <c r="AU514" s="62"/>
      <c r="AV514" s="54"/>
      <c r="AW514" s="54"/>
      <c r="AX514" s="54"/>
      <c r="AY514" s="54"/>
      <c r="AZ514" s="54"/>
      <c r="BA514" s="2048" t="s">
        <v>416</v>
      </c>
      <c r="BB514" s="54"/>
      <c r="BC514" s="54"/>
    </row>
    <row r="515" spans="1:55" ht="13.15">
      <c r="A515" s="45"/>
      <c r="B515" s="1720"/>
      <c r="C515" s="2865" t="s">
        <v>227</v>
      </c>
      <c r="D515" s="2779"/>
      <c r="E515" s="2862">
        <f ca="1">100*(SUM((Transfer!D143-Transfer!D145),(Transfer!D144-Transfer!D146),Transfer!D240,Transfer!D241))/Transfer!D147</f>
        <v>3.6271601535652964</v>
      </c>
      <c r="F515" s="2863"/>
      <c r="G515" s="2862">
        <f ca="1">100*(SUM((Transfer!E143-Transfer!E145),(Transfer!E144-Transfer!E146),Transfer!E240,Transfer!E241))/Transfer!E147</f>
        <v>3.2071926026694686</v>
      </c>
      <c r="H515" s="2886"/>
      <c r="I515" s="2862">
        <f ca="1">100*(SUM((Transfer!F143-Transfer!F145),(Transfer!F144-Transfer!F146),Transfer!F240,Transfer!F241))/Transfer!F147</f>
        <v>3.0437043545642215</v>
      </c>
      <c r="J515" s="2886"/>
      <c r="K515" s="2862">
        <f ca="1">100*(SUM((Transfer!G143-Transfer!G145),(Transfer!G144-Transfer!G146),Transfer!G240,Transfer!G241))/Transfer!G147</f>
        <v>2.8780695951905617</v>
      </c>
      <c r="L515" s="2887"/>
      <c r="M515" s="2779"/>
      <c r="N515" s="54"/>
      <c r="O515" s="54"/>
      <c r="P515" s="54"/>
      <c r="Q515" s="54"/>
      <c r="R515" s="54"/>
      <c r="S515" s="190"/>
      <c r="T515" s="495" t="s">
        <v>227</v>
      </c>
      <c r="U515" s="513"/>
      <c r="V515" s="202">
        <f t="shared" ca="1" si="34"/>
        <v>-1.1000000000000001</v>
      </c>
      <c r="W515" s="493"/>
      <c r="X515" s="2086">
        <f t="shared" ca="1" si="34"/>
        <v>-0.79999999999999982</v>
      </c>
      <c r="Y515" s="511"/>
      <c r="Z515" s="202">
        <f t="shared" ca="1" si="34"/>
        <v>-1.0999999999999996</v>
      </c>
      <c r="AA515" s="511"/>
      <c r="AB515" s="2086">
        <f t="shared" ca="1" si="34"/>
        <v>-1.5000000000000004</v>
      </c>
      <c r="AC515" s="512"/>
      <c r="AD515" s="513"/>
      <c r="AE515" s="45"/>
      <c r="AF515" s="45"/>
      <c r="AG515" s="45"/>
      <c r="AH515" s="45"/>
      <c r="AI515" s="45"/>
      <c r="AJ515" s="190"/>
      <c r="AK515" s="495" t="s">
        <v>227</v>
      </c>
      <c r="AL515" s="513"/>
      <c r="AM515" s="2100">
        <f>100*(SUM((Transfer!AD143-Transfer!AD145),(Transfer!AD144-Transfer!AD146),Transfer!AD240,Transfer!AD241))/Transfer!AD147</f>
        <v>4.695693472714555</v>
      </c>
      <c r="AN515" s="1810"/>
      <c r="AO515" s="2100">
        <f>100*(SUM((Transfer!AE143-Transfer!AE145),(Transfer!AE144-Transfer!AE146),Transfer!AE240,Transfer!AE241))/Transfer!AE147</f>
        <v>4.0486033962432177</v>
      </c>
      <c r="AP515" s="1810"/>
      <c r="AQ515" s="2100">
        <f>100*(SUM((Transfer!AF143-Transfer!AF145),(Transfer!AF144-Transfer!AF146),Transfer!AF240,Transfer!AF241))/Transfer!AF147</f>
        <v>4.1250147142686222</v>
      </c>
      <c r="AR515" s="1810"/>
      <c r="AS515" s="2100">
        <f>100*(SUM((Transfer!AG143-Transfer!AG145),(Transfer!AG144-Transfer!AG146),Transfer!AG240,Transfer!AG241))/Transfer!AG147</f>
        <v>4.4146467432620664</v>
      </c>
      <c r="AT515" s="2101"/>
      <c r="AU515" s="513"/>
      <c r="AV515" s="54"/>
      <c r="AW515" s="54"/>
      <c r="AX515" s="54"/>
      <c r="AY515" s="54"/>
      <c r="AZ515" s="54"/>
      <c r="BA515" s="2048" t="s">
        <v>386</v>
      </c>
      <c r="BB515" s="54"/>
      <c r="BC515" s="54"/>
    </row>
    <row r="516" spans="1:55">
      <c r="A516" s="45"/>
      <c r="B516" s="1720"/>
      <c r="C516" s="2453" t="s">
        <v>228</v>
      </c>
      <c r="D516" s="2563"/>
      <c r="E516" s="2888">
        <f ca="1">Transfer!D242</f>
        <v>-2.883</v>
      </c>
      <c r="F516" s="2889"/>
      <c r="G516" s="2888">
        <f ca="1">Transfer!E242</f>
        <v>-7.4717411881767353</v>
      </c>
      <c r="H516" s="2859"/>
      <c r="I516" s="2888">
        <f ca="1">Transfer!F242</f>
        <v>-12.426959562066155</v>
      </c>
      <c r="J516" s="2859"/>
      <c r="K516" s="2888">
        <f ca="1">Transfer!G242</f>
        <v>-12.547611361477241</v>
      </c>
      <c r="L516" s="2860"/>
      <c r="M516" s="2520"/>
      <c r="N516" s="54"/>
      <c r="O516" s="54"/>
      <c r="P516" s="54"/>
      <c r="Q516" s="54"/>
      <c r="R516" s="54"/>
      <c r="S516" s="190"/>
      <c r="T516" s="148" t="s">
        <v>228</v>
      </c>
      <c r="U516" s="1731"/>
      <c r="V516" s="195">
        <f t="shared" ca="1" si="34"/>
        <v>-0.19999999999999973</v>
      </c>
      <c r="W516" s="514"/>
      <c r="X516" s="195">
        <f t="shared" ca="1" si="34"/>
        <v>-4.7</v>
      </c>
      <c r="Y516" s="491"/>
      <c r="Z516" s="195">
        <f t="shared" ca="1" si="34"/>
        <v>-8.4</v>
      </c>
      <c r="AA516" s="491"/>
      <c r="AB516" s="195">
        <f t="shared" ca="1" si="34"/>
        <v>-8.6999999999999993</v>
      </c>
      <c r="AC516" s="492"/>
      <c r="AD516" s="196"/>
      <c r="AE516" s="45"/>
      <c r="AF516" s="45"/>
      <c r="AG516" s="45"/>
      <c r="AH516" s="45"/>
      <c r="AI516" s="45"/>
      <c r="AJ516" s="190"/>
      <c r="AK516" s="148" t="s">
        <v>228</v>
      </c>
      <c r="AL516" s="1731"/>
      <c r="AM516" s="2112">
        <f>Transfer!AD242</f>
        <v>-2.7010000000000001</v>
      </c>
      <c r="AN516" s="1819"/>
      <c r="AO516" s="2112">
        <f>Transfer!AE242</f>
        <v>-2.7930000000000001</v>
      </c>
      <c r="AP516" s="1819"/>
      <c r="AQ516" s="2112">
        <f>Transfer!AF242</f>
        <v>-3.9964964218740975</v>
      </c>
      <c r="AR516" s="1819"/>
      <c r="AS516" s="2112">
        <f>Transfer!AG242</f>
        <v>-3.7874928076488681</v>
      </c>
      <c r="AT516" s="1826"/>
      <c r="AU516" s="196"/>
      <c r="AV516" s="54"/>
      <c r="AW516" s="54"/>
      <c r="AX516" s="54"/>
      <c r="AY516" s="54"/>
      <c r="AZ516" s="54"/>
      <c r="BA516" s="2048" t="s">
        <v>1400</v>
      </c>
      <c r="BB516" s="54"/>
      <c r="BC516" s="54"/>
    </row>
    <row r="517" spans="1:55" ht="13.15">
      <c r="A517" s="45"/>
      <c r="B517" s="1720"/>
      <c r="C517" s="2731" t="s">
        <v>516</v>
      </c>
      <c r="D517" s="2528"/>
      <c r="E517" s="2862">
        <f ca="1">SUM((Transfer!D143-Transfer!D145),(Transfer!D144-Transfer!D146),Transfer!D240,Transfer!D241,Transfer!D242)</f>
        <v>163.20099999999982</v>
      </c>
      <c r="F517" s="2863"/>
      <c r="G517" s="2862">
        <f ca="1">SUM((Transfer!E143-Transfer!E145),(Transfer!E144-Transfer!E146),Transfer!E240,Transfer!E241,Transfer!E242)</f>
        <v>146.57533668523291</v>
      </c>
      <c r="H517" s="2886"/>
      <c r="I517" s="2862">
        <f ca="1">SUM((Transfer!F143-Transfer!F145),(Transfer!F144-Transfer!F146),Transfer!F240,Transfer!F241,Transfer!F242)</f>
        <v>139.29550551442986</v>
      </c>
      <c r="J517" s="2886"/>
      <c r="K517" s="2862">
        <f ca="1">SUM((Transfer!G143-Transfer!G145),(Transfer!G144-Transfer!G146),Transfer!G240,Transfer!G241,Transfer!G242)</f>
        <v>136.0044002045972</v>
      </c>
      <c r="L517" s="2697"/>
      <c r="M517" s="2528"/>
      <c r="N517" s="54"/>
      <c r="O517" s="54"/>
      <c r="P517" s="54"/>
      <c r="Q517" s="54"/>
      <c r="R517" s="54"/>
      <c r="S517" s="190"/>
      <c r="T517" s="398" t="s">
        <v>516</v>
      </c>
      <c r="U517" s="203"/>
      <c r="V517" s="2086">
        <f t="shared" ca="1" si="34"/>
        <v>-40.900000000000006</v>
      </c>
      <c r="W517" s="493"/>
      <c r="X517" s="2086">
        <f t="shared" ca="1" si="34"/>
        <v>-37</v>
      </c>
      <c r="Y517" s="511"/>
      <c r="Z517" s="2086">
        <f t="shared" ca="1" si="34"/>
        <v>-55.699999999999989</v>
      </c>
      <c r="AA517" s="511"/>
      <c r="AB517" s="2086">
        <f t="shared" ca="1" si="34"/>
        <v>-82.4</v>
      </c>
      <c r="AC517" s="354"/>
      <c r="AD517" s="203"/>
      <c r="AE517" s="45"/>
      <c r="AF517" s="45"/>
      <c r="AG517" s="45"/>
      <c r="AH517" s="45"/>
      <c r="AI517" s="45"/>
      <c r="AJ517" s="190"/>
      <c r="AK517" s="398" t="s">
        <v>516</v>
      </c>
      <c r="AL517" s="203"/>
      <c r="AM517" s="2100">
        <f>SUM((Transfer!AD143-Transfer!AD145),(Transfer!AD144-Transfer!AD146),Transfer!AD240,Transfer!AD241,Transfer!AD242)</f>
        <v>204.13500000000019</v>
      </c>
      <c r="AN517" s="1810"/>
      <c r="AO517" s="2100">
        <f>SUM((Transfer!AE143-Transfer!AE145),(Transfer!AE144-Transfer!AE146),Transfer!AE240,Transfer!AE241,Transfer!AE242)</f>
        <v>183.613</v>
      </c>
      <c r="AP517" s="1810"/>
      <c r="AQ517" s="2100">
        <f>SUM((Transfer!AF143-Transfer!AF145),(Transfer!AF144-Transfer!AF146),Transfer!AF240,Transfer!AF241,Transfer!AF242)</f>
        <v>195.00799023643575</v>
      </c>
      <c r="AR517" s="1810"/>
      <c r="AS517" s="2100">
        <f>SUM((Transfer!AG143-Transfer!AG145),(Transfer!AG144-Transfer!AG146),Transfer!AG240,Transfer!AG241,Transfer!AG242)</f>
        <v>218.44656941270122</v>
      </c>
      <c r="AT517" s="1825"/>
      <c r="AU517" s="203"/>
      <c r="AV517" s="54"/>
      <c r="AW517" s="54"/>
      <c r="AX517" s="54"/>
      <c r="AY517" s="54"/>
      <c r="AZ517" s="54"/>
      <c r="BA517" s="2048" t="s">
        <v>1401</v>
      </c>
      <c r="BB517" s="54"/>
      <c r="BC517" s="54"/>
    </row>
    <row r="518" spans="1:55" ht="13.5" thickBot="1">
      <c r="A518" s="45"/>
      <c r="B518" s="1720"/>
      <c r="C518" s="2782" t="s">
        <v>1402</v>
      </c>
      <c r="D518" s="2783"/>
      <c r="E518" s="2890">
        <f ca="1">100*(SUM((Transfer!D143-Transfer!D145),(Transfer!D144-Transfer!D146),Transfer!D240,Transfer!D241,Transfer!D242)/Transfer!D147)</f>
        <v>3.5641974195106689</v>
      </c>
      <c r="F518" s="2784"/>
      <c r="G518" s="2890">
        <f ca="1">100*(SUM((Transfer!E143-Transfer!E145),(Transfer!E144-Transfer!E146),Transfer!E240,Transfer!E241,Transfer!E242)/Transfer!E147)</f>
        <v>3.0516342279272135</v>
      </c>
      <c r="H518" s="2784"/>
      <c r="I518" s="2890">
        <f ca="1">100*(SUM((Transfer!F143-Transfer!F145),(Transfer!F144-Transfer!F146),Transfer!F240,Transfer!F241,Transfer!F242)/Transfer!F147)</f>
        <v>2.7944071202094802</v>
      </c>
      <c r="J518" s="2784"/>
      <c r="K518" s="2890">
        <f ca="1">100*(SUM((Transfer!G143-Transfer!G145),(Transfer!G144-Transfer!G146),Transfer!G240,Transfer!G241,Transfer!G242)/Transfer!G147)</f>
        <v>2.6349702364472933</v>
      </c>
      <c r="L518" s="2891"/>
      <c r="M518" s="2779"/>
      <c r="N518" s="54"/>
      <c r="O518" s="54"/>
      <c r="P518" s="54"/>
      <c r="Q518" s="54"/>
      <c r="R518" s="54"/>
      <c r="S518" s="190"/>
      <c r="T518" s="515" t="s">
        <v>1402</v>
      </c>
      <c r="U518" s="1797"/>
      <c r="V518" s="371">
        <f t="shared" ca="1" si="34"/>
        <v>-0.99999999999999956</v>
      </c>
      <c r="W518" s="516"/>
      <c r="X518" s="371">
        <f t="shared" ca="1" si="34"/>
        <v>-0.89999999999999991</v>
      </c>
      <c r="Y518" s="516"/>
      <c r="Z518" s="371">
        <f t="shared" ca="1" si="34"/>
        <v>-1.2000000000000002</v>
      </c>
      <c r="AA518" s="516"/>
      <c r="AB518" s="371">
        <f t="shared" ca="1" si="34"/>
        <v>-1.6999999999999997</v>
      </c>
      <c r="AC518" s="517"/>
      <c r="AD518" s="513"/>
      <c r="AE518" s="45"/>
      <c r="AF518" s="45"/>
      <c r="AG518" s="45"/>
      <c r="AH518" s="45"/>
      <c r="AI518" s="45"/>
      <c r="AJ518" s="190"/>
      <c r="AK518" s="515" t="s">
        <v>1402</v>
      </c>
      <c r="AL518" s="1797"/>
      <c r="AM518" s="2113">
        <f>100*(SUM((Transfer!AD143-Transfer!AD145),(Transfer!AD144-Transfer!AD146),Transfer!AD240,Transfer!AD241,Transfer!AD242)/Transfer!AD147)</f>
        <v>4.634374030887205</v>
      </c>
      <c r="AN518" s="2114"/>
      <c r="AO518" s="2113">
        <f>100*(SUM((Transfer!AE143-Transfer!AE145),(Transfer!AE144-Transfer!AE146),Transfer!AE240,Transfer!AE241,Transfer!AE242)/Transfer!AE147)</f>
        <v>3.9879414578629748</v>
      </c>
      <c r="AP518" s="2114"/>
      <c r="AQ518" s="2113">
        <f>100*(SUM((Transfer!AF143-Transfer!AF145),(Transfer!AF144-Transfer!AF146),Transfer!AF240,Transfer!AF241,Transfer!AF242)/Transfer!AF147)</f>
        <v>4.0421743380410335</v>
      </c>
      <c r="AR518" s="2114"/>
      <c r="AS518" s="2113">
        <f>100*(SUM((Transfer!AG143-Transfer!AG145),(Transfer!AG144-Transfer!AG146),Transfer!AG240,Transfer!AG241,Transfer!AG242)/Transfer!AG147)</f>
        <v>4.3394087593933426</v>
      </c>
      <c r="AT518" s="2115"/>
      <c r="AU518" s="513"/>
      <c r="AV518" s="54"/>
      <c r="AW518" s="54"/>
      <c r="AX518" s="54"/>
      <c r="AY518" s="54"/>
      <c r="AZ518" s="54"/>
      <c r="BA518" s="2063" t="s">
        <v>385</v>
      </c>
      <c r="BB518" s="54"/>
      <c r="BC518" s="54"/>
    </row>
    <row r="519" spans="1:55" ht="13.15">
      <c r="A519" s="45"/>
      <c r="B519" s="1756"/>
      <c r="C519" s="2545"/>
      <c r="D519" s="2545"/>
      <c r="E519" s="2545"/>
      <c r="F519" s="2545"/>
      <c r="G519" s="2545"/>
      <c r="H519" s="2545"/>
      <c r="I519" s="2545"/>
      <c r="J519" s="2545"/>
      <c r="K519" s="2545"/>
      <c r="L519" s="2469" t="str">
        <f>UPPER(Country)</f>
        <v>SWEDEN</v>
      </c>
      <c r="M519" s="2546"/>
      <c r="N519" s="54"/>
      <c r="O519" s="54"/>
      <c r="P519" s="54"/>
      <c r="Q519" s="54"/>
      <c r="R519" s="54"/>
      <c r="S519" s="215"/>
      <c r="T519" s="113"/>
      <c r="U519" s="113"/>
      <c r="V519" s="113"/>
      <c r="W519" s="113"/>
      <c r="X519" s="113"/>
      <c r="Y519" s="113"/>
      <c r="Z519" s="113"/>
      <c r="AA519" s="113"/>
      <c r="AB519" s="113"/>
      <c r="AC519" s="118" t="str">
        <f>UPPER(Country)</f>
        <v>SWEDEN</v>
      </c>
      <c r="AD519" s="216"/>
      <c r="AE519" s="45"/>
      <c r="AF519" s="45"/>
      <c r="AG519" s="45"/>
      <c r="AH519" s="45"/>
      <c r="AI519" s="45"/>
      <c r="AJ519" s="215"/>
      <c r="AK519" s="113"/>
      <c r="AL519" s="113"/>
      <c r="AM519" s="113"/>
      <c r="AN519" s="113"/>
      <c r="AO519" s="113"/>
      <c r="AP519" s="113"/>
      <c r="AQ519" s="113"/>
      <c r="AR519" s="113"/>
      <c r="AS519" s="113"/>
      <c r="AT519" s="118" t="str">
        <f>UPPER(Country)</f>
        <v>SWEDEN</v>
      </c>
      <c r="AU519" s="216"/>
      <c r="AV519" s="54"/>
      <c r="AW519" s="54"/>
      <c r="AX519" s="54"/>
      <c r="AY519" s="54"/>
      <c r="AZ519" s="54"/>
      <c r="BA519" s="54"/>
      <c r="BB519" s="54"/>
      <c r="BC519" s="54"/>
    </row>
    <row r="520" spans="1:55">
      <c r="A520" s="45"/>
      <c r="B520" s="45"/>
      <c r="C520" s="45"/>
      <c r="D520" s="45"/>
      <c r="E520" s="45"/>
      <c r="F520" s="45"/>
      <c r="G520" s="45"/>
      <c r="H520" s="45"/>
      <c r="I520" s="45"/>
      <c r="J520" s="45"/>
      <c r="K520" s="45"/>
      <c r="L520" s="45"/>
      <c r="M520" s="45"/>
      <c r="N520" s="54"/>
      <c r="O520" s="54"/>
      <c r="P520" s="54"/>
      <c r="Q520" s="54"/>
      <c r="R520" s="54"/>
      <c r="S520" s="54"/>
      <c r="T520" s="54"/>
      <c r="U520" s="54"/>
      <c r="V520" s="54"/>
      <c r="W520" s="54"/>
      <c r="X520" s="54"/>
      <c r="Y520" s="54"/>
      <c r="Z520" s="54"/>
      <c r="AA520" s="54"/>
      <c r="AB520" s="45"/>
      <c r="AC520" s="45"/>
      <c r="AD520" s="45"/>
      <c r="AE520" s="45"/>
      <c r="AF520" s="45"/>
      <c r="AG520" s="45"/>
      <c r="AH520" s="45"/>
      <c r="AI520" s="45"/>
      <c r="AJ520" s="45"/>
      <c r="AK520" s="45"/>
      <c r="AL520" s="45"/>
      <c r="AM520" s="45"/>
      <c r="AN520" s="45"/>
      <c r="AO520" s="45"/>
      <c r="AP520" s="45"/>
      <c r="AQ520" s="45"/>
      <c r="AR520" s="45"/>
      <c r="AS520" s="45"/>
      <c r="AT520" s="45"/>
      <c r="AU520" s="45"/>
      <c r="AV520" s="54"/>
      <c r="AW520" s="54"/>
      <c r="AX520" s="54"/>
      <c r="AY520" s="54"/>
      <c r="AZ520" s="54"/>
      <c r="BA520" s="54"/>
      <c r="BB520" s="54"/>
      <c r="BC520" s="54"/>
    </row>
    <row r="521" spans="1:55">
      <c r="A521" s="45"/>
      <c r="B521" s="45"/>
      <c r="C521" s="45"/>
      <c r="D521" s="45"/>
      <c r="E521" s="45"/>
      <c r="F521" s="45"/>
      <c r="G521" s="45"/>
      <c r="H521" s="45"/>
      <c r="I521" s="45"/>
      <c r="J521" s="45"/>
      <c r="K521" s="45"/>
      <c r="L521" s="45"/>
      <c r="M521" s="45"/>
      <c r="N521" s="54"/>
      <c r="O521" s="54"/>
      <c r="P521" s="54"/>
      <c r="Q521" s="54"/>
      <c r="R521" s="54"/>
      <c r="S521" s="54"/>
      <c r="T521" s="54"/>
      <c r="U521" s="54"/>
      <c r="V521" s="54"/>
      <c r="W521" s="54"/>
      <c r="X521" s="54"/>
      <c r="Y521" s="54"/>
      <c r="Z521" s="54"/>
      <c r="AA521" s="54"/>
      <c r="AB521" s="45"/>
      <c r="AC521" s="45"/>
      <c r="AD521" s="45"/>
      <c r="AE521" s="45"/>
      <c r="AF521" s="45"/>
      <c r="AG521" s="45"/>
      <c r="AH521" s="45"/>
      <c r="AI521" s="45"/>
      <c r="AJ521" s="45"/>
      <c r="AK521" s="45"/>
      <c r="AL521" s="45"/>
      <c r="AM521" s="45"/>
      <c r="AN521" s="45"/>
      <c r="AO521" s="45"/>
      <c r="AP521" s="45"/>
      <c r="AQ521" s="45"/>
      <c r="AR521" s="45"/>
      <c r="AS521" s="45"/>
      <c r="AT521" s="45"/>
      <c r="AU521" s="45"/>
      <c r="AV521" s="54"/>
      <c r="AW521" s="54"/>
      <c r="AX521" s="54"/>
      <c r="AY521" s="54"/>
      <c r="AZ521" s="54"/>
      <c r="BA521" s="54"/>
      <c r="BB521" s="54"/>
      <c r="BC521" s="54"/>
    </row>
    <row r="522" spans="1:55">
      <c r="A522" s="45"/>
      <c r="B522" s="45"/>
      <c r="C522" s="45"/>
      <c r="D522" s="45"/>
      <c r="E522" s="45"/>
      <c r="F522" s="45"/>
      <c r="G522" s="45"/>
      <c r="H522" s="45"/>
      <c r="I522" s="45"/>
      <c r="J522" s="45"/>
      <c r="K522" s="45"/>
      <c r="L522" s="45"/>
      <c r="M522" s="45"/>
      <c r="N522" s="54"/>
      <c r="O522" s="54"/>
      <c r="P522" s="54"/>
      <c r="Q522" s="54"/>
      <c r="R522" s="54"/>
      <c r="S522" s="54"/>
      <c r="T522" s="54"/>
      <c r="U522" s="54"/>
      <c r="V522" s="54"/>
      <c r="W522" s="54"/>
      <c r="X522" s="54"/>
      <c r="Y522" s="54"/>
      <c r="Z522" s="54"/>
      <c r="AA522" s="54"/>
      <c r="AB522" s="45"/>
      <c r="AC522" s="45"/>
      <c r="AD522" s="45"/>
      <c r="AE522" s="45"/>
      <c r="AF522" s="45"/>
      <c r="AG522" s="45"/>
      <c r="AH522" s="45"/>
      <c r="AI522" s="45"/>
      <c r="AJ522" s="45"/>
      <c r="AK522" s="45"/>
      <c r="AL522" s="45"/>
      <c r="AM522" s="45"/>
      <c r="AN522" s="45"/>
      <c r="AO522" s="45"/>
      <c r="AP522" s="45"/>
      <c r="AQ522" s="45"/>
      <c r="AR522" s="45"/>
      <c r="AS522" s="45"/>
      <c r="AT522" s="45"/>
      <c r="AU522" s="45"/>
      <c r="AV522" s="54"/>
      <c r="AW522" s="54"/>
      <c r="AX522" s="54"/>
      <c r="AY522" s="54"/>
      <c r="AZ522" s="54"/>
      <c r="BA522" s="54"/>
      <c r="BB522" s="54"/>
      <c r="BC522" s="54"/>
    </row>
    <row r="523" spans="1:55">
      <c r="A523" s="45"/>
      <c r="B523" s="54"/>
      <c r="C523" s="54"/>
      <c r="D523" s="54"/>
      <c r="E523" s="54"/>
      <c r="F523" s="54"/>
      <c r="G523" s="54"/>
      <c r="H523" s="54"/>
      <c r="I523" s="54"/>
      <c r="J523" s="54"/>
      <c r="K523" s="54"/>
      <c r="L523" s="54"/>
      <c r="M523" s="54"/>
      <c r="N523" s="54"/>
      <c r="O523" s="54"/>
      <c r="P523" s="54"/>
      <c r="Q523" s="54"/>
      <c r="R523" s="54"/>
      <c r="S523" s="54"/>
      <c r="T523" s="54"/>
      <c r="U523" s="54"/>
      <c r="V523" s="54"/>
      <c r="W523" s="54"/>
      <c r="X523" s="54"/>
      <c r="Y523" s="54"/>
      <c r="Z523" s="54"/>
      <c r="AA523" s="54"/>
      <c r="AB523" s="45"/>
      <c r="AC523" s="45"/>
      <c r="AD523" s="45"/>
      <c r="AE523" s="45"/>
      <c r="AF523" s="45"/>
      <c r="AG523" s="45"/>
      <c r="AH523" s="45"/>
      <c r="AI523" s="45"/>
      <c r="AJ523" s="54"/>
      <c r="AK523" s="54"/>
      <c r="AL523" s="54"/>
      <c r="AM523" s="54"/>
      <c r="AN523" s="54"/>
      <c r="AO523" s="54"/>
      <c r="AP523" s="54"/>
      <c r="AQ523" s="54"/>
      <c r="AR523" s="54"/>
      <c r="AS523" s="54"/>
      <c r="AT523" s="54"/>
      <c r="AU523" s="54"/>
      <c r="AV523" s="54"/>
      <c r="AW523" s="54"/>
      <c r="AX523" s="54"/>
      <c r="AY523" s="54"/>
      <c r="AZ523" s="54"/>
      <c r="BA523" s="54"/>
      <c r="BB523" s="54"/>
      <c r="BC523" s="54"/>
    </row>
    <row r="524" spans="1:55">
      <c r="A524" s="45"/>
      <c r="B524" s="54"/>
      <c r="C524" s="54"/>
      <c r="D524" s="54"/>
      <c r="E524" s="54"/>
      <c r="F524" s="54"/>
      <c r="G524" s="54"/>
      <c r="H524" s="54"/>
      <c r="I524" s="54"/>
      <c r="J524" s="54"/>
      <c r="K524" s="54"/>
      <c r="L524" s="54"/>
      <c r="M524" s="54"/>
      <c r="N524" s="54"/>
      <c r="O524" s="54"/>
      <c r="P524" s="54"/>
      <c r="Q524" s="54"/>
      <c r="R524" s="54"/>
      <c r="S524" s="54"/>
      <c r="T524" s="54"/>
      <c r="U524" s="54"/>
      <c r="V524" s="54"/>
      <c r="W524" s="54"/>
      <c r="X524" s="54"/>
      <c r="Y524" s="54"/>
      <c r="Z524" s="54"/>
      <c r="AA524" s="54"/>
      <c r="AB524" s="45"/>
      <c r="AC524" s="45"/>
      <c r="AD524" s="45"/>
      <c r="AE524" s="45"/>
      <c r="AF524" s="45"/>
      <c r="AG524" s="45"/>
      <c r="AH524" s="45"/>
      <c r="AI524" s="45"/>
      <c r="AJ524" s="54"/>
      <c r="AK524" s="54"/>
      <c r="AL524" s="54"/>
      <c r="AM524" s="54"/>
      <c r="AN524" s="54"/>
      <c r="AO524" s="54"/>
      <c r="AP524" s="54"/>
      <c r="AQ524" s="54"/>
      <c r="AR524" s="54"/>
      <c r="AS524" s="54"/>
      <c r="AT524" s="54"/>
      <c r="AU524" s="54"/>
      <c r="AV524" s="54"/>
      <c r="AW524" s="54"/>
      <c r="AX524" s="54"/>
      <c r="AY524" s="54"/>
      <c r="AZ524" s="54"/>
      <c r="BA524" s="54"/>
      <c r="BB524" s="54"/>
      <c r="BC524" s="54"/>
    </row>
    <row r="525" spans="1:55">
      <c r="A525" s="45"/>
      <c r="B525" s="54"/>
      <c r="C525" s="54"/>
      <c r="D525" s="54"/>
      <c r="E525" s="54"/>
      <c r="F525" s="54"/>
      <c r="G525" s="54"/>
      <c r="H525" s="54"/>
      <c r="I525" s="54"/>
      <c r="J525" s="54"/>
      <c r="K525" s="54"/>
      <c r="L525" s="54"/>
      <c r="M525" s="54"/>
      <c r="N525" s="54"/>
      <c r="O525" s="54"/>
      <c r="P525" s="54"/>
      <c r="Q525" s="54"/>
      <c r="R525" s="54"/>
      <c r="S525" s="54"/>
      <c r="T525" s="54"/>
      <c r="U525" s="54"/>
      <c r="V525" s="54"/>
      <c r="W525" s="54"/>
      <c r="X525" s="54"/>
      <c r="Y525" s="54"/>
      <c r="Z525" s="54"/>
      <c r="AA525" s="54"/>
      <c r="AB525" s="45"/>
      <c r="AC525" s="45"/>
      <c r="AD525" s="45"/>
      <c r="AE525" s="45"/>
      <c r="AF525" s="45"/>
      <c r="AG525" s="45"/>
      <c r="AH525" s="45"/>
      <c r="AI525" s="45"/>
      <c r="AJ525" s="54"/>
      <c r="AK525" s="54"/>
      <c r="AL525" s="54"/>
      <c r="AM525" s="54"/>
      <c r="AN525" s="54"/>
      <c r="AO525" s="54"/>
      <c r="AP525" s="54"/>
      <c r="AQ525" s="54"/>
      <c r="AR525" s="54"/>
      <c r="AS525" s="54"/>
      <c r="AT525" s="54"/>
      <c r="AU525" s="54"/>
      <c r="AV525" s="54"/>
      <c r="AW525" s="54"/>
      <c r="AX525" s="54"/>
      <c r="AY525" s="54"/>
      <c r="AZ525" s="54"/>
      <c r="BA525" s="54"/>
      <c r="BB525" s="54"/>
      <c r="BC525" s="54"/>
    </row>
    <row r="526" spans="1:55">
      <c r="A526" s="45"/>
      <c r="B526" s="54"/>
      <c r="C526" s="54"/>
      <c r="D526" s="54"/>
      <c r="E526" s="54"/>
      <c r="F526" s="54"/>
      <c r="G526" s="54"/>
      <c r="H526" s="54"/>
      <c r="I526" s="54"/>
      <c r="J526" s="54"/>
      <c r="K526" s="54"/>
      <c r="L526" s="54"/>
      <c r="M526" s="54"/>
      <c r="N526" s="54"/>
      <c r="O526" s="54"/>
      <c r="P526" s="54"/>
      <c r="Q526" s="54"/>
      <c r="R526" s="54"/>
      <c r="S526" s="54"/>
      <c r="T526" s="54"/>
      <c r="U526" s="54"/>
      <c r="V526" s="54"/>
      <c r="W526" s="54"/>
      <c r="X526" s="54"/>
      <c r="Y526" s="54"/>
      <c r="Z526" s="54"/>
      <c r="AA526" s="54"/>
      <c r="AB526" s="45"/>
      <c r="AC526" s="45"/>
      <c r="AD526" s="45"/>
      <c r="AE526" s="45"/>
      <c r="AF526" s="45"/>
      <c r="AG526" s="45"/>
      <c r="AH526" s="45"/>
      <c r="AI526" s="45"/>
      <c r="AJ526" s="54"/>
      <c r="AK526" s="54"/>
      <c r="AL526" s="54"/>
      <c r="AM526" s="54"/>
      <c r="AN526" s="54"/>
      <c r="AO526" s="54"/>
      <c r="AP526" s="54"/>
      <c r="AQ526" s="54"/>
      <c r="AR526" s="54"/>
      <c r="AS526" s="54"/>
      <c r="AT526" s="54"/>
      <c r="AU526" s="54"/>
      <c r="AV526" s="54"/>
      <c r="AW526" s="54"/>
      <c r="AX526" s="54"/>
      <c r="AY526" s="54"/>
      <c r="AZ526" s="54"/>
      <c r="BA526" s="54"/>
      <c r="BB526" s="54"/>
      <c r="BC526" s="54"/>
    </row>
    <row r="527" spans="1:55" ht="13.15">
      <c r="A527" s="45"/>
      <c r="B527" s="2410"/>
      <c r="C527" s="2669" t="s">
        <v>1403</v>
      </c>
      <c r="D527" s="2412"/>
      <c r="E527" s="2412"/>
      <c r="F527" s="2412"/>
      <c r="G527" s="2412"/>
      <c r="H527" s="2412"/>
      <c r="I527" s="2412"/>
      <c r="J527" s="2412"/>
      <c r="K527" s="2412"/>
      <c r="L527" s="2412"/>
      <c r="M527" s="2412"/>
      <c r="N527" s="2563"/>
      <c r="O527" s="54"/>
      <c r="P527" s="54"/>
      <c r="Q527" s="54"/>
      <c r="R527" s="54"/>
      <c r="S527" s="2410"/>
      <c r="T527" s="2669" t="s">
        <v>1403</v>
      </c>
      <c r="U527" s="2412"/>
      <c r="V527" s="2412"/>
      <c r="W527" s="2412"/>
      <c r="X527" s="2412"/>
      <c r="Y527" s="2412"/>
      <c r="Z527" s="2412"/>
      <c r="AA527" s="2412"/>
      <c r="AB527" s="2412"/>
      <c r="AC527" s="2412"/>
      <c r="AD527" s="2412"/>
      <c r="AE527" s="2563"/>
      <c r="AF527" s="45"/>
      <c r="AG527" s="45"/>
      <c r="AH527" s="45"/>
      <c r="AI527" s="45"/>
      <c r="AJ527" s="188"/>
      <c r="AK527" s="336" t="s">
        <v>1403</v>
      </c>
      <c r="AL527" s="100"/>
      <c r="AM527" s="100"/>
      <c r="AN527" s="100"/>
      <c r="AO527" s="100"/>
      <c r="AP527" s="100"/>
      <c r="AQ527" s="100"/>
      <c r="AR527" s="100"/>
      <c r="AS527" s="100"/>
      <c r="AT527" s="100"/>
      <c r="AU527" s="100"/>
      <c r="AV527" s="238"/>
      <c r="AW527" s="54"/>
      <c r="AX527" s="54"/>
      <c r="AY527" s="54"/>
      <c r="AZ527" s="54"/>
      <c r="BA527" s="54"/>
      <c r="BB527" s="54"/>
      <c r="BC527" s="54"/>
    </row>
    <row r="528" spans="1:55" ht="13.15">
      <c r="A528" s="45"/>
      <c r="B528" s="1720"/>
      <c r="C528" s="3935" t="s">
        <v>512</v>
      </c>
      <c r="D528" s="3935"/>
      <c r="E528" s="3935"/>
      <c r="F528" s="3935"/>
      <c r="G528" s="3935"/>
      <c r="H528" s="3935"/>
      <c r="I528" s="3935"/>
      <c r="J528" s="3935"/>
      <c r="K528" s="3935"/>
      <c r="L528" s="3935"/>
      <c r="M528" s="3935"/>
      <c r="N528" s="2858"/>
      <c r="O528" s="54"/>
      <c r="P528" s="54"/>
      <c r="Q528" s="54"/>
      <c r="R528" s="54"/>
      <c r="S528" s="1720"/>
      <c r="T528" s="3935" t="s">
        <v>512</v>
      </c>
      <c r="U528" s="3935"/>
      <c r="V528" s="3935"/>
      <c r="W528" s="3935"/>
      <c r="X528" s="3935"/>
      <c r="Y528" s="3935"/>
      <c r="Z528" s="3935"/>
      <c r="AA528" s="3935"/>
      <c r="AB528" s="3935"/>
      <c r="AC528" s="3935"/>
      <c r="AD528" s="3935"/>
      <c r="AE528" s="2858"/>
      <c r="AF528" s="45"/>
      <c r="AG528" s="45"/>
      <c r="AH528" s="45"/>
      <c r="AI528" s="45"/>
      <c r="AJ528" s="190"/>
      <c r="AK528" s="3936" t="s">
        <v>512</v>
      </c>
      <c r="AL528" s="3936"/>
      <c r="AM528" s="3936"/>
      <c r="AN528" s="3936"/>
      <c r="AO528" s="3936"/>
      <c r="AP528" s="3936"/>
      <c r="AQ528" s="3936"/>
      <c r="AR528" s="3936"/>
      <c r="AS528" s="3936"/>
      <c r="AT528" s="3936"/>
      <c r="AU528" s="3936"/>
      <c r="AV528" s="490"/>
      <c r="AW528" s="54"/>
      <c r="AX528" s="54"/>
      <c r="AY528" s="54"/>
      <c r="AZ528" s="54"/>
      <c r="BA528" s="54"/>
      <c r="BB528" s="54"/>
      <c r="BC528" s="54"/>
    </row>
    <row r="529" spans="1:55" ht="15">
      <c r="A529" s="45"/>
      <c r="B529" s="1720"/>
      <c r="C529" s="2418"/>
      <c r="D529" s="2420"/>
      <c r="E529" s="2420"/>
      <c r="F529" s="2420"/>
      <c r="G529" s="2420"/>
      <c r="H529" s="2420"/>
      <c r="I529" s="2420"/>
      <c r="J529" s="2420"/>
      <c r="K529" s="2420"/>
      <c r="L529" s="2420"/>
      <c r="M529" s="2420"/>
      <c r="N529" s="2520"/>
      <c r="O529" s="54"/>
      <c r="P529" s="54"/>
      <c r="Q529" s="54"/>
      <c r="R529" s="54"/>
      <c r="S529" s="1720"/>
      <c r="T529" s="2418"/>
      <c r="U529" s="2420"/>
      <c r="V529" s="2420"/>
      <c r="W529" s="2066" t="s">
        <v>1553</v>
      </c>
      <c r="X529" s="65"/>
      <c r="Y529" s="65"/>
      <c r="Z529" s="65"/>
      <c r="AA529" s="65"/>
      <c r="AB529" s="65"/>
      <c r="AC529" s="65"/>
      <c r="AD529" s="65"/>
      <c r="AE529" s="196"/>
      <c r="AF529" s="45"/>
      <c r="AG529" s="45"/>
      <c r="AH529" s="45"/>
      <c r="AI529" s="45"/>
      <c r="AJ529" s="190"/>
      <c r="AK529" s="63"/>
      <c r="AL529" s="65"/>
      <c r="AM529" s="65"/>
      <c r="AN529" s="65"/>
      <c r="AO529" s="65"/>
      <c r="AP529" s="65"/>
      <c r="AQ529" s="65"/>
      <c r="AR529" s="65"/>
      <c r="AS529" s="65"/>
      <c r="AT529" s="65"/>
      <c r="AU529" s="65"/>
      <c r="AV529" s="196"/>
      <c r="AW529" s="54"/>
      <c r="AX529" s="54"/>
      <c r="AY529" s="54"/>
      <c r="AZ529" s="54"/>
      <c r="BA529" s="54"/>
      <c r="BB529" s="54"/>
      <c r="BC529" s="54"/>
    </row>
    <row r="530" spans="1:55" ht="15">
      <c r="A530" s="45"/>
      <c r="B530" s="1720"/>
      <c r="C530" s="2418" t="str">
        <f>"Country: " &amp;UPPER(Country)</f>
        <v>Country: SWEDEN</v>
      </c>
      <c r="D530" s="2420"/>
      <c r="E530" s="2770"/>
      <c r="F530" s="2770"/>
      <c r="G530" s="2770"/>
      <c r="H530" s="2770"/>
      <c r="I530" s="2770"/>
      <c r="J530" s="2770"/>
      <c r="K530" s="2770"/>
      <c r="L530" s="2770"/>
      <c r="M530" s="2770"/>
      <c r="N530" s="1719"/>
      <c r="O530" s="54"/>
      <c r="P530" s="54"/>
      <c r="Q530" s="54"/>
      <c r="R530" s="54"/>
      <c r="S530" s="190"/>
      <c r="T530" s="63" t="str">
        <f>"Country: " &amp;UPPER(Country)</f>
        <v>Country: SWEDEN</v>
      </c>
      <c r="U530" s="65"/>
      <c r="W530" s="2066" t="str">
        <f>$T$4</f>
        <v>final storage SF18</v>
      </c>
      <c r="Y530" s="28"/>
      <c r="AE530" s="90"/>
      <c r="AF530" s="45"/>
      <c r="AG530" s="45"/>
      <c r="AH530" s="45"/>
      <c r="AI530" s="45"/>
      <c r="AJ530" s="190"/>
      <c r="AK530" s="63" t="str">
        <f>"Country: " &amp;UPPER(Country)</f>
        <v>Country: SWEDEN</v>
      </c>
      <c r="AL530" s="65"/>
      <c r="AP530" s="28"/>
      <c r="AV530" s="90"/>
      <c r="AW530" s="54"/>
      <c r="AX530" s="54"/>
      <c r="AY530" s="54"/>
      <c r="AZ530" s="54"/>
      <c r="BA530" s="54"/>
      <c r="BB530" s="54"/>
      <c r="BC530" s="54"/>
    </row>
    <row r="531" spans="1:55" ht="13.15" thickBot="1">
      <c r="A531" s="45"/>
      <c r="B531" s="1720"/>
      <c r="C531" s="2418" t="str">
        <f>"Currency unit: " &amp; Currency</f>
        <v>Currency unit: bn SEK</v>
      </c>
      <c r="D531" s="2770"/>
      <c r="E531" s="2420"/>
      <c r="F531" s="2420"/>
      <c r="G531" s="2420"/>
      <c r="H531" s="2420"/>
      <c r="I531" s="2420"/>
      <c r="J531" s="2420"/>
      <c r="K531" s="2420"/>
      <c r="L531" s="3959">
        <f ca="1">NOW()</f>
        <v>43493.476067824071</v>
      </c>
      <c r="M531" s="3959"/>
      <c r="N531" s="2670"/>
      <c r="O531" s="54"/>
      <c r="P531" s="54"/>
      <c r="Q531" s="54"/>
      <c r="R531" s="54"/>
      <c r="S531" s="190"/>
      <c r="T531" s="63" t="str">
        <f>"Currency unit: " &amp; Currency</f>
        <v>Currency unit: bn SEK</v>
      </c>
      <c r="V531" s="65"/>
      <c r="W531" s="65"/>
      <c r="X531" s="65"/>
      <c r="Y531" s="65"/>
      <c r="Z531" s="65"/>
      <c r="AA531" s="65"/>
      <c r="AB531" s="65"/>
      <c r="AC531" s="3960">
        <f ca="1">NOW()</f>
        <v>43493.476067824071</v>
      </c>
      <c r="AD531" s="3960"/>
      <c r="AE531" s="337"/>
      <c r="AF531" s="45"/>
      <c r="AG531" s="45"/>
      <c r="AH531" s="45"/>
      <c r="AI531" s="45"/>
      <c r="AJ531" s="190"/>
      <c r="AK531" s="63" t="str">
        <f>"Currency unit: " &amp; Currency</f>
        <v>Currency unit: bn SEK</v>
      </c>
      <c r="AM531" s="65"/>
      <c r="AN531" s="65"/>
      <c r="AO531" s="65"/>
      <c r="AP531" s="65"/>
      <c r="AQ531" s="65"/>
      <c r="AR531" s="65"/>
      <c r="AS531" s="65"/>
      <c r="AT531" s="3960">
        <f ca="1">NOW()</f>
        <v>43493.476067824071</v>
      </c>
      <c r="AU531" s="3960"/>
      <c r="AV531" s="337"/>
      <c r="AW531" s="54"/>
      <c r="AX531" s="54"/>
      <c r="AY531" s="54"/>
      <c r="AZ531" s="54"/>
      <c r="BA531" s="54"/>
      <c r="BB531" s="54"/>
      <c r="BC531" s="54"/>
    </row>
    <row r="532" spans="1:55" ht="13.15">
      <c r="A532" s="45"/>
      <c r="B532" s="1720"/>
      <c r="C532" s="2426"/>
      <c r="D532" s="2427"/>
      <c r="E532" s="3897">
        <f>E16</f>
        <v>2017</v>
      </c>
      <c r="F532" s="3901"/>
      <c r="G532" s="3898"/>
      <c r="H532" s="3976">
        <f>E532+1</f>
        <v>2018</v>
      </c>
      <c r="I532" s="3976"/>
      <c r="J532" s="3969">
        <f>H532+1</f>
        <v>2019</v>
      </c>
      <c r="K532" s="3970"/>
      <c r="L532" s="3976">
        <f>J532+1</f>
        <v>2020</v>
      </c>
      <c r="M532" s="3971"/>
      <c r="N532" s="2673"/>
      <c r="O532" s="54"/>
      <c r="P532" s="54"/>
      <c r="Q532" s="54"/>
      <c r="R532" s="54"/>
      <c r="S532" s="190"/>
      <c r="T532" s="191"/>
      <c r="U532" s="73"/>
      <c r="V532" s="3899">
        <f>Last_forecast_year - 3</f>
        <v>2017</v>
      </c>
      <c r="W532" s="3903"/>
      <c r="X532" s="3900"/>
      <c r="Y532" s="4040">
        <f>V532+1</f>
        <v>2018</v>
      </c>
      <c r="Z532" s="4040"/>
      <c r="AA532" s="3961">
        <f>Y532+1</f>
        <v>2019</v>
      </c>
      <c r="AB532" s="3962"/>
      <c r="AC532" s="4040">
        <f>AA532+1</f>
        <v>2020</v>
      </c>
      <c r="AD532" s="3963"/>
      <c r="AE532" s="339"/>
      <c r="AF532" s="45"/>
      <c r="AG532" s="45"/>
      <c r="AH532" s="45"/>
      <c r="AI532" s="45"/>
      <c r="AJ532" s="190"/>
      <c r="AK532" s="191"/>
      <c r="AL532" s="73"/>
      <c r="AM532" s="3899">
        <f>Last_forecast_year - 3</f>
        <v>2017</v>
      </c>
      <c r="AN532" s="3903"/>
      <c r="AO532" s="3900"/>
      <c r="AP532" s="4040">
        <f>AM532+1</f>
        <v>2018</v>
      </c>
      <c r="AQ532" s="4040"/>
      <c r="AR532" s="3961">
        <f>AP532+1</f>
        <v>2019</v>
      </c>
      <c r="AS532" s="3962"/>
      <c r="AT532" s="4040">
        <f>AR532+1</f>
        <v>2020</v>
      </c>
      <c r="AU532" s="3963"/>
      <c r="AV532" s="339"/>
      <c r="AW532" s="54"/>
      <c r="AX532" s="54"/>
      <c r="AY532" s="54"/>
      <c r="AZ532" s="54"/>
      <c r="BA532" s="54"/>
      <c r="BB532" s="54"/>
      <c r="BC532" s="54"/>
    </row>
    <row r="533" spans="1:55">
      <c r="A533" s="45"/>
      <c r="B533" s="1720"/>
      <c r="C533" s="1721"/>
      <c r="D533" s="2420"/>
      <c r="E533" s="2892" t="s">
        <v>513</v>
      </c>
      <c r="F533" s="2844" t="s">
        <v>577</v>
      </c>
      <c r="G533" s="2729" t="s">
        <v>1220</v>
      </c>
      <c r="H533" s="2844" t="s">
        <v>577</v>
      </c>
      <c r="I533" s="2893" t="s">
        <v>1220</v>
      </c>
      <c r="J533" s="2894" t="s">
        <v>577</v>
      </c>
      <c r="K533" s="2729" t="s">
        <v>1220</v>
      </c>
      <c r="L533" s="2844" t="s">
        <v>577</v>
      </c>
      <c r="M533" s="2895" t="s">
        <v>1220</v>
      </c>
      <c r="N533" s="2896"/>
      <c r="O533" s="54"/>
      <c r="P533" s="54"/>
      <c r="Q533" s="54"/>
      <c r="R533" s="54"/>
      <c r="S533" s="190"/>
      <c r="T533" s="40"/>
      <c r="U533" s="65"/>
      <c r="V533" s="1820" t="s">
        <v>513</v>
      </c>
      <c r="W533" s="1806" t="s">
        <v>577</v>
      </c>
      <c r="X533" s="1808" t="s">
        <v>1220</v>
      </c>
      <c r="Y533" s="1806" t="s">
        <v>577</v>
      </c>
      <c r="Z533" s="1805" t="s">
        <v>1220</v>
      </c>
      <c r="AA533" s="1807" t="s">
        <v>577</v>
      </c>
      <c r="AB533" s="1808" t="s">
        <v>1220</v>
      </c>
      <c r="AC533" s="1806" t="s">
        <v>577</v>
      </c>
      <c r="AD533" s="2089" t="s">
        <v>1220</v>
      </c>
      <c r="AE533" s="2090"/>
      <c r="AF533" s="45"/>
      <c r="AG533" s="45"/>
      <c r="AH533" s="45"/>
      <c r="AI533" s="45"/>
      <c r="AJ533" s="190"/>
      <c r="AK533" s="40"/>
      <c r="AL533" s="65"/>
      <c r="AM533" s="1820" t="s">
        <v>513</v>
      </c>
      <c r="AN533" s="1806" t="s">
        <v>577</v>
      </c>
      <c r="AO533" s="1808" t="s">
        <v>1220</v>
      </c>
      <c r="AP533" s="1806" t="s">
        <v>577</v>
      </c>
      <c r="AQ533" s="1805" t="s">
        <v>1220</v>
      </c>
      <c r="AR533" s="1807" t="s">
        <v>577</v>
      </c>
      <c r="AS533" s="1808" t="s">
        <v>1220</v>
      </c>
      <c r="AT533" s="1806" t="s">
        <v>577</v>
      </c>
      <c r="AU533" s="1821" t="s">
        <v>1220</v>
      </c>
      <c r="AV533" s="518"/>
      <c r="AW533" s="54"/>
      <c r="AX533" s="54"/>
      <c r="AY533" s="54"/>
      <c r="AZ533" s="54"/>
      <c r="BA533" s="54"/>
      <c r="BB533" s="54"/>
      <c r="BC533" s="54"/>
    </row>
    <row r="534" spans="1:55" ht="13.15">
      <c r="A534" s="45"/>
      <c r="B534" s="1720"/>
      <c r="C534" s="2897" t="s">
        <v>514</v>
      </c>
      <c r="D534" s="2898"/>
      <c r="E534" s="2713"/>
      <c r="F534" s="2898"/>
      <c r="G534" s="2899"/>
      <c r="H534" s="2898"/>
      <c r="I534" s="2898"/>
      <c r="J534" s="2900"/>
      <c r="K534" s="2901"/>
      <c r="L534" s="2898"/>
      <c r="M534" s="2902"/>
      <c r="N534" s="2678"/>
      <c r="O534" s="54"/>
      <c r="P534" s="54"/>
      <c r="Q534" s="54"/>
      <c r="R534" s="54"/>
      <c r="S534" s="190"/>
      <c r="T534" s="1836" t="s">
        <v>514</v>
      </c>
      <c r="U534" s="1811"/>
      <c r="V534" s="379"/>
      <c r="W534" s="1811"/>
      <c r="X534" s="1813"/>
      <c r="Y534" s="1811"/>
      <c r="Z534" s="1814"/>
      <c r="AA534" s="1811"/>
      <c r="AB534" s="1814"/>
      <c r="AC534" s="1811"/>
      <c r="AD534" s="1822"/>
      <c r="AE534" s="343"/>
      <c r="AF534" s="45"/>
      <c r="AG534" s="45"/>
      <c r="AH534" s="45"/>
      <c r="AI534" s="45"/>
      <c r="AJ534" s="190"/>
      <c r="AK534" s="1836" t="s">
        <v>514</v>
      </c>
      <c r="AL534" s="1811"/>
      <c r="AM534" s="379"/>
      <c r="AN534" s="1811"/>
      <c r="AO534" s="1813"/>
      <c r="AP534" s="1811"/>
      <c r="AQ534" s="1811"/>
      <c r="AR534" s="1812"/>
      <c r="AS534" s="1814"/>
      <c r="AT534" s="1811"/>
      <c r="AU534" s="1822"/>
      <c r="AV534" s="343"/>
      <c r="AW534" s="54"/>
      <c r="AX534" s="54"/>
      <c r="AY534" s="54"/>
      <c r="AZ534" s="54"/>
      <c r="BA534" s="54"/>
      <c r="BB534" s="54"/>
      <c r="BC534" s="54"/>
    </row>
    <row r="535" spans="1:55">
      <c r="A535" s="45"/>
      <c r="B535" s="1720"/>
      <c r="C535" s="2654" t="s">
        <v>1805</v>
      </c>
      <c r="D535" s="2647"/>
      <c r="E535" s="2903">
        <f ca="1">Transfer!D247/SUM(Transfer!D247,Transfer!D249)</f>
        <v>0.5915044929510328</v>
      </c>
      <c r="F535" s="2446">
        <f ca="1">Transfer!D247</f>
        <v>772.37506491564704</v>
      </c>
      <c r="G535" s="2463">
        <f ca="1">100*((Transfer!D247/Transfer!C247)-1)</f>
        <v>9.5638985066241808</v>
      </c>
      <c r="H535" s="2446">
        <f ca="1">Transfer!E247</f>
        <v>845.0894603337656</v>
      </c>
      <c r="I535" s="2446">
        <f ca="1">100*((Transfer!E247/Transfer!D247)-1)</f>
        <v>9.4143892936341622</v>
      </c>
      <c r="J535" s="2462">
        <f ca="1">Transfer!F247</f>
        <v>899.56125659960571</v>
      </c>
      <c r="K535" s="2463">
        <f ca="1">100*((Transfer!F247/Transfer!E247)-1)</f>
        <v>6.4456840160243667</v>
      </c>
      <c r="L535" s="2446">
        <f ca="1">Transfer!G247</f>
        <v>933.74311046855007</v>
      </c>
      <c r="M535" s="2795">
        <f ca="1">100*((Transfer!G247/Transfer!F247)-1)</f>
        <v>3.7998361554780313</v>
      </c>
      <c r="N535" s="2520"/>
      <c r="O535" s="54"/>
      <c r="P535" s="54"/>
      <c r="Q535" s="54"/>
      <c r="R535" s="54"/>
      <c r="S535" s="190"/>
      <c r="T535" s="349" t="s">
        <v>1805</v>
      </c>
      <c r="U535" s="70"/>
      <c r="V535" s="1832">
        <f t="shared" ref="V535:AD537" ca="1" si="35">ROUND(E535,1)-ROUND(AM535,1)</f>
        <v>0</v>
      </c>
      <c r="W535" s="397">
        <f t="shared" ca="1" si="35"/>
        <v>66.399999999999977</v>
      </c>
      <c r="X535" s="497">
        <f t="shared" ca="1" si="35"/>
        <v>7.3999999999999995</v>
      </c>
      <c r="Y535" s="397">
        <f t="shared" ca="1" si="35"/>
        <v>72.600000000000023</v>
      </c>
      <c r="Z535" s="497">
        <f t="shared" ca="1" si="35"/>
        <v>0</v>
      </c>
      <c r="AA535" s="397">
        <f t="shared" ca="1" si="35"/>
        <v>48</v>
      </c>
      <c r="AB535" s="497">
        <f t="shared" ca="1" si="35"/>
        <v>-3.7999999999999989</v>
      </c>
      <c r="AC535" s="397">
        <f t="shared" ca="1" si="35"/>
        <v>20.5</v>
      </c>
      <c r="AD535" s="498">
        <f t="shared" ca="1" si="35"/>
        <v>-3.4000000000000004</v>
      </c>
      <c r="AE535" s="196"/>
      <c r="AF535" s="45"/>
      <c r="AG535" s="45"/>
      <c r="AH535" s="45"/>
      <c r="AI535" s="45"/>
      <c r="AJ535" s="190"/>
      <c r="AK535" s="349" t="s">
        <v>1805</v>
      </c>
      <c r="AL535" s="70"/>
      <c r="AM535" s="1832">
        <f>Transfer!AD247/SUM(Transfer!AD247,Transfer!AD249)</f>
        <v>0.59164752879409976</v>
      </c>
      <c r="AN535" s="397">
        <f>Transfer!AD247</f>
        <v>705.9699946507792</v>
      </c>
      <c r="AO535" s="497">
        <f>100*((Transfer!AD247/Transfer!AC247)-1)</f>
        <v>2.2357536739497252</v>
      </c>
      <c r="AP535" s="397">
        <f>Transfer!AE247</f>
        <v>772.46756180788236</v>
      </c>
      <c r="AQ535" s="397">
        <f>100*((Transfer!AE247/Transfer!AD247)-1)</f>
        <v>9.4193191865041612</v>
      </c>
      <c r="AR535" s="396">
        <f>Transfer!AF247</f>
        <v>851.62123295482195</v>
      </c>
      <c r="AS535" s="497">
        <f>100*((Transfer!AF247/Transfer!AE247)-1)</f>
        <v>10.246860199758867</v>
      </c>
      <c r="AT535" s="397">
        <f>Transfer!AG247</f>
        <v>913.22340243442011</v>
      </c>
      <c r="AU535" s="498">
        <f>100*((Transfer!AG247/Transfer!AF247)-1)</f>
        <v>7.2335173309219458</v>
      </c>
      <c r="AV535" s="196"/>
      <c r="AW535" s="54"/>
      <c r="AX535" s="54"/>
      <c r="AY535" s="54"/>
      <c r="AZ535" s="54"/>
      <c r="BA535" s="519" t="s">
        <v>1535</v>
      </c>
      <c r="BB535" s="334"/>
      <c r="BC535" s="54"/>
    </row>
    <row r="536" spans="1:55">
      <c r="A536" s="45"/>
      <c r="B536" s="1720"/>
      <c r="C536" s="2904" t="s">
        <v>1806</v>
      </c>
      <c r="D536" s="2905"/>
      <c r="E536" s="2906">
        <f ca="1">Transfer!D249/SUM(Transfer!D247,Transfer!D249)</f>
        <v>0.4084955070489672</v>
      </c>
      <c r="F536" s="2451">
        <f ca="1">Transfer!D249</f>
        <v>533.40548978858828</v>
      </c>
      <c r="G536" s="2907">
        <f ca="1">100*((Transfer!D249/Transfer!C249)-1)</f>
        <v>9.4852600937218376</v>
      </c>
      <c r="H536" s="2451">
        <f ca="1">Transfer!E249</f>
        <v>608.08225835899066</v>
      </c>
      <c r="I536" s="2451">
        <f ca="1">100*((Transfer!E249/Transfer!D249)-1)</f>
        <v>14.000000000000012</v>
      </c>
      <c r="J536" s="2908">
        <f ca="1">Transfer!F249</f>
        <v>638.48637127694019</v>
      </c>
      <c r="K536" s="2907">
        <f ca="1">100*((Transfer!F249/Transfer!E249)-1)</f>
        <v>5.0000000000000044</v>
      </c>
      <c r="L536" s="2451">
        <f ca="1">Transfer!G249</f>
        <v>669.13371709823332</v>
      </c>
      <c r="M536" s="2909">
        <f ca="1">100*((Transfer!G249/Transfer!F249)-1)</f>
        <v>4.8000000000000043</v>
      </c>
      <c r="N536" s="2520"/>
      <c r="O536" s="54"/>
      <c r="P536" s="54"/>
      <c r="Q536" s="54"/>
      <c r="R536" s="54"/>
      <c r="S536" s="190"/>
      <c r="T536" s="1823" t="s">
        <v>1806</v>
      </c>
      <c r="U536" s="1815"/>
      <c r="V536" s="1833">
        <f t="shared" ca="1" si="35"/>
        <v>0</v>
      </c>
      <c r="W536" s="1818">
        <f t="shared" ca="1" si="35"/>
        <v>46.099999999999966</v>
      </c>
      <c r="X536" s="1817">
        <f t="shared" ca="1" si="35"/>
        <v>10.1</v>
      </c>
      <c r="Y536" s="1818">
        <f t="shared" ca="1" si="35"/>
        <v>74.600000000000023</v>
      </c>
      <c r="Z536" s="1817">
        <f t="shared" ca="1" si="35"/>
        <v>4.5</v>
      </c>
      <c r="AA536" s="1818">
        <f t="shared" ca="1" si="35"/>
        <v>25</v>
      </c>
      <c r="AB536" s="1817">
        <f t="shared" ca="1" si="35"/>
        <v>-10</v>
      </c>
      <c r="AC536" s="1818">
        <f t="shared" ca="1" si="35"/>
        <v>24.899999999999977</v>
      </c>
      <c r="AD536" s="1824">
        <f t="shared" ca="1" si="35"/>
        <v>-0.20000000000000018</v>
      </c>
      <c r="AE536" s="196"/>
      <c r="AF536" s="45"/>
      <c r="AG536" s="45"/>
      <c r="AH536" s="45"/>
      <c r="AI536" s="45"/>
      <c r="AJ536" s="190"/>
      <c r="AK536" s="1823" t="s">
        <v>1806</v>
      </c>
      <c r="AL536" s="1815"/>
      <c r="AM536" s="1833">
        <f>Transfer!AD249/SUM(Transfer!AD247,Transfer!AD249)</f>
        <v>0.40835247120590024</v>
      </c>
      <c r="AN536" s="1818">
        <f>Transfer!AD249</f>
        <v>487.25732447568157</v>
      </c>
      <c r="AO536" s="1817">
        <f>100*((Transfer!AD249/Transfer!AC249)-1)</f>
        <v>-0.64483622278220798</v>
      </c>
      <c r="AP536" s="1818">
        <f>Transfer!AE249</f>
        <v>533.51918388529384</v>
      </c>
      <c r="AQ536" s="1818">
        <f>100*((Transfer!AE249/Transfer!AD249)-1)</f>
        <v>9.4943384297799582</v>
      </c>
      <c r="AR536" s="1816">
        <f>Transfer!AF249</f>
        <v>613.54706146808792</v>
      </c>
      <c r="AS536" s="1817">
        <f>100*((Transfer!AF249/Transfer!AE249)-1)</f>
        <v>14.999999999999991</v>
      </c>
      <c r="AT536" s="1818">
        <f>Transfer!AG249</f>
        <v>644.22441454149237</v>
      </c>
      <c r="AU536" s="1824">
        <f>100*((Transfer!AG249/Transfer!AF249)-1)</f>
        <v>5.0000000000000044</v>
      </c>
      <c r="AV536" s="196"/>
      <c r="AW536" s="54"/>
      <c r="AX536" s="54"/>
      <c r="AY536" s="54"/>
      <c r="AZ536" s="54"/>
      <c r="BA536" s="1732" t="s">
        <v>1459</v>
      </c>
      <c r="BB536" s="334"/>
      <c r="BC536" s="54"/>
    </row>
    <row r="537" spans="1:55" ht="13.15">
      <c r="A537" s="45"/>
      <c r="B537" s="1720"/>
      <c r="C537" s="2623" t="s">
        <v>1785</v>
      </c>
      <c r="D537" s="2910"/>
      <c r="E537" s="2903">
        <f ca="1">SUM(Transfer!D249,Transfer!D251)/SUM(Transfer!D249,Transfer!D251)</f>
        <v>1</v>
      </c>
      <c r="F537" s="2733">
        <f ca="1">SUM(Transfer!D247,Transfer!D249)</f>
        <v>1305.7805547042353</v>
      </c>
      <c r="G537" s="2911">
        <f ca="1">100*((SUM(Transfer!D247,Transfer!D249)/SUM(Transfer!C247,Transfer!C249))-1)</f>
        <v>9.5317614245849605</v>
      </c>
      <c r="H537" s="2733">
        <f ca="1">SUM(Transfer!E247,Transfer!E249)</f>
        <v>1453.1717186927563</v>
      </c>
      <c r="I537" s="2733">
        <f ca="1">100*((SUM(Transfer!E247,Transfer!E249)/SUM(Transfer!D247,Transfer!D249))-1)</f>
        <v>11.287590664260239</v>
      </c>
      <c r="J537" s="2732">
        <f ca="1">SUM(Transfer!F247,Transfer!F249)</f>
        <v>1538.0476278765459</v>
      </c>
      <c r="K537" s="2911">
        <f ca="1">100*((SUM(Transfer!F247,Transfer!F249)/SUM(Transfer!E247,Transfer!E249))-1)</f>
        <v>5.8407350000000191</v>
      </c>
      <c r="L537" s="2733">
        <f ca="1">SUM(Transfer!G247,Transfer!G249)</f>
        <v>1602.8768275667835</v>
      </c>
      <c r="M537" s="2912">
        <f ca="1">100*((SUM(Transfer!G247,Transfer!G249)/SUM(Transfer!F247,Transfer!F249))-1)</f>
        <v>4.2150320000000185</v>
      </c>
      <c r="N537" s="2528"/>
      <c r="O537" s="54"/>
      <c r="P537" s="54"/>
      <c r="Q537" s="54"/>
      <c r="R537" s="54"/>
      <c r="S537" s="190"/>
      <c r="T537" s="316" t="s">
        <v>1785</v>
      </c>
      <c r="U537" s="1809"/>
      <c r="V537" s="2091">
        <f t="shared" ca="1" si="35"/>
        <v>0</v>
      </c>
      <c r="W537" s="401">
        <f t="shared" ca="1" si="35"/>
        <v>112.59999999999991</v>
      </c>
      <c r="X537" s="1810">
        <f t="shared" ca="1" si="35"/>
        <v>8.5</v>
      </c>
      <c r="Y537" s="401">
        <f t="shared" ca="1" si="35"/>
        <v>147.20000000000005</v>
      </c>
      <c r="Z537" s="1810">
        <f t="shared" ca="1" si="35"/>
        <v>1.9000000000000004</v>
      </c>
      <c r="AA537" s="401">
        <f t="shared" ca="1" si="35"/>
        <v>72.799999999999955</v>
      </c>
      <c r="AB537" s="1810">
        <f t="shared" ca="1" si="35"/>
        <v>-6.3999999999999995</v>
      </c>
      <c r="AC537" s="401">
        <f t="shared" ca="1" si="35"/>
        <v>45.5</v>
      </c>
      <c r="AD537" s="1825">
        <f t="shared" ca="1" si="35"/>
        <v>-2.0999999999999996</v>
      </c>
      <c r="AE537" s="203"/>
      <c r="AF537" s="45"/>
      <c r="AG537" s="45"/>
      <c r="AH537" s="45"/>
      <c r="AI537" s="45"/>
      <c r="AJ537" s="190"/>
      <c r="AK537" s="316" t="s">
        <v>1785</v>
      </c>
      <c r="AL537" s="1809"/>
      <c r="AM537" s="1832">
        <f>SUM(Transfer!AD249,Transfer!AD251)/SUM(Transfer!AD249,Transfer!AD251)</f>
        <v>1</v>
      </c>
      <c r="AN537" s="401">
        <f>SUM(Transfer!AD247,Transfer!AD249)</f>
        <v>1193.2273191264608</v>
      </c>
      <c r="AO537" s="1810">
        <f>100*((SUM(Transfer!AD247,Transfer!AD249)/SUM(Transfer!AC247,Transfer!AC249))-1)</f>
        <v>1.0395161115065887</v>
      </c>
      <c r="AP537" s="401">
        <f>SUM(Transfer!AE247,Transfer!AE249)</f>
        <v>1305.9867456931761</v>
      </c>
      <c r="AQ537" s="401">
        <f>100*((SUM(Transfer!AE247,Transfer!AE249)/SUM(Transfer!AD247,Transfer!AD249))-1)</f>
        <v>9.4499534798838205</v>
      </c>
      <c r="AR537" s="399">
        <f>SUM(Transfer!AF247,Transfer!AF249)</f>
        <v>1465.1682944229099</v>
      </c>
      <c r="AS537" s="1810">
        <f>100*((SUM(Transfer!AF247,Transfer!AF249)/SUM(Transfer!AE247,Transfer!AE249))-1)</f>
        <v>12.188603694078481</v>
      </c>
      <c r="AT537" s="401">
        <f>SUM(Transfer!AG247,Transfer!AG249)</f>
        <v>1557.4478169759125</v>
      </c>
      <c r="AU537" s="1825">
        <f>100*((SUM(Transfer!AG247,Transfer!AG249)/SUM(Transfer!AF247,Transfer!AF249))-1)</f>
        <v>6.2982199999999988</v>
      </c>
      <c r="AV537" s="203"/>
      <c r="AW537" s="54"/>
      <c r="AX537" s="54"/>
      <c r="AY537" s="54"/>
      <c r="AZ537" s="54"/>
      <c r="BA537" s="1732" t="s">
        <v>1460</v>
      </c>
      <c r="BB537" s="334"/>
      <c r="BC537" s="54"/>
    </row>
    <row r="538" spans="1:55" ht="13.15">
      <c r="A538" s="45"/>
      <c r="B538" s="1720"/>
      <c r="C538" s="2897" t="s">
        <v>515</v>
      </c>
      <c r="D538" s="2898"/>
      <c r="E538" s="2913"/>
      <c r="F538" s="2435"/>
      <c r="G538" s="2914"/>
      <c r="H538" s="2435"/>
      <c r="I538" s="2435"/>
      <c r="J538" s="2730"/>
      <c r="K538" s="2914"/>
      <c r="L538" s="2435"/>
      <c r="M538" s="2915"/>
      <c r="N538" s="2520"/>
      <c r="O538" s="54"/>
      <c r="P538" s="54"/>
      <c r="Q538" s="54"/>
      <c r="R538" s="54"/>
      <c r="S538" s="190"/>
      <c r="T538" s="1836" t="s">
        <v>515</v>
      </c>
      <c r="U538" s="1811"/>
      <c r="V538" s="2092"/>
      <c r="W538" s="395"/>
      <c r="X538" s="1819"/>
      <c r="Y538" s="395"/>
      <c r="Z538" s="1819"/>
      <c r="AA538" s="395"/>
      <c r="AB538" s="1819"/>
      <c r="AC538" s="395"/>
      <c r="AD538" s="1826"/>
      <c r="AE538" s="196"/>
      <c r="AF538" s="45"/>
      <c r="AG538" s="45"/>
      <c r="AH538" s="45"/>
      <c r="AI538" s="45"/>
      <c r="AJ538" s="190"/>
      <c r="AK538" s="1836" t="s">
        <v>515</v>
      </c>
      <c r="AL538" s="1811"/>
      <c r="AM538" s="1834"/>
      <c r="AN538" s="395"/>
      <c r="AO538" s="1819"/>
      <c r="AP538" s="395"/>
      <c r="AQ538" s="395"/>
      <c r="AR538" s="394"/>
      <c r="AS538" s="1819"/>
      <c r="AT538" s="395"/>
      <c r="AU538" s="1826"/>
      <c r="AV538" s="196"/>
      <c r="AW538" s="54"/>
      <c r="AX538" s="54"/>
      <c r="AY538" s="54"/>
      <c r="AZ538" s="54"/>
      <c r="BA538" s="2046"/>
      <c r="BB538" s="334"/>
      <c r="BC538" s="54"/>
    </row>
    <row r="539" spans="1:55">
      <c r="A539" s="45"/>
      <c r="B539" s="1720"/>
      <c r="C539" s="2654" t="s">
        <v>1807</v>
      </c>
      <c r="D539" s="2647"/>
      <c r="E539" s="2903">
        <f ca="1">Transfer!D250/SUM(Transfer!D250,Transfer!D252)</f>
        <v>0.70997697007136418</v>
      </c>
      <c r="F539" s="2446">
        <f ca="1">Transfer!D250</f>
        <v>932.3927614641176</v>
      </c>
      <c r="G539" s="2463">
        <f ca="1">100*((Transfer!D250/Transfer!C250)-1)</f>
        <v>8.6947382509269708</v>
      </c>
      <c r="H539" s="2446">
        <f ca="1">Transfer!E250</f>
        <v>1026.2529480381766</v>
      </c>
      <c r="I539" s="2446">
        <f ca="1">100*((Transfer!E250/Transfer!D250)-1)</f>
        <v>10.066593226943565</v>
      </c>
      <c r="J539" s="2462">
        <f ca="1">Transfer!F250</f>
        <v>1076.0907161863204</v>
      </c>
      <c r="K539" s="2463">
        <f ca="1">100*((Transfer!F250/Transfer!E250)-1)</f>
        <v>4.8562850166146143</v>
      </c>
      <c r="L539" s="2446">
        <f ca="1">Transfer!G250</f>
        <v>1125.7824079670727</v>
      </c>
      <c r="M539" s="2795">
        <f ca="1">100*((Transfer!G250/Transfer!F250)-1)</f>
        <v>4.6177976478470439</v>
      </c>
      <c r="N539" s="2520"/>
      <c r="O539" s="54"/>
      <c r="P539" s="54"/>
      <c r="Q539" s="54"/>
      <c r="R539" s="54"/>
      <c r="S539" s="190"/>
      <c r="T539" s="349" t="s">
        <v>1807</v>
      </c>
      <c r="U539" s="70"/>
      <c r="V539" s="1832">
        <f t="shared" ref="V539:AC541" ca="1" si="36">ROUND(E539,1)-ROUND(AM539,1)</f>
        <v>0</v>
      </c>
      <c r="W539" s="397">
        <f t="shared" ca="1" si="36"/>
        <v>74.600000000000023</v>
      </c>
      <c r="X539" s="497">
        <f t="shared" ca="1" si="36"/>
        <v>3.6999999999999993</v>
      </c>
      <c r="Y539" s="397">
        <f t="shared" ca="1" si="36"/>
        <v>94.099999999999909</v>
      </c>
      <c r="Z539" s="497">
        <f t="shared" ca="1" si="36"/>
        <v>1.4000000000000004</v>
      </c>
      <c r="AA539" s="397">
        <f t="shared" ca="1" si="36"/>
        <v>58.499999999999886</v>
      </c>
      <c r="AB539" s="497">
        <f t="shared" ca="1" si="36"/>
        <v>-4.2999999999999989</v>
      </c>
      <c r="AC539" s="397">
        <f t="shared" ca="1" si="36"/>
        <v>49.200000000000045</v>
      </c>
      <c r="AD539" s="498">
        <f ca="1">ROUND(M539,1)-ROUND(AU539,1)</f>
        <v>-1.2000000000000002</v>
      </c>
      <c r="AE539" s="196"/>
      <c r="AF539" s="45"/>
      <c r="AG539" s="45"/>
      <c r="AH539" s="45"/>
      <c r="AI539" s="45"/>
      <c r="AJ539" s="190"/>
      <c r="AK539" s="349" t="s">
        <v>1807</v>
      </c>
      <c r="AL539" s="70"/>
      <c r="AM539" s="1832">
        <f>Transfer!AD250/SUM(Transfer!AD250,Transfer!AD252)</f>
        <v>0.71206361782770611</v>
      </c>
      <c r="AN539" s="397">
        <f>Transfer!AD250</f>
        <v>857.79056216828917</v>
      </c>
      <c r="AO539" s="497">
        <f>100*((Transfer!AD250/Transfer!AC250)-1)</f>
        <v>4.9814838719150822</v>
      </c>
      <c r="AP539" s="397">
        <f>Transfer!AE250</f>
        <v>932.21354873541156</v>
      </c>
      <c r="AQ539" s="397">
        <f>100*((Transfer!AE250/Transfer!AD250)-1)</f>
        <v>8.6761256009857401</v>
      </c>
      <c r="AR539" s="396">
        <f>Transfer!AF250</f>
        <v>1017.6284297075649</v>
      </c>
      <c r="AS539" s="497">
        <f>100*((Transfer!AF250/Transfer!AE250)-1)</f>
        <v>9.1625873801150384</v>
      </c>
      <c r="AT539" s="397">
        <f>Transfer!AG250</f>
        <v>1076.5680826121279</v>
      </c>
      <c r="AU539" s="498">
        <f>100*((Transfer!AG250/Transfer!AF250)-1)</f>
        <v>5.7918638261217348</v>
      </c>
      <c r="AV539" s="196"/>
      <c r="AW539" s="54"/>
      <c r="AX539" s="54"/>
      <c r="AY539" s="54"/>
      <c r="AZ539" s="54"/>
      <c r="BA539" s="2046" t="s">
        <v>1461</v>
      </c>
      <c r="BB539" s="334"/>
      <c r="BC539" s="54"/>
    </row>
    <row r="540" spans="1:55">
      <c r="A540" s="45"/>
      <c r="B540" s="1720"/>
      <c r="C540" s="2904" t="s">
        <v>1808</v>
      </c>
      <c r="D540" s="2905"/>
      <c r="E540" s="2906">
        <f ca="1">Transfer!D252/SUM(Transfer!D250,Transfer!D252)</f>
        <v>0.29002302992863577</v>
      </c>
      <c r="F540" s="2451">
        <f ca="1">Transfer!D252</f>
        <v>380.87907800188225</v>
      </c>
      <c r="G540" s="2907">
        <f ca="1">100*((Transfer!D252/Transfer!C252)-1)</f>
        <v>9.0968115202687336</v>
      </c>
      <c r="H540" s="2451">
        <f ca="1">Transfer!E252</f>
        <v>426.58456736210815</v>
      </c>
      <c r="I540" s="2451">
        <f ca="1">100*((Transfer!E252/Transfer!D252)-1)</f>
        <v>12.000000000000011</v>
      </c>
      <c r="J540" s="2908">
        <f ca="1">Transfer!F252</f>
        <v>466.25693212678419</v>
      </c>
      <c r="K540" s="2907">
        <f ca="1">100*((Transfer!F252/Transfer!E252)-1)</f>
        <v>9.2999999999999972</v>
      </c>
      <c r="L540" s="2451">
        <f ca="1">Transfer!G252</f>
        <v>485.83972327610917</v>
      </c>
      <c r="M540" s="2909">
        <f ca="1">100*((Transfer!G252/Transfer!F252)-1)</f>
        <v>4.2000000000000037</v>
      </c>
      <c r="N540" s="2520"/>
      <c r="O540" s="54"/>
      <c r="P540" s="54"/>
      <c r="Q540" s="54"/>
      <c r="R540" s="54"/>
      <c r="S540" s="190"/>
      <c r="T540" s="1823" t="s">
        <v>1808</v>
      </c>
      <c r="U540" s="1815"/>
      <c r="V540" s="1833">
        <f t="shared" ca="1" si="36"/>
        <v>0</v>
      </c>
      <c r="W540" s="1818">
        <f t="shared" ca="1" si="36"/>
        <v>34</v>
      </c>
      <c r="X540" s="1817">
        <f t="shared" ca="1" si="36"/>
        <v>10.1</v>
      </c>
      <c r="Y540" s="1818">
        <f t="shared" ca="1" si="36"/>
        <v>45.800000000000011</v>
      </c>
      <c r="Z540" s="1817">
        <f t="shared" ca="1" si="36"/>
        <v>2.1999999999999993</v>
      </c>
      <c r="AA540" s="1818">
        <f t="shared" ca="1" si="36"/>
        <v>51.199999999999989</v>
      </c>
      <c r="AB540" s="1817">
        <f t="shared" ca="1" si="36"/>
        <v>0.30000000000000071</v>
      </c>
      <c r="AC540" s="1818">
        <f t="shared" ca="1" si="36"/>
        <v>53.300000000000011</v>
      </c>
      <c r="AD540" s="1824">
        <f ca="1">ROUND(M540,1)-ROUND(AU540,1)</f>
        <v>0</v>
      </c>
      <c r="AE540" s="196"/>
      <c r="AF540" s="45"/>
      <c r="AG540" s="45"/>
      <c r="AH540" s="45"/>
      <c r="AI540" s="45"/>
      <c r="AJ540" s="190"/>
      <c r="AK540" s="1823" t="s">
        <v>1808</v>
      </c>
      <c r="AL540" s="1815"/>
      <c r="AM540" s="1833">
        <f>Transfer!AD252/SUM(Transfer!AD250,Transfer!AD252)</f>
        <v>0.28793638217229389</v>
      </c>
      <c r="AN540" s="1818">
        <f>Transfer!AD252</f>
        <v>346.86382641731575</v>
      </c>
      <c r="AO540" s="1817">
        <f>100*((Transfer!AD252/Transfer!AC252)-1)</f>
        <v>-0.97833758496788104</v>
      </c>
      <c r="AP540" s="1818">
        <f>Transfer!AE252</f>
        <v>380.78850812823532</v>
      </c>
      <c r="AQ540" s="1818">
        <f>100*((Transfer!AE252/Transfer!AD252)-1)</f>
        <v>9.7804034687965391</v>
      </c>
      <c r="AR540" s="1816">
        <f>Transfer!AF252</f>
        <v>415.05947385977652</v>
      </c>
      <c r="AS540" s="1817">
        <f>100*((Transfer!AF252/Transfer!AE252)-1)</f>
        <v>9.0000000000000071</v>
      </c>
      <c r="AT540" s="1818">
        <f>Transfer!AG252</f>
        <v>432.49197176188716</v>
      </c>
      <c r="AU540" s="1824">
        <f>100*((Transfer!AG252/Transfer!AF252)-1)</f>
        <v>4.2000000000000037</v>
      </c>
      <c r="AV540" s="196"/>
      <c r="AW540" s="54"/>
      <c r="AX540" s="54"/>
      <c r="AY540" s="54"/>
      <c r="AZ540" s="54"/>
      <c r="BA540" s="1732" t="s">
        <v>1462</v>
      </c>
      <c r="BB540" s="334"/>
      <c r="BC540" s="54"/>
    </row>
    <row r="541" spans="1:55" ht="13.15">
      <c r="A541" s="45"/>
      <c r="B541" s="1720"/>
      <c r="C541" s="2623" t="s">
        <v>1582</v>
      </c>
      <c r="D541" s="2910"/>
      <c r="E541" s="2903">
        <f ca="1">SUM(Transfer!D250,Transfer!D252)/SUM(Transfer!D250,Transfer!D252)</f>
        <v>1</v>
      </c>
      <c r="F541" s="2733">
        <f ca="1">SUM(Transfer!D250,Transfer!D252)</f>
        <v>1313.2718394659998</v>
      </c>
      <c r="G541" s="2911">
        <f ca="1">100*((SUM(Transfer!D250,Transfer!D252)/SUM(Transfer!C250,Transfer!C252))-1)</f>
        <v>8.8110433091659992</v>
      </c>
      <c r="H541" s="2733">
        <f ca="1">SUM(Transfer!E250,Transfer!E252)</f>
        <v>1452.8375154002847</v>
      </c>
      <c r="I541" s="2733">
        <f ca="1">100*((SUM(Transfer!E250,Transfer!E252)/SUM(Transfer!D250,Transfer!D252))-1)</f>
        <v>10.627325717349944</v>
      </c>
      <c r="J541" s="2732">
        <f ca="1">SUM(Transfer!F250,Transfer!F252)</f>
        <v>1542.3476483131046</v>
      </c>
      <c r="K541" s="2911">
        <f ca="1">100*((SUM(Transfer!F250,Transfer!F252)/SUM(Transfer!E250,Transfer!E252))-1)</f>
        <v>6.161055999999987</v>
      </c>
      <c r="L541" s="2733">
        <f ca="1">SUM(Transfer!G250,Transfer!G252)</f>
        <v>1611.6221312431819</v>
      </c>
      <c r="M541" s="2912">
        <f ca="1">100*((SUM(Transfer!G250,Transfer!G252)/SUM(Transfer!F250,Transfer!F252))-1)</f>
        <v>4.4914960000000059</v>
      </c>
      <c r="N541" s="2528"/>
      <c r="O541" s="54"/>
      <c r="P541" s="54"/>
      <c r="Q541" s="54"/>
      <c r="R541" s="54"/>
      <c r="S541" s="190"/>
      <c r="T541" s="316" t="s">
        <v>1582</v>
      </c>
      <c r="U541" s="1809"/>
      <c r="V541" s="2091">
        <f t="shared" ca="1" si="36"/>
        <v>0</v>
      </c>
      <c r="W541" s="2093">
        <f t="shared" ca="1" si="36"/>
        <v>108.59999999999991</v>
      </c>
      <c r="X541" s="2094">
        <f t="shared" ca="1" si="36"/>
        <v>5.6000000000000005</v>
      </c>
      <c r="Y541" s="2095">
        <f t="shared" ca="1" si="36"/>
        <v>139.79999999999995</v>
      </c>
      <c r="Z541" s="2094">
        <f t="shared" ca="1" si="36"/>
        <v>1.5999999999999996</v>
      </c>
      <c r="AA541" s="2095">
        <f t="shared" ca="1" si="36"/>
        <v>109.59999999999991</v>
      </c>
      <c r="AB541" s="2094">
        <f t="shared" ca="1" si="36"/>
        <v>-2.8999999999999995</v>
      </c>
      <c r="AC541" s="2095">
        <f t="shared" ca="1" si="36"/>
        <v>102.5</v>
      </c>
      <c r="AD541" s="2096">
        <f ca="1">ROUND(M541,1)-ROUND(AU541,1)</f>
        <v>-0.79999999999999982</v>
      </c>
      <c r="AE541" s="203"/>
      <c r="AF541" s="45"/>
      <c r="AG541" s="45"/>
      <c r="AH541" s="45"/>
      <c r="AI541" s="45"/>
      <c r="AJ541" s="190"/>
      <c r="AK541" s="316" t="s">
        <v>1582</v>
      </c>
      <c r="AL541" s="1809"/>
      <c r="AM541" s="1832">
        <f>SUM(Transfer!AD250,Transfer!AD252)/SUM(Transfer!AD250,Transfer!AD252)</f>
        <v>1</v>
      </c>
      <c r="AN541" s="401">
        <f>SUM(Transfer!AD250,Transfer!AD252)</f>
        <v>1204.6543885856049</v>
      </c>
      <c r="AO541" s="1810">
        <f>100*((SUM(Transfer!AD250,Transfer!AD252)/SUM(Transfer!AC250,Transfer!AC252))-1)</f>
        <v>3.1931425236356281</v>
      </c>
      <c r="AP541" s="401">
        <f>SUM(Transfer!AE250,Transfer!AE252)</f>
        <v>1313.0020568636469</v>
      </c>
      <c r="AQ541" s="401">
        <f>100*((SUM(Transfer!AE250,Transfer!AE252)/SUM(Transfer!AD250,Transfer!AD252))-1)</f>
        <v>8.9940873751561234</v>
      </c>
      <c r="AR541" s="399">
        <f>SUM(Transfer!AF250,Transfer!AF252)</f>
        <v>1432.6879035673414</v>
      </c>
      <c r="AS541" s="1810">
        <f>100*((SUM(Transfer!AF250,Transfer!AF252)/SUM(Transfer!AE250,Transfer!AE252))-1)</f>
        <v>9.1154348219062875</v>
      </c>
      <c r="AT541" s="401">
        <f>SUM(Transfer!AG250,Transfer!AG252)</f>
        <v>1509.0600543740152</v>
      </c>
      <c r="AU541" s="1825">
        <f>100*((SUM(Transfer!AG250,Transfer!AG252)/SUM(Transfer!AF250,Transfer!AF252))-1)</f>
        <v>5.3306899999999935</v>
      </c>
      <c r="AV541" s="203"/>
      <c r="AW541" s="54"/>
      <c r="AX541" s="54"/>
      <c r="AY541" s="54"/>
      <c r="AZ541" s="54"/>
      <c r="BA541" s="1732" t="s">
        <v>1463</v>
      </c>
      <c r="BB541" s="334"/>
      <c r="BC541" s="54"/>
    </row>
    <row r="542" spans="1:55" ht="13.5" thickBot="1">
      <c r="A542" s="45"/>
      <c r="B542" s="1720"/>
      <c r="C542" s="2641" t="s">
        <v>574</v>
      </c>
      <c r="D542" s="1827"/>
      <c r="E542" s="1835"/>
      <c r="F542" s="1828">
        <f ca="1">SUM(Transfer!D247,Transfer!D249)-SUM(Transfer!D250,Transfer!D252)</f>
        <v>-7.4912847617645184</v>
      </c>
      <c r="G542" s="1829"/>
      <c r="H542" s="1828">
        <f ca="1">SUM(Transfer!E247,Transfer!E249)-SUM(Transfer!E250,Transfer!E252)</f>
        <v>0.33420329247155678</v>
      </c>
      <c r="I542" s="1828"/>
      <c r="J542" s="1830">
        <f ca="1">SUM(Transfer!F247,Transfer!F249)-SUM(Transfer!F250,Transfer!F252)</f>
        <v>-4.3000204365587251</v>
      </c>
      <c r="K542" s="1829"/>
      <c r="L542" s="1828">
        <f ca="1">SUM(Transfer!G247,Transfer!G249)-SUM(Transfer!G250,Transfer!G252)</f>
        <v>-8.7453036763984073</v>
      </c>
      <c r="M542" s="1831"/>
      <c r="N542" s="203"/>
      <c r="O542" s="54"/>
      <c r="P542" s="54"/>
      <c r="Q542" s="54"/>
      <c r="R542" s="54"/>
      <c r="S542" s="190"/>
      <c r="T542" s="1735" t="s">
        <v>574</v>
      </c>
      <c r="U542" s="1827"/>
      <c r="V542" s="2097"/>
      <c r="W542" s="1830">
        <f ca="1">ROUND(F542,1)-ROUND(AN542,1)</f>
        <v>3.9000000000000004</v>
      </c>
      <c r="X542" s="1829"/>
      <c r="Y542" s="1828">
        <f ca="1">ROUND(H542,1)-ROUND(AP542,1)</f>
        <v>7.3</v>
      </c>
      <c r="Z542" s="1829"/>
      <c r="AA542" s="1828">
        <f ca="1">ROUND(J542,1)-ROUND(AR542,1)</f>
        <v>-36.799999999999997</v>
      </c>
      <c r="AB542" s="1829"/>
      <c r="AC542" s="1828">
        <f ca="1">ROUND(L542,1)-ROUND(AT542,1)</f>
        <v>-57.099999999999994</v>
      </c>
      <c r="AD542" s="2098"/>
      <c r="AE542" s="203"/>
      <c r="AF542" s="45"/>
      <c r="AG542" s="45"/>
      <c r="AH542" s="45"/>
      <c r="AI542" s="45"/>
      <c r="AJ542" s="190"/>
      <c r="AK542" s="1735" t="s">
        <v>574</v>
      </c>
      <c r="AL542" s="1827"/>
      <c r="AM542" s="1835"/>
      <c r="AN542" s="1828">
        <f>SUM(Transfer!AD247,Transfer!AD249)-SUM(Transfer!AD250,Transfer!AD252)</f>
        <v>-11.42706945914415</v>
      </c>
      <c r="AO542" s="1829"/>
      <c r="AP542" s="1828">
        <f>SUM(Transfer!AE247,Transfer!AE249)-SUM(Transfer!AE250,Transfer!AE252)</f>
        <v>-7.0153111704707953</v>
      </c>
      <c r="AQ542" s="1828"/>
      <c r="AR542" s="1830">
        <f>SUM(Transfer!AF247,Transfer!AF249)-SUM(Transfer!AF250,Transfer!AF252)</f>
        <v>32.48039085556843</v>
      </c>
      <c r="AS542" s="1829"/>
      <c r="AT542" s="1828">
        <f>SUM(Transfer!AG247,Transfer!AG249)-SUM(Transfer!AG250,Transfer!AG252)</f>
        <v>48.387762601897293</v>
      </c>
      <c r="AU542" s="1831"/>
      <c r="AV542" s="203"/>
      <c r="AW542" s="54"/>
      <c r="AX542" s="54"/>
      <c r="AY542" s="54"/>
      <c r="AZ542" s="54"/>
      <c r="BA542" s="1733" t="s">
        <v>1464</v>
      </c>
      <c r="BB542" s="334"/>
      <c r="BC542" s="54"/>
    </row>
    <row r="543" spans="1:55" ht="13.15">
      <c r="A543" s="45"/>
      <c r="B543" s="215"/>
      <c r="C543" s="113"/>
      <c r="D543" s="113"/>
      <c r="E543" s="113"/>
      <c r="F543" s="113"/>
      <c r="G543" s="113"/>
      <c r="H543" s="113"/>
      <c r="I543" s="113"/>
      <c r="J543" s="113"/>
      <c r="K543" s="113"/>
      <c r="L543" s="113"/>
      <c r="M543" s="118" t="str">
        <f>UPPER(Country)</f>
        <v>SWEDEN</v>
      </c>
      <c r="N543" s="216"/>
      <c r="O543" s="54"/>
      <c r="P543" s="54"/>
      <c r="Q543" s="54"/>
      <c r="R543" s="54"/>
      <c r="S543" s="215"/>
      <c r="T543" s="113"/>
      <c r="U543" s="113"/>
      <c r="V543" s="113"/>
      <c r="W543" s="113"/>
      <c r="X543" s="113"/>
      <c r="Y543" s="113"/>
      <c r="Z543" s="113"/>
      <c r="AA543" s="113"/>
      <c r="AB543" s="113"/>
      <c r="AC543" s="113"/>
      <c r="AD543" s="118" t="str">
        <f>UPPER(Country)</f>
        <v>SWEDEN</v>
      </c>
      <c r="AE543" s="216"/>
      <c r="AF543" s="45"/>
      <c r="AG543" s="45"/>
      <c r="AH543" s="45"/>
      <c r="AI543" s="45"/>
      <c r="AJ543" s="215"/>
      <c r="AK543" s="113"/>
      <c r="AL543" s="113"/>
      <c r="AM543" s="113"/>
      <c r="AN543" s="113"/>
      <c r="AO543" s="113"/>
      <c r="AP543" s="113"/>
      <c r="AQ543" s="113"/>
      <c r="AR543" s="113"/>
      <c r="AS543" s="113"/>
      <c r="AT543" s="113"/>
      <c r="AU543" s="118" t="str">
        <f>UPPER(Country)</f>
        <v>SWEDEN</v>
      </c>
      <c r="AV543" s="216"/>
      <c r="AW543" s="54"/>
      <c r="AX543" s="54"/>
      <c r="AY543" s="54"/>
      <c r="AZ543" s="54"/>
      <c r="BA543" s="54"/>
      <c r="BB543" s="54"/>
      <c r="BC543" s="54"/>
    </row>
    <row r="544" spans="1:55">
      <c r="A544" s="45"/>
      <c r="B544" s="45"/>
      <c r="C544" s="45"/>
      <c r="D544" s="45"/>
      <c r="E544" s="45"/>
      <c r="F544" s="45"/>
      <c r="G544" s="45"/>
      <c r="H544" s="45"/>
      <c r="I544" s="45"/>
      <c r="J544" s="45"/>
      <c r="K544" s="45"/>
      <c r="L544" s="45"/>
      <c r="M544" s="45"/>
      <c r="N544" s="54"/>
      <c r="O544" s="54"/>
      <c r="P544" s="54"/>
      <c r="Q544" s="54"/>
      <c r="R544" s="54"/>
      <c r="S544" s="54"/>
      <c r="T544" s="54"/>
      <c r="U544" s="54"/>
      <c r="V544" s="54"/>
      <c r="W544" s="54"/>
      <c r="X544" s="54"/>
      <c r="Y544" s="54"/>
      <c r="Z544" s="54"/>
      <c r="AA544" s="54"/>
      <c r="AB544" s="45"/>
      <c r="AC544" s="45"/>
      <c r="AD544" s="45"/>
      <c r="AE544" s="45"/>
      <c r="AF544" s="45"/>
      <c r="AG544" s="45"/>
      <c r="AH544" s="45"/>
      <c r="AI544" s="45"/>
      <c r="AJ544" s="45"/>
      <c r="AK544" s="45"/>
      <c r="AL544" s="45"/>
      <c r="AM544" s="45"/>
      <c r="AN544" s="45"/>
      <c r="AO544" s="45"/>
      <c r="AP544" s="45"/>
      <c r="AQ544" s="45"/>
      <c r="AR544" s="45"/>
      <c r="AS544" s="45"/>
      <c r="AT544" s="45"/>
      <c r="AU544" s="45"/>
      <c r="AV544" s="54"/>
      <c r="AW544" s="54"/>
      <c r="AX544" s="54"/>
      <c r="AY544" s="54"/>
      <c r="AZ544" s="54"/>
      <c r="BA544" s="54"/>
      <c r="BB544" s="54"/>
      <c r="BC544" s="54"/>
    </row>
    <row r="545" spans="1:55">
      <c r="A545" s="45"/>
      <c r="B545" s="45"/>
      <c r="C545" s="45"/>
      <c r="D545" s="45"/>
      <c r="E545" s="45"/>
      <c r="F545" s="45"/>
      <c r="G545" s="45"/>
      <c r="H545" s="45"/>
      <c r="I545" s="45"/>
      <c r="J545" s="45"/>
      <c r="K545" s="45"/>
      <c r="L545" s="45"/>
      <c r="M545" s="45"/>
      <c r="N545" s="45"/>
      <c r="O545" s="54"/>
      <c r="P545" s="54"/>
      <c r="Q545" s="54"/>
      <c r="R545" s="54"/>
      <c r="S545" s="54"/>
      <c r="T545" s="54"/>
      <c r="U545" s="54"/>
      <c r="V545" s="54"/>
      <c r="W545" s="54"/>
      <c r="X545" s="54"/>
      <c r="Y545" s="54"/>
      <c r="Z545" s="54"/>
      <c r="AA545" s="54"/>
      <c r="AB545" s="45"/>
      <c r="AC545" s="45"/>
      <c r="AD545" s="45"/>
      <c r="AE545" s="45"/>
      <c r="AF545" s="45"/>
      <c r="AG545" s="45"/>
      <c r="AH545" s="45"/>
      <c r="AI545" s="45"/>
      <c r="AJ545" s="45"/>
      <c r="AK545" s="45"/>
      <c r="AL545" s="45"/>
      <c r="AM545" s="45"/>
      <c r="AN545" s="45"/>
      <c r="AO545" s="45"/>
      <c r="AP545" s="45"/>
      <c r="AQ545" s="45"/>
      <c r="AR545" s="45"/>
      <c r="AS545" s="45"/>
      <c r="AT545" s="45"/>
      <c r="AU545" s="45"/>
      <c r="AV545" s="45"/>
      <c r="AW545" s="54"/>
      <c r="AX545" s="54"/>
      <c r="AY545" s="54"/>
      <c r="AZ545" s="54"/>
      <c r="BA545" s="54"/>
      <c r="BB545" s="54"/>
      <c r="BC545" s="54"/>
    </row>
    <row r="546" spans="1:55">
      <c r="A546" s="45"/>
      <c r="B546" s="45"/>
      <c r="C546" s="45"/>
      <c r="D546" s="45"/>
      <c r="E546" s="45"/>
      <c r="F546" s="45"/>
      <c r="G546" s="45"/>
      <c r="H546" s="45"/>
      <c r="I546" s="45"/>
      <c r="J546" s="45"/>
      <c r="K546" s="45"/>
      <c r="L546" s="45"/>
      <c r="M546" s="45"/>
      <c r="N546" s="45"/>
      <c r="O546" s="54"/>
      <c r="P546" s="54"/>
      <c r="Q546" s="54"/>
      <c r="R546" s="54"/>
      <c r="S546" s="54"/>
      <c r="T546" s="54"/>
      <c r="U546" s="54"/>
      <c r="V546" s="54"/>
      <c r="W546" s="54"/>
      <c r="X546" s="54"/>
      <c r="Y546" s="54"/>
      <c r="Z546" s="54"/>
      <c r="AA546" s="54"/>
      <c r="AB546" s="54"/>
      <c r="AC546" s="54"/>
      <c r="AD546" s="54"/>
      <c r="AE546" s="54"/>
      <c r="AF546" s="54"/>
      <c r="AG546" s="54"/>
      <c r="AH546" s="54"/>
      <c r="AI546" s="54"/>
      <c r="AJ546" s="54"/>
      <c r="AK546" s="54"/>
      <c r="AL546" s="54"/>
      <c r="AM546" s="54"/>
      <c r="AN546" s="54"/>
      <c r="AO546" s="54"/>
      <c r="AP546" s="54"/>
      <c r="AQ546" s="54"/>
      <c r="AR546" s="54"/>
      <c r="AS546" s="54"/>
      <c r="AT546" s="54"/>
      <c r="AU546" s="54"/>
      <c r="AV546" s="54"/>
      <c r="AW546" s="54"/>
      <c r="AX546" s="54"/>
      <c r="AY546" s="54"/>
      <c r="AZ546" s="54"/>
      <c r="BA546" s="54"/>
      <c r="BB546" s="54"/>
      <c r="BC546" s="54"/>
    </row>
    <row r="547" spans="1:55">
      <c r="A547" s="45"/>
      <c r="B547" s="45"/>
      <c r="C547" s="45"/>
      <c r="D547" s="45"/>
      <c r="E547" s="45"/>
      <c r="F547" s="45"/>
      <c r="G547" s="45"/>
      <c r="H547" s="45"/>
      <c r="I547" s="45"/>
      <c r="J547" s="45"/>
      <c r="K547" s="45"/>
      <c r="L547" s="45"/>
      <c r="M547" s="45"/>
      <c r="N547" s="45"/>
      <c r="O547" s="54"/>
      <c r="P547" s="54"/>
      <c r="Q547" s="54"/>
      <c r="R547" s="54"/>
      <c r="S547" s="54"/>
      <c r="T547" s="54"/>
      <c r="U547" s="54"/>
      <c r="V547" s="54"/>
      <c r="W547" s="54"/>
      <c r="X547" s="54"/>
      <c r="Y547" s="54"/>
      <c r="Z547" s="54"/>
      <c r="AA547" s="54"/>
      <c r="AB547" s="54"/>
      <c r="AC547" s="54"/>
      <c r="AD547" s="54"/>
      <c r="AE547" s="54"/>
      <c r="AF547" s="54"/>
      <c r="AG547" s="54"/>
      <c r="AH547" s="54"/>
      <c r="AI547" s="54"/>
      <c r="AJ547" s="54"/>
      <c r="AK547" s="54"/>
      <c r="AL547" s="54"/>
      <c r="AM547" s="54"/>
      <c r="AN547" s="54"/>
      <c r="AO547" s="54"/>
      <c r="AP547" s="54"/>
      <c r="AQ547" s="54"/>
      <c r="AR547" s="54"/>
      <c r="AS547" s="54"/>
      <c r="AT547" s="54"/>
      <c r="AU547" s="54"/>
      <c r="AV547" s="54"/>
      <c r="AW547" s="54"/>
      <c r="AX547" s="54"/>
      <c r="AY547" s="54"/>
      <c r="AZ547" s="54"/>
      <c r="BA547" s="54"/>
      <c r="BB547" s="54"/>
      <c r="BC547" s="54"/>
    </row>
    <row r="548" spans="1:55">
      <c r="A548" s="45"/>
      <c r="B548" s="45"/>
      <c r="C548" s="45"/>
      <c r="D548" s="45"/>
      <c r="E548" s="45"/>
      <c r="F548" s="45"/>
      <c r="G548" s="45"/>
      <c r="H548" s="45"/>
      <c r="I548" s="45"/>
      <c r="J548" s="45"/>
      <c r="K548" s="45"/>
      <c r="L548" s="45"/>
      <c r="M548" s="45"/>
      <c r="N548" s="45"/>
      <c r="O548" s="54"/>
      <c r="P548" s="54"/>
      <c r="Q548" s="54"/>
      <c r="R548" s="54"/>
      <c r="S548" s="54"/>
      <c r="T548" s="54"/>
      <c r="U548" s="54"/>
      <c r="V548" s="54"/>
      <c r="W548" s="54"/>
      <c r="X548" s="54"/>
      <c r="Y548" s="54"/>
      <c r="Z548" s="54"/>
      <c r="AA548" s="54"/>
      <c r="AB548" s="54"/>
      <c r="AC548" s="54"/>
      <c r="AD548" s="54"/>
      <c r="AE548" s="54"/>
      <c r="AF548" s="54"/>
      <c r="AG548" s="54"/>
      <c r="AH548" s="54"/>
      <c r="AI548" s="54"/>
      <c r="AJ548" s="54"/>
      <c r="AK548" s="54"/>
      <c r="AL548" s="54"/>
      <c r="AM548" s="54"/>
      <c r="AN548" s="54"/>
      <c r="AO548" s="54"/>
      <c r="AP548" s="54"/>
      <c r="AQ548" s="54"/>
      <c r="AR548" s="54"/>
      <c r="AS548" s="54"/>
      <c r="AT548" s="54"/>
      <c r="AU548" s="54"/>
      <c r="AV548" s="54"/>
      <c r="AW548" s="54"/>
      <c r="AX548" s="54"/>
      <c r="AY548" s="54"/>
      <c r="AZ548" s="54"/>
      <c r="BA548" s="54"/>
      <c r="BB548" s="54"/>
      <c r="BC548" s="54"/>
    </row>
    <row r="549" spans="1:55">
      <c r="A549" s="45"/>
      <c r="B549" s="45"/>
      <c r="C549" s="45"/>
      <c r="D549" s="45"/>
      <c r="E549" s="45"/>
      <c r="F549" s="45"/>
      <c r="G549" s="45"/>
      <c r="H549" s="45"/>
      <c r="I549" s="45"/>
      <c r="J549" s="45"/>
      <c r="K549" s="45"/>
      <c r="L549" s="45"/>
      <c r="M549" s="45"/>
      <c r="N549" s="45"/>
      <c r="O549" s="54"/>
      <c r="P549" s="54"/>
      <c r="Q549" s="54"/>
      <c r="R549" s="54"/>
      <c r="S549" s="54"/>
      <c r="T549" s="54"/>
      <c r="U549" s="54"/>
      <c r="V549" s="54"/>
      <c r="W549" s="54"/>
      <c r="X549" s="54"/>
      <c r="Y549" s="54"/>
      <c r="Z549" s="54"/>
      <c r="AA549" s="54"/>
      <c r="AB549" s="54"/>
      <c r="AC549" s="54"/>
      <c r="AD549" s="54"/>
      <c r="AE549" s="54"/>
      <c r="AF549" s="54"/>
      <c r="AG549" s="54"/>
      <c r="AH549" s="54"/>
      <c r="AI549" s="54"/>
      <c r="AJ549" s="54"/>
      <c r="AK549" s="54"/>
      <c r="AL549" s="54"/>
      <c r="AM549" s="54"/>
      <c r="AN549" s="54"/>
      <c r="AO549" s="54"/>
      <c r="AP549" s="54"/>
      <c r="AQ549" s="54"/>
      <c r="AR549" s="54"/>
      <c r="AS549" s="54"/>
      <c r="AT549" s="54"/>
      <c r="AU549" s="54"/>
      <c r="AV549" s="54"/>
      <c r="AW549" s="54"/>
      <c r="AX549" s="54"/>
      <c r="AY549" s="54"/>
      <c r="AZ549" s="54"/>
      <c r="BA549" s="54"/>
      <c r="BB549" s="54"/>
      <c r="BC549" s="54"/>
    </row>
    <row r="550" spans="1:55">
      <c r="A550" s="45"/>
      <c r="B550" s="45"/>
      <c r="C550" s="45"/>
      <c r="D550" s="45"/>
      <c r="E550" s="45"/>
      <c r="F550" s="45"/>
      <c r="G550" s="45"/>
      <c r="H550" s="45"/>
      <c r="I550" s="45"/>
      <c r="J550" s="45"/>
      <c r="K550" s="45"/>
      <c r="L550" s="45"/>
      <c r="M550" s="45"/>
      <c r="N550" s="45"/>
      <c r="O550" s="54"/>
      <c r="P550" s="54"/>
      <c r="Q550" s="54"/>
      <c r="R550" s="54"/>
      <c r="S550" s="54"/>
      <c r="T550" s="54"/>
      <c r="U550" s="54"/>
      <c r="V550" s="54"/>
      <c r="W550" s="54"/>
      <c r="X550" s="54"/>
      <c r="Y550" s="54"/>
      <c r="Z550" s="54"/>
      <c r="AA550" s="54"/>
      <c r="AB550" s="54"/>
      <c r="AC550" s="54"/>
      <c r="AD550" s="54"/>
      <c r="AE550" s="54"/>
      <c r="AF550" s="54"/>
      <c r="AG550" s="54"/>
      <c r="AH550" s="54"/>
      <c r="AI550" s="54"/>
      <c r="AJ550" s="54"/>
      <c r="AK550" s="54"/>
      <c r="AL550" s="54"/>
      <c r="AM550" s="54"/>
      <c r="AN550" s="54"/>
      <c r="AO550" s="54"/>
      <c r="AP550" s="54"/>
      <c r="AQ550" s="54"/>
      <c r="AR550" s="54"/>
      <c r="AS550" s="54"/>
      <c r="AT550" s="54"/>
      <c r="AU550" s="54"/>
      <c r="AV550" s="54"/>
      <c r="AW550" s="54"/>
      <c r="AX550" s="54"/>
      <c r="AY550" s="54"/>
      <c r="AZ550" s="54"/>
      <c r="BA550" s="54"/>
      <c r="BB550" s="54"/>
      <c r="BC550" s="54"/>
    </row>
    <row r="551" spans="1:55">
      <c r="A551" s="45"/>
      <c r="B551" s="45"/>
      <c r="C551" s="45"/>
      <c r="D551" s="45"/>
      <c r="E551" s="45"/>
      <c r="F551" s="45"/>
      <c r="G551" s="45"/>
      <c r="H551" s="45"/>
      <c r="I551" s="45"/>
      <c r="J551" s="45"/>
      <c r="K551" s="45"/>
      <c r="L551" s="45"/>
      <c r="M551" s="45"/>
      <c r="N551" s="45"/>
      <c r="O551" s="54"/>
      <c r="P551" s="54"/>
      <c r="Q551" s="54"/>
      <c r="R551" s="54"/>
      <c r="S551" s="54"/>
      <c r="T551" s="54"/>
      <c r="U551" s="54"/>
      <c r="V551" s="54"/>
      <c r="W551" s="54"/>
      <c r="X551" s="54"/>
      <c r="Y551" s="54"/>
      <c r="Z551" s="54"/>
      <c r="AA551" s="54"/>
      <c r="AB551" s="54"/>
      <c r="AC551" s="54"/>
      <c r="AD551" s="54"/>
      <c r="AE551" s="54"/>
      <c r="AF551" s="54"/>
      <c r="AG551" s="54"/>
      <c r="AH551" s="54"/>
      <c r="AI551" s="54"/>
      <c r="AJ551" s="54"/>
      <c r="AK551" s="54"/>
      <c r="AL551" s="54"/>
      <c r="AM551" s="54"/>
      <c r="AN551" s="54"/>
      <c r="AO551" s="54"/>
      <c r="AP551" s="54"/>
      <c r="AQ551" s="54"/>
      <c r="AR551" s="54"/>
      <c r="AS551" s="54"/>
      <c r="AT551" s="54"/>
      <c r="AU551" s="54"/>
      <c r="AV551" s="54"/>
      <c r="AW551" s="54"/>
      <c r="AX551" s="54"/>
      <c r="AY551" s="54"/>
      <c r="AZ551" s="54"/>
      <c r="BA551" s="54"/>
      <c r="BB551" s="54"/>
      <c r="BC551" s="54"/>
    </row>
    <row r="552" spans="1:55">
      <c r="A552" s="45"/>
      <c r="B552" s="45"/>
      <c r="C552" s="45"/>
      <c r="D552" s="45"/>
      <c r="E552" s="45"/>
      <c r="F552" s="45"/>
      <c r="G552" s="45"/>
      <c r="H552" s="45"/>
      <c r="I552" s="45"/>
      <c r="J552" s="45"/>
      <c r="K552" s="45"/>
      <c r="L552" s="45"/>
      <c r="M552" s="45"/>
      <c r="N552" s="45"/>
      <c r="O552" s="54"/>
      <c r="P552" s="54"/>
      <c r="Q552" s="54"/>
      <c r="R552" s="54"/>
      <c r="S552" s="54"/>
      <c r="T552" s="54"/>
      <c r="U552" s="54"/>
      <c r="V552" s="54"/>
      <c r="W552" s="54"/>
      <c r="X552" s="54"/>
      <c r="Y552" s="54"/>
      <c r="Z552" s="54"/>
      <c r="AA552" s="54"/>
      <c r="AB552" s="54"/>
      <c r="AC552" s="54"/>
      <c r="AD552" s="54"/>
      <c r="AE552" s="54"/>
      <c r="AF552" s="54"/>
      <c r="AG552" s="54"/>
      <c r="AH552" s="54"/>
      <c r="AI552" s="54"/>
      <c r="AJ552" s="54"/>
      <c r="AK552" s="54"/>
      <c r="AL552" s="54"/>
      <c r="AM552" s="54"/>
      <c r="AN552" s="54"/>
      <c r="AO552" s="54"/>
      <c r="AP552" s="54"/>
      <c r="AQ552" s="54"/>
      <c r="AR552" s="54"/>
      <c r="AS552" s="54"/>
      <c r="AT552" s="54"/>
      <c r="AU552" s="54"/>
      <c r="AV552" s="54"/>
      <c r="AW552" s="54"/>
      <c r="AX552" s="54"/>
      <c r="AY552" s="54"/>
      <c r="AZ552" s="54"/>
      <c r="BA552" s="54"/>
      <c r="BB552" s="54"/>
      <c r="BC552" s="54"/>
    </row>
    <row r="553" spans="1:55">
      <c r="A553" s="45"/>
      <c r="B553" s="45"/>
      <c r="C553" s="45"/>
      <c r="D553" s="45"/>
      <c r="E553" s="45"/>
      <c r="F553" s="45"/>
      <c r="G553" s="45"/>
      <c r="H553" s="45"/>
      <c r="I553" s="45"/>
      <c r="J553" s="45"/>
      <c r="K553" s="45"/>
      <c r="L553" s="45"/>
      <c r="M553" s="45"/>
      <c r="N553" s="45"/>
      <c r="O553" s="54"/>
      <c r="P553" s="54"/>
      <c r="Q553" s="54"/>
      <c r="R553" s="54"/>
      <c r="S553" s="54"/>
      <c r="T553" s="54"/>
      <c r="U553" s="54"/>
      <c r="V553" s="54"/>
      <c r="W553" s="54"/>
      <c r="X553" s="54"/>
      <c r="Y553" s="54"/>
      <c r="Z553" s="54"/>
      <c r="AA553" s="54"/>
      <c r="AB553" s="54"/>
      <c r="AC553" s="54"/>
      <c r="AD553" s="54"/>
      <c r="AE553" s="54"/>
      <c r="AF553" s="54"/>
      <c r="AG553" s="54"/>
      <c r="AH553" s="54"/>
      <c r="AI553" s="54"/>
      <c r="AJ553" s="54"/>
      <c r="AK553" s="54"/>
      <c r="AL553" s="54"/>
      <c r="AM553" s="54"/>
      <c r="AN553" s="54"/>
      <c r="AO553" s="54"/>
      <c r="AP553" s="54"/>
      <c r="AQ553" s="54"/>
      <c r="AR553" s="54"/>
      <c r="AS553" s="54"/>
      <c r="AT553" s="54"/>
      <c r="AU553" s="54"/>
      <c r="AV553" s="54"/>
      <c r="AW553" s="54"/>
      <c r="AX553" s="54"/>
      <c r="AY553" s="54"/>
      <c r="AZ553" s="54"/>
      <c r="BA553" s="54"/>
      <c r="BB553" s="54"/>
      <c r="BC553" s="54"/>
    </row>
  </sheetData>
  <mergeCells count="393">
    <mergeCell ref="L531:M531"/>
    <mergeCell ref="AC531:AD531"/>
    <mergeCell ref="E532:G532"/>
    <mergeCell ref="H532:I532"/>
    <mergeCell ref="J532:K532"/>
    <mergeCell ref="L532:M532"/>
    <mergeCell ref="AT531:AU531"/>
    <mergeCell ref="AR532:AS532"/>
    <mergeCell ref="AT532:AU532"/>
    <mergeCell ref="V532:X532"/>
    <mergeCell ref="Y532:Z532"/>
    <mergeCell ref="AA532:AB532"/>
    <mergeCell ref="AC532:AD532"/>
    <mergeCell ref="AM532:AO532"/>
    <mergeCell ref="AP532:AQ532"/>
    <mergeCell ref="AT477:AU477"/>
    <mergeCell ref="K497:L497"/>
    <mergeCell ref="AB497:AC497"/>
    <mergeCell ref="X498:Y498"/>
    <mergeCell ref="Z498:AA498"/>
    <mergeCell ref="AB498:AC498"/>
    <mergeCell ref="AM498:AN498"/>
    <mergeCell ref="C528:M528"/>
    <mergeCell ref="T528:AD528"/>
    <mergeCell ref="AK528:AU528"/>
    <mergeCell ref="E498:F498"/>
    <mergeCell ref="G498:H498"/>
    <mergeCell ref="I498:J498"/>
    <mergeCell ref="K498:L498"/>
    <mergeCell ref="AQ498:AR498"/>
    <mergeCell ref="AS498:AT498"/>
    <mergeCell ref="V498:W498"/>
    <mergeCell ref="AO498:AP498"/>
    <mergeCell ref="AB467:AC467"/>
    <mergeCell ref="AS497:AT497"/>
    <mergeCell ref="AQ467:AR467"/>
    <mergeCell ref="AS467:AT467"/>
    <mergeCell ref="T474:AD474"/>
    <mergeCell ref="AK474:AU474"/>
    <mergeCell ref="AO467:AP467"/>
    <mergeCell ref="L477:M477"/>
    <mergeCell ref="AC477:AD477"/>
    <mergeCell ref="AN478:AO478"/>
    <mergeCell ref="AP478:AQ478"/>
    <mergeCell ref="C494:L494"/>
    <mergeCell ref="T494:AC494"/>
    <mergeCell ref="AK494:AT494"/>
    <mergeCell ref="AR478:AS478"/>
    <mergeCell ref="L478:M478"/>
    <mergeCell ref="W478:X478"/>
    <mergeCell ref="Y478:Z478"/>
    <mergeCell ref="AA478:AB478"/>
    <mergeCell ref="AT478:AU478"/>
    <mergeCell ref="F478:G478"/>
    <mergeCell ref="H478:I478"/>
    <mergeCell ref="J478:K478"/>
    <mergeCell ref="AC478:AD478"/>
    <mergeCell ref="C474:M474"/>
    <mergeCell ref="G466:H466"/>
    <mergeCell ref="I466:J466"/>
    <mergeCell ref="K466:L466"/>
    <mergeCell ref="K467:L467"/>
    <mergeCell ref="G467:H467"/>
    <mergeCell ref="I467:J467"/>
    <mergeCell ref="AS464:AT464"/>
    <mergeCell ref="AB466:AC466"/>
    <mergeCell ref="G465:L465"/>
    <mergeCell ref="X465:AC465"/>
    <mergeCell ref="AO465:AT465"/>
    <mergeCell ref="Z464:AA464"/>
    <mergeCell ref="AB464:AC464"/>
    <mergeCell ref="AO464:AP464"/>
    <mergeCell ref="AQ464:AR464"/>
    <mergeCell ref="G464:H464"/>
    <mergeCell ref="X466:Y466"/>
    <mergeCell ref="Z466:AA466"/>
    <mergeCell ref="AO466:AP466"/>
    <mergeCell ref="AQ466:AR466"/>
    <mergeCell ref="AS466:AT466"/>
    <mergeCell ref="X467:Y467"/>
    <mergeCell ref="Z467:AA467"/>
    <mergeCell ref="AS462:AT462"/>
    <mergeCell ref="K464:L464"/>
    <mergeCell ref="X464:Y464"/>
    <mergeCell ref="G463:L463"/>
    <mergeCell ref="X463:AC463"/>
    <mergeCell ref="AO463:AT463"/>
    <mergeCell ref="Z462:AA462"/>
    <mergeCell ref="AB462:AC462"/>
    <mergeCell ref="AO462:AP462"/>
    <mergeCell ref="AQ462:AR462"/>
    <mergeCell ref="G462:H462"/>
    <mergeCell ref="I462:J462"/>
    <mergeCell ref="K462:L462"/>
    <mergeCell ref="X462:Y462"/>
    <mergeCell ref="I464:J464"/>
    <mergeCell ref="G457:L457"/>
    <mergeCell ref="X457:AC457"/>
    <mergeCell ref="AO457:AT457"/>
    <mergeCell ref="I458:J458"/>
    <mergeCell ref="K458:L458"/>
    <mergeCell ref="AS460:AT460"/>
    <mergeCell ref="G461:H461"/>
    <mergeCell ref="I461:J461"/>
    <mergeCell ref="K461:L461"/>
    <mergeCell ref="X461:Y461"/>
    <mergeCell ref="Z461:AA461"/>
    <mergeCell ref="AB461:AC461"/>
    <mergeCell ref="AO461:AP461"/>
    <mergeCell ref="AQ461:AR461"/>
    <mergeCell ref="AS461:AT461"/>
    <mergeCell ref="Z460:AA460"/>
    <mergeCell ref="AB460:AC460"/>
    <mergeCell ref="AO460:AP460"/>
    <mergeCell ref="AQ460:AR460"/>
    <mergeCell ref="G460:H460"/>
    <mergeCell ref="I460:J460"/>
    <mergeCell ref="K460:L460"/>
    <mergeCell ref="X460:Y460"/>
    <mergeCell ref="AS458:AT458"/>
    <mergeCell ref="G459:L459"/>
    <mergeCell ref="X459:AC459"/>
    <mergeCell ref="AO459:AT459"/>
    <mergeCell ref="Z458:AA458"/>
    <mergeCell ref="AB458:AC458"/>
    <mergeCell ref="AO458:AP458"/>
    <mergeCell ref="AQ458:AR458"/>
    <mergeCell ref="G458:H458"/>
    <mergeCell ref="X458:Y458"/>
    <mergeCell ref="AQ455:AR455"/>
    <mergeCell ref="AS455:AT455"/>
    <mergeCell ref="G456:H456"/>
    <mergeCell ref="I456:J456"/>
    <mergeCell ref="K456:L456"/>
    <mergeCell ref="X456:Y456"/>
    <mergeCell ref="AS456:AT456"/>
    <mergeCell ref="Z456:AA456"/>
    <mergeCell ref="AB456:AC456"/>
    <mergeCell ref="AO456:AP456"/>
    <mergeCell ref="AQ456:AR456"/>
    <mergeCell ref="G455:H455"/>
    <mergeCell ref="I455:J455"/>
    <mergeCell ref="K455:L455"/>
    <mergeCell ref="X455:Y455"/>
    <mergeCell ref="Z455:AA455"/>
    <mergeCell ref="AB455:AC455"/>
    <mergeCell ref="AO455:AP455"/>
    <mergeCell ref="Z454:AA454"/>
    <mergeCell ref="AB454:AC454"/>
    <mergeCell ref="G454:H454"/>
    <mergeCell ref="I454:J454"/>
    <mergeCell ref="K454:L454"/>
    <mergeCell ref="X454:Y454"/>
    <mergeCell ref="AO453:AT453"/>
    <mergeCell ref="Z452:AA452"/>
    <mergeCell ref="AB452:AC452"/>
    <mergeCell ref="AO452:AP452"/>
    <mergeCell ref="AQ452:AR452"/>
    <mergeCell ref="AS452:AT452"/>
    <mergeCell ref="AO454:AP454"/>
    <mergeCell ref="AQ454:AR454"/>
    <mergeCell ref="AS454:AT454"/>
    <mergeCell ref="G451:L451"/>
    <mergeCell ref="X451:AC451"/>
    <mergeCell ref="AO451:AT451"/>
    <mergeCell ref="G452:H452"/>
    <mergeCell ref="I452:J452"/>
    <mergeCell ref="K452:L452"/>
    <mergeCell ref="X452:Y452"/>
    <mergeCell ref="G453:L453"/>
    <mergeCell ref="X453:AC453"/>
    <mergeCell ref="K449:L449"/>
    <mergeCell ref="AB449:AC449"/>
    <mergeCell ref="AS449:AT449"/>
    <mergeCell ref="G450:H450"/>
    <mergeCell ref="I450:J450"/>
    <mergeCell ref="K450:L450"/>
    <mergeCell ref="X450:Y450"/>
    <mergeCell ref="Z450:AA450"/>
    <mergeCell ref="AB450:AC450"/>
    <mergeCell ref="AO450:AP450"/>
    <mergeCell ref="AQ450:AR450"/>
    <mergeCell ref="AS450:AT450"/>
    <mergeCell ref="AT405:AU405"/>
    <mergeCell ref="C447:L447"/>
    <mergeCell ref="T447:AC447"/>
    <mergeCell ref="AK447:AT447"/>
    <mergeCell ref="AC405:AD405"/>
    <mergeCell ref="AN405:AO405"/>
    <mergeCell ref="AP405:AQ405"/>
    <mergeCell ref="AR405:AS405"/>
    <mergeCell ref="L404:M404"/>
    <mergeCell ref="AC404:AD404"/>
    <mergeCell ref="AT404:AU404"/>
    <mergeCell ref="F405:G405"/>
    <mergeCell ref="H405:I405"/>
    <mergeCell ref="J405:K405"/>
    <mergeCell ref="L405:M405"/>
    <mergeCell ref="W405:X405"/>
    <mergeCell ref="Y405:Z405"/>
    <mergeCell ref="AA405:AB405"/>
    <mergeCell ref="AR373:AS373"/>
    <mergeCell ref="AT373:AU373"/>
    <mergeCell ref="C401:M401"/>
    <mergeCell ref="T401:AD401"/>
    <mergeCell ref="AK401:AU401"/>
    <mergeCell ref="F373:G373"/>
    <mergeCell ref="L372:M372"/>
    <mergeCell ref="AC372:AD372"/>
    <mergeCell ref="AT372:AU372"/>
    <mergeCell ref="H373:I373"/>
    <mergeCell ref="J373:K373"/>
    <mergeCell ref="L373:M373"/>
    <mergeCell ref="Y373:Z373"/>
    <mergeCell ref="AA373:AB373"/>
    <mergeCell ref="AC373:AD373"/>
    <mergeCell ref="AP373:AQ373"/>
    <mergeCell ref="AT336:AU336"/>
    <mergeCell ref="C368:M368"/>
    <mergeCell ref="T368:AD368"/>
    <mergeCell ref="AK368:AU368"/>
    <mergeCell ref="AC336:AD336"/>
    <mergeCell ref="AN336:AO336"/>
    <mergeCell ref="AP336:AQ336"/>
    <mergeCell ref="AR336:AS336"/>
    <mergeCell ref="L335:M335"/>
    <mergeCell ref="AC335:AD335"/>
    <mergeCell ref="AT335:AU335"/>
    <mergeCell ref="F336:G336"/>
    <mergeCell ref="H336:I336"/>
    <mergeCell ref="J336:K336"/>
    <mergeCell ref="L336:M336"/>
    <mergeCell ref="W336:X336"/>
    <mergeCell ref="Y336:Z336"/>
    <mergeCell ref="AA336:AB336"/>
    <mergeCell ref="C331:M331"/>
    <mergeCell ref="T331:AD331"/>
    <mergeCell ref="AK331:AU331"/>
    <mergeCell ref="AB301:AC301"/>
    <mergeCell ref="AM301:AN301"/>
    <mergeCell ref="AO301:AP301"/>
    <mergeCell ref="AQ301:AR301"/>
    <mergeCell ref="E301:F301"/>
    <mergeCell ref="G301:H301"/>
    <mergeCell ref="I301:J301"/>
    <mergeCell ref="K301:L301"/>
    <mergeCell ref="V301:W301"/>
    <mergeCell ref="K300:L300"/>
    <mergeCell ref="AB300:AC300"/>
    <mergeCell ref="AS300:AT300"/>
    <mergeCell ref="Z301:AA301"/>
    <mergeCell ref="AS301:AT301"/>
    <mergeCell ref="X301:Y301"/>
    <mergeCell ref="AO277:AT277"/>
    <mergeCell ref="AR275:AS275"/>
    <mergeCell ref="AT275:AU275"/>
    <mergeCell ref="AK297:AT297"/>
    <mergeCell ref="G277:L277"/>
    <mergeCell ref="X277:AC277"/>
    <mergeCell ref="C297:L297"/>
    <mergeCell ref="T297:AC297"/>
    <mergeCell ref="AT274:AU274"/>
    <mergeCell ref="F275:G275"/>
    <mergeCell ref="H275:I275"/>
    <mergeCell ref="AC275:AD275"/>
    <mergeCell ref="AN275:AO275"/>
    <mergeCell ref="AA275:AB275"/>
    <mergeCell ref="AP275:AQ275"/>
    <mergeCell ref="E252:H252"/>
    <mergeCell ref="V252:Y252"/>
    <mergeCell ref="J275:K275"/>
    <mergeCell ref="L275:M275"/>
    <mergeCell ref="W275:X275"/>
    <mergeCell ref="Y275:Z275"/>
    <mergeCell ref="L274:M274"/>
    <mergeCell ref="AC274:AD274"/>
    <mergeCell ref="E241:H241"/>
    <mergeCell ref="V241:Y241"/>
    <mergeCell ref="AM241:AP241"/>
    <mergeCell ref="E251:H251"/>
    <mergeCell ref="V251:Y251"/>
    <mergeCell ref="AM251:AP251"/>
    <mergeCell ref="AM252:AP252"/>
    <mergeCell ref="C270:M270"/>
    <mergeCell ref="T270:AD270"/>
    <mergeCell ref="AK270:AU270"/>
    <mergeCell ref="G218:H218"/>
    <mergeCell ref="X218:Y218"/>
    <mergeCell ref="AO218:AP218"/>
    <mergeCell ref="E220:H220"/>
    <mergeCell ref="V220:Y220"/>
    <mergeCell ref="AM220:AP220"/>
    <mergeCell ref="AT172:AU172"/>
    <mergeCell ref="C215:H215"/>
    <mergeCell ref="T215:Y215"/>
    <mergeCell ref="AK215:AP215"/>
    <mergeCell ref="AC172:AD172"/>
    <mergeCell ref="AN172:AO172"/>
    <mergeCell ref="AP172:AQ172"/>
    <mergeCell ref="AR172:AS172"/>
    <mergeCell ref="Y214:Z214"/>
    <mergeCell ref="L170:M170"/>
    <mergeCell ref="AC170:AD170"/>
    <mergeCell ref="AT170:AU170"/>
    <mergeCell ref="F172:G172"/>
    <mergeCell ref="H172:I172"/>
    <mergeCell ref="J172:K172"/>
    <mergeCell ref="L172:M172"/>
    <mergeCell ref="W172:X172"/>
    <mergeCell ref="Y172:Z172"/>
    <mergeCell ref="AA172:AB172"/>
    <mergeCell ref="G144:J144"/>
    <mergeCell ref="X144:AA144"/>
    <mergeCell ref="AO144:AR144"/>
    <mergeCell ref="C167:M167"/>
    <mergeCell ref="T167:AD167"/>
    <mergeCell ref="AK167:AU167"/>
    <mergeCell ref="I142:J142"/>
    <mergeCell ref="Z142:AA142"/>
    <mergeCell ref="AQ142:AR142"/>
    <mergeCell ref="F143:G143"/>
    <mergeCell ref="W143:X143"/>
    <mergeCell ref="AN143:AO143"/>
    <mergeCell ref="C137:J137"/>
    <mergeCell ref="T137:AA137"/>
    <mergeCell ref="AK137:AR137"/>
    <mergeCell ref="C138:J138"/>
    <mergeCell ref="T138:AA138"/>
    <mergeCell ref="AK138:AR138"/>
    <mergeCell ref="E115:P115"/>
    <mergeCell ref="V115:AG115"/>
    <mergeCell ref="AM115:AX115"/>
    <mergeCell ref="E116:P116"/>
    <mergeCell ref="V116:AG116"/>
    <mergeCell ref="AM116:AX116"/>
    <mergeCell ref="E101:P101"/>
    <mergeCell ref="V101:AG101"/>
    <mergeCell ref="AM101:AX101"/>
    <mergeCell ref="Z99:AC99"/>
    <mergeCell ref="AD99:AG99"/>
    <mergeCell ref="AM99:AP99"/>
    <mergeCell ref="E102:P102"/>
    <mergeCell ref="V102:AG102"/>
    <mergeCell ref="AM102:AX102"/>
    <mergeCell ref="O98:P98"/>
    <mergeCell ref="AF98:AG98"/>
    <mergeCell ref="AW98:AX98"/>
    <mergeCell ref="E99:H99"/>
    <mergeCell ref="I99:L99"/>
    <mergeCell ref="M99:P99"/>
    <mergeCell ref="V99:Y99"/>
    <mergeCell ref="G74:J74"/>
    <mergeCell ref="X74:AA74"/>
    <mergeCell ref="AO74:AR74"/>
    <mergeCell ref="C93:P93"/>
    <mergeCell ref="T93:AG93"/>
    <mergeCell ref="AK93:AX93"/>
    <mergeCell ref="AQ99:AT99"/>
    <mergeCell ref="AU99:AX99"/>
    <mergeCell ref="F58:G58"/>
    <mergeCell ref="W58:X58"/>
    <mergeCell ref="AN58:AO58"/>
    <mergeCell ref="G59:J59"/>
    <mergeCell ref="X59:AA59"/>
    <mergeCell ref="AO59:AR59"/>
    <mergeCell ref="I57:J57"/>
    <mergeCell ref="Z57:AA57"/>
    <mergeCell ref="AQ57:AR57"/>
    <mergeCell ref="C53:J53"/>
    <mergeCell ref="T53:AA53"/>
    <mergeCell ref="AK53:AR53"/>
    <mergeCell ref="C52:J52"/>
    <mergeCell ref="T52:AA52"/>
    <mergeCell ref="AK52:AR52"/>
    <mergeCell ref="E25:H25"/>
    <mergeCell ref="V25:Y25"/>
    <mergeCell ref="AM25:AP25"/>
    <mergeCell ref="E39:H39"/>
    <mergeCell ref="V39:Y39"/>
    <mergeCell ref="AM39:AP39"/>
    <mergeCell ref="AA51:AB51"/>
    <mergeCell ref="G15:H15"/>
    <mergeCell ref="X15:Y15"/>
    <mergeCell ref="AO15:AP15"/>
    <mergeCell ref="E17:H17"/>
    <mergeCell ref="V17:Y17"/>
    <mergeCell ref="AM17:AP17"/>
    <mergeCell ref="C10:H10"/>
    <mergeCell ref="T10:Y10"/>
    <mergeCell ref="AK10:AP10"/>
    <mergeCell ref="C11:H11"/>
    <mergeCell ref="T11:Y11"/>
    <mergeCell ref="AK11:AP11"/>
  </mergeCells>
  <phoneticPr fontId="67" type="noConversion"/>
  <conditionalFormatting sqref="W534:AD542 V534 V542 V500:AC518 X452:AC455 X457:AC461 X463:AC467 W480:AD488 W375:AD389 W338:AD354 V253:Y259 W407:AD427 W429:AD433 V303:AC312 V117:AG123 W146:AA155 W278:AD284 W174:AD192 W194:AD201 W60:AA73 V40:Y45 W75:AA77 V103:AG113 V27:Y38 V221:Y226 V228:Y239 V242:Y249 W435:AD436 W438:AD438 W440:AD440">
    <cfRule type="cellIs" dxfId="2" priority="1" stopIfTrue="1" operator="notBetween">
      <formula>-0.05</formula>
      <formula>0.05</formula>
    </cfRule>
  </conditionalFormatting>
  <conditionalFormatting sqref="V535:V541">
    <cfRule type="cellIs" dxfId="1" priority="2" stopIfTrue="1" operator="notBetween">
      <formula>-0.0005</formula>
      <formula>0.0005</formula>
    </cfRule>
  </conditionalFormatting>
  <conditionalFormatting sqref="X451:AC451 W193:AD193 W145:AA145">
    <cfRule type="cellIs" dxfId="0" priority="3" stopIfTrue="1" operator="notEqual">
      <formula>0</formula>
    </cfRule>
  </conditionalFormatting>
  <pageMargins left="0.25" right="0.25" top="0.75" bottom="0.75" header="0.3" footer="0.3"/>
  <pageSetup paperSize="9" scale="70"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Print_Table_0">
                <anchor moveWithCells="1" sizeWithCells="1">
                  <from>
                    <xdr:col>7</xdr:col>
                    <xdr:colOff>390525</xdr:colOff>
                    <xdr:row>8</xdr:row>
                    <xdr:rowOff>66675</xdr:rowOff>
                  </from>
                  <to>
                    <xdr:col>8</xdr:col>
                    <xdr:colOff>533400</xdr:colOff>
                    <xdr:row>10</xdr:row>
                    <xdr:rowOff>66675</xdr:rowOff>
                  </to>
                </anchor>
              </controlPr>
            </control>
          </mc:Choice>
        </mc:AlternateContent>
        <mc:AlternateContent xmlns:mc="http://schemas.openxmlformats.org/markup-compatibility/2006">
          <mc:Choice Requires="x14">
            <control shapeId="23554" r:id="rId5" name="Button 2">
              <controlPr defaultSize="0" print="0" autoFill="0" autoPict="0" macro="[0]!Print_Table_1">
                <anchor moveWithCells="1" sizeWithCells="1">
                  <from>
                    <xdr:col>9</xdr:col>
                    <xdr:colOff>390525</xdr:colOff>
                    <xdr:row>50</xdr:row>
                    <xdr:rowOff>66675</xdr:rowOff>
                  </from>
                  <to>
                    <xdr:col>10</xdr:col>
                    <xdr:colOff>533400</xdr:colOff>
                    <xdr:row>52</xdr:row>
                    <xdr:rowOff>104775</xdr:rowOff>
                  </to>
                </anchor>
              </controlPr>
            </control>
          </mc:Choice>
        </mc:AlternateContent>
        <mc:AlternateContent xmlns:mc="http://schemas.openxmlformats.org/markup-compatibility/2006">
          <mc:Choice Requires="x14">
            <control shapeId="23555" r:id="rId6" name="Button 3">
              <controlPr defaultSize="0" print="0" autoFill="0" autoPict="0" macro="[0]!Print_Table_2">
                <anchor moveWithCells="1" sizeWithCells="1">
                  <from>
                    <xdr:col>15</xdr:col>
                    <xdr:colOff>390525</xdr:colOff>
                    <xdr:row>91</xdr:row>
                    <xdr:rowOff>57150</xdr:rowOff>
                  </from>
                  <to>
                    <xdr:col>16</xdr:col>
                    <xdr:colOff>533400</xdr:colOff>
                    <xdr:row>93</xdr:row>
                    <xdr:rowOff>95250</xdr:rowOff>
                  </to>
                </anchor>
              </controlPr>
            </control>
          </mc:Choice>
        </mc:AlternateContent>
        <mc:AlternateContent xmlns:mc="http://schemas.openxmlformats.org/markup-compatibility/2006">
          <mc:Choice Requires="x14">
            <control shapeId="23556" r:id="rId7" name="Button 4">
              <controlPr defaultSize="0" print="0" autoFill="0" autoPict="0" macro="[0]!Print_Table_3">
                <anchor moveWithCells="1" sizeWithCells="1">
                  <from>
                    <xdr:col>9</xdr:col>
                    <xdr:colOff>400050</xdr:colOff>
                    <xdr:row>135</xdr:row>
                    <xdr:rowOff>57150</xdr:rowOff>
                  </from>
                  <to>
                    <xdr:col>10</xdr:col>
                    <xdr:colOff>552450</xdr:colOff>
                    <xdr:row>137</xdr:row>
                    <xdr:rowOff>95250</xdr:rowOff>
                  </to>
                </anchor>
              </controlPr>
            </control>
          </mc:Choice>
        </mc:AlternateContent>
        <mc:AlternateContent xmlns:mc="http://schemas.openxmlformats.org/markup-compatibility/2006">
          <mc:Choice Requires="x14">
            <control shapeId="23557" r:id="rId8" name="Button 5">
              <controlPr defaultSize="0" print="0" autoFill="0" autoPict="0" macro="[0]!Print_Table_4">
                <anchor moveWithCells="1" sizeWithCells="1">
                  <from>
                    <xdr:col>12</xdr:col>
                    <xdr:colOff>409575</xdr:colOff>
                    <xdr:row>165</xdr:row>
                    <xdr:rowOff>57150</xdr:rowOff>
                  </from>
                  <to>
                    <xdr:col>13</xdr:col>
                    <xdr:colOff>552450</xdr:colOff>
                    <xdr:row>167</xdr:row>
                    <xdr:rowOff>95250</xdr:rowOff>
                  </to>
                </anchor>
              </controlPr>
            </control>
          </mc:Choice>
        </mc:AlternateContent>
        <mc:AlternateContent xmlns:mc="http://schemas.openxmlformats.org/markup-compatibility/2006">
          <mc:Choice Requires="x14">
            <control shapeId="23558" r:id="rId9" name="Button 6">
              <controlPr defaultSize="0" print="0" autoFill="0" autoPict="0" macro="[0]!Print_Table_5">
                <anchor moveWithCells="1" sizeWithCells="1">
                  <from>
                    <xdr:col>7</xdr:col>
                    <xdr:colOff>400050</xdr:colOff>
                    <xdr:row>213</xdr:row>
                    <xdr:rowOff>47625</xdr:rowOff>
                  </from>
                  <to>
                    <xdr:col>8</xdr:col>
                    <xdr:colOff>552450</xdr:colOff>
                    <xdr:row>215</xdr:row>
                    <xdr:rowOff>85725</xdr:rowOff>
                  </to>
                </anchor>
              </controlPr>
            </control>
          </mc:Choice>
        </mc:AlternateContent>
        <mc:AlternateContent xmlns:mc="http://schemas.openxmlformats.org/markup-compatibility/2006">
          <mc:Choice Requires="x14">
            <control shapeId="23559" r:id="rId10" name="Button 7">
              <controlPr defaultSize="0" print="0" autoFill="0" autoPict="0" macro="[0]!Print_Table_6">
                <anchor moveWithCells="1" sizeWithCells="1">
                  <from>
                    <xdr:col>12</xdr:col>
                    <xdr:colOff>390525</xdr:colOff>
                    <xdr:row>268</xdr:row>
                    <xdr:rowOff>76200</xdr:rowOff>
                  </from>
                  <to>
                    <xdr:col>13</xdr:col>
                    <xdr:colOff>533400</xdr:colOff>
                    <xdr:row>270</xdr:row>
                    <xdr:rowOff>123825</xdr:rowOff>
                  </to>
                </anchor>
              </controlPr>
            </control>
          </mc:Choice>
        </mc:AlternateContent>
        <mc:AlternateContent xmlns:mc="http://schemas.openxmlformats.org/markup-compatibility/2006">
          <mc:Choice Requires="x14">
            <control shapeId="23560" r:id="rId11" name="Button 8">
              <controlPr defaultSize="0" print="0" autoFill="0" autoPict="0" macro="[0]!Print_Table_7">
                <anchor moveWithCells="1" sizeWithCells="1">
                  <from>
                    <xdr:col>11</xdr:col>
                    <xdr:colOff>381000</xdr:colOff>
                    <xdr:row>295</xdr:row>
                    <xdr:rowOff>57150</xdr:rowOff>
                  </from>
                  <to>
                    <xdr:col>12</xdr:col>
                    <xdr:colOff>523875</xdr:colOff>
                    <xdr:row>297</xdr:row>
                    <xdr:rowOff>95250</xdr:rowOff>
                  </to>
                </anchor>
              </controlPr>
            </control>
          </mc:Choice>
        </mc:AlternateContent>
        <mc:AlternateContent xmlns:mc="http://schemas.openxmlformats.org/markup-compatibility/2006">
          <mc:Choice Requires="x14">
            <control shapeId="23561" r:id="rId12" name="Button 9">
              <controlPr defaultSize="0" print="0" autoFill="0" autoPict="0" macro="[0]!Print_Table_8">
                <anchor moveWithCells="1" sizeWithCells="1">
                  <from>
                    <xdr:col>12</xdr:col>
                    <xdr:colOff>390525</xdr:colOff>
                    <xdr:row>328</xdr:row>
                    <xdr:rowOff>57150</xdr:rowOff>
                  </from>
                  <to>
                    <xdr:col>13</xdr:col>
                    <xdr:colOff>533400</xdr:colOff>
                    <xdr:row>330</xdr:row>
                    <xdr:rowOff>95250</xdr:rowOff>
                  </to>
                </anchor>
              </controlPr>
            </control>
          </mc:Choice>
        </mc:AlternateContent>
        <mc:AlternateContent xmlns:mc="http://schemas.openxmlformats.org/markup-compatibility/2006">
          <mc:Choice Requires="x14">
            <control shapeId="23562" r:id="rId13" name="Button 10">
              <controlPr defaultSize="0" print="0" autoFill="0" autoPict="0" macro="[0]!Print_Table_9">
                <anchor moveWithCells="1" sizeWithCells="1">
                  <from>
                    <xdr:col>12</xdr:col>
                    <xdr:colOff>381000</xdr:colOff>
                    <xdr:row>365</xdr:row>
                    <xdr:rowOff>57150</xdr:rowOff>
                  </from>
                  <to>
                    <xdr:col>13</xdr:col>
                    <xdr:colOff>523875</xdr:colOff>
                    <xdr:row>367</xdr:row>
                    <xdr:rowOff>95250</xdr:rowOff>
                  </to>
                </anchor>
              </controlPr>
            </control>
          </mc:Choice>
        </mc:AlternateContent>
        <mc:AlternateContent xmlns:mc="http://schemas.openxmlformats.org/markup-compatibility/2006">
          <mc:Choice Requires="x14">
            <control shapeId="23563" r:id="rId14" name="Button 11">
              <controlPr defaultSize="0" print="0" autoFill="0" autoPict="0" macro="[0]!Print_Table_10">
                <anchor moveWithCells="1" sizeWithCells="1">
                  <from>
                    <xdr:col>12</xdr:col>
                    <xdr:colOff>400050</xdr:colOff>
                    <xdr:row>399</xdr:row>
                    <xdr:rowOff>57150</xdr:rowOff>
                  </from>
                  <to>
                    <xdr:col>13</xdr:col>
                    <xdr:colOff>552450</xdr:colOff>
                    <xdr:row>401</xdr:row>
                    <xdr:rowOff>95250</xdr:rowOff>
                  </to>
                </anchor>
              </controlPr>
            </control>
          </mc:Choice>
        </mc:AlternateContent>
        <mc:AlternateContent xmlns:mc="http://schemas.openxmlformats.org/markup-compatibility/2006">
          <mc:Choice Requires="x14">
            <control shapeId="23564" r:id="rId15" name="Button 12">
              <controlPr defaultSize="0" print="0" autoFill="0" autoPict="0" macro="[0]!Print_Table_10a">
                <anchor moveWithCells="1" sizeWithCells="1">
                  <from>
                    <xdr:col>11</xdr:col>
                    <xdr:colOff>390525</xdr:colOff>
                    <xdr:row>445</xdr:row>
                    <xdr:rowOff>66675</xdr:rowOff>
                  </from>
                  <to>
                    <xdr:col>12</xdr:col>
                    <xdr:colOff>533400</xdr:colOff>
                    <xdr:row>447</xdr:row>
                    <xdr:rowOff>104775</xdr:rowOff>
                  </to>
                </anchor>
              </controlPr>
            </control>
          </mc:Choice>
        </mc:AlternateContent>
        <mc:AlternateContent xmlns:mc="http://schemas.openxmlformats.org/markup-compatibility/2006">
          <mc:Choice Requires="x14">
            <control shapeId="23565" r:id="rId16" name="Button 13">
              <controlPr defaultSize="0" print="0" autoFill="0" autoPict="0" macro="[0]!Print_Table_10b">
                <anchor moveWithCells="1" sizeWithCells="1">
                  <from>
                    <xdr:col>12</xdr:col>
                    <xdr:colOff>390525</xdr:colOff>
                    <xdr:row>472</xdr:row>
                    <xdr:rowOff>76200</xdr:rowOff>
                  </from>
                  <to>
                    <xdr:col>13</xdr:col>
                    <xdr:colOff>533400</xdr:colOff>
                    <xdr:row>474</xdr:row>
                    <xdr:rowOff>114300</xdr:rowOff>
                  </to>
                </anchor>
              </controlPr>
            </control>
          </mc:Choice>
        </mc:AlternateContent>
        <mc:AlternateContent xmlns:mc="http://schemas.openxmlformats.org/markup-compatibility/2006">
          <mc:Choice Requires="x14">
            <control shapeId="23566" r:id="rId17" name="Button 14">
              <controlPr defaultSize="0" print="0" autoFill="0" autoPict="0" macro="[0]!Print_Table_11">
                <anchor moveWithCells="1" sizeWithCells="1">
                  <from>
                    <xdr:col>11</xdr:col>
                    <xdr:colOff>390525</xdr:colOff>
                    <xdr:row>492</xdr:row>
                    <xdr:rowOff>66675</xdr:rowOff>
                  </from>
                  <to>
                    <xdr:col>12</xdr:col>
                    <xdr:colOff>533400</xdr:colOff>
                    <xdr:row>494</xdr:row>
                    <xdr:rowOff>104775</xdr:rowOff>
                  </to>
                </anchor>
              </controlPr>
            </control>
          </mc:Choice>
        </mc:AlternateContent>
        <mc:AlternateContent xmlns:mc="http://schemas.openxmlformats.org/markup-compatibility/2006">
          <mc:Choice Requires="x14">
            <control shapeId="23567" r:id="rId18" name="Button 15">
              <controlPr defaultSize="0" print="0" autoFill="0" autoPict="0" macro="[0]!Print_Table_12">
                <anchor moveWithCells="1" sizeWithCells="1">
                  <from>
                    <xdr:col>12</xdr:col>
                    <xdr:colOff>400050</xdr:colOff>
                    <xdr:row>526</xdr:row>
                    <xdr:rowOff>66675</xdr:rowOff>
                  </from>
                  <to>
                    <xdr:col>13</xdr:col>
                    <xdr:colOff>552450</xdr:colOff>
                    <xdr:row>528</xdr:row>
                    <xdr:rowOff>104775</xdr:rowOff>
                  </to>
                </anchor>
              </controlPr>
            </control>
          </mc:Choice>
        </mc:AlternateContent>
        <mc:AlternateContent xmlns:mc="http://schemas.openxmlformats.org/markup-compatibility/2006">
          <mc:Choice Requires="x14">
            <control shapeId="23568" r:id="rId19" name="Button 16">
              <controlPr defaultSize="0" print="0" autoFill="0" autoPict="0" macro="[0]!TablesNavigationMacros.Print_Tables_all">
                <anchor moveWithCells="1" sizeWithCells="1">
                  <from>
                    <xdr:col>6</xdr:col>
                    <xdr:colOff>0</xdr:colOff>
                    <xdr:row>1</xdr:row>
                    <xdr:rowOff>38100</xdr:rowOff>
                  </from>
                  <to>
                    <xdr:col>6</xdr:col>
                    <xdr:colOff>0</xdr:colOff>
                    <xdr:row>5</xdr:row>
                    <xdr:rowOff>9525</xdr:rowOff>
                  </to>
                </anchor>
              </controlPr>
            </control>
          </mc:Choice>
        </mc:AlternateContent>
        <mc:AlternateContent xmlns:mc="http://schemas.openxmlformats.org/markup-compatibility/2006">
          <mc:Choice Requires="x14">
            <control shapeId="23569" r:id="rId20" name="Button 17">
              <controlPr defaultSize="0" print="0" autoFill="0" autoPict="0" macro="[0]!Go_to_Table_0">
                <anchor moveWithCells="1" sizeWithCells="1">
                  <from>
                    <xdr:col>6</xdr:col>
                    <xdr:colOff>0</xdr:colOff>
                    <xdr:row>1</xdr:row>
                    <xdr:rowOff>38100</xdr:rowOff>
                  </from>
                  <to>
                    <xdr:col>8</xdr:col>
                    <xdr:colOff>133350</xdr:colOff>
                    <xdr:row>2</xdr:row>
                    <xdr:rowOff>95250</xdr:rowOff>
                  </to>
                </anchor>
              </controlPr>
            </control>
          </mc:Choice>
        </mc:AlternateContent>
        <mc:AlternateContent xmlns:mc="http://schemas.openxmlformats.org/markup-compatibility/2006">
          <mc:Choice Requires="x14">
            <control shapeId="23571" r:id="rId21" name="Button 19">
              <controlPr defaultSize="0" print="0" autoFill="0" autoPict="0" macro="[0]!Go_to_Table_1">
                <anchor moveWithCells="1" sizeWithCells="1">
                  <from>
                    <xdr:col>8</xdr:col>
                    <xdr:colOff>133350</xdr:colOff>
                    <xdr:row>1</xdr:row>
                    <xdr:rowOff>38100</xdr:rowOff>
                  </from>
                  <to>
                    <xdr:col>9</xdr:col>
                    <xdr:colOff>285750</xdr:colOff>
                    <xdr:row>2</xdr:row>
                    <xdr:rowOff>95250</xdr:rowOff>
                  </to>
                </anchor>
              </controlPr>
            </control>
          </mc:Choice>
        </mc:AlternateContent>
        <mc:AlternateContent xmlns:mc="http://schemas.openxmlformats.org/markup-compatibility/2006">
          <mc:Choice Requires="x14">
            <control shapeId="23572" r:id="rId22" name="Button 20">
              <controlPr defaultSize="0" print="0" autoFill="0" autoPict="0" macro="[0]!Go_to_Table_2">
                <anchor moveWithCells="1" sizeWithCells="1">
                  <from>
                    <xdr:col>9</xdr:col>
                    <xdr:colOff>285750</xdr:colOff>
                    <xdr:row>1</xdr:row>
                    <xdr:rowOff>38100</xdr:rowOff>
                  </from>
                  <to>
                    <xdr:col>10</xdr:col>
                    <xdr:colOff>447675</xdr:colOff>
                    <xdr:row>2</xdr:row>
                    <xdr:rowOff>95250</xdr:rowOff>
                  </to>
                </anchor>
              </controlPr>
            </control>
          </mc:Choice>
        </mc:AlternateContent>
        <mc:AlternateContent xmlns:mc="http://schemas.openxmlformats.org/markup-compatibility/2006">
          <mc:Choice Requires="x14">
            <control shapeId="23573" r:id="rId23" name="Button 21">
              <controlPr defaultSize="0" print="0" autoFill="0" autoPict="0" macro="[0]!Go_to_Table_3">
                <anchor moveWithCells="1" sizeWithCells="1">
                  <from>
                    <xdr:col>10</xdr:col>
                    <xdr:colOff>447675</xdr:colOff>
                    <xdr:row>1</xdr:row>
                    <xdr:rowOff>38100</xdr:rowOff>
                  </from>
                  <to>
                    <xdr:col>12</xdr:col>
                    <xdr:colOff>9525</xdr:colOff>
                    <xdr:row>2</xdr:row>
                    <xdr:rowOff>95250</xdr:rowOff>
                  </to>
                </anchor>
              </controlPr>
            </control>
          </mc:Choice>
        </mc:AlternateContent>
        <mc:AlternateContent xmlns:mc="http://schemas.openxmlformats.org/markup-compatibility/2006">
          <mc:Choice Requires="x14">
            <control shapeId="23574" r:id="rId24" name="Button 22">
              <controlPr defaultSize="0" print="0" autoFill="0" autoPict="0" macro="[0]!Go_to_Table_4">
                <anchor moveWithCells="1" sizeWithCells="1">
                  <from>
                    <xdr:col>12</xdr:col>
                    <xdr:colOff>9525</xdr:colOff>
                    <xdr:row>1</xdr:row>
                    <xdr:rowOff>38100</xdr:rowOff>
                  </from>
                  <to>
                    <xdr:col>13</xdr:col>
                    <xdr:colOff>171450</xdr:colOff>
                    <xdr:row>2</xdr:row>
                    <xdr:rowOff>95250</xdr:rowOff>
                  </to>
                </anchor>
              </controlPr>
            </control>
          </mc:Choice>
        </mc:AlternateContent>
        <mc:AlternateContent xmlns:mc="http://schemas.openxmlformats.org/markup-compatibility/2006">
          <mc:Choice Requires="x14">
            <control shapeId="23575" r:id="rId25" name="Button 23">
              <controlPr defaultSize="0" print="0" autoFill="0" autoPict="0" macro="[0]!Go_to_Table_5">
                <anchor moveWithCells="1" sizeWithCells="1">
                  <from>
                    <xdr:col>6</xdr:col>
                    <xdr:colOff>0</xdr:colOff>
                    <xdr:row>2</xdr:row>
                    <xdr:rowOff>95250</xdr:rowOff>
                  </from>
                  <to>
                    <xdr:col>8</xdr:col>
                    <xdr:colOff>133350</xdr:colOff>
                    <xdr:row>3</xdr:row>
                    <xdr:rowOff>133350</xdr:rowOff>
                  </to>
                </anchor>
              </controlPr>
            </control>
          </mc:Choice>
        </mc:AlternateContent>
        <mc:AlternateContent xmlns:mc="http://schemas.openxmlformats.org/markup-compatibility/2006">
          <mc:Choice Requires="x14">
            <control shapeId="23576" r:id="rId26" name="Button 24">
              <controlPr defaultSize="0" print="0" autoFill="0" autoPict="0" macro="[0]!Go_to_Table_6">
                <anchor moveWithCells="1" sizeWithCells="1">
                  <from>
                    <xdr:col>8</xdr:col>
                    <xdr:colOff>133350</xdr:colOff>
                    <xdr:row>2</xdr:row>
                    <xdr:rowOff>95250</xdr:rowOff>
                  </from>
                  <to>
                    <xdr:col>9</xdr:col>
                    <xdr:colOff>285750</xdr:colOff>
                    <xdr:row>3</xdr:row>
                    <xdr:rowOff>133350</xdr:rowOff>
                  </to>
                </anchor>
              </controlPr>
            </control>
          </mc:Choice>
        </mc:AlternateContent>
        <mc:AlternateContent xmlns:mc="http://schemas.openxmlformats.org/markup-compatibility/2006">
          <mc:Choice Requires="x14">
            <control shapeId="23577" r:id="rId27" name="Button 25">
              <controlPr defaultSize="0" print="0" autoFill="0" autoPict="0" macro="[0]!Go_to_Table_7">
                <anchor moveWithCells="1" sizeWithCells="1">
                  <from>
                    <xdr:col>9</xdr:col>
                    <xdr:colOff>285750</xdr:colOff>
                    <xdr:row>2</xdr:row>
                    <xdr:rowOff>95250</xdr:rowOff>
                  </from>
                  <to>
                    <xdr:col>10</xdr:col>
                    <xdr:colOff>447675</xdr:colOff>
                    <xdr:row>3</xdr:row>
                    <xdr:rowOff>133350</xdr:rowOff>
                  </to>
                </anchor>
              </controlPr>
            </control>
          </mc:Choice>
        </mc:AlternateContent>
        <mc:AlternateContent xmlns:mc="http://schemas.openxmlformats.org/markup-compatibility/2006">
          <mc:Choice Requires="x14">
            <control shapeId="23578" r:id="rId28" name="Button 26">
              <controlPr defaultSize="0" print="0" autoFill="0" autoPict="0" macro="[0]!Go_to_Table_8">
                <anchor moveWithCells="1" sizeWithCells="1">
                  <from>
                    <xdr:col>10</xdr:col>
                    <xdr:colOff>447675</xdr:colOff>
                    <xdr:row>2</xdr:row>
                    <xdr:rowOff>95250</xdr:rowOff>
                  </from>
                  <to>
                    <xdr:col>12</xdr:col>
                    <xdr:colOff>9525</xdr:colOff>
                    <xdr:row>3</xdr:row>
                    <xdr:rowOff>133350</xdr:rowOff>
                  </to>
                </anchor>
              </controlPr>
            </control>
          </mc:Choice>
        </mc:AlternateContent>
        <mc:AlternateContent xmlns:mc="http://schemas.openxmlformats.org/markup-compatibility/2006">
          <mc:Choice Requires="x14">
            <control shapeId="23579" r:id="rId29" name="Button 27">
              <controlPr defaultSize="0" print="0" autoFill="0" autoPict="0" macro="[0]!Go_to_Table_9">
                <anchor moveWithCells="1" sizeWithCells="1">
                  <from>
                    <xdr:col>12</xdr:col>
                    <xdr:colOff>9525</xdr:colOff>
                    <xdr:row>2</xdr:row>
                    <xdr:rowOff>95250</xdr:rowOff>
                  </from>
                  <to>
                    <xdr:col>13</xdr:col>
                    <xdr:colOff>171450</xdr:colOff>
                    <xdr:row>3</xdr:row>
                    <xdr:rowOff>133350</xdr:rowOff>
                  </to>
                </anchor>
              </controlPr>
            </control>
          </mc:Choice>
        </mc:AlternateContent>
        <mc:AlternateContent xmlns:mc="http://schemas.openxmlformats.org/markup-compatibility/2006">
          <mc:Choice Requires="x14">
            <control shapeId="23580" r:id="rId30" name="Button 28">
              <controlPr defaultSize="0" print="0" autoFill="0" autoPict="0" macro="[0]!Go_to_Table_10">
                <anchor moveWithCells="1" sizeWithCells="1">
                  <from>
                    <xdr:col>6</xdr:col>
                    <xdr:colOff>0</xdr:colOff>
                    <xdr:row>3</xdr:row>
                    <xdr:rowOff>133350</xdr:rowOff>
                  </from>
                  <to>
                    <xdr:col>8</xdr:col>
                    <xdr:colOff>133350</xdr:colOff>
                    <xdr:row>5</xdr:row>
                    <xdr:rowOff>9525</xdr:rowOff>
                  </to>
                </anchor>
              </controlPr>
            </control>
          </mc:Choice>
        </mc:AlternateContent>
        <mc:AlternateContent xmlns:mc="http://schemas.openxmlformats.org/markup-compatibility/2006">
          <mc:Choice Requires="x14">
            <control shapeId="23581" r:id="rId31" name="Button 29">
              <controlPr defaultSize="0" print="0" autoFill="0" autoPict="0" macro="[0]!Go_to_Table_10a">
                <anchor moveWithCells="1" sizeWithCells="1">
                  <from>
                    <xdr:col>8</xdr:col>
                    <xdr:colOff>133350</xdr:colOff>
                    <xdr:row>3</xdr:row>
                    <xdr:rowOff>133350</xdr:rowOff>
                  </from>
                  <to>
                    <xdr:col>9</xdr:col>
                    <xdr:colOff>285750</xdr:colOff>
                    <xdr:row>5</xdr:row>
                    <xdr:rowOff>9525</xdr:rowOff>
                  </to>
                </anchor>
              </controlPr>
            </control>
          </mc:Choice>
        </mc:AlternateContent>
        <mc:AlternateContent xmlns:mc="http://schemas.openxmlformats.org/markup-compatibility/2006">
          <mc:Choice Requires="x14">
            <control shapeId="23582" r:id="rId32" name="Button 30">
              <controlPr defaultSize="0" print="0" autoFill="0" autoPict="0" macro="[0]!TablesNavigationMacros.Go_to_Table_10b">
                <anchor moveWithCells="1" sizeWithCells="1">
                  <from>
                    <xdr:col>9</xdr:col>
                    <xdr:colOff>285750</xdr:colOff>
                    <xdr:row>3</xdr:row>
                    <xdr:rowOff>133350</xdr:rowOff>
                  </from>
                  <to>
                    <xdr:col>10</xdr:col>
                    <xdr:colOff>447675</xdr:colOff>
                    <xdr:row>5</xdr:row>
                    <xdr:rowOff>9525</xdr:rowOff>
                  </to>
                </anchor>
              </controlPr>
            </control>
          </mc:Choice>
        </mc:AlternateContent>
        <mc:AlternateContent xmlns:mc="http://schemas.openxmlformats.org/markup-compatibility/2006">
          <mc:Choice Requires="x14">
            <control shapeId="23583" r:id="rId33" name="Button 31">
              <controlPr defaultSize="0" print="0" autoFill="0" autoPict="0" macro="[0]!Go_to_Table_11">
                <anchor moveWithCells="1" sizeWithCells="1">
                  <from>
                    <xdr:col>10</xdr:col>
                    <xdr:colOff>447675</xdr:colOff>
                    <xdr:row>3</xdr:row>
                    <xdr:rowOff>133350</xdr:rowOff>
                  </from>
                  <to>
                    <xdr:col>12</xdr:col>
                    <xdr:colOff>9525</xdr:colOff>
                    <xdr:row>5</xdr:row>
                    <xdr:rowOff>9525</xdr:rowOff>
                  </to>
                </anchor>
              </controlPr>
            </control>
          </mc:Choice>
        </mc:AlternateContent>
        <mc:AlternateContent xmlns:mc="http://schemas.openxmlformats.org/markup-compatibility/2006">
          <mc:Choice Requires="x14">
            <control shapeId="23584" r:id="rId34" name="Button 32">
              <controlPr defaultSize="0" print="0" autoFill="0" autoPict="0" macro="[0]!Go_to_Table_12">
                <anchor moveWithCells="1" sizeWithCells="1">
                  <from>
                    <xdr:col>12</xdr:col>
                    <xdr:colOff>9525</xdr:colOff>
                    <xdr:row>3</xdr:row>
                    <xdr:rowOff>133350</xdr:rowOff>
                  </from>
                  <to>
                    <xdr:col>13</xdr:col>
                    <xdr:colOff>171450</xdr:colOff>
                    <xdr:row>5</xdr:row>
                    <xdr:rowOff>9525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7">
    <tabColor theme="5" tint="0.39997558519241921"/>
    <pageSetUpPr autoPageBreaks="0" fitToPage="1"/>
  </sheetPr>
  <dimension ref="A2:FC161"/>
  <sheetViews>
    <sheetView tabSelected="1" workbookViewId="0">
      <selection activeCell="H12" sqref="H12"/>
    </sheetView>
  </sheetViews>
  <sheetFormatPr defaultColWidth="9.1328125" defaultRowHeight="12.75"/>
  <cols>
    <col min="1" max="1" width="42.1328125" style="3227" customWidth="1"/>
    <col min="2" max="2" width="9.1328125" style="3227" customWidth="1"/>
    <col min="3" max="3" width="11.86328125" style="3227" customWidth="1"/>
    <col min="4" max="4" width="12.265625" style="3228" customWidth="1"/>
    <col min="5" max="5" width="9.1328125" style="3227"/>
    <col min="6" max="6" width="9.73046875" style="3230" customWidth="1"/>
    <col min="7" max="7" width="71" style="3227" customWidth="1"/>
    <col min="8" max="12" width="10" style="3227" customWidth="1"/>
    <col min="13" max="13" width="10.1328125" style="3227" customWidth="1"/>
    <col min="14" max="16" width="10.1328125" style="3231" customWidth="1"/>
    <col min="17" max="32" width="8.3984375" style="3227" customWidth="1"/>
    <col min="33" max="37" width="6.3984375" style="3227" customWidth="1"/>
    <col min="38" max="16384" width="9.1328125" style="3227"/>
  </cols>
  <sheetData>
    <row r="2" spans="1:159" s="3202" customFormat="1" ht="15.75" customHeight="1">
      <c r="D2" s="3203"/>
      <c r="F2" s="3204"/>
      <c r="N2" s="3205"/>
      <c r="O2" s="3205"/>
      <c r="P2" s="3205"/>
    </row>
    <row r="3" spans="1:159" s="3202" customFormat="1" ht="15">
      <c r="D3" s="3203"/>
      <c r="F3" s="3204"/>
      <c r="G3" s="3206" t="s">
        <v>1433</v>
      </c>
      <c r="N3" s="3205"/>
      <c r="O3" s="3205"/>
      <c r="P3" s="3205"/>
    </row>
    <row r="4" spans="1:159" s="3207" customFormat="1" ht="15">
      <c r="D4" s="3208"/>
      <c r="G4" s="3209" t="s">
        <v>1941</v>
      </c>
      <c r="H4" s="3210" t="s">
        <v>990</v>
      </c>
      <c r="I4" s="3211"/>
      <c r="J4" s="3212"/>
      <c r="K4" s="3211"/>
      <c r="L4" s="3211"/>
      <c r="M4" s="3213"/>
      <c r="N4" s="3214"/>
      <c r="O4" s="3214"/>
      <c r="P4" s="3214"/>
    </row>
    <row r="5" spans="1:159" s="3207" customFormat="1" ht="15">
      <c r="D5" s="3208"/>
      <c r="G5" s="3209" t="s">
        <v>1942</v>
      </c>
      <c r="H5" s="3215" t="s">
        <v>991</v>
      </c>
      <c r="I5" s="3216"/>
      <c r="J5" s="3217" t="str">
        <f>Country</f>
        <v>Sweden</v>
      </c>
      <c r="K5" s="3211"/>
      <c r="L5" s="3211"/>
      <c r="M5" s="3213"/>
      <c r="N5" s="3214"/>
      <c r="O5" s="3214"/>
      <c r="P5" s="3214"/>
    </row>
    <row r="6" spans="1:159" s="3207" customFormat="1" ht="15">
      <c r="D6" s="3208"/>
      <c r="G6" s="3209" t="s">
        <v>1943</v>
      </c>
      <c r="H6" s="3218" t="s">
        <v>694</v>
      </c>
      <c r="I6" s="3219"/>
      <c r="J6" s="3220" t="str">
        <f>Transfer!E95</f>
        <v>SWE</v>
      </c>
      <c r="K6" s="3211"/>
      <c r="L6" s="3211"/>
      <c r="M6" s="3213"/>
      <c r="N6" s="3214"/>
      <c r="O6" s="3214"/>
      <c r="P6" s="3214"/>
    </row>
    <row r="7" spans="1:159" s="3202" customFormat="1" ht="14.25" customHeight="1">
      <c r="D7" s="3203"/>
      <c r="F7" s="3221"/>
      <c r="I7" s="3202" t="s">
        <v>2066</v>
      </c>
      <c r="J7" s="3220" t="s">
        <v>2274</v>
      </c>
      <c r="N7" s="3205"/>
      <c r="O7" s="3205"/>
      <c r="P7" s="3205"/>
      <c r="Q7" s="3205"/>
      <c r="R7" s="3205"/>
      <c r="S7" s="3205"/>
      <c r="T7" s="3205"/>
      <c r="U7" s="3205"/>
      <c r="V7" s="3205"/>
      <c r="W7" s="3205"/>
      <c r="X7" s="3205"/>
      <c r="Y7" s="3205"/>
      <c r="Z7" s="3205"/>
      <c r="AA7" s="3205"/>
      <c r="AB7" s="3205"/>
      <c r="AC7" s="3205"/>
      <c r="AD7" s="3205"/>
      <c r="AE7" s="3205"/>
      <c r="AF7" s="3205"/>
    </row>
    <row r="8" spans="1:159" s="3202" customFormat="1" ht="15" customHeight="1">
      <c r="D8" s="3203"/>
      <c r="F8" s="3221"/>
      <c r="L8" s="3222"/>
      <c r="N8" s="3205"/>
      <c r="O8" s="3205"/>
      <c r="P8" s="3205"/>
      <c r="Q8" s="3205"/>
      <c r="R8" s="3205"/>
      <c r="S8" s="3205"/>
      <c r="T8" s="3205"/>
      <c r="U8" s="3205"/>
      <c r="V8" s="3205"/>
      <c r="W8" s="3205"/>
      <c r="X8" s="3205"/>
      <c r="Y8" s="3205"/>
      <c r="Z8" s="3205"/>
      <c r="AA8" s="3205"/>
      <c r="AB8" s="3205"/>
      <c r="AC8" s="3205"/>
      <c r="AD8" s="3205"/>
      <c r="AE8" s="3205"/>
      <c r="AF8" s="3205"/>
    </row>
    <row r="9" spans="1:159" s="3223" customFormat="1" ht="13.15">
      <c r="D9" s="3224"/>
      <c r="G9" s="3225"/>
      <c r="H9" s="3226">
        <v>1</v>
      </c>
      <c r="I9" s="3226">
        <f t="shared" ref="I9:AF9" si="0">H9+1</f>
        <v>2</v>
      </c>
      <c r="J9" s="3226">
        <f t="shared" si="0"/>
        <v>3</v>
      </c>
      <c r="K9" s="3226">
        <f t="shared" si="0"/>
        <v>4</v>
      </c>
      <c r="L9" s="3226">
        <f t="shared" si="0"/>
        <v>5</v>
      </c>
      <c r="M9" s="3226">
        <f t="shared" si="0"/>
        <v>6</v>
      </c>
      <c r="N9" s="3226">
        <f t="shared" si="0"/>
        <v>7</v>
      </c>
      <c r="O9" s="3226">
        <f t="shared" si="0"/>
        <v>8</v>
      </c>
      <c r="P9" s="3226">
        <f t="shared" si="0"/>
        <v>9</v>
      </c>
      <c r="Q9" s="3226">
        <f t="shared" si="0"/>
        <v>10</v>
      </c>
      <c r="R9" s="3226">
        <f t="shared" si="0"/>
        <v>11</v>
      </c>
      <c r="S9" s="3226">
        <f t="shared" si="0"/>
        <v>12</v>
      </c>
      <c r="T9" s="3226">
        <f t="shared" si="0"/>
        <v>13</v>
      </c>
      <c r="U9" s="3226">
        <f t="shared" si="0"/>
        <v>14</v>
      </c>
      <c r="V9" s="3226">
        <f t="shared" si="0"/>
        <v>15</v>
      </c>
      <c r="W9" s="3226">
        <f t="shared" si="0"/>
        <v>16</v>
      </c>
      <c r="X9" s="3226">
        <f t="shared" si="0"/>
        <v>17</v>
      </c>
      <c r="Y9" s="3226">
        <f t="shared" si="0"/>
        <v>18</v>
      </c>
      <c r="Z9" s="3226">
        <f t="shared" si="0"/>
        <v>19</v>
      </c>
      <c r="AA9" s="3226">
        <f t="shared" si="0"/>
        <v>20</v>
      </c>
      <c r="AB9" s="3226">
        <f t="shared" si="0"/>
        <v>21</v>
      </c>
      <c r="AC9" s="3226">
        <f t="shared" si="0"/>
        <v>22</v>
      </c>
      <c r="AD9" s="3226">
        <f t="shared" si="0"/>
        <v>23</v>
      </c>
      <c r="AE9" s="3226">
        <f t="shared" si="0"/>
        <v>24</v>
      </c>
      <c r="AF9" s="3226">
        <f t="shared" si="0"/>
        <v>25</v>
      </c>
    </row>
    <row r="10" spans="1:159">
      <c r="D10" s="3228" t="s">
        <v>2067</v>
      </c>
      <c r="E10" s="3228" t="s">
        <v>2068</v>
      </c>
      <c r="F10" s="3229" t="s">
        <v>2069</v>
      </c>
      <c r="I10" s="3228"/>
      <c r="J10" s="3228"/>
      <c r="K10" s="3228"/>
      <c r="L10" s="3228"/>
      <c r="M10" s="3228"/>
      <c r="N10" s="3228"/>
      <c r="O10" s="3228"/>
      <c r="P10" s="3228"/>
      <c r="Q10" s="3228"/>
      <c r="R10" s="3228"/>
      <c r="S10" s="3228"/>
      <c r="T10" s="3228"/>
      <c r="U10" s="3228"/>
      <c r="V10" s="3228"/>
      <c r="W10" s="3228"/>
      <c r="X10" s="3228"/>
      <c r="Y10" s="3228"/>
      <c r="Z10" s="3228"/>
      <c r="AA10" s="3228"/>
      <c r="AB10" s="3228"/>
      <c r="AC10" s="3228"/>
      <c r="AD10" s="3228"/>
      <c r="AE10" s="3228"/>
      <c r="AF10" s="3228"/>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row>
    <row r="11" spans="1:159">
      <c r="A11" s="3383" t="s">
        <v>2070</v>
      </c>
      <c r="B11" s="3383" t="s">
        <v>2071</v>
      </c>
      <c r="C11" s="3383" t="s">
        <v>2072</v>
      </c>
      <c r="D11" s="3383" t="s">
        <v>2073</v>
      </c>
      <c r="E11" s="3383" t="s">
        <v>2291</v>
      </c>
      <c r="F11" s="3383"/>
      <c r="G11" s="3383"/>
      <c r="H11" s="3383">
        <v>1996</v>
      </c>
      <c r="I11" s="3383">
        <f>H11+1</f>
        <v>1997</v>
      </c>
      <c r="J11" s="3383">
        <f>I11+1</f>
        <v>1998</v>
      </c>
      <c r="K11" s="3383">
        <f>J11+1</f>
        <v>1999</v>
      </c>
      <c r="L11" s="3383">
        <f>K11+1</f>
        <v>2000</v>
      </c>
      <c r="M11" s="3383">
        <f t="shared" ref="M11:AF11" si="1">L11+1</f>
        <v>2001</v>
      </c>
      <c r="N11" s="3383">
        <f t="shared" si="1"/>
        <v>2002</v>
      </c>
      <c r="O11" s="3383">
        <f t="shared" si="1"/>
        <v>2003</v>
      </c>
      <c r="P11" s="3383">
        <f t="shared" si="1"/>
        <v>2004</v>
      </c>
      <c r="Q11" s="3383">
        <f t="shared" si="1"/>
        <v>2005</v>
      </c>
      <c r="R11" s="3383">
        <f t="shared" si="1"/>
        <v>2006</v>
      </c>
      <c r="S11" s="3383">
        <f t="shared" si="1"/>
        <v>2007</v>
      </c>
      <c r="T11" s="3383">
        <f t="shared" si="1"/>
        <v>2008</v>
      </c>
      <c r="U11" s="3383">
        <f t="shared" si="1"/>
        <v>2009</v>
      </c>
      <c r="V11" s="3383">
        <f t="shared" si="1"/>
        <v>2010</v>
      </c>
      <c r="W11" s="3383">
        <f t="shared" si="1"/>
        <v>2011</v>
      </c>
      <c r="X11" s="3383">
        <f t="shared" si="1"/>
        <v>2012</v>
      </c>
      <c r="Y11" s="3383">
        <f t="shared" si="1"/>
        <v>2013</v>
      </c>
      <c r="Z11" s="3383">
        <f t="shared" si="1"/>
        <v>2014</v>
      </c>
      <c r="AA11" s="3383">
        <f t="shared" si="1"/>
        <v>2015</v>
      </c>
      <c r="AB11" s="3383">
        <f t="shared" si="1"/>
        <v>2016</v>
      </c>
      <c r="AC11" s="3383">
        <f t="shared" si="1"/>
        <v>2017</v>
      </c>
      <c r="AD11" s="3383">
        <f t="shared" si="1"/>
        <v>2018</v>
      </c>
      <c r="AE11" s="3383">
        <f t="shared" si="1"/>
        <v>2019</v>
      </c>
      <c r="AF11" s="3383">
        <f t="shared" si="1"/>
        <v>2020</v>
      </c>
      <c r="AG11"/>
      <c r="AH11"/>
      <c r="AI11"/>
      <c r="AJ11">
        <v>1</v>
      </c>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row>
    <row r="12" spans="1:159">
      <c r="A12" s="3383" t="str">
        <f>CONCATENATE($I$7,$J$7)</f>
        <v>\\DG ECFIN\Forecast\Country databases\Desk transfer databases\SE</v>
      </c>
      <c r="B12" s="3383" t="str">
        <f>$J$7</f>
        <v>SE</v>
      </c>
      <c r="C12" s="3383" t="s">
        <v>2074</v>
      </c>
      <c r="D12" s="3383" t="s">
        <v>2075</v>
      </c>
      <c r="E12" s="3383" t="s">
        <v>2076</v>
      </c>
      <c r="F12" s="3383">
        <v>1</v>
      </c>
      <c r="G12" s="3383" t="s">
        <v>1257</v>
      </c>
      <c r="H12" s="3383">
        <f ca="1">IF(ISNUMBER('VVP2'!H165),'VVP2'!H165,"n.a.")</f>
        <v>909.90277087035986</v>
      </c>
      <c r="I12" s="3383">
        <f ca="1">IF(ISNUMBER('VVP2'!I165),'VVP2'!I165,"n.a.")</f>
        <v>944.05087579691576</v>
      </c>
      <c r="J12" s="3383">
        <f ca="1">IF(ISNUMBER('VVP2'!J165),'VVP2'!J165,"n.a.")</f>
        <v>989.22385330145448</v>
      </c>
      <c r="K12" s="3383">
        <f ca="1">IF(ISNUMBER('VVP2'!K165),'VVP2'!K165,"n.a.")</f>
        <v>1033.7760362386175</v>
      </c>
      <c r="L12" s="3383">
        <f ca="1">IF(ISNUMBER('VVP2'!L165),'VVP2'!L165,"n.a.")</f>
        <v>1104.0900121104023</v>
      </c>
      <c r="M12" s="3383">
        <f ca="1">IF(ISNUMBER('VVP2'!M165),'VVP2'!M165,"n.a.")</f>
        <v>1123.1133239371541</v>
      </c>
      <c r="N12" s="3383">
        <f ca="1">IF(ISNUMBER('VVP2'!N165),'VVP2'!N165,"n.a.")</f>
        <v>1177.194343673739</v>
      </c>
      <c r="O12" s="3383">
        <f ca="1">IF(ISNUMBER('VVP2'!O165),'VVP2'!O165,"n.a.")</f>
        <v>1221.8137248657636</v>
      </c>
      <c r="P12" s="3383">
        <f ca="1">IF(ISNUMBER('VVP2'!P165),'VVP2'!P165,"n.a.")</f>
        <v>1276.2553387672247</v>
      </c>
      <c r="Q12" s="3383">
        <f ca="1">IF(ISNUMBER('VVP2'!Q165),'VVP2'!Q165,"n.a.")</f>
        <v>1321.7844247247824</v>
      </c>
      <c r="R12" s="3383">
        <f ca="1">IF(ISNUMBER('VVP2'!R165),'VVP2'!R165,"n.a.")</f>
        <v>1372.1520021805659</v>
      </c>
      <c r="S12" s="3383">
        <f ca="1">IF(ISNUMBER('VVP2'!S165),'VVP2'!S165,"n.a.")</f>
        <v>1441.3730396499086</v>
      </c>
      <c r="T12" s="3383">
        <f ca="1">IF(ISNUMBER('VVP2'!T165),'VVP2'!T165,"n.a.")</f>
        <v>1465.5436126277848</v>
      </c>
      <c r="U12" s="3383">
        <f ca="1">IF(ISNUMBER('VVP2'!U165),'VVP2'!U165,"n.a.")</f>
        <v>1516.6050872563424</v>
      </c>
      <c r="V12" s="3383">
        <f ca="1">IF(ISNUMBER('VVP2'!V165),'VVP2'!V165,"n.a.")</f>
        <v>1610.7030625375403</v>
      </c>
      <c r="W12" s="3383">
        <f ca="1">IF(ISNUMBER('VVP2'!W165),'VVP2'!W165,"n.a.")</f>
        <v>1665.1523400000001</v>
      </c>
      <c r="X12" s="3383">
        <f ca="1">IF(ISNUMBER('VVP2'!X165),'VVP2'!X165,"n.a.")</f>
        <v>1706.2597678423522</v>
      </c>
      <c r="Y12" s="3383">
        <f ca="1">IF(ISNUMBER('VVP2'!Y165),'VVP2'!Y165,"n.a.")</f>
        <v>1746.907344213995</v>
      </c>
      <c r="Z12" s="3383">
        <f ca="1">IF(ISNUMBER('VVP2'!Z165),'VVP2'!Z165,"n.a.")</f>
        <v>1796.740188218467</v>
      </c>
      <c r="AA12" s="3383">
        <f ca="1">IF(ISNUMBER('VVP2'!AA165),'VVP2'!AA165,"n.a.")</f>
        <v>1872.8257340779505</v>
      </c>
      <c r="AB12" s="3383">
        <f ca="1">IF(ISNUMBER('VVP2'!AB165),'VVP2'!AB165,"n.a.")</f>
        <v>1943.1999999518584</v>
      </c>
      <c r="AC12" s="3383">
        <f ca="1">IF(ISNUMBER('VVP2'!AC165),'VVP2'!AC165,"n.a.")</f>
        <v>2006.0415340095806</v>
      </c>
      <c r="AD12" s="3383">
        <f ca="1">IF(ISNUMBER('VVP2'!AD165),'VVP2'!AD165,"n.a.")</f>
        <v>2089.7812479999998</v>
      </c>
      <c r="AE12" s="3383">
        <f ca="1">IF(ISNUMBER('VVP2'!AE165),'VVP2'!AE165,"n.a.")</f>
        <v>2174.8271946467326</v>
      </c>
      <c r="AF12" s="3383">
        <f ca="1">IF(ISNUMBER('VVP2'!AF165),'VVP2'!AF165,"n.a.")</f>
        <v>2258.2470413517967</v>
      </c>
      <c r="AG12"/>
      <c r="AH12"/>
      <c r="AI12"/>
      <c r="AJ12">
        <v>2</v>
      </c>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row>
    <row r="13" spans="1:159">
      <c r="A13" s="3383" t="str">
        <f t="shared" ref="A13:A76" si="2">CONCATENATE($I$7,$J$7)</f>
        <v>\\DG ECFIN\Forecast\Country databases\Desk transfer databases\SE</v>
      </c>
      <c r="B13" s="3383" t="str">
        <f t="shared" ref="B13:B76" si="3">$J$7</f>
        <v>SE</v>
      </c>
      <c r="C13" s="3383" t="s">
        <v>2074</v>
      </c>
      <c r="D13" s="3383" t="s">
        <v>2077</v>
      </c>
      <c r="E13" s="3383" t="s">
        <v>2076</v>
      </c>
      <c r="F13" s="3383">
        <v>2</v>
      </c>
      <c r="G13" s="3383" t="s">
        <v>698</v>
      </c>
      <c r="H13" s="3383">
        <f ca="1">IF(ISNUMBER('VVP2'!H166),'VVP2'!H166,"n.a.")</f>
        <v>480.08482065041068</v>
      </c>
      <c r="I13" s="3383">
        <f ca="1">IF(ISNUMBER('VVP2'!I166),'VVP2'!I166,"n.a.")</f>
        <v>497.89516290647055</v>
      </c>
      <c r="J13" s="3383">
        <f ca="1">IF(ISNUMBER('VVP2'!J166),'VVP2'!J166,"n.a.")</f>
        <v>532.56713724122199</v>
      </c>
      <c r="K13" s="3383">
        <f ca="1">IF(ISNUMBER('VVP2'!K166),'VVP2'!K166,"n.a.")</f>
        <v>550.35703956280827</v>
      </c>
      <c r="L13" s="3383">
        <f ca="1">IF(ISNUMBER('VVP2'!L166),'VVP2'!L166,"n.a.")</f>
        <v>563.90988395968293</v>
      </c>
      <c r="M13" s="3383">
        <f ca="1">IF(ISNUMBER('VVP2'!M166),'VVP2'!M166,"n.a.")</f>
        <v>585.07790094012626</v>
      </c>
      <c r="N13" s="3383">
        <f ca="1">IF(ISNUMBER('VVP2'!N166),'VVP2'!N166,"n.a.")</f>
        <v>625.49975187119071</v>
      </c>
      <c r="O13" s="3383">
        <f ca="1">IF(ISNUMBER('VVP2'!O166),'VVP2'!O166,"n.a.")</f>
        <v>659.04899594761821</v>
      </c>
      <c r="P13" s="3383">
        <f ca="1">IF(ISNUMBER('VVP2'!P166),'VVP2'!P166,"n.a.")</f>
        <v>686.8410604902665</v>
      </c>
      <c r="Q13" s="3383">
        <f ca="1">IF(ISNUMBER('VVP2'!Q166),'VVP2'!Q166,"n.a.")</f>
        <v>703.62674406020233</v>
      </c>
      <c r="R13" s="3383">
        <f ca="1">IF(ISNUMBER('VVP2'!R166),'VVP2'!R166,"n.a.")</f>
        <v>734.2882771841023</v>
      </c>
      <c r="S13" s="3383">
        <f ca="1">IF(ISNUMBER('VVP2'!S166),'VVP2'!S166,"n.a.")</f>
        <v>765.37381622812484</v>
      </c>
      <c r="T13" s="3383">
        <f ca="1">IF(ISNUMBER('VVP2'!T166),'VVP2'!T166,"n.a.")</f>
        <v>804.05869732855024</v>
      </c>
      <c r="U13" s="3383">
        <f ca="1">IF(ISNUMBER('VVP2'!U166),'VVP2'!U166,"n.a.")</f>
        <v>852.1583602345479</v>
      </c>
      <c r="V13" s="3383">
        <f ca="1">IF(ISNUMBER('VVP2'!V166),'VVP2'!V166,"n.a.")</f>
        <v>871.87605055866561</v>
      </c>
      <c r="W13" s="3383">
        <f ca="1">IF(ISNUMBER('VVP2'!W166),'VVP2'!W166,"n.a.")</f>
        <v>893.69484</v>
      </c>
      <c r="X13" s="3383">
        <f ca="1">IF(ISNUMBER('VVP2'!X166),'VVP2'!X166,"n.a.")</f>
        <v>931.02096344973859</v>
      </c>
      <c r="Y13" s="3383">
        <f ca="1">IF(ISNUMBER('VVP2'!Y166),'VVP2'!Y166,"n.a.")</f>
        <v>967.23386989919743</v>
      </c>
      <c r="Z13" s="3383">
        <f ca="1">IF(ISNUMBER('VVP2'!Z166),'VVP2'!Z166,"n.a.")</f>
        <v>1007.6354158771417</v>
      </c>
      <c r="AA13" s="3383">
        <f ca="1">IF(ISNUMBER('VVP2'!AA166),'VVP2'!AA166,"n.a.")</f>
        <v>1056.362874889754</v>
      </c>
      <c r="AB13" s="3383">
        <f ca="1">IF(ISNUMBER('VVP2'!AB166),'VVP2'!AB166,"n.a.")</f>
        <v>1125.7660002252285</v>
      </c>
      <c r="AC13" s="3383">
        <f ca="1">IF(ISNUMBER('VVP2'!AC166),'VVP2'!AC166,"n.a.")</f>
        <v>1153.4962405963208</v>
      </c>
      <c r="AD13" s="3383">
        <f ca="1">IF(ISNUMBER('VVP2'!AD166),'VVP2'!AD166,"n.a.")</f>
        <v>1208.3228793999999</v>
      </c>
      <c r="AE13" s="3383">
        <f ca="1">IF(ISNUMBER('VVP2'!AE166),'VVP2'!AE166,"n.a.")</f>
        <v>1260.6505100152963</v>
      </c>
      <c r="AF13" s="3383">
        <f ca="1">IF(ISNUMBER('VVP2'!AF166),'VVP2'!AF166,"n.a.")</f>
        <v>1308.0010474316748</v>
      </c>
      <c r="AG13"/>
      <c r="AH13"/>
      <c r="AI13"/>
      <c r="AJ13">
        <v>3</v>
      </c>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row>
    <row r="14" spans="1:159">
      <c r="A14" s="3383" t="str">
        <f t="shared" si="2"/>
        <v>\\DG ECFIN\Forecast\Country databases\Desk transfer databases\SE</v>
      </c>
      <c r="B14" s="3383" t="str">
        <f t="shared" si="3"/>
        <v>SE</v>
      </c>
      <c r="C14" s="3383" t="s">
        <v>2074</v>
      </c>
      <c r="D14" s="3383" t="s">
        <v>2078</v>
      </c>
      <c r="E14" s="3383" t="s">
        <v>2076</v>
      </c>
      <c r="F14" s="3383">
        <v>3</v>
      </c>
      <c r="G14" s="3383" t="s">
        <v>700</v>
      </c>
      <c r="H14" s="3383">
        <f ca="1">IF(ISNUMBER('VVP2'!H167),'VVP2'!H167,"n.a.")</f>
        <v>388.80887016680282</v>
      </c>
      <c r="I14" s="3383">
        <f ca="1">IF(ISNUMBER('VVP2'!I167),'VVP2'!I167,"n.a.")</f>
        <v>394.81285293686506</v>
      </c>
      <c r="J14" s="3383">
        <f ca="1">IF(ISNUMBER('VVP2'!J167),'VVP2'!J167,"n.a.")</f>
        <v>432.94794136561251</v>
      </c>
      <c r="K14" s="3383">
        <f ca="1">IF(ISNUMBER('VVP2'!K167),'VVP2'!K167,"n.a.")</f>
        <v>470.27711271184603</v>
      </c>
      <c r="L14" s="3383">
        <f ca="1">IF(ISNUMBER('VVP2'!L167),'VVP2'!L167,"n.a.")</f>
        <v>512.51378581960671</v>
      </c>
      <c r="M14" s="3383">
        <f ca="1">IF(ISNUMBER('VVP2'!M167),'VVP2'!M167,"n.a.")</f>
        <v>542.52536406916124</v>
      </c>
      <c r="N14" s="3383">
        <f ca="1">IF(ISNUMBER('VVP2'!N167),'VVP2'!N167,"n.a.")</f>
        <v>548.06069682301836</v>
      </c>
      <c r="O14" s="3383">
        <f ca="1">IF(ISNUMBER('VVP2'!O167),'VVP2'!O167,"n.a.")</f>
        <v>573.65997507717532</v>
      </c>
      <c r="P14" s="3383">
        <f ca="1">IF(ISNUMBER('VVP2'!P167),'VVP2'!P167,"n.a.")</f>
        <v>605.92139451012724</v>
      </c>
      <c r="Q14" s="3383">
        <f ca="1">IF(ISNUMBER('VVP2'!Q167),'VVP2'!Q167,"n.a.")</f>
        <v>639.5356528396984</v>
      </c>
      <c r="R14" s="3383">
        <f ca="1">IF(ISNUMBER('VVP2'!R167),'VVP2'!R167,"n.a.")</f>
        <v>707.5650900345488</v>
      </c>
      <c r="S14" s="3383">
        <f ca="1">IF(ISNUMBER('VVP2'!S167),'VVP2'!S167,"n.a.")</f>
        <v>774.54041501757661</v>
      </c>
      <c r="T14" s="3383">
        <f ca="1">IF(ISNUMBER('VVP2'!T167),'VVP2'!T167,"n.a.")</f>
        <v>795.94106107729931</v>
      </c>
      <c r="U14" s="3383">
        <f ca="1">IF(ISNUMBER('VVP2'!U167),'VVP2'!U167,"n.a.")</f>
        <v>717.20128744794511</v>
      </c>
      <c r="V14" s="3383">
        <f ca="1">IF(ISNUMBER('VVP2'!V167),'VVP2'!V167,"n.a.")</f>
        <v>781.89460018058219</v>
      </c>
      <c r="W14" s="3383">
        <f ca="1">IF(ISNUMBER('VVP2'!W167),'VVP2'!W167,"n.a.")</f>
        <v>832.03856999999994</v>
      </c>
      <c r="X14" s="3383">
        <f ca="1">IF(ISNUMBER('VVP2'!X167),'VVP2'!X167,"n.a.")</f>
        <v>831.83608963919801</v>
      </c>
      <c r="Y14" s="3383">
        <f ca="1">IF(ISNUMBER('VVP2'!Y167),'VVP2'!Y167,"n.a.")</f>
        <v>843.47078286214492</v>
      </c>
      <c r="Z14" s="3383">
        <f ca="1">IF(ISNUMBER('VVP2'!Z167),'VVP2'!Z167,"n.a.")</f>
        <v>892.19441002888902</v>
      </c>
      <c r="AA14" s="3383">
        <f ca="1">IF(ISNUMBER('VVP2'!AA167),'VVP2'!AA167,"n.a.")</f>
        <v>972.15291327649561</v>
      </c>
      <c r="AB14" s="3383">
        <f ca="1">IF(ISNUMBER('VVP2'!AB167),'VVP2'!AB167,"n.a.")</f>
        <v>1032.6519937594187</v>
      </c>
      <c r="AC14" s="3383">
        <f ca="1">IF(ISNUMBER('VVP2'!AC167),'VVP2'!AC167,"n.a.")</f>
        <v>1113.3623115524583</v>
      </c>
      <c r="AD14" s="3383">
        <f ca="1">IF(ISNUMBER('VVP2'!AD167),'VVP2'!AD167,"n.a.")</f>
        <v>1183.0519985000001</v>
      </c>
      <c r="AE14" s="3383">
        <f ca="1">IF(ISNUMBER('VVP2'!AE167),'VVP2'!AE167,"n.a.")</f>
        <v>1255.1855524673097</v>
      </c>
      <c r="AF14" s="3383">
        <f ca="1">IF(ISNUMBER('VVP2'!AF167),'VVP2'!AF167,"n.a.")</f>
        <v>1312.6626811448639</v>
      </c>
      <c r="AG14"/>
      <c r="AH14"/>
      <c r="AI14"/>
      <c r="AJ14">
        <v>4</v>
      </c>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row>
    <row r="15" spans="1:159">
      <c r="A15" s="3383" t="str">
        <f t="shared" si="2"/>
        <v>\\DG ECFIN\Forecast\Country databases\Desk transfer databases\SE</v>
      </c>
      <c r="B15" s="3383" t="str">
        <f t="shared" si="3"/>
        <v>SE</v>
      </c>
      <c r="C15" s="3383" t="s">
        <v>2074</v>
      </c>
      <c r="D15" s="3383" t="s">
        <v>2079</v>
      </c>
      <c r="E15" s="3383" t="s">
        <v>2076</v>
      </c>
      <c r="F15" s="3383">
        <v>4</v>
      </c>
      <c r="G15" s="3383" t="s">
        <v>701</v>
      </c>
      <c r="H15" s="3383">
        <f ca="1">IF(ISNUMBER('VVP2'!H168),'VVP2'!H168,"n.a.")</f>
        <v>127.43103316802171</v>
      </c>
      <c r="I15" s="3383">
        <f ca="1">IF(ISNUMBER('VVP2'!I168),'VVP2'!I168,"n.a.")</f>
        <v>121.08277764186582</v>
      </c>
      <c r="J15" s="3383">
        <f ca="1">IF(ISNUMBER('VVP2'!J168),'VVP2'!J168,"n.a.")</f>
        <v>129.17293075665214</v>
      </c>
      <c r="K15" s="3383">
        <f ca="1">IF(ISNUMBER('VVP2'!K168),'VVP2'!K168,"n.a.")</f>
        <v>136.98078595706372</v>
      </c>
      <c r="L15" s="3383">
        <f ca="1">IF(ISNUMBER('VVP2'!L168),'VVP2'!L168,"n.a.")</f>
        <v>150.25695061859111</v>
      </c>
      <c r="M15" s="3383">
        <f ca="1">IF(ISNUMBER('VVP2'!M168),'VVP2'!M168,"n.a.")</f>
        <v>168.22588871080271</v>
      </c>
      <c r="N15" s="3383">
        <f ca="1">IF(ISNUMBER('VVP2'!N168),'VVP2'!N168,"n.a.")</f>
        <v>186.52397788726705</v>
      </c>
      <c r="O15" s="3383">
        <f ca="1">IF(ISNUMBER('VVP2'!O168),'VVP2'!O168,"n.a.")</f>
        <v>195.85837155935548</v>
      </c>
      <c r="P15" s="3383">
        <f ca="1">IF(ISNUMBER('VVP2'!P168),'VVP2'!P168,"n.a.")</f>
        <v>219.47640755551461</v>
      </c>
      <c r="Q15" s="3383">
        <f ca="1">IF(ISNUMBER('VVP2'!Q168),'VVP2'!Q168,"n.a.")</f>
        <v>233.61510905931823</v>
      </c>
      <c r="R15" s="3383">
        <f ca="1">IF(ISNUMBER('VVP2'!R168),'VVP2'!R168,"n.a.")</f>
        <v>274.13301724141002</v>
      </c>
      <c r="S15" s="3383">
        <f ca="1">IF(ISNUMBER('VVP2'!S168),'VVP2'!S168,"n.a.")</f>
        <v>304.06231960641901</v>
      </c>
      <c r="T15" s="3383">
        <f ca="1">IF(ISNUMBER('VVP2'!T168),'VVP2'!T168,"n.a.")</f>
        <v>311.5219379047669</v>
      </c>
      <c r="U15" s="3383">
        <f ca="1">IF(ISNUMBER('VVP2'!U168),'VVP2'!U168,"n.a.")</f>
        <v>288.86153118129755</v>
      </c>
      <c r="V15" s="3383">
        <f ca="1">IF(ISNUMBER('VVP2'!V168),'VVP2'!V168,"n.a.")</f>
        <v>302.28025616035086</v>
      </c>
      <c r="W15" s="3383">
        <f ca="1">IF(ISNUMBER('VVP2'!W168),'VVP2'!W168,"n.a.")</f>
        <v>315.56439999999998</v>
      </c>
      <c r="X15" s="3383">
        <f ca="1">IF(ISNUMBER('VVP2'!X168),'VVP2'!X168,"n.a.")</f>
        <v>325.05190226407666</v>
      </c>
      <c r="Y15" s="3383">
        <f ca="1">IF(ISNUMBER('VVP2'!Y168),'VVP2'!Y168,"n.a.")</f>
        <v>327.72841275816376</v>
      </c>
      <c r="Z15" s="3383">
        <f ca="1">IF(ISNUMBER('VVP2'!Z168),'VVP2'!Z168,"n.a.")</f>
        <v>364.31880777376284</v>
      </c>
      <c r="AA15" s="3383">
        <f ca="1">IF(ISNUMBER('VVP2'!AA168),'VVP2'!AA168,"n.a.")</f>
        <v>403.56775423267982</v>
      </c>
      <c r="AB15" s="3383">
        <f ca="1">IF(ISNUMBER('VVP2'!AB168),'VVP2'!AB168,"n.a.")</f>
        <v>442.21200644149195</v>
      </c>
      <c r="AC15" s="3383">
        <f ca="1">IF(ISNUMBER('VVP2'!AC168),'VVP2'!AC168,"n.a.")</f>
        <v>493.1752835839344</v>
      </c>
      <c r="AD15" s="3383">
        <f ca="1">IF(ISNUMBER('VVP2'!AD168),'VVP2'!AD168,"n.a.")</f>
        <v>525.3200945000001</v>
      </c>
      <c r="AE15" s="3383">
        <f ca="1">IF(ISNUMBER('VVP2'!AE168),'VVP2'!AE168,"n.a.")</f>
        <v>542.47952414735767</v>
      </c>
      <c r="AF15" s="3383">
        <f ca="1">IF(ISNUMBER('VVP2'!AF168),'VVP2'!AF168,"n.a.")</f>
        <v>559.51059974063946</v>
      </c>
      <c r="AG15"/>
      <c r="AH15"/>
      <c r="AI15"/>
      <c r="AJ15">
        <v>5</v>
      </c>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row>
    <row r="16" spans="1:159">
      <c r="A16" s="3383" t="str">
        <f t="shared" si="2"/>
        <v>\\DG ECFIN\Forecast\Country databases\Desk transfer databases\SE</v>
      </c>
      <c r="B16" s="3383" t="str">
        <f t="shared" si="3"/>
        <v>SE</v>
      </c>
      <c r="C16" s="3383" t="s">
        <v>2074</v>
      </c>
      <c r="D16" s="3383" t="s">
        <v>2080</v>
      </c>
      <c r="E16" s="3383" t="s">
        <v>2076</v>
      </c>
      <c r="F16" s="3383">
        <v>5</v>
      </c>
      <c r="G16" s="3383" t="s">
        <v>703</v>
      </c>
      <c r="H16" s="3383">
        <f ca="1">IF(ISNUMBER('VVP2'!H169),'VVP2'!H169,"n.a.")</f>
        <v>167.94440214181779</v>
      </c>
      <c r="I16" s="3383">
        <f ca="1">IF(ISNUMBER('VVP2'!I169),'VVP2'!I169,"n.a.")</f>
        <v>167.06735766735946</v>
      </c>
      <c r="J16" s="3383">
        <f ca="1">IF(ISNUMBER('VVP2'!J169),'VVP2'!J169,"n.a.")</f>
        <v>181.12529999423489</v>
      </c>
      <c r="K16" s="3383">
        <f ca="1">IF(ISNUMBER('VVP2'!K169),'VVP2'!K169,"n.a.")</f>
        <v>199.70222264408434</v>
      </c>
      <c r="L16" s="3383">
        <f ca="1">IF(ISNUMBER('VVP2'!L169),'VVP2'!L169,"n.a.")</f>
        <v>206.2990929248823</v>
      </c>
      <c r="M16" s="3383">
        <f ca="1">IF(ISNUMBER('VVP2'!M169),'VVP2'!M169,"n.a.")</f>
        <v>206.37774390848563</v>
      </c>
      <c r="N16" s="3383">
        <f ca="1">IF(ISNUMBER('VVP2'!N169),'VVP2'!N169,"n.a.")</f>
        <v>197.9015607163615</v>
      </c>
      <c r="O16" s="3383">
        <f ca="1">IF(ISNUMBER('VVP2'!O169),'VVP2'!O169,"n.a.")</f>
        <v>208.33977943355887</v>
      </c>
      <c r="P16" s="3383">
        <f ca="1">IF(ISNUMBER('VVP2'!P169),'VVP2'!P169,"n.a.")</f>
        <v>208.44617308816595</v>
      </c>
      <c r="Q16" s="3383">
        <f ca="1">IF(ISNUMBER('VVP2'!Q169),'VVP2'!Q169,"n.a.")</f>
        <v>224.82825366427187</v>
      </c>
      <c r="R16" s="3383">
        <f ca="1">IF(ISNUMBER('VVP2'!R169),'VVP2'!R169,"n.a.")</f>
        <v>244.38728014863491</v>
      </c>
      <c r="S16" s="3383">
        <f ca="1">IF(ISNUMBER('VVP2'!S169),'VVP2'!S169,"n.a.")</f>
        <v>272.69949149603895</v>
      </c>
      <c r="T16" s="3383">
        <f ca="1">IF(ISNUMBER('VVP2'!T169),'VVP2'!T169,"n.a.")</f>
        <v>278.63240841338637</v>
      </c>
      <c r="U16" s="3383">
        <f ca="1">IF(ISNUMBER('VVP2'!U169),'VVP2'!U169,"n.a.")</f>
        <v>220.34005781960786</v>
      </c>
      <c r="V16" s="3383">
        <f ca="1">IF(ISNUMBER('VVP2'!V169),'VVP2'!V169,"n.a.")</f>
        <v>258.6658670549906</v>
      </c>
      <c r="W16" s="3383">
        <f ca="1">IF(ISNUMBER('VVP2'!W169),'VVP2'!W169,"n.a.")</f>
        <v>284.17725000000002</v>
      </c>
      <c r="X16" s="3383">
        <f ca="1">IF(ISNUMBER('VVP2'!X169),'VVP2'!X169,"n.a.")</f>
        <v>280.66396144849739</v>
      </c>
      <c r="Y16" s="3383">
        <f ca="1">IF(ISNUMBER('VVP2'!Y169),'VVP2'!Y169,"n.a.")</f>
        <v>277.9574215021251</v>
      </c>
      <c r="Z16" s="3383">
        <f ca="1">IF(ISNUMBER('VVP2'!Z169),'VVP2'!Z169,"n.a.")</f>
        <v>270.8011513677161</v>
      </c>
      <c r="AA16" s="3383">
        <f ca="1">IF(ISNUMBER('VVP2'!AA169),'VVP2'!AA169,"n.a.")</f>
        <v>292.04091396731513</v>
      </c>
      <c r="AB16" s="3383">
        <f ca="1">IF(ISNUMBER('VVP2'!AB169),'VVP2'!AB169,"n.a.")</f>
        <v>318.69800076561222</v>
      </c>
      <c r="AC16" s="3383">
        <f ca="1">IF(ISNUMBER('VVP2'!AC169),'VVP2'!AC169,"n.a.")</f>
        <v>338.34666774569848</v>
      </c>
      <c r="AD16" s="3383">
        <f ca="1">IF(ISNUMBER('VVP2'!AD169),'VVP2'!AD169,"n.a.")</f>
        <v>359.73663599999998</v>
      </c>
      <c r="AE16" s="3383">
        <f ca="1">IF(ISNUMBER('VVP2'!AE169),'VVP2'!AE169,"n.a.")</f>
        <v>389.65143530816994</v>
      </c>
      <c r="AF16" s="3383">
        <f ca="1">IF(ISNUMBER('VVP2'!AF169),'VVP2'!AF169,"n.a.")</f>
        <v>414.17638888504268</v>
      </c>
      <c r="AG16"/>
      <c r="AH16"/>
      <c r="AI16"/>
      <c r="AJ16">
        <v>6</v>
      </c>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row>
    <row r="17" spans="1:159">
      <c r="A17" s="3383" t="str">
        <f t="shared" si="2"/>
        <v>\\DG ECFIN\Forecast\Country databases\Desk transfer databases\SE</v>
      </c>
      <c r="B17" s="3383" t="str">
        <f t="shared" si="3"/>
        <v>SE</v>
      </c>
      <c r="C17" s="3383" t="s">
        <v>2074</v>
      </c>
      <c r="D17" s="3383" t="s">
        <v>2081</v>
      </c>
      <c r="E17" s="3383" t="s">
        <v>2076</v>
      </c>
      <c r="F17" s="3383">
        <v>6</v>
      </c>
      <c r="G17" s="3383" t="s">
        <v>704</v>
      </c>
      <c r="H17" s="3383">
        <f ca="1">IF(ISNUMBER('VVP2'!H170),'VVP2'!H170,"n.a.")</f>
        <v>93.432557447758214</v>
      </c>
      <c r="I17" s="3383">
        <f ca="1">IF(ISNUMBER('VVP2'!I170),'VVP2'!I170,"n.a.")</f>
        <v>106.66261198559313</v>
      </c>
      <c r="J17" s="3383">
        <f ca="1">IF(ISNUMBER('VVP2'!J170),'VVP2'!J170,"n.a.")</f>
        <v>122.64957744324057</v>
      </c>
      <c r="K17" s="3383">
        <f ca="1">IF(ISNUMBER('VVP2'!K170),'VVP2'!K170,"n.a.")</f>
        <v>133.59386360321523</v>
      </c>
      <c r="L17" s="3383">
        <f ca="1">IF(ISNUMBER('VVP2'!L170),'VVP2'!L170,"n.a.")</f>
        <v>155.95851941956863</v>
      </c>
      <c r="M17" s="3383">
        <f ca="1">IF(ISNUMBER('VVP2'!M170),'VVP2'!M170,"n.a.")</f>
        <v>167.92070088398759</v>
      </c>
      <c r="N17" s="3383">
        <f ca="1">IF(ISNUMBER('VVP2'!N170),'VVP2'!N170,"n.a.")</f>
        <v>163.63558691292909</v>
      </c>
      <c r="O17" s="3383">
        <f ca="1">IF(ISNUMBER('VVP2'!O170),'VVP2'!O170,"n.a.")</f>
        <v>169.46192912202494</v>
      </c>
      <c r="P17" s="3383">
        <f ca="1">IF(ISNUMBER('VVP2'!P170),'VVP2'!P170,"n.a.")</f>
        <v>177.99938114849823</v>
      </c>
      <c r="Q17" s="3383">
        <f ca="1">IF(ISNUMBER('VVP2'!Q170),'VVP2'!Q170,"n.a.")</f>
        <v>181.0923535600852</v>
      </c>
      <c r="R17" s="3383">
        <f ca="1">IF(ISNUMBER('VVP2'!R170),'VVP2'!R170,"n.a.")</f>
        <v>189.04501186505811</v>
      </c>
      <c r="S17" s="3383">
        <f ca="1">IF(ISNUMBER('VVP2'!S170),'VVP2'!S170,"n.a.")</f>
        <v>197.77824589471038</v>
      </c>
      <c r="T17" s="3383">
        <f ca="1">IF(ISNUMBER('VVP2'!T170),'VVP2'!T170,"n.a.")</f>
        <v>205.7870760875104</v>
      </c>
      <c r="U17" s="3383">
        <f ca="1">IF(ISNUMBER('VVP2'!U170),'VVP2'!U170,"n.a.")</f>
        <v>208.00030574383092</v>
      </c>
      <c r="V17" s="3383">
        <f ca="1">IF(ISNUMBER('VVP2'!V170),'VVP2'!V170,"n.a.")</f>
        <v>220.94904803902267</v>
      </c>
      <c r="W17" s="3383">
        <f ca="1">IF(ISNUMBER('VVP2'!W170),'VVP2'!W170,"n.a.")</f>
        <v>232.29651000000004</v>
      </c>
      <c r="X17" s="3383">
        <f ca="1">IF(ISNUMBER('VVP2'!X170),'VVP2'!X170,"n.a.")</f>
        <v>226.11975745065121</v>
      </c>
      <c r="Y17" s="3383">
        <f ca="1">IF(ISNUMBER('VVP2'!Y170),'VVP2'!Y170,"n.a.")</f>
        <v>237.78540057282993</v>
      </c>
      <c r="Z17" s="3383">
        <f ca="1">IF(ISNUMBER('VVP2'!Z170),'VVP2'!Z170,"n.a.")</f>
        <v>257.07460841354504</v>
      </c>
      <c r="AA17" s="3383">
        <f ca="1">IF(ISNUMBER('VVP2'!AA170),'VVP2'!AA170,"n.a.")</f>
        <v>276.5437959450062</v>
      </c>
      <c r="AB17" s="3383">
        <f ca="1">IF(ISNUMBER('VVP2'!AB170),'VVP2'!AB170,"n.a.")</f>
        <v>271.74200039759739</v>
      </c>
      <c r="AC17" s="3383">
        <f ca="1">IF(ISNUMBER('VVP2'!AC170),'VVP2'!AC170,"n.a.")</f>
        <v>281.83918770711443</v>
      </c>
      <c r="AD17" s="3383">
        <f ca="1">IF(ISNUMBER('VVP2'!AD170),'VVP2'!AD170,"n.a.")</f>
        <v>297.99526800000001</v>
      </c>
      <c r="AE17" s="3383">
        <f ca="1">IF(ISNUMBER('VVP2'!AE170),'VVP2'!AE170,"n.a.")</f>
        <v>323.054593011782</v>
      </c>
      <c r="AF17" s="3383">
        <f ca="1">IF(ISNUMBER('VVP2'!AF170),'VVP2'!AF170,"n.a.")</f>
        <v>338.97569251918168</v>
      </c>
      <c r="AG17"/>
      <c r="AH17"/>
      <c r="AI17"/>
      <c r="AJ17">
        <v>7</v>
      </c>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row>
    <row r="18" spans="1:159">
      <c r="A18" s="3383" t="str">
        <f t="shared" si="2"/>
        <v>\\DG ECFIN\Forecast\Country databases\Desk transfer databases\SE</v>
      </c>
      <c r="B18" s="3383" t="str">
        <f t="shared" si="3"/>
        <v>SE</v>
      </c>
      <c r="C18" s="3383" t="s">
        <v>2074</v>
      </c>
      <c r="D18" s="3383" t="s">
        <v>2082</v>
      </c>
      <c r="E18" s="3383" t="s">
        <v>2076</v>
      </c>
      <c r="F18" s="3383">
        <v>7</v>
      </c>
      <c r="G18" s="3383" t="s">
        <v>946</v>
      </c>
      <c r="H18" s="3383">
        <f ca="1">IF(ISNUMBER('VVP2'!H171),'VVP2'!H171,"n.a.")</f>
        <v>6.3084584622656621</v>
      </c>
      <c r="I18" s="3383">
        <f ca="1">IF(ISNUMBER('VVP2'!I171),'VVP2'!I171,"n.a.")</f>
        <v>9.5508591222774157</v>
      </c>
      <c r="J18" s="3383">
        <f ca="1">IF(ISNUMBER('VVP2'!J171),'VVP2'!J171,"n.a.")</f>
        <v>15.996679412323829</v>
      </c>
      <c r="K18" s="3383">
        <f ca="1">IF(ISNUMBER('VVP2'!K171),'VVP2'!K171,"n.a.")</f>
        <v>6.3419548890115038</v>
      </c>
      <c r="L18" s="3383">
        <f ca="1">IF(ISNUMBER('VVP2'!L171),'VVP2'!L171,"n.a.")</f>
        <v>15.148923036772885</v>
      </c>
      <c r="M18" s="3383">
        <f ca="1">IF(ISNUMBER('VVP2'!M171),'VVP2'!M171,"n.a.")</f>
        <v>7.7805901796346006</v>
      </c>
      <c r="N18" s="3383">
        <f ca="1">IF(ISNUMBER('VVP2'!N171),'VVP2'!N171,"n.a.")</f>
        <v>2.2823411757276517</v>
      </c>
      <c r="O18" s="3383">
        <f ca="1">IF(ISNUMBER('VVP2'!O171),'VVP2'!O171,"n.a.")</f>
        <v>7.9603545004601983</v>
      </c>
      <c r="P18" s="3383">
        <f ca="1">IF(ISNUMBER('VVP2'!P171),'VVP2'!P171,"n.a.")</f>
        <v>0.83578061387515845</v>
      </c>
      <c r="Q18" s="3383">
        <f ca="1">IF(ISNUMBER('VVP2'!Q171),'VVP2'!Q171,"n.a.")</f>
        <v>-1.1013700995777072</v>
      </c>
      <c r="R18" s="3383">
        <f ca="1">IF(ISNUMBER('VVP2'!R171),'VVP2'!R171,"n.a.")</f>
        <v>1.9562127774256624</v>
      </c>
      <c r="S18" s="3383">
        <f ca="1">IF(ISNUMBER('VVP2'!S171),'VVP2'!S171,"n.a.")</f>
        <v>21.228997156633795</v>
      </c>
      <c r="T18" s="3383">
        <f ca="1">IF(ISNUMBER('VVP2'!T171),'VVP2'!T171,"n.a.")</f>
        <v>7.0428796864007381</v>
      </c>
      <c r="U18" s="3383">
        <f ca="1">IF(ISNUMBER('VVP2'!U171),'VVP2'!U171,"n.a.")</f>
        <v>-46.048646260189798</v>
      </c>
      <c r="V18" s="3383">
        <f ca="1">IF(ISNUMBER('VVP2'!V171),'VVP2'!V171,"n.a.")</f>
        <v>23.33323779761804</v>
      </c>
      <c r="W18" s="3383">
        <f ca="1">IF(ISNUMBER('VVP2'!W171),'VVP2'!W171,"n.a.")</f>
        <v>40.950919999999314</v>
      </c>
      <c r="X18" s="3383">
        <f ca="1">IF(ISNUMBER('VVP2'!X171),'VVP2'!X171,"n.a.")</f>
        <v>-0.36998604285645342</v>
      </c>
      <c r="Y18" s="3383">
        <f ca="1">IF(ISNUMBER('VVP2'!Y171),'VVP2'!Y171,"n.a.")</f>
        <v>6.618305281339417</v>
      </c>
      <c r="Z18" s="3383">
        <f ca="1">IF(ISNUMBER('VVP2'!Z171),'VVP2'!Z171,"n.a.")</f>
        <v>11.856073672066032</v>
      </c>
      <c r="AA18" s="3383">
        <f ca="1">IF(ISNUMBER('VVP2'!AA171),'VVP2'!AA171,"n.a.")</f>
        <v>28.583185968187081</v>
      </c>
      <c r="AB18" s="3383">
        <f ca="1">IF(ISNUMBER('VVP2'!AB171),'VVP2'!AB171,"n.a.")</f>
        <v>25.31300688985084</v>
      </c>
      <c r="AC18" s="3383">
        <f ca="1">IF(ISNUMBER('VVP2'!AC171),'VVP2'!AC171,"n.a.")</f>
        <v>31.512262532056411</v>
      </c>
      <c r="AD18" s="3383">
        <f ca="1">IF(ISNUMBER('VVP2'!AD171),'VVP2'!AD171,"n.a.")</f>
        <v>36.9084</v>
      </c>
      <c r="AE18" s="3383">
        <f ca="1">IF(ISNUMBER('VVP2'!AE171),'VVP2'!AE171,"n.a.")</f>
        <v>32.196304571999995</v>
      </c>
      <c r="AF18" s="3383">
        <f ca="1">IF(ISNUMBER('VVP2'!AF171),'VVP2'!AF171,"n.a.")</f>
        <v>33.19439001373199</v>
      </c>
      <c r="AG18"/>
      <c r="AH18"/>
      <c r="AI18"/>
      <c r="AJ18">
        <v>8</v>
      </c>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row>
    <row r="19" spans="1:159">
      <c r="A19" s="3383" t="str">
        <f t="shared" si="2"/>
        <v>\\DG ECFIN\Forecast\Country databases\Desk transfer databases\SE</v>
      </c>
      <c r="B19" s="3383" t="str">
        <f t="shared" si="3"/>
        <v>SE</v>
      </c>
      <c r="C19" s="3383" t="s">
        <v>2074</v>
      </c>
      <c r="D19" s="3383" t="s">
        <v>2083</v>
      </c>
      <c r="E19" s="3383" t="s">
        <v>2076</v>
      </c>
      <c r="F19" s="3383">
        <v>8</v>
      </c>
      <c r="G19" s="3383" t="s">
        <v>72</v>
      </c>
      <c r="H19" s="3383">
        <f ca="1">IF(ISNUMBER('VVP2'!H172),'VVP2'!H172,"n.a.")</f>
        <v>625.67450947151144</v>
      </c>
      <c r="I19" s="3383">
        <f ca="1">IF(ISNUMBER('VVP2'!I172),'VVP2'!I172,"n.a.")</f>
        <v>672.20559148087307</v>
      </c>
      <c r="J19" s="3383">
        <f ca="1">IF(ISNUMBER('VVP2'!J172),'VVP2'!J172,"n.a.")</f>
        <v>726.88130241506394</v>
      </c>
      <c r="K19" s="3383">
        <f ca="1">IF(ISNUMBER('VVP2'!K172),'VVP2'!K172,"n.a.")</f>
        <v>760.67796131547686</v>
      </c>
      <c r="L19" s="3383">
        <f ca="1">IF(ISNUMBER('VVP2'!L172),'VVP2'!L172,"n.a.")</f>
        <v>832.04175028910265</v>
      </c>
      <c r="M19" s="3383">
        <f ca="1">IF(ISNUMBER('VVP2'!M172),'VVP2'!M172,"n.a.")</f>
        <v>827.58415457956301</v>
      </c>
      <c r="N19" s="3383">
        <f ca="1">IF(ISNUMBER('VVP2'!N172),'VVP2'!N172,"n.a.")</f>
        <v>866.85469080654343</v>
      </c>
      <c r="O19" s="3383">
        <f ca="1">IF(ISNUMBER('VVP2'!O172),'VVP2'!O172,"n.a.")</f>
        <v>888.14049020936636</v>
      </c>
      <c r="P19" s="3383">
        <f ca="1">IF(ISNUMBER('VVP2'!P172),'VVP2'!P172,"n.a.")</f>
        <v>961.47811623510279</v>
      </c>
      <c r="Q19" s="3383">
        <f ca="1">IF(ISNUMBER('VVP2'!Q172),'VVP2'!Q172,"n.a.")</f>
        <v>1007.5040829929483</v>
      </c>
      <c r="R19" s="3383">
        <f ca="1">IF(ISNUMBER('VVP2'!R172),'VVP2'!R172,"n.a.")</f>
        <v>1122.5039369582112</v>
      </c>
      <c r="S19" s="3383">
        <f ca="1">IF(ISNUMBER('VVP2'!S172),'VVP2'!S172,"n.a.")</f>
        <v>1193.5095068183707</v>
      </c>
      <c r="T19" s="3383">
        <f ca="1">IF(ISNUMBER('VVP2'!T172),'VVP2'!T172,"n.a.")</f>
        <v>1224.3990010072407</v>
      </c>
      <c r="U19" s="3383">
        <f ca="1">IF(ISNUMBER('VVP2'!U172),'VVP2'!U172,"n.a.")</f>
        <v>1034.9637830336915</v>
      </c>
      <c r="V19" s="3383">
        <f ca="1">IF(ISNUMBER('VVP2'!V172),'VVP2'!V172,"n.a.")</f>
        <v>1214.9566704924114</v>
      </c>
      <c r="W19" s="3383">
        <f ca="1">IF(ISNUMBER('VVP2'!W172),'VVP2'!W172,"n.a.")</f>
        <v>1285.5298700000003</v>
      </c>
      <c r="X19" s="3383">
        <f ca="1">IF(ISNUMBER('VVP2'!X172),'VVP2'!X172,"n.a.")</f>
        <v>1268.8155531771424</v>
      </c>
      <c r="Y19" s="3383">
        <f ca="1">IF(ISNUMBER('VVP2'!Y172),'VVP2'!Y172,"n.a.")</f>
        <v>1211.7971776449267</v>
      </c>
      <c r="Z19" s="3383">
        <f ca="1">IF(ISNUMBER('VVP2'!Z172),'VVP2'!Z172,"n.a.")</f>
        <v>1210.36871093688</v>
      </c>
      <c r="AA19" s="3383">
        <f ca="1">IF(ISNUMBER('VVP2'!AA172),'VVP2'!AA172,"n.a.")</f>
        <v>1279.2298565182473</v>
      </c>
      <c r="AB19" s="3383">
        <f ca="1">IF(ISNUMBER('VVP2'!AB172),'VVP2'!AB172,"n.a.")</f>
        <v>1329.7309981940457</v>
      </c>
      <c r="AC19" s="3383">
        <f ca="1">IF(ISNUMBER('VVP2'!AC172),'VVP2'!AC172,"n.a.")</f>
        <v>1373.9064326571938</v>
      </c>
      <c r="AD19" s="3383">
        <f ca="1">IF(ISNUMBER('VVP2'!AD172),'VVP2'!AD172,"n.a.")</f>
        <v>1480.9275735000001</v>
      </c>
      <c r="AE19" s="3383">
        <f ca="1">IF(ISNUMBER('VVP2'!AE172),'VVP2'!AE172,"n.a.")</f>
        <v>1614.718272808924</v>
      </c>
      <c r="AF19" s="3383">
        <f ca="1">IF(ISNUMBER('VVP2'!AF172),'VVP2'!AF172,"n.a.")</f>
        <v>1703.5726992757643</v>
      </c>
      <c r="AG19"/>
      <c r="AH19"/>
      <c r="AI19"/>
      <c r="AJ19">
        <v>9</v>
      </c>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row>
    <row r="20" spans="1:159">
      <c r="A20" s="3383" t="str">
        <f t="shared" si="2"/>
        <v>\\DG ECFIN\Forecast\Country databases\Desk transfer databases\SE</v>
      </c>
      <c r="B20" s="3383" t="str">
        <f t="shared" si="3"/>
        <v>SE</v>
      </c>
      <c r="C20" s="3383" t="s">
        <v>2074</v>
      </c>
      <c r="D20" s="3383" t="s">
        <v>2084</v>
      </c>
      <c r="E20" s="3383" t="s">
        <v>2076</v>
      </c>
      <c r="F20" s="3383">
        <v>9</v>
      </c>
      <c r="G20" s="3383" t="s">
        <v>73</v>
      </c>
      <c r="H20" s="3383">
        <f ca="1">IF(ISNUMBER('VVP2'!H173),'VVP2'!H173,"n.a.")</f>
        <v>119.6751800316397</v>
      </c>
      <c r="I20" s="3383">
        <f ca="1">IF(ISNUMBER('VVP2'!I173),'VVP2'!I173,"n.a.")</f>
        <v>138.19036853836101</v>
      </c>
      <c r="J20" s="3383">
        <f ca="1">IF(ISNUMBER('VVP2'!J173),'VVP2'!J173,"n.a.")</f>
        <v>154.13625721311814</v>
      </c>
      <c r="K20" s="3383">
        <f ca="1">IF(ISNUMBER('VVP2'!K173),'VVP2'!K173,"n.a.")</f>
        <v>172.33123387932642</v>
      </c>
      <c r="L20" s="3383">
        <f ca="1">IF(ISNUMBER('VVP2'!L173),'VVP2'!L173,"n.a.")</f>
        <v>193.75832622514991</v>
      </c>
      <c r="M20" s="3383">
        <f ca="1">IF(ISNUMBER('VVP2'!M173),'VVP2'!M173,"n.a.")</f>
        <v>229.41786803853773</v>
      </c>
      <c r="N20" s="3383">
        <f ca="1">IF(ISNUMBER('VVP2'!N173),'VVP2'!N173,"n.a.")</f>
        <v>231.70895765578805</v>
      </c>
      <c r="O20" s="3383">
        <f ca="1">IF(ISNUMBER('VVP2'!O173),'VVP2'!O173,"n.a.")</f>
        <v>238.5298771948801</v>
      </c>
      <c r="P20" s="3383">
        <f ca="1">IF(ISNUMBER('VVP2'!P173),'VVP2'!P173,"n.a.")</f>
        <v>261.36016863385652</v>
      </c>
      <c r="Q20" s="3383">
        <f ca="1">IF(ISNUMBER('VVP2'!Q173),'VVP2'!Q173,"n.a.")</f>
        <v>292.02102587244053</v>
      </c>
      <c r="R20" s="3383">
        <f ca="1">IF(ISNUMBER('VVP2'!R173),'VVP2'!R173,"n.a.")</f>
        <v>326.72118727906042</v>
      </c>
      <c r="S20" s="3383">
        <f ca="1">IF(ISNUMBER('VVP2'!S173),'VVP2'!S173,"n.a.")</f>
        <v>366.82466898830921</v>
      </c>
      <c r="T20" s="3383">
        <f ca="1">IF(ISNUMBER('VVP2'!T173),'VVP2'!T173,"n.a.")</f>
        <v>398.29210649053874</v>
      </c>
      <c r="U20" s="3383">
        <f ca="1">IF(ISNUMBER('VVP2'!U173),'VVP2'!U173,"n.a.")</f>
        <v>408.07082761522383</v>
      </c>
      <c r="V20" s="3383">
        <f ca="1">IF(ISNUMBER('VVP2'!V173),'VVP2'!V173,"n.a.")</f>
        <v>421.43828289403723</v>
      </c>
      <c r="W20" s="3383">
        <f ca="1">IF(ISNUMBER('VVP2'!W173),'VVP2'!W173,"n.a.")</f>
        <v>439.37660999999991</v>
      </c>
      <c r="X20" s="3383">
        <f ca="1">IF(ISNUMBER('VVP2'!X173),'VVP2'!X173,"n.a.")</f>
        <v>454.93337407491947</v>
      </c>
      <c r="Y20" s="3383">
        <f ca="1">IF(ISNUMBER('VVP2'!Y173),'VVP2'!Y173,"n.a.")</f>
        <v>481.92975133536225</v>
      </c>
      <c r="Z20" s="3383">
        <f ca="1">IF(ISNUMBER('VVP2'!Z173),'VVP2'!Z173,"n.a.")</f>
        <v>527.68656710070502</v>
      </c>
      <c r="AA20" s="3383">
        <f ca="1">IF(ISNUMBER('VVP2'!AA173),'VVP2'!AA173,"n.a.")</f>
        <v>594.43620416444867</v>
      </c>
      <c r="AB20" s="3383">
        <f ca="1">IF(ISNUMBER('VVP2'!AB173),'VVP2'!AB173,"n.a.")</f>
        <v>640.12799041609833</v>
      </c>
      <c r="AC20" s="3383">
        <f ca="1">IF(ISNUMBER('VVP2'!AC173),'VVP2'!AC173,"n.a.")</f>
        <v>636.21698495744249</v>
      </c>
      <c r="AD20" s="3383">
        <f ca="1">IF(ISNUMBER('VVP2'!AD173),'VVP2'!AD173,"n.a.")</f>
        <v>667.12231810000003</v>
      </c>
      <c r="AE20" s="3383">
        <f ca="1">IF(ISNUMBER('VVP2'!AE173),'VVP2'!AE173,"n.a.")</f>
        <v>716.61325425387122</v>
      </c>
      <c r="AF20" s="3383">
        <f ca="1">IF(ISNUMBER('VVP2'!AF173),'VVP2'!AF173,"n.a.")</f>
        <v>754.86730234074014</v>
      </c>
      <c r="AG20"/>
      <c r="AH20"/>
      <c r="AI20"/>
      <c r="AJ20">
        <v>10</v>
      </c>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row>
    <row r="21" spans="1:159">
      <c r="A21" s="3383" t="str">
        <f t="shared" si="2"/>
        <v>\\DG ECFIN\Forecast\Country databases\Desk transfer databases\SE</v>
      </c>
      <c r="B21" s="3383" t="str">
        <f t="shared" si="3"/>
        <v>SE</v>
      </c>
      <c r="C21" s="3383" t="s">
        <v>2074</v>
      </c>
      <c r="D21" s="3383" t="s">
        <v>2085</v>
      </c>
      <c r="E21" s="3383" t="s">
        <v>2076</v>
      </c>
      <c r="F21" s="3383">
        <v>10</v>
      </c>
      <c r="G21" s="3383" t="s">
        <v>969</v>
      </c>
      <c r="H21" s="3383">
        <f ca="1">IF(ISNUMBER('VVP2'!H174),'VVP2'!H174,"n.a.")</f>
        <v>467.67623314612922</v>
      </c>
      <c r="I21" s="3383">
        <f ca="1">IF(ISNUMBER('VVP2'!I174),'VVP2'!I174,"n.a.")</f>
        <v>496.76663807613608</v>
      </c>
      <c r="J21" s="3383">
        <f ca="1">IF(ISNUMBER('VVP2'!J174),'VVP2'!J174,"n.a.")</f>
        <v>548.44719949980424</v>
      </c>
      <c r="K21" s="3383">
        <f ca="1">IF(ISNUMBER('VVP2'!K174),'VVP2'!K174,"n.a.")</f>
        <v>565.04230074131385</v>
      </c>
      <c r="L21" s="3383">
        <f ca="1">IF(ISNUMBER('VVP2'!L174),'VVP2'!L174,"n.a.")</f>
        <v>639.16749000919947</v>
      </c>
      <c r="M21" s="3383">
        <f ca="1">IF(ISNUMBER('VVP2'!M174),'VVP2'!M174,"n.a.")</f>
        <v>639.17682382570854</v>
      </c>
      <c r="N21" s="3383">
        <f ca="1">IF(ISNUMBER('VVP2'!N174),'VVP2'!N174,"n.a.")</f>
        <v>656.58673421235517</v>
      </c>
      <c r="O21" s="3383">
        <f ca="1">IF(ISNUMBER('VVP2'!O174),'VVP2'!O174,"n.a.")</f>
        <v>692.62313949937936</v>
      </c>
      <c r="P21" s="3383">
        <f ca="1">IF(ISNUMBER('VVP2'!P174),'VVP2'!P174,"n.a.")</f>
        <v>726.87782840612556</v>
      </c>
      <c r="Q21" s="3383">
        <f ca="1">IF(ISNUMBER('VVP2'!Q174),'VVP2'!Q174,"n.a.")</f>
        <v>786.46558022575653</v>
      </c>
      <c r="R21" s="3383">
        <f ca="1">IF(ISNUMBER('VVP2'!R174),'VVP2'!R174,"n.a.")</f>
        <v>905.81769499800157</v>
      </c>
      <c r="S21" s="3383">
        <f ca="1">IF(ISNUMBER('VVP2'!S174),'VVP2'!S174,"n.a.")</f>
        <v>1006.8914177650182</v>
      </c>
      <c r="T21" s="3383">
        <f ca="1">IF(ISNUMBER('VVP2'!T174),'VVP2'!T174,"n.a.")</f>
        <v>1037.6550006495299</v>
      </c>
      <c r="U21" s="3383">
        <f ca="1">IF(ISNUMBER('VVP2'!U174),'VVP2'!U174,"n.a.")</f>
        <v>904.57039287810608</v>
      </c>
      <c r="V21" s="3383">
        <f ca="1">IF(ISNUMBER('VVP2'!V174),'VVP2'!V174,"n.a.")</f>
        <v>1049.4854707272641</v>
      </c>
      <c r="W21" s="3383">
        <f ca="1">IF(ISNUMBER('VVP2'!W174),'VVP2'!W174,"n.a.")</f>
        <v>1144.30413</v>
      </c>
      <c r="X21" s="3383">
        <f ca="1">IF(ISNUMBER('VVP2'!X174),'VVP2'!X174,"n.a.")</f>
        <v>1131.2252113705822</v>
      </c>
      <c r="Y21" s="3383">
        <f ca="1">IF(ISNUMBER('VVP2'!Y174),'VVP2'!Y174,"n.a.")</f>
        <v>1091.487555212999</v>
      </c>
      <c r="Z21" s="3383">
        <f ca="1">IF(ISNUMBER('VVP2'!Z174),'VVP2'!Z174,"n.a.")</f>
        <v>1099.6532882862516</v>
      </c>
      <c r="AA21" s="3383">
        <f ca="1">IF(ISNUMBER('VVP2'!AA174),'VVP2'!AA174,"n.a.")</f>
        <v>1173.1390079395323</v>
      </c>
      <c r="AB21" s="3383">
        <f ca="1">IF(ISNUMBER('VVP2'!AB174),'VVP2'!AB174,"n.a.")</f>
        <v>1241.2610007782423</v>
      </c>
      <c r="AC21" s="3383">
        <f ca="1">IF(ISNUMBER('VVP2'!AC174),'VVP2'!AC174,"n.a.")</f>
        <v>1262.2438072276314</v>
      </c>
      <c r="AD21" s="3383">
        <f ca="1">IF(ISNUMBER('VVP2'!AD174),'VVP2'!AD174,"n.a.")</f>
        <v>1374.4994307000002</v>
      </c>
      <c r="AE21" s="3383">
        <f ca="1">IF(ISNUMBER('VVP2'!AE174),'VVP2'!AE174,"n.a.")</f>
        <v>1508.7649334889547</v>
      </c>
      <c r="AF21" s="3383">
        <f ca="1">IF(ISNUMBER('VVP2'!AF174),'VVP2'!AF174,"n.a.")</f>
        <v>1598.0016200379241</v>
      </c>
      <c r="AG21"/>
      <c r="AH21"/>
      <c r="AI21"/>
      <c r="AJ21">
        <v>11</v>
      </c>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row>
    <row r="22" spans="1:159">
      <c r="A22" s="3383" t="str">
        <f t="shared" si="2"/>
        <v>\\DG ECFIN\Forecast\Country databases\Desk transfer databases\SE</v>
      </c>
      <c r="B22" s="3383" t="str">
        <f t="shared" si="3"/>
        <v>SE</v>
      </c>
      <c r="C22" s="3383" t="s">
        <v>2074</v>
      </c>
      <c r="D22" s="3383" t="s">
        <v>2086</v>
      </c>
      <c r="E22" s="3383" t="s">
        <v>2076</v>
      </c>
      <c r="F22" s="3383">
        <v>11</v>
      </c>
      <c r="G22" s="3383" t="s">
        <v>970</v>
      </c>
      <c r="H22" s="3383">
        <f ca="1">IF(ISNUMBER('VVP2'!H175),'VVP2'!H175,"n.a.")</f>
        <v>148.48632113037542</v>
      </c>
      <c r="I22" s="3383">
        <f ca="1">IF(ISNUMBER('VVP2'!I175),'VVP2'!I175,"n.a.")</f>
        <v>169.22617274135962</v>
      </c>
      <c r="J22" s="3383">
        <f ca="1">IF(ISNUMBER('VVP2'!J175),'VVP2'!J175,"n.a.")</f>
        <v>195.57726061471277</v>
      </c>
      <c r="K22" s="3383">
        <f ca="1">IF(ISNUMBER('VVP2'!K175),'VVP2'!K175,"n.a.")</f>
        <v>208.9969804544088</v>
      </c>
      <c r="L22" s="3383">
        <f ca="1">IF(ISNUMBER('VVP2'!L175),'VVP2'!L175,"n.a.")</f>
        <v>235.39391810468831</v>
      </c>
      <c r="M22" s="3383">
        <f ca="1">IF(ISNUMBER('VVP2'!M175),'VVP2'!M175,"n.a.")</f>
        <v>255.19106381892385</v>
      </c>
      <c r="N22" s="3383">
        <f ca="1">IF(ISNUMBER('VVP2'!N175),'VVP2'!N175,"n.a.")</f>
        <v>261.59088562726049</v>
      </c>
      <c r="O22" s="3383">
        <f ca="1">IF(ISNUMBER('VVP2'!O175),'VVP2'!O175,"n.a.")</f>
        <v>261.83122747802685</v>
      </c>
      <c r="P22" s="3383">
        <f ca="1">IF(ISNUMBER('VVP2'!P175),'VVP2'!P175,"n.a.")</f>
        <v>269.38376005925323</v>
      </c>
      <c r="Q22" s="3383">
        <f ca="1">IF(ISNUMBER('VVP2'!Q175),'VVP2'!Q175,"n.a.")</f>
        <v>289.39677644848354</v>
      </c>
      <c r="R22" s="3383">
        <f ca="1">IF(ISNUMBER('VVP2'!R175),'VVP2'!R175,"n.a.")</f>
        <v>311.89624526287594</v>
      </c>
      <c r="S22" s="3383">
        <f ca="1">IF(ISNUMBER('VVP2'!S175),'VVP2'!S175,"n.a.")</f>
        <v>347.37795464625549</v>
      </c>
      <c r="T22" s="3383">
        <f ca="1">IF(ISNUMBER('VVP2'!T175),'VVP2'!T175,"n.a.")</f>
        <v>375.02795925635775</v>
      </c>
      <c r="U22" s="3383">
        <f ca="1">IF(ISNUMBER('VVP2'!U175),'VVP2'!U175,"n.a.")</f>
        <v>362.9282323706725</v>
      </c>
      <c r="V22" s="3383">
        <f ca="1">IF(ISNUMBER('VVP2'!V175),'VVP2'!V175,"n.a.")</f>
        <v>385.45139524016315</v>
      </c>
      <c r="W22" s="3383">
        <f ca="1">IF(ISNUMBER('VVP2'!W175),'VVP2'!W175,"n.a.")</f>
        <v>394.20377000000002</v>
      </c>
      <c r="X22" s="3383">
        <f ca="1">IF(ISNUMBER('VVP2'!X175),'VVP2'!X175,"n.a.")</f>
        <v>411.15655670974428</v>
      </c>
      <c r="Y22" s="3383">
        <f ca="1">IF(ISNUMBER('VVP2'!Y175),'VVP2'!Y175,"n.a.")</f>
        <v>431.9171103845116</v>
      </c>
      <c r="Z22" s="3383">
        <f ca="1">IF(ISNUMBER('VVP2'!Z175),'VVP2'!Z175,"n.a.")</f>
        <v>474.69514540821763</v>
      </c>
      <c r="AA22" s="3383">
        <f ca="1">IF(ISNUMBER('VVP2'!AA175),'VVP2'!AA175,"n.a.")</f>
        <v>513.89742655256441</v>
      </c>
      <c r="AB22" s="3383">
        <f ca="1">IF(ISNUMBER('VVP2'!AB175),'VVP2'!AB175,"n.a.")</f>
        <v>541.21799987145334</v>
      </c>
      <c r="AC22" s="3383">
        <f ca="1">IF(ISNUMBER('VVP2'!AC175),'VVP2'!AC175,"n.a.")</f>
        <v>574.07714544180521</v>
      </c>
      <c r="AD22" s="3383">
        <f ca="1">IF(ISNUMBER('VVP2'!AD175),'VVP2'!AD175,"n.a.")</f>
        <v>603.94616550000001</v>
      </c>
      <c r="AE22" s="3383">
        <f ca="1">IF(ISNUMBER('VVP2'!AE175),'VVP2'!AE175,"n.a.")</f>
        <v>657.67907466068539</v>
      </c>
      <c r="AF22" s="3383">
        <f ca="1">IF(ISNUMBER('VVP2'!AF175),'VVP2'!AF175,"n.a.")</f>
        <v>699.96883883356088</v>
      </c>
      <c r="AG22"/>
      <c r="AH22"/>
      <c r="AI22"/>
      <c r="AJ22">
        <v>12</v>
      </c>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row>
    <row r="23" spans="1:159">
      <c r="A23" s="3383" t="str">
        <f t="shared" si="2"/>
        <v>\\DG ECFIN\Forecast\Country databases\Desk transfer databases\SE</v>
      </c>
      <c r="B23" s="3383" t="str">
        <f t="shared" si="3"/>
        <v>SE</v>
      </c>
      <c r="C23" s="3383" t="s">
        <v>2074</v>
      </c>
      <c r="D23" s="3383" t="s">
        <v>2087</v>
      </c>
      <c r="E23" s="3383" t="s">
        <v>2076</v>
      </c>
      <c r="F23" s="3383">
        <v>12</v>
      </c>
      <c r="G23" s="3383" t="s">
        <v>972</v>
      </c>
      <c r="H23" s="3383">
        <f ca="1">IF(ISNUMBER('VVP2'!H176),'VVP2'!H176,"n.a.")</f>
        <v>1914.2916451575786</v>
      </c>
      <c r="I23" s="3383">
        <f ca="1">IF(ISNUMBER('VVP2'!I176),'VVP2'!I176,"n.a.")</f>
        <v>1990.7130196953883</v>
      </c>
      <c r="J23" s="3383">
        <f ca="1">IF(ISNUMBER('VVP2'!J176),'VVP2'!J176,"n.a.")</f>
        <v>2107.7291983375294</v>
      </c>
      <c r="K23" s="3383">
        <f ca="1">IF(ISNUMBER('VVP2'!K176),'VVP2'!K176,"n.a.")</f>
        <v>2219.7217727061957</v>
      </c>
      <c r="L23" s="3383">
        <f ca="1">IF(ISNUMBER('VVP2'!L176),'VVP2'!L176,"n.a.")</f>
        <v>2346.902005049777</v>
      </c>
      <c r="M23" s="3383">
        <f ca="1">IF(ISNUMBER('VVP2'!M176),'VVP2'!M176,"n.a.")</f>
        <v>2421.1310670818862</v>
      </c>
      <c r="N23" s="3383">
        <f ca="1">IF(ISNUMBER('VVP2'!N176),'VVP2'!N176,"n.a.")</f>
        <v>2533.4232226341514</v>
      </c>
      <c r="O23" s="3383">
        <f ca="1">IF(ISNUMBER('VVP2'!O176),'VVP2'!O176,"n.a.")</f>
        <v>2634.6986725763895</v>
      </c>
      <c r="P23" s="3383">
        <f ca="1">IF(ISNUMBER('VVP2'!P176),'VVP2'!P176,"n.a.")</f>
        <v>2796.4291928668426</v>
      </c>
      <c r="Q23" s="3383">
        <f ca="1">IF(ISNUMBER('VVP2'!Q176),'VVP2'!Q176,"n.a.")</f>
        <v>2887.506652208237</v>
      </c>
      <c r="R23" s="3383">
        <f ca="1">IF(ISNUMBER('VVP2'!R176),'VVP2'!R176,"n.a.")</f>
        <v>3047.4722444246204</v>
      </c>
      <c r="S23" s="3383">
        <f ca="1">IF(ISNUMBER('VVP2'!S176),'VVP2'!S176,"n.a.")</f>
        <v>3208.5816336903463</v>
      </c>
      <c r="T23" s="3383">
        <f ca="1">IF(ISNUMBER('VVP2'!T176),'VVP2'!T176,"n.a.")</f>
        <v>3282.5946117044555</v>
      </c>
      <c r="U23" s="3383">
        <f ca="1">IF(ISNUMBER('VVP2'!U176),'VVP2'!U176,"n.a.")</f>
        <v>3215.452717180905</v>
      </c>
      <c r="V23" s="3383">
        <f ca="1">IF(ISNUMBER('VVP2'!V176),'VVP2'!V176,"n.a.")</f>
        <v>3489.2651280263744</v>
      </c>
      <c r="W23" s="3383">
        <f ca="1">IF(ISNUMBER('VVP2'!W176),'VVP2'!W176,"n.a.")</f>
        <v>3618.2352799999999</v>
      </c>
      <c r="X23" s="3383">
        <f ca="1">IF(ISNUMBER('VVP2'!X176),'VVP2'!X176,"n.a.")</f>
        <v>3650.1143336591426</v>
      </c>
      <c r="Y23" s="3383">
        <f ca="1">IF(ISNUMBER('VVP2'!Y176),'VVP2'!Y176,"n.a.")</f>
        <v>3734.552109596737</v>
      </c>
      <c r="Z23" s="3383">
        <f ca="1">IF(ISNUMBER('VVP2'!Z176),'VVP2'!Z176,"n.a.")</f>
        <v>3872.1332293342311</v>
      </c>
      <c r="AA23" s="3383">
        <f ca="1">IF(ISNUMBER('VVP2'!AA176),'VVP2'!AA176,"n.a.")</f>
        <v>4116.5550389222153</v>
      </c>
      <c r="AB23" s="3383">
        <f ca="1">IF(ISNUMBER('VVP2'!AB176),'VVP2'!AB176,"n.a.")</f>
        <v>4314.3109972979628</v>
      </c>
      <c r="AC23" s="3383">
        <f ca="1">IF(ISNUMBER('VVP2'!AC176),'VVP2'!AC176,"n.a.")</f>
        <v>4478.2150204918016</v>
      </c>
      <c r="AD23" s="3383">
        <f ca="1">IF(ISNUMBER('VVP2'!AD176),'VVP2'!AD176,"n.a.")</f>
        <v>4687.6688213000007</v>
      </c>
      <c r="AE23" s="3383">
        <f ca="1">IF(ISNUMBER('VVP2'!AE176),'VVP2'!AE176,"n.a.")</f>
        <v>4887.7470806144938</v>
      </c>
      <c r="AF23" s="3383">
        <f ca="1">IF(ISNUMBER('VVP2'!AF176),'VVP2'!AF176,"n.a.")</f>
        <v>5072.5747026870877</v>
      </c>
      <c r="AG23"/>
      <c r="AH23"/>
      <c r="AI23"/>
      <c r="AJ23">
        <v>13</v>
      </c>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row>
    <row r="24" spans="1:159">
      <c r="A24" s="3383" t="str">
        <f t="shared" si="2"/>
        <v>\\DG ECFIN\Forecast\Country databases\Desk transfer databases\SE</v>
      </c>
      <c r="B24" s="3383" t="str">
        <f t="shared" si="3"/>
        <v>SE</v>
      </c>
      <c r="C24" s="3383" t="s">
        <v>2074</v>
      </c>
      <c r="D24" s="3383" t="s">
        <v>2088</v>
      </c>
      <c r="E24" s="3383" t="s">
        <v>2076</v>
      </c>
      <c r="F24" s="3383">
        <v>28</v>
      </c>
      <c r="G24" s="3383" t="s">
        <v>111</v>
      </c>
      <c r="H24" s="3383">
        <f ca="1">IF(ISNUMBER('VVP2'!H177),'VVP2'!H177,"n.a.")</f>
        <v>96.194801798868141</v>
      </c>
      <c r="I24" s="3383">
        <f ca="1">IF(ISNUMBER('VVP2'!I177),'VVP2'!I177,"n.a.")</f>
        <v>87.438512218512145</v>
      </c>
      <c r="J24" s="3383">
        <f ca="1">IF(ISNUMBER('VVP2'!J177),'VVP2'!J177,"n.a.")</f>
        <v>91.220902727240656</v>
      </c>
      <c r="K24" s="3383">
        <f ca="1">IF(ISNUMBER('VVP2'!K177),'VVP2'!K177,"n.a.")</f>
        <v>95.554194560772274</v>
      </c>
      <c r="L24" s="3383">
        <f ca="1">IF(ISNUMBER('VVP2'!L177),'VVP2'!L177,"n.a.")</f>
        <v>89.779515857894722</v>
      </c>
      <c r="M24" s="3383">
        <f ca="1">IF(ISNUMBER('VVP2'!M177),'VVP2'!M177,"n.a.")</f>
        <v>99.49633717819907</v>
      </c>
      <c r="N24" s="3383">
        <f ca="1">IF(ISNUMBER('VVP2'!N177),'VVP2'!N177,"n.a.")</f>
        <v>109.49142535602257</v>
      </c>
      <c r="O24" s="3383">
        <f ca="1">IF(ISNUMBER('VVP2'!O177),'VVP2'!O177,"n.a.")</f>
        <v>111.03382864749682</v>
      </c>
      <c r="P24" s="3383">
        <f ca="1">IF(ISNUMBER('VVP2'!P177),'VVP2'!P177,"n.a.")</f>
        <v>112.92576228860987</v>
      </c>
      <c r="Q24" s="3383">
        <f ca="1">IF(ISNUMBER('VVP2'!Q177),'VVP2'!Q177,"n.a.")</f>
        <v>116.31945826040746</v>
      </c>
      <c r="R24" s="3383">
        <f ca="1">IF(ISNUMBER('VVP2'!R177),'VVP2'!R177,"n.a.")</f>
        <v>125.66565674556472</v>
      </c>
      <c r="S24" s="3383">
        <f ca="1">IF(ISNUMBER('VVP2'!S177),'VVP2'!S177,"n.a.")</f>
        <v>131.4830292546917</v>
      </c>
      <c r="T24" s="3383">
        <f ca="1">IF(ISNUMBER('VVP2'!T177),'VVP2'!T177,"n.a.")</f>
        <v>136.58961307750738</v>
      </c>
      <c r="U24" s="3383">
        <f ca="1">IF(ISNUMBER('VVP2'!U177),'VVP2'!U177,"n.a.")</f>
        <v>144.3252428834445</v>
      </c>
      <c r="V24" s="3383">
        <f ca="1">IF(ISNUMBER('VVP2'!V177),'VVP2'!V177,"n.a.")</f>
        <v>158.75931374793259</v>
      </c>
      <c r="W24" s="3383">
        <f ca="1">IF(ISNUMBER('VVP2'!W177),'VVP2'!W177,"n.a.")</f>
        <v>158.6152042326876</v>
      </c>
      <c r="X24" s="3383">
        <f ca="1">IF(ISNUMBER('VVP2'!X177),'VVP2'!X177,"n.a.")</f>
        <v>165.05021632973299</v>
      </c>
      <c r="Y24" s="3383">
        <f ca="1">IF(ISNUMBER('VVP2'!Y177),'VVP2'!Y177,"n.a.")</f>
        <v>167.43394131428573</v>
      </c>
      <c r="Z24" s="3383">
        <f ca="1">IF(ISNUMBER('VVP2'!Z177),'VVP2'!Z177,"n.a.")</f>
        <v>170.98272875224757</v>
      </c>
      <c r="AA24" s="3383">
        <f ca="1">IF(ISNUMBER('VVP2'!AA177),'VVP2'!AA177,"n.a.")</f>
        <v>173.74062038031624</v>
      </c>
      <c r="AB24" s="3383">
        <f ca="1">IF(ISNUMBER('VVP2'!AB177),'VVP2'!AB177,"n.a.")</f>
        <v>189.84800557812764</v>
      </c>
      <c r="AC24" s="3383">
        <f ca="1">IF(ISNUMBER('VVP2'!AC177),'VVP2'!AC177,"n.a.")</f>
        <v>203.28180170651078</v>
      </c>
      <c r="AD24" s="3383">
        <f ca="1">IF(ISNUMBER('VVP2'!AD177),'VVP2'!AD177,"n.a.")</f>
        <v>218.33621699999998</v>
      </c>
      <c r="AE24" s="3383">
        <f ca="1">IF(ISNUMBER('VVP2'!AE177),'VVP2'!AE177,"n.a.")</f>
        <v>232.30798819826396</v>
      </c>
      <c r="AF24" s="3383">
        <f ca="1">IF(ISNUMBER('VVP2'!AF177),'VVP2'!AF177,"n.a.")</f>
        <v>243.11611734918813</v>
      </c>
      <c r="AG24"/>
      <c r="AH24"/>
      <c r="AI24"/>
      <c r="AJ24">
        <v>14</v>
      </c>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row>
    <row r="25" spans="1:159">
      <c r="A25" s="3383" t="str">
        <f t="shared" si="2"/>
        <v>\\DG ECFIN\Forecast\Country databases\Desk transfer databases\SE</v>
      </c>
      <c r="B25" s="3383" t="str">
        <f t="shared" si="3"/>
        <v>SE</v>
      </c>
      <c r="C25" s="3383" t="s">
        <v>2074</v>
      </c>
      <c r="D25" s="3383" t="s">
        <v>2089</v>
      </c>
      <c r="E25" s="3383" t="s">
        <v>2076</v>
      </c>
      <c r="F25" s="3383">
        <v>31</v>
      </c>
      <c r="G25" s="3383" t="s">
        <v>115</v>
      </c>
      <c r="H25" s="3383">
        <f ca="1">IF(ISNUMBER('VVP2'!H178),'VVP2'!H178,"n.a.")</f>
        <v>35.090090117076464</v>
      </c>
      <c r="I25" s="3383">
        <f ca="1">IF(ISNUMBER('VVP2'!I178),'VVP2'!I178,"n.a.")</f>
        <v>33.808975933386243</v>
      </c>
      <c r="J25" s="3383">
        <f ca="1">IF(ISNUMBER('VVP2'!J178),'VVP2'!J178,"n.a.")</f>
        <v>37.92886230782026</v>
      </c>
      <c r="K25" s="3383">
        <f ca="1">IF(ISNUMBER('VVP2'!K178),'VVP2'!K178,"n.a.")</f>
        <v>44.310054241575436</v>
      </c>
      <c r="L25" s="3383">
        <f ca="1">IF(ISNUMBER('VVP2'!L178),'VVP2'!L178,"n.a.")</f>
        <v>51.941063122201413</v>
      </c>
      <c r="M25" s="3383">
        <f ca="1">IF(ISNUMBER('VVP2'!M178),'VVP2'!M178,"n.a.")</f>
        <v>59.854998929494435</v>
      </c>
      <c r="N25" s="3383">
        <f ca="1">IF(ISNUMBER('VVP2'!N178),'VVP2'!N178,"n.a.")</f>
        <v>71.813148012957811</v>
      </c>
      <c r="O25" s="3383">
        <f ca="1">IF(ISNUMBER('VVP2'!O178),'VVP2'!O178,"n.a.")</f>
        <v>78.37229024212516</v>
      </c>
      <c r="P25" s="3383">
        <f ca="1">IF(ISNUMBER('VVP2'!P178),'VVP2'!P178,"n.a.")</f>
        <v>90.661179516528136</v>
      </c>
      <c r="Q25" s="3383">
        <f ca="1">IF(ISNUMBER('VVP2'!Q178),'VVP2'!Q178,"n.a.")</f>
        <v>102.49897060283858</v>
      </c>
      <c r="R25" s="3383">
        <f ca="1">IF(ISNUMBER('VVP2'!R178),'VVP2'!R178,"n.a.")</f>
        <v>120.64494808761663</v>
      </c>
      <c r="S25" s="3383">
        <f ca="1">IF(ISNUMBER('VVP2'!S178),'VVP2'!S178,"n.a.")</f>
        <v>135.01407329250043</v>
      </c>
      <c r="T25" s="3383">
        <f ca="1">IF(ISNUMBER('VVP2'!T178),'VVP2'!T178,"n.a.")</f>
        <v>124.32780436067496</v>
      </c>
      <c r="U25" s="3383">
        <f ca="1">IF(ISNUMBER('VVP2'!U178),'VVP2'!U178,"n.a.")</f>
        <v>106.88418128571851</v>
      </c>
      <c r="V25" s="3383">
        <f ca="1">IF(ISNUMBER('VVP2'!V178),'VVP2'!V178,"n.a.")</f>
        <v>123.06124323158761</v>
      </c>
      <c r="W25" s="3383">
        <f ca="1">IF(ISNUMBER('VVP2'!W178),'VVP2'!W178,"n.a.")</f>
        <v>138.02961999999999</v>
      </c>
      <c r="X25" s="3383">
        <f ca="1">IF(ISNUMBER('VVP2'!X178),'VVP2'!X178,"n.a.")</f>
        <v>124.80328736889953</v>
      </c>
      <c r="Y25" s="3383">
        <f ca="1">IF(ISNUMBER('VVP2'!Y178),'VVP2'!Y178,"n.a.")</f>
        <v>128.17228881474753</v>
      </c>
      <c r="Z25" s="3383">
        <f ca="1">IF(ISNUMBER('VVP2'!Z178),'VVP2'!Z178,"n.a.")</f>
        <v>152.52398115837994</v>
      </c>
      <c r="AA25" s="3383">
        <f ca="1">IF(ISNUMBER('VVP2'!AA178),'VVP2'!AA178,"n.a.")</f>
        <v>185.3126792101942</v>
      </c>
      <c r="AB25" s="3383">
        <f ca="1">IF(ISNUMBER('VVP2'!AB178),'VVP2'!AB178,"n.a.")</f>
        <v>212.10300747434235</v>
      </c>
      <c r="AC25" s="3383">
        <f ca="1">IF(ISNUMBER('VVP2'!AC178),'VVP2'!AC178,"n.a.")</f>
        <v>250.84455729234074</v>
      </c>
      <c r="AD25" s="3383">
        <f ca="1">IF(ISNUMBER('VVP2'!AD178),'VVP2'!AD178,"n.a.")</f>
        <v>264.92912250000001</v>
      </c>
      <c r="AE25" s="3383">
        <f ca="1">IF(ISNUMBER('VVP2'!AE178),'VVP2'!AE178,"n.a.")</f>
        <v>261.62700352850044</v>
      </c>
      <c r="AF25" s="3383">
        <f ca="1">IF(ISNUMBER('VVP2'!AF178),'VVP2'!AF178,"n.a.")</f>
        <v>260.45658896551538</v>
      </c>
      <c r="AG25"/>
      <c r="AH25"/>
      <c r="AI25"/>
      <c r="AJ25">
        <v>15</v>
      </c>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row>
    <row r="26" spans="1:159">
      <c r="A26" s="3383" t="str">
        <f t="shared" si="2"/>
        <v>\\DG ECFIN\Forecast\Country databases\Desk transfer databases\SE</v>
      </c>
      <c r="B26" s="3383" t="str">
        <f t="shared" si="3"/>
        <v>SE</v>
      </c>
      <c r="C26" s="3383" t="s">
        <v>2074</v>
      </c>
      <c r="D26" s="3383" t="s">
        <v>2090</v>
      </c>
      <c r="E26" s="3383" t="s">
        <v>2076</v>
      </c>
      <c r="F26" s="3383">
        <v>33</v>
      </c>
      <c r="G26" s="3383" t="s">
        <v>1347</v>
      </c>
      <c r="H26" s="3383">
        <f>IF(ISNUMBER('VVP2'!H205),'VVP2'!H205,"n.a.")</f>
        <v>36.085999999999999</v>
      </c>
      <c r="I26" s="3383">
        <f>IF(ISNUMBER('VVP2'!I205),'VVP2'!I205,"n.a.")</f>
        <v>35.15</v>
      </c>
      <c r="J26" s="3383">
        <f>IF(ISNUMBER('VVP2'!J205),'VVP2'!J205,"n.a.")</f>
        <v>39.835000000000001</v>
      </c>
      <c r="K26" s="3383">
        <f>IF(ISNUMBER('VVP2'!K205),'VVP2'!K205,"n.a.")</f>
        <v>45.582999999999998</v>
      </c>
      <c r="L26" s="3383">
        <f>IF(ISNUMBER('VVP2'!L205),'VVP2'!L205,"n.a.")</f>
        <v>55.929000000000002</v>
      </c>
      <c r="M26" s="3383">
        <f>IF(ISNUMBER('VVP2'!M205),'VVP2'!M205,"n.a.")</f>
        <v>64.808000000000007</v>
      </c>
      <c r="N26" s="3383">
        <f>IF(ISNUMBER('VVP2'!N205),'VVP2'!N205,"n.a.")</f>
        <v>74.521000000000001</v>
      </c>
      <c r="O26" s="3383">
        <f>IF(ISNUMBER('VVP2'!O205),'VVP2'!O205,"n.a.")</f>
        <v>80.239000000000004</v>
      </c>
      <c r="P26" s="3383">
        <f>IF(ISNUMBER('VVP2'!P205),'VVP2'!P205,"n.a.")</f>
        <v>93.268000000000001</v>
      </c>
      <c r="Q26" s="3383">
        <f>IF(ISNUMBER('VVP2'!Q205),'VVP2'!Q205,"n.a.")</f>
        <v>105.322</v>
      </c>
      <c r="R26" s="3383">
        <f>IF(ISNUMBER('VVP2'!R205),'VVP2'!R205,"n.a.")</f>
        <v>126.44</v>
      </c>
      <c r="S26" s="3383">
        <f>IF(ISNUMBER('VVP2'!S205),'VVP2'!S205,"n.a.")</f>
        <v>143.286</v>
      </c>
      <c r="T26" s="3383">
        <f>IF(ISNUMBER('VVP2'!T205),'VVP2'!T205,"n.a.")</f>
        <v>132.03</v>
      </c>
      <c r="U26" s="3383">
        <f>IF(ISNUMBER('VVP2'!U205),'VVP2'!U205,"n.a.")</f>
        <v>109.181</v>
      </c>
      <c r="V26" s="3383">
        <f>IF(ISNUMBER('VVP2'!V205),'VVP2'!V205,"n.a.")</f>
        <v>127.752</v>
      </c>
      <c r="W26" s="3383">
        <f>IF(ISNUMBER('VVP2'!W205),'VVP2'!W205,"n.a.")</f>
        <v>141.572</v>
      </c>
      <c r="X26" s="3383">
        <f>IF(ISNUMBER('VVP2'!X205),'VVP2'!X205,"n.a.")</f>
        <v>127.078</v>
      </c>
      <c r="Y26" s="3383">
        <f>IF(ISNUMBER('VVP2'!Y205),'VVP2'!Y205,"n.a.")</f>
        <v>131.88800000000001</v>
      </c>
      <c r="Z26" s="3383">
        <f>IF(ISNUMBER('VVP2'!Z205),'VVP2'!Z205,"n.a.")</f>
        <v>157.09899999999999</v>
      </c>
      <c r="AA26" s="3383">
        <f>IF(ISNUMBER('VVP2'!AA205),'VVP2'!AA205,"n.a.")</f>
        <v>191.25899999999999</v>
      </c>
      <c r="AB26" s="3383">
        <f>IF(ISNUMBER('VVP2'!AB205),'VVP2'!AB205,"n.a.")</f>
        <v>224.84800000000001</v>
      </c>
      <c r="AC26" s="3383">
        <f>IF(ISNUMBER('VVP2'!AC205),'VVP2'!AC205,"n.a.")</f>
        <v>260.47500000000002</v>
      </c>
      <c r="AD26" s="3383">
        <f ca="1">IF(ISNUMBER('VVP2'!AD205),'VVP2'!AD205,"n.a.")</f>
        <v>275.0494149795</v>
      </c>
      <c r="AE26" s="3383">
        <f ca="1">IF(ISNUMBER('VVP2'!AE205),'VVP2'!AE205,"n.a.")</f>
        <v>264.55722596801968</v>
      </c>
      <c r="AF26" s="3383">
        <f ca="1">IF(ISNUMBER('VVP2'!AF205),'VVP2'!AF205,"n.a.")</f>
        <v>263.03510919627399</v>
      </c>
      <c r="AG26"/>
      <c r="AH26"/>
      <c r="AI26"/>
      <c r="AJ26">
        <v>16</v>
      </c>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row>
    <row r="27" spans="1:159">
      <c r="A27" s="3383" t="str">
        <f t="shared" si="2"/>
        <v>\\DG ECFIN\Forecast\Country databases\Desk transfer databases\SE</v>
      </c>
      <c r="B27" s="3383" t="str">
        <f t="shared" si="3"/>
        <v>SE</v>
      </c>
      <c r="C27" s="3383" t="s">
        <v>2074</v>
      </c>
      <c r="D27" s="3383" t="s">
        <v>2091</v>
      </c>
      <c r="E27" s="3383" t="s">
        <v>2076</v>
      </c>
      <c r="F27" s="3383">
        <v>36</v>
      </c>
      <c r="G27" s="3383" t="s">
        <v>2013</v>
      </c>
      <c r="H27" s="3383">
        <f>IF(ISNUMBER('VVP2'!H185),'VVP2'!H185,"n.a.")</f>
        <v>918.23099999999999</v>
      </c>
      <c r="I27" s="3383">
        <f>IF(ISNUMBER('VVP2'!I185),'VVP2'!I185,"n.a.")</f>
        <v>957.61099999999999</v>
      </c>
      <c r="J27" s="3383">
        <f>IF(ISNUMBER('VVP2'!J185),'VVP2'!J185,"n.a.")</f>
        <v>993.73400000000004</v>
      </c>
      <c r="K27" s="3383">
        <f>IF(ISNUMBER('VVP2'!K185),'VVP2'!K185,"n.a.")</f>
        <v>1049.0340000000001</v>
      </c>
      <c r="L27" s="3383">
        <f>IF(ISNUMBER('VVP2'!L185),'VVP2'!L185,"n.a.")</f>
        <v>1114.962</v>
      </c>
      <c r="M27" s="3383">
        <f>IF(ISNUMBER('VVP2'!M185),'VVP2'!M185,"n.a.")</f>
        <v>1147.2829999999999</v>
      </c>
      <c r="N27" s="3383">
        <f>IF(ISNUMBER('VVP2'!N185),'VVP2'!N185,"n.a.")</f>
        <v>1194.174</v>
      </c>
      <c r="O27" s="3383">
        <f>IF(ISNUMBER('VVP2'!O185),'VVP2'!O185,"n.a.")</f>
        <v>1241.623</v>
      </c>
      <c r="P27" s="3383">
        <f>IF(ISNUMBER('VVP2'!P185),'VVP2'!P185,"n.a.")</f>
        <v>1286.19</v>
      </c>
      <c r="Q27" s="3383">
        <f>IF(ISNUMBER('VVP2'!Q185),'VVP2'!Q185,"n.a.")</f>
        <v>1336.4490000000001</v>
      </c>
      <c r="R27" s="3383">
        <f>IF(ISNUMBER('VVP2'!R185),'VVP2'!R185,"n.a.")</f>
        <v>1388.6759999999999</v>
      </c>
      <c r="S27" s="3383">
        <f>IF(ISNUMBER('VVP2'!S185),'VVP2'!S185,"n.a.")</f>
        <v>1462.213</v>
      </c>
      <c r="T27" s="3383">
        <f>IF(ISNUMBER('VVP2'!T185),'VVP2'!T185,"n.a.")</f>
        <v>1511.3030000000001</v>
      </c>
      <c r="U27" s="3383">
        <f>IF(ISNUMBER('VVP2'!U185),'VVP2'!U185,"n.a.")</f>
        <v>1550.3869999999999</v>
      </c>
      <c r="V27" s="3383">
        <f>IF(ISNUMBER('VVP2'!V185),'VVP2'!V185,"n.a.")</f>
        <v>1634.64</v>
      </c>
      <c r="W27" s="3383">
        <f>IF(ISNUMBER('VVP2'!W185),'VVP2'!W185,"n.a.")</f>
        <v>1692.895</v>
      </c>
      <c r="X27" s="3383">
        <f>IF(ISNUMBER('VVP2'!X185),'VVP2'!X185,"n.a.")</f>
        <v>1715.028</v>
      </c>
      <c r="Y27" s="3383">
        <f>IF(ISNUMBER('VVP2'!Y185),'VVP2'!Y185,"n.a.")</f>
        <v>1759.307</v>
      </c>
      <c r="Z27" s="3383">
        <f>IF(ISNUMBER('VVP2'!Z185),'VVP2'!Z185,"n.a.")</f>
        <v>1816.1790000000001</v>
      </c>
      <c r="AA27" s="3383">
        <f>IF(ISNUMBER('VVP2'!AA185),'VVP2'!AA185,"n.a.")</f>
        <v>1889.1010000000001</v>
      </c>
      <c r="AB27" s="3383">
        <f>IF(ISNUMBER('VVP2'!AB185),'VVP2'!AB185,"n.a.")</f>
        <v>1962.61</v>
      </c>
      <c r="AC27" s="3383">
        <f>IF(ISNUMBER('VVP2'!AC185),'VVP2'!AC185,"n.a.")</f>
        <v>2040.8019999999999</v>
      </c>
      <c r="AD27" s="3383">
        <f ca="1">IF(ISNUMBER('VVP2'!AD185),'VVP2'!AD185,"n.a.")</f>
        <v>2125.3075292159997</v>
      </c>
      <c r="AE27" s="3383">
        <f ca="1">IF(ISNUMBER('VVP2'!AE185),'VVP2'!AE185,"n.a.")</f>
        <v>2211.7992569557268</v>
      </c>
      <c r="AF27" s="3383">
        <f ca="1">IF(ISNUMBER('VVP2'!AF185),'VVP2'!AF185,"n.a.")</f>
        <v>2298.8954880961292</v>
      </c>
      <c r="AG27"/>
      <c r="AH27"/>
      <c r="AI27"/>
      <c r="AJ27">
        <v>17</v>
      </c>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row>
    <row r="28" spans="1:159">
      <c r="A28" s="3383" t="str">
        <f t="shared" si="2"/>
        <v>\\DG ECFIN\Forecast\Country databases\Desk transfer databases\SE</v>
      </c>
      <c r="B28" s="3383" t="str">
        <f t="shared" si="3"/>
        <v>SE</v>
      </c>
      <c r="C28" s="3383" t="s">
        <v>2074</v>
      </c>
      <c r="D28" s="3383" t="s">
        <v>2092</v>
      </c>
      <c r="E28" s="3383" t="s">
        <v>2076</v>
      </c>
      <c r="F28" s="3383">
        <v>37</v>
      </c>
      <c r="G28" s="3383" t="s">
        <v>2015</v>
      </c>
      <c r="H28" s="3383">
        <f>IF(ISNUMBER('VVP2'!H193),'VVP2'!H193,"n.a.")</f>
        <v>500.19900000000001</v>
      </c>
      <c r="I28" s="3383">
        <f>IF(ISNUMBER('VVP2'!I193),'VVP2'!I193,"n.a.")</f>
        <v>513.09699999999998</v>
      </c>
      <c r="J28" s="3383">
        <f>IF(ISNUMBER('VVP2'!J193),'VVP2'!J193,"n.a.")</f>
        <v>540.89700000000005</v>
      </c>
      <c r="K28" s="3383">
        <f>IF(ISNUMBER('VVP2'!K193),'VVP2'!K193,"n.a.")</f>
        <v>569.072</v>
      </c>
      <c r="L28" s="3383">
        <f>IF(ISNUMBER('VVP2'!L193),'VVP2'!L193,"n.a.")</f>
        <v>584.07399999999996</v>
      </c>
      <c r="M28" s="3383">
        <f>IF(ISNUMBER('VVP2'!M193),'VVP2'!M193,"n.a.")</f>
        <v>612.63900000000001</v>
      </c>
      <c r="N28" s="3383">
        <f>IF(ISNUMBER('VVP2'!N193),'VVP2'!N193,"n.a.")</f>
        <v>654.65800000000002</v>
      </c>
      <c r="O28" s="3383">
        <f>IF(ISNUMBER('VVP2'!O193),'VVP2'!O193,"n.a.")</f>
        <v>688.42399999999998</v>
      </c>
      <c r="P28" s="3383">
        <f>IF(ISNUMBER('VVP2'!P193),'VVP2'!P193,"n.a.")</f>
        <v>701.02</v>
      </c>
      <c r="Q28" s="3383">
        <f>IF(ISNUMBER('VVP2'!Q193),'VVP2'!Q193,"n.a.")</f>
        <v>722.64200000000005</v>
      </c>
      <c r="R28" s="3383">
        <f>IF(ISNUMBER('VVP2'!R193),'VVP2'!R193,"n.a.")</f>
        <v>761.55499999999995</v>
      </c>
      <c r="S28" s="3383">
        <f>IF(ISNUMBER('VVP2'!S193),'VVP2'!S193,"n.a.")</f>
        <v>793.45899999999995</v>
      </c>
      <c r="T28" s="3383">
        <f>IF(ISNUMBER('VVP2'!T193),'VVP2'!T193,"n.a.")</f>
        <v>833.36500000000001</v>
      </c>
      <c r="U28" s="3383">
        <f>IF(ISNUMBER('VVP2'!U193),'VVP2'!U193,"n.a.")</f>
        <v>860.56799999999998</v>
      </c>
      <c r="V28" s="3383">
        <f>IF(ISNUMBER('VVP2'!V193),'VVP2'!V193,"n.a.")</f>
        <v>886.37199999999996</v>
      </c>
      <c r="W28" s="3383">
        <f>IF(ISNUMBER('VVP2'!W193),'VVP2'!W193,"n.a.")</f>
        <v>920.81799999999998</v>
      </c>
      <c r="X28" s="3383">
        <f>IF(ISNUMBER('VVP2'!X193),'VVP2'!X193,"n.a.")</f>
        <v>954.91099999999994</v>
      </c>
      <c r="Y28" s="3383">
        <f>IF(ISNUMBER('VVP2'!Y193),'VVP2'!Y193,"n.a.")</f>
        <v>992.63099999999997</v>
      </c>
      <c r="Z28" s="3383">
        <f>IF(ISNUMBER('VVP2'!Z193),'VVP2'!Z193,"n.a.")</f>
        <v>1031.509</v>
      </c>
      <c r="AA28" s="3383">
        <f>IF(ISNUMBER('VVP2'!AA193),'VVP2'!AA193,"n.a.")</f>
        <v>1086.6300000000001</v>
      </c>
      <c r="AB28" s="3383">
        <f>IF(ISNUMBER('VVP2'!AB193),'VVP2'!AB193,"n.a.")</f>
        <v>1153.528</v>
      </c>
      <c r="AC28" s="3383">
        <f>IF(ISNUMBER('VVP2'!AC193),'VVP2'!AC193,"n.a.")</f>
        <v>1195.6489999999999</v>
      </c>
      <c r="AD28" s="3383">
        <f ca="1">IF(ISNUMBER('VVP2'!AD193),'VVP2'!AD193,"n.a.")</f>
        <v>1249.4058572996</v>
      </c>
      <c r="AE28" s="3383">
        <f ca="1">IF(ISNUMBER('VVP2'!AE193),'VVP2'!AE193,"n.a.")</f>
        <v>1295.9487242957246</v>
      </c>
      <c r="AF28" s="3383">
        <f ca="1">IF(ISNUMBER('VVP2'!AF193),'VVP2'!AF193,"n.a.")</f>
        <v>1342.0090746648987</v>
      </c>
      <c r="AG28"/>
      <c r="AH28"/>
      <c r="AI28"/>
      <c r="AJ28">
        <v>18</v>
      </c>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row>
    <row r="29" spans="1:159">
      <c r="A29" s="3383" t="str">
        <f t="shared" si="2"/>
        <v>\\DG ECFIN\Forecast\Country databases\Desk transfer databases\SE</v>
      </c>
      <c r="B29" s="3383" t="str">
        <f t="shared" si="3"/>
        <v>SE</v>
      </c>
      <c r="C29" s="3383" t="s">
        <v>2074</v>
      </c>
      <c r="D29" s="3383" t="s">
        <v>2093</v>
      </c>
      <c r="E29" s="3383" t="s">
        <v>2076</v>
      </c>
      <c r="F29" s="3383">
        <v>38</v>
      </c>
      <c r="G29" s="3383" t="s">
        <v>2017</v>
      </c>
      <c r="H29" s="3383">
        <f>IF(ISNUMBER('VVP2'!H212),'VVP2'!H212,"n.a.")</f>
        <v>389.24299999999999</v>
      </c>
      <c r="I29" s="3383">
        <f>IF(ISNUMBER('VVP2'!I212),'VVP2'!I212,"n.a.")</f>
        <v>401.30900000000003</v>
      </c>
      <c r="J29" s="3383">
        <f>IF(ISNUMBER('VVP2'!J212),'VVP2'!J212,"n.a.")</f>
        <v>440.334</v>
      </c>
      <c r="K29" s="3383">
        <f>IF(ISNUMBER('VVP2'!K212),'VVP2'!K212,"n.a.")</f>
        <v>481.07100000000003</v>
      </c>
      <c r="L29" s="3383">
        <f>IF(ISNUMBER('VVP2'!L212),'VVP2'!L212,"n.a.")</f>
        <v>529.24099999999999</v>
      </c>
      <c r="M29" s="3383">
        <f>IF(ISNUMBER('VVP2'!M212),'VVP2'!M212,"n.a.")</f>
        <v>560.52200000000005</v>
      </c>
      <c r="N29" s="3383">
        <f>IF(ISNUMBER('VVP2'!N212),'VVP2'!N212,"n.a.")</f>
        <v>560.54399999999998</v>
      </c>
      <c r="O29" s="3383">
        <f>IF(ISNUMBER('VVP2'!O212),'VVP2'!O212,"n.a.")</f>
        <v>572.93700000000001</v>
      </c>
      <c r="P29" s="3383">
        <f>IF(ISNUMBER('VVP2'!P212),'VVP2'!P212,"n.a.")</f>
        <v>608.81399999999996</v>
      </c>
      <c r="Q29" s="3383">
        <f>IF(ISNUMBER('VVP2'!Q212),'VVP2'!Q212,"n.a.")</f>
        <v>646.947</v>
      </c>
      <c r="R29" s="3383">
        <f>IF(ISNUMBER('VVP2'!R212),'VVP2'!R212,"n.a.")</f>
        <v>716.53899999999999</v>
      </c>
      <c r="S29" s="3383">
        <f>IF(ISNUMBER('VVP2'!S212),'VVP2'!S212,"n.a.")</f>
        <v>791.55600000000004</v>
      </c>
      <c r="T29" s="3383">
        <f>IF(ISNUMBER('VVP2'!T212),'VVP2'!T212,"n.a.")</f>
        <v>827.94600000000003</v>
      </c>
      <c r="U29" s="3383">
        <f>IF(ISNUMBER('VVP2'!U212),'VVP2'!U212,"n.a.")</f>
        <v>737.40300000000002</v>
      </c>
      <c r="V29" s="3383">
        <f>IF(ISNUMBER('VVP2'!V212),'VVP2'!V212,"n.a.")</f>
        <v>787.14499999999998</v>
      </c>
      <c r="W29" s="3383">
        <f>IF(ISNUMBER('VVP2'!W212),'VVP2'!W212,"n.a.")</f>
        <v>834.20100000000002</v>
      </c>
      <c r="X29" s="3383">
        <f>IF(ISNUMBER('VVP2'!X212),'VVP2'!X212,"n.a.")</f>
        <v>838.25099999999998</v>
      </c>
      <c r="Y29" s="3383">
        <f>IF(ISNUMBER('VVP2'!Y212),'VVP2'!Y212,"n.a.")</f>
        <v>846.178</v>
      </c>
      <c r="Z29" s="3383">
        <f>IF(ISNUMBER('VVP2'!Z212),'VVP2'!Z212,"n.a.")</f>
        <v>911.52800000000002</v>
      </c>
      <c r="AA29" s="3383">
        <f>IF(ISNUMBER('VVP2'!AA212),'VVP2'!AA212,"n.a.")</f>
        <v>991.41300000000001</v>
      </c>
      <c r="AB29" s="3383">
        <f>IF(ISNUMBER('VVP2'!AB212),'VVP2'!AB212,"n.a.")</f>
        <v>1049.8009999999999</v>
      </c>
      <c r="AC29" s="3383">
        <f>IF(ISNUMBER('VVP2'!AC212),'VVP2'!AC212,"n.a.")</f>
        <v>1142.6130000000001</v>
      </c>
      <c r="AD29" s="3383">
        <f ca="1">IF(ISNUMBER('VVP2'!AD212),'VVP2'!AD212,"n.a.")</f>
        <v>1230.7812447398999</v>
      </c>
      <c r="AE29" s="3383">
        <f ca="1">IF(ISNUMBER('VVP2'!AE212),'VVP2'!AE212,"n.a.")</f>
        <v>1285.1201335360051</v>
      </c>
      <c r="AF29" s="3383">
        <f ca="1">IF(ISNUMBER('VVP2'!AF212),'VVP2'!AF212,"n.a.")</f>
        <v>1330.758614191782</v>
      </c>
      <c r="AG29"/>
      <c r="AH29"/>
      <c r="AI29"/>
      <c r="AJ29">
        <v>19</v>
      </c>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row>
    <row r="30" spans="1:159">
      <c r="A30" s="3383" t="str">
        <f t="shared" si="2"/>
        <v>\\DG ECFIN\Forecast\Country databases\Desk transfer databases\SE</v>
      </c>
      <c r="B30" s="3383" t="str">
        <f t="shared" si="3"/>
        <v>SE</v>
      </c>
      <c r="C30" s="3383" t="s">
        <v>2074</v>
      </c>
      <c r="D30" s="3383" t="s">
        <v>2094</v>
      </c>
      <c r="E30" s="3383" t="s">
        <v>2076</v>
      </c>
      <c r="F30" s="3383">
        <v>39</v>
      </c>
      <c r="G30" s="3383" t="s">
        <v>2018</v>
      </c>
      <c r="H30" s="3383">
        <f>IF(ISNUMBER('VVP2'!H206),'VVP2'!H206,"n.a.")</f>
        <v>128.25399999999999</v>
      </c>
      <c r="I30" s="3383">
        <f>IF(ISNUMBER('VVP2'!I206),'VVP2'!I206,"n.a.")</f>
        <v>124.227</v>
      </c>
      <c r="J30" s="3383">
        <f>IF(ISNUMBER('VVP2'!J206),'VVP2'!J206,"n.a.")</f>
        <v>133.928</v>
      </c>
      <c r="K30" s="3383">
        <f>IF(ISNUMBER('VVP2'!K206),'VVP2'!K206,"n.a.")</f>
        <v>140.185</v>
      </c>
      <c r="L30" s="3383">
        <f>IF(ISNUMBER('VVP2'!L206),'VVP2'!L206,"n.a.")</f>
        <v>157.232</v>
      </c>
      <c r="M30" s="3383">
        <f>IF(ISNUMBER('VVP2'!M206),'VVP2'!M206,"n.a.")</f>
        <v>178.02500000000001</v>
      </c>
      <c r="N30" s="3383">
        <f>IF(ISNUMBER('VVP2'!N206),'VVP2'!N206,"n.a.")</f>
        <v>193.233</v>
      </c>
      <c r="O30" s="3383">
        <f>IF(ISNUMBER('VVP2'!O206),'VVP2'!O206,"n.a.")</f>
        <v>202.65100000000001</v>
      </c>
      <c r="P30" s="3383">
        <f>IF(ISNUMBER('VVP2'!P206),'VVP2'!P206,"n.a.")</f>
        <v>228.20500000000001</v>
      </c>
      <c r="Q30" s="3383">
        <f>IF(ISNUMBER('VVP2'!Q206),'VVP2'!Q206,"n.a.")</f>
        <v>239.578</v>
      </c>
      <c r="R30" s="3383">
        <f>IF(ISNUMBER('VVP2'!R206),'VVP2'!R206,"n.a.")</f>
        <v>283.38600000000002</v>
      </c>
      <c r="S30" s="3383">
        <f>IF(ISNUMBER('VVP2'!S206),'VVP2'!S206,"n.a.")</f>
        <v>320.76900000000001</v>
      </c>
      <c r="T30" s="3383">
        <f>IF(ISNUMBER('VVP2'!T206),'VVP2'!T206,"n.a.")</f>
        <v>331.24200000000002</v>
      </c>
      <c r="U30" s="3383">
        <f>IF(ISNUMBER('VVP2'!U206),'VVP2'!U206,"n.a.")</f>
        <v>292.02</v>
      </c>
      <c r="V30" s="3383">
        <f>IF(ISNUMBER('VVP2'!V206),'VVP2'!V206,"n.a.")</f>
        <v>312.12099999999998</v>
      </c>
      <c r="W30" s="3383">
        <f>IF(ISNUMBER('VVP2'!W206),'VVP2'!W206,"n.a.")</f>
        <v>325.95600000000002</v>
      </c>
      <c r="X30" s="3383">
        <f>IF(ISNUMBER('VVP2'!X206),'VVP2'!X206,"n.a.")</f>
        <v>332.07499999999999</v>
      </c>
      <c r="Y30" s="3383">
        <f>IF(ISNUMBER('VVP2'!Y206),'VVP2'!Y206,"n.a.")</f>
        <v>332.89</v>
      </c>
      <c r="Z30" s="3383">
        <f>IF(ISNUMBER('VVP2'!Z206),'VVP2'!Z206,"n.a.")</f>
        <v>371.73700000000002</v>
      </c>
      <c r="AA30" s="3383">
        <f>IF(ISNUMBER('VVP2'!AA206),'VVP2'!AA206,"n.a.")</f>
        <v>410.77699999999999</v>
      </c>
      <c r="AB30" s="3383">
        <f>IF(ISNUMBER('VVP2'!AB206),'VVP2'!AB206,"n.a.")</f>
        <v>456.26600000000002</v>
      </c>
      <c r="AC30" s="3383">
        <f>IF(ISNUMBER('VVP2'!AC206),'VVP2'!AC206,"n.a.")</f>
        <v>511.93900000000002</v>
      </c>
      <c r="AD30" s="3383">
        <f ca="1">IF(ISNUMBER('VVP2'!AD206),'VVP2'!AD206,"n.a.")</f>
        <v>546.11641683150003</v>
      </c>
      <c r="AE30" s="3383">
        <f ca="1">IF(ISNUMBER('VVP2'!AE206),'VVP2'!AE206,"n.a.")</f>
        <v>555.23958480853685</v>
      </c>
      <c r="AF30" s="3383">
        <f ca="1">IF(ISNUMBER('VVP2'!AF206),'VVP2'!AF206,"n.a.")</f>
        <v>568.36925419767567</v>
      </c>
      <c r="AG30"/>
      <c r="AH30"/>
      <c r="AI30"/>
      <c r="AJ30">
        <v>20</v>
      </c>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row>
    <row r="31" spans="1:159">
      <c r="A31" s="3383" t="str">
        <f t="shared" si="2"/>
        <v>\\DG ECFIN\Forecast\Country databases\Desk transfer databases\SE</v>
      </c>
      <c r="B31" s="3383" t="str">
        <f t="shared" si="3"/>
        <v>SE</v>
      </c>
      <c r="C31" s="3383" t="s">
        <v>2074</v>
      </c>
      <c r="D31" s="3383" t="s">
        <v>2095</v>
      </c>
      <c r="E31" s="3383" t="s">
        <v>2076</v>
      </c>
      <c r="F31" s="3383">
        <v>40</v>
      </c>
      <c r="G31" s="3383" t="s">
        <v>1003</v>
      </c>
      <c r="H31" s="3383">
        <f>IF(ISNUMBER('VVP2'!H210),'VVP2'!H210,"n.a.")</f>
        <v>160.98699999999999</v>
      </c>
      <c r="I31" s="3383">
        <f>IF(ISNUMBER('VVP2'!I210),'VVP2'!I210,"n.a.")</f>
        <v>164.7</v>
      </c>
      <c r="J31" s="3383">
        <f>IF(ISNUMBER('VVP2'!J210),'VVP2'!J210,"n.a.")</f>
        <v>178.44399999999999</v>
      </c>
      <c r="K31" s="3383">
        <f>IF(ISNUMBER('VVP2'!K210),'VVP2'!K210,"n.a.")</f>
        <v>201.81100000000001</v>
      </c>
      <c r="L31" s="3383">
        <f>IF(ISNUMBER('VVP2'!L210),'VVP2'!L210,"n.a.")</f>
        <v>208.20699999999999</v>
      </c>
      <c r="M31" s="3383">
        <f>IF(ISNUMBER('VVP2'!M210),'VVP2'!M210,"n.a.")</f>
        <v>206.14</v>
      </c>
      <c r="N31" s="3383">
        <f>IF(ISNUMBER('VVP2'!N210),'VVP2'!N210,"n.a.")</f>
        <v>197.90799999999999</v>
      </c>
      <c r="O31" s="3383">
        <f>IF(ISNUMBER('VVP2'!O210),'VVP2'!O210,"n.a.")</f>
        <v>201.179</v>
      </c>
      <c r="P31" s="3383">
        <f>IF(ISNUMBER('VVP2'!P210),'VVP2'!P210,"n.a.")</f>
        <v>202.30799999999999</v>
      </c>
      <c r="Q31" s="3383">
        <f>IF(ISNUMBER('VVP2'!Q210),'VVP2'!Q210,"n.a.")</f>
        <v>224.69</v>
      </c>
      <c r="R31" s="3383">
        <f>IF(ISNUMBER('VVP2'!R210),'VVP2'!R210,"n.a.")</f>
        <v>243.76499999999999</v>
      </c>
      <c r="S31" s="3383">
        <f>IF(ISNUMBER('VVP2'!S210),'VVP2'!S210,"n.a.")</f>
        <v>267.45100000000002</v>
      </c>
      <c r="T31" s="3383">
        <f>IF(ISNUMBER('VVP2'!T210),'VVP2'!T210,"n.a.")</f>
        <v>281.11599999999999</v>
      </c>
      <c r="U31" s="3383">
        <f>IF(ISNUMBER('VVP2'!U210),'VVP2'!U210,"n.a.")</f>
        <v>233.41399999999999</v>
      </c>
      <c r="V31" s="3383">
        <f>IF(ISNUMBER('VVP2'!V210),'VVP2'!V210,"n.a.")</f>
        <v>252.77500000000001</v>
      </c>
      <c r="W31" s="3383">
        <f>IF(ISNUMBER('VVP2'!W210),'VVP2'!W210,"n.a.")</f>
        <v>273.01900000000001</v>
      </c>
      <c r="X31" s="3383">
        <f>IF(ISNUMBER('VVP2'!X210),'VVP2'!X210,"n.a.")</f>
        <v>277.77999999999997</v>
      </c>
      <c r="Y31" s="3383">
        <f>IF(ISNUMBER('VVP2'!Y210),'VVP2'!Y210,"n.a.")</f>
        <v>273.92500000000001</v>
      </c>
      <c r="Z31" s="3383">
        <f>IF(ISNUMBER('VVP2'!Z210),'VVP2'!Z210,"n.a.")</f>
        <v>277.91300000000001</v>
      </c>
      <c r="AA31" s="3383">
        <f>IF(ISNUMBER('VVP2'!AA210),'VVP2'!AA210,"n.a.")</f>
        <v>302.709</v>
      </c>
      <c r="AB31" s="3383">
        <f>IF(ISNUMBER('VVP2'!AB210),'VVP2'!AB210,"n.a.")</f>
        <v>319.94400000000002</v>
      </c>
      <c r="AC31" s="3383">
        <f>IF(ISNUMBER('VVP2'!AC210),'VVP2'!AC210,"n.a.")</f>
        <v>343.58800000000002</v>
      </c>
      <c r="AD31" s="3383">
        <f ca="1">IF(ISNUMBER('VVP2'!AD210),'VVP2'!AD210,"n.a.")</f>
        <v>373.76636480399986</v>
      </c>
      <c r="AE31" s="3383">
        <f ca="1">IF(ISNUMBER('VVP2'!AE210),'VVP2'!AE210,"n.a.")</f>
        <v>399.97719834383645</v>
      </c>
      <c r="AF31" s="3383">
        <f ca="1">IF(ISNUMBER('VVP2'!AF210),'VVP2'!AF210,"n.a.")</f>
        <v>419.68493485721376</v>
      </c>
      <c r="AG31"/>
      <c r="AH31"/>
      <c r="AI31"/>
      <c r="AJ31">
        <v>21</v>
      </c>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row>
    <row r="32" spans="1:159">
      <c r="A32" s="3383" t="str">
        <f t="shared" si="2"/>
        <v>\\DG ECFIN\Forecast\Country databases\Desk transfer databases\SE</v>
      </c>
      <c r="B32" s="3383" t="str">
        <f t="shared" si="3"/>
        <v>SE</v>
      </c>
      <c r="C32" s="3383" t="s">
        <v>2074</v>
      </c>
      <c r="D32" s="3383" t="s">
        <v>2096</v>
      </c>
      <c r="E32" s="3383" t="s">
        <v>2076</v>
      </c>
      <c r="F32" s="3383">
        <v>41</v>
      </c>
      <c r="G32" s="3383" t="s">
        <v>593</v>
      </c>
      <c r="H32" s="3383">
        <f>IF(ISNUMBER('VVP2'!H211),'VVP2'!H211,"n.a.")</f>
        <v>100.002</v>
      </c>
      <c r="I32" s="3383">
        <f>IF(ISNUMBER('VVP2'!I211),'VVP2'!I211,"n.a.")</f>
        <v>112.38200000000001</v>
      </c>
      <c r="J32" s="3383">
        <f>IF(ISNUMBER('VVP2'!J211),'VVP2'!J211,"n.a.")</f>
        <v>127.962</v>
      </c>
      <c r="K32" s="3383">
        <f>IF(ISNUMBER('VVP2'!K211),'VVP2'!K211,"n.a.")</f>
        <v>139.07499999999999</v>
      </c>
      <c r="L32" s="3383">
        <f>IF(ISNUMBER('VVP2'!L211),'VVP2'!L211,"n.a.")</f>
        <v>163.80199999999999</v>
      </c>
      <c r="M32" s="3383">
        <f>IF(ISNUMBER('VVP2'!M211),'VVP2'!M211,"n.a.")</f>
        <v>176.357</v>
      </c>
      <c r="N32" s="3383">
        <f>IF(ISNUMBER('VVP2'!N211),'VVP2'!N211,"n.a.")</f>
        <v>169.40299999999999</v>
      </c>
      <c r="O32" s="3383">
        <f>IF(ISNUMBER('VVP2'!O211),'VVP2'!O211,"n.a.")</f>
        <v>169.107</v>
      </c>
      <c r="P32" s="3383">
        <f>IF(ISNUMBER('VVP2'!P211),'VVP2'!P211,"n.a.")</f>
        <v>178.30099999999999</v>
      </c>
      <c r="Q32" s="3383">
        <f>IF(ISNUMBER('VVP2'!Q211),'VVP2'!Q211,"n.a.")</f>
        <v>182.679</v>
      </c>
      <c r="R32" s="3383">
        <f>IF(ISNUMBER('VVP2'!R211),'VVP2'!R211,"n.a.")</f>
        <v>189.38800000000001</v>
      </c>
      <c r="S32" s="3383">
        <f>IF(ISNUMBER('VVP2'!S211),'VVP2'!S211,"n.a.")</f>
        <v>203.33600000000001</v>
      </c>
      <c r="T32" s="3383">
        <f>IF(ISNUMBER('VVP2'!T211),'VVP2'!T211,"n.a.")</f>
        <v>215.58799999999999</v>
      </c>
      <c r="U32" s="3383">
        <f>IF(ISNUMBER('VVP2'!U211),'VVP2'!U211,"n.a.")</f>
        <v>211.96899999999999</v>
      </c>
      <c r="V32" s="3383">
        <f>IF(ISNUMBER('VVP2'!V211),'VVP2'!V211,"n.a.")</f>
        <v>222.249</v>
      </c>
      <c r="W32" s="3383">
        <f>IF(ISNUMBER('VVP2'!W211),'VVP2'!W211,"n.a.")</f>
        <v>235.226</v>
      </c>
      <c r="X32" s="3383">
        <f>IF(ISNUMBER('VVP2'!X211),'VVP2'!X211,"n.a.")</f>
        <v>228.39599999999999</v>
      </c>
      <c r="Y32" s="3383">
        <f>IF(ISNUMBER('VVP2'!Y211),'VVP2'!Y211,"n.a.")</f>
        <v>239.363</v>
      </c>
      <c r="Z32" s="3383">
        <f>IF(ISNUMBER('VVP2'!Z211),'VVP2'!Z211,"n.a.")</f>
        <v>261.87799999999999</v>
      </c>
      <c r="AA32" s="3383">
        <f>IF(ISNUMBER('VVP2'!AA211),'VVP2'!AA211,"n.a.")</f>
        <v>277.92700000000002</v>
      </c>
      <c r="AB32" s="3383">
        <f>IF(ISNUMBER('VVP2'!AB211),'VVP2'!AB211,"n.a.")</f>
        <v>273.59100000000001</v>
      </c>
      <c r="AC32" s="3383">
        <f>IF(ISNUMBER('VVP2'!AC211),'VVP2'!AC211,"n.a.")</f>
        <v>287.08600000000001</v>
      </c>
      <c r="AD32" s="3383">
        <f ca="1">IF(ISNUMBER('VVP2'!AD211),'VVP2'!AD211,"n.a.")</f>
        <v>310.89846310439998</v>
      </c>
      <c r="AE32" s="3383">
        <f ca="1">IF(ISNUMBER('VVP2'!AE211),'VVP2'!AE211,"n.a.")</f>
        <v>329.90335038363179</v>
      </c>
      <c r="AF32" s="3383">
        <f ca="1">IF(ISNUMBER('VVP2'!AF211),'VVP2'!AF211,"n.a.")</f>
        <v>342.70442513689267</v>
      </c>
      <c r="AG32"/>
      <c r="AH32"/>
      <c r="AI32"/>
      <c r="AJ32">
        <v>22</v>
      </c>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row>
    <row r="33" spans="1:159">
      <c r="A33" s="3383" t="str">
        <f t="shared" si="2"/>
        <v>\\DG ECFIN\Forecast\Country databases\Desk transfer databases\SE</v>
      </c>
      <c r="B33" s="3383" t="str">
        <f t="shared" si="3"/>
        <v>SE</v>
      </c>
      <c r="C33" s="3383" t="s">
        <v>2074</v>
      </c>
      <c r="D33" s="3383" t="s">
        <v>2097</v>
      </c>
      <c r="E33" s="3383" t="s">
        <v>2076</v>
      </c>
      <c r="F33" s="3383">
        <v>42</v>
      </c>
      <c r="G33" s="3383" t="s">
        <v>595</v>
      </c>
      <c r="H33" s="3383">
        <f>IF(ISNUMBER('VVP2'!H260),'VVP2'!H260,"n.a.")</f>
        <v>7.3449999999999998</v>
      </c>
      <c r="I33" s="3383">
        <f>IF(ISNUMBER('VVP2'!I260),'VVP2'!I260,"n.a.")</f>
        <v>9.6389999999999993</v>
      </c>
      <c r="J33" s="3383">
        <f>IF(ISNUMBER('VVP2'!J260),'VVP2'!J260,"n.a.")</f>
        <v>15.587999999999999</v>
      </c>
      <c r="K33" s="3383">
        <f>IF(ISNUMBER('VVP2'!K260),'VVP2'!K260,"n.a.")</f>
        <v>5.641</v>
      </c>
      <c r="L33" s="3383">
        <f>IF(ISNUMBER('VVP2'!L260),'VVP2'!L260,"n.a.")</f>
        <v>15.657999999999999</v>
      </c>
      <c r="M33" s="3383">
        <f>IF(ISNUMBER('VVP2'!M260),'VVP2'!M260,"n.a.")</f>
        <v>7.0419999999999998</v>
      </c>
      <c r="N33" s="3383">
        <f>IF(ISNUMBER('VVP2'!N260),'VVP2'!N260,"n.a.")</f>
        <v>2.2559999999999998</v>
      </c>
      <c r="O33" s="3383">
        <f>IF(ISNUMBER('VVP2'!O260),'VVP2'!O260,"n.a.")</f>
        <v>8.1159999999999997</v>
      </c>
      <c r="P33" s="3383">
        <f>IF(ISNUMBER('VVP2'!P260),'VVP2'!P260,"n.a.")</f>
        <v>-0.81</v>
      </c>
      <c r="Q33" s="3383">
        <f>IF(ISNUMBER('VVP2'!Q260),'VVP2'!Q260,"n.a.")</f>
        <v>-3.8860000000000001</v>
      </c>
      <c r="R33" s="3383">
        <f>IF(ISNUMBER('VVP2'!R260),'VVP2'!R260,"n.a.")</f>
        <v>0.82799999999999996</v>
      </c>
      <c r="S33" s="3383">
        <f>IF(ISNUMBER('VVP2'!S260),'VVP2'!S260,"n.a.")</f>
        <v>23.741</v>
      </c>
      <c r="T33" s="3383">
        <f>IF(ISNUMBER('VVP2'!T260),'VVP2'!T260,"n.a.")</f>
        <v>6.7640000000000002</v>
      </c>
      <c r="U33" s="3383">
        <f>IF(ISNUMBER('VVP2'!U260),'VVP2'!U260,"n.a.")</f>
        <v>-45.81</v>
      </c>
      <c r="V33" s="3383">
        <f>IF(ISNUMBER('VVP2'!V260),'VVP2'!V260,"n.a.")</f>
        <v>23.21</v>
      </c>
      <c r="W33" s="3383">
        <f>IF(ISNUMBER('VVP2'!W260),'VVP2'!W260,"n.a.")</f>
        <v>41.113999999999997</v>
      </c>
      <c r="X33" s="3383">
        <f>IF(ISNUMBER('VVP2'!X260),'VVP2'!X260,"n.a.")</f>
        <v>-1.026</v>
      </c>
      <c r="Y33" s="3383">
        <f>IF(ISNUMBER('VVP2'!Y260),'VVP2'!Y260,"n.a.")</f>
        <v>5.8869999999999996</v>
      </c>
      <c r="Z33" s="3383">
        <f>IF(ISNUMBER('VVP2'!Z260),'VVP2'!Z260,"n.a.")</f>
        <v>11.808999999999999</v>
      </c>
      <c r="AA33" s="3383">
        <f>IF(ISNUMBER('VVP2'!AA260),'VVP2'!AA260,"n.a.")</f>
        <v>30.216000000000001</v>
      </c>
      <c r="AB33" s="3383">
        <f>IF(ISNUMBER('VVP2'!AB260),'VVP2'!AB260,"n.a.")</f>
        <v>25.434999999999999</v>
      </c>
      <c r="AC33" s="3383">
        <f>IF(ISNUMBER('VVP2'!AC260),'VVP2'!AC260,"n.a.")</f>
        <v>30.757000000000001</v>
      </c>
      <c r="AD33" s="3383">
        <f ca="1">IF(ISNUMBER('VVP2'!AD260),'VVP2'!AD260,"n.a.")</f>
        <v>38.790728399999999</v>
      </c>
      <c r="AE33" s="3383">
        <f ca="1">IF(ISNUMBER('VVP2'!AE260),'VVP2'!AE260,"n.a.")</f>
        <v>33.19439001373199</v>
      </c>
      <c r="AF33" s="3383">
        <f ca="1">IF(ISNUMBER('VVP2'!AF260),'VVP2'!AF260,"n.a.")</f>
        <v>33.19439001373199</v>
      </c>
      <c r="AG33"/>
      <c r="AH33"/>
      <c r="AI33"/>
      <c r="AJ33">
        <v>23</v>
      </c>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row>
    <row r="34" spans="1:159">
      <c r="A34" s="3383" t="str">
        <f t="shared" si="2"/>
        <v>\\DG ECFIN\Forecast\Country databases\Desk transfer databases\SE</v>
      </c>
      <c r="B34" s="3383" t="str">
        <f t="shared" si="3"/>
        <v>SE</v>
      </c>
      <c r="C34" s="3383" t="s">
        <v>2074</v>
      </c>
      <c r="D34" s="3383" t="s">
        <v>2098</v>
      </c>
      <c r="E34" s="3383" t="s">
        <v>2076</v>
      </c>
      <c r="F34" s="3383">
        <v>43</v>
      </c>
      <c r="G34" s="3383" t="s">
        <v>597</v>
      </c>
      <c r="H34" s="3383">
        <f>IF(ISNUMBER('VVP2'!H278),'VVP2'!H278,"n.a.")</f>
        <v>592.07399999999996</v>
      </c>
      <c r="I34" s="3383">
        <f>IF(ISNUMBER('VVP2'!I278),'VVP2'!I278,"n.a.")</f>
        <v>669.36900000000003</v>
      </c>
      <c r="J34" s="3383">
        <f>IF(ISNUMBER('VVP2'!J278),'VVP2'!J278,"n.a.")</f>
        <v>715.31399999999996</v>
      </c>
      <c r="K34" s="3383">
        <f>IF(ISNUMBER('VVP2'!K278),'VVP2'!K278,"n.a.")</f>
        <v>744.57</v>
      </c>
      <c r="L34" s="3383">
        <f>IF(ISNUMBER('VVP2'!L278),'VVP2'!L278,"n.a.")</f>
        <v>846.64300000000003</v>
      </c>
      <c r="M34" s="3383">
        <f>IF(ISNUMBER('VVP2'!M278),'VVP2'!M278,"n.a.")</f>
        <v>847.46</v>
      </c>
      <c r="N34" s="3383">
        <f>IF(ISNUMBER('VVP2'!N278),'VVP2'!N278,"n.a.")</f>
        <v>846.88599999999997</v>
      </c>
      <c r="O34" s="3383">
        <f>IF(ISNUMBER('VVP2'!O278),'VVP2'!O278,"n.a.")</f>
        <v>864.58100000000002</v>
      </c>
      <c r="P34" s="3383">
        <f>IF(ISNUMBER('VVP2'!P278),'VVP2'!P278,"n.a.")</f>
        <v>952.375</v>
      </c>
      <c r="Q34" s="3383">
        <f>IF(ISNUMBER('VVP2'!Q278),'VVP2'!Q278,"n.a.")</f>
        <v>1034.5519999999999</v>
      </c>
      <c r="R34" s="3383">
        <f>IF(ISNUMBER('VVP2'!R278),'VVP2'!R278,"n.a.")</f>
        <v>1160.376</v>
      </c>
      <c r="S34" s="3383">
        <f>IF(ISNUMBER('VVP2'!S278),'VVP2'!S278,"n.a.")</f>
        <v>1214.914</v>
      </c>
      <c r="T34" s="3383">
        <f>IF(ISNUMBER('VVP2'!T278),'VVP2'!T278,"n.a.")</f>
        <v>1273.644</v>
      </c>
      <c r="U34" s="3383">
        <f>IF(ISNUMBER('VVP2'!U278),'VVP2'!U278,"n.a.")</f>
        <v>1049.3240000000001</v>
      </c>
      <c r="V34" s="3383">
        <f>IF(ISNUMBER('VVP2'!V278),'VVP2'!V278,"n.a.")</f>
        <v>1203.18</v>
      </c>
      <c r="W34" s="3383">
        <f>IF(ISNUMBER('VVP2'!W278),'VVP2'!W278,"n.a.")</f>
        <v>1265.4929999999999</v>
      </c>
      <c r="X34" s="3383">
        <f>IF(ISNUMBER('VVP2'!X278),'VVP2'!X278,"n.a.")</f>
        <v>1247.7349999999999</v>
      </c>
      <c r="Y34" s="3383">
        <f>IF(ISNUMBER('VVP2'!Y278),'VVP2'!Y278,"n.a.")</f>
        <v>1173.481</v>
      </c>
      <c r="Z34" s="3383">
        <f>IF(ISNUMBER('VVP2'!Z278),'VVP2'!Z278,"n.a.")</f>
        <v>1235.742</v>
      </c>
      <c r="AA34" s="3383">
        <f>IF(ISNUMBER('VVP2'!AA278),'VVP2'!AA278,"n.a.")</f>
        <v>1299.6780000000001</v>
      </c>
      <c r="AB34" s="3383">
        <f>IF(ISNUMBER('VVP2'!AB278),'VVP2'!AB278,"n.a.")</f>
        <v>1309.0509999999999</v>
      </c>
      <c r="AC34" s="3383">
        <f>IF(ISNUMBER('VVP2'!AC278),'VVP2'!AC278,"n.a.")</f>
        <v>1430.1569999999999</v>
      </c>
      <c r="AD34" s="3383">
        <f ca="1">IF(ISNUMBER('VVP2'!AD278),'VVP2'!AD278,"n.a.")</f>
        <v>1562.3785900425</v>
      </c>
      <c r="AE34" s="3383">
        <f ca="1">IF(ISNUMBER('VVP2'!AE278),'VVP2'!AE278,"n.a.")</f>
        <v>1653.6329831836192</v>
      </c>
      <c r="AF34" s="3383">
        <f ca="1">IF(ISNUMBER('VVP2'!AF278),'VVP2'!AF278,"n.a.")</f>
        <v>1723.3341425873634</v>
      </c>
      <c r="AG34"/>
      <c r="AH34"/>
      <c r="AI34"/>
      <c r="AJ34">
        <v>24</v>
      </c>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row>
    <row r="35" spans="1:159">
      <c r="A35" s="3383" t="str">
        <f t="shared" si="2"/>
        <v>\\DG ECFIN\Forecast\Country databases\Desk transfer databases\SE</v>
      </c>
      <c r="B35" s="3383" t="str">
        <f t="shared" si="3"/>
        <v>SE</v>
      </c>
      <c r="C35" s="3383" t="s">
        <v>2074</v>
      </c>
      <c r="D35" s="3383" t="s">
        <v>2099</v>
      </c>
      <c r="E35" s="3383" t="s">
        <v>2076</v>
      </c>
      <c r="F35" s="3383">
        <v>44</v>
      </c>
      <c r="G35" s="3383" t="s">
        <v>598</v>
      </c>
      <c r="H35" s="3383">
        <f>IF(ISNUMBER('VVP2'!H277),'VVP2'!H277,"n.a.")</f>
        <v>119.556</v>
      </c>
      <c r="I35" s="3383">
        <f>IF(ISNUMBER('VVP2'!I277),'VVP2'!I277,"n.a.")</f>
        <v>139.38</v>
      </c>
      <c r="J35" s="3383">
        <f>IF(ISNUMBER('VVP2'!J277),'VVP2'!J277,"n.a.")</f>
        <v>154.88999999999999</v>
      </c>
      <c r="K35" s="3383">
        <f>IF(ISNUMBER('VVP2'!K277),'VVP2'!K277,"n.a.")</f>
        <v>173.797</v>
      </c>
      <c r="L35" s="3383">
        <f>IF(ISNUMBER('VVP2'!L277),'VVP2'!L277,"n.a.")</f>
        <v>203.04599999999999</v>
      </c>
      <c r="M35" s="3383">
        <f>IF(ISNUMBER('VVP2'!M277),'VVP2'!M277,"n.a.")</f>
        <v>236.82</v>
      </c>
      <c r="N35" s="3383">
        <f>IF(ISNUMBER('VVP2'!N277),'VVP2'!N277,"n.a.")</f>
        <v>234.77600000000001</v>
      </c>
      <c r="O35" s="3383">
        <f>IF(ISNUMBER('VVP2'!O277),'VVP2'!O277,"n.a.")</f>
        <v>239.71299999999999</v>
      </c>
      <c r="P35" s="3383">
        <f>IF(ISNUMBER('VVP2'!P277),'VVP2'!P277,"n.a.")</f>
        <v>266.36099999999999</v>
      </c>
      <c r="Q35" s="3383">
        <f>IF(ISNUMBER('VVP2'!Q277),'VVP2'!Q277,"n.a.")</f>
        <v>299.14499999999998</v>
      </c>
      <c r="R35" s="3383">
        <f>IF(ISNUMBER('VVP2'!R277),'VVP2'!R277,"n.a.")</f>
        <v>333.07100000000003</v>
      </c>
      <c r="S35" s="3383">
        <f>IF(ISNUMBER('VVP2'!S277),'VVP2'!S277,"n.a.")</f>
        <v>376.18</v>
      </c>
      <c r="T35" s="3383">
        <f>IF(ISNUMBER('VVP2'!T277),'VVP2'!T277,"n.a.")</f>
        <v>413.82400000000001</v>
      </c>
      <c r="U35" s="3383">
        <f>IF(ISNUMBER('VVP2'!U277),'VVP2'!U277,"n.a.")</f>
        <v>412.49400000000003</v>
      </c>
      <c r="V35" s="3383">
        <f>IF(ISNUMBER('VVP2'!V277),'VVP2'!V277,"n.a.")</f>
        <v>422.536</v>
      </c>
      <c r="W35" s="3383">
        <f>IF(ISNUMBER('VVP2'!W277),'VVP2'!W277,"n.a.")</f>
        <v>441.50299999999999</v>
      </c>
      <c r="X35" s="3383">
        <f>IF(ISNUMBER('VVP2'!X277),'VVP2'!X277,"n.a.")</f>
        <v>459.18</v>
      </c>
      <c r="Y35" s="3383">
        <f>IF(ISNUMBER('VVP2'!Y277),'VVP2'!Y277,"n.a.")</f>
        <v>477.76499999999999</v>
      </c>
      <c r="Z35" s="3383">
        <f>IF(ISNUMBER('VVP2'!Z277),'VVP2'!Z277,"n.a.")</f>
        <v>537.14099999999996</v>
      </c>
      <c r="AA35" s="3383">
        <f>IF(ISNUMBER('VVP2'!AA277),'VVP2'!AA277,"n.a.")</f>
        <v>613.41</v>
      </c>
      <c r="AB35" s="3383">
        <f>IF(ISNUMBER('VVP2'!AB277),'VVP2'!AB277,"n.a.")</f>
        <v>638.101</v>
      </c>
      <c r="AC35" s="3383">
        <f>IF(ISNUMBER('VVP2'!AC277),'VVP2'!AC277,"n.a.")</f>
        <v>646.49900000000002</v>
      </c>
      <c r="AD35" s="3383">
        <f ca="1">IF(ISNUMBER('VVP2'!AD277),'VVP2'!AD277,"n.a.")</f>
        <v>695.80857777829999</v>
      </c>
      <c r="AE35" s="3383">
        <f ca="1">IF(ISNUMBER('VVP2'!AE277),'VVP2'!AE277,"n.a.")</f>
        <v>732.9520364508594</v>
      </c>
      <c r="AF35" s="3383">
        <f ca="1">IF(ISNUMBER('VVP2'!AF277),'VVP2'!AF277,"n.a.")</f>
        <v>763.39730285719065</v>
      </c>
      <c r="AG35"/>
      <c r="AH35"/>
      <c r="AI35"/>
      <c r="AJ35">
        <v>25</v>
      </c>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row>
    <row r="36" spans="1:159">
      <c r="A36" s="3383" t="str">
        <f t="shared" si="2"/>
        <v>\\DG ECFIN\Forecast\Country databases\Desk transfer databases\SE</v>
      </c>
      <c r="B36" s="3383" t="str">
        <f t="shared" si="3"/>
        <v>SE</v>
      </c>
      <c r="C36" s="3383" t="s">
        <v>2074</v>
      </c>
      <c r="D36" s="3383" t="s">
        <v>2100</v>
      </c>
      <c r="E36" s="3383" t="s">
        <v>2076</v>
      </c>
      <c r="F36" s="3383">
        <v>45</v>
      </c>
      <c r="G36" s="3383" t="s">
        <v>600</v>
      </c>
      <c r="H36" s="3383">
        <f>IF(ISNUMBER('VVP2'!H310),'VVP2'!H310,"n.a.")</f>
        <v>445.85199999999998</v>
      </c>
      <c r="I36" s="3383">
        <f>IF(ISNUMBER('VVP2'!I310),'VVP2'!I310,"n.a.")</f>
        <v>498.10399999999998</v>
      </c>
      <c r="J36" s="3383">
        <f>IF(ISNUMBER('VVP2'!J310),'VVP2'!J310,"n.a.")</f>
        <v>542.28899999999999</v>
      </c>
      <c r="K36" s="3383">
        <f>IF(ISNUMBER('VVP2'!K310),'VVP2'!K310,"n.a.")</f>
        <v>569.88099999999997</v>
      </c>
      <c r="L36" s="3383">
        <f>IF(ISNUMBER('VVP2'!L310),'VVP2'!L310,"n.a.")</f>
        <v>668.202</v>
      </c>
      <c r="M36" s="3383">
        <f>IF(ISNUMBER('VVP2'!M310),'VVP2'!M310,"n.a.")</f>
        <v>659.23800000000006</v>
      </c>
      <c r="N36" s="3383">
        <f>IF(ISNUMBER('VVP2'!N310),'VVP2'!N310,"n.a.")</f>
        <v>653.53599999999994</v>
      </c>
      <c r="O36" s="3383">
        <f>IF(ISNUMBER('VVP2'!O310),'VVP2'!O310,"n.a.")</f>
        <v>674</v>
      </c>
      <c r="P36" s="3383">
        <f>IF(ISNUMBER('VVP2'!P310),'VVP2'!P310,"n.a.")</f>
        <v>731.82</v>
      </c>
      <c r="Q36" s="3383">
        <f>IF(ISNUMBER('VVP2'!Q310),'VVP2'!Q310,"n.a.")</f>
        <v>826.44200000000001</v>
      </c>
      <c r="R36" s="3383">
        <f>IF(ISNUMBER('VVP2'!R310),'VVP2'!R310,"n.a.")</f>
        <v>941.56399999999996</v>
      </c>
      <c r="S36" s="3383">
        <f>IF(ISNUMBER('VVP2'!S310),'VVP2'!S310,"n.a.")</f>
        <v>1008.203</v>
      </c>
      <c r="T36" s="3383">
        <f>IF(ISNUMBER('VVP2'!T310),'VVP2'!T310,"n.a.")</f>
        <v>1084.3309999999999</v>
      </c>
      <c r="U36" s="3383">
        <f>IF(ISNUMBER('VVP2'!U310),'VVP2'!U310,"n.a.")</f>
        <v>895.50699999999995</v>
      </c>
      <c r="V36" s="3383">
        <f>IF(ISNUMBER('VVP2'!V310),'VVP2'!V310,"n.a.")</f>
        <v>1053.02</v>
      </c>
      <c r="W36" s="3383">
        <f>IF(ISNUMBER('VVP2'!W310),'VVP2'!W310,"n.a.")</f>
        <v>1140.9010000000001</v>
      </c>
      <c r="X36" s="3383">
        <f>IF(ISNUMBER('VVP2'!X310),'VVP2'!X310,"n.a.")</f>
        <v>1110.194</v>
      </c>
      <c r="Y36" s="3383">
        <f>IF(ISNUMBER('VVP2'!Y310),'VVP2'!Y310,"n.a.")</f>
        <v>1051.1959999999999</v>
      </c>
      <c r="Z36" s="3383">
        <f>IF(ISNUMBER('VVP2'!Z310),'VVP2'!Z310,"n.a.")</f>
        <v>1113.0029999999999</v>
      </c>
      <c r="AA36" s="3383">
        <f>IF(ISNUMBER('VVP2'!AA310),'VVP2'!AA310,"n.a.")</f>
        <v>1172.4559999999999</v>
      </c>
      <c r="AB36" s="3383">
        <f>IF(ISNUMBER('VVP2'!AB310),'VVP2'!AB310,"n.a.")</f>
        <v>1213.4359999999999</v>
      </c>
      <c r="AC36" s="3383">
        <f>IF(ISNUMBER('VVP2'!AC310),'VVP2'!AC310,"n.a.")</f>
        <v>1321.5070000000001</v>
      </c>
      <c r="AD36" s="3383">
        <f ca="1">IF(ISNUMBER('VVP2'!AD310),'VVP2'!AD310,"n.a.")</f>
        <v>1459.7183954034003</v>
      </c>
      <c r="AE36" s="3383">
        <f ca="1">IF(ISNUMBER('VVP2'!AE310),'VVP2'!AE310,"n.a.")</f>
        <v>1549.652463186505</v>
      </c>
      <c r="AF36" s="3383">
        <f ca="1">IF(ISNUMBER('VVP2'!AF310),'VVP2'!AF310,"n.a.")</f>
        <v>1619.2550415844285</v>
      </c>
      <c r="AG36"/>
      <c r="AH36"/>
      <c r="AI36"/>
      <c r="AJ36">
        <v>26</v>
      </c>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row>
    <row r="37" spans="1:159" ht="12" customHeight="1">
      <c r="A37" s="3383" t="str">
        <f t="shared" si="2"/>
        <v>\\DG ECFIN\Forecast\Country databases\Desk transfer databases\SE</v>
      </c>
      <c r="B37" s="3383" t="str">
        <f t="shared" si="3"/>
        <v>SE</v>
      </c>
      <c r="C37" s="3383" t="s">
        <v>2074</v>
      </c>
      <c r="D37" s="3383" t="s">
        <v>2101</v>
      </c>
      <c r="E37" s="3383" t="s">
        <v>2076</v>
      </c>
      <c r="F37" s="3383">
        <v>46</v>
      </c>
      <c r="G37" s="3383" t="s">
        <v>601</v>
      </c>
      <c r="H37" s="3383">
        <f>IF(ISNUMBER('VVP2'!H309),'VVP2'!H309,"n.a.")</f>
        <v>146.41800000000001</v>
      </c>
      <c r="I37" s="3383">
        <f>IF(ISNUMBER('VVP2'!I309),'VVP2'!I309,"n.a.")</f>
        <v>170.32300000000001</v>
      </c>
      <c r="J37" s="3383">
        <f>IF(ISNUMBER('VVP2'!J309),'VVP2'!J309,"n.a.")</f>
        <v>194.06200000000001</v>
      </c>
      <c r="K37" s="3383">
        <f>IF(ISNUMBER('VVP2'!K309),'VVP2'!K309,"n.a.")</f>
        <v>212.73099999999999</v>
      </c>
      <c r="L37" s="3383">
        <f>IF(ISNUMBER('VVP2'!L309),'VVP2'!L309,"n.a.")</f>
        <v>241.79599999999999</v>
      </c>
      <c r="M37" s="3383">
        <f>IF(ISNUMBER('VVP2'!M309),'VVP2'!M309,"n.a.")</f>
        <v>270.61200000000002</v>
      </c>
      <c r="N37" s="3383">
        <f>IF(ISNUMBER('VVP2'!N309),'VVP2'!N309,"n.a.")</f>
        <v>265.79899999999998</v>
      </c>
      <c r="O37" s="3383">
        <f>IF(ISNUMBER('VVP2'!O309),'VVP2'!O309,"n.a.")</f>
        <v>260.53100000000001</v>
      </c>
      <c r="P37" s="3383">
        <f>IF(ISNUMBER('VVP2'!P309),'VVP2'!P309,"n.a.")</f>
        <v>273.72699999999998</v>
      </c>
      <c r="Q37" s="3383">
        <f>IF(ISNUMBER('VVP2'!Q309),'VVP2'!Q309,"n.a.")</f>
        <v>298.72399999999999</v>
      </c>
      <c r="R37" s="3383">
        <f>IF(ISNUMBER('VVP2'!R309),'VVP2'!R309,"n.a.")</f>
        <v>316.64699999999999</v>
      </c>
      <c r="S37" s="3383">
        <f>IF(ISNUMBER('VVP2'!S309),'VVP2'!S309,"n.a.")</f>
        <v>352.87700000000001</v>
      </c>
      <c r="T37" s="3383">
        <f>IF(ISNUMBER('VVP2'!T309),'VVP2'!T309,"n.a.")</f>
        <v>390.834</v>
      </c>
      <c r="U37" s="3383">
        <f>IF(ISNUMBER('VVP2'!U309),'VVP2'!U309,"n.a.")</f>
        <v>376.85</v>
      </c>
      <c r="V37" s="3383">
        <f>IF(ISNUMBER('VVP2'!V309),'VVP2'!V309,"n.a.")</f>
        <v>380.23899999999998</v>
      </c>
      <c r="W37" s="3383">
        <f>IF(ISNUMBER('VVP2'!W309),'VVP2'!W309,"n.a.")</f>
        <v>394.08</v>
      </c>
      <c r="X37" s="3383">
        <f>IF(ISNUMBER('VVP2'!X309),'VVP2'!X309,"n.a.")</f>
        <v>415.01400000000001</v>
      </c>
      <c r="Y37" s="3383">
        <f>IF(ISNUMBER('VVP2'!Y309),'VVP2'!Y309,"n.a.")</f>
        <v>430.11399999999998</v>
      </c>
      <c r="Z37" s="3383">
        <f>IF(ISNUMBER('VVP2'!Z309),'VVP2'!Z309,"n.a.")</f>
        <v>489.98</v>
      </c>
      <c r="AA37" s="3383">
        <f>IF(ISNUMBER('VVP2'!AA309),'VVP2'!AA309,"n.a.")</f>
        <v>536.44899999999996</v>
      </c>
      <c r="AB37" s="3383">
        <f>IF(ISNUMBER('VVP2'!AB309),'VVP2'!AB309,"n.a.")</f>
        <v>539.59299999999996</v>
      </c>
      <c r="AC37" s="3383">
        <f>IF(ISNUMBER('VVP2'!AC309),'VVP2'!AC309,"n.a.")</f>
        <v>586.07100000000003</v>
      </c>
      <c r="AD37" s="3383">
        <f ca="1">IF(ISNUMBER('VVP2'!AD309),'VVP2'!AD309,"n.a.")</f>
        <v>639.57898926450014</v>
      </c>
      <c r="AE37" s="3383">
        <f ca="1">IF(ISNUMBER('VVP2'!AE309),'VVP2'!AE309,"n.a.")</f>
        <v>678.19866179009898</v>
      </c>
      <c r="AF37" s="3383">
        <f ca="1">IF(ISNUMBER('VVP2'!AF309),'VVP2'!AF309,"n.a.")</f>
        <v>710.81835583548138</v>
      </c>
      <c r="AG37"/>
      <c r="AH37"/>
      <c r="AI37"/>
      <c r="AJ37">
        <v>27</v>
      </c>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row>
    <row r="38" spans="1:159">
      <c r="A38" s="3383" t="str">
        <f t="shared" si="2"/>
        <v>\\DG ECFIN\Forecast\Country databases\Desk transfer databases\SE</v>
      </c>
      <c r="B38" s="3383" t="str">
        <f t="shared" si="3"/>
        <v>SE</v>
      </c>
      <c r="C38" s="3383" t="s">
        <v>2074</v>
      </c>
      <c r="D38" s="3383" t="s">
        <v>2102</v>
      </c>
      <c r="E38" s="3383" t="s">
        <v>2076</v>
      </c>
      <c r="F38" s="3383">
        <v>47</v>
      </c>
      <c r="G38" s="3383" t="s">
        <v>603</v>
      </c>
      <c r="H38" s="3383">
        <f>IF(ISNUMBER('VVP2'!H341),'VVP2'!H341,"n.a.")</f>
        <v>1934.3779999999999</v>
      </c>
      <c r="I38" s="3383">
        <f>IF(ISNUMBER('VVP2'!I341),'VVP2'!I341,"n.a.")</f>
        <v>2021.9780000000001</v>
      </c>
      <c r="J38" s="3383">
        <f>IF(ISNUMBER('VVP2'!J341),'VVP2'!J341,"n.a.")</f>
        <v>2124.4059999999999</v>
      </c>
      <c r="K38" s="3383">
        <f>IF(ISNUMBER('VVP2'!K341),'VVP2'!K341,"n.a.")</f>
        <v>2240.5729999999999</v>
      </c>
      <c r="L38" s="3383">
        <f>IF(ISNUMBER('VVP2'!L341),'VVP2'!L341,"n.a.")</f>
        <v>2383.6260000000002</v>
      </c>
      <c r="M38" s="3383">
        <f>IF(ISNUMBER('VVP2'!M341),'VVP2'!M341,"n.a.")</f>
        <v>2481.9160000000002</v>
      </c>
      <c r="N38" s="3383">
        <f>IF(ISNUMBER('VVP2'!N341),'VVP2'!N341,"n.a.")</f>
        <v>2573.9589999999998</v>
      </c>
      <c r="O38" s="3383">
        <f>IF(ISNUMBER('VVP2'!O341),'VVP2'!O341,"n.a.")</f>
        <v>2680.8629999999998</v>
      </c>
      <c r="P38" s="3383">
        <f>IF(ISNUMBER('VVP2'!P341),'VVP2'!P341,"n.a.")</f>
        <v>2808.4029999999998</v>
      </c>
      <c r="Q38" s="3383">
        <f>IF(ISNUMBER('VVP2'!Q341),'VVP2'!Q341,"n.a.")</f>
        <v>2910.683</v>
      </c>
      <c r="R38" s="3383">
        <f>IF(ISNUMBER('VVP2'!R341),'VVP2'!R341,"n.a.")</f>
        <v>3102.8339999999998</v>
      </c>
      <c r="S38" s="3383">
        <f>IF(ISNUMBER('VVP2'!S341),'VVP2'!S341,"n.a.")</f>
        <v>3300.9830000000002</v>
      </c>
      <c r="T38" s="3383">
        <f>IF(ISNUMBER('VVP2'!T341),'VVP2'!T341,"n.a.")</f>
        <v>3391.681</v>
      </c>
      <c r="U38" s="3383">
        <f>IF(ISNUMBER('VVP2'!U341),'VVP2'!U341,"n.a.")</f>
        <v>3292.009</v>
      </c>
      <c r="V38" s="3383">
        <f>IF(ISNUMBER('VVP2'!V341),'VVP2'!V341,"n.a.")</f>
        <v>3523.8240000000001</v>
      </c>
      <c r="W38" s="3383">
        <f>IF(ISNUMBER('VVP2'!W341),'VVP2'!W341,"n.a.")</f>
        <v>3661.0430000000001</v>
      </c>
      <c r="X38" s="3383">
        <f>IF(ISNUMBER('VVP2'!X341),'VVP2'!X341,"n.a.")</f>
        <v>3688.8710000000001</v>
      </c>
      <c r="Y38" s="3383">
        <f>IF(ISNUMBER('VVP2'!Y341),'VVP2'!Y341,"n.a.")</f>
        <v>3773.9389999999999</v>
      </c>
      <c r="Z38" s="3383">
        <f>IF(ISNUMBER('VVP2'!Z341),'VVP2'!Z341,"n.a.")</f>
        <v>3940.9250000000002</v>
      </c>
      <c r="AA38" s="3383">
        <f>IF(ISNUMBER('VVP2'!AA341),'VVP2'!AA341,"n.a.")</f>
        <v>4201.5429999999997</v>
      </c>
      <c r="AB38" s="3383">
        <f>IF(ISNUMBER('VVP2'!AB341),'VVP2'!AB341,"n.a.")</f>
        <v>4385.4970000000003</v>
      </c>
      <c r="AC38" s="3383">
        <f>IF(ISNUMBER('VVP2'!AC341),'VVP2'!AC341,"n.a.")</f>
        <v>4578.8990000000003</v>
      </c>
      <c r="AD38" s="3383">
        <f ca="1">IF(ISNUMBER('VVP2'!AD341),'VVP2'!AD341,"n.a.")</f>
        <v>4803.175142808399</v>
      </c>
      <c r="AE38" s="3383">
        <f ca="1">IF(ISNUMBER('VVP2'!AE341),'VVP2'!AE341,"n.a.")</f>
        <v>4984.7963994590627</v>
      </c>
      <c r="AF38" s="3383">
        <f ca="1">IF(ISNUMBER('VVP2'!AF341),'VVP2'!AF341,"n.a.")</f>
        <v>5161.5156149911854</v>
      </c>
      <c r="AG38"/>
      <c r="AH38"/>
      <c r="AI38"/>
      <c r="AJ38">
        <v>28</v>
      </c>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row>
    <row r="39" spans="1:159">
      <c r="A39" s="3383" t="str">
        <f t="shared" si="2"/>
        <v>\\DG ECFIN\Forecast\Country databases\Desk transfer databases\SE</v>
      </c>
      <c r="B39" s="3383" t="str">
        <f t="shared" si="3"/>
        <v>SE</v>
      </c>
      <c r="C39" s="3383" t="s">
        <v>2074</v>
      </c>
      <c r="D39" s="3383" t="s">
        <v>2103</v>
      </c>
      <c r="E39" s="3383" t="s">
        <v>2076</v>
      </c>
      <c r="F39" s="3383">
        <v>50</v>
      </c>
      <c r="G39" s="3383" t="s">
        <v>604</v>
      </c>
      <c r="H39" s="3383">
        <f>IF(ISNUMBER(Sector1!H8),Sector1!H8,"n.a.")</f>
        <v>245.548</v>
      </c>
      <c r="I39" s="3383">
        <f>IF(ISNUMBER(Sector1!I8),Sector1!I8,"n.a.")</f>
        <v>250.83</v>
      </c>
      <c r="J39" s="3383">
        <f>IF(ISNUMBER(Sector1!J8),Sector1!J8,"n.a.")</f>
        <v>265.70999999999998</v>
      </c>
      <c r="K39" s="3383">
        <f>IF(ISNUMBER(Sector1!K8),Sector1!K8,"n.a.")</f>
        <v>279.92</v>
      </c>
      <c r="L39" s="3383">
        <f>IF(ISNUMBER(Sector1!L8),Sector1!L8,"n.a.")</f>
        <v>289.39800000000002</v>
      </c>
      <c r="M39" s="3383">
        <f>IF(ISNUMBER(Sector1!M8),Sector1!M8,"n.a.")</f>
        <v>304.61599999999999</v>
      </c>
      <c r="N39" s="3383">
        <f>IF(ISNUMBER(Sector1!N8),Sector1!N8,"n.a.")</f>
        <v>319.82799999999997</v>
      </c>
      <c r="O39" s="3383">
        <f>IF(ISNUMBER(Sector1!O8),Sector1!O8,"n.a.")</f>
        <v>333.041</v>
      </c>
      <c r="P39" s="3383">
        <f>IF(ISNUMBER(Sector1!P8),Sector1!P8,"n.a.")</f>
        <v>344.54300000000001</v>
      </c>
      <c r="Q39" s="3383">
        <f>IF(ISNUMBER(Sector1!Q8),Sector1!Q8,"n.a.")</f>
        <v>362.31200000000001</v>
      </c>
      <c r="R39" s="3383">
        <f>IF(ISNUMBER(Sector1!R8),Sector1!R8,"n.a.")</f>
        <v>382.39800000000002</v>
      </c>
      <c r="S39" s="3383">
        <f>IF(ISNUMBER(Sector1!S8),Sector1!S8,"n.a.")</f>
        <v>404.447</v>
      </c>
      <c r="T39" s="3383">
        <f>IF(ISNUMBER(Sector1!T8),Sector1!T8,"n.a.")</f>
        <v>412.38499999999999</v>
      </c>
      <c r="U39" s="3383">
        <f>IF(ISNUMBER(Sector1!U8),Sector1!U8,"n.a.")</f>
        <v>418.18099999999998</v>
      </c>
      <c r="V39" s="3383">
        <f>IF(ISNUMBER(Sector1!V8),Sector1!V8,"n.a.")</f>
        <v>442.72</v>
      </c>
      <c r="W39" s="3383">
        <f>IF(ISNUMBER(Sector1!W8),Sector1!W8,"n.a.")</f>
        <v>452.01</v>
      </c>
      <c r="X39" s="3383">
        <f>IF(ISNUMBER(Sector1!X8),Sector1!X8,"n.a.")</f>
        <v>449.36500000000001</v>
      </c>
      <c r="Y39" s="3383">
        <f>IF(ISNUMBER(Sector1!Y8),Sector1!Y8,"n.a.")</f>
        <v>455.19499999999999</v>
      </c>
      <c r="Z39" s="3383">
        <f>IF(ISNUMBER(Sector1!Z8),Sector1!Z8,"n.a.")</f>
        <v>470.57299999999998</v>
      </c>
      <c r="AA39" s="3383">
        <f>IF(ISNUMBER(Sector1!AA8),Sector1!AA8,"n.a.")</f>
        <v>502.49</v>
      </c>
      <c r="AB39" s="3383">
        <f>IF(ISNUMBER(Sector1!AB8),Sector1!AB8,"n.a.")</f>
        <v>532.404</v>
      </c>
      <c r="AC39" s="3383">
        <f>IF(ISNUMBER(Sector1!AC8),Sector1!AC8,"n.a.")</f>
        <v>554.44600000000003</v>
      </c>
      <c r="AD39" s="3383">
        <f ca="1">IF(ISNUMBER(Sector1!AD8),Sector1!AD8,"n.a.")</f>
        <v>581.83099683663374</v>
      </c>
      <c r="AE39" s="3383">
        <f ca="1">IF(ISNUMBER(Sector1!AE8),Sector1!AE8,"n.a.")</f>
        <v>607.37640427372526</v>
      </c>
      <c r="AF39" s="3383">
        <f ca="1">IF(ISNUMBER(Sector1!AF8),Sector1!AF8,"n.a.")</f>
        <v>628.8625714624518</v>
      </c>
      <c r="AG39"/>
      <c r="AH39"/>
      <c r="AI39"/>
      <c r="AJ39">
        <v>29</v>
      </c>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row>
    <row r="40" spans="1:159">
      <c r="A40" s="3383" t="str">
        <f t="shared" si="2"/>
        <v>\\DG ECFIN\Forecast\Country databases\Desk transfer databases\SE</v>
      </c>
      <c r="B40" s="3383" t="str">
        <f t="shared" si="3"/>
        <v>SE</v>
      </c>
      <c r="C40" s="3383" t="s">
        <v>2074</v>
      </c>
      <c r="D40" s="3383" t="s">
        <v>2104</v>
      </c>
      <c r="E40" s="3383" t="s">
        <v>2076</v>
      </c>
      <c r="F40" s="3383">
        <v>51</v>
      </c>
      <c r="G40" s="3383" t="s">
        <v>606</v>
      </c>
      <c r="H40" s="3383">
        <f>IF(ISNUMBER(Sector1!H45),Sector1!H45,"n.a.")</f>
        <v>11.108000000000001</v>
      </c>
      <c r="I40" s="3383">
        <f>IF(ISNUMBER(Sector1!I45),Sector1!I45,"n.a.")</f>
        <v>11.273999999999999</v>
      </c>
      <c r="J40" s="3383">
        <f>IF(ISNUMBER(Sector1!J45),Sector1!J45,"n.a.")</f>
        <v>11.127000000000001</v>
      </c>
      <c r="K40" s="3383">
        <f>IF(ISNUMBER(Sector1!K45),Sector1!K45,"n.a.")</f>
        <v>11.33</v>
      </c>
      <c r="L40" s="3383">
        <f>IF(ISNUMBER(Sector1!L45),Sector1!L45,"n.a.")</f>
        <v>12.817</v>
      </c>
      <c r="M40" s="3383">
        <f>IF(ISNUMBER(Sector1!M45),Sector1!M45,"n.a.")</f>
        <v>13.778</v>
      </c>
      <c r="N40" s="3383">
        <f>IF(ISNUMBER(Sector1!N45),Sector1!N45,"n.a.")</f>
        <v>14.742000000000001</v>
      </c>
      <c r="O40" s="3383">
        <f>IF(ISNUMBER(Sector1!O45),Sector1!O45,"n.a.")</f>
        <v>15.972</v>
      </c>
      <c r="P40" s="3383">
        <f>IF(ISNUMBER(Sector1!P45),Sector1!P45,"n.a.")</f>
        <v>16.379000000000001</v>
      </c>
      <c r="Q40" s="3383">
        <f>IF(ISNUMBER(Sector1!Q45),Sector1!Q45,"n.a.")</f>
        <v>13.393000000000001</v>
      </c>
      <c r="R40" s="3383">
        <f>IF(ISNUMBER(Sector1!R45),Sector1!R45,"n.a.")</f>
        <v>14.362</v>
      </c>
      <c r="S40" s="3383">
        <f>IF(ISNUMBER(Sector1!S45),Sector1!S45,"n.a.")</f>
        <v>15.207000000000001</v>
      </c>
      <c r="T40" s="3383">
        <f>IF(ISNUMBER(Sector1!T45),Sector1!T45,"n.a.")</f>
        <v>16.795000000000002</v>
      </c>
      <c r="U40" s="3383">
        <f>IF(ISNUMBER(Sector1!U45),Sector1!U45,"n.a.")</f>
        <v>17.457000000000001</v>
      </c>
      <c r="V40" s="3383">
        <f>IF(ISNUMBER(Sector1!V45),Sector1!V45,"n.a.")</f>
        <v>17.513000000000002</v>
      </c>
      <c r="W40" s="3383">
        <f>IF(ISNUMBER(Sector1!W45),Sector1!W45,"n.a.")</f>
        <v>18.364000000000001</v>
      </c>
      <c r="X40" s="3383">
        <f>IF(ISNUMBER(Sector1!X45),Sector1!X45,"n.a.")</f>
        <v>18.54</v>
      </c>
      <c r="Y40" s="3383">
        <f>IF(ISNUMBER(Sector1!Y45),Sector1!Y45,"n.a.")</f>
        <v>18.722000000000001</v>
      </c>
      <c r="Z40" s="3383">
        <f>IF(ISNUMBER(Sector1!Z45),Sector1!Z45,"n.a.")</f>
        <v>20.614000000000001</v>
      </c>
      <c r="AA40" s="3383">
        <f>IF(ISNUMBER(Sector1!AA45),Sector1!AA45,"n.a.")</f>
        <v>22.387</v>
      </c>
      <c r="AB40" s="3383">
        <f>IF(ISNUMBER(Sector1!AB45),Sector1!AB45,"n.a.")</f>
        <v>23.283000000000001</v>
      </c>
      <c r="AC40" s="3383">
        <f>IF(ISNUMBER(Sector1!AC45),Sector1!AC45,"n.a.")</f>
        <v>24.643000000000001</v>
      </c>
      <c r="AD40" s="3383">
        <f>IF(ISNUMBER(Sector1!AD45),Sector1!AD45,"n.a.")</f>
        <v>25.875150000000001</v>
      </c>
      <c r="AE40" s="3383">
        <f>IF(ISNUMBER(Sector1!AE45),Sector1!AE45,"n.a.")</f>
        <v>27.168907500000003</v>
      </c>
      <c r="AF40" s="3383">
        <f>IF(ISNUMBER(Sector1!AF45),Sector1!AF45,"n.a.")</f>
        <v>28.527352875000005</v>
      </c>
      <c r="AG40"/>
      <c r="AH40"/>
      <c r="AI40"/>
      <c r="AJ40">
        <v>30</v>
      </c>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row>
    <row r="41" spans="1:159">
      <c r="A41" s="3383" t="str">
        <f t="shared" si="2"/>
        <v>\\DG ECFIN\Forecast\Country databases\Desk transfer databases\SE</v>
      </c>
      <c r="B41" s="3383" t="str">
        <f t="shared" si="3"/>
        <v>SE</v>
      </c>
      <c r="C41" s="3383" t="s">
        <v>2074</v>
      </c>
      <c r="D41" s="3383" t="s">
        <v>2105</v>
      </c>
      <c r="E41" s="3383" t="s">
        <v>2292</v>
      </c>
      <c r="F41" s="3383">
        <v>54</v>
      </c>
      <c r="G41" s="3383" t="s">
        <v>1627</v>
      </c>
      <c r="H41" s="3383">
        <f>IF(ISNUMBER('VVP2'!H363),'VVP2'!H363,"n.a.")</f>
        <v>76.158333333333303</v>
      </c>
      <c r="I41" s="3383">
        <f>IF(ISNUMBER('VVP2'!I363),'VVP2'!I363,"n.a.")</f>
        <v>77.539166666666702</v>
      </c>
      <c r="J41" s="3383">
        <f>IF(ISNUMBER('VVP2'!J363),'VVP2'!J363,"n.a.")</f>
        <v>78.317499999999995</v>
      </c>
      <c r="K41" s="3383">
        <f>IF(ISNUMBER('VVP2'!K363),'VVP2'!K363,"n.a.")</f>
        <v>78.759166666666701</v>
      </c>
      <c r="L41" s="3383">
        <f>IF(ISNUMBER('VVP2'!L363),'VVP2'!L363,"n.a.")</f>
        <v>79.778333333333407</v>
      </c>
      <c r="M41" s="3383">
        <f>IF(ISNUMBER('VVP2'!M363),'VVP2'!M363,"n.a.")</f>
        <v>81.9166666666667</v>
      </c>
      <c r="N41" s="3383">
        <f>IF(ISNUMBER('VVP2'!N363),'VVP2'!N363,"n.a.")</f>
        <v>83.504999999999995</v>
      </c>
      <c r="O41" s="3383">
        <f>IF(ISNUMBER('VVP2'!O363),'VVP2'!O363,"n.a.")</f>
        <v>85.441666666666706</v>
      </c>
      <c r="P41" s="3383">
        <f>IF(ISNUMBER('VVP2'!P363),'VVP2'!P363,"n.a.")</f>
        <v>86.314999999999998</v>
      </c>
      <c r="Q41" s="3383">
        <f>IF(ISNUMBER('VVP2'!Q363),'VVP2'!Q363,"n.a.")</f>
        <v>87.034166666666593</v>
      </c>
      <c r="R41" s="3383">
        <f>IF(ISNUMBER('VVP2'!R363),'VVP2'!R363,"n.a.")</f>
        <v>88.336666666666702</v>
      </c>
      <c r="S41" s="3383">
        <f>IF(ISNUMBER('VVP2'!S363),'VVP2'!S363,"n.a.")</f>
        <v>89.817499999999995</v>
      </c>
      <c r="T41" s="3383">
        <f>IF(ISNUMBER('VVP2'!T363),'VVP2'!T363,"n.a.")</f>
        <v>92.825000000000003</v>
      </c>
      <c r="U41" s="3383">
        <f>IF(ISNUMBER('VVP2'!U363),'VVP2'!U363,"n.a.")</f>
        <v>94.626666666666694</v>
      </c>
      <c r="V41" s="3383">
        <f>IF(ISNUMBER('VVP2'!V363),'VVP2'!V363,"n.a.")</f>
        <v>96.430833333333297</v>
      </c>
      <c r="W41" s="3383">
        <f>IF(ISNUMBER('VVP2'!W363),'VVP2'!W363,"n.a.")</f>
        <v>97.746666666666698</v>
      </c>
      <c r="X41" s="3383">
        <f>IF(ISNUMBER('VVP2'!X363),'VVP2'!X363,"n.a.")</f>
        <v>98.663333333333298</v>
      </c>
      <c r="Y41" s="3383">
        <f>IF(ISNUMBER('VVP2'!Y363),'VVP2'!Y363,"n.a.")</f>
        <v>99.098333333333301</v>
      </c>
      <c r="Z41" s="3383">
        <f>IF(ISNUMBER('VVP2'!Z363),'VVP2'!Z363,"n.a.")</f>
        <v>99.302499999999995</v>
      </c>
      <c r="AA41" s="3383">
        <f>IF(ISNUMBER('VVP2'!AA363),'VVP2'!AA363,"n.a.")</f>
        <v>100</v>
      </c>
      <c r="AB41" s="3383">
        <f>IF(ISNUMBER('VVP2'!AB363),'VVP2'!AB363,"n.a.")</f>
        <v>101.135833333333</v>
      </c>
      <c r="AC41" s="3383">
        <f>IF(ISNUMBER('VVP2'!AC363),'VVP2'!AC363,"n.a.")</f>
        <v>103.023333333333</v>
      </c>
      <c r="AD41" s="3383">
        <f ca="1">IF(ISNUMBER('VVP2'!AD363),'VVP2'!AD363,"n.a.")</f>
        <v>105.17489965213888</v>
      </c>
      <c r="AE41" s="3383">
        <f ca="1">IF(ISNUMBER('VVP2'!AE363),'VVP2'!AE363,"n.a.")</f>
        <v>107.17700392876583</v>
      </c>
      <c r="AF41" s="3383">
        <f ca="1">IF(ISNUMBER('VVP2'!AF363),'VVP2'!AF363,"n.a.")</f>
        <v>108.88911326812098</v>
      </c>
      <c r="AG41"/>
      <c r="AH41"/>
      <c r="AI41"/>
      <c r="AJ41">
        <v>31</v>
      </c>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row>
    <row r="42" spans="1:159">
      <c r="A42" s="3383" t="str">
        <f t="shared" si="2"/>
        <v>\\DG ECFIN\Forecast\Country databases\Desk transfer databases\SE</v>
      </c>
      <c r="B42" s="3383" t="str">
        <f t="shared" si="3"/>
        <v>SE</v>
      </c>
      <c r="C42" s="3383" t="s">
        <v>2074</v>
      </c>
      <c r="D42" s="3383" t="s">
        <v>2106</v>
      </c>
      <c r="E42" s="3383" t="s">
        <v>2292</v>
      </c>
      <c r="F42" s="3383">
        <v>55</v>
      </c>
      <c r="G42" s="3383" t="s">
        <v>1597</v>
      </c>
      <c r="H42" s="3383" t="s">
        <v>2107</v>
      </c>
      <c r="I42" s="3383" t="s">
        <v>2107</v>
      </c>
      <c r="J42" s="3383" t="s">
        <v>2107</v>
      </c>
      <c r="K42" s="3383" t="s">
        <v>2107</v>
      </c>
      <c r="L42" s="3383" t="s">
        <v>2107</v>
      </c>
      <c r="M42" s="3383" t="s">
        <v>2107</v>
      </c>
      <c r="N42" s="3383" t="s">
        <v>2107</v>
      </c>
      <c r="O42" s="3383" t="s">
        <v>2107</v>
      </c>
      <c r="P42" s="3383" t="s">
        <v>2107</v>
      </c>
      <c r="Q42" s="3383" t="s">
        <v>2107</v>
      </c>
      <c r="R42" s="3383" t="s">
        <v>2107</v>
      </c>
      <c r="S42" s="3383" t="s">
        <v>2107</v>
      </c>
      <c r="T42" s="3383" t="s">
        <v>2107</v>
      </c>
      <c r="U42" s="3383" t="s">
        <v>2107</v>
      </c>
      <c r="V42" s="3383" t="s">
        <v>2107</v>
      </c>
      <c r="W42" s="3383" t="s">
        <v>2107</v>
      </c>
      <c r="X42" s="3383" t="s">
        <v>2107</v>
      </c>
      <c r="Y42" s="3383" t="s">
        <v>2107</v>
      </c>
      <c r="Z42" s="3383" t="s">
        <v>2107</v>
      </c>
      <c r="AA42" s="3383" t="s">
        <v>2107</v>
      </c>
      <c r="AB42" s="3383" t="s">
        <v>2107</v>
      </c>
      <c r="AC42" s="3383" t="s">
        <v>2107</v>
      </c>
      <c r="AD42" s="3383" t="s">
        <v>2107</v>
      </c>
      <c r="AE42" s="3383" t="s">
        <v>2107</v>
      </c>
      <c r="AF42" s="3383" t="s">
        <v>2107</v>
      </c>
      <c r="AG42"/>
      <c r="AH42"/>
      <c r="AI42"/>
      <c r="AJ42">
        <v>32</v>
      </c>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row>
    <row r="43" spans="1:159">
      <c r="A43" s="3383" t="str">
        <f t="shared" si="2"/>
        <v>\\DG ECFIN\Forecast\Country databases\Desk transfer databases\SE</v>
      </c>
      <c r="B43" s="3383" t="str">
        <f t="shared" si="3"/>
        <v>SE</v>
      </c>
      <c r="C43" s="3383" t="s">
        <v>2074</v>
      </c>
      <c r="D43" s="3383" t="s">
        <v>2108</v>
      </c>
      <c r="E43" s="3383" t="s">
        <v>2076</v>
      </c>
      <c r="F43" s="3383">
        <v>57</v>
      </c>
      <c r="G43" s="3383" t="s">
        <v>1703</v>
      </c>
      <c r="H43" s="3383">
        <f>IF(ISNUMBER(Sector1!H88),Sector1!H88,"n.a.")</f>
        <v>1699.9380000000001</v>
      </c>
      <c r="I43" s="3383">
        <f>IF(ISNUMBER(Sector1!I88),Sector1!I88,"n.a.")</f>
        <v>1782.422</v>
      </c>
      <c r="J43" s="3383">
        <f>IF(ISNUMBER(Sector1!J88),Sector1!J88,"n.a.")</f>
        <v>1869.8230000000001</v>
      </c>
      <c r="K43" s="3383">
        <f>IF(ISNUMBER(Sector1!K88),Sector1!K88,"n.a.")</f>
        <v>1971.9829999999999</v>
      </c>
      <c r="L43" s="3383">
        <f>IF(ISNUMBER(Sector1!L88),Sector1!L88,"n.a.")</f>
        <v>2107.0450000000001</v>
      </c>
      <c r="M43" s="3383">
        <f>IF(ISNUMBER(Sector1!M88),Sector1!M88,"n.a.")</f>
        <v>2191.078</v>
      </c>
      <c r="N43" s="3383">
        <f>IF(ISNUMBER(Sector1!N88),Sector1!N88,"n.a.")</f>
        <v>2268.873</v>
      </c>
      <c r="O43" s="3383">
        <f>IF(ISNUMBER(Sector1!O88),Sector1!O88,"n.a.")</f>
        <v>2363.7939999999999</v>
      </c>
      <c r="P43" s="3383">
        <f>IF(ISNUMBER(Sector1!P88),Sector1!P88,"n.a.")</f>
        <v>2480.239</v>
      </c>
      <c r="Q43" s="3383">
        <f>IF(ISNUMBER(Sector1!Q88),Sector1!Q88,"n.a.")</f>
        <v>2561.7640000000001</v>
      </c>
      <c r="R43" s="3383">
        <f>IF(ISNUMBER(Sector1!R88),Sector1!R88,"n.a.")</f>
        <v>2734.7979999999998</v>
      </c>
      <c r="S43" s="3383">
        <f>IF(ISNUMBER(Sector1!S88),Sector1!S88,"n.a.")</f>
        <v>2911.7429999999999</v>
      </c>
      <c r="T43" s="3383">
        <f>IF(ISNUMBER(Sector1!T88),Sector1!T88,"n.a.")</f>
        <v>2996.0909999999999</v>
      </c>
      <c r="U43" s="3383">
        <f>IF(ISNUMBER(Sector1!U88),Sector1!U88,"n.a.")</f>
        <v>2891.2849999999999</v>
      </c>
      <c r="V43" s="3383">
        <f>IF(ISNUMBER(Sector1!V88),Sector1!V88,"n.a.")</f>
        <v>3098.6170000000002</v>
      </c>
      <c r="W43" s="3383">
        <f>IF(ISNUMBER(Sector1!W88),Sector1!W88,"n.a.")</f>
        <v>3227.3969999999999</v>
      </c>
      <c r="X43" s="3383">
        <f>IF(ISNUMBER(Sector1!X88),Sector1!X88,"n.a.")</f>
        <v>3258.0459999999998</v>
      </c>
      <c r="Y43" s="3383">
        <f>IF(ISNUMBER(Sector1!Y88),Sector1!Y88,"n.a.")</f>
        <v>3337.4659999999999</v>
      </c>
      <c r="Z43" s="3383">
        <f>IF(ISNUMBER(Sector1!Z88),Sector1!Z88,"n.a.")</f>
        <v>3490.9659999999999</v>
      </c>
      <c r="AA43" s="3383">
        <f>IF(ISNUMBER(Sector1!AA88),Sector1!AA88,"n.a.")</f>
        <v>3721.44</v>
      </c>
      <c r="AB43" s="3383">
        <f>IF(ISNUMBER(Sector1!AB88),Sector1!AB88,"n.a.")</f>
        <v>3876.3760000000002</v>
      </c>
      <c r="AC43" s="3383">
        <f>IF(ISNUMBER(Sector1!AC88),Sector1!AC88,"n.a.")</f>
        <v>4049.096</v>
      </c>
      <c r="AD43" s="3383">
        <f ca="1">IF(ISNUMBER(Sector1!AD88),Sector1!AD88,"n.a.")</f>
        <v>4247.219295971765</v>
      </c>
      <c r="AE43" s="3383">
        <f ca="1">IF(ISNUMBER(Sector1!AE88),Sector1!AE88,"n.a.")</f>
        <v>4404.5889026853374</v>
      </c>
      <c r="AF43" s="3383">
        <f ca="1">IF(ISNUMBER(Sector1!AF88),Sector1!AF88,"n.a.")</f>
        <v>4561.1803964037335</v>
      </c>
      <c r="AG43"/>
      <c r="AH43"/>
      <c r="AI43"/>
      <c r="AJ43">
        <v>33</v>
      </c>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row>
    <row r="44" spans="1:159">
      <c r="A44" s="3383" t="str">
        <f t="shared" si="2"/>
        <v>\\DG ECFIN\Forecast\Country databases\Desk transfer databases\SE</v>
      </c>
      <c r="B44" s="3383" t="str">
        <f t="shared" si="3"/>
        <v>SE</v>
      </c>
      <c r="C44" s="3383" t="s">
        <v>2074</v>
      </c>
      <c r="D44" s="3383" t="s">
        <v>2109</v>
      </c>
      <c r="E44" s="3383" t="s">
        <v>2076</v>
      </c>
      <c r="F44" s="3383">
        <v>58</v>
      </c>
      <c r="G44" s="3383" t="s">
        <v>1704</v>
      </c>
      <c r="H44" s="3383">
        <f ca="1">IF(ISNUMBER('VVP2'!H179),'VVP2'!H179,"n.a.")</f>
        <v>1676.9670923909716</v>
      </c>
      <c r="I44" s="3383">
        <f ca="1">IF(ISNUMBER('VVP2'!I179),'VVP2'!I179,"n.a.")</f>
        <v>1755.6289811305587</v>
      </c>
      <c r="J44" s="3383">
        <f ca="1">IF(ISNUMBER('VVP2'!J179),'VVP2'!J179,"n.a.")</f>
        <v>1857.3520901112786</v>
      </c>
      <c r="K44" s="3383">
        <f ca="1">IF(ISNUMBER('VVP2'!K179),'VVP2'!K179,"n.a.")</f>
        <v>1952.7237144989101</v>
      </c>
      <c r="L44" s="3383">
        <f ca="1">IF(ISNUMBER('VVP2'!L179),'VVP2'!L179,"n.a.")</f>
        <v>2077.0603493363583</v>
      </c>
      <c r="M44" s="3383">
        <f ca="1">IF(ISNUMBER('VVP2'!M179),'VVP2'!M179,"n.a.")</f>
        <v>2136.811193631529</v>
      </c>
      <c r="N44" s="3383">
        <f ca="1">IF(ISNUMBER('VVP2'!N179),'VVP2'!N179,"n.a.")</f>
        <v>2233.3530833152608</v>
      </c>
      <c r="O44" s="3383">
        <f ca="1">IF(ISNUMBER('VVP2'!O179),'VVP2'!O179,"n.a.")</f>
        <v>2323.3898395831479</v>
      </c>
      <c r="P44" s="3383">
        <f ca="1">IF(ISNUMBER('VVP2'!P179),'VVP2'!P179,"n.a.")</f>
        <v>2472.2195787424198</v>
      </c>
      <c r="Q44" s="3383">
        <f ca="1">IF(ISNUMBER('VVP2'!Q179),'VVP2'!Q179,"n.a.")</f>
        <v>2546.0776807203551</v>
      </c>
      <c r="R44" s="3383">
        <f ca="1">IF(ISNUMBER('VVP2'!R179),'VVP2'!R179,"n.a.")</f>
        <v>2684.6347720301192</v>
      </c>
      <c r="S44" s="3383">
        <f ca="1">IF(ISNUMBER('VVP2'!S179),'VVP2'!S179,"n.a.")</f>
        <v>2828.0450914467683</v>
      </c>
      <c r="T44" s="3383">
        <f ca="1">IF(ISNUMBER('VVP2'!T179),'VVP2'!T179,"n.a.")</f>
        <v>2903.1000134158717</v>
      </c>
      <c r="U44" s="3383">
        <f ca="1">IF(ISNUMBER('VVP2'!U179),'VVP2'!U179,"n.a.")</f>
        <v>2823.2036459034312</v>
      </c>
      <c r="V44" s="3383">
        <f ca="1">IF(ISNUMBER('VVP2'!V179),'VVP2'!V179,"n.a.")</f>
        <v>3071.6050505257426</v>
      </c>
      <c r="W44" s="3383">
        <f ca="1">IF(ISNUMBER('VVP2'!W179),'VVP2'!W179,"n.a.")</f>
        <v>3190.39806</v>
      </c>
      <c r="X44" s="3383">
        <f ca="1">IF(ISNUMBER('VVP2'!X179),'VVP2'!X179,"n.a.")</f>
        <v>3222.9793256985959</v>
      </c>
      <c r="Y44" s="3383">
        <f ca="1">IF(ISNUMBER('VVP2'!Y179),'VVP2'!Y179,"n.a.")</f>
        <v>3301.6584682343796</v>
      </c>
      <c r="Z44" s="3383">
        <f ca="1">IF(ISNUMBER('VVP2'!Z179),'VVP2'!Z179,"n.a.")</f>
        <v>3426.1881047411357</v>
      </c>
      <c r="AA44" s="3383">
        <f ca="1">IF(ISNUMBER('VVP2'!AA179),'VVP2'!AA179,"n.a.")</f>
        <v>3641.1074758768386</v>
      </c>
      <c r="AB44" s="3383">
        <f ca="1">IF(ISNUMBER('VVP2'!AB179),'VVP2'!AB179,"n.a.")</f>
        <v>3816.6330078375222</v>
      </c>
      <c r="AC44" s="3383">
        <f ca="1">IF(ISNUMBER('VVP2'!AC179),'VVP2'!AC179,"n.a.")</f>
        <v>3959.9459822966428</v>
      </c>
      <c r="AD44" s="3383">
        <f ca="1">IF(ISNUMBER('VVP2'!AD179),'VVP2'!AD179,"n.a.")</f>
        <v>4145.0825503959322</v>
      </c>
      <c r="AE44" s="3383">
        <f ca="1">IF(ISNUMBER('VVP2'!AE179),'VVP2'!AE179,"n.a.")</f>
        <v>4318.8356805793464</v>
      </c>
      <c r="AF44" s="3383">
        <f ca="1">IF(ISNUMBER('VVP2'!AF179),'VVP2'!AF179,"n.a.")</f>
        <v>4482.5841901922358</v>
      </c>
      <c r="AG44"/>
      <c r="AH44"/>
      <c r="AI44"/>
      <c r="AJ44">
        <v>34</v>
      </c>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row>
    <row r="45" spans="1:159">
      <c r="A45" s="3383" t="str">
        <f t="shared" si="2"/>
        <v>\\DG ECFIN\Forecast\Country databases\Desk transfer databases\SE</v>
      </c>
      <c r="B45" s="3383" t="str">
        <f t="shared" si="3"/>
        <v>SE</v>
      </c>
      <c r="C45" s="3383" t="s">
        <v>2074</v>
      </c>
      <c r="D45" s="3383" t="s">
        <v>2110</v>
      </c>
      <c r="E45" s="3383" t="s">
        <v>2111</v>
      </c>
      <c r="F45" s="3383">
        <v>59</v>
      </c>
      <c r="G45" s="3383" t="s">
        <v>783</v>
      </c>
      <c r="H45" s="3383">
        <f>IF(ISNUMBER(Labour1!H33),Labour1!H33,"n.a.")</f>
        <v>4095.9</v>
      </c>
      <c r="I45" s="3383">
        <f>IF(ISNUMBER(Labour1!I33),Labour1!I33,"n.a.")</f>
        <v>4043.2</v>
      </c>
      <c r="J45" s="3383">
        <f>IF(ISNUMBER(Labour1!J33),Labour1!J33,"n.a.")</f>
        <v>4111.3999999999996</v>
      </c>
      <c r="K45" s="3383">
        <f>IF(ISNUMBER(Labour1!K33),Labour1!K33,"n.a.")</f>
        <v>4197.7</v>
      </c>
      <c r="L45" s="3383">
        <f>IF(ISNUMBER(Labour1!L33),Labour1!L33,"n.a.")</f>
        <v>4300.6000000000004</v>
      </c>
      <c r="M45" s="3383">
        <f>IF(ISNUMBER(Labour1!M33),Labour1!M33,"n.a.")</f>
        <v>4391.1000000000004</v>
      </c>
      <c r="N45" s="3383">
        <f>IF(ISNUMBER(Labour1!N33),Labour1!N33,"n.a.")</f>
        <v>4393.2</v>
      </c>
      <c r="O45" s="3383">
        <f>IF(ISNUMBER(Labour1!O33),Labour1!O33,"n.a.")</f>
        <v>4367.8999999999996</v>
      </c>
      <c r="P45" s="3383">
        <f>IF(ISNUMBER(Labour1!P33),Labour1!P33,"n.a.")</f>
        <v>4337.2</v>
      </c>
      <c r="Q45" s="3383">
        <f>IF(ISNUMBER(Labour1!Q33),Labour1!Q33,"n.a.")</f>
        <v>4348.7</v>
      </c>
      <c r="R45" s="3383">
        <f>IF(ISNUMBER(Labour1!R33),Labour1!R33,"n.a.")</f>
        <v>4422.3999999999996</v>
      </c>
      <c r="S45" s="3383">
        <f>IF(ISNUMBER(Labour1!S33),Labour1!S33,"n.a.")</f>
        <v>4524.3999999999996</v>
      </c>
      <c r="T45" s="3383">
        <f>IF(ISNUMBER(Labour1!T33),Labour1!T33,"n.a.")</f>
        <v>4565.2</v>
      </c>
      <c r="U45" s="3383">
        <f>IF(ISNUMBER(Labour1!U33),Labour1!U33,"n.a.")</f>
        <v>4454.8</v>
      </c>
      <c r="V45" s="3383">
        <f>IF(ISNUMBER(Labour1!V33),Labour1!V33,"n.a.")</f>
        <v>4497.7</v>
      </c>
      <c r="W45" s="3383">
        <f>IF(ISNUMBER(Labour1!W33),Labour1!W33,"n.a.")</f>
        <v>4593.6000000000004</v>
      </c>
      <c r="X45" s="3383">
        <f>IF(ISNUMBER(Labour1!X33),Labour1!X33,"n.a.")</f>
        <v>4627.3999999999996</v>
      </c>
      <c r="Y45" s="3383">
        <f>IF(ISNUMBER(Labour1!Y33),Labour1!Y33,"n.a.")</f>
        <v>4671.8</v>
      </c>
      <c r="Z45" s="3383">
        <f>IF(ISNUMBER(Labour1!Z33),Labour1!Z33,"n.a.")</f>
        <v>4737.3999999999996</v>
      </c>
      <c r="AA45" s="3383">
        <f>IF(ISNUMBER(Labour1!AA33),Labour1!AA33,"n.a.")</f>
        <v>4807.3999999999996</v>
      </c>
      <c r="AB45" s="3383">
        <f>IF(ISNUMBER(Labour1!AB33),Labour1!AB33,"n.a.")</f>
        <v>4896.5</v>
      </c>
      <c r="AC45" s="3383">
        <f>IF(ISNUMBER(Labour1!AC33),Labour1!AC33,"n.a.")</f>
        <v>5011.3</v>
      </c>
      <c r="AD45" s="3383">
        <f>IF(ISNUMBER(Labour1!AD33),Labour1!AD33,"n.a.")</f>
        <v>5094.5333799999999</v>
      </c>
      <c r="AE45" s="3383">
        <f>IF(ISNUMBER(Labour1!AE33),Labour1!AE33,"n.a.")</f>
        <v>5138.2908682299994</v>
      </c>
      <c r="AF45" s="3383">
        <f>IF(ISNUMBER(Labour1!AF33),Labour1!AF33,"n.a.")</f>
        <v>5172.2271197432647</v>
      </c>
      <c r="AG45"/>
      <c r="AH45"/>
      <c r="AI45"/>
      <c r="AJ45">
        <v>35</v>
      </c>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row>
    <row r="46" spans="1:159">
      <c r="A46" s="3383" t="str">
        <f t="shared" si="2"/>
        <v>\\DG ECFIN\Forecast\Country databases\Desk transfer databases\SE</v>
      </c>
      <c r="B46" s="3383" t="str">
        <f t="shared" si="3"/>
        <v>SE</v>
      </c>
      <c r="C46" s="3383" t="s">
        <v>2074</v>
      </c>
      <c r="D46" s="3383" t="s">
        <v>2112</v>
      </c>
      <c r="E46" s="3383" t="s">
        <v>2111</v>
      </c>
      <c r="F46" s="3383">
        <v>60</v>
      </c>
      <c r="G46" s="3383" t="s">
        <v>986</v>
      </c>
      <c r="H46" s="3383" t="s">
        <v>2107</v>
      </c>
      <c r="I46" s="3383" t="s">
        <v>2107</v>
      </c>
      <c r="J46" s="3383" t="s">
        <v>2107</v>
      </c>
      <c r="K46" s="3383" t="s">
        <v>2107</v>
      </c>
      <c r="L46" s="3383" t="s">
        <v>2107</v>
      </c>
      <c r="M46" s="3383" t="s">
        <v>2107</v>
      </c>
      <c r="N46" s="3383" t="s">
        <v>2107</v>
      </c>
      <c r="O46" s="3383" t="s">
        <v>2107</v>
      </c>
      <c r="P46" s="3383" t="s">
        <v>2107</v>
      </c>
      <c r="Q46" s="3383" t="s">
        <v>2107</v>
      </c>
      <c r="R46" s="3383" t="s">
        <v>2107</v>
      </c>
      <c r="S46" s="3383" t="s">
        <v>2107</v>
      </c>
      <c r="T46" s="3383" t="s">
        <v>2107</v>
      </c>
      <c r="U46" s="3383" t="s">
        <v>2107</v>
      </c>
      <c r="V46" s="3383" t="s">
        <v>2107</v>
      </c>
      <c r="W46" s="3383" t="s">
        <v>2107</v>
      </c>
      <c r="X46" s="3383" t="s">
        <v>2107</v>
      </c>
      <c r="Y46" s="3383" t="s">
        <v>2107</v>
      </c>
      <c r="Z46" s="3383" t="s">
        <v>2107</v>
      </c>
      <c r="AA46" s="3383" t="s">
        <v>2107</v>
      </c>
      <c r="AB46" s="3383" t="s">
        <v>2107</v>
      </c>
      <c r="AC46" s="3383" t="s">
        <v>2107</v>
      </c>
      <c r="AD46" s="3383" t="s">
        <v>2107</v>
      </c>
      <c r="AE46" s="3383" t="s">
        <v>2107</v>
      </c>
      <c r="AF46" s="3383" t="s">
        <v>2107</v>
      </c>
      <c r="AG46"/>
      <c r="AH46"/>
      <c r="AI46"/>
      <c r="AJ46">
        <v>36</v>
      </c>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row>
    <row r="47" spans="1:159">
      <c r="A47" s="3383" t="str">
        <f t="shared" si="2"/>
        <v>\\DG ECFIN\Forecast\Country databases\Desk transfer databases\SE</v>
      </c>
      <c r="B47" s="3383" t="str">
        <f t="shared" si="3"/>
        <v>SE</v>
      </c>
      <c r="C47" s="3383" t="s">
        <v>2074</v>
      </c>
      <c r="D47" s="3383" t="s">
        <v>2113</v>
      </c>
      <c r="E47" s="3383" t="s">
        <v>2076</v>
      </c>
      <c r="F47" s="3383">
        <v>61</v>
      </c>
      <c r="G47" s="3383" t="s">
        <v>1847</v>
      </c>
      <c r="H47" s="3383">
        <f>IF(ISNUMBER(Labour1!H213),Labour1!H213,"n.a.")</f>
        <v>879.89700000000005</v>
      </c>
      <c r="I47" s="3383">
        <f>IF(ISNUMBER(Labour1!I213),Labour1!I213,"n.a.")</f>
        <v>919.86800000000005</v>
      </c>
      <c r="J47" s="3383">
        <f>IF(ISNUMBER(Labour1!J213),Labour1!J213,"n.a.")</f>
        <v>920.92</v>
      </c>
      <c r="K47" s="3383">
        <f>IF(ISNUMBER(Labour1!K213),Labour1!K213,"n.a.")</f>
        <v>976.678</v>
      </c>
      <c r="L47" s="3383">
        <f>IF(ISNUMBER(Labour1!L213),Labour1!L213,"n.a.")</f>
        <v>1071.2280000000001</v>
      </c>
      <c r="M47" s="3383">
        <f>IF(ISNUMBER(Labour1!M213),Labour1!M213,"n.a.")</f>
        <v>1144.5229999999999</v>
      </c>
      <c r="N47" s="3383">
        <f>IF(ISNUMBER(Labour1!N213),Labour1!N213,"n.a.")</f>
        <v>1184.1510000000001</v>
      </c>
      <c r="O47" s="3383">
        <f>IF(ISNUMBER(Labour1!O213),Labour1!O213,"n.a.")</f>
        <v>1225.7249999999999</v>
      </c>
      <c r="P47" s="3383">
        <f>IF(ISNUMBER(Labour1!P213),Labour1!P213,"n.a.")</f>
        <v>1266.2560000000001</v>
      </c>
      <c r="Q47" s="3383">
        <f>IF(ISNUMBER(Labour1!Q213),Labour1!Q213,"n.a.")</f>
        <v>1308.9949999999999</v>
      </c>
      <c r="R47" s="3383">
        <f>IF(ISNUMBER(Labour1!R213),Labour1!R213,"n.a.")</f>
        <v>1372.162</v>
      </c>
      <c r="S47" s="3383">
        <f>IF(ISNUMBER(Labour1!S213),Labour1!S213,"n.a.")</f>
        <v>1479.068</v>
      </c>
      <c r="T47" s="3383">
        <f>IF(ISNUMBER(Labour1!T213),Labour1!T213,"n.a.")</f>
        <v>1552.0029999999999</v>
      </c>
      <c r="U47" s="3383">
        <f>IF(ISNUMBER(Labour1!U213),Labour1!U213,"n.a.")</f>
        <v>1552.248</v>
      </c>
      <c r="V47" s="3383">
        <f>IF(ISNUMBER(Labour1!V213),Labour1!V213,"n.a.")</f>
        <v>1600.6030000000001</v>
      </c>
      <c r="W47" s="3383">
        <f>IF(ISNUMBER(Labour1!W213),Labour1!W213,"n.a.")</f>
        <v>1692.809</v>
      </c>
      <c r="X47" s="3383">
        <f>IF(ISNUMBER(Labour1!X213),Labour1!X213,"n.a.")</f>
        <v>1760.3630000000001</v>
      </c>
      <c r="Y47" s="3383">
        <f>IF(ISNUMBER(Labour1!Y213),Labour1!Y213,"n.a.")</f>
        <v>1813.3040000000001</v>
      </c>
      <c r="Z47" s="3383">
        <f>IF(ISNUMBER(Labour1!Z213),Labour1!Z213,"n.a.")</f>
        <v>1882.9760000000001</v>
      </c>
      <c r="AA47" s="3383">
        <f>IF(ISNUMBER(Labour1!AA213),Labour1!AA213,"n.a.")</f>
        <v>1967.078</v>
      </c>
      <c r="AB47" s="3383">
        <f>IF(ISNUMBER(Labour1!AB213),Labour1!AB213,"n.a.")</f>
        <v>2062.7570000000001</v>
      </c>
      <c r="AC47" s="3383">
        <f>IF(ISNUMBER(Labour1!AC213),Labour1!AC213,"n.a.")</f>
        <v>2157.2220000000002</v>
      </c>
      <c r="AD47" s="3383">
        <f>IF(ISNUMBER(Labour1!AD213),Labour1!AD213,"n.a.")</f>
        <v>2253.8903473306004</v>
      </c>
      <c r="AE47" s="3383">
        <f>IF(ISNUMBER(Labour1!AE213),Labour1!AE213,"n.a.")</f>
        <v>2334.7706369596426</v>
      </c>
      <c r="AF47" s="3383">
        <f>IF(ISNUMBER(Labour1!AF213),Labour1!AF213,"n.a.")</f>
        <v>2408.5692444957795</v>
      </c>
      <c r="AG47"/>
      <c r="AH47"/>
      <c r="AI47"/>
      <c r="AJ47">
        <v>37</v>
      </c>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row>
    <row r="48" spans="1:159">
      <c r="A48" s="3383" t="str">
        <f t="shared" si="2"/>
        <v>\\DG ECFIN\Forecast\Country databases\Desk transfer databases\SE</v>
      </c>
      <c r="B48" s="3383" t="str">
        <f t="shared" si="3"/>
        <v>SE</v>
      </c>
      <c r="C48" s="3383" t="s">
        <v>2074</v>
      </c>
      <c r="D48" s="3383" t="s">
        <v>2114</v>
      </c>
      <c r="E48" s="3383" t="s">
        <v>2076</v>
      </c>
      <c r="F48" s="3383">
        <v>62</v>
      </c>
      <c r="G48" s="3383" t="s">
        <v>1848</v>
      </c>
      <c r="H48" s="3383">
        <f>IF(ISNUMBER(Labour1!H134),Labour1!H134,"n.a.")</f>
        <v>744.23299999999995</v>
      </c>
      <c r="I48" s="3383">
        <f>IF(ISNUMBER(Labour1!I134),Labour1!I134,"n.a.")</f>
        <v>775.04300000000001</v>
      </c>
      <c r="J48" s="3383">
        <f>IF(ISNUMBER(Labour1!J134),Labour1!J134,"n.a.")</f>
        <v>817.81600000000003</v>
      </c>
      <c r="K48" s="3383">
        <f>IF(ISNUMBER(Labour1!K134),Labour1!K134,"n.a.")</f>
        <v>864.81899999999996</v>
      </c>
      <c r="L48" s="3383">
        <f>IF(ISNUMBER(Labour1!L134),Labour1!L134,"n.a.")</f>
        <v>923.34199999999998</v>
      </c>
      <c r="M48" s="3383">
        <f>IF(ISNUMBER(Labour1!M134),Labour1!M134,"n.a.")</f>
        <v>975.83</v>
      </c>
      <c r="N48" s="3383">
        <f>IF(ISNUMBER(Labour1!N134),Labour1!N134,"n.a.")</f>
        <v>1007.599</v>
      </c>
      <c r="O48" s="3383">
        <f>IF(ISNUMBER(Labour1!O134),Labour1!O134,"n.a.")</f>
        <v>1033.049</v>
      </c>
      <c r="P48" s="3383">
        <f>IF(ISNUMBER(Labour1!P134),Labour1!P134,"n.a.")</f>
        <v>1059.8109999999999</v>
      </c>
      <c r="Q48" s="3383">
        <f>IF(ISNUMBER(Labour1!Q134),Labour1!Q134,"n.a.")</f>
        <v>1098.3910000000001</v>
      </c>
      <c r="R48" s="3383">
        <f>IF(ISNUMBER(Labour1!R134),Labour1!R134,"n.a.")</f>
        <v>1158.7180000000001</v>
      </c>
      <c r="S48" s="3383">
        <f>IF(ISNUMBER(Labour1!S134),Labour1!S134,"n.a.")</f>
        <v>1237.691</v>
      </c>
      <c r="T48" s="3383">
        <f>IF(ISNUMBER(Labour1!T134),Labour1!T134,"n.a.")</f>
        <v>1306.463</v>
      </c>
      <c r="U48" s="3383">
        <f>IF(ISNUMBER(Labour1!U134),Labour1!U134,"n.a.")</f>
        <v>1307.53</v>
      </c>
      <c r="V48" s="3383">
        <f>IF(ISNUMBER(Labour1!V134),Labour1!V134,"n.a.")</f>
        <v>1348.4290000000001</v>
      </c>
      <c r="W48" s="3383">
        <f>IF(ISNUMBER(Labour1!W134),Labour1!W134,"n.a.")</f>
        <v>1423.3</v>
      </c>
      <c r="X48" s="3383">
        <f>IF(ISNUMBER(Labour1!X134),Labour1!X134,"n.a.")</f>
        <v>1476.4960000000001</v>
      </c>
      <c r="Y48" s="3383">
        <f>IF(ISNUMBER(Labour1!Y134),Labour1!Y134,"n.a.")</f>
        <v>1517.038</v>
      </c>
      <c r="Z48" s="3383">
        <f>IF(ISNUMBER(Labour1!Z134),Labour1!Z134,"n.a.")</f>
        <v>1574.53</v>
      </c>
      <c r="AA48" s="3383">
        <f>IF(ISNUMBER(Labour1!AA134),Labour1!AA134,"n.a.")</f>
        <v>1642.875</v>
      </c>
      <c r="AB48" s="3383">
        <f>IF(ISNUMBER(Labour1!AB134),Labour1!AB134,"n.a.")</f>
        <v>1721.615</v>
      </c>
      <c r="AC48" s="3383">
        <f>IF(ISNUMBER(Labour1!AC134),Labour1!AC134,"n.a.")</f>
        <v>1804.124</v>
      </c>
      <c r="AD48" s="3383">
        <f>IF(ISNUMBER(Labour1!AD134),Labour1!AD134,"n.a.")</f>
        <v>1885.620382906</v>
      </c>
      <c r="AE48" s="3383">
        <f>IF(ISNUMBER(Labour1!AE134),Labour1!AE134,"n.a.")</f>
        <v>1955.6785528683345</v>
      </c>
      <c r="AF48" s="3383">
        <f>IF(ISNUMBER(Labour1!AF134),Labour1!AF134,"n.a.")</f>
        <v>2019.558938356123</v>
      </c>
      <c r="AG48"/>
      <c r="AH48"/>
      <c r="AI48"/>
      <c r="AJ48">
        <v>38</v>
      </c>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row>
    <row r="49" spans="1:159">
      <c r="A49" s="3383" t="str">
        <f t="shared" si="2"/>
        <v>\\DG ECFIN\Forecast\Country databases\Desk transfer databases\SE</v>
      </c>
      <c r="B49" s="3383" t="str">
        <f t="shared" si="3"/>
        <v>SE</v>
      </c>
      <c r="C49" s="3383" t="s">
        <v>2074</v>
      </c>
      <c r="D49" s="3383" t="s">
        <v>2115</v>
      </c>
      <c r="E49" s="3383" t="s">
        <v>2111</v>
      </c>
      <c r="F49" s="3383">
        <v>63</v>
      </c>
      <c r="G49" s="3383" t="s">
        <v>1849</v>
      </c>
      <c r="H49" s="3383">
        <f>IF(ISNUMBER(Labour1!H31),Labour1!H31,"n.a.")</f>
        <v>3819.2</v>
      </c>
      <c r="I49" s="3383">
        <f>IF(ISNUMBER(Labour1!I31),Labour1!I31,"n.a.")</f>
        <v>3768.1</v>
      </c>
      <c r="J49" s="3383">
        <f>IF(ISNUMBER(Labour1!J31),Labour1!J31,"n.a.")</f>
        <v>3836.4</v>
      </c>
      <c r="K49" s="3383">
        <f>IF(ISNUMBER(Labour1!K31),Labour1!K31,"n.a.")</f>
        <v>3917.7</v>
      </c>
      <c r="L49" s="3383">
        <f>IF(ISNUMBER(Labour1!L31),Labour1!L31,"n.a.")</f>
        <v>4022.9</v>
      </c>
      <c r="M49" s="3383">
        <f>IF(ISNUMBER(Labour1!M31),Labour1!M31,"n.a.")</f>
        <v>4123.6000000000004</v>
      </c>
      <c r="N49" s="3383">
        <f>IF(ISNUMBER(Labour1!N31),Labour1!N31,"n.a.")</f>
        <v>4134.2</v>
      </c>
      <c r="O49" s="3383">
        <f>IF(ISNUMBER(Labour1!O31),Labour1!O31,"n.a.")</f>
        <v>4127.7</v>
      </c>
      <c r="P49" s="3383">
        <f>IF(ISNUMBER(Labour1!P31),Labour1!P31,"n.a.")</f>
        <v>4091.2</v>
      </c>
      <c r="Q49" s="3383">
        <f>IF(ISNUMBER(Labour1!Q31),Labour1!Q31,"n.a.")</f>
        <v>4103.2</v>
      </c>
      <c r="R49" s="3383">
        <f>IF(ISNUMBER(Labour1!R31),Labour1!R31,"n.a.")</f>
        <v>4170.5</v>
      </c>
      <c r="S49" s="3383">
        <f>IF(ISNUMBER(Labour1!S31),Labour1!S31,"n.a.")</f>
        <v>4268.1000000000004</v>
      </c>
      <c r="T49" s="3383">
        <f>IF(ISNUMBER(Labour1!T31),Labour1!T31,"n.a.")</f>
        <v>4320.7</v>
      </c>
      <c r="U49" s="3383">
        <f>IF(ISNUMBER(Labour1!U31),Labour1!U31,"n.a.")</f>
        <v>4207.3</v>
      </c>
      <c r="V49" s="3383">
        <f>IF(ISNUMBER(Labour1!V31),Labour1!V31,"n.a.")</f>
        <v>4244.3</v>
      </c>
      <c r="W49" s="3383">
        <f>IF(ISNUMBER(Labour1!W31),Labour1!W31,"n.a.")</f>
        <v>4350.6000000000004</v>
      </c>
      <c r="X49" s="3383">
        <f>IF(ISNUMBER(Labour1!X31),Labour1!X31,"n.a.")</f>
        <v>4390.2</v>
      </c>
      <c r="Y49" s="3383">
        <f>IF(ISNUMBER(Labour1!Y31),Labour1!Y31,"n.a.")</f>
        <v>4436</v>
      </c>
      <c r="Z49" s="3383">
        <f>IF(ISNUMBER(Labour1!Z31),Labour1!Z31,"n.a.")</f>
        <v>4506.3</v>
      </c>
      <c r="AA49" s="3383">
        <f>IF(ISNUMBER(Labour1!AA31),Labour1!AA31,"n.a.")</f>
        <v>4582.3</v>
      </c>
      <c r="AB49" s="3383">
        <f>IF(ISNUMBER(Labour1!AB31),Labour1!AB31,"n.a.")</f>
        <v>4687.5</v>
      </c>
      <c r="AC49" s="3383">
        <f>IF(ISNUMBER(Labour1!AC31),Labour1!AC31,"n.a.")</f>
        <v>4806.3</v>
      </c>
      <c r="AD49" s="3383">
        <f>IF(ISNUMBER(Labour1!AD31),Labour1!AD31,"n.a.")</f>
        <v>4889.5333799999999</v>
      </c>
      <c r="AE49" s="3383">
        <f>IF(ISNUMBER(Labour1!AE31),Labour1!AE31,"n.a.")</f>
        <v>4933.2908682299994</v>
      </c>
      <c r="AF49" s="3383">
        <f>IF(ISNUMBER(Labour1!AF31),Labour1!AF31,"n.a.")</f>
        <v>4967.2271197432647</v>
      </c>
      <c r="AG49"/>
      <c r="AH49"/>
      <c r="AI49"/>
      <c r="AJ49">
        <v>39</v>
      </c>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row>
    <row r="50" spans="1:159">
      <c r="A50" s="3383" t="str">
        <f t="shared" si="2"/>
        <v>\\DG ECFIN\Forecast\Country databases\Desk transfer databases\SE</v>
      </c>
      <c r="B50" s="3383" t="str">
        <f t="shared" si="3"/>
        <v>SE</v>
      </c>
      <c r="C50" s="3383" t="s">
        <v>2074</v>
      </c>
      <c r="D50" s="3383" t="s">
        <v>2116</v>
      </c>
      <c r="E50" s="3383" t="s">
        <v>2111</v>
      </c>
      <c r="F50" s="3383">
        <v>64</v>
      </c>
      <c r="G50" s="3383" t="s">
        <v>1851</v>
      </c>
      <c r="H50" s="3383" t="s">
        <v>2107</v>
      </c>
      <c r="I50" s="3383" t="s">
        <v>2107</v>
      </c>
      <c r="J50" s="3383" t="s">
        <v>2107</v>
      </c>
      <c r="K50" s="3383" t="s">
        <v>2107</v>
      </c>
      <c r="L50" s="3383" t="s">
        <v>2107</v>
      </c>
      <c r="M50" s="3383" t="s">
        <v>2107</v>
      </c>
      <c r="N50" s="3383" t="s">
        <v>2107</v>
      </c>
      <c r="O50" s="3383" t="s">
        <v>2107</v>
      </c>
      <c r="P50" s="3383" t="s">
        <v>2107</v>
      </c>
      <c r="Q50" s="3383" t="s">
        <v>2107</v>
      </c>
      <c r="R50" s="3383" t="s">
        <v>2107</v>
      </c>
      <c r="S50" s="3383" t="s">
        <v>2107</v>
      </c>
      <c r="T50" s="3383" t="s">
        <v>2107</v>
      </c>
      <c r="U50" s="3383" t="s">
        <v>2107</v>
      </c>
      <c r="V50" s="3383" t="s">
        <v>2107</v>
      </c>
      <c r="W50" s="3383" t="s">
        <v>2107</v>
      </c>
      <c r="X50" s="3383" t="s">
        <v>2107</v>
      </c>
      <c r="Y50" s="3383" t="s">
        <v>2107</v>
      </c>
      <c r="Z50" s="3383" t="s">
        <v>2107</v>
      </c>
      <c r="AA50" s="3383" t="s">
        <v>2107</v>
      </c>
      <c r="AB50" s="3383" t="s">
        <v>2107</v>
      </c>
      <c r="AC50" s="3383" t="s">
        <v>2107</v>
      </c>
      <c r="AD50" s="3383" t="s">
        <v>2107</v>
      </c>
      <c r="AE50" s="3383" t="s">
        <v>2107</v>
      </c>
      <c r="AF50" s="3383" t="s">
        <v>2107</v>
      </c>
      <c r="AG50"/>
      <c r="AH50"/>
      <c r="AI50"/>
      <c r="AJ50">
        <v>40</v>
      </c>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row>
    <row r="51" spans="1:159">
      <c r="A51" s="3383" t="str">
        <f t="shared" si="2"/>
        <v>\\DG ECFIN\Forecast\Country databases\Desk transfer databases\SE</v>
      </c>
      <c r="B51" s="3383" t="str">
        <f t="shared" si="3"/>
        <v>SE</v>
      </c>
      <c r="C51" s="3383" t="s">
        <v>2074</v>
      </c>
      <c r="D51" s="3383" t="s">
        <v>2117</v>
      </c>
      <c r="E51" s="3383" t="s">
        <v>2111</v>
      </c>
      <c r="F51" s="3383">
        <v>75</v>
      </c>
      <c r="G51" s="3383" t="s">
        <v>937</v>
      </c>
      <c r="H51" s="3383">
        <f>IF(ISNUMBER(Labour1!H5),Labour1!H5,"n.a.")</f>
        <v>8840.9974999999995</v>
      </c>
      <c r="I51" s="3383">
        <f>IF(ISNUMBER(Labour1!I5),Labour1!I5,"n.a.")</f>
        <v>8846.0619999999999</v>
      </c>
      <c r="J51" s="3383">
        <f>IF(ISNUMBER(Labour1!J5),Labour1!J5,"n.a.")</f>
        <v>8850.9735000000001</v>
      </c>
      <c r="K51" s="3383">
        <f>IF(ISNUMBER(Labour1!K5),Labour1!K5,"n.a.")</f>
        <v>8857.8739999999998</v>
      </c>
      <c r="L51" s="3383">
        <f>IF(ISNUMBER(Labour1!L5),Labour1!L5,"n.a.")</f>
        <v>8872.1090000000004</v>
      </c>
      <c r="M51" s="3383">
        <f>IF(ISNUMBER(Labour1!M5),Labour1!M5,"n.a.")</f>
        <v>8895.9599999999991</v>
      </c>
      <c r="N51" s="3383">
        <f>IF(ISNUMBER(Labour1!N5),Labour1!N5,"n.a.")</f>
        <v>8924.9580000000005</v>
      </c>
      <c r="O51" s="3383">
        <f>IF(ISNUMBER(Labour1!O5),Labour1!O5,"n.a.")</f>
        <v>8958.2289999999994</v>
      </c>
      <c r="P51" s="3383">
        <f>IF(ISNUMBER(Labour1!P5),Labour1!P5,"n.a.")</f>
        <v>8993.5310000000009</v>
      </c>
      <c r="Q51" s="3383">
        <f>IF(ISNUMBER(Labour1!Q5),Labour1!Q5,"n.a.")</f>
        <v>9029.5720000000001</v>
      </c>
      <c r="R51" s="3383">
        <f>IF(ISNUMBER(Labour1!R5),Labour1!R5,"n.a.")</f>
        <v>9080.5044999999991</v>
      </c>
      <c r="S51" s="3383">
        <f>IF(ISNUMBER(Labour1!S5),Labour1!S5,"n.a.")</f>
        <v>9148.0920000000006</v>
      </c>
      <c r="T51" s="3383">
        <f>IF(ISNUMBER(Labour1!T5),Labour1!T5,"n.a.")</f>
        <v>9219.6370000000006</v>
      </c>
      <c r="U51" s="3383">
        <f>IF(ISNUMBER(Labour1!U5),Labour1!U5,"n.a.")</f>
        <v>9219.6370000000006</v>
      </c>
      <c r="V51" s="3383">
        <f>IF(ISNUMBER(Labour1!V5),Labour1!V5,"n.a.")</f>
        <v>9378.1260000000002</v>
      </c>
      <c r="W51" s="3383">
        <f>IF(ISNUMBER(Labour1!W5),Labour1!W5,"n.a.")</f>
        <v>9449.2124999999996</v>
      </c>
      <c r="X51" s="3383">
        <f>IF(ISNUMBER(Labour1!X5),Labour1!X5,"n.a.")</f>
        <v>9519.3739999999998</v>
      </c>
      <c r="Y51" s="3383">
        <f>IF(ISNUMBER(Labour1!Y5),Labour1!Y5,"n.a.")</f>
        <v>9600.3785000000007</v>
      </c>
      <c r="Z51" s="3383">
        <f>IF(ISNUMBER(Labour1!Z5),Labour1!Z5,"n.a.")</f>
        <v>9696.1095000000005</v>
      </c>
      <c r="AA51" s="3383">
        <f>IF(ISNUMBER(Labour1!AA5),Labour1!AA5,"n.a.")</f>
        <v>9799.1859999999997</v>
      </c>
      <c r="AB51" s="3383">
        <f>IF(ISNUMBER(Labour1!AB5),Labour1!AB5,"n.a.")</f>
        <v>9923.0849999999991</v>
      </c>
      <c r="AC51" s="3383">
        <f>IF(ISNUMBER(Labour1!AC5),Labour1!AC5,"n.a.")</f>
        <v>10057.6975</v>
      </c>
      <c r="AD51" s="3383">
        <f>IF(ISNUMBER(Labour1!AD5),Labour1!AD5,"n.a.")</f>
        <v>10225.145</v>
      </c>
      <c r="AE51" s="3383">
        <f>IF(ISNUMBER(Labour1!AE5),Labour1!AE5,"n.a.")</f>
        <v>10322.200999999999</v>
      </c>
      <c r="AF51" s="3383">
        <f>IF(ISNUMBER(Labour1!AF5),Labour1!AF5,"n.a.")</f>
        <v>10421.343999999999</v>
      </c>
      <c r="AG51"/>
      <c r="AH51"/>
      <c r="AI51"/>
      <c r="AJ51">
        <v>41</v>
      </c>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row>
    <row r="52" spans="1:159">
      <c r="A52" s="3383" t="str">
        <f t="shared" si="2"/>
        <v>\\DG ECFIN\Forecast\Country databases\Desk transfer databases\SE</v>
      </c>
      <c r="B52" s="3383" t="str">
        <f t="shared" si="3"/>
        <v>SE</v>
      </c>
      <c r="C52" s="3383" t="s">
        <v>2074</v>
      </c>
      <c r="D52" s="3383" t="s">
        <v>2118</v>
      </c>
      <c r="E52" s="3383" t="s">
        <v>2111</v>
      </c>
      <c r="F52" s="3383">
        <v>76</v>
      </c>
      <c r="G52" s="3383" t="s">
        <v>1872</v>
      </c>
      <c r="H52" s="3383">
        <f>IF(ISNUMBER(Labour1!H7),Labour1!H7,"n.a.")</f>
        <v>5634.29</v>
      </c>
      <c r="I52" s="3383">
        <f>IF(ISNUMBER(Labour1!I7),Labour1!I7,"n.a.")</f>
        <v>5645.2884999999997</v>
      </c>
      <c r="J52" s="3383">
        <f>IF(ISNUMBER(Labour1!J7),Labour1!J7,"n.a.")</f>
        <v>5659.5015000000003</v>
      </c>
      <c r="K52" s="3383">
        <f>IF(ISNUMBER(Labour1!K7),Labour1!K7,"n.a.")</f>
        <v>5678.6869999999999</v>
      </c>
      <c r="L52" s="3383">
        <f>IF(ISNUMBER(Labour1!L7),Labour1!L7,"n.a.")</f>
        <v>5705.1385</v>
      </c>
      <c r="M52" s="3383">
        <f>IF(ISNUMBER(Labour1!M7),Labour1!M7,"n.a.")</f>
        <v>5738.9480000000003</v>
      </c>
      <c r="N52" s="3383">
        <f>IF(ISNUMBER(Labour1!N7),Labour1!N7,"n.a.")</f>
        <v>5775.9285</v>
      </c>
      <c r="O52" s="3383">
        <f>IF(ISNUMBER(Labour1!O7),Labour1!O7,"n.a.")</f>
        <v>5815.2470000000003</v>
      </c>
      <c r="P52" s="3383">
        <f>IF(ISNUMBER(Labour1!P7),Labour1!P7,"n.a.")</f>
        <v>5854.451</v>
      </c>
      <c r="Q52" s="3383">
        <f>IF(ISNUMBER(Labour1!Q7),Labour1!Q7,"n.a.")</f>
        <v>5897.5375000000004</v>
      </c>
      <c r="R52" s="3383">
        <f>IF(ISNUMBER(Labour1!R7),Labour1!R7,"n.a.")</f>
        <v>5951.9160000000002</v>
      </c>
      <c r="S52" s="3383">
        <f>IF(ISNUMBER(Labour1!S7),Labour1!S7,"n.a.")</f>
        <v>6007.5069999999996</v>
      </c>
      <c r="T52" s="3383">
        <f>IF(ISNUMBER(Labour1!T7),Labour1!T7,"n.a.")</f>
        <v>6050.8225000000002</v>
      </c>
      <c r="U52" s="3383">
        <f>IF(ISNUMBER(Labour1!U7),Labour1!U7,"n.a.")</f>
        <v>6084.6634999999997</v>
      </c>
      <c r="V52" s="3383">
        <f>IF(ISNUMBER(Labour1!V7),Labour1!V7,"n.a.")</f>
        <v>6106.9139999999998</v>
      </c>
      <c r="W52" s="3383">
        <f>IF(ISNUMBER(Labour1!W7),Labour1!W7,"n.a.")</f>
        <v>6113.6409999999996</v>
      </c>
      <c r="X52" s="3383">
        <f>IF(ISNUMBER(Labour1!X7),Labour1!X7,"n.a.")</f>
        <v>6114.8339999999998</v>
      </c>
      <c r="Y52" s="3383">
        <f>IF(ISNUMBER(Labour1!Y7),Labour1!Y7,"n.a.")</f>
        <v>6121.1535000000003</v>
      </c>
      <c r="Z52" s="3383">
        <f>IF(ISNUMBER(Labour1!Z7),Labour1!Z7,"n.a.")</f>
        <v>6139.4970000000003</v>
      </c>
      <c r="AA52" s="3383">
        <f>IF(ISNUMBER(Labour1!AA7),Labour1!AA7,"n.a.")</f>
        <v>6169.5424999999996</v>
      </c>
      <c r="AB52" s="3383">
        <f>IF(ISNUMBER(Labour1!AB7),Labour1!AB7,"n.a.")</f>
        <v>6221.9745000000003</v>
      </c>
      <c r="AC52" s="3383">
        <f>IF(ISNUMBER(Labour1!AC7),Labour1!AC7,"n.a.")</f>
        <v>6288.3604999999998</v>
      </c>
      <c r="AD52" s="3383">
        <f>IF(ISNUMBER(Labour1!AD7),Labour1!AD7,"n.a.")</f>
        <v>6372.4819525517032</v>
      </c>
      <c r="AE52" s="3383">
        <f>IF(ISNUMBER(Labour1!AE7),Labour1!AE7,"n.a.")</f>
        <v>6423.9734930411896</v>
      </c>
      <c r="AF52" s="3383">
        <f>IF(ISNUMBER(Labour1!AF7),Labour1!AF7,"n.a.")</f>
        <v>6474.9159424573345</v>
      </c>
      <c r="AG52"/>
      <c r="AH52"/>
      <c r="AI52"/>
      <c r="AJ52">
        <v>42</v>
      </c>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row>
    <row r="53" spans="1:159">
      <c r="A53" s="3383" t="str">
        <f t="shared" si="2"/>
        <v>\\DG ECFIN\Forecast\Country databases\Desk transfer databases\SE</v>
      </c>
      <c r="B53" s="3383" t="str">
        <f t="shared" si="3"/>
        <v>SE</v>
      </c>
      <c r="C53" s="3383" t="s">
        <v>2074</v>
      </c>
      <c r="D53" s="3383" t="s">
        <v>2119</v>
      </c>
      <c r="E53" s="3383" t="s">
        <v>2111</v>
      </c>
      <c r="F53" s="3383">
        <v>77</v>
      </c>
      <c r="G53" s="3383" t="s">
        <v>2065</v>
      </c>
      <c r="H53" s="3383">
        <f>IF(ISNUMBER(Labour1!H9),Labour1!H9,"n.a.")</f>
        <v>6424.7645000000002</v>
      </c>
      <c r="I53" s="3383">
        <f>IF(ISNUMBER(Labour1!I9),Labour1!I9,"n.a.")</f>
        <v>6422.0770000000002</v>
      </c>
      <c r="J53" s="3383">
        <f>IF(ISNUMBER(Labour1!J9),Labour1!J9,"n.a.")</f>
        <v>6423.9335000000001</v>
      </c>
      <c r="K53" s="3383">
        <f>IF(ISNUMBER(Labour1!K9),Labour1!K9,"n.a.")</f>
        <v>6431.1075000000001</v>
      </c>
      <c r="L53" s="3383">
        <f>IF(ISNUMBER(Labour1!L9),Labour1!L9,"n.a.")</f>
        <v>6448.8985000000002</v>
      </c>
      <c r="M53" s="3383">
        <f>IF(ISNUMBER(Labour1!M9),Labour1!M9,"n.a.")</f>
        <v>6478.4690000000001</v>
      </c>
      <c r="N53" s="3383">
        <f>IF(ISNUMBER(Labour1!N9),Labour1!N9,"n.a.")</f>
        <v>6515.7839999999997</v>
      </c>
      <c r="O53" s="3383">
        <f>IF(ISNUMBER(Labour1!O9),Labour1!O9,"n.a.")</f>
        <v>6558.7855</v>
      </c>
      <c r="P53" s="3383">
        <f>IF(ISNUMBER(Labour1!P9),Labour1!P9,"n.a.")</f>
        <v>6606.2084999999997</v>
      </c>
      <c r="Q53" s="3383">
        <f>IF(ISNUMBER(Labour1!Q9),Labour1!Q9,"n.a.")</f>
        <v>6659.3959999999997</v>
      </c>
      <c r="R53" s="3383">
        <f>IF(ISNUMBER(Labour1!R9),Labour1!R9,"n.a.")</f>
        <v>6725.7280000000001</v>
      </c>
      <c r="S53" s="3383">
        <f>IF(ISNUMBER(Labour1!S9),Labour1!S9,"n.a.")</f>
        <v>6802.3410000000003</v>
      </c>
      <c r="T53" s="3383">
        <f>IF(ISNUMBER(Labour1!T9),Labour1!T9,"n.a.")</f>
        <v>6878.4489999999996</v>
      </c>
      <c r="U53" s="3383">
        <f>IF(ISNUMBER(Labour1!U9),Labour1!U9,"n.a.")</f>
        <v>6954.2955000000002</v>
      </c>
      <c r="V53" s="3383">
        <f>IF(ISNUMBER(Labour1!V9),Labour1!V9,"n.a.")</f>
        <v>7021.7295000000004</v>
      </c>
      <c r="W53" s="3383">
        <f>IF(ISNUMBER(Labour1!W9),Labour1!W9,"n.a.")</f>
        <v>7072.2385000000004</v>
      </c>
      <c r="X53" s="3383">
        <f>IF(ISNUMBER(Labour1!X9),Labour1!X9,"n.a.")</f>
        <v>7114.0434999999998</v>
      </c>
      <c r="Y53" s="3383">
        <f>IF(ISNUMBER(Labour1!Y9),Labour1!Y9,"n.a.")</f>
        <v>7156.5084999999999</v>
      </c>
      <c r="Z53" s="3383">
        <f>IF(ISNUMBER(Labour1!Z9),Labour1!Z9,"n.a.")</f>
        <v>7204.7875000000004</v>
      </c>
      <c r="AA53" s="3383">
        <f>IF(ISNUMBER(Labour1!AA9),Labour1!AA9,"n.a.")</f>
        <v>7258.79</v>
      </c>
      <c r="AB53" s="3383">
        <f>IF(ISNUMBER(Labour1!AB9),Labour1!AB9,"n.a.")</f>
        <v>7328.6130000000003</v>
      </c>
      <c r="AC53" s="3383">
        <f>IF(ISNUMBER(Labour1!AC9),Labour1!AC9,"n.a.")</f>
        <v>7403.3869999999997</v>
      </c>
      <c r="AD53" s="3383">
        <f>IF(ISNUMBER(Labour1!AD9),Labour1!AD9,"n.a.")</f>
        <v>7476.8797211174178</v>
      </c>
      <c r="AE53" s="3383">
        <f>IF(ISNUMBER(Labour1!AE9),Labour1!AE9,"n.a.")</f>
        <v>7516.0529307369898</v>
      </c>
      <c r="AF53" s="3383">
        <f>IF(ISNUMBER(Labour1!AF9),Labour1!AF9,"n.a.")</f>
        <v>7555.130245106574</v>
      </c>
      <c r="AG53"/>
      <c r="AH53"/>
      <c r="AI53"/>
      <c r="AJ53">
        <v>43</v>
      </c>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row>
    <row r="54" spans="1:159">
      <c r="A54" s="3383" t="str">
        <f t="shared" si="2"/>
        <v>\\DG ECFIN\Forecast\Country databases\Desk transfer databases\SE</v>
      </c>
      <c r="B54" s="3383" t="str">
        <f t="shared" si="3"/>
        <v>SE</v>
      </c>
      <c r="C54" s="3383" t="s">
        <v>2074</v>
      </c>
      <c r="D54" s="3383" t="s">
        <v>2120</v>
      </c>
      <c r="E54" s="3383" t="s">
        <v>2111</v>
      </c>
      <c r="F54" s="3383">
        <v>78</v>
      </c>
      <c r="G54" s="3383" t="s">
        <v>1874</v>
      </c>
      <c r="H54" s="3383">
        <f>IF(ISNUMBER(Labour1!H37),Labour1!H37,"n.a.")</f>
        <v>479.8</v>
      </c>
      <c r="I54" s="3383">
        <f>IF(ISNUMBER(Labour1!I37),Labour1!I37,"n.a.")</f>
        <v>487.2</v>
      </c>
      <c r="J54" s="3383">
        <f>IF(ISNUMBER(Labour1!J37),Labour1!J37,"n.a.")</f>
        <v>409.9</v>
      </c>
      <c r="K54" s="3383">
        <f>IF(ISNUMBER(Labour1!K37),Labour1!K37,"n.a.")</f>
        <v>353.9</v>
      </c>
      <c r="L54" s="3383">
        <f>IF(ISNUMBER(Labour1!L37),Labour1!L37,"n.a.")</f>
        <v>299</v>
      </c>
      <c r="M54" s="3383">
        <f>IF(ISNUMBER(Labour1!M37),Labour1!M37,"n.a.")</f>
        <v>270</v>
      </c>
      <c r="N54" s="3383">
        <f>IF(ISNUMBER(Labour1!N37),Labour1!N37,"n.a.")</f>
        <v>276.8</v>
      </c>
      <c r="O54" s="3383">
        <f>IF(ISNUMBER(Labour1!O37),Labour1!O37,"n.a.")</f>
        <v>306.3</v>
      </c>
      <c r="P54" s="3383">
        <f>IF(ISNUMBER(Labour1!P37),Labour1!P37,"n.a.")</f>
        <v>345.6</v>
      </c>
      <c r="Q54" s="3383">
        <f>IF(ISNUMBER(Labour1!Q37),Labour1!Q37,"n.a.")</f>
        <v>361</v>
      </c>
      <c r="R54" s="3383">
        <f>IF(ISNUMBER(Labour1!R37),Labour1!R37,"n.a.")</f>
        <v>336.3</v>
      </c>
      <c r="S54" s="3383">
        <f>IF(ISNUMBER(Labour1!S37),Labour1!S37,"n.a.")</f>
        <v>297.5</v>
      </c>
      <c r="T54" s="3383">
        <f>IF(ISNUMBER(Labour1!T37),Labour1!T37,"n.a.")</f>
        <v>304.7</v>
      </c>
      <c r="U54" s="3383">
        <f>IF(ISNUMBER(Labour1!U37),Labour1!U37,"n.a.")</f>
        <v>408.3</v>
      </c>
      <c r="V54" s="3383">
        <f>IF(ISNUMBER(Labour1!V37),Labour1!V37,"n.a.")</f>
        <v>425</v>
      </c>
      <c r="W54" s="3383">
        <f>IF(ISNUMBER(Labour1!W37),Labour1!W37,"n.a.")</f>
        <v>390</v>
      </c>
      <c r="X54" s="3383">
        <f>IF(ISNUMBER(Labour1!X37),Labour1!X37,"n.a.")</f>
        <v>403</v>
      </c>
      <c r="Y54" s="3383">
        <f>IF(ISNUMBER(Labour1!Y37),Labour1!Y37,"n.a.")</f>
        <v>411</v>
      </c>
      <c r="Z54" s="3383">
        <f>IF(ISNUMBER(Labour1!Z37),Labour1!Z37,"n.a.")</f>
        <v>411</v>
      </c>
      <c r="AA54" s="3383">
        <f>IF(ISNUMBER(Labour1!AA37),Labour1!AA37,"n.a.")</f>
        <v>387</v>
      </c>
      <c r="AB54" s="3383">
        <f>IF(ISNUMBER(Labour1!AB37),Labour1!AB37,"n.a.")</f>
        <v>366</v>
      </c>
      <c r="AC54" s="3383">
        <f>IF(ISNUMBER(Labour1!AC37),Labour1!AC37,"n.a.")</f>
        <v>358</v>
      </c>
      <c r="AD54" s="3383">
        <f>IF(ISNUMBER(Labour1!AD37),Labour1!AD37,"n.a.")</f>
        <v>340.93816000000061</v>
      </c>
      <c r="AE54" s="3383">
        <f>IF(ISNUMBER(Labour1!AE37),Labour1!AE37,"n.a.")</f>
        <v>340.7484440900007</v>
      </c>
      <c r="AF54" s="3383">
        <f>IF(ISNUMBER(Labour1!AF37),Labour1!AF37,"n.a.")</f>
        <v>342.49419810681502</v>
      </c>
      <c r="AG54"/>
      <c r="AH54"/>
      <c r="AI54"/>
      <c r="AJ54">
        <v>44</v>
      </c>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row>
    <row r="55" spans="1:159">
      <c r="A55" s="3383" t="str">
        <f t="shared" si="2"/>
        <v>\\DG ECFIN\Forecast\Country databases\Desk transfer databases\SE</v>
      </c>
      <c r="B55" s="3383" t="str">
        <f t="shared" si="3"/>
        <v>SE</v>
      </c>
      <c r="C55" s="3383" t="s">
        <v>2074</v>
      </c>
      <c r="D55" s="3383" t="s">
        <v>2121</v>
      </c>
      <c r="E55" s="3383" t="s">
        <v>2111</v>
      </c>
      <c r="F55" s="3383">
        <v>79</v>
      </c>
      <c r="G55" s="3383" t="s">
        <v>1876</v>
      </c>
      <c r="H55" s="3383">
        <f>IF(ISNUMBER(Labour1!H35),Labour1!H35,"n.a.")</f>
        <v>3984.5</v>
      </c>
      <c r="I55" s="3383">
        <f>IF(ISNUMBER(Labour1!I35),Labour1!I35,"n.a.")</f>
        <v>3946.3</v>
      </c>
      <c r="J55" s="3383">
        <f>IF(ISNUMBER(Labour1!J35),Labour1!J35,"n.a.")</f>
        <v>4010.4</v>
      </c>
      <c r="K55" s="3383">
        <f>IF(ISNUMBER(Labour1!K35),Labour1!K35,"n.a.")</f>
        <v>4099</v>
      </c>
      <c r="L55" s="3383">
        <f>IF(ISNUMBER(Labour1!L35),Labour1!L35,"n.a.")</f>
        <v>4188.3999999999996</v>
      </c>
      <c r="M55" s="3383">
        <f>IF(ISNUMBER(Labour1!M35),Labour1!M35,"n.a.")</f>
        <v>4347.3999999999996</v>
      </c>
      <c r="N55" s="3383">
        <f>IF(ISNUMBER(Labour1!N35),Labour1!N35,"n.a.")</f>
        <v>4361.5</v>
      </c>
      <c r="O55" s="3383">
        <f>IF(ISNUMBER(Labour1!O35),Labour1!O35,"n.a.")</f>
        <v>4350.5</v>
      </c>
      <c r="P55" s="3383">
        <f>IF(ISNUMBER(Labour1!P35),Labour1!P35,"n.a.")</f>
        <v>4332.6000000000004</v>
      </c>
      <c r="Q55" s="3383">
        <f>IF(ISNUMBER(Labour1!Q35),Labour1!Q35,"n.a.")</f>
        <v>4347.6000000000004</v>
      </c>
      <c r="R55" s="3383">
        <f>IF(ISNUMBER(Labour1!R35),Labour1!R35,"n.a.")</f>
        <v>4429.3999999999996</v>
      </c>
      <c r="S55" s="3383">
        <f>IF(ISNUMBER(Labour1!S35),Labour1!S35,"n.a.")</f>
        <v>4540.7</v>
      </c>
      <c r="T55" s="3383">
        <f>IF(ISNUMBER(Labour1!T35),Labour1!T35,"n.a.")</f>
        <v>4593</v>
      </c>
      <c r="U55" s="3383">
        <f>IF(ISNUMBER(Labour1!U35),Labour1!U35,"n.a.")</f>
        <v>4498.7</v>
      </c>
      <c r="V55" s="3383">
        <f>IF(ISNUMBER(Labour1!V35),Labour1!V35,"n.a.")</f>
        <v>4523.7</v>
      </c>
      <c r="W55" s="3383">
        <f>IF(ISNUMBER(Labour1!W35),Labour1!W35,"n.a.")</f>
        <v>4625.8999999999996</v>
      </c>
      <c r="X55" s="3383">
        <f>IF(ISNUMBER(Labour1!X35),Labour1!X35,"n.a.")</f>
        <v>4657.1000000000004</v>
      </c>
      <c r="Y55" s="3383">
        <f>IF(ISNUMBER(Labour1!Y35),Labour1!Y35,"n.a.")</f>
        <v>4704.7</v>
      </c>
      <c r="Z55" s="3383">
        <f>IF(ISNUMBER(Labour1!Z35),Labour1!Z35,"n.a.")</f>
        <v>4772.3</v>
      </c>
      <c r="AA55" s="3383">
        <f>IF(ISNUMBER(Labour1!AA35),Labour1!AA35,"n.a.")</f>
        <v>4837.2</v>
      </c>
      <c r="AB55" s="3383">
        <f>IF(ISNUMBER(Labour1!AB35),Labour1!AB35,"n.a.")</f>
        <v>4910.1000000000004</v>
      </c>
      <c r="AC55" s="3383">
        <f>IF(ISNUMBER(Labour1!AC35),Labour1!AC35,"n.a.")</f>
        <v>5021.8</v>
      </c>
      <c r="AD55" s="3383">
        <f>IF(ISNUMBER(Labour1!AD35),Labour1!AD35,"n.a.")</f>
        <v>5105.0333799999999</v>
      </c>
      <c r="AE55" s="3383">
        <f>IF(ISNUMBER(Labour1!AE35),Labour1!AE35,"n.a.")</f>
        <v>5148.7908682299994</v>
      </c>
      <c r="AF55" s="3383">
        <f>IF(ISNUMBER(Labour1!AF35),Labour1!AF35,"n.a.")</f>
        <v>5182.7271197432647</v>
      </c>
      <c r="AG55"/>
      <c r="AH55"/>
      <c r="AI55"/>
      <c r="AJ55">
        <v>45</v>
      </c>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row>
    <row r="56" spans="1:159">
      <c r="A56" s="3383" t="str">
        <f t="shared" si="2"/>
        <v>\\DG ECFIN\Forecast\Country databases\Desk transfer databases\SE</v>
      </c>
      <c r="B56" s="3383" t="str">
        <f t="shared" si="3"/>
        <v>SE</v>
      </c>
      <c r="C56" s="3383" t="s">
        <v>2074</v>
      </c>
      <c r="D56" s="3383" t="s">
        <v>2122</v>
      </c>
      <c r="E56" s="3383" t="s">
        <v>2111</v>
      </c>
      <c r="F56" s="3383">
        <v>83</v>
      </c>
      <c r="G56" s="3383" t="s">
        <v>2012</v>
      </c>
      <c r="H56" s="3383">
        <f>IF(ISNUMBER(Labour1!H78),Labour1!H78,"n.a.")</f>
        <v>3707.7999999999997</v>
      </c>
      <c r="I56" s="3383">
        <f>IF(ISNUMBER(Labour1!I78),Labour1!I78,"n.a.")</f>
        <v>3671.2000000000003</v>
      </c>
      <c r="J56" s="3383">
        <f>IF(ISNUMBER(Labour1!J78),Labour1!J78,"n.a.")</f>
        <v>3735.4000000000005</v>
      </c>
      <c r="K56" s="3383">
        <f>IF(ISNUMBER(Labour1!K78),Labour1!K78,"n.a.")</f>
        <v>3819</v>
      </c>
      <c r="L56" s="3383">
        <f>IF(ISNUMBER(Labour1!L78),Labour1!L78,"n.a.")</f>
        <v>3910.6999999999994</v>
      </c>
      <c r="M56" s="3383">
        <f>IF(ISNUMBER(Labour1!M78),Labour1!M78,"n.a.")</f>
        <v>4079.8999999999996</v>
      </c>
      <c r="N56" s="3383">
        <f>IF(ISNUMBER(Labour1!N78),Labour1!N78,"n.a.")</f>
        <v>4102.5</v>
      </c>
      <c r="O56" s="3383">
        <f>IF(ISNUMBER(Labour1!O78),Labour1!O78,"n.a.")</f>
        <v>4110.3</v>
      </c>
      <c r="P56" s="3383">
        <f>IF(ISNUMBER(Labour1!P78),Labour1!P78,"n.a.")</f>
        <v>4086.6000000000004</v>
      </c>
      <c r="Q56" s="3383">
        <f>IF(ISNUMBER(Labour1!Q78),Labour1!Q78,"n.a.")</f>
        <v>4102.1000000000004</v>
      </c>
      <c r="R56" s="3383">
        <f>IF(ISNUMBER(Labour1!R78),Labour1!R78,"n.a.")</f>
        <v>4177.5</v>
      </c>
      <c r="S56" s="3383">
        <f>IF(ISNUMBER(Labour1!S78),Labour1!S78,"n.a.")</f>
        <v>4284.4000000000005</v>
      </c>
      <c r="T56" s="3383">
        <f>IF(ISNUMBER(Labour1!T78),Labour1!T78,"n.a.")</f>
        <v>4348.5</v>
      </c>
      <c r="U56" s="3383">
        <f>IF(ISNUMBER(Labour1!U78),Labour1!U78,"n.a.")</f>
        <v>4251.2</v>
      </c>
      <c r="V56" s="3383">
        <f>IF(ISNUMBER(Labour1!V78),Labour1!V78,"n.a.")</f>
        <v>4270.3</v>
      </c>
      <c r="W56" s="3383">
        <f>IF(ISNUMBER(Labour1!W78),Labour1!W78,"n.a.")</f>
        <v>4382.8999999999996</v>
      </c>
      <c r="X56" s="3383">
        <f>IF(ISNUMBER(Labour1!X78),Labour1!X78,"n.a.")</f>
        <v>4419.9000000000005</v>
      </c>
      <c r="Y56" s="3383">
        <f>IF(ISNUMBER(Labour1!Y78),Labour1!Y78,"n.a.")</f>
        <v>4468.8999999999996</v>
      </c>
      <c r="Z56" s="3383">
        <f>IF(ISNUMBER(Labour1!Z78),Labour1!Z78,"n.a.")</f>
        <v>4541.2000000000007</v>
      </c>
      <c r="AA56" s="3383">
        <f>IF(ISNUMBER(Labour1!AA78),Labour1!AA78,"n.a.")</f>
        <v>4612.1000000000004</v>
      </c>
      <c r="AB56" s="3383">
        <f>IF(ISNUMBER(Labour1!AB78),Labour1!AB78,"n.a.")</f>
        <v>4701.1000000000004</v>
      </c>
      <c r="AC56" s="3383">
        <f>IF(ISNUMBER(Labour1!AC78),Labour1!AC78,"n.a.")</f>
        <v>4816.8</v>
      </c>
      <c r="AD56" s="3383">
        <f>IF(ISNUMBER(Labour1!AD78),Labour1!AD78,"n.a.")</f>
        <v>4900.0333799999999</v>
      </c>
      <c r="AE56" s="3383">
        <f>IF(ISNUMBER(Labour1!AE78),Labour1!AE78,"n.a.")</f>
        <v>4943.7908682299994</v>
      </c>
      <c r="AF56" s="3383">
        <f>IF(ISNUMBER(Labour1!AF78),Labour1!AF78,"n.a.")</f>
        <v>4977.7271197432647</v>
      </c>
      <c r="AG56"/>
      <c r="AH56"/>
      <c r="AI56"/>
      <c r="AJ56">
        <v>46</v>
      </c>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row>
    <row r="57" spans="1:159">
      <c r="A57" s="3383" t="str">
        <f t="shared" si="2"/>
        <v>\\DG ECFIN\Forecast\Country databases\Desk transfer databases\SE</v>
      </c>
      <c r="B57" s="3383" t="str">
        <f t="shared" si="3"/>
        <v>SE</v>
      </c>
      <c r="C57" s="3383" t="s">
        <v>2074</v>
      </c>
      <c r="D57" s="3383" t="s">
        <v>2123</v>
      </c>
      <c r="E57" s="3383" t="s">
        <v>2292</v>
      </c>
      <c r="F57" s="3383">
        <v>85</v>
      </c>
      <c r="G57" s="3383" t="s">
        <v>557</v>
      </c>
      <c r="H57" s="3383">
        <f>IF(ISNUMBER(Labour1!H89),Labour1!H89,"n.a.")</f>
        <v>1653.0408457237727</v>
      </c>
      <c r="I57" s="3383">
        <f>IF(ISNUMBER(Labour1!I89),Labour1!I89,"n.a.")</f>
        <v>1657.9689354966365</v>
      </c>
      <c r="J57" s="3383">
        <f>IF(ISNUMBER(Labour1!J89),Labour1!J89,"n.a.")</f>
        <v>1656.3190154205381</v>
      </c>
      <c r="K57" s="3383">
        <f>IF(ISNUMBER(Labour1!K89),Labour1!K89,"n.a.")</f>
        <v>1664.8116825880841</v>
      </c>
      <c r="L57" s="3383">
        <f>IF(ISNUMBER(Labour1!L89),Labour1!L89,"n.a.")</f>
        <v>1642.082500116263</v>
      </c>
      <c r="M57" s="3383">
        <f>IF(ISNUMBER(Labour1!M89),Labour1!M89,"n.a.")</f>
        <v>1618.207282913165</v>
      </c>
      <c r="N57" s="3383">
        <f>IF(ISNUMBER(Labour1!N89),Labour1!N89,"n.a.")</f>
        <v>1594.8738960211238</v>
      </c>
      <c r="O57" s="3383">
        <f>IF(ISNUMBER(Labour1!O89),Labour1!O89,"n.a.")</f>
        <v>1581.5632226012503</v>
      </c>
      <c r="P57" s="3383">
        <f>IF(ISNUMBER(Labour1!P89),Labour1!P89,"n.a.")</f>
        <v>1605.5104675827722</v>
      </c>
      <c r="Q57" s="3383">
        <f>IF(ISNUMBER(Labour1!Q89),Labour1!Q89,"n.a.")</f>
        <v>1605.063582219974</v>
      </c>
      <c r="R57" s="3383">
        <f>IF(ISNUMBER(Labour1!R89),Labour1!R89,"n.a.")</f>
        <v>1599.1271707670046</v>
      </c>
      <c r="S57" s="3383">
        <f>IF(ISNUMBER(Labour1!S89),Labour1!S89,"n.a.")</f>
        <v>1611.4954469100878</v>
      </c>
      <c r="T57" s="3383">
        <f>IF(ISNUMBER(Labour1!T89),Labour1!T89,"n.a.")</f>
        <v>1616.8645404363447</v>
      </c>
      <c r="U57" s="3383">
        <f>IF(ISNUMBER(Labour1!U89),Labour1!U89,"n.a.")</f>
        <v>1609.1474364730179</v>
      </c>
      <c r="V57" s="3383">
        <f>IF(ISNUMBER(Labour1!V89),Labour1!V89,"n.a.")</f>
        <v>1635.0067812437469</v>
      </c>
      <c r="W57" s="3383">
        <f>IF(ISNUMBER(Labour1!W89),Labour1!W89,"n.a.")</f>
        <v>1632.5169801462905</v>
      </c>
      <c r="X57" s="3383">
        <f>IF(ISNUMBER(Labour1!X89),Labour1!X89,"n.a.")</f>
        <v>1618.3753295587155</v>
      </c>
      <c r="Y57" s="3383">
        <f>IF(ISNUMBER(Labour1!Y89),Labour1!Y89,"n.a.")</f>
        <v>1608.7182670491031</v>
      </c>
      <c r="Z57" s="3383">
        <f>IF(ISNUMBER(Labour1!Z89),Labour1!Z89,"n.a.")</f>
        <v>1609.422890192933</v>
      </c>
      <c r="AA57" s="3383">
        <f>IF(ISNUMBER(Labour1!AA89),Labour1!AA89,"n.a.")</f>
        <v>1610.0719723759207</v>
      </c>
      <c r="AB57" s="3383">
        <f>IF(ISNUMBER(Labour1!AB89),Labour1!AB89,"n.a.")</f>
        <v>1622.2873481057898</v>
      </c>
      <c r="AC57" s="3383">
        <f>IF(ISNUMBER(Labour1!AC89),Labour1!AC89,"n.a.")</f>
        <v>1608.6883642966893</v>
      </c>
      <c r="AD57" s="3383">
        <f>IF(ISNUMBER(Labour1!AD89),Labour1!AD89,"n.a.")</f>
        <v>1611.9057410252826</v>
      </c>
      <c r="AE57" s="3383">
        <f>IF(ISNUMBER(Labour1!AE89),Labour1!AE89,"n.a.")</f>
        <v>1612.066931599385</v>
      </c>
      <c r="AF57" s="3383">
        <f>IF(ISNUMBER(Labour1!AF89),Labour1!AF89,"n.a.")</f>
        <v>1610.6160713609456</v>
      </c>
      <c r="AG57"/>
      <c r="AH57"/>
      <c r="AI57"/>
      <c r="AJ57">
        <v>47</v>
      </c>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row>
    <row r="58" spans="1:159">
      <c r="A58" s="3383" t="str">
        <f t="shared" si="2"/>
        <v>\\DG ECFIN\Forecast\Country databases\Desk transfer databases\SE</v>
      </c>
      <c r="B58" s="3383" t="str">
        <f t="shared" si="3"/>
        <v>SE</v>
      </c>
      <c r="C58" s="3383" t="s">
        <v>2074</v>
      </c>
      <c r="D58" s="3383" t="s">
        <v>2124</v>
      </c>
      <c r="E58" s="3383" t="s">
        <v>2076</v>
      </c>
      <c r="F58" s="3383">
        <v>87</v>
      </c>
      <c r="G58" s="3383" t="s">
        <v>558</v>
      </c>
      <c r="H58" s="3383">
        <f>IF(ISNUMBER(Labour1!H216),Labour1!H216,"n.a.")</f>
        <v>880.40499999999997</v>
      </c>
      <c r="I58" s="3383">
        <f>IF(ISNUMBER(Labour1!I216),Labour1!I216,"n.a.")</f>
        <v>921.29499999999996</v>
      </c>
      <c r="J58" s="3383">
        <f>IF(ISNUMBER(Labour1!J216),Labour1!J216,"n.a.")</f>
        <v>922.53499999999997</v>
      </c>
      <c r="K58" s="3383">
        <f>IF(ISNUMBER(Labour1!K216),Labour1!K216,"n.a.")</f>
        <v>979.04399999999998</v>
      </c>
      <c r="L58" s="3383">
        <f>IF(ISNUMBER(Labour1!L216),Labour1!L216,"n.a.")</f>
        <v>1074.1559999999999</v>
      </c>
      <c r="M58" s="3383">
        <f>IF(ISNUMBER(Labour1!M216),Labour1!M216,"n.a.")</f>
        <v>1148.8789999999999</v>
      </c>
      <c r="N58" s="3383">
        <f>IF(ISNUMBER(Labour1!N216),Labour1!N216,"n.a.")</f>
        <v>1189.511</v>
      </c>
      <c r="O58" s="3383">
        <f>IF(ISNUMBER(Labour1!O216),Labour1!O216,"n.a.")</f>
        <v>1230.569</v>
      </c>
      <c r="P58" s="3383">
        <f>IF(ISNUMBER(Labour1!P216),Labour1!P216,"n.a.")</f>
        <v>1271.7</v>
      </c>
      <c r="Q58" s="3383">
        <f>IF(ISNUMBER(Labour1!Q216),Labour1!Q216,"n.a.")</f>
        <v>1315.777</v>
      </c>
      <c r="R58" s="3383">
        <f>IF(ISNUMBER(Labour1!R216),Labour1!R216,"n.a.")</f>
        <v>1380.646</v>
      </c>
      <c r="S58" s="3383">
        <f>IF(ISNUMBER(Labour1!S216),Labour1!S216,"n.a.")</f>
        <v>1492.403</v>
      </c>
      <c r="T58" s="3383">
        <f>IF(ISNUMBER(Labour1!T216),Labour1!T216,"n.a.")</f>
        <v>1569.8209999999999</v>
      </c>
      <c r="U58" s="3383">
        <f>IF(ISNUMBER(Labour1!U216),Labour1!U216,"n.a.")</f>
        <v>1573.395</v>
      </c>
      <c r="V58" s="3383">
        <f>IF(ISNUMBER(Labour1!V216),Labour1!V216,"n.a.")</f>
        <v>1620.65</v>
      </c>
      <c r="W58" s="3383">
        <f>IF(ISNUMBER(Labour1!W216),Labour1!W216,"n.a.")</f>
        <v>1711.4760000000001</v>
      </c>
      <c r="X58" s="3383">
        <f>IF(ISNUMBER(Labour1!X216),Labour1!X216,"n.a.")</f>
        <v>1779.4</v>
      </c>
      <c r="Y58" s="3383">
        <f>IF(ISNUMBER(Labour1!Y216),Labour1!Y216,"n.a.")</f>
        <v>1831.9549999999999</v>
      </c>
      <c r="Z58" s="3383">
        <f>IF(ISNUMBER(Labour1!Z216),Labour1!Z216,"n.a.")</f>
        <v>1902.6579999999999</v>
      </c>
      <c r="AA58" s="3383">
        <f>IF(ISNUMBER(Labour1!AA216),Labour1!AA216,"n.a.")</f>
        <v>1982.71</v>
      </c>
      <c r="AB58" s="3383">
        <f>IF(ISNUMBER(Labour1!AB216),Labour1!AB216,"n.a.")</f>
        <v>2072.2469999999998</v>
      </c>
      <c r="AC58" s="3383">
        <f>IF(ISNUMBER(Labour1!AC216),Labour1!AC216,"n.a.")</f>
        <v>2164.6790000000001</v>
      </c>
      <c r="AD58" s="3383">
        <f>IF(ISNUMBER(Labour1!AD216),Labour1!AD216,"n.a.")</f>
        <v>2260.8083473306006</v>
      </c>
      <c r="AE58" s="3383">
        <f>IF(ISNUMBER(Labour1!AE216),Labour1!AE216,"n.a.")</f>
        <v>2341.6886369596423</v>
      </c>
      <c r="AF58" s="3383">
        <f>IF(ISNUMBER(Labour1!AF216),Labour1!AF216,"n.a.")</f>
        <v>2415.4872444957791</v>
      </c>
      <c r="AG58"/>
      <c r="AH58"/>
      <c r="AI58"/>
      <c r="AJ58">
        <v>48</v>
      </c>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row>
    <row r="59" spans="1:159">
      <c r="A59" s="3383" t="str">
        <f t="shared" si="2"/>
        <v>\\DG ECFIN\Forecast\Country databases\Desk transfer databases\SE</v>
      </c>
      <c r="B59" s="3383" t="str">
        <f t="shared" si="3"/>
        <v>SE</v>
      </c>
      <c r="C59" s="3383" t="s">
        <v>2074</v>
      </c>
      <c r="D59" s="3383" t="s">
        <v>2125</v>
      </c>
      <c r="E59" s="3383" t="s">
        <v>2076</v>
      </c>
      <c r="F59" s="3383">
        <v>88</v>
      </c>
      <c r="G59" s="3383" t="s">
        <v>1559</v>
      </c>
      <c r="H59" s="3383">
        <f>IF(ISNUMBER(Labour1!H136),Labour1!H136,"n.a.")</f>
        <v>744.69600000000003</v>
      </c>
      <c r="I59" s="3383">
        <f>IF(ISNUMBER(Labour1!I136),Labour1!I136,"n.a.")</f>
        <v>776.35699999999997</v>
      </c>
      <c r="J59" s="3383">
        <f>IF(ISNUMBER(Labour1!J136),Labour1!J136,"n.a.")</f>
        <v>819.24099999999999</v>
      </c>
      <c r="K59" s="3383">
        <f>IF(ISNUMBER(Labour1!K136),Labour1!K136,"n.a.")</f>
        <v>866.91499999999996</v>
      </c>
      <c r="L59" s="3383">
        <f>IF(ISNUMBER(Labour1!L136),Labour1!L136,"n.a.")</f>
        <v>925.96299999999997</v>
      </c>
      <c r="M59" s="3383">
        <f>IF(ISNUMBER(Labour1!M136),Labour1!M136,"n.a.")</f>
        <v>979.75900000000001</v>
      </c>
      <c r="N59" s="3383">
        <f>IF(ISNUMBER(Labour1!N136),Labour1!N136,"n.a.")</f>
        <v>1012.448</v>
      </c>
      <c r="O59" s="3383">
        <f>IF(ISNUMBER(Labour1!O136),Labour1!O136,"n.a.")</f>
        <v>1037.4739999999999</v>
      </c>
      <c r="P59" s="3383">
        <f>IF(ISNUMBER(Labour1!P136),Labour1!P136,"n.a.")</f>
        <v>1064.8599999999999</v>
      </c>
      <c r="Q59" s="3383">
        <f>IF(ISNUMBER(Labour1!Q136),Labour1!Q136,"n.a.")</f>
        <v>1104.6980000000001</v>
      </c>
      <c r="R59" s="3383">
        <f>IF(ISNUMBER(Labour1!R136),Labour1!R136,"n.a.")</f>
        <v>1166.633</v>
      </c>
      <c r="S59" s="3383">
        <f>IF(ISNUMBER(Labour1!S136),Labour1!S136,"n.a.")</f>
        <v>1250.1679999999999</v>
      </c>
      <c r="T59" s="3383">
        <f>IF(ISNUMBER(Labour1!T136),Labour1!T136,"n.a.")</f>
        <v>1323.0909999999999</v>
      </c>
      <c r="U59" s="3383">
        <f>IF(ISNUMBER(Labour1!U136),Labour1!U136,"n.a.")</f>
        <v>1327.306</v>
      </c>
      <c r="V59" s="3383">
        <f>IF(ISNUMBER(Labour1!V136),Labour1!V136,"n.a.")</f>
        <v>1367.066</v>
      </c>
      <c r="W59" s="3383">
        <f>IF(ISNUMBER(Labour1!W136),Labour1!W136,"n.a.")</f>
        <v>1440.6079999999999</v>
      </c>
      <c r="X59" s="3383">
        <f>IF(ISNUMBER(Labour1!X136),Labour1!X136,"n.a.")</f>
        <v>1494.106</v>
      </c>
      <c r="Y59" s="3383">
        <f>IF(ISNUMBER(Labour1!Y136),Labour1!Y136,"n.a.")</f>
        <v>1534.299</v>
      </c>
      <c r="Z59" s="3383">
        <f>IF(ISNUMBER(Labour1!Z136),Labour1!Z136,"n.a.")</f>
        <v>1592.7370000000001</v>
      </c>
      <c r="AA59" s="3383">
        <f>IF(ISNUMBER(Labour1!AA136),Labour1!AA136,"n.a.")</f>
        <v>1657.348</v>
      </c>
      <c r="AB59" s="3383">
        <f>IF(ISNUMBER(Labour1!AB136),Labour1!AB136,"n.a.")</f>
        <v>1730.4110000000001</v>
      </c>
      <c r="AC59" s="3383">
        <f>IF(ISNUMBER(Labour1!AC136),Labour1!AC136,"n.a.")</f>
        <v>1811.0419999999999</v>
      </c>
      <c r="AD59" s="3383">
        <f>IF(ISNUMBER(Labour1!AD136),Labour1!AD136,"n.a.")</f>
        <v>1892.5383829059999</v>
      </c>
      <c r="AE59" s="3383">
        <f>IF(ISNUMBER(Labour1!AE136),Labour1!AE136,"n.a.")</f>
        <v>1962.5965528683344</v>
      </c>
      <c r="AF59" s="3383">
        <f>IF(ISNUMBER(Labour1!AF136),Labour1!AF136,"n.a.")</f>
        <v>2026.4769383561229</v>
      </c>
      <c r="AG59"/>
      <c r="AH59"/>
      <c r="AI59"/>
      <c r="AJ59">
        <v>49</v>
      </c>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row>
    <row r="60" spans="1:159">
      <c r="A60" s="3383" t="str">
        <f t="shared" si="2"/>
        <v>\\DG ECFIN\Forecast\Country databases\Desk transfer databases\SE</v>
      </c>
      <c r="B60" s="3383" t="str">
        <f t="shared" si="3"/>
        <v>SE</v>
      </c>
      <c r="C60" s="3383" t="s">
        <v>2074</v>
      </c>
      <c r="D60" s="3383" t="s">
        <v>2126</v>
      </c>
      <c r="E60" s="3383" t="s">
        <v>2076</v>
      </c>
      <c r="F60" s="3383">
        <v>89</v>
      </c>
      <c r="G60" s="3383" t="s">
        <v>51</v>
      </c>
      <c r="H60" s="3383">
        <f>IF(ISNUMBER(Sector1!H107),Sector1!H107,"n.a.")</f>
        <v>137.66300000000001</v>
      </c>
      <c r="I60" s="3383">
        <f>IF(ISNUMBER(Sector1!I107),Sector1!I107,"n.a.")</f>
        <v>138.41799999999998</v>
      </c>
      <c r="J60" s="3383">
        <f>IF(ISNUMBER(Sector1!J107),Sector1!J107,"n.a.")</f>
        <v>140.911</v>
      </c>
      <c r="K60" s="3383">
        <f>IF(ISNUMBER(Sector1!K107),Sector1!K107,"n.a.")</f>
        <v>143.33000000000001</v>
      </c>
      <c r="L60" s="3383">
        <f>IF(ISNUMBER(Sector1!L107),Sector1!L107,"n.a.")</f>
        <v>155.40299999999999</v>
      </c>
      <c r="M60" s="3383">
        <f>IF(ISNUMBER(Sector1!M107),Sector1!M107,"n.a.")</f>
        <v>161.37300000000002</v>
      </c>
      <c r="N60" s="3383">
        <f>IF(ISNUMBER(Sector1!N107),Sector1!N107,"n.a.")</f>
        <v>169.97499999999999</v>
      </c>
      <c r="O60" s="3383">
        <f>IF(ISNUMBER(Sector1!O107),Sector1!O107,"n.a.")</f>
        <v>173.03299999999999</v>
      </c>
      <c r="P60" s="3383">
        <f>IF(ISNUMBER(Sector1!P107),Sector1!P107,"n.a.")</f>
        <v>173.27099999999999</v>
      </c>
      <c r="Q60" s="3383">
        <f>IF(ISNUMBER(Sector1!Q107),Sector1!Q107,"n.a.")</f>
        <v>180.70499999999998</v>
      </c>
      <c r="R60" s="3383">
        <f>IF(ISNUMBER(Sector1!R107),Sector1!R107,"n.a.")</f>
        <v>192.864</v>
      </c>
      <c r="S60" s="3383">
        <f>IF(ISNUMBER(Sector1!S107),Sector1!S107,"n.a.")</f>
        <v>212.30000000000004</v>
      </c>
      <c r="T60" s="3383">
        <f>IF(ISNUMBER(Sector1!T107),Sector1!T107,"n.a.")</f>
        <v>204.99099999999999</v>
      </c>
      <c r="U60" s="3383">
        <f>IF(ISNUMBER(Sector1!U107),Sector1!U107,"n.a.")</f>
        <v>195.79600000000002</v>
      </c>
      <c r="V60" s="3383">
        <f>IF(ISNUMBER(Sector1!V107),Sector1!V107,"n.a.")</f>
        <v>209.90699999999998</v>
      </c>
      <c r="W60" s="3383">
        <f>IF(ISNUMBER(Sector1!W107),Sector1!W107,"n.a.")</f>
        <v>212.94200000000001</v>
      </c>
      <c r="X60" s="3383">
        <f>IF(ISNUMBER(Sector1!X107),Sector1!X107,"n.a.")</f>
        <v>202.673</v>
      </c>
      <c r="Y60" s="3383">
        <f>IF(ISNUMBER(Sector1!Y107),Sector1!Y107,"n.a.")</f>
        <v>204.29499999999999</v>
      </c>
      <c r="Z60" s="3383">
        <f>IF(ISNUMBER(Sector1!Z107),Sector1!Z107,"n.a.")</f>
        <v>211.15199999999999</v>
      </c>
      <c r="AA60" s="3383">
        <f>IF(ISNUMBER(Sector1!AA107),Sector1!AA107,"n.a.")</f>
        <v>207.93600000000001</v>
      </c>
      <c r="AB60" s="3383">
        <f>IF(ISNUMBER(Sector1!AB107),Sector1!AB107,"n.a.")</f>
        <v>217.71799999999996</v>
      </c>
      <c r="AC60" s="3383">
        <f>IF(ISNUMBER(Sector1!AC107),Sector1!AC107,"n.a.")</f>
        <v>233.49800000000005</v>
      </c>
      <c r="AD60" s="3383">
        <f>IF(ISNUMBER(Sector1!AD107),Sector1!AD107,"n.a.")</f>
        <v>242.55772240000005</v>
      </c>
      <c r="AE60" s="3383">
        <f>IF(ISNUMBER(Sector1!AE107),Sector1!AE107,"n.a.")</f>
        <v>251.96896202912004</v>
      </c>
      <c r="AF60" s="3383">
        <f>IF(ISNUMBER(Sector1!AF107),Sector1!AF107,"n.a.")</f>
        <v>261.74535775584985</v>
      </c>
      <c r="AG60"/>
      <c r="AH60"/>
      <c r="AI60"/>
      <c r="AJ60">
        <v>50</v>
      </c>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row>
    <row r="61" spans="1:159">
      <c r="A61" s="3383" t="str">
        <f t="shared" si="2"/>
        <v>\\DG ECFIN\Forecast\Country databases\Desk transfer databases\SE</v>
      </c>
      <c r="B61" s="3383" t="str">
        <f t="shared" si="3"/>
        <v>SE</v>
      </c>
      <c r="C61" s="3383" t="s">
        <v>2074</v>
      </c>
      <c r="D61" s="3383" t="s">
        <v>2127</v>
      </c>
      <c r="E61" s="3383" t="s">
        <v>2076</v>
      </c>
      <c r="F61" s="3383">
        <v>90</v>
      </c>
      <c r="G61" s="3383" t="s">
        <v>616</v>
      </c>
      <c r="H61" s="3383">
        <f>IF(ISNUMBER(Sector1!H141),Sector1!H141,"n.a.")</f>
        <v>68.144999999999996</v>
      </c>
      <c r="I61" s="3383">
        <f>IF(ISNUMBER(Sector1!I141),Sector1!I141,"n.a.")</f>
        <v>62.497</v>
      </c>
      <c r="J61" s="3383">
        <f>IF(ISNUMBER(Sector1!J141),Sector1!J141,"n.a.")</f>
        <v>66.662999999999997</v>
      </c>
      <c r="K61" s="3383">
        <f>IF(ISNUMBER(Sector1!K141),Sector1!K141,"n.a.")</f>
        <v>1</v>
      </c>
      <c r="L61" s="3383">
        <f>IF(ISNUMBER(Sector1!L141),Sector1!L141,"n.a.")</f>
        <v>99.584999999999994</v>
      </c>
      <c r="M61" s="3383">
        <f>IF(ISNUMBER(Sector1!M141),Sector1!M141,"n.a.")</f>
        <v>83.412999999999997</v>
      </c>
      <c r="N61" s="3383">
        <f>IF(ISNUMBER(Sector1!N141),Sector1!N141,"n.a.")</f>
        <v>67.427999999999997</v>
      </c>
      <c r="O61" s="3383">
        <f>IF(ISNUMBER(Sector1!O141),Sector1!O141,"n.a.")</f>
        <v>58.621000000000002</v>
      </c>
      <c r="P61" s="3383">
        <f>IF(ISNUMBER(Sector1!P141),Sector1!P141,"n.a.")</f>
        <v>60.526000000000003</v>
      </c>
      <c r="Q61" s="3383">
        <f>IF(ISNUMBER(Sector1!Q141),Sector1!Q141,"n.a.")</f>
        <v>76.503</v>
      </c>
      <c r="R61" s="3383">
        <f>IF(ISNUMBER(Sector1!R141),Sector1!R141,"n.a.")</f>
        <v>111.84099999999999</v>
      </c>
      <c r="S61" s="3383">
        <f>IF(ISNUMBER(Sector1!S141),Sector1!S141,"n.a.")</f>
        <v>123.514</v>
      </c>
      <c r="T61" s="3383">
        <f>IF(ISNUMBER(Sector1!T141),Sector1!T141,"n.a.")</f>
        <v>148.03200000000001</v>
      </c>
      <c r="U61" s="3383">
        <f>IF(ISNUMBER(Sector1!U141),Sector1!U141,"n.a.")</f>
        <v>130.76499999999999</v>
      </c>
      <c r="V61" s="3383">
        <f>IF(ISNUMBER(Sector1!V141),Sector1!V141,"n.a.")</f>
        <v>188.49600000000001</v>
      </c>
      <c r="W61" s="3383">
        <f>IF(ISNUMBER(Sector1!W141),Sector1!W141,"n.a.")</f>
        <v>187.17</v>
      </c>
      <c r="X61" s="3383">
        <f>IF(ISNUMBER(Sector1!X141),Sector1!X141,"n.a.")</f>
        <v>191.292</v>
      </c>
      <c r="Y61" s="3383">
        <f>IF(ISNUMBER(Sector1!Y141),Sector1!Y141,"n.a.")</f>
        <v>197.952</v>
      </c>
      <c r="Z61" s="3383">
        <f>IF(ISNUMBER(Sector1!Z141),Sector1!Z141,"n.a.")</f>
        <v>247.53299999999999</v>
      </c>
      <c r="AA61" s="3383">
        <f>IF(ISNUMBER(Sector1!AA141),Sector1!AA141,"n.a.")</f>
        <v>261.90600000000001</v>
      </c>
      <c r="AB61" s="3383">
        <f>IF(ISNUMBER(Sector1!AB141),Sector1!AB141,"n.a.")</f>
        <v>309.34100000000001</v>
      </c>
      <c r="AC61" s="3383">
        <f>IF(ISNUMBER(Sector1!AC141),Sector1!AC141,"n.a.")</f>
        <v>297.733</v>
      </c>
      <c r="AD61" s="3383">
        <f ca="1">IF(ISNUMBER(Sector1!AD141),Sector1!AD141,"n.a.")</f>
        <v>309.61443096784745</v>
      </c>
      <c r="AE61" s="3383">
        <f ca="1">IF(ISNUMBER(Sector1!AE141),Sector1!AE141,"n.a.")</f>
        <v>322.09475333787179</v>
      </c>
      <c r="AF61" s="3383">
        <f ca="1">IF(ISNUMBER(Sector1!AF141),Sector1!AF141,"n.a.")</f>
        <v>341.08544438531953</v>
      </c>
      <c r="AG61"/>
      <c r="AH61"/>
      <c r="AI61"/>
      <c r="AJ61">
        <v>51</v>
      </c>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row>
    <row r="62" spans="1:159">
      <c r="A62" s="3383" t="str">
        <f t="shared" si="2"/>
        <v>\\DG ECFIN\Forecast\Country databases\Desk transfer databases\SE</v>
      </c>
      <c r="B62" s="3383" t="str">
        <f t="shared" si="3"/>
        <v>SE</v>
      </c>
      <c r="C62" s="3383" t="s">
        <v>2074</v>
      </c>
      <c r="D62" s="3383" t="s">
        <v>2128</v>
      </c>
      <c r="E62" s="3383" t="s">
        <v>2076</v>
      </c>
      <c r="F62" s="3383">
        <v>91</v>
      </c>
      <c r="G62" s="3383" t="s">
        <v>618</v>
      </c>
      <c r="H62" s="3383">
        <f>IF(ISNUMBER(Sector1!H709),Sector1!H709,"n.a.")</f>
        <v>482.15999999999997</v>
      </c>
      <c r="I62" s="3383">
        <f>IF(ISNUMBER(Sector1!I709),Sector1!I709,"n.a.")</f>
        <v>489.40300000000002</v>
      </c>
      <c r="J62" s="3383">
        <f>IF(ISNUMBER(Sector1!J709),Sector1!J709,"n.a.")</f>
        <v>495.57099999999997</v>
      </c>
      <c r="K62" s="3383">
        <f>IF(ISNUMBER(Sector1!K709),Sector1!K709,"n.a.")</f>
        <v>518.02800000000002</v>
      </c>
      <c r="L62" s="3383">
        <f>IF(ISNUMBER(Sector1!L709),Sector1!L709,"n.a.")</f>
        <v>541.76099999999997</v>
      </c>
      <c r="M62" s="3383">
        <f>IF(ISNUMBER(Sector1!M709),Sector1!M709,"n.a.")</f>
        <v>557.50400000000002</v>
      </c>
      <c r="N62" s="3383">
        <f>IF(ISNUMBER(Sector1!N709),Sector1!N709,"n.a.")</f>
        <v>565.47500000000002</v>
      </c>
      <c r="O62" s="3383">
        <f>IF(ISNUMBER(Sector1!O709),Sector1!O709,"n.a.")</f>
        <v>613.13199999999995</v>
      </c>
      <c r="P62" s="3383">
        <f>IF(ISNUMBER(Sector1!P709),Sector1!P709,"n.a.")</f>
        <v>637.26499999999999</v>
      </c>
      <c r="Q62" s="3383">
        <f>IF(ISNUMBER(Sector1!Q709),Sector1!Q709,"n.a.")</f>
        <v>656.61199999999997</v>
      </c>
      <c r="R62" s="3383">
        <f>IF(ISNUMBER(Sector1!R709),Sector1!R709,"n.a.")</f>
        <v>665.91600000000005</v>
      </c>
      <c r="S62" s="3383">
        <f>IF(ISNUMBER(Sector1!S709),Sector1!S709,"n.a.")</f>
        <v>665.37900000000002</v>
      </c>
      <c r="T62" s="3383">
        <f>IF(ISNUMBER(Sector1!T709),Sector1!T709,"n.a.")</f>
        <v>687.99399999999991</v>
      </c>
      <c r="U62" s="3383">
        <f>IF(ISNUMBER(Sector1!U709),Sector1!U709,"n.a.")</f>
        <v>727.53499999999997</v>
      </c>
      <c r="V62" s="3383">
        <f>IF(ISNUMBER(Sector1!V709),Sector1!V709,"n.a.")</f>
        <v>733.96500000000003</v>
      </c>
      <c r="W62" s="3383">
        <f>IF(ISNUMBER(Sector1!W709),Sector1!W709,"n.a.")</f>
        <v>741.779</v>
      </c>
      <c r="X62" s="3383">
        <f>IF(ISNUMBER(Sector1!X709),Sector1!X709,"n.a.")</f>
        <v>773.84</v>
      </c>
      <c r="Y62" s="3383">
        <f>IF(ISNUMBER(Sector1!Y709),Sector1!Y709,"n.a.")</f>
        <v>811.65699999999993</v>
      </c>
      <c r="Z62" s="3383">
        <f>IF(ISNUMBER(Sector1!Z709),Sector1!Z709,"n.a.")</f>
        <v>821.83999999999992</v>
      </c>
      <c r="AA62" s="3383">
        <f>IF(ISNUMBER(Sector1!AA709),Sector1!AA709,"n.a.")</f>
        <v>851.13800000000003</v>
      </c>
      <c r="AB62" s="3383">
        <f>IF(ISNUMBER(Sector1!AB709),Sector1!AB709,"n.a.")</f>
        <v>880.58699999999999</v>
      </c>
      <c r="AC62" s="3383">
        <f>IF(ISNUMBER(Sector1!AC709),Sector1!AC709,"n.a.")</f>
        <v>907.50199999999995</v>
      </c>
      <c r="AD62" s="3383">
        <f>IF(ISNUMBER(Sector1!AD709),Sector1!AD709,"n.a.")</f>
        <v>941.67197449999992</v>
      </c>
      <c r="AE62" s="3383">
        <f>IF(ISNUMBER(Sector1!AE709),Sector1!AE709,"n.a.")</f>
        <v>959.9048601715001</v>
      </c>
      <c r="AF62" s="3383">
        <f>IF(ISNUMBER(Sector1!AF709),Sector1!AF709,"n.a.")</f>
        <v>981.65581115624582</v>
      </c>
      <c r="AG62"/>
      <c r="AH62"/>
      <c r="AI62"/>
      <c r="AJ62">
        <v>52</v>
      </c>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row>
    <row r="63" spans="1:159">
      <c r="A63" s="3383" t="str">
        <f t="shared" si="2"/>
        <v>\\DG ECFIN\Forecast\Country databases\Desk transfer databases\SE</v>
      </c>
      <c r="B63" s="3383" t="str">
        <f t="shared" si="3"/>
        <v>SE</v>
      </c>
      <c r="C63" s="3383" t="s">
        <v>2074</v>
      </c>
      <c r="D63" s="3383" t="s">
        <v>2129</v>
      </c>
      <c r="E63" s="3383" t="s">
        <v>2076</v>
      </c>
      <c r="F63" s="3383">
        <v>92</v>
      </c>
      <c r="G63" s="3383" t="s">
        <v>1564</v>
      </c>
      <c r="H63" s="3383">
        <f>IF(ISNUMBER(Sector1!H199),Sector1!H199,"n.a.")</f>
        <v>335.00900000000001</v>
      </c>
      <c r="I63" s="3383">
        <f>IF(ISNUMBER(Sector1!I199),Sector1!I199,"n.a.")</f>
        <v>352.20699999999999</v>
      </c>
      <c r="J63" s="3383">
        <f>IF(ISNUMBER(Sector1!J199),Sector1!J199,"n.a.")</f>
        <v>370.53399999999999</v>
      </c>
      <c r="K63" s="3383">
        <f>IF(ISNUMBER(Sector1!K199),Sector1!K199,"n.a.")</f>
        <v>397.29500000000002</v>
      </c>
      <c r="L63" s="3383">
        <f>IF(ISNUMBER(Sector1!L199),Sector1!L199,"n.a.")</f>
        <v>424.87599999999998</v>
      </c>
      <c r="M63" s="3383">
        <f>IF(ISNUMBER(Sector1!M199),Sector1!M199,"n.a.")</f>
        <v>425.55099999999999</v>
      </c>
      <c r="N63" s="3383">
        <f>IF(ISNUMBER(Sector1!N199),Sector1!N199,"n.a.")</f>
        <v>426.35599999999999</v>
      </c>
      <c r="O63" s="3383">
        <f>IF(ISNUMBER(Sector1!O199),Sector1!O199,"n.a.")</f>
        <v>455.96100000000001</v>
      </c>
      <c r="P63" s="3383">
        <f>IF(ISNUMBER(Sector1!P199),Sector1!P199,"n.a.")</f>
        <v>478.05500000000001</v>
      </c>
      <c r="Q63" s="3383">
        <f>IF(ISNUMBER(Sector1!Q199),Sector1!Q199,"n.a.")</f>
        <v>511.209</v>
      </c>
      <c r="R63" s="3383">
        <f>IF(ISNUMBER(Sector1!R199),Sector1!R199,"n.a.")</f>
        <v>549.89200000000005</v>
      </c>
      <c r="S63" s="3383">
        <f>IF(ISNUMBER(Sector1!S199),Sector1!S199,"n.a.")</f>
        <v>549.12599999999998</v>
      </c>
      <c r="T63" s="3383">
        <f>IF(ISNUMBER(Sector1!T199),Sector1!T199,"n.a.")</f>
        <v>549.43600000000004</v>
      </c>
      <c r="U63" s="3383">
        <f>IF(ISNUMBER(Sector1!U199),Sector1!U199,"n.a.")</f>
        <v>525.36400000000003</v>
      </c>
      <c r="V63" s="3383">
        <f>IF(ISNUMBER(Sector1!V199),Sector1!V199,"n.a.")</f>
        <v>533.44200000000001</v>
      </c>
      <c r="W63" s="3383">
        <f>IF(ISNUMBER(Sector1!W199),Sector1!W199,"n.a.")</f>
        <v>539.279</v>
      </c>
      <c r="X63" s="3383">
        <f>IF(ISNUMBER(Sector1!X199),Sector1!X199,"n.a.")</f>
        <v>554.35699999999997</v>
      </c>
      <c r="Y63" s="3383">
        <f>IF(ISNUMBER(Sector1!Y199),Sector1!Y199,"n.a.")</f>
        <v>573.54200000000003</v>
      </c>
      <c r="Z63" s="3383">
        <f>IF(ISNUMBER(Sector1!Z199),Sector1!Z199,"n.a.")</f>
        <v>601.96199999999999</v>
      </c>
      <c r="AA63" s="3383">
        <f>IF(ISNUMBER(Sector1!AA199),Sector1!AA199,"n.a.")</f>
        <v>650.73299999999995</v>
      </c>
      <c r="AB63" s="3383">
        <f>IF(ISNUMBER(Sector1!AB199),Sector1!AB199,"n.a.")</f>
        <v>700.55200000000002</v>
      </c>
      <c r="AC63" s="3383">
        <f>IF(ISNUMBER(Sector1!AC199),Sector1!AC199,"n.a.")</f>
        <v>735.09299999999996</v>
      </c>
      <c r="AD63" s="3383">
        <f>IF(ISNUMBER(Sector1!AD199),Sector1!AD199,"n.a.")</f>
        <v>756.57994268260916</v>
      </c>
      <c r="AE63" s="3383">
        <f>IF(ISNUMBER(Sector1!AE199),Sector1!AE199,"n.a.")</f>
        <v>780.90266659148301</v>
      </c>
      <c r="AF63" s="3383">
        <f>IF(ISNUMBER(Sector1!AF199),Sector1!AF199,"n.a.")</f>
        <v>803.35586821466859</v>
      </c>
      <c r="AG63"/>
      <c r="AH63"/>
      <c r="AI63"/>
      <c r="AJ63">
        <v>53</v>
      </c>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row>
    <row r="64" spans="1:159">
      <c r="A64" s="3383" t="str">
        <f t="shared" si="2"/>
        <v>\\DG ECFIN\Forecast\Country databases\Desk transfer databases\SE</v>
      </c>
      <c r="B64" s="3383" t="str">
        <f t="shared" si="3"/>
        <v>SE</v>
      </c>
      <c r="C64" s="3383" t="s">
        <v>2074</v>
      </c>
      <c r="D64" s="3383" t="s">
        <v>2130</v>
      </c>
      <c r="E64" s="3383" t="s">
        <v>2076</v>
      </c>
      <c r="F64" s="3383">
        <v>93</v>
      </c>
      <c r="G64" s="3383" t="s">
        <v>1566</v>
      </c>
      <c r="H64" s="3383">
        <f>IF(ISNUMBER(Sector1!H715),Sector1!H715,"n.a.")</f>
        <v>288.87299999999999</v>
      </c>
      <c r="I64" s="3383">
        <f>IF(ISNUMBER(Sector1!I715),Sector1!I715,"n.a.")</f>
        <v>305.60199999999998</v>
      </c>
      <c r="J64" s="3383">
        <f>IF(ISNUMBER(Sector1!J715),Sector1!J715,"n.a.")</f>
        <v>277.23200000000003</v>
      </c>
      <c r="K64" s="3383">
        <f>IF(ISNUMBER(Sector1!K715),Sector1!K715,"n.a.")</f>
        <v>283.63499999999999</v>
      </c>
      <c r="L64" s="3383">
        <f>IF(ISNUMBER(Sector1!L715),Sector1!L715,"n.a.")</f>
        <v>342.858</v>
      </c>
      <c r="M64" s="3383">
        <f>IF(ISNUMBER(Sector1!M715),Sector1!M715,"n.a.")</f>
        <v>335.85199999999998</v>
      </c>
      <c r="N64" s="3383">
        <f>IF(ISNUMBER(Sector1!N715),Sector1!N715,"n.a.")</f>
        <v>323.697</v>
      </c>
      <c r="O64" s="3383">
        <f>IF(ISNUMBER(Sector1!O715),Sector1!O715,"n.a.")</f>
        <v>345.35699999999997</v>
      </c>
      <c r="P64" s="3383">
        <f>IF(ISNUMBER(Sector1!P715),Sector1!P715,"n.a.")</f>
        <v>361.51900000000001</v>
      </c>
      <c r="Q64" s="3383">
        <f>IF(ISNUMBER(Sector1!Q715),Sector1!Q715,"n.a.")</f>
        <v>365.41899999999998</v>
      </c>
      <c r="R64" s="3383">
        <f>IF(ISNUMBER(Sector1!R715),Sector1!R715,"n.a.")</f>
        <v>371.10299999999995</v>
      </c>
      <c r="S64" s="3383">
        <f>IF(ISNUMBER(Sector1!S715),Sector1!S715,"n.a.")</f>
        <v>414.37200000000001</v>
      </c>
      <c r="T64" s="3383">
        <f>IF(ISNUMBER(Sector1!T715),Sector1!T715,"n.a.")</f>
        <v>431.92699999999996</v>
      </c>
      <c r="U64" s="3383">
        <f>IF(ISNUMBER(Sector1!U715),Sector1!U715,"n.a.")</f>
        <v>406.25099999999998</v>
      </c>
      <c r="V64" s="3383">
        <f>IF(ISNUMBER(Sector1!V715),Sector1!V715,"n.a.")</f>
        <v>453.03800000000001</v>
      </c>
      <c r="W64" s="3383">
        <f>IF(ISNUMBER(Sector1!W715),Sector1!W715,"n.a.")</f>
        <v>460.68900000000008</v>
      </c>
      <c r="X64" s="3383">
        <f>IF(ISNUMBER(Sector1!X715),Sector1!X715,"n.a.")</f>
        <v>464.48899999999998</v>
      </c>
      <c r="Y64" s="3383">
        <f>IF(ISNUMBER(Sector1!Y715),Sector1!Y715,"n.a.")</f>
        <v>486.07899999999995</v>
      </c>
      <c r="Z64" s="3383">
        <f>IF(ISNUMBER(Sector1!Z715),Sector1!Z715,"n.a.")</f>
        <v>517.51700000000005</v>
      </c>
      <c r="AA64" s="3383">
        <f>IF(ISNUMBER(Sector1!AA715),Sector1!AA715,"n.a.")</f>
        <v>517.53899999999999</v>
      </c>
      <c r="AB64" s="3383">
        <f>IF(ISNUMBER(Sector1!AB715),Sector1!AB715,"n.a.")</f>
        <v>544.33699999999999</v>
      </c>
      <c r="AC64" s="3383">
        <f>IF(ISNUMBER(Sector1!AC715),Sector1!AC715,"n.a.")</f>
        <v>550.97800000000007</v>
      </c>
      <c r="AD64" s="3383">
        <f>IF(ISNUMBER(Sector1!AD715),Sector1!AD715,"n.a.")</f>
        <v>572.10992206435515</v>
      </c>
      <c r="AE64" s="3383">
        <f>IF(ISNUMBER(Sector1!AE715),Sector1!AE715,"n.a.")</f>
        <v>591.09704641792268</v>
      </c>
      <c r="AF64" s="3383">
        <f>IF(ISNUMBER(Sector1!AF715),Sector1!AF715,"n.a.")</f>
        <v>612.20191232993625</v>
      </c>
      <c r="AG64"/>
      <c r="AH64"/>
      <c r="AI64"/>
      <c r="AJ64">
        <v>54</v>
      </c>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row>
    <row r="65" spans="1:159">
      <c r="A65" s="3383" t="str">
        <f t="shared" si="2"/>
        <v>\\DG ECFIN\Forecast\Country databases\Desk transfer databases\SE</v>
      </c>
      <c r="B65" s="3383" t="str">
        <f t="shared" si="3"/>
        <v>SE</v>
      </c>
      <c r="C65" s="3383" t="s">
        <v>2074</v>
      </c>
      <c r="D65" s="3383" t="s">
        <v>2131</v>
      </c>
      <c r="E65" s="3383" t="s">
        <v>2076</v>
      </c>
      <c r="F65" s="3383">
        <v>94</v>
      </c>
      <c r="G65" s="3383" t="s">
        <v>1568</v>
      </c>
      <c r="H65" s="3383">
        <f>IF(ISNUMBER(Sector1!H394),Sector1!H394,"n.a.")</f>
        <v>54.634</v>
      </c>
      <c r="I65" s="3383">
        <f>IF(ISNUMBER(Sector1!I394),Sector1!I394,"n.a.")</f>
        <v>56.686</v>
      </c>
      <c r="J65" s="3383">
        <f>IF(ISNUMBER(Sector1!J394),Sector1!J394,"n.a.")</f>
        <v>66.046999999999997</v>
      </c>
      <c r="K65" s="3383">
        <f>IF(ISNUMBER(Sector1!K394),Sector1!K394,"n.a.")</f>
        <v>73.248000000000005</v>
      </c>
      <c r="L65" s="3383">
        <f>IF(ISNUMBER(Sector1!L394),Sector1!L394,"n.a.")</f>
        <v>97.132999999999996</v>
      </c>
      <c r="M65" s="3383">
        <f>IF(ISNUMBER(Sector1!M394),Sector1!M394,"n.a.")</f>
        <v>100.05200000000001</v>
      </c>
      <c r="N65" s="3383">
        <f>IF(ISNUMBER(Sector1!N394),Sector1!N394,"n.a.")</f>
        <v>96.21</v>
      </c>
      <c r="O65" s="3383">
        <f>IF(ISNUMBER(Sector1!O394),Sector1!O394,"n.a.")</f>
        <v>105.44199999999999</v>
      </c>
      <c r="P65" s="3383">
        <f>IF(ISNUMBER(Sector1!P394),Sector1!P394,"n.a.")</f>
        <v>108.31</v>
      </c>
      <c r="Q65" s="3383">
        <f>IF(ISNUMBER(Sector1!Q394),Sector1!Q394,"n.a.")</f>
        <v>105.84399999999999</v>
      </c>
      <c r="R65" s="3383">
        <f>IF(ISNUMBER(Sector1!R394),Sector1!R394,"n.a.")</f>
        <v>114.54300000000001</v>
      </c>
      <c r="S65" s="3383">
        <f>IF(ISNUMBER(Sector1!S394),Sector1!S394,"n.a.")</f>
        <v>137.95400000000001</v>
      </c>
      <c r="T65" s="3383">
        <f>IF(ISNUMBER(Sector1!T394),Sector1!T394,"n.a.")</f>
        <v>139.14599999999999</v>
      </c>
      <c r="U65" s="3383">
        <f>IF(ISNUMBER(Sector1!U394),Sector1!U394,"n.a.")</f>
        <v>105.899</v>
      </c>
      <c r="V65" s="3383">
        <f>IF(ISNUMBER(Sector1!V394),Sector1!V394,"n.a.")</f>
        <v>148.172</v>
      </c>
      <c r="W65" s="3383">
        <f>IF(ISNUMBER(Sector1!W394),Sector1!W394,"n.a.")</f>
        <v>144.63300000000001</v>
      </c>
      <c r="X65" s="3383">
        <f>IF(ISNUMBER(Sector1!X394),Sector1!X394,"n.a.")</f>
        <v>137.23400000000001</v>
      </c>
      <c r="Y65" s="3383">
        <f>IF(ISNUMBER(Sector1!Y394),Sector1!Y394,"n.a.")</f>
        <v>145.17699999999999</v>
      </c>
      <c r="Z65" s="3383">
        <f>IF(ISNUMBER(Sector1!Z394),Sector1!Z394,"n.a.")</f>
        <v>173.27</v>
      </c>
      <c r="AA65" s="3383">
        <f>IF(ISNUMBER(Sector1!AA394),Sector1!AA394,"n.a.")</f>
        <v>155.70699999999999</v>
      </c>
      <c r="AB65" s="3383">
        <f>IF(ISNUMBER(Sector1!AB394),Sector1!AB394,"n.a.")</f>
        <v>172.18100000000001</v>
      </c>
      <c r="AC65" s="3383">
        <f>IF(ISNUMBER(Sector1!AC394),Sector1!AC394,"n.a.")</f>
        <v>159.636</v>
      </c>
      <c r="AD65" s="3383">
        <f>IF(ISNUMBER(Sector1!AD394),Sector1!AD394,"n.a.")</f>
        <v>163.22351999999998</v>
      </c>
      <c r="AE65" s="3383">
        <f>IF(ISNUMBER(Sector1!AE394),Sector1!AE394,"n.a.")</f>
        <v>166.95837599999999</v>
      </c>
      <c r="AF65" s="3383">
        <f>IF(ISNUMBER(Sector1!AF394),Sector1!AF394,"n.a.")</f>
        <v>170.79615225599997</v>
      </c>
      <c r="AG65"/>
      <c r="AH65"/>
      <c r="AI65"/>
      <c r="AJ65">
        <v>55</v>
      </c>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row>
    <row r="66" spans="1:159">
      <c r="A66" s="3383" t="str">
        <f t="shared" si="2"/>
        <v>\\DG ECFIN\Forecast\Country databases\Desk transfer databases\SE</v>
      </c>
      <c r="B66" s="3383" t="str">
        <f t="shared" si="3"/>
        <v>SE</v>
      </c>
      <c r="C66" s="3383" t="s">
        <v>2074</v>
      </c>
      <c r="D66" s="3383" t="s">
        <v>2132</v>
      </c>
      <c r="E66" s="3383" t="s">
        <v>2076</v>
      </c>
      <c r="F66" s="3383">
        <v>95</v>
      </c>
      <c r="G66" s="3383" t="s">
        <v>1569</v>
      </c>
      <c r="H66" s="3383">
        <f>IF(ISNUMBER('VVP2'!H185),'VVP2'!H185,"n.a.")</f>
        <v>918.23099999999999</v>
      </c>
      <c r="I66" s="3383">
        <f>IF(ISNUMBER('VVP2'!I185),'VVP2'!I185,"n.a.")</f>
        <v>957.61099999999999</v>
      </c>
      <c r="J66" s="3383">
        <f>IF(ISNUMBER('VVP2'!J185),'VVP2'!J185,"n.a.")</f>
        <v>993.73400000000004</v>
      </c>
      <c r="K66" s="3383">
        <f>IF(ISNUMBER('VVP2'!K185),'VVP2'!K185,"n.a.")</f>
        <v>1049.0340000000001</v>
      </c>
      <c r="L66" s="3383">
        <f>IF(ISNUMBER('VVP2'!L185),'VVP2'!L185,"n.a.")</f>
        <v>1114.962</v>
      </c>
      <c r="M66" s="3383">
        <f>IF(ISNUMBER('VVP2'!M185),'VVP2'!M185,"n.a.")</f>
        <v>1147.2829999999999</v>
      </c>
      <c r="N66" s="3383">
        <f>IF(ISNUMBER('VVP2'!N185),'VVP2'!N185,"n.a.")</f>
        <v>1194.174</v>
      </c>
      <c r="O66" s="3383">
        <f>IF(ISNUMBER('VVP2'!O185),'VVP2'!O185,"n.a.")</f>
        <v>1241.623</v>
      </c>
      <c r="P66" s="3383">
        <f>IF(ISNUMBER('VVP2'!P185),'VVP2'!P185,"n.a.")</f>
        <v>1286.19</v>
      </c>
      <c r="Q66" s="3383">
        <f>IF(ISNUMBER('VVP2'!Q185),'VVP2'!Q185,"n.a.")</f>
        <v>1336.4490000000001</v>
      </c>
      <c r="R66" s="3383">
        <f>IF(ISNUMBER('VVP2'!R185),'VVP2'!R185,"n.a.")</f>
        <v>1388.6759999999999</v>
      </c>
      <c r="S66" s="3383">
        <f>IF(ISNUMBER('VVP2'!S185),'VVP2'!S185,"n.a.")</f>
        <v>1462.213</v>
      </c>
      <c r="T66" s="3383">
        <f>IF(ISNUMBER('VVP2'!T185),'VVP2'!T185,"n.a.")</f>
        <v>1511.3030000000001</v>
      </c>
      <c r="U66" s="3383">
        <f>IF(ISNUMBER('VVP2'!U185),'VVP2'!U185,"n.a.")</f>
        <v>1550.3869999999999</v>
      </c>
      <c r="V66" s="3383">
        <f>IF(ISNUMBER('VVP2'!V185),'VVP2'!V185,"n.a.")</f>
        <v>1634.64</v>
      </c>
      <c r="W66" s="3383">
        <f>IF(ISNUMBER('VVP2'!W185),'VVP2'!W185,"n.a.")</f>
        <v>1692.895</v>
      </c>
      <c r="X66" s="3383">
        <f>IF(ISNUMBER('VVP2'!X185),'VVP2'!X185,"n.a.")</f>
        <v>1715.028</v>
      </c>
      <c r="Y66" s="3383">
        <f>IF(ISNUMBER('VVP2'!Y185),'VVP2'!Y185,"n.a.")</f>
        <v>1759.307</v>
      </c>
      <c r="Z66" s="3383">
        <f>IF(ISNUMBER('VVP2'!Z185),'VVP2'!Z185,"n.a.")</f>
        <v>1816.1790000000001</v>
      </c>
      <c r="AA66" s="3383">
        <f>IF(ISNUMBER('VVP2'!AA185),'VVP2'!AA185,"n.a.")</f>
        <v>1889.1010000000001</v>
      </c>
      <c r="AB66" s="3383">
        <f>IF(ISNUMBER('VVP2'!AB185),'VVP2'!AB185,"n.a.")</f>
        <v>1962.61</v>
      </c>
      <c r="AC66" s="3383">
        <f>IF(ISNUMBER('VVP2'!AC185),'VVP2'!AC185,"n.a.")</f>
        <v>2040.8019999999999</v>
      </c>
      <c r="AD66" s="3383">
        <f ca="1">IF(ISNUMBER('VVP2'!AD185),'VVP2'!AD185,"n.a.")</f>
        <v>2125.3075292159997</v>
      </c>
      <c r="AE66" s="3383">
        <f ca="1">IF(ISNUMBER('VVP2'!AE185),'VVP2'!AE185,"n.a.")</f>
        <v>2211.7992569557268</v>
      </c>
      <c r="AF66" s="3383">
        <f ca="1">IF(ISNUMBER('VVP2'!AF185),'VVP2'!AF185,"n.a.")</f>
        <v>2298.8954880961292</v>
      </c>
      <c r="AG66"/>
      <c r="AH66"/>
      <c r="AI66"/>
      <c r="AJ66">
        <v>56</v>
      </c>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row>
    <row r="67" spans="1:159">
      <c r="A67" s="3383" t="str">
        <f t="shared" si="2"/>
        <v>\\DG ECFIN\Forecast\Country databases\Desk transfer databases\SE</v>
      </c>
      <c r="B67" s="3383" t="str">
        <f t="shared" si="3"/>
        <v>SE</v>
      </c>
      <c r="C67" s="3383" t="s">
        <v>2074</v>
      </c>
      <c r="D67" s="3383" t="s">
        <v>2133</v>
      </c>
      <c r="E67" s="3383" t="s">
        <v>2076</v>
      </c>
      <c r="F67" s="3383">
        <v>96</v>
      </c>
      <c r="G67" s="3383" t="s">
        <v>1570</v>
      </c>
      <c r="H67" s="3383">
        <f>IF(ISNUMBER(Sector1!H720),Sector1!H720,"n.a.")</f>
        <v>33.395000000000003</v>
      </c>
      <c r="I67" s="3383">
        <f>IF(ISNUMBER(Sector1!I720),Sector1!I720,"n.a.")</f>
        <v>35.270000000000003</v>
      </c>
      <c r="J67" s="3383">
        <f>IF(ISNUMBER(Sector1!J720),Sector1!J720,"n.a.")</f>
        <v>41.148999999999994</v>
      </c>
      <c r="K67" s="3383">
        <f>IF(ISNUMBER(Sector1!K720),Sector1!K720,"n.a.")</f>
        <v>46.564999999999998</v>
      </c>
      <c r="L67" s="3383">
        <f>IF(ISNUMBER(Sector1!L720),Sector1!L720,"n.a.")</f>
        <v>51.954000000000001</v>
      </c>
      <c r="M67" s="3383">
        <f>IF(ISNUMBER(Sector1!M720),Sector1!M720,"n.a.")</f>
        <v>54.991</v>
      </c>
      <c r="N67" s="3383">
        <f>IF(ISNUMBER(Sector1!N720),Sector1!N720,"n.a.")</f>
        <v>61.7</v>
      </c>
      <c r="O67" s="3383">
        <f>IF(ISNUMBER(Sector1!O720),Sector1!O720,"n.a.")</f>
        <v>69.350999999999999</v>
      </c>
      <c r="P67" s="3383">
        <f>IF(ISNUMBER(Sector1!P720),Sector1!P720,"n.a.")</f>
        <v>80.082999999999998</v>
      </c>
      <c r="Q67" s="3383">
        <f>IF(ISNUMBER(Sector1!Q720),Sector1!Q720,"n.a.")</f>
        <v>83.036000000000001</v>
      </c>
      <c r="R67" s="3383">
        <f>IF(ISNUMBER(Sector1!R720),Sector1!R720,"n.a.")</f>
        <v>97.052999999999997</v>
      </c>
      <c r="S67" s="3383">
        <f>IF(ISNUMBER(Sector1!S720),Sector1!S720,"n.a.")</f>
        <v>109.27199999999999</v>
      </c>
      <c r="T67" s="3383">
        <f>IF(ISNUMBER(Sector1!T720),Sector1!T720,"n.a.")</f>
        <v>106.488</v>
      </c>
      <c r="U67" s="3383">
        <f>IF(ISNUMBER(Sector1!U720),Sector1!U720,"n.a.")</f>
        <v>94.644999999999996</v>
      </c>
      <c r="V67" s="3383">
        <f>IF(ISNUMBER(Sector1!V720),Sector1!V720,"n.a.")</f>
        <v>109.128</v>
      </c>
      <c r="W67" s="3383">
        <f>IF(ISNUMBER(Sector1!W720),Sector1!W720,"n.a.")</f>
        <v>107.887</v>
      </c>
      <c r="X67" s="3383">
        <f>IF(ISNUMBER(Sector1!X720),Sector1!X720,"n.a.")</f>
        <v>93.727999999999994</v>
      </c>
      <c r="Y67" s="3383">
        <f>IF(ISNUMBER(Sector1!Y720),Sector1!Y720,"n.a.")</f>
        <v>96.295000000000002</v>
      </c>
      <c r="Z67" s="3383">
        <f>IF(ISNUMBER(Sector1!Z720),Sector1!Z720,"n.a.")</f>
        <v>100.354</v>
      </c>
      <c r="AA67" s="3383">
        <f>IF(ISNUMBER(Sector1!AA720),Sector1!AA720,"n.a.")</f>
        <v>129.53200000000001</v>
      </c>
      <c r="AB67" s="3383">
        <f>IF(ISNUMBER(Sector1!AB720),Sector1!AB720,"n.a.")</f>
        <v>146.267</v>
      </c>
      <c r="AC67" s="3383">
        <f>IF(ISNUMBER(Sector1!AC720),Sector1!AC720,"n.a.")</f>
        <v>158.58800000000002</v>
      </c>
      <c r="AD67" s="3383">
        <f ca="1">IF(ISNUMBER(Sector1!AD720),Sector1!AD720,"n.a.")</f>
        <v>167.94032000000004</v>
      </c>
      <c r="AE67" s="3383">
        <f ca="1">IF(ISNUMBER(Sector1!AE720),Sector1!AE720,"n.a.")</f>
        <v>173.10075964000004</v>
      </c>
      <c r="AF67" s="3383">
        <f ca="1">IF(ISNUMBER(Sector1!AF720),Sector1!AF720,"n.a.")</f>
        <v>176.90049917288005</v>
      </c>
      <c r="AG67"/>
      <c r="AH67"/>
      <c r="AI67"/>
      <c r="AJ67">
        <v>57</v>
      </c>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row>
    <row r="68" spans="1:159">
      <c r="A68" s="3383" t="str">
        <f t="shared" si="2"/>
        <v>\\DG ECFIN\Forecast\Country databases\Desk transfer databases\SE</v>
      </c>
      <c r="B68" s="3383" t="str">
        <f t="shared" si="3"/>
        <v>SE</v>
      </c>
      <c r="C68" s="3383" t="s">
        <v>2074</v>
      </c>
      <c r="D68" s="3383" t="s">
        <v>2134</v>
      </c>
      <c r="E68" s="3383" t="s">
        <v>2076</v>
      </c>
      <c r="F68" s="3383">
        <v>97</v>
      </c>
      <c r="G68" s="3383" t="s">
        <v>1572</v>
      </c>
      <c r="H68" s="3383">
        <f>IF(ISNUMBER(Sector1!H725),Sector1!H725,"n.a.")</f>
        <v>2.1890000000000001</v>
      </c>
      <c r="I68" s="3383">
        <f>IF(ISNUMBER(Sector1!I725),Sector1!I725,"n.a.")</f>
        <v>2.7850000000000001</v>
      </c>
      <c r="J68" s="3383">
        <f>IF(ISNUMBER(Sector1!J725),Sector1!J725,"n.a.")</f>
        <v>2.835</v>
      </c>
      <c r="K68" s="3383">
        <f>IF(ISNUMBER(Sector1!K725),Sector1!K725,"n.a.")</f>
        <v>2.972</v>
      </c>
      <c r="L68" s="3383">
        <f>IF(ISNUMBER(Sector1!L725),Sector1!L725,"n.a.")</f>
        <v>4.4269999999999996</v>
      </c>
      <c r="M68" s="3383">
        <f>IF(ISNUMBER(Sector1!M725),Sector1!M725,"n.a.")</f>
        <v>4.0869999999999997</v>
      </c>
      <c r="N68" s="3383">
        <f>IF(ISNUMBER(Sector1!N725),Sector1!N725,"n.a.")</f>
        <v>4.2789999999999999</v>
      </c>
      <c r="O68" s="3383">
        <f>IF(ISNUMBER(Sector1!O725),Sector1!O725,"n.a.")</f>
        <v>5.34</v>
      </c>
      <c r="P68" s="3383">
        <f>IF(ISNUMBER(Sector1!P725),Sector1!P725,"n.a.")</f>
        <v>6.5139999999999993</v>
      </c>
      <c r="Q68" s="3383">
        <f>IF(ISNUMBER(Sector1!Q725),Sector1!Q725,"n.a.")</f>
        <v>5.6710000000000003</v>
      </c>
      <c r="R68" s="3383">
        <f>IF(ISNUMBER(Sector1!R725),Sector1!R725,"n.a.")</f>
        <v>5.6769999999999996</v>
      </c>
      <c r="S68" s="3383">
        <f>IF(ISNUMBER(Sector1!S725),Sector1!S725,"n.a.")</f>
        <v>5.6239999999999997</v>
      </c>
      <c r="T68" s="3383">
        <f>IF(ISNUMBER(Sector1!T725),Sector1!T725,"n.a.")</f>
        <v>6.4539999999999997</v>
      </c>
      <c r="U68" s="3383">
        <f>IF(ISNUMBER(Sector1!U725),Sector1!U725,"n.a.")</f>
        <v>4.08</v>
      </c>
      <c r="V68" s="3383">
        <f>IF(ISNUMBER(Sector1!V725),Sector1!V725,"n.a.")</f>
        <v>5.0280000000000005</v>
      </c>
      <c r="W68" s="3383">
        <f>IF(ISNUMBER(Sector1!W725),Sector1!W725,"n.a.")</f>
        <v>5.1610000000000005</v>
      </c>
      <c r="X68" s="3383">
        <f>IF(ISNUMBER(Sector1!X725),Sector1!X725,"n.a.")</f>
        <v>3.8050000000000006</v>
      </c>
      <c r="Y68" s="3383">
        <f>IF(ISNUMBER(Sector1!Y725),Sector1!Y725,"n.a.")</f>
        <v>3.9869999999999997</v>
      </c>
      <c r="Z68" s="3383">
        <f>IF(ISNUMBER(Sector1!Z725),Sector1!Z725,"n.a.")</f>
        <v>5.1970000000000001</v>
      </c>
      <c r="AA68" s="3383">
        <f>IF(ISNUMBER(Sector1!AA725),Sector1!AA725,"n.a.")</f>
        <v>6.5760000000000005</v>
      </c>
      <c r="AB68" s="3383">
        <f>IF(ISNUMBER(Sector1!AB725),Sector1!AB725,"n.a.")</f>
        <v>8.1560000000000006</v>
      </c>
      <c r="AC68" s="3383">
        <f>IF(ISNUMBER(Sector1!AC725),Sector1!AC725,"n.a.")</f>
        <v>9.652000000000001</v>
      </c>
      <c r="AD68" s="3383">
        <f>IF(ISNUMBER(Sector1!AD725),Sector1!AD725,"n.a.")</f>
        <v>9.6394599999999997</v>
      </c>
      <c r="AE68" s="3383">
        <f>IF(ISNUMBER(Sector1!AE725),Sector1!AE725,"n.a.")</f>
        <v>9.6265438000000003</v>
      </c>
      <c r="AF68" s="3383">
        <f>IF(ISNUMBER(Sector1!AF725),Sector1!AF725,"n.a.")</f>
        <v>9.6132401139999999</v>
      </c>
      <c r="AG68"/>
      <c r="AH68"/>
      <c r="AI68"/>
      <c r="AJ68">
        <v>58</v>
      </c>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row>
    <row r="69" spans="1:159">
      <c r="A69" s="3383" t="str">
        <f t="shared" si="2"/>
        <v>\\DG ECFIN\Forecast\Country databases\Desk transfer databases\SE</v>
      </c>
      <c r="B69" s="3383" t="str">
        <f t="shared" si="3"/>
        <v>SE</v>
      </c>
      <c r="C69" s="3383" t="s">
        <v>2074</v>
      </c>
      <c r="D69" s="3383" t="s">
        <v>2135</v>
      </c>
      <c r="E69" s="3383" t="s">
        <v>2076</v>
      </c>
      <c r="F69" s="3383">
        <v>100</v>
      </c>
      <c r="G69" s="3383" t="s">
        <v>1573</v>
      </c>
      <c r="H69" s="3383">
        <f>IF(ISNUMBER(Sector1!H78),Sector1!H78,"n.a.")</f>
        <v>1138.105</v>
      </c>
      <c r="I69" s="3383">
        <f>IF(ISNUMBER(Sector1!I78),Sector1!I78,"n.a.")</f>
        <v>1208.4929999999999</v>
      </c>
      <c r="J69" s="3383">
        <f>IF(ISNUMBER(Sector1!J78),Sector1!J78,"n.a.")</f>
        <v>1280.3130000000001</v>
      </c>
      <c r="K69" s="3383">
        <f>IF(ISNUMBER(Sector1!K78),Sector1!K78,"n.a.")</f>
        <v>1361.9369999999999</v>
      </c>
      <c r="L69" s="3383">
        <f>IF(ISNUMBER(Sector1!L78),Sector1!L78,"n.a.")</f>
        <v>1463.9010000000001</v>
      </c>
      <c r="M69" s="3383">
        <f>IF(ISNUMBER(Sector1!M78),Sector1!M78,"n.a.")</f>
        <v>1516.7850000000001</v>
      </c>
      <c r="N69" s="3383">
        <f>IF(ISNUMBER(Sector1!N78),Sector1!N78,"n.a.")</f>
        <v>1558.423</v>
      </c>
      <c r="O69" s="3383">
        <f>IF(ISNUMBER(Sector1!O78),Sector1!O78,"n.a.")</f>
        <v>1618.0050000000001</v>
      </c>
      <c r="P69" s="3383">
        <f>IF(ISNUMBER(Sector1!P78),Sector1!P78,"n.a.")</f>
        <v>1715.3520000000001</v>
      </c>
      <c r="Q69" s="3383">
        <f>IF(ISNUMBER(Sector1!Q78),Sector1!Q78,"n.a.")</f>
        <v>1776.5709999999999</v>
      </c>
      <c r="R69" s="3383">
        <f>IF(ISNUMBER(Sector1!R78),Sector1!R78,"n.a.")</f>
        <v>1913.3309999999999</v>
      </c>
      <c r="S69" s="3383">
        <f>IF(ISNUMBER(Sector1!S78),Sector1!S78,"n.a.")</f>
        <v>2040.806</v>
      </c>
      <c r="T69" s="3383">
        <f>IF(ISNUMBER(Sector1!T78),Sector1!T78,"n.a.")</f>
        <v>2108.5520000000001</v>
      </c>
      <c r="U69" s="3383">
        <f>IF(ISNUMBER(Sector1!U78),Sector1!U78,"n.a.")</f>
        <v>2006.3009999999999</v>
      </c>
      <c r="V69" s="3383">
        <f>IF(ISNUMBER(Sector1!V78),Sector1!V78,"n.a.")</f>
        <v>2186.0219999999999</v>
      </c>
      <c r="W69" s="3383">
        <f>IF(ISNUMBER(Sector1!W78),Sector1!W78,"n.a.")</f>
        <v>2290.65</v>
      </c>
      <c r="X69" s="3383">
        <f>IF(ISNUMBER(Sector1!X78),Sector1!X78,"n.a.")</f>
        <v>2302.8330000000001</v>
      </c>
      <c r="Y69" s="3383">
        <f>IF(ISNUMBER(Sector1!Y78),Sector1!Y78,"n.a.")</f>
        <v>2357.261</v>
      </c>
      <c r="Z69" s="3383">
        <f>IF(ISNUMBER(Sector1!Z78),Sector1!Z78,"n.a.")</f>
        <v>2477.85</v>
      </c>
      <c r="AA69" s="3383">
        <f>IF(ISNUMBER(Sector1!AA78),Sector1!AA78,"n.a.")</f>
        <v>2673.3270000000002</v>
      </c>
      <c r="AB69" s="3383">
        <f>IF(ISNUMBER(Sector1!AB78),Sector1!AB78,"n.a.")</f>
        <v>2777.0720000000001</v>
      </c>
      <c r="AC69" s="3383">
        <f>IF(ISNUMBER(Sector1!AC78),Sector1!AC78,"n.a.")</f>
        <v>2894.855</v>
      </c>
      <c r="AD69" s="3383">
        <f ca="1">IF(ISNUMBER(Sector1!AD78),Sector1!AD78,"n.a.")</f>
        <v>3044.7155677528813</v>
      </c>
      <c r="AE69" s="3383">
        <f ca="1">IF(ISNUMBER(Sector1!AE78),Sector1!AE78,"n.a.")</f>
        <v>3157.6266520075574</v>
      </c>
      <c r="AF69" s="3383">
        <f ca="1">IF(ISNUMBER(Sector1!AF78),Sector1!AF78,"n.a.")</f>
        <v>3269.271878208453</v>
      </c>
      <c r="AG69"/>
      <c r="AH69"/>
      <c r="AI69"/>
      <c r="AJ69">
        <v>59</v>
      </c>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row>
    <row r="70" spans="1:159">
      <c r="A70" s="3383" t="str">
        <f t="shared" si="2"/>
        <v>\\DG ECFIN\Forecast\Country databases\Desk transfer databases\SE</v>
      </c>
      <c r="B70" s="3383" t="str">
        <f t="shared" si="3"/>
        <v>SE</v>
      </c>
      <c r="C70" s="3383" t="s">
        <v>2074</v>
      </c>
      <c r="D70" s="3383" t="s">
        <v>2136</v>
      </c>
      <c r="E70" s="3383" t="s">
        <v>2076</v>
      </c>
      <c r="F70" s="3383">
        <v>101</v>
      </c>
      <c r="G70" s="3383" t="s">
        <v>465</v>
      </c>
      <c r="H70" s="3383">
        <f>IF(ISNUMBER(Sector1!H47),Sector1!H47,"n.a.")</f>
        <v>41.468000000000004</v>
      </c>
      <c r="I70" s="3383">
        <f>IF(ISNUMBER(Sector1!I47),Sector1!I47,"n.a.")</f>
        <v>37.155000000000001</v>
      </c>
      <c r="J70" s="3383">
        <f>IF(ISNUMBER(Sector1!J47),Sector1!J47,"n.a.")</f>
        <v>30.326000000000001</v>
      </c>
      <c r="K70" s="3383">
        <f>IF(ISNUMBER(Sector1!K47),Sector1!K47,"n.a.")</f>
        <v>28.071999999999999</v>
      </c>
      <c r="L70" s="3383">
        <f>IF(ISNUMBER(Sector1!L47),Sector1!L47,"n.a.")</f>
        <v>24.157</v>
      </c>
      <c r="M70" s="3383">
        <f>IF(ISNUMBER(Sector1!M47),Sector1!M47,"n.a.")</f>
        <v>22.341999999999999</v>
      </c>
      <c r="N70" s="3383">
        <f>IF(ISNUMBER(Sector1!N47),Sector1!N47,"n.a.")</f>
        <v>24.106999999999999</v>
      </c>
      <c r="O70" s="3383">
        <f>IF(ISNUMBER(Sector1!O47),Sector1!O47,"n.a.")</f>
        <v>24.687000000000001</v>
      </c>
      <c r="P70" s="3383">
        <f>IF(ISNUMBER(Sector1!P47),Sector1!P47,"n.a.")</f>
        <v>23.748000000000001</v>
      </c>
      <c r="Q70" s="3383">
        <f>IF(ISNUMBER(Sector1!Q47),Sector1!Q47,"n.a.")</f>
        <v>27.552</v>
      </c>
      <c r="R70" s="3383">
        <f>IF(ISNUMBER(Sector1!R47),Sector1!R47,"n.a.")</f>
        <v>30.43</v>
      </c>
      <c r="S70" s="3383">
        <f>IF(ISNUMBER(Sector1!S47),Sector1!S47,"n.a.")</f>
        <v>29.704000000000001</v>
      </c>
      <c r="T70" s="3383">
        <f>IF(ISNUMBER(Sector1!T47),Sector1!T47,"n.a.")</f>
        <v>30.591999999999999</v>
      </c>
      <c r="U70" s="3383">
        <f>IF(ISNUMBER(Sector1!U47),Sector1!U47,"n.a.")</f>
        <v>31.597999999999999</v>
      </c>
      <c r="V70" s="3383">
        <f>IF(ISNUMBER(Sector1!V47),Sector1!V47,"n.a.")</f>
        <v>35.070999999999998</v>
      </c>
      <c r="W70" s="3383">
        <f>IF(ISNUMBER(Sector1!W47),Sector1!W47,"n.a.")</f>
        <v>38.466999999999999</v>
      </c>
      <c r="X70" s="3383">
        <f>IF(ISNUMBER(Sector1!X47),Sector1!X47,"n.a.")</f>
        <v>39.875999999999998</v>
      </c>
      <c r="Y70" s="3383">
        <f>IF(ISNUMBER(Sector1!Y47),Sector1!Y47,"n.a.")</f>
        <v>40.029000000000003</v>
      </c>
      <c r="Z70" s="3383">
        <f>IF(ISNUMBER(Sector1!Z47),Sector1!Z47,"n.a.")</f>
        <v>41.901000000000003</v>
      </c>
      <c r="AA70" s="3383">
        <f>IF(ISNUMBER(Sector1!AA47),Sector1!AA47,"n.a.")</f>
        <v>40.590000000000003</v>
      </c>
      <c r="AB70" s="3383">
        <f>IF(ISNUMBER(Sector1!AB47),Sector1!AB47,"n.a.")</f>
        <v>43.302999999999997</v>
      </c>
      <c r="AC70" s="3383">
        <f>IF(ISNUMBER(Sector1!AC47),Sector1!AC47,"n.a.")</f>
        <v>43.216999999999999</v>
      </c>
      <c r="AD70" s="3383">
        <f>IF(ISNUMBER(Sector1!AD47),Sector1!AD47,"n.a.")</f>
        <v>44.081339999999997</v>
      </c>
      <c r="AE70" s="3383">
        <f>IF(ISNUMBER(Sector1!AE47),Sector1!AE47,"n.a.")</f>
        <v>44.962966799999997</v>
      </c>
      <c r="AF70" s="3383">
        <f>IF(ISNUMBER(Sector1!AF47),Sector1!AF47,"n.a.")</f>
        <v>45.862226135999997</v>
      </c>
      <c r="AG70"/>
      <c r="AH70"/>
      <c r="AI70"/>
      <c r="AJ70">
        <v>60</v>
      </c>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row>
    <row r="71" spans="1:159">
      <c r="A71" s="3383" t="str">
        <f t="shared" si="2"/>
        <v>\\DG ECFIN\Forecast\Country databases\Desk transfer databases\SE</v>
      </c>
      <c r="B71" s="3383" t="str">
        <f t="shared" si="3"/>
        <v>SE</v>
      </c>
      <c r="C71" s="3383" t="s">
        <v>2074</v>
      </c>
      <c r="D71" s="3383" t="s">
        <v>2137</v>
      </c>
      <c r="E71" s="3383" t="s">
        <v>2076</v>
      </c>
      <c r="F71" s="3383">
        <v>102</v>
      </c>
      <c r="G71" s="3383" t="s">
        <v>466</v>
      </c>
      <c r="H71" s="3383">
        <f>IF(ISNUMBER(Sector1!H10),Sector1!H10,"n.a.")</f>
        <v>119.44499999999999</v>
      </c>
      <c r="I71" s="3383">
        <f>IF(ISNUMBER(Sector1!I10),Sector1!I10,"n.a.")</f>
        <v>122.917</v>
      </c>
      <c r="J71" s="3383">
        <f>IF(ISNUMBER(Sector1!J10),Sector1!J10,"n.a.")</f>
        <v>163.887</v>
      </c>
      <c r="K71" s="3383">
        <f>IF(ISNUMBER(Sector1!K10),Sector1!K10,"n.a.")</f>
        <v>173.87700000000001</v>
      </c>
      <c r="L71" s="3383">
        <f>IF(ISNUMBER(Sector1!L10),Sector1!L10,"n.a.")</f>
        <v>171.14699999999999</v>
      </c>
      <c r="M71" s="3383">
        <f>IF(ISNUMBER(Sector1!M10),Sector1!M10,"n.a.")</f>
        <v>180.20400000000001</v>
      </c>
      <c r="N71" s="3383">
        <f>IF(ISNUMBER(Sector1!N10),Sector1!N10,"n.a.")</f>
        <v>185.69399999999999</v>
      </c>
      <c r="O71" s="3383">
        <f>IF(ISNUMBER(Sector1!O10),Sector1!O10,"n.a.")</f>
        <v>187.74299999999999</v>
      </c>
      <c r="P71" s="3383">
        <f>IF(ISNUMBER(Sector1!P10),Sector1!P10,"n.a.")</f>
        <v>191.06299999999999</v>
      </c>
      <c r="Q71" s="3383">
        <f>IF(ISNUMBER(Sector1!Q10),Sector1!Q10,"n.a.")</f>
        <v>198.84899999999999</v>
      </c>
      <c r="R71" s="3383">
        <f>IF(ISNUMBER(Sector1!R10),Sector1!R10,"n.a.")</f>
        <v>207.423</v>
      </c>
      <c r="S71" s="3383">
        <f>IF(ISNUMBER(Sector1!S10),Sector1!S10,"n.a.")</f>
        <v>221.44300000000001</v>
      </c>
      <c r="T71" s="3383">
        <f>IF(ISNUMBER(Sector1!T10),Sector1!T10,"n.a.")</f>
        <v>236.154</v>
      </c>
      <c r="U71" s="3383">
        <f>IF(ISNUMBER(Sector1!U10),Sector1!U10,"n.a.")</f>
        <v>220.39500000000001</v>
      </c>
      <c r="V71" s="3383">
        <f>IF(ISNUMBER(Sector1!V10),Sector1!V10,"n.a.")</f>
        <v>230.61799999999999</v>
      </c>
      <c r="W71" s="3383">
        <f>IF(ISNUMBER(Sector1!W10),Sector1!W10,"n.a.")</f>
        <v>241.35</v>
      </c>
      <c r="X71" s="3383">
        <f>IF(ISNUMBER(Sector1!X10),Sector1!X10,"n.a.")</f>
        <v>252.904</v>
      </c>
      <c r="Y71" s="3383">
        <f>IF(ISNUMBER(Sector1!Y10),Sector1!Y10,"n.a.")</f>
        <v>260.03699999999998</v>
      </c>
      <c r="Z71" s="3383">
        <f>IF(ISNUMBER(Sector1!Z10),Sector1!Z10,"n.a.")</f>
        <v>267.209</v>
      </c>
      <c r="AA71" s="3383">
        <f>IF(ISNUMBER(Sector1!AA10),Sector1!AA10,"n.a.")</f>
        <v>284.47300000000001</v>
      </c>
      <c r="AB71" s="3383">
        <f>IF(ISNUMBER(Sector1!AB10),Sector1!AB10,"n.a.")</f>
        <v>315.46600000000001</v>
      </c>
      <c r="AC71" s="3383">
        <f>IF(ISNUMBER(Sector1!AC10),Sector1!AC10,"n.a.")</f>
        <v>331.97500000000002</v>
      </c>
      <c r="AD71" s="3383">
        <f ca="1">IF(ISNUMBER(Sector1!AD10),Sector1!AD10,"n.a.")</f>
        <v>343.35717959299228</v>
      </c>
      <c r="AE71" s="3383">
        <f ca="1">IF(ISNUMBER(Sector1!AE10),Sector1!AE10,"n.a.")</f>
        <v>349.84881903810788</v>
      </c>
      <c r="AF71" s="3383">
        <f ca="1">IF(ISNUMBER(Sector1!AF10),Sector1!AF10,"n.a.")</f>
        <v>361.01126249833959</v>
      </c>
      <c r="AG71"/>
      <c r="AH71"/>
      <c r="AI71"/>
      <c r="AJ71">
        <v>61</v>
      </c>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row>
    <row r="72" spans="1:159">
      <c r="A72" s="3383" t="str">
        <f t="shared" si="2"/>
        <v>\\DG ECFIN\Forecast\Country databases\Desk transfer databases\SE</v>
      </c>
      <c r="B72" s="3383" t="str">
        <f t="shared" si="3"/>
        <v>SE</v>
      </c>
      <c r="C72" s="3383" t="s">
        <v>2074</v>
      </c>
      <c r="D72" s="3383" t="s">
        <v>2138</v>
      </c>
      <c r="E72" s="3383" t="s">
        <v>2076</v>
      </c>
      <c r="F72" s="3383">
        <v>103</v>
      </c>
      <c r="G72" s="3383" t="s">
        <v>1207</v>
      </c>
      <c r="H72" s="3383">
        <f>IF(ISNUMBER(Labour1!H209),Labour1!H209,"n.a.")</f>
        <v>585.36400000000003</v>
      </c>
      <c r="I72" s="3383">
        <f>IF(ISNUMBER(Labour1!I209),Labour1!I209,"n.a.")</f>
        <v>617.69200000000001</v>
      </c>
      <c r="J72" s="3383">
        <f>IF(ISNUMBER(Labour1!J209),Labour1!J209,"n.a.")</f>
        <v>626.202</v>
      </c>
      <c r="K72" s="3383">
        <f>IF(ISNUMBER(Labour1!K209),Labour1!K209,"n.a.")</f>
        <v>666.69</v>
      </c>
      <c r="L72" s="3383">
        <f>IF(ISNUMBER(Labour1!L209),Labour1!L209,"n.a.")</f>
        <v>740.71900000000005</v>
      </c>
      <c r="M72" s="3383">
        <f>IF(ISNUMBER(Labour1!M209),Labour1!M209,"n.a.")</f>
        <v>795.72500000000002</v>
      </c>
      <c r="N72" s="3383">
        <f>IF(ISNUMBER(Labour1!N209),Labour1!N209,"n.a.")</f>
        <v>816.68799999999999</v>
      </c>
      <c r="O72" s="3383">
        <f>IF(ISNUMBER(Labour1!O209),Labour1!O209,"n.a.")</f>
        <v>833.90300000000002</v>
      </c>
      <c r="P72" s="3383">
        <f>IF(ISNUMBER(Labour1!P209),Labour1!P209,"n.a.")</f>
        <v>861.69500000000005</v>
      </c>
      <c r="Q72" s="3383">
        <f>IF(ISNUMBER(Labour1!Q209),Labour1!Q209,"n.a.")</f>
        <v>893.27599999999995</v>
      </c>
      <c r="R72" s="3383">
        <f>IF(ISNUMBER(Labour1!R209),Labour1!R209,"n.a.")</f>
        <v>937.35199999999998</v>
      </c>
      <c r="S72" s="3383">
        <f>IF(ISNUMBER(Labour1!S209),Labour1!S209,"n.a.")</f>
        <v>1022.751</v>
      </c>
      <c r="T72" s="3383">
        <f>IF(ISNUMBER(Labour1!T209),Labour1!T209,"n.a.")</f>
        <v>1078.654</v>
      </c>
      <c r="U72" s="3383">
        <f>IF(ISNUMBER(Labour1!U209),Labour1!U209,"n.a.")</f>
        <v>1076.0340000000001</v>
      </c>
      <c r="V72" s="3383">
        <f>IF(ISNUMBER(Labour1!V209),Labour1!V209,"n.a.")</f>
        <v>1113.47</v>
      </c>
      <c r="W72" s="3383">
        <f>IF(ISNUMBER(Labour1!W209),Labour1!W209,"n.a.")</f>
        <v>1190.8889999999999</v>
      </c>
      <c r="X72" s="3383">
        <f>IF(ISNUMBER(Labour1!X209),Labour1!X209,"n.a.")</f>
        <v>1238.5650000000001</v>
      </c>
      <c r="Y72" s="3383">
        <f>IF(ISNUMBER(Labour1!Y209),Labour1!Y209,"n.a.")</f>
        <v>1273.673</v>
      </c>
      <c r="Z72" s="3383">
        <f>IF(ISNUMBER(Labour1!Z209),Labour1!Z209,"n.a.")</f>
        <v>1323.4639999999999</v>
      </c>
      <c r="AA72" s="3383">
        <f>IF(ISNUMBER(Labour1!AA209),Labour1!AA209,"n.a.")</f>
        <v>1383.7719999999999</v>
      </c>
      <c r="AB72" s="3383">
        <f>IF(ISNUMBER(Labour1!AB209),Labour1!AB209,"n.a.")</f>
        <v>1449.1769999999999</v>
      </c>
      <c r="AC72" s="3383">
        <f>IF(ISNUMBER(Labour1!AC209),Labour1!AC209,"n.a.")</f>
        <v>1514.7650000000001</v>
      </c>
      <c r="AD72" s="3383">
        <f>IF(ISNUMBER(Labour1!AD209),Labour1!AD209,"n.a.")</f>
        <v>1582.1332994116003</v>
      </c>
      <c r="AE72" s="3383">
        <f>IF(ISNUMBER(Labour1!AE209),Labour1!AE209,"n.a.")</f>
        <v>1637.7014109868655</v>
      </c>
      <c r="AF72" s="3383">
        <f>IF(ISNUMBER(Labour1!AF209),Labour1!AF209,"n.a.")</f>
        <v>1686.8095827186821</v>
      </c>
      <c r="AG72"/>
      <c r="AH72"/>
      <c r="AI72"/>
      <c r="AJ72">
        <v>62</v>
      </c>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row>
    <row r="73" spans="1:159">
      <c r="A73" s="3383" t="str">
        <f t="shared" si="2"/>
        <v>\\DG ECFIN\Forecast\Country databases\Desk transfer databases\SE</v>
      </c>
      <c r="B73" s="3383" t="str">
        <f t="shared" si="3"/>
        <v>SE</v>
      </c>
      <c r="C73" s="3383" t="s">
        <v>2074</v>
      </c>
      <c r="D73" s="3383" t="s">
        <v>2139</v>
      </c>
      <c r="E73" s="3383" t="s">
        <v>2076</v>
      </c>
      <c r="F73" s="3383">
        <v>104</v>
      </c>
      <c r="G73" s="3383" t="s">
        <v>1209</v>
      </c>
      <c r="H73" s="3383">
        <f>IF(ISNUMBER(Sector1!H108),Sector1!H108,"n.a.")</f>
        <v>474.76400000000001</v>
      </c>
      <c r="I73" s="3383">
        <f>IF(ISNUMBER(Sector1!I108),Sector1!I108,"n.a.")</f>
        <v>505.03899999999987</v>
      </c>
      <c r="J73" s="3383">
        <f>IF(ISNUMBER(Sector1!J108),Sector1!J108,"n.a.")</f>
        <v>520.55000000000007</v>
      </c>
      <c r="K73" s="3383">
        <f>IF(ISNUMBER(Sector1!K108),Sector1!K108,"n.a.")</f>
        <v>549.44199999999989</v>
      </c>
      <c r="L73" s="3383">
        <f>IF(ISNUMBER(Sector1!L108),Sector1!L108,"n.a.")</f>
        <v>576.19200000000012</v>
      </c>
      <c r="M73" s="3383">
        <f>IF(ISNUMBER(Sector1!M108),Sector1!M108,"n.a.")</f>
        <v>563.19799999999998</v>
      </c>
      <c r="N73" s="3383">
        <f>IF(ISNUMBER(Sector1!N108),Sector1!N108,"n.a.")</f>
        <v>580.14800000000002</v>
      </c>
      <c r="O73" s="3383">
        <f>IF(ISNUMBER(Sector1!O108),Sector1!O108,"n.a.")</f>
        <v>621.04600000000016</v>
      </c>
      <c r="P73" s="3383">
        <f>IF(ISNUMBER(Sector1!P108),Sector1!P108,"n.a.")</f>
        <v>686.3420000000001</v>
      </c>
      <c r="Q73" s="3383">
        <f>IF(ISNUMBER(Sector1!Q108),Sector1!Q108,"n.a.")</f>
        <v>711.99799999999993</v>
      </c>
      <c r="R73" s="3383">
        <f>IF(ISNUMBER(Sector1!R108),Sector1!R108,"n.a.")</f>
        <v>798.98599999999988</v>
      </c>
      <c r="S73" s="3383">
        <f>IF(ISNUMBER(Sector1!S108),Sector1!S108,"n.a.")</f>
        <v>826.31600000000003</v>
      </c>
      <c r="T73" s="3383">
        <f>IF(ISNUMBER(Sector1!T108),Sector1!T108,"n.a.")</f>
        <v>824.33600000000013</v>
      </c>
      <c r="U73" s="3383">
        <f>IF(ISNUMBER(Sector1!U108),Sector1!U108,"n.a.")</f>
        <v>741.4699999999998</v>
      </c>
      <c r="V73" s="3383">
        <f>IF(ISNUMBER(Sector1!V108),Sector1!V108,"n.a.")</f>
        <v>877.005</v>
      </c>
      <c r="W73" s="3383">
        <f>IF(ISNUMBER(Sector1!W108),Sector1!W108,"n.a.")</f>
        <v>896.87800000000016</v>
      </c>
      <c r="X73" s="3383">
        <f>IF(ISNUMBER(Sector1!X108),Sector1!X108,"n.a.")</f>
        <v>851.24</v>
      </c>
      <c r="Y73" s="3383">
        <f>IF(ISNUMBER(Sector1!Y108),Sector1!Y108,"n.a.")</f>
        <v>863.57999999999993</v>
      </c>
      <c r="Z73" s="3383">
        <f>IF(ISNUMBER(Sector1!Z108),Sector1!Z108,"n.a.")</f>
        <v>929.07799999999986</v>
      </c>
      <c r="AA73" s="3383">
        <f>IF(ISNUMBER(Sector1!AA108),Sector1!AA108,"n.a.")</f>
        <v>1045.6720000000003</v>
      </c>
      <c r="AB73" s="3383">
        <f>IF(ISNUMBER(Sector1!AB108),Sector1!AB108,"n.a.")</f>
        <v>1055.7320000000002</v>
      </c>
      <c r="AC73" s="3383">
        <f>IF(ISNUMBER(Sector1!AC108),Sector1!AC108,"n.a.")</f>
        <v>1091.3319999999999</v>
      </c>
      <c r="AD73" s="3383">
        <f ca="1">IF(ISNUMBER(Sector1!AD108),Sector1!AD108,"n.a.")</f>
        <v>1163.3064287482887</v>
      </c>
      <c r="AE73" s="3383">
        <f ca="1">IF(ISNUMBER(Sector1!AE108),Sector1!AE108,"n.a.")</f>
        <v>1215.039388782584</v>
      </c>
      <c r="AF73" s="3383">
        <f ca="1">IF(ISNUMBER(Sector1!AF108),Sector1!AF108,"n.a.")</f>
        <v>1267.3132591274311</v>
      </c>
      <c r="AG73"/>
      <c r="AH73"/>
      <c r="AI73"/>
      <c r="AJ73">
        <v>63</v>
      </c>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row>
    <row r="74" spans="1:159">
      <c r="A74" s="3383" t="str">
        <f t="shared" si="2"/>
        <v>\\DG ECFIN\Forecast\Country databases\Desk transfer databases\SE</v>
      </c>
      <c r="B74" s="3383" t="str">
        <f t="shared" si="3"/>
        <v>SE</v>
      </c>
      <c r="C74" s="3383" t="s">
        <v>2074</v>
      </c>
      <c r="D74" s="3383" t="s">
        <v>2140</v>
      </c>
      <c r="E74" s="3383" t="s">
        <v>2076</v>
      </c>
      <c r="F74" s="3383">
        <v>105</v>
      </c>
      <c r="G74" s="3383" t="s">
        <v>1211</v>
      </c>
      <c r="H74" s="3383">
        <f>IF(ISNUMBER(Sector1!H136),Sector1!H136,"n.a.")</f>
        <v>-69.372</v>
      </c>
      <c r="I74" s="3383">
        <f>IF(ISNUMBER(Sector1!I136),Sector1!I136,"n.a.")</f>
        <v>-55.966999999999999</v>
      </c>
      <c r="J74" s="3383">
        <f>IF(ISNUMBER(Sector1!J136),Sector1!J136,"n.a.")</f>
        <v>-57.244</v>
      </c>
      <c r="K74" s="3383">
        <f>IF(ISNUMBER(Sector1!K136),Sector1!K136,"n.a.")</f>
        <v>-51.536999999999999</v>
      </c>
      <c r="L74" s="3383">
        <f>IF(ISNUMBER(Sector1!L136),Sector1!L136,"n.a.")</f>
        <v>-80.257000000000005</v>
      </c>
      <c r="M74" s="3383">
        <f>IF(ISNUMBER(Sector1!M136),Sector1!M136,"n.a.")</f>
        <v>-72.97</v>
      </c>
      <c r="N74" s="3383">
        <f>IF(ISNUMBER(Sector1!N136),Sector1!N136,"n.a.")</f>
        <v>-44.335000000000001</v>
      </c>
      <c r="O74" s="3383">
        <f>IF(ISNUMBER(Sector1!O136),Sector1!O136,"n.a.")</f>
        <v>-16.849</v>
      </c>
      <c r="P74" s="3383">
        <f>IF(ISNUMBER(Sector1!P136),Sector1!P136,"n.a.")</f>
        <v>-56.091000000000001</v>
      </c>
      <c r="Q74" s="3383">
        <f>IF(ISNUMBER(Sector1!Q136),Sector1!Q136,"n.a.")</f>
        <v>-59.04</v>
      </c>
      <c r="R74" s="3383">
        <f>IF(ISNUMBER(Sector1!R136),Sector1!R136,"n.a.")</f>
        <v>-57.326999999999998</v>
      </c>
      <c r="S74" s="3383">
        <f>IF(ISNUMBER(Sector1!S136),Sector1!S136,"n.a.")</f>
        <v>-62.619</v>
      </c>
      <c r="T74" s="3383">
        <f>IF(ISNUMBER(Sector1!T136),Sector1!T136,"n.a.")</f>
        <v>-80.713999999999999</v>
      </c>
      <c r="U74" s="3383">
        <f>IF(ISNUMBER(Sector1!U136),Sector1!U136,"n.a.")</f>
        <v>-107.91500000000001</v>
      </c>
      <c r="V74" s="3383">
        <f>IF(ISNUMBER(Sector1!V136),Sector1!V136,"n.a.")</f>
        <v>-144.655</v>
      </c>
      <c r="W74" s="3383">
        <f>IF(ISNUMBER(Sector1!W136),Sector1!W136,"n.a.")</f>
        <v>-167.61600000000001</v>
      </c>
      <c r="X74" s="3383">
        <f>IF(ISNUMBER(Sector1!X136),Sector1!X136,"n.a.")</f>
        <v>-166.39099999999999</v>
      </c>
      <c r="Y74" s="3383">
        <f>IF(ISNUMBER(Sector1!Y136),Sector1!Y136,"n.a.")</f>
        <v>-176.28800000000001</v>
      </c>
      <c r="Z74" s="3383">
        <f>IF(ISNUMBER(Sector1!Z136),Sector1!Z136,"n.a.")</f>
        <v>-221.47200000000001</v>
      </c>
      <c r="AA74" s="3383">
        <f>IF(ISNUMBER(Sector1!AA136),Sector1!AA136,"n.a.")</f>
        <v>-265.34500000000003</v>
      </c>
      <c r="AB74" s="3383">
        <f>IF(ISNUMBER(Sector1!AB136),Sector1!AB136,"n.a.")</f>
        <v>-317.185</v>
      </c>
      <c r="AC74" s="3383">
        <f>IF(ISNUMBER(Sector1!AC136),Sector1!AC136,"n.a.")</f>
        <v>-287.46800000000002</v>
      </c>
      <c r="AD74" s="3383">
        <f>IF(ISNUMBER(Sector1!AD136),Sector1!AD136,"n.a.")</f>
        <v>-298.96672000000001</v>
      </c>
      <c r="AE74" s="3383">
        <f>IF(ISNUMBER(Sector1!AE136),Sector1!AE136,"n.a.")</f>
        <v>-310.92538880000001</v>
      </c>
      <c r="AF74" s="3383">
        <f>IF(ISNUMBER(Sector1!AF136),Sector1!AF136,"n.a.")</f>
        <v>-323.362404352</v>
      </c>
      <c r="AG74"/>
      <c r="AH74"/>
      <c r="AI74"/>
      <c r="AJ74">
        <v>64</v>
      </c>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row>
    <row r="75" spans="1:159">
      <c r="A75" s="3383" t="str">
        <f t="shared" si="2"/>
        <v>\\DG ECFIN\Forecast\Country databases\Desk transfer databases\SE</v>
      </c>
      <c r="B75" s="3383" t="str">
        <f t="shared" si="3"/>
        <v>SE</v>
      </c>
      <c r="C75" s="3383" t="s">
        <v>2074</v>
      </c>
      <c r="D75" s="3383" t="s">
        <v>2141</v>
      </c>
      <c r="E75" s="3383" t="s">
        <v>2076</v>
      </c>
      <c r="F75" s="3383">
        <v>106</v>
      </c>
      <c r="G75" s="3383" t="s">
        <v>170</v>
      </c>
      <c r="H75" s="3383">
        <f>IF(ISNUMBER(Sector1!H732),Sector1!H732,"n.a.")</f>
        <v>43.376000000000005</v>
      </c>
      <c r="I75" s="3383">
        <f>IF(ISNUMBER(Sector1!I732),Sector1!I732,"n.a.")</f>
        <v>37.626000000000005</v>
      </c>
      <c r="J75" s="3383">
        <f>IF(ISNUMBER(Sector1!J732),Sector1!J732,"n.a.")</f>
        <v>52.885999999999996</v>
      </c>
      <c r="K75" s="3383">
        <f>IF(ISNUMBER(Sector1!K732),Sector1!K732,"n.a.")</f>
        <v>50.65300000000002</v>
      </c>
      <c r="L75" s="3383">
        <f>IF(ISNUMBER(Sector1!L732),Sector1!L732,"n.a.")</f>
        <v>75.217999999999989</v>
      </c>
      <c r="M75" s="3383">
        <f>IF(ISNUMBER(Sector1!M732),Sector1!M732,"n.a.")</f>
        <v>68.520999999999987</v>
      </c>
      <c r="N75" s="3383">
        <f>IF(ISNUMBER(Sector1!N732),Sector1!N732,"n.a.")</f>
        <v>76.807000000000045</v>
      </c>
      <c r="O75" s="3383">
        <f>IF(ISNUMBER(Sector1!O732),Sector1!O732,"n.a.")</f>
        <v>82.075000000000003</v>
      </c>
      <c r="P75" s="3383">
        <f>IF(ISNUMBER(Sector1!P732),Sector1!P732,"n.a.")</f>
        <v>85.717999999999975</v>
      </c>
      <c r="Q75" s="3383">
        <f>IF(ISNUMBER(Sector1!Q732),Sector1!Q732,"n.a.")</f>
        <v>84.399999999999977</v>
      </c>
      <c r="R75" s="3383">
        <f>IF(ISNUMBER(Sector1!R732),Sector1!R732,"n.a.")</f>
        <v>91.682000000000002</v>
      </c>
      <c r="S75" s="3383">
        <f>IF(ISNUMBER(Sector1!S732),Sector1!S732,"n.a.")</f>
        <v>113.16799999999998</v>
      </c>
      <c r="T75" s="3383">
        <f>IF(ISNUMBER(Sector1!T732),Sector1!T732,"n.a.")</f>
        <v>111.28999999999998</v>
      </c>
      <c r="U75" s="3383">
        <f>IF(ISNUMBER(Sector1!U732),Sector1!U732,"n.a.")</f>
        <v>79.870999999999995</v>
      </c>
      <c r="V75" s="3383">
        <f>IF(ISNUMBER(Sector1!V732),Sector1!V732,"n.a.")</f>
        <v>119.26300000000002</v>
      </c>
      <c r="W75" s="3383">
        <f>IF(ISNUMBER(Sector1!W732),Sector1!W732,"n.a.")</f>
        <v>106.09100000000002</v>
      </c>
      <c r="X75" s="3383">
        <f>IF(ISNUMBER(Sector1!X732),Sector1!X732,"n.a.")</f>
        <v>99.234999999999985</v>
      </c>
      <c r="Y75" s="3383">
        <f>IF(ISNUMBER(Sector1!Y732),Sector1!Y732,"n.a.")</f>
        <v>107.75099999999999</v>
      </c>
      <c r="Z75" s="3383">
        <f>IF(ISNUMBER(Sector1!Z732),Sector1!Z732,"n.a.")</f>
        <v>129.96599999999995</v>
      </c>
      <c r="AA75" s="3383">
        <f>IF(ISNUMBER(Sector1!AA732),Sector1!AA732,"n.a.")</f>
        <v>111.63000000000001</v>
      </c>
      <c r="AB75" s="3383">
        <f>IF(ISNUMBER(Sector1!AB732),Sector1!AB732,"n.a.")</f>
        <v>119.46300000000002</v>
      </c>
      <c r="AC75" s="3383">
        <f>IF(ISNUMBER(Sector1!AC732),Sector1!AC732,"n.a.")</f>
        <v>102.39399999999998</v>
      </c>
      <c r="AD75" s="3383">
        <f>IF(ISNUMBER(Sector1!AD732),Sector1!AD732,"n.a.")</f>
        <v>107.19207479991582</v>
      </c>
      <c r="AE75" s="3383">
        <f>IF(ISNUMBER(Sector1!AE732),Sector1!AE732,"n.a.")</f>
        <v>112.25198602716679</v>
      </c>
      <c r="AF75" s="3383">
        <f>IF(ISNUMBER(Sector1!AF732),Sector1!AF732,"n.a.")</f>
        <v>119.56914136378811</v>
      </c>
      <c r="AG75"/>
      <c r="AH75"/>
      <c r="AI75"/>
      <c r="AJ75">
        <v>65</v>
      </c>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row>
    <row r="76" spans="1:159">
      <c r="A76" s="3383" t="str">
        <f t="shared" si="2"/>
        <v>\\DG ECFIN\Forecast\Country databases\Desk transfer databases\SE</v>
      </c>
      <c r="B76" s="3383" t="str">
        <f t="shared" si="3"/>
        <v>SE</v>
      </c>
      <c r="C76" s="3383" t="s">
        <v>2074</v>
      </c>
      <c r="D76" s="3383" t="s">
        <v>2142</v>
      </c>
      <c r="E76" s="3383" t="s">
        <v>2076</v>
      </c>
      <c r="F76" s="3383">
        <v>107</v>
      </c>
      <c r="G76" s="3383" t="s">
        <v>171</v>
      </c>
      <c r="H76" s="3383">
        <f>IF(ISNUMBER(Sector1!H200),Sector1!H200,"n.a.")</f>
        <v>46.036000000000001</v>
      </c>
      <c r="I76" s="3383">
        <f>IF(ISNUMBER(Sector1!I200),Sector1!I200,"n.a.")</f>
        <v>53.537999999999997</v>
      </c>
      <c r="J76" s="3383">
        <f>IF(ISNUMBER(Sector1!J200),Sector1!J200,"n.a.")</f>
        <v>49.536000000000001</v>
      </c>
      <c r="K76" s="3383">
        <f>IF(ISNUMBER(Sector1!K200),Sector1!K200,"n.a.")</f>
        <v>62.482999999999997</v>
      </c>
      <c r="L76" s="3383">
        <f>IF(ISNUMBER(Sector1!L200),Sector1!L200,"n.a.")</f>
        <v>81.98</v>
      </c>
      <c r="M76" s="3383">
        <f>IF(ISNUMBER(Sector1!M200),Sector1!M200,"n.a.")</f>
        <v>58.795000000000002</v>
      </c>
      <c r="N76" s="3383">
        <f>IF(ISNUMBER(Sector1!N200),Sector1!N200,"n.a.")</f>
        <v>47.158000000000001</v>
      </c>
      <c r="O76" s="3383">
        <f>IF(ISNUMBER(Sector1!O200),Sector1!O200,"n.a.")</f>
        <v>55.012999999999998</v>
      </c>
      <c r="P76" s="3383">
        <f>IF(ISNUMBER(Sector1!P200),Sector1!P200,"n.a.")</f>
        <v>78.111999999999995</v>
      </c>
      <c r="Q76" s="3383">
        <f>IF(ISNUMBER(Sector1!Q200),Sector1!Q200,"n.a.")</f>
        <v>99.003</v>
      </c>
      <c r="R76" s="3383">
        <f>IF(ISNUMBER(Sector1!R200),Sector1!R200,"n.a.")</f>
        <v>107.089</v>
      </c>
      <c r="S76" s="3383">
        <f>IF(ISNUMBER(Sector1!S200),Sector1!S200,"n.a.")</f>
        <v>117.184</v>
      </c>
      <c r="T76" s="3383">
        <f>IF(ISNUMBER(Sector1!T200),Sector1!T200,"n.a.")</f>
        <v>89.872</v>
      </c>
      <c r="U76" s="3383">
        <f>IF(ISNUMBER(Sector1!U200),Sector1!U200,"n.a.")</f>
        <v>89.897999999999996</v>
      </c>
      <c r="V76" s="3383">
        <f>IF(ISNUMBER(Sector1!V200),Sector1!V200,"n.a.")</f>
        <v>113.101</v>
      </c>
      <c r="W76" s="3383">
        <f>IF(ISNUMBER(Sector1!W200),Sector1!W200,"n.a.")</f>
        <v>109.571</v>
      </c>
      <c r="X76" s="3383">
        <f>IF(ISNUMBER(Sector1!X200),Sector1!X200,"n.a.")</f>
        <v>93.506</v>
      </c>
      <c r="Y76" s="3383">
        <f>IF(ISNUMBER(Sector1!Y200),Sector1!Y200,"n.a.")</f>
        <v>99.924000000000007</v>
      </c>
      <c r="Z76" s="3383">
        <f>IF(ISNUMBER(Sector1!Z200),Sector1!Z200,"n.a.")</f>
        <v>102.122</v>
      </c>
      <c r="AA76" s="3383">
        <f>IF(ISNUMBER(Sector1!AA200),Sector1!AA200,"n.a.")</f>
        <v>122.02</v>
      </c>
      <c r="AB76" s="3383">
        <f>IF(ISNUMBER(Sector1!AB200),Sector1!AB200,"n.a.")</f>
        <v>123.566</v>
      </c>
      <c r="AC76" s="3383">
        <f>IF(ISNUMBER(Sector1!AC200),Sector1!AC200,"n.a.")</f>
        <v>132.32</v>
      </c>
      <c r="AD76" s="3383">
        <f>IF(ISNUMBER(Sector1!AD200),Sector1!AD200,"n.a.")</f>
        <v>138.93600000000001</v>
      </c>
      <c r="AE76" s="3383">
        <f>IF(ISNUMBER(Sector1!AE200),Sector1!AE200,"n.a.")</f>
        <v>142.54833600000001</v>
      </c>
      <c r="AF76" s="3383">
        <f>IF(ISNUMBER(Sector1!AF200),Sector1!AF200,"n.a.")</f>
        <v>146.25459273600001</v>
      </c>
      <c r="AG76"/>
      <c r="AH76"/>
      <c r="AI76"/>
      <c r="AJ76">
        <v>66</v>
      </c>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row>
    <row r="77" spans="1:159">
      <c r="A77" s="3383" t="str">
        <f t="shared" ref="A77:A139" si="4">CONCATENATE($I$7,$J$7)</f>
        <v>\\DG ECFIN\Forecast\Country databases\Desk transfer databases\SE</v>
      </c>
      <c r="B77" s="3383" t="str">
        <f t="shared" ref="B77:B139" si="5">$J$7</f>
        <v>SE</v>
      </c>
      <c r="C77" s="3383" t="s">
        <v>2074</v>
      </c>
      <c r="D77" s="3383" t="s">
        <v>2143</v>
      </c>
      <c r="E77" s="3383" t="s">
        <v>2076</v>
      </c>
      <c r="F77" s="3383">
        <v>108</v>
      </c>
      <c r="G77" s="3383" t="s">
        <v>1242</v>
      </c>
      <c r="H77" s="3383">
        <f>IF(ISNUMBER(Sector1!H395),Sector1!H395,"n.a.")</f>
        <v>54.634</v>
      </c>
      <c r="I77" s="3383">
        <f>IF(ISNUMBER(Sector1!I395),Sector1!I395,"n.a.")</f>
        <v>56.686</v>
      </c>
      <c r="J77" s="3383">
        <f>IF(ISNUMBER(Sector1!J395),Sector1!J395,"n.a.")</f>
        <v>64.805000000000007</v>
      </c>
      <c r="K77" s="3383">
        <f>IF(ISNUMBER(Sector1!K395),Sector1!K395,"n.a.")</f>
        <v>72.58</v>
      </c>
      <c r="L77" s="3383">
        <f>IF(ISNUMBER(Sector1!L395),Sector1!L395,"n.a.")</f>
        <v>93.325999999999993</v>
      </c>
      <c r="M77" s="3383">
        <f>IF(ISNUMBER(Sector1!M395),Sector1!M395,"n.a.")</f>
        <v>95.694000000000003</v>
      </c>
      <c r="N77" s="3383">
        <f>IF(ISNUMBER(Sector1!N395),Sector1!N395,"n.a.")</f>
        <v>90.97</v>
      </c>
      <c r="O77" s="3383">
        <f>IF(ISNUMBER(Sector1!O395),Sector1!O395,"n.a.")</f>
        <v>98.188999999999993</v>
      </c>
      <c r="P77" s="3383">
        <f>IF(ISNUMBER(Sector1!P395),Sector1!P395,"n.a.")</f>
        <v>101.544</v>
      </c>
      <c r="Q77" s="3383">
        <f>IF(ISNUMBER(Sector1!Q395),Sector1!Q395,"n.a.")</f>
        <v>97.962000000000003</v>
      </c>
      <c r="R77" s="3383">
        <f>IF(ISNUMBER(Sector1!R395),Sector1!R395,"n.a.")</f>
        <v>107.31100000000001</v>
      </c>
      <c r="S77" s="3383">
        <f>IF(ISNUMBER(Sector1!S395),Sector1!S395,"n.a.")</f>
        <v>129.05099999999999</v>
      </c>
      <c r="T77" s="3383">
        <f>IF(ISNUMBER(Sector1!T395),Sector1!T395,"n.a.")</f>
        <v>130.19300000000001</v>
      </c>
      <c r="U77" s="3383">
        <f>IF(ISNUMBER(Sector1!U395),Sector1!U395,"n.a.")</f>
        <v>96.894999999999996</v>
      </c>
      <c r="V77" s="3383">
        <f>IF(ISNUMBER(Sector1!V395),Sector1!V395,"n.a.")</f>
        <v>139.64500000000001</v>
      </c>
      <c r="W77" s="3383">
        <f>IF(ISNUMBER(Sector1!W395),Sector1!W395,"n.a.")</f>
        <v>134.98400000000001</v>
      </c>
      <c r="X77" s="3383">
        <f>IF(ISNUMBER(Sector1!X395),Sector1!X395,"n.a.")</f>
        <v>130.108</v>
      </c>
      <c r="Y77" s="3383">
        <f>IF(ISNUMBER(Sector1!Y395),Sector1!Y395,"n.a.")</f>
        <v>137.02600000000001</v>
      </c>
      <c r="Z77" s="3383">
        <f>IF(ISNUMBER(Sector1!Z395),Sector1!Z395,"n.a.")</f>
        <v>164.93299999999999</v>
      </c>
      <c r="AA77" s="3383">
        <f>IF(ISNUMBER(Sector1!AA395),Sector1!AA395,"n.a.")</f>
        <v>147.06200000000001</v>
      </c>
      <c r="AB77" s="3383">
        <f>IF(ISNUMBER(Sector1!AB395),Sector1!AB395,"n.a.")</f>
        <v>162.25899999999999</v>
      </c>
      <c r="AC77" s="3383">
        <f>IF(ISNUMBER(Sector1!AC395),Sector1!AC395,"n.a.")</f>
        <v>148.494</v>
      </c>
      <c r="AD77" s="3383">
        <f>IF(ISNUMBER(Sector1!AD395),Sector1!AD395,"n.a.")</f>
        <v>151.46387999999999</v>
      </c>
      <c r="AE77" s="3383">
        <f>IF(ISNUMBER(Sector1!AE395),Sector1!AE395,"n.a.")</f>
        <v>154.49315759999999</v>
      </c>
      <c r="AF77" s="3383">
        <f>IF(ISNUMBER(Sector1!AF395),Sector1!AF395,"n.a.")</f>
        <v>157.58302075199998</v>
      </c>
      <c r="AG77"/>
      <c r="AH77"/>
      <c r="AI77"/>
      <c r="AJ77">
        <v>67</v>
      </c>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row>
    <row r="78" spans="1:159">
      <c r="A78" s="3383" t="str">
        <f t="shared" si="4"/>
        <v>\\DG ECFIN\Forecast\Country databases\Desk transfer databases\SE</v>
      </c>
      <c r="B78" s="3383" t="str">
        <f t="shared" si="5"/>
        <v>SE</v>
      </c>
      <c r="C78" s="3383" t="s">
        <v>2074</v>
      </c>
      <c r="D78" s="3383" t="s">
        <v>2144</v>
      </c>
      <c r="E78" s="3383" t="s">
        <v>2076</v>
      </c>
      <c r="F78" s="3383">
        <v>109</v>
      </c>
      <c r="G78" s="3383" t="s">
        <v>141</v>
      </c>
      <c r="H78" s="3383">
        <f>IF(ISNUMBER(Sector1!H737),Sector1!H737,"n.a.")</f>
        <v>269.21199999999999</v>
      </c>
      <c r="I78" s="3383">
        <f>IF(ISNUMBER(Sector1!I737),Sector1!I737,"n.a.")</f>
        <v>288.334</v>
      </c>
      <c r="J78" s="3383">
        <f>IF(ISNUMBER(Sector1!J737),Sector1!J737,"n.a.")</f>
        <v>322.779</v>
      </c>
      <c r="K78" s="3383">
        <f>IF(ISNUMBER(Sector1!K737),Sector1!K737,"n.a.")</f>
        <v>343.678</v>
      </c>
      <c r="L78" s="3383">
        <f>IF(ISNUMBER(Sector1!L737),Sector1!L737,"n.a.")</f>
        <v>399.39</v>
      </c>
      <c r="M78" s="3383">
        <f>IF(ISNUMBER(Sector1!M737),Sector1!M737,"n.a.")</f>
        <v>409.57</v>
      </c>
      <c r="N78" s="3383">
        <f>IF(ISNUMBER(Sector1!N737),Sector1!N737,"n.a.")</f>
        <v>389.48700000000002</v>
      </c>
      <c r="O78" s="3383">
        <f>IF(ISNUMBER(Sector1!O737),Sector1!O737,"n.a.")</f>
        <v>399.31300000000005</v>
      </c>
      <c r="P78" s="3383">
        <f>IF(ISNUMBER(Sector1!P737),Sector1!P737,"n.a.")</f>
        <v>412.74700000000001</v>
      </c>
      <c r="Q78" s="3383">
        <f>IF(ISNUMBER(Sector1!Q737),Sector1!Q737,"n.a.")</f>
        <v>440.48400000000004</v>
      </c>
      <c r="R78" s="3383">
        <f>IF(ISNUMBER(Sector1!R737),Sector1!R737,"n.a.")</f>
        <v>492.31599999999997</v>
      </c>
      <c r="S78" s="3383">
        <f>IF(ISNUMBER(Sector1!S737),Sector1!S737,"n.a.")</f>
        <v>570.70099999999991</v>
      </c>
      <c r="T78" s="3383">
        <f>IF(ISNUMBER(Sector1!T737),Sector1!T737,"n.a.")</f>
        <v>583.673</v>
      </c>
      <c r="U78" s="3383">
        <f>IF(ISNUMBER(Sector1!U737),Sector1!U737,"n.a.")</f>
        <v>448.96199999999999</v>
      </c>
      <c r="V78" s="3383">
        <f>IF(ISNUMBER(Sector1!V737),Sector1!V737,"n.a.")</f>
        <v>542.17600000000004</v>
      </c>
      <c r="W78" s="3383">
        <f>IF(ISNUMBER(Sector1!W737),Sector1!W737,"n.a.")</f>
        <v>605.37900000000002</v>
      </c>
      <c r="X78" s="3383">
        <f>IF(ISNUMBER(Sector1!X737),Sector1!X737,"n.a.")</f>
        <v>575.27599999999995</v>
      </c>
      <c r="Y78" s="3383">
        <f>IF(ISNUMBER(Sector1!Y737),Sector1!Y737,"n.a.")</f>
        <v>587.39499999999998</v>
      </c>
      <c r="Z78" s="3383">
        <f>IF(ISNUMBER(Sector1!Z737),Sector1!Z737,"n.a.")</f>
        <v>648.70799999999997</v>
      </c>
      <c r="AA78" s="3383">
        <f>IF(ISNUMBER(Sector1!AA737),Sector1!AA737,"n.a.")</f>
        <v>712.55099999999993</v>
      </c>
      <c r="AB78" s="3383">
        <f>IF(ISNUMBER(Sector1!AB737),Sector1!AB737,"n.a.")</f>
        <v>735.34900000000005</v>
      </c>
      <c r="AC78" s="3383">
        <f>IF(ISNUMBER(Sector1!AC737),Sector1!AC737,"n.a.")</f>
        <v>804.37799999999993</v>
      </c>
      <c r="AD78" s="3383">
        <f ca="1">IF(ISNUMBER(Sector1!AD737),Sector1!AD737,"n.a.")</f>
        <v>876.52701341290003</v>
      </c>
      <c r="AE78" s="3383">
        <f ca="1">IF(ISNUMBER(Sector1!AE737),Sector1!AE737,"n.a.")</f>
        <v>908.02730795930984</v>
      </c>
      <c r="AF78" s="3383">
        <f ca="1">IF(ISNUMBER(Sector1!AF737),Sector1!AF737,"n.a.")</f>
        <v>941.26211039260488</v>
      </c>
      <c r="AG78"/>
      <c r="AH78"/>
      <c r="AI78"/>
      <c r="AJ78">
        <v>68</v>
      </c>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row>
    <row r="79" spans="1:159">
      <c r="A79" s="3383" t="str">
        <f t="shared" si="4"/>
        <v>\\DG ECFIN\Forecast\Country databases\Desk transfer databases\SE</v>
      </c>
      <c r="B79" s="3383" t="str">
        <f t="shared" si="5"/>
        <v>SE</v>
      </c>
      <c r="C79" s="3383" t="s">
        <v>2074</v>
      </c>
      <c r="D79" s="3383" t="s">
        <v>2145</v>
      </c>
      <c r="E79" s="3383" t="s">
        <v>2076</v>
      </c>
      <c r="F79" s="3383">
        <v>110</v>
      </c>
      <c r="G79" s="3383" t="s">
        <v>142</v>
      </c>
      <c r="H79" s="3383">
        <f>IF(ISNUMBER(Sector1!H742),Sector1!H742,"n.a.")</f>
        <v>7.6030000000000006</v>
      </c>
      <c r="I79" s="3383">
        <f>IF(ISNUMBER(Sector1!I742),Sector1!I742,"n.a.")</f>
        <v>-5.492</v>
      </c>
      <c r="J79" s="3383">
        <f>IF(ISNUMBER(Sector1!J742),Sector1!J742,"n.a.")</f>
        <v>13.129</v>
      </c>
      <c r="K79" s="3383">
        <f>IF(ISNUMBER(Sector1!K742),Sector1!K742,"n.a.")</f>
        <v>19.694000000000003</v>
      </c>
      <c r="L79" s="3383">
        <f>IF(ISNUMBER(Sector1!L742),Sector1!L742,"n.a.")</f>
        <v>1.85</v>
      </c>
      <c r="M79" s="3383">
        <f>IF(ISNUMBER(Sector1!M742),Sector1!M742,"n.a.")</f>
        <v>-0.58400000000000007</v>
      </c>
      <c r="N79" s="3383">
        <f>IF(ISNUMBER(Sector1!N742),Sector1!N742,"n.a.")</f>
        <v>-1.8460000000000001</v>
      </c>
      <c r="O79" s="3383">
        <f>IF(ISNUMBER(Sector1!O742),Sector1!O742,"n.a.")</f>
        <v>-4.8239999999999998</v>
      </c>
      <c r="P79" s="3383">
        <f>IF(ISNUMBER(Sector1!P742),Sector1!P742,"n.a.")</f>
        <v>-1.6779999999999999</v>
      </c>
      <c r="Q79" s="3383">
        <f>IF(ISNUMBER(Sector1!Q742),Sector1!Q742,"n.a.")</f>
        <v>-5.5329999999999995</v>
      </c>
      <c r="R79" s="3383">
        <f>IF(ISNUMBER(Sector1!R742),Sector1!R742,"n.a.")</f>
        <v>13.789000000000001</v>
      </c>
      <c r="S79" s="3383">
        <f>IF(ISNUMBER(Sector1!S742),Sector1!S742,"n.a.")</f>
        <v>-2.7440000000000002</v>
      </c>
      <c r="T79" s="3383">
        <f>IF(ISNUMBER(Sector1!T742),Sector1!T742,"n.a.")</f>
        <v>-1.3879999999999999</v>
      </c>
      <c r="U79" s="3383">
        <f>IF(ISNUMBER(Sector1!U742),Sector1!U742,"n.a.")</f>
        <v>1.1339999999999999</v>
      </c>
      <c r="V79" s="3383">
        <f>IF(ISNUMBER(Sector1!V742),Sector1!V742,"n.a.")</f>
        <v>1.1689999999999998</v>
      </c>
      <c r="W79" s="3383">
        <f>IF(ISNUMBER(Sector1!W742),Sector1!W742,"n.a.")</f>
        <v>-5.375</v>
      </c>
      <c r="X79" s="3383">
        <f>IF(ISNUMBER(Sector1!X742),Sector1!X742,"n.a.")</f>
        <v>8.35</v>
      </c>
      <c r="Y79" s="3383">
        <f>IF(ISNUMBER(Sector1!Y742),Sector1!Y742,"n.a.")</f>
        <v>11.021000000000001</v>
      </c>
      <c r="Z79" s="3383">
        <f>IF(ISNUMBER(Sector1!Z742),Sector1!Z742,"n.a.")</f>
        <v>-1.9689999999999999</v>
      </c>
      <c r="AA79" s="3383">
        <f>IF(ISNUMBER(Sector1!AA742),Sector1!AA742,"n.a.")</f>
        <v>1.4080000000000001</v>
      </c>
      <c r="AB79" s="3383">
        <f>IF(ISNUMBER(Sector1!AB742),Sector1!AB742,"n.a.")</f>
        <v>-7.4620000000000006</v>
      </c>
      <c r="AC79" s="3383">
        <f>IF(ISNUMBER(Sector1!AC742),Sector1!AC742,"n.a.")</f>
        <v>-3.4710000000000001</v>
      </c>
      <c r="AD79" s="3383">
        <f>IF(ISNUMBER(Sector1!AD742),Sector1!AD742,"n.a.")</f>
        <v>-3.6679800000000005</v>
      </c>
      <c r="AE79" s="3383">
        <f>IF(ISNUMBER(Sector1!AE742),Sector1!AE742,"n.a.")</f>
        <v>-3.8767788000000007</v>
      </c>
      <c r="AF79" s="3383">
        <f>IF(ISNUMBER(Sector1!AF742),Sector1!AF742,"n.a.")</f>
        <v>-4.0981055280000005</v>
      </c>
      <c r="AG79"/>
      <c r="AH79"/>
      <c r="AI79"/>
      <c r="AJ79">
        <v>69</v>
      </c>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row>
    <row r="80" spans="1:159">
      <c r="A80" s="3383" t="str">
        <f t="shared" si="4"/>
        <v>\\DG ECFIN\Forecast\Country databases\Desk transfer databases\SE</v>
      </c>
      <c r="B80" s="3383" t="str">
        <f t="shared" si="5"/>
        <v>SE</v>
      </c>
      <c r="C80" s="3383" t="s">
        <v>2074</v>
      </c>
      <c r="D80" s="3383" t="s">
        <v>2146</v>
      </c>
      <c r="E80" s="3383" t="s">
        <v>2076</v>
      </c>
      <c r="F80" s="3383">
        <v>113</v>
      </c>
      <c r="G80" s="3383" t="s">
        <v>144</v>
      </c>
      <c r="H80" s="3383">
        <f>IF(ISNUMBER(Sector1!H13),Sector1!H13,"n.a.")</f>
        <v>431.98200000000003</v>
      </c>
      <c r="I80" s="3383">
        <f>IF(ISNUMBER(Sector1!I13),Sector1!I13,"n.a.")</f>
        <v>443.03199999999998</v>
      </c>
      <c r="J80" s="3383">
        <f>IF(ISNUMBER(Sector1!J13),Sector1!J13,"n.a.")</f>
        <v>516.15</v>
      </c>
      <c r="K80" s="3383">
        <f>IF(ISNUMBER(Sector1!K13),Sector1!K13,"n.a.")</f>
        <v>539.94200000000001</v>
      </c>
      <c r="L80" s="3383">
        <f>IF(ISNUMBER(Sector1!L13),Sector1!L13,"n.a.")</f>
        <v>539.38</v>
      </c>
      <c r="M80" s="3383">
        <f>IF(ISNUMBER(Sector1!M13),Sector1!M13,"n.a.")</f>
        <v>564.16200000000003</v>
      </c>
      <c r="N80" s="3383">
        <f>IF(ISNUMBER(Sector1!N13),Sector1!N13,"n.a.")</f>
        <v>590.83000000000004</v>
      </c>
      <c r="O80" s="3383">
        <f>IF(ISNUMBER(Sector1!O13),Sector1!O13,"n.a.")</f>
        <v>610.88400000000001</v>
      </c>
      <c r="P80" s="3383">
        <f>IF(ISNUMBER(Sector1!P13),Sector1!P13,"n.a.")</f>
        <v>626.78200000000004</v>
      </c>
      <c r="Q80" s="3383">
        <f>IF(ISNUMBER(Sector1!Q13),Sector1!Q13,"n.a.")</f>
        <v>654.80100000000004</v>
      </c>
      <c r="R80" s="3383">
        <f>IF(ISNUMBER(Sector1!R13),Sector1!R13,"n.a.")</f>
        <v>683.34</v>
      </c>
      <c r="S80" s="3383">
        <f>IF(ISNUMBER(Sector1!S13),Sector1!S13,"n.a.")</f>
        <v>724.72799999999995</v>
      </c>
      <c r="T80" s="3383">
        <f>IF(ISNUMBER(Sector1!T13),Sector1!T13,"n.a.")</f>
        <v>756.89200000000005</v>
      </c>
      <c r="U80" s="3383">
        <f>IF(ISNUMBER(Sector1!U13),Sector1!U13,"n.a.")</f>
        <v>744.47500000000002</v>
      </c>
      <c r="V80" s="3383">
        <f>IF(ISNUMBER(Sector1!V13),Sector1!V13,"n.a.")</f>
        <v>781.73199999999997</v>
      </c>
      <c r="W80" s="3383">
        <f>IF(ISNUMBER(Sector1!W13),Sector1!W13,"n.a.")</f>
        <v>801.84299999999996</v>
      </c>
      <c r="X80" s="3383">
        <f>IF(ISNUMBER(Sector1!X13),Sector1!X13,"n.a.")</f>
        <v>817.1</v>
      </c>
      <c r="Y80" s="3383">
        <f>IF(ISNUMBER(Sector1!Y13),Sector1!Y13,"n.a.")</f>
        <v>835.00699999999995</v>
      </c>
      <c r="Z80" s="3383">
        <f>IF(ISNUMBER(Sector1!Z13),Sector1!Z13,"n.a.")</f>
        <v>859.7</v>
      </c>
      <c r="AA80" s="3383">
        <f>IF(ISNUMBER(Sector1!AA13),Sector1!AA13,"n.a.")</f>
        <v>915.92399999999998</v>
      </c>
      <c r="AB80" s="3383">
        <f>IF(ISNUMBER(Sector1!AB13),Sector1!AB13,"n.a.")</f>
        <v>987.44100000000003</v>
      </c>
      <c r="AC80" s="3383">
        <f>IF(ISNUMBER(Sector1!AC13),Sector1!AC13,"n.a.")</f>
        <v>1031.5340000000001</v>
      </c>
      <c r="AD80" s="3383">
        <f ca="1">IF(ISNUMBER(Sector1!AD13),Sector1!AD13,"n.a.")</f>
        <v>1075.2026598248071</v>
      </c>
      <c r="AE80" s="3383">
        <f ca="1">IF(ISNUMBER(Sector1!AE13),Sector1!AE13,"n.a.")</f>
        <v>1112.8032004969793</v>
      </c>
      <c r="AF80" s="3383">
        <f ca="1">IF(ISNUMBER(Sector1!AF13),Sector1!AF13,"n.a.")</f>
        <v>1151.7498222449526</v>
      </c>
      <c r="AG80"/>
      <c r="AH80"/>
      <c r="AI80"/>
      <c r="AJ80">
        <v>70</v>
      </c>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row>
    <row r="81" spans="1:159">
      <c r="A81" s="3383" t="str">
        <f t="shared" si="4"/>
        <v>\\DG ECFIN\Forecast\Country databases\Desk transfer databases\SE</v>
      </c>
      <c r="B81" s="3383" t="str">
        <f t="shared" si="5"/>
        <v>SE</v>
      </c>
      <c r="C81" s="3383" t="s">
        <v>2074</v>
      </c>
      <c r="D81" s="3383" t="s">
        <v>2147</v>
      </c>
      <c r="E81" s="3383" t="s">
        <v>2076</v>
      </c>
      <c r="F81" s="3383">
        <v>114</v>
      </c>
      <c r="G81" s="3383" t="s">
        <v>150</v>
      </c>
      <c r="H81" s="3383">
        <f>IF(ISNUMBER(Sector1!H203),Sector1!H203,"n.a.")</f>
        <v>381.87200000000001</v>
      </c>
      <c r="I81" s="3383">
        <f>IF(ISNUMBER(Sector1!I203),Sector1!I203,"n.a.")</f>
        <v>406.327</v>
      </c>
      <c r="J81" s="3383">
        <f>IF(ISNUMBER(Sector1!J203),Sector1!J203,"n.a.")</f>
        <v>422.63600000000002</v>
      </c>
      <c r="K81" s="3383">
        <f>IF(ISNUMBER(Sector1!K203),Sector1!K203,"n.a.")</f>
        <v>461.70800000000003</v>
      </c>
      <c r="L81" s="3383">
        <f>IF(ISNUMBER(Sector1!L203),Sector1!L203,"n.a.")</f>
        <v>508.77199999999999</v>
      </c>
      <c r="M81" s="3383">
        <f>IF(ISNUMBER(Sector1!M203),Sector1!M203,"n.a.")</f>
        <v>485.786</v>
      </c>
      <c r="N81" s="3383">
        <f>IF(ISNUMBER(Sector1!N203),Sector1!N203,"n.a.")</f>
        <v>474.77600000000001</v>
      </c>
      <c r="O81" s="3383">
        <f>IF(ISNUMBER(Sector1!O203),Sector1!O203,"n.a.")</f>
        <v>510.32100000000003</v>
      </c>
      <c r="P81" s="3383">
        <f>IF(ISNUMBER(Sector1!P203),Sector1!P203,"n.a.")</f>
        <v>554.11599999999999</v>
      </c>
      <c r="Q81" s="3383">
        <f>IF(ISNUMBER(Sector1!Q203),Sector1!Q203,"n.a.")</f>
        <v>608.39700000000005</v>
      </c>
      <c r="R81" s="3383">
        <f>IF(ISNUMBER(Sector1!R203),Sector1!R203,"n.a.")</f>
        <v>653.79200000000003</v>
      </c>
      <c r="S81" s="3383">
        <f>IF(ISNUMBER(Sector1!S203),Sector1!S203,"n.a.")</f>
        <v>664.21500000000003</v>
      </c>
      <c r="T81" s="3383">
        <f>IF(ISNUMBER(Sector1!T203),Sector1!T203,"n.a.")</f>
        <v>635.04</v>
      </c>
      <c r="U81" s="3383">
        <f>IF(ISNUMBER(Sector1!U203),Sector1!U203,"n.a.")</f>
        <v>608.34299999999996</v>
      </c>
      <c r="V81" s="3383">
        <f>IF(ISNUMBER(Sector1!V203),Sector1!V203,"n.a.")</f>
        <v>639.57100000000003</v>
      </c>
      <c r="W81" s="3383">
        <f>IF(ISNUMBER(Sector1!W203),Sector1!W203,"n.a.")</f>
        <v>645.03899999999999</v>
      </c>
      <c r="X81" s="3383">
        <f>IF(ISNUMBER(Sector1!X203),Sector1!X203,"n.a.")</f>
        <v>642.23</v>
      </c>
      <c r="Y81" s="3383">
        <f>IF(ISNUMBER(Sector1!Y203),Sector1!Y203,"n.a.")</f>
        <v>670.59799999999996</v>
      </c>
      <c r="Z81" s="3383">
        <f>IF(ISNUMBER(Sector1!Z203),Sector1!Z203,"n.a.")</f>
        <v>701.28700000000003</v>
      </c>
      <c r="AA81" s="3383">
        <f>IF(ISNUMBER(Sector1!AA203),Sector1!AA203,"n.a.")</f>
        <v>771.37699999999995</v>
      </c>
      <c r="AB81" s="3383">
        <f>IF(ISNUMBER(Sector1!AB203),Sector1!AB203,"n.a.")</f>
        <v>824.66399999999999</v>
      </c>
      <c r="AC81" s="3383">
        <f>IF(ISNUMBER(Sector1!AC203),Sector1!AC203,"n.a.")</f>
        <v>867.20799999999997</v>
      </c>
      <c r="AD81" s="3383">
        <f>IF(ISNUMBER(Sector1!AD203),Sector1!AD203,"n.a.")</f>
        <v>895.41504268260928</v>
      </c>
      <c r="AE81" s="3383">
        <f>IF(ISNUMBER(Sector1!AE203),Sector1!AE203,"n.a.")</f>
        <v>923.42297259148313</v>
      </c>
      <c r="AF81" s="3383">
        <f>IF(ISNUMBER(Sector1!AF203),Sector1!AF203,"n.a.")</f>
        <v>949.63343995066862</v>
      </c>
      <c r="AG81"/>
      <c r="AH81"/>
      <c r="AI81"/>
      <c r="AJ81">
        <v>71</v>
      </c>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row>
    <row r="82" spans="1:159">
      <c r="A82" s="3383" t="str">
        <f t="shared" si="4"/>
        <v>\\DG ECFIN\Forecast\Country databases\Desk transfer databases\SE</v>
      </c>
      <c r="B82" s="3383" t="str">
        <f t="shared" si="5"/>
        <v>SE</v>
      </c>
      <c r="C82" s="3383" t="s">
        <v>2074</v>
      </c>
      <c r="D82" s="3383" t="s">
        <v>2148</v>
      </c>
      <c r="E82" s="3383" t="s">
        <v>2076</v>
      </c>
      <c r="F82" s="3383">
        <v>115</v>
      </c>
      <c r="G82" s="3383" t="s">
        <v>152</v>
      </c>
      <c r="H82" s="3383">
        <f>IF(ISNUMBER(Sector1!H253),Sector1!H253,"n.a.")</f>
        <v>125.264</v>
      </c>
      <c r="I82" s="3383">
        <f>IF(ISNUMBER(Sector1!I253),Sector1!I253,"n.a.")</f>
        <v>136.75800000000001</v>
      </c>
      <c r="J82" s="3383">
        <f>IF(ISNUMBER(Sector1!J253),Sector1!J253,"n.a.")</f>
        <v>100.476</v>
      </c>
      <c r="K82" s="3383">
        <f>IF(ISNUMBER(Sector1!K253),Sector1!K253,"n.a.")</f>
        <v>100.72800000000001</v>
      </c>
      <c r="L82" s="3383">
        <f>IF(ISNUMBER(Sector1!L253),Sector1!L253,"n.a.")</f>
        <v>122.01700000000001</v>
      </c>
      <c r="M82" s="3383">
        <f>IF(ISNUMBER(Sector1!M253),Sector1!M253,"n.a.")</f>
        <v>115.65899999999999</v>
      </c>
      <c r="N82" s="3383">
        <f>IF(ISNUMBER(Sector1!N253),Sector1!N253,"n.a.")</f>
        <v>101.64</v>
      </c>
      <c r="O82" s="3383">
        <f>IF(ISNUMBER(Sector1!O253),Sector1!O253,"n.a.")</f>
        <v>104.901</v>
      </c>
      <c r="P82" s="3383">
        <f>IF(ISNUMBER(Sector1!P253),Sector1!P253,"n.a.")</f>
        <v>107.58499999999999</v>
      </c>
      <c r="Q82" s="3383">
        <f>IF(ISNUMBER(Sector1!Q253),Sector1!Q253,"n.a.")</f>
        <v>102.31699999999999</v>
      </c>
      <c r="R82" s="3383">
        <f>IF(ISNUMBER(Sector1!R253),Sector1!R253,"n.a.")</f>
        <v>97.768000000000001</v>
      </c>
      <c r="S82" s="3383">
        <f>IF(ISNUMBER(Sector1!S253),Sector1!S253,"n.a.")</f>
        <v>105.70400000000001</v>
      </c>
      <c r="T82" s="3383">
        <f>IF(ISNUMBER(Sector1!T253),Sector1!T253,"n.a.")</f>
        <v>111.691</v>
      </c>
      <c r="U82" s="3383">
        <f>IF(ISNUMBER(Sector1!U253),Sector1!U253,"n.a.")</f>
        <v>111.64400000000001</v>
      </c>
      <c r="V82" s="3383">
        <f>IF(ISNUMBER(Sector1!V253),Sector1!V253,"n.a.")</f>
        <v>113.916</v>
      </c>
      <c r="W82" s="3383">
        <f>IF(ISNUMBER(Sector1!W253),Sector1!W253,"n.a.")</f>
        <v>123.47500000000001</v>
      </c>
      <c r="X82" s="3383">
        <f>IF(ISNUMBER(Sector1!X253),Sector1!X253,"n.a.")</f>
        <v>124.541</v>
      </c>
      <c r="Y82" s="3383">
        <f>IF(ISNUMBER(Sector1!Y253),Sector1!Y253,"n.a.")</f>
        <v>128.04300000000001</v>
      </c>
      <c r="Z82" s="3383">
        <f>IF(ISNUMBER(Sector1!Z253),Sector1!Z253,"n.a.")</f>
        <v>132.084</v>
      </c>
      <c r="AA82" s="3383">
        <f>IF(ISNUMBER(Sector1!AA253),Sector1!AA253,"n.a.")</f>
        <v>139.16200000000001</v>
      </c>
      <c r="AB82" s="3383">
        <f>IF(ISNUMBER(Sector1!AB253),Sector1!AB253,"n.a.")</f>
        <v>145.68199999999999</v>
      </c>
      <c r="AC82" s="3383">
        <f>IF(ISNUMBER(Sector1!AC253),Sector1!AC253,"n.a.")</f>
        <v>153.01</v>
      </c>
      <c r="AD82" s="3383">
        <f>IF(ISNUMBER(Sector1!AD253),Sector1!AD253,"n.a.")</f>
        <v>159.91670808965222</v>
      </c>
      <c r="AE82" s="3383">
        <f>IF(ISNUMBER(Sector1!AE253),Sector1!AE253,"n.a.")</f>
        <v>166.53136532795457</v>
      </c>
      <c r="AF82" s="3383">
        <f>IF(ISNUMBER(Sector1!AF253),Sector1!AF253,"n.a.")</f>
        <v>172.79813185204455</v>
      </c>
      <c r="AG82"/>
      <c r="AH82"/>
      <c r="AI82"/>
      <c r="AJ82">
        <v>72</v>
      </c>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row>
    <row r="83" spans="1:159">
      <c r="A83" s="3383" t="str">
        <f t="shared" si="4"/>
        <v>\\DG ECFIN\Forecast\Country databases\Desk transfer databases\SE</v>
      </c>
      <c r="B83" s="3383" t="str">
        <f t="shared" si="5"/>
        <v>SE</v>
      </c>
      <c r="C83" s="3383" t="s">
        <v>2074</v>
      </c>
      <c r="D83" s="3383" t="s">
        <v>2149</v>
      </c>
      <c r="E83" s="3383" t="s">
        <v>2076</v>
      </c>
      <c r="F83" s="3383">
        <v>116</v>
      </c>
      <c r="G83" s="3383" t="s">
        <v>154</v>
      </c>
      <c r="H83" s="3383">
        <f>IF(ISNUMBER(Sector1!H251),Sector1!H251,"n.a.")</f>
        <v>114.637</v>
      </c>
      <c r="I83" s="3383">
        <f>IF(ISNUMBER(Sector1!I251),Sector1!I251,"n.a.")</f>
        <v>126.718</v>
      </c>
      <c r="J83" s="3383">
        <f>IF(ISNUMBER(Sector1!J251),Sector1!J251,"n.a.")</f>
        <v>98.093999999999994</v>
      </c>
      <c r="K83" s="3383">
        <f>IF(ISNUMBER(Sector1!K251),Sector1!K251,"n.a.")</f>
        <v>98.081000000000003</v>
      </c>
      <c r="L83" s="3383">
        <f>IF(ISNUMBER(Sector1!L251),Sector1!L251,"n.a.")</f>
        <v>119.379</v>
      </c>
      <c r="M83" s="3383">
        <f>IF(ISNUMBER(Sector1!M251),Sector1!M251,"n.a.")</f>
        <v>112.81699999999999</v>
      </c>
      <c r="N83" s="3383">
        <f>IF(ISNUMBER(Sector1!N251),Sector1!N251,"n.a.")</f>
        <v>98.570999999999998</v>
      </c>
      <c r="O83" s="3383">
        <f>IF(ISNUMBER(Sector1!O251),Sector1!O251,"n.a.")</f>
        <v>101.652</v>
      </c>
      <c r="P83" s="3383">
        <f>IF(ISNUMBER(Sector1!P251),Sector1!P251,"n.a.")</f>
        <v>104.187</v>
      </c>
      <c r="Q83" s="3383">
        <f>IF(ISNUMBER(Sector1!Q251),Sector1!Q251,"n.a.")</f>
        <v>98.632999999999996</v>
      </c>
      <c r="R83" s="3383">
        <f>IF(ISNUMBER(Sector1!R251),Sector1!R251,"n.a.")</f>
        <v>93.983999999999995</v>
      </c>
      <c r="S83" s="3383">
        <f>IF(ISNUMBER(Sector1!S251),Sector1!S251,"n.a.")</f>
        <v>101.75700000000001</v>
      </c>
      <c r="T83" s="3383">
        <f>IF(ISNUMBER(Sector1!T251),Sector1!T251,"n.a.")</f>
        <v>107.465</v>
      </c>
      <c r="U83" s="3383">
        <f>IF(ISNUMBER(Sector1!U251),Sector1!U251,"n.a.")</f>
        <v>107.113</v>
      </c>
      <c r="V83" s="3383">
        <f>IF(ISNUMBER(Sector1!V251),Sector1!V251,"n.a.")</f>
        <v>109.208</v>
      </c>
      <c r="W83" s="3383">
        <f>IF(ISNUMBER(Sector1!W251),Sector1!W251,"n.a.")</f>
        <v>118.41800000000001</v>
      </c>
      <c r="X83" s="3383">
        <f>IF(ISNUMBER(Sector1!X251),Sector1!X251,"n.a.")</f>
        <v>119.142</v>
      </c>
      <c r="Y83" s="3383">
        <f>IF(ISNUMBER(Sector1!Y251),Sector1!Y251,"n.a.")</f>
        <v>122.538</v>
      </c>
      <c r="Z83" s="3383">
        <f>IF(ISNUMBER(Sector1!Z251),Sector1!Z251,"n.a.")</f>
        <v>126.099</v>
      </c>
      <c r="AA83" s="3383">
        <f>IF(ISNUMBER(Sector1!AA251),Sector1!AA251,"n.a.")</f>
        <v>132.46899999999999</v>
      </c>
      <c r="AB83" s="3383">
        <f>IF(ISNUMBER(Sector1!AB251),Sector1!AB251,"n.a.")</f>
        <v>138.55199999999999</v>
      </c>
      <c r="AC83" s="3383">
        <f>IF(ISNUMBER(Sector1!AC251),Sector1!AC251,"n.a.")</f>
        <v>145.512</v>
      </c>
      <c r="AD83" s="3383">
        <f>IF(ISNUMBER(Sector1!AD251),Sector1!AD251,"n.a.")</f>
        <v>152.11129008965221</v>
      </c>
      <c r="AE83" s="3383">
        <f>IF(ISNUMBER(Sector1!AE251),Sector1!AE251,"n.a.")</f>
        <v>158.43402469475458</v>
      </c>
      <c r="AF83" s="3383">
        <f>IF(ISNUMBER(Sector1!AF251),Sector1!AF251,"n.a.")</f>
        <v>164.39795067916288</v>
      </c>
      <c r="AG83"/>
      <c r="AH83"/>
      <c r="AI83"/>
      <c r="AJ83">
        <v>73</v>
      </c>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row>
    <row r="84" spans="1:159">
      <c r="A84" s="3383" t="str">
        <f t="shared" si="4"/>
        <v>\\DG ECFIN\Forecast\Country databases\Desk transfer databases\SE</v>
      </c>
      <c r="B84" s="3383" t="str">
        <f t="shared" si="5"/>
        <v>SE</v>
      </c>
      <c r="C84" s="3383" t="s">
        <v>2074</v>
      </c>
      <c r="D84" s="3383" t="s">
        <v>2150</v>
      </c>
      <c r="E84" s="3383" t="s">
        <v>2076</v>
      </c>
      <c r="F84" s="3383">
        <v>117</v>
      </c>
      <c r="G84" s="3383" t="s">
        <v>451</v>
      </c>
      <c r="H84" s="3383">
        <f>IF(ISNUMBER(Sector1!H748),Sector1!H748,"n.a.")</f>
        <v>85.831999999999994</v>
      </c>
      <c r="I84" s="3383">
        <f>IF(ISNUMBER(Sector1!I748),Sector1!I748,"n.a.")</f>
        <v>77.025999999999996</v>
      </c>
      <c r="J84" s="3383">
        <f>IF(ISNUMBER(Sector1!J748),Sector1!J748,"n.a.")</f>
        <v>80.839999999999989</v>
      </c>
      <c r="K84" s="3383">
        <f>IF(ISNUMBER(Sector1!K748),Sector1!K748,"n.a.")</f>
        <v>73.117000000000004</v>
      </c>
      <c r="L84" s="3383">
        <f>IF(ISNUMBER(Sector1!L748),Sector1!L748,"n.a.")</f>
        <v>70.709000000000003</v>
      </c>
      <c r="M84" s="3383">
        <f>IF(ISNUMBER(Sector1!M748),Sector1!M748,"n.a.")</f>
        <v>63.176000000000002</v>
      </c>
      <c r="N84" s="3383">
        <f>IF(ISNUMBER(Sector1!N748),Sector1!N748,"n.a.")</f>
        <v>64.686999999999998</v>
      </c>
      <c r="O84" s="3383">
        <f>IF(ISNUMBER(Sector1!O748),Sector1!O748,"n.a.")</f>
        <v>65.953000000000003</v>
      </c>
      <c r="P84" s="3383">
        <f>IF(ISNUMBER(Sector1!P748),Sector1!P748,"n.a.")</f>
        <v>64.932000000000002</v>
      </c>
      <c r="Q84" s="3383">
        <f>IF(ISNUMBER(Sector1!Q748),Sector1!Q748,"n.a.")</f>
        <v>78.156000000000006</v>
      </c>
      <c r="R84" s="3383">
        <f>IF(ISNUMBER(Sector1!R748),Sector1!R748,"n.a.")</f>
        <v>81.650000000000006</v>
      </c>
      <c r="S84" s="3383">
        <f>IF(ISNUMBER(Sector1!S748),Sector1!S748,"n.a.")</f>
        <v>101.85399999999998</v>
      </c>
      <c r="T84" s="3383">
        <f>IF(ISNUMBER(Sector1!T748),Sector1!T748,"n.a.")</f>
        <v>108.235</v>
      </c>
      <c r="U84" s="3383">
        <f>IF(ISNUMBER(Sector1!U748),Sector1!U748,"n.a.")</f>
        <v>96.896000000000001</v>
      </c>
      <c r="V84" s="3383">
        <f>IF(ISNUMBER(Sector1!V748),Sector1!V748,"n.a.")</f>
        <v>97.058999999999997</v>
      </c>
      <c r="W84" s="3383">
        <f>IF(ISNUMBER(Sector1!W748),Sector1!W748,"n.a.")</f>
        <v>103.709</v>
      </c>
      <c r="X84" s="3383">
        <f>IF(ISNUMBER(Sector1!X748),Sector1!X748,"n.a.")</f>
        <v>102.892</v>
      </c>
      <c r="Y84" s="3383">
        <f>IF(ISNUMBER(Sector1!Y748),Sector1!Y748,"n.a.")</f>
        <v>103.756</v>
      </c>
      <c r="Z84" s="3383">
        <f>IF(ISNUMBER(Sector1!Z748),Sector1!Z748,"n.a.")</f>
        <v>92.15</v>
      </c>
      <c r="AA84" s="3383">
        <f>IF(ISNUMBER(Sector1!AA748),Sector1!AA748,"n.a.")</f>
        <v>91.174999999999997</v>
      </c>
      <c r="AB84" s="3383">
        <f>IF(ISNUMBER(Sector1!AB748),Sector1!AB748,"n.a.")</f>
        <v>96.41</v>
      </c>
      <c r="AC84" s="3383">
        <f>IF(ISNUMBER(Sector1!AC748),Sector1!AC748,"n.a.")</f>
        <v>98.6</v>
      </c>
      <c r="AD84" s="3383">
        <f>IF(ISNUMBER(Sector1!AD748),Sector1!AD748,"n.a.")</f>
        <v>97.593119999999999</v>
      </c>
      <c r="AE84" s="3383">
        <f>IF(ISNUMBER(Sector1!AE748),Sector1!AE748,"n.a.")</f>
        <v>96.492900349999985</v>
      </c>
      <c r="AF84" s="3383">
        <f>IF(ISNUMBER(Sector1!AF748),Sector1!AF748,"n.a.")</f>
        <v>95.424321194249984</v>
      </c>
      <c r="AG84"/>
      <c r="AH84"/>
      <c r="AI84"/>
      <c r="AJ84">
        <v>74</v>
      </c>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row>
    <row r="85" spans="1:159">
      <c r="A85" s="3383" t="str">
        <f t="shared" si="4"/>
        <v>\\DG ECFIN\Forecast\Country databases\Desk transfer databases\SE</v>
      </c>
      <c r="B85" s="3383" t="str">
        <f t="shared" si="5"/>
        <v>SE</v>
      </c>
      <c r="C85" s="3383" t="s">
        <v>2074</v>
      </c>
      <c r="D85" s="3383" t="s">
        <v>2151</v>
      </c>
      <c r="E85" s="3383" t="s">
        <v>2076</v>
      </c>
      <c r="F85" s="3383">
        <v>118</v>
      </c>
      <c r="G85" s="3383" t="s">
        <v>453</v>
      </c>
      <c r="H85" s="3383">
        <f>IF(ISNUMBER('VVP2'!H192),'VVP2'!H192,"n.a.")</f>
        <v>149.41900000000001</v>
      </c>
      <c r="I85" s="3383">
        <f>IF(ISNUMBER('VVP2'!I192),'VVP2'!I192,"n.a.")</f>
        <v>155.59299999999999</v>
      </c>
      <c r="J85" s="3383">
        <f>IF(ISNUMBER('VVP2'!J192),'VVP2'!J192,"n.a.")</f>
        <v>160.21600000000001</v>
      </c>
      <c r="K85" s="3383">
        <f>IF(ISNUMBER('VVP2'!K192),'VVP2'!K192,"n.a.")</f>
        <v>171.64</v>
      </c>
      <c r="L85" s="3383">
        <f>IF(ISNUMBER('VVP2'!L192),'VVP2'!L192,"n.a.")</f>
        <v>179.05500000000001</v>
      </c>
      <c r="M85" s="3383">
        <f>IF(ISNUMBER('VVP2'!M192),'VVP2'!M192,"n.a.")</f>
        <v>172.517</v>
      </c>
      <c r="N85" s="3383">
        <f>IF(ISNUMBER('VVP2'!N192),'VVP2'!N192,"n.a.")</f>
        <v>181.41399999999999</v>
      </c>
      <c r="O85" s="3383">
        <f>IF(ISNUMBER('VVP2'!O192),'VVP2'!O192,"n.a.")</f>
        <v>188.52099999999999</v>
      </c>
      <c r="P85" s="3383">
        <f>IF(ISNUMBER('VVP2'!P192),'VVP2'!P192,"n.a.")</f>
        <v>192.70099999999999</v>
      </c>
      <c r="Q85" s="3383">
        <f>IF(ISNUMBER('VVP2'!Q192),'VVP2'!Q192,"n.a.")</f>
        <v>196.393</v>
      </c>
      <c r="R85" s="3383">
        <f>IF(ISNUMBER('VVP2'!R192),'VVP2'!R192,"n.a.")</f>
        <v>206.482</v>
      </c>
      <c r="S85" s="3383">
        <f>IF(ISNUMBER('VVP2'!S192),'VVP2'!S192,"n.a.")</f>
        <v>212.566</v>
      </c>
      <c r="T85" s="3383">
        <f>IF(ISNUMBER('VVP2'!T192),'VVP2'!T192,"n.a.")</f>
        <v>226.792</v>
      </c>
      <c r="U85" s="3383">
        <f>IF(ISNUMBER('VVP2'!U192),'VVP2'!U192,"n.a.")</f>
        <v>238.70599999999999</v>
      </c>
      <c r="V85" s="3383">
        <f>IF(ISNUMBER('VVP2'!V192),'VVP2'!V192,"n.a.")</f>
        <v>246.37</v>
      </c>
      <c r="W85" s="3383">
        <f>IF(ISNUMBER('VVP2'!W192),'VVP2'!W192,"n.a.")</f>
        <v>257.30399999999997</v>
      </c>
      <c r="X85" s="3383">
        <f>IF(ISNUMBER('VVP2'!X192),'VVP2'!X192,"n.a.")</f>
        <v>271.25400000000002</v>
      </c>
      <c r="Y85" s="3383">
        <f>IF(ISNUMBER('VVP2'!Y192),'VVP2'!Y192,"n.a.")</f>
        <v>283.09500000000003</v>
      </c>
      <c r="Z85" s="3383">
        <f>IF(ISNUMBER('VVP2'!Z192),'VVP2'!Z192,"n.a.")</f>
        <v>291.25299999999999</v>
      </c>
      <c r="AA85" s="3383">
        <f>IF(ISNUMBER('VVP2'!AA192),'VVP2'!AA192,"n.a.")</f>
        <v>299.822</v>
      </c>
      <c r="AB85" s="3383">
        <f>IF(ISNUMBER('VVP2'!AB192),'VVP2'!AB192,"n.a.")</f>
        <v>305.90600000000001</v>
      </c>
      <c r="AC85" s="3383">
        <f>IF(ISNUMBER('VVP2'!AC192),'VVP2'!AC192,"n.a.")</f>
        <v>314.08800000000002</v>
      </c>
      <c r="AD85" s="3383">
        <f ca="1">IF(ISNUMBER('VVP2'!AD192),'VVP2'!AD192,"n.a.")</f>
        <v>325.70925599999998</v>
      </c>
      <c r="AE85" s="3383">
        <f ca="1">IF(ISNUMBER('VVP2'!AE192),'VVP2'!AE192,"n.a.")</f>
        <v>336.13195219199997</v>
      </c>
      <c r="AF85" s="3383">
        <f ca="1">IF(ISNUMBER('VVP2'!AF192),'VVP2'!AF192,"n.a.")</f>
        <v>345.20751490118397</v>
      </c>
      <c r="AG85"/>
      <c r="AH85"/>
      <c r="AI85"/>
      <c r="AJ85">
        <v>75</v>
      </c>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row>
    <row r="86" spans="1:159">
      <c r="A86" s="3383" t="str">
        <f t="shared" si="4"/>
        <v>\\DG ECFIN\Forecast\Country databases\Desk transfer databases\SE</v>
      </c>
      <c r="B86" s="3383" t="str">
        <f t="shared" si="5"/>
        <v>SE</v>
      </c>
      <c r="C86" s="3383" t="s">
        <v>2074</v>
      </c>
      <c r="D86" s="3383" t="s">
        <v>2152</v>
      </c>
      <c r="E86" s="3383" t="s">
        <v>2076</v>
      </c>
      <c r="F86" s="3383">
        <v>119</v>
      </c>
      <c r="G86" s="3383" t="s">
        <v>454</v>
      </c>
      <c r="H86" s="3383">
        <f>IF(ISNUMBER('VVP2'!H191),'VVP2'!H191,"n.a.")</f>
        <v>350.78</v>
      </c>
      <c r="I86" s="3383">
        <f>IF(ISNUMBER('VVP2'!I191),'VVP2'!I191,"n.a.")</f>
        <v>357.50400000000002</v>
      </c>
      <c r="J86" s="3383">
        <f>IF(ISNUMBER('VVP2'!J191),'VVP2'!J191,"n.a.")</f>
        <v>380.68099999999998</v>
      </c>
      <c r="K86" s="3383">
        <f>IF(ISNUMBER('VVP2'!K191),'VVP2'!K191,"n.a.")</f>
        <v>397.43200000000002</v>
      </c>
      <c r="L86" s="3383">
        <f>IF(ISNUMBER('VVP2'!L191),'VVP2'!L191,"n.a.")</f>
        <v>405.01900000000001</v>
      </c>
      <c r="M86" s="3383">
        <f>IF(ISNUMBER('VVP2'!M191),'VVP2'!M191,"n.a.")</f>
        <v>440.12200000000001</v>
      </c>
      <c r="N86" s="3383">
        <f>IF(ISNUMBER('VVP2'!N191),'VVP2'!N191,"n.a.")</f>
        <v>473.24400000000003</v>
      </c>
      <c r="O86" s="3383">
        <f>IF(ISNUMBER('VVP2'!O191),'VVP2'!O191,"n.a.")</f>
        <v>499.90300000000002</v>
      </c>
      <c r="P86" s="3383">
        <f>IF(ISNUMBER('VVP2'!P191),'VVP2'!P191,"n.a.")</f>
        <v>508.31900000000002</v>
      </c>
      <c r="Q86" s="3383">
        <f>IF(ISNUMBER('VVP2'!Q191),'VVP2'!Q191,"n.a.")</f>
        <v>526.24900000000002</v>
      </c>
      <c r="R86" s="3383">
        <f>IF(ISNUMBER('VVP2'!R191),'VVP2'!R191,"n.a.")</f>
        <v>555.07299999999998</v>
      </c>
      <c r="S86" s="3383">
        <f>IF(ISNUMBER('VVP2'!S191),'VVP2'!S191,"n.a.")</f>
        <v>580.89300000000003</v>
      </c>
      <c r="T86" s="3383">
        <f>IF(ISNUMBER('VVP2'!T191),'VVP2'!T191,"n.a.")</f>
        <v>606.57299999999998</v>
      </c>
      <c r="U86" s="3383">
        <f>IF(ISNUMBER('VVP2'!U191),'VVP2'!U191,"n.a.")</f>
        <v>621.86199999999997</v>
      </c>
      <c r="V86" s="3383">
        <f>IF(ISNUMBER('VVP2'!V191),'VVP2'!V191,"n.a.")</f>
        <v>640.00199999999995</v>
      </c>
      <c r="W86" s="3383">
        <f>IF(ISNUMBER('VVP2'!W191),'VVP2'!W191,"n.a.")</f>
        <v>663.51400000000001</v>
      </c>
      <c r="X86" s="3383">
        <f>IF(ISNUMBER('VVP2'!X191),'VVP2'!X191,"n.a.")</f>
        <v>683.65700000000004</v>
      </c>
      <c r="Y86" s="3383">
        <f>IF(ISNUMBER('VVP2'!Y191),'VVP2'!Y191,"n.a.")</f>
        <v>709.53599999999994</v>
      </c>
      <c r="Z86" s="3383">
        <f>IF(ISNUMBER('VVP2'!Z191),'VVP2'!Z191,"n.a.")</f>
        <v>740.25599999999997</v>
      </c>
      <c r="AA86" s="3383">
        <f>IF(ISNUMBER('VVP2'!AA191),'VVP2'!AA191,"n.a.")</f>
        <v>786.80799999999999</v>
      </c>
      <c r="AB86" s="3383">
        <f>IF(ISNUMBER('VVP2'!AB191),'VVP2'!AB191,"n.a.")</f>
        <v>847.62199999999996</v>
      </c>
      <c r="AC86" s="3383">
        <f>IF(ISNUMBER('VVP2'!AC191),'VVP2'!AC191,"n.a.")</f>
        <v>881.56100000000004</v>
      </c>
      <c r="AD86" s="3383">
        <f ca="1">IF(ISNUMBER('VVP2'!AD191),'VVP2'!AD191,"n.a.")</f>
        <v>923.69660129960005</v>
      </c>
      <c r="AE86" s="3383">
        <f ca="1">IF(ISNUMBER('VVP2'!AE191),'VVP2'!AE191,"n.a.")</f>
        <v>959.81677210372459</v>
      </c>
      <c r="AF86" s="3383">
        <f ca="1">IF(ISNUMBER('VVP2'!AF191),'VVP2'!AF191,"n.a.")</f>
        <v>996.80155976371464</v>
      </c>
      <c r="AG86"/>
      <c r="AH86"/>
      <c r="AI86"/>
      <c r="AJ86">
        <v>76</v>
      </c>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row>
    <row r="87" spans="1:159">
      <c r="A87" s="3383" t="str">
        <f t="shared" si="4"/>
        <v>\\DG ECFIN\Forecast\Country databases\Desk transfer databases\SE</v>
      </c>
      <c r="B87" s="3383" t="str">
        <f t="shared" si="5"/>
        <v>SE</v>
      </c>
      <c r="C87" s="3383" t="s">
        <v>2074</v>
      </c>
      <c r="D87" s="3383" t="s">
        <v>2153</v>
      </c>
      <c r="E87" s="3383" t="s">
        <v>2076</v>
      </c>
      <c r="F87" s="3383">
        <v>120</v>
      </c>
      <c r="G87" s="3383" t="s">
        <v>455</v>
      </c>
      <c r="H87" s="3383">
        <f>IF(ISNUMBER(Labour1!H210),Labour1!H210,"n.a.")</f>
        <v>268.04500000000002</v>
      </c>
      <c r="I87" s="3383">
        <f>IF(ISNUMBER(Labour1!I210),Labour1!I210,"n.a.")</f>
        <v>274.49599999999998</v>
      </c>
      <c r="J87" s="3383">
        <f>IF(ISNUMBER(Labour1!J210),Labour1!J210,"n.a.")</f>
        <v>266.63799999999998</v>
      </c>
      <c r="K87" s="3383">
        <f>IF(ISNUMBER(Labour1!K210),Labour1!K210,"n.a.")</f>
        <v>280.95800000000003</v>
      </c>
      <c r="L87" s="3383">
        <f>IF(ISNUMBER(Labour1!L210),Labour1!L210,"n.a.")</f>
        <v>294.495</v>
      </c>
      <c r="M87" s="3383">
        <f>IF(ISNUMBER(Labour1!M210),Labour1!M210,"n.a.")</f>
        <v>311.065</v>
      </c>
      <c r="N87" s="3383">
        <f>IF(ISNUMBER(Labour1!N210),Labour1!N210,"n.a.")</f>
        <v>327.976</v>
      </c>
      <c r="O87" s="3383">
        <f>IF(ISNUMBER(Labour1!O210),Labour1!O210,"n.a.")</f>
        <v>350.36099999999999</v>
      </c>
      <c r="P87" s="3383">
        <f>IF(ISNUMBER(Labour1!P210),Labour1!P210,"n.a.")</f>
        <v>361.548</v>
      </c>
      <c r="Q87" s="3383">
        <f>IF(ISNUMBER(Labour1!Q210),Labour1!Q210,"n.a.")</f>
        <v>371.09899999999999</v>
      </c>
      <c r="R87" s="3383">
        <f>IF(ISNUMBER(Labour1!R210),Labour1!R210,"n.a.")</f>
        <v>387.87700000000001</v>
      </c>
      <c r="S87" s="3383">
        <f>IF(ISNUMBER(Labour1!S210),Labour1!S210,"n.a.")</f>
        <v>406.66199999999998</v>
      </c>
      <c r="T87" s="3383">
        <f>IF(ISNUMBER(Labour1!T210),Labour1!T210,"n.a.")</f>
        <v>422.37099999999998</v>
      </c>
      <c r="U87" s="3383">
        <f>IF(ISNUMBER(Labour1!U210),Labour1!U210,"n.a.")</f>
        <v>423.75599999999997</v>
      </c>
      <c r="V87" s="3383">
        <f>IF(ISNUMBER(Labour1!V210),Labour1!V210,"n.a.")</f>
        <v>432.76</v>
      </c>
      <c r="W87" s="3383">
        <f>IF(ISNUMBER(Labour1!W210),Labour1!W210,"n.a.")</f>
        <v>445.54700000000003</v>
      </c>
      <c r="X87" s="3383">
        <f>IF(ISNUMBER(Labour1!X210),Labour1!X210,"n.a.")</f>
        <v>464.60700000000003</v>
      </c>
      <c r="Y87" s="3383">
        <f>IF(ISNUMBER(Labour1!Y210),Labour1!Y210,"n.a.")</f>
        <v>481.25400000000002</v>
      </c>
      <c r="Z87" s="3383">
        <f>IF(ISNUMBER(Labour1!Z210),Labour1!Z210,"n.a.")</f>
        <v>499.613</v>
      </c>
      <c r="AA87" s="3383">
        <f>IF(ISNUMBER(Labour1!AA210),Labour1!AA210,"n.a.")</f>
        <v>522.40599999999995</v>
      </c>
      <c r="AB87" s="3383">
        <f>IF(ISNUMBER(Labour1!AB210),Labour1!AB210,"n.a.")</f>
        <v>552.30999999999995</v>
      </c>
      <c r="AC87" s="3383">
        <f>IF(ISNUMBER(Labour1!AC210),Labour1!AC210,"n.a.")</f>
        <v>580.47299999999996</v>
      </c>
      <c r="AD87" s="3383">
        <f>IF(ISNUMBER(Labour1!AD210),Labour1!AD210,"n.a.")</f>
        <v>609.1532079189999</v>
      </c>
      <c r="AE87" s="3383">
        <f>IF(ISNUMBER(Labour1!AE210),Labour1!AE210,"n.a.")</f>
        <v>634.15236677277699</v>
      </c>
      <c r="AF87" s="3383">
        <f>IF(ISNUMBER(Labour1!AF210),Labour1!AF210,"n.a.")</f>
        <v>658.52821828109757</v>
      </c>
      <c r="AG87"/>
      <c r="AH87"/>
      <c r="AI87"/>
      <c r="AJ87">
        <v>77</v>
      </c>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row>
    <row r="88" spans="1:159">
      <c r="A88" s="3383" t="str">
        <f t="shared" si="4"/>
        <v>\\DG ECFIN\Forecast\Country databases\Desk transfer databases\SE</v>
      </c>
      <c r="B88" s="3383" t="str">
        <f t="shared" si="5"/>
        <v>SE</v>
      </c>
      <c r="C88" s="3383" t="s">
        <v>2074</v>
      </c>
      <c r="D88" s="3383" t="s">
        <v>2154</v>
      </c>
      <c r="E88" s="3383" t="s">
        <v>2076</v>
      </c>
      <c r="F88" s="3383">
        <v>121</v>
      </c>
      <c r="G88" s="3383" t="s">
        <v>1151</v>
      </c>
      <c r="H88" s="3383">
        <f>IF(ISNUMBER(Sector1!H298),Sector1!H298,"n.a.")</f>
        <v>317.47399999999999</v>
      </c>
      <c r="I88" s="3383">
        <f>IF(ISNUMBER(Sector1!I298),Sector1!I298,"n.a.")</f>
        <v>320.11200000000002</v>
      </c>
      <c r="J88" s="3383">
        <f>IF(ISNUMBER(Sector1!J298),Sector1!J298,"n.a.")</f>
        <v>332.70299999999997</v>
      </c>
      <c r="K88" s="3383">
        <f>IF(ISNUMBER(Sector1!K298),Sector1!K298,"n.a.")</f>
        <v>345.29</v>
      </c>
      <c r="L88" s="3383">
        <f>IF(ISNUMBER(Sector1!L298),Sector1!L298,"n.a.")</f>
        <v>352.71600000000001</v>
      </c>
      <c r="M88" s="3383">
        <f>IF(ISNUMBER(Sector1!M298),Sector1!M298,"n.a.")</f>
        <v>369.43599999999998</v>
      </c>
      <c r="N88" s="3383">
        <f>IF(ISNUMBER(Sector1!N298),Sector1!N298,"n.a.")</f>
        <v>387.928</v>
      </c>
      <c r="O88" s="3383">
        <f>IF(ISNUMBER(Sector1!O298),Sector1!O298,"n.a.")</f>
        <v>416.36700000000002</v>
      </c>
      <c r="P88" s="3383">
        <f>IF(ISNUMBER(Sector1!P298),Sector1!P298,"n.a.")</f>
        <v>426.30599999999998</v>
      </c>
      <c r="Q88" s="3383">
        <f>IF(ISNUMBER(Sector1!Q298),Sector1!Q298,"n.a.")</f>
        <v>435.13799999999998</v>
      </c>
      <c r="R88" s="3383">
        <f>IF(ISNUMBER(Sector1!R298),Sector1!R298,"n.a.")</f>
        <v>446.697</v>
      </c>
      <c r="S88" s="3383">
        <f>IF(ISNUMBER(Sector1!S298),Sector1!S298,"n.a.")</f>
        <v>448.86200000000002</v>
      </c>
      <c r="T88" s="3383">
        <f>IF(ISNUMBER(Sector1!T298),Sector1!T298,"n.a.")</f>
        <v>462.101</v>
      </c>
      <c r="U88" s="3383">
        <f>IF(ISNUMBER(Sector1!U298),Sector1!U298,"n.a.")</f>
        <v>488.28699999999998</v>
      </c>
      <c r="V88" s="3383">
        <f>IF(ISNUMBER(Sector1!V298),Sector1!V298,"n.a.")</f>
        <v>491.79</v>
      </c>
      <c r="W88" s="3383">
        <f>IF(ISNUMBER(Sector1!W298),Sector1!W298,"n.a.")</f>
        <v>491.85300000000001</v>
      </c>
      <c r="X88" s="3383">
        <f>IF(ISNUMBER(Sector1!X298),Sector1!X298,"n.a.")</f>
        <v>515.91200000000003</v>
      </c>
      <c r="Y88" s="3383">
        <f>IF(ISNUMBER(Sector1!Y298),Sector1!Y298,"n.a.")</f>
        <v>539.41899999999998</v>
      </c>
      <c r="Z88" s="3383">
        <f>IF(ISNUMBER(Sector1!Z298),Sector1!Z298,"n.a.")</f>
        <v>545.01300000000003</v>
      </c>
      <c r="AA88" s="3383">
        <f>IF(ISNUMBER(Sector1!AA298),Sector1!AA298,"n.a.")</f>
        <v>561.06600000000003</v>
      </c>
      <c r="AB88" s="3383">
        <f>IF(ISNUMBER(Sector1!AB298),Sector1!AB298,"n.a.")</f>
        <v>577.98</v>
      </c>
      <c r="AC88" s="3383">
        <f>IF(ISNUMBER(Sector1!AC298),Sector1!AC298,"n.a.")</f>
        <v>591.447</v>
      </c>
      <c r="AD88" s="3383">
        <f>IF(ISNUMBER(Sector1!AD298),Sector1!AD298,"n.a.")</f>
        <v>612.44336850000002</v>
      </c>
      <c r="AE88" s="3383">
        <f>IF(ISNUMBER(Sector1!AE298),Sector1!AE298,"n.a.")</f>
        <v>621.6300190275</v>
      </c>
      <c r="AF88" s="3383">
        <f>IF(ISNUMBER(Sector1!AF298),Sector1!AF298,"n.a.")</f>
        <v>634.06261940804995</v>
      </c>
      <c r="AG88"/>
      <c r="AH88"/>
      <c r="AI88"/>
      <c r="AJ88">
        <v>78</v>
      </c>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row>
    <row r="89" spans="1:159">
      <c r="A89" s="3383" t="str">
        <f t="shared" si="4"/>
        <v>\\DG ECFIN\Forecast\Country databases\Desk transfer databases\SE</v>
      </c>
      <c r="B89" s="3383" t="str">
        <f t="shared" si="5"/>
        <v>SE</v>
      </c>
      <c r="C89" s="3383" t="s">
        <v>2074</v>
      </c>
      <c r="D89" s="3383" t="s">
        <v>2155</v>
      </c>
      <c r="E89" s="3383" t="s">
        <v>2076</v>
      </c>
      <c r="F89" s="3383">
        <v>122</v>
      </c>
      <c r="G89" s="3383" t="s">
        <v>1153</v>
      </c>
      <c r="H89" s="3383">
        <f>IF(ISNUMBER(Sector1!H139),Sector1!H139,"n.a.")</f>
        <v>100.435</v>
      </c>
      <c r="I89" s="3383">
        <f>IF(ISNUMBER(Sector1!I139),Sector1!I139,"n.a.")</f>
        <v>101.459</v>
      </c>
      <c r="J89" s="3383">
        <f>IF(ISNUMBER(Sector1!J139),Sector1!J139,"n.a.")</f>
        <v>92.584999999999994</v>
      </c>
      <c r="K89" s="3383">
        <f>IF(ISNUMBER(Sector1!K139),Sector1!K139,"n.a.")</f>
        <v>85.978999999999999</v>
      </c>
      <c r="L89" s="3383">
        <f>IF(ISNUMBER(Sector1!L139),Sector1!L139,"n.a.")</f>
        <v>78.953999999999994</v>
      </c>
      <c r="M89" s="3383">
        <f>IF(ISNUMBER(Sector1!M139),Sector1!M139,"n.a.")</f>
        <v>64.691999999999993</v>
      </c>
      <c r="N89" s="3383">
        <f>IF(ISNUMBER(Sector1!N139),Sector1!N139,"n.a.")</f>
        <v>74.091999999999999</v>
      </c>
      <c r="O89" s="3383">
        <f>IF(ISNUMBER(Sector1!O139),Sector1!O139,"n.a.")</f>
        <v>55.999000000000002</v>
      </c>
      <c r="P89" s="3383">
        <f>IF(ISNUMBER(Sector1!P139),Sector1!P139,"n.a.")</f>
        <v>47.375</v>
      </c>
      <c r="Q89" s="3383">
        <f>IF(ISNUMBER(Sector1!Q139),Sector1!Q139,"n.a.")</f>
        <v>50.914000000000001</v>
      </c>
      <c r="R89" s="3383">
        <f>IF(ISNUMBER(Sector1!R139),Sector1!R139,"n.a.")</f>
        <v>50.259</v>
      </c>
      <c r="S89" s="3383">
        <f>IF(ISNUMBER(Sector1!S139),Sector1!S139,"n.a.")</f>
        <v>54.591000000000001</v>
      </c>
      <c r="T89" s="3383">
        <f>IF(ISNUMBER(Sector1!T139),Sector1!T139,"n.a.")</f>
        <v>53.036999999999999</v>
      </c>
      <c r="U89" s="3383">
        <f>IF(ISNUMBER(Sector1!U139),Sector1!U139,"n.a.")</f>
        <v>38.298000000000002</v>
      </c>
      <c r="V89" s="3383">
        <f>IF(ISNUMBER(Sector1!V139),Sector1!V139,"n.a.")</f>
        <v>36.905000000000001</v>
      </c>
      <c r="W89" s="3383">
        <f>IF(ISNUMBER(Sector1!W139),Sector1!W139,"n.a.")</f>
        <v>41.17</v>
      </c>
      <c r="X89" s="3383">
        <f>IF(ISNUMBER(Sector1!X139),Sector1!X139,"n.a.")</f>
        <v>33.578000000000003</v>
      </c>
      <c r="Y89" s="3383">
        <f>IF(ISNUMBER(Sector1!Y139),Sector1!Y139,"n.a.")</f>
        <v>30.331</v>
      </c>
      <c r="Z89" s="3383">
        <f>IF(ISNUMBER(Sector1!Z139),Sector1!Z139,"n.a.")</f>
        <v>26.745000000000001</v>
      </c>
      <c r="AA89" s="3383">
        <f>IF(ISNUMBER(Sector1!AA139),Sector1!AA139,"n.a.")</f>
        <v>18.783000000000001</v>
      </c>
      <c r="AB89" s="3383">
        <f>IF(ISNUMBER(Sector1!AB139),Sector1!AB139,"n.a.")</f>
        <v>18.178000000000001</v>
      </c>
      <c r="AC89" s="3383">
        <f>IF(ISNUMBER(Sector1!AC139),Sector1!AC139,"n.a.")</f>
        <v>16.094000000000001</v>
      </c>
      <c r="AD89" s="3383">
        <f>IF(ISNUMBER(Sector1!AD139),Sector1!AD139,"n.a.")</f>
        <v>14.162720000000002</v>
      </c>
      <c r="AE89" s="3383">
        <f>IF(ISNUMBER(Sector1!AE139),Sector1!AE139,"n.a.")</f>
        <v>12.463193600000002</v>
      </c>
      <c r="AF89" s="3383">
        <f>IF(ISNUMBER(Sector1!AF139),Sector1!AF139,"n.a.")</f>
        <v>16.825311360000004</v>
      </c>
      <c r="AG89"/>
      <c r="AH89"/>
      <c r="AI89"/>
      <c r="AJ89">
        <v>79</v>
      </c>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row>
    <row r="90" spans="1:159">
      <c r="A90" s="3383" t="str">
        <f t="shared" si="4"/>
        <v>\\DG ECFIN\Forecast\Country databases\Desk transfer databases\SE</v>
      </c>
      <c r="B90" s="3383" t="str">
        <f t="shared" si="5"/>
        <v>SE</v>
      </c>
      <c r="C90" s="3383" t="s">
        <v>2074</v>
      </c>
      <c r="D90" s="3383" t="s">
        <v>2156</v>
      </c>
      <c r="E90" s="3383" t="s">
        <v>2076</v>
      </c>
      <c r="F90" s="3383">
        <v>123</v>
      </c>
      <c r="G90" s="3383" t="s">
        <v>1155</v>
      </c>
      <c r="H90" s="3383">
        <f>IF(ISNUMBER(Sector1!H50),Sector1!H50,"n.a.")</f>
        <v>58.389000000000003</v>
      </c>
      <c r="I90" s="3383">
        <f>IF(ISNUMBER(Sector1!I50),Sector1!I50,"n.a.")</f>
        <v>51.036999999999999</v>
      </c>
      <c r="J90" s="3383">
        <f>IF(ISNUMBER(Sector1!J50),Sector1!J50,"n.a.")</f>
        <v>42.825000000000003</v>
      </c>
      <c r="K90" s="3383">
        <f>IF(ISNUMBER(Sector1!K50),Sector1!K50,"n.a.")</f>
        <v>41.738999999999997</v>
      </c>
      <c r="L90" s="3383">
        <f>IF(ISNUMBER(Sector1!L50),Sector1!L50,"n.a.")</f>
        <v>36.072000000000003</v>
      </c>
      <c r="M90" s="3383">
        <f>IF(ISNUMBER(Sector1!M50),Sector1!M50,"n.a.")</f>
        <v>34.488</v>
      </c>
      <c r="N90" s="3383">
        <f>IF(ISNUMBER(Sector1!N50),Sector1!N50,"n.a.")</f>
        <v>37.427999999999997</v>
      </c>
      <c r="O90" s="3383">
        <f>IF(ISNUMBER(Sector1!O50),Sector1!O50,"n.a.")</f>
        <v>38.99</v>
      </c>
      <c r="P90" s="3383">
        <f>IF(ISNUMBER(Sector1!P50),Sector1!P50,"n.a.")</f>
        <v>37.92</v>
      </c>
      <c r="Q90" s="3383">
        <f>IF(ISNUMBER(Sector1!Q50),Sector1!Q50,"n.a.")</f>
        <v>40.715000000000003</v>
      </c>
      <c r="R90" s="3383">
        <f>IF(ISNUMBER(Sector1!R50),Sector1!R50,"n.a.")</f>
        <v>45.210999999999999</v>
      </c>
      <c r="S90" s="3383">
        <f>IF(ISNUMBER(Sector1!S50),Sector1!S50,"n.a.")</f>
        <v>46.545999999999999</v>
      </c>
      <c r="T90" s="3383">
        <f>IF(ISNUMBER(Sector1!T50),Sector1!T50,"n.a.")</f>
        <v>49.337000000000003</v>
      </c>
      <c r="U90" s="3383">
        <f>IF(ISNUMBER(Sector1!U50),Sector1!U50,"n.a.")</f>
        <v>50.597000000000001</v>
      </c>
      <c r="V90" s="3383">
        <f>IF(ISNUMBER(Sector1!V50),Sector1!V50,"n.a.")</f>
        <v>55.411999999999999</v>
      </c>
      <c r="W90" s="3383">
        <f>IF(ISNUMBER(Sector1!W50),Sector1!W50,"n.a.")</f>
        <v>59.75</v>
      </c>
      <c r="X90" s="3383">
        <f>IF(ISNUMBER(Sector1!X50),Sector1!X50,"n.a.")</f>
        <v>61.973999999999997</v>
      </c>
      <c r="Y90" s="3383">
        <f>IF(ISNUMBER(Sector1!Y50),Sector1!Y50,"n.a.")</f>
        <v>62.9</v>
      </c>
      <c r="Z90" s="3383">
        <f>IF(ISNUMBER(Sector1!Z50),Sector1!Z50,"n.a.")</f>
        <v>66.605000000000004</v>
      </c>
      <c r="AA90" s="3383">
        <f>IF(ISNUMBER(Sector1!AA50),Sector1!AA50,"n.a.")</f>
        <v>66.426000000000002</v>
      </c>
      <c r="AB90" s="3383">
        <f>IF(ISNUMBER(Sector1!AB50),Sector1!AB50,"n.a.")</f>
        <v>69.564999999999998</v>
      </c>
      <c r="AC90" s="3383">
        <f>IF(ISNUMBER(Sector1!AC50),Sector1!AC50,"n.a.")</f>
        <v>71.599999999999994</v>
      </c>
      <c r="AD90" s="3383">
        <f>IF(ISNUMBER(Sector1!AD50),Sector1!AD50,"n.a.")</f>
        <v>73.599230000000006</v>
      </c>
      <c r="AE90" s="3383">
        <f>IF(ISNUMBER(Sector1!AE50),Sector1!AE50,"n.a.")</f>
        <v>75.687790700000008</v>
      </c>
      <c r="AF90" s="3383">
        <f>IF(ISNUMBER(Sector1!AF50),Sector1!AF50,"n.a.")</f>
        <v>77.869020677000009</v>
      </c>
      <c r="AG90"/>
      <c r="AH90"/>
      <c r="AI90"/>
      <c r="AJ90">
        <v>80</v>
      </c>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row>
    <row r="91" spans="1:159">
      <c r="A91" s="3383" t="str">
        <f t="shared" si="4"/>
        <v>\\DG ECFIN\Forecast\Country databases\Desk transfer databases\SE</v>
      </c>
      <c r="B91" s="3383" t="str">
        <f t="shared" si="5"/>
        <v>SE</v>
      </c>
      <c r="C91" s="3383" t="s">
        <v>2074</v>
      </c>
      <c r="D91" s="3383" t="s">
        <v>2157</v>
      </c>
      <c r="E91" s="3383" t="s">
        <v>2076</v>
      </c>
      <c r="F91" s="3383">
        <v>124</v>
      </c>
      <c r="G91" s="3383" t="s">
        <v>1156</v>
      </c>
      <c r="H91" s="3383">
        <f>IF(ISNUMBER(Sector1!H756),Sector1!H756,"n.a.")</f>
        <v>131.38400000000001</v>
      </c>
      <c r="I91" s="3383">
        <f>IF(ISNUMBER(Sector1!I756),Sector1!I756,"n.a.")</f>
        <v>132.60300000000001</v>
      </c>
      <c r="J91" s="3383">
        <f>IF(ISNUMBER(Sector1!J756),Sector1!J756,"n.a.")</f>
        <v>155.02799999999999</v>
      </c>
      <c r="K91" s="3383">
        <f>IF(ISNUMBER(Sector1!K756),Sector1!K756,"n.a.")</f>
        <v>158.733</v>
      </c>
      <c r="L91" s="3383">
        <f>IF(ISNUMBER(Sector1!L756),Sector1!L756,"n.a.")</f>
        <v>159.89499999999998</v>
      </c>
      <c r="M91" s="3383">
        <f>IF(ISNUMBER(Sector1!M756),Sector1!M756,"n.a.")</f>
        <v>156.32299999999998</v>
      </c>
      <c r="N91" s="3383">
        <f>IF(ISNUMBER(Sector1!N756),Sector1!N756,"n.a.")</f>
        <v>156.07999999999998</v>
      </c>
      <c r="O91" s="3383">
        <f>IF(ISNUMBER(Sector1!O756),Sector1!O756,"n.a.")</f>
        <v>172.34899999999999</v>
      </c>
      <c r="P91" s="3383">
        <f>IF(ISNUMBER(Sector1!P756),Sector1!P756,"n.a.")</f>
        <v>183.28199999999998</v>
      </c>
      <c r="Q91" s="3383">
        <f>IF(ISNUMBER(Sector1!Q756),Sector1!Q756,"n.a.")</f>
        <v>190.26499999999999</v>
      </c>
      <c r="R91" s="3383">
        <f>IF(ISNUMBER(Sector1!R756),Sector1!R756,"n.a.")</f>
        <v>192.68400000000003</v>
      </c>
      <c r="S91" s="3383">
        <f>IF(ISNUMBER(Sector1!S756),Sector1!S756,"n.a.")</f>
        <v>189.423</v>
      </c>
      <c r="T91" s="3383">
        <f>IF(ISNUMBER(Sector1!T756),Sector1!T756,"n.a.")</f>
        <v>195.43500000000003</v>
      </c>
      <c r="U91" s="3383">
        <f>IF(ISNUMBER(Sector1!U756),Sector1!U756,"n.a.")</f>
        <v>194.309</v>
      </c>
      <c r="V91" s="3383">
        <f>IF(ISNUMBER(Sector1!V756),Sector1!V756,"n.a.")</f>
        <v>202.66300000000001</v>
      </c>
      <c r="W91" s="3383">
        <f>IF(ISNUMBER(Sector1!W756),Sector1!W756,"n.a.")</f>
        <v>203.06799999999998</v>
      </c>
      <c r="X91" s="3383">
        <f>IF(ISNUMBER(Sector1!X756),Sector1!X756,"n.a.")</f>
        <v>205.40200000000002</v>
      </c>
      <c r="Y91" s="3383">
        <f>IF(ISNUMBER(Sector1!Y756),Sector1!Y756,"n.a.")</f>
        <v>217.73</v>
      </c>
      <c r="Z91" s="3383">
        <f>IF(ISNUMBER(Sector1!Z756),Sector1!Z756,"n.a.")</f>
        <v>222.79400000000001</v>
      </c>
      <c r="AA91" s="3383">
        <f>IF(ISNUMBER(Sector1!AA756),Sector1!AA756,"n.a.")</f>
        <v>231.75400000000002</v>
      </c>
      <c r="AB91" s="3383">
        <f>IF(ISNUMBER(Sector1!AB756),Sector1!AB756,"n.a.")</f>
        <v>234.024</v>
      </c>
      <c r="AC91" s="3383">
        <f>IF(ISNUMBER(Sector1!AC756),Sector1!AC756,"n.a.")</f>
        <v>251.79</v>
      </c>
      <c r="AD91" s="3383">
        <f ca="1">IF(ISNUMBER(Sector1!AD756),Sector1!AD756,"n.a.")</f>
        <v>263.27831096784746</v>
      </c>
      <c r="AE91" s="3383">
        <f ca="1">IF(ISNUMBER(Sector1!AE756),Sector1!AE756,"n.a.")</f>
        <v>273.90264508787186</v>
      </c>
      <c r="AF91" s="3383">
        <f ca="1">IF(ISNUMBER(Sector1!AF756),Sector1!AF756,"n.a.")</f>
        <v>283.82945577381952</v>
      </c>
      <c r="AG91"/>
      <c r="AH91"/>
      <c r="AI91"/>
      <c r="AJ91">
        <v>81</v>
      </c>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row>
    <row r="92" spans="1:159">
      <c r="A92" s="3383" t="str">
        <f t="shared" si="4"/>
        <v>\\DG ECFIN\Forecast\Country databases\Desk transfer databases\SE</v>
      </c>
      <c r="B92" s="3383" t="str">
        <f t="shared" si="5"/>
        <v>SE</v>
      </c>
      <c r="C92" s="3383" t="s">
        <v>2074</v>
      </c>
      <c r="D92" s="3383" t="s">
        <v>2158</v>
      </c>
      <c r="E92" s="3383" t="s">
        <v>2076</v>
      </c>
      <c r="F92" s="3383">
        <v>125</v>
      </c>
      <c r="G92" s="3383" t="s">
        <v>429</v>
      </c>
      <c r="H92" s="3383">
        <f>IF(ISNUMBER(Sector1!H483),Sector1!H483,"n.a.")</f>
        <v>4.1470000000000002</v>
      </c>
      <c r="I92" s="3383">
        <f>IF(ISNUMBER(Sector1!I483),Sector1!I483,"n.a.")</f>
        <v>4.5330000000000004</v>
      </c>
      <c r="J92" s="3383">
        <f>IF(ISNUMBER(Sector1!J483),Sector1!J483,"n.a.")</f>
        <v>4.9880000000000004</v>
      </c>
      <c r="K92" s="3383">
        <f>IF(ISNUMBER(Sector1!K483),Sector1!K483,"n.a.")</f>
        <v>4.633</v>
      </c>
      <c r="L92" s="3383">
        <f>IF(ISNUMBER(Sector1!L483),Sector1!L483,"n.a.")</f>
        <v>4.9589999999999996</v>
      </c>
      <c r="M92" s="3383">
        <f>IF(ISNUMBER(Sector1!M483),Sector1!M483,"n.a.")</f>
        <v>5.266</v>
      </c>
      <c r="N92" s="3383">
        <f>IF(ISNUMBER(Sector1!N483),Sector1!N483,"n.a.")</f>
        <v>5.7229999999999999</v>
      </c>
      <c r="O92" s="3383">
        <f>IF(ISNUMBER(Sector1!O483),Sector1!O483,"n.a.")</f>
        <v>5.2670000000000003</v>
      </c>
      <c r="P92" s="3383">
        <f>IF(ISNUMBER(Sector1!P483),Sector1!P483,"n.a.")</f>
        <v>5.43</v>
      </c>
      <c r="Q92" s="3383">
        <f>IF(ISNUMBER(Sector1!Q483),Sector1!Q483,"n.a.")</f>
        <v>6.4560000000000004</v>
      </c>
      <c r="R92" s="3383">
        <f>IF(ISNUMBER(Sector1!R483),Sector1!R483,"n.a.")</f>
        <v>3.9620000000000002</v>
      </c>
      <c r="S92" s="3383">
        <f>IF(ISNUMBER(Sector1!S483),Sector1!S483,"n.a.")</f>
        <v>3.544</v>
      </c>
      <c r="T92" s="3383">
        <f>IF(ISNUMBER(Sector1!T483),Sector1!T483,"n.a.")</f>
        <v>3.1019999999999999</v>
      </c>
      <c r="U92" s="3383">
        <f>IF(ISNUMBER(Sector1!U483),Sector1!U483,"n.a.")</f>
        <v>3.3210000000000002</v>
      </c>
      <c r="V92" s="3383">
        <f>IF(ISNUMBER(Sector1!V483),Sector1!V483,"n.a.")</f>
        <v>3.1539999999999999</v>
      </c>
      <c r="W92" s="3383">
        <f>IF(ISNUMBER(Sector1!W483),Sector1!W483,"n.a.")</f>
        <v>3.7669999999999999</v>
      </c>
      <c r="X92" s="3383">
        <f>IF(ISNUMBER(Sector1!X483),Sector1!X483,"n.a.")</f>
        <v>13.965</v>
      </c>
      <c r="Y92" s="3383">
        <f>IF(ISNUMBER(Sector1!Y483),Sector1!Y483,"n.a.")</f>
        <v>13.6</v>
      </c>
      <c r="Z92" s="3383">
        <f>IF(ISNUMBER(Sector1!Z483),Sector1!Z483,"n.a.")</f>
        <v>5.3380000000000001</v>
      </c>
      <c r="AA92" s="3383">
        <f>IF(ISNUMBER(Sector1!AA483),Sector1!AA483,"n.a.")</f>
        <v>11.038</v>
      </c>
      <c r="AB92" s="3383">
        <f>IF(ISNUMBER(Sector1!AB483),Sector1!AB483,"n.a.")</f>
        <v>6.883</v>
      </c>
      <c r="AC92" s="3383">
        <f>IF(ISNUMBER(Sector1!AC483),Sector1!AC483,"n.a.")</f>
        <v>7.5030000000000001</v>
      </c>
      <c r="AD92" s="3383">
        <f>IF(ISNUMBER(Sector1!AD483),Sector1!AD483,"n.a.")</f>
        <v>6.0999999999999988</v>
      </c>
      <c r="AE92" s="3383">
        <f>IF(ISNUMBER(Sector1!AE483),Sector1!AE483,"n.a.")</f>
        <v>6.2219999999999986</v>
      </c>
      <c r="AF92" s="3383">
        <f>IF(ISNUMBER(Sector1!AF483),Sector1!AF483,"n.a.")</f>
        <v>6.3153299999999977</v>
      </c>
      <c r="AG92"/>
      <c r="AH92"/>
      <c r="AI92"/>
      <c r="AJ92">
        <v>82</v>
      </c>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row>
    <row r="93" spans="1:159">
      <c r="A93" s="3383" t="str">
        <f t="shared" si="4"/>
        <v>\\DG ECFIN\Forecast\Country databases\Desk transfer databases\SE</v>
      </c>
      <c r="B93" s="3383" t="str">
        <f t="shared" si="5"/>
        <v>SE</v>
      </c>
      <c r="C93" s="3383" t="s">
        <v>2074</v>
      </c>
      <c r="D93" s="3383" t="s">
        <v>2159</v>
      </c>
      <c r="E93" s="3383" t="s">
        <v>2076</v>
      </c>
      <c r="F93" s="3383">
        <v>126</v>
      </c>
      <c r="G93" s="3383" t="s">
        <v>403</v>
      </c>
      <c r="H93" s="3383">
        <f>IF(ISNUMBER('VVP2'!H229),'VVP2'!H229,"n.a.")</f>
        <v>95.433000000000007</v>
      </c>
      <c r="I93" s="3383">
        <f>IF(ISNUMBER('VVP2'!I229),'VVP2'!I229,"n.a.")</f>
        <v>87.947000000000003</v>
      </c>
      <c r="J93" s="3383">
        <f>IF(ISNUMBER('VVP2'!J229),'VVP2'!J229,"n.a.")</f>
        <v>92.037000000000006</v>
      </c>
      <c r="K93" s="3383">
        <f>IF(ISNUMBER('VVP2'!K229),'VVP2'!K229,"n.a.")</f>
        <v>97.268000000000001</v>
      </c>
      <c r="L93" s="3383">
        <f>IF(ISNUMBER('VVP2'!L229),'VVP2'!L229,"n.a.")</f>
        <v>93.668999999999997</v>
      </c>
      <c r="M93" s="3383">
        <f>IF(ISNUMBER('VVP2'!M229),'VVP2'!M229,"n.a.")</f>
        <v>102.95699999999999</v>
      </c>
      <c r="N93" s="3383">
        <f>IF(ISNUMBER('VVP2'!N229),'VVP2'!N229,"n.a.")</f>
        <v>111.72499999999999</v>
      </c>
      <c r="O93" s="3383">
        <f>IF(ISNUMBER('VVP2'!O229),'VVP2'!O229,"n.a.")</f>
        <v>112.456</v>
      </c>
      <c r="P93" s="3383">
        <f>IF(ISNUMBER('VVP2'!P229),'VVP2'!P229,"n.a.")</f>
        <v>115.19499999999999</v>
      </c>
      <c r="Q93" s="3383">
        <f>IF(ISNUMBER('VVP2'!Q229),'VVP2'!Q229,"n.a.")</f>
        <v>119.395</v>
      </c>
      <c r="R93" s="3383">
        <f>IF(ISNUMBER('VVP2'!R229),'VVP2'!R229,"n.a.")</f>
        <v>127.952</v>
      </c>
      <c r="S93" s="3383">
        <f>IF(ISNUMBER('VVP2'!S229),'VVP2'!S229,"n.a.")</f>
        <v>135.08099999999999</v>
      </c>
      <c r="T93" s="3383">
        <f>IF(ISNUMBER('VVP2'!T229),'VVP2'!T229,"n.a.")</f>
        <v>144.477</v>
      </c>
      <c r="U93" s="3383">
        <f>IF(ISNUMBER('VVP2'!U229),'VVP2'!U229,"n.a.")</f>
        <v>147.809</v>
      </c>
      <c r="V93" s="3383">
        <f>IF(ISNUMBER('VVP2'!V229),'VVP2'!V229,"n.a.")</f>
        <v>158.89099999999999</v>
      </c>
      <c r="W93" s="3383">
        <f>IF(ISNUMBER('VVP2'!W229),'VVP2'!W229,"n.a.")</f>
        <v>162.20400000000001</v>
      </c>
      <c r="X93" s="3383">
        <f>IF(ISNUMBER('VVP2'!X229),'VVP2'!X229,"n.a.")</f>
        <v>167.86799999999999</v>
      </c>
      <c r="Y93" s="3383">
        <f>IF(ISNUMBER('VVP2'!Y229),'VVP2'!Y229,"n.a.")</f>
        <v>168.19200000000001</v>
      </c>
      <c r="Z93" s="3383">
        <f>IF(ISNUMBER('VVP2'!Z229),'VVP2'!Z229,"n.a.")</f>
        <v>173.15700000000001</v>
      </c>
      <c r="AA93" s="3383">
        <f>IF(ISNUMBER('VVP2'!AA229),'VVP2'!AA229,"n.a.")</f>
        <v>175.76900000000001</v>
      </c>
      <c r="AB93" s="3383">
        <f>IF(ISNUMBER('VVP2'!AB229),'VVP2'!AB229,"n.a.")</f>
        <v>192.80699999999999</v>
      </c>
      <c r="AC93" s="3383">
        <f>IF(ISNUMBER('VVP2'!AC229),'VVP2'!AC229,"n.a.")</f>
        <v>209.73699999999999</v>
      </c>
      <c r="AD93" s="3383">
        <f ca="1">IF(ISNUMBER('VVP2'!AD229),'VVP2'!AD229,"n.a.")</f>
        <v>225.10463972699998</v>
      </c>
      <c r="AE93" s="3383">
        <f ca="1">IF(ISNUMBER('VVP2'!AE229),'VVP2'!AE229,"n.a.")</f>
        <v>237.1864559504275</v>
      </c>
      <c r="AF93" s="3383">
        <f ca="1">IF(ISNUMBER('VVP2'!AF229),'VVP2'!AF229,"n.a.")</f>
        <v>245.79039464002921</v>
      </c>
      <c r="AG93"/>
      <c r="AH93"/>
      <c r="AI93"/>
      <c r="AJ93">
        <v>83</v>
      </c>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row>
    <row r="94" spans="1:159">
      <c r="A94" s="3383" t="str">
        <f t="shared" si="4"/>
        <v>\\DG ECFIN\Forecast\Country databases\Desk transfer databases\SE</v>
      </c>
      <c r="B94" s="3383" t="str">
        <f t="shared" si="5"/>
        <v>SE</v>
      </c>
      <c r="C94" s="3383" t="s">
        <v>2074</v>
      </c>
      <c r="D94" s="3383" t="s">
        <v>2160</v>
      </c>
      <c r="E94" s="3383" t="s">
        <v>2076</v>
      </c>
      <c r="F94" s="3383">
        <v>127</v>
      </c>
      <c r="G94" s="3383" t="s">
        <v>349</v>
      </c>
      <c r="H94" s="3383">
        <f>IF(ISNUMBER(Sector1!H762),Sector1!H762,"n.a.")</f>
        <v>1.8209999999999997</v>
      </c>
      <c r="I94" s="3383">
        <f>IF(ISNUMBER(Sector1!I762),Sector1!I762,"n.a.")</f>
        <v>12.283999999999999</v>
      </c>
      <c r="J94" s="3383">
        <f>IF(ISNUMBER(Sector1!J762),Sector1!J762,"n.a.")</f>
        <v>-11.044999999999998</v>
      </c>
      <c r="K94" s="3383">
        <f>IF(ISNUMBER(Sector1!K762),Sector1!K762,"n.a.")</f>
        <v>6.1479999999999997</v>
      </c>
      <c r="L94" s="3383">
        <f>IF(ISNUMBER(Sector1!L762),Sector1!L762,"n.a.")</f>
        <v>2.2290000000000001</v>
      </c>
      <c r="M94" s="3383">
        <f>IF(ISNUMBER(Sector1!M762),Sector1!M762,"n.a.")</f>
        <v>3.3639999999999999</v>
      </c>
      <c r="N94" s="3383">
        <f>IF(ISNUMBER(Sector1!N762),Sector1!N762,"n.a.")</f>
        <v>5.7990000000000013</v>
      </c>
      <c r="O94" s="3383">
        <f>IF(ISNUMBER(Sector1!O762),Sector1!O762,"n.a.")</f>
        <v>5.8139999999999992</v>
      </c>
      <c r="P94" s="3383">
        <f>IF(ISNUMBER(Sector1!P762),Sector1!P762,"n.a.")</f>
        <v>2.806</v>
      </c>
      <c r="Q94" s="3383">
        <f>IF(ISNUMBER(Sector1!Q762),Sector1!Q762,"n.a.")</f>
        <v>7.3160000000000007</v>
      </c>
      <c r="R94" s="3383">
        <f>IF(ISNUMBER(Sector1!R762),Sector1!R762,"n.a.")</f>
        <v>2.1069999999999984</v>
      </c>
      <c r="S94" s="3383">
        <f>IF(ISNUMBER(Sector1!S762),Sector1!S762,"n.a.")</f>
        <v>3.4300000000000006</v>
      </c>
      <c r="T94" s="3383">
        <f>IF(ISNUMBER(Sector1!T762),Sector1!T762,"n.a.")</f>
        <v>3.2389999999999999</v>
      </c>
      <c r="U94" s="3383">
        <f>IF(ISNUMBER(Sector1!U762),Sector1!U762,"n.a.")</f>
        <v>2.4369999999999994</v>
      </c>
      <c r="V94" s="3383">
        <f>IF(ISNUMBER(Sector1!V762),Sector1!V762,"n.a.")</f>
        <v>1.9329999999999998</v>
      </c>
      <c r="W94" s="3383">
        <f>IF(ISNUMBER(Sector1!W762),Sector1!W762,"n.a.")</f>
        <v>9.8320000000000007</v>
      </c>
      <c r="X94" s="3383">
        <f>IF(ISNUMBER(Sector1!X762),Sector1!X762,"n.a.")</f>
        <v>7.9369999999999994</v>
      </c>
      <c r="Y94" s="3383">
        <f>IF(ISNUMBER(Sector1!Y762),Sector1!Y762,"n.a.")</f>
        <v>7.8810000000000002</v>
      </c>
      <c r="Z94" s="3383">
        <f>IF(ISNUMBER(Sector1!Z762),Sector1!Z762,"n.a.")</f>
        <v>8.652000000000001</v>
      </c>
      <c r="AA94" s="3383">
        <f>IF(ISNUMBER(Sector1!AA762),Sector1!AA762,"n.a.")</f>
        <v>14.933000000000002</v>
      </c>
      <c r="AB94" s="3383">
        <f>IF(ISNUMBER(Sector1!AB762),Sector1!AB762,"n.a.")</f>
        <v>9.7029999999999994</v>
      </c>
      <c r="AC94" s="3383">
        <f>IF(ISNUMBER(Sector1!AC762),Sector1!AC762,"n.a.")</f>
        <v>4.8720000000000008</v>
      </c>
      <c r="AD94" s="3383">
        <f ca="1">IF(ISNUMBER(Sector1!AD762),Sector1!AD762,"n.a.")</f>
        <v>7.6002611881767344</v>
      </c>
      <c r="AE94" s="3383">
        <f ca="1">IF(ISNUMBER(Sector1!AE762),Sector1!AE762,"n.a.")</f>
        <v>12.899194562066155</v>
      </c>
      <c r="AF94" s="3383">
        <f ca="1">IF(ISNUMBER(Sector1!AF762),Sector1!AF762,"n.a.")</f>
        <v>13.347806775477242</v>
      </c>
      <c r="AG94"/>
      <c r="AH94"/>
      <c r="AI94"/>
      <c r="AJ94">
        <v>84</v>
      </c>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row>
    <row r="95" spans="1:159">
      <c r="A95" s="3383" t="str">
        <f t="shared" si="4"/>
        <v>\\DG ECFIN\Forecast\Country databases\Desk transfer databases\SE</v>
      </c>
      <c r="B95" s="3383" t="str">
        <f t="shared" si="5"/>
        <v>SE</v>
      </c>
      <c r="C95" s="3383" t="s">
        <v>2074</v>
      </c>
      <c r="D95" s="3383" t="s">
        <v>2161</v>
      </c>
      <c r="E95" s="3383" t="s">
        <v>2076</v>
      </c>
      <c r="F95" s="3383">
        <v>128</v>
      </c>
      <c r="G95" s="3383" t="s">
        <v>350</v>
      </c>
      <c r="H95" s="3383">
        <f>IF(ISNUMBER(Sector1!H605),Sector1!H605,"n.a.")</f>
        <v>1357.2090000000001</v>
      </c>
      <c r="I95" s="3383">
        <f>IF(ISNUMBER(Sector1!I605),Sector1!I605,"n.a.")</f>
        <v>1370.6669999999999</v>
      </c>
      <c r="J95" s="3383">
        <f>IF(ISNUMBER(Sector1!J605),Sector1!J605,"n.a.")</f>
        <v>1417.0409999999999</v>
      </c>
      <c r="K95" s="3383">
        <f>IF(ISNUMBER(Sector1!K605),Sector1!K605,"n.a.")</f>
        <v>1376.377</v>
      </c>
      <c r="L95" s="3383">
        <f>IF(ISNUMBER(Sector1!L605),Sector1!L605,"n.a.")</f>
        <v>1209.595</v>
      </c>
      <c r="M95" s="3383">
        <f>IF(ISNUMBER(Sector1!M605),Sector1!M605,"n.a.")</f>
        <v>1296.008</v>
      </c>
      <c r="N95" s="3383">
        <f>IF(ISNUMBER(Sector1!N605),Sector1!N605,"n.a.")</f>
        <v>1293.116</v>
      </c>
      <c r="O95" s="3383">
        <f>IF(ISNUMBER(Sector1!O605),Sector1!O605,"n.a.")</f>
        <v>1332.0630000000001</v>
      </c>
      <c r="P95" s="3383">
        <f>IF(ISNUMBER(Sector1!P605),Sector1!P605,"n.a.")</f>
        <v>1371.971</v>
      </c>
      <c r="Q95" s="3383">
        <f>IF(ISNUMBER(Sector1!Q605),Sector1!Q605,"n.a.")</f>
        <v>1429.434</v>
      </c>
      <c r="R95" s="3383">
        <f>IF(ISNUMBER(Sector1!R605),Sector1!R605,"n.a.")</f>
        <v>1363.126</v>
      </c>
      <c r="S95" s="3383">
        <f>IF(ISNUMBER(Sector1!S605),Sector1!S605,"n.a.")</f>
        <v>1294.1420000000001</v>
      </c>
      <c r="T95" s="3383">
        <f>IF(ISNUMBER(Sector1!T605),Sector1!T605,"n.a.")</f>
        <v>1279.954</v>
      </c>
      <c r="U95" s="3383">
        <f>IF(ISNUMBER(Sector1!U605),Sector1!U605,"n.a.")</f>
        <v>1361.16</v>
      </c>
      <c r="V95" s="3383">
        <f>IF(ISNUMBER(Sector1!V605),Sector1!V605,"n.a.")</f>
        <v>1360.3050000000001</v>
      </c>
      <c r="W95" s="3383">
        <f>IF(ISNUMBER(Sector1!W605),Sector1!W605,"n.a.")</f>
        <v>1384.883</v>
      </c>
      <c r="X95" s="3383">
        <f>IF(ISNUMBER(Sector1!X605),Sector1!X605,"n.a.")</f>
        <v>1404.2349999999999</v>
      </c>
      <c r="Y95" s="3383">
        <f>IF(ISNUMBER(Sector1!Y605),Sector1!Y605,"n.a.")</f>
        <v>1535.8530000000001</v>
      </c>
      <c r="Z95" s="3383">
        <f>IF(ISNUMBER(Sector1!Z605),Sector1!Z605,"n.a.")</f>
        <v>1791.624</v>
      </c>
      <c r="AA95" s="3383">
        <f>IF(ISNUMBER(Sector1!AA605),Sector1!AA605,"n.a.")</f>
        <v>1856.3240000000001</v>
      </c>
      <c r="AB95" s="3383">
        <f>IF(ISNUMBER(Sector1!AB605),Sector1!AB605,"n.a.")</f>
        <v>1857.761</v>
      </c>
      <c r="AC95" s="3383">
        <f>IF(ISNUMBER(Sector1!AC605),Sector1!AC605,"n.a.")</f>
        <v>1869.5070000000001</v>
      </c>
      <c r="AD95" s="3383">
        <f ca="1">IF(ISNUMBER(Sector1!AD605),Sector1!AD605,"n.a.")</f>
        <v>1817.8533546855558</v>
      </c>
      <c r="AE95" s="3383">
        <f ca="1">IF(ISNUMBER(Sector1!AE605),Sector1!AE605,"n.a.")</f>
        <v>1770.1711275145692</v>
      </c>
      <c r="AF95" s="3383">
        <f ca="1">IF(ISNUMBER(Sector1!AF605),Sector1!AF605,"n.a.")</f>
        <v>1726.8381072181687</v>
      </c>
      <c r="AG95"/>
      <c r="AH95"/>
      <c r="AI95"/>
      <c r="AJ95">
        <v>85</v>
      </c>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row>
    <row r="96" spans="1:159">
      <c r="A96" s="3383" t="str">
        <f t="shared" si="4"/>
        <v>\\DG ECFIN\Forecast\Country databases\Desk transfer databases\SE</v>
      </c>
      <c r="B96" s="3383" t="str">
        <f t="shared" si="5"/>
        <v>SE</v>
      </c>
      <c r="C96" s="3383" t="s">
        <v>2074</v>
      </c>
      <c r="D96" s="3383" t="s">
        <v>2162</v>
      </c>
      <c r="E96" s="3383" t="s">
        <v>2076</v>
      </c>
      <c r="F96" s="3383">
        <v>129</v>
      </c>
      <c r="G96" s="3383" t="s">
        <v>1410</v>
      </c>
      <c r="H96" s="3383">
        <f>IF(ISNUMBER(Sector1!H664),Sector1!H664,"n.a.")</f>
        <v>1187.645</v>
      </c>
      <c r="I96" s="3383">
        <f>IF(ISNUMBER(Sector1!I664),Sector1!I664,"n.a.")</f>
        <v>1196.9680000000001</v>
      </c>
      <c r="J96" s="3383">
        <f>IF(ISNUMBER(Sector1!J664),Sector1!J664,"n.a.")</f>
        <v>1209.422</v>
      </c>
      <c r="K96" s="3383">
        <f>IF(ISNUMBER(Sector1!K664),Sector1!K664,"n.a.")</f>
        <v>1260.2070000000001</v>
      </c>
      <c r="L96" s="3383">
        <f>IF(ISNUMBER(Sector1!L664),Sector1!L664,"n.a.")</f>
        <v>1270.095</v>
      </c>
      <c r="M96" s="3383">
        <f>IF(ISNUMBER(Sector1!M664),Sector1!M664,"n.a.")</f>
        <v>1307.847</v>
      </c>
      <c r="N96" s="3383">
        <f>IF(ISNUMBER(Sector1!N664),Sector1!N664,"n.a.")</f>
        <v>1386.1559999999999</v>
      </c>
      <c r="O96" s="3383">
        <f>IF(ISNUMBER(Sector1!O664),Sector1!O664,"n.a.")</f>
        <v>1446.9939999999999</v>
      </c>
      <c r="P96" s="3383">
        <f>IF(ISNUMBER(Sector1!P664),Sector1!P664,"n.a.")</f>
        <v>1471.0239999999999</v>
      </c>
      <c r="Q96" s="3383">
        <f>IF(ISNUMBER(Sector1!Q664),Sector1!Q664,"n.a.")</f>
        <v>1522.63</v>
      </c>
      <c r="R96" s="3383">
        <f>IF(ISNUMBER(Sector1!R664),Sector1!R664,"n.a.")</f>
        <v>1581.6559999999999</v>
      </c>
      <c r="S96" s="3383">
        <f>IF(ISNUMBER(Sector1!S664),Sector1!S664,"n.a.")</f>
        <v>1626.6769999999999</v>
      </c>
      <c r="T96" s="3383">
        <f>IF(ISNUMBER(Sector1!T664),Sector1!T664,"n.a.")</f>
        <v>1696.1020000000001</v>
      </c>
      <c r="U96" s="3383">
        <f>IF(ISNUMBER(Sector1!U664),Sector1!U664,"n.a.")</f>
        <v>1734.9079999999999</v>
      </c>
      <c r="V96" s="3383">
        <f>IF(ISNUMBER(Sector1!V664),Sector1!V664,"n.a.")</f>
        <v>1788.623</v>
      </c>
      <c r="W96" s="3383">
        <f>IF(ISNUMBER(Sector1!W664),Sector1!W664,"n.a.")</f>
        <v>1839.7729999999999</v>
      </c>
      <c r="X96" s="3383">
        <f>IF(ISNUMBER(Sector1!X664),Sector1!X664,"n.a.")</f>
        <v>1892.5260000000001</v>
      </c>
      <c r="Y96" s="3383">
        <f>IF(ISNUMBER(Sector1!Y664),Sector1!Y664,"n.a.")</f>
        <v>1960.6320000000001</v>
      </c>
      <c r="Z96" s="3383">
        <f>IF(ISNUMBER(Sector1!Z664),Sector1!Z664,"n.a.")</f>
        <v>2012.9010000000001</v>
      </c>
      <c r="AA96" s="3383">
        <f>IF(ISNUMBER(Sector1!AA664),Sector1!AA664,"n.a.")</f>
        <v>2085.4389999999999</v>
      </c>
      <c r="AB96" s="3383">
        <f>IF(ISNUMBER(Sector1!AB664),Sector1!AB664,"n.a.")</f>
        <v>2179.0219999999999</v>
      </c>
      <c r="AC96" s="3383">
        <f>IF(ISNUMBER(Sector1!AC664),Sector1!AC664,"n.a.")</f>
        <v>2257.62</v>
      </c>
      <c r="AD96" s="3383">
        <f ca="1">IF(ISNUMBER(Sector1!AD664),Sector1!AD664,"n.a.")</f>
        <v>2359.6599864416617</v>
      </c>
      <c r="AE96" s="3383">
        <f ca="1">IF(ISNUMBER(Sector1!AE664),Sector1!AE664,"n.a.")</f>
        <v>2439.6086918594215</v>
      </c>
      <c r="AF96" s="3383">
        <f ca="1">IF(ISNUMBER(Sector1!AF664),Sector1!AF664,"n.a.")</f>
        <v>2519.3011144984889</v>
      </c>
      <c r="AG96"/>
      <c r="AH96"/>
      <c r="AI96"/>
      <c r="AJ96">
        <v>86</v>
      </c>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row>
    <row r="97" spans="1:159">
      <c r="A97" s="3383" t="str">
        <f t="shared" si="4"/>
        <v>\\DG ECFIN\Forecast\Country databases\Desk transfer databases\SE</v>
      </c>
      <c r="B97" s="3383" t="str">
        <f t="shared" si="5"/>
        <v>SE</v>
      </c>
      <c r="C97" s="3383" t="s">
        <v>2074</v>
      </c>
      <c r="D97" s="3383" t="s">
        <v>2163</v>
      </c>
      <c r="E97" s="3383" t="s">
        <v>2076</v>
      </c>
      <c r="F97" s="3383">
        <v>130</v>
      </c>
      <c r="G97" s="3383" t="s">
        <v>1412</v>
      </c>
      <c r="H97" s="3383">
        <f>IF(ISNUMBER(Sector1!H480),Sector1!H480,"n.a.")</f>
        <v>1.5529999999999999</v>
      </c>
      <c r="I97" s="3383">
        <f>IF(ISNUMBER(Sector1!I480),Sector1!I480,"n.a.")</f>
        <v>2.016</v>
      </c>
      <c r="J97" s="3383">
        <f>IF(ISNUMBER(Sector1!J480),Sector1!J480,"n.a.")</f>
        <v>2.149</v>
      </c>
      <c r="K97" s="3383">
        <f>IF(ISNUMBER(Sector1!K480),Sector1!K480,"n.a.")</f>
        <v>2.3809999999999998</v>
      </c>
      <c r="L97" s="3383">
        <f>IF(ISNUMBER(Sector1!L480),Sector1!L480,"n.a.")</f>
        <v>2.7869999999999999</v>
      </c>
      <c r="M97" s="3383">
        <f>IF(ISNUMBER(Sector1!M480),Sector1!M480,"n.a.")</f>
        <v>2.786</v>
      </c>
      <c r="N97" s="3383">
        <f>IF(ISNUMBER(Sector1!N480),Sector1!N480,"n.a.")</f>
        <v>2.9750000000000001</v>
      </c>
      <c r="O97" s="3383">
        <f>IF(ISNUMBER(Sector1!O480),Sector1!O480,"n.a.")</f>
        <v>2.4900000000000002</v>
      </c>
      <c r="P97" s="3383">
        <f>IF(ISNUMBER(Sector1!P480),Sector1!P480,"n.a.")</f>
        <v>2.5510000000000002</v>
      </c>
      <c r="Q97" s="3383">
        <f>IF(ISNUMBER(Sector1!Q480),Sector1!Q480,"n.a.")</f>
        <v>1.0920000000000001</v>
      </c>
      <c r="R97" s="3383">
        <f>IF(ISNUMBER(Sector1!R480),Sector1!R480,"n.a.")</f>
        <v>0.12</v>
      </c>
      <c r="S97" s="3383">
        <f>IF(ISNUMBER(Sector1!S480),Sector1!S480,"n.a.")</f>
        <v>2.3E-2</v>
      </c>
      <c r="T97" s="3383">
        <f>IF(ISNUMBER(Sector1!T480),Sector1!T480,"n.a.")</f>
        <v>1.6E-2</v>
      </c>
      <c r="U97" s="3383">
        <f>IF(ISNUMBER(Sector1!U480),Sector1!U480,"n.a.")</f>
        <v>2E-3</v>
      </c>
      <c r="V97" s="3383">
        <f>IF(ISNUMBER(Sector1!V480),Sector1!V480,"n.a.")</f>
        <v>0.01</v>
      </c>
      <c r="W97" s="3383">
        <f>IF(ISNUMBER(Sector1!W480),Sector1!W480,"n.a.")</f>
        <v>3.0000000000000001E-3</v>
      </c>
      <c r="X97" s="3383">
        <f>IF(ISNUMBER(Sector1!X480),Sector1!X480,"n.a.")</f>
        <v>-4.0000000000000001E-3</v>
      </c>
      <c r="Y97" s="3383">
        <f>IF(ISNUMBER(Sector1!Y480),Sector1!Y480,"n.a.")</f>
        <v>-4.0000000000000001E-3</v>
      </c>
      <c r="Z97" s="3383">
        <f>IF(ISNUMBER(Sector1!Z480),Sector1!Z480,"n.a.")</f>
        <v>2E-3</v>
      </c>
      <c r="AA97" s="3383">
        <f>IF(ISNUMBER(Sector1!AA480),Sector1!AA480,"n.a.")</f>
        <v>0</v>
      </c>
      <c r="AB97" s="3383">
        <f>IF(ISNUMBER(Sector1!AB480),Sector1!AB480,"n.a.")</f>
        <v>0</v>
      </c>
      <c r="AC97" s="3383">
        <f>IF(ISNUMBER(Sector1!AC480),Sector1!AC480,"n.a.")</f>
        <v>0</v>
      </c>
      <c r="AD97" s="3383">
        <f>IF(ISNUMBER(Sector1!AD480),Sector1!AD480,"n.a.")</f>
        <v>0</v>
      </c>
      <c r="AE97" s="3383">
        <f>IF(ISNUMBER(Sector1!AE480),Sector1!AE480,"n.a.")</f>
        <v>0</v>
      </c>
      <c r="AF97" s="3383">
        <f>IF(ISNUMBER(Sector1!AF480),Sector1!AF480,"n.a.")</f>
        <v>0</v>
      </c>
      <c r="AG97"/>
      <c r="AH97"/>
      <c r="AI97"/>
      <c r="AJ97">
        <v>87</v>
      </c>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row>
    <row r="98" spans="1:159">
      <c r="A98" s="3383" t="str">
        <f t="shared" si="4"/>
        <v>\\DG ECFIN\Forecast\Country databases\Desk transfer databases\SE</v>
      </c>
      <c r="B98" s="3383" t="str">
        <f t="shared" si="5"/>
        <v>SE</v>
      </c>
      <c r="C98" s="3383" t="s">
        <v>2074</v>
      </c>
      <c r="D98" s="3383" t="s">
        <v>2164</v>
      </c>
      <c r="E98" s="3383" t="s">
        <v>2076</v>
      </c>
      <c r="F98" s="3383">
        <v>131</v>
      </c>
      <c r="G98" s="3383" t="s">
        <v>2053</v>
      </c>
      <c r="H98" s="3383">
        <f>IF(ISNUMBER(Sector1!H12),Sector1!H12,"n.a.")</f>
        <v>3.3679999999999999</v>
      </c>
      <c r="I98" s="3383">
        <f>IF(ISNUMBER(Sector1!I12),Sector1!I12,"n.a.")</f>
        <v>3.8380000000000001</v>
      </c>
      <c r="J98" s="3383">
        <f>IF(ISNUMBER(Sector1!J12),Sector1!J12,"n.a.")</f>
        <v>3.6949999999999998</v>
      </c>
      <c r="K98" s="3383">
        <f>IF(ISNUMBER(Sector1!K12),Sector1!K12,"n.a.")</f>
        <v>3.5779999999999998</v>
      </c>
      <c r="L98" s="3383">
        <f>IF(ISNUMBER(Sector1!L12),Sector1!L12,"n.a.")</f>
        <v>3.7959999999999998</v>
      </c>
      <c r="M98" s="3383">
        <f>IF(ISNUMBER(Sector1!M12),Sector1!M12,"n.a.")</f>
        <v>3.6179999999999999</v>
      </c>
      <c r="N98" s="3383">
        <f>IF(ISNUMBER(Sector1!N12),Sector1!N12,"n.a.")</f>
        <v>3.3980000000000001</v>
      </c>
      <c r="O98" s="3383">
        <f>IF(ISNUMBER(Sector1!O12),Sector1!O12,"n.a.")</f>
        <v>3.4790000000000001</v>
      </c>
      <c r="P98" s="3383">
        <f>IF(ISNUMBER(Sector1!P12),Sector1!P12,"n.a.")</f>
        <v>3.863</v>
      </c>
      <c r="Q98" s="3383">
        <f>IF(ISNUMBER(Sector1!Q12),Sector1!Q12,"n.a.")</f>
        <v>4.665</v>
      </c>
      <c r="R98" s="3383">
        <f>IF(ISNUMBER(Sector1!R12),Sector1!R12,"n.a.")</f>
        <v>5.16</v>
      </c>
      <c r="S98" s="3383">
        <f>IF(ISNUMBER(Sector1!S12),Sector1!S12,"n.a.")</f>
        <v>5.883</v>
      </c>
      <c r="T98" s="3383">
        <f>IF(ISNUMBER(Sector1!T12),Sector1!T12,"n.a.")</f>
        <v>5.8739999999999997</v>
      </c>
      <c r="U98" s="3383">
        <f>IF(ISNUMBER(Sector1!U12),Sector1!U12,"n.a.")</f>
        <v>5.1509999999999998</v>
      </c>
      <c r="V98" s="3383">
        <f>IF(ISNUMBER(Sector1!V12),Sector1!V12,"n.a.")</f>
        <v>5.6740000000000004</v>
      </c>
      <c r="W98" s="3383">
        <f>IF(ISNUMBER(Sector1!W12),Sector1!W12,"n.a.")</f>
        <v>5.66</v>
      </c>
      <c r="X98" s="3383">
        <f>IF(ISNUMBER(Sector1!X12),Sector1!X12,"n.a.")</f>
        <v>5.2549999999999999</v>
      </c>
      <c r="Y98" s="3383">
        <f>IF(ISNUMBER(Sector1!Y12),Sector1!Y12,"n.a.")</f>
        <v>5.2220000000000004</v>
      </c>
      <c r="Z98" s="3383">
        <f>IF(ISNUMBER(Sector1!Z12),Sector1!Z12,"n.a.")</f>
        <v>5.806</v>
      </c>
      <c r="AA98" s="3383">
        <f>IF(ISNUMBER(Sector1!AA12),Sector1!AA12,"n.a.")</f>
        <v>6.2750000000000004</v>
      </c>
      <c r="AB98" s="3383">
        <f>IF(ISNUMBER(Sector1!AB12),Sector1!AB12,"n.a.")</f>
        <v>6.0759999999999996</v>
      </c>
      <c r="AC98" s="3383">
        <f>IF(ISNUMBER(Sector1!AC12),Sector1!AC12,"n.a.")</f>
        <v>6.258</v>
      </c>
      <c r="AD98" s="3383">
        <f ca="1">IF(ISNUMBER(Sector1!AD12),Sector1!AD12,"n.a.")</f>
        <v>6.5185621047026192</v>
      </c>
      <c r="AE98" s="3383">
        <f ca="1">IF(ISNUMBER(Sector1!AE12),Sector1!AE12,"n.a.")</f>
        <v>6.5476973625771908</v>
      </c>
      <c r="AF98" s="3383">
        <f ca="1">IF(ISNUMBER(Sector1!AF12),Sector1!AF12,"n.a.")</f>
        <v>6.4818148674120462</v>
      </c>
      <c r="AG98"/>
      <c r="AH98"/>
      <c r="AI98"/>
      <c r="AJ98">
        <v>88</v>
      </c>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row>
    <row r="99" spans="1:159">
      <c r="A99" s="3383" t="str">
        <f t="shared" si="4"/>
        <v>\\DG ECFIN\Forecast\Country databases\Desk transfer databases\SE</v>
      </c>
      <c r="B99" s="3383" t="str">
        <f t="shared" si="5"/>
        <v>SE</v>
      </c>
      <c r="C99" s="3383" t="s">
        <v>2074</v>
      </c>
      <c r="D99" s="3383" t="s">
        <v>2165</v>
      </c>
      <c r="E99" s="3383" t="s">
        <v>2076</v>
      </c>
      <c r="F99" s="3383">
        <v>132</v>
      </c>
      <c r="G99" s="3383" t="s">
        <v>1414</v>
      </c>
      <c r="H99" s="3383">
        <f>IF(ISNUMBER(Sector1!H163),Sector1!H163,"n.a.")</f>
        <v>100.435</v>
      </c>
      <c r="I99" s="3383">
        <f>IF(ISNUMBER(Sector1!I163),Sector1!I163,"n.a.")</f>
        <v>101.459</v>
      </c>
      <c r="J99" s="3383">
        <f>IF(ISNUMBER(Sector1!J163),Sector1!J163,"n.a.")</f>
        <v>92.584999999999994</v>
      </c>
      <c r="K99" s="3383">
        <f>IF(ISNUMBER(Sector1!K163),Sector1!K163,"n.a.")</f>
        <v>85.978999999999999</v>
      </c>
      <c r="L99" s="3383">
        <f>IF(ISNUMBER(Sector1!L163),Sector1!L163,"n.a.")</f>
        <v>78.953999999999994</v>
      </c>
      <c r="M99" s="3383">
        <f>IF(ISNUMBER(Sector1!M163),Sector1!M163,"n.a.")</f>
        <v>64.691999999999993</v>
      </c>
      <c r="N99" s="3383">
        <f>IF(ISNUMBER(Sector1!N163),Sector1!N163,"n.a.")</f>
        <v>74.091999999999999</v>
      </c>
      <c r="O99" s="3383">
        <f>IF(ISNUMBER(Sector1!O163),Sector1!O163,"n.a.")</f>
        <v>55.999000000000002</v>
      </c>
      <c r="P99" s="3383">
        <f>IF(ISNUMBER(Sector1!P163),Sector1!P163,"n.a.")</f>
        <v>47.375</v>
      </c>
      <c r="Q99" s="3383">
        <f>IF(ISNUMBER(Sector1!Q163),Sector1!Q163,"n.a.")</f>
        <v>50.914000000000001</v>
      </c>
      <c r="R99" s="3383">
        <f>IF(ISNUMBER(Sector1!R163),Sector1!R163,"n.a.")</f>
        <v>50.259</v>
      </c>
      <c r="S99" s="3383">
        <f>IF(ISNUMBER(Sector1!S163),Sector1!S163,"n.a.")</f>
        <v>54.591000000000001</v>
      </c>
      <c r="T99" s="3383">
        <f>IF(ISNUMBER(Sector1!T163),Sector1!T163,"n.a.")</f>
        <v>53.036999999999999</v>
      </c>
      <c r="U99" s="3383">
        <f>IF(ISNUMBER(Sector1!U163),Sector1!U163,"n.a.")</f>
        <v>38.298000000000002</v>
      </c>
      <c r="V99" s="3383">
        <f>IF(ISNUMBER(Sector1!V163),Sector1!V163,"n.a.")</f>
        <v>36.905000000000001</v>
      </c>
      <c r="W99" s="3383">
        <f>IF(ISNUMBER(Sector1!W163),Sector1!W163,"n.a.")</f>
        <v>41.17</v>
      </c>
      <c r="X99" s="3383">
        <f>IF(ISNUMBER(Sector1!X163),Sector1!X163,"n.a.")</f>
        <v>33.578000000000003</v>
      </c>
      <c r="Y99" s="3383">
        <f>IF(ISNUMBER(Sector1!Y163),Sector1!Y163,"n.a.")</f>
        <v>30.331</v>
      </c>
      <c r="Z99" s="3383">
        <f>IF(ISNUMBER(Sector1!Z163),Sector1!Z163,"n.a.")</f>
        <v>26.745000000000001</v>
      </c>
      <c r="AA99" s="3383">
        <f>IF(ISNUMBER(Sector1!AA163),Sector1!AA163,"n.a.")</f>
        <v>18.783000000000001</v>
      </c>
      <c r="AB99" s="3383">
        <f>IF(ISNUMBER(Sector1!AB163),Sector1!AB163,"n.a.")</f>
        <v>18.178000000000001</v>
      </c>
      <c r="AC99" s="3383">
        <f>IF(ISNUMBER(Sector1!AC163),Sector1!AC163,"n.a.")</f>
        <v>16.094000000000001</v>
      </c>
      <c r="AD99" s="3383">
        <f>IF(ISNUMBER(Sector1!AD163),Sector1!AD163,"n.a.")</f>
        <v>14.162720000000002</v>
      </c>
      <c r="AE99" s="3383">
        <f>IF(ISNUMBER(Sector1!AE163),Sector1!AE163,"n.a.")</f>
        <v>12.463193600000002</v>
      </c>
      <c r="AF99" s="3383">
        <f>IF(ISNUMBER(Sector1!AF163),Sector1!AF163,"n.a.")</f>
        <v>16.825311360000004</v>
      </c>
      <c r="AG99"/>
      <c r="AH99"/>
      <c r="AI99"/>
      <c r="AJ99">
        <v>89</v>
      </c>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row>
    <row r="100" spans="1:159">
      <c r="A100" s="3383" t="str">
        <f t="shared" si="4"/>
        <v>\\DG ECFIN\Forecast\Country databases\Desk transfer databases\SE</v>
      </c>
      <c r="B100" s="3383" t="str">
        <f t="shared" si="5"/>
        <v>SE</v>
      </c>
      <c r="C100" s="3383" t="s">
        <v>2074</v>
      </c>
      <c r="D100" s="3383" t="s">
        <v>2166</v>
      </c>
      <c r="E100" s="3383" t="s">
        <v>2076</v>
      </c>
      <c r="F100" s="3383">
        <v>133</v>
      </c>
      <c r="G100" s="3383" t="s">
        <v>37</v>
      </c>
      <c r="H100" s="3383">
        <f>IF(ISNUMBER(Sector1!H49),Sector1!H49,"n.a.")</f>
        <v>1.0589999999999999</v>
      </c>
      <c r="I100" s="3383">
        <f>IF(ISNUMBER(Sector1!I49),Sector1!I49,"n.a.")</f>
        <v>1.3959999999999999</v>
      </c>
      <c r="J100" s="3383">
        <f>IF(ISNUMBER(Sector1!J49),Sector1!J49,"n.a.")</f>
        <v>1.2170000000000001</v>
      </c>
      <c r="K100" s="3383">
        <f>IF(ISNUMBER(Sector1!K49),Sector1!K49,"n.a.")</f>
        <v>1.389</v>
      </c>
      <c r="L100" s="3383">
        <f>IF(ISNUMBER(Sector1!L49),Sector1!L49,"n.a.")</f>
        <v>4.76</v>
      </c>
      <c r="M100" s="3383">
        <f>IF(ISNUMBER(Sector1!M49),Sector1!M49,"n.a.")</f>
        <v>5.2679999999999998</v>
      </c>
      <c r="N100" s="3383">
        <f>IF(ISNUMBER(Sector1!N49),Sector1!N49,"n.a.")</f>
        <v>5.3250000000000002</v>
      </c>
      <c r="O100" s="3383">
        <f>IF(ISNUMBER(Sector1!O49),Sector1!O49,"n.a.")</f>
        <v>11.249000000000002</v>
      </c>
      <c r="P100" s="3383">
        <f>IF(ISNUMBER(Sector1!P49),Sector1!P49,"n.a.")</f>
        <v>11.008000000000003</v>
      </c>
      <c r="Q100" s="3383">
        <f>IF(ISNUMBER(Sector1!Q49),Sector1!Q49,"n.a.")</f>
        <v>12.613999999999997</v>
      </c>
      <c r="R100" s="3383">
        <f>IF(ISNUMBER(Sector1!R49),Sector1!R49,"n.a.")</f>
        <v>12.619000000000007</v>
      </c>
      <c r="S100" s="3383">
        <f>IF(ISNUMBER(Sector1!S49),Sector1!S49,"n.a.")</f>
        <v>11.883000000000003</v>
      </c>
      <c r="T100" s="3383">
        <f>IF(ISNUMBER(Sector1!T49),Sector1!T49,"n.a.")</f>
        <v>11.307000000000002</v>
      </c>
      <c r="U100" s="3383">
        <f>IF(ISNUMBER(Sector1!U49),Sector1!U49,"n.a.")</f>
        <v>11.439</v>
      </c>
      <c r="V100" s="3383">
        <f>IF(ISNUMBER(Sector1!V49),Sector1!V49,"n.a.")</f>
        <v>10.863999999999997</v>
      </c>
      <c r="W100" s="3383">
        <f>IF(ISNUMBER(Sector1!W49),Sector1!W49,"n.a.")</f>
        <v>11.072000000000003</v>
      </c>
      <c r="X100" s="3383">
        <f>IF(ISNUMBER(Sector1!X49),Sector1!X49,"n.a.")</f>
        <v>10.577999999999996</v>
      </c>
      <c r="Y100" s="3383">
        <f>IF(ISNUMBER(Sector1!Y49),Sector1!Y49,"n.a.")</f>
        <v>10.308000000000014</v>
      </c>
      <c r="Z100" s="3383">
        <f>IF(ISNUMBER(Sector1!Z49),Sector1!Z49,"n.a.")</f>
        <v>10.335999999999999</v>
      </c>
      <c r="AA100" s="3383">
        <f>IF(ISNUMBER(Sector1!AA49),Sector1!AA49,"n.a.")</f>
        <v>7.8160000000000025</v>
      </c>
      <c r="AB100" s="3383">
        <f>IF(ISNUMBER(Sector1!AB49),Sector1!AB49,"n.a.")</f>
        <v>8.0550000000000068</v>
      </c>
      <c r="AC100" s="3383">
        <f>IF(ISNUMBER(Sector1!AC49),Sector1!AC49,"n.a.")</f>
        <v>7.8559999999999945</v>
      </c>
      <c r="AD100" s="3383">
        <f>IF(ISNUMBER(Sector1!AD49),Sector1!AD49,"n.a.")</f>
        <v>7.8559999999999945</v>
      </c>
      <c r="AE100" s="3383">
        <f>IF(ISNUMBER(Sector1!AE49),Sector1!AE49,"n.a.")</f>
        <v>7.8559999999999945</v>
      </c>
      <c r="AF100" s="3383">
        <f>IF(ISNUMBER(Sector1!AF49),Sector1!AF49,"n.a.")</f>
        <v>7.8559999999999945</v>
      </c>
      <c r="AG100"/>
      <c r="AH100"/>
      <c r="AI100"/>
      <c r="AJ100">
        <v>90</v>
      </c>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row>
    <row r="101" spans="1:159">
      <c r="A101" s="3383" t="str">
        <f t="shared" si="4"/>
        <v>\\DG ECFIN\Forecast\Country databases\Desk transfer databases\SE</v>
      </c>
      <c r="B101" s="3383" t="str">
        <f t="shared" si="5"/>
        <v>SE</v>
      </c>
      <c r="C101" s="3383" t="s">
        <v>2074</v>
      </c>
      <c r="D101" s="3383" t="s">
        <v>2167</v>
      </c>
      <c r="E101" s="3383" t="s">
        <v>2076</v>
      </c>
      <c r="F101" s="3383">
        <v>136</v>
      </c>
      <c r="G101" s="3383" t="s">
        <v>36</v>
      </c>
      <c r="H101" s="3383">
        <f>IF(ISNUMBER('VVP2'!H342),'VVP2'!H342,"n.a.")</f>
        <v>1934.3779999999999</v>
      </c>
      <c r="I101" s="3383">
        <f>IF(ISNUMBER('VVP2'!I342),'VVP2'!I342,"n.a.")</f>
        <v>2021.9780000000001</v>
      </c>
      <c r="J101" s="3383">
        <f>IF(ISNUMBER('VVP2'!J342),'VVP2'!J342,"n.a.")</f>
        <v>2124.4059999999999</v>
      </c>
      <c r="K101" s="3383">
        <f>IF(ISNUMBER('VVP2'!K342),'VVP2'!K342,"n.a.")</f>
        <v>2240.5729999999999</v>
      </c>
      <c r="L101" s="3383">
        <f>IF(ISNUMBER('VVP2'!L342),'VVP2'!L342,"n.a.")</f>
        <v>2383.6260000000002</v>
      </c>
      <c r="M101" s="3383">
        <f>IF(ISNUMBER('VVP2'!M342),'VVP2'!M342,"n.a.")</f>
        <v>2481.9160000000002</v>
      </c>
      <c r="N101" s="3383">
        <f>IF(ISNUMBER('VVP2'!N342),'VVP2'!N342,"n.a.")</f>
        <v>2573.9589999999998</v>
      </c>
      <c r="O101" s="3383">
        <f>IF(ISNUMBER('VVP2'!O342),'VVP2'!O342,"n.a.")</f>
        <v>2680.8629999999998</v>
      </c>
      <c r="P101" s="3383">
        <f>IF(ISNUMBER('VVP2'!P342),'VVP2'!P342,"n.a.")</f>
        <v>2808.4029999999998</v>
      </c>
      <c r="Q101" s="3383">
        <f>IF(ISNUMBER('VVP2'!Q342),'VVP2'!Q342,"n.a.")</f>
        <v>2910.683</v>
      </c>
      <c r="R101" s="3383">
        <f>IF(ISNUMBER('VVP2'!R342),'VVP2'!R342,"n.a.")</f>
        <v>3102.8339999999998</v>
      </c>
      <c r="S101" s="3383">
        <f>IF(ISNUMBER('VVP2'!S342),'VVP2'!S342,"n.a.")</f>
        <v>3300.9830000000002</v>
      </c>
      <c r="T101" s="3383">
        <f>IF(ISNUMBER('VVP2'!T342),'VVP2'!T342,"n.a.")</f>
        <v>3391.681</v>
      </c>
      <c r="U101" s="3383">
        <f>IF(ISNUMBER('VVP2'!U342),'VVP2'!U342,"n.a.")</f>
        <v>3292.009</v>
      </c>
      <c r="V101" s="3383">
        <f>IF(ISNUMBER('VVP2'!V342),'VVP2'!V342,"n.a.")</f>
        <v>3523.8240000000001</v>
      </c>
      <c r="W101" s="3383">
        <f>IF(ISNUMBER('VVP2'!W342),'VVP2'!W342,"n.a.")</f>
        <v>3661.0430000000001</v>
      </c>
      <c r="X101" s="3383">
        <f>IF(ISNUMBER('VVP2'!X342),'VVP2'!X342,"n.a.")</f>
        <v>3688.8710000000001</v>
      </c>
      <c r="Y101" s="3383">
        <f>IF(ISNUMBER('VVP2'!Y342),'VVP2'!Y342,"n.a.")</f>
        <v>3773.9389999999999</v>
      </c>
      <c r="Z101" s="3383">
        <f>IF(ISNUMBER('VVP2'!Z342),'VVP2'!Z342,"n.a.")</f>
        <v>3940.9250000000002</v>
      </c>
      <c r="AA101" s="3383">
        <f>IF(ISNUMBER('VVP2'!AA342),'VVP2'!AA342,"n.a.")</f>
        <v>4201.5429999999997</v>
      </c>
      <c r="AB101" s="3383">
        <f>IF(ISNUMBER('VVP2'!AB342),'VVP2'!AB342,"n.a.")</f>
        <v>4385.4970000000003</v>
      </c>
      <c r="AC101" s="3383">
        <f>IF(ISNUMBER('VVP2'!AC342),'VVP2'!AC342,"n.a.")</f>
        <v>4578.8990000000003</v>
      </c>
      <c r="AD101" s="3383">
        <f ca="1">IF(ISNUMBER('VVP2'!AD342),'VVP2'!AD342,"n.a.")</f>
        <v>4803.175142808399</v>
      </c>
      <c r="AE101" s="3383">
        <f ca="1">IF(ISNUMBER('VVP2'!AE342),'VVP2'!AE342,"n.a.")</f>
        <v>4984.7963994590627</v>
      </c>
      <c r="AF101" s="3383">
        <f ca="1">IF(ISNUMBER('VVP2'!AF342),'VVP2'!AF342,"n.a.")</f>
        <v>5161.5156149911854</v>
      </c>
      <c r="AG101"/>
      <c r="AH101"/>
      <c r="AI101"/>
      <c r="AJ101">
        <v>91</v>
      </c>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row>
    <row r="102" spans="1:159">
      <c r="A102" s="3383" t="str">
        <f t="shared" si="4"/>
        <v>\\DG ECFIN\Forecast\Country databases\Desk transfer databases\SE</v>
      </c>
      <c r="B102" s="3383" t="str">
        <f t="shared" si="5"/>
        <v>SE</v>
      </c>
      <c r="C102" s="3383" t="s">
        <v>2074</v>
      </c>
      <c r="D102" s="3383" t="s">
        <v>2168</v>
      </c>
      <c r="E102" s="3383" t="s">
        <v>2076</v>
      </c>
      <c r="F102" s="3383">
        <v>137</v>
      </c>
      <c r="G102" s="3383" t="s">
        <v>1118</v>
      </c>
      <c r="H102" s="3383">
        <f>IF(ISNUMBER(Sector1!H587),Sector1!H587,"n.a.")</f>
        <v>-60.107999999999933</v>
      </c>
      <c r="I102" s="3383">
        <f>IF(ISNUMBER(Sector1!I587),Sector1!I587,"n.a.")</f>
        <v>-31.794000000000118</v>
      </c>
      <c r="J102" s="3383">
        <f>IF(ISNUMBER(Sector1!J587),Sector1!J587,"n.a.")</f>
        <v>17.792000000000172</v>
      </c>
      <c r="K102" s="3383">
        <f>IF(ISNUMBER(Sector1!K587),Sector1!K587,"n.a.")</f>
        <v>16.972999999999985</v>
      </c>
      <c r="L102" s="3383">
        <f>IF(ISNUMBER(Sector1!L587),Sector1!L587,"n.a.")</f>
        <v>76.766000000000261</v>
      </c>
      <c r="M102" s="3383">
        <f>IF(ISNUMBER(Sector1!M587),Sector1!M587,"n.a.")</f>
        <v>35.280999999999892</v>
      </c>
      <c r="N102" s="3383">
        <f>IF(ISNUMBER(Sector1!N587),Sector1!N587,"n.a.")</f>
        <v>-37.333999999999662</v>
      </c>
      <c r="O102" s="3383">
        <f>IF(ISNUMBER(Sector1!O587),Sector1!O587,"n.a.")</f>
        <v>-33.985999999999848</v>
      </c>
      <c r="P102" s="3383">
        <f>IF(ISNUMBER(Sector1!P587),Sector1!P587,"n.a.")</f>
        <v>9.9810000000000372</v>
      </c>
      <c r="Q102" s="3383">
        <f>IF(ISNUMBER(Sector1!Q587),Sector1!Q587,"n.a.")</f>
        <v>53.333000000000325</v>
      </c>
      <c r="R102" s="3383">
        <f>IF(ISNUMBER(Sector1!R587),Sector1!R587,"n.a.")</f>
        <v>68.546000000000049</v>
      </c>
      <c r="S102" s="3383">
        <f>IF(ISNUMBER(Sector1!S587),Sector1!S587,"n.a.")</f>
        <v>110.71499999999992</v>
      </c>
      <c r="T102" s="3383">
        <f>IF(ISNUMBER(Sector1!T587),Sector1!T587,"n.a.")</f>
        <v>64.582000000000136</v>
      </c>
      <c r="U102" s="3383">
        <f>IF(ISNUMBER(Sector1!U587),Sector1!U587,"n.a.")</f>
        <v>-23.550999999999874</v>
      </c>
      <c r="V102" s="3383">
        <f>IF(ISNUMBER(Sector1!V587),Sector1!V587,"n.a.")</f>
        <v>-1.1300000000001376</v>
      </c>
      <c r="W102" s="3383">
        <f>IF(ISNUMBER(Sector1!W587),Sector1!W587,"n.a.")</f>
        <v>-7.4120000000000346</v>
      </c>
      <c r="X102" s="3383">
        <f>IF(ISNUMBER(Sector1!X587),Sector1!X587,"n.a.")</f>
        <v>-35.589000000000141</v>
      </c>
      <c r="Y102" s="3383">
        <f>IF(ISNUMBER(Sector1!Y587),Sector1!Y587,"n.a.")</f>
        <v>-51.593000000000018</v>
      </c>
      <c r="Z102" s="3383">
        <f>IF(ISNUMBER(Sector1!Z587),Sector1!Z587,"n.a.")</f>
        <v>-61.176000000000386</v>
      </c>
      <c r="AA102" s="3383">
        <f>IF(ISNUMBER(Sector1!AA587),Sector1!AA587,"n.a.")</f>
        <v>6.697999999999638</v>
      </c>
      <c r="AB102" s="3383">
        <f>IF(ISNUMBER(Sector1!AB587),Sector1!AB587,"n.a.")</f>
        <v>48.751999999999697</v>
      </c>
      <c r="AC102" s="3383">
        <f>IF(ISNUMBER(Sector1!AC587),Sector1!AC587,"n.a.")</f>
        <v>71.078999999999922</v>
      </c>
      <c r="AD102" s="3383">
        <f ca="1">IF(ISNUMBER(Sector1!AD587),Sector1!AD587,"n.a.")</f>
        <v>50.536864155406874</v>
      </c>
      <c r="AE102" s="3383">
        <f ca="1">IF(ISNUMBER(Sector1!AE587),Sector1!AE587,"n.a.")</f>
        <v>47.112146506995487</v>
      </c>
      <c r="AF102" s="3383">
        <f ca="1">IF(ISNUMBER(Sector1!AF587),Sector1!AF587,"n.a.")</f>
        <v>43.305782331426599</v>
      </c>
      <c r="AG102"/>
      <c r="AH102"/>
      <c r="AI102"/>
      <c r="AJ102">
        <v>92</v>
      </c>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row>
    <row r="103" spans="1:159">
      <c r="A103" s="3383" t="str">
        <f t="shared" si="4"/>
        <v>\\DG ECFIN\Forecast\Country databases\Desk transfer databases\SE</v>
      </c>
      <c r="B103" s="3383" t="str">
        <f t="shared" si="5"/>
        <v>SE</v>
      </c>
      <c r="C103" s="3383" t="s">
        <v>2074</v>
      </c>
      <c r="D103" s="3383" t="s">
        <v>2169</v>
      </c>
      <c r="E103" s="3383" t="s">
        <v>2076</v>
      </c>
      <c r="F103" s="3383">
        <v>138</v>
      </c>
      <c r="G103" s="3383" t="s">
        <v>1082</v>
      </c>
      <c r="H103" s="3379" t="str">
        <f>IF(ISNA(VLOOKUP($D103&amp;".1.0.0.0",InputDFM!$A$3:$N$8,MATCH(H$11,InputDFM!$2:$2,0),FALSE)),"n.a.",(VLOOKUP($D103&amp;".1.0.0.0",InputDFM!$A$3:$N$8,MATCH(H$11,InputDFM!$2:$2,0),FALSE)))</f>
        <v>n.a.</v>
      </c>
      <c r="I103" s="3379" t="str">
        <f>IF(ISNA(VLOOKUP($D103&amp;".1.0.0.0",InputDFM!$A$3:$N$8,MATCH(I$11,InputDFM!$2:$2,0),FALSE)),"n.a.",(VLOOKUP($D103&amp;".1.0.0.0",InputDFM!$A$3:$N$8,MATCH(I$11,InputDFM!$2:$2,0),FALSE)))</f>
        <v>n.a.</v>
      </c>
      <c r="J103" s="3379" t="str">
        <f>IF(ISNA(VLOOKUP($D103&amp;".1.0.0.0",InputDFM!$A$3:$N$8,MATCH(J$11,InputDFM!$2:$2,0),FALSE)),"n.a.",(VLOOKUP($D103&amp;".1.0.0.0",InputDFM!$A$3:$N$8,MATCH(J$11,InputDFM!$2:$2,0),FALSE)))</f>
        <v>n.a.</v>
      </c>
      <c r="K103" s="3379" t="str">
        <f>IF(ISNA(VLOOKUP($D103&amp;".1.0.0.0",InputDFM!$A$3:$N$8,MATCH(K$11,InputDFM!$2:$2,0),FALSE)),"n.a.",(VLOOKUP($D103&amp;".1.0.0.0",InputDFM!$A$3:$N$8,MATCH(K$11,InputDFM!$2:$2,0),FALSE)))</f>
        <v>n.a.</v>
      </c>
      <c r="L103" s="3379" t="str">
        <f>IF(ISNA(VLOOKUP($D103&amp;".1.0.0.0",InputDFM!$A$3:$N$8,MATCH(L$11,InputDFM!$2:$2,0),FALSE)),"n.a.",(VLOOKUP($D103&amp;".1.0.0.0",InputDFM!$A$3:$N$8,MATCH(L$11,InputDFM!$2:$2,0),FALSE)))</f>
        <v>n.a.</v>
      </c>
      <c r="M103" s="3379" t="str">
        <f>IF(ISNA(VLOOKUP($D103&amp;".1.0.0.0",InputDFM!$A$3:$N$8,MATCH(M$11,InputDFM!$2:$2,0),FALSE)),"n.a.",(VLOOKUP($D103&amp;".1.0.0.0",InputDFM!$A$3:$N$8,MATCH(M$11,InputDFM!$2:$2,0),FALSE)))</f>
        <v>n.a.</v>
      </c>
      <c r="N103" s="3379" t="str">
        <f>IF(ISNA(VLOOKUP($D103&amp;".1.0.0.0",InputDFM!$A$3:$N$8,MATCH(N$11,InputDFM!$2:$2,0),FALSE)),"n.a.",(VLOOKUP($D103&amp;".1.0.0.0",InputDFM!$A$3:$N$8,MATCH(N$11,InputDFM!$2:$2,0),FALSE)))</f>
        <v>n.a.</v>
      </c>
      <c r="O103" s="3379" t="str">
        <f>IF(ISNA(VLOOKUP($D103&amp;".1.0.0.0",InputDFM!$A$3:$N$8,MATCH(O$11,InputDFM!$2:$2,0),FALSE)),"n.a.",(VLOOKUP($D103&amp;".1.0.0.0",InputDFM!$A$3:$N$8,MATCH(O$11,InputDFM!$2:$2,0),FALSE)))</f>
        <v>n.a.</v>
      </c>
      <c r="P103" s="3379" t="str">
        <f>IF(ISNA(VLOOKUP($D103&amp;".1.0.0.0",InputDFM!$A$3:$N$8,MATCH(P$11,InputDFM!$2:$2,0),FALSE)),"n.a.",(VLOOKUP($D103&amp;".1.0.0.0",InputDFM!$A$3:$N$8,MATCH(P$11,InputDFM!$2:$2,0),FALSE)))</f>
        <v>n.a.</v>
      </c>
      <c r="Q103" s="3379" t="str">
        <f>IF(ISNA(VLOOKUP($D103&amp;".1.0.0.0",InputDFM!$A$3:$N$8,MATCH(Q$11,InputDFM!$2:$2,0),FALSE)),"n.a.",(VLOOKUP($D103&amp;".1.0.0.0",InputDFM!$A$3:$N$8,MATCH(Q$11,InputDFM!$2:$2,0),FALSE)))</f>
        <v>n.a.</v>
      </c>
      <c r="R103" s="3379" t="str">
        <f>IF(ISNA(VLOOKUP($D103&amp;".1.0.0.0",InputDFM!$A$3:$N$8,MATCH(R$11,InputDFM!$2:$2,0),FALSE)),"n.a.",(VLOOKUP($D103&amp;".1.0.0.0",InputDFM!$A$3:$N$8,MATCH(R$11,InputDFM!$2:$2,0),FALSE)))</f>
        <v>n.a.</v>
      </c>
      <c r="S103" s="3379" t="str">
        <f>IF(ISNA(VLOOKUP($D103&amp;".1.0.0.0",InputDFM!$A$3:$N$8,MATCH(S$11,InputDFM!$2:$2,0),FALSE)),"n.a.",(VLOOKUP($D103&amp;".1.0.0.0",InputDFM!$A$3:$N$8,MATCH(S$11,InputDFM!$2:$2,0),FALSE)))</f>
        <v>n.a.</v>
      </c>
      <c r="T103" s="3379" t="str">
        <f>IF(ISNA(VLOOKUP($D103&amp;".1.0.0.0",InputDFM!$A$3:$N$8,MATCH(T$11,InputDFM!$2:$2,0),FALSE)),"n.a.",(VLOOKUP($D103&amp;".1.0.0.0",InputDFM!$A$3:$N$8,MATCH(T$11,InputDFM!$2:$2,0),FALSE)))</f>
        <v>n.a.</v>
      </c>
      <c r="U103" s="3379" t="str">
        <f>IF(ISNA(VLOOKUP($D103&amp;".1.0.0.0",InputDFM!$A$3:$N$8,MATCH(U$11,InputDFM!$2:$2,0),FALSE)),"n.a.",(VLOOKUP($D103&amp;".1.0.0.0",InputDFM!$A$3:$N$8,MATCH(U$11,InputDFM!$2:$2,0),FALSE)))</f>
        <v>n.a.</v>
      </c>
      <c r="V103" s="3379" t="str">
        <f>IF(ISNA(VLOOKUP($D103&amp;".1.0.0.0",InputDFM!$A$3:$N$8,MATCH(V$11,InputDFM!$2:$2,0),FALSE)),"n.a.",(VLOOKUP($D103&amp;".1.0.0.0",InputDFM!$A$3:$N$8,MATCH(V$11,InputDFM!$2:$2,0),FALSE)))</f>
        <v>n.a.</v>
      </c>
      <c r="W103" s="3379" t="str">
        <f>IF(ISNA(VLOOKUP($D103&amp;".1.0.0.0",InputDFM!$A$3:$N$8,MATCH(W$11,InputDFM!$2:$2,0),FALSE)),"n.a.",(VLOOKUP($D103&amp;".1.0.0.0",InputDFM!$A$3:$N$8,MATCH(W$11,InputDFM!$2:$2,0),FALSE)))</f>
        <v>n.a.</v>
      </c>
      <c r="X103" s="3379" t="str">
        <f>IF(ISNA(VLOOKUP($D103&amp;".1.0.0.0",InputDFM!$A$3:$N$8,MATCH(X$11,InputDFM!$2:$2,0),FALSE)),"n.a.",(VLOOKUP($D103&amp;".1.0.0.0",InputDFM!$A$3:$N$8,MATCH(X$11,InputDFM!$2:$2,0),FALSE)))</f>
        <v>n.a.</v>
      </c>
      <c r="Y103" s="3379" t="str">
        <f>IF(ISNA(VLOOKUP($D103&amp;".1.0.0.0",InputDFM!$A$3:$N$8,MATCH(Y$11,InputDFM!$2:$2,0),FALSE)),"n.a.",(VLOOKUP($D103&amp;".1.0.0.0",InputDFM!$A$3:$N$8,MATCH(Y$11,InputDFM!$2:$2,0),FALSE)))</f>
        <v>n.a.</v>
      </c>
      <c r="Z103" s="3379">
        <f>IF(ISNA(VLOOKUP($D103&amp;".1.0.0.0",InputDFM!$A$3:$N$8,MATCH(Z$11,InputDFM!$2:$2,0),FALSE)),"n.a.",(VLOOKUP($D103&amp;".1.0.0.0",InputDFM!$A$3:$N$8,MATCH(Z$11,InputDFM!$2:$2,0),FALSE)))</f>
        <v>0</v>
      </c>
      <c r="AA103" s="3379">
        <f>IF(ISNA(VLOOKUP($D103&amp;".1.0.0.0",InputDFM!$A$3:$N$8,MATCH(AA$11,InputDFM!$2:$2,0),FALSE)),"n.a.",(VLOOKUP($D103&amp;".1.0.0.0",InputDFM!$A$3:$N$8,MATCH(AA$11,InputDFM!$2:$2,0),FALSE)))</f>
        <v>0</v>
      </c>
      <c r="AB103" s="3379">
        <f>IF(ISNA(VLOOKUP($D103&amp;".1.0.0.0",InputDFM!$A$3:$N$8,MATCH(AB$11,InputDFM!$2:$2,0),FALSE)),"n.a.",(VLOOKUP($D103&amp;".1.0.0.0",InputDFM!$A$3:$N$8,MATCH(AB$11,InputDFM!$2:$2,0),FALSE)))</f>
        <v>0</v>
      </c>
      <c r="AC103" s="3379">
        <f>IF(ISNA(VLOOKUP($D103&amp;".1.0.0.0",InputDFM!$A$3:$N$8,MATCH(AC$11,InputDFM!$2:$2,0),FALSE)),"n.a.",(VLOOKUP($D103&amp;".1.0.0.0",InputDFM!$A$3:$N$8,MATCH(AC$11,InputDFM!$2:$2,0),FALSE)))</f>
        <v>0</v>
      </c>
      <c r="AD103" s="3379">
        <f>IF(ISNA(VLOOKUP($D103&amp;".1.0.0.0",InputDFM!$A$3:$N$8,MATCH(AD$11,InputDFM!$2:$2,0),FALSE)),"n.a.",(VLOOKUP($D103&amp;".1.0.0.0",InputDFM!$A$3:$N$8,MATCH(AD$11,InputDFM!$2:$2,0),FALSE)))</f>
        <v>0</v>
      </c>
      <c r="AE103" s="3379">
        <f>IF(ISNA(VLOOKUP($D103&amp;".1.0.0.0",InputDFM!$A$3:$N$8,MATCH(AE$11,InputDFM!$2:$2,0),FALSE)),"n.a.",(VLOOKUP($D103&amp;".1.0.0.0",InputDFM!$A$3:$N$8,MATCH(AE$11,InputDFM!$2:$2,0),FALSE)))</f>
        <v>0</v>
      </c>
      <c r="AF103" s="3379">
        <f>IF(ISNA(VLOOKUP($D103&amp;".1.0.0.0",InputDFM!$A$3:$N$8,MATCH(AF$11,InputDFM!$2:$2,0),FALSE)),"n.a.",(VLOOKUP($D103&amp;".1.0.0.0",InputDFM!$A$3:$N$8,MATCH(AF$11,InputDFM!$2:$2,0),FALSE)))</f>
        <v>0</v>
      </c>
      <c r="AG103"/>
      <c r="AH103"/>
      <c r="AI103"/>
      <c r="AJ103">
        <v>93</v>
      </c>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row>
    <row r="104" spans="1:159">
      <c r="A104" s="3383" t="str">
        <f t="shared" si="4"/>
        <v>\\DG ECFIN\Forecast\Country databases\Desk transfer databases\SE</v>
      </c>
      <c r="B104" s="3383" t="str">
        <f t="shared" si="5"/>
        <v>SE</v>
      </c>
      <c r="C104" s="3383" t="s">
        <v>2074</v>
      </c>
      <c r="D104" s="3383" t="s">
        <v>2170</v>
      </c>
      <c r="E104" s="3383" t="s">
        <v>2076</v>
      </c>
      <c r="F104" s="3383">
        <v>139</v>
      </c>
      <c r="G104" s="3383" t="s">
        <v>1083</v>
      </c>
      <c r="H104" s="3379" t="str">
        <f>IF(ISNA(VLOOKUP($D104&amp;".1.0.0.0",InputDFM!$A$3:$N$8,MATCH(H$11,InputDFM!$2:$2,0),FALSE)),"n.a.",(VLOOKUP($D104&amp;".1.0.0.0",InputDFM!$A$3:$N$8,MATCH(H$11,InputDFM!$2:$2,0),FALSE)))</f>
        <v>n.a.</v>
      </c>
      <c r="I104" s="3379" t="str">
        <f>IF(ISNA(VLOOKUP($D104&amp;".1.0.0.0",InputDFM!$A$3:$N$8,MATCH(I$11,InputDFM!$2:$2,0),FALSE)),"n.a.",(VLOOKUP($D104&amp;".1.0.0.0",InputDFM!$A$3:$N$8,MATCH(I$11,InputDFM!$2:$2,0),FALSE)))</f>
        <v>n.a.</v>
      </c>
      <c r="J104" s="3379" t="str">
        <f>IF(ISNA(VLOOKUP($D104&amp;".1.0.0.0",InputDFM!$A$3:$N$8,MATCH(J$11,InputDFM!$2:$2,0),FALSE)),"n.a.",(VLOOKUP($D104&amp;".1.0.0.0",InputDFM!$A$3:$N$8,MATCH(J$11,InputDFM!$2:$2,0),FALSE)))</f>
        <v>n.a.</v>
      </c>
      <c r="K104" s="3379" t="str">
        <f>IF(ISNA(VLOOKUP($D104&amp;".1.0.0.0",InputDFM!$A$3:$N$8,MATCH(K$11,InputDFM!$2:$2,0),FALSE)),"n.a.",(VLOOKUP($D104&amp;".1.0.0.0",InputDFM!$A$3:$N$8,MATCH(K$11,InputDFM!$2:$2,0),FALSE)))</f>
        <v>n.a.</v>
      </c>
      <c r="L104" s="3379" t="str">
        <f>IF(ISNA(VLOOKUP($D104&amp;".1.0.0.0",InputDFM!$A$3:$N$8,MATCH(L$11,InputDFM!$2:$2,0),FALSE)),"n.a.",(VLOOKUP($D104&amp;".1.0.0.0",InputDFM!$A$3:$N$8,MATCH(L$11,InputDFM!$2:$2,0),FALSE)))</f>
        <v>n.a.</v>
      </c>
      <c r="M104" s="3379" t="str">
        <f>IF(ISNA(VLOOKUP($D104&amp;".1.0.0.0",InputDFM!$A$3:$N$8,MATCH(M$11,InputDFM!$2:$2,0),FALSE)),"n.a.",(VLOOKUP($D104&amp;".1.0.0.0",InputDFM!$A$3:$N$8,MATCH(M$11,InputDFM!$2:$2,0),FALSE)))</f>
        <v>n.a.</v>
      </c>
      <c r="N104" s="3379" t="str">
        <f>IF(ISNA(VLOOKUP($D104&amp;".1.0.0.0",InputDFM!$A$3:$N$8,MATCH(N$11,InputDFM!$2:$2,0),FALSE)),"n.a.",(VLOOKUP($D104&amp;".1.0.0.0",InputDFM!$A$3:$N$8,MATCH(N$11,InputDFM!$2:$2,0),FALSE)))</f>
        <v>n.a.</v>
      </c>
      <c r="O104" s="3379" t="str">
        <f>IF(ISNA(VLOOKUP($D104&amp;".1.0.0.0",InputDFM!$A$3:$N$8,MATCH(O$11,InputDFM!$2:$2,0),FALSE)),"n.a.",(VLOOKUP($D104&amp;".1.0.0.0",InputDFM!$A$3:$N$8,MATCH(O$11,InputDFM!$2:$2,0),FALSE)))</f>
        <v>n.a.</v>
      </c>
      <c r="P104" s="3379" t="str">
        <f>IF(ISNA(VLOOKUP($D104&amp;".1.0.0.0",InputDFM!$A$3:$N$8,MATCH(P$11,InputDFM!$2:$2,0),FALSE)),"n.a.",(VLOOKUP($D104&amp;".1.0.0.0",InputDFM!$A$3:$N$8,MATCH(P$11,InputDFM!$2:$2,0),FALSE)))</f>
        <v>n.a.</v>
      </c>
      <c r="Q104" s="3379" t="str">
        <f>IF(ISNA(VLOOKUP($D104&amp;".1.0.0.0",InputDFM!$A$3:$N$8,MATCH(Q$11,InputDFM!$2:$2,0),FALSE)),"n.a.",(VLOOKUP($D104&amp;".1.0.0.0",InputDFM!$A$3:$N$8,MATCH(Q$11,InputDFM!$2:$2,0),FALSE)))</f>
        <v>n.a.</v>
      </c>
      <c r="R104" s="3379" t="str">
        <f>IF(ISNA(VLOOKUP($D104&amp;".1.0.0.0",InputDFM!$A$3:$N$8,MATCH(R$11,InputDFM!$2:$2,0),FALSE)),"n.a.",(VLOOKUP($D104&amp;".1.0.0.0",InputDFM!$A$3:$N$8,MATCH(R$11,InputDFM!$2:$2,0),FALSE)))</f>
        <v>n.a.</v>
      </c>
      <c r="S104" s="3379" t="str">
        <f>IF(ISNA(VLOOKUP($D104&amp;".1.0.0.0",InputDFM!$A$3:$N$8,MATCH(S$11,InputDFM!$2:$2,0),FALSE)),"n.a.",(VLOOKUP($D104&amp;".1.0.0.0",InputDFM!$A$3:$N$8,MATCH(S$11,InputDFM!$2:$2,0),FALSE)))</f>
        <v>n.a.</v>
      </c>
      <c r="T104" s="3379" t="str">
        <f>IF(ISNA(VLOOKUP($D104&amp;".1.0.0.0",InputDFM!$A$3:$N$8,MATCH(T$11,InputDFM!$2:$2,0),FALSE)),"n.a.",(VLOOKUP($D104&amp;".1.0.0.0",InputDFM!$A$3:$N$8,MATCH(T$11,InputDFM!$2:$2,0),FALSE)))</f>
        <v>n.a.</v>
      </c>
      <c r="U104" s="3379" t="str">
        <f>IF(ISNA(VLOOKUP($D104&amp;".1.0.0.0",InputDFM!$A$3:$N$8,MATCH(U$11,InputDFM!$2:$2,0),FALSE)),"n.a.",(VLOOKUP($D104&amp;".1.0.0.0",InputDFM!$A$3:$N$8,MATCH(U$11,InputDFM!$2:$2,0),FALSE)))</f>
        <v>n.a.</v>
      </c>
      <c r="V104" s="3379" t="str">
        <f>IF(ISNA(VLOOKUP($D104&amp;".1.0.0.0",InputDFM!$A$3:$N$8,MATCH(V$11,InputDFM!$2:$2,0),FALSE)),"n.a.",(VLOOKUP($D104&amp;".1.0.0.0",InputDFM!$A$3:$N$8,MATCH(V$11,InputDFM!$2:$2,0),FALSE)))</f>
        <v>n.a.</v>
      </c>
      <c r="W104" s="3379" t="str">
        <f>IF(ISNA(VLOOKUP($D104&amp;".1.0.0.0",InputDFM!$A$3:$N$8,MATCH(W$11,InputDFM!$2:$2,0),FALSE)),"n.a.",(VLOOKUP($D104&amp;".1.0.0.0",InputDFM!$A$3:$N$8,MATCH(W$11,InputDFM!$2:$2,0),FALSE)))</f>
        <v>n.a.</v>
      </c>
      <c r="X104" s="3379" t="str">
        <f>IF(ISNA(VLOOKUP($D104&amp;".1.0.0.0",InputDFM!$A$3:$N$8,MATCH(X$11,InputDFM!$2:$2,0),FALSE)),"n.a.",(VLOOKUP($D104&amp;".1.0.0.0",InputDFM!$A$3:$N$8,MATCH(X$11,InputDFM!$2:$2,0),FALSE)))</f>
        <v>n.a.</v>
      </c>
      <c r="Y104" s="3379" t="str">
        <f>IF(ISNA(VLOOKUP($D104&amp;".1.0.0.0",InputDFM!$A$3:$N$8,MATCH(Y$11,InputDFM!$2:$2,0),FALSE)),"n.a.",(VLOOKUP($D104&amp;".1.0.0.0",InputDFM!$A$3:$N$8,MATCH(Y$11,InputDFM!$2:$2,0),FALSE)))</f>
        <v>n.a.</v>
      </c>
      <c r="Z104" s="3379">
        <f>IF(ISNA(VLOOKUP($D104&amp;".1.0.0.0",InputDFM!$A$3:$N$8,MATCH(Z$11,InputDFM!$2:$2,0),FALSE)),"n.a.",(VLOOKUP($D104&amp;".1.0.0.0",InputDFM!$A$3:$N$8,MATCH(Z$11,InputDFM!$2:$2,0),FALSE)))</f>
        <v>0</v>
      </c>
      <c r="AA104" s="3379">
        <f>IF(ISNA(VLOOKUP($D104&amp;".1.0.0.0",InputDFM!$A$3:$N$8,MATCH(AA$11,InputDFM!$2:$2,0),FALSE)),"n.a.",(VLOOKUP($D104&amp;".1.0.0.0",InputDFM!$A$3:$N$8,MATCH(AA$11,InputDFM!$2:$2,0),FALSE)))</f>
        <v>0</v>
      </c>
      <c r="AB104" s="3379">
        <f>IF(ISNA(VLOOKUP($D104&amp;".1.0.0.0",InputDFM!$A$3:$N$8,MATCH(AB$11,InputDFM!$2:$2,0),FALSE)),"n.a.",(VLOOKUP($D104&amp;".1.0.0.0",InputDFM!$A$3:$N$8,MATCH(AB$11,InputDFM!$2:$2,0),FALSE)))</f>
        <v>0</v>
      </c>
      <c r="AC104" s="3379">
        <f>IF(ISNA(VLOOKUP($D104&amp;".1.0.0.0",InputDFM!$A$3:$N$8,MATCH(AC$11,InputDFM!$2:$2,0),FALSE)),"n.a.",(VLOOKUP($D104&amp;".1.0.0.0",InputDFM!$A$3:$N$8,MATCH(AC$11,InputDFM!$2:$2,0),FALSE)))</f>
        <v>0</v>
      </c>
      <c r="AD104" s="3379">
        <f>IF(ISNA(VLOOKUP($D104&amp;".1.0.0.0",InputDFM!$A$3:$N$8,MATCH(AD$11,InputDFM!$2:$2,0),FALSE)),"n.a.",(VLOOKUP($D104&amp;".1.0.0.0",InputDFM!$A$3:$N$8,MATCH(AD$11,InputDFM!$2:$2,0),FALSE)))</f>
        <v>0</v>
      </c>
      <c r="AE104" s="3379">
        <f>IF(ISNA(VLOOKUP($D104&amp;".1.0.0.0",InputDFM!$A$3:$N$8,MATCH(AE$11,InputDFM!$2:$2,0),FALSE)),"n.a.",(VLOOKUP($D104&amp;".1.0.0.0",InputDFM!$A$3:$N$8,MATCH(AE$11,InputDFM!$2:$2,0),FALSE)))</f>
        <v>0</v>
      </c>
      <c r="AF104" s="3379">
        <f>IF(ISNA(VLOOKUP($D104&amp;".1.0.0.0",InputDFM!$A$3:$N$8,MATCH(AF$11,InputDFM!$2:$2,0),FALSE)),"n.a.",(VLOOKUP($D104&amp;".1.0.0.0",InputDFM!$A$3:$N$8,MATCH(AF$11,InputDFM!$2:$2,0),FALSE)))</f>
        <v>0</v>
      </c>
      <c r="AG104"/>
      <c r="AH104"/>
      <c r="AI104"/>
      <c r="AJ104">
        <v>94</v>
      </c>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row>
    <row r="105" spans="1:159">
      <c r="A105" s="3383" t="str">
        <f t="shared" si="4"/>
        <v>\\DG ECFIN\Forecast\Country databases\Desk transfer databases\SE</v>
      </c>
      <c r="B105" s="3383" t="str">
        <f t="shared" si="5"/>
        <v>SE</v>
      </c>
      <c r="C105" s="3383" t="s">
        <v>2074</v>
      </c>
      <c r="D105" s="3383" t="s">
        <v>2171</v>
      </c>
      <c r="E105" s="3383" t="s">
        <v>2076</v>
      </c>
      <c r="F105" s="3383">
        <v>140</v>
      </c>
      <c r="G105" s="3383" t="s">
        <v>1314</v>
      </c>
      <c r="H105" s="3383">
        <f>IF(ISNUMBER(Sector1!H772),Sector1!H772,"n.a.")</f>
        <v>-32.676000000000002</v>
      </c>
      <c r="I105" s="3383">
        <f>IF(ISNUMBER(Sector1!I772),Sector1!I772,"n.a.")</f>
        <v>-31.661999999999999</v>
      </c>
      <c r="J105" s="3383">
        <f>IF(ISNUMBER(Sector1!J772),Sector1!J772,"n.a.")</f>
        <v>-21.702999999999999</v>
      </c>
      <c r="K105" s="3383">
        <f>IF(ISNUMBER(Sector1!K772),Sector1!K772,"n.a.")</f>
        <v>-10.654</v>
      </c>
      <c r="L105" s="3383">
        <f>IF(ISNUMBER(Sector1!L772),Sector1!L772,"n.a.")</f>
        <v>-3.4899999999999998</v>
      </c>
      <c r="M105" s="3383">
        <f>IF(ISNUMBER(Sector1!M772),Sector1!M772,"n.a.")</f>
        <v>-3.2510000000000012</v>
      </c>
      <c r="N105" s="3383">
        <f>IF(ISNUMBER(Sector1!N772),Sector1!N772,"n.a.")</f>
        <v>1.1500000000000012</v>
      </c>
      <c r="O105" s="3383">
        <f>IF(ISNUMBER(Sector1!O772),Sector1!O772,"n.a.")</f>
        <v>45.470000000000006</v>
      </c>
      <c r="P105" s="3383">
        <f>IF(ISNUMBER(Sector1!P772),Sector1!P772,"n.a.")</f>
        <v>15.879000000000001</v>
      </c>
      <c r="Q105" s="3383">
        <f>IF(ISNUMBER(Sector1!Q772),Sector1!Q772,"n.a.")</f>
        <v>39.801000000000002</v>
      </c>
      <c r="R105" s="3383">
        <f>IF(ISNUMBER(Sector1!R772),Sector1!R772,"n.a.")</f>
        <v>80.878000000000014</v>
      </c>
      <c r="S105" s="3383">
        <f>IF(ISNUMBER(Sector1!S772),Sector1!S772,"n.a.")</f>
        <v>99.378000000000014</v>
      </c>
      <c r="T105" s="3383">
        <f>IF(ISNUMBER(Sector1!T772),Sector1!T772,"n.a.")</f>
        <v>117.539</v>
      </c>
      <c r="U105" s="3383">
        <f>IF(ISNUMBER(Sector1!U772),Sector1!U772,"n.a.")</f>
        <v>78.225999999999999</v>
      </c>
      <c r="V105" s="3383">
        <f>IF(ISNUMBER(Sector1!V772),Sector1!V772,"n.a.")</f>
        <v>96.920999999999992</v>
      </c>
      <c r="W105" s="3383">
        <f>IF(ISNUMBER(Sector1!W772),Sector1!W772,"n.a.")</f>
        <v>75.922000000000011</v>
      </c>
      <c r="X105" s="3383">
        <f>IF(ISNUMBER(Sector1!X772),Sector1!X772,"n.a.")</f>
        <v>85.531999999999996</v>
      </c>
      <c r="Y105" s="3383">
        <f>IF(ISNUMBER(Sector1!Y772),Sector1!Y772,"n.a.")</f>
        <v>86.106000000000009</v>
      </c>
      <c r="Z105" s="3383">
        <f>IF(ISNUMBER(Sector1!Z772),Sector1!Z772,"n.a.")</f>
        <v>84.114999999999995</v>
      </c>
      <c r="AA105" s="3383">
        <f>IF(ISNUMBER(Sector1!AA772),Sector1!AA772,"n.a.")</f>
        <v>54.085999999999999</v>
      </c>
      <c r="AB105" s="3383">
        <f>IF(ISNUMBER(Sector1!AB772),Sector1!AB772,"n.a.")</f>
        <v>47.865000000000009</v>
      </c>
      <c r="AC105" s="3383">
        <f>IF(ISNUMBER(Sector1!AC772),Sector1!AC772,"n.a.")</f>
        <v>64.849999999999994</v>
      </c>
      <c r="AD105" s="3383">
        <f ca="1">IF(ISNUMBER(Sector1!AD772),Sector1!AD772,"n.a.")</f>
        <v>64.60838789529727</v>
      </c>
      <c r="AE105" s="3383">
        <f ca="1">IF(ISNUMBER(Sector1!AE772),Sector1!AE772,"n.a.")</f>
        <v>65.142782137422699</v>
      </c>
      <c r="AF105" s="3383">
        <f ca="1">IF(ISNUMBER(Sector1!AF772),Sector1!AF772,"n.a.")</f>
        <v>65.777829427587847</v>
      </c>
      <c r="AG105"/>
      <c r="AH105"/>
      <c r="AI105"/>
      <c r="AJ105">
        <v>95</v>
      </c>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row>
    <row r="106" spans="1:159">
      <c r="A106" s="3383" t="str">
        <f t="shared" si="4"/>
        <v>\\DG ECFIN\Forecast\Country databases\Desk transfer databases\SE</v>
      </c>
      <c r="B106" s="3383" t="str">
        <f t="shared" si="5"/>
        <v>SE</v>
      </c>
      <c r="C106" s="3383" t="s">
        <v>2074</v>
      </c>
      <c r="D106" s="3383" t="s">
        <v>2172</v>
      </c>
      <c r="E106" s="3383" t="s">
        <v>2076</v>
      </c>
      <c r="F106" s="3383">
        <v>141</v>
      </c>
      <c r="G106" s="3383" t="s">
        <v>1315</v>
      </c>
      <c r="H106" s="3383">
        <f>IF(ISNUMBER(Sector1!H783),Sector1!H783,"n.a.")</f>
        <v>-21.588000000000001</v>
      </c>
      <c r="I106" s="3383">
        <f>IF(ISNUMBER(Sector1!I783),Sector1!I783,"n.a.")</f>
        <v>-30.385000000000002</v>
      </c>
      <c r="J106" s="3383">
        <f>IF(ISNUMBER(Sector1!J783),Sector1!J783,"n.a.")</f>
        <v>-26.411000000000012</v>
      </c>
      <c r="K106" s="3383">
        <f>IF(ISNUMBER(Sector1!K783),Sector1!K783,"n.a.")</f>
        <v>-27.73299999999999</v>
      </c>
      <c r="L106" s="3383">
        <f>IF(ISNUMBER(Sector1!L783),Sector1!L783,"n.a.")</f>
        <v>-28.963000000000001</v>
      </c>
      <c r="M106" s="3383">
        <f>IF(ISNUMBER(Sector1!M783),Sector1!M783,"n.a.")</f>
        <v>-30.234000000000002</v>
      </c>
      <c r="N106" s="3383">
        <f>IF(ISNUMBER(Sector1!N783),Sector1!N783,"n.a.")</f>
        <v>-28.939</v>
      </c>
      <c r="O106" s="3383">
        <f>IF(ISNUMBER(Sector1!O783),Sector1!O783,"n.a.")</f>
        <v>-35.849999999999994</v>
      </c>
      <c r="P106" s="3383">
        <f>IF(ISNUMBER(Sector1!P783),Sector1!P783,"n.a.")</f>
        <v>-41.467999999999996</v>
      </c>
      <c r="Q106" s="3383">
        <f>IF(ISNUMBER(Sector1!Q783),Sector1!Q783,"n.a.")</f>
        <v>-43.759000000000015</v>
      </c>
      <c r="R106" s="3383">
        <f>IF(ISNUMBER(Sector1!R783),Sector1!R783,"n.a.")</f>
        <v>-50.259</v>
      </c>
      <c r="S106" s="3383">
        <f>IF(ISNUMBER(Sector1!S783),Sector1!S783,"n.a.")</f>
        <v>-50.34099999999998</v>
      </c>
      <c r="T106" s="3383">
        <f>IF(ISNUMBER(Sector1!T783),Sector1!T783,"n.a.")</f>
        <v>-59.846000000000025</v>
      </c>
      <c r="U106" s="3383">
        <f>IF(ISNUMBER(Sector1!U783),Sector1!U783,"n.a.")</f>
        <v>-52.564999999999998</v>
      </c>
      <c r="V106" s="3383">
        <f>IF(ISNUMBER(Sector1!V783),Sector1!V783,"n.a.")</f>
        <v>-61.283000000000008</v>
      </c>
      <c r="W106" s="3383">
        <f>IF(ISNUMBER(Sector1!W783),Sector1!W783,"n.a.")</f>
        <v>-59.745000000000005</v>
      </c>
      <c r="X106" s="3383">
        <f>IF(ISNUMBER(Sector1!X783),Sector1!X783,"n.a.")</f>
        <v>-62.793999999999997</v>
      </c>
      <c r="Y106" s="3383">
        <f>IF(ISNUMBER(Sector1!Y783),Sector1!Y783,"n.a.")</f>
        <v>-64.237000000000023</v>
      </c>
      <c r="Z106" s="3383">
        <f>IF(ISNUMBER(Sector1!Z783),Sector1!Z783,"n.a.")</f>
        <v>-67.506000000000085</v>
      </c>
      <c r="AA106" s="3383">
        <f>IF(ISNUMBER(Sector1!AA783),Sector1!AA783,"n.a.")</f>
        <v>-66.540000000000049</v>
      </c>
      <c r="AB106" s="3383">
        <f>IF(ISNUMBER(Sector1!AB783),Sector1!AB783,"n.a.")</f>
        <v>-55.830000000000013</v>
      </c>
      <c r="AC106" s="3383">
        <f>IF(ISNUMBER(Sector1!AC783),Sector1!AC783,"n.a.")</f>
        <v>-67.844000000000023</v>
      </c>
      <c r="AD106" s="3383">
        <f>IF(ISNUMBER(Sector1!AD783),Sector1!AD783,"n.a.")</f>
        <v>-69.451093174787147</v>
      </c>
      <c r="AE106" s="3383">
        <f>IF(ISNUMBER(Sector1!AE783),Sector1!AE783,"n.a.")</f>
        <v>-72.154211718801363</v>
      </c>
      <c r="AF106" s="3383">
        <f>IF(ISNUMBER(Sector1!AF783),Sector1!AF783,"n.a.")</f>
        <v>-73.88386588615765</v>
      </c>
      <c r="AG106"/>
      <c r="AH106"/>
      <c r="AI106"/>
      <c r="AJ106">
        <v>96</v>
      </c>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row>
    <row r="107" spans="1:159">
      <c r="A107" s="3383" t="str">
        <f t="shared" si="4"/>
        <v>\\DG ECFIN\Forecast\Country databases\Desk transfer databases\SE</v>
      </c>
      <c r="B107" s="3383" t="str">
        <f t="shared" si="5"/>
        <v>SE</v>
      </c>
      <c r="C107" s="3383" t="s">
        <v>2074</v>
      </c>
      <c r="D107" s="3383" t="s">
        <v>2173</v>
      </c>
      <c r="E107" s="3383" t="s">
        <v>2076</v>
      </c>
      <c r="F107" s="3383">
        <v>142</v>
      </c>
      <c r="G107" s="3383" t="s">
        <v>1472</v>
      </c>
      <c r="H107" s="3383">
        <f>IF(ISNUMBER(Sector1!H791),Sector1!H791,"n.a.")</f>
        <v>-8.9179999999999993</v>
      </c>
      <c r="I107" s="3383">
        <f>IF(ISNUMBER(Sector1!I791),Sector1!I791,"n.a.")</f>
        <v>-5.6470000000000002</v>
      </c>
      <c r="J107" s="3383">
        <f>IF(ISNUMBER(Sector1!J791),Sector1!J791,"n.a.")</f>
        <v>2.6000000000000023E-2</v>
      </c>
      <c r="K107" s="3383">
        <f>IF(ISNUMBER(Sector1!K791),Sector1!K791,"n.a.")</f>
        <v>-24.979999999999997</v>
      </c>
      <c r="L107" s="3383">
        <f>IF(ISNUMBER(Sector1!L791),Sector1!L791,"n.a.")</f>
        <v>-3.661</v>
      </c>
      <c r="M107" s="3383">
        <f>IF(ISNUMBER(Sector1!M791),Sector1!M791,"n.a.")</f>
        <v>-1.5550000000000002</v>
      </c>
      <c r="N107" s="3383">
        <f>IF(ISNUMBER(Sector1!N791),Sector1!N791,"n.a.")</f>
        <v>-2.621</v>
      </c>
      <c r="O107" s="3383">
        <f>IF(ISNUMBER(Sector1!O791),Sector1!O791,"n.a.")</f>
        <v>-1.1300000000000001</v>
      </c>
      <c r="P107" s="3383">
        <f>IF(ISNUMBER(Sector1!P791),Sector1!P791,"n.a.")</f>
        <v>-2.2330000000000001</v>
      </c>
      <c r="Q107" s="3383">
        <f>IF(ISNUMBER(Sector1!Q791),Sector1!Q791,"n.a.")</f>
        <v>-0.85199999999999998</v>
      </c>
      <c r="R107" s="3383">
        <f>IF(ISNUMBER(Sector1!R791),Sector1!R791,"n.a.")</f>
        <v>-17.564999999999998</v>
      </c>
      <c r="S107" s="3383">
        <f>IF(ISNUMBER(Sector1!S791),Sector1!S791,"n.a.")</f>
        <v>-2.5230000000000001</v>
      </c>
      <c r="T107" s="3383">
        <f>IF(ISNUMBER(Sector1!T791),Sector1!T791,"n.a.")</f>
        <v>-5.1310000000000002</v>
      </c>
      <c r="U107" s="3383">
        <f>IF(ISNUMBER(Sector1!U791),Sector1!U791,"n.a.")</f>
        <v>-4.1529999999999996</v>
      </c>
      <c r="V107" s="3383">
        <f>IF(ISNUMBER(Sector1!V791),Sector1!V791,"n.a.")</f>
        <v>-4.8159999999999998</v>
      </c>
      <c r="W107" s="3383">
        <f>IF(ISNUMBER(Sector1!W791),Sector1!W791,"n.a.")</f>
        <v>-6.0059999999999993</v>
      </c>
      <c r="X107" s="3383">
        <f>IF(ISNUMBER(Sector1!X791),Sector1!X791,"n.a.")</f>
        <v>-5.774</v>
      </c>
      <c r="Y107" s="3383">
        <f>IF(ISNUMBER(Sector1!Y791),Sector1!Y791,"n.a.")</f>
        <v>-9.1060000000000016</v>
      </c>
      <c r="Z107" s="3383">
        <f>IF(ISNUMBER(Sector1!Z791),Sector1!Z791,"n.a.")</f>
        <v>-5.4239999999999995</v>
      </c>
      <c r="AA107" s="3383">
        <f>IF(ISNUMBER(Sector1!AA791),Sector1!AA791,"n.a.")</f>
        <v>-8.1020000000000003</v>
      </c>
      <c r="AB107" s="3383">
        <f>IF(ISNUMBER(Sector1!AB791),Sector1!AB791,"n.a.")</f>
        <v>-2.7010000000000001</v>
      </c>
      <c r="AC107" s="3383">
        <f>IF(ISNUMBER(Sector1!AC791),Sector1!AC791,"n.a.")</f>
        <v>-2.883</v>
      </c>
      <c r="AD107" s="3383">
        <f ca="1">IF(ISNUMBER(Sector1!AD791),Sector1!AD791,"n.a.")</f>
        <v>-7.4717411881767353</v>
      </c>
      <c r="AE107" s="3383">
        <f ca="1">IF(ISNUMBER(Sector1!AE791),Sector1!AE791,"n.a.")</f>
        <v>-12.426959562066155</v>
      </c>
      <c r="AF107" s="3383">
        <f ca="1">IF(ISNUMBER(Sector1!AF791),Sector1!AF791,"n.a.")</f>
        <v>-12.547611361477241</v>
      </c>
      <c r="AG107"/>
      <c r="AH107"/>
      <c r="AI107"/>
      <c r="AJ107">
        <v>97</v>
      </c>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row>
    <row r="108" spans="1:159">
      <c r="A108" s="3383" t="str">
        <f t="shared" si="4"/>
        <v>\\DG ECFIN\Forecast\Country databases\Desk transfer databases\SE</v>
      </c>
      <c r="B108" s="3383" t="str">
        <f t="shared" si="5"/>
        <v>SE</v>
      </c>
      <c r="C108" s="3383" t="s">
        <v>2074</v>
      </c>
      <c r="D108" s="3383" t="s">
        <v>2174</v>
      </c>
      <c r="E108" s="3383" t="s">
        <v>2076</v>
      </c>
      <c r="F108" s="3383">
        <v>143</v>
      </c>
      <c r="G108" s="3383" t="s">
        <v>849</v>
      </c>
      <c r="H108" s="3383">
        <f>IF(ISNUMBER(Sector1!H424),Sector1!H424,"n.a.")</f>
        <v>98.44</v>
      </c>
      <c r="I108" s="3383">
        <f>IF(ISNUMBER(Sector1!I424),Sector1!I424,"n.a.")</f>
        <v>97.498000000000005</v>
      </c>
      <c r="J108" s="3383">
        <f>IF(ISNUMBER(Sector1!J424),Sector1!J424,"n.a.")</f>
        <v>102.124</v>
      </c>
      <c r="K108" s="3383">
        <f>IF(ISNUMBER(Sector1!K424),Sector1!K424,"n.a.")</f>
        <v>97.052000000000007</v>
      </c>
      <c r="L108" s="3383">
        <f>IF(ISNUMBER(Sector1!L424),Sector1!L424,"n.a.")</f>
        <v>101.024</v>
      </c>
      <c r="M108" s="3383">
        <f>IF(ISNUMBER(Sector1!M424),Sector1!M424,"n.a.")</f>
        <v>109.07899999999999</v>
      </c>
      <c r="N108" s="3383">
        <f>IF(ISNUMBER(Sector1!N424),Sector1!N424,"n.a.")</f>
        <v>111.166</v>
      </c>
      <c r="O108" s="3383">
        <f>IF(ISNUMBER(Sector1!O424),Sector1!O424,"n.a.")</f>
        <v>115.682</v>
      </c>
      <c r="P108" s="3383">
        <f>IF(ISNUMBER(Sector1!P424),Sector1!P424,"n.a.")</f>
        <v>122.16</v>
      </c>
      <c r="Q108" s="3383">
        <f>IF(ISNUMBER(Sector1!Q424),Sector1!Q424,"n.a.")</f>
        <v>125.836</v>
      </c>
      <c r="R108" s="3383">
        <f>IF(ISNUMBER(Sector1!R424),Sector1!R424,"n.a.")</f>
        <v>129.69</v>
      </c>
      <c r="S108" s="3383">
        <f>IF(ISNUMBER(Sector1!S424),Sector1!S424,"n.a.")</f>
        <v>137.34700000000001</v>
      </c>
      <c r="T108" s="3383">
        <f>IF(ISNUMBER(Sector1!T424),Sector1!T424,"n.a.")</f>
        <v>145.72399999999999</v>
      </c>
      <c r="U108" s="3383">
        <f>IF(ISNUMBER(Sector1!U424),Sector1!U424,"n.a.")</f>
        <v>146.678</v>
      </c>
      <c r="V108" s="3383">
        <f>IF(ISNUMBER(Sector1!V424),Sector1!V424,"n.a.")</f>
        <v>152.06100000000001</v>
      </c>
      <c r="W108" s="3383">
        <f>IF(ISNUMBER(Sector1!W424),Sector1!W424,"n.a.")</f>
        <v>154.52799999999999</v>
      </c>
      <c r="X108" s="3383">
        <f>IF(ISNUMBER(Sector1!X424),Sector1!X424,"n.a.")</f>
        <v>156.209</v>
      </c>
      <c r="Y108" s="3383">
        <f>IF(ISNUMBER(Sector1!Y424),Sector1!Y424,"n.a.")</f>
        <v>158.035</v>
      </c>
      <c r="Z108" s="3383">
        <f>IF(ISNUMBER(Sector1!Z424),Sector1!Z424,"n.a.")</f>
        <v>161.166</v>
      </c>
      <c r="AA108" s="3383">
        <f>IF(ISNUMBER(Sector1!AA424),Sector1!AA424,"n.a.")</f>
        <v>163.46100000000001</v>
      </c>
      <c r="AB108" s="3383">
        <f>IF(ISNUMBER(Sector1!AB424),Sector1!AB424,"n.a.")</f>
        <v>166.69399999999999</v>
      </c>
      <c r="AC108" s="3383">
        <f>IF(ISNUMBER(Sector1!AC424),Sector1!AC424,"n.a.")</f>
        <v>170.84399999999999</v>
      </c>
      <c r="AD108" s="3383">
        <f>IF(ISNUMBER(Sector1!AD424),Sector1!AD424,"n.a.")</f>
        <v>175.96932000000001</v>
      </c>
      <c r="AE108" s="3383">
        <f>IF(ISNUMBER(Sector1!AE424),Sector1!AE424,"n.a.")</f>
        <v>181.24839960000003</v>
      </c>
      <c r="AF108" s="3383">
        <f>IF(ISNUMBER(Sector1!AF424),Sector1!AF424,"n.a.")</f>
        <v>186.68585158800002</v>
      </c>
      <c r="AG108"/>
      <c r="AH108"/>
      <c r="AI108"/>
      <c r="AJ108">
        <v>98</v>
      </c>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row>
    <row r="109" spans="1:159">
      <c r="A109" s="3383" t="str">
        <f t="shared" si="4"/>
        <v>\\DG ECFIN\Forecast\Country databases\Desk transfer databases\SE</v>
      </c>
      <c r="B109" s="3383" t="str">
        <f t="shared" si="5"/>
        <v>SE</v>
      </c>
      <c r="C109" s="3383" t="s">
        <v>2074</v>
      </c>
      <c r="D109" s="3383" t="s">
        <v>2175</v>
      </c>
      <c r="E109" s="3383" t="s">
        <v>2076</v>
      </c>
      <c r="F109" s="3383">
        <v>144</v>
      </c>
      <c r="G109" s="3383" t="s">
        <v>850</v>
      </c>
      <c r="H109" s="3383">
        <f>IF(ISNUMBER(Sector1!H420),Sector1!H420,"n.a.")</f>
        <v>65.768000000000001</v>
      </c>
      <c r="I109" s="3383">
        <f>IF(ISNUMBER(Sector1!I420),Sector1!I420,"n.a.")</f>
        <v>67.626000000000005</v>
      </c>
      <c r="J109" s="3383">
        <f>IF(ISNUMBER(Sector1!J420),Sector1!J420,"n.a.")</f>
        <v>70.009</v>
      </c>
      <c r="K109" s="3383">
        <f>IF(ISNUMBER(Sector1!K420),Sector1!K420,"n.a.")</f>
        <v>73.400000000000006</v>
      </c>
      <c r="L109" s="3383">
        <f>IF(ISNUMBER(Sector1!L420),Sector1!L420,"n.a.")</f>
        <v>77.602999999999994</v>
      </c>
      <c r="M109" s="3383">
        <f>IF(ISNUMBER(Sector1!M420),Sector1!M420,"n.a.")</f>
        <v>82.168000000000006</v>
      </c>
      <c r="N109" s="3383">
        <f>IF(ISNUMBER(Sector1!N420),Sector1!N420,"n.a.")</f>
        <v>85.897999999999996</v>
      </c>
      <c r="O109" s="3383">
        <f>IF(ISNUMBER(Sector1!O420),Sector1!O420,"n.a.")</f>
        <v>87.983999999999995</v>
      </c>
      <c r="P109" s="3383">
        <f>IF(ISNUMBER(Sector1!P420),Sector1!P420,"n.a.")</f>
        <v>90.686000000000007</v>
      </c>
      <c r="Q109" s="3383">
        <f>IF(ISNUMBER(Sector1!Q420),Sector1!Q420,"n.a.")</f>
        <v>94.22</v>
      </c>
      <c r="R109" s="3383">
        <f>IF(ISNUMBER(Sector1!R420),Sector1!R420,"n.a.")</f>
        <v>98.067999999999998</v>
      </c>
      <c r="S109" s="3383">
        <f>IF(ISNUMBER(Sector1!S420),Sector1!S420,"n.a.")</f>
        <v>102.696</v>
      </c>
      <c r="T109" s="3383">
        <f>IF(ISNUMBER(Sector1!T420),Sector1!T420,"n.a.")</f>
        <v>109.43899999999999</v>
      </c>
      <c r="U109" s="3383">
        <f>IF(ISNUMBER(Sector1!U420),Sector1!U420,"n.a.")</f>
        <v>113.994</v>
      </c>
      <c r="V109" s="3383">
        <f>IF(ISNUMBER(Sector1!V420),Sector1!V420,"n.a.")</f>
        <v>116.82299999999999</v>
      </c>
      <c r="W109" s="3383">
        <f>IF(ISNUMBER(Sector1!W420),Sector1!W420,"n.a.")</f>
        <v>120.574</v>
      </c>
      <c r="X109" s="3383">
        <f>IF(ISNUMBER(Sector1!X420),Sector1!X420,"n.a.")</f>
        <v>125.042</v>
      </c>
      <c r="Y109" s="3383">
        <f>IF(ISNUMBER(Sector1!Y420),Sector1!Y420,"n.a.")</f>
        <v>127.065</v>
      </c>
      <c r="Z109" s="3383">
        <f>IF(ISNUMBER(Sector1!Z420),Sector1!Z420,"n.a.")</f>
        <v>130.535</v>
      </c>
      <c r="AA109" s="3383">
        <f>IF(ISNUMBER(Sector1!AA420),Sector1!AA420,"n.a.")</f>
        <v>134.07300000000001</v>
      </c>
      <c r="AB109" s="3383">
        <f>IF(ISNUMBER(Sector1!AB420),Sector1!AB420,"n.a.")</f>
        <v>137.63200000000001</v>
      </c>
      <c r="AC109" s="3383">
        <f>IF(ISNUMBER(Sector1!AC420),Sector1!AC420,"n.a.")</f>
        <v>143.655</v>
      </c>
      <c r="AD109" s="3383">
        <f>IF(ISNUMBER(Sector1!AD420),Sector1!AD420,"n.a.")</f>
        <v>146.24079</v>
      </c>
      <c r="AE109" s="3383">
        <f>IF(ISNUMBER(Sector1!AE420),Sector1!AE420,"n.a.")</f>
        <v>150.6280137</v>
      </c>
      <c r="AF109" s="3383">
        <f>IF(ISNUMBER(Sector1!AF420),Sector1!AF420,"n.a.")</f>
        <v>155.14685411100001</v>
      </c>
      <c r="AG109"/>
      <c r="AH109"/>
      <c r="AI109"/>
      <c r="AJ109">
        <v>99</v>
      </c>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row>
    <row r="110" spans="1:159">
      <c r="A110" s="3383" t="str">
        <f t="shared" si="4"/>
        <v>\\DG ECFIN\Forecast\Country databases\Desk transfer databases\SE</v>
      </c>
      <c r="B110" s="3383" t="str">
        <f t="shared" si="5"/>
        <v>SE</v>
      </c>
      <c r="C110" s="3383" t="s">
        <v>2074</v>
      </c>
      <c r="D110" s="3383" t="s">
        <v>2176</v>
      </c>
      <c r="E110" s="3383" t="s">
        <v>2076</v>
      </c>
      <c r="F110" s="3383">
        <v>145</v>
      </c>
      <c r="G110" s="3383" t="s">
        <v>1974</v>
      </c>
      <c r="H110" s="3383">
        <f>IF(ISNUMBER(Sector1!H417),Sector1!H417,"n.a.")</f>
        <v>173.92699999999999</v>
      </c>
      <c r="I110" s="3383">
        <f>IF(ISNUMBER(Sector1!I417),Sector1!I417,"n.a.")</f>
        <v>178.852</v>
      </c>
      <c r="J110" s="3383">
        <f>IF(ISNUMBER(Sector1!J417),Sector1!J417,"n.a.")</f>
        <v>194.63900000000001</v>
      </c>
      <c r="K110" s="3383">
        <f>IF(ISNUMBER(Sector1!K417),Sector1!K417,"n.a.")</f>
        <v>195.43899999999999</v>
      </c>
      <c r="L110" s="3383">
        <f>IF(ISNUMBER(Sector1!L417),Sector1!L417,"n.a.")</f>
        <v>195.14699999999999</v>
      </c>
      <c r="M110" s="3383">
        <f>IF(ISNUMBER(Sector1!M417),Sector1!M417,"n.a.")</f>
        <v>203.596</v>
      </c>
      <c r="N110" s="3383">
        <f>IF(ISNUMBER(Sector1!N417),Sector1!N417,"n.a.")</f>
        <v>214.55</v>
      </c>
      <c r="O110" s="3383">
        <f>IF(ISNUMBER(Sector1!O417),Sector1!O417,"n.a.")</f>
        <v>220.34899999999999</v>
      </c>
      <c r="P110" s="3383">
        <f>IF(ISNUMBER(Sector1!P417),Sector1!P417,"n.a.")</f>
        <v>223.28899999999999</v>
      </c>
      <c r="Q110" s="3383">
        <f>IF(ISNUMBER(Sector1!Q417),Sector1!Q417,"n.a.")</f>
        <v>231.65100000000001</v>
      </c>
      <c r="R110" s="3383">
        <f>IF(ISNUMBER(Sector1!R417),Sector1!R417,"n.a.")</f>
        <v>248.11699999999999</v>
      </c>
      <c r="S110" s="3383">
        <f>IF(ISNUMBER(Sector1!S417),Sector1!S417,"n.a.")</f>
        <v>255.988</v>
      </c>
      <c r="T110" s="3383">
        <f>IF(ISNUMBER(Sector1!T417),Sector1!T417,"n.a.")</f>
        <v>273.16000000000003</v>
      </c>
      <c r="U110" s="3383">
        <f>IF(ISNUMBER(Sector1!U417),Sector1!U417,"n.a.")</f>
        <v>285.93</v>
      </c>
      <c r="V110" s="3383">
        <f>IF(ISNUMBER(Sector1!V417),Sector1!V417,"n.a.")</f>
        <v>295.00900000000001</v>
      </c>
      <c r="W110" s="3383">
        <f>IF(ISNUMBER(Sector1!W417),Sector1!W417,"n.a.")</f>
        <v>305.983</v>
      </c>
      <c r="X110" s="3383">
        <f>IF(ISNUMBER(Sector1!X417),Sector1!X417,"n.a.")</f>
        <v>310.63499999999999</v>
      </c>
      <c r="Y110" s="3384">
        <f>IF(ISNUMBER(Sector1!Y417),Sector1!Y417,"n.a.")</f>
        <v>320.90800000000002</v>
      </c>
      <c r="Z110" s="3383">
        <f>IF(ISNUMBER(Sector1!Z417),Sector1!Z417,"n.a.")</f>
        <v>329.14</v>
      </c>
      <c r="AA110" s="3383">
        <f>IF(ISNUMBER(Sector1!AA417),Sector1!AA417,"n.a.")</f>
        <v>340.60599999999999</v>
      </c>
      <c r="AB110" s="3383">
        <f>IF(ISNUMBER(Sector1!AB417),Sector1!AB417,"n.a.")</f>
        <v>352.54700000000003</v>
      </c>
      <c r="AC110" s="3383">
        <f>IF(ISNUMBER(Sector1!AC417),Sector1!AC417,"n.a.")</f>
        <v>358.77600000000001</v>
      </c>
      <c r="AD110" s="3383">
        <f ca="1">IF(ISNUMBER(Sector1!AD417),Sector1!AD417,"n.a.")</f>
        <v>377.16647313963722</v>
      </c>
      <c r="AE110" s="3383">
        <f ca="1">IF(ISNUMBER(Sector1!AE417),Sector1!AE417,"n.a.")</f>
        <v>390.10645678377944</v>
      </c>
      <c r="AF110" s="3383">
        <f ca="1">IF(ISNUMBER(Sector1!AF417),Sector1!AF417,"n.a.")</f>
        <v>402.92820397364028</v>
      </c>
      <c r="AG110"/>
      <c r="AH110"/>
      <c r="AI110"/>
      <c r="AJ110">
        <v>100</v>
      </c>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row>
    <row r="111" spans="1:159">
      <c r="A111" s="3383" t="str">
        <f t="shared" si="4"/>
        <v>\\DG ECFIN\Forecast\Country databases\Desk transfer databases\SE</v>
      </c>
      <c r="B111" s="3383" t="str">
        <f t="shared" si="5"/>
        <v>SE</v>
      </c>
      <c r="C111" s="3383" t="s">
        <v>2074</v>
      </c>
      <c r="D111" s="3383" t="s">
        <v>2177</v>
      </c>
      <c r="E111" s="3383" t="s">
        <v>2076</v>
      </c>
      <c r="F111" s="3383">
        <v>146</v>
      </c>
      <c r="G111" s="3383" t="s">
        <v>1975</v>
      </c>
      <c r="H111" s="3383">
        <f>IF(ISNUMBER(Sector1!H418),Sector1!H418,"n.a.")</f>
        <v>40.737000000000002</v>
      </c>
      <c r="I111" s="3383">
        <f>IF(ISNUMBER(Sector1!I418),Sector1!I418,"n.a.")</f>
        <v>38.177999999999997</v>
      </c>
      <c r="J111" s="3383">
        <f>IF(ISNUMBER(Sector1!J418),Sector1!J418,"n.a.")</f>
        <v>44.012</v>
      </c>
      <c r="K111" s="3383">
        <f>IF(ISNUMBER(Sector1!K418),Sector1!K418,"n.a.")</f>
        <v>48.652999999999999</v>
      </c>
      <c r="L111" s="3383">
        <f>IF(ISNUMBER(Sector1!L418),Sector1!L418,"n.a.")</f>
        <v>56.917999999999999</v>
      </c>
      <c r="M111" s="3383">
        <f>IF(ISNUMBER(Sector1!M418),Sector1!M418,"n.a.")</f>
        <v>61.926000000000002</v>
      </c>
      <c r="N111" s="3383">
        <f>IF(ISNUMBER(Sector1!N418),Sector1!N418,"n.a.")</f>
        <v>70.578000000000003</v>
      </c>
      <c r="O111" s="3383">
        <f>IF(ISNUMBER(Sector1!O418),Sector1!O418,"n.a.")</f>
        <v>74.308999999999997</v>
      </c>
      <c r="P111" s="3383">
        <f>IF(ISNUMBER(Sector1!P418),Sector1!P418,"n.a.")</f>
        <v>73.302999999999997</v>
      </c>
      <c r="Q111" s="3383">
        <f>IF(ISNUMBER(Sector1!Q418),Sector1!Q418,"n.a.")</f>
        <v>76.137</v>
      </c>
      <c r="R111" s="3383">
        <f>IF(ISNUMBER(Sector1!R418),Sector1!R418,"n.a.")</f>
        <v>80.751999999999995</v>
      </c>
      <c r="S111" s="3383">
        <f>IF(ISNUMBER(Sector1!S418),Sector1!S418,"n.a.")</f>
        <v>86.093999999999994</v>
      </c>
      <c r="T111" s="3383">
        <f>IF(ISNUMBER(Sector1!T418),Sector1!T418,"n.a.")</f>
        <v>92.944999999999993</v>
      </c>
      <c r="U111" s="3383">
        <f>IF(ISNUMBER(Sector1!U418),Sector1!U418,"n.a.")</f>
        <v>103.485</v>
      </c>
      <c r="V111" s="3383">
        <f>IF(ISNUMBER(Sector1!V418),Sector1!V418,"n.a.")</f>
        <v>113.26</v>
      </c>
      <c r="W111" s="3383">
        <f>IF(ISNUMBER(Sector1!W418),Sector1!W418,"n.a.")</f>
        <v>120.366</v>
      </c>
      <c r="X111" s="3383">
        <f>IF(ISNUMBER(Sector1!X418),Sector1!X418,"n.a.")</f>
        <v>124.613</v>
      </c>
      <c r="Y111" s="3383">
        <f>IF(ISNUMBER(Sector1!Y418),Sector1!Y418,"n.a.")</f>
        <v>132.017</v>
      </c>
      <c r="Z111" s="3383">
        <f>IF(ISNUMBER(Sector1!Z418),Sector1!Z418,"n.a.")</f>
        <v>141.18199999999999</v>
      </c>
      <c r="AA111" s="3383">
        <f>IF(ISNUMBER(Sector1!AA418),Sector1!AA418,"n.a.")</f>
        <v>153.696</v>
      </c>
      <c r="AB111" s="3383">
        <f>IF(ISNUMBER(Sector1!AB418),Sector1!AB418,"n.a.")</f>
        <v>171.90799999999999</v>
      </c>
      <c r="AC111" s="3383">
        <f>IF(ISNUMBER(Sector1!AC418),Sector1!AC418,"n.a.")</f>
        <v>172.83099999999999</v>
      </c>
      <c r="AD111" s="3383">
        <f>IF(ISNUMBER(Sector1!AD418),Sector1!AD418,"n.a.")</f>
        <v>177.15177499999999</v>
      </c>
      <c r="AE111" s="3383">
        <f>IF(ISNUMBER(Sector1!AE418),Sector1!AE418,"n.a.")</f>
        <v>181.58056937499998</v>
      </c>
      <c r="AF111" s="3383">
        <f>IF(ISNUMBER(Sector1!AF418),Sector1!AF418,"n.a.")</f>
        <v>186.12008360937497</v>
      </c>
      <c r="AG111"/>
      <c r="AH111"/>
      <c r="AI111"/>
      <c r="AJ111">
        <v>101</v>
      </c>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row>
    <row r="112" spans="1:159">
      <c r="A112" s="3383" t="str">
        <f t="shared" si="4"/>
        <v>\\DG ECFIN\Forecast\Country databases\Desk transfer databases\SE</v>
      </c>
      <c r="B112" s="3383" t="str">
        <f t="shared" si="5"/>
        <v>SE</v>
      </c>
      <c r="C112" s="3383" t="s">
        <v>2074</v>
      </c>
      <c r="D112" s="3383" t="s">
        <v>2178</v>
      </c>
      <c r="E112" s="3383" t="s">
        <v>2076</v>
      </c>
      <c r="F112" s="3383">
        <v>147</v>
      </c>
      <c r="G112" s="3383" t="s">
        <v>1473</v>
      </c>
      <c r="H112" s="3383">
        <f>IF('VVP2'!H288&lt;&gt;"",'VVP2'!H288,"n.a.")</f>
        <v>325.22909659200002</v>
      </c>
      <c r="I112" s="3383">
        <f>IF('VVP2'!I288&lt;&gt;"",'VVP2'!I288,"n.a.")</f>
        <v>350.79715744700002</v>
      </c>
      <c r="J112" s="3383">
        <f>IF('VVP2'!J288&lt;&gt;"",'VVP2'!J288,"n.a.")</f>
        <v>390.64968976400002</v>
      </c>
      <c r="K112" s="3383">
        <f>IF('VVP2'!K288&lt;&gt;"",'VVP2'!K288,"n.a.")</f>
        <v>440.18409642022561</v>
      </c>
      <c r="L112" s="3383">
        <f>IF('VVP2'!L288&lt;&gt;"",'VVP2'!L288,"n.a.")</f>
        <v>481.39430880911704</v>
      </c>
      <c r="M112" s="3383">
        <f>IF('VVP2'!M288&lt;&gt;"",'VVP2'!M288,"n.a.")</f>
        <v>461.69397031073913</v>
      </c>
      <c r="N112" s="3383">
        <f>IF('VVP2'!N288&lt;&gt;"",'VVP2'!N288,"n.a.")</f>
        <v>463.06559079816827</v>
      </c>
      <c r="O112" s="3383">
        <f>IF('VVP2'!O288&lt;&gt;"",'VVP2'!O288,"n.a.")</f>
        <v>484.54479441903516</v>
      </c>
      <c r="P112" s="3383">
        <f>IF('VVP2'!P288&lt;&gt;"",'VVP2'!P288,"n.a.")</f>
        <v>535.03717180924968</v>
      </c>
      <c r="Q112" s="3383">
        <f>IF('VVP2'!Q288&lt;&gt;"",'VVP2'!Q288,"n.a.")</f>
        <v>577.97340728445647</v>
      </c>
      <c r="R112" s="3383">
        <f>IF('VVP2'!R288&lt;&gt;"",'VVP2'!R288,"n.a.")</f>
        <v>656.57929981164921</v>
      </c>
      <c r="S112" s="3383">
        <f>IF('VVP2'!S288&lt;&gt;"",'VVP2'!S288,"n.a.")</f>
        <v>698.34703713144108</v>
      </c>
      <c r="T112" s="3383">
        <f>IF('VVP2'!T288&lt;&gt;"",'VVP2'!T288,"n.a.")</f>
        <v>721.34184791625</v>
      </c>
      <c r="U112" s="3383">
        <f>IF('VVP2'!U288&lt;&gt;"",'VVP2'!U288,"n.a.")</f>
        <v>582.27566633733011</v>
      </c>
      <c r="V112" s="3383">
        <f>IF('VVP2'!V288&lt;&gt;"",'VVP2'!V288,"n.a.")</f>
        <v>652.18015087417928</v>
      </c>
      <c r="W112" s="3383">
        <f>IF('VVP2'!W288&lt;&gt;"",'VVP2'!W288,"n.a.")</f>
        <v>680.47013745995127</v>
      </c>
      <c r="X112" s="3383">
        <f>IF('VVP2'!X288&lt;&gt;"",'VVP2'!X288,"n.a.")</f>
        <v>664.96540183095385</v>
      </c>
      <c r="Y112" s="3383">
        <f>IF('VVP2'!Y288&lt;&gt;"",'VVP2'!Y288,"n.a.")</f>
        <v>629.63555079701314</v>
      </c>
      <c r="Z112" s="3383">
        <f>IF('VVP2'!Z288&lt;&gt;"",'VVP2'!Z288,"n.a.")</f>
        <v>659.16806977592148</v>
      </c>
      <c r="AA112" s="3383">
        <f>IF('VVP2'!AA288&lt;&gt;"",'VVP2'!AA288,"n.a.")</f>
        <v>690.53141321015619</v>
      </c>
      <c r="AB112" s="3383">
        <f>IF('VVP2'!AB288&lt;&gt;"",'VVP2'!AB288,"n.a.")</f>
        <v>704.95398159727733</v>
      </c>
      <c r="AC112" s="3383">
        <f>IF('VVP2'!AC288&lt;&gt;"",'VVP2'!AC288,"n.a.")</f>
        <v>772.37506491564704</v>
      </c>
      <c r="AD112" s="3383">
        <f ca="1">IF('VVP2'!AD288&lt;&gt;"",'VVP2'!AD288,"n.a.")</f>
        <v>845.0894603337656</v>
      </c>
      <c r="AE112" s="3383">
        <f ca="1">IF('VVP2'!AE288&lt;&gt;"",'VVP2'!AE288,"n.a.")</f>
        <v>899.56125659960571</v>
      </c>
      <c r="AF112" s="3383">
        <f ca="1">IF('VVP2'!AF288&lt;&gt;"",'VVP2'!AF288,"n.a.")</f>
        <v>933.74311046855007</v>
      </c>
      <c r="AG112"/>
      <c r="AH112"/>
      <c r="AI112"/>
      <c r="AJ112">
        <v>102</v>
      </c>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row>
    <row r="113" spans="1:159">
      <c r="A113" s="3383" t="str">
        <f t="shared" si="4"/>
        <v>\\DG ECFIN\Forecast\Country databases\Desk transfer databases\SE</v>
      </c>
      <c r="B113" s="3383" t="str">
        <f t="shared" si="5"/>
        <v>SE</v>
      </c>
      <c r="C113" s="3383" t="s">
        <v>2074</v>
      </c>
      <c r="D113" s="3383" t="s">
        <v>2179</v>
      </c>
      <c r="E113" s="3383" t="s">
        <v>2076</v>
      </c>
      <c r="F113" s="3383">
        <v>148</v>
      </c>
      <c r="G113" s="3383" t="s">
        <v>486</v>
      </c>
      <c r="H113" s="3383">
        <f>IF(Sector1!H481&lt;&gt;"",Sector1!H481,"n.a.")</f>
        <v>0</v>
      </c>
      <c r="I113" s="3383">
        <f>IF(Sector1!I481&lt;&gt;"",Sector1!I481,"n.a.")</f>
        <v>0</v>
      </c>
      <c r="J113" s="3383">
        <f>IF(Sector1!J481&lt;&gt;"",Sector1!J481,"n.a.")</f>
        <v>0</v>
      </c>
      <c r="K113" s="3383">
        <f>IF(Sector1!K481&lt;&gt;"",Sector1!K481,"n.a.")</f>
        <v>0</v>
      </c>
      <c r="L113" s="3383">
        <f>IF(Sector1!L481&lt;&gt;"",Sector1!L481,"n.a.")</f>
        <v>0</v>
      </c>
      <c r="M113" s="3383">
        <f>IF(Sector1!M481&lt;&gt;"",Sector1!M481,"n.a.")</f>
        <v>0</v>
      </c>
      <c r="N113" s="3383">
        <f>IF(Sector1!N481&lt;&gt;"",Sector1!N481,"n.a.")</f>
        <v>0</v>
      </c>
      <c r="O113" s="3383">
        <f>IF(Sector1!O481&lt;&gt;"",Sector1!O481,"n.a.")</f>
        <v>0</v>
      </c>
      <c r="P113" s="3383">
        <f>IF(Sector1!P481&lt;&gt;"",Sector1!P481,"n.a.")</f>
        <v>0</v>
      </c>
      <c r="Q113" s="3383">
        <f>IF(Sector1!Q481&lt;&gt;"",Sector1!Q481,"n.a.")</f>
        <v>0</v>
      </c>
      <c r="R113" s="3383">
        <f>IF(Sector1!R481&lt;&gt;"",Sector1!R481,"n.a.")</f>
        <v>0</v>
      </c>
      <c r="S113" s="3383">
        <f>IF(Sector1!S481&lt;&gt;"",Sector1!S481,"n.a.")</f>
        <v>0</v>
      </c>
      <c r="T113" s="3383">
        <f>IF(Sector1!T481&lt;&gt;"",Sector1!T481,"n.a.")</f>
        <v>0</v>
      </c>
      <c r="U113" s="3383">
        <f>IF(Sector1!U481&lt;&gt;"",Sector1!U481,"n.a.")</f>
        <v>0</v>
      </c>
      <c r="V113" s="3383">
        <f>IF(Sector1!V481&lt;&gt;"",Sector1!V481,"n.a.")</f>
        <v>0</v>
      </c>
      <c r="W113" s="3383">
        <f>IF(Sector1!W481&lt;&gt;"",Sector1!W481,"n.a.")</f>
        <v>0</v>
      </c>
      <c r="X113" s="3383">
        <f>IF(Sector1!X481&lt;&gt;"",Sector1!X481,"n.a.")</f>
        <v>0</v>
      </c>
      <c r="Y113" s="3383">
        <f>IF(Sector1!Y481&lt;&gt;"",Sector1!Y481,"n.a.")</f>
        <v>0</v>
      </c>
      <c r="Z113" s="3383">
        <f>IF(Sector1!Z481&lt;&gt;"",Sector1!Z481,"n.a.")</f>
        <v>0</v>
      </c>
      <c r="AA113" s="3383">
        <f>IF(Sector1!AA481&lt;&gt;"",Sector1!AA481,"n.a.")</f>
        <v>0</v>
      </c>
      <c r="AB113" s="3383">
        <f>IF(Sector1!AB481&lt;&gt;"",Sector1!AB481,"n.a.")</f>
        <v>0</v>
      </c>
      <c r="AC113" s="3383">
        <f>IF(Sector1!AC481&lt;&gt;"",Sector1!AC481,"n.a.")</f>
        <v>0</v>
      </c>
      <c r="AD113" s="3383">
        <f>IF(Sector1!AD481&lt;&gt;"",Sector1!AD481,"n.a.")</f>
        <v>0</v>
      </c>
      <c r="AE113" s="3383">
        <f>IF(Sector1!AE481&lt;&gt;"",Sector1!AE481,"n.a.")</f>
        <v>0</v>
      </c>
      <c r="AF113" s="3383">
        <f>IF(Sector1!AF481&lt;&gt;"",Sector1!AF481,"n.a.")</f>
        <v>0</v>
      </c>
      <c r="AG113"/>
      <c r="AH113"/>
      <c r="AI113"/>
      <c r="AJ113">
        <v>103</v>
      </c>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row>
    <row r="114" spans="1:159">
      <c r="A114" s="3383" t="str">
        <f t="shared" si="4"/>
        <v>\\DG ECFIN\Forecast\Country databases\Desk transfer databases\SE</v>
      </c>
      <c r="B114" s="3383" t="str">
        <f t="shared" si="5"/>
        <v>SE</v>
      </c>
      <c r="C114" s="3383" t="s">
        <v>2074</v>
      </c>
      <c r="D114" s="3383" t="s">
        <v>2180</v>
      </c>
      <c r="E114" s="3383" t="s">
        <v>2076</v>
      </c>
      <c r="F114" s="3383">
        <v>149</v>
      </c>
      <c r="G114" s="3383" t="s">
        <v>1475</v>
      </c>
      <c r="H114" s="3383">
        <f>IF(ISNUMBER('VVP2'!H289),'VVP2'!H289,"n.a.")</f>
        <v>196.25578128000006</v>
      </c>
      <c r="I114" s="3383">
        <f>IF(ISNUMBER('VVP2'!I289),'VVP2'!I289,"n.a.")</f>
        <v>280.52283842000008</v>
      </c>
      <c r="J114" s="3383">
        <f>IF(ISNUMBER('VVP2'!J289),'VVP2'!J289,"n.a.")</f>
        <v>283.49893461700003</v>
      </c>
      <c r="K114" s="3383">
        <f>IF(ISNUMBER('VVP2'!K289),'VVP2'!K289,"n.a.")</f>
        <v>261.32270098616323</v>
      </c>
      <c r="L114" s="3383">
        <f>IF(ISNUMBER('VVP2'!L289),'VVP2'!L289,"n.a.")</f>
        <v>315.32559379960662</v>
      </c>
      <c r="M114" s="3383">
        <f>IF(ISNUMBER('VVP2'!M289),'VVP2'!M289,"n.a.")</f>
        <v>320.01951331988778</v>
      </c>
      <c r="N114" s="3383">
        <f>IF(ISNUMBER('VVP2'!N289),'VVP2'!N289,"n.a.")</f>
        <v>326.50608037654371</v>
      </c>
      <c r="O114" s="3383">
        <f>IF(ISNUMBER('VVP2'!O289),'VVP2'!O289,"n.a.")</f>
        <v>339.02341572971875</v>
      </c>
      <c r="P114" s="3383">
        <f>IF(ISNUMBER('VVP2'!P289),'VVP2'!P289,"n.a.")</f>
        <v>369.16017365405719</v>
      </c>
      <c r="Q114" s="3383">
        <f>IF(ISNUMBER('VVP2'!Q289),'VVP2'!Q289,"n.a.")</f>
        <v>399.12967445830736</v>
      </c>
      <c r="R114" s="3383">
        <f>IF(ISNUMBER('VVP2'!R289),'VVP2'!R289,"n.a.")</f>
        <v>432.7267916009198</v>
      </c>
      <c r="S114" s="3383">
        <f>IF(ISNUMBER('VVP2'!S289),'VVP2'!S289,"n.a.")</f>
        <v>441.07379859677786</v>
      </c>
      <c r="T114" s="3383">
        <f>IF(ISNUMBER('VVP2'!T289),'VVP2'!T289,"n.a.")</f>
        <v>477.14558417625</v>
      </c>
      <c r="U114" s="3383">
        <f>IF(ISNUMBER('VVP2'!U289),'VVP2'!U289,"n.a.")</f>
        <v>413.39872199357012</v>
      </c>
      <c r="V114" s="3383">
        <f>IF(ISNUMBER('VVP2'!V289),'VVP2'!V289,"n.a.")</f>
        <v>488.44628415460801</v>
      </c>
      <c r="W114" s="3383">
        <f>IF(ISNUMBER('VVP2'!W289),'VVP2'!W289,"n.a.")</f>
        <v>532.35178810596108</v>
      </c>
      <c r="X114" s="3383">
        <f>IF(ISNUMBER('VVP2'!X289),'VVP2'!X289,"n.a.")</f>
        <v>502.61106965431037</v>
      </c>
      <c r="Y114" s="3383">
        <f>IF(ISNUMBER('VVP2'!Y289),'VVP2'!Y289,"n.a.")</f>
        <v>461.82167505815403</v>
      </c>
      <c r="Z114" s="3383">
        <f>IF(ISNUMBER('VVP2'!Z289),'VVP2'!Z289,"n.a.")</f>
        <v>468.32470259066656</v>
      </c>
      <c r="AA114" s="3383">
        <f>IF(ISNUMBER('VVP2'!AA289),'VVP2'!AA289,"n.a.")</f>
        <v>490.41972852890615</v>
      </c>
      <c r="AB114" s="3383">
        <f>IF(ISNUMBER('VVP2'!AB289),'VVP2'!AB289,"n.a.")</f>
        <v>487.1938828404675</v>
      </c>
      <c r="AC114" s="3383">
        <f>IF(ISNUMBER('VVP2'!AC289),'VVP2'!AC289,"n.a.")</f>
        <v>533.40548978858828</v>
      </c>
      <c r="AD114" s="3383">
        <f ca="1">IF(ISNUMBER('VVP2'!AD289),'VVP2'!AD289,"n.a.")</f>
        <v>608.08225835899066</v>
      </c>
      <c r="AE114" s="3383">
        <f ca="1">IF(ISNUMBER('VVP2'!AE289),'VVP2'!AE289,"n.a.")</f>
        <v>638.48637127694019</v>
      </c>
      <c r="AF114" s="3383">
        <f ca="1">IF(ISNUMBER('VVP2'!AF289),'VVP2'!AF289,"n.a.")</f>
        <v>669.13371709823332</v>
      </c>
      <c r="AG114"/>
      <c r="AH114"/>
      <c r="AI114"/>
      <c r="AJ114">
        <v>104</v>
      </c>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row>
    <row r="115" spans="1:159">
      <c r="A115" s="3383" t="str">
        <f t="shared" si="4"/>
        <v>\\DG ECFIN\Forecast\Country databases\Desk transfer databases\SE</v>
      </c>
      <c r="B115" s="3383" t="str">
        <f t="shared" si="5"/>
        <v>SE</v>
      </c>
      <c r="C115" s="3383" t="s">
        <v>2074</v>
      </c>
      <c r="D115" s="3383" t="s">
        <v>2181</v>
      </c>
      <c r="E115" s="3383" t="s">
        <v>2076</v>
      </c>
      <c r="F115" s="3383">
        <v>150</v>
      </c>
      <c r="G115" s="3383" t="s">
        <v>1477</v>
      </c>
      <c r="H115" s="3383">
        <f>IF(ISNUMBER('VVP2'!H320),'VVP2'!H320,"n.a.")</f>
        <v>307.53295401600008</v>
      </c>
      <c r="I115" s="3383">
        <f>IF(ISNUMBER('VVP2'!I320),'VVP2'!I320,"n.a.")</f>
        <v>338.95284060000006</v>
      </c>
      <c r="J115" s="3383">
        <f>IF(ISNUMBER('VVP2'!J320),'VVP2'!J320,"n.a.")</f>
        <v>376.53398938800001</v>
      </c>
      <c r="K115" s="3383">
        <f>IF(ISNUMBER('VVP2'!K320),'VVP2'!K320,"n.a.")</f>
        <v>404.03538384279125</v>
      </c>
      <c r="L115" s="3383">
        <f>IF(ISNUMBER('VVP2'!L320),'VVP2'!L320,"n.a.")</f>
        <v>455.98104837235502</v>
      </c>
      <c r="M115" s="3383">
        <f>IF(ISNUMBER('VVP2'!M320),'VVP2'!M320,"n.a.")</f>
        <v>457.295941739363</v>
      </c>
      <c r="N115" s="3383">
        <f>IF(ISNUMBER('VVP2'!N320),'VVP2'!N320,"n.a.")</f>
        <v>461.32865166584747</v>
      </c>
      <c r="O115" s="3383">
        <f>IF(ISNUMBER('VVP2'!O320),'VVP2'!O320,"n.a.")</f>
        <v>484.84224420837927</v>
      </c>
      <c r="P115" s="3383">
        <f>IF(ISNUMBER('VVP2'!P320),'VVP2'!P320,"n.a.")</f>
        <v>532.67122835495798</v>
      </c>
      <c r="Q115" s="3383">
        <f>IF(ISNUMBER('VVP2'!Q320),'VVP2'!Q320,"n.a.")</f>
        <v>587.14514256817495</v>
      </c>
      <c r="R115" s="3383">
        <f>IF(ISNUMBER('VVP2'!R320),'VVP2'!R320,"n.a.")</f>
        <v>655.64368131961567</v>
      </c>
      <c r="S115" s="3383">
        <f>IF(ISNUMBER('VVP2'!S320),'VVP2'!S320,"n.a.")</f>
        <v>735.49916869763751</v>
      </c>
      <c r="T115" s="3383">
        <f>IF(ISNUMBER('VVP2'!T320),'VVP2'!T320,"n.a.")</f>
        <v>762.09891663124995</v>
      </c>
      <c r="U115" s="3383">
        <f>IF(ISNUMBER('VVP2'!U320),'VVP2'!U320,"n.a.")</f>
        <v>620.4532903566901</v>
      </c>
      <c r="V115" s="3383">
        <f>IF(ISNUMBER('VVP2'!V320),'VVP2'!V320,"n.a.")</f>
        <v>718.70162403802885</v>
      </c>
      <c r="W115" s="3383">
        <f>IF(ISNUMBER('VVP2'!W320),'VVP2'!W320,"n.a.")</f>
        <v>783.08800211828338</v>
      </c>
      <c r="X115" s="3383">
        <f>IF(ISNUMBER('VVP2'!X320),'VVP2'!X320,"n.a.")</f>
        <v>749.86921378402576</v>
      </c>
      <c r="Y115" s="3383">
        <f>IF(ISNUMBER('VVP2'!Y320),'VVP2'!Y320,"n.a.")</f>
        <v>720.36076548604331</v>
      </c>
      <c r="Z115" s="3383">
        <f>IF(ISNUMBER('VVP2'!Z320),'VVP2'!Z320,"n.a.")</f>
        <v>764.15321227470588</v>
      </c>
      <c r="AA115" s="3383">
        <f>IF(ISNUMBER('VVP2'!AA320),'VVP2'!AA320,"n.a.")</f>
        <v>817.08748107890619</v>
      </c>
      <c r="AB115" s="3383">
        <f>IF(ISNUMBER('VVP2'!AB320),'VVP2'!AB320,"n.a.")</f>
        <v>857.80855307976776</v>
      </c>
      <c r="AC115" s="3383">
        <f>IF(ISNUMBER('VVP2'!AC320),'VVP2'!AC320,"n.a.")</f>
        <v>932.3927614641176</v>
      </c>
      <c r="AD115" s="3383">
        <f ca="1">IF(ISNUMBER('VVP2'!AD320),'VVP2'!AD320,"n.a.")</f>
        <v>1026.2529480381766</v>
      </c>
      <c r="AE115" s="3383">
        <f ca="1">IF(ISNUMBER('VVP2'!AE320),'VVP2'!AE320,"n.a.")</f>
        <v>1076.0907161863204</v>
      </c>
      <c r="AF115" s="3383">
        <f ca="1">IF(ISNUMBER('VVP2'!AF320),'VVP2'!AF320,"n.a.")</f>
        <v>1125.7824079670727</v>
      </c>
      <c r="AG115"/>
      <c r="AH115"/>
      <c r="AI115"/>
      <c r="AJ115">
        <v>105</v>
      </c>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row>
    <row r="116" spans="1:159">
      <c r="A116" s="3383" t="str">
        <f t="shared" si="4"/>
        <v>\\DG ECFIN\Forecast\Country databases\Desk transfer databases\SE</v>
      </c>
      <c r="B116" s="3383" t="str">
        <f t="shared" si="5"/>
        <v>SE</v>
      </c>
      <c r="C116" s="3383" t="s">
        <v>2074</v>
      </c>
      <c r="D116" s="3383" t="s">
        <v>2182</v>
      </c>
      <c r="E116" s="3383" t="s">
        <v>2076</v>
      </c>
      <c r="F116" s="3383">
        <v>152</v>
      </c>
      <c r="G116" s="3383" t="s">
        <v>1479</v>
      </c>
      <c r="H116" s="3383">
        <f>IF(ISNUMBER('VVP2'!H321),'VVP2'!H321,"n.a.")</f>
        <v>107.50174588799997</v>
      </c>
      <c r="I116" s="3383">
        <f>IF(ISNUMBER('VVP2'!I321),'VVP2'!I321,"n.a.")</f>
        <v>161.45678570999999</v>
      </c>
      <c r="J116" s="3383">
        <f>IF(ISNUMBER('VVP2'!J321),'VVP2'!J321,"n.a.")</f>
        <v>167.47058796900001</v>
      </c>
      <c r="K116" s="3383">
        <f>IF(ISNUMBER('VVP2'!K321),'VVP2'!K321,"n.a.")</f>
        <v>162.69695029278003</v>
      </c>
      <c r="L116" s="3383">
        <f>IF(ISNUMBER('VVP2'!L321),'VVP2'!L321,"n.a.")</f>
        <v>210.415242950319</v>
      </c>
      <c r="M116" s="3383">
        <f>IF(ISNUMBER('VVP2'!M321),'VVP2'!M321,"n.a.")</f>
        <v>195.80759906572098</v>
      </c>
      <c r="N116" s="3383">
        <f>IF(ISNUMBER('VVP2'!N321),'VVP2'!N321,"n.a.")</f>
        <v>187.33932904216348</v>
      </c>
      <c r="O116" s="3383">
        <f>IF(ISNUMBER('VVP2'!O321),'VVP2'!O321,"n.a.")</f>
        <v>188.99101937623777</v>
      </c>
      <c r="P116" s="3383">
        <f>IF(ISNUMBER('VVP2'!P321),'VVP2'!P321,"n.a.")</f>
        <v>204.03228447532962</v>
      </c>
      <c r="Q116" s="3383">
        <f>IF(ISNUMBER('VVP2'!Q321),'VVP2'!Q321,"n.a.")</f>
        <v>246.22038994984857</v>
      </c>
      <c r="R116" s="3383">
        <f>IF(ISNUMBER('VVP2'!R321),'VVP2'!R321,"n.a.")</f>
        <v>284.439126842245</v>
      </c>
      <c r="S116" s="3383">
        <f>IF(ISNUMBER('VVP2'!S321),'VVP2'!S321,"n.a.")</f>
        <v>298.69244466800563</v>
      </c>
      <c r="T116" s="3383">
        <f>IF(ISNUMBER('VVP2'!T321),'VVP2'!T321,"n.a.")</f>
        <v>339.47172908000005</v>
      </c>
      <c r="U116" s="3383">
        <f>IF(ISNUMBER('VVP2'!U321),'VVP2'!U321,"n.a.")</f>
        <v>292.20026955137979</v>
      </c>
      <c r="V116" s="3383">
        <f>IF(ISNUMBER('VVP2'!V321),'VVP2'!V321,"n.a.")</f>
        <v>352.83304477358092</v>
      </c>
      <c r="W116" s="3383">
        <f>IF(ISNUMBER('VVP2'!W321),'VVP2'!W321,"n.a.")</f>
        <v>365.26895881432114</v>
      </c>
      <c r="X116" s="3383">
        <f>IF(ISNUMBER('VVP2'!X321),'VVP2'!X321,"n.a.")</f>
        <v>364.12502730674237</v>
      </c>
      <c r="Y116" s="3383">
        <f>IF(ISNUMBER('VVP2'!Y321),'VVP2'!Y321,"n.a.")</f>
        <v>325.88006401084317</v>
      </c>
      <c r="Z116" s="3383">
        <f>IF(ISNUMBER('VVP2'!Z321),'VVP2'!Z321,"n.a.")</f>
        <v>347.07230847137259</v>
      </c>
      <c r="AA116" s="3383">
        <f>IF(ISNUMBER('VVP2'!AA321),'VVP2'!AA321,"n.a.")</f>
        <v>350.29085349374986</v>
      </c>
      <c r="AB116" s="3383">
        <f>IF(ISNUMBER('VVP2'!AB321),'VVP2'!AB321,"n.a.")</f>
        <v>349.12026547276315</v>
      </c>
      <c r="AC116" s="3383">
        <f>IF(ISNUMBER('VVP2'!AC321),'VVP2'!AC321,"n.a.")</f>
        <v>380.87907800188225</v>
      </c>
      <c r="AD116" s="3383">
        <f ca="1">IF(ISNUMBER('VVP2'!AD321),'VVP2'!AD321,"n.a.")</f>
        <v>426.58456736210815</v>
      </c>
      <c r="AE116" s="3383">
        <f ca="1">IF(ISNUMBER('VVP2'!AE321),'VVP2'!AE321,"n.a.")</f>
        <v>466.25693212678419</v>
      </c>
      <c r="AF116" s="3383">
        <f ca="1">IF(ISNUMBER('VVP2'!AF321),'VVP2'!AF321,"n.a.")</f>
        <v>485.83972327610917</v>
      </c>
      <c r="AG116"/>
      <c r="AH116"/>
      <c r="AI116"/>
      <c r="AJ116">
        <v>106</v>
      </c>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row>
    <row r="117" spans="1:159">
      <c r="A117" s="3383" t="str">
        <f t="shared" si="4"/>
        <v>\\DG ECFIN\Forecast\Country databases\Desk transfer databases\SE</v>
      </c>
      <c r="B117" s="3383" t="str">
        <f t="shared" si="5"/>
        <v>SE</v>
      </c>
      <c r="C117" s="3383" t="s">
        <v>2074</v>
      </c>
      <c r="D117" s="3383" t="s">
        <v>2183</v>
      </c>
      <c r="E117" s="3383" t="s">
        <v>2076</v>
      </c>
      <c r="F117" s="3383">
        <v>153</v>
      </c>
      <c r="G117" s="3383" t="s">
        <v>1579</v>
      </c>
      <c r="H117" s="3379" t="s">
        <v>2107</v>
      </c>
      <c r="I117" s="3379" t="s">
        <v>2107</v>
      </c>
      <c r="J117" s="3379" t="s">
        <v>2107</v>
      </c>
      <c r="K117" s="3379" t="s">
        <v>2107</v>
      </c>
      <c r="L117" s="3379" t="s">
        <v>2107</v>
      </c>
      <c r="M117" s="3379" t="s">
        <v>2107</v>
      </c>
      <c r="N117" s="3379" t="s">
        <v>2107</v>
      </c>
      <c r="O117" s="3379" t="s">
        <v>2107</v>
      </c>
      <c r="P117" s="3379" t="s">
        <v>2107</v>
      </c>
      <c r="Q117" s="3379" t="s">
        <v>2107</v>
      </c>
      <c r="R117" s="3379" t="s">
        <v>2107</v>
      </c>
      <c r="S117" s="3379" t="s">
        <v>2107</v>
      </c>
      <c r="T117" s="3379" t="s">
        <v>2107</v>
      </c>
      <c r="U117" s="3379" t="s">
        <v>2107</v>
      </c>
      <c r="V117" s="3379" t="s">
        <v>2107</v>
      </c>
      <c r="W117" s="3379" t="s">
        <v>2107</v>
      </c>
      <c r="X117" s="3379" t="s">
        <v>2107</v>
      </c>
      <c r="Y117" s="3379" t="s">
        <v>2107</v>
      </c>
      <c r="Z117" s="3383">
        <f>IF(ISNUMBER(InputDFM!C5),InputDFM!C5,"n.a.")</f>
        <v>2.9</v>
      </c>
      <c r="AA117" s="3383">
        <f>IF(ISNUMBER(InputDFM!D5),InputDFM!D5,"n.a.")</f>
        <v>11.98</v>
      </c>
      <c r="AB117" s="3383">
        <f>IF(ISNUMBER(InputDFM!E5),InputDFM!E5,"n.a.")</f>
        <v>35.57</v>
      </c>
      <c r="AC117" s="3383">
        <f>IF(ISNUMBER(InputDFM!F5),InputDFM!F5,"n.a.")</f>
        <v>17.079999999999998</v>
      </c>
      <c r="AD117" s="3383">
        <f>IF(ISNUMBER(InputDFM!G5),InputDFM!G5,"n.a.")</f>
        <v>21.77</v>
      </c>
      <c r="AE117" s="3383">
        <f>IF(ISNUMBER(InputDFM!H5),InputDFM!H5,"n.a.")</f>
        <v>14.4</v>
      </c>
      <c r="AF117" s="3383">
        <f>IF(ISNUMBER(InputDFM!I5),InputDFM!I5,"n.a.")</f>
        <v>11.57</v>
      </c>
      <c r="AG117"/>
      <c r="AH117"/>
      <c r="AI117"/>
      <c r="AJ117">
        <v>107</v>
      </c>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row>
    <row r="118" spans="1:159">
      <c r="A118" s="3383" t="str">
        <f t="shared" si="4"/>
        <v>\\DG ECFIN\Forecast\Country databases\Desk transfer databases\SE</v>
      </c>
      <c r="B118" s="3383" t="str">
        <f t="shared" si="5"/>
        <v>SE</v>
      </c>
      <c r="C118" s="3383" t="s">
        <v>2074</v>
      </c>
      <c r="D118" s="3383" t="s">
        <v>2184</v>
      </c>
      <c r="E118" s="3383" t="s">
        <v>2076</v>
      </c>
      <c r="F118" s="3383">
        <v>154</v>
      </c>
      <c r="G118" s="3383" t="s">
        <v>469</v>
      </c>
      <c r="H118" s="3379" t="s">
        <v>2107</v>
      </c>
      <c r="I118" s="3379" t="s">
        <v>2107</v>
      </c>
      <c r="J118" s="3379" t="s">
        <v>2107</v>
      </c>
      <c r="K118" s="3379" t="s">
        <v>2107</v>
      </c>
      <c r="L118" s="3379" t="s">
        <v>2107</v>
      </c>
      <c r="M118" s="3379" t="s">
        <v>2107</v>
      </c>
      <c r="N118" s="3379" t="s">
        <v>2107</v>
      </c>
      <c r="O118" s="3379" t="s">
        <v>2107</v>
      </c>
      <c r="P118" s="3379" t="s">
        <v>2107</v>
      </c>
      <c r="Q118" s="3379" t="s">
        <v>2107</v>
      </c>
      <c r="R118" s="3379" t="s">
        <v>2107</v>
      </c>
      <c r="S118" s="3379" t="s">
        <v>2107</v>
      </c>
      <c r="T118" s="3379" t="s">
        <v>2107</v>
      </c>
      <c r="U118" s="3379" t="s">
        <v>2107</v>
      </c>
      <c r="V118" s="3379" t="s">
        <v>2107</v>
      </c>
      <c r="W118" s="3379" t="s">
        <v>2107</v>
      </c>
      <c r="X118" s="3379" t="s">
        <v>2107</v>
      </c>
      <c r="Y118" s="3379" t="s">
        <v>2107</v>
      </c>
      <c r="Z118" s="3383">
        <f>IF(ISNUMBER(InputDFM!C6),InputDFM!C6,"n.a.")</f>
        <v>-17.100000000000001</v>
      </c>
      <c r="AA118" s="3383">
        <f>IF(ISNUMBER(InputDFM!D6),InputDFM!D6,"n.a.")</f>
        <v>14.85</v>
      </c>
      <c r="AB118" s="3383">
        <f>IF(ISNUMBER(InputDFM!E6),InputDFM!E6,"n.a.")</f>
        <v>64.8</v>
      </c>
      <c r="AC118" s="3383">
        <f>IF(ISNUMBER(InputDFM!F6),InputDFM!F6,"n.a.")</f>
        <v>13.5</v>
      </c>
      <c r="AD118" s="3383">
        <f>IF(ISNUMBER(InputDFM!G6),InputDFM!G6,"n.a.")</f>
        <v>-2.44</v>
      </c>
      <c r="AE118" s="3383">
        <f>IF(ISNUMBER(InputDFM!H6),InputDFM!H6,"n.a.")</f>
        <v>-1.66</v>
      </c>
      <c r="AF118" s="3383">
        <f>IF(ISNUMBER(InputDFM!I6),InputDFM!I6,"n.a.")</f>
        <v>-1.1000000000000001</v>
      </c>
      <c r="AG118"/>
      <c r="AH118"/>
      <c r="AI118"/>
      <c r="AJ118">
        <v>108</v>
      </c>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row>
    <row r="119" spans="1:159">
      <c r="A119" s="3383" t="str">
        <f t="shared" si="4"/>
        <v>\\DG ECFIN\Forecast\Country databases\Desk transfer databases\SE</v>
      </c>
      <c r="B119" s="3383" t="str">
        <f t="shared" si="5"/>
        <v>SE</v>
      </c>
      <c r="C119" s="3383" t="s">
        <v>2074</v>
      </c>
      <c r="D119" s="3383" t="s">
        <v>2185</v>
      </c>
      <c r="E119" s="3383" t="s">
        <v>2076</v>
      </c>
      <c r="F119" s="3383">
        <v>155</v>
      </c>
      <c r="G119" s="3383" t="s">
        <v>470</v>
      </c>
      <c r="H119" s="3379" t="s">
        <v>2107</v>
      </c>
      <c r="I119" s="3379" t="s">
        <v>2107</v>
      </c>
      <c r="J119" s="3379" t="s">
        <v>2107</v>
      </c>
      <c r="K119" s="3379" t="s">
        <v>2107</v>
      </c>
      <c r="L119" s="3379" t="s">
        <v>2107</v>
      </c>
      <c r="M119" s="3379" t="s">
        <v>2107</v>
      </c>
      <c r="N119" s="3379" t="s">
        <v>2107</v>
      </c>
      <c r="O119" s="3379" t="s">
        <v>2107</v>
      </c>
      <c r="P119" s="3379" t="s">
        <v>2107</v>
      </c>
      <c r="Q119" s="3379" t="s">
        <v>2107</v>
      </c>
      <c r="R119" s="3379" t="s">
        <v>2107</v>
      </c>
      <c r="S119" s="3379" t="s">
        <v>2107</v>
      </c>
      <c r="T119" s="3379" t="s">
        <v>2107</v>
      </c>
      <c r="U119" s="3379" t="s">
        <v>2107</v>
      </c>
      <c r="V119" s="3379" t="s">
        <v>2107</v>
      </c>
      <c r="W119" s="3379" t="s">
        <v>2107</v>
      </c>
      <c r="X119" s="3379" t="s">
        <v>2107</v>
      </c>
      <c r="Y119" s="3379" t="s">
        <v>2107</v>
      </c>
      <c r="Z119" s="3383">
        <f>IF(ISNUMBER(InputDFM!C7),InputDFM!C7,"n.a.")</f>
        <v>2.9</v>
      </c>
      <c r="AA119" s="3383">
        <f>IF(ISNUMBER(InputDFM!D7),InputDFM!D7,"n.a.")</f>
        <v>0.62</v>
      </c>
      <c r="AB119" s="3383">
        <f>IF(ISNUMBER(InputDFM!E7),InputDFM!E7,"n.a.")</f>
        <v>11.28</v>
      </c>
      <c r="AC119" s="3383">
        <f>IF(ISNUMBER(InputDFM!F7),InputDFM!F7,"n.a.")</f>
        <v>-8.98</v>
      </c>
      <c r="AD119" s="3383">
        <f>IF(ISNUMBER(InputDFM!G7),InputDFM!G7,"n.a.")</f>
        <v>0.34</v>
      </c>
      <c r="AE119" s="3383">
        <f>IF(ISNUMBER(InputDFM!H7),InputDFM!H7,"n.a.")</f>
        <v>-0.11</v>
      </c>
      <c r="AF119" s="3383">
        <f>IF(ISNUMBER(InputDFM!I7),InputDFM!I7,"n.a.")</f>
        <v>1</v>
      </c>
      <c r="AG119"/>
      <c r="AH119"/>
      <c r="AI119"/>
      <c r="AJ119">
        <v>109</v>
      </c>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row>
    <row r="120" spans="1:159">
      <c r="A120" s="3383" t="str">
        <f t="shared" si="4"/>
        <v>\\DG ECFIN\Forecast\Country databases\Desk transfer databases\SE</v>
      </c>
      <c r="B120" s="3383" t="str">
        <f t="shared" si="5"/>
        <v>SE</v>
      </c>
      <c r="C120" s="3383" t="s">
        <v>2074</v>
      </c>
      <c r="D120" s="3383" t="s">
        <v>2186</v>
      </c>
      <c r="E120" s="3383" t="s">
        <v>2076</v>
      </c>
      <c r="F120" s="3383">
        <v>156</v>
      </c>
      <c r="G120" s="3383" t="s">
        <v>471</v>
      </c>
      <c r="H120" s="3379" t="s">
        <v>2107</v>
      </c>
      <c r="I120" s="3379" t="s">
        <v>2107</v>
      </c>
      <c r="J120" s="3379" t="s">
        <v>2107</v>
      </c>
      <c r="K120" s="3379" t="s">
        <v>2107</v>
      </c>
      <c r="L120" s="3379" t="s">
        <v>2107</v>
      </c>
      <c r="M120" s="3379" t="s">
        <v>2107</v>
      </c>
      <c r="N120" s="3379" t="s">
        <v>2107</v>
      </c>
      <c r="O120" s="3379" t="s">
        <v>2107</v>
      </c>
      <c r="P120" s="3379" t="s">
        <v>2107</v>
      </c>
      <c r="Q120" s="3379" t="s">
        <v>2107</v>
      </c>
      <c r="R120" s="3379" t="s">
        <v>2107</v>
      </c>
      <c r="S120" s="3379" t="s">
        <v>2107</v>
      </c>
      <c r="T120" s="3379" t="s">
        <v>2107</v>
      </c>
      <c r="U120" s="3379" t="s">
        <v>2107</v>
      </c>
      <c r="V120" s="3379" t="s">
        <v>2107</v>
      </c>
      <c r="W120" s="3379" t="s">
        <v>2107</v>
      </c>
      <c r="X120" s="3379" t="s">
        <v>2107</v>
      </c>
      <c r="Y120" s="3379" t="s">
        <v>2107</v>
      </c>
      <c r="Z120" s="3383">
        <f>IF(ISNUMBER(InputDFM!C8),InputDFM!C8,"n.a.")</f>
        <v>0</v>
      </c>
      <c r="AA120" s="3383">
        <f>IF(ISNUMBER(InputDFM!D8),InputDFM!D8,"n.a.")</f>
        <v>0</v>
      </c>
      <c r="AB120" s="3383">
        <f>IF(ISNUMBER(InputDFM!E8),InputDFM!E8,"n.a.")</f>
        <v>0</v>
      </c>
      <c r="AC120" s="3383">
        <f>IF(ISNUMBER(InputDFM!F8),InputDFM!F8,"n.a.")</f>
        <v>0</v>
      </c>
      <c r="AD120" s="3383">
        <f>IF(ISNUMBER(InputDFM!G8),InputDFM!G8,"n.a.")</f>
        <v>0</v>
      </c>
      <c r="AE120" s="3383">
        <f>IF(ISNUMBER(InputDFM!H8),InputDFM!H8,"n.a.")</f>
        <v>0</v>
      </c>
      <c r="AF120" s="3383">
        <f>IF(ISNUMBER(InputDFM!I8),InputDFM!I8,"n.a.")</f>
        <v>0</v>
      </c>
      <c r="AG120"/>
      <c r="AH120"/>
      <c r="AI120"/>
      <c r="AJ120">
        <v>110</v>
      </c>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row>
    <row r="121" spans="1:159">
      <c r="A121" s="3383" t="str">
        <f t="shared" si="4"/>
        <v>\\DG ECFIN\Forecast\Country databases\Desk transfer databases\SE</v>
      </c>
      <c r="B121" s="3383" t="str">
        <f t="shared" si="5"/>
        <v>SE</v>
      </c>
      <c r="C121" s="3383" t="s">
        <v>2074</v>
      </c>
      <c r="D121" s="3383" t="s">
        <v>2187</v>
      </c>
      <c r="E121" s="3383" t="s">
        <v>2292</v>
      </c>
      <c r="F121" s="3383">
        <v>158</v>
      </c>
      <c r="G121" s="3383" t="s">
        <v>2188</v>
      </c>
      <c r="H121" s="3383" t="str">
        <f>IF(ISNUMBER(Sector1!H39),Sector1!H39,"n.a.")</f>
        <v>n.a.</v>
      </c>
      <c r="I121" s="3383" t="str">
        <f>IF(ISNUMBER(Sector1!I39),Sector1!I39,"n.a.")</f>
        <v>n.a.</v>
      </c>
      <c r="J121" s="3383">
        <f>IF(ISNUMBER(Sector1!J39),Sector1!J39,"n.a.")</f>
        <v>0.48053396949823413</v>
      </c>
      <c r="K121" s="3383">
        <f>IF(ISNUMBER(Sector1!K39),Sector1!K39,"n.a.")</f>
        <v>0.49550167020175973</v>
      </c>
      <c r="L121" s="3383">
        <f>IF(ISNUMBER(Sector1!L39),Sector1!L39,"n.a.")</f>
        <v>0.49876461965396646</v>
      </c>
      <c r="M121" s="3383">
        <f>IF(ISNUMBER(Sector1!M39),Sector1!M39,"n.a.")</f>
        <v>0.50582464700283258</v>
      </c>
      <c r="N121" s="3383">
        <f>IF(ISNUMBER(Sector1!N39),Sector1!N39,"n.a.")</f>
        <v>0.49944539413139405</v>
      </c>
      <c r="O121" s="3383">
        <f>IF(ISNUMBER(Sector1!O39),Sector1!O39,"n.a.")</f>
        <v>0.49361830256028372</v>
      </c>
      <c r="P121" s="3383">
        <f>IF(ISNUMBER(Sector1!P39),Sector1!P39,"n.a.")</f>
        <v>0.49440587302132144</v>
      </c>
      <c r="Q121" s="3383">
        <f>IF(ISNUMBER(Sector1!Q39),Sector1!Q39,"n.a.")</f>
        <v>0.49404473956814815</v>
      </c>
      <c r="R121" s="3383">
        <f>IF(ISNUMBER(Sector1!R39),Sector1!R39,"n.a.")</f>
        <v>0.49359226933806094</v>
      </c>
      <c r="S121" s="3383">
        <f>IF(ISNUMBER(Sector1!S39),Sector1!S39,"n.a.")</f>
        <v>0.49480595322505827</v>
      </c>
      <c r="T121" s="3383">
        <f>IF(ISNUMBER(Sector1!T39),Sector1!T39,"n.a.")</f>
        <v>0.49840277298466584</v>
      </c>
      <c r="U121" s="3383">
        <f>IF(ISNUMBER(Sector1!U39),Sector1!U39,"n.a.")</f>
        <v>0.49591840226400574</v>
      </c>
      <c r="V121" s="3383">
        <f>IF(ISNUMBER(Sector1!V39),Sector1!V39,"n.a.")</f>
        <v>0.49239438990283313</v>
      </c>
      <c r="W121" s="3383">
        <f>IF(ISNUMBER(Sector1!W39),Sector1!W39,"n.a.")</f>
        <v>0.48672793852671664</v>
      </c>
      <c r="X121" s="3383">
        <f>IF(ISNUMBER(Sector1!X39),Sector1!X39,"n.a.")</f>
        <v>0.48042592174017967</v>
      </c>
      <c r="Y121" s="3383">
        <f>IF(ISNUMBER(Sector1!Y39),Sector1!Y39,"n.a.")</f>
        <v>0.47894640578317837</v>
      </c>
      <c r="Z121" s="3383">
        <f>IF(ISNUMBER(Sector1!Z39),Sector1!Z39,"n.a.")</f>
        <v>0.4776597310491707</v>
      </c>
      <c r="AA121" s="3383">
        <f>IF(ISNUMBER(Sector1!AA39),Sector1!AA39,"n.a.")</f>
        <v>0.48045294530108468</v>
      </c>
      <c r="AB121" s="3383">
        <f>IF(ISNUMBER(Sector1!AB39),Sector1!AB39,"n.a.")</f>
        <v>0.48713366188227769</v>
      </c>
      <c r="AC121" s="3383">
        <f>IF(ISNUMBER(Sector1!AC39),Sector1!AC39,"n.a.")</f>
        <v>0.49486635125703737</v>
      </c>
      <c r="AD121" s="3383">
        <f ca="1">IF(ISNUMBER(Sector1!AD39),Sector1!AD39,"n.a.")</f>
        <v>0.50297094513030227</v>
      </c>
      <c r="AE121" s="3383">
        <f ca="1">IF(ISNUMBER(Sector1!AE39),Sector1!AE39,"n.a.")</f>
        <v>0.50744929871916189</v>
      </c>
      <c r="AF121" s="3383">
        <f ca="1">IF(ISNUMBER(Sector1!AF39),Sector1!AF39,"n.a.")</f>
        <v>0.50684894682930015</v>
      </c>
      <c r="AG121"/>
      <c r="AH121"/>
      <c r="AI121"/>
      <c r="AJ121">
        <v>111</v>
      </c>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row>
    <row r="122" spans="1:159">
      <c r="A122" s="3383" t="str">
        <f t="shared" si="4"/>
        <v>\\DG ECFIN\Forecast\Country databases\Desk transfer databases\SE</v>
      </c>
      <c r="B122" s="3383" t="str">
        <f t="shared" si="5"/>
        <v>SE</v>
      </c>
      <c r="C122" s="3383" t="s">
        <v>2074</v>
      </c>
      <c r="D122" s="3383" t="s">
        <v>2189</v>
      </c>
      <c r="E122" s="3383" t="s">
        <v>2292</v>
      </c>
      <c r="F122" s="3383">
        <v>159</v>
      </c>
      <c r="G122" s="3383" t="s">
        <v>2190</v>
      </c>
      <c r="H122" s="3383" t="str">
        <f>IF(ISNUMBER(Sector1!H245),Sector1!H245,"n.a.")</f>
        <v>n.a.</v>
      </c>
      <c r="I122" s="3383" t="str">
        <f>IF(ISNUMBER(Sector1!I245),Sector1!I245,"n.a.")</f>
        <v>n.a.</v>
      </c>
      <c r="J122" s="3383">
        <f>IF(ISNUMBER(Sector1!J245),Sector1!J245,"n.a.")</f>
        <v>0.19643374047540135</v>
      </c>
      <c r="K122" s="3383">
        <f>IF(ISNUMBER(Sector1!K245),Sector1!K245,"n.a.")</f>
        <v>0.20084465051781217</v>
      </c>
      <c r="L122" s="3383">
        <f>IF(ISNUMBER(Sector1!L245),Sector1!L245,"n.a.")</f>
        <v>0.20485245804457894</v>
      </c>
      <c r="M122" s="3383">
        <f>IF(ISNUMBER(Sector1!M245),Sector1!M245,"n.a.")</f>
        <v>0.20354621578233345</v>
      </c>
      <c r="N122" s="3383">
        <f>IF(ISNUMBER(Sector1!N245),Sector1!N245,"n.a.")</f>
        <v>0.19992383044536224</v>
      </c>
      <c r="O122" s="3383">
        <f>IF(ISNUMBER(Sector1!O245),Sector1!O245,"n.a.")</f>
        <v>0.19599634434313007</v>
      </c>
      <c r="P122" s="3383">
        <f>IF(ISNUMBER(Sector1!P245),Sector1!P245,"n.a.")</f>
        <v>0.19196181481080546</v>
      </c>
      <c r="Q122" s="3383">
        <f>IF(ISNUMBER(Sector1!Q245),Sector1!Q245,"n.a.")</f>
        <v>0.19528477497713242</v>
      </c>
      <c r="R122" s="3383">
        <f>IF(ISNUMBER(Sector1!R245),Sector1!R245,"n.a.")</f>
        <v>0.20184837965927818</v>
      </c>
      <c r="S122" s="3383">
        <f>IF(ISNUMBER(Sector1!S245),Sector1!S245,"n.a.")</f>
        <v>0.20456346679930326</v>
      </c>
      <c r="T122" s="3383">
        <f>IF(ISNUMBER(Sector1!T245),Sector1!T245,"n.a.")</f>
        <v>0.20204550401606103</v>
      </c>
      <c r="U122" s="3383">
        <f>IF(ISNUMBER(Sector1!U245),Sector1!U245,"n.a.")</f>
        <v>0.19598844647698838</v>
      </c>
      <c r="V122" s="3383">
        <f>IF(ISNUMBER(Sector1!V245),Sector1!V245,"n.a.")</f>
        <v>0.18868622535423679</v>
      </c>
      <c r="W122" s="3383">
        <f>IF(ISNUMBER(Sector1!W245),Sector1!W245,"n.a.")</f>
        <v>0.1824293804191566</v>
      </c>
      <c r="X122" s="3383">
        <f>IF(ISNUMBER(Sector1!X245),Sector1!X245,"n.a.")</f>
        <v>0.17914556758892922</v>
      </c>
      <c r="Y122" s="3383">
        <f>IF(ISNUMBER(Sector1!Y245),Sector1!Y245,"n.a.")</f>
        <v>0.17737005547868118</v>
      </c>
      <c r="Z122" s="3383">
        <f>IF(ISNUMBER(Sector1!Z245),Sector1!Z245,"n.a.")</f>
        <v>0.17648273398858294</v>
      </c>
      <c r="AA122" s="3383">
        <f>IF(ISNUMBER(Sector1!AA245),Sector1!AA245,"n.a.")</f>
        <v>0.17833368074389372</v>
      </c>
      <c r="AB122" s="3383">
        <f>IF(ISNUMBER(Sector1!AB245),Sector1!AB245,"n.a.")</f>
        <v>0.18181970948763099</v>
      </c>
      <c r="AC122" s="3383">
        <f>IF(ISNUMBER(Sector1!AC245),Sector1!AC245,"n.a.")</f>
        <v>0.18474482378138174</v>
      </c>
      <c r="AD122" s="3383">
        <f ca="1">IF(ISNUMBER(Sector1!AD245),Sector1!AD245,"n.a.")</f>
        <v>0.18686273332334194</v>
      </c>
      <c r="AE122" s="3383">
        <f ca="1">IF(ISNUMBER(Sector1!AE245),Sector1!AE245,"n.a.")</f>
        <v>0.18727626828433269</v>
      </c>
      <c r="AF122" s="3383">
        <f ca="1">IF(ISNUMBER(Sector1!AF245),Sector1!AF245,"n.a.")</f>
        <v>0.18626126698701817</v>
      </c>
      <c r="AG122"/>
      <c r="AH122"/>
      <c r="AI122"/>
      <c r="AJ122">
        <v>112</v>
      </c>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row>
    <row r="123" spans="1:159">
      <c r="A123" s="3383" t="str">
        <f t="shared" si="4"/>
        <v>\\DG ECFIN\Forecast\Country databases\Desk transfer databases\SE</v>
      </c>
      <c r="B123" s="3383" t="str">
        <f t="shared" si="5"/>
        <v>SE</v>
      </c>
      <c r="C123" s="3383" t="s">
        <v>2074</v>
      </c>
      <c r="D123" s="3383" t="s">
        <v>2191</v>
      </c>
      <c r="E123" s="3383" t="s">
        <v>2292</v>
      </c>
      <c r="F123" s="3383">
        <v>160</v>
      </c>
      <c r="G123" s="3383" t="s">
        <v>2192</v>
      </c>
      <c r="H123" s="3383" t="str">
        <f>IF(ISNUMBER(Sector1!H290),Sector1!H290,"n.a.")</f>
        <v>n.a.</v>
      </c>
      <c r="I123" s="3383" t="str">
        <f>IF(ISNUMBER(Sector1!I290),Sector1!I290,"n.a.")</f>
        <v>n.a.</v>
      </c>
      <c r="J123" s="3383">
        <f>IF(ISNUMBER(Sector1!J290),Sector1!J290,"n.a.")</f>
        <v>0.13378892969027834</v>
      </c>
      <c r="K123" s="3383">
        <f>IF(ISNUMBER(Sector1!K290),Sector1!K290,"n.a.")</f>
        <v>0.12581766556208379</v>
      </c>
      <c r="L123" s="3383">
        <f>IF(ISNUMBER(Sector1!L290),Sector1!L290,"n.a.")</f>
        <v>0.11870310024983582</v>
      </c>
      <c r="M123" s="3383">
        <f>IF(ISNUMBER(Sector1!M290),Sector1!M290,"n.a.")</f>
        <v>0.10679884889595839</v>
      </c>
      <c r="N123" s="3383">
        <f>IF(ISNUMBER(Sector1!N290),Sector1!N290,"n.a.")</f>
        <v>0.10098127598745318</v>
      </c>
      <c r="O123" s="3383">
        <f>IF(ISNUMBER(Sector1!O290),Sector1!O290,"n.a.")</f>
        <v>9.6593662015107259E-2</v>
      </c>
      <c r="P123" s="3383">
        <f>IF(ISNUMBER(Sector1!P290),Sector1!P290,"n.a.")</f>
        <v>8.9358466040846102E-2</v>
      </c>
      <c r="Q123" s="3383">
        <f>IF(ISNUMBER(Sector1!Q290),Sector1!Q290,"n.a.")</f>
        <v>8.3636021139482458E-2</v>
      </c>
      <c r="R123" s="3383">
        <f>IF(ISNUMBER(Sector1!R290),Sector1!R290,"n.a.")</f>
        <v>7.9990374711398388E-2</v>
      </c>
      <c r="S123" s="3383">
        <f>IF(ISNUMBER(Sector1!S290),Sector1!S290,"n.a.")</f>
        <v>7.6461326698615037E-2</v>
      </c>
      <c r="T123" s="3383">
        <f>IF(ISNUMBER(Sector1!T290),Sector1!T290,"n.a.")</f>
        <v>7.3211986490697156E-2</v>
      </c>
      <c r="U123" s="3383">
        <f>IF(ISNUMBER(Sector1!U290),Sector1!U290,"n.a.")</f>
        <v>7.1651868466975521E-2</v>
      </c>
      <c r="V123" s="3383">
        <f>IF(ISNUMBER(Sector1!V290),Sector1!V290,"n.a.")</f>
        <v>7.1631772306608749E-2</v>
      </c>
      <c r="W123" s="3383">
        <f>IF(ISNUMBER(Sector1!W290),Sector1!W290,"n.a.")</f>
        <v>7.2000338965945349E-2</v>
      </c>
      <c r="X123" s="3383">
        <f>IF(ISNUMBER(Sector1!X290),Sector1!X290,"n.a.")</f>
        <v>7.1695746159141371E-2</v>
      </c>
      <c r="Y123" s="3383">
        <f>IF(ISNUMBER(Sector1!Y290),Sector1!Y290,"n.a.")</f>
        <v>7.1368000362096659E-2</v>
      </c>
      <c r="Z123" s="3383">
        <f>IF(ISNUMBER(Sector1!Z290),Sector1!Z290,"n.a.")</f>
        <v>7.1111932609231016E-2</v>
      </c>
      <c r="AA123" s="3383">
        <f>IF(ISNUMBER(Sector1!AA290),Sector1!AA290,"n.a.")</f>
        <v>7.0563094972926371E-2</v>
      </c>
      <c r="AB123" s="3383">
        <f>IF(ISNUMBER(Sector1!AB290),Sector1!AB290,"n.a.")</f>
        <v>7.0532484097994175E-2</v>
      </c>
      <c r="AC123" s="3383">
        <f>IF(ISNUMBER(Sector1!AC290),Sector1!AC290,"n.a.")</f>
        <v>7.0611507842217786E-2</v>
      </c>
      <c r="AD123" s="3383">
        <f>IF(ISNUMBER(Sector1!AD290),Sector1!AD290,"n.a.")</f>
        <v>7.0812759812243664E-2</v>
      </c>
      <c r="AE123" s="3383">
        <f>IF(ISNUMBER(Sector1!AE290),Sector1!AE290,"n.a.")</f>
        <v>7.0958036427236165E-2</v>
      </c>
      <c r="AF123" s="3383">
        <f>IF(ISNUMBER(Sector1!AF290),Sector1!AF290,"n.a.")</f>
        <v>7.1237577675652058E-2</v>
      </c>
      <c r="AG123"/>
      <c r="AH123"/>
      <c r="AI123"/>
      <c r="AJ123">
        <v>113</v>
      </c>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row>
    <row r="124" spans="1:159">
      <c r="A124" s="3383" t="str">
        <f t="shared" si="4"/>
        <v>\\DG ECFIN\Forecast\Country databases\Desk transfer databases\SE</v>
      </c>
      <c r="B124" s="3383" t="str">
        <f t="shared" si="5"/>
        <v>SE</v>
      </c>
      <c r="C124" s="3383" t="s">
        <v>2074</v>
      </c>
      <c r="D124" s="3383" t="s">
        <v>2193</v>
      </c>
      <c r="E124" s="3383" t="s">
        <v>2292</v>
      </c>
      <c r="F124" s="3383">
        <v>161</v>
      </c>
      <c r="G124" s="3383" t="s">
        <v>1091</v>
      </c>
      <c r="H124" s="3383">
        <f ca="1">IF(ISNUMBER('VVP2'!H371),'VVP2'!H371,"n.a.")</f>
        <v>289.51</v>
      </c>
      <c r="I124" s="3383">
        <f ca="1">IF(ISNUMBER('VVP2'!I371),'VVP2'!I371,"n.a.")</f>
        <v>284.02</v>
      </c>
      <c r="J124" s="3383">
        <f ca="1">IF(ISNUMBER('VVP2'!J371),'VVP2'!J371,"n.a.")</f>
        <v>287.75</v>
      </c>
      <c r="K124" s="3383">
        <f ca="1">IF(ISNUMBER('VVP2'!K371),'VVP2'!K371,"n.a.")</f>
        <v>299.40000000000003</v>
      </c>
      <c r="L124" s="3383">
        <f ca="1">IF(ISNUMBER('VVP2'!L371),'VVP2'!L371,"n.a.")</f>
        <v>296.05</v>
      </c>
      <c r="M124" s="3383">
        <f ca="1">IF(ISNUMBER('VVP2'!M371),'VVP2'!M371,"n.a.")</f>
        <v>300.08</v>
      </c>
      <c r="N124" s="3383">
        <f ca="1">IF(ISNUMBER('VVP2'!N371),'VVP2'!N371,"n.a.")</f>
        <v>289.69</v>
      </c>
      <c r="O124" s="3383">
        <f ca="1">IF(ISNUMBER('VVP2'!O371),'VVP2'!O371,"n.a.")</f>
        <v>295.95999999999998</v>
      </c>
      <c r="P124" s="3383">
        <f ca="1">IF(ISNUMBER('VVP2'!P371),'VVP2'!P371,"n.a.")</f>
        <v>293.8</v>
      </c>
      <c r="Q124" s="3383">
        <f ca="1">IF(ISNUMBER('VVP2'!Q371),'VVP2'!Q371,"n.a.")</f>
        <v>290.76</v>
      </c>
      <c r="R124" s="3383">
        <f ca="1">IF(ISNUMBER('VVP2'!R371),'VVP2'!R371,"n.a.")</f>
        <v>286.68</v>
      </c>
      <c r="S124" s="3383">
        <f ca="1">IF(ISNUMBER('VVP2'!S371),'VVP2'!S371,"n.a.")</f>
        <v>290.74</v>
      </c>
      <c r="T124" s="3383">
        <f ca="1">IF(ISNUMBER('VVP2'!T371),'VVP2'!T371,"n.a.")</f>
        <v>291.77999999999997</v>
      </c>
      <c r="U124" s="3383">
        <f ca="1">IF(ISNUMBER('VVP2'!U371),'VVP2'!U371,"n.a.")</f>
        <v>291.61</v>
      </c>
      <c r="V124" s="3383">
        <f ca="1">IF(ISNUMBER('VVP2'!V371),'VVP2'!V371,"n.a.")</f>
        <v>285.77</v>
      </c>
      <c r="W124" s="3383">
        <f ca="1">IF(ISNUMBER('VVP2'!W371),'VVP2'!W371,"n.a.")</f>
        <v>277.3</v>
      </c>
      <c r="X124" s="3383">
        <f ca="1">IF(ISNUMBER('VVP2'!X371),'VVP2'!X371,"n.a.")</f>
        <v>284</v>
      </c>
      <c r="Y124" s="3383">
        <f ca="1">IF(ISNUMBER('VVP2'!Y371),'VVP2'!Y371,"n.a.")</f>
        <v>280.81</v>
      </c>
      <c r="Z124" s="3383">
        <f ca="1">IF(ISNUMBER('VVP2'!Z371),'VVP2'!Z371,"n.a.")</f>
        <v>277.39999999999998</v>
      </c>
      <c r="AA124" s="3383">
        <f ca="1">IF(ISNUMBER('VVP2'!AA371),'VVP2'!AA371,"n.a.")</f>
        <v>276.72000000000003</v>
      </c>
      <c r="AB124" s="3383">
        <f ca="1">IF(ISNUMBER('VVP2'!AB371),'VVP2'!AB371,"n.a.")</f>
        <v>286.07</v>
      </c>
      <c r="AC124" s="3383">
        <f ca="1">IF(ISNUMBER('VVP2'!AC371),'VVP2'!AC371,"n.a.")</f>
        <v>291.72000000000003</v>
      </c>
      <c r="AD124" s="3383">
        <f ca="1">IF(ISNUMBER('VVP2'!AD371),'VVP2'!AD371,"n.a.")</f>
        <v>290.10000000000002</v>
      </c>
      <c r="AE124" s="3383">
        <f ca="1">IF(ISNUMBER('VVP2'!AE371),'VVP2'!AE371,"n.a.")</f>
        <v>290.10000000000002</v>
      </c>
      <c r="AF124" s="3383">
        <f ca="1">IF(ISNUMBER('VVP2'!AF371),'VVP2'!AF371,"n.a.")</f>
        <v>290.10000000000002</v>
      </c>
      <c r="AG124"/>
      <c r="AH124"/>
      <c r="AI124"/>
      <c r="AJ124">
        <v>114</v>
      </c>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row>
    <row r="125" spans="1:159">
      <c r="A125" s="3383" t="str">
        <f t="shared" si="4"/>
        <v>\\DG ECFIN\Forecast\Country databases\Desk transfer databases\SE</v>
      </c>
      <c r="B125" s="3383" t="str">
        <f t="shared" si="5"/>
        <v>SE</v>
      </c>
      <c r="C125" s="3383" t="s">
        <v>2074</v>
      </c>
      <c r="D125" s="3383" t="s">
        <v>2194</v>
      </c>
      <c r="E125" s="3383" t="s">
        <v>2292</v>
      </c>
      <c r="F125" s="3383">
        <v>162</v>
      </c>
      <c r="G125" s="3383" t="s">
        <v>1092</v>
      </c>
      <c r="H125" s="3383">
        <f ca="1">IF(ISNUMBER('VVP2'!H372),'VVP2'!H372,"n.a.")</f>
        <v>123.93</v>
      </c>
      <c r="I125" s="3383">
        <f ca="1">IF(ISNUMBER('VVP2'!I372),'VVP2'!I372,"n.a.")</f>
        <v>126.76</v>
      </c>
      <c r="J125" s="3383">
        <f ca="1">IF(ISNUMBER('VVP2'!J372),'VVP2'!J372,"n.a.")</f>
        <v>121.05</v>
      </c>
      <c r="K125" s="3383">
        <f ca="1">IF(ISNUMBER('VVP2'!K372),'VVP2'!K372,"n.a.")</f>
        <v>113.52</v>
      </c>
      <c r="L125" s="3383">
        <f ca="1">IF(ISNUMBER('VVP2'!L372),'VVP2'!L372,"n.a.")</f>
        <v>118.1</v>
      </c>
      <c r="M125" s="3383">
        <f ca="1">IF(ISNUMBER('VVP2'!M372),'VVP2'!M372,"n.a.")</f>
        <v>111.07</v>
      </c>
      <c r="N125" s="3383">
        <f ca="1">IF(ISNUMBER('VVP2'!N372),'VVP2'!N372,"n.a.")</f>
        <v>115.41</v>
      </c>
      <c r="O125" s="3383">
        <f ca="1">IF(ISNUMBER('VVP2'!O372),'VVP2'!O372,"n.a.")</f>
        <v>115.9</v>
      </c>
      <c r="P125" s="3383">
        <f ca="1">IF(ISNUMBER('VVP2'!P372),'VVP2'!P372,"n.a.")</f>
        <v>122.96</v>
      </c>
      <c r="Q125" s="3383">
        <f ca="1">IF(ISNUMBER('VVP2'!Q372),'VVP2'!Q372,"n.a.")</f>
        <v>117.64</v>
      </c>
      <c r="R125" s="3383">
        <f ca="1">IF(ISNUMBER('VVP2'!R372),'VVP2'!R372,"n.a.")</f>
        <v>126.07</v>
      </c>
      <c r="S125" s="3383">
        <f ca="1">IF(ISNUMBER('VVP2'!S372),'VVP2'!S372,"n.a.")</f>
        <v>122.91</v>
      </c>
      <c r="T125" s="3383">
        <f ca="1">IF(ISNUMBER('VVP2'!T372),'VVP2'!T372,"n.a.")</f>
        <v>114.62</v>
      </c>
      <c r="U125" s="3383">
        <f ca="1">IF(ISNUMBER('VVP2'!U372),'VVP2'!U372,"n.a.")</f>
        <v>110.87</v>
      </c>
      <c r="V125" s="3383">
        <f ca="1">IF(ISNUMBER('VVP2'!V372),'VVP2'!V372,"n.a.")</f>
        <v>109.94</v>
      </c>
      <c r="W125" s="3383">
        <f ca="1">IF(ISNUMBER('VVP2'!W372),'VVP2'!W372,"n.a.")</f>
        <v>119.88</v>
      </c>
      <c r="X125" s="3383">
        <f ca="1">IF(ISNUMBER('VVP2'!X372),'VVP2'!X372,"n.a.")</f>
        <v>116.8</v>
      </c>
      <c r="Y125" s="3383">
        <f ca="1">IF(ISNUMBER('VVP2'!Y372),'VVP2'!Y372,"n.a.")</f>
        <v>110.13</v>
      </c>
      <c r="Z125" s="3383">
        <f ca="1">IF(ISNUMBER('VVP2'!Z372),'VVP2'!Z372,"n.a.")</f>
        <v>106.88</v>
      </c>
      <c r="AA125" s="3383">
        <f ca="1">IF(ISNUMBER('VVP2'!AA372),'VVP2'!AA372,"n.a.")</f>
        <v>96.35</v>
      </c>
      <c r="AB125" s="3383">
        <f ca="1">IF(ISNUMBER('VVP2'!AB372),'VVP2'!AB372,"n.a.")</f>
        <v>86.62</v>
      </c>
      <c r="AC125" s="3383">
        <f ca="1">IF(ISNUMBER('VVP2'!AC372),'VVP2'!AC372,"n.a.")</f>
        <v>88.08</v>
      </c>
      <c r="AD125" s="3383">
        <f ca="1">IF(ISNUMBER('VVP2'!AD372),'VVP2'!AD372,"n.a.")</f>
        <v>89.18</v>
      </c>
      <c r="AE125" s="3383">
        <f ca="1">IF(ISNUMBER('VVP2'!AE372),'VVP2'!AE372,"n.a.")</f>
        <v>89.18</v>
      </c>
      <c r="AF125" s="3383">
        <f ca="1">IF(ISNUMBER('VVP2'!AF372),'VVP2'!AF372,"n.a.")</f>
        <v>89.18</v>
      </c>
      <c r="AG125"/>
      <c r="AH125"/>
      <c r="AI125"/>
      <c r="AJ125">
        <v>115</v>
      </c>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row>
    <row r="126" spans="1:159">
      <c r="A126" s="3383" t="str">
        <f t="shared" si="4"/>
        <v>\\DG ECFIN\Forecast\Country databases\Desk transfer databases\SE</v>
      </c>
      <c r="B126" s="3383" t="str">
        <f t="shared" si="5"/>
        <v>SE</v>
      </c>
      <c r="C126" s="3383" t="s">
        <v>2074</v>
      </c>
      <c r="D126" s="3383" t="s">
        <v>2195</v>
      </c>
      <c r="E126" s="3383" t="s">
        <v>2292</v>
      </c>
      <c r="F126" s="3383">
        <v>163</v>
      </c>
      <c r="G126" s="3383" t="s">
        <v>1093</v>
      </c>
      <c r="H126" s="3383">
        <f ca="1">IF(ISNUMBER('VVP2'!H374),'VVP2'!H374,"n.a.")</f>
        <v>166.84</v>
      </c>
      <c r="I126" s="3383">
        <f ca="1">IF(ISNUMBER('VVP2'!I374),'VVP2'!I374,"n.a.")</f>
        <v>159.5</v>
      </c>
      <c r="J126" s="3383">
        <f ca="1">IF(ISNUMBER('VVP2'!J374),'VVP2'!J374,"n.a.")</f>
        <v>162.08000000000001</v>
      </c>
      <c r="K126" s="3383">
        <f ca="1">IF(ISNUMBER('VVP2'!K374),'VVP2'!K374,"n.a.")</f>
        <v>151.28</v>
      </c>
      <c r="L126" s="3383">
        <f ca="1">IF(ISNUMBER('VVP2'!L374),'VVP2'!L374,"n.a.")</f>
        <v>144.69999999999999</v>
      </c>
      <c r="M126" s="3383">
        <f ca="1">IF(ISNUMBER('VVP2'!M374),'VVP2'!M374,"n.a.")</f>
        <v>142.63999999999999</v>
      </c>
      <c r="N126" s="3383">
        <f ca="1">IF(ISNUMBER('VVP2'!N374),'VVP2'!N374,"n.a.")</f>
        <v>144.35</v>
      </c>
      <c r="O126" s="3383">
        <f ca="1">IF(ISNUMBER('VVP2'!O374),'VVP2'!O374,"n.a.")</f>
        <v>142.57</v>
      </c>
      <c r="P126" s="3383">
        <f ca="1">IF(ISNUMBER('VVP2'!P374),'VVP2'!P374,"n.a.")</f>
        <v>135.78</v>
      </c>
      <c r="Q126" s="3383">
        <f ca="1">IF(ISNUMBER('VVP2'!Q374),'VVP2'!Q374,"n.a.")</f>
        <v>136.49</v>
      </c>
      <c r="R126" s="3383">
        <f ca="1">IF(ISNUMBER('VVP2'!R374),'VVP2'!R374,"n.a.")</f>
        <v>132.52000000000001</v>
      </c>
      <c r="S126" s="3383">
        <f ca="1">IF(ISNUMBER('VVP2'!S374),'VVP2'!S374,"n.a.")</f>
        <v>128.94999999999999</v>
      </c>
      <c r="T126" s="3383">
        <f ca="1">IF(ISNUMBER('VVP2'!T374),'VVP2'!T374,"n.a.")</f>
        <v>131.15</v>
      </c>
      <c r="U126" s="3383">
        <f ca="1">IF(ISNUMBER('VVP2'!U374),'VVP2'!U374,"n.a.")</f>
        <v>136.58000000000001</v>
      </c>
      <c r="V126" s="3383">
        <f ca="1">IF(ISNUMBER('VVP2'!V374),'VVP2'!V374,"n.a.")</f>
        <v>135.16</v>
      </c>
      <c r="W126" s="3383">
        <f ca="1">IF(ISNUMBER('VVP2'!W374),'VVP2'!W374,"n.a.")</f>
        <v>135.9</v>
      </c>
      <c r="X126" s="3383">
        <f ca="1">IF(ISNUMBER('VVP2'!X374),'VVP2'!X374,"n.a.")</f>
        <v>135.49</v>
      </c>
      <c r="Y126" s="3383">
        <f ca="1">IF(ISNUMBER('VVP2'!Y374),'VVP2'!Y374,"n.a.")</f>
        <v>135.56</v>
      </c>
      <c r="Z126" s="3383">
        <f ca="1">IF(ISNUMBER('VVP2'!Z374),'VVP2'!Z374,"n.a.")</f>
        <v>139.54</v>
      </c>
      <c r="AA126" s="3383">
        <f ca="1">IF(ISNUMBER('VVP2'!AA374),'VVP2'!AA374,"n.a.")</f>
        <v>141.59</v>
      </c>
      <c r="AB126" s="3383">
        <f ca="1">IF(ISNUMBER('VVP2'!AB374),'VVP2'!AB374,"n.a.")</f>
        <v>140.88999999999999</v>
      </c>
      <c r="AC126" s="3383">
        <f ca="1">IF(ISNUMBER('VVP2'!AC374),'VVP2'!AC374,"n.a.")</f>
        <v>138.11000000000001</v>
      </c>
      <c r="AD126" s="3383">
        <f ca="1">IF(ISNUMBER('VVP2'!AD374),'VVP2'!AD374,"n.a.")</f>
        <v>137.08000000000001</v>
      </c>
      <c r="AE126" s="3383">
        <f ca="1">IF(ISNUMBER('VVP2'!AE374),'VVP2'!AE374,"n.a.")</f>
        <v>137.08000000000001</v>
      </c>
      <c r="AF126" s="3383">
        <f ca="1">IF(ISNUMBER('VVP2'!AF374),'VVP2'!AF374,"n.a.")</f>
        <v>137.08000000000001</v>
      </c>
      <c r="AG126"/>
      <c r="AH126"/>
      <c r="AI126"/>
      <c r="AJ126">
        <v>116</v>
      </c>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row>
    <row r="127" spans="1:159">
      <c r="A127" s="3383" t="str">
        <f t="shared" si="4"/>
        <v>\\DG ECFIN\Forecast\Country databases\Desk transfer databases\SE</v>
      </c>
      <c r="B127" s="3383" t="str">
        <f t="shared" si="5"/>
        <v>SE</v>
      </c>
      <c r="C127" s="3383" t="s">
        <v>2074</v>
      </c>
      <c r="D127" s="3383" t="s">
        <v>2196</v>
      </c>
      <c r="E127" s="3383" t="s">
        <v>2292</v>
      </c>
      <c r="F127" s="3383">
        <v>164</v>
      </c>
      <c r="G127" s="3383" t="s">
        <v>1094</v>
      </c>
      <c r="H127" s="3383">
        <f ca="1">IF(ISNUMBER('VVP2'!H373),'VVP2'!H373,"n.a.")</f>
        <v>76.820000000000007</v>
      </c>
      <c r="I127" s="3383">
        <f ca="1">IF(ISNUMBER('VVP2'!I373),'VVP2'!I373,"n.a.")</f>
        <v>75.12</v>
      </c>
      <c r="J127" s="3383">
        <f ca="1">IF(ISNUMBER('VVP2'!J373),'VVP2'!J373,"n.a.")</f>
        <v>74.460000000000008</v>
      </c>
      <c r="K127" s="3383">
        <f ca="1">IF(ISNUMBER('VVP2'!K373),'VVP2'!K373,"n.a.")</f>
        <v>75.89</v>
      </c>
      <c r="L127" s="3383">
        <f ca="1">IF(ISNUMBER('VVP2'!L373),'VVP2'!L373,"n.a.")</f>
        <v>65.25</v>
      </c>
      <c r="M127" s="3383">
        <f ca="1">IF(ISNUMBER('VVP2'!M373),'VVP2'!M373,"n.a.")</f>
        <v>64.42</v>
      </c>
      <c r="N127" s="3383">
        <f ca="1">IF(ISNUMBER('VVP2'!N373),'VVP2'!N373,"n.a.")</f>
        <v>62.93</v>
      </c>
      <c r="O127" s="3383">
        <f ca="1">IF(ISNUMBER('VVP2'!O373),'VVP2'!O373,"n.a.")</f>
        <v>58.58</v>
      </c>
      <c r="P127" s="3383">
        <f ca="1">IF(ISNUMBER('VVP2'!P373),'VVP2'!P373,"n.a.")</f>
        <v>58.94</v>
      </c>
      <c r="Q127" s="3383">
        <f ca="1">IF(ISNUMBER('VVP2'!Q373),'VVP2'!Q373,"n.a.")</f>
        <v>59.97</v>
      </c>
      <c r="R127" s="3383">
        <f ca="1">IF(ISNUMBER('VVP2'!R373),'VVP2'!R373,"n.a.")</f>
        <v>60.19</v>
      </c>
      <c r="S127" s="3383">
        <f ca="1">IF(ISNUMBER('VVP2'!S373),'VVP2'!S373,"n.a.")</f>
        <v>60.93</v>
      </c>
      <c r="T127" s="3383">
        <f ca="1">IF(ISNUMBER('VVP2'!T373),'VVP2'!T373,"n.a.")</f>
        <v>62.59</v>
      </c>
      <c r="U127" s="3383">
        <f ca="1">IF(ISNUMBER('VVP2'!U373),'VVP2'!U373,"n.a.")</f>
        <v>66.05</v>
      </c>
      <c r="V127" s="3383">
        <f ca="1">IF(ISNUMBER('VVP2'!V373),'VVP2'!V373,"n.a.")</f>
        <v>63.14</v>
      </c>
      <c r="W127" s="3383">
        <f ca="1">IF(ISNUMBER('VVP2'!W373),'VVP2'!W373,"n.a.")</f>
        <v>61.58</v>
      </c>
      <c r="X127" s="3383">
        <f ca="1">IF(ISNUMBER('VVP2'!X373),'VVP2'!X373,"n.a.")</f>
        <v>58.13</v>
      </c>
      <c r="Y127" s="3383">
        <f ca="1">IF(ISNUMBER('VVP2'!Y373),'VVP2'!Y373,"n.a.")</f>
        <v>63.47</v>
      </c>
      <c r="Z127" s="3383">
        <f ca="1">IF(ISNUMBER('VVP2'!Z373),'VVP2'!Z373,"n.a.")</f>
        <v>59.63</v>
      </c>
      <c r="AA127" s="3383">
        <f ca="1">IF(ISNUMBER('VVP2'!AA373),'VVP2'!AA373,"n.a.")</f>
        <v>59.62</v>
      </c>
      <c r="AB127" s="3383">
        <f ca="1">IF(ISNUMBER('VVP2'!AB373),'VVP2'!AB373,"n.a.")</f>
        <v>62.79</v>
      </c>
      <c r="AC127" s="3383">
        <f ca="1">IF(ISNUMBER('VVP2'!AC373),'VVP2'!AC373,"n.a.")</f>
        <v>61.52</v>
      </c>
      <c r="AD127" s="3383">
        <f ca="1">IF(ISNUMBER('VVP2'!AD373),'VVP2'!AD373,"n.a.")</f>
        <v>60.79</v>
      </c>
      <c r="AE127" s="3383">
        <f ca="1">IF(ISNUMBER('VVP2'!AE373),'VVP2'!AE373,"n.a.")</f>
        <v>60.79</v>
      </c>
      <c r="AF127" s="3383">
        <f ca="1">IF(ISNUMBER('VVP2'!AF373),'VVP2'!AF373,"n.a.")</f>
        <v>60.79</v>
      </c>
      <c r="AG127"/>
      <c r="AH127"/>
      <c r="AI127"/>
      <c r="AJ127">
        <v>117</v>
      </c>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row>
    <row r="128" spans="1:159">
      <c r="A128" s="3383" t="str">
        <f t="shared" si="4"/>
        <v>\\DG ECFIN\Forecast\Country databases\Desk transfer databases\SE</v>
      </c>
      <c r="B128" s="3383" t="str">
        <f t="shared" si="5"/>
        <v>SE</v>
      </c>
      <c r="C128" s="3383" t="s">
        <v>2074</v>
      </c>
      <c r="D128" s="3383" t="s">
        <v>2197</v>
      </c>
      <c r="E128" s="3383" t="s">
        <v>2292</v>
      </c>
      <c r="F128" s="3383">
        <v>165</v>
      </c>
      <c r="G128" s="3383" t="s">
        <v>1095</v>
      </c>
      <c r="H128" s="3383">
        <f ca="1">IF(ISNUMBER('VVP2'!H375),'VVP2'!H375,"n.a.")</f>
        <v>335.82</v>
      </c>
      <c r="I128" s="3383">
        <f ca="1">IF(ISNUMBER('VVP2'!I375),'VVP2'!I375,"n.a.")</f>
        <v>347.40000000000003</v>
      </c>
      <c r="J128" s="3383">
        <f ca="1">IF(ISNUMBER('VVP2'!J375),'VVP2'!J375,"n.a.")</f>
        <v>348.02</v>
      </c>
      <c r="K128" s="3383">
        <f ca="1">IF(ISNUMBER('VVP2'!K375),'VVP2'!K375,"n.a.")</f>
        <v>356.13</v>
      </c>
      <c r="L128" s="3383">
        <f ca="1">IF(ISNUMBER('VVP2'!L375),'VVP2'!L375,"n.a.")</f>
        <v>375.9</v>
      </c>
      <c r="M128" s="3383">
        <f ca="1">IF(ISNUMBER('VVP2'!M375),'VVP2'!M375,"n.a.")</f>
        <v>381.79</v>
      </c>
      <c r="N128" s="3383">
        <f ca="1">IF(ISNUMBER('VVP2'!N375),'VVP2'!N375,"n.a.")</f>
        <v>387.62</v>
      </c>
      <c r="O128" s="3383">
        <f ca="1">IF(ISNUMBER('VVP2'!O375),'VVP2'!O375,"n.a.")</f>
        <v>386.98</v>
      </c>
      <c r="P128" s="3383">
        <f ca="1">IF(ISNUMBER('VVP2'!P375),'VVP2'!P375,"n.a.")</f>
        <v>388.52</v>
      </c>
      <c r="Q128" s="3383">
        <f ca="1">IF(ISNUMBER('VVP2'!Q375),'VVP2'!Q375,"n.a.")</f>
        <v>395.14</v>
      </c>
      <c r="R128" s="3383">
        <f ca="1">IF(ISNUMBER('VVP2'!R375),'VVP2'!R375,"n.a.")</f>
        <v>394.55</v>
      </c>
      <c r="S128" s="3383">
        <f ca="1">IF(ISNUMBER('VVP2'!S375),'VVP2'!S375,"n.a.")</f>
        <v>396.47</v>
      </c>
      <c r="T128" s="3383">
        <f ca="1">IF(ISNUMBER('VVP2'!T375),'VVP2'!T375,"n.a.")</f>
        <v>399.86</v>
      </c>
      <c r="U128" s="3383">
        <f ca="1">IF(ISNUMBER('VVP2'!U375),'VVP2'!U375,"n.a.")</f>
        <v>394.89</v>
      </c>
      <c r="V128" s="3383">
        <f ca="1">IF(ISNUMBER('VVP2'!V375),'VVP2'!V375,"n.a.")</f>
        <v>406</v>
      </c>
      <c r="W128" s="3383">
        <f ca="1">IF(ISNUMBER('VVP2'!W375),'VVP2'!W375,"n.a.")</f>
        <v>405.34</v>
      </c>
      <c r="X128" s="3383">
        <f ca="1">IF(ISNUMBER('VVP2'!X375),'VVP2'!X375,"n.a.")</f>
        <v>405.57</v>
      </c>
      <c r="Y128" s="3383">
        <f ca="1">IF(ISNUMBER('VVP2'!Y375),'VVP2'!Y375,"n.a.")</f>
        <v>410.03</v>
      </c>
      <c r="Z128" s="3383">
        <f ca="1">IF(ISNUMBER('VVP2'!Z375),'VVP2'!Z375,"n.a.")</f>
        <v>416.55</v>
      </c>
      <c r="AA128" s="3383">
        <f ca="1">IF(ISNUMBER('VVP2'!AA375),'VVP2'!AA375,"n.a.")</f>
        <v>425.72</v>
      </c>
      <c r="AB128" s="3383">
        <f ca="1">IF(ISNUMBER('VVP2'!AB375),'VVP2'!AB375,"n.a.")</f>
        <v>423.63</v>
      </c>
      <c r="AC128" s="3383">
        <f ca="1">IF(ISNUMBER('VVP2'!AC375),'VVP2'!AC375,"n.a.")</f>
        <v>420.57</v>
      </c>
      <c r="AD128" s="3383">
        <f ca="1">IF(ISNUMBER('VVP2'!AD375),'VVP2'!AD375,"n.a.")</f>
        <v>422.85</v>
      </c>
      <c r="AE128" s="3383">
        <f ca="1">IF(ISNUMBER('VVP2'!AE375),'VVP2'!AE375,"n.a.")</f>
        <v>422.85</v>
      </c>
      <c r="AF128" s="3383">
        <f ca="1">IF(ISNUMBER('VVP2'!AF375),'VVP2'!AF375,"n.a.")</f>
        <v>422.85</v>
      </c>
      <c r="AG128"/>
      <c r="AH128"/>
      <c r="AI128"/>
      <c r="AJ128">
        <v>118</v>
      </c>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row>
    <row r="129" spans="1:159">
      <c r="A129" s="3383" t="str">
        <f t="shared" si="4"/>
        <v>\\DG ECFIN\Forecast\Country databases\Desk transfer databases\SE</v>
      </c>
      <c r="B129" s="3383" t="str">
        <f t="shared" si="5"/>
        <v>SE</v>
      </c>
      <c r="C129" s="3383" t="s">
        <v>2074</v>
      </c>
      <c r="D129" s="3383" t="s">
        <v>2198</v>
      </c>
      <c r="E129" s="3383" t="s">
        <v>2292</v>
      </c>
      <c r="F129" s="3383">
        <v>172</v>
      </c>
      <c r="G129" s="3383" t="s">
        <v>1373</v>
      </c>
      <c r="H129" s="3383">
        <f ca="1">IF(ISNUMBER('VVP2'!H378),'VVP2'!H378,"n.a.")</f>
        <v>103.02083333333333</v>
      </c>
      <c r="I129" s="3383">
        <f ca="1">IF(ISNUMBER('VVP2'!I378),'VVP2'!I378,"n.a.")</f>
        <v>101.74333333333334</v>
      </c>
      <c r="J129" s="3383">
        <f ca="1">IF(ISNUMBER('VVP2'!J378),'VVP2'!J378,"n.a.")</f>
        <v>100.90250000000002</v>
      </c>
      <c r="K129" s="3383">
        <f ca="1">IF(ISNUMBER('VVP2'!K378),'VVP2'!K378,"n.a.")</f>
        <v>100.66500000000001</v>
      </c>
      <c r="L129" s="3383">
        <f ca="1">IF(ISNUMBER('VVP2'!L378),'VVP2'!L378,"n.a.")</f>
        <v>100.75500000000001</v>
      </c>
      <c r="M129" s="3383">
        <f ca="1">IF(ISNUMBER('VVP2'!M378),'VVP2'!M378,"n.a.")</f>
        <v>101.55833333333334</v>
      </c>
      <c r="N129" s="3383">
        <f ca="1">IF(ISNUMBER('VVP2'!N378),'VVP2'!N378,"n.a.")</f>
        <v>102.3725</v>
      </c>
      <c r="O129" s="3383">
        <f ca="1">IF(ISNUMBER('VVP2'!O378),'VVP2'!O378,"n.a.")</f>
        <v>102.27916666666667</v>
      </c>
      <c r="P129" s="3383">
        <f ca="1">IF(ISNUMBER('VVP2'!P378),'VVP2'!P378,"n.a.")</f>
        <v>101.07666666666667</v>
      </c>
      <c r="Q129" s="3383">
        <f ca="1">IF(ISNUMBER('VVP2'!Q378),'VVP2'!Q378,"n.a.")</f>
        <v>99.750833333333333</v>
      </c>
      <c r="R129" s="3383">
        <f ca="1">IF(ISNUMBER('VVP2'!R378),'VVP2'!R378,"n.a.")</f>
        <v>99.374166666666667</v>
      </c>
      <c r="S129" s="3383">
        <f ca="1">IF(ISNUMBER('VVP2'!S378),'VVP2'!S378,"n.a.")</f>
        <v>99.949166666666656</v>
      </c>
      <c r="T129" s="3383">
        <f ca="1">IF(ISNUMBER('VVP2'!T378),'VVP2'!T378,"n.a.")</f>
        <v>99.887499999999989</v>
      </c>
      <c r="U129" s="3383">
        <f ca="1">IF(ISNUMBER('VVP2'!U378),'VVP2'!U378,"n.a.")</f>
        <v>101.4025</v>
      </c>
      <c r="V129" s="3383">
        <f ca="1">IF(ISNUMBER('VVP2'!V378),'VVP2'!V378,"n.a.")</f>
        <v>102.31083333333333</v>
      </c>
      <c r="W129" s="3383">
        <f ca="1">IF(ISNUMBER('VVP2'!W378),'VVP2'!W378,"n.a.")</f>
        <v>101.82416666666666</v>
      </c>
      <c r="X129" s="3383">
        <f ca="1">IF(ISNUMBER('VVP2'!X378),'VVP2'!X378,"n.a.")</f>
        <v>100.82083333333334</v>
      </c>
      <c r="Y129" s="3383">
        <f ca="1">IF(ISNUMBER('VVP2'!Y378),'VVP2'!Y378,"n.a.")</f>
        <v>100.04499999999999</v>
      </c>
      <c r="Z129" s="3383">
        <f ca="1">IF(ISNUMBER('VVP2'!Z378),'VVP2'!Z378,"n.a.")</f>
        <v>99.657499999999999</v>
      </c>
      <c r="AA129" s="3383">
        <f ca="1">IF(ISNUMBER('VVP2'!AA378),'VVP2'!AA378,"n.a.")</f>
        <v>100.00083333333333</v>
      </c>
      <c r="AB129" s="3383">
        <f ca="1">IF(ISNUMBER('VVP2'!AB378),'VVP2'!AB378,"n.a.")</f>
        <v>101.08916666666666</v>
      </c>
      <c r="AC129" s="3383">
        <f ca="1">IF(ISNUMBER('VVP2'!AC378),'VVP2'!AC378,"n.a.")</f>
        <v>101.19</v>
      </c>
      <c r="AD129" s="3383">
        <f ca="1">IF(ISNUMBER('VVP2'!AD378),'VVP2'!AD378,"n.a.")</f>
        <v>101.34324416666666</v>
      </c>
      <c r="AE129" s="3383">
        <f ca="1">IF(ISNUMBER('VVP2'!AE378),'VVP2'!AE378,"n.a.")</f>
        <v>101.52536707749999</v>
      </c>
      <c r="AF129" s="3383">
        <f ca="1">IF(ISNUMBER('VVP2'!AF378),'VVP2'!AF378,"n.a.")</f>
        <v>101.6246004435329</v>
      </c>
      <c r="AG129"/>
      <c r="AH129"/>
      <c r="AI129"/>
      <c r="AJ129">
        <v>119</v>
      </c>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row>
    <row r="130" spans="1:159">
      <c r="A130" s="3383" t="str">
        <f t="shared" si="4"/>
        <v>\\DG ECFIN\Forecast\Country databases\Desk transfer databases\SE</v>
      </c>
      <c r="B130" s="3383" t="str">
        <f t="shared" si="5"/>
        <v>SE</v>
      </c>
      <c r="C130" s="3383" t="s">
        <v>2074</v>
      </c>
      <c r="D130" s="3383" t="s">
        <v>2199</v>
      </c>
      <c r="E130" s="3383" t="s">
        <v>2292</v>
      </c>
      <c r="F130" s="3383">
        <v>173</v>
      </c>
      <c r="G130" s="3383" t="s">
        <v>1374</v>
      </c>
      <c r="H130" s="3383">
        <f ca="1">IF(ISNUMBER('VVP2'!H379),'VVP2'!H379,"n.a.")</f>
        <v>57.506666666666675</v>
      </c>
      <c r="I130" s="3383">
        <f ca="1">IF(ISNUMBER('VVP2'!I379),'VVP2'!I379,"n.a.")</f>
        <v>60.285000000000004</v>
      </c>
      <c r="J130" s="3383">
        <f ca="1">IF(ISNUMBER('VVP2'!J379),'VVP2'!J379,"n.a.")</f>
        <v>60.3125</v>
      </c>
      <c r="K130" s="3383">
        <f ca="1">IF(ISNUMBER('VVP2'!K379),'VVP2'!K379,"n.a.")</f>
        <v>60.196666666666665</v>
      </c>
      <c r="L130" s="3383">
        <f ca="1">IF(ISNUMBER('VVP2'!L379),'VVP2'!L379,"n.a.")</f>
        <v>64.098333333333329</v>
      </c>
      <c r="M130" s="3383">
        <f ca="1">IF(ISNUMBER('VVP2'!M379),'VVP2'!M379,"n.a.")</f>
        <v>68.150833333333324</v>
      </c>
      <c r="N130" s="3383">
        <f ca="1">IF(ISNUMBER('VVP2'!N379),'VVP2'!N379,"n.a.")</f>
        <v>69.346666666666664</v>
      </c>
      <c r="O130" s="3383">
        <f ca="1">IF(ISNUMBER('VVP2'!O379),'VVP2'!O379,"n.a.")</f>
        <v>76.847500000000011</v>
      </c>
      <c r="P130" s="3383">
        <f ca="1">IF(ISNUMBER('VVP2'!P379),'VVP2'!P379,"n.a.")</f>
        <v>79.355833333333337</v>
      </c>
      <c r="Q130" s="3383">
        <f ca="1">IF(ISNUMBER('VVP2'!Q379),'VVP2'!Q379,"n.a.")</f>
        <v>83.764999999999986</v>
      </c>
      <c r="R130" s="3383">
        <f ca="1">IF(ISNUMBER('VVP2'!R379),'VVP2'!R379,"n.a.")</f>
        <v>89.561666666666667</v>
      </c>
      <c r="S130" s="3383">
        <f ca="1">IF(ISNUMBER('VVP2'!S379),'VVP2'!S379,"n.a.")</f>
        <v>89.998333333333335</v>
      </c>
      <c r="T130" s="3383">
        <f ca="1">IF(ISNUMBER('VVP2'!T379),'VVP2'!T379,"n.a.")</f>
        <v>98.525833333333338</v>
      </c>
      <c r="U130" s="3383">
        <f ca="1">IF(ISNUMBER('VVP2'!U379),'VVP2'!U379,"n.a.")</f>
        <v>97.702500000000001</v>
      </c>
      <c r="V130" s="3383">
        <f ca="1">IF(ISNUMBER('VVP2'!V379),'VVP2'!V379,"n.a.")</f>
        <v>103.06166666666667</v>
      </c>
      <c r="W130" s="3383">
        <f ca="1">IF(ISNUMBER('VVP2'!W379),'VVP2'!W379,"n.a.")</f>
        <v>107.96583333333332</v>
      </c>
      <c r="X130" s="3383">
        <f ca="1">IF(ISNUMBER('VVP2'!X379),'VVP2'!X379,"n.a.")</f>
        <v>108.55499999999999</v>
      </c>
      <c r="Y130" s="3383">
        <f ca="1">IF(ISNUMBER('VVP2'!Y379),'VVP2'!Y379,"n.a.")</f>
        <v>107.08750000000001</v>
      </c>
      <c r="Z130" s="3383">
        <f ca="1">IF(ISNUMBER('VVP2'!Z379),'VVP2'!Z379,"n.a.")</f>
        <v>104.89416666666665</v>
      </c>
      <c r="AA130" s="3383">
        <f ca="1">IF(ISNUMBER('VVP2'!AA379),'VVP2'!AA379,"n.a.")</f>
        <v>100.00166666666667</v>
      </c>
      <c r="AB130" s="3383">
        <f ca="1">IF(ISNUMBER('VVP2'!AB379),'VVP2'!AB379,"n.a.")</f>
        <v>101.04666666666668</v>
      </c>
      <c r="AC130" s="3383">
        <f ca="1">IF(ISNUMBER('VVP2'!AC379),'VVP2'!AC379,"n.a.")</f>
        <v>106.40416666666667</v>
      </c>
      <c r="AD130" s="3383">
        <f ca="1">IF(ISNUMBER('VVP2'!AD379),'VVP2'!AD379,"n.a.")</f>
        <v>116.8212</v>
      </c>
      <c r="AE130" s="3383">
        <f ca="1">IF(ISNUMBER('VVP2'!AE379),'VVP2'!AE379,"n.a.")</f>
        <v>123.61814587155187</v>
      </c>
      <c r="AF130" s="3383">
        <f ca="1">IF(ISNUMBER('VVP2'!AF379),'VVP2'!AF379,"n.a.")</f>
        <v>124.88057372260626</v>
      </c>
      <c r="AG130"/>
      <c r="AH130"/>
      <c r="AI130"/>
      <c r="AJ130">
        <v>120</v>
      </c>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row>
    <row r="131" spans="1:159">
      <c r="A131" s="3383" t="str">
        <f t="shared" si="4"/>
        <v>\\DG ECFIN\Forecast\Country databases\Desk transfer databases\SE</v>
      </c>
      <c r="B131" s="3383" t="str">
        <f t="shared" si="5"/>
        <v>SE</v>
      </c>
      <c r="C131" s="3383" t="s">
        <v>2074</v>
      </c>
      <c r="D131" s="3383" t="s">
        <v>2200</v>
      </c>
      <c r="E131" s="3383" t="s">
        <v>2292</v>
      </c>
      <c r="F131" s="3383">
        <v>174</v>
      </c>
      <c r="G131" s="3383" t="s">
        <v>1375</v>
      </c>
      <c r="H131" s="3383">
        <f ca="1">IF(ISNUMBER('VVP2'!H381),'VVP2'!H381,"n.a.")</f>
        <v>69.174999999999997</v>
      </c>
      <c r="I131" s="3383">
        <f ca="1">IF(ISNUMBER('VVP2'!I381),'VVP2'!I381,"n.a.")</f>
        <v>72.355000000000004</v>
      </c>
      <c r="J131" s="3383">
        <f ca="1">IF(ISNUMBER('VVP2'!J381),'VVP2'!J381,"n.a.")</f>
        <v>74.52000000000001</v>
      </c>
      <c r="K131" s="3383">
        <f ca="1">IF(ISNUMBER('VVP2'!K381),'VVP2'!K381,"n.a.")</f>
        <v>74.031666666666666</v>
      </c>
      <c r="L131" s="3383">
        <f ca="1">IF(ISNUMBER('VVP2'!L381),'VVP2'!L381,"n.a.")</f>
        <v>74.889166666666668</v>
      </c>
      <c r="M131" s="3383">
        <f ca="1">IF(ISNUMBER('VVP2'!M381),'VVP2'!M381,"n.a.")</f>
        <v>75.63666666666667</v>
      </c>
      <c r="N131" s="3383">
        <f ca="1">IF(ISNUMBER('VVP2'!N381),'VVP2'!N381,"n.a.")</f>
        <v>77.180000000000007</v>
      </c>
      <c r="O131" s="3383">
        <f ca="1">IF(ISNUMBER('VVP2'!O381),'VVP2'!O381,"n.a.")</f>
        <v>78.205833333333331</v>
      </c>
      <c r="P131" s="3383">
        <f ca="1">IF(ISNUMBER('VVP2'!P381),'VVP2'!P381,"n.a.")</f>
        <v>78.449166666666656</v>
      </c>
      <c r="Q131" s="3383">
        <f ca="1">IF(ISNUMBER('VVP2'!Q381),'VVP2'!Q381,"n.a.")</f>
        <v>77.870833333333337</v>
      </c>
      <c r="R131" s="3383">
        <f ca="1">IF(ISNUMBER('VVP2'!R381),'VVP2'!R381,"n.a.")</f>
        <v>77.986666666666665</v>
      </c>
      <c r="S131" s="3383">
        <f ca="1">IF(ISNUMBER('VVP2'!S381),'VVP2'!S381,"n.a.")</f>
        <v>80.88000000000001</v>
      </c>
      <c r="T131" s="3383">
        <f ca="1">IF(ISNUMBER('VVP2'!T381),'VVP2'!T381,"n.a.")</f>
        <v>87.026666666666657</v>
      </c>
      <c r="U131" s="3383">
        <f ca="1">IF(ISNUMBER('VVP2'!U381),'VVP2'!U381,"n.a.")</f>
        <v>89.38666666666667</v>
      </c>
      <c r="V131" s="3383">
        <f ca="1">IF(ISNUMBER('VVP2'!V381),'VVP2'!V381,"n.a.")</f>
        <v>90.98833333333333</v>
      </c>
      <c r="W131" s="3383">
        <f ca="1">IF(ISNUMBER('VVP2'!W381),'VVP2'!W381,"n.a.")</f>
        <v>93.465833333333322</v>
      </c>
      <c r="X131" s="3383">
        <f ca="1">IF(ISNUMBER('VVP2'!X381),'VVP2'!X381,"n.a.")</f>
        <v>95.688333333333318</v>
      </c>
      <c r="Y131" s="3383">
        <f ca="1">IF(ISNUMBER('VVP2'!Y381),'VVP2'!Y381,"n.a.")</f>
        <v>96.952500000000001</v>
      </c>
      <c r="Z131" s="3383">
        <f ca="1">IF(ISNUMBER('VVP2'!Z381),'VVP2'!Z381,"n.a.")</f>
        <v>97.960833333333341</v>
      </c>
      <c r="AA131" s="3383">
        <f ca="1">IF(ISNUMBER('VVP2'!AA381),'VVP2'!AA381,"n.a.")</f>
        <v>100.00083333333333</v>
      </c>
      <c r="AB131" s="3383">
        <f ca="1">IF(ISNUMBER('VVP2'!AB381),'VVP2'!AB381,"n.a.")</f>
        <v>100.50833333333333</v>
      </c>
      <c r="AC131" s="3383">
        <f ca="1">IF(ISNUMBER('VVP2'!AC381),'VVP2'!AC381,"n.a.")</f>
        <v>102.59416666666668</v>
      </c>
      <c r="AD131" s="3383">
        <f ca="1">IF(ISNUMBER('VVP2'!AD381),'VVP2'!AD381,"n.a.")</f>
        <v>104.54054208333335</v>
      </c>
      <c r="AE131" s="3383">
        <f ca="1">IF(ISNUMBER('VVP2'!AE381),'VVP2'!AE381,"n.a.")</f>
        <v>106.72873700512501</v>
      </c>
      <c r="AF131" s="3383">
        <f ca="1">IF(ISNUMBER('VVP2'!AF381),'VVP2'!AF381,"n.a.")</f>
        <v>108.945527655227</v>
      </c>
      <c r="AG131"/>
      <c r="AH131"/>
      <c r="AI131"/>
      <c r="AJ131">
        <v>121</v>
      </c>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row>
    <row r="132" spans="1:159">
      <c r="A132" s="3383" t="str">
        <f t="shared" si="4"/>
        <v>\\DG ECFIN\Forecast\Country databases\Desk transfer databases\SE</v>
      </c>
      <c r="B132" s="3383" t="str">
        <f t="shared" si="5"/>
        <v>SE</v>
      </c>
      <c r="C132" s="3383" t="s">
        <v>2074</v>
      </c>
      <c r="D132" s="3383" t="s">
        <v>2201</v>
      </c>
      <c r="E132" s="3383" t="s">
        <v>2292</v>
      </c>
      <c r="F132" s="3383">
        <v>175</v>
      </c>
      <c r="G132" s="3383" t="s">
        <v>1376</v>
      </c>
      <c r="H132" s="3383">
        <f ca="1">IF(ISNUMBER('VVP2'!H380),'VVP2'!H380,"n.a.")</f>
        <v>70.194166666666675</v>
      </c>
      <c r="I132" s="3383">
        <f ca="1">IF(ISNUMBER('VVP2'!I380),'VVP2'!I380,"n.a.")</f>
        <v>69.862499999999997</v>
      </c>
      <c r="J132" s="3383">
        <f ca="1">IF(ISNUMBER('VVP2'!J380),'VVP2'!J380,"n.a.")</f>
        <v>70.775000000000006</v>
      </c>
      <c r="K132" s="3383">
        <f ca="1">IF(ISNUMBER('VVP2'!K380),'VVP2'!K380,"n.a.")</f>
        <v>72.212499999999991</v>
      </c>
      <c r="L132" s="3383">
        <f ca="1">IF(ISNUMBER('VVP2'!L380),'VVP2'!L380,"n.a.")</f>
        <v>72.081666666666663</v>
      </c>
      <c r="M132" s="3383">
        <f ca="1">IF(ISNUMBER('VVP2'!M380),'VVP2'!M380,"n.a.")</f>
        <v>76.963333333333338</v>
      </c>
      <c r="N132" s="3383">
        <f ca="1">IF(ISNUMBER('VVP2'!N380),'VVP2'!N380,"n.a.")</f>
        <v>80.45416666666668</v>
      </c>
      <c r="O132" s="3383">
        <f ca="1">IF(ISNUMBER('VVP2'!O380),'VVP2'!O380,"n.a.")</f>
        <v>80.272500000000008</v>
      </c>
      <c r="P132" s="3383">
        <f ca="1">IF(ISNUMBER('VVP2'!P380),'VVP2'!P380,"n.a.")</f>
        <v>79.814166666666665</v>
      </c>
      <c r="Q132" s="3383">
        <f ca="1">IF(ISNUMBER('VVP2'!Q380),'VVP2'!Q380,"n.a.")</f>
        <v>79.977500000000006</v>
      </c>
      <c r="R132" s="3383">
        <f ca="1">IF(ISNUMBER('VVP2'!R380),'VVP2'!R380,"n.a.")</f>
        <v>82.036666666666662</v>
      </c>
      <c r="S132" s="3383">
        <f ca="1">IF(ISNUMBER('VVP2'!S380),'VVP2'!S380,"n.a.")</f>
        <v>83.83</v>
      </c>
      <c r="T132" s="3383">
        <f ca="1">IF(ISNUMBER('VVP2'!T380),'VVP2'!T380,"n.a.")</f>
        <v>89.254999999999995</v>
      </c>
      <c r="U132" s="3383">
        <f ca="1">IF(ISNUMBER('VVP2'!U380),'VVP2'!U380,"n.a.")</f>
        <v>92.158333333333331</v>
      </c>
      <c r="V132" s="3383">
        <f ca="1">IF(ISNUMBER('VVP2'!V380),'VVP2'!V380,"n.a.")</f>
        <v>92.986666666666665</v>
      </c>
      <c r="W132" s="3383">
        <f ca="1">IF(ISNUMBER('VVP2'!W380),'VVP2'!W380,"n.a.")</f>
        <v>91.350000000000009</v>
      </c>
      <c r="X132" s="3383">
        <f ca="1">IF(ISNUMBER('VVP2'!X380),'VVP2'!X380,"n.a.")</f>
        <v>92.840833333333336</v>
      </c>
      <c r="Y132" s="3383">
        <f ca="1">IF(ISNUMBER('VVP2'!Y380),'VVP2'!Y380,"n.a.")</f>
        <v>96.08</v>
      </c>
      <c r="Z132" s="3383">
        <f ca="1">IF(ISNUMBER('VVP2'!Z380),'VVP2'!Z380,"n.a.")</f>
        <v>96.066666666666663</v>
      </c>
      <c r="AA132" s="3383">
        <f ca="1">IF(ISNUMBER('VVP2'!AA380),'VVP2'!AA380,"n.a.")</f>
        <v>100</v>
      </c>
      <c r="AB132" s="3383">
        <f ca="1">IF(ISNUMBER('VVP2'!AB380),'VVP2'!AB380,"n.a.")</f>
        <v>102.59333333333335</v>
      </c>
      <c r="AC132" s="3383">
        <f ca="1">IF(ISNUMBER('VVP2'!AC380),'VVP2'!AC380,"n.a.")</f>
        <v>104.90083333333334</v>
      </c>
      <c r="AD132" s="3383">
        <f ca="1">IF(ISNUMBER('VVP2'!AD380),'VVP2'!AD380,"n.a.")</f>
        <v>108.49906666666666</v>
      </c>
      <c r="AE132" s="3383">
        <f ca="1">IF(ISNUMBER('VVP2'!AE380),'VVP2'!AE380,"n.a.")</f>
        <v>111.61266546666666</v>
      </c>
      <c r="AF132" s="3383">
        <f ca="1">IF(ISNUMBER('VVP2'!AF380),'VVP2'!AF380,"n.a.")</f>
        <v>113.68185169223332</v>
      </c>
      <c r="AG132"/>
      <c r="AH132"/>
      <c r="AI132"/>
      <c r="AJ132">
        <v>122</v>
      </c>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row>
    <row r="133" spans="1:159">
      <c r="A133" s="3383" t="str">
        <f t="shared" si="4"/>
        <v>\\DG ECFIN\Forecast\Country databases\Desk transfer databases\SE</v>
      </c>
      <c r="B133" s="3383" t="str">
        <f t="shared" si="5"/>
        <v>SE</v>
      </c>
      <c r="C133" s="3383" t="s">
        <v>2074</v>
      </c>
      <c r="D133" s="3383" t="s">
        <v>2202</v>
      </c>
      <c r="E133" s="3383" t="s">
        <v>2292</v>
      </c>
      <c r="F133" s="3383">
        <v>176</v>
      </c>
      <c r="G133" s="3383" t="s">
        <v>1377</v>
      </c>
      <c r="H133" s="3383">
        <f ca="1">IF(ISNUMBER('VVP2'!H382),'VVP2'!H382,"n.a.")</f>
        <v>69.989166666666662</v>
      </c>
      <c r="I133" s="3383">
        <f ca="1">IF(ISNUMBER('VVP2'!I382),'VVP2'!I382,"n.a.")</f>
        <v>71.715833333333336</v>
      </c>
      <c r="J133" s="3383">
        <f ca="1">IF(ISNUMBER('VVP2'!J382),'VVP2'!J382,"n.a.")</f>
        <v>73.039999999999992</v>
      </c>
      <c r="K133" s="3383">
        <f ca="1">IF(ISNUMBER('VVP2'!K382),'VVP2'!K382,"n.a.")</f>
        <v>74.34</v>
      </c>
      <c r="L133" s="3383">
        <f ca="1">IF(ISNUMBER('VVP2'!L382),'VVP2'!L382,"n.a.")</f>
        <v>75.092500000000001</v>
      </c>
      <c r="M133" s="3383">
        <f ca="1">IF(ISNUMBER('VVP2'!M382),'VVP2'!M382,"n.a.")</f>
        <v>77.390833333333333</v>
      </c>
      <c r="N133" s="3383">
        <f ca="1">IF(ISNUMBER('VVP2'!N382),'VVP2'!N382,"n.a.")</f>
        <v>79.154166666666683</v>
      </c>
      <c r="O133" s="3383">
        <f ca="1">IF(ISNUMBER('VVP2'!O382),'VVP2'!O382,"n.a.")</f>
        <v>81.084166666666675</v>
      </c>
      <c r="P133" s="3383">
        <f ca="1">IF(ISNUMBER('VVP2'!P382),'VVP2'!P382,"n.a.")</f>
        <v>83.085833333333326</v>
      </c>
      <c r="Q133" s="3383">
        <f ca="1">IF(ISNUMBER('VVP2'!Q382),'VVP2'!Q382,"n.a.")</f>
        <v>84.446666666666673</v>
      </c>
      <c r="R133" s="3383">
        <f ca="1">IF(ISNUMBER('VVP2'!R382),'VVP2'!R382,"n.a.")</f>
        <v>85.575833333333335</v>
      </c>
      <c r="S133" s="3383">
        <f ca="1">IF(ISNUMBER('VVP2'!S382),'VVP2'!S382,"n.a.")</f>
        <v>87.399999999999991</v>
      </c>
      <c r="T133" s="3383">
        <f ca="1">IF(ISNUMBER('VVP2'!T382),'VVP2'!T382,"n.a.")</f>
        <v>89.32</v>
      </c>
      <c r="U133" s="3383">
        <f ca="1">IF(ISNUMBER('VVP2'!U382),'VVP2'!U382,"n.a.")</f>
        <v>91.681666666666658</v>
      </c>
      <c r="V133" s="3383">
        <f ca="1">IF(ISNUMBER('VVP2'!V382),'VVP2'!V382,"n.a.")</f>
        <v>93.350833333333327</v>
      </c>
      <c r="W133" s="3383">
        <f ca="1">IF(ISNUMBER('VVP2'!W382),'VVP2'!W382,"n.a.")</f>
        <v>94.94083333333333</v>
      </c>
      <c r="X133" s="3383">
        <f ca="1">IF(ISNUMBER('VVP2'!X382),'VVP2'!X382,"n.a.")</f>
        <v>96.679999999999993</v>
      </c>
      <c r="Y133" s="3383">
        <f ca="1">IF(ISNUMBER('VVP2'!Y382),'VVP2'!Y382,"n.a.")</f>
        <v>97.75833333333334</v>
      </c>
      <c r="Z133" s="3383">
        <f ca="1">IF(ISNUMBER('VVP2'!Z382),'VVP2'!Z382,"n.a.")</f>
        <v>98.685833333333335</v>
      </c>
      <c r="AA133" s="3383">
        <f ca="1">IF(ISNUMBER('VVP2'!AA382),'VVP2'!AA382,"n.a.")</f>
        <v>99.999166666666667</v>
      </c>
      <c r="AB133" s="3383">
        <f ca="1">IF(ISNUMBER('VVP2'!AB382),'VVP2'!AB382,"n.a.")</f>
        <v>101.25000000000001</v>
      </c>
      <c r="AC133" s="3383">
        <f ca="1">IF(ISNUMBER('VVP2'!AC382),'VVP2'!AC382,"n.a.")</f>
        <v>103.51416666666667</v>
      </c>
      <c r="AD133" s="3383">
        <f ca="1">IF(ISNUMBER('VVP2'!AD382),'VVP2'!AD382,"n.a.")</f>
        <v>105.25701099999999</v>
      </c>
      <c r="AE133" s="3383">
        <f ca="1">IF(ISNUMBER('VVP2'!AE382),'VVP2'!AE382,"n.a.")</f>
        <v>107.4182743563</v>
      </c>
      <c r="AF133" s="3383">
        <f ca="1">IF(ISNUMBER('VVP2'!AF382),'VVP2'!AF382,"n.a.")</f>
        <v>110.16901297172068</v>
      </c>
      <c r="AG133"/>
      <c r="AH133"/>
      <c r="AI133"/>
      <c r="AJ133">
        <v>123</v>
      </c>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row>
    <row r="134" spans="1:159" s="3269" customFormat="1">
      <c r="A134" s="3383" t="str">
        <f t="shared" si="4"/>
        <v>\\DG ECFIN\Forecast\Country databases\Desk transfer databases\SE</v>
      </c>
      <c r="B134" s="3383" t="str">
        <f t="shared" si="5"/>
        <v>SE</v>
      </c>
      <c r="C134" s="3383" t="s">
        <v>2074</v>
      </c>
      <c r="D134" s="3383" t="s">
        <v>2203</v>
      </c>
      <c r="E134" s="3383" t="s">
        <v>2292</v>
      </c>
      <c r="F134" s="3383">
        <v>177</v>
      </c>
      <c r="G134" s="3383" t="s">
        <v>1096</v>
      </c>
      <c r="H134" s="3383">
        <f ca="1">IF(ISNUMBER('VVP2'!H384),'VVP2'!H384,"n.a.")</f>
        <v>79.961666666666673</v>
      </c>
      <c r="I134" s="3383">
        <f ca="1">IF(ISNUMBER('VVP2'!I384),'VVP2'!I384,"n.a.")</f>
        <v>81.211666666666673</v>
      </c>
      <c r="J134" s="3383">
        <f ca="1">IF(ISNUMBER('VVP2'!J384),'VVP2'!J384,"n.a.")</f>
        <v>82.127499999999998</v>
      </c>
      <c r="K134" s="3383">
        <f ca="1">IF(ISNUMBER('VVP2'!K384),'VVP2'!K384,"n.a.")</f>
        <v>82.569166666666675</v>
      </c>
      <c r="L134" s="3383">
        <f ca="1">IF(ISNUMBER('VVP2'!L384),'VVP2'!L384,"n.a.")</f>
        <v>83.152500000000003</v>
      </c>
      <c r="M134" s="3383">
        <f ca="1">IF(ISNUMBER('VVP2'!M384),'VVP2'!M384,"n.a.")</f>
        <v>84.714166666666671</v>
      </c>
      <c r="N134" s="3383">
        <f ca="1">IF(ISNUMBER('VVP2'!N384),'VVP2'!N384,"n.a.")</f>
        <v>86.19083333333333</v>
      </c>
      <c r="O134" s="3383">
        <f ca="1">IF(ISNUMBER('VVP2'!O384),'VVP2'!O384,"n.a.")</f>
        <v>87.338333333333338</v>
      </c>
      <c r="P134" s="3383">
        <f ca="1">IF(ISNUMBER('VVP2'!P384),'VVP2'!P384,"n.a.")</f>
        <v>88.036666666666676</v>
      </c>
      <c r="Q134" s="3383">
        <f ca="1">IF(ISNUMBER('VVP2'!Q384),'VVP2'!Q384,"n.a.")</f>
        <v>88.214999999999989</v>
      </c>
      <c r="R134" s="3383">
        <f ca="1">IF(ISNUMBER('VVP2'!R384),'VVP2'!R384,"n.a.")</f>
        <v>88.6875</v>
      </c>
      <c r="S134" s="3383">
        <f ca="1">IF(ISNUMBER('VVP2'!S384),'VVP2'!S384,"n.a.")</f>
        <v>90.305833333333339</v>
      </c>
      <c r="T134" s="3383">
        <f ca="1">IF(ISNUMBER('VVP2'!T384),'VVP2'!T384,"n.a.")</f>
        <v>92.342500000000001</v>
      </c>
      <c r="U134" s="3383">
        <f ca="1">IF(ISNUMBER('VVP2'!U384),'VVP2'!U384,"n.a.")</f>
        <v>94.422499999999999</v>
      </c>
      <c r="V134" s="3383">
        <f ca="1">IF(ISNUMBER('VVP2'!V384),'VVP2'!V384,"n.a.")</f>
        <v>95.851666666666688</v>
      </c>
      <c r="W134" s="3383">
        <f ca="1">IF(ISNUMBER('VVP2'!W384),'VVP2'!W384,"n.a.")</f>
        <v>96.940833333333345</v>
      </c>
      <c r="X134" s="3383">
        <f ca="1">IF(ISNUMBER('VVP2'!X384),'VVP2'!X384,"n.a.")</f>
        <v>97.865000000000009</v>
      </c>
      <c r="Y134" s="3383">
        <f ca="1">IF(ISNUMBER('VVP2'!Y384),'VVP2'!Y384,"n.a.")</f>
        <v>98.360833333333332</v>
      </c>
      <c r="Z134" s="3383">
        <f ca="1">IF(ISNUMBER('VVP2'!Z384),'VVP2'!Z384,"n.a.")</f>
        <v>98.878333333333345</v>
      </c>
      <c r="AA134" s="3383">
        <f ca="1">IF(ISNUMBER('VVP2'!AA384),'VVP2'!AA384,"n.a.")</f>
        <v>99.998333333333321</v>
      </c>
      <c r="AB134" s="3383">
        <f ca="1">IF(ISNUMBER('VVP2'!AB384),'VVP2'!AB384,"n.a.")</f>
        <v>101.06083333333333</v>
      </c>
      <c r="AC134" s="3383">
        <f ca="1">IF(ISNUMBER('VVP2'!AC384),'VVP2'!AC384,"n.a.")</f>
        <v>102.55250000000001</v>
      </c>
      <c r="AD134" s="3383">
        <f ca="1">IF(ISNUMBER('VVP2'!AD384),'VVP2'!AD384,"n.a.")</f>
        <v>103.77868574656189</v>
      </c>
      <c r="AE134" s="3383">
        <f ca="1">IF(ISNUMBER('VVP2'!AE384),'VVP2'!AE384,"n.a.")</f>
        <v>105.25470141515319</v>
      </c>
      <c r="AF134" s="3383">
        <f ca="1">IF(ISNUMBER('VVP2'!AF384),'VVP2'!AF384,"n.a.")</f>
        <v>106.98338858190908</v>
      </c>
      <c r="AG134" s="1"/>
      <c r="AH134" s="1"/>
      <c r="AI134" s="1"/>
      <c r="AJ134">
        <v>124</v>
      </c>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c r="EG134" s="1"/>
      <c r="EH134" s="1"/>
      <c r="EI134" s="1"/>
      <c r="EJ134" s="1"/>
      <c r="EK134" s="1"/>
      <c r="EL134" s="1"/>
      <c r="EM134" s="1"/>
      <c r="EN134" s="1"/>
      <c r="EO134" s="1"/>
      <c r="EP134" s="1"/>
      <c r="EQ134" s="1"/>
      <c r="ER134" s="1"/>
      <c r="ES134" s="1"/>
      <c r="ET134" s="1"/>
      <c r="EU134" s="1"/>
      <c r="EV134" s="1"/>
      <c r="EW134" s="1"/>
      <c r="EX134" s="1"/>
      <c r="EY134" s="1"/>
      <c r="EZ134" s="1"/>
      <c r="FA134" s="1"/>
      <c r="FB134" s="1"/>
      <c r="FC134" s="1"/>
    </row>
    <row r="135" spans="1:159" s="3270" customFormat="1">
      <c r="A135" s="3383" t="str">
        <f t="shared" si="4"/>
        <v>\\DG ECFIN\Forecast\Country databases\Desk transfer databases\SE</v>
      </c>
      <c r="B135" s="3383" t="str">
        <f t="shared" si="5"/>
        <v>SE</v>
      </c>
      <c r="C135" s="3383" t="s">
        <v>2074</v>
      </c>
      <c r="D135" s="3383" t="s">
        <v>2293</v>
      </c>
      <c r="E135" s="3383" t="s">
        <v>2076</v>
      </c>
      <c r="F135" s="3383" t="s">
        <v>2294</v>
      </c>
      <c r="G135" s="3383" t="s">
        <v>2295</v>
      </c>
      <c r="H135" s="3611" t="s">
        <v>2107</v>
      </c>
      <c r="I135" s="3611" t="s">
        <v>2107</v>
      </c>
      <c r="J135" s="3611" t="s">
        <v>2107</v>
      </c>
      <c r="K135" s="3611" t="s">
        <v>2107</v>
      </c>
      <c r="L135" s="3611" t="s">
        <v>2107</v>
      </c>
      <c r="M135" s="3611" t="s">
        <v>2107</v>
      </c>
      <c r="N135" s="3611" t="s">
        <v>2107</v>
      </c>
      <c r="O135" s="3611" t="s">
        <v>2107</v>
      </c>
      <c r="P135" s="3611">
        <v>-22.778995033550775</v>
      </c>
      <c r="Q135" s="3611">
        <v>107.82656124868988</v>
      </c>
      <c r="R135" s="3611">
        <v>41.390850280120034</v>
      </c>
      <c r="S135" s="3611">
        <v>177.30842980129015</v>
      </c>
      <c r="T135" s="3611">
        <v>-144.09983764345083</v>
      </c>
      <c r="U135" s="3611">
        <v>424.9309909974304</v>
      </c>
      <c r="V135" s="3611">
        <v>164.52432235389017</v>
      </c>
      <c r="W135" s="3611">
        <v>165.85854852249054</v>
      </c>
      <c r="X135" s="3611">
        <v>151.91128694370971</v>
      </c>
      <c r="Y135" s="3611">
        <v>233.77943784971978</v>
      </c>
      <c r="Z135" s="3611">
        <v>54.85598382608034</v>
      </c>
      <c r="AA135" s="3611">
        <v>130.69664645634941</v>
      </c>
      <c r="AB135" s="3611">
        <v>16.045296102530557</v>
      </c>
      <c r="AC135" s="3611">
        <v>-173.5952636159202</v>
      </c>
      <c r="AD135" s="3611">
        <v>-221.12291360207041</v>
      </c>
      <c r="AE135" s="3611">
        <v>-313.54462190572849</v>
      </c>
      <c r="AF135" s="3611">
        <v>-345.86027283239537</v>
      </c>
      <c r="AG135" s="1"/>
      <c r="AH135" s="1"/>
      <c r="AI135" s="1"/>
      <c r="AJ135">
        <v>125</v>
      </c>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c r="EG135" s="1"/>
      <c r="EH135" s="1"/>
      <c r="EI135" s="1"/>
      <c r="EJ135" s="1"/>
      <c r="EK135" s="1"/>
      <c r="EL135" s="1"/>
      <c r="EM135" s="1"/>
      <c r="EN135" s="1"/>
      <c r="EO135" s="1"/>
      <c r="EP135" s="1"/>
      <c r="EQ135" s="1"/>
      <c r="ER135" s="1"/>
      <c r="ES135" s="1"/>
      <c r="ET135" s="1"/>
      <c r="EU135" s="1"/>
      <c r="EV135" s="1"/>
      <c r="EW135" s="1"/>
      <c r="EX135" s="1"/>
      <c r="EY135" s="1"/>
      <c r="EZ135" s="1"/>
      <c r="FA135" s="1"/>
      <c r="FB135" s="1"/>
      <c r="FC135" s="1"/>
    </row>
    <row r="136" spans="1:159">
      <c r="A136" s="3383" t="str">
        <f t="shared" si="4"/>
        <v>\\DG ECFIN\Forecast\Country databases\Desk transfer databases\SE</v>
      </c>
      <c r="B136" s="3383" t="str">
        <f t="shared" si="5"/>
        <v>SE</v>
      </c>
      <c r="C136" s="3383" t="s">
        <v>2074</v>
      </c>
      <c r="D136" s="3383" t="s">
        <v>2296</v>
      </c>
      <c r="E136" s="3383" t="s">
        <v>2076</v>
      </c>
      <c r="F136" s="3383" t="s">
        <v>2297</v>
      </c>
      <c r="G136" s="3383" t="s">
        <v>2298</v>
      </c>
      <c r="H136" s="3611" t="s">
        <v>2107</v>
      </c>
      <c r="I136" s="3611" t="s">
        <v>2107</v>
      </c>
      <c r="J136" s="3611" t="s">
        <v>2107</v>
      </c>
      <c r="K136" s="3611" t="s">
        <v>2107</v>
      </c>
      <c r="L136" s="3611" t="s">
        <v>2107</v>
      </c>
      <c r="M136" s="3611" t="s">
        <v>2107</v>
      </c>
      <c r="N136" s="3611" t="s">
        <v>2107</v>
      </c>
      <c r="O136" s="3611" t="s">
        <v>2107</v>
      </c>
      <c r="P136" s="3611" t="s">
        <v>2107</v>
      </c>
      <c r="Q136" s="3611">
        <v>53.236910699999996</v>
      </c>
      <c r="R136" s="3611">
        <v>3.5699386999999954</v>
      </c>
      <c r="S136" s="3611">
        <v>-0.50640900000000144</v>
      </c>
      <c r="T136" s="3611">
        <v>-35.70889470000003</v>
      </c>
      <c r="U136" s="3611">
        <v>14.125964399999997</v>
      </c>
      <c r="V136" s="3611">
        <v>-19.275662099999995</v>
      </c>
      <c r="W136" s="3611">
        <v>5.7779950000000024</v>
      </c>
      <c r="X136" s="3611">
        <v>-0.64690499999999151</v>
      </c>
      <c r="Y136" s="3611">
        <v>-128.4666201</v>
      </c>
      <c r="Z136" s="3611">
        <v>-66.4891109</v>
      </c>
      <c r="AA136" s="3611">
        <v>118.51595279999999</v>
      </c>
      <c r="AB136" s="3611">
        <v>83.951923600000029</v>
      </c>
      <c r="AC136" s="3611">
        <v>106.11577490000001</v>
      </c>
      <c r="AD136" s="3611">
        <v>51.481667008201072</v>
      </c>
      <c r="AE136" s="3611">
        <v>28.499866814481905</v>
      </c>
      <c r="AF136" s="3611">
        <v>25.883983992413896</v>
      </c>
      <c r="AG136"/>
      <c r="AH136"/>
      <c r="AI136"/>
      <c r="AJ136">
        <v>126</v>
      </c>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row>
    <row r="137" spans="1:159">
      <c r="A137" s="3383" t="str">
        <f t="shared" si="4"/>
        <v>\\DG ECFIN\Forecast\Country databases\Desk transfer databases\SE</v>
      </c>
      <c r="B137" s="3383" t="str">
        <f t="shared" si="5"/>
        <v>SE</v>
      </c>
      <c r="C137" s="3383" t="s">
        <v>2074</v>
      </c>
      <c r="D137" s="3383" t="s">
        <v>2299</v>
      </c>
      <c r="E137" s="3383" t="s">
        <v>2076</v>
      </c>
      <c r="F137" s="3383" t="s">
        <v>2300</v>
      </c>
      <c r="G137" s="3383" t="s">
        <v>2301</v>
      </c>
      <c r="H137" s="3611" t="s">
        <v>2107</v>
      </c>
      <c r="I137" s="3611" t="s">
        <v>2107</v>
      </c>
      <c r="J137" s="3611" t="s">
        <v>2107</v>
      </c>
      <c r="K137" s="3611" t="s">
        <v>2107</v>
      </c>
      <c r="L137" s="3611" t="s">
        <v>2107</v>
      </c>
      <c r="M137" s="3611" t="s">
        <v>2107</v>
      </c>
      <c r="N137" s="3611" t="s">
        <v>2107</v>
      </c>
      <c r="O137" s="3611" t="s">
        <v>2107</v>
      </c>
      <c r="P137" s="3611" t="s">
        <v>2107</v>
      </c>
      <c r="Q137" s="3611">
        <v>286.12932779999994</v>
      </c>
      <c r="R137" s="3611">
        <v>353.04164389999994</v>
      </c>
      <c r="S137" s="3611">
        <v>476.30832440000006</v>
      </c>
      <c r="T137" s="3611">
        <v>246.10475150000002</v>
      </c>
      <c r="U137" s="3611">
        <v>157.66999740000003</v>
      </c>
      <c r="V137" s="3611">
        <v>336.56971219999997</v>
      </c>
      <c r="W137" s="3611">
        <v>242.64072099999998</v>
      </c>
      <c r="X137" s="3611">
        <v>213.2920373</v>
      </c>
      <c r="Y137" s="3611">
        <v>161.88050319999999</v>
      </c>
      <c r="Z137" s="3611">
        <v>193.26064040000003</v>
      </c>
      <c r="AA137" s="3611">
        <v>177.74099210000003</v>
      </c>
      <c r="AB137" s="3611">
        <v>362.42933199999999</v>
      </c>
      <c r="AC137" s="3611">
        <v>420.39120309999998</v>
      </c>
      <c r="AD137" s="3611">
        <v>463.61977938527554</v>
      </c>
      <c r="AE137" s="3611">
        <v>503.49815058094811</v>
      </c>
      <c r="AF137" s="3611">
        <v>544.79027550087756</v>
      </c>
      <c r="AG137"/>
      <c r="AH137"/>
      <c r="AI137"/>
      <c r="AJ137">
        <v>127</v>
      </c>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row>
    <row r="138" spans="1:159">
      <c r="A138" s="3383" t="str">
        <f t="shared" si="4"/>
        <v>\\DG ECFIN\Forecast\Country databases\Desk transfer databases\SE</v>
      </c>
      <c r="B138" s="3383" t="str">
        <f t="shared" si="5"/>
        <v>SE</v>
      </c>
      <c r="C138" s="3383" t="s">
        <v>2074</v>
      </c>
      <c r="D138" s="3383" t="s">
        <v>2302</v>
      </c>
      <c r="E138" s="3383" t="s">
        <v>2076</v>
      </c>
      <c r="F138" s="3383" t="s">
        <v>2303</v>
      </c>
      <c r="G138" s="3383" t="s">
        <v>2304</v>
      </c>
      <c r="H138" s="3611" t="s">
        <v>2107</v>
      </c>
      <c r="I138" s="3611" t="s">
        <v>2107</v>
      </c>
      <c r="J138" s="3611" t="s">
        <v>2107</v>
      </c>
      <c r="K138" s="3611" t="s">
        <v>2107</v>
      </c>
      <c r="L138" s="3611" t="s">
        <v>2107</v>
      </c>
      <c r="M138" s="3611" t="s">
        <v>2107</v>
      </c>
      <c r="N138" s="3611" t="s">
        <v>2107</v>
      </c>
      <c r="O138" s="3611" t="s">
        <v>2107</v>
      </c>
      <c r="P138" s="3611" t="s">
        <v>2107</v>
      </c>
      <c r="Q138" s="3611">
        <v>146.52170870000006</v>
      </c>
      <c r="R138" s="3611">
        <v>156.87824389999989</v>
      </c>
      <c r="S138" s="3611">
        <v>176.2123370999999</v>
      </c>
      <c r="T138" s="3611">
        <v>168.78981250000001</v>
      </c>
      <c r="U138" s="3611">
        <v>42.489915999999965</v>
      </c>
      <c r="V138" s="3611">
        <v>164.6075460000001</v>
      </c>
      <c r="W138" s="3611">
        <v>129.22915000000037</v>
      </c>
      <c r="X138" s="3611">
        <v>132.22515399999986</v>
      </c>
      <c r="Y138" s="3611">
        <v>124.72245390000008</v>
      </c>
      <c r="Z138" s="3611">
        <v>145.1418720999998</v>
      </c>
      <c r="AA138" s="3611">
        <v>163.89199500000012</v>
      </c>
      <c r="AB138" s="3611">
        <v>253.86507049999946</v>
      </c>
      <c r="AC138" s="3611">
        <v>277.2133629000005</v>
      </c>
      <c r="AD138" s="3611">
        <v>293.97853279140622</v>
      </c>
      <c r="AE138" s="3611">
        <v>218.45339548970153</v>
      </c>
      <c r="AF138" s="3611">
        <v>224.81398666089598</v>
      </c>
      <c r="AG138"/>
      <c r="AH138"/>
      <c r="AI138"/>
      <c r="AJ138">
        <v>128</v>
      </c>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row>
    <row r="139" spans="1:159">
      <c r="A139" s="3383" t="str">
        <f t="shared" si="4"/>
        <v>\\DG ECFIN\Forecast\Country databases\Desk transfer databases\SE</v>
      </c>
      <c r="B139" s="3383" t="str">
        <f t="shared" si="5"/>
        <v>SE</v>
      </c>
      <c r="C139" s="3383" t="s">
        <v>2074</v>
      </c>
      <c r="D139" s="3383" t="s">
        <v>2305</v>
      </c>
      <c r="E139" s="3383" t="s">
        <v>2076</v>
      </c>
      <c r="F139" s="3383" t="s">
        <v>2306</v>
      </c>
      <c r="G139" s="3383" t="s">
        <v>2307</v>
      </c>
      <c r="H139" s="3611" t="s">
        <v>2107</v>
      </c>
      <c r="I139" s="3611" t="s">
        <v>2107</v>
      </c>
      <c r="J139" s="3611" t="s">
        <v>2107</v>
      </c>
      <c r="K139" s="3611" t="s">
        <v>2107</v>
      </c>
      <c r="L139" s="3611" t="s">
        <v>2107</v>
      </c>
      <c r="M139" s="3611" t="s">
        <v>2107</v>
      </c>
      <c r="N139" s="3611" t="s">
        <v>2107</v>
      </c>
      <c r="O139" s="3611" t="s">
        <v>2107</v>
      </c>
      <c r="P139" s="3611" t="s">
        <v>2107</v>
      </c>
      <c r="Q139" s="3611">
        <v>-300.67109104868979</v>
      </c>
      <c r="R139" s="3611">
        <v>-241.12418898012015</v>
      </c>
      <c r="S139" s="3611">
        <v>-476.89800810129032</v>
      </c>
      <c r="T139" s="3611">
        <v>102.49379334345085</v>
      </c>
      <c r="U139" s="3611">
        <v>-554.23703679743051</v>
      </c>
      <c r="V139" s="3611">
        <v>-317.21082645389009</v>
      </c>
      <c r="W139" s="3611">
        <v>-285.04811452248987</v>
      </c>
      <c r="X139" s="3611">
        <v>-232.33126524371011</v>
      </c>
      <c r="Y139" s="3611">
        <v>-142.47086704971969</v>
      </c>
      <c r="Z139" s="3611">
        <v>-36.485641226080553</v>
      </c>
      <c r="AA139" s="3611">
        <v>-263.0615963563493</v>
      </c>
      <c r="AB139" s="3611">
        <v>-208.56148120253107</v>
      </c>
      <c r="AC139" s="3611">
        <v>-75.698351484079339</v>
      </c>
      <c r="AD139" s="3611">
        <v>0</v>
      </c>
      <c r="AE139" s="3611">
        <v>0</v>
      </c>
      <c r="AF139" s="3611">
        <v>0</v>
      </c>
      <c r="AJ139">
        <v>129</v>
      </c>
    </row>
    <row r="140" spans="1:159">
      <c r="A140" s="3383" t="str">
        <f t="shared" ref="A140:A160" si="6">CONCATENATE($I$7,$J$7)</f>
        <v>\\DG ECFIN\Forecast\Country databases\Desk transfer databases\SE</v>
      </c>
      <c r="B140" s="3383" t="str">
        <f t="shared" ref="B140:B160" si="7">$J$7</f>
        <v>SE</v>
      </c>
      <c r="C140" s="3383" t="s">
        <v>2074</v>
      </c>
      <c r="D140" s="3383" t="s">
        <v>2310</v>
      </c>
      <c r="E140" s="3383" t="s">
        <v>2076</v>
      </c>
      <c r="F140" s="3383" t="s">
        <v>2311</v>
      </c>
      <c r="G140" s="3383" t="s">
        <v>2312</v>
      </c>
      <c r="H140" s="3383" t="s">
        <v>2107</v>
      </c>
      <c r="I140" s="3383" t="s">
        <v>2107</v>
      </c>
      <c r="J140" s="3383" t="s">
        <v>2107</v>
      </c>
      <c r="K140" s="3383" t="s">
        <v>2107</v>
      </c>
      <c r="L140" s="3383" t="s">
        <v>2107</v>
      </c>
      <c r="M140" s="3383" t="s">
        <v>2107</v>
      </c>
      <c r="N140" s="3383" t="s">
        <v>2107</v>
      </c>
      <c r="O140" s="3383" t="s">
        <v>2107</v>
      </c>
      <c r="P140" s="3383">
        <v>0</v>
      </c>
      <c r="Q140" s="3383">
        <v>0</v>
      </c>
      <c r="R140" s="3383">
        <v>0</v>
      </c>
      <c r="S140" s="3383">
        <v>0</v>
      </c>
      <c r="T140" s="3383">
        <v>0</v>
      </c>
      <c r="U140" s="3383">
        <v>12.144</v>
      </c>
      <c r="V140" s="3383">
        <v>-26.306999999999999</v>
      </c>
      <c r="W140" s="3383">
        <v>73.721000000000004</v>
      </c>
      <c r="X140" s="3383">
        <v>64.736000000000004</v>
      </c>
      <c r="Y140" s="3383">
        <v>89.037999999999997</v>
      </c>
      <c r="Z140" s="3383">
        <v>-50.475999999999999</v>
      </c>
      <c r="AA140" s="3383">
        <v>90.701999999999998</v>
      </c>
      <c r="AB140" s="3383">
        <v>-105.244</v>
      </c>
      <c r="AC140" s="3383">
        <v>-35.539499999999961</v>
      </c>
      <c r="AD140" s="3383">
        <v>-102.96333401640214</v>
      </c>
      <c r="AE140" s="3383">
        <v>-75.999644838618408</v>
      </c>
      <c r="AF140" s="3383">
        <v>-69.023957313103708</v>
      </c>
      <c r="AJ140">
        <v>130</v>
      </c>
    </row>
    <row r="141" spans="1:159">
      <c r="A141" s="3383" t="str">
        <f t="shared" si="6"/>
        <v>\\DG ECFIN\Forecast\Country databases\Desk transfer databases\SE</v>
      </c>
      <c r="B141" s="3383" t="str">
        <f t="shared" si="7"/>
        <v>SE</v>
      </c>
      <c r="C141" s="3383" t="s">
        <v>2074</v>
      </c>
      <c r="D141" s="3383" t="s">
        <v>2313</v>
      </c>
      <c r="E141" s="3383" t="s">
        <v>2076</v>
      </c>
      <c r="F141" s="3383" t="s">
        <v>2314</v>
      </c>
      <c r="G141" s="3383" t="s">
        <v>2315</v>
      </c>
      <c r="H141" s="3383" t="s">
        <v>2107</v>
      </c>
      <c r="I141" s="3383" t="s">
        <v>2107</v>
      </c>
      <c r="J141" s="3383" t="s">
        <v>2107</v>
      </c>
      <c r="K141" s="3383" t="s">
        <v>2107</v>
      </c>
      <c r="L141" s="3383" t="s">
        <v>2107</v>
      </c>
      <c r="M141" s="3383" t="s">
        <v>2107</v>
      </c>
      <c r="N141" s="3383" t="s">
        <v>2107</v>
      </c>
      <c r="O141" s="3383" t="s">
        <v>2107</v>
      </c>
      <c r="P141" s="3383">
        <v>0</v>
      </c>
      <c r="Q141" s="3383">
        <v>0</v>
      </c>
      <c r="R141" s="3383">
        <v>0</v>
      </c>
      <c r="S141" s="3383">
        <v>0</v>
      </c>
      <c r="T141" s="3383">
        <v>0</v>
      </c>
      <c r="U141" s="3383">
        <v>-42.895000000000003</v>
      </c>
      <c r="V141" s="3383">
        <v>-15.73</v>
      </c>
      <c r="W141" s="3383">
        <v>40.393000000000001</v>
      </c>
      <c r="X141" s="3383">
        <v>205.65100000000001</v>
      </c>
      <c r="Y141" s="3383">
        <v>-63.893000000000001</v>
      </c>
      <c r="Z141" s="3383">
        <v>-464.46600000000001</v>
      </c>
      <c r="AA141" s="3383">
        <v>-132.23099999999999</v>
      </c>
      <c r="AB141" s="3383">
        <v>-164.67599999999999</v>
      </c>
      <c r="AC141" s="3383">
        <v>-235.64984019999918</v>
      </c>
      <c r="AD141" s="3383">
        <v>-264.38491627090002</v>
      </c>
      <c r="AE141" s="3383">
        <v>-376.49048258153931</v>
      </c>
      <c r="AF141" s="3383">
        <v>-412.49071572388823</v>
      </c>
      <c r="AJ141">
        <v>131</v>
      </c>
    </row>
    <row r="142" spans="1:159">
      <c r="A142" s="3383" t="str">
        <f t="shared" si="6"/>
        <v>\\DG ECFIN\Forecast\Country databases\Desk transfer databases\SE</v>
      </c>
      <c r="B142" s="3383" t="str">
        <f t="shared" si="7"/>
        <v>SE</v>
      </c>
      <c r="C142" s="3383" t="s">
        <v>2074</v>
      </c>
      <c r="D142" s="3383" t="s">
        <v>2316</v>
      </c>
      <c r="E142" s="3383" t="s">
        <v>2076</v>
      </c>
      <c r="F142" s="3383" t="s">
        <v>2317</v>
      </c>
      <c r="G142" s="3383" t="s">
        <v>2318</v>
      </c>
      <c r="H142" s="3383" t="s">
        <v>2107</v>
      </c>
      <c r="I142" s="3383" t="s">
        <v>2107</v>
      </c>
      <c r="J142" s="3383" t="s">
        <v>2107</v>
      </c>
      <c r="K142" s="3383" t="s">
        <v>2107</v>
      </c>
      <c r="L142" s="3383" t="s">
        <v>2107</v>
      </c>
      <c r="M142" s="3383" t="s">
        <v>2107</v>
      </c>
      <c r="N142" s="3383" t="s">
        <v>2107</v>
      </c>
      <c r="O142" s="3383" t="s">
        <v>2107</v>
      </c>
      <c r="P142" s="3383" t="s">
        <v>2107</v>
      </c>
      <c r="Q142" s="3383">
        <v>-106.56991070000032</v>
      </c>
      <c r="R142" s="3383">
        <v>-72.115938700000044</v>
      </c>
      <c r="S142" s="3383">
        <v>-110.20859099999991</v>
      </c>
      <c r="T142" s="3383">
        <v>-28.873105300000105</v>
      </c>
      <c r="U142" s="3383">
        <v>-2.7189644000001243</v>
      </c>
      <c r="V142" s="3383">
        <v>46.712662100000131</v>
      </c>
      <c r="W142" s="3383">
        <v>-72.086994999999973</v>
      </c>
      <c r="X142" s="3383">
        <v>-28.50009499999987</v>
      </c>
      <c r="Y142" s="3383">
        <v>91.021620100000021</v>
      </c>
      <c r="Z142" s="3383">
        <v>178.14111090000037</v>
      </c>
      <c r="AA142" s="3383">
        <v>-215.91595279999962</v>
      </c>
      <c r="AB142" s="3383">
        <v>-27.459923599999719</v>
      </c>
      <c r="AC142" s="3383">
        <v>-141.65527489999997</v>
      </c>
      <c r="AD142" s="3383">
        <v>0</v>
      </c>
      <c r="AE142" s="3383">
        <v>0</v>
      </c>
      <c r="AF142" s="3383">
        <v>0</v>
      </c>
      <c r="AJ142">
        <v>132</v>
      </c>
    </row>
    <row r="143" spans="1:159">
      <c r="A143" s="3383" t="str">
        <f t="shared" si="6"/>
        <v>\\DG ECFIN\Forecast\Country databases\Desk transfer databases\SE</v>
      </c>
      <c r="B143" s="3383" t="str">
        <f t="shared" si="7"/>
        <v>SE</v>
      </c>
      <c r="C143" s="3383" t="s">
        <v>2074</v>
      </c>
      <c r="D143" s="3383" t="s">
        <v>2319</v>
      </c>
      <c r="E143" s="3383" t="s">
        <v>2076</v>
      </c>
      <c r="F143" s="3383" t="s">
        <v>2320</v>
      </c>
      <c r="G143" s="3383" t="s">
        <v>2321</v>
      </c>
      <c r="H143" s="3383" t="s">
        <v>2107</v>
      </c>
      <c r="I143" s="3383" t="s">
        <v>2107</v>
      </c>
      <c r="J143" s="3383" t="s">
        <v>2107</v>
      </c>
      <c r="K143" s="3383" t="s">
        <v>2107</v>
      </c>
      <c r="L143" s="3383" t="s">
        <v>2107</v>
      </c>
      <c r="M143" s="3383" t="s">
        <v>2107</v>
      </c>
      <c r="N143" s="3383" t="s">
        <v>2107</v>
      </c>
      <c r="O143" s="3383" t="s">
        <v>2107</v>
      </c>
      <c r="P143" s="3383">
        <v>0</v>
      </c>
      <c r="Q143" s="3383">
        <v>0</v>
      </c>
      <c r="R143" s="3383">
        <v>0</v>
      </c>
      <c r="S143" s="3383">
        <v>0</v>
      </c>
      <c r="T143" s="3383">
        <v>0</v>
      </c>
      <c r="U143" s="3383">
        <v>0</v>
      </c>
      <c r="V143" s="3383">
        <v>0</v>
      </c>
      <c r="W143" s="3383">
        <v>0</v>
      </c>
      <c r="X143" s="3383">
        <v>0</v>
      </c>
      <c r="Y143" s="3383">
        <v>0</v>
      </c>
      <c r="Z143" s="3383">
        <v>0</v>
      </c>
      <c r="AA143" s="3383">
        <v>0</v>
      </c>
      <c r="AB143" s="3383">
        <v>0</v>
      </c>
      <c r="AC143" s="3383">
        <v>1E-3</v>
      </c>
      <c r="AD143" s="3383">
        <v>1E-3</v>
      </c>
      <c r="AE143" s="3383">
        <v>1E-3</v>
      </c>
      <c r="AF143" s="3383">
        <v>1E-3</v>
      </c>
      <c r="AJ143">
        <v>133</v>
      </c>
    </row>
    <row r="144" spans="1:159">
      <c r="A144" s="3383" t="str">
        <f t="shared" si="6"/>
        <v>\\DG ECFIN\Forecast\Country databases\Desk transfer databases\SE</v>
      </c>
      <c r="B144" s="3383" t="str">
        <f t="shared" si="7"/>
        <v>SE</v>
      </c>
      <c r="C144" s="3383" t="s">
        <v>2074</v>
      </c>
      <c r="D144" s="3383" t="s">
        <v>2322</v>
      </c>
      <c r="E144" s="3383" t="s">
        <v>2076</v>
      </c>
      <c r="F144" s="3383" t="s">
        <v>2323</v>
      </c>
      <c r="G144" s="3383" t="s">
        <v>2324</v>
      </c>
      <c r="H144" s="3383" t="s">
        <v>2107</v>
      </c>
      <c r="I144" s="3383" t="s">
        <v>2107</v>
      </c>
      <c r="J144" s="3383" t="s">
        <v>2107</v>
      </c>
      <c r="K144" s="3383" t="s">
        <v>2107</v>
      </c>
      <c r="L144" s="3383" t="s">
        <v>2107</v>
      </c>
      <c r="M144" s="3383" t="s">
        <v>2107</v>
      </c>
      <c r="N144" s="3383" t="s">
        <v>2107</v>
      </c>
      <c r="O144" s="3383" t="s">
        <v>2107</v>
      </c>
      <c r="P144" s="3383" t="s">
        <v>2107</v>
      </c>
      <c r="Q144" s="3383">
        <v>-385.27652980000016</v>
      </c>
      <c r="R144" s="3383">
        <v>-434.5243387000001</v>
      </c>
      <c r="S144" s="3383">
        <v>-563.92057830000044</v>
      </c>
      <c r="T144" s="3383">
        <v>-303.12604430000022</v>
      </c>
      <c r="U144" s="3383">
        <v>-304.20404580000013</v>
      </c>
      <c r="V144" s="3383">
        <v>-330.9555041000001</v>
      </c>
      <c r="W144" s="3383">
        <v>-408.77456599999954</v>
      </c>
      <c r="X144" s="3383">
        <v>-545.09397830000034</v>
      </c>
      <c r="Y144" s="3383">
        <v>-113.74642919999982</v>
      </c>
      <c r="Z144" s="3383">
        <v>355.4663426000007</v>
      </c>
      <c r="AA144" s="3383">
        <v>-272.36594989999992</v>
      </c>
      <c r="AB144" s="3383">
        <v>-105.79818509999997</v>
      </c>
      <c r="AC144" s="3383">
        <v>-141.65527489999997</v>
      </c>
      <c r="AD144" s="3383">
        <v>0</v>
      </c>
      <c r="AE144" s="3383">
        <v>0</v>
      </c>
      <c r="AF144" s="3383">
        <v>0</v>
      </c>
      <c r="AJ144">
        <v>134</v>
      </c>
    </row>
    <row r="145" spans="1:36">
      <c r="A145" s="3383" t="str">
        <f t="shared" si="6"/>
        <v>\\DG ECFIN\Forecast\Country databases\Desk transfer databases\SE</v>
      </c>
      <c r="B145" s="3383" t="str">
        <f t="shared" si="7"/>
        <v>SE</v>
      </c>
      <c r="C145" s="3383" t="s">
        <v>2074</v>
      </c>
      <c r="D145" s="3383" t="s">
        <v>2325</v>
      </c>
      <c r="E145" s="3383" t="s">
        <v>2076</v>
      </c>
      <c r="F145" s="3383" t="s">
        <v>2326</v>
      </c>
      <c r="G145" s="3383" t="s">
        <v>2327</v>
      </c>
      <c r="H145" s="3613" t="s">
        <v>2107</v>
      </c>
      <c r="I145" s="3613" t="s">
        <v>2107</v>
      </c>
      <c r="J145" s="3613" t="s">
        <v>2107</v>
      </c>
      <c r="K145" s="3613" t="s">
        <v>2107</v>
      </c>
      <c r="L145" s="3613" t="s">
        <v>2107</v>
      </c>
      <c r="M145" s="3613" t="s">
        <v>2107</v>
      </c>
      <c r="N145" s="3613" t="s">
        <v>2107</v>
      </c>
      <c r="O145" s="3613" t="s">
        <v>2107</v>
      </c>
      <c r="P145" s="3613">
        <v>-164.84032395059987</v>
      </c>
      <c r="Q145" s="3613">
        <v>-57.01376270190999</v>
      </c>
      <c r="R145" s="3613">
        <v>-15.622912421789952</v>
      </c>
      <c r="S145" s="3613">
        <v>161.6855173795002</v>
      </c>
      <c r="T145" s="3613">
        <v>17.585679736049379</v>
      </c>
      <c r="U145" s="3613">
        <v>442.51667073347977</v>
      </c>
      <c r="V145" s="3613">
        <v>607.04099308737</v>
      </c>
      <c r="W145" s="3613">
        <v>772.89954160986053</v>
      </c>
      <c r="X145" s="3613">
        <v>924.81082855357022</v>
      </c>
      <c r="Y145" s="3613">
        <v>1158.5902664032899</v>
      </c>
      <c r="Z145" s="3613">
        <v>1213.4462502293702</v>
      </c>
      <c r="AA145" s="3613">
        <v>1344.1428966857197</v>
      </c>
      <c r="AB145" s="3613">
        <v>1360.1881927882503</v>
      </c>
      <c r="AC145" s="3613">
        <v>1186.5929291723301</v>
      </c>
      <c r="AD145" s="3613">
        <v>965.47001557025965</v>
      </c>
      <c r="AE145" s="3613">
        <v>651.92539366453116</v>
      </c>
      <c r="AF145" s="3613">
        <v>306.06512083213579</v>
      </c>
      <c r="AJ145">
        <v>135</v>
      </c>
    </row>
    <row r="146" spans="1:36">
      <c r="A146" s="3383" t="str">
        <f t="shared" si="6"/>
        <v>\\DG ECFIN\Forecast\Country databases\Desk transfer databases\SE</v>
      </c>
      <c r="B146" s="3383" t="str">
        <f t="shared" si="7"/>
        <v>SE</v>
      </c>
      <c r="C146" s="3383" t="s">
        <v>2074</v>
      </c>
      <c r="D146" s="3383" t="s">
        <v>2328</v>
      </c>
      <c r="E146" s="3383" t="s">
        <v>2076</v>
      </c>
      <c r="F146" s="3383" t="s">
        <v>2329</v>
      </c>
      <c r="G146" s="3383" t="s">
        <v>2330</v>
      </c>
      <c r="H146" s="3383" t="s">
        <v>2107</v>
      </c>
      <c r="I146" s="3383" t="s">
        <v>2107</v>
      </c>
      <c r="J146" s="3383" t="s">
        <v>2107</v>
      </c>
      <c r="K146" s="3383" t="s">
        <v>2107</v>
      </c>
      <c r="L146" s="3383" t="s">
        <v>2107</v>
      </c>
      <c r="M146" s="3383" t="s">
        <v>2107</v>
      </c>
      <c r="N146" s="3383" t="s">
        <v>2107</v>
      </c>
      <c r="O146" s="3383" t="s">
        <v>2107</v>
      </c>
      <c r="P146" s="3383">
        <v>147.32243919999999</v>
      </c>
      <c r="Q146" s="3383">
        <v>218.95459700000001</v>
      </c>
      <c r="R146" s="3383">
        <v>223.94578879999997</v>
      </c>
      <c r="S146" s="3383">
        <v>221.76195199999998</v>
      </c>
      <c r="T146" s="3383">
        <v>167.89802</v>
      </c>
      <c r="U146" s="3383">
        <v>185.61326400000002</v>
      </c>
      <c r="V146" s="3383">
        <v>170.34413199999997</v>
      </c>
      <c r="W146" s="3383">
        <v>181.53140000000002</v>
      </c>
      <c r="X146" s="3383">
        <v>165.02795600000002</v>
      </c>
      <c r="Y146" s="3383">
        <v>37.280899199999986</v>
      </c>
      <c r="Z146" s="3383">
        <v>-29.755186999999975</v>
      </c>
      <c r="AA146" s="3383">
        <v>96.269752499999996</v>
      </c>
      <c r="AB146" s="3383">
        <v>196.37957750000001</v>
      </c>
      <c r="AC146" s="3383">
        <v>295.57258039999994</v>
      </c>
      <c r="AD146" s="3383">
        <v>347.05424740820092</v>
      </c>
      <c r="AE146" s="3383">
        <v>375.55411422268281</v>
      </c>
      <c r="AF146" s="3383">
        <v>401.43809821509672</v>
      </c>
      <c r="AJ146">
        <v>136</v>
      </c>
    </row>
    <row r="147" spans="1:36">
      <c r="A147" s="3383" t="str">
        <f t="shared" si="6"/>
        <v>\\DG ECFIN\Forecast\Country databases\Desk transfer databases\SE</v>
      </c>
      <c r="B147" s="3383" t="str">
        <f t="shared" si="7"/>
        <v>SE</v>
      </c>
      <c r="C147" s="3383" t="s">
        <v>2074</v>
      </c>
      <c r="D147" s="3383" t="s">
        <v>2331</v>
      </c>
      <c r="E147" s="3383" t="s">
        <v>2076</v>
      </c>
      <c r="F147" s="3383" t="s">
        <v>2332</v>
      </c>
      <c r="G147" s="3383" t="s">
        <v>2333</v>
      </c>
      <c r="H147" s="3383" t="s">
        <v>2107</v>
      </c>
      <c r="I147" s="3383" t="s">
        <v>2107</v>
      </c>
      <c r="J147" s="3383" t="s">
        <v>2107</v>
      </c>
      <c r="K147" s="3383" t="s">
        <v>2107</v>
      </c>
      <c r="L147" s="3383" t="s">
        <v>2107</v>
      </c>
      <c r="M147" s="3383" t="s">
        <v>2107</v>
      </c>
      <c r="N147" s="3383" t="s">
        <v>2107</v>
      </c>
      <c r="O147" s="3383" t="s">
        <v>2107</v>
      </c>
      <c r="P147" s="3383">
        <v>2696.3295047999995</v>
      </c>
      <c r="Q147" s="3383">
        <v>2996.6402070000004</v>
      </c>
      <c r="R147" s="3383">
        <v>3332.9785104000002</v>
      </c>
      <c r="S147" s="3383">
        <v>3816.292066</v>
      </c>
      <c r="T147" s="3383">
        <v>4103.9576299999999</v>
      </c>
      <c r="U147" s="3383">
        <v>4231.1439280000004</v>
      </c>
      <c r="V147" s="3383">
        <v>4519.1230335</v>
      </c>
      <c r="W147" s="3383">
        <v>4755.7729440000003</v>
      </c>
      <c r="X147" s="3383">
        <v>4930.6336240000001</v>
      </c>
      <c r="Y147" s="3383">
        <v>5109.964316399999</v>
      </c>
      <c r="Z147" s="3383">
        <v>5333.9841239999996</v>
      </c>
      <c r="AA147" s="3383">
        <v>5509.2614715000009</v>
      </c>
      <c r="AB147" s="3383">
        <v>5888.3520500000004</v>
      </c>
      <c r="AC147" s="3383">
        <v>6337.7534415999999</v>
      </c>
      <c r="AD147" s="3383">
        <v>6801.3732209852751</v>
      </c>
      <c r="AE147" s="3383">
        <v>7304.8713715662234</v>
      </c>
      <c r="AF147" s="3383">
        <v>7849.6616470671006</v>
      </c>
      <c r="AJ147">
        <v>137</v>
      </c>
    </row>
    <row r="148" spans="1:36">
      <c r="A148" s="3383" t="str">
        <f t="shared" si="6"/>
        <v>\\DG ECFIN\Forecast\Country databases\Desk transfer databases\SE</v>
      </c>
      <c r="B148" s="3383" t="str">
        <f t="shared" si="7"/>
        <v>SE</v>
      </c>
      <c r="C148" s="3383" t="s">
        <v>2074</v>
      </c>
      <c r="D148" s="3383" t="s">
        <v>2334</v>
      </c>
      <c r="E148" s="3383" t="s">
        <v>2076</v>
      </c>
      <c r="F148" s="3383" t="s">
        <v>2335</v>
      </c>
      <c r="G148" s="3383" t="s">
        <v>2336</v>
      </c>
      <c r="H148" s="3383" t="s">
        <v>2107</v>
      </c>
      <c r="I148" s="3383" t="s">
        <v>2107</v>
      </c>
      <c r="J148" s="3383" t="s">
        <v>2107</v>
      </c>
      <c r="K148" s="3383" t="s">
        <v>2107</v>
      </c>
      <c r="L148" s="3383" t="s">
        <v>2107</v>
      </c>
      <c r="M148" s="3383" t="s">
        <v>2107</v>
      </c>
      <c r="N148" s="3383" t="s">
        <v>2107</v>
      </c>
      <c r="O148" s="3383" t="s">
        <v>2107</v>
      </c>
      <c r="P148" s="3383">
        <v>98.197999999999993</v>
      </c>
      <c r="Q148" s="3383">
        <v>100.374</v>
      </c>
      <c r="R148" s="3383">
        <v>100.768</v>
      </c>
      <c r="S148" s="3383">
        <v>100.459</v>
      </c>
      <c r="T148" s="3383">
        <v>99.408000000000001</v>
      </c>
      <c r="U148" s="3383">
        <v>100.072</v>
      </c>
      <c r="V148" s="3383">
        <v>96.394000000000005</v>
      </c>
      <c r="W148" s="3383">
        <v>92.102000000000004</v>
      </c>
      <c r="X148" s="3383">
        <v>88.001999999999995</v>
      </c>
      <c r="Y148" s="3383">
        <v>82.453999999999994</v>
      </c>
      <c r="Z148" s="3383">
        <v>81.090999999999994</v>
      </c>
      <c r="AA148" s="3383">
        <v>71.7</v>
      </c>
      <c r="AB148" s="3383">
        <v>60.718000000000004</v>
      </c>
      <c r="AC148" s="3383">
        <v>56.247999999999998</v>
      </c>
      <c r="AD148" s="3383">
        <v>61.314196173920585</v>
      </c>
      <c r="AE148" s="3383">
        <v>65.07885118427528</v>
      </c>
      <c r="AF148" s="3383">
        <v>68.953119649562893</v>
      </c>
      <c r="AJ148">
        <v>138</v>
      </c>
    </row>
    <row r="149" spans="1:36">
      <c r="A149" s="3383" t="str">
        <f t="shared" si="6"/>
        <v>\\DG ECFIN\Forecast\Country databases\Desk transfer databases\SE</v>
      </c>
      <c r="B149" s="3383" t="str">
        <f t="shared" si="7"/>
        <v>SE</v>
      </c>
      <c r="C149" s="3383" t="s">
        <v>2074</v>
      </c>
      <c r="D149" s="3383" t="s">
        <v>2337</v>
      </c>
      <c r="E149" s="3383" t="s">
        <v>2076</v>
      </c>
      <c r="F149" s="3383" t="s">
        <v>2338</v>
      </c>
      <c r="G149" s="3383" t="s">
        <v>2339</v>
      </c>
      <c r="H149" s="3383" t="s">
        <v>2107</v>
      </c>
      <c r="I149" s="3383" t="s">
        <v>2107</v>
      </c>
      <c r="J149" s="3383" t="s">
        <v>2107</v>
      </c>
      <c r="K149" s="3383" t="s">
        <v>2107</v>
      </c>
      <c r="L149" s="3383" t="s">
        <v>2107</v>
      </c>
      <c r="M149" s="3383" t="s">
        <v>2107</v>
      </c>
      <c r="N149" s="3383" t="s">
        <v>2107</v>
      </c>
      <c r="O149" s="3383" t="s">
        <v>2107</v>
      </c>
      <c r="P149" s="3383">
        <v>1083.9423578000001</v>
      </c>
      <c r="Q149" s="3383">
        <v>1228.2880665000002</v>
      </c>
      <c r="R149" s="3383">
        <v>1384.7723104000002</v>
      </c>
      <c r="S149" s="3383">
        <v>1561.2936474999999</v>
      </c>
      <c r="T149" s="3383">
        <v>1731.13446</v>
      </c>
      <c r="U149" s="3383">
        <v>1772.960376</v>
      </c>
      <c r="V149" s="3383">
        <v>1941.2459220000001</v>
      </c>
      <c r="W149" s="3383">
        <v>2074.7670720000006</v>
      </c>
      <c r="X149" s="3383">
        <v>2211.0922260000002</v>
      </c>
      <c r="Y149" s="3383">
        <v>2341.3626799000003</v>
      </c>
      <c r="Z149" s="3383">
        <v>2487.8675520000002</v>
      </c>
      <c r="AA149" s="3383">
        <v>2661.1505470000002</v>
      </c>
      <c r="AB149" s="3383">
        <v>2925.9976174999997</v>
      </c>
      <c r="AC149" s="3383">
        <v>3207.6809804000004</v>
      </c>
      <c r="AD149" s="3383">
        <v>3496.5933170174858</v>
      </c>
      <c r="AE149" s="3383">
        <v>3711.2820574968327</v>
      </c>
      <c r="AF149" s="3383">
        <v>3932.221775692441</v>
      </c>
      <c r="AJ149">
        <v>139</v>
      </c>
    </row>
    <row r="150" spans="1:36">
      <c r="A150" s="3383" t="str">
        <f t="shared" si="6"/>
        <v>\\DG ECFIN\Forecast\Country databases\Desk transfer databases\SE</v>
      </c>
      <c r="B150" s="3383" t="str">
        <f t="shared" si="7"/>
        <v>SE</v>
      </c>
      <c r="C150" s="3383" t="s">
        <v>2074</v>
      </c>
      <c r="D150" s="3383" t="s">
        <v>2340</v>
      </c>
      <c r="E150" s="3383" t="s">
        <v>2076</v>
      </c>
      <c r="F150" s="3383" t="s">
        <v>2341</v>
      </c>
      <c r="G150" s="3383" t="s">
        <v>2342</v>
      </c>
      <c r="H150" s="3383" t="s">
        <v>2107</v>
      </c>
      <c r="I150" s="3383" t="s">
        <v>2107</v>
      </c>
      <c r="J150" s="3383" t="s">
        <v>2107</v>
      </c>
      <c r="K150" s="3383" t="s">
        <v>2107</v>
      </c>
      <c r="L150" s="3383" t="s">
        <v>2107</v>
      </c>
      <c r="M150" s="3383" t="s">
        <v>2107</v>
      </c>
      <c r="N150" s="3383" t="s">
        <v>2107</v>
      </c>
      <c r="O150" s="3383" t="s">
        <v>2107</v>
      </c>
      <c r="P150" s="3383">
        <v>1182.1403578000002</v>
      </c>
      <c r="Q150" s="3383">
        <v>1328.6620665000003</v>
      </c>
      <c r="R150" s="3383">
        <v>1485.5403104000002</v>
      </c>
      <c r="S150" s="3383">
        <v>1661.7526475</v>
      </c>
      <c r="T150" s="3383">
        <v>1830.5424599999999</v>
      </c>
      <c r="U150" s="3383">
        <v>1873.0323759999999</v>
      </c>
      <c r="V150" s="3383">
        <v>2037.6399220000001</v>
      </c>
      <c r="W150" s="3383">
        <v>2166.8690720000004</v>
      </c>
      <c r="X150" s="3383">
        <v>2299.0942260000002</v>
      </c>
      <c r="Y150" s="3383">
        <v>2423.8166799000005</v>
      </c>
      <c r="Z150" s="3383">
        <v>2568.9585520000001</v>
      </c>
      <c r="AA150" s="3383">
        <v>2732.8505470000005</v>
      </c>
      <c r="AB150" s="3383">
        <v>2986.7156174999996</v>
      </c>
      <c r="AC150" s="3383">
        <v>3263.9289804000005</v>
      </c>
      <c r="AD150" s="3383">
        <v>3557.9075131914065</v>
      </c>
      <c r="AE150" s="3383">
        <v>3776.360908681108</v>
      </c>
      <c r="AF150" s="3383">
        <v>4001.1748953420042</v>
      </c>
      <c r="AJ150">
        <v>140</v>
      </c>
    </row>
    <row r="151" spans="1:36">
      <c r="A151" s="3383" t="str">
        <f t="shared" si="6"/>
        <v>\\DG ECFIN\Forecast\Country databases\Desk transfer databases\SE</v>
      </c>
      <c r="B151" s="3383" t="str">
        <f t="shared" si="7"/>
        <v>SE</v>
      </c>
      <c r="C151" s="3383" t="s">
        <v>2074</v>
      </c>
      <c r="D151" s="3383" t="s">
        <v>2343</v>
      </c>
      <c r="E151" s="3383" t="s">
        <v>2076</v>
      </c>
      <c r="F151" s="3383" t="s">
        <v>2344</v>
      </c>
      <c r="G151" s="3383" t="s">
        <v>2345</v>
      </c>
      <c r="H151" s="3383" t="s">
        <v>2107</v>
      </c>
      <c r="I151" s="3383" t="s">
        <v>2107</v>
      </c>
      <c r="J151" s="3383" t="s">
        <v>2107</v>
      </c>
      <c r="K151" s="3383" t="s">
        <v>2107</v>
      </c>
      <c r="L151" s="3383" t="s">
        <v>2107</v>
      </c>
      <c r="M151" s="3383" t="s">
        <v>2107</v>
      </c>
      <c r="N151" s="3383" t="s">
        <v>2107</v>
      </c>
      <c r="O151" s="3383" t="s">
        <v>2107</v>
      </c>
      <c r="P151" s="3383">
        <v>-1496.6712622493997</v>
      </c>
      <c r="Q151" s="3383">
        <v>-1829.9189747980904</v>
      </c>
      <c r="R151" s="3383">
        <v>-2055.7610763782104</v>
      </c>
      <c r="S151" s="3383">
        <v>-2537.9868878795</v>
      </c>
      <c r="T151" s="3383">
        <v>-2458.8988697360492</v>
      </c>
      <c r="U151" s="3383">
        <v>-2986.2414867334796</v>
      </c>
      <c r="V151" s="3383">
        <v>-3258.8682365873697</v>
      </c>
      <c r="W151" s="3383">
        <v>-3543.3348136098598</v>
      </c>
      <c r="X151" s="3383">
        <v>-3721.3781825535702</v>
      </c>
      <c r="Y151" s="3383">
        <v>-3882.0188021032882</v>
      </c>
      <c r="Z151" s="3383">
        <v>-3948.7166352293707</v>
      </c>
      <c r="AA151" s="3383">
        <v>-4216.8235736857205</v>
      </c>
      <c r="AB151" s="3383">
        <v>-4458.2042027882517</v>
      </c>
      <c r="AC151" s="3383">
        <v>-4555.9899707723298</v>
      </c>
      <c r="AD151" s="3383">
        <v>-4555.9899707723298</v>
      </c>
      <c r="AE151" s="3383">
        <v>-4555.9899707723298</v>
      </c>
      <c r="AF151" s="3383">
        <v>-4555.9899707723298</v>
      </c>
      <c r="AJ151">
        <v>141</v>
      </c>
    </row>
    <row r="152" spans="1:36">
      <c r="A152" s="3383" t="str">
        <f t="shared" si="6"/>
        <v>\\DG ECFIN\Forecast\Country databases\Desk transfer databases\SE</v>
      </c>
      <c r="B152" s="3383" t="str">
        <f t="shared" si="7"/>
        <v>SE</v>
      </c>
      <c r="C152" s="3383" t="s">
        <v>2074</v>
      </c>
      <c r="D152" s="3383" t="s">
        <v>2462</v>
      </c>
      <c r="E152" s="3383" t="s">
        <v>2076</v>
      </c>
      <c r="F152" s="3423"/>
      <c r="G152" s="3423" t="s">
        <v>2463</v>
      </c>
      <c r="H152" s="3383" t="s">
        <v>2107</v>
      </c>
      <c r="I152" s="3383" t="s">
        <v>2107</v>
      </c>
      <c r="J152" s="3383" t="s">
        <v>2107</v>
      </c>
      <c r="K152" s="3383" t="s">
        <v>2107</v>
      </c>
      <c r="L152" s="3383" t="s">
        <v>2107</v>
      </c>
      <c r="M152" s="3383" t="s">
        <v>2107</v>
      </c>
      <c r="N152" s="3383" t="s">
        <v>2107</v>
      </c>
      <c r="O152" s="3383" t="s">
        <v>2107</v>
      </c>
      <c r="P152" s="3383">
        <v>1398.8154213999999</v>
      </c>
      <c r="Q152" s="3383">
        <v>1577.868864</v>
      </c>
      <c r="R152" s="3383">
        <v>1770.6346631999997</v>
      </c>
      <c r="S152" s="3383">
        <v>1961.7171039999998</v>
      </c>
      <c r="T152" s="3383">
        <v>2135.0201799999995</v>
      </c>
      <c r="U152" s="3383">
        <v>2333.7242720000004</v>
      </c>
      <c r="V152" s="3383">
        <v>2517.2613659999997</v>
      </c>
      <c r="W152" s="3383">
        <v>2648.7355200000002</v>
      </c>
      <c r="X152" s="3383">
        <v>2762.7346040000002</v>
      </c>
      <c r="Y152" s="3383">
        <v>2896.8902635999998</v>
      </c>
      <c r="Z152" s="3383">
        <v>3070.2429450000004</v>
      </c>
      <c r="AA152" s="3383">
        <v>3326.9206325000005</v>
      </c>
      <c r="AB152" s="3383">
        <v>3562.3851675000005</v>
      </c>
      <c r="AC152" s="3383">
        <v>3805.0815147999997</v>
      </c>
      <c r="AD152" s="3383">
        <v>4064.6904727856163</v>
      </c>
      <c r="AE152" s="3383">
        <v>4334.2690235701511</v>
      </c>
      <c r="AF152" s="3383">
        <v>4614.170605584668</v>
      </c>
      <c r="AJ152">
        <v>142</v>
      </c>
    </row>
    <row r="153" spans="1:36">
      <c r="A153" s="3383" t="str">
        <f t="shared" si="6"/>
        <v>\\DG ECFIN\Forecast\Country databases\Desk transfer databases\SE</v>
      </c>
      <c r="B153" s="3383" t="str">
        <f t="shared" si="7"/>
        <v>SE</v>
      </c>
      <c r="C153" s="3383" t="s">
        <v>2074</v>
      </c>
      <c r="D153" s="3383" t="s">
        <v>2464</v>
      </c>
      <c r="E153" s="3383" t="s">
        <v>2076</v>
      </c>
      <c r="F153" s="3423"/>
      <c r="G153" s="3423" t="s">
        <v>2465</v>
      </c>
      <c r="H153" s="3383" t="s">
        <v>2107</v>
      </c>
      <c r="I153" s="3383" t="s">
        <v>2107</v>
      </c>
      <c r="J153" s="3383" t="s">
        <v>2107</v>
      </c>
      <c r="K153" s="3383" t="s">
        <v>2107</v>
      </c>
      <c r="L153" s="3383" t="s">
        <v>2107</v>
      </c>
      <c r="M153" s="3383" t="s">
        <v>2107</v>
      </c>
      <c r="N153" s="3383" t="s">
        <v>2107</v>
      </c>
      <c r="O153" s="3383" t="s">
        <v>2107</v>
      </c>
      <c r="P153" s="3383">
        <v>1122.7309378</v>
      </c>
      <c r="Q153" s="3383">
        <v>1245.8821155000001</v>
      </c>
      <c r="R153" s="3383">
        <v>1341.3512691999999</v>
      </c>
      <c r="S153" s="3383">
        <v>1592.3372995</v>
      </c>
      <c r="T153" s="3383">
        <v>1767.9185399999999</v>
      </c>
      <c r="U153" s="3383">
        <v>1673.8235360000001</v>
      </c>
      <c r="V153" s="3383">
        <v>1704.2608605000003</v>
      </c>
      <c r="W153" s="3383">
        <v>1819.776928</v>
      </c>
      <c r="X153" s="3383">
        <v>1847.7046</v>
      </c>
      <c r="Y153" s="3383">
        <v>1866.9490157999999</v>
      </c>
      <c r="Z153" s="3383">
        <v>1929.6415620000002</v>
      </c>
      <c r="AA153" s="3383">
        <v>1955.4428945000002</v>
      </c>
      <c r="AB153" s="3383">
        <v>2030.3456650000001</v>
      </c>
      <c r="AC153" s="3383">
        <v>2152.1795254000003</v>
      </c>
      <c r="AD153" s="3383">
        <v>2303.1825621996586</v>
      </c>
      <c r="AE153" s="3383">
        <v>2484.0943773960716</v>
      </c>
      <c r="AF153" s="3383">
        <v>2695.9752862824321</v>
      </c>
      <c r="AJ153">
        <v>143</v>
      </c>
    </row>
    <row r="154" spans="1:36">
      <c r="A154" s="3383" t="str">
        <f t="shared" si="6"/>
        <v>\\DG ECFIN\Forecast\Country databases\Desk transfer databases\SE</v>
      </c>
      <c r="B154" s="3383" t="str">
        <f t="shared" si="7"/>
        <v>SE</v>
      </c>
      <c r="C154" s="3383" t="s">
        <v>2074</v>
      </c>
      <c r="D154" s="3383" t="s">
        <v>2466</v>
      </c>
      <c r="E154" s="3383" t="s">
        <v>2076</v>
      </c>
      <c r="F154" s="3423"/>
      <c r="G154" s="3423" t="s">
        <v>2467</v>
      </c>
      <c r="H154" s="3383" t="s">
        <v>2107</v>
      </c>
      <c r="I154" s="3383" t="s">
        <v>2107</v>
      </c>
      <c r="J154" s="3383" t="s">
        <v>2107</v>
      </c>
      <c r="K154" s="3383" t="s">
        <v>2107</v>
      </c>
      <c r="L154" s="3383" t="s">
        <v>2107</v>
      </c>
      <c r="M154" s="3383" t="s">
        <v>2107</v>
      </c>
      <c r="N154" s="3383" t="s">
        <v>2107</v>
      </c>
      <c r="O154" s="3383" t="s">
        <v>2107</v>
      </c>
      <c r="P154" s="3383">
        <v>174.78314560000001</v>
      </c>
      <c r="Q154" s="3383">
        <v>172.8892275</v>
      </c>
      <c r="R154" s="3383">
        <v>220.99257800000001</v>
      </c>
      <c r="S154" s="3383">
        <v>262.2376625</v>
      </c>
      <c r="T154" s="3383">
        <v>201.01890999999998</v>
      </c>
      <c r="U154" s="3383">
        <v>223.59611999999998</v>
      </c>
      <c r="V154" s="3383">
        <v>297.60080700000003</v>
      </c>
      <c r="W154" s="3383">
        <v>287.26049600000005</v>
      </c>
      <c r="X154" s="3383">
        <v>320.19442000000004</v>
      </c>
      <c r="Y154" s="3383">
        <v>346.12503700000002</v>
      </c>
      <c r="Z154" s="3383">
        <v>334.09961700000002</v>
      </c>
      <c r="AA154" s="3383">
        <v>226.89794450000002</v>
      </c>
      <c r="AB154" s="3383">
        <v>295.6212175</v>
      </c>
      <c r="AC154" s="3383">
        <v>380.49240139999995</v>
      </c>
      <c r="AD154" s="3383">
        <v>433.50018599999999</v>
      </c>
      <c r="AE154" s="3383">
        <v>486.50797060000002</v>
      </c>
      <c r="AF154" s="3383">
        <v>539.51575520000006</v>
      </c>
      <c r="AJ154">
        <v>144</v>
      </c>
    </row>
    <row r="155" spans="1:36">
      <c r="A155" s="3383" t="str">
        <f t="shared" si="6"/>
        <v>\\DG ECFIN\Forecast\Country databases\Desk transfer databases\SE</v>
      </c>
      <c r="B155" s="3383" t="str">
        <f t="shared" si="7"/>
        <v>SE</v>
      </c>
      <c r="C155" s="3383" t="s">
        <v>2074</v>
      </c>
      <c r="D155" s="3383" t="s">
        <v>2468</v>
      </c>
      <c r="E155" s="3383" t="s">
        <v>2076</v>
      </c>
      <c r="F155" s="3423"/>
      <c r="G155" s="3423" t="s">
        <v>2469</v>
      </c>
      <c r="H155" s="3383" t="s">
        <v>2107</v>
      </c>
      <c r="I155" s="3383" t="s">
        <v>2107</v>
      </c>
      <c r="J155" s="3383" t="s">
        <v>2107</v>
      </c>
      <c r="K155" s="3383" t="s">
        <v>2107</v>
      </c>
      <c r="L155" s="3383" t="s">
        <v>2107</v>
      </c>
      <c r="M155" s="3383" t="s">
        <v>2107</v>
      </c>
      <c r="N155" s="3383" t="s">
        <v>2107</v>
      </c>
      <c r="O155" s="3383" t="s">
        <v>2107</v>
      </c>
      <c r="P155" s="3383" t="s">
        <v>2107</v>
      </c>
      <c r="Q155" s="3383">
        <v>179.19018559999998</v>
      </c>
      <c r="R155" s="3383">
        <v>193.85962149999997</v>
      </c>
      <c r="S155" s="3383">
        <v>191.90518290000003</v>
      </c>
      <c r="T155" s="3383">
        <v>173.44879589999999</v>
      </c>
      <c r="U155" s="3383">
        <v>200.75386070000002</v>
      </c>
      <c r="V155" s="3383">
        <v>185.57366930000001</v>
      </c>
      <c r="W155" s="3383">
        <v>133.58514650000001</v>
      </c>
      <c r="X155" s="3383">
        <v>115.80177200000001</v>
      </c>
      <c r="Y155" s="3383">
        <v>135.28098449999999</v>
      </c>
      <c r="Z155" s="3383">
        <v>168.98791690000002</v>
      </c>
      <c r="AA155" s="3383">
        <v>232.80890850000003</v>
      </c>
      <c r="AB155" s="3383">
        <v>235.6638155</v>
      </c>
      <c r="AC155" s="3383">
        <v>250.0026077</v>
      </c>
      <c r="AD155" s="3383">
        <v>259.60895798561677</v>
      </c>
      <c r="AE155" s="3383">
        <v>269.57855078453491</v>
      </c>
      <c r="AF155" s="3383">
        <v>279.90158201451726</v>
      </c>
      <c r="AJ155">
        <v>145</v>
      </c>
    </row>
    <row r="156" spans="1:36">
      <c r="A156" s="3383" t="str">
        <f t="shared" si="6"/>
        <v>\\DG ECFIN\Forecast\Country databases\Desk transfer databases\SE</v>
      </c>
      <c r="B156" s="3383" t="str">
        <f t="shared" si="7"/>
        <v>SE</v>
      </c>
      <c r="C156" s="3383" t="s">
        <v>2074</v>
      </c>
      <c r="D156" s="3383" t="s">
        <v>2470</v>
      </c>
      <c r="E156" s="3383" t="s">
        <v>2076</v>
      </c>
      <c r="F156" s="3423"/>
      <c r="G156" s="3423" t="s">
        <v>2471</v>
      </c>
      <c r="H156" s="3383" t="s">
        <v>2107</v>
      </c>
      <c r="I156" s="3383" t="s">
        <v>2107</v>
      </c>
      <c r="J156" s="3383" t="s">
        <v>2107</v>
      </c>
      <c r="K156" s="3383" t="s">
        <v>2107</v>
      </c>
      <c r="L156" s="3383" t="s">
        <v>2107</v>
      </c>
      <c r="M156" s="3383" t="s">
        <v>2107</v>
      </c>
      <c r="N156" s="3383" t="s">
        <v>2107</v>
      </c>
      <c r="O156" s="3383" t="s">
        <v>2107</v>
      </c>
      <c r="P156" s="3383" t="s">
        <v>2107</v>
      </c>
      <c r="Q156" s="3383">
        <v>119.80169559999999</v>
      </c>
      <c r="R156" s="3383">
        <v>104.88368449999999</v>
      </c>
      <c r="S156" s="3383">
        <v>250.9539613</v>
      </c>
      <c r="T156" s="3383">
        <v>132.33649609999998</v>
      </c>
      <c r="U156" s="3383">
        <v>-73.955600099999998</v>
      </c>
      <c r="V156" s="3383">
        <v>56.238949900000001</v>
      </c>
      <c r="W156" s="3383">
        <v>113.32246309999999</v>
      </c>
      <c r="X156" s="3383">
        <v>40.996212300000003</v>
      </c>
      <c r="Y156" s="3383">
        <v>18.653027699999999</v>
      </c>
      <c r="Z156" s="3383">
        <v>46.190233399999997</v>
      </c>
      <c r="AA156" s="3383">
        <v>49.346980000000002</v>
      </c>
      <c r="AB156" s="3383">
        <v>85.104235700000004</v>
      </c>
      <c r="AC156" s="3383">
        <v>117.38081079999998</v>
      </c>
      <c r="AD156" s="3383">
        <v>151.00303679965879</v>
      </c>
      <c r="AE156" s="3383">
        <v>180.91181519641316</v>
      </c>
      <c r="AF156" s="3383">
        <v>211.88090888636029</v>
      </c>
      <c r="AJ156">
        <v>146</v>
      </c>
    </row>
    <row r="157" spans="1:36">
      <c r="A157" s="3383" t="str">
        <f t="shared" si="6"/>
        <v>\\DG ECFIN\Forecast\Country databases\Desk transfer databases\SE</v>
      </c>
      <c r="B157" s="3383" t="str">
        <f t="shared" si="7"/>
        <v>SE</v>
      </c>
      <c r="C157" s="3383" t="s">
        <v>2074</v>
      </c>
      <c r="D157" s="3383" t="s">
        <v>2472</v>
      </c>
      <c r="E157" s="3383" t="s">
        <v>2076</v>
      </c>
      <c r="F157" s="3423"/>
      <c r="G157" s="3423" t="s">
        <v>2473</v>
      </c>
      <c r="H157" s="3383" t="s">
        <v>2107</v>
      </c>
      <c r="I157" s="3383" t="s">
        <v>2107</v>
      </c>
      <c r="J157" s="3383" t="s">
        <v>2107</v>
      </c>
      <c r="K157" s="3383" t="s">
        <v>2107</v>
      </c>
      <c r="L157" s="3383" t="s">
        <v>2107</v>
      </c>
      <c r="M157" s="3383" t="s">
        <v>2107</v>
      </c>
      <c r="N157" s="3383" t="s">
        <v>2107</v>
      </c>
      <c r="O157" s="3383" t="s">
        <v>2107</v>
      </c>
      <c r="P157" s="3383" t="s">
        <v>2107</v>
      </c>
      <c r="Q157" s="3383">
        <v>-12.862553400000001</v>
      </c>
      <c r="R157" s="3383">
        <v>54.2983379</v>
      </c>
      <c r="S157" s="3383">
        <v>33.449180200000001</v>
      </c>
      <c r="T157" s="3383">
        <v>-59.680540499999992</v>
      </c>
      <c r="U157" s="3383">
        <v>30.871736800000004</v>
      </c>
      <c r="V157" s="3383">
        <v>94.757092999999998</v>
      </c>
      <c r="W157" s="3383">
        <v>-4.2668885999999944</v>
      </c>
      <c r="X157" s="3383">
        <v>56.494053000000008</v>
      </c>
      <c r="Y157" s="3383">
        <v>7.9464910000000035</v>
      </c>
      <c r="Z157" s="3383">
        <v>-21.917509899999995</v>
      </c>
      <c r="AA157" s="3383">
        <v>-104.4148964</v>
      </c>
      <c r="AB157" s="3383">
        <v>41.661280799999986</v>
      </c>
      <c r="AC157" s="3383">
        <v>53.007784600000001</v>
      </c>
      <c r="AD157" s="3383">
        <v>53.007784600000001</v>
      </c>
      <c r="AE157" s="3383">
        <v>53.007784600000001</v>
      </c>
      <c r="AF157" s="3383">
        <v>53.007784600000001</v>
      </c>
      <c r="AJ157">
        <v>147</v>
      </c>
    </row>
    <row r="158" spans="1:36">
      <c r="A158" s="3383" t="str">
        <f t="shared" si="6"/>
        <v>\\DG ECFIN\Forecast\Country databases\Desk transfer databases\SE</v>
      </c>
      <c r="B158" s="3383" t="str">
        <f t="shared" si="7"/>
        <v>SE</v>
      </c>
      <c r="C158" s="3383" t="s">
        <v>2074</v>
      </c>
      <c r="D158" s="3383" t="s">
        <v>2475</v>
      </c>
      <c r="E158" s="3383" t="s">
        <v>2076</v>
      </c>
      <c r="F158" s="3383" t="s">
        <v>2308</v>
      </c>
      <c r="G158" s="3383" t="s">
        <v>2309</v>
      </c>
      <c r="H158" s="3612">
        <v>64.573999999999998</v>
      </c>
      <c r="I158" s="3612">
        <v>78.847999999999999</v>
      </c>
      <c r="J158" s="3612">
        <v>77.141999999999996</v>
      </c>
      <c r="K158" s="3612">
        <v>88.036000000000001</v>
      </c>
      <c r="L158" s="3612">
        <v>94.337999999999994</v>
      </c>
      <c r="M158" s="3612">
        <v>117.462</v>
      </c>
      <c r="N158" s="3612">
        <v>115.227</v>
      </c>
      <c r="O158" s="3612">
        <v>157.72999999999999</v>
      </c>
      <c r="P158" s="3612">
        <v>168.47399999999999</v>
      </c>
      <c r="Q158" s="3612">
        <v>175.95699999999999</v>
      </c>
      <c r="R158" s="3612">
        <v>254.095</v>
      </c>
      <c r="S158" s="3612">
        <v>269.46699999999998</v>
      </c>
      <c r="T158" s="3612">
        <v>265.69099999999997</v>
      </c>
      <c r="U158" s="3612">
        <v>198.42599999999999</v>
      </c>
      <c r="V158" s="3612">
        <v>209.88900000000001</v>
      </c>
      <c r="W158" s="3612">
        <v>203.69499999999999</v>
      </c>
      <c r="X158" s="3612">
        <v>205.875</v>
      </c>
      <c r="Y158" s="3612">
        <v>197.279</v>
      </c>
      <c r="Z158" s="3612">
        <v>179.05199999999999</v>
      </c>
      <c r="AA158" s="3612">
        <v>190.345</v>
      </c>
      <c r="AB158" s="3612">
        <v>186.89599999999999</v>
      </c>
      <c r="AC158" s="3612">
        <v>152.05500000000001</v>
      </c>
      <c r="AD158" s="3612">
        <f ca="1">('VVP2'!AD279-'VVP2'!AD311+Sector1!AD772+Sector1!AD783)</f>
        <v>154.04707787340942</v>
      </c>
      <c r="AE158" s="3612">
        <f ca="1">('VVP2'!AE279-'VVP2'!AE311+Sector1!AE772+Sector1!AE783)</f>
        <v>151.72246507649567</v>
      </c>
      <c r="AF158" s="3612">
        <f ca="1">('VVP2'!AF279-'VVP2'!AF311+Sector1!AF772+Sector1!AF783)</f>
        <v>148.5520115660741</v>
      </c>
      <c r="AJ158">
        <v>148</v>
      </c>
    </row>
    <row r="159" spans="1:36">
      <c r="A159" s="3383" t="str">
        <f t="shared" si="6"/>
        <v>\\DG ECFIN\Forecast\Country databases\Desk transfer databases\SE</v>
      </c>
      <c r="B159" s="3383" t="str">
        <f t="shared" si="7"/>
        <v>SE</v>
      </c>
      <c r="C159" s="3383" t="s">
        <v>2074</v>
      </c>
      <c r="D159" s="3431" t="s">
        <v>2476</v>
      </c>
      <c r="E159" s="3383" t="s">
        <v>2076</v>
      </c>
      <c r="G159" s="633" t="s">
        <v>2478</v>
      </c>
      <c r="H159" s="3227">
        <f>IF(ISNUMBER(Sector1!H797),Sector1!H797,n.a.)</f>
        <v>3.75</v>
      </c>
      <c r="I159" s="3227">
        <f>IF(ISNUMBER(Sector1!I797),Sector1!I797,n.a.)</f>
        <v>0.89200000000000002</v>
      </c>
      <c r="J159" s="3227">
        <f>IF(ISNUMBER(Sector1!J797),Sector1!J797,n.a.)</f>
        <v>0.66200000000000003</v>
      </c>
      <c r="K159" s="3227">
        <f>IF(ISNUMBER(Sector1!K797),Sector1!K797,n.a.)</f>
        <v>0.28299999999999997</v>
      </c>
      <c r="L159" s="3227">
        <f>IF(ISNUMBER(Sector1!L797),Sector1!L797,n.a.)</f>
        <v>0.501</v>
      </c>
      <c r="M159" s="3227">
        <f>IF(ISNUMBER(Sector1!M797),Sector1!M797,n.a.)</f>
        <v>0.7</v>
      </c>
      <c r="N159" s="3227">
        <f>IF(ISNUMBER(Sector1!N797),Sector1!N797,n.a.)</f>
        <v>0.84699999999999998</v>
      </c>
      <c r="O159" s="3227">
        <f>IF(ISNUMBER(Sector1!O797),Sector1!O797,n.a.)</f>
        <v>0.76800000000000002</v>
      </c>
      <c r="P159" s="3227">
        <f>IF(ISNUMBER(Sector1!P797),Sector1!P797,n.a.)</f>
        <v>0.66500000000000004</v>
      </c>
      <c r="Q159" s="3227">
        <f>IF(ISNUMBER(Sector1!Q797),Sector1!Q797,n.a.)</f>
        <v>0.747</v>
      </c>
      <c r="R159" s="3227">
        <f>IF(ISNUMBER(Sector1!R797),Sector1!R797,n.a.)</f>
        <v>0.78</v>
      </c>
      <c r="S159" s="3227">
        <f>IF(ISNUMBER(Sector1!S797),Sector1!S797,n.a.)</f>
        <v>0.60799999999999998</v>
      </c>
      <c r="T159" s="3227">
        <f>IF(ISNUMBER(Sector1!T797),Sector1!T797,n.a.)</f>
        <v>0.70099999999999996</v>
      </c>
      <c r="U159" s="3227">
        <f>IF(ISNUMBER(Sector1!U797),Sector1!U797,n.a.)</f>
        <v>1.3660000000000001</v>
      </c>
      <c r="V159" s="3227">
        <f>IF(ISNUMBER(Sector1!V797),Sector1!V797,n.a.)</f>
        <v>1.6870000000000001</v>
      </c>
      <c r="W159" s="3227">
        <f>IF(ISNUMBER(Sector1!W797),Sector1!W797,n.a.)</f>
        <v>1.8380000000000001</v>
      </c>
      <c r="X159" s="3227">
        <f>IF(ISNUMBER(Sector1!X797),Sector1!X797,n.a.)</f>
        <v>2.399</v>
      </c>
      <c r="Y159" s="3227">
        <f>IF(ISNUMBER(Sector1!Y797),Sector1!Y797,n.a.)</f>
        <v>2.1219999999999999</v>
      </c>
      <c r="Z159" s="3227">
        <f>IF(ISNUMBER(Sector1!Z797),Sector1!Z797,n.a.)</f>
        <v>1.8029999999999999</v>
      </c>
      <c r="AA159" s="3227">
        <f>IF(ISNUMBER(Sector1!AA797),Sector1!AA797,n.a.)</f>
        <v>1.3859999999999999</v>
      </c>
      <c r="AB159" s="3227">
        <f>IF(ISNUMBER(Sector1!AB797),Sector1!AB797,n.a.)</f>
        <v>1.5069999999999999</v>
      </c>
      <c r="AC159" s="3227">
        <f>IF(ISNUMBER(Sector1!AC797),Sector1!AC797,n.a.)</f>
        <v>1.9359999999999999</v>
      </c>
      <c r="AD159" s="3227">
        <f>IF(ISNUMBER(Sector1!AD797),Sector1!AD797,n.a.)</f>
        <v>1.9359999999999999</v>
      </c>
      <c r="AE159" s="3227">
        <f>IF(ISNUMBER(Sector1!AE797),Sector1!AE797,n.a.)</f>
        <v>1.9359999999999999</v>
      </c>
      <c r="AF159" s="3227">
        <f>IF(ISNUMBER(Sector1!AF797),Sector1!AF797,n.a.)</f>
        <v>1.9359999999999999</v>
      </c>
      <c r="AJ159">
        <v>149</v>
      </c>
    </row>
    <row r="160" spans="1:36">
      <c r="A160" s="3383" t="str">
        <f t="shared" si="6"/>
        <v>\\DG ECFIN\Forecast\Country databases\Desk transfer databases\SE</v>
      </c>
      <c r="B160" s="3383" t="str">
        <f t="shared" si="7"/>
        <v>SE</v>
      </c>
      <c r="C160" s="3383" t="s">
        <v>2074</v>
      </c>
      <c r="D160" s="3431" t="s">
        <v>2477</v>
      </c>
      <c r="E160" s="3383" t="s">
        <v>2076</v>
      </c>
      <c r="G160" s="633" t="s">
        <v>2479</v>
      </c>
      <c r="H160" s="3227">
        <f>IF(ISNUMBER(Sector1!H798),Sector1!H798,n.a.)</f>
        <v>0</v>
      </c>
      <c r="I160" s="3227">
        <f>IF(ISNUMBER(Sector1!I798),Sector1!I798,n.a.)</f>
        <v>1.7999999999999999E-2</v>
      </c>
      <c r="J160" s="3227">
        <f>IF(ISNUMBER(Sector1!J798),Sector1!J798,n.a.)</f>
        <v>4.7E-2</v>
      </c>
      <c r="K160" s="3227">
        <f>IF(ISNUMBER(Sector1!K798),Sector1!K798,n.a.)</f>
        <v>5.6000000000000001E-2</v>
      </c>
      <c r="L160" s="3227">
        <f>IF(ISNUMBER(Sector1!L798),Sector1!L798,n.a.)</f>
        <v>2.9000000000000001E-2</v>
      </c>
      <c r="M160" s="3227">
        <f>IF(ISNUMBER(Sector1!M798),Sector1!M798,n.a.)</f>
        <v>5.0999999999999997E-2</v>
      </c>
      <c r="N160" s="3227">
        <f>IF(ISNUMBER(Sector1!N798),Sector1!N798,n.a.)</f>
        <v>8.2000000000000003E-2</v>
      </c>
      <c r="O160" s="3227">
        <f>IF(ISNUMBER(Sector1!O798),Sector1!O798,n.a.)</f>
        <v>9.8000000000000004E-2</v>
      </c>
      <c r="P160" s="3227">
        <f>IF(ISNUMBER(Sector1!P798),Sector1!P798,n.a.)</f>
        <v>0.13700000000000001</v>
      </c>
      <c r="Q160" s="3227">
        <f>IF(ISNUMBER(Sector1!Q798),Sector1!Q798,n.a.)</f>
        <v>0.122</v>
      </c>
      <c r="R160" s="3227">
        <f>IF(ISNUMBER(Sector1!R798),Sector1!R798,n.a.)</f>
        <v>0.182</v>
      </c>
      <c r="S160" s="3227">
        <f>IF(ISNUMBER(Sector1!S798),Sector1!S798,n.a.)</f>
        <v>0.161</v>
      </c>
      <c r="T160" s="3227">
        <f>IF(ISNUMBER(Sector1!T798),Sector1!T798,n.a.)</f>
        <v>6.9000000000000006E-2</v>
      </c>
      <c r="U160" s="3227">
        <f>IF(ISNUMBER(Sector1!U798),Sector1!U798,n.a.)</f>
        <v>2.9000000000000001E-2</v>
      </c>
      <c r="V160" s="3227">
        <f>IF(ISNUMBER(Sector1!V798),Sector1!V798,n.a.)</f>
        <v>4.4999999999999998E-2</v>
      </c>
      <c r="W160" s="3227">
        <f>IF(ISNUMBER(Sector1!W798),Sector1!W798,n.a.)</f>
        <v>4.1000000000000002E-2</v>
      </c>
      <c r="X160" s="3227">
        <f>IF(ISNUMBER(Sector1!X798),Sector1!X798,n.a.)</f>
        <v>3.5000000000000003E-2</v>
      </c>
      <c r="Y160" s="3227">
        <f>IF(ISNUMBER(Sector1!Y798),Sector1!Y798,n.a.)</f>
        <v>0.04</v>
      </c>
      <c r="Z160" s="3227">
        <f>IF(ISNUMBER(Sector1!Z798),Sector1!Z798,n.a.)</f>
        <v>4.5999999999999999E-2</v>
      </c>
      <c r="AA160" s="3227">
        <f>IF(ISNUMBER(Sector1!AA798),Sector1!AA798,n.a.)</f>
        <v>0.01</v>
      </c>
      <c r="AB160" s="3227">
        <f>IF(ISNUMBER(Sector1!AB798),Sector1!AB798,n.a.)</f>
        <v>2.5000000000000001E-2</v>
      </c>
      <c r="AC160" s="3227">
        <f>IF(ISNUMBER(Sector1!AC798),Sector1!AC798,n.a.)</f>
        <v>0.124</v>
      </c>
      <c r="AD160" s="3227">
        <f>IF(ISNUMBER(Sector1!AD798),Sector1!AD798,n.a.)</f>
        <v>0.124</v>
      </c>
      <c r="AE160" s="3227">
        <f>IF(ISNUMBER(Sector1!AE798),Sector1!AE798,n.a.)</f>
        <v>0.124</v>
      </c>
      <c r="AF160" s="3227">
        <f>IF(ISNUMBER(Sector1!AF798),Sector1!AF798,n.a.)</f>
        <v>0.124</v>
      </c>
      <c r="AJ160">
        <v>150</v>
      </c>
    </row>
    <row r="161" spans="1:1">
      <c r="A161" s="3383"/>
    </row>
  </sheetData>
  <protectedRanges>
    <protectedRange sqref="J5:J6" name="Range1"/>
  </protectedRanges>
  <dataValidations disablePrompts="1" count="2">
    <dataValidation type="list" errorStyle="warning" allowBlank="1" showInputMessage="1" showErrorMessage="1" error="The value you have entered is not foreseen in the list." sqref="C142:C160" xr:uid="{00000000-0002-0000-1200-000000000000}">
      <formula1>$C$2:$C$9</formula1>
    </dataValidation>
    <dataValidation type="list" errorStyle="warning" allowBlank="1" showInputMessage="1" showErrorMessage="1" error="The value you have entered is not foreseen in the list." sqref="E135:E157" xr:uid="{00000000-0002-0000-1200-000001000000}">
      <formula1>$E$2:$E$9</formula1>
    </dataValidation>
  </dataValidations>
  <pageMargins left="0.31" right="0.25" top="0.59055118110236227" bottom="0.55000000000000004" header="0.51181102362204722" footer="0.31"/>
  <pageSetup paperSize="9" fitToHeight="9" orientation="landscape" horizontalDpi="1200" verticalDpi="1200" r:id="rId1"/>
  <headerFooter alignWithMargins="0">
    <oddFooter>&amp;L&amp;F  &amp;A&amp;CPage &amp;P</oddFooter>
  </headerFooter>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tabColor theme="5" tint="0.39997558519241921"/>
    <pageSetUpPr autoPageBreaks="0" fitToPage="1"/>
  </sheetPr>
  <dimension ref="A1:GG33"/>
  <sheetViews>
    <sheetView topLeftCell="F1" workbookViewId="0">
      <selection activeCell="Q38" sqref="Q38"/>
    </sheetView>
  </sheetViews>
  <sheetFormatPr defaultColWidth="9.1328125" defaultRowHeight="12.75"/>
  <cols>
    <col min="1" max="1" width="23.265625" style="3227" hidden="1" customWidth="1"/>
    <col min="2" max="2" width="5.3984375" style="3227" hidden="1" customWidth="1"/>
    <col min="3" max="3" width="9.1328125" style="3227" hidden="1" customWidth="1"/>
    <col min="4" max="4" width="9" style="3227" hidden="1" customWidth="1"/>
    <col min="5" max="5" width="10" style="3227" hidden="1" customWidth="1"/>
    <col min="6" max="6" width="5.73046875" style="3227" customWidth="1"/>
    <col min="7" max="7" width="32" style="3227" customWidth="1"/>
    <col min="8" max="9" width="10" style="3227" customWidth="1"/>
    <col min="10" max="10" width="10.1328125" style="3227" customWidth="1"/>
    <col min="11" max="13" width="10.1328125" style="3231" customWidth="1"/>
    <col min="14" max="17" width="8.3984375" style="3227" customWidth="1"/>
    <col min="18" max="71" width="9.1328125" style="3227" customWidth="1"/>
    <col min="72" max="79" width="9.1328125" style="3227"/>
    <col min="80" max="81" width="8.86328125" customWidth="1"/>
    <col min="82" max="86" width="9.1328125" style="3227"/>
    <col min="87" max="91" width="9.1328125" style="3227" customWidth="1"/>
    <col min="92" max="107" width="7.1328125" style="3227" customWidth="1"/>
    <col min="108" max="16384" width="9.1328125" style="3227"/>
  </cols>
  <sheetData>
    <row r="1" spans="1:189">
      <c r="CB1" s="3227"/>
      <c r="CC1" s="3202"/>
    </row>
    <row r="2" spans="1:189" s="3202" customFormat="1" ht="15.75" customHeight="1">
      <c r="K2" s="3205"/>
      <c r="L2" s="3205"/>
      <c r="M2" s="3205"/>
    </row>
    <row r="3" spans="1:189" s="3202" customFormat="1" ht="15">
      <c r="D3" s="3206" t="s">
        <v>1433</v>
      </c>
      <c r="K3" s="3205"/>
      <c r="L3" s="3205"/>
      <c r="M3" s="3205"/>
    </row>
    <row r="4" spans="1:189" s="3207" customFormat="1" ht="15">
      <c r="D4" s="3209" t="s">
        <v>1941</v>
      </c>
      <c r="E4" s="3210" t="s">
        <v>990</v>
      </c>
      <c r="F4" s="3211"/>
      <c r="G4" s="3212"/>
      <c r="H4" s="3211"/>
      <c r="I4" s="3211"/>
      <c r="J4" s="3213"/>
      <c r="K4" s="3214"/>
      <c r="L4" s="3214"/>
      <c r="M4" s="3214"/>
    </row>
    <row r="5" spans="1:189" s="3207" customFormat="1" ht="15">
      <c r="D5" s="3209" t="s">
        <v>1942</v>
      </c>
      <c r="E5" s="3215" t="s">
        <v>991</v>
      </c>
      <c r="F5" s="3216"/>
      <c r="G5" s="3217" t="str">
        <f>'Transfer FDMS+ A'!J5</f>
        <v>Sweden</v>
      </c>
      <c r="H5" s="3211"/>
      <c r="I5" s="3211"/>
      <c r="J5" s="3213"/>
      <c r="K5" s="3214"/>
      <c r="L5" s="3214"/>
      <c r="M5" s="3214"/>
    </row>
    <row r="6" spans="1:189" s="3207" customFormat="1" ht="15">
      <c r="D6" s="3209" t="s">
        <v>1943</v>
      </c>
      <c r="E6" s="3218" t="s">
        <v>694</v>
      </c>
      <c r="F6" s="3219"/>
      <c r="G6" s="3220" t="str">
        <f>'Transfer FDMS+ A'!J6</f>
        <v>SWE</v>
      </c>
      <c r="H6" s="3211"/>
      <c r="I6" s="3211"/>
      <c r="J6" s="3213"/>
      <c r="K6" s="3214"/>
      <c r="L6" s="3214"/>
      <c r="M6" s="3214"/>
    </row>
    <row r="7" spans="1:189" s="3202" customFormat="1">
      <c r="F7" s="3202" t="s">
        <v>2066</v>
      </c>
      <c r="G7" s="3202" t="str">
        <f>'Transfer FDMS+ A'!J7</f>
        <v>SE</v>
      </c>
      <c r="K7" s="3205"/>
      <c r="L7" s="3205"/>
      <c r="M7" s="3205"/>
      <c r="N7" s="3205"/>
      <c r="O7" s="3205"/>
      <c r="P7" s="3205"/>
      <c r="Q7" s="3205"/>
    </row>
    <row r="8" spans="1:189" s="3202" customFormat="1" ht="13.15">
      <c r="I8" s="3222"/>
      <c r="K8" s="3205"/>
      <c r="L8" s="3205"/>
      <c r="M8" s="3205"/>
      <c r="N8" s="3205"/>
      <c r="O8" s="3205"/>
      <c r="P8" s="3205"/>
      <c r="Q8" s="3205"/>
    </row>
    <row r="9" spans="1:189" s="3223" customFormat="1" ht="13.15">
      <c r="D9" s="3225"/>
      <c r="E9" s="3226">
        <v>1</v>
      </c>
      <c r="F9" s="3226">
        <f t="shared" ref="F9:Q9" si="0">E9+1</f>
        <v>2</v>
      </c>
      <c r="G9" s="3226">
        <f t="shared" si="0"/>
        <v>3</v>
      </c>
      <c r="H9" s="3226">
        <f t="shared" si="0"/>
        <v>4</v>
      </c>
      <c r="I9" s="3226">
        <f t="shared" si="0"/>
        <v>5</v>
      </c>
      <c r="J9" s="3226">
        <f t="shared" si="0"/>
        <v>6</v>
      </c>
      <c r="K9" s="3226">
        <f t="shared" si="0"/>
        <v>7</v>
      </c>
      <c r="L9" s="3226">
        <f t="shared" si="0"/>
        <v>8</v>
      </c>
      <c r="M9" s="3226">
        <f t="shared" si="0"/>
        <v>9</v>
      </c>
      <c r="N9" s="3226">
        <f t="shared" si="0"/>
        <v>10</v>
      </c>
      <c r="O9" s="3226">
        <f t="shared" si="0"/>
        <v>11</v>
      </c>
      <c r="P9" s="3226">
        <f t="shared" si="0"/>
        <v>12</v>
      </c>
      <c r="Q9" s="3226">
        <f t="shared" si="0"/>
        <v>13</v>
      </c>
    </row>
    <row r="10" spans="1:189">
      <c r="D10" s="3232" t="s">
        <v>2067</v>
      </c>
      <c r="E10" s="3228" t="s">
        <v>2068</v>
      </c>
      <c r="F10" s="3230"/>
      <c r="I10" s="3228" t="str">
        <f>Last_forecast_year-2 &amp; "Q1"</f>
        <v>2018Q1</v>
      </c>
      <c r="J10" s="3228" t="str">
        <f>Last_forecast_year-2 &amp; "Q2"</f>
        <v>2018Q2</v>
      </c>
      <c r="K10" s="3228" t="str">
        <f>Last_forecast_year-2 &amp; "Q3"</f>
        <v>2018Q3</v>
      </c>
      <c r="L10" s="3228" t="str">
        <f>Last_forecast_year-2 &amp; "Q4"</f>
        <v>2018Q4</v>
      </c>
      <c r="M10" s="3228" t="str">
        <f>Last_forecast_year-1 &amp; "Q1"</f>
        <v>2019Q1</v>
      </c>
      <c r="N10" s="3228" t="str">
        <f>Last_forecast_year-1 &amp; "Q2"</f>
        <v>2019Q2</v>
      </c>
      <c r="O10" s="3228" t="str">
        <f>Last_forecast_year-1 &amp; "Q3"</f>
        <v>2019Q3</v>
      </c>
      <c r="P10" s="3228" t="str">
        <f>Last_forecast_year-1 &amp; "Q4"</f>
        <v>2019Q4</v>
      </c>
      <c r="Q10" s="3228" t="str">
        <f>Last_forecast_year &amp; "Q1"</f>
        <v>2020Q1</v>
      </c>
      <c r="R10" s="3228" t="str">
        <f>Last_forecast_year &amp; "Q2"</f>
        <v>2020Q2</v>
      </c>
      <c r="S10" s="3228" t="str">
        <f>Last_forecast_year &amp; "Q3"</f>
        <v>2020Q3</v>
      </c>
      <c r="T10" s="3228" t="str">
        <f>Last_forecast_year &amp; "Q4"</f>
        <v>2020Q4</v>
      </c>
      <c r="CB10" s="3227"/>
      <c r="CC10" s="3227"/>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row>
    <row r="11" spans="1:189">
      <c r="A11" s="3383" t="s">
        <v>2070</v>
      </c>
      <c r="B11" s="3383" t="s">
        <v>2071</v>
      </c>
      <c r="C11" s="3383" t="s">
        <v>2072</v>
      </c>
      <c r="D11" s="3383" t="s">
        <v>2073</v>
      </c>
      <c r="E11" s="3383" t="s">
        <v>2291</v>
      </c>
      <c r="F11" s="3383"/>
      <c r="G11" s="3383"/>
      <c r="H11" s="3383" t="s">
        <v>2204</v>
      </c>
      <c r="I11" s="3383" t="s">
        <v>2205</v>
      </c>
      <c r="J11" s="3383" t="s">
        <v>2206</v>
      </c>
      <c r="K11" s="3383" t="s">
        <v>2207</v>
      </c>
      <c r="L11" s="3383" t="s">
        <v>2208</v>
      </c>
      <c r="M11" s="3383" t="s">
        <v>2209</v>
      </c>
      <c r="N11" s="3383" t="s">
        <v>2210</v>
      </c>
      <c r="O11" s="3383" t="s">
        <v>2211</v>
      </c>
      <c r="P11" s="3383" t="s">
        <v>2212</v>
      </c>
      <c r="Q11" s="3383" t="s">
        <v>2213</v>
      </c>
      <c r="R11" s="3383" t="s">
        <v>2214</v>
      </c>
      <c r="S11" s="3383" t="s">
        <v>2215</v>
      </c>
      <c r="T11" s="3383" t="s">
        <v>2216</v>
      </c>
      <c r="U11" s="3383" t="s">
        <v>2217</v>
      </c>
      <c r="V11" s="3383" t="s">
        <v>2218</v>
      </c>
      <c r="W11" s="3383" t="s">
        <v>2219</v>
      </c>
      <c r="X11" s="3383" t="s">
        <v>2220</v>
      </c>
      <c r="Y11" s="3383" t="s">
        <v>2221</v>
      </c>
      <c r="Z11" s="3383" t="s">
        <v>2222</v>
      </c>
      <c r="AA11" s="3383" t="s">
        <v>2223</v>
      </c>
      <c r="AB11" s="3383" t="s">
        <v>2224</v>
      </c>
      <c r="AC11" s="3383" t="s">
        <v>2225</v>
      </c>
      <c r="AD11" s="3383" t="s">
        <v>2226</v>
      </c>
      <c r="AE11" s="3383" t="s">
        <v>2227</v>
      </c>
      <c r="AF11" s="3383" t="s">
        <v>2228</v>
      </c>
      <c r="AG11" s="3383" t="s">
        <v>2229</v>
      </c>
      <c r="AH11" s="3383" t="s">
        <v>2230</v>
      </c>
      <c r="AI11" s="3383" t="s">
        <v>2231</v>
      </c>
      <c r="AJ11" s="3383" t="s">
        <v>2232</v>
      </c>
      <c r="AK11" s="3383" t="s">
        <v>2233</v>
      </c>
      <c r="AL11" s="3383" t="s">
        <v>2234</v>
      </c>
      <c r="AM11" s="3383" t="s">
        <v>2235</v>
      </c>
      <c r="AN11" s="3383" t="s">
        <v>2236</v>
      </c>
      <c r="AO11" s="3383" t="s">
        <v>2237</v>
      </c>
      <c r="AP11" s="3383" t="s">
        <v>2238</v>
      </c>
      <c r="AQ11" s="3383" t="s">
        <v>2239</v>
      </c>
      <c r="AR11" s="3383" t="s">
        <v>2240</v>
      </c>
      <c r="AS11" s="3383" t="s">
        <v>2241</v>
      </c>
      <c r="AT11" s="3383" t="s">
        <v>2242</v>
      </c>
      <c r="AU11" s="3383" t="s">
        <v>2243</v>
      </c>
      <c r="AV11" s="3383" t="s">
        <v>879</v>
      </c>
      <c r="AW11" s="3383" t="s">
        <v>880</v>
      </c>
      <c r="AX11" s="3383" t="s">
        <v>881</v>
      </c>
      <c r="AY11" s="3383" t="s">
        <v>882</v>
      </c>
      <c r="AZ11" s="3383" t="s">
        <v>883</v>
      </c>
      <c r="BA11" s="3383" t="s">
        <v>884</v>
      </c>
      <c r="BB11" s="3383" t="s">
        <v>885</v>
      </c>
      <c r="BC11" s="3383" t="s">
        <v>886</v>
      </c>
      <c r="BD11" s="3383" t="s">
        <v>887</v>
      </c>
      <c r="BE11" s="3383" t="s">
        <v>888</v>
      </c>
      <c r="BF11" s="3383" t="s">
        <v>889</v>
      </c>
      <c r="BG11" s="3383" t="s">
        <v>890</v>
      </c>
      <c r="BH11" s="3383" t="s">
        <v>2244</v>
      </c>
      <c r="BI11" s="3383" t="s">
        <v>2245</v>
      </c>
      <c r="BJ11" s="3383" t="s">
        <v>2246</v>
      </c>
      <c r="BK11" s="3383" t="s">
        <v>2247</v>
      </c>
      <c r="BL11" s="3383" t="s">
        <v>2248</v>
      </c>
      <c r="BM11" s="3383" t="s">
        <v>2249</v>
      </c>
      <c r="BN11" s="3383" t="s">
        <v>2250</v>
      </c>
      <c r="BO11" s="3383" t="s">
        <v>2251</v>
      </c>
      <c r="BP11" s="3383" t="s">
        <v>2252</v>
      </c>
      <c r="BQ11" s="3383" t="s">
        <v>2253</v>
      </c>
      <c r="BR11" s="3383" t="s">
        <v>2254</v>
      </c>
      <c r="BS11" s="3383" t="s">
        <v>2255</v>
      </c>
      <c r="BT11" s="3383" t="s">
        <v>2256</v>
      </c>
      <c r="BU11" s="3383" t="s">
        <v>2257</v>
      </c>
      <c r="BV11" s="3383" t="s">
        <v>2258</v>
      </c>
      <c r="BW11" s="3383" t="s">
        <v>2259</v>
      </c>
      <c r="BX11" s="3383" t="s">
        <v>2260</v>
      </c>
      <c r="BY11" s="3383" t="s">
        <v>2261</v>
      </c>
      <c r="BZ11" s="3383" t="s">
        <v>2262</v>
      </c>
      <c r="CA11" s="3383" t="s">
        <v>2263</v>
      </c>
      <c r="CB11" s="3383" t="s">
        <v>2264</v>
      </c>
      <c r="CC11" s="3383" t="s">
        <v>2265</v>
      </c>
      <c r="CD11" s="3383" t="s">
        <v>2266</v>
      </c>
      <c r="CE11" s="3383" t="s">
        <v>2267</v>
      </c>
      <c r="CF11" s="3383" t="s">
        <v>2287</v>
      </c>
      <c r="CG11" s="3383" t="s">
        <v>2288</v>
      </c>
      <c r="CH11" s="3383" t="s">
        <v>2289</v>
      </c>
      <c r="CI11" s="3383" t="s">
        <v>2290</v>
      </c>
      <c r="CJ11" s="3383" t="s">
        <v>2405</v>
      </c>
      <c r="CK11" s="3383" t="s">
        <v>2406</v>
      </c>
      <c r="CL11" s="3383" t="s">
        <v>2407</v>
      </c>
      <c r="CM11" s="3383" t="s">
        <v>2408</v>
      </c>
      <c r="CN11" s="3383" t="s">
        <v>2437</v>
      </c>
      <c r="CO11" s="3383" t="s">
        <v>2438</v>
      </c>
      <c r="CP11" s="3383" t="s">
        <v>2439</v>
      </c>
      <c r="CQ11" s="3383" t="s">
        <v>2440</v>
      </c>
      <c r="CR11" s="3383" t="s">
        <v>2458</v>
      </c>
      <c r="CS11" s="3383" t="s">
        <v>2459</v>
      </c>
      <c r="CT11" s="3383" t="s">
        <v>2460</v>
      </c>
      <c r="CU11" s="3383" t="s">
        <v>2461</v>
      </c>
      <c r="CV11" s="3383" t="s">
        <v>2483</v>
      </c>
      <c r="CW11" s="3383" t="s">
        <v>2484</v>
      </c>
      <c r="CX11" s="3383" t="s">
        <v>2485</v>
      </c>
      <c r="CY11" s="3383" t="s">
        <v>2486</v>
      </c>
      <c r="CZ11" s="3383" t="s">
        <v>2595</v>
      </c>
      <c r="DA11" s="3383" t="s">
        <v>2596</v>
      </c>
      <c r="DB11" s="3383" t="s">
        <v>2597</v>
      </c>
      <c r="DC11" s="3383" t="s">
        <v>2598</v>
      </c>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row>
    <row r="12" spans="1:189">
      <c r="A12" s="3383" t="str">
        <f t="shared" ref="A12:A28" si="1">CONCATENATE($F$7, $G$7)</f>
        <v>\\DG ECFIN\Forecast\Country databases\Desk transfer databases\SE</v>
      </c>
      <c r="B12" s="3383" t="str">
        <f t="shared" ref="B12:B28" si="2">$G$7</f>
        <v>SE</v>
      </c>
      <c r="C12" s="3383" t="s">
        <v>2268</v>
      </c>
      <c r="D12" s="3383" t="s">
        <v>2075</v>
      </c>
      <c r="E12" s="3383" t="s">
        <v>2292</v>
      </c>
      <c r="F12" s="3383">
        <v>15</v>
      </c>
      <c r="G12" s="3383" t="s">
        <v>2275</v>
      </c>
      <c r="H12" s="3383">
        <f>IF(ISNUMBER('Q1'!K6),'Q1'!K6,"n.a.")</f>
        <v>0.67946133637346584</v>
      </c>
      <c r="I12" s="3383">
        <f>IF(ISNUMBER('Q1'!L6),'Q1'!L6,"n.a.")</f>
        <v>7.7550171853491001E-2</v>
      </c>
      <c r="J12" s="3383">
        <f>IF(ISNUMBER('Q1'!M6),'Q1'!M6,"n.a.")</f>
        <v>1.6483506677674287</v>
      </c>
      <c r="K12" s="3383">
        <f>IF(ISNUMBER('Q1'!N6),'Q1'!N6,"n.a.")</f>
        <v>5.6042671086387053E-2</v>
      </c>
      <c r="L12" s="3383">
        <f>IF(ISNUMBER('Q1'!O6),'Q1'!O6,"n.a.")</f>
        <v>0.78903610762308674</v>
      </c>
      <c r="M12" s="3383">
        <f>IF(ISNUMBER('Q1'!P6),'Q1'!P6,"n.a.")</f>
        <v>1.6170776998853276</v>
      </c>
      <c r="N12" s="3383">
        <f>IF(ISNUMBER('Q1'!Q6),'Q1'!Q6,"n.a.")</f>
        <v>-0.46718179793376891</v>
      </c>
      <c r="O12" s="3383">
        <f>IF(ISNUMBER('Q1'!R6),'Q1'!R6,"n.a.")</f>
        <v>0.78582553337402938</v>
      </c>
      <c r="P12" s="3383">
        <f>IF(ISNUMBER('Q1'!S6),'Q1'!S6,"n.a.")</f>
        <v>0.7569148452865937</v>
      </c>
      <c r="Q12" s="3383">
        <f>IF(ISNUMBER('Q1'!T6),'Q1'!T6,"n.a.")</f>
        <v>1.227276934170618</v>
      </c>
      <c r="R12" s="3383">
        <f>IF(ISNUMBER('Q1'!U6),'Q1'!U6,"n.a.")</f>
        <v>0.89369979322830861</v>
      </c>
      <c r="S12" s="3383">
        <f>IF(ISNUMBER('Q1'!V6),'Q1'!V6,"n.a.")</f>
        <v>1.309771302870244</v>
      </c>
      <c r="T12" s="3383">
        <f>IF(ISNUMBER('Q1'!W6),'Q1'!W6,"n.a.")</f>
        <v>0.40356547822852917</v>
      </c>
      <c r="U12" s="3383">
        <f>IF(ISNUMBER('Q1'!X6),'Q1'!X6,"n.a.")</f>
        <v>0.45826831164204052</v>
      </c>
      <c r="V12" s="3383">
        <f>IF(ISNUMBER('Q1'!Y6),'Q1'!Y6,"n.a.")</f>
        <v>1.3582683240184412</v>
      </c>
      <c r="W12" s="3383">
        <f>IF(ISNUMBER('Q1'!Z6),'Q1'!Z6,"n.a.")</f>
        <v>2.929827338987212</v>
      </c>
      <c r="X12" s="3383">
        <f>IF(ISNUMBER('Q1'!AA6),'Q1'!AA6,"n.a.")</f>
        <v>0.83870053726529115</v>
      </c>
      <c r="Y12" s="3383">
        <f>IF(ISNUMBER('Q1'!AB6),'Q1'!AB6,"n.a.")</f>
        <v>1.6840143384227124</v>
      </c>
      <c r="Z12" s="3383">
        <f>IF(ISNUMBER('Q1'!AC6),'Q1'!AC6,"n.a.")</f>
        <v>0.41602024105489299</v>
      </c>
      <c r="AA12" s="3383">
        <f>IF(ISNUMBER('Q1'!AD6),'Q1'!AD6,"n.a.")</f>
        <v>-0.17164583742212969</v>
      </c>
      <c r="AB12" s="3383">
        <f>IF(ISNUMBER('Q1'!AE6),'Q1'!AE6,"n.a.")</f>
        <v>8.1184247953669519E-2</v>
      </c>
      <c r="AC12" s="3383">
        <f>IF(ISNUMBER('Q1'!AF6),'Q1'!AF6,"n.a.")</f>
        <v>0.38407137449969486</v>
      </c>
      <c r="AD12" s="3383">
        <f>IF(ISNUMBER('Q1'!AG6),'Q1'!AG6,"n.a.")</f>
        <v>5.4515269401322897E-2</v>
      </c>
      <c r="AE12" s="3383">
        <f>IF(ISNUMBER('Q1'!AH6),'Q1'!AH6,"n.a.")</f>
        <v>-0.39719013594270436</v>
      </c>
      <c r="AF12" s="3383">
        <f>IF(ISNUMBER('Q1'!AI6),'Q1'!AI6,"n.a.")</f>
        <v>1.6442318456460159</v>
      </c>
      <c r="AG12" s="3383">
        <f>IF(ISNUMBER('Q1'!AJ6),'Q1'!AJ6,"n.a.")</f>
        <v>0.74297345358231848</v>
      </c>
      <c r="AH12" s="3383">
        <f>IF(ISNUMBER('Q1'!AK6),'Q1'!AK6,"n.a.")</f>
        <v>0.3047481499122151</v>
      </c>
      <c r="AI12" s="3383">
        <f>IF(ISNUMBER('Q1'!AL6),'Q1'!AL6,"n.a.")</f>
        <v>1.4721269443269236</v>
      </c>
      <c r="AJ12" s="3383">
        <f>IF(ISNUMBER('Q1'!AM6),'Q1'!AM6,"n.a.")</f>
        <v>2.8275132717503482E-2</v>
      </c>
      <c r="AK12" s="3383">
        <f>IF(ISNUMBER('Q1'!AN6),'Q1'!AN6,"n.a.")</f>
        <v>0.21940408573359882</v>
      </c>
      <c r="AL12" s="3383">
        <f>IF(ISNUMBER('Q1'!AO6),'Q1'!AO6,"n.a.")</f>
        <v>1.2435796119431686</v>
      </c>
      <c r="AM12" s="3383">
        <f>IF(ISNUMBER('Q1'!AP6),'Q1'!AP6,"n.a.")</f>
        <v>0.4348148175691291</v>
      </c>
      <c r="AN12" s="3383">
        <f>IF(ISNUMBER('Q1'!AQ6),'Q1'!AQ6,"n.a.")</f>
        <v>1.2232717235817203</v>
      </c>
      <c r="AO12" s="3383">
        <f>IF(ISNUMBER('Q1'!AR6),'Q1'!AR6,"n.a.")</f>
        <v>-0.41883806269319424</v>
      </c>
      <c r="AP12" s="3383">
        <f>IF(ISNUMBER('Q1'!AS6),'Q1'!AS6,"n.a.")</f>
        <v>1.0961810666568761</v>
      </c>
      <c r="AQ12" s="3383">
        <f>IF(ISNUMBER('Q1'!AT6),'Q1'!AT6,"n.a.")</f>
        <v>0.56817975395364595</v>
      </c>
      <c r="AR12" s="3383">
        <f>IF(ISNUMBER('Q1'!AU6),'Q1'!AU6,"n.a.")</f>
        <v>0.58044795198133325</v>
      </c>
      <c r="AS12" s="3383">
        <f>IF(ISNUMBER('Q1'!AV6),'Q1'!AV6,"n.a.")</f>
        <v>0.6481027150801344</v>
      </c>
      <c r="AT12" s="3383">
        <f>IF(ISNUMBER('Q1'!AW6),'Q1'!AW6,"n.a.")</f>
        <v>1.3165718075425659</v>
      </c>
      <c r="AU12" s="3383">
        <f>IF(ISNUMBER('Q1'!AX6),'Q1'!AX6,"n.a.")</f>
        <v>0.53601986286302417</v>
      </c>
      <c r="AV12" s="3383">
        <f>IF(ISNUMBER('Q1'!AY6),'Q1'!AY6,"n.a.")</f>
        <v>0.16797405982496016</v>
      </c>
      <c r="AW12" s="3383">
        <f>IF(ISNUMBER('Q1'!AZ6),'Q1'!AZ6,"n.a.")</f>
        <v>1.253697612946203</v>
      </c>
      <c r="AX12" s="3383">
        <f>IF(ISNUMBER('Q1'!BA6),'Q1'!BA6,"n.a.")</f>
        <v>0.19619909425314663</v>
      </c>
      <c r="AY12" s="3383">
        <f>IF(ISNUMBER('Q1'!BB6),'Q1'!BB6,"n.a.")</f>
        <v>1.2955235184735292</v>
      </c>
      <c r="AZ12" s="3383">
        <f>IF(ISNUMBER('Q1'!BC6),'Q1'!BC6,"n.a.")</f>
        <v>0.74206213425394019</v>
      </c>
      <c r="BA12" s="3383">
        <f>IF(ISNUMBER('Q1'!BD6),'Q1'!BD6,"n.a.")</f>
        <v>0.721419836147974</v>
      </c>
      <c r="BB12" s="3383">
        <f>IF(ISNUMBER('Q1'!BE6),'Q1'!BE6,"n.a.")</f>
        <v>1.7198990574237794</v>
      </c>
      <c r="BC12" s="3383">
        <f>IF(ISNUMBER('Q1'!BF6),'Q1'!BF6,"n.a.")</f>
        <v>1.1154010827570726</v>
      </c>
      <c r="BD12" s="3383">
        <f>IF(ISNUMBER('Q1'!BG6),'Q1'!BG6,"n.a.")</f>
        <v>-1.0314303037022743</v>
      </c>
      <c r="BE12" s="3383">
        <f>IF(ISNUMBER('Q1'!BH6),'Q1'!BH6,"n.a.")</f>
        <v>-9.3780454887282261E-4</v>
      </c>
      <c r="BF12" s="3383">
        <f>IF(ISNUMBER('Q1'!BI6),'Q1'!BI6,"n.a.")</f>
        <v>-0.69986221747738719</v>
      </c>
      <c r="BG12" s="3383">
        <f>IF(ISNUMBER('Q1'!BJ6),'Q1'!BJ6,"n.a.")</f>
        <v>-1.1016056212057257</v>
      </c>
      <c r="BH12" s="3383">
        <f>IF(ISNUMBER('Q1'!BK6),'Q1'!BK6,"n.a.")</f>
        <v>0.33848847539010851</v>
      </c>
      <c r="BI12" s="3383">
        <f>IF(ISNUMBER('Q1'!BL6),'Q1'!BL6,"n.a.")</f>
        <v>1.3183911383949365</v>
      </c>
      <c r="BJ12" s="3383">
        <f>IF(ISNUMBER('Q1'!BM6),'Q1'!BM6,"n.a.")</f>
        <v>0.32049166427179365</v>
      </c>
      <c r="BK12" s="3383">
        <f>IF(ISNUMBER('Q1'!BN6),'Q1'!BN6,"n.a.")</f>
        <v>0.24949564375900124</v>
      </c>
      <c r="BL12" s="3383">
        <f>IF(ISNUMBER('Q1'!BO6),'Q1'!BO6,"n.a.")</f>
        <v>2.2381558583249417</v>
      </c>
      <c r="BM12" s="3383">
        <f>IF(ISNUMBER('Q1'!BP6),'Q1'!BP6,"n.a.")</f>
        <v>7.0541572615345771E-2</v>
      </c>
      <c r="BN12" s="3383">
        <f>IF(ISNUMBER('Q1'!BQ6),'Q1'!BQ6,"n.a.")</f>
        <v>1.2543452906289998</v>
      </c>
      <c r="BO12" s="3383">
        <f>IF(ISNUMBER('Q1'!BR6),'Q1'!BR6,"n.a.")</f>
        <v>0.61499263241848734</v>
      </c>
      <c r="BP12" s="3383">
        <f>IF(ISNUMBER('Q1'!BS6),'Q1'!BS6,"n.a.")</f>
        <v>0.26798081000680707</v>
      </c>
      <c r="BQ12" s="3383">
        <f>IF(ISNUMBER('Q1'!BT6),'Q1'!BT6,"n.a.")</f>
        <v>0.95372276751337637</v>
      </c>
      <c r="BR12" s="3383">
        <f>IF(ISNUMBER('Q1'!BU6),'Q1'!BU6,"n.a.")</f>
        <v>-0.40434713847836701</v>
      </c>
      <c r="BS12" s="3383">
        <f>IF(ISNUMBER('Q1'!BV6),'Q1'!BV6,"n.a.")</f>
        <v>-0.11963455247668842</v>
      </c>
      <c r="BT12" s="3383">
        <f>IF(ISNUMBER('Q1'!BW6),'Q1'!BW6,"n.a.")</f>
        <v>0.50751654100815724</v>
      </c>
      <c r="BU12" s="3383">
        <f>IF(ISNUMBER('Q1'!BX6),'Q1'!BX6,"n.a.")</f>
        <v>0.22551939576882507</v>
      </c>
      <c r="BV12" s="3383">
        <f>IF(ISNUMBER('Q1'!BY6),'Q1'!BY6,"n.a.")</f>
        <v>0.40172178074611153</v>
      </c>
      <c r="BW12" s="3383">
        <f>IF(ISNUMBER('Q1'!BZ6),'Q1'!BZ6,"n.a.")</f>
        <v>0.36660707954037086</v>
      </c>
      <c r="BX12" s="3383">
        <f>IF(ISNUMBER('Q1'!CA6),'Q1'!CA6,"n.a.")</f>
        <v>0.43118491975879802</v>
      </c>
      <c r="BY12" s="3383">
        <f>IF(ISNUMBER('Q1'!CB6),'Q1'!CB6,"n.a.")</f>
        <v>0.38358811898382417</v>
      </c>
      <c r="BZ12" s="3383">
        <f>IF(ISNUMBER('Q1'!CC6),'Q1'!CC6,"n.a.")</f>
        <v>0.9613341731454339</v>
      </c>
      <c r="CA12" s="3383">
        <f>IF(ISNUMBER('Q1'!CD6),'Q1'!CD6,"n.a.")</f>
        <v>0.44715519071543142</v>
      </c>
      <c r="CB12" s="3383">
        <f>IF(ISNUMBER('Q1'!CE6),'Q1'!CE6,"n.a.")</f>
        <v>5.5689029492933528E-2</v>
      </c>
      <c r="CC12" s="3383">
        <f>IF(ISNUMBER('Q1'!CF6),'Q1'!CF6,"n.a.")</f>
        <v>1.4309882068894497</v>
      </c>
      <c r="CD12" s="3383">
        <f>IF(ISNUMBER('Q1'!CG6),'Q1'!CG6,"n.a.")</f>
        <v>-0.18320622540369813</v>
      </c>
      <c r="CE12" s="3383">
        <f>IF(ISNUMBER('Q1'!CH6),'Q1'!CH6,"n.a.")</f>
        <v>0.84473467781693845</v>
      </c>
      <c r="CF12" s="3383">
        <f>IF(ISNUMBER('Q1'!CI6),'Q1'!CI6,"n.a.")</f>
        <v>0.90646352640126882</v>
      </c>
      <c r="CG12" s="3383">
        <f>IF(ISNUMBER('Q1'!CJ6),'Q1'!CJ6,"n.a.")</f>
        <v>0.67896741019379814</v>
      </c>
      <c r="CH12" s="3383">
        <f>IF(ISNUMBER('Q1'!CK6),'Q1'!CK6,"n.a.")</f>
        <v>0.85642274632733439</v>
      </c>
      <c r="CI12" s="3383">
        <f>IF(ISNUMBER('Q1'!CL6),'Q1'!CL6,"n.a.")</f>
        <v>1.0185687034055535</v>
      </c>
      <c r="CJ12" s="3383">
        <f>IF(ISNUMBER('Q1'!CM6),'Q1'!CM6,"n.a.")</f>
        <v>1.0152243099768699</v>
      </c>
      <c r="CK12" s="3383">
        <f>IF(ISNUMBER('Q1'!CN6),'Q1'!CN6,"n.a.")</f>
        <v>-0.10746463734319089</v>
      </c>
      <c r="CL12" s="3383">
        <f>IF(ISNUMBER('Q1'!CO6),'Q1'!CO6,"n.a.")</f>
        <v>0.71880895003371137</v>
      </c>
      <c r="CM12" s="3383">
        <f>IF(ISNUMBER('Q1'!CP6),'Q1'!CP6,"n.a.")</f>
        <v>0.3974467657472891</v>
      </c>
      <c r="CN12" s="3383">
        <f>IF(ISNUMBER('Q1'!CQ6),'Q1'!CQ6,"n.a.")</f>
        <v>0.83079710168274534</v>
      </c>
      <c r="CO12" s="3383">
        <f>IF(ISNUMBER('Q1'!CR6),'Q1'!CR6,"n.a.")</f>
        <v>0.50425982492889876</v>
      </c>
      <c r="CP12" s="3383">
        <f>IF(ISNUMBER('Q1'!CS6),'Q1'!CS6,"n.a.")</f>
        <v>0.4679010351687829</v>
      </c>
      <c r="CQ12" s="3383">
        <f>IF(ISNUMBER('Q1'!CT6),'Q1'!CT6,"n.a.")</f>
        <v>0.75456444399344402</v>
      </c>
      <c r="CR12" s="3383">
        <f>IF(ISNUMBER('Q1'!CU6),'Q1'!CU6,"n.a.")</f>
        <v>0.49077426875407948</v>
      </c>
      <c r="CS12" s="3383">
        <f>IF(ISNUMBER('Q1'!CV6),'Q1'!CV6,"n.a.")</f>
        <v>0.85425419505966715</v>
      </c>
      <c r="CT12" s="3383">
        <f>IF(ISNUMBER('Q1'!CW6),'Q1'!CW6,"n.a.")</f>
        <v>0.32</v>
      </c>
      <c r="CU12" s="3383">
        <f>IF(ISNUMBER('Q1'!CX6),'Q1'!CX6,"n.a.")</f>
        <v>0.66</v>
      </c>
      <c r="CV12" s="3383">
        <f>IF(ISNUMBER('Q1'!CY6),'Q1'!CY6,"n.a.")</f>
        <v>0.74</v>
      </c>
      <c r="CW12" s="3383">
        <f>IF(ISNUMBER('Q1'!CZ6),'Q1'!CZ6,"n.a.")</f>
        <v>0.52</v>
      </c>
      <c r="CX12" s="3383">
        <f>IF(ISNUMBER('Q1'!DA6),'Q1'!DA6,"n.a.")</f>
        <v>0.43</v>
      </c>
      <c r="CY12" s="3383">
        <f>IF(ISNUMBER('Q1'!DB6),'Q1'!DB6,"n.a.")</f>
        <v>0.35</v>
      </c>
      <c r="CZ12" s="3383">
        <f>IF(ISNUMBER('Q1'!DC6),'Q1'!DC6,"n.a.")</f>
        <v>0.71</v>
      </c>
      <c r="DA12" s="3383">
        <f>IF(ISNUMBER('Q1'!DD6),'Q1'!DD6,"n.a.")</f>
        <v>0.53</v>
      </c>
      <c r="DB12" s="3383">
        <f>IF(ISNUMBER('Q1'!DE6),'Q1'!DE6,"n.a.")</f>
        <v>0.55000000000000004</v>
      </c>
      <c r="DC12" s="3383">
        <f>IF(ISNUMBER('Q1'!DF6),'Q1'!DF6,"n.a.")</f>
        <v>0.39</v>
      </c>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row>
    <row r="13" spans="1:189">
      <c r="A13" s="3383" t="str">
        <f t="shared" si="1"/>
        <v>\\DG ECFIN\Forecast\Country databases\Desk transfer databases\SE</v>
      </c>
      <c r="B13" s="3383" t="str">
        <f t="shared" si="2"/>
        <v>SE</v>
      </c>
      <c r="C13" s="3383" t="s">
        <v>2268</v>
      </c>
      <c r="D13" s="3383" t="s">
        <v>2077</v>
      </c>
      <c r="E13" s="3383" t="s">
        <v>2292</v>
      </c>
      <c r="F13" s="3383">
        <v>16</v>
      </c>
      <c r="G13" s="3383" t="s">
        <v>2276</v>
      </c>
      <c r="H13" s="3383">
        <f>IF(ISNUMBER('Q1'!K7),'Q1'!K7,"n.a.")</f>
        <v>-0.52944103980275825</v>
      </c>
      <c r="I13" s="3383">
        <f>IF(ISNUMBER('Q1'!L7),'Q1'!L7,"n.a.")</f>
        <v>5.0344610942265611E-2</v>
      </c>
      <c r="J13" s="3383">
        <f>IF(ISNUMBER('Q1'!M7),'Q1'!M7,"n.a.")</f>
        <v>-0.14269258040167099</v>
      </c>
      <c r="K13" s="3383">
        <f>IF(ISNUMBER('Q1'!N7),'Q1'!N7,"n.a.")</f>
        <v>1.582324772211563</v>
      </c>
      <c r="L13" s="3383">
        <f>IF(ISNUMBER('Q1'!O7),'Q1'!O7,"n.a.")</f>
        <v>-2.9675094433799565</v>
      </c>
      <c r="M13" s="3383">
        <f>IF(ISNUMBER('Q1'!P7),'Q1'!P7,"n.a.")</f>
        <v>1.3080286882215519</v>
      </c>
      <c r="N13" s="3383">
        <f>IF(ISNUMBER('Q1'!Q7),'Q1'!Q7,"n.a.")</f>
        <v>1.937935395550161</v>
      </c>
      <c r="O13" s="3383">
        <f>IF(ISNUMBER('Q1'!R7),'Q1'!R7,"n.a.")</f>
        <v>-0.28198819577159862</v>
      </c>
      <c r="P13" s="3383">
        <f>IF(ISNUMBER('Q1'!S7),'Q1'!S7,"n.a.")</f>
        <v>1.2002233975609844</v>
      </c>
      <c r="Q13" s="3383">
        <f>IF(ISNUMBER('Q1'!T7),'Q1'!T7,"n.a.")</f>
        <v>0.47083804205159119</v>
      </c>
      <c r="R13" s="3383">
        <f>IF(ISNUMBER('Q1'!U7),'Q1'!U7,"n.a.")</f>
        <v>1.7858538944941049</v>
      </c>
      <c r="S13" s="3383">
        <f>IF(ISNUMBER('Q1'!V7),'Q1'!V7,"n.a.")</f>
        <v>0.24866364352196246</v>
      </c>
      <c r="T13" s="3383">
        <f>IF(ISNUMBER('Q1'!W7),'Q1'!W7,"n.a.")</f>
        <v>0.34606933744603108</v>
      </c>
      <c r="U13" s="3383">
        <f>IF(ISNUMBER('Q1'!X7),'Q1'!X7,"n.a.")</f>
        <v>0.12827548292959623</v>
      </c>
      <c r="V13" s="3383">
        <f>IF(ISNUMBER('Q1'!Y7),'Q1'!Y7,"n.a.")</f>
        <v>-0.52621998317434748</v>
      </c>
      <c r="W13" s="3383">
        <f>IF(ISNUMBER('Q1'!Z7),'Q1'!Z7,"n.a.")</f>
        <v>8.7887021901034146E-2</v>
      </c>
      <c r="X13" s="3383">
        <f>IF(ISNUMBER('Q1'!AA7),'Q1'!AA7,"n.a.")</f>
        <v>-0.64298353849476797</v>
      </c>
      <c r="Y13" s="3383">
        <f>IF(ISNUMBER('Q1'!AB7),'Q1'!AB7,"n.a.")</f>
        <v>-3.4117827858148875E-2</v>
      </c>
      <c r="Z13" s="3383">
        <f>IF(ISNUMBER('Q1'!AC7),'Q1'!AC7,"n.a.")</f>
        <v>0.50094701822345211</v>
      </c>
      <c r="AA13" s="3383">
        <f>IF(ISNUMBER('Q1'!AD7),'Q1'!AD7,"n.a.")</f>
        <v>-0.54547830710147682</v>
      </c>
      <c r="AB13" s="3383">
        <f>IF(ISNUMBER('Q1'!AE7),'Q1'!AE7,"n.a.")</f>
        <v>0.12219748407575892</v>
      </c>
      <c r="AC13" s="3383">
        <f>IF(ISNUMBER('Q1'!AF7),'Q1'!AF7,"n.a.")</f>
        <v>7.9542708966151565E-4</v>
      </c>
      <c r="AD13" s="3383">
        <f>IF(ISNUMBER('Q1'!AG7),'Q1'!AG7,"n.a.")</f>
        <v>0.19602150420032771</v>
      </c>
      <c r="AE13" s="3383">
        <f>IF(ISNUMBER('Q1'!AH7),'Q1'!AH7,"n.a.")</f>
        <v>1.0278562132558511</v>
      </c>
      <c r="AF13" s="3383">
        <f>IF(ISNUMBER('Q1'!AI7),'Q1'!AI7,"n.a.")</f>
        <v>0.67474620280301156</v>
      </c>
      <c r="AG13" s="3383">
        <f>IF(ISNUMBER('Q1'!AJ7),'Q1'!AJ7,"n.a.")</f>
        <v>0.50450946186957335</v>
      </c>
      <c r="AH13" s="3383">
        <f>IF(ISNUMBER('Q1'!AK7),'Q1'!AK7,"n.a.")</f>
        <v>3.2471724360205734E-2</v>
      </c>
      <c r="AI13" s="3383">
        <f>IF(ISNUMBER('Q1'!AL7),'Q1'!AL7,"n.a.")</f>
        <v>0.5583420632405911</v>
      </c>
      <c r="AJ13" s="3383">
        <f>IF(ISNUMBER('Q1'!AM7),'Q1'!AM7,"n.a.")</f>
        <v>0.12005230574736458</v>
      </c>
      <c r="AK13" s="3383">
        <f>IF(ISNUMBER('Q1'!AN7),'Q1'!AN7,"n.a.")</f>
        <v>1.6337995043658182E-2</v>
      </c>
      <c r="AL13" s="3383">
        <f>IF(ISNUMBER('Q1'!AO7),'Q1'!AO7,"n.a.")</f>
        <v>0.52340505296450957</v>
      </c>
      <c r="AM13" s="3383">
        <f>IF(ISNUMBER('Q1'!AP7),'Q1'!AP7,"n.a.")</f>
        <v>-0.35899198463750226</v>
      </c>
      <c r="AN13" s="3383">
        <f>IF(ISNUMBER('Q1'!AQ7),'Q1'!AQ7,"n.a.")</f>
        <v>-0.52255572179753518</v>
      </c>
      <c r="AO13" s="3383">
        <f>IF(ISNUMBER('Q1'!AR7),'Q1'!AR7,"n.a.")</f>
        <v>-9.8753825380792915E-2</v>
      </c>
      <c r="AP13" s="3383">
        <f>IF(ISNUMBER('Q1'!AS7),'Q1'!AS7,"n.a.")</f>
        <v>-0.51623497017513342</v>
      </c>
      <c r="AQ13" s="3383">
        <f>IF(ISNUMBER('Q1'!AT7),'Q1'!AT7,"n.a.")</f>
        <v>-0.14437520619816624</v>
      </c>
      <c r="AR13" s="3383">
        <f>IF(ISNUMBER('Q1'!AU7),'Q1'!AU7,"n.a.")</f>
        <v>0.63846946656953563</v>
      </c>
      <c r="AS13" s="3383">
        <f>IF(ISNUMBER('Q1'!AV7),'Q1'!AV7,"n.a.")</f>
        <v>0.2485477172395667</v>
      </c>
      <c r="AT13" s="3383">
        <f>IF(ISNUMBER('Q1'!AW7),'Q1'!AW7,"n.a.")</f>
        <v>-0.52223558563126993</v>
      </c>
      <c r="AU13" s="3383">
        <f>IF(ISNUMBER('Q1'!AX7),'Q1'!AX7,"n.a.")</f>
        <v>0.34716860935422034</v>
      </c>
      <c r="AV13" s="3383">
        <f>IF(ISNUMBER('Q1'!AY7),'Q1'!AY7,"n.a.")</f>
        <v>1.205612125411526</v>
      </c>
      <c r="AW13" s="3383">
        <f>IF(ISNUMBER('Q1'!AZ7),'Q1'!AZ7,"n.a.")</f>
        <v>7.3867461215981756E-2</v>
      </c>
      <c r="AX13" s="3383">
        <f>IF(ISNUMBER('Q1'!BA7),'Q1'!BA7,"n.a.")</f>
        <v>0.99840955813044197</v>
      </c>
      <c r="AY13" s="3383">
        <f>IF(ISNUMBER('Q1'!BB7),'Q1'!BB7,"n.a.")</f>
        <v>0.13765197890092118</v>
      </c>
      <c r="AZ13" s="3383">
        <f>IF(ISNUMBER('Q1'!BC7),'Q1'!BC7,"n.a.")</f>
        <v>-0.58612986593366001</v>
      </c>
      <c r="BA13" s="3383">
        <f>IF(ISNUMBER('Q1'!BD7),'Q1'!BD7,"n.a.")</f>
        <v>0.71569458059261848</v>
      </c>
      <c r="BB13" s="3383">
        <f>IF(ISNUMBER('Q1'!BE7),'Q1'!BE7,"n.a.")</f>
        <v>-0.10218952618689103</v>
      </c>
      <c r="BC13" s="3383">
        <f>IF(ISNUMBER('Q1'!BF7),'Q1'!BF7,"n.a.")</f>
        <v>0.87568626987968301</v>
      </c>
      <c r="BD13" s="3383">
        <f>IF(ISNUMBER('Q1'!BG7),'Q1'!BG7,"n.a.")</f>
        <v>-0.44471660844948024</v>
      </c>
      <c r="BE13" s="3383">
        <f>IF(ISNUMBER('Q1'!BH7),'Q1'!BH7,"n.a.")</f>
        <v>0.81520154547352064</v>
      </c>
      <c r="BF13" s="3383">
        <f>IF(ISNUMBER('Q1'!BI7),'Q1'!BI7,"n.a.")</f>
        <v>0.35628273679999545</v>
      </c>
      <c r="BG13" s="3383">
        <f>IF(ISNUMBER('Q1'!BJ7),'Q1'!BJ7,"n.a.")</f>
        <v>-5.5683609264689515E-2</v>
      </c>
      <c r="BH13" s="3383">
        <f>IF(ISNUMBER('Q1'!BK7),'Q1'!BK7,"n.a.")</f>
        <v>2.0371651018047832</v>
      </c>
      <c r="BI13" s="3383">
        <f>IF(ISNUMBER('Q1'!BL7),'Q1'!BL7,"n.a.")</f>
        <v>-0.75768659468098409</v>
      </c>
      <c r="BJ13" s="3383">
        <f>IF(ISNUMBER('Q1'!BM7),'Q1'!BM7,"n.a.")</f>
        <v>0.71148325336878315</v>
      </c>
      <c r="BK13" s="3383">
        <f>IF(ISNUMBER('Q1'!BN7),'Q1'!BN7,"n.a.")</f>
        <v>0.42445785632365673</v>
      </c>
      <c r="BL13" s="3383">
        <f>IF(ISNUMBER('Q1'!BO7),'Q1'!BO7,"n.a.")</f>
        <v>-8.1826409042129455E-2</v>
      </c>
      <c r="BM13" s="3383">
        <f>IF(ISNUMBER('Q1'!BP7),'Q1'!BP7,"n.a.")</f>
        <v>0.63637822034965374</v>
      </c>
      <c r="BN13" s="3383">
        <f>IF(ISNUMBER('Q1'!BQ7),'Q1'!BQ7,"n.a.")</f>
        <v>-0.23482404453709638</v>
      </c>
      <c r="BO13" s="3383">
        <f>IF(ISNUMBER('Q1'!BR7),'Q1'!BR7,"n.a.")</f>
        <v>0.8295673050808805</v>
      </c>
      <c r="BP13" s="3383">
        <f>IF(ISNUMBER('Q1'!BS7),'Q1'!BS7,"n.a.")</f>
        <v>-0.15846999687099128</v>
      </c>
      <c r="BQ13" s="3383">
        <f>IF(ISNUMBER('Q1'!BT7),'Q1'!BT7,"n.a.")</f>
        <v>0.37135440717510626</v>
      </c>
      <c r="BR13" s="3383">
        <f>IF(ISNUMBER('Q1'!BU7),'Q1'!BU7,"n.a.")</f>
        <v>0.19253857043022293</v>
      </c>
      <c r="BS13" s="3383">
        <f>IF(ISNUMBER('Q1'!BV7),'Q1'!BV7,"n.a.")</f>
        <v>5.6559619203988554E-2</v>
      </c>
      <c r="BT13" s="3383">
        <f>IF(ISNUMBER('Q1'!BW7),'Q1'!BW7,"n.a.")</f>
        <v>0.54154826768455511</v>
      </c>
      <c r="BU13" s="3383">
        <f>IF(ISNUMBER('Q1'!BX7),'Q1'!BX7,"n.a.")</f>
        <v>0.4897416045248848</v>
      </c>
      <c r="BV13" s="3383">
        <f>IF(ISNUMBER('Q1'!BY7),'Q1'!BY7,"n.a.")</f>
        <v>0.8482158850516619</v>
      </c>
      <c r="BW13" s="3383">
        <f>IF(ISNUMBER('Q1'!BZ7),'Q1'!BZ7,"n.a.")</f>
        <v>0.11784265921808146</v>
      </c>
      <c r="BX13" s="3383">
        <f>IF(ISNUMBER('Q1'!CA7),'Q1'!CA7,"n.a.")</f>
        <v>0.41605960279404997</v>
      </c>
      <c r="BY13" s="3383">
        <f>IF(ISNUMBER('Q1'!CB7),'Q1'!CB7,"n.a.")</f>
        <v>0.17671867747597325</v>
      </c>
      <c r="BZ13" s="3383">
        <f>IF(ISNUMBER('Q1'!CC7),'Q1'!CC7,"n.a.")</f>
        <v>4.2806224538893822E-2</v>
      </c>
      <c r="CA13" s="3383">
        <f>IF(ISNUMBER('Q1'!CD7),'Q1'!CD7,"n.a.")</f>
        <v>0.34365263356748166</v>
      </c>
      <c r="CB13" s="3383">
        <f>IF(ISNUMBER('Q1'!CE7),'Q1'!CE7,"n.a.")</f>
        <v>0.32668581985733081</v>
      </c>
      <c r="CC13" s="3383">
        <f>IF(ISNUMBER('Q1'!CF7),'Q1'!CF7,"n.a.")</f>
        <v>0.66585841255897282</v>
      </c>
      <c r="CD13" s="3383">
        <f>IF(ISNUMBER('Q1'!CG7),'Q1'!CG7,"n.a.")</f>
        <v>0.8479067985451394</v>
      </c>
      <c r="CE13" s="3383">
        <f>IF(ISNUMBER('Q1'!CH7),'Q1'!CH7,"n.a.")</f>
        <v>0.42002687456479393</v>
      </c>
      <c r="CF13" s="3383">
        <f>IF(ISNUMBER('Q1'!CI7),'Q1'!CI7,"n.a.")</f>
        <v>0.54410729970688632</v>
      </c>
      <c r="CG13" s="3383">
        <f>IF(ISNUMBER('Q1'!CJ7),'Q1'!CJ7,"n.a.")</f>
        <v>-0.29464666865769429</v>
      </c>
      <c r="CH13" s="3383">
        <f>IF(ISNUMBER('Q1'!CK7),'Q1'!CK7,"n.a.")</f>
        <v>1.0617895789183596</v>
      </c>
      <c r="CI13" s="3383">
        <f>IF(ISNUMBER('Q1'!CL7),'Q1'!CL7,"n.a.")</f>
        <v>1.2098387942135247</v>
      </c>
      <c r="CJ13" s="3383">
        <f>IF(ISNUMBER('Q1'!CM7),'Q1'!CM7,"n.a.")</f>
        <v>1.0056054479394838</v>
      </c>
      <c r="CK13" s="3383">
        <f>IF(ISNUMBER('Q1'!CN7),'Q1'!CN7,"n.a.")</f>
        <v>1.3279906304771494</v>
      </c>
      <c r="CL13" s="3383">
        <f>IF(ISNUMBER('Q1'!CO7),'Q1'!CO7,"n.a.")</f>
        <v>-0.46435705945993</v>
      </c>
      <c r="CM13" s="3383">
        <f>IF(ISNUMBER('Q1'!CP7),'Q1'!CP7,"n.a.")</f>
        <v>0.14698126070131767</v>
      </c>
      <c r="CN13" s="3383">
        <f>IF(ISNUMBER('Q1'!CQ7),'Q1'!CQ7,"n.a.")</f>
        <v>-0.24800133305277194</v>
      </c>
      <c r="CO13" s="3383">
        <f>IF(ISNUMBER('Q1'!CR7),'Q1'!CR7,"n.a.")</f>
        <v>0.23821310501290771</v>
      </c>
      <c r="CP13" s="3383">
        <f>IF(ISNUMBER('Q1'!CS7),'Q1'!CS7,"n.a.")</f>
        <v>0.4411127280423921</v>
      </c>
      <c r="CQ13" s="3383">
        <f>IF(ISNUMBER('Q1'!CT7),'Q1'!CT7,"n.a.")</f>
        <v>0.19352947872992576</v>
      </c>
      <c r="CR13" s="3383">
        <f>IF(ISNUMBER('Q1'!CU7),'Q1'!CU7,"n.a.")</f>
        <v>0.18852218590648118</v>
      </c>
      <c r="CS13" s="3383">
        <f>IF(ISNUMBER('Q1'!CV7),'Q1'!CV7,"n.a.")</f>
        <v>0.31118609032760869</v>
      </c>
      <c r="CT13" s="3383">
        <f>IF(ISNUMBER('Q1'!CW7),'Q1'!CW7,"n.a.")</f>
        <v>0.32</v>
      </c>
      <c r="CU13" s="3383">
        <f>IF(ISNUMBER('Q1'!CX7),'Q1'!CX7,"n.a.")</f>
        <v>0.19</v>
      </c>
      <c r="CV13" s="3383">
        <f>IF(ISNUMBER('Q1'!CY7),'Q1'!CY7,"n.a.")</f>
        <v>0.38</v>
      </c>
      <c r="CW13" s="3383">
        <f>IF(ISNUMBER('Q1'!CZ7),'Q1'!CZ7,"n.a.")</f>
        <v>0.11</v>
      </c>
      <c r="CX13" s="3383">
        <f>IF(ISNUMBER('Q1'!DA7),'Q1'!DA7,"n.a.")</f>
        <v>0.08</v>
      </c>
      <c r="CY13" s="3383">
        <f>IF(ISNUMBER('Q1'!DB7),'Q1'!DB7,"n.a.")</f>
        <v>0.05</v>
      </c>
      <c r="CZ13" s="3383">
        <f>IF(ISNUMBER('Q1'!DC7),'Q1'!DC7,"n.a.")</f>
        <v>0.42</v>
      </c>
      <c r="DA13" s="3383">
        <f>IF(ISNUMBER('Q1'!DD7),'Q1'!DD7,"n.a.")</f>
        <v>0.3</v>
      </c>
      <c r="DB13" s="3383">
        <f>IF(ISNUMBER('Q1'!DE7),'Q1'!DE7,"n.a.")</f>
        <v>0.26</v>
      </c>
      <c r="DC13" s="3383">
        <f>IF(ISNUMBER('Q1'!DF7),'Q1'!DF7,"n.a.")</f>
        <v>0.19</v>
      </c>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row>
    <row r="14" spans="1:189">
      <c r="A14" s="3383" t="str">
        <f t="shared" si="1"/>
        <v>\\DG ECFIN\Forecast\Country databases\Desk transfer databases\SE</v>
      </c>
      <c r="B14" s="3383" t="str">
        <f t="shared" si="2"/>
        <v>SE</v>
      </c>
      <c r="C14" s="3383" t="s">
        <v>2268</v>
      </c>
      <c r="D14" s="3383" t="s">
        <v>2078</v>
      </c>
      <c r="E14" s="3383" t="s">
        <v>2292</v>
      </c>
      <c r="F14" s="3383">
        <v>17</v>
      </c>
      <c r="G14" s="3383" t="s">
        <v>2277</v>
      </c>
      <c r="H14" s="3383">
        <f>IF(ISNUMBER('Q1'!K8),'Q1'!K8,"n.a.")</f>
        <v>-0.57788540173795422</v>
      </c>
      <c r="I14" s="3383">
        <f>IF(ISNUMBER('Q1'!L8),'Q1'!L8,"n.a.")</f>
        <v>0.60665873501992706</v>
      </c>
      <c r="J14" s="3383">
        <f>IF(ISNUMBER('Q1'!M8),'Q1'!M8,"n.a.")</f>
        <v>3.2388470393046154</v>
      </c>
      <c r="K14" s="3383">
        <f>IF(ISNUMBER('Q1'!N8),'Q1'!N8,"n.a.")</f>
        <v>-0.750192005619299</v>
      </c>
      <c r="L14" s="3383">
        <f>IF(ISNUMBER('Q1'!O8),'Q1'!O8,"n.a.")</f>
        <v>-1.5130469678398817</v>
      </c>
      <c r="M14" s="3383">
        <f>IF(ISNUMBER('Q1'!P8),'Q1'!P8,"n.a.")</f>
        <v>2.7651672785248493</v>
      </c>
      <c r="N14" s="3383">
        <f>IF(ISNUMBER('Q1'!Q8),'Q1'!Q8,"n.a.")</f>
        <v>-1.7758867907710085</v>
      </c>
      <c r="O14" s="3383">
        <f>IF(ISNUMBER('Q1'!R8),'Q1'!R8,"n.a.")</f>
        <v>3.1283761530259468</v>
      </c>
      <c r="P14" s="3383">
        <f>IF(ISNUMBER('Q1'!S8),'Q1'!S8,"n.a.")</f>
        <v>2.1903181172700847</v>
      </c>
      <c r="Q14" s="3383">
        <f>IF(ISNUMBER('Q1'!T8),'Q1'!T8,"n.a.")</f>
        <v>2.6667804888911961</v>
      </c>
      <c r="R14" s="3383">
        <f>IF(ISNUMBER('Q1'!U8),'Q1'!U8,"n.a.")</f>
        <v>1.6887976255463455</v>
      </c>
      <c r="S14" s="3383">
        <f>IF(ISNUMBER('Q1'!V8),'Q1'!V8,"n.a.")</f>
        <v>1.5058887438389457</v>
      </c>
      <c r="T14" s="3383">
        <f>IF(ISNUMBER('Q1'!W8),'Q1'!W8,"n.a.")</f>
        <v>2.6664499846244416</v>
      </c>
      <c r="U14" s="3383">
        <f>IF(ISNUMBER('Q1'!X8),'Q1'!X8,"n.a.")</f>
        <v>-0.71196739755620131</v>
      </c>
      <c r="V14" s="3383">
        <f>IF(ISNUMBER('Q1'!Y8),'Q1'!Y8,"n.a.")</f>
        <v>4.3069030017413246</v>
      </c>
      <c r="W14" s="3383">
        <f>IF(ISNUMBER('Q1'!Z8),'Q1'!Z8,"n.a.")</f>
        <v>-1.814352357241622</v>
      </c>
      <c r="X14" s="3383">
        <f>IF(ISNUMBER('Q1'!AA8),'Q1'!AA8,"n.a.")</f>
        <v>1.2426552832643489</v>
      </c>
      <c r="Y14" s="3383">
        <f>IF(ISNUMBER('Q1'!AB8),'Q1'!AB8,"n.a.")</f>
        <v>4.9469903776119484</v>
      </c>
      <c r="Z14" s="3383">
        <f>IF(ISNUMBER('Q1'!AC8),'Q1'!AC8,"n.a.")</f>
        <v>1.2085093914131706</v>
      </c>
      <c r="AA14" s="3383">
        <f>IF(ISNUMBER('Q1'!AD8),'Q1'!AD8,"n.a.")</f>
        <v>1.2597821868421066</v>
      </c>
      <c r="AB14" s="3383">
        <f>IF(ISNUMBER('Q1'!AE8),'Q1'!AE8,"n.a.")</f>
        <v>-1.7763832472295626</v>
      </c>
      <c r="AC14" s="3383">
        <f>IF(ISNUMBER('Q1'!AF8),'Q1'!AF8,"n.a.")</f>
        <v>1.0075783239859248</v>
      </c>
      <c r="AD14" s="3383">
        <f>IF(ISNUMBER('Q1'!AG8),'Q1'!AG8,"n.a.")</f>
        <v>0.60021824988929495</v>
      </c>
      <c r="AE14" s="3383">
        <f>IF(ISNUMBER('Q1'!AH8),'Q1'!AH8,"n.a.")</f>
        <v>2.9669485011529551</v>
      </c>
      <c r="AF14" s="3383">
        <f>IF(ISNUMBER('Q1'!AI8),'Q1'!AI8,"n.a.")</f>
        <v>-8.751518465621233</v>
      </c>
      <c r="AG14" s="3383">
        <f>IF(ISNUMBER('Q1'!AJ8),'Q1'!AJ8,"n.a.")</f>
        <v>6.3501909525549349</v>
      </c>
      <c r="AH14" s="3383">
        <f>IF(ISNUMBER('Q1'!AK8),'Q1'!AK8,"n.a.")</f>
        <v>-1.3405755015186926</v>
      </c>
      <c r="AI14" s="3383">
        <f>IF(ISNUMBER('Q1'!AL8),'Q1'!AL8,"n.a.")</f>
        <v>0.69502068841991171</v>
      </c>
      <c r="AJ14" s="3383">
        <f>IF(ISNUMBER('Q1'!AM8),'Q1'!AM8,"n.a.")</f>
        <v>1.9255730353850087</v>
      </c>
      <c r="AK14" s="3383">
        <f>IF(ISNUMBER('Q1'!AN8),'Q1'!AN8,"n.a.")</f>
        <v>-2.0082423851905618</v>
      </c>
      <c r="AL14" s="3383">
        <f>IF(ISNUMBER('Q1'!AO8),'Q1'!AO8,"n.a.")</f>
        <v>0.95097307859475233</v>
      </c>
      <c r="AM14" s="3383">
        <f>IF(ISNUMBER('Q1'!AP8),'Q1'!AP8,"n.a.")</f>
        <v>1.4104931760676953</v>
      </c>
      <c r="AN14" s="3383">
        <f>IF(ISNUMBER('Q1'!AQ8),'Q1'!AQ8,"n.a.")</f>
        <v>0.10431410284093001</v>
      </c>
      <c r="AO14" s="3383">
        <f>IF(ISNUMBER('Q1'!AR8),'Q1'!AR8,"n.a.")</f>
        <v>2.447459818640052</v>
      </c>
      <c r="AP14" s="3383">
        <f>IF(ISNUMBER('Q1'!AS8),'Q1'!AS8,"n.a.")</f>
        <v>2.5654955790632483</v>
      </c>
      <c r="AQ14" s="3383">
        <f>IF(ISNUMBER('Q1'!AT8),'Q1'!AT8,"n.a.")</f>
        <v>2.5826854886649375</v>
      </c>
      <c r="AR14" s="3383">
        <f>IF(ISNUMBER('Q1'!AU8),'Q1'!AU8,"n.a.")</f>
        <v>-1.2659619264402955</v>
      </c>
      <c r="AS14" s="3383">
        <f>IF(ISNUMBER('Q1'!AV8),'Q1'!AV8,"n.a.")</f>
        <v>2.2349615678644241</v>
      </c>
      <c r="AT14" s="3383">
        <f>IF(ISNUMBER('Q1'!AW8),'Q1'!AW8,"n.a.")</f>
        <v>2.7328800591955638</v>
      </c>
      <c r="AU14" s="3383">
        <f>IF(ISNUMBER('Q1'!AX8),'Q1'!AX8,"n.a.")</f>
        <v>-1.9064889770234239</v>
      </c>
      <c r="AV14" s="3383">
        <f>IF(ISNUMBER('Q1'!AY8),'Q1'!AY8,"n.a.")</f>
        <v>4.1515289214979934</v>
      </c>
      <c r="AW14" s="3383">
        <f>IF(ISNUMBER('Q1'!AZ8),'Q1'!AZ8,"n.a.")</f>
        <v>4.9908058502034613</v>
      </c>
      <c r="AX14" s="3383">
        <f>IF(ISNUMBER('Q1'!BA8),'Q1'!BA8,"n.a.")</f>
        <v>0.85437469846791902</v>
      </c>
      <c r="AY14" s="3383">
        <f>IF(ISNUMBER('Q1'!BB8),'Q1'!BB8,"n.a.")</f>
        <v>2.1621866073066043</v>
      </c>
      <c r="AZ14" s="3383">
        <f>IF(ISNUMBER('Q1'!BC8),'Q1'!BC8,"n.a.")</f>
        <v>3.3201271921087683</v>
      </c>
      <c r="BA14" s="3383">
        <f>IF(ISNUMBER('Q1'!BD8),'Q1'!BD8,"n.a.")</f>
        <v>1.183158720547195</v>
      </c>
      <c r="BB14" s="3383">
        <f>IF(ISNUMBER('Q1'!BE8),'Q1'!BE8,"n.a.")</f>
        <v>-0.26770146534795813</v>
      </c>
      <c r="BC14" s="3383">
        <f>IF(ISNUMBER('Q1'!BF8),'Q1'!BF8,"n.a.")</f>
        <v>2.9660649151906027</v>
      </c>
      <c r="BD14" s="3383">
        <f>IF(ISNUMBER('Q1'!BG8),'Q1'!BG8,"n.a.")</f>
        <v>0.39538422137483931</v>
      </c>
      <c r="BE14" s="3383">
        <f>IF(ISNUMBER('Q1'!BH8),'Q1'!BH8,"n.a.")</f>
        <v>-2.1027993667735112</v>
      </c>
      <c r="BF14" s="3383">
        <f>IF(ISNUMBER('Q1'!BI8),'Q1'!BI8,"n.a.")</f>
        <v>-1.3027925106678051</v>
      </c>
      <c r="BG14" s="3383">
        <f>IF(ISNUMBER('Q1'!BJ8),'Q1'!BJ8,"n.a.")</f>
        <v>-0.7375938109564717</v>
      </c>
      <c r="BH14" s="3383">
        <f>IF(ISNUMBER('Q1'!BK8),'Q1'!BK8,"n.a.")</f>
        <v>-10.588849930507727</v>
      </c>
      <c r="BI14" s="3383">
        <f>IF(ISNUMBER('Q1'!BL8),'Q1'!BL8,"n.a.")</f>
        <v>-1.513413122029883</v>
      </c>
      <c r="BJ14" s="3383">
        <f>IF(ISNUMBER('Q1'!BM8),'Q1'!BM8,"n.a.")</f>
        <v>-1.0418811135948669</v>
      </c>
      <c r="BK14" s="3383">
        <f>IF(ISNUMBER('Q1'!BN8),'Q1'!BN8,"n.a.")</f>
        <v>1.3471594821255151</v>
      </c>
      <c r="BL14" s="3383">
        <f>IF(ISNUMBER('Q1'!BO8),'Q1'!BO8,"n.a.")</f>
        <v>-1.1792050023679002</v>
      </c>
      <c r="BM14" s="3383">
        <f>IF(ISNUMBER('Q1'!BP8),'Q1'!BP8,"n.a.")</f>
        <v>4.5316907589927791</v>
      </c>
      <c r="BN14" s="3383">
        <f>IF(ISNUMBER('Q1'!BQ8),'Q1'!BQ8,"n.a.")</f>
        <v>5.518344934632502</v>
      </c>
      <c r="BO14" s="3383">
        <f>IF(ISNUMBER('Q1'!BR8),'Q1'!BR8,"n.a.")</f>
        <v>1.668513650711434</v>
      </c>
      <c r="BP14" s="3383">
        <f>IF(ISNUMBER('Q1'!BS8),'Q1'!BS8,"n.a.")</f>
        <v>-1.7884906902415953</v>
      </c>
      <c r="BQ14" s="3383">
        <f>IF(ISNUMBER('Q1'!BT8),'Q1'!BT8,"n.a.")</f>
        <v>5.2156169511511141</v>
      </c>
      <c r="BR14" s="3383">
        <f>IF(ISNUMBER('Q1'!BU8),'Q1'!BU8,"n.a.")</f>
        <v>-0.8013373186910866</v>
      </c>
      <c r="BS14" s="3383">
        <f>IF(ISNUMBER('Q1'!BV8),'Q1'!BV8,"n.a.")</f>
        <v>-3.2833668893457957</v>
      </c>
      <c r="BT14" s="3383">
        <f>IF(ISNUMBER('Q1'!BW8),'Q1'!BW8,"n.a.")</f>
        <v>4.3342251915958974</v>
      </c>
      <c r="BU14" s="3383">
        <f>IF(ISNUMBER('Q1'!BX8),'Q1'!BX8,"n.a.")</f>
        <v>-2.3751968794460954</v>
      </c>
      <c r="BV14" s="3383">
        <f>IF(ISNUMBER('Q1'!BY8),'Q1'!BY8,"n.a.")</f>
        <v>-2.6107864231595279</v>
      </c>
      <c r="BW14" s="3383">
        <f>IF(ISNUMBER('Q1'!BZ8),'Q1'!BZ8,"n.a.")</f>
        <v>2.8068380124678161</v>
      </c>
      <c r="BX14" s="3383">
        <f>IF(ISNUMBER('Q1'!CA8),'Q1'!CA8,"n.a.")</f>
        <v>-1.4587030982594174</v>
      </c>
      <c r="BY14" s="3383">
        <f>IF(ISNUMBER('Q1'!CB8),'Q1'!CB8,"n.a.")</f>
        <v>0.83513399035355373</v>
      </c>
      <c r="BZ14" s="3383">
        <f>IF(ISNUMBER('Q1'!CC8),'Q1'!CC8,"n.a.")</f>
        <v>2.6299793937763161</v>
      </c>
      <c r="CA14" s="3383">
        <f>IF(ISNUMBER('Q1'!CD8),'Q1'!CD8,"n.a.")</f>
        <v>-1.7446978867075025E-3</v>
      </c>
      <c r="CB14" s="3383">
        <f>IF(ISNUMBER('Q1'!CE8),'Q1'!CE8,"n.a.")</f>
        <v>2.2250473198615284</v>
      </c>
      <c r="CC14" s="3383">
        <f>IF(ISNUMBER('Q1'!CF8),'Q1'!CF8,"n.a.")</f>
        <v>0.2954987868220238</v>
      </c>
      <c r="CD14" s="3383">
        <f>IF(ISNUMBER('Q1'!CG8),'Q1'!CG8,"n.a.")</f>
        <v>1.3404983566868145</v>
      </c>
      <c r="CE14" s="3383">
        <f>IF(ISNUMBER('Q1'!CH8),'Q1'!CH8,"n.a.")</f>
        <v>3.3106836125063932</v>
      </c>
      <c r="CF14" s="3383">
        <f>IF(ISNUMBER('Q1'!CI8),'Q1'!CI8,"n.a.")</f>
        <v>0.71987734804690451</v>
      </c>
      <c r="CG14" s="3383">
        <f>IF(ISNUMBER('Q1'!CJ8),'Q1'!CJ8,"n.a.")</f>
        <v>1.6915516626997862</v>
      </c>
      <c r="CH14" s="3383">
        <f>IF(ISNUMBER('Q1'!CK8),'Q1'!CK8,"n.a.")</f>
        <v>7.9818831411127E-2</v>
      </c>
      <c r="CI14" s="3383">
        <f>IF(ISNUMBER('Q1'!CL8),'Q1'!CL8,"n.a.")</f>
        <v>3.6578095998484716</v>
      </c>
      <c r="CJ14" s="3383">
        <f>IF(ISNUMBER('Q1'!CM8),'Q1'!CM8,"n.a.")</f>
        <v>-0.6685293429394279</v>
      </c>
      <c r="CK14" s="3383">
        <f>IF(ISNUMBER('Q1'!CN8),'Q1'!CN8,"n.a.")</f>
        <v>1.3619154805766254</v>
      </c>
      <c r="CL14" s="3383">
        <f>IF(ISNUMBER('Q1'!CO8),'Q1'!CO8,"n.a.")</f>
        <v>0.32308227387833899</v>
      </c>
      <c r="CM14" s="3383">
        <f>IF(ISNUMBER('Q1'!CP8),'Q1'!CP8,"n.a.")</f>
        <v>0.73871513174941228</v>
      </c>
      <c r="CN14" s="3383">
        <f>IF(ISNUMBER('Q1'!CQ8),'Q1'!CQ8,"n.a.")</f>
        <v>2.5520384493961989</v>
      </c>
      <c r="CO14" s="3383">
        <f>IF(ISNUMBER('Q1'!CR8),'Q1'!CR8,"n.a.")</f>
        <v>1.955768971719718</v>
      </c>
      <c r="CP14" s="3383">
        <f>IF(ISNUMBER('Q1'!CS8),'Q1'!CS8,"n.a.")</f>
        <v>3.1442645170717043</v>
      </c>
      <c r="CQ14" s="3383">
        <f>IF(ISNUMBER('Q1'!CT8),'Q1'!CT8,"n.a.")</f>
        <v>-1.2249189804611316</v>
      </c>
      <c r="CR14" s="3383">
        <f>IF(ISNUMBER('Q1'!CU8),'Q1'!CU8,"n.a.")</f>
        <v>2.4601178204925356</v>
      </c>
      <c r="CS14" s="3383">
        <f>IF(ISNUMBER('Q1'!CV8),'Q1'!CV8,"n.a.")</f>
        <v>-0.51308796836075921</v>
      </c>
      <c r="CT14" s="3383">
        <f>IF(ISNUMBER('Q1'!CW8),'Q1'!CW8,"n.a.")</f>
        <v>0.5</v>
      </c>
      <c r="CU14" s="3383">
        <f>IF(ISNUMBER('Q1'!CX8),'Q1'!CX8,"n.a.")</f>
        <v>0.41</v>
      </c>
      <c r="CV14" s="3383">
        <f>IF(ISNUMBER('Q1'!CY8),'Q1'!CY8,"n.a.")</f>
        <v>0.71</v>
      </c>
      <c r="CW14" s="3383">
        <f>IF(ISNUMBER('Q1'!CZ8),'Q1'!CZ8,"n.a.")</f>
        <v>0.63</v>
      </c>
      <c r="CX14" s="3383">
        <f>IF(ISNUMBER('Q1'!DA8),'Q1'!DA8,"n.a.")</f>
        <v>0.52</v>
      </c>
      <c r="CY14" s="3383">
        <f>IF(ISNUMBER('Q1'!DB8),'Q1'!DB8,"n.a.")</f>
        <v>0.48</v>
      </c>
      <c r="CZ14" s="3383">
        <f>IF(ISNUMBER('Q1'!DC8),'Q1'!DC8,"n.a.")</f>
        <v>0.55000000000000004</v>
      </c>
      <c r="DA14" s="3383">
        <f>IF(ISNUMBER('Q1'!DD8),'Q1'!DD8,"n.a.")</f>
        <v>0.65</v>
      </c>
      <c r="DB14" s="3383">
        <f>IF(ISNUMBER('Q1'!DE8),'Q1'!DE8,"n.a.")</f>
        <v>0.42</v>
      </c>
      <c r="DC14" s="3383">
        <f>IF(ISNUMBER('Q1'!DF8),'Q1'!DF8,"n.a.")</f>
        <v>0.35</v>
      </c>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row>
    <row r="15" spans="1:189">
      <c r="A15" s="3383" t="str">
        <f t="shared" si="1"/>
        <v>\\DG ECFIN\Forecast\Country databases\Desk transfer databases\SE</v>
      </c>
      <c r="B15" s="3383" t="str">
        <f t="shared" si="2"/>
        <v>SE</v>
      </c>
      <c r="C15" s="3383" t="s">
        <v>2268</v>
      </c>
      <c r="D15" s="3383" t="s">
        <v>2269</v>
      </c>
      <c r="E15" s="3383" t="s">
        <v>2292</v>
      </c>
      <c r="F15" s="3383">
        <v>18</v>
      </c>
      <c r="G15" s="3383" t="s">
        <v>2278</v>
      </c>
      <c r="H15" s="3383">
        <f>IF(ISNUMBER('Q1'!K9),'Q1'!K9,"n.a.")</f>
        <v>-0.25348513065036604</v>
      </c>
      <c r="I15" s="3383">
        <f>IF(ISNUMBER('Q1'!L9),'Q1'!L9,"n.a.")</f>
        <v>-1.5315683674607894</v>
      </c>
      <c r="J15" s="3383">
        <f>IF(ISNUMBER('Q1'!M9),'Q1'!M9,"n.a.")</f>
        <v>1.4610592494033181</v>
      </c>
      <c r="K15" s="3383">
        <f>IF(ISNUMBER('Q1'!N9),'Q1'!N9,"n.a.")</f>
        <v>0.66302611261668254</v>
      </c>
      <c r="L15" s="3383">
        <f>IF(ISNUMBER('Q1'!O9),'Q1'!O9,"n.a.")</f>
        <v>-7.9677827452329097E-2</v>
      </c>
      <c r="M15" s="3383">
        <f>IF(ISNUMBER('Q1'!P9),'Q1'!P9,"n.a.")</f>
        <v>0.12143824663533032</v>
      </c>
      <c r="N15" s="3383">
        <f>IF(ISNUMBER('Q1'!Q9),'Q1'!Q9,"n.a.")</f>
        <v>1.3397962417631692</v>
      </c>
      <c r="O15" s="3383">
        <f>IF(ISNUMBER('Q1'!R9),'Q1'!R9,"n.a.")</f>
        <v>1.8299888570848521</v>
      </c>
      <c r="P15" s="3383">
        <f>IF(ISNUMBER('Q1'!S9),'Q1'!S9,"n.a.")</f>
        <v>1.199294397214401</v>
      </c>
      <c r="Q15" s="3383">
        <f>IF(ISNUMBER('Q1'!T9),'Q1'!T9,"n.a.")</f>
        <v>1.7807838964432054</v>
      </c>
      <c r="R15" s="3383">
        <f>IF(ISNUMBER('Q1'!U9),'Q1'!U9,"n.a.")</f>
        <v>-0.54906452797163219</v>
      </c>
      <c r="S15" s="3383">
        <f>IF(ISNUMBER('Q1'!V9),'Q1'!V9,"n.a.")</f>
        <v>0.65056621215622279</v>
      </c>
      <c r="T15" s="3383">
        <f>IF(ISNUMBER('Q1'!W9),'Q1'!W9,"n.a.")</f>
        <v>1.9149742259164437</v>
      </c>
      <c r="U15" s="3383">
        <f>IF(ISNUMBER('Q1'!X9),'Q1'!X9,"n.a.")</f>
        <v>-0.44144864694368735</v>
      </c>
      <c r="V15" s="3383">
        <f>IF(ISNUMBER('Q1'!Y9),'Q1'!Y9,"n.a.")</f>
        <v>0.68724192686453467</v>
      </c>
      <c r="W15" s="3383">
        <f>IF(ISNUMBER('Q1'!Z9),'Q1'!Z9,"n.a.")</f>
        <v>2.4991492028626938</v>
      </c>
      <c r="X15" s="3383">
        <f>IF(ISNUMBER('Q1'!AA9),'Q1'!AA9,"n.a.")</f>
        <v>0.59748991417232222</v>
      </c>
      <c r="Y15" s="3383">
        <f>IF(ISNUMBER('Q1'!AB9),'Q1'!AB9,"n.a.")</f>
        <v>2.201505825271588</v>
      </c>
      <c r="Z15" s="3383">
        <f>IF(ISNUMBER('Q1'!AC9),'Q1'!AC9,"n.a.")</f>
        <v>0.57745809494742506</v>
      </c>
      <c r="AA15" s="3383">
        <f>IF(ISNUMBER('Q1'!AD9),'Q1'!AD9,"n.a.")</f>
        <v>-1.0105380796481045</v>
      </c>
      <c r="AB15" s="3383">
        <f>IF(ISNUMBER('Q1'!AE9),'Q1'!AE9,"n.a.")</f>
        <v>0.93136119682961649</v>
      </c>
      <c r="AC15" s="3383">
        <f>IF(ISNUMBER('Q1'!AF9),'Q1'!AF9,"n.a.")</f>
        <v>-2.812168241945745E-2</v>
      </c>
      <c r="AD15" s="3383">
        <f>IF(ISNUMBER('Q1'!AG9),'Q1'!AG9,"n.a.")</f>
        <v>-0.62464622841115203</v>
      </c>
      <c r="AE15" s="3383">
        <f>IF(ISNUMBER('Q1'!AH9),'Q1'!AH9,"n.a.")</f>
        <v>0.41724886543414996</v>
      </c>
      <c r="AF15" s="3383">
        <f>IF(ISNUMBER('Q1'!AI9),'Q1'!AI9,"n.a.")</f>
        <v>-4.9894590310939346E-2</v>
      </c>
      <c r="AG15" s="3383">
        <f>IF(ISNUMBER('Q1'!AJ9),'Q1'!AJ9,"n.a.")</f>
        <v>0.78888913657679804</v>
      </c>
      <c r="AH15" s="3383">
        <f>IF(ISNUMBER('Q1'!AK9),'Q1'!AK9,"n.a.")</f>
        <v>0.86189478154259369</v>
      </c>
      <c r="AI15" s="3383">
        <f>IF(ISNUMBER('Q1'!AL9),'Q1'!AL9,"n.a.")</f>
        <v>0.63865486775742664</v>
      </c>
      <c r="AJ15" s="3383">
        <f>IF(ISNUMBER('Q1'!AM9),'Q1'!AM9,"n.a.")</f>
        <v>1.2187371416947812</v>
      </c>
      <c r="AK15" s="3383">
        <f>IF(ISNUMBER('Q1'!AN9),'Q1'!AN9,"n.a.")</f>
        <v>-0.96716951222374226</v>
      </c>
      <c r="AL15" s="3383">
        <f>IF(ISNUMBER('Q1'!AO9),'Q1'!AO9,"n.a.")</f>
        <v>0.9341364391745488</v>
      </c>
      <c r="AM15" s="3383">
        <f>IF(ISNUMBER('Q1'!AP9),'Q1'!AP9,"n.a.")</f>
        <v>0.67613230590530815</v>
      </c>
      <c r="AN15" s="3383">
        <f>IF(ISNUMBER('Q1'!AQ9),'Q1'!AQ9,"n.a.")</f>
        <v>5.187744887711343E-2</v>
      </c>
      <c r="AO15" s="3383">
        <f>IF(ISNUMBER('Q1'!AR9),'Q1'!AR9,"n.a.")</f>
        <v>2.1104373957347988E-2</v>
      </c>
      <c r="AP15" s="3383">
        <f>IF(ISNUMBER('Q1'!AS9),'Q1'!AS9,"n.a.")</f>
        <v>1.4992390237659636</v>
      </c>
      <c r="AQ15" s="3383">
        <f>IF(ISNUMBER('Q1'!AT9),'Q1'!AT9,"n.a.")</f>
        <v>1.1101335951113622</v>
      </c>
      <c r="AR15" s="3383">
        <f>IF(ISNUMBER('Q1'!AU9),'Q1'!AU9,"n.a.")</f>
        <v>0.17088997974905595</v>
      </c>
      <c r="AS15" s="3383">
        <f>IF(ISNUMBER('Q1'!AV9),'Q1'!AV9,"n.a.")</f>
        <v>0.56443575808855506</v>
      </c>
      <c r="AT15" s="3383">
        <f>IF(ISNUMBER('Q1'!AW9),'Q1'!AW9,"n.a.")</f>
        <v>-5.6760411833811641E-2</v>
      </c>
      <c r="AU15" s="3383">
        <f>IF(ISNUMBER('Q1'!AX9),'Q1'!AX9,"n.a.")</f>
        <v>1.8899872360025993</v>
      </c>
      <c r="AV15" s="3383">
        <f>IF(ISNUMBER('Q1'!AY9),'Q1'!AY9,"n.a.")</f>
        <v>0.40409926002469287</v>
      </c>
      <c r="AW15" s="3383">
        <f>IF(ISNUMBER('Q1'!AZ9),'Q1'!AZ9,"n.a.")</f>
        <v>2.5168775578580771</v>
      </c>
      <c r="AX15" s="3383">
        <f>IF(ISNUMBER('Q1'!BA9),'Q1'!BA9,"n.a.")</f>
        <v>0.62475143254396848</v>
      </c>
      <c r="AY15" s="3383">
        <f>IF(ISNUMBER('Q1'!BB9),'Q1'!BB9,"n.a.")</f>
        <v>1.0425953457958936</v>
      </c>
      <c r="AZ15" s="3383">
        <f>IF(ISNUMBER('Q1'!BC9),'Q1'!BC9,"n.a.")</f>
        <v>1.4986013979886748</v>
      </c>
      <c r="BA15" s="3383">
        <f>IF(ISNUMBER('Q1'!BD9),'Q1'!BD9,"n.a.")</f>
        <v>0.51857414185845219</v>
      </c>
      <c r="BB15" s="3383">
        <f>IF(ISNUMBER('Q1'!BE9),'Q1'!BE9,"n.a.")</f>
        <v>1.5322133728091103</v>
      </c>
      <c r="BC15" s="3383">
        <f>IF(ISNUMBER('Q1'!BF9),'Q1'!BF9,"n.a.")</f>
        <v>1.594002013845075</v>
      </c>
      <c r="BD15" s="3383">
        <f>IF(ISNUMBER('Q1'!BG9),'Q1'!BG9,"n.a.")</f>
        <v>-1.6379534484526337</v>
      </c>
      <c r="BE15" s="3383">
        <f>IF(ISNUMBER('Q1'!BH9),'Q1'!BH9,"n.a.")</f>
        <v>0.92711978953103902</v>
      </c>
      <c r="BF15" s="3383">
        <f>IF(ISNUMBER('Q1'!BI9),'Q1'!BI9,"n.a.")</f>
        <v>-1.2163657352078805</v>
      </c>
      <c r="BG15" s="3383">
        <f>IF(ISNUMBER('Q1'!BJ9),'Q1'!BJ9,"n.a.")</f>
        <v>-2.6104600815518686</v>
      </c>
      <c r="BH15" s="3383">
        <f>IF(ISNUMBER('Q1'!BK9),'Q1'!BK9,"n.a.")</f>
        <v>-1.7997276653317296</v>
      </c>
      <c r="BI15" s="3383">
        <f>IF(ISNUMBER('Q1'!BL9),'Q1'!BL9,"n.a.")</f>
        <v>-1.1463466691421398</v>
      </c>
      <c r="BJ15" s="3383">
        <f>IF(ISNUMBER('Q1'!BM9),'Q1'!BM9,"n.a.")</f>
        <v>0.84950220130604048</v>
      </c>
      <c r="BK15" s="3383">
        <f>IF(ISNUMBER('Q1'!BN9),'Q1'!BN9,"n.a.")</f>
        <v>1.0557252793998328</v>
      </c>
      <c r="BL15" s="3383">
        <f>IF(ISNUMBER('Q1'!BO9),'Q1'!BO9,"n.a.")</f>
        <v>2.4343892746944595</v>
      </c>
      <c r="BM15" s="3383">
        <f>IF(ISNUMBER('Q1'!BP9),'Q1'!BP9,"n.a.")</f>
        <v>1.8283951164968171</v>
      </c>
      <c r="BN15" s="3383">
        <f>IF(ISNUMBER('Q1'!BQ9),'Q1'!BQ9,"n.a.")</f>
        <v>1.5627110032758962</v>
      </c>
      <c r="BO15" s="3383">
        <f>IF(ISNUMBER('Q1'!BR9),'Q1'!BR9,"n.a.")</f>
        <v>0.22059707721051591</v>
      </c>
      <c r="BP15" s="3383">
        <f>IF(ISNUMBER('Q1'!BS9),'Q1'!BS9,"n.a.")</f>
        <v>1.7064956076696003</v>
      </c>
      <c r="BQ15" s="3383">
        <f>IF(ISNUMBER('Q1'!BT9),'Q1'!BT9,"n.a.")</f>
        <v>0.57126750042231222</v>
      </c>
      <c r="BR15" s="3383">
        <f>IF(ISNUMBER('Q1'!BU9),'Q1'!BU9,"n.a.")</f>
        <v>-0.72112960512086266</v>
      </c>
      <c r="BS15" s="3383">
        <f>IF(ISNUMBER('Q1'!BV9),'Q1'!BV9,"n.a.")</f>
        <v>-0.66709211491681186</v>
      </c>
      <c r="BT15" s="3383">
        <f>IF(ISNUMBER('Q1'!BW9),'Q1'!BW9,"n.a.")</f>
        <v>7.3155133665059324E-2</v>
      </c>
      <c r="BU15" s="3383">
        <f>IF(ISNUMBER('Q1'!BX9),'Q1'!BX9,"n.a.")</f>
        <v>0.10897126684439318</v>
      </c>
      <c r="BV15" s="3383">
        <f>IF(ISNUMBER('Q1'!BY9),'Q1'!BY9,"n.a.")</f>
        <v>1.0794456563299581</v>
      </c>
      <c r="BW15" s="3383">
        <f>IF(ISNUMBER('Q1'!BZ9),'Q1'!BZ9,"n.a.")</f>
        <v>-0.97501524875934775</v>
      </c>
      <c r="BX15" s="3383">
        <f>IF(ISNUMBER('Q1'!CA9),'Q1'!CA9,"n.a.")</f>
        <v>1.259633030856544</v>
      </c>
      <c r="BY15" s="3383">
        <f>IF(ISNUMBER('Q1'!CB9),'Q1'!CB9,"n.a.")</f>
        <v>-0.20890347610661442</v>
      </c>
      <c r="BZ15" s="3383">
        <f>IF(ISNUMBER('Q1'!CC9),'Q1'!CC9,"n.a.")</f>
        <v>0.72859227333292864</v>
      </c>
      <c r="CA15" s="3383">
        <f>IF(ISNUMBER('Q1'!CD9),'Q1'!CD9,"n.a.")</f>
        <v>1.2887160077948545</v>
      </c>
      <c r="CB15" s="3383">
        <f>IF(ISNUMBER('Q1'!CE9),'Q1'!CE9,"n.a.")</f>
        <v>0.19303992114227952</v>
      </c>
      <c r="CC15" s="3383">
        <f>IF(ISNUMBER('Q1'!CF9),'Q1'!CF9,"n.a.")</f>
        <v>1.3397228435885422</v>
      </c>
      <c r="CD15" s="3383">
        <f>IF(ISNUMBER('Q1'!CG9),'Q1'!CG9,"n.a.")</f>
        <v>8.0744556404899193E-2</v>
      </c>
      <c r="CE15" s="3383">
        <f>IF(ISNUMBER('Q1'!CH9),'Q1'!CH9,"n.a.")</f>
        <v>1.951589219950578</v>
      </c>
      <c r="CF15" s="3383">
        <f>IF(ISNUMBER('Q1'!CI9),'Q1'!CI9,"n.a.")</f>
        <v>0.72671212476711489</v>
      </c>
      <c r="CG15" s="3383">
        <f>IF(ISNUMBER('Q1'!CJ9),'Q1'!CJ9,"n.a.")</f>
        <v>0.18917046739910237</v>
      </c>
      <c r="CH15" s="3383">
        <f>IF(ISNUMBER('Q1'!CK9),'Q1'!CK9,"n.a.")</f>
        <v>1.671002496015328</v>
      </c>
      <c r="CI15" s="3383">
        <f>IF(ISNUMBER('Q1'!CL9),'Q1'!CL9,"n.a.")</f>
        <v>1.6647271731596858</v>
      </c>
      <c r="CJ15" s="3383">
        <f>IF(ISNUMBER('Q1'!CM9),'Q1'!CM9,"n.a.")</f>
        <v>0.36349714744534634</v>
      </c>
      <c r="CK15" s="3383">
        <f>IF(ISNUMBER('Q1'!CN9),'Q1'!CN9,"n.a.")</f>
        <v>0.59968248527340062</v>
      </c>
      <c r="CL15" s="3383">
        <f>IF(ISNUMBER('Q1'!CO9),'Q1'!CO9,"n.a.")</f>
        <v>-9.1195896851514746E-2</v>
      </c>
      <c r="CM15" s="3383">
        <f>IF(ISNUMBER('Q1'!CP9),'Q1'!CP9,"n.a.")</f>
        <v>0.43278327013567264</v>
      </c>
      <c r="CN15" s="3383">
        <f>IF(ISNUMBER('Q1'!CQ9),'Q1'!CQ9,"n.a.")</f>
        <v>1.2199383426239052</v>
      </c>
      <c r="CO15" s="3383">
        <f>IF(ISNUMBER('Q1'!CR9),'Q1'!CR9,"n.a.")</f>
        <v>1.0763564256726088</v>
      </c>
      <c r="CP15" s="3383">
        <f>IF(ISNUMBER('Q1'!CS9),'Q1'!CS9,"n.a.")</f>
        <v>0.72711718984166396</v>
      </c>
      <c r="CQ15" s="3383">
        <f>IF(ISNUMBER('Q1'!CT9),'Q1'!CT9,"n.a.")</f>
        <v>0.3356311002365775</v>
      </c>
      <c r="CR15" s="3383">
        <f>IF(ISNUMBER('Q1'!CU9),'Q1'!CU9,"n.a.")</f>
        <v>0.70887817615747917</v>
      </c>
      <c r="CS15" s="3383">
        <f>IF(ISNUMBER('Q1'!CV9),'Q1'!CV9,"n.a.")</f>
        <v>1.2869502052488491</v>
      </c>
      <c r="CT15" s="3383">
        <f>IF(ISNUMBER('Q1'!CW9),'Q1'!CW9,"n.a.")</f>
        <v>0.36807132961220779</v>
      </c>
      <c r="CU15" s="3383">
        <f>IF(ISNUMBER('Q1'!CX9),'Q1'!CX9,"n.a.")</f>
        <v>0.47605012399969693</v>
      </c>
      <c r="CV15" s="3383">
        <f>IF(ISNUMBER('Q1'!CY9),'Q1'!CY9,"n.a.")</f>
        <v>0.64254735494379445</v>
      </c>
      <c r="CW15" s="3383">
        <f>IF(ISNUMBER('Q1'!CZ9),'Q1'!CZ9,"n.a.")</f>
        <v>0.44782452243838627</v>
      </c>
      <c r="CX15" s="3383">
        <f>IF(ISNUMBER('Q1'!DA9),'Q1'!DA9,"n.a.")</f>
        <v>0.36767852739945034</v>
      </c>
      <c r="CY15" s="3383">
        <f>IF(ISNUMBER('Q1'!DB9),'Q1'!DB9,"n.a.")</f>
        <v>0.31100734637281979</v>
      </c>
      <c r="CZ15" s="3383">
        <f>IF(ISNUMBER('Q1'!DC9),'Q1'!DC9,"n.a.")</f>
        <v>0.59577368524738072</v>
      </c>
      <c r="DA15" s="3383">
        <f>IF(ISNUMBER('Q1'!DD9),'Q1'!DD9,"n.a.")</f>
        <v>0.50584688193292138</v>
      </c>
      <c r="DB15" s="3383">
        <f>IF(ISNUMBER('Q1'!DE9),'Q1'!DE9,"n.a.")</f>
        <v>0.44407239423216671</v>
      </c>
      <c r="DC15" s="3383">
        <f>IF(ISNUMBER('Q1'!DF9),'Q1'!DF9,"n.a.")</f>
        <v>0.33039716192603147</v>
      </c>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row>
    <row r="16" spans="1:189">
      <c r="A16" s="3383" t="str">
        <f t="shared" si="1"/>
        <v>\\DG ECFIN\Forecast\Country databases\Desk transfer databases\SE</v>
      </c>
      <c r="B16" s="3383" t="str">
        <f t="shared" si="2"/>
        <v>SE</v>
      </c>
      <c r="C16" s="3383" t="s">
        <v>2268</v>
      </c>
      <c r="D16" s="3383" t="s">
        <v>2082</v>
      </c>
      <c r="E16" s="3383" t="s">
        <v>2292</v>
      </c>
      <c r="F16" s="3383">
        <v>19</v>
      </c>
      <c r="G16" s="3383" t="s">
        <v>2279</v>
      </c>
      <c r="H16" s="3383">
        <f>IF(ISNUMBER('Q1'!K10),'Q1'!K10,"n.a.")</f>
        <v>1.4227572000209088</v>
      </c>
      <c r="I16" s="3383">
        <f>IF(ISNUMBER('Q1'!L10),'Q1'!L10,"n.a.")</f>
        <v>-0.21698610559143106</v>
      </c>
      <c r="J16" s="3383">
        <f>IF(ISNUMBER('Q1'!M10),'Q1'!M10,"n.a.")</f>
        <v>-0.30950716960582081</v>
      </c>
      <c r="K16" s="3383">
        <f>IF(ISNUMBER('Q1'!N10),'Q1'!N10,"n.a.")</f>
        <v>-4.7856184824697563E-2</v>
      </c>
      <c r="L16" s="3383">
        <f>IF(ISNUMBER('Q1'!O10),'Q1'!O10,"n.a.")</f>
        <v>0.64700512240089492</v>
      </c>
      <c r="M16" s="3383">
        <f>IF(ISNUMBER('Q1'!P10),'Q1'!P10,"n.a.")</f>
        <v>-0.7383142140294755</v>
      </c>
      <c r="N16" s="3383">
        <f>IF(ISNUMBER('Q1'!Q10),'Q1'!Q10,"n.a.")</f>
        <v>0.4085317237017515</v>
      </c>
      <c r="O16" s="3383">
        <f>IF(ISNUMBER('Q1'!R10),'Q1'!R10,"n.a.")</f>
        <v>1.2752343032197466</v>
      </c>
      <c r="P16" s="3383">
        <f>IF(ISNUMBER('Q1'!S10),'Q1'!S10,"n.a.")</f>
        <v>1.3204653628177756</v>
      </c>
      <c r="Q16" s="3383">
        <f>IF(ISNUMBER('Q1'!T10),'Q1'!T10,"n.a.")</f>
        <v>1.9031866157852715</v>
      </c>
      <c r="R16" s="3383">
        <f>IF(ISNUMBER('Q1'!U10),'Q1'!U10,"n.a.")</f>
        <v>-0.13697410369026763</v>
      </c>
      <c r="S16" s="3383">
        <f>IF(ISNUMBER('Q1'!V10),'Q1'!V10,"n.a.")</f>
        <v>-0.51024118015008058</v>
      </c>
      <c r="T16" s="3383">
        <f>IF(ISNUMBER('Q1'!W10),'Q1'!W10,"n.a.")</f>
        <v>0.54011947337720789</v>
      </c>
      <c r="U16" s="3383">
        <f>IF(ISNUMBER('Q1'!X10),'Q1'!X10,"n.a.")</f>
        <v>0.14140119683794605</v>
      </c>
      <c r="V16" s="3383">
        <f>IF(ISNUMBER('Q1'!Y10),'Q1'!Y10,"n.a.")</f>
        <v>-0.82659112642258747</v>
      </c>
      <c r="W16" s="3383">
        <f>IF(ISNUMBER('Q1'!Z10),'Q1'!Z10,"n.a.")</f>
        <v>0.53673318028500416</v>
      </c>
      <c r="X16" s="3383">
        <f>IF(ISNUMBER('Q1'!AA10),'Q1'!AA10,"n.a.")</f>
        <v>0.72998900526953114</v>
      </c>
      <c r="Y16" s="3383">
        <f>IF(ISNUMBER('Q1'!AB10),'Q1'!AB10,"n.a.")</f>
        <v>0.94913775651413634</v>
      </c>
      <c r="Z16" s="3383">
        <f>IF(ISNUMBER('Q1'!AC10),'Q1'!AC10,"n.a.")</f>
        <v>0.68472962626028777</v>
      </c>
      <c r="AA16" s="3383">
        <f>IF(ISNUMBER('Q1'!AD10),'Q1'!AD10,"n.a.")</f>
        <v>-0.23422551643770426</v>
      </c>
      <c r="AB16" s="3383">
        <f>IF(ISNUMBER('Q1'!AE10),'Q1'!AE10,"n.a.")</f>
        <v>1.0482757360215469</v>
      </c>
      <c r="AC16" s="3383">
        <f>IF(ISNUMBER('Q1'!AF10),'Q1'!AF10,"n.a.")</f>
        <v>0.62110790827956697</v>
      </c>
      <c r="AD16" s="3383">
        <f>IF(ISNUMBER('Q1'!AG10),'Q1'!AG10,"n.a.")</f>
        <v>-0.26831883764860665</v>
      </c>
      <c r="AE16" s="3383">
        <f>IF(ISNUMBER('Q1'!AH10),'Q1'!AH10,"n.a.")</f>
        <v>-0.61770508504817967</v>
      </c>
      <c r="AF16" s="3383">
        <f>IF(ISNUMBER('Q1'!AI10),'Q1'!AI10,"n.a.")</f>
        <v>0.36562909391156362</v>
      </c>
      <c r="AG16" s="3383">
        <f>IF(ISNUMBER('Q1'!AJ10),'Q1'!AJ10,"n.a.")</f>
        <v>-0.58035600292973255</v>
      </c>
      <c r="AH16" s="3383">
        <f>IF(ISNUMBER('Q1'!AK10),'Q1'!AK10,"n.a.")</f>
        <v>0.37807520618076834</v>
      </c>
      <c r="AI16" s="3383">
        <f>IF(ISNUMBER('Q1'!AL10),'Q1'!AL10,"n.a.")</f>
        <v>-9.3391368730436741E-2</v>
      </c>
      <c r="AJ16" s="3383">
        <f>IF(ISNUMBER('Q1'!AM10),'Q1'!AM10,"n.a.")</f>
        <v>0.5641277070574362</v>
      </c>
      <c r="AK16" s="3383">
        <f>IF(ISNUMBER('Q1'!AN10),'Q1'!AN10,"n.a.")</f>
        <v>6.3484052514432357E-2</v>
      </c>
      <c r="AL16" s="3383">
        <f>IF(ISNUMBER('Q1'!AO10),'Q1'!AO10,"n.a.")</f>
        <v>5.4605187885128491E-2</v>
      </c>
      <c r="AM16" s="3383">
        <f>IF(ISNUMBER('Q1'!AP10),'Q1'!AP10,"n.a.")</f>
        <v>0.20150884688044357</v>
      </c>
      <c r="AN16" s="3383">
        <f>IF(ISNUMBER('Q1'!AQ10),'Q1'!AQ10,"n.a.")</f>
        <v>-0.23797779539438532</v>
      </c>
      <c r="AO16" s="3383">
        <f>IF(ISNUMBER('Q1'!AR10),'Q1'!AR10,"n.a.")</f>
        <v>-0.46876090080677102</v>
      </c>
      <c r="AP16" s="3383">
        <f>IF(ISNUMBER('Q1'!AS10),'Q1'!AS10,"n.a.")</f>
        <v>5.3456808523963083E-2</v>
      </c>
      <c r="AQ16" s="3383">
        <f>IF(ISNUMBER('Q1'!AT10),'Q1'!AT10,"n.a.")</f>
        <v>0.31697572643446381</v>
      </c>
      <c r="AR16" s="3383">
        <f>IF(ISNUMBER('Q1'!AU10),'Q1'!AU10,"n.a.")</f>
        <v>0.15330942778086309</v>
      </c>
      <c r="AS16" s="3383">
        <f>IF(ISNUMBER('Q1'!AV10),'Q1'!AV10,"n.a.")</f>
        <v>-8.5752998761619265E-2</v>
      </c>
      <c r="AT16" s="3383">
        <f>IF(ISNUMBER('Q1'!AW10),'Q1'!AW10,"n.a.")</f>
        <v>-1.1740399251382256</v>
      </c>
      <c r="AU16" s="3383">
        <f>IF(ISNUMBER('Q1'!AX10),'Q1'!AX10,"n.a.")</f>
        <v>0.72096425414360688</v>
      </c>
      <c r="AV16" s="3383">
        <f>IF(ISNUMBER('Q1'!AY10),'Q1'!AY10,"n.a.")</f>
        <v>-0.27491254922625952</v>
      </c>
      <c r="AW16" s="3383">
        <f>IF(ISNUMBER('Q1'!AZ10),'Q1'!AZ10,"n.a.")</f>
        <v>0.2867555086684222</v>
      </c>
      <c r="AX16" s="3383">
        <f>IF(ISNUMBER('Q1'!BA10),'Q1'!BA10,"n.a.")</f>
        <v>0.36130497359331931</v>
      </c>
      <c r="AY16" s="3383">
        <f>IF(ISNUMBER('Q1'!BB10),'Q1'!BB10,"n.a.")</f>
        <v>0.2144162272180597</v>
      </c>
      <c r="AZ16" s="3383">
        <f>IF(ISNUMBER('Q1'!BC10),'Q1'!BC10,"n.a.")</f>
        <v>0.7188945756199111</v>
      </c>
      <c r="BA16" s="3383">
        <f>IF(ISNUMBER('Q1'!BD10),'Q1'!BD10,"n.a.")</f>
        <v>0.29268261586382543</v>
      </c>
      <c r="BB16" s="3383">
        <f>IF(ISNUMBER('Q1'!BE10),'Q1'!BE10,"n.a.")</f>
        <v>1.0287745078104171</v>
      </c>
      <c r="BC16" s="3383">
        <f>IF(ISNUMBER('Q1'!BF10),'Q1'!BF10,"n.a.")</f>
        <v>1.1189222978681153</v>
      </c>
      <c r="BD16" s="3383">
        <f>IF(ISNUMBER('Q1'!BG10),'Q1'!BG10,"n.a.")</f>
        <v>7.6671548265659556E-2</v>
      </c>
      <c r="BE16" s="3383">
        <f>IF(ISNUMBER('Q1'!BH10),'Q1'!BH10,"n.a.")</f>
        <v>1.2692344482064104</v>
      </c>
      <c r="BF16" s="3383">
        <f>IF(ISNUMBER('Q1'!BI10),'Q1'!BI10,"n.a.")</f>
        <v>0.72614093811019598</v>
      </c>
      <c r="BG16" s="3383">
        <f>IF(ISNUMBER('Q1'!BJ10),'Q1'!BJ10,"n.a.")</f>
        <v>-1.0978431993160045</v>
      </c>
      <c r="BH16" s="3383">
        <f>IF(ISNUMBER('Q1'!BK10),'Q1'!BK10,"n.a.")</f>
        <v>-1.066940868337418</v>
      </c>
      <c r="BI16" s="3383">
        <f>IF(ISNUMBER('Q1'!BL10),'Q1'!BL10,"n.a.")</f>
        <v>-2.0940609028312074</v>
      </c>
      <c r="BJ16" s="3383">
        <f>IF(ISNUMBER('Q1'!BM10),'Q1'!BM10,"n.a.")</f>
        <v>-1.284003674323271</v>
      </c>
      <c r="BK16" s="3383">
        <f>IF(ISNUMBER('Q1'!BN10),'Q1'!BN10,"n.a.")</f>
        <v>-0.88440197574989854</v>
      </c>
      <c r="BL16" s="3383">
        <f>IF(ISNUMBER('Q1'!BO10),'Q1'!BO10,"n.a.")</f>
        <v>0.57496185582988213</v>
      </c>
      <c r="BM16" s="3383">
        <f>IF(ISNUMBER('Q1'!BP10),'Q1'!BP10,"n.a.")</f>
        <v>1.1280290043685672</v>
      </c>
      <c r="BN16" s="3383">
        <f>IF(ISNUMBER('Q1'!BQ10),'Q1'!BQ10,"n.a.")</f>
        <v>0.8999322295287967</v>
      </c>
      <c r="BO16" s="3383">
        <f>IF(ISNUMBER('Q1'!BR10),'Q1'!BR10,"n.a.")</f>
        <v>0.28533280695178509</v>
      </c>
      <c r="BP16" s="3383">
        <f>IF(ISNUMBER('Q1'!BS10),'Q1'!BS10,"n.a.")</f>
        <v>2.1717023429395717</v>
      </c>
      <c r="BQ16" s="3383">
        <f>IF(ISNUMBER('Q1'!BT10),'Q1'!BT10,"n.a.")</f>
        <v>0.95002107321081108</v>
      </c>
      <c r="BR16" s="3383">
        <f>IF(ISNUMBER('Q1'!BU10),'Q1'!BU10,"n.a.")</f>
        <v>0.58128204088298896</v>
      </c>
      <c r="BS16" s="3383">
        <f>IF(ISNUMBER('Q1'!BV10),'Q1'!BV10,"n.a.")</f>
        <v>0.90102222127589648</v>
      </c>
      <c r="BT16" s="3383">
        <f>IF(ISNUMBER('Q1'!BW10),'Q1'!BW10,"n.a.")</f>
        <v>-0.42513092864696744</v>
      </c>
      <c r="BU16" s="3383">
        <f>IF(ISNUMBER('Q1'!BX10),'Q1'!BX10,"n.a.")</f>
        <v>-6.9551930030206821E-2</v>
      </c>
      <c r="BV16" s="3383">
        <f>IF(ISNUMBER('Q1'!BY10),'Q1'!BY10,"n.a.")</f>
        <v>1.1114224401083617</v>
      </c>
      <c r="BW16" s="3383">
        <f>IF(ISNUMBER('Q1'!BZ10),'Q1'!BZ10,"n.a.")</f>
        <v>-0.53927453470058162</v>
      </c>
      <c r="BX16" s="3383">
        <f>IF(ISNUMBER('Q1'!CA10),'Q1'!CA10,"n.a.")</f>
        <v>0.63773874090178029</v>
      </c>
      <c r="BY16" s="3383">
        <f>IF(ISNUMBER('Q1'!CB10),'Q1'!CB10,"n.a.")</f>
        <v>3.6321164477879773E-2</v>
      </c>
      <c r="BZ16" s="3383">
        <f>IF(ISNUMBER('Q1'!CC10),'Q1'!CC10,"n.a.")</f>
        <v>-0.35899360719516926</v>
      </c>
      <c r="CA16" s="3383">
        <f>IF(ISNUMBER('Q1'!CD10),'Q1'!CD10,"n.a.")</f>
        <v>0.60606875341770072</v>
      </c>
      <c r="CB16" s="3383">
        <f>IF(ISNUMBER('Q1'!CE10),'Q1'!CE10,"n.a.")</f>
        <v>0.15411310957133278</v>
      </c>
      <c r="CC16" s="3383">
        <f>IF(ISNUMBER('Q1'!CF10),'Q1'!CF10,"n.a.")</f>
        <v>0.55064854363620863</v>
      </c>
      <c r="CD16" s="3383">
        <f>IF(ISNUMBER('Q1'!CG10),'Q1'!CG10,"n.a.")</f>
        <v>0.17360270777246251</v>
      </c>
      <c r="CE16" s="3383">
        <f>IF(ISNUMBER('Q1'!CH10),'Q1'!CH10,"n.a.")</f>
        <v>0.70306389724369978</v>
      </c>
      <c r="CF16" s="3383">
        <f>IF(ISNUMBER('Q1'!CI10),'Q1'!CI10,"n.a.")</f>
        <v>0.66970936149117488</v>
      </c>
      <c r="CG16" s="3383">
        <f>IF(ISNUMBER('Q1'!CJ10),'Q1'!CJ10,"n.a.")</f>
        <v>0.29466931308872013</v>
      </c>
      <c r="CH16" s="3383">
        <f>IF(ISNUMBER('Q1'!CK10),'Q1'!CK10,"n.a.")</f>
        <v>1.1752177512967674</v>
      </c>
      <c r="CI16" s="3383">
        <f>IF(ISNUMBER('Q1'!CL10),'Q1'!CL10,"n.a.")</f>
        <v>1.068559361086177</v>
      </c>
      <c r="CJ16" s="3383">
        <f>IF(ISNUMBER('Q1'!CM10),'Q1'!CM10,"n.a.")</f>
        <v>0.85358259137495573</v>
      </c>
      <c r="CK16" s="3383">
        <f>IF(ISNUMBER('Q1'!CN10),'Q1'!CN10,"n.a.")</f>
        <v>0.81674442589406948</v>
      </c>
      <c r="CL16" s="3383">
        <f>IF(ISNUMBER('Q1'!CO10),'Q1'!CO10,"n.a.")</f>
        <v>0.51753606255975926</v>
      </c>
      <c r="CM16" s="3383">
        <f>IF(ISNUMBER('Q1'!CP10),'Q1'!CP10,"n.a.")</f>
        <v>0.46698780783771648</v>
      </c>
      <c r="CN16" s="3383">
        <f>IF(ISNUMBER('Q1'!CQ10),'Q1'!CQ10,"n.a.")</f>
        <v>0.75896322461786747</v>
      </c>
      <c r="CO16" s="3383">
        <f>IF(ISNUMBER('Q1'!CR10),'Q1'!CR10,"n.a.")</f>
        <v>0.98124109379745783</v>
      </c>
      <c r="CP16" s="3383">
        <f>IF(ISNUMBER('Q1'!CS10),'Q1'!CS10,"n.a.")</f>
        <v>0.52316802351367464</v>
      </c>
      <c r="CQ16" s="3383">
        <f>IF(ISNUMBER('Q1'!CT10),'Q1'!CT10,"n.a.")</f>
        <v>0.77052099774586091</v>
      </c>
      <c r="CR16" s="3383">
        <f>IF(ISNUMBER('Q1'!CU10),'Q1'!CU10,"n.a.")</f>
        <v>0.62079825686999546</v>
      </c>
      <c r="CS16" s="3383">
        <f>IF(ISNUMBER('Q1'!CV10),'Q1'!CV10,"n.a.")</f>
        <v>1.5457349479050868</v>
      </c>
      <c r="CT16" s="3383">
        <f>IF(ISNUMBER('Q1'!CW10),'Q1'!CW10,"n.a.")</f>
        <v>1.1392274399101172</v>
      </c>
      <c r="CU16" s="3383">
        <f>IF(ISNUMBER('Q1'!CX10),'Q1'!CX10,"n.a.")</f>
        <v>0.75643428010060354</v>
      </c>
      <c r="CV16" s="3383">
        <f>IF(ISNUMBER('Q1'!CY10),'Q1'!CY10,"n.a.")</f>
        <v>0.84820068842145613</v>
      </c>
      <c r="CW16" s="3383">
        <f>IF(ISNUMBER('Q1'!CZ10),'Q1'!CZ10,"n.a.")</f>
        <v>0.84478278935385764</v>
      </c>
      <c r="CX16" s="3383">
        <f>IF(ISNUMBER('Q1'!DA10),'Q1'!DA10,"n.a.")</f>
        <v>0.84193609937917235</v>
      </c>
      <c r="CY16" s="3383">
        <f>IF(ISNUMBER('Q1'!DB10),'Q1'!DB10,"n.a.")</f>
        <v>0.93298104952654282</v>
      </c>
      <c r="CZ16" s="3383">
        <f>IF(ISNUMBER('Q1'!DC10),'Q1'!DC10,"n.a.")</f>
        <v>0.92957655481314938</v>
      </c>
      <c r="DA16" s="3383">
        <f>IF(ISNUMBER('Q1'!DD10),'Q1'!DD10,"n.a.")</f>
        <v>1.0181544438258585</v>
      </c>
      <c r="DB16" s="3383">
        <f>IF(ISNUMBER('Q1'!DE10),'Q1'!DE10,"n.a.")</f>
        <v>1.0138647182542915</v>
      </c>
      <c r="DC16" s="3383">
        <f>IF(ISNUMBER('Q1'!DF10),'Q1'!DF10,"n.a.")</f>
        <v>1.0105185754332144</v>
      </c>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row>
    <row r="17" spans="1:189">
      <c r="A17" s="3383" t="str">
        <f t="shared" si="1"/>
        <v>\\DG ECFIN\Forecast\Country databases\Desk transfer databases\SE</v>
      </c>
      <c r="B17" s="3383" t="str">
        <f t="shared" si="2"/>
        <v>SE</v>
      </c>
      <c r="C17" s="3383" t="s">
        <v>2268</v>
      </c>
      <c r="D17" s="3383" t="s">
        <v>2270</v>
      </c>
      <c r="E17" s="3383" t="s">
        <v>2292</v>
      </c>
      <c r="F17" s="3383">
        <v>20</v>
      </c>
      <c r="G17" s="3383" t="s">
        <v>2280</v>
      </c>
      <c r="H17" s="3383">
        <f>IF(ISNUMBER('Q1'!K11),'Q1'!K11,"n.a.")</f>
        <v>-3.7899396473173308E-2</v>
      </c>
      <c r="I17" s="3383">
        <f>IF(ISNUMBER('Q1'!L11),'Q1'!L11,"n.a.")</f>
        <v>0.13050760634389924</v>
      </c>
      <c r="J17" s="3383">
        <f>IF(ISNUMBER('Q1'!M11),'Q1'!M11,"n.a.")</f>
        <v>1.5536331684971927</v>
      </c>
      <c r="K17" s="3383">
        <f>IF(ISNUMBER('Q1'!N11),'Q1'!N11,"n.a.")</f>
        <v>0.39745891433149438</v>
      </c>
      <c r="L17" s="3383">
        <f>IF(ISNUMBER('Q1'!O11),'Q1'!O11,"n.a.")</f>
        <v>-0.78665414666263533</v>
      </c>
      <c r="M17" s="3383">
        <f>IF(ISNUMBER('Q1'!P11),'Q1'!P11,"n.a.")</f>
        <v>1.5532920051553045</v>
      </c>
      <c r="N17" s="3383">
        <f>IF(ISNUMBER('Q1'!Q11),'Q1'!Q11,"n.a.")</f>
        <v>0.15195900317777067</v>
      </c>
      <c r="O17" s="3383">
        <f>IF(ISNUMBER('Q1'!R11),'Q1'!R11,"n.a.")</f>
        <v>0.92116631340786181</v>
      </c>
      <c r="P17" s="3383">
        <f>IF(ISNUMBER('Q1'!S11),'Q1'!S11,"n.a.")</f>
        <v>1.1646598712776957</v>
      </c>
      <c r="Q17" s="3383">
        <f>IF(ISNUMBER('Q1'!T11),'Q1'!T11,"n.a.")</f>
        <v>1.1728482881663505</v>
      </c>
      <c r="R17" s="3383">
        <f>IF(ISNUMBER('Q1'!U11),'Q1'!U11,"n.a.")</f>
        <v>1.552272755344708</v>
      </c>
      <c r="S17" s="3383">
        <f>IF(ISNUMBER('Q1'!V11),'Q1'!V11,"n.a.")</f>
        <v>1.0378360441724244</v>
      </c>
      <c r="T17" s="3383">
        <f>IF(ISNUMBER('Q1'!W11),'Q1'!W11,"n.a.")</f>
        <v>0.81996877852741346</v>
      </c>
      <c r="U17" s="3383">
        <f>IF(ISNUMBER('Q1'!X11),'Q1'!X11,"n.a.")</f>
        <v>-3.2942246211142834E-2</v>
      </c>
      <c r="V17" s="3383">
        <f>IF(ISNUMBER('Q1'!Y11),'Q1'!Y11,"n.a.")</f>
        <v>1.6991366501732719</v>
      </c>
      <c r="W17" s="3383">
        <f>IF(ISNUMBER('Q1'!Z11),'Q1'!Z11,"n.a.")</f>
        <v>1.0658357242501859</v>
      </c>
      <c r="X17" s="3383">
        <f>IF(ISNUMBER('Q1'!AA11),'Q1'!AA11,"n.a.")</f>
        <v>0.39508408665838157</v>
      </c>
      <c r="Y17" s="3383">
        <f>IF(ISNUMBER('Q1'!AB11),'Q1'!AB11,"n.a.")</f>
        <v>1.9689376133090075</v>
      </c>
      <c r="Z17" s="3383">
        <f>IF(ISNUMBER('Q1'!AC11),'Q1'!AC11,"n.a.")</f>
        <v>0.85238282555788469</v>
      </c>
      <c r="AA17" s="3383">
        <f>IF(ISNUMBER('Q1'!AD11),'Q1'!AD11,"n.a.")</f>
        <v>-5.9682419111972695E-2</v>
      </c>
      <c r="AB17" s="3383">
        <f>IF(ISNUMBER('Q1'!AE11),'Q1'!AE11,"n.a.")</f>
        <v>-0.40890122523093986</v>
      </c>
      <c r="AC17" s="3383">
        <f>IF(ISNUMBER('Q1'!AF11),'Q1'!AF11,"n.a.")</f>
        <v>0.41601679898883859</v>
      </c>
      <c r="AD17" s="3383">
        <f>IF(ISNUMBER('Q1'!AG11),'Q1'!AG11,"n.a.")</f>
        <v>0.30447920397942418</v>
      </c>
      <c r="AE17" s="3383">
        <f>IF(ISNUMBER('Q1'!AH11),'Q1'!AH11,"n.a.")</f>
        <v>0.78700602331078784</v>
      </c>
      <c r="AF17" s="3383">
        <f>IF(ISNUMBER('Q1'!AI11),'Q1'!AI11,"n.a.")</f>
        <v>-1.0805170737921643</v>
      </c>
      <c r="AG17" s="3383">
        <f>IF(ISNUMBER('Q1'!AJ11),'Q1'!AJ11,"n.a.")</f>
        <v>1.8028517143203748</v>
      </c>
      <c r="AH17" s="3383">
        <f>IF(ISNUMBER('Q1'!AK11),'Q1'!AK11,"n.a.")</f>
        <v>-0.15553310400225895</v>
      </c>
      <c r="AI17" s="3383">
        <f>IF(ISNUMBER('Q1'!AL11),'Q1'!AL11,"n.a.")</f>
        <v>1.1408803503845322</v>
      </c>
      <c r="AJ17" s="3383">
        <f>IF(ISNUMBER('Q1'!AM11),'Q1'!AM11,"n.a.")</f>
        <v>0.51903031576334691</v>
      </c>
      <c r="AK17" s="3383">
        <f>IF(ISNUMBER('Q1'!AN11),'Q1'!AN11,"n.a.")</f>
        <v>-0.44266580827166946</v>
      </c>
      <c r="AL17" s="3383">
        <f>IF(ISNUMBER('Q1'!AO11),'Q1'!AO11,"n.a.")</f>
        <v>0.94338086911613939</v>
      </c>
      <c r="AM17" s="3383">
        <f>IF(ISNUMBER('Q1'!AP11),'Q1'!AP11,"n.a.")</f>
        <v>0.51904023364663932</v>
      </c>
      <c r="AN17" s="3383">
        <f>IF(ISNUMBER('Q1'!AQ11),'Q1'!AQ11,"n.a.")</f>
        <v>0.52357961551054988</v>
      </c>
      <c r="AO17" s="3383">
        <f>IF(ISNUMBER('Q1'!AR11),'Q1'!AR11,"n.a.")</f>
        <v>0.2727469347614031</v>
      </c>
      <c r="AP17" s="3383">
        <f>IF(ISNUMBER('Q1'!AS11),'Q1'!AS11,"n.a.")</f>
        <v>0.92729243561422425</v>
      </c>
      <c r="AQ17" s="3383">
        <f>IF(ISNUMBER('Q1'!AT11),'Q1'!AT11,"n.a.")</f>
        <v>0.82359460346437263</v>
      </c>
      <c r="AR17" s="3383">
        <f>IF(ISNUMBER('Q1'!AU11),'Q1'!AU11,"n.a.")</f>
        <v>0.34791107057556836</v>
      </c>
      <c r="AS17" s="3383">
        <f>IF(ISNUMBER('Q1'!AV11),'Q1'!AV11,"n.a.")</f>
        <v>0.82370954835788712</v>
      </c>
      <c r="AT17" s="3383">
        <f>IF(ISNUMBER('Q1'!AW11),'Q1'!AW11,"n.a.")</f>
        <v>1.1297196484884253</v>
      </c>
      <c r="AU17" s="3383">
        <f>IF(ISNUMBER('Q1'!AX11),'Q1'!AX11,"n.a.")</f>
        <v>-0.18042646326837941</v>
      </c>
      <c r="AV17" s="3383">
        <f>IF(ISNUMBER('Q1'!AY11),'Q1'!AY11,"n.a.")</f>
        <v>1.4950012159311798</v>
      </c>
      <c r="AW17" s="3383">
        <f>IF(ISNUMBER('Q1'!AZ11),'Q1'!AZ11,"n.a.")</f>
        <v>1.892794705294687</v>
      </c>
      <c r="AX17" s="3383">
        <f>IF(ISNUMBER('Q1'!BA11),'Q1'!BA11,"n.a.")</f>
        <v>0.54077571442139316</v>
      </c>
      <c r="AY17" s="3383">
        <f>IF(ISNUMBER('Q1'!BB11),'Q1'!BB11,"n.a.")</f>
        <v>1.2057059619440258</v>
      </c>
      <c r="AZ17" s="3383">
        <f>IF(ISNUMBER('Q1'!BC11),'Q1'!BC11,"n.a.")</f>
        <v>0.94804496777367575</v>
      </c>
      <c r="BA17" s="3383">
        <f>IF(ISNUMBER('Q1'!BD11),'Q1'!BD11,"n.a.")</f>
        <v>0.98234268845718287</v>
      </c>
      <c r="BB17" s="3383">
        <f>IF(ISNUMBER('Q1'!BE11),'Q1'!BE11,"n.a.")</f>
        <v>0.73265451602393394</v>
      </c>
      <c r="BC17" s="3383">
        <f>IF(ISNUMBER('Q1'!BF11),'Q1'!BF11,"n.a.")</f>
        <v>1.4986240691558628</v>
      </c>
      <c r="BD17" s="3383">
        <f>IF(ISNUMBER('Q1'!BG11),'Q1'!BG11,"n.a.")</f>
        <v>-0.53167708682174686</v>
      </c>
      <c r="BE17" s="3383">
        <f>IF(ISNUMBER('Q1'!BH11),'Q1'!BH11,"n.a.")</f>
        <v>-0.35176742953334506</v>
      </c>
      <c r="BF17" s="3383">
        <f>IF(ISNUMBER('Q1'!BI11),'Q1'!BI11,"n.a.")</f>
        <v>-0.64650950569604682</v>
      </c>
      <c r="BG17" s="3383">
        <f>IF(ISNUMBER('Q1'!BJ11),'Q1'!BJ11,"n.a.")</f>
        <v>-0.70316834638641801</v>
      </c>
      <c r="BH17" s="3383">
        <f>IF(ISNUMBER('Q1'!BK11),'Q1'!BK11,"n.a.")</f>
        <v>-1.8395470611465403</v>
      </c>
      <c r="BI17" s="3383">
        <f>IF(ISNUMBER('Q1'!BL11),'Q1'!BL11,"n.a.")</f>
        <v>-6.3407087547939778E-2</v>
      </c>
      <c r="BJ17" s="3383">
        <f>IF(ISNUMBER('Q1'!BM11),'Q1'!BM11,"n.a.")</f>
        <v>-1.2184997118758201E-2</v>
      </c>
      <c r="BK17" s="3383">
        <f>IF(ISNUMBER('Q1'!BN11),'Q1'!BN11,"n.a.")</f>
        <v>0.6300197857764589</v>
      </c>
      <c r="BL17" s="3383">
        <f>IF(ISNUMBER('Q1'!BO11),'Q1'!BO11,"n.a.")</f>
        <v>0.87656041797725681</v>
      </c>
      <c r="BM17" s="3383">
        <f>IF(ISNUMBER('Q1'!BP11),'Q1'!BP11,"n.a.")</f>
        <v>1.2284122538567033</v>
      </c>
      <c r="BN17" s="3383">
        <f>IF(ISNUMBER('Q1'!BQ11),'Q1'!BQ11,"n.a.")</f>
        <v>1.8127590399484195</v>
      </c>
      <c r="BO17" s="3383">
        <f>IF(ISNUMBER('Q1'!BR11),'Q1'!BR11,"n.a.")</f>
        <v>0.86998632935177955</v>
      </c>
      <c r="BP17" s="3383">
        <f>IF(ISNUMBER('Q1'!BS11),'Q1'!BS11,"n.a.")</f>
        <v>-0.30893257178250533</v>
      </c>
      <c r="BQ17" s="3383">
        <f>IF(ISNUMBER('Q1'!BT11),'Q1'!BT11,"n.a.")</f>
        <v>1.8944835370754864</v>
      </c>
      <c r="BR17" s="3383">
        <f>IF(ISNUMBER('Q1'!BU11),'Q1'!BU11,"n.a.")</f>
        <v>-0.34430873777812065</v>
      </c>
      <c r="BS17" s="3383">
        <f>IF(ISNUMBER('Q1'!BV11),'Q1'!BV11,"n.a.")</f>
        <v>-0.99777339262339115</v>
      </c>
      <c r="BT17" s="3383">
        <f>IF(ISNUMBER('Q1'!BW11),'Q1'!BW11,"n.a.")</f>
        <v>1.4873761172556899</v>
      </c>
      <c r="BU17" s="3383">
        <f>IF(ISNUMBER('Q1'!BX11),'Q1'!BX11,"n.a.")</f>
        <v>-0.26554917208080342</v>
      </c>
      <c r="BV17" s="3383">
        <f>IF(ISNUMBER('Q1'!BY11),'Q1'!BY11,"n.a.")</f>
        <v>-0.1755150265763783</v>
      </c>
      <c r="BW17" s="3383">
        <f>IF(ISNUMBER('Q1'!BZ11),'Q1'!BZ11,"n.a.")</f>
        <v>0.76670186427534315</v>
      </c>
      <c r="BX17" s="3383">
        <f>IF(ISNUMBER('Q1'!CA11),'Q1'!CA11,"n.a.")</f>
        <v>7.9486568052011819E-3</v>
      </c>
      <c r="BY17" s="3383">
        <f>IF(ISNUMBER('Q1'!CB11),'Q1'!CB11,"n.a.")</f>
        <v>0.42912342840040196</v>
      </c>
      <c r="BZ17" s="3383">
        <f>IF(ISNUMBER('Q1'!CC11),'Q1'!CC11,"n.a.")</f>
        <v>1.1484211906604758</v>
      </c>
      <c r="CA17" s="3383">
        <f>IF(ISNUMBER('Q1'!CD11),'Q1'!CD11,"n.a.")</f>
        <v>0.2655871552644129</v>
      </c>
      <c r="CB17" s="3383">
        <f>IF(ISNUMBER('Q1'!CE11),'Q1'!CE11,"n.a.")</f>
        <v>0.67011560827243688</v>
      </c>
      <c r="CC17" s="3383">
        <f>IF(ISNUMBER('Q1'!CF11),'Q1'!CF11,"n.a.")</f>
        <v>0.91885297215856809</v>
      </c>
      <c r="CD17" s="3383">
        <f>IF(ISNUMBER('Q1'!CG11),'Q1'!CG11,"n.a.")</f>
        <v>0.47786401654674737</v>
      </c>
      <c r="CE17" s="3383">
        <f>IF(ISNUMBER('Q1'!CH11),'Q1'!CH11,"n.a.")</f>
        <v>1.3874197516680065</v>
      </c>
      <c r="CF17" s="3383">
        <f>IF(ISNUMBER('Q1'!CI11),'Q1'!CI11,"n.a.")</f>
        <v>0.7597644037171003</v>
      </c>
      <c r="CG17" s="3383">
        <f>IF(ISNUMBER('Q1'!CJ11),'Q1'!CJ11,"n.a.")</f>
        <v>0.5838692380437438</v>
      </c>
      <c r="CH17" s="3383">
        <f>IF(ISNUMBER('Q1'!CK11),'Q1'!CK11,"n.a.")</f>
        <v>0.72495094216460387</v>
      </c>
      <c r="CI17" s="3383">
        <f>IF(ISNUMBER('Q1'!CL11),'Q1'!CL11,"n.a.")</f>
        <v>1.7867595640707057</v>
      </c>
      <c r="CJ17" s="3383">
        <f>IF(ISNUMBER('Q1'!CM11),'Q1'!CM11,"n.a.")</f>
        <v>0.59476418132198283</v>
      </c>
      <c r="CK17" s="3383">
        <f>IF(ISNUMBER('Q1'!CN11),'Q1'!CN11,"n.a.")</f>
        <v>0.64177341295750256</v>
      </c>
      <c r="CL17" s="3383">
        <f>IF(ISNUMBER('Q1'!CO11),'Q1'!CO11,"n.a.")</f>
        <v>0.21976278104853808</v>
      </c>
      <c r="CM17" s="3383">
        <f>IF(ISNUMBER('Q1'!CP11),'Q1'!CP11,"n.a.")</f>
        <v>0.4858763543564848</v>
      </c>
      <c r="CN17" s="3383">
        <f>IF(ISNUMBER('Q1'!CQ11),'Q1'!CQ11,"n.a.")</f>
        <v>0.91499039134339544</v>
      </c>
      <c r="CO17" s="3383">
        <f>IF(ISNUMBER('Q1'!CR11),'Q1'!CR11,"n.a.")</f>
        <v>0.84005640430420137</v>
      </c>
      <c r="CP17" s="3383">
        <f>IF(ISNUMBER('Q1'!CS11),'Q1'!CS11,"n.a.")</f>
        <v>1.2140899698802832</v>
      </c>
      <c r="CQ17" s="3383">
        <f>IF(ISNUMBER('Q1'!CT11),'Q1'!CT11,"n.a.")</f>
        <v>7.3810944688901259E-2</v>
      </c>
      <c r="CR17" s="3383">
        <f>IF(ISNUMBER('Q1'!CU11),'Q1'!CU11,"n.a.")</f>
        <v>0.86823099301969187</v>
      </c>
      <c r="CS17" s="3383">
        <f>IF(ISNUMBER('Q1'!CV11),'Q1'!CV11,"n.a.")</f>
        <v>0.31488978405880275</v>
      </c>
      <c r="CT17" s="3383">
        <f>IF(ISNUMBER('Q1'!CW11),'Q1'!CW11,"n.a.")</f>
        <v>-4.8709418819823949E-2</v>
      </c>
      <c r="CU17" s="3383">
        <f>IF(ISNUMBER('Q1'!CX11),'Q1'!CX11,"n.a.")</f>
        <v>8.2689695087010268E-2</v>
      </c>
      <c r="CV17" s="3383">
        <f>IF(ISNUMBER('Q1'!CY11),'Q1'!CY11,"n.a.")</f>
        <v>0.73444292775006503</v>
      </c>
      <c r="CW17" s="3383">
        <f>IF(ISNUMBER('Q1'!CZ11),'Q1'!CZ11,"n.a.")</f>
        <v>0.44394850613538561</v>
      </c>
      <c r="CX17" s="3383">
        <f>IF(ISNUMBER('Q1'!DA11),'Q1'!DA11,"n.a.")</f>
        <v>0.36451025718467456</v>
      </c>
      <c r="CY17" s="3383">
        <f>IF(ISNUMBER('Q1'!DB11),'Q1'!DB11,"n.a.")</f>
        <v>0.40373338472212578</v>
      </c>
      <c r="CZ17" s="3383">
        <f>IF(ISNUMBER('Q1'!DC11),'Q1'!DC11,"n.a.")</f>
        <v>0.59011308191282286</v>
      </c>
      <c r="DA17" s="3383">
        <f>IF(ISNUMBER('Q1'!DD11),'Q1'!DD11,"n.a.")</f>
        <v>0.59552414415939792</v>
      </c>
      <c r="DB17" s="3383">
        <f>IF(ISNUMBER('Q1'!DE11),'Q1'!DE11,"n.a.")</f>
        <v>0.4394857620603585</v>
      </c>
      <c r="DC17" s="3383">
        <f>IF(ISNUMBER('Q1'!DF11),'Q1'!DF11,"n.a.")</f>
        <v>0.32699956414378489</v>
      </c>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row>
    <row r="18" spans="1:189">
      <c r="A18" s="3383" t="str">
        <f t="shared" si="1"/>
        <v>\\DG ECFIN\Forecast\Country databases\Desk transfer databases\SE</v>
      </c>
      <c r="B18" s="3383" t="str">
        <f t="shared" si="2"/>
        <v>SE</v>
      </c>
      <c r="C18" s="3383" t="s">
        <v>2268</v>
      </c>
      <c r="D18" s="3383" t="s">
        <v>2271</v>
      </c>
      <c r="E18" s="3383" t="s">
        <v>2292</v>
      </c>
      <c r="F18" s="3383">
        <v>21</v>
      </c>
      <c r="G18" s="3383" t="s">
        <v>2281</v>
      </c>
      <c r="H18" s="3383">
        <f>IF(ISNUMBER('Q1'!K12),'Q1'!K12,"n.a.")</f>
        <v>0.38306419808915582</v>
      </c>
      <c r="I18" s="3383">
        <f>IF(ISNUMBER('Q1'!L12),'Q1'!L12,"n.a.")</f>
        <v>4.1129249812079882</v>
      </c>
      <c r="J18" s="3383">
        <f>IF(ISNUMBER('Q1'!M12),'Q1'!M12,"n.a.")</f>
        <v>-2.4888645599432047</v>
      </c>
      <c r="K18" s="3383">
        <f>IF(ISNUMBER('Q1'!N12),'Q1'!N12,"n.a.")</f>
        <v>5.0239796089479372</v>
      </c>
      <c r="L18" s="3383">
        <f>IF(ISNUMBER('Q1'!O12),'Q1'!O12,"n.a.")</f>
        <v>4.369152163499912</v>
      </c>
      <c r="M18" s="3383">
        <f>IF(ISNUMBER('Q1'!P12),'Q1'!P12,"n.a.")</f>
        <v>6.1640231066725448</v>
      </c>
      <c r="N18" s="3383">
        <f>IF(ISNUMBER('Q1'!Q12),'Q1'!Q12,"n.a.")</f>
        <v>0.18028187998617717</v>
      </c>
      <c r="O18" s="3383">
        <f>IF(ISNUMBER('Q1'!R12),'Q1'!R12,"n.a.")</f>
        <v>4.134772461818792</v>
      </c>
      <c r="P18" s="3383">
        <f>IF(ISNUMBER('Q1'!S12),'Q1'!S12,"n.a.")</f>
        <v>0.70795143751500866</v>
      </c>
      <c r="Q18" s="3383">
        <f>IF(ISNUMBER('Q1'!T12),'Q1'!T12,"n.a.")</f>
        <v>1.706265704776766</v>
      </c>
      <c r="R18" s="3383">
        <f>IF(ISNUMBER('Q1'!U12),'Q1'!U12,"n.a.")</f>
        <v>2.047775621884762</v>
      </c>
      <c r="S18" s="3383">
        <f>IF(ISNUMBER('Q1'!V12),'Q1'!V12,"n.a.")</f>
        <v>3.3848497244317599</v>
      </c>
      <c r="T18" s="3383">
        <f>IF(ISNUMBER('Q1'!W12),'Q1'!W12,"n.a.")</f>
        <v>-1.0713365650288575</v>
      </c>
      <c r="U18" s="3383">
        <f>IF(ISNUMBER('Q1'!X12),'Q1'!X12,"n.a.")</f>
        <v>2.9278976625322084</v>
      </c>
      <c r="V18" s="3383">
        <f>IF(ISNUMBER('Q1'!Y12),'Q1'!Y12,"n.a.")</f>
        <v>2.5525979641790375</v>
      </c>
      <c r="W18" s="3383">
        <f>IF(ISNUMBER('Q1'!Z12),'Q1'!Z12,"n.a.")</f>
        <v>1.2384106159812003</v>
      </c>
      <c r="X18" s="3383">
        <f>IF(ISNUMBER('Q1'!AA12),'Q1'!AA12,"n.a.")</f>
        <v>2.5823915806266529</v>
      </c>
      <c r="Y18" s="3383">
        <f>IF(ISNUMBER('Q1'!AB12),'Q1'!AB12,"n.a.")</f>
        <v>4.9904834715599256</v>
      </c>
      <c r="Z18" s="3383">
        <f>IF(ISNUMBER('Q1'!AC12),'Q1'!AC12,"n.a.")</f>
        <v>3.4005535921484586</v>
      </c>
      <c r="AA18" s="3383">
        <f>IF(ISNUMBER('Q1'!AD12),'Q1'!AD12,"n.a.")</f>
        <v>1.893995832100015</v>
      </c>
      <c r="AB18" s="3383">
        <f>IF(ISNUMBER('Q1'!AE12),'Q1'!AE12,"n.a.")</f>
        <v>-3.0778532009987924</v>
      </c>
      <c r="AC18" s="3383">
        <f>IF(ISNUMBER('Q1'!AF12),'Q1'!AF12,"n.a.")</f>
        <v>-1.3230285653202944</v>
      </c>
      <c r="AD18" s="3383">
        <f>IF(ISNUMBER('Q1'!AG12),'Q1'!AG12,"n.a.")</f>
        <v>0.93614771854275691</v>
      </c>
      <c r="AE18" s="3383">
        <f>IF(ISNUMBER('Q1'!AH12),'Q1'!AH12,"n.a.")</f>
        <v>1.4223081414048266</v>
      </c>
      <c r="AF18" s="3383">
        <f>IF(ISNUMBER('Q1'!AI12),'Q1'!AI12,"n.a.")</f>
        <v>0.71598230153095965</v>
      </c>
      <c r="AG18" s="3383">
        <f>IF(ISNUMBER('Q1'!AJ12),'Q1'!AJ12,"n.a.")</f>
        <v>0.77772251089562872</v>
      </c>
      <c r="AH18" s="3383">
        <f>IF(ISNUMBER('Q1'!AK12),'Q1'!AK12,"n.a.")</f>
        <v>-3.1890925131119241</v>
      </c>
      <c r="AI18" s="3383">
        <f>IF(ISNUMBER('Q1'!AL12),'Q1'!AL12,"n.a.")</f>
        <v>1.661999545385906</v>
      </c>
      <c r="AJ18" s="3383">
        <f>IF(ISNUMBER('Q1'!AM12),'Q1'!AM12,"n.a.")</f>
        <v>2.7531857521271519</v>
      </c>
      <c r="AK18" s="3383">
        <f>IF(ISNUMBER('Q1'!AN12),'Q1'!AN12,"n.a.")</f>
        <v>0.79357130576653834</v>
      </c>
      <c r="AL18" s="3383">
        <f>IF(ISNUMBER('Q1'!AO12),'Q1'!AO12,"n.a.")</f>
        <v>1.2617888115608933</v>
      </c>
      <c r="AM18" s="3383">
        <f>IF(ISNUMBER('Q1'!AP12),'Q1'!AP12,"n.a.")</f>
        <v>2.160734342826709</v>
      </c>
      <c r="AN18" s="3383">
        <f>IF(ISNUMBER('Q1'!AQ12),'Q1'!AQ12,"n.a.")</f>
        <v>3.4256355896408408</v>
      </c>
      <c r="AO18" s="3383">
        <f>IF(ISNUMBER('Q1'!AR12),'Q1'!AR12,"n.a.")</f>
        <v>5.0069350854823114</v>
      </c>
      <c r="AP18" s="3383">
        <f>IF(ISNUMBER('Q1'!AS12),'Q1'!AS12,"n.a.")</f>
        <v>-0.91320872778521966</v>
      </c>
      <c r="AQ18" s="3383">
        <f>IF(ISNUMBER('Q1'!AT12),'Q1'!AT12,"n.a.")</f>
        <v>1.4164690585869888</v>
      </c>
      <c r="AR18" s="3383">
        <f>IF(ISNUMBER('Q1'!AU12),'Q1'!AU12,"n.a.")</f>
        <v>0.37649931038672424</v>
      </c>
      <c r="AS18" s="3383">
        <f>IF(ISNUMBER('Q1'!AV12),'Q1'!AV12,"n.a.")</f>
        <v>3.123679069608043</v>
      </c>
      <c r="AT18" s="3383">
        <f>IF(ISNUMBER('Q1'!AW12),'Q1'!AW12,"n.a.")</f>
        <v>3.3526832821427544</v>
      </c>
      <c r="AU18" s="3383">
        <f>IF(ISNUMBER('Q1'!AX12),'Q1'!AX12,"n.a.")</f>
        <v>0.97077908592360096</v>
      </c>
      <c r="AV18" s="3383">
        <f>IF(ISNUMBER('Q1'!AY12),'Q1'!AY12,"n.a.")</f>
        <v>3.6764869802641709</v>
      </c>
      <c r="AW18" s="3383">
        <f>IF(ISNUMBER('Q1'!AZ12),'Q1'!AZ12,"n.a.")</f>
        <v>-0.16277994041212773</v>
      </c>
      <c r="AX18" s="3383">
        <f>IF(ISNUMBER('Q1'!BA12),'Q1'!BA12,"n.a.")</f>
        <v>2.3140695902867048</v>
      </c>
      <c r="AY18" s="3383">
        <f>IF(ISNUMBER('Q1'!BB12),'Q1'!BB12,"n.a.")</f>
        <v>3.9358519484542054</v>
      </c>
      <c r="AZ18" s="3383">
        <f>IF(ISNUMBER('Q1'!BC12),'Q1'!BC12,"n.a.")</f>
        <v>-1.7044690110791016</v>
      </c>
      <c r="BA18" s="3383">
        <f>IF(ISNUMBER('Q1'!BD12),'Q1'!BD12,"n.a.")</f>
        <v>1.553170435919915</v>
      </c>
      <c r="BB18" s="3383">
        <f>IF(ISNUMBER('Q1'!BE12),'Q1'!BE12,"n.a.")</f>
        <v>0.88904143570276428</v>
      </c>
      <c r="BC18" s="3383">
        <f>IF(ISNUMBER('Q1'!BF12),'Q1'!BF12,"n.a.")</f>
        <v>3.0297465766346399</v>
      </c>
      <c r="BD18" s="3383">
        <f>IF(ISNUMBER('Q1'!BG12),'Q1'!BG12,"n.a.")</f>
        <v>2.0038885234183956</v>
      </c>
      <c r="BE18" s="3383">
        <f>IF(ISNUMBER('Q1'!BH12),'Q1'!BH12,"n.a.")</f>
        <v>-1.95937324659331</v>
      </c>
      <c r="BF18" s="3383">
        <f>IF(ISNUMBER('Q1'!BI12),'Q1'!BI12,"n.a.")</f>
        <v>-0.89735269453271593</v>
      </c>
      <c r="BG18" s="3383">
        <f>IF(ISNUMBER('Q1'!BJ12),'Q1'!BJ12,"n.a.")</f>
        <v>-6.088852625063323</v>
      </c>
      <c r="BH18" s="3383">
        <f>IF(ISNUMBER('Q1'!BK12),'Q1'!BK12,"n.a.")</f>
        <v>-8.7106538557947921</v>
      </c>
      <c r="BI18" s="3383">
        <f>IF(ISNUMBER('Q1'!BL12),'Q1'!BL12,"n.a.")</f>
        <v>-2.7582719441995307</v>
      </c>
      <c r="BJ18" s="3383">
        <f>IF(ISNUMBER('Q1'!BM12),'Q1'!BM12,"n.a.")</f>
        <v>2.3749852697195317</v>
      </c>
      <c r="BK18" s="3383">
        <f>IF(ISNUMBER('Q1'!BN12),'Q1'!BN12,"n.a.")</f>
        <v>1.092046638971067</v>
      </c>
      <c r="BL18" s="3383">
        <f>IF(ISNUMBER('Q1'!BO12),'Q1'!BO12,"n.a.")</f>
        <v>3.5481576836982942</v>
      </c>
      <c r="BM18" s="3383">
        <f>IF(ISNUMBER('Q1'!BP12),'Q1'!BP12,"n.a.")</f>
        <v>5.0337999381685927</v>
      </c>
      <c r="BN18" s="3383">
        <f>IF(ISNUMBER('Q1'!BQ12),'Q1'!BQ12,"n.a.")</f>
        <v>2.6756997707242824</v>
      </c>
      <c r="BO18" s="3383">
        <f>IF(ISNUMBER('Q1'!BR12),'Q1'!BR12,"n.a.")</f>
        <v>3.8737444801416387</v>
      </c>
      <c r="BP18" s="3383">
        <f>IF(ISNUMBER('Q1'!BS12),'Q1'!BS12,"n.a.")</f>
        <v>-0.13745081336582476</v>
      </c>
      <c r="BQ18" s="3383">
        <f>IF(ISNUMBER('Q1'!BT12),'Q1'!BT12,"n.a.")</f>
        <v>0.23417802738205928</v>
      </c>
      <c r="BR18" s="3383">
        <f>IF(ISNUMBER('Q1'!BU12),'Q1'!BU12,"n.a.")</f>
        <v>3.1155859813025044</v>
      </c>
      <c r="BS18" s="3383">
        <f>IF(ISNUMBER('Q1'!BV12),'Q1'!BV12,"n.a.")</f>
        <v>-3.3905883923111668</v>
      </c>
      <c r="BT18" s="3383">
        <f>IF(ISNUMBER('Q1'!BW12),'Q1'!BW12,"n.a.")</f>
        <v>2.8492432842890159</v>
      </c>
      <c r="BU18" s="3383">
        <f>IF(ISNUMBER('Q1'!BX12),'Q1'!BX12,"n.a.")</f>
        <v>1.3863887645172213</v>
      </c>
      <c r="BV18" s="3383">
        <f>IF(ISNUMBER('Q1'!BY12),'Q1'!BY12,"n.a.")</f>
        <v>-1.9352447473666379</v>
      </c>
      <c r="BW18" s="3383">
        <f>IF(ISNUMBER('Q1'!BZ12),'Q1'!BZ12,"n.a.")</f>
        <v>-1.3254421337945854</v>
      </c>
      <c r="BX18" s="3383">
        <f>IF(ISNUMBER('Q1'!CA12),'Q1'!CA12,"n.a.")</f>
        <v>-0.11230196678626569</v>
      </c>
      <c r="BY18" s="3383">
        <f>IF(ISNUMBER('Q1'!CB12),'Q1'!CB12,"n.a.")</f>
        <v>1.4461584652882609</v>
      </c>
      <c r="BZ18" s="3383">
        <f>IF(ISNUMBER('Q1'!CC12),'Q1'!CC12,"n.a.")</f>
        <v>0.19952268970282461</v>
      </c>
      <c r="CA18" s="3383">
        <f>IF(ISNUMBER('Q1'!CD12),'Q1'!CD12,"n.a.")</f>
        <v>-0.87142297255243806</v>
      </c>
      <c r="CB18" s="3383">
        <f>IF(ISNUMBER('Q1'!CE12),'Q1'!CE12,"n.a.")</f>
        <v>4.1284930030051514</v>
      </c>
      <c r="CC18" s="3383">
        <f>IF(ISNUMBER('Q1'!CF12),'Q1'!CF12,"n.a.")</f>
        <v>1.1681556231500023</v>
      </c>
      <c r="CD18" s="3383">
        <f>IF(ISNUMBER('Q1'!CG12),'Q1'!CG12,"n.a.")</f>
        <v>0.56770392519687185</v>
      </c>
      <c r="CE18" s="3383">
        <f>IF(ISNUMBER('Q1'!CH12),'Q1'!CH12,"n.a.")</f>
        <v>1.1872586640730542</v>
      </c>
      <c r="CF18" s="3383">
        <f>IF(ISNUMBER('Q1'!CI12),'Q1'!CI12,"n.a.")</f>
        <v>1.0074178427464053</v>
      </c>
      <c r="CG18" s="3383">
        <f>IF(ISNUMBER('Q1'!CJ12),'Q1'!CJ12,"n.a.")</f>
        <v>1.1773933134195502</v>
      </c>
      <c r="CH18" s="3383">
        <f>IF(ISNUMBER('Q1'!CK12),'Q1'!CK12,"n.a.")</f>
        <v>2.9379276237921914</v>
      </c>
      <c r="CI18" s="3383">
        <f>IF(ISNUMBER('Q1'!CL12),'Q1'!CL12,"n.a.")</f>
        <v>1.2147094433228034</v>
      </c>
      <c r="CJ18" s="3383">
        <f>IF(ISNUMBER('Q1'!CM12),'Q1'!CM12,"n.a.")</f>
        <v>-0.92159239231772716</v>
      </c>
      <c r="CK18" s="3383">
        <f>IF(ISNUMBER('Q1'!CN12),'Q1'!CN12,"n.a.")</f>
        <v>-0.83551379577616602</v>
      </c>
      <c r="CL18" s="3383">
        <f>IF(ISNUMBER('Q1'!CO12),'Q1'!CO12,"n.a.")</f>
        <v>2.2986006607331966</v>
      </c>
      <c r="CM18" s="3383">
        <f>IF(ISNUMBER('Q1'!CP12),'Q1'!CP12,"n.a.")</f>
        <v>1.2847562437576565</v>
      </c>
      <c r="CN18" s="3383">
        <f>IF(ISNUMBER('Q1'!CQ12),'Q1'!CQ12,"n.a.")</f>
        <v>-0.68774594174347836</v>
      </c>
      <c r="CO18" s="3383">
        <f>IF(ISNUMBER('Q1'!CR12),'Q1'!CR12,"n.a.")</f>
        <v>2.5547081626569268</v>
      </c>
      <c r="CP18" s="3383">
        <f>IF(ISNUMBER('Q1'!CS12),'Q1'!CS12,"n.a.")</f>
        <v>-7.6216711144327931E-2</v>
      </c>
      <c r="CQ18" s="3383">
        <f>IF(ISNUMBER('Q1'!CT12),'Q1'!CT12,"n.a.")</f>
        <v>2.282474372414911</v>
      </c>
      <c r="CR18" s="3383">
        <f>IF(ISNUMBER('Q1'!CU12),'Q1'!CU12,"n.a.")</f>
        <v>1.6754481058645077E-2</v>
      </c>
      <c r="CS18" s="3383">
        <f>IF(ISNUMBER('Q1'!CV12),'Q1'!CV12,"n.a.")</f>
        <v>0.40267124188804182</v>
      </c>
      <c r="CT18" s="3383">
        <f>IF(ISNUMBER('Q1'!CW12),'Q1'!CW12,"n.a.")</f>
        <v>1.08</v>
      </c>
      <c r="CU18" s="3383">
        <f>IF(ISNUMBER('Q1'!CX12),'Q1'!CX12,"n.a.")</f>
        <v>0.95</v>
      </c>
      <c r="CV18" s="3383">
        <f>IF(ISNUMBER('Q1'!CY12),'Q1'!CY12,"n.a.")</f>
        <v>0.71</v>
      </c>
      <c r="CW18" s="3383">
        <f>IF(ISNUMBER('Q1'!CZ12),'Q1'!CZ12,"n.a.")</f>
        <v>0.88</v>
      </c>
      <c r="CX18" s="3383">
        <f>IF(ISNUMBER('Q1'!DA12),'Q1'!DA12,"n.a.")</f>
        <v>0.65</v>
      </c>
      <c r="CY18" s="3383">
        <f>IF(ISNUMBER('Q1'!DB12),'Q1'!DB12,"n.a.")</f>
        <v>0.59</v>
      </c>
      <c r="CZ18" s="3383">
        <f>IF(ISNUMBER('Q1'!DC12),'Q1'!DC12,"n.a.")</f>
        <v>0.88</v>
      </c>
      <c r="DA18" s="3383">
        <f>IF(ISNUMBER('Q1'!DD12),'Q1'!DD12,"n.a.")</f>
        <v>0.78</v>
      </c>
      <c r="DB18" s="3383">
        <f>IF(ISNUMBER('Q1'!DE12),'Q1'!DE12,"n.a.")</f>
        <v>0.76</v>
      </c>
      <c r="DC18" s="3383">
        <f>IF(ISNUMBER('Q1'!DF12),'Q1'!DF12,"n.a.")</f>
        <v>0.63</v>
      </c>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row>
    <row r="19" spans="1:189">
      <c r="A19" s="3383" t="str">
        <f t="shared" si="1"/>
        <v>\\DG ECFIN\Forecast\Country databases\Desk transfer databases\SE</v>
      </c>
      <c r="B19" s="3383" t="str">
        <f t="shared" si="2"/>
        <v>SE</v>
      </c>
      <c r="C19" s="3383" t="s">
        <v>2268</v>
      </c>
      <c r="D19" s="3383" t="s">
        <v>2272</v>
      </c>
      <c r="E19" s="3383" t="s">
        <v>2292</v>
      </c>
      <c r="F19" s="3383">
        <v>22</v>
      </c>
      <c r="G19" s="3383" t="s">
        <v>2282</v>
      </c>
      <c r="H19" s="3383">
        <f>IF(ISNUMBER('Q1'!K13),'Q1'!K13,"n.a.")</f>
        <v>6.4233900700894075E-2</v>
      </c>
      <c r="I19" s="3383">
        <f>IF(ISNUMBER('Q1'!L13),'Q1'!L13,"n.a.")</f>
        <v>1.0997918678663954</v>
      </c>
      <c r="J19" s="3383">
        <f>IF(ISNUMBER('Q1'!M13),'Q1'!M13,"n.a.")</f>
        <v>0.54040196029223608</v>
      </c>
      <c r="K19" s="3383">
        <f>IF(ISNUMBER('Q1'!N13),'Q1'!N13,"n.a.")</f>
        <v>1.5221334929448549</v>
      </c>
      <c r="L19" s="3383">
        <f>IF(ISNUMBER('Q1'!O13),'Q1'!O13,"n.a.")</f>
        <v>0.50991803110582712</v>
      </c>
      <c r="M19" s="3383">
        <f>IF(ISNUMBER('Q1'!P13),'Q1'!P13,"n.a.")</f>
        <v>2.7573104385949732</v>
      </c>
      <c r="N19" s="3383">
        <f>IF(ISNUMBER('Q1'!Q13),'Q1'!Q13,"n.a.")</f>
        <v>0.15960026962900109</v>
      </c>
      <c r="O19" s="3383">
        <f>IF(ISNUMBER('Q1'!R13),'Q1'!R13,"n.a.")</f>
        <v>1.788348397469619</v>
      </c>
      <c r="P19" s="3383">
        <f>IF(ISNUMBER('Q1'!S13),'Q1'!S13,"n.a.")</f>
        <v>1.0385774955516069</v>
      </c>
      <c r="Q19" s="3383">
        <f>IF(ISNUMBER('Q1'!T13),'Q1'!T13,"n.a.")</f>
        <v>1.3196256516200489</v>
      </c>
      <c r="R19" s="3383">
        <f>IF(ISNUMBER('Q1'!U13),'Q1'!U13,"n.a.")</f>
        <v>1.689137689908371</v>
      </c>
      <c r="S19" s="3383">
        <f>IF(ISNUMBER('Q1'!V13),'Q1'!V13,"n.a.")</f>
        <v>1.6884009350061513</v>
      </c>
      <c r="T19" s="3383">
        <f>IF(ISNUMBER('Q1'!W13),'Q1'!W13,"n.a.")</f>
        <v>0.2869750078696276</v>
      </c>
      <c r="U19" s="3383">
        <f>IF(ISNUMBER('Q1'!X13),'Q1'!X13,"n.a.")</f>
        <v>0.79015854563877497</v>
      </c>
      <c r="V19" s="3383">
        <f>IF(ISNUMBER('Q1'!Y13),'Q1'!Y13,"n.a.")</f>
        <v>1.9414274410313626</v>
      </c>
      <c r="W19" s="3383">
        <f>IF(ISNUMBER('Q1'!Z13),'Q1'!Z13,"n.a.")</f>
        <v>1.1151220715903909</v>
      </c>
      <c r="X19" s="3383">
        <f>IF(ISNUMBER('Q1'!AA13),'Q1'!AA13,"n.a.")</f>
        <v>1.0205275709782358</v>
      </c>
      <c r="Y19" s="3383">
        <f>IF(ISNUMBER('Q1'!AB13),'Q1'!AB13,"n.a.")</f>
        <v>2.8462830251127835</v>
      </c>
      <c r="Z19" s="3383">
        <f>IF(ISNUMBER('Q1'!AC13),'Q1'!AC13,"n.a.")</f>
        <v>1.6077033455883294</v>
      </c>
      <c r="AA19" s="3383">
        <f>IF(ISNUMBER('Q1'!AD13),'Q1'!AD13,"n.a.")</f>
        <v>0.52963872749656193</v>
      </c>
      <c r="AB19" s="3383">
        <f>IF(ISNUMBER('Q1'!AE13),'Q1'!AE13,"n.a.")</f>
        <v>-1.2249088455547952</v>
      </c>
      <c r="AC19" s="3383">
        <f>IF(ISNUMBER('Q1'!AF13),'Q1'!AF13,"n.a.")</f>
        <v>-0.10570616406174738</v>
      </c>
      <c r="AD19" s="3383">
        <f>IF(ISNUMBER('Q1'!AG13),'Q1'!AG13,"n.a.")</f>
        <v>0.49167384074104703</v>
      </c>
      <c r="AE19" s="3383">
        <f>IF(ISNUMBER('Q1'!AH13),'Q1'!AH13,"n.a.")</f>
        <v>0.97611019974197522</v>
      </c>
      <c r="AF19" s="3383">
        <f>IF(ISNUMBER('Q1'!AI13),'Q1'!AI13,"n.a.")</f>
        <v>-0.54340768892294777</v>
      </c>
      <c r="AG19" s="3383">
        <f>IF(ISNUMBER('Q1'!AJ13),'Q1'!AJ13,"n.a.")</f>
        <v>1.4924821733225402</v>
      </c>
      <c r="AH19" s="3383">
        <f>IF(ISNUMBER('Q1'!AK13),'Q1'!AK13,"n.a.")</f>
        <v>-1.0675096265705175</v>
      </c>
      <c r="AI19" s="3383">
        <f>IF(ISNUMBER('Q1'!AL13),'Q1'!AL13,"n.a.")</f>
        <v>1.2941843811224096</v>
      </c>
      <c r="AJ19" s="3383">
        <f>IF(ISNUMBER('Q1'!AM13),'Q1'!AM13,"n.a.")</f>
        <v>1.1786658210368728</v>
      </c>
      <c r="AK19" s="3383">
        <f>IF(ISNUMBER('Q1'!AN13),'Q1'!AN13,"n.a.")</f>
        <v>-7.1986141567281781E-2</v>
      </c>
      <c r="AL19" s="3383">
        <f>IF(ISNUMBER('Q1'!AO13),'Q1'!AO13,"n.a.")</f>
        <v>1.0396809066117729</v>
      </c>
      <c r="AM19" s="3383">
        <f>IF(ISNUMBER('Q1'!AP13),'Q1'!AP13,"n.a.")</f>
        <v>1.0166494698037543</v>
      </c>
      <c r="AN19" s="3383">
        <f>IF(ISNUMBER('Q1'!AQ13),'Q1'!AQ13,"n.a.")</f>
        <v>1.4131760303109919</v>
      </c>
      <c r="AO19" s="3383">
        <f>IF(ISNUMBER('Q1'!AR13),'Q1'!AR13,"n.a.")</f>
        <v>1.752763470841634</v>
      </c>
      <c r="AP19" s="3383">
        <f>IF(ISNUMBER('Q1'!AS13),'Q1'!AS13,"n.a.")</f>
        <v>0.33350784955890056</v>
      </c>
      <c r="AQ19" s="3383">
        <f>IF(ISNUMBER('Q1'!AT13),'Q1'!AT13,"n.a.")</f>
        <v>1.0124917208190531</v>
      </c>
      <c r="AR19" s="3383">
        <f>IF(ISNUMBER('Q1'!AU13),'Q1'!AU13,"n.a.")</f>
        <v>0.35705606426734704</v>
      </c>
      <c r="AS19" s="3383">
        <f>IF(ISNUMBER('Q1'!AV13),'Q1'!AV13,"n.a.")</f>
        <v>1.5595814275016329</v>
      </c>
      <c r="AT19" s="3383">
        <f>IF(ISNUMBER('Q1'!AW13),'Q1'!AW13,"n.a.")</f>
        <v>1.8519071705235257</v>
      </c>
      <c r="AU19" s="3383">
        <f>IF(ISNUMBER('Q1'!AX13),'Q1'!AX13,"n.a.")</f>
        <v>0.19908341768346549</v>
      </c>
      <c r="AV19" s="3383">
        <f>IF(ISNUMBER('Q1'!AY13),'Q1'!AY13,"n.a.")</f>
        <v>2.2196950314104402</v>
      </c>
      <c r="AW19" s="3383">
        <f>IF(ISNUMBER('Q1'!AZ13),'Q1'!AZ13,"n.a.")</f>
        <v>1.2001968918718742</v>
      </c>
      <c r="AX19" s="3383">
        <f>IF(ISNUMBER('Q1'!BA13),'Q1'!BA13,"n.a.")</f>
        <v>1.1302158448741162</v>
      </c>
      <c r="AY19" s="3383">
        <f>IF(ISNUMBER('Q1'!BB13),'Q1'!BB13,"n.a.")</f>
        <v>2.123825609858665</v>
      </c>
      <c r="AZ19" s="3383">
        <f>IF(ISNUMBER('Q1'!BC13),'Q1'!BC13,"n.a.")</f>
        <v>4.020479357988993E-2</v>
      </c>
      <c r="BA19" s="3383">
        <f>IF(ISNUMBER('Q1'!BD13),'Q1'!BD13,"n.a.")</f>
        <v>1.1743050096388208</v>
      </c>
      <c r="BB19" s="3383">
        <f>IF(ISNUMBER('Q1'!BE13),'Q1'!BE13,"n.a.")</f>
        <v>0.78544244202025659</v>
      </c>
      <c r="BC19" s="3383">
        <f>IF(ISNUMBER('Q1'!BF13),'Q1'!BF13,"n.a.")</f>
        <v>2.015981037938297</v>
      </c>
      <c r="BD19" s="3383">
        <f>IF(ISNUMBER('Q1'!BG13),'Q1'!BG13,"n.a.")</f>
        <v>0.33358890931858287</v>
      </c>
      <c r="BE19" s="3383">
        <f>IF(ISNUMBER('Q1'!BH13),'Q1'!BH13,"n.a.")</f>
        <v>-0.90949836474916168</v>
      </c>
      <c r="BF19" s="3383">
        <f>IF(ISNUMBER('Q1'!BI13),'Q1'!BI13,"n.a.")</f>
        <v>-0.73261314934244259</v>
      </c>
      <c r="BG19" s="3383">
        <f>IF(ISNUMBER('Q1'!BJ13),'Q1'!BJ13,"n.a.")</f>
        <v>-2.5487734122864425</v>
      </c>
      <c r="BH19" s="3383">
        <f>IF(ISNUMBER('Q1'!BK13),'Q1'!BK13,"n.a.")</f>
        <v>-4.1086511510100454</v>
      </c>
      <c r="BI19" s="3383">
        <f>IF(ISNUMBER('Q1'!BL13),'Q1'!BL13,"n.a.")</f>
        <v>-0.91064499642656838</v>
      </c>
      <c r="BJ19" s="3383">
        <f>IF(ISNUMBER('Q1'!BM13),'Q1'!BM13,"n.a.")</f>
        <v>0.72432297442901472</v>
      </c>
      <c r="BK19" s="3383">
        <f>IF(ISNUMBER('Q1'!BN13),'Q1'!BN13,"n.a.")</f>
        <v>0.7749038994249613</v>
      </c>
      <c r="BL19" s="3383">
        <f>IF(ISNUMBER('Q1'!BO13),'Q1'!BO13,"n.a.")</f>
        <v>1.7169664043134247</v>
      </c>
      <c r="BM19" s="3383">
        <f>IF(ISNUMBER('Q1'!BP13),'Q1'!BP13,"n.a.")</f>
        <v>2.4470258866333916</v>
      </c>
      <c r="BN19" s="3383">
        <f>IF(ISNUMBER('Q1'!BQ13),'Q1'!BQ13,"n.a.")</f>
        <v>2.0960794194975207</v>
      </c>
      <c r="BO19" s="3383">
        <f>IF(ISNUMBER('Q1'!BR13),'Q1'!BR13,"n.a.")</f>
        <v>1.8617779056969042</v>
      </c>
      <c r="BP19" s="3383">
        <f>IF(ISNUMBER('Q1'!BS13),'Q1'!BS13,"n.a.")</f>
        <v>-0.25119375010008715</v>
      </c>
      <c r="BQ19" s="3383">
        <f>IF(ISNUMBER('Q1'!BT13),'Q1'!BT13,"n.a.")</f>
        <v>1.3348123635304798</v>
      </c>
      <c r="BR19" s="3383">
        <f>IF(ISNUMBER('Q1'!BU13),'Q1'!BU13,"n.a.")</f>
        <v>0.80931711244558446</v>
      </c>
      <c r="BS19" s="3383">
        <f>IF(ISNUMBER('Q1'!BV13),'Q1'!BV13,"n.a.")</f>
        <v>-1.8138573845738581</v>
      </c>
      <c r="BT19" s="3383">
        <f>IF(ISNUMBER('Q1'!BW13),'Q1'!BW13,"n.a.")</f>
        <v>1.9443903492830428</v>
      </c>
      <c r="BU19" s="3383">
        <f>IF(ISNUMBER('Q1'!BX13),'Q1'!BX13,"n.a.")</f>
        <v>0.29372719696982852</v>
      </c>
      <c r="BV19" s="3383">
        <f>IF(ISNUMBER('Q1'!BY13),'Q1'!BY13,"n.a.")</f>
        <v>-0.7777758242517252</v>
      </c>
      <c r="BW19" s="3383">
        <f>IF(ISNUMBER('Q1'!BZ13),'Q1'!BZ13,"n.a.")</f>
        <v>5.9026316799815071E-2</v>
      </c>
      <c r="BX19" s="3383">
        <f>IF(ISNUMBER('Q1'!CA13),'Q1'!CA13,"n.a.")</f>
        <v>-3.2163763811265955E-2</v>
      </c>
      <c r="BY19" s="3383">
        <f>IF(ISNUMBER('Q1'!CB13),'Q1'!CB13,"n.a.")</f>
        <v>0.76810739766830505</v>
      </c>
      <c r="BZ19" s="3383">
        <f>IF(ISNUMBER('Q1'!CC13),'Q1'!CC13,"n.a.")</f>
        <v>0.8300193932575084</v>
      </c>
      <c r="CA19" s="3383">
        <f>IF(ISNUMBER('Q1'!CD13),'Q1'!CD13,"n.a.")</f>
        <v>-0.11354959679531484</v>
      </c>
      <c r="CB19" s="3383">
        <f>IF(ISNUMBER('Q1'!CE13),'Q1'!CE13,"n.a.")</f>
        <v>1.8145640385550443</v>
      </c>
      <c r="CC19" s="3383">
        <f>IF(ISNUMBER('Q1'!CF13),'Q1'!CF13,"n.a.")</f>
        <v>1.0032273178117501</v>
      </c>
      <c r="CD19" s="3383">
        <f>IF(ISNUMBER('Q1'!CG13),'Q1'!CG13,"n.a.")</f>
        <v>0.5083192129416243</v>
      </c>
      <c r="CE19" s="3383">
        <f>IF(ISNUMBER('Q1'!CH13),'Q1'!CH13,"n.a.")</f>
        <v>1.3195262389061879</v>
      </c>
      <c r="CF19" s="3383">
        <f>IF(ISNUMBER('Q1'!CI13),'Q1'!CI13,"n.a.")</f>
        <v>0.84365739314873345</v>
      </c>
      <c r="CG19" s="3383">
        <f>IF(ISNUMBER('Q1'!CJ13),'Q1'!CJ13,"n.a.")</f>
        <v>0.78525294362927767</v>
      </c>
      <c r="CH19" s="3383">
        <f>IF(ISNUMBER('Q1'!CK13),'Q1'!CK13,"n.a.")</f>
        <v>1.4787391196831534</v>
      </c>
      <c r="CI19" s="3383">
        <f>IF(ISNUMBER('Q1'!CL13),'Q1'!CL13,"n.a.")</f>
        <v>1.5891049651467704</v>
      </c>
      <c r="CJ19" s="3383">
        <f>IF(ISNUMBER('Q1'!CM13),'Q1'!CM13,"n.a.")</f>
        <v>7.2763969632139158E-2</v>
      </c>
      <c r="CK19" s="3383">
        <f>IF(ISNUMBER('Q1'!CN13),'Q1'!CN13,"n.a.")</f>
        <v>0.13827581706344905</v>
      </c>
      <c r="CL19" s="3383">
        <f>IF(ISNUMBER('Q1'!CO13),'Q1'!CO13,"n.a.")</f>
        <v>0.92139438365705884</v>
      </c>
      <c r="CM19" s="3383">
        <f>IF(ISNUMBER('Q1'!CP13),'Q1'!CP13,"n.a.")</f>
        <v>0.75918694435221923</v>
      </c>
      <c r="CN19" s="3383">
        <f>IF(ISNUMBER('Q1'!CQ13),'Q1'!CQ13,"n.a.")</f>
        <v>0.36380653858978373</v>
      </c>
      <c r="CO19" s="3383">
        <f>IF(ISNUMBER('Q1'!CR13),'Q1'!CR13,"n.a.")</f>
        <v>1.423549938004931</v>
      </c>
      <c r="CP19" s="3383">
        <f>IF(ISNUMBER('Q1'!CS13),'Q1'!CS13,"n.a.")</f>
        <v>0.77010337258220596</v>
      </c>
      <c r="CQ19" s="3383">
        <f>IF(ISNUMBER('Q1'!CT13),'Q1'!CT13,"n.a.")</f>
        <v>0.82741568032811408</v>
      </c>
      <c r="CR19" s="3383">
        <f>IF(ISNUMBER('Q1'!CU13),'Q1'!CU13,"n.a.")</f>
        <v>0.57351117440500587</v>
      </c>
      <c r="CS19" s="3383">
        <f>IF(ISNUMBER('Q1'!CV13),'Q1'!CV13,"n.a.")</f>
        <v>0.34510520182786664</v>
      </c>
      <c r="CT19" s="3383">
        <f>IF(ISNUMBER('Q1'!CW13),'Q1'!CW13,"n.a.")</f>
        <v>0.34002861904447018</v>
      </c>
      <c r="CU19" s="3383">
        <f>IF(ISNUMBER('Q1'!CX13),'Q1'!CX13,"n.a.")</f>
        <v>0.383602319405422</v>
      </c>
      <c r="CV19" s="3383">
        <f>IF(ISNUMBER('Q1'!CY13),'Q1'!CY13,"n.a.")</f>
        <v>0.72591462375418048</v>
      </c>
      <c r="CW19" s="3383">
        <f>IF(ISNUMBER('Q1'!CZ13),'Q1'!CZ13,"n.a.")</f>
        <v>0.59606580447937196</v>
      </c>
      <c r="CX19" s="3383">
        <f>IF(ISNUMBER('Q1'!DA13),'Q1'!DA13,"n.a.")</f>
        <v>0.46438493964670896</v>
      </c>
      <c r="CY19" s="3383">
        <f>IF(ISNUMBER('Q1'!DB13),'Q1'!DB13,"n.a.")</f>
        <v>0.46901660582402693</v>
      </c>
      <c r="CZ19" s="3383">
        <f>IF(ISNUMBER('Q1'!DC13),'Q1'!DC13,"n.a.")</f>
        <v>0.69183576937864744</v>
      </c>
      <c r="DA19" s="3383">
        <f>IF(ISNUMBER('Q1'!DD13),'Q1'!DD13,"n.a.")</f>
        <v>0.66037856076563273</v>
      </c>
      <c r="DB19" s="3383">
        <f>IF(ISNUMBER('Q1'!DE13),'Q1'!DE13,"n.a.")</f>
        <v>0.55229980007213553</v>
      </c>
      <c r="DC19" s="3383">
        <f>IF(ISNUMBER('Q1'!DF13),'Q1'!DF13,"n.a.")</f>
        <v>0.43386941955108188</v>
      </c>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row>
    <row r="20" spans="1:189">
      <c r="A20" s="3383" t="str">
        <f t="shared" si="1"/>
        <v>\\DG ECFIN\Forecast\Country databases\Desk transfer databases\SE</v>
      </c>
      <c r="B20" s="3383" t="str">
        <f t="shared" si="2"/>
        <v>SE</v>
      </c>
      <c r="C20" s="3383" t="s">
        <v>2268</v>
      </c>
      <c r="D20" s="3383" t="s">
        <v>2273</v>
      </c>
      <c r="E20" s="3383" t="s">
        <v>2292</v>
      </c>
      <c r="F20" s="3383">
        <v>23</v>
      </c>
      <c r="G20" s="3383" t="s">
        <v>2283</v>
      </c>
      <c r="H20" s="3383">
        <f>IF(ISNUMBER('Q1'!K14),'Q1'!K14,"n.a.")</f>
        <v>-0.46423938639270634</v>
      </c>
      <c r="I20" s="3383">
        <f>IF(ISNUMBER('Q1'!L14),'Q1'!L14,"n.a.")</f>
        <v>1.3582324644179966</v>
      </c>
      <c r="J20" s="3383">
        <f>IF(ISNUMBER('Q1'!M14),'Q1'!M14,"n.a.")</f>
        <v>1.4890485769198047</v>
      </c>
      <c r="K20" s="3383">
        <f>IF(ISNUMBER('Q1'!N14),'Q1'!N14,"n.a.")</f>
        <v>3.7042003118699318</v>
      </c>
      <c r="L20" s="3383">
        <f>IF(ISNUMBER('Q1'!O14),'Q1'!O14,"n.a.")</f>
        <v>3.2704683613339114</v>
      </c>
      <c r="M20" s="3383">
        <f>IF(ISNUMBER('Q1'!P14),'Q1'!P14,"n.a.")</f>
        <v>4.6499262452141865</v>
      </c>
      <c r="N20" s="3383">
        <f>IF(ISNUMBER('Q1'!Q14),'Q1'!Q14,"n.a.")</f>
        <v>1.5724659194019441</v>
      </c>
      <c r="O20" s="3383">
        <f>IF(ISNUMBER('Q1'!R14),'Q1'!R14,"n.a.")</f>
        <v>3.2587684432983766</v>
      </c>
      <c r="P20" s="3383">
        <f>IF(ISNUMBER('Q1'!S14),'Q1'!S14,"n.a.")</f>
        <v>4.7637645395437467</v>
      </c>
      <c r="Q20" s="3383">
        <f>IF(ISNUMBER('Q1'!T14),'Q1'!T14,"n.a.")</f>
        <v>1.4054164497260935</v>
      </c>
      <c r="R20" s="3383">
        <f>IF(ISNUMBER('Q1'!U14),'Q1'!U14,"n.a.")</f>
        <v>0.54790646706375234</v>
      </c>
      <c r="S20" s="3383">
        <f>IF(ISNUMBER('Q1'!V14),'Q1'!V14,"n.a.")</f>
        <v>1.2984056671764277</v>
      </c>
      <c r="T20" s="3383">
        <f>IF(ISNUMBER('Q1'!W14),'Q1'!W14,"n.a.")</f>
        <v>0.51221071829232745</v>
      </c>
      <c r="U20" s="3383">
        <f>IF(ISNUMBER('Q1'!X14),'Q1'!X14,"n.a.")</f>
        <v>0.83309127274093786</v>
      </c>
      <c r="V20" s="3383">
        <f>IF(ISNUMBER('Q1'!Y14),'Q1'!Y14,"n.a.")</f>
        <v>2.837538497098957</v>
      </c>
      <c r="W20" s="3383">
        <f>IF(ISNUMBER('Q1'!Z14),'Q1'!Z14,"n.a.")</f>
        <v>1.9101305053972784</v>
      </c>
      <c r="X20" s="3383">
        <f>IF(ISNUMBER('Q1'!AA14),'Q1'!AA14,"n.a.")</f>
        <v>3.8419831424397088</v>
      </c>
      <c r="Y20" s="3383">
        <f>IF(ISNUMBER('Q1'!AB14),'Q1'!AB14,"n.a.")</f>
        <v>4.3026764587423827</v>
      </c>
      <c r="Z20" s="3383">
        <f>IF(ISNUMBER('Q1'!AC14),'Q1'!AC14,"n.a.")</f>
        <v>3.8798457534302333</v>
      </c>
      <c r="AA20" s="3383">
        <f>IF(ISNUMBER('Q1'!AD14),'Q1'!AD14,"n.a.")</f>
        <v>-2.1081435457206976</v>
      </c>
      <c r="AB20" s="3383">
        <f>IF(ISNUMBER('Q1'!AE14),'Q1'!AE14,"n.a.")</f>
        <v>0.77113568131386145</v>
      </c>
      <c r="AC20" s="3383">
        <f>IF(ISNUMBER('Q1'!AF14),'Q1'!AF14,"n.a.")</f>
        <v>-3.7839649938711584</v>
      </c>
      <c r="AD20" s="3383">
        <f>IF(ISNUMBER('Q1'!AG14),'Q1'!AG14,"n.a.")</f>
        <v>-1.7952765180967445</v>
      </c>
      <c r="AE20" s="3383">
        <f>IF(ISNUMBER('Q1'!AH14),'Q1'!AH14,"n.a.")</f>
        <v>0.40514873433372678</v>
      </c>
      <c r="AF20" s="3383">
        <f>IF(ISNUMBER('Q1'!AI14),'Q1'!AI14,"n.a.")</f>
        <v>1.4390431410393978</v>
      </c>
      <c r="AG20" s="3383">
        <f>IF(ISNUMBER('Q1'!AJ14),'Q1'!AJ14,"n.a.")</f>
        <v>-0.94902802919238916</v>
      </c>
      <c r="AH20" s="3383">
        <f>IF(ISNUMBER('Q1'!AK14),'Q1'!AK14,"n.a.")</f>
        <v>-1.7926306650406509</v>
      </c>
      <c r="AI20" s="3383">
        <f>IF(ISNUMBER('Q1'!AL14),'Q1'!AL14,"n.a.")</f>
        <v>1.9629339762188502</v>
      </c>
      <c r="AJ20" s="3383">
        <f>IF(ISNUMBER('Q1'!AM14),'Q1'!AM14,"n.a.")</f>
        <v>3.2094739816714846</v>
      </c>
      <c r="AK20" s="3383">
        <f>IF(ISNUMBER('Q1'!AN14),'Q1'!AN14,"n.a.")</f>
        <v>-0.68479974659458875</v>
      </c>
      <c r="AL20" s="3383">
        <f>IF(ISNUMBER('Q1'!AO14),'Q1'!AO14,"n.a.")</f>
        <v>0.64450127877238028</v>
      </c>
      <c r="AM20" s="3383">
        <f>IF(ISNUMBER('Q1'!AP14),'Q1'!AP14,"n.a.")</f>
        <v>2.5017040766296406</v>
      </c>
      <c r="AN20" s="3383">
        <f>IF(ISNUMBER('Q1'!AQ14),'Q1'!AQ14,"n.a.")</f>
        <v>-0.33453887884267175</v>
      </c>
      <c r="AO20" s="3383">
        <f>IF(ISNUMBER('Q1'!AR14),'Q1'!AR14,"n.a.")</f>
        <v>4.1239285599318665</v>
      </c>
      <c r="AP20" s="3383">
        <f>IF(ISNUMBER('Q1'!AS14),'Q1'!AS14,"n.a.")</f>
        <v>0.87228257050913083</v>
      </c>
      <c r="AQ20" s="3383">
        <f>IF(ISNUMBER('Q1'!AT14),'Q1'!AT14,"n.a.")</f>
        <v>2.0349887105666431</v>
      </c>
      <c r="AR20" s="3383">
        <f>IF(ISNUMBER('Q1'!AU14),'Q1'!AU14,"n.a.")</f>
        <v>-0.11004543470165551</v>
      </c>
      <c r="AS20" s="3383">
        <f>IF(ISNUMBER('Q1'!AV14),'Q1'!AV14,"n.a.")</f>
        <v>3.0285240776019018</v>
      </c>
      <c r="AT20" s="3383">
        <f>IF(ISNUMBER('Q1'!AW14),'Q1'!AW14,"n.a.")</f>
        <v>1.5577903780433333</v>
      </c>
      <c r="AU20" s="3383">
        <f>IF(ISNUMBER('Q1'!AX14),'Q1'!AX14,"n.a.")</f>
        <v>3.5286552606681898</v>
      </c>
      <c r="AV20" s="3383">
        <f>IF(ISNUMBER('Q1'!AY14),'Q1'!AY14,"n.a.")</f>
        <v>0.35620069000477095</v>
      </c>
      <c r="AW20" s="3383">
        <f>IF(ISNUMBER('Q1'!AZ14),'Q1'!AZ14,"n.a.")</f>
        <v>2.4861893214182862</v>
      </c>
      <c r="AX20" s="3383">
        <f>IF(ISNUMBER('Q1'!BA14),'Q1'!BA14,"n.a.")</f>
        <v>2.002232165448925</v>
      </c>
      <c r="AY20" s="3383">
        <f>IF(ISNUMBER('Q1'!BB14),'Q1'!BB14,"n.a.")</f>
        <v>4.0810104293891758</v>
      </c>
      <c r="AZ20" s="3383">
        <f>IF(ISNUMBER('Q1'!BC14),'Q1'!BC14,"n.a.")</f>
        <v>-0.16111419260903537</v>
      </c>
      <c r="BA20" s="3383">
        <f>IF(ISNUMBER('Q1'!BD14),'Q1'!BD14,"n.a.")</f>
        <v>1.0337844113748496</v>
      </c>
      <c r="BB20" s="3383">
        <f>IF(ISNUMBER('Q1'!BE14),'Q1'!BE14,"n.a.")</f>
        <v>4.142315854591061</v>
      </c>
      <c r="BC20" s="3383">
        <f>IF(ISNUMBER('Q1'!BF14),'Q1'!BF14,"n.a.")</f>
        <v>1.5007812873834236</v>
      </c>
      <c r="BD20" s="3383">
        <f>IF(ISNUMBER('Q1'!BG14),'Q1'!BG14,"n.a.")</f>
        <v>2.7133915796210051</v>
      </c>
      <c r="BE20" s="3383">
        <f>IF(ISNUMBER('Q1'!BH14),'Q1'!BH14,"n.a.")</f>
        <v>-0.48435423962952528</v>
      </c>
      <c r="BF20" s="3383">
        <f>IF(ISNUMBER('Q1'!BI14),'Q1'!BI14,"n.a.")</f>
        <v>-1.4578288822357788</v>
      </c>
      <c r="BG20" s="3383">
        <f>IF(ISNUMBER('Q1'!BJ14),'Q1'!BJ14,"n.a.")</f>
        <v>-6.0882822717263867</v>
      </c>
      <c r="BH20" s="3383">
        <f>IF(ISNUMBER('Q1'!BK14),'Q1'!BK14,"n.a.")</f>
        <v>-8.0322536665173523</v>
      </c>
      <c r="BI20" s="3383">
        <f>IF(ISNUMBER('Q1'!BL14),'Q1'!BL14,"n.a.")</f>
        <v>-5.6636909618884683</v>
      </c>
      <c r="BJ20" s="3383">
        <f>IF(ISNUMBER('Q1'!BM14),'Q1'!BM14,"n.a.")</f>
        <v>5.5251553546556087</v>
      </c>
      <c r="BK20" s="3383">
        <f>IF(ISNUMBER('Q1'!BN14),'Q1'!BN14,"n.a.")</f>
        <v>2.2880143761911942</v>
      </c>
      <c r="BL20" s="3383">
        <f>IF(ISNUMBER('Q1'!BO14),'Q1'!BO14,"n.a.")</f>
        <v>3.187063584062555</v>
      </c>
      <c r="BM20" s="3383">
        <f>IF(ISNUMBER('Q1'!BP14),'Q1'!BP14,"n.a.")</f>
        <v>4.6107100386159949</v>
      </c>
      <c r="BN20" s="3383">
        <f>IF(ISNUMBER('Q1'!BQ14),'Q1'!BQ14,"n.a.")</f>
        <v>4.3368557654029249</v>
      </c>
      <c r="BO20" s="3383">
        <f>IF(ISNUMBER('Q1'!BR14),'Q1'!BR14,"n.a.")</f>
        <v>0.13858017105947695</v>
      </c>
      <c r="BP20" s="3383">
        <f>IF(ISNUMBER('Q1'!BS14),'Q1'!BS14,"n.a.")</f>
        <v>3.8210165946746866</v>
      </c>
      <c r="BQ20" s="3383">
        <f>IF(ISNUMBER('Q1'!BT14),'Q1'!BT14,"n.a.")</f>
        <v>0.47809158315368361</v>
      </c>
      <c r="BR20" s="3383">
        <f>IF(ISNUMBER('Q1'!BU14),'Q1'!BU14,"n.a.")</f>
        <v>0.15114454165168212</v>
      </c>
      <c r="BS20" s="3383">
        <f>IF(ISNUMBER('Q1'!BV14),'Q1'!BV14,"n.a.")</f>
        <v>-1.3062033301812215</v>
      </c>
      <c r="BT20" s="3383">
        <f>IF(ISNUMBER('Q1'!BW14),'Q1'!BW14,"n.a.")</f>
        <v>2.1143871007447856</v>
      </c>
      <c r="BU20" s="3383">
        <f>IF(ISNUMBER('Q1'!BX14),'Q1'!BX14,"n.a.")</f>
        <v>-6.4700012929697071E-2</v>
      </c>
      <c r="BV20" s="3383">
        <f>IF(ISNUMBER('Q1'!BY14),'Q1'!BY14,"n.a.")</f>
        <v>0.39577095181417832</v>
      </c>
      <c r="BW20" s="3383">
        <f>IF(ISNUMBER('Q1'!BZ14),'Q1'!BZ14,"n.a.")</f>
        <v>-1.757108039322508</v>
      </c>
      <c r="BX20" s="3383">
        <f>IF(ISNUMBER('Q1'!CA14),'Q1'!CA14,"n.a.")</f>
        <v>-0.81961215929626796</v>
      </c>
      <c r="BY20" s="3383">
        <f>IF(ISNUMBER('Q1'!CB14),'Q1'!CB14,"n.a.")</f>
        <v>2.2107901693713128</v>
      </c>
      <c r="BZ20" s="3383">
        <f>IF(ISNUMBER('Q1'!CC14),'Q1'!CC14,"n.a.")</f>
        <v>6.1090693129317586E-3</v>
      </c>
      <c r="CA20" s="3383">
        <f>IF(ISNUMBER('Q1'!CD14),'Q1'!CD14,"n.a.")</f>
        <v>0.66497152497027034</v>
      </c>
      <c r="CB20" s="3383">
        <f>IF(ISNUMBER('Q1'!CE14),'Q1'!CE14,"n.a.")</f>
        <v>2.6903757098297287</v>
      </c>
      <c r="CC20" s="3383">
        <f>IF(ISNUMBER('Q1'!CF14),'Q1'!CF14,"n.a.")</f>
        <v>2.7226937104219306</v>
      </c>
      <c r="CD20" s="3383">
        <f>IF(ISNUMBER('Q1'!CG14),'Q1'!CG14,"n.a.")</f>
        <v>-0.36866019399565131</v>
      </c>
      <c r="CE20" s="3383">
        <f>IF(ISNUMBER('Q1'!CH14),'Q1'!CH14,"n.a.")</f>
        <v>2.8431794123415344</v>
      </c>
      <c r="CF20" s="3383">
        <f>IF(ISNUMBER('Q1'!CI14),'Q1'!CI14,"n.a.")</f>
        <v>0.19325818421642715</v>
      </c>
      <c r="CG20" s="3383">
        <f>IF(ISNUMBER('Q1'!CJ14),'Q1'!CJ14,"n.a.")</f>
        <v>-0.4470080535218024</v>
      </c>
      <c r="CH20" s="3383">
        <f>IF(ISNUMBER('Q1'!CK14),'Q1'!CK14,"n.a.")</f>
        <v>3.5113956663123114</v>
      </c>
      <c r="CI20" s="3383">
        <f>IF(ISNUMBER('Q1'!CL14),'Q1'!CL14,"n.a.")</f>
        <v>2.3025896906591958</v>
      </c>
      <c r="CJ20" s="3383">
        <f>IF(ISNUMBER('Q1'!CM14),'Q1'!CM14,"n.a.")</f>
        <v>-3.2161458596158266E-2</v>
      </c>
      <c r="CK20" s="3383">
        <f>IF(ISNUMBER('Q1'!CN14),'Q1'!CN14,"n.a.")</f>
        <v>-0.2555572082680202</v>
      </c>
      <c r="CL20" s="3383">
        <f>IF(ISNUMBER('Q1'!CO14),'Q1'!CO14,"n.a.")</f>
        <v>1.0115323505013984</v>
      </c>
      <c r="CM20" s="3383">
        <f>IF(ISNUMBER('Q1'!CP14),'Q1'!CP14,"n.a.")</f>
        <v>1.2105813979380597</v>
      </c>
      <c r="CN20" s="3383">
        <f>IF(ISNUMBER('Q1'!CQ14),'Q1'!CQ14,"n.a.")</f>
        <v>1.2933456479774952</v>
      </c>
      <c r="CO20" s="3383">
        <f>IF(ISNUMBER('Q1'!CR14),'Q1'!CR14,"n.a.")</f>
        <v>2.0233698489938945</v>
      </c>
      <c r="CP20" s="3383">
        <f>IF(ISNUMBER('Q1'!CS14),'Q1'!CS14,"n.a.")</f>
        <v>1.2087816403315133</v>
      </c>
      <c r="CQ20" s="3383">
        <f>IF(ISNUMBER('Q1'!CT14),'Q1'!CT14,"n.a.")</f>
        <v>1.0391486053393573</v>
      </c>
      <c r="CR20" s="3383">
        <f>IF(ISNUMBER('Q1'!CU14),'Q1'!CU14,"n.a.")</f>
        <v>0.88212718145459501</v>
      </c>
      <c r="CS20" s="3383">
        <f>IF(ISNUMBER('Q1'!CV14),'Q1'!CV14,"n.a.")</f>
        <v>0.79031962162392499</v>
      </c>
      <c r="CT20" s="3383">
        <f>IF(ISNUMBER('Q1'!CW14),'Q1'!CW14,"n.a.")</f>
        <v>0.49</v>
      </c>
      <c r="CU20" s="3383">
        <f>IF(ISNUMBER('Q1'!CX14),'Q1'!CX14,"n.a.")</f>
        <v>0.33</v>
      </c>
      <c r="CV20" s="3383">
        <f>IF(ISNUMBER('Q1'!CY14),'Q1'!CY14,"n.a.")</f>
        <v>1.05</v>
      </c>
      <c r="CW20" s="3383">
        <f>IF(ISNUMBER('Q1'!CZ14),'Q1'!CZ14,"n.a.")</f>
        <v>0.99</v>
      </c>
      <c r="CX20" s="3383">
        <f>IF(ISNUMBER('Q1'!DA14),'Q1'!DA14,"n.a.")</f>
        <v>0.92</v>
      </c>
      <c r="CY20" s="3383">
        <f>IF(ISNUMBER('Q1'!DB14),'Q1'!DB14,"n.a.")</f>
        <v>0.88</v>
      </c>
      <c r="CZ20" s="3383">
        <f>IF(ISNUMBER('Q1'!DC14),'Q1'!DC14,"n.a.")</f>
        <v>0.77</v>
      </c>
      <c r="DA20" s="3383">
        <f>IF(ISNUMBER('Q1'!DD14),'Q1'!DD14,"n.a.")</f>
        <v>0.74</v>
      </c>
      <c r="DB20" s="3383">
        <f>IF(ISNUMBER('Q1'!DE14),'Q1'!DE14,"n.a.")</f>
        <v>0.62</v>
      </c>
      <c r="DC20" s="3383">
        <f>IF(ISNUMBER('Q1'!DF14),'Q1'!DF14,"n.a.")</f>
        <v>0.45</v>
      </c>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row>
    <row r="21" spans="1:189">
      <c r="A21" s="3383" t="str">
        <f t="shared" si="1"/>
        <v>\\DG ECFIN\Forecast\Country databases\Desk transfer databases\SE</v>
      </c>
      <c r="B21" s="3383" t="str">
        <f t="shared" si="2"/>
        <v>SE</v>
      </c>
      <c r="C21" s="3383" t="s">
        <v>2268</v>
      </c>
      <c r="D21" s="3383" t="s">
        <v>2087</v>
      </c>
      <c r="E21" s="3383" t="s">
        <v>2292</v>
      </c>
      <c r="F21" s="3383">
        <v>24</v>
      </c>
      <c r="G21" s="3383" t="s">
        <v>2284</v>
      </c>
      <c r="H21" s="3383">
        <f>IF(ISNUMBER('Q1'!K15),'Q1'!K15,"n.a.")</f>
        <v>0.37016380397996151</v>
      </c>
      <c r="I21" s="3383">
        <f>IF(ISNUMBER('Q1'!L15),'Q1'!L15,"n.a.")</f>
        <v>-0.75227975604164055</v>
      </c>
      <c r="J21" s="3383">
        <f>IF(ISNUMBER('Q1'!M15),'Q1'!M15,"n.a.")</f>
        <v>0.47670239237831424</v>
      </c>
      <c r="K21" s="3383">
        <f>IF(ISNUMBER('Q1'!N15),'Q1'!N15,"n.a.")</f>
        <v>0.7458407971366654</v>
      </c>
      <c r="L21" s="3383">
        <f>IF(ISNUMBER('Q1'!O15),'Q1'!O15,"n.a.")</f>
        <v>0.58981850696857574</v>
      </c>
      <c r="M21" s="3383">
        <f>IF(ISNUMBER('Q1'!P15),'Q1'!P15,"n.a.")</f>
        <v>1.2868755300363466</v>
      </c>
      <c r="N21" s="3383">
        <f>IF(ISNUMBER('Q1'!Q15),'Q1'!Q15,"n.a.")</f>
        <v>0.99734374659805614</v>
      </c>
      <c r="O21" s="3383">
        <f>IF(ISNUMBER('Q1'!R15),'Q1'!R15,"n.a.")</f>
        <v>1.6847871745164333</v>
      </c>
      <c r="P21" s="3383">
        <f>IF(ISNUMBER('Q1'!S15),'Q1'!S15,"n.a.")</f>
        <v>0.25551139848023485</v>
      </c>
      <c r="Q21" s="3383">
        <f>IF(ISNUMBER('Q1'!T15),'Q1'!T15,"n.a.")</f>
        <v>1.6184890028857035</v>
      </c>
      <c r="R21" s="3383">
        <f>IF(ISNUMBER('Q1'!U15),'Q1'!U15,"n.a.")</f>
        <v>0.52628277122037659</v>
      </c>
      <c r="S21" s="3383">
        <f>IF(ISNUMBER('Q1'!V15),'Q1'!V15,"n.a.")</f>
        <v>1.1064171127064482</v>
      </c>
      <c r="T21" s="3383">
        <f>IF(ISNUMBER('Q1'!W15),'Q1'!W15,"n.a.")</f>
        <v>1.4809233509144315</v>
      </c>
      <c r="U21" s="3383">
        <f>IF(ISNUMBER('Q1'!X15),'Q1'!X15,"n.a.")</f>
        <v>0.31750877773881747</v>
      </c>
      <c r="V21" s="3383">
        <f>IF(ISNUMBER('Q1'!Y15),'Q1'!Y15,"n.a.")</f>
        <v>0.99696568588378831</v>
      </c>
      <c r="W21" s="3383">
        <f>IF(ISNUMBER('Q1'!Z15),'Q1'!Z15,"n.a.")</f>
        <v>1.8291919586361782</v>
      </c>
      <c r="X21" s="3383">
        <f>IF(ISNUMBER('Q1'!AA15),'Q1'!AA15,"n.a.")</f>
        <v>0.7262462352613408</v>
      </c>
      <c r="Y21" s="3383">
        <f>IF(ISNUMBER('Q1'!AB15),'Q1'!AB15,"n.a.")</f>
        <v>2.1751779470431387</v>
      </c>
      <c r="Z21" s="3383">
        <f>IF(ISNUMBER('Q1'!AC15),'Q1'!AC15,"n.a.")</f>
        <v>0.86950155702743004</v>
      </c>
      <c r="AA21" s="3383">
        <f>IF(ISNUMBER('Q1'!AD15),'Q1'!AD15,"n.a.")</f>
        <v>0.28043775270838456</v>
      </c>
      <c r="AB21" s="3383">
        <f>IF(ISNUMBER('Q1'!AE15),'Q1'!AE15,"n.a.")</f>
        <v>-0.24571717994025244</v>
      </c>
      <c r="AC21" s="3383">
        <f>IF(ISNUMBER('Q1'!AF15),'Q1'!AF15,"n.a.")</f>
        <v>0.43490656155062979</v>
      </c>
      <c r="AD21" s="3383">
        <f>IF(ISNUMBER('Q1'!AG15),'Q1'!AG15,"n.a.")</f>
        <v>0.61187118045795685</v>
      </c>
      <c r="AE21" s="3383">
        <f>IF(ISNUMBER('Q1'!AH15),'Q1'!AH15,"n.a.")</f>
        <v>0.60264175255966279</v>
      </c>
      <c r="AF21" s="3383">
        <f>IF(ISNUMBER('Q1'!AI15),'Q1'!AI15,"n.a.")</f>
        <v>-3.5548824130704482E-2</v>
      </c>
      <c r="AG21" s="3383">
        <f>IF(ISNUMBER('Q1'!AJ15),'Q1'!AJ15,"n.a.")</f>
        <v>1.3835590214738014</v>
      </c>
      <c r="AH21" s="3383">
        <f>IF(ISNUMBER('Q1'!AK15),'Q1'!AK15,"n.a.")</f>
        <v>0.18701913062175723</v>
      </c>
      <c r="AI21" s="3383">
        <f>IF(ISNUMBER('Q1'!AL15),'Q1'!AL15,"n.a.")</f>
        <v>0.44236878302037486</v>
      </c>
      <c r="AJ21" s="3383">
        <f>IF(ISNUMBER('Q1'!AM15),'Q1'!AM15,"n.a.")</f>
        <v>1.1931471862928644</v>
      </c>
      <c r="AK21" s="3383">
        <f>IF(ISNUMBER('Q1'!AN15),'Q1'!AN15,"n.a.")</f>
        <v>-0.42209606865875049</v>
      </c>
      <c r="AL21" s="3383">
        <f>IF(ISNUMBER('Q1'!AO15),'Q1'!AO15,"n.a.")</f>
        <v>1.3574586869907757</v>
      </c>
      <c r="AM21" s="3383">
        <f>IF(ISNUMBER('Q1'!AP15),'Q1'!AP15,"n.a.")</f>
        <v>0.60580899298801061</v>
      </c>
      <c r="AN21" s="3383">
        <f>IF(ISNUMBER('Q1'!AQ15),'Q1'!AQ15,"n.a.")</f>
        <v>1.5515947259894247</v>
      </c>
      <c r="AO21" s="3383">
        <f>IF(ISNUMBER('Q1'!AR15),'Q1'!AR15,"n.a.")</f>
        <v>0.71573799353772394</v>
      </c>
      <c r="AP21" s="3383">
        <f>IF(ISNUMBER('Q1'!AS15),'Q1'!AS15,"n.a.")</f>
        <v>0.86402058034196205</v>
      </c>
      <c r="AQ21" s="3383">
        <f>IF(ISNUMBER('Q1'!AT15),'Q1'!AT15,"n.a.")</f>
        <v>0.82613006093168462</v>
      </c>
      <c r="AR21" s="3383">
        <f>IF(ISNUMBER('Q1'!AU15),'Q1'!AU15,"n.a.")</f>
        <v>0.10531286405131013</v>
      </c>
      <c r="AS21" s="3383">
        <f>IF(ISNUMBER('Q1'!AV15),'Q1'!AV15,"n.a.")</f>
        <v>1.0788205434633324</v>
      </c>
      <c r="AT21" s="3383">
        <f>IF(ISNUMBER('Q1'!AW15),'Q1'!AW15,"n.a.")</f>
        <v>0.94251733460315457</v>
      </c>
      <c r="AU21" s="3383">
        <f>IF(ISNUMBER('Q1'!AX15),'Q1'!AX15,"n.a.")</f>
        <v>0.66924410796282974</v>
      </c>
      <c r="AV21" s="3383">
        <f>IF(ISNUMBER('Q1'!AY15),'Q1'!AY15,"n.a.")</f>
        <v>1.9550471022039551</v>
      </c>
      <c r="AW21" s="3383">
        <f>IF(ISNUMBER('Q1'!AZ15),'Q1'!AZ15,"n.a.")</f>
        <v>1.144861057953217</v>
      </c>
      <c r="AX21" s="3383">
        <f>IF(ISNUMBER('Q1'!BA15),'Q1'!BA15,"n.a.")</f>
        <v>1.3177578177496985</v>
      </c>
      <c r="AY21" s="3383">
        <f>IF(ISNUMBER('Q1'!BB15),'Q1'!BB15,"n.a.")</f>
        <v>0.57870674616624651</v>
      </c>
      <c r="AZ21" s="3383">
        <f>IF(ISNUMBER('Q1'!BC15),'Q1'!BC15,"n.a.")</f>
        <v>0.86343556295680468</v>
      </c>
      <c r="BA21" s="3383">
        <f>IF(ISNUMBER('Q1'!BD15),'Q1'!BD15,"n.a.")</f>
        <v>0.71931879691298217</v>
      </c>
      <c r="BB21" s="3383">
        <f>IF(ISNUMBER('Q1'!BE15),'Q1'!BE15,"n.a.")</f>
        <v>0.77042770639212943</v>
      </c>
      <c r="BC21" s="3383">
        <f>IF(ISNUMBER('Q1'!BF15),'Q1'!BF15,"n.a.")</f>
        <v>1.2901196076039234</v>
      </c>
      <c r="BD21" s="3383">
        <f>IF(ISNUMBER('Q1'!BG15),'Q1'!BG15,"n.a.")</f>
        <v>-1.3344917211147944</v>
      </c>
      <c r="BE21" s="3383">
        <f>IF(ISNUMBER('Q1'!BH15),'Q1'!BH15,"n.a.")</f>
        <v>0.20929535422187229</v>
      </c>
      <c r="BF21" s="3383">
        <f>IF(ISNUMBER('Q1'!BI15),'Q1'!BI15,"n.a.")</f>
        <v>-0.2235220652464176</v>
      </c>
      <c r="BG21" s="3383">
        <f>IF(ISNUMBER('Q1'!BJ15),'Q1'!BJ15,"n.a.")</f>
        <v>-3.7401159094177294</v>
      </c>
      <c r="BH21" s="3383">
        <f>IF(ISNUMBER('Q1'!BK15),'Q1'!BK15,"n.a.")</f>
        <v>-2.5160619376266569</v>
      </c>
      <c r="BI21" s="3383">
        <f>IF(ISNUMBER('Q1'!BL15),'Q1'!BL15,"n.a.")</f>
        <v>4.6780539873680915E-2</v>
      </c>
      <c r="BJ21" s="3383">
        <f>IF(ISNUMBER('Q1'!BM15),'Q1'!BM15,"n.a.")</f>
        <v>7.5900044109444842E-2</v>
      </c>
      <c r="BK21" s="3383">
        <f>IF(ISNUMBER('Q1'!BN15),'Q1'!BN15,"n.a.")</f>
        <v>0.56664668426498199</v>
      </c>
      <c r="BL21" s="3383">
        <f>IF(ISNUMBER('Q1'!BO15),'Q1'!BO15,"n.a.")</f>
        <v>2.3685834612188206</v>
      </c>
      <c r="BM21" s="3383">
        <f>IF(ISNUMBER('Q1'!BP15),'Q1'!BP15,"n.a.")</f>
        <v>2.18550257384027</v>
      </c>
      <c r="BN21" s="3383">
        <f>IF(ISNUMBER('Q1'!BQ15),'Q1'!BQ15,"n.a.")</f>
        <v>1.2834275244796078</v>
      </c>
      <c r="BO21" s="3383">
        <f>IF(ISNUMBER('Q1'!BR15),'Q1'!BR15,"n.a.")</f>
        <v>1.8368496770541087</v>
      </c>
      <c r="BP21" s="3383">
        <f>IF(ISNUMBER('Q1'!BS15),'Q1'!BS15,"n.a.")</f>
        <v>-9.9639147705476994E-2</v>
      </c>
      <c r="BQ21" s="3383">
        <f>IF(ISNUMBER('Q1'!BT15),'Q1'!BT15,"n.a.")</f>
        <v>0.29541918764997011</v>
      </c>
      <c r="BR21" s="3383">
        <f>IF(ISNUMBER('Q1'!BU15),'Q1'!BU15,"n.a.")</f>
        <v>0.97332999231447559</v>
      </c>
      <c r="BS21" s="3383">
        <f>IF(ISNUMBER('Q1'!BV15),'Q1'!BV15,"n.a.")</f>
        <v>-1.6742426650561137</v>
      </c>
      <c r="BT21" s="3383">
        <f>IF(ISNUMBER('Q1'!BW15),'Q1'!BW15,"n.a.")</f>
        <v>0.41482137798822816</v>
      </c>
      <c r="BU21" s="3383">
        <f>IF(ISNUMBER('Q1'!BX15),'Q1'!BX15,"n.a.")</f>
        <v>0.63936165748439411</v>
      </c>
      <c r="BV21" s="3383">
        <f>IF(ISNUMBER('Q1'!BY15),'Q1'!BY15,"n.a.")</f>
        <v>-7.9722727728537279E-2</v>
      </c>
      <c r="BW21" s="3383">
        <f>IF(ISNUMBER('Q1'!BZ15),'Q1'!BZ15,"n.a.")</f>
        <v>-0.47940249562206105</v>
      </c>
      <c r="BX21" s="3383">
        <f>IF(ISNUMBER('Q1'!CA15),'Q1'!CA15,"n.a.")</f>
        <v>1.1844449143037838</v>
      </c>
      <c r="BY21" s="3383">
        <f>IF(ISNUMBER('Q1'!CB15),'Q1'!CB15,"n.a.")</f>
        <v>-0.3609686787724109</v>
      </c>
      <c r="BZ21" s="3383">
        <f>IF(ISNUMBER('Q1'!CC15),'Q1'!CC15,"n.a.")</f>
        <v>0.69682500647805234</v>
      </c>
      <c r="CA21" s="3383">
        <f>IF(ISNUMBER('Q1'!CD15),'Q1'!CD15,"n.a.")</f>
        <v>0.7904655913467451</v>
      </c>
      <c r="CB21" s="3383">
        <f>IF(ISNUMBER('Q1'!CE15),'Q1'!CE15,"n.a.")</f>
        <v>0.71437275396584177</v>
      </c>
      <c r="CC21" s="3383">
        <f>IF(ISNUMBER('Q1'!CF15),'Q1'!CF15,"n.a.")</f>
        <v>0.74897227427979107</v>
      </c>
      <c r="CD21" s="3383">
        <f>IF(ISNUMBER('Q1'!CG15),'Q1'!CG15,"n.a.")</f>
        <v>0.43474502775733281</v>
      </c>
      <c r="CE21" s="3383">
        <f>IF(ISNUMBER('Q1'!CH15),'Q1'!CH15,"n.a.")</f>
        <v>1.3324292389980119</v>
      </c>
      <c r="CF21" s="3383">
        <f>IF(ISNUMBER('Q1'!CI15),'Q1'!CI15,"n.a.")</f>
        <v>1.0568109643114054</v>
      </c>
      <c r="CG21" s="3383">
        <f>IF(ISNUMBER('Q1'!CJ15),'Q1'!CJ15,"n.a.")</f>
        <v>0.88414683554614015</v>
      </c>
      <c r="CH21" s="3383">
        <f>IF(ISNUMBER('Q1'!CK15),'Q1'!CK15,"n.a.")</f>
        <v>1.4833864934650443</v>
      </c>
      <c r="CI21" s="3383">
        <f>IF(ISNUMBER('Q1'!CL15),'Q1'!CL15,"n.a.")</f>
        <v>1.1124189267073037</v>
      </c>
      <c r="CJ21" s="3383">
        <f>IF(ISNUMBER('Q1'!CM15),'Q1'!CM15,"n.a.")</f>
        <v>8.611215031302244E-2</v>
      </c>
      <c r="CK21" s="3383">
        <f>IF(ISNUMBER('Q1'!CN15),'Q1'!CN15,"n.a.")</f>
        <v>0.25172725343065583</v>
      </c>
      <c r="CL21" s="3383">
        <f>IF(ISNUMBER('Q1'!CO15),'Q1'!CO15,"n.a.")</f>
        <v>0.49016867263103059</v>
      </c>
      <c r="CM21" s="3383">
        <f>IF(ISNUMBER('Q1'!CP15),'Q1'!CP15,"n.a.")</f>
        <v>0.51339577405928871</v>
      </c>
      <c r="CN21" s="3383">
        <f>IF(ISNUMBER('Q1'!CQ15),'Q1'!CQ15,"n.a.")</f>
        <v>0.40423031820462363</v>
      </c>
      <c r="CO21" s="3383">
        <f>IF(ISNUMBER('Q1'!CR15),'Q1'!CR15,"n.a.")</f>
        <v>1.1457377241083533</v>
      </c>
      <c r="CP21" s="3383">
        <f>IF(ISNUMBER('Q1'!CS15),'Q1'!CS15,"n.a.")</f>
        <v>0.42094558459544462</v>
      </c>
      <c r="CQ21" s="3383">
        <f>IF(ISNUMBER('Q1'!CT15),'Q1'!CT15,"n.a.")</f>
        <v>0.68827524174299715</v>
      </c>
      <c r="CR21" s="3383">
        <f>IF(ISNUMBER('Q1'!CU15),'Q1'!CU15,"n.a.")</f>
        <v>0.54930177229954857</v>
      </c>
      <c r="CS21" s="3383">
        <f>IF(ISNUMBER('Q1'!CV15),'Q1'!CV15,"n.a.")</f>
        <v>0.76488268205716636</v>
      </c>
      <c r="CT21" s="3383">
        <f>IF(ISNUMBER('Q1'!CW15),'Q1'!CW15,"n.a.")</f>
        <v>0.25200539014402779</v>
      </c>
      <c r="CU21" s="3383">
        <f>IF(ISNUMBER('Q1'!CX15),'Q1'!CX15,"n.a.")</f>
        <v>0.40329740728684005</v>
      </c>
      <c r="CV21" s="3383">
        <f>IF(ISNUMBER('Q1'!CY15),'Q1'!CY15,"n.a.")</f>
        <v>0.32868125784137892</v>
      </c>
      <c r="CW21" s="3383">
        <f>IF(ISNUMBER('Q1'!CZ15),'Q1'!CZ15,"n.a.")</f>
        <v>0.40458909801095455</v>
      </c>
      <c r="CX21" s="3383">
        <f>IF(ISNUMBER('Q1'!DA15),'Q1'!DA15,"n.a.")</f>
        <v>0.33811235517571259</v>
      </c>
      <c r="CY21" s="3383">
        <f>IF(ISNUMBER('Q1'!DB15),'Q1'!DB15,"n.a.")</f>
        <v>0.26833399675958436</v>
      </c>
      <c r="CZ21" s="3383">
        <f>IF(ISNUMBER('Q1'!DC15),'Q1'!DC15,"n.a.")</f>
        <v>0.36624145647452533</v>
      </c>
      <c r="DA21" s="3383">
        <f>IF(ISNUMBER('Q1'!DD15),'Q1'!DD15,"n.a.")</f>
        <v>0.43016720058188795</v>
      </c>
      <c r="DB21" s="3383">
        <f>IF(ISNUMBER('Q1'!DE15),'Q1'!DE15,"n.a.")</f>
        <v>0.42310630741280164</v>
      </c>
      <c r="DC21" s="3383">
        <f>IF(ISNUMBER('Q1'!DF15),'Q1'!DF15,"n.a.")</f>
        <v>0.33113125304427005</v>
      </c>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row>
    <row r="22" spans="1:189">
      <c r="A22" s="3383" t="str">
        <f t="shared" si="1"/>
        <v>\\DG ECFIN\Forecast\Country databases\Desk transfer databases\SE</v>
      </c>
      <c r="B22" s="3383" t="str">
        <f t="shared" si="2"/>
        <v>SE</v>
      </c>
      <c r="C22" s="3383" t="s">
        <v>2268</v>
      </c>
      <c r="D22" s="3383" t="s">
        <v>2105</v>
      </c>
      <c r="E22" s="3383" t="s">
        <v>2292</v>
      </c>
      <c r="F22" s="3383">
        <v>25</v>
      </c>
      <c r="G22" s="3383" t="s">
        <v>2285</v>
      </c>
      <c r="H22" s="3383">
        <f>IF(ISNUMBER('Q1'!K283),'Q1'!K283,"n.a.")</f>
        <v>75.716666666666654</v>
      </c>
      <c r="I22" s="3383">
        <f>IF(ISNUMBER('Q1'!L283),'Q1'!L283,"n.a.")</f>
        <v>76.443333333333342</v>
      </c>
      <c r="J22" s="3383">
        <f>IF(ISNUMBER('Q1'!M283),'Q1'!M283,"n.a.")</f>
        <v>76.13666666666667</v>
      </c>
      <c r="K22" s="3383">
        <f>IF(ISNUMBER('Q1'!N283),'Q1'!N283,"n.a.")</f>
        <v>76.336666666666673</v>
      </c>
      <c r="L22" s="3383">
        <f>IF(ISNUMBER('Q1'!O283),'Q1'!O283,"n.a.")</f>
        <v>76.593333333333334</v>
      </c>
      <c r="M22" s="3383">
        <f>IF(ISNUMBER('Q1'!P283),'Q1'!P283,"n.a.")</f>
        <v>77.446666666666673</v>
      </c>
      <c r="N22" s="3383">
        <f>IF(ISNUMBER('Q1'!Q283),'Q1'!Q283,"n.a.")</f>
        <v>77.736666666666665</v>
      </c>
      <c r="O22" s="3383">
        <f>IF(ISNUMBER('Q1'!R283),'Q1'!R283,"n.a.")</f>
        <v>78.38</v>
      </c>
      <c r="P22" s="3383">
        <f>IF(ISNUMBER('Q1'!S283),'Q1'!S283,"n.a.")</f>
        <v>78.066666666666663</v>
      </c>
      <c r="Q22" s="3383">
        <f>IF(ISNUMBER('Q1'!T283),'Q1'!T283,"n.a.")</f>
        <v>78.566666666666663</v>
      </c>
      <c r="R22" s="3383">
        <f>IF(ISNUMBER('Q1'!U283),'Q1'!U283,"n.a.")</f>
        <v>78.190000000000012</v>
      </c>
      <c r="S22" s="3383">
        <f>IF(ISNUMBER('Q1'!V283),'Q1'!V283,"n.a.")</f>
        <v>78.446666666666658</v>
      </c>
      <c r="T22" s="3383">
        <f>IF(ISNUMBER('Q1'!W283),'Q1'!W283,"n.a.")</f>
        <v>78.25333333333333</v>
      </c>
      <c r="U22" s="3383">
        <f>IF(ISNUMBER('Q1'!X283),'Q1'!X283,"n.a.")</f>
        <v>78.853333333333339</v>
      </c>
      <c r="V22" s="3383">
        <f>IF(ISNUMBER('Q1'!Y283),'Q1'!Y283,"n.a.")</f>
        <v>78.726666666666674</v>
      </c>
      <c r="W22" s="3383">
        <f>IF(ISNUMBER('Q1'!Z283),'Q1'!Z283,"n.a.")</f>
        <v>79.203333333333333</v>
      </c>
      <c r="X22" s="3383">
        <f>IF(ISNUMBER('Q1'!AA283),'Q1'!AA283,"n.a.")</f>
        <v>79.206666666666663</v>
      </c>
      <c r="Y22" s="3383">
        <f>IF(ISNUMBER('Q1'!AB283),'Q1'!AB283,"n.a.")</f>
        <v>79.793333333333337</v>
      </c>
      <c r="Z22" s="3383">
        <f>IF(ISNUMBER('Q1'!AC283),'Q1'!AC283,"n.a.")</f>
        <v>79.73</v>
      </c>
      <c r="AA22" s="3383">
        <f>IF(ISNUMBER('Q1'!AD283),'Q1'!AD283,"n.a.")</f>
        <v>80.38333333333334</v>
      </c>
      <c r="AB22" s="3383">
        <f>IF(ISNUMBER('Q1'!AE283),'Q1'!AE283,"n.a.")</f>
        <v>80.476666666666674</v>
      </c>
      <c r="AC22" s="3383">
        <f>IF(ISNUMBER('Q1'!AF283),'Q1'!AF283,"n.a.")</f>
        <v>82.176666666666662</v>
      </c>
      <c r="AD22" s="3383">
        <f>IF(ISNUMBER('Q1'!AG283),'Q1'!AG283,"n.a.")</f>
        <v>82.2</v>
      </c>
      <c r="AE22" s="3383">
        <f>IF(ISNUMBER('Q1'!AH283),'Q1'!AH283,"n.a.")</f>
        <v>82.813333333333333</v>
      </c>
      <c r="AF22" s="3383">
        <f>IF(ISNUMBER('Q1'!AI283),'Q1'!AI283,"n.a.")</f>
        <v>82.763333333333335</v>
      </c>
      <c r="AG22" s="3383">
        <f>IF(ISNUMBER('Q1'!AJ283),'Q1'!AJ283,"n.a.")</f>
        <v>83.703333333333333</v>
      </c>
      <c r="AH22" s="3383">
        <f>IF(ISNUMBER('Q1'!AK283),'Q1'!AK283,"n.a.")</f>
        <v>83.42</v>
      </c>
      <c r="AI22" s="3383">
        <f>IF(ISNUMBER('Q1'!AL283),'Q1'!AL283,"n.a.")</f>
        <v>84.133333333333326</v>
      </c>
      <c r="AJ22" s="3383">
        <f>IF(ISNUMBER('Q1'!AM283),'Q1'!AM283,"n.a.")</f>
        <v>85.226666666666674</v>
      </c>
      <c r="AK22" s="3383">
        <f>IF(ISNUMBER('Q1'!AN283),'Q1'!AN283,"n.a.")</f>
        <v>85.443333333333328</v>
      </c>
      <c r="AL22" s="3383">
        <f>IF(ISNUMBER('Q1'!AO283),'Q1'!AO283,"n.a.")</f>
        <v>85.346666666666678</v>
      </c>
      <c r="AM22" s="3383">
        <f>IF(ISNUMBER('Q1'!AP283),'Q1'!AP283,"n.a.")</f>
        <v>85.75</v>
      </c>
      <c r="AN22" s="3383">
        <f>IF(ISNUMBER('Q1'!AQ283),'Q1'!AQ283,"n.a.")</f>
        <v>85.73</v>
      </c>
      <c r="AO22" s="3383">
        <f>IF(ISNUMBER('Q1'!AR283),'Q1'!AR283,"n.a.")</f>
        <v>86.48</v>
      </c>
      <c r="AP22" s="3383">
        <f>IF(ISNUMBER('Q1'!AS283),'Q1'!AS283,"n.a.")</f>
        <v>86.32</v>
      </c>
      <c r="AQ22" s="3383">
        <f>IF(ISNUMBER('Q1'!AT283),'Q1'!AT283,"n.a.")</f>
        <v>86.73</v>
      </c>
      <c r="AR22" s="3383">
        <f>IF(ISNUMBER('Q1'!AU283),'Q1'!AU283,"n.a.")</f>
        <v>86.386666666666656</v>
      </c>
      <c r="AS22" s="3383">
        <f>IF(ISNUMBER('Q1'!AV283),'Q1'!AV283,"n.a.")</f>
        <v>86.913333333333341</v>
      </c>
      <c r="AT22" s="3383">
        <f>IF(ISNUMBER('Q1'!AW283),'Q1'!AW283,"n.a.")</f>
        <v>87.14</v>
      </c>
      <c r="AU22" s="3383">
        <f>IF(ISNUMBER('Q1'!AX283),'Q1'!AX283,"n.a.")</f>
        <v>87.696666666666673</v>
      </c>
      <c r="AV22" s="3383">
        <f>IF(ISNUMBER('Q1'!AY283),'Q1'!AY283,"n.a.")</f>
        <v>87.443333333333342</v>
      </c>
      <c r="AW22" s="3383">
        <f>IF(ISNUMBER('Q1'!AZ283),'Q1'!AZ283,"n.a.")</f>
        <v>88.530000000000015</v>
      </c>
      <c r="AX22" s="3383">
        <f>IF(ISNUMBER('Q1'!BA283),'Q1'!BA283,"n.a.")</f>
        <v>88.453333333333333</v>
      </c>
      <c r="AY22" s="3383">
        <f>IF(ISNUMBER('Q1'!BB283),'Q1'!BB283,"n.a.")</f>
        <v>88.92</v>
      </c>
      <c r="AZ22" s="3383">
        <f>IF(ISNUMBER('Q1'!BC283),'Q1'!BC283,"n.a.")</f>
        <v>88.899999999999991</v>
      </c>
      <c r="BA22" s="3383">
        <f>IF(ISNUMBER('Q1'!BD283),'Q1'!BD283,"n.a.")</f>
        <v>89.74666666666667</v>
      </c>
      <c r="BB22" s="3383">
        <f>IF(ISNUMBER('Q1'!BE283),'Q1'!BE283,"n.a.")</f>
        <v>89.676666666666662</v>
      </c>
      <c r="BC22" s="3383">
        <f>IF(ISNUMBER('Q1'!BF283),'Q1'!BF283,"n.a.")</f>
        <v>90.946666666666673</v>
      </c>
      <c r="BD22" s="3383">
        <f>IF(ISNUMBER('Q1'!BG283),'Q1'!BG283,"n.a.")</f>
        <v>91.646666666666661</v>
      </c>
      <c r="BE22" s="3383">
        <f>IF(ISNUMBER('Q1'!BH283),'Q1'!BH283,"n.a.")</f>
        <v>93.009999999999991</v>
      </c>
      <c r="BF22" s="3383">
        <f>IF(ISNUMBER('Q1'!BI283),'Q1'!BI283,"n.a.")</f>
        <v>93.283333333333346</v>
      </c>
      <c r="BG22" s="3383">
        <f>IF(ISNUMBER('Q1'!BJ283),'Q1'!BJ283,"n.a.")</f>
        <v>93.360000000000014</v>
      </c>
      <c r="BH22" s="3383">
        <f>IF(ISNUMBER('Q1'!BK283),'Q1'!BK283,"n.a.")</f>
        <v>93.530000000000015</v>
      </c>
      <c r="BI22" s="3383">
        <f>IF(ISNUMBER('Q1'!BL283),'Q1'!BL283,"n.a.")</f>
        <v>94.586666666666659</v>
      </c>
      <c r="BJ22" s="3383">
        <f>IF(ISNUMBER('Q1'!BM283),'Q1'!BM283,"n.a.")</f>
        <v>94.853333333333339</v>
      </c>
      <c r="BK22" s="3383">
        <f>IF(ISNUMBER('Q1'!BN283),'Q1'!BN283,"n.a.")</f>
        <v>95.536666666666676</v>
      </c>
      <c r="BL22" s="3383">
        <f>IF(ISNUMBER('Q1'!BO283),'Q1'!BO283,"n.a.")</f>
        <v>96.006666666666661</v>
      </c>
      <c r="BM22" s="3383">
        <f>IF(ISNUMBER('Q1'!BP283),'Q1'!BP283,"n.a.")</f>
        <v>96.333333333333329</v>
      </c>
      <c r="BN22" s="3383">
        <f>IF(ISNUMBER('Q1'!BQ283),'Q1'!BQ283,"n.a.")</f>
        <v>96.123333333333335</v>
      </c>
      <c r="BO22" s="3383">
        <f>IF(ISNUMBER('Q1'!BR283),'Q1'!BR283,"n.a.")</f>
        <v>97.259999999999991</v>
      </c>
      <c r="BP22" s="3383">
        <f>IF(ISNUMBER('Q1'!BS283),'Q1'!BS283,"n.a.")</f>
        <v>97.286666666666676</v>
      </c>
      <c r="BQ22" s="3383">
        <f>IF(ISNUMBER('Q1'!BT283),'Q1'!BT283,"n.a.")</f>
        <v>97.94</v>
      </c>
      <c r="BR22" s="3383">
        <f>IF(ISNUMBER('Q1'!BU283),'Q1'!BU283,"n.a.")</f>
        <v>97.65666666666668</v>
      </c>
      <c r="BS22" s="3383">
        <f>IF(ISNUMBER('Q1'!BV283),'Q1'!BV283,"n.a.")</f>
        <v>98.103333333333353</v>
      </c>
      <c r="BT22" s="3383">
        <f>IF(ISNUMBER('Q1'!BW283),'Q1'!BW283,"n.a.")</f>
        <v>98.196666666666673</v>
      </c>
      <c r="BU22" s="3383">
        <f>IF(ISNUMBER('Q1'!BX283),'Q1'!BX283,"n.a.")</f>
        <v>98.86</v>
      </c>
      <c r="BV22" s="3383">
        <f>IF(ISNUMBER('Q1'!BY283),'Q1'!BY283,"n.a.")</f>
        <v>98.513333333333335</v>
      </c>
      <c r="BW22" s="3383">
        <f>IF(ISNUMBER('Q1'!BZ283),'Q1'!BZ283,"n.a.")</f>
        <v>99.083333333333329</v>
      </c>
      <c r="BX22" s="3383">
        <f>IF(ISNUMBER('Q1'!CA283),'Q1'!CA283,"n.a.")</f>
        <v>98.736666666666665</v>
      </c>
      <c r="BY22" s="3383">
        <f>IF(ISNUMBER('Q1'!CB283),'Q1'!CB283,"n.a.")</f>
        <v>99.116666666666674</v>
      </c>
      <c r="BZ22" s="3383">
        <f>IF(ISNUMBER('Q1'!CC283),'Q1'!CC283,"n.a.")</f>
        <v>99.19</v>
      </c>
      <c r="CA22" s="3383">
        <f>IF(ISNUMBER('Q1'!CD283),'Q1'!CD283,"n.a.")</f>
        <v>99.34999999999998</v>
      </c>
      <c r="CB22" s="3383">
        <f>IF(ISNUMBER('Q1'!CE283),'Q1'!CE283,"n.a.")</f>
        <v>98.716666666666654</v>
      </c>
      <c r="CC22" s="3383">
        <f>IF(ISNUMBER('Q1'!CF283),'Q1'!CF283,"n.a.")</f>
        <v>99.429999999999993</v>
      </c>
      <c r="CD22" s="3383">
        <f>IF(ISNUMBER('Q1'!CG283),'Q1'!CG283,"n.a.")</f>
        <v>99.410000000000011</v>
      </c>
      <c r="CE22" s="3383">
        <f>IF(ISNUMBER('Q1'!CH283),'Q1'!CH283,"n.a.")</f>
        <v>99.65333333333335</v>
      </c>
      <c r="CF22" s="3383">
        <f>IF(ISNUMBER('Q1'!CI283),'Q1'!CI283,"n.a.")</f>
        <v>99.303333333333327</v>
      </c>
      <c r="CG22" s="3383">
        <f>IF(ISNUMBER('Q1'!CJ283),'Q1'!CJ283,"n.a.")</f>
        <v>100.02666666666666</v>
      </c>
      <c r="CH22" s="3383">
        <f>IF(ISNUMBER('Q1'!CK283),'Q1'!CK283,"n.a.")</f>
        <v>100.17999999999999</v>
      </c>
      <c r="CI22" s="3383">
        <f>IF(ISNUMBER('Q1'!CL283),'Q1'!CL283,"n.a.")</f>
        <v>100.49000000000001</v>
      </c>
      <c r="CJ22" s="3383">
        <f>IF(ISNUMBER('Q1'!CM283),'Q1'!CM283,"n.a.")</f>
        <v>100.37</v>
      </c>
      <c r="CK22" s="3383">
        <f>IF(ISNUMBER('Q1'!CN283),'Q1'!CN283,"n.a.")</f>
        <v>101.04333333333334</v>
      </c>
      <c r="CL22" s="3383">
        <f>IF(ISNUMBER('Q1'!CO283),'Q1'!CO283,"n.a.")</f>
        <v>101.23</v>
      </c>
      <c r="CM22" s="3383">
        <f>IF(ISNUMBER('Q1'!CP283),'Q1'!CP283,"n.a.")</f>
        <v>101.90000000000002</v>
      </c>
      <c r="CN22" s="3383">
        <f>IF(ISNUMBER('Q1'!CQ283),'Q1'!CQ283,"n.a.")</f>
        <v>102</v>
      </c>
      <c r="CO22" s="3383">
        <f>IF(ISNUMBER('Q1'!CR283),'Q1'!CR283,"n.a.")</f>
        <v>102.91000000000001</v>
      </c>
      <c r="CP22" s="3383">
        <f>IF(ISNUMBER('Q1'!CS283),'Q1'!CS283,"n.a.")</f>
        <v>103.49000000000001</v>
      </c>
      <c r="CQ22" s="3383">
        <f>IF(ISNUMBER('Q1'!CT283),'Q1'!CT283,"n.a.")</f>
        <v>103.69333333333333</v>
      </c>
      <c r="CR22" s="3383">
        <f>IF(ISNUMBER('Q1'!CU283),'Q1'!CU283,"n.a.")</f>
        <v>103.75999999999999</v>
      </c>
      <c r="CS22" s="3383">
        <f>IF(ISNUMBER('Q1'!CV283),'Q1'!CV283,"n.a.")</f>
        <v>104.94</v>
      </c>
      <c r="CT22" s="3383">
        <f>IF(ISNUMBER('Q1'!CW283),'Q1'!CW283,"n.a.")</f>
        <v>105.8</v>
      </c>
      <c r="CU22" s="3383">
        <f ca="1">IF(ISNUMBER('Q1'!CX283),'Q1'!CX283,"n.a.")</f>
        <v>106.19959860855694</v>
      </c>
      <c r="CV22" s="3383">
        <f ca="1">IF(ISNUMBER('Q1'!CY283),'Q1'!CY283,"n.a.")</f>
        <v>106.11927119357466</v>
      </c>
      <c r="CW22" s="3383">
        <f ca="1">IF(ISNUMBER('Q1'!CZ283),'Q1'!CZ283,"n.a.")</f>
        <v>107.02346505795489</v>
      </c>
      <c r="CX22" s="3383">
        <f ca="1">IF(ISNUMBER('Q1'!DA283),'Q1'!DA283,"n.a.")</f>
        <v>107.59920381185186</v>
      </c>
      <c r="CY22" s="3383">
        <f ca="1">IF(ISNUMBER('Q1'!DB283),'Q1'!DB283,"n.a.")</f>
        <v>107.96607565168338</v>
      </c>
      <c r="CZ22" s="3383">
        <f ca="1">IF(ISNUMBER('Q1'!DC283),'Q1'!DC283,"n.a.")</f>
        <v>107.71774292102657</v>
      </c>
      <c r="DA22" s="3383">
        <f ca="1">IF(ISNUMBER('Q1'!DD283),'Q1'!DD283,"n.a.")</f>
        <v>108.70821262069694</v>
      </c>
      <c r="DB22" s="3383">
        <f ca="1">IF(ISNUMBER('Q1'!DE283),'Q1'!DE283,"n.a.")</f>
        <v>109.38305771043298</v>
      </c>
      <c r="DC22" s="3383">
        <f ca="1">IF(ISNUMBER('Q1'!DF283),'Q1'!DF283,"n.a.")</f>
        <v>109.74743982032889</v>
      </c>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row>
    <row r="23" spans="1:189">
      <c r="A23" s="3383" t="str">
        <f t="shared" si="1"/>
        <v>\\DG ECFIN\Forecast\Country databases\Desk transfer databases\SE</v>
      </c>
      <c r="B23" s="3383" t="str">
        <f t="shared" si="2"/>
        <v>SE</v>
      </c>
      <c r="C23" s="3383" t="s">
        <v>2268</v>
      </c>
      <c r="D23" s="3383" t="s">
        <v>2203</v>
      </c>
      <c r="E23" s="3383" t="s">
        <v>2292</v>
      </c>
      <c r="F23" s="3383">
        <v>166</v>
      </c>
      <c r="G23" s="3383" t="s">
        <v>997</v>
      </c>
      <c r="H23" s="3383">
        <f>IF(ISNUMBER('Q1'!K286),'Q1'!K286,"n.a.")</f>
        <v>79.626666666666665</v>
      </c>
      <c r="I23" s="3383">
        <f>IF(ISNUMBER('Q1'!L286),'Q1'!L286,"n.a.")</f>
        <v>80.186666666666653</v>
      </c>
      <c r="J23" s="3383">
        <f>IF(ISNUMBER('Q1'!M286),'Q1'!M286,"n.a.")</f>
        <v>79.816666666666663</v>
      </c>
      <c r="K23" s="3383">
        <f>IF(ISNUMBER('Q1'!N286),'Q1'!N286,"n.a.")</f>
        <v>80.216666666666669</v>
      </c>
      <c r="L23" s="3383">
        <f>IF(ISNUMBER('Q1'!O286),'Q1'!O286,"n.a.")</f>
        <v>80.24666666666667</v>
      </c>
      <c r="M23" s="3383">
        <f>IF(ISNUMBER('Q1'!P286),'Q1'!P286,"n.a.")</f>
        <v>81.15333333333335</v>
      </c>
      <c r="N23" s="3383">
        <f>IF(ISNUMBER('Q1'!Q286),'Q1'!Q286,"n.a.")</f>
        <v>81.123333333333335</v>
      </c>
      <c r="O23" s="3383">
        <f>IF(ISNUMBER('Q1'!R286),'Q1'!R286,"n.a.")</f>
        <v>82.323333333333338</v>
      </c>
      <c r="P23" s="3383">
        <f>IF(ISNUMBER('Q1'!S286),'Q1'!S286,"n.a.")</f>
        <v>81.833333333333329</v>
      </c>
      <c r="Q23" s="3383">
        <f>IF(ISNUMBER('Q1'!T286),'Q1'!T286,"n.a.")</f>
        <v>82.326666666666668</v>
      </c>
      <c r="R23" s="3383">
        <f>IF(ISNUMBER('Q1'!U286),'Q1'!U286,"n.a.")</f>
        <v>81.863333333333344</v>
      </c>
      <c r="S23" s="3383">
        <f>IF(ISNUMBER('Q1'!V286),'Q1'!V286,"n.a.")</f>
        <v>82.486666666666665</v>
      </c>
      <c r="T23" s="3383">
        <f>IF(ISNUMBER('Q1'!W286),'Q1'!W286,"n.a.")</f>
        <v>82.14</v>
      </c>
      <c r="U23" s="3383">
        <f>IF(ISNUMBER('Q1'!X286),'Q1'!X286,"n.a.")</f>
        <v>82.666666666666671</v>
      </c>
      <c r="V23" s="3383">
        <f>IF(ISNUMBER('Q1'!Y286),'Q1'!Y286,"n.a.")</f>
        <v>82.426666666666662</v>
      </c>
      <c r="W23" s="3383">
        <f>IF(ISNUMBER('Q1'!Z286),'Q1'!Z286,"n.a.")</f>
        <v>83.043333333333337</v>
      </c>
      <c r="X23" s="3383">
        <f>IF(ISNUMBER('Q1'!AA286),'Q1'!AA286,"n.a.")</f>
        <v>82.660000000000011</v>
      </c>
      <c r="Y23" s="3383">
        <f>IF(ISNUMBER('Q1'!AB286),'Q1'!AB286,"n.a.")</f>
        <v>83.166666666666671</v>
      </c>
      <c r="Z23" s="3383">
        <f>IF(ISNUMBER('Q1'!AC286),'Q1'!AC286,"n.a.")</f>
        <v>82.976666666666674</v>
      </c>
      <c r="AA23" s="3383">
        <f>IF(ISNUMBER('Q1'!AD286),'Q1'!AD286,"n.a.")</f>
        <v>83.806666666666672</v>
      </c>
      <c r="AB23" s="3383">
        <f>IF(ISNUMBER('Q1'!AE286),'Q1'!AE286,"n.a.")</f>
        <v>83.543333333333337</v>
      </c>
      <c r="AC23" s="3383">
        <f>IF(ISNUMBER('Q1'!AF286),'Q1'!AF286,"n.a.")</f>
        <v>84.596666666666664</v>
      </c>
      <c r="AD23" s="3383">
        <f>IF(ISNUMBER('Q1'!AG286),'Q1'!AG286,"n.a.")</f>
        <v>84.79</v>
      </c>
      <c r="AE23" s="3383">
        <f>IF(ISNUMBER('Q1'!AH286),'Q1'!AH286,"n.a.")</f>
        <v>85.926666666666677</v>
      </c>
      <c r="AF23" s="3383">
        <f>IF(ISNUMBER('Q1'!AI286),'Q1'!AI286,"n.a.")</f>
        <v>85.28</v>
      </c>
      <c r="AG23" s="3383">
        <f>IF(ISNUMBER('Q1'!AJ286),'Q1'!AJ286,"n.a.")</f>
        <v>86.333333333333329</v>
      </c>
      <c r="AH23" s="3383">
        <f>IF(ISNUMBER('Q1'!AK286),'Q1'!AK286,"n.a.")</f>
        <v>86.073333333333338</v>
      </c>
      <c r="AI23" s="3383">
        <f>IF(ISNUMBER('Q1'!AL286),'Q1'!AL286,"n.a.")</f>
        <v>87.076666666666668</v>
      </c>
      <c r="AJ23" s="3383">
        <f>IF(ISNUMBER('Q1'!AM286),'Q1'!AM286,"n.a.")</f>
        <v>86.773333333333326</v>
      </c>
      <c r="AK23" s="3383">
        <f>IF(ISNUMBER('Q1'!AN286),'Q1'!AN286,"n.a.")</f>
        <v>87.45</v>
      </c>
      <c r="AL23" s="3383">
        <f>IF(ISNUMBER('Q1'!AO286),'Q1'!AO286,"n.a.")</f>
        <v>87.25333333333333</v>
      </c>
      <c r="AM23" s="3383">
        <f>IF(ISNUMBER('Q1'!AP286),'Q1'!AP286,"n.a.")</f>
        <v>87.876666666666665</v>
      </c>
      <c r="AN23" s="3383">
        <f>IF(ISNUMBER('Q1'!AQ286),'Q1'!AQ286,"n.a.")</f>
        <v>87.433333333333337</v>
      </c>
      <c r="AO23" s="3383">
        <f>IF(ISNUMBER('Q1'!AR286),'Q1'!AR286,"n.a.")</f>
        <v>88.173333333333346</v>
      </c>
      <c r="AP23" s="3383">
        <f>IF(ISNUMBER('Q1'!AS286),'Q1'!AS286,"n.a.")</f>
        <v>87.92</v>
      </c>
      <c r="AQ23" s="3383">
        <f>IF(ISNUMBER('Q1'!AT286),'Q1'!AT286,"n.a.")</f>
        <v>88.62</v>
      </c>
      <c r="AR23" s="3383">
        <f>IF(ISNUMBER('Q1'!AU286),'Q1'!AU286,"n.a.")</f>
        <v>87.896666666666661</v>
      </c>
      <c r="AS23" s="3383">
        <f>IF(ISNUMBER('Q1'!AV286),'Q1'!AV286,"n.a.")</f>
        <v>88.17</v>
      </c>
      <c r="AT23" s="3383">
        <f>IF(ISNUMBER('Q1'!AW286),'Q1'!AW286,"n.a.")</f>
        <v>87.966666666666654</v>
      </c>
      <c r="AU23" s="3383">
        <f>IF(ISNUMBER('Q1'!AX286),'Q1'!AX286,"n.a.")</f>
        <v>88.826666666666668</v>
      </c>
      <c r="AV23" s="3383">
        <f>IF(ISNUMBER('Q1'!AY286),'Q1'!AY286,"n.a.")</f>
        <v>88.126666666666665</v>
      </c>
      <c r="AW23" s="3383">
        <f>IF(ISNUMBER('Q1'!AZ286),'Q1'!AZ286,"n.a.")</f>
        <v>88.736666666666665</v>
      </c>
      <c r="AX23" s="3383">
        <f>IF(ISNUMBER('Q1'!BA286),'Q1'!BA286,"n.a.")</f>
        <v>88.506666666666661</v>
      </c>
      <c r="AY23" s="3383">
        <f>IF(ISNUMBER('Q1'!BB286),'Q1'!BB286,"n.a.")</f>
        <v>89.38</v>
      </c>
      <c r="AZ23" s="3383">
        <f>IF(ISNUMBER('Q1'!BC286),'Q1'!BC286,"n.a.")</f>
        <v>89.326666666666668</v>
      </c>
      <c r="BA23" s="3383">
        <f>IF(ISNUMBER('Q1'!BD286),'Q1'!BD286,"n.a.")</f>
        <v>90.216666666666683</v>
      </c>
      <c r="BB23" s="3383">
        <f>IF(ISNUMBER('Q1'!BE286),'Q1'!BE286,"n.a.")</f>
        <v>90.303333333333327</v>
      </c>
      <c r="BC23" s="3383">
        <f>IF(ISNUMBER('Q1'!BF286),'Q1'!BF286,"n.a.")</f>
        <v>91.376666666666665</v>
      </c>
      <c r="BD23" s="3383">
        <f>IF(ISNUMBER('Q1'!BG286),'Q1'!BG286,"n.a.")</f>
        <v>91.463333333333324</v>
      </c>
      <c r="BE23" s="3383">
        <f>IF(ISNUMBER('Q1'!BH286),'Q1'!BH286,"n.a.")</f>
        <v>92.453333333333333</v>
      </c>
      <c r="BF23" s="3383">
        <f>IF(ISNUMBER('Q1'!BI286),'Q1'!BI286,"n.a.")</f>
        <v>92.286666666666676</v>
      </c>
      <c r="BG23" s="3383">
        <f>IF(ISNUMBER('Q1'!BJ286),'Q1'!BJ286,"n.a.")</f>
        <v>93.166666666666671</v>
      </c>
      <c r="BH23" s="3383">
        <f>IF(ISNUMBER('Q1'!BK286),'Q1'!BK286,"n.a.")</f>
        <v>93.139999999999986</v>
      </c>
      <c r="BI23" s="3383">
        <f>IF(ISNUMBER('Q1'!BL286),'Q1'!BL286,"n.a.")</f>
        <v>94.17</v>
      </c>
      <c r="BJ23" s="3383">
        <f>IF(ISNUMBER('Q1'!BM286),'Q1'!BM286,"n.a.")</f>
        <v>94.719999999999985</v>
      </c>
      <c r="BK23" s="3383">
        <f>IF(ISNUMBER('Q1'!BN286),'Q1'!BN286,"n.a.")</f>
        <v>95.660000000000011</v>
      </c>
      <c r="BL23" s="3383">
        <f>IF(ISNUMBER('Q1'!BO286),'Q1'!BO286,"n.a.")</f>
        <v>95.163333333333341</v>
      </c>
      <c r="BM23" s="3383">
        <f>IF(ISNUMBER('Q1'!BP286),'Q1'!BP286,"n.a.")</f>
        <v>95.776666666666685</v>
      </c>
      <c r="BN23" s="3383">
        <f>IF(ISNUMBER('Q1'!BQ286),'Q1'!BQ286,"n.a.")</f>
        <v>95.743333333333339</v>
      </c>
      <c r="BO23" s="3383">
        <f>IF(ISNUMBER('Q1'!BR286),'Q1'!BR286,"n.a.")</f>
        <v>96.723333333333343</v>
      </c>
      <c r="BP23" s="3383">
        <f>IF(ISNUMBER('Q1'!BS286),'Q1'!BS286,"n.a.")</f>
        <v>96.15666666666668</v>
      </c>
      <c r="BQ23" s="3383">
        <f>IF(ISNUMBER('Q1'!BT286),'Q1'!BT286,"n.a.")</f>
        <v>96.99666666666667</v>
      </c>
      <c r="BR23" s="3383">
        <f>IF(ISNUMBER('Q1'!BU286),'Q1'!BU286,"n.a.")</f>
        <v>96.98</v>
      </c>
      <c r="BS23" s="3383">
        <f>IF(ISNUMBER('Q1'!BV286),'Q1'!BV286,"n.a.")</f>
        <v>97.63</v>
      </c>
      <c r="BT23" s="3383">
        <f>IF(ISNUMBER('Q1'!BW286),'Q1'!BW286,"n.a.")</f>
        <v>97.12</v>
      </c>
      <c r="BU23" s="3383">
        <f>IF(ISNUMBER('Q1'!BX286),'Q1'!BX286,"n.a.")</f>
        <v>98.04</v>
      </c>
      <c r="BV23" s="3383">
        <f>IF(ISNUMBER('Q1'!BY286),'Q1'!BY286,"n.a.")</f>
        <v>97.820000000000007</v>
      </c>
      <c r="BW23" s="3383">
        <f>IF(ISNUMBER('Q1'!BZ286),'Q1'!BZ286,"n.a.")</f>
        <v>98.48</v>
      </c>
      <c r="BX23" s="3383">
        <f>IF(ISNUMBER('Q1'!CA286),'Q1'!CA286,"n.a.")</f>
        <v>97.833333333333329</v>
      </c>
      <c r="BY23" s="3383">
        <f>IF(ISNUMBER('Q1'!CB286),'Q1'!CB286,"n.a.")</f>
        <v>98.356666666666669</v>
      </c>
      <c r="BZ23" s="3383">
        <f>IF(ISNUMBER('Q1'!CC286),'Q1'!CC286,"n.a.")</f>
        <v>98.38</v>
      </c>
      <c r="CA23" s="3383">
        <f>IF(ISNUMBER('Q1'!CD286),'Q1'!CD286,"n.a.")</f>
        <v>98.873333333333335</v>
      </c>
      <c r="CB23" s="3383">
        <f>IF(ISNUMBER('Q1'!CE286),'Q1'!CE286,"n.a.")</f>
        <v>98.14</v>
      </c>
      <c r="CC23" s="3383">
        <f>IF(ISNUMBER('Q1'!CF286),'Q1'!CF286,"n.a.")</f>
        <v>98.90333333333335</v>
      </c>
      <c r="CD23" s="3383">
        <f>IF(ISNUMBER('Q1'!CG286),'Q1'!CG286,"n.a.")</f>
        <v>98.90666666666668</v>
      </c>
      <c r="CE23" s="3383">
        <f>IF(ISNUMBER('Q1'!CH286),'Q1'!CH286,"n.a.")</f>
        <v>99.563333333333333</v>
      </c>
      <c r="CF23" s="3383">
        <f>IF(ISNUMBER('Q1'!CI286),'Q1'!CI286,"n.a.")</f>
        <v>99.219999999999985</v>
      </c>
      <c r="CG23" s="3383">
        <f>IF(ISNUMBER('Q1'!CJ286),'Q1'!CJ286,"n.a.")</f>
        <v>99.833333333333329</v>
      </c>
      <c r="CH23" s="3383">
        <f>IF(ISNUMBER('Q1'!CK286),'Q1'!CK286,"n.a.")</f>
        <v>100.23666666666666</v>
      </c>
      <c r="CI23" s="3383">
        <f>IF(ISNUMBER('Q1'!CL286),'Q1'!CL286,"n.a.")</f>
        <v>100.70333333333333</v>
      </c>
      <c r="CJ23" s="3383">
        <f>IF(ISNUMBER('Q1'!CM286),'Q1'!CM286,"n.a.")</f>
        <v>100.44000000000001</v>
      </c>
      <c r="CK23" s="3383">
        <f>IF(ISNUMBER('Q1'!CN286),'Q1'!CN286,"n.a.")</f>
        <v>101.05666666666666</v>
      </c>
      <c r="CL23" s="3383">
        <f>IF(ISNUMBER('Q1'!CO286),'Q1'!CO286,"n.a.")</f>
        <v>101.19333333333333</v>
      </c>
      <c r="CM23" s="3383">
        <f>IF(ISNUMBER('Q1'!CP286),'Q1'!CP286,"n.a.")</f>
        <v>101.55333333333334</v>
      </c>
      <c r="CN23" s="3383">
        <f>IF(ISNUMBER('Q1'!CQ286),'Q1'!CQ286,"n.a.")</f>
        <v>101.3</v>
      </c>
      <c r="CO23" s="3383">
        <f>IF(ISNUMBER('Q1'!CR286),'Q1'!CR286,"n.a.")</f>
        <v>102.64999999999999</v>
      </c>
      <c r="CP23" s="3383">
        <f>IF(ISNUMBER('Q1'!CS286),'Q1'!CS286,"n.a.")</f>
        <v>103.10333333333334</v>
      </c>
      <c r="CQ23" s="3383">
        <f>IF(ISNUMBER('Q1'!CT286),'Q1'!CT286,"n.a.")</f>
        <v>103.15666666666668</v>
      </c>
      <c r="CR23" s="3383">
        <f>IF(ISNUMBER('Q1'!CU286),'Q1'!CU286,"n.a.")</f>
        <v>102.73</v>
      </c>
      <c r="CS23" s="3383">
        <f>IF(ISNUMBER('Q1'!CV286),'Q1'!CV286,"n.a.")</f>
        <v>103.75666666666666</v>
      </c>
      <c r="CT23" s="3383">
        <f>IF(ISNUMBER('Q1'!CW286),'Q1'!CW286,"n.a.")</f>
        <v>104.07666666666667</v>
      </c>
      <c r="CU23" s="3383">
        <f ca="1">IF(ISNUMBER('Q1'!CX286),'Q1'!CX286,"n.a.")</f>
        <v>104.55140965291423</v>
      </c>
      <c r="CV23" s="3383">
        <f ca="1">IF(ISNUMBER('Q1'!CY286),'Q1'!CY286,"n.a.")</f>
        <v>104.09014307271761</v>
      </c>
      <c r="CW23" s="3383">
        <f ca="1">IF(ISNUMBER('Q1'!CZ286),'Q1'!CZ286,"n.a.")</f>
        <v>105.2156855940764</v>
      </c>
      <c r="CX23" s="3383">
        <f ca="1">IF(ISNUMBER('Q1'!DA286),'Q1'!DA286,"n.a.")</f>
        <v>105.53807790346448</v>
      </c>
      <c r="CY23" s="3383">
        <f ca="1">IF(ISNUMBER('Q1'!DB286),'Q1'!DB286,"n.a.")</f>
        <v>106.17489909035429</v>
      </c>
      <c r="CZ23" s="3383">
        <f ca="1">IF(ISNUMBER('Q1'!DC286),'Q1'!DC286,"n.a.")</f>
        <v>105.69078688616136</v>
      </c>
      <c r="DA23" s="3383">
        <f ca="1">IF(ISNUMBER('Q1'!DD286),'Q1'!DD286,"n.a.")</f>
        <v>106.93384899087832</v>
      </c>
      <c r="DB23" s="3383">
        <f ca="1">IF(ISNUMBER('Q1'!DE286),'Q1'!DE286,"n.a.")</f>
        <v>107.34984475454381</v>
      </c>
      <c r="DC23" s="3383">
        <f ca="1">IF(ISNUMBER('Q1'!DF286),'Q1'!DF286,"n.a.")</f>
        <v>107.95907369605281</v>
      </c>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row>
    <row r="24" spans="1:189">
      <c r="A24" s="3383" t="str">
        <f t="shared" si="1"/>
        <v>\\DG ECFIN\Forecast\Country databases\Desk transfer databases\SE</v>
      </c>
      <c r="B24" s="3383" t="str">
        <f t="shared" si="2"/>
        <v>SE</v>
      </c>
      <c r="C24" s="3383" t="s">
        <v>2268</v>
      </c>
      <c r="D24" s="3383" t="s">
        <v>2198</v>
      </c>
      <c r="E24" s="3383" t="s">
        <v>2292</v>
      </c>
      <c r="F24" s="3383">
        <v>167</v>
      </c>
      <c r="G24" s="3383" t="s">
        <v>998</v>
      </c>
      <c r="H24" s="3383">
        <f>IF(ISNUMBER('Q1'!K277),'Q1'!K277,"n.a.")</f>
        <v>102.74000000000001</v>
      </c>
      <c r="I24" s="3383">
        <f>IF(ISNUMBER('Q1'!L277),'Q1'!L277,"n.a.")</f>
        <v>103.94666666666666</v>
      </c>
      <c r="J24" s="3383">
        <f>IF(ISNUMBER('Q1'!M277),'Q1'!M277,"n.a.")</f>
        <v>101.95</v>
      </c>
      <c r="K24" s="3383">
        <f>IF(ISNUMBER('Q1'!N277),'Q1'!N277,"n.a.")</f>
        <v>103.44666666666667</v>
      </c>
      <c r="L24" s="3383">
        <f>IF(ISNUMBER('Q1'!O277),'Q1'!O277,"n.a.")</f>
        <v>101.04666666666667</v>
      </c>
      <c r="M24" s="3383">
        <f>IF(ISNUMBER('Q1'!P277),'Q1'!P277,"n.a.")</f>
        <v>102</v>
      </c>
      <c r="N24" s="3383">
        <f>IF(ISNUMBER('Q1'!Q277),'Q1'!Q277,"n.a.")</f>
        <v>100.88333333333333</v>
      </c>
      <c r="O24" s="3383">
        <f>IF(ISNUMBER('Q1'!R277),'Q1'!R277,"n.a.")</f>
        <v>103.04333333333334</v>
      </c>
      <c r="P24" s="3383">
        <f>IF(ISNUMBER('Q1'!S277),'Q1'!S277,"n.a.")</f>
        <v>100.18333333333334</v>
      </c>
      <c r="Q24" s="3383">
        <f>IF(ISNUMBER('Q1'!T277),'Q1'!T277,"n.a.")</f>
        <v>101.03333333333335</v>
      </c>
      <c r="R24" s="3383">
        <f>IF(ISNUMBER('Q1'!U277),'Q1'!U277,"n.a.")</f>
        <v>100.17333333333333</v>
      </c>
      <c r="S24" s="3383">
        <f>IF(ISNUMBER('Q1'!V277),'Q1'!V277,"n.a.")</f>
        <v>102.22000000000001</v>
      </c>
      <c r="T24" s="3383">
        <f>IF(ISNUMBER('Q1'!W277),'Q1'!W277,"n.a.")</f>
        <v>99.860000000000014</v>
      </c>
      <c r="U24" s="3383">
        <f>IF(ISNUMBER('Q1'!X277),'Q1'!X277,"n.a.")</f>
        <v>100.93333333333334</v>
      </c>
      <c r="V24" s="3383">
        <f>IF(ISNUMBER('Q1'!Y277),'Q1'!Y277,"n.a.")</f>
        <v>99.893333333333317</v>
      </c>
      <c r="W24" s="3383">
        <f>IF(ISNUMBER('Q1'!Z277),'Q1'!Z277,"n.a.")</f>
        <v>101.97333333333334</v>
      </c>
      <c r="X24" s="3383">
        <f>IF(ISNUMBER('Q1'!AA277),'Q1'!AA277,"n.a.")</f>
        <v>99.603333333333339</v>
      </c>
      <c r="Y24" s="3383">
        <f>IF(ISNUMBER('Q1'!AB277),'Q1'!AB277,"n.a.")</f>
        <v>100.95</v>
      </c>
      <c r="Z24" s="3383">
        <f>IF(ISNUMBER('Q1'!AC277),'Q1'!AC277,"n.a.")</f>
        <v>100.40666666666668</v>
      </c>
      <c r="AA24" s="3383">
        <f>IF(ISNUMBER('Q1'!AD277),'Q1'!AD277,"n.a.")</f>
        <v>102.06</v>
      </c>
      <c r="AB24" s="3383">
        <f>IF(ISNUMBER('Q1'!AE277),'Q1'!AE277,"n.a.")</f>
        <v>99.600000000000009</v>
      </c>
      <c r="AC24" s="3383">
        <f>IF(ISNUMBER('Q1'!AF277),'Q1'!AF277,"n.a.")</f>
        <v>101.66333333333334</v>
      </c>
      <c r="AD24" s="3383">
        <f>IF(ISNUMBER('Q1'!AG277),'Q1'!AG277,"n.a.")</f>
        <v>101.03333333333335</v>
      </c>
      <c r="AE24" s="3383">
        <f>IF(ISNUMBER('Q1'!AH277),'Q1'!AH277,"n.a.")</f>
        <v>103.93666666666667</v>
      </c>
      <c r="AF24" s="3383">
        <f>IF(ISNUMBER('Q1'!AI277),'Q1'!AI277,"n.a.")</f>
        <v>101.22666666666667</v>
      </c>
      <c r="AG24" s="3383">
        <f>IF(ISNUMBER('Q1'!AJ277),'Q1'!AJ277,"n.a.")</f>
        <v>102.61333333333334</v>
      </c>
      <c r="AH24" s="3383">
        <f>IF(ISNUMBER('Q1'!AK277),'Q1'!AK277,"n.a.")</f>
        <v>101.58666666666666</v>
      </c>
      <c r="AI24" s="3383">
        <f>IF(ISNUMBER('Q1'!AL277),'Q1'!AL277,"n.a.")</f>
        <v>104.06333333333333</v>
      </c>
      <c r="AJ24" s="3383">
        <f>IF(ISNUMBER('Q1'!AM277),'Q1'!AM277,"n.a.")</f>
        <v>101.68666666666667</v>
      </c>
      <c r="AK24" s="3383">
        <f>IF(ISNUMBER('Q1'!AN277),'Q1'!AN277,"n.a.")</f>
        <v>102.87666666666667</v>
      </c>
      <c r="AL24" s="3383">
        <f>IF(ISNUMBER('Q1'!AO277),'Q1'!AO277,"n.a.")</f>
        <v>101.39</v>
      </c>
      <c r="AM24" s="3383">
        <f>IF(ISNUMBER('Q1'!AP277),'Q1'!AP277,"n.a.")</f>
        <v>103.16333333333334</v>
      </c>
      <c r="AN24" s="3383">
        <f>IF(ISNUMBER('Q1'!AQ277),'Q1'!AQ277,"n.a.")</f>
        <v>100.33</v>
      </c>
      <c r="AO24" s="3383">
        <f>IF(ISNUMBER('Q1'!AR277),'Q1'!AR277,"n.a.")</f>
        <v>101.66666666666667</v>
      </c>
      <c r="AP24" s="3383">
        <f>IF(ISNUMBER('Q1'!AS277),'Q1'!AS277,"n.a.")</f>
        <v>99.96</v>
      </c>
      <c r="AQ24" s="3383">
        <f>IF(ISNUMBER('Q1'!AT277),'Q1'!AT277,"n.a.")</f>
        <v>102.35000000000001</v>
      </c>
      <c r="AR24" s="3383">
        <f>IF(ISNUMBER('Q1'!AU277),'Q1'!AU277,"n.a.")</f>
        <v>99.106666666666669</v>
      </c>
      <c r="AS24" s="3383">
        <f>IF(ISNUMBER('Q1'!AV277),'Q1'!AV277,"n.a.")</f>
        <v>99.893333333333331</v>
      </c>
      <c r="AT24" s="3383">
        <f>IF(ISNUMBER('Q1'!AW277),'Q1'!AW277,"n.a.")</f>
        <v>98.83</v>
      </c>
      <c r="AU24" s="3383">
        <f>IF(ISNUMBER('Q1'!AX277),'Q1'!AX277,"n.a.")</f>
        <v>101.17333333333333</v>
      </c>
      <c r="AV24" s="3383">
        <f>IF(ISNUMBER('Q1'!AY277),'Q1'!AY277,"n.a.")</f>
        <v>98.416666666666671</v>
      </c>
      <c r="AW24" s="3383">
        <f>IF(ISNUMBER('Q1'!AZ277),'Q1'!AZ277,"n.a.")</f>
        <v>99.783333333333346</v>
      </c>
      <c r="AX24" s="3383">
        <f>IF(ISNUMBER('Q1'!BA277),'Q1'!BA277,"n.a.")</f>
        <v>98.556666666666672</v>
      </c>
      <c r="AY24" s="3383">
        <f>IF(ISNUMBER('Q1'!BB277),'Q1'!BB277,"n.a.")</f>
        <v>100.74</v>
      </c>
      <c r="AZ24" s="3383">
        <f>IF(ISNUMBER('Q1'!BC277),'Q1'!BC277,"n.a.")</f>
        <v>98.71</v>
      </c>
      <c r="BA24" s="3383">
        <f>IF(ISNUMBER('Q1'!BD277),'Q1'!BD277,"n.a.")</f>
        <v>100.39999999999999</v>
      </c>
      <c r="BB24" s="3383">
        <f>IF(ISNUMBER('Q1'!BE277),'Q1'!BE277,"n.a.")</f>
        <v>99.04</v>
      </c>
      <c r="BC24" s="3383">
        <f>IF(ISNUMBER('Q1'!BF277),'Q1'!BF277,"n.a.")</f>
        <v>101.64666666666666</v>
      </c>
      <c r="BD24" s="3383">
        <f>IF(ISNUMBER('Q1'!BG277),'Q1'!BG277,"n.a.")</f>
        <v>98.956666666666663</v>
      </c>
      <c r="BE24" s="3383">
        <f>IF(ISNUMBER('Q1'!BH277),'Q1'!BH277,"n.a.")</f>
        <v>100.33666666666666</v>
      </c>
      <c r="BF24" s="3383">
        <f>IF(ISNUMBER('Q1'!BI277),'Q1'!BI277,"n.a.")</f>
        <v>99.160000000000011</v>
      </c>
      <c r="BG24" s="3383">
        <f>IF(ISNUMBER('Q1'!BJ277),'Q1'!BJ277,"n.a.")</f>
        <v>101.09666666666665</v>
      </c>
      <c r="BH24" s="3383">
        <f>IF(ISNUMBER('Q1'!BK277),'Q1'!BK277,"n.a.")</f>
        <v>99.483333333333334</v>
      </c>
      <c r="BI24" s="3383">
        <f>IF(ISNUMBER('Q1'!BL277),'Q1'!BL277,"n.a.")</f>
        <v>101.00999999999999</v>
      </c>
      <c r="BJ24" s="3383">
        <f>IF(ISNUMBER('Q1'!BM277),'Q1'!BM277,"n.a.")</f>
        <v>101.41333333333334</v>
      </c>
      <c r="BK24" s="3383">
        <f>IF(ISNUMBER('Q1'!BN277),'Q1'!BN277,"n.a.")</f>
        <v>103.70333333333333</v>
      </c>
      <c r="BL24" s="3383">
        <f>IF(ISNUMBER('Q1'!BO277),'Q1'!BO277,"n.a.")</f>
        <v>101.73666666666666</v>
      </c>
      <c r="BM24" s="3383">
        <f>IF(ISNUMBER('Q1'!BP277),'Q1'!BP277,"n.a.")</f>
        <v>102.57000000000001</v>
      </c>
      <c r="BN24" s="3383">
        <f>IF(ISNUMBER('Q1'!BQ277),'Q1'!BQ277,"n.a.")</f>
        <v>101.36333333333334</v>
      </c>
      <c r="BO24" s="3383">
        <f>IF(ISNUMBER('Q1'!BR277),'Q1'!BR277,"n.a.")</f>
        <v>103.57333333333334</v>
      </c>
      <c r="BP24" s="3383">
        <f>IF(ISNUMBER('Q1'!BS277),'Q1'!BS277,"n.a.")</f>
        <v>101.08666666666666</v>
      </c>
      <c r="BQ24" s="3383">
        <f>IF(ISNUMBER('Q1'!BT277),'Q1'!BT277,"n.a.")</f>
        <v>102.02999999999999</v>
      </c>
      <c r="BR24" s="3383">
        <f>IF(ISNUMBER('Q1'!BU277),'Q1'!BU277,"n.a.")</f>
        <v>101.18666666666667</v>
      </c>
      <c r="BS24" s="3383">
        <f>IF(ISNUMBER('Q1'!BV277),'Q1'!BV277,"n.a.")</f>
        <v>102.99333333333334</v>
      </c>
      <c r="BT24" s="3383">
        <f>IF(ISNUMBER('Q1'!BW277),'Q1'!BW277,"n.a.")</f>
        <v>99.98</v>
      </c>
      <c r="BU24" s="3383">
        <f>IF(ISNUMBER('Q1'!BX277),'Q1'!BX277,"n.a.")</f>
        <v>101.42666666666668</v>
      </c>
      <c r="BV24" s="3383">
        <f>IF(ISNUMBER('Q1'!BY277),'Q1'!BY277,"n.a.")</f>
        <v>100.14</v>
      </c>
      <c r="BW24" s="3383">
        <f>IF(ISNUMBER('Q1'!BZ277),'Q1'!BZ277,"n.a.")</f>
        <v>101.73666666666668</v>
      </c>
      <c r="BX24" s="3383">
        <f>IF(ISNUMBER('Q1'!CA277),'Q1'!CA277,"n.a.")</f>
        <v>99.336666666666659</v>
      </c>
      <c r="BY24" s="3383">
        <f>IF(ISNUMBER('Q1'!CB277),'Q1'!CB277,"n.a.")</f>
        <v>100.26333333333334</v>
      </c>
      <c r="BZ24" s="3383">
        <f>IF(ISNUMBER('Q1'!CC277),'Q1'!CC277,"n.a.")</f>
        <v>99.353333333333339</v>
      </c>
      <c r="CA24" s="3383">
        <f>IF(ISNUMBER('Q1'!CD277),'Q1'!CD277,"n.a.")</f>
        <v>101.22666666666665</v>
      </c>
      <c r="CB24" s="3383">
        <f>IF(ISNUMBER('Q1'!CE277),'Q1'!CE277,"n.a.")</f>
        <v>99.043333333333337</v>
      </c>
      <c r="CC24" s="3383">
        <f>IF(ISNUMBER('Q1'!CF277),'Q1'!CF277,"n.a.")</f>
        <v>99.956666666666663</v>
      </c>
      <c r="CD24" s="3383">
        <f>IF(ISNUMBER('Q1'!CG277),'Q1'!CG277,"n.a.")</f>
        <v>98.883333333333326</v>
      </c>
      <c r="CE24" s="3383">
        <f>IF(ISNUMBER('Q1'!CH277),'Q1'!CH277,"n.a.")</f>
        <v>100.74666666666667</v>
      </c>
      <c r="CF24" s="3383">
        <f>IF(ISNUMBER('Q1'!CI277),'Q1'!CI277,"n.a.")</f>
        <v>98.903333333333322</v>
      </c>
      <c r="CG24" s="3383">
        <f>IF(ISNUMBER('Q1'!CJ277),'Q1'!CJ277,"n.a.")</f>
        <v>99.733333333333334</v>
      </c>
      <c r="CH24" s="3383">
        <f>IF(ISNUMBER('Q1'!CK277),'Q1'!CK277,"n.a.")</f>
        <v>99.723333333333343</v>
      </c>
      <c r="CI24" s="3383">
        <f>IF(ISNUMBER('Q1'!CL277),'Q1'!CL277,"n.a.")</f>
        <v>101.64333333333333</v>
      </c>
      <c r="CJ24" s="3383">
        <f>IF(ISNUMBER('Q1'!CM277),'Q1'!CM277,"n.a.")</f>
        <v>100.10333333333331</v>
      </c>
      <c r="CK24" s="3383">
        <f>IF(ISNUMBER('Q1'!CN277),'Q1'!CN277,"n.a.")</f>
        <v>101.21666666666665</v>
      </c>
      <c r="CL24" s="3383">
        <f>IF(ISNUMBER('Q1'!CO277),'Q1'!CO277,"n.a.")</f>
        <v>100.72666666666667</v>
      </c>
      <c r="CM24" s="3383">
        <f>IF(ISNUMBER('Q1'!CP277),'Q1'!CP277,"n.a.")</f>
        <v>102.31</v>
      </c>
      <c r="CN24" s="3383">
        <f>IF(ISNUMBER('Q1'!CQ277),'Q1'!CQ277,"n.a.")</f>
        <v>100.48333333333333</v>
      </c>
      <c r="CO24" s="3383">
        <f>IF(ISNUMBER('Q1'!CR277),'Q1'!CR277,"n.a.")</f>
        <v>101.47666666666667</v>
      </c>
      <c r="CP24" s="3383">
        <f>IF(ISNUMBER('Q1'!CS277),'Q1'!CS277,"n.a.")</f>
        <v>100.69666666666666</v>
      </c>
      <c r="CQ24" s="3383">
        <f>IF(ISNUMBER('Q1'!CT277),'Q1'!CT277,"n.a.")</f>
        <v>102.10333333333334</v>
      </c>
      <c r="CR24" s="3383">
        <f>IF(ISNUMBER('Q1'!CU277),'Q1'!CU277,"n.a.")</f>
        <v>100.63</v>
      </c>
      <c r="CS24" s="3383">
        <f>IF(ISNUMBER('Q1'!CV277),'Q1'!CV277,"n.a.")</f>
        <v>101.57333333333334</v>
      </c>
      <c r="CT24" s="3383">
        <f>IF(ISNUMBER('Q1'!CW277),'Q1'!CW277,"n.a.")</f>
        <v>100.75999999999999</v>
      </c>
      <c r="CU24" s="3383">
        <f>IF(ISNUMBER('Q1'!CX277),'Q1'!CX277,"n.a.")</f>
        <v>102.40964333333332</v>
      </c>
      <c r="CV24" s="3383">
        <f>IF(ISNUMBER('Q1'!CY277),'Q1'!CY277,"n.a.")</f>
        <v>100.89163799999999</v>
      </c>
      <c r="CW24" s="3383">
        <f>IF(ISNUMBER('Q1'!CZ277),'Q1'!CZ277,"n.a.")</f>
        <v>101.78663733333333</v>
      </c>
      <c r="CX24" s="3383">
        <f>IF(ISNUMBER('Q1'!DA277),'Q1'!DA277,"n.a.")</f>
        <v>100.91114</v>
      </c>
      <c r="CY24" s="3383">
        <f>IF(ISNUMBER('Q1'!DB277),'Q1'!DB277,"n.a.")</f>
        <v>102.51205297666664</v>
      </c>
      <c r="CZ24" s="3383">
        <f>IF(ISNUMBER('Q1'!DC277),'Q1'!DC277,"n.a.")</f>
        <v>100.81092468959999</v>
      </c>
      <c r="DA24" s="3383">
        <f>IF(ISNUMBER('Q1'!DD277),'Q1'!DD277,"n.a.")</f>
        <v>101.89860263440001</v>
      </c>
      <c r="DB24" s="3383">
        <f>IF(ISNUMBER('Q1'!DE277),'Q1'!DE277,"n.a.")</f>
        <v>101.123053394</v>
      </c>
      <c r="DC24" s="3383">
        <f>IF(ISNUMBER('Q1'!DF277),'Q1'!DF277,"n.a.")</f>
        <v>102.66582105613165</v>
      </c>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row>
    <row r="25" spans="1:189">
      <c r="A25" s="3383" t="str">
        <f t="shared" si="1"/>
        <v>\\DG ECFIN\Forecast\Country databases\Desk transfer databases\SE</v>
      </c>
      <c r="B25" s="3383" t="str">
        <f t="shared" si="2"/>
        <v>SE</v>
      </c>
      <c r="C25" s="3383" t="s">
        <v>2268</v>
      </c>
      <c r="D25" s="3383" t="s">
        <v>2199</v>
      </c>
      <c r="E25" s="3383" t="s">
        <v>2292</v>
      </c>
      <c r="F25" s="3383">
        <v>168</v>
      </c>
      <c r="G25" s="3383" t="s">
        <v>999</v>
      </c>
      <c r="H25" s="3383">
        <f>IF(ISNUMBER('Q1'!K278),'Q1'!K278,"n.a.")</f>
        <v>56.18</v>
      </c>
      <c r="I25" s="3383">
        <f>IF(ISNUMBER('Q1'!L278),'Q1'!L278,"n.a.")</f>
        <v>57.243333333333339</v>
      </c>
      <c r="J25" s="3383">
        <f>IF(ISNUMBER('Q1'!M278),'Q1'!M278,"n.a.")</f>
        <v>57.640000000000008</v>
      </c>
      <c r="K25" s="3383">
        <f>IF(ISNUMBER('Q1'!N278),'Q1'!N278,"n.a.")</f>
        <v>58.963333333333331</v>
      </c>
      <c r="L25" s="3383">
        <f>IF(ISNUMBER('Q1'!O278),'Q1'!O278,"n.a.")</f>
        <v>59.49</v>
      </c>
      <c r="M25" s="3383">
        <f>IF(ISNUMBER('Q1'!P278),'Q1'!P278,"n.a.")</f>
        <v>59.49666666666667</v>
      </c>
      <c r="N25" s="3383">
        <f>IF(ISNUMBER('Q1'!Q278),'Q1'!Q278,"n.a.")</f>
        <v>61.316666666666663</v>
      </c>
      <c r="O25" s="3383">
        <f>IF(ISNUMBER('Q1'!R278),'Q1'!R278,"n.a.")</f>
        <v>60.836666666666673</v>
      </c>
      <c r="P25" s="3383">
        <f>IF(ISNUMBER('Q1'!S278),'Q1'!S278,"n.a.")</f>
        <v>60.826666666666661</v>
      </c>
      <c r="Q25" s="3383">
        <f>IF(ISNUMBER('Q1'!T278),'Q1'!T278,"n.a.")</f>
        <v>60.51</v>
      </c>
      <c r="R25" s="3383">
        <f>IF(ISNUMBER('Q1'!U278),'Q1'!U278,"n.a.")</f>
        <v>60.336666666666666</v>
      </c>
      <c r="S25" s="3383">
        <f>IF(ISNUMBER('Q1'!V278),'Q1'!V278,"n.a.")</f>
        <v>59.576666666666675</v>
      </c>
      <c r="T25" s="3383">
        <f>IF(ISNUMBER('Q1'!W278),'Q1'!W278,"n.a.")</f>
        <v>58.81</v>
      </c>
      <c r="U25" s="3383">
        <f>IF(ISNUMBER('Q1'!X278),'Q1'!X278,"n.a.")</f>
        <v>59.603333333333332</v>
      </c>
      <c r="V25" s="3383">
        <f>IF(ISNUMBER('Q1'!Y278),'Q1'!Y278,"n.a.")</f>
        <v>61.109999999999992</v>
      </c>
      <c r="W25" s="3383">
        <f>IF(ISNUMBER('Q1'!Z278),'Q1'!Z278,"n.a.")</f>
        <v>61.263333333333343</v>
      </c>
      <c r="X25" s="3383">
        <f>IF(ISNUMBER('Q1'!AA278),'Q1'!AA278,"n.a.")</f>
        <v>62.956666666666671</v>
      </c>
      <c r="Y25" s="3383">
        <f>IF(ISNUMBER('Q1'!AB278),'Q1'!AB278,"n.a.")</f>
        <v>63.71</v>
      </c>
      <c r="Z25" s="3383">
        <f>IF(ISNUMBER('Q1'!AC278),'Q1'!AC278,"n.a.")</f>
        <v>64.73</v>
      </c>
      <c r="AA25" s="3383">
        <f>IF(ISNUMBER('Q1'!AD278),'Q1'!AD278,"n.a.")</f>
        <v>64.99666666666667</v>
      </c>
      <c r="AB25" s="3383">
        <f>IF(ISNUMBER('Q1'!AE278),'Q1'!AE278,"n.a.")</f>
        <v>66.323333333333338</v>
      </c>
      <c r="AC25" s="3383">
        <f>IF(ISNUMBER('Q1'!AF278),'Q1'!AF278,"n.a.")</f>
        <v>69.883333333333326</v>
      </c>
      <c r="AD25" s="3383">
        <f>IF(ISNUMBER('Q1'!AG278),'Q1'!AG278,"n.a.")</f>
        <v>69.339999999999989</v>
      </c>
      <c r="AE25" s="3383">
        <f>IF(ISNUMBER('Q1'!AH278),'Q1'!AH278,"n.a.")</f>
        <v>67.056666666666672</v>
      </c>
      <c r="AF25" s="3383">
        <f>IF(ISNUMBER('Q1'!AI278),'Q1'!AI278,"n.a.")</f>
        <v>68.266666666666666</v>
      </c>
      <c r="AG25" s="3383">
        <f>IF(ISNUMBER('Q1'!AJ278),'Q1'!AJ278,"n.a.")</f>
        <v>69.646666666666661</v>
      </c>
      <c r="AH25" s="3383">
        <f>IF(ISNUMBER('Q1'!AK278),'Q1'!AK278,"n.a.")</f>
        <v>69.596666666666678</v>
      </c>
      <c r="AI25" s="3383">
        <f>IF(ISNUMBER('Q1'!AL278),'Q1'!AL278,"n.a.")</f>
        <v>69.876666666666665</v>
      </c>
      <c r="AJ25" s="3383">
        <f>IF(ISNUMBER('Q1'!AM278),'Q1'!AM278,"n.a.")</f>
        <v>78.47</v>
      </c>
      <c r="AK25" s="3383">
        <f>IF(ISNUMBER('Q1'!AN278),'Q1'!AN278,"n.a.")</f>
        <v>76.260000000000005</v>
      </c>
      <c r="AL25" s="3383">
        <f>IF(ISNUMBER('Q1'!AO278),'Q1'!AO278,"n.a.")</f>
        <v>76.38333333333334</v>
      </c>
      <c r="AM25" s="3383">
        <f>IF(ISNUMBER('Q1'!AP278),'Q1'!AP278,"n.a.")</f>
        <v>76.276666666666685</v>
      </c>
      <c r="AN25" s="3383">
        <f>IF(ISNUMBER('Q1'!AQ278),'Q1'!AQ278,"n.a.")</f>
        <v>78.306666666666672</v>
      </c>
      <c r="AO25" s="3383">
        <f>IF(ISNUMBER('Q1'!AR278),'Q1'!AR278,"n.a.")</f>
        <v>79.423333333333332</v>
      </c>
      <c r="AP25" s="3383">
        <f>IF(ISNUMBER('Q1'!AS278),'Q1'!AS278,"n.a.")</f>
        <v>80.11333333333333</v>
      </c>
      <c r="AQ25" s="3383">
        <f>IF(ISNUMBER('Q1'!AT278),'Q1'!AT278,"n.a.")</f>
        <v>79.58</v>
      </c>
      <c r="AR25" s="3383">
        <f>IF(ISNUMBER('Q1'!AU278),'Q1'!AU278,"n.a.")</f>
        <v>80.383333333333326</v>
      </c>
      <c r="AS25" s="3383">
        <f>IF(ISNUMBER('Q1'!AV278),'Q1'!AV278,"n.a.")</f>
        <v>82.59333333333332</v>
      </c>
      <c r="AT25" s="3383">
        <f>IF(ISNUMBER('Q1'!AW278),'Q1'!AW278,"n.a.")</f>
        <v>86.456666666666663</v>
      </c>
      <c r="AU25" s="3383">
        <f>IF(ISNUMBER('Q1'!AX278),'Q1'!AX278,"n.a.")</f>
        <v>85.626666666666665</v>
      </c>
      <c r="AV25" s="3383">
        <f>IF(ISNUMBER('Q1'!AY278),'Q1'!AY278,"n.a.")</f>
        <v>86.763333333333321</v>
      </c>
      <c r="AW25" s="3383">
        <f>IF(ISNUMBER('Q1'!AZ278),'Q1'!AZ278,"n.a.")</f>
        <v>90.48</v>
      </c>
      <c r="AX25" s="3383">
        <f>IF(ISNUMBER('Q1'!BA278),'Q1'!BA278,"n.a.")</f>
        <v>91.113333333333344</v>
      </c>
      <c r="AY25" s="3383">
        <f>IF(ISNUMBER('Q1'!BB278),'Q1'!BB278,"n.a.")</f>
        <v>89.889999999999986</v>
      </c>
      <c r="AZ25" s="3383">
        <f>IF(ISNUMBER('Q1'!BC278),'Q1'!BC278,"n.a.")</f>
        <v>89.373333333333335</v>
      </c>
      <c r="BA25" s="3383">
        <f>IF(ISNUMBER('Q1'!BD278),'Q1'!BD278,"n.a.")</f>
        <v>90.12</v>
      </c>
      <c r="BB25" s="3383">
        <f>IF(ISNUMBER('Q1'!BE278),'Q1'!BE278,"n.a.")</f>
        <v>88.983333333333334</v>
      </c>
      <c r="BC25" s="3383">
        <f>IF(ISNUMBER('Q1'!BF278),'Q1'!BF278,"n.a.")</f>
        <v>91.516666666666666</v>
      </c>
      <c r="BD25" s="3383">
        <f>IF(ISNUMBER('Q1'!BG278),'Q1'!BG278,"n.a.")</f>
        <v>95.52</v>
      </c>
      <c r="BE25" s="3383">
        <f>IF(ISNUMBER('Q1'!BH278),'Q1'!BH278,"n.a.")</f>
        <v>99.24666666666667</v>
      </c>
      <c r="BF25" s="3383">
        <f>IF(ISNUMBER('Q1'!BI278),'Q1'!BI278,"n.a.")</f>
        <v>102.85000000000001</v>
      </c>
      <c r="BG25" s="3383">
        <f>IF(ISNUMBER('Q1'!BJ278),'Q1'!BJ278,"n.a.")</f>
        <v>96.486666666666679</v>
      </c>
      <c r="BH25" s="3383">
        <f>IF(ISNUMBER('Q1'!BK278),'Q1'!BK278,"n.a.")</f>
        <v>96.226666666666674</v>
      </c>
      <c r="BI25" s="3383">
        <f>IF(ISNUMBER('Q1'!BL278),'Q1'!BL278,"n.a.")</f>
        <v>98.63</v>
      </c>
      <c r="BJ25" s="3383">
        <f>IF(ISNUMBER('Q1'!BM278),'Q1'!BM278,"n.a.")</f>
        <v>98.089999999999989</v>
      </c>
      <c r="BK25" s="3383">
        <f>IF(ISNUMBER('Q1'!BN278),'Q1'!BN278,"n.a.")</f>
        <v>97.86333333333333</v>
      </c>
      <c r="BL25" s="3383">
        <f>IF(ISNUMBER('Q1'!BO278),'Q1'!BO278,"n.a.")</f>
        <v>103.73666666666666</v>
      </c>
      <c r="BM25" s="3383">
        <f>IF(ISNUMBER('Q1'!BP278),'Q1'!BP278,"n.a.")</f>
        <v>102.37333333333333</v>
      </c>
      <c r="BN25" s="3383">
        <f>IF(ISNUMBER('Q1'!BQ278),'Q1'!BQ278,"n.a.")</f>
        <v>101.45</v>
      </c>
      <c r="BO25" s="3383">
        <f>IF(ISNUMBER('Q1'!BR278),'Q1'!BR278,"n.a.")</f>
        <v>104.68666666666667</v>
      </c>
      <c r="BP25" s="3383">
        <f>IF(ISNUMBER('Q1'!BS278),'Q1'!BS278,"n.a.")</f>
        <v>108.71333333333332</v>
      </c>
      <c r="BQ25" s="3383">
        <f>IF(ISNUMBER('Q1'!BT278),'Q1'!BT278,"n.a.")</f>
        <v>109.11</v>
      </c>
      <c r="BR25" s="3383">
        <f>IF(ISNUMBER('Q1'!BU278),'Q1'!BU278,"n.a.")</f>
        <v>107.27999999999999</v>
      </c>
      <c r="BS25" s="3383">
        <f>IF(ISNUMBER('Q1'!BV278),'Q1'!BV278,"n.a.")</f>
        <v>106.75999999999999</v>
      </c>
      <c r="BT25" s="3383">
        <f>IF(ISNUMBER('Q1'!BW278),'Q1'!BW278,"n.a.")</f>
        <v>110.33333333333333</v>
      </c>
      <c r="BU25" s="3383">
        <f>IF(ISNUMBER('Q1'!BX278),'Q1'!BX278,"n.a.")</f>
        <v>108.81666666666666</v>
      </c>
      <c r="BV25" s="3383">
        <f>IF(ISNUMBER('Q1'!BY278),'Q1'!BY278,"n.a.")</f>
        <v>107.64666666666666</v>
      </c>
      <c r="BW25" s="3383">
        <f>IF(ISNUMBER('Q1'!BZ278),'Q1'!BZ278,"n.a.")</f>
        <v>107.42333333333333</v>
      </c>
      <c r="BX25" s="3383">
        <f>IF(ISNUMBER('Q1'!CA278),'Q1'!CA278,"n.a.")</f>
        <v>108.37</v>
      </c>
      <c r="BY25" s="3383">
        <f>IF(ISNUMBER('Q1'!CB278),'Q1'!CB278,"n.a.")</f>
        <v>106.28666666666668</v>
      </c>
      <c r="BZ25" s="3383">
        <f>IF(ISNUMBER('Q1'!CC278),'Q1'!CC278,"n.a.")</f>
        <v>107.33666666666666</v>
      </c>
      <c r="CA25" s="3383">
        <f>IF(ISNUMBER('Q1'!CD278),'Q1'!CD278,"n.a.")</f>
        <v>106.35666666666667</v>
      </c>
      <c r="CB25" s="3383">
        <f>IF(ISNUMBER('Q1'!CE278),'Q1'!CE278,"n.a.")</f>
        <v>105.34333333333332</v>
      </c>
      <c r="CC25" s="3383">
        <f>IF(ISNUMBER('Q1'!CF278),'Q1'!CF278,"n.a.")</f>
        <v>105.81666666666668</v>
      </c>
      <c r="CD25" s="3383">
        <f>IF(ISNUMBER('Q1'!CG278),'Q1'!CG278,"n.a.")</f>
        <v>105.76666666666665</v>
      </c>
      <c r="CE25" s="3383">
        <f>IF(ISNUMBER('Q1'!CH278),'Q1'!CH278,"n.a.")</f>
        <v>102.64999999999999</v>
      </c>
      <c r="CF25" s="3383">
        <f>IF(ISNUMBER('Q1'!CI278),'Q1'!CI278,"n.a.")</f>
        <v>101.01666666666665</v>
      </c>
      <c r="CG25" s="3383">
        <f>IF(ISNUMBER('Q1'!CJ278),'Q1'!CJ278,"n.a.")</f>
        <v>101.78333333333335</v>
      </c>
      <c r="CH25" s="3383">
        <f>IF(ISNUMBER('Q1'!CK278),'Q1'!CK278,"n.a.")</f>
        <v>98.969999999999985</v>
      </c>
      <c r="CI25" s="3383">
        <f>IF(ISNUMBER('Q1'!CL278),'Q1'!CL278,"n.a.")</f>
        <v>98.236666666666665</v>
      </c>
      <c r="CJ25" s="3383">
        <f>IF(ISNUMBER('Q1'!CM278),'Q1'!CM278,"n.a.")</f>
        <v>98.88666666666667</v>
      </c>
      <c r="CK25" s="3383">
        <f>IF(ISNUMBER('Q1'!CN278),'Q1'!CN278,"n.a.")</f>
        <v>100.03333333333335</v>
      </c>
      <c r="CL25" s="3383">
        <f>IF(ISNUMBER('Q1'!CO278),'Q1'!CO278,"n.a.")</f>
        <v>100.66666666666667</v>
      </c>
      <c r="CM25" s="3383">
        <f>IF(ISNUMBER('Q1'!CP278),'Q1'!CP278,"n.a.")</f>
        <v>104.60000000000001</v>
      </c>
      <c r="CN25" s="3383">
        <f>IF(ISNUMBER('Q1'!CQ278),'Q1'!CQ278,"n.a.")</f>
        <v>106.75</v>
      </c>
      <c r="CO25" s="3383">
        <f>IF(ISNUMBER('Q1'!CR278),'Q1'!CR278,"n.a.")</f>
        <v>104.47333333333334</v>
      </c>
      <c r="CP25" s="3383">
        <f>IF(ISNUMBER('Q1'!CS278),'Q1'!CS278,"n.a.")</f>
        <v>106.20666666666666</v>
      </c>
      <c r="CQ25" s="3383">
        <f>IF(ISNUMBER('Q1'!CT278),'Q1'!CT278,"n.a.")</f>
        <v>108.18666666666665</v>
      </c>
      <c r="CR25" s="3383">
        <f>IF(ISNUMBER('Q1'!CU278),'Q1'!CU278,"n.a.")</f>
        <v>112.30666666666667</v>
      </c>
      <c r="CS25" s="3383">
        <f>IF(ISNUMBER('Q1'!CV278),'Q1'!CV278,"n.a.")</f>
        <v>114.29666666666667</v>
      </c>
      <c r="CT25" s="3383">
        <f>IF(ISNUMBER('Q1'!CW278),'Q1'!CW278,"n.a.")</f>
        <v>120.05333333333333</v>
      </c>
      <c r="CU25" s="3383">
        <f>IF(ISNUMBER('Q1'!CX278),'Q1'!CX278,"n.a.")</f>
        <v>120.62813333333332</v>
      </c>
      <c r="CV25" s="3383">
        <f>IF(ISNUMBER('Q1'!CY278),'Q1'!CY278,"n.a.")</f>
        <v>124.2851939930483</v>
      </c>
      <c r="CW25" s="3383">
        <f>IF(ISNUMBER('Q1'!CZ278),'Q1'!CZ278,"n.a.")</f>
        <v>122.01469855720779</v>
      </c>
      <c r="CX25" s="3383">
        <f>IF(ISNUMBER('Q1'!DA278),'Q1'!DA278,"n.a.")</f>
        <v>124.90015012757546</v>
      </c>
      <c r="CY25" s="3383">
        <f>IF(ISNUMBER('Q1'!DB278),'Q1'!DB278,"n.a.")</f>
        <v>123.27254080837595</v>
      </c>
      <c r="CZ25" s="3383">
        <f>IF(ISNUMBER('Q1'!DC278),'Q1'!DC278,"n.a.")</f>
        <v>125.33853157010736</v>
      </c>
      <c r="DA25" s="3383">
        <f>IF(ISNUMBER('Q1'!DD278),'Q1'!DD278,"n.a.")</f>
        <v>122.92080232978779</v>
      </c>
      <c r="DB25" s="3383">
        <f>IF(ISNUMBER('Q1'!DE278),'Q1'!DE278,"n.a.")</f>
        <v>126.21660953214413</v>
      </c>
      <c r="DC25" s="3383">
        <f>IF(ISNUMBER('Q1'!DF278),'Q1'!DF278,"n.a.")</f>
        <v>125.04635145838573</v>
      </c>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row>
    <row r="26" spans="1:189">
      <c r="A26" s="3383" t="str">
        <f t="shared" si="1"/>
        <v>\\DG ECFIN\Forecast\Country databases\Desk transfer databases\SE</v>
      </c>
      <c r="B26" s="3383" t="str">
        <f t="shared" si="2"/>
        <v>SE</v>
      </c>
      <c r="C26" s="3383" t="s">
        <v>2268</v>
      </c>
      <c r="D26" s="3383" t="s">
        <v>2200</v>
      </c>
      <c r="E26" s="3383" t="s">
        <v>2292</v>
      </c>
      <c r="F26" s="3383">
        <v>169</v>
      </c>
      <c r="G26" s="3383" t="s">
        <v>876</v>
      </c>
      <c r="H26" s="3383">
        <f>IF(ISNUMBER('Q1'!K280),'Q1'!K280,"n.a.")</f>
        <v>68.63</v>
      </c>
      <c r="I26" s="3383">
        <f>IF(ISNUMBER('Q1'!L280),'Q1'!L280,"n.a.")</f>
        <v>69.08</v>
      </c>
      <c r="J26" s="3383">
        <f>IF(ISNUMBER('Q1'!M280),'Q1'!M280,"n.a.")</f>
        <v>69.566666666666677</v>
      </c>
      <c r="K26" s="3383">
        <f>IF(ISNUMBER('Q1'!N280),'Q1'!N280,"n.a.")</f>
        <v>69.423333333333332</v>
      </c>
      <c r="L26" s="3383">
        <f>IF(ISNUMBER('Q1'!O280),'Q1'!O280,"n.a.")</f>
        <v>69.97</v>
      </c>
      <c r="M26" s="3383">
        <f>IF(ISNUMBER('Q1'!P280),'Q1'!P280,"n.a.")</f>
        <v>71.623333333333335</v>
      </c>
      <c r="N26" s="3383">
        <f>IF(ISNUMBER('Q1'!Q280),'Q1'!Q280,"n.a.")</f>
        <v>73.12</v>
      </c>
      <c r="O26" s="3383">
        <f>IF(ISNUMBER('Q1'!R280),'Q1'!R280,"n.a.")</f>
        <v>74.706666666666663</v>
      </c>
      <c r="P26" s="3383">
        <f>IF(ISNUMBER('Q1'!S280),'Q1'!S280,"n.a.")</f>
        <v>75.073333333333338</v>
      </c>
      <c r="Q26" s="3383">
        <f>IF(ISNUMBER('Q1'!T280),'Q1'!T280,"n.a.")</f>
        <v>75.47</v>
      </c>
      <c r="R26" s="3383">
        <f>IF(ISNUMBER('Q1'!U280),'Q1'!U280,"n.a.")</f>
        <v>74.190000000000012</v>
      </c>
      <c r="S26" s="3383">
        <f>IF(ISNUMBER('Q1'!V280),'Q1'!V280,"n.a.")</f>
        <v>73.346666666666678</v>
      </c>
      <c r="T26" s="3383">
        <f>IF(ISNUMBER('Q1'!W280),'Q1'!W280,"n.a.")</f>
        <v>73.760000000000005</v>
      </c>
      <c r="U26" s="3383">
        <f>IF(ISNUMBER('Q1'!X280),'Q1'!X280,"n.a.")</f>
        <v>73.933333333333337</v>
      </c>
      <c r="V26" s="3383">
        <f>IF(ISNUMBER('Q1'!Y280),'Q1'!Y280,"n.a.")</f>
        <v>74.206666666666663</v>
      </c>
      <c r="W26" s="3383">
        <f>IF(ISNUMBER('Q1'!Z280),'Q1'!Z280,"n.a.")</f>
        <v>74.226666666666674</v>
      </c>
      <c r="X26" s="3383">
        <f>IF(ISNUMBER('Q1'!AA280),'Q1'!AA280,"n.a.")</f>
        <v>74.533333333333346</v>
      </c>
      <c r="Y26" s="3383">
        <f>IF(ISNUMBER('Q1'!AB280),'Q1'!AB280,"n.a.")</f>
        <v>74.75</v>
      </c>
      <c r="Z26" s="3383">
        <f>IF(ISNUMBER('Q1'!AC280),'Q1'!AC280,"n.a.")</f>
        <v>75.13666666666667</v>
      </c>
      <c r="AA26" s="3383">
        <f>IF(ISNUMBER('Q1'!AD280),'Q1'!AD280,"n.a.")</f>
        <v>75.13666666666667</v>
      </c>
      <c r="AB26" s="3383">
        <f>IF(ISNUMBER('Q1'!AE280),'Q1'!AE280,"n.a.")</f>
        <v>75.143333333333331</v>
      </c>
      <c r="AC26" s="3383">
        <f>IF(ISNUMBER('Q1'!AF280),'Q1'!AF280,"n.a.")</f>
        <v>75.233333333333334</v>
      </c>
      <c r="AD26" s="3383">
        <f>IF(ISNUMBER('Q1'!AG280),'Q1'!AG280,"n.a.")</f>
        <v>75.916666666666671</v>
      </c>
      <c r="AE26" s="3383">
        <f>IF(ISNUMBER('Q1'!AH280),'Q1'!AH280,"n.a.")</f>
        <v>76.25333333333333</v>
      </c>
      <c r="AF26" s="3383">
        <f>IF(ISNUMBER('Q1'!AI280),'Q1'!AI280,"n.a.")</f>
        <v>76.493333333333339</v>
      </c>
      <c r="AG26" s="3383">
        <f>IF(ISNUMBER('Q1'!AJ280),'Q1'!AJ280,"n.a.")</f>
        <v>77.183333333333323</v>
      </c>
      <c r="AH26" s="3383">
        <f>IF(ISNUMBER('Q1'!AK280),'Q1'!AK280,"n.a.")</f>
        <v>77.526666666666671</v>
      </c>
      <c r="AI26" s="3383">
        <f>IF(ISNUMBER('Q1'!AL280),'Q1'!AL280,"n.a.")</f>
        <v>77.516666666666666</v>
      </c>
      <c r="AJ26" s="3383">
        <f>IF(ISNUMBER('Q1'!AM280),'Q1'!AM280,"n.a.")</f>
        <v>77.8</v>
      </c>
      <c r="AK26" s="3383">
        <f>IF(ISNUMBER('Q1'!AN280),'Q1'!AN280,"n.a.")</f>
        <v>78.133333333333326</v>
      </c>
      <c r="AL26" s="3383">
        <f>IF(ISNUMBER('Q1'!AO280),'Q1'!AO280,"n.a.")</f>
        <v>78.47</v>
      </c>
      <c r="AM26" s="3383">
        <f>IF(ISNUMBER('Q1'!AP280),'Q1'!AP280,"n.a.")</f>
        <v>78.42</v>
      </c>
      <c r="AN26" s="3383">
        <f>IF(ISNUMBER('Q1'!AQ280),'Q1'!AQ280,"n.a.")</f>
        <v>78.513333333333335</v>
      </c>
      <c r="AO26" s="3383">
        <f>IF(ISNUMBER('Q1'!AR280),'Q1'!AR280,"n.a.")</f>
        <v>78.52</v>
      </c>
      <c r="AP26" s="3383">
        <f>IF(ISNUMBER('Q1'!AS280),'Q1'!AS280,"n.a.")</f>
        <v>78.55</v>
      </c>
      <c r="AQ26" s="3383">
        <f>IF(ISNUMBER('Q1'!AT280),'Q1'!AT280,"n.a.")</f>
        <v>78.213333333333324</v>
      </c>
      <c r="AR26" s="3383">
        <f>IF(ISNUMBER('Q1'!AU280),'Q1'!AU280,"n.a.")</f>
        <v>78.11999999999999</v>
      </c>
      <c r="AS26" s="3383">
        <f>IF(ISNUMBER('Q1'!AV280),'Q1'!AV280,"n.a.")</f>
        <v>77.783333333333346</v>
      </c>
      <c r="AT26" s="3383">
        <f>IF(ISNUMBER('Q1'!AW280),'Q1'!AW280,"n.a.")</f>
        <v>77.89</v>
      </c>
      <c r="AU26" s="3383">
        <f>IF(ISNUMBER('Q1'!AX280),'Q1'!AX280,"n.a.")</f>
        <v>77.690000000000012</v>
      </c>
      <c r="AV26" s="3383">
        <f>IF(ISNUMBER('Q1'!AY280),'Q1'!AY280,"n.a.")</f>
        <v>77.753333333333345</v>
      </c>
      <c r="AW26" s="3383">
        <f>IF(ISNUMBER('Q1'!AZ280),'Q1'!AZ280,"n.a.")</f>
        <v>77.806666666666672</v>
      </c>
      <c r="AX26" s="3383">
        <f>IF(ISNUMBER('Q1'!BA280),'Q1'!BA280,"n.a.")</f>
        <v>78.063333333333333</v>
      </c>
      <c r="AY26" s="3383">
        <f>IF(ISNUMBER('Q1'!BB280),'Q1'!BB280,"n.a.")</f>
        <v>78.323333333333338</v>
      </c>
      <c r="AZ26" s="3383">
        <f>IF(ISNUMBER('Q1'!BC280),'Q1'!BC280,"n.a.")</f>
        <v>79.973333333333315</v>
      </c>
      <c r="BA26" s="3383">
        <f>IF(ISNUMBER('Q1'!BD280),'Q1'!BD280,"n.a.")</f>
        <v>80.42</v>
      </c>
      <c r="BB26" s="3383">
        <f>IF(ISNUMBER('Q1'!BE280),'Q1'!BE280,"n.a.")</f>
        <v>80.840000000000018</v>
      </c>
      <c r="BC26" s="3383">
        <f>IF(ISNUMBER('Q1'!BF280),'Q1'!BF280,"n.a.")</f>
        <v>82.286666666666676</v>
      </c>
      <c r="BD26" s="3383">
        <f>IF(ISNUMBER('Q1'!BG280),'Q1'!BG280,"n.a.")</f>
        <v>85.643333333333331</v>
      </c>
      <c r="BE26" s="3383">
        <f>IF(ISNUMBER('Q1'!BH280),'Q1'!BH280,"n.a.")</f>
        <v>86.883333333333326</v>
      </c>
      <c r="BF26" s="3383">
        <f>IF(ISNUMBER('Q1'!BI280),'Q1'!BI280,"n.a.")</f>
        <v>87.61333333333333</v>
      </c>
      <c r="BG26" s="3383">
        <f>IF(ISNUMBER('Q1'!BJ280),'Q1'!BJ280,"n.a.")</f>
        <v>87.966666666666654</v>
      </c>
      <c r="BH26" s="3383">
        <f>IF(ISNUMBER('Q1'!BK280),'Q1'!BK280,"n.a.")</f>
        <v>88.36</v>
      </c>
      <c r="BI26" s="3383">
        <f>IF(ISNUMBER('Q1'!BL280),'Q1'!BL280,"n.a.")</f>
        <v>89.046666666666667</v>
      </c>
      <c r="BJ26" s="3383">
        <f>IF(ISNUMBER('Q1'!BM280),'Q1'!BM280,"n.a.")</f>
        <v>89.850000000000009</v>
      </c>
      <c r="BK26" s="3383">
        <f>IF(ISNUMBER('Q1'!BN280),'Q1'!BN280,"n.a.")</f>
        <v>90.29</v>
      </c>
      <c r="BL26" s="3383">
        <f>IF(ISNUMBER('Q1'!BO280),'Q1'!BO280,"n.a.")</f>
        <v>90.313333333333333</v>
      </c>
      <c r="BM26" s="3383">
        <f>IF(ISNUMBER('Q1'!BP280),'Q1'!BP280,"n.a.")</f>
        <v>90.63</v>
      </c>
      <c r="BN26" s="3383">
        <f>IF(ISNUMBER('Q1'!BQ280),'Q1'!BQ280,"n.a.")</f>
        <v>91.126666666666665</v>
      </c>
      <c r="BO26" s="3383">
        <f>IF(ISNUMBER('Q1'!BR280),'Q1'!BR280,"n.a.")</f>
        <v>91.883333333333326</v>
      </c>
      <c r="BP26" s="3383">
        <f>IF(ISNUMBER('Q1'!BS280),'Q1'!BS280,"n.a.")</f>
        <v>92.616666666666674</v>
      </c>
      <c r="BQ26" s="3383">
        <f>IF(ISNUMBER('Q1'!BT280),'Q1'!BT280,"n.a.")</f>
        <v>93.273333333333326</v>
      </c>
      <c r="BR26" s="3383">
        <f>IF(ISNUMBER('Q1'!BU280),'Q1'!BU280,"n.a.")</f>
        <v>93.973333333333315</v>
      </c>
      <c r="BS26" s="3383">
        <f>IF(ISNUMBER('Q1'!BV280),'Q1'!BV280,"n.a.")</f>
        <v>94</v>
      </c>
      <c r="BT26" s="3383">
        <f>IF(ISNUMBER('Q1'!BW280),'Q1'!BW280,"n.a.")</f>
        <v>95.266666666666666</v>
      </c>
      <c r="BU26" s="3383">
        <f>IF(ISNUMBER('Q1'!BX280),'Q1'!BX280,"n.a.")</f>
        <v>95.686666666666667</v>
      </c>
      <c r="BV26" s="3383">
        <f>IF(ISNUMBER('Q1'!BY280),'Q1'!BY280,"n.a.")</f>
        <v>95.969999999999985</v>
      </c>
      <c r="BW26" s="3383">
        <f>IF(ISNUMBER('Q1'!BZ280),'Q1'!BZ280,"n.a.")</f>
        <v>95.83</v>
      </c>
      <c r="BX26" s="3383">
        <f>IF(ISNUMBER('Q1'!CA280),'Q1'!CA280,"n.a.")</f>
        <v>96.616666666666674</v>
      </c>
      <c r="BY26" s="3383">
        <f>IF(ISNUMBER('Q1'!CB280),'Q1'!CB280,"n.a.")</f>
        <v>96.756666666666661</v>
      </c>
      <c r="BZ26" s="3383">
        <f>IF(ISNUMBER('Q1'!CC280),'Q1'!CC280,"n.a.")</f>
        <v>97.25</v>
      </c>
      <c r="CA26" s="3383">
        <f>IF(ISNUMBER('Q1'!CD280),'Q1'!CD280,"n.a.")</f>
        <v>97.186666666666667</v>
      </c>
      <c r="CB26" s="3383">
        <f>IF(ISNUMBER('Q1'!CE280),'Q1'!CE280,"n.a.")</f>
        <v>97.469999999999985</v>
      </c>
      <c r="CC26" s="3383">
        <f>IF(ISNUMBER('Q1'!CF280),'Q1'!CF280,"n.a.")</f>
        <v>97.616666666666674</v>
      </c>
      <c r="CD26" s="3383">
        <f>IF(ISNUMBER('Q1'!CG280),'Q1'!CG280,"n.a.")</f>
        <v>98.410000000000011</v>
      </c>
      <c r="CE26" s="3383">
        <f>IF(ISNUMBER('Q1'!CH280),'Q1'!CH280,"n.a.")</f>
        <v>98.346666666666678</v>
      </c>
      <c r="CF26" s="3383">
        <f>IF(ISNUMBER('Q1'!CI280),'Q1'!CI280,"n.a.")</f>
        <v>99.433333333333323</v>
      </c>
      <c r="CG26" s="3383">
        <f>IF(ISNUMBER('Q1'!CJ280),'Q1'!CJ280,"n.a.")</f>
        <v>99.98</v>
      </c>
      <c r="CH26" s="3383">
        <f>IF(ISNUMBER('Q1'!CK280),'Q1'!CK280,"n.a.")</f>
        <v>100.34666666666668</v>
      </c>
      <c r="CI26" s="3383">
        <f>IF(ISNUMBER('Q1'!CL280),'Q1'!CL280,"n.a.")</f>
        <v>100.24333333333333</v>
      </c>
      <c r="CJ26" s="3383">
        <f>IF(ISNUMBER('Q1'!CM280),'Q1'!CM280,"n.a.")</f>
        <v>100.32333333333334</v>
      </c>
      <c r="CK26" s="3383">
        <f>IF(ISNUMBER('Q1'!CN280),'Q1'!CN280,"n.a.")</f>
        <v>100.39999999999999</v>
      </c>
      <c r="CL26" s="3383">
        <f>IF(ISNUMBER('Q1'!CO280),'Q1'!CO280,"n.a.")</f>
        <v>100.60666666666667</v>
      </c>
      <c r="CM26" s="3383">
        <f>IF(ISNUMBER('Q1'!CP280),'Q1'!CP280,"n.a.")</f>
        <v>100.70333333333333</v>
      </c>
      <c r="CN26" s="3383">
        <f>IF(ISNUMBER('Q1'!CQ280),'Q1'!CQ280,"n.a.")</f>
        <v>101.57333333333334</v>
      </c>
      <c r="CO26" s="3383">
        <f>IF(ISNUMBER('Q1'!CR280),'Q1'!CR280,"n.a.")</f>
        <v>102.26</v>
      </c>
      <c r="CP26" s="3383">
        <f>IF(ISNUMBER('Q1'!CS280),'Q1'!CS280,"n.a.")</f>
        <v>103.01333333333334</v>
      </c>
      <c r="CQ26" s="3383">
        <f>IF(ISNUMBER('Q1'!CT280),'Q1'!CT280,"n.a.")</f>
        <v>103.53000000000002</v>
      </c>
      <c r="CR26" s="3383">
        <f>IF(ISNUMBER('Q1'!CU280),'Q1'!CU280,"n.a.")</f>
        <v>103.95333333333333</v>
      </c>
      <c r="CS26" s="3383">
        <f>IF(ISNUMBER('Q1'!CV280),'Q1'!CV280,"n.a.")</f>
        <v>104.12</v>
      </c>
      <c r="CT26" s="3383">
        <f>IF(ISNUMBER('Q1'!CW280),'Q1'!CW280,"n.a.")</f>
        <v>104.54</v>
      </c>
      <c r="CU26" s="3383">
        <f>IF(ISNUMBER('Q1'!CX280),'Q1'!CX280,"n.a.")</f>
        <v>105.54883500000003</v>
      </c>
      <c r="CV26" s="3383">
        <f>IF(ISNUMBER('Q1'!CY280),'Q1'!CY280,"n.a.")</f>
        <v>105.87647</v>
      </c>
      <c r="CW26" s="3383">
        <f>IF(ISNUMBER('Q1'!CZ280),'Q1'!CZ280,"n.a.")</f>
        <v>106.31693199999999</v>
      </c>
      <c r="CX26" s="3383">
        <f>IF(ISNUMBER('Q1'!DA280),'Q1'!DA280,"n.a.")</f>
        <v>106.81897200000002</v>
      </c>
      <c r="CY26" s="3383">
        <f>IF(ISNUMBER('Q1'!DB280),'Q1'!DB280,"n.a.")</f>
        <v>107.90257402050003</v>
      </c>
      <c r="CZ26" s="3383">
        <f>IF(ISNUMBER('Q1'!DC280),'Q1'!DC280,"n.a.")</f>
        <v>108.152814105</v>
      </c>
      <c r="DA26" s="3383">
        <f>IF(ISNUMBER('Q1'!DD280),'Q1'!DD280,"n.a.")</f>
        <v>108.60274603800001</v>
      </c>
      <c r="DB26" s="3383">
        <f>IF(ISNUMBER('Q1'!DE280),'Q1'!DE280,"n.a.")</f>
        <v>108.97671523440002</v>
      </c>
      <c r="DC26" s="3383">
        <f>IF(ISNUMBER('Q1'!DF280),'Q1'!DF280,"n.a.")</f>
        <v>110.04983524350799</v>
      </c>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row>
    <row r="27" spans="1:189">
      <c r="A27" s="3383" t="str">
        <f t="shared" si="1"/>
        <v>\\DG ECFIN\Forecast\Country databases\Desk transfer databases\SE</v>
      </c>
      <c r="B27" s="3383" t="str">
        <f t="shared" si="2"/>
        <v>SE</v>
      </c>
      <c r="C27" s="3383" t="s">
        <v>2268</v>
      </c>
      <c r="D27" s="3383" t="s">
        <v>2201</v>
      </c>
      <c r="E27" s="3383" t="s">
        <v>2292</v>
      </c>
      <c r="F27" s="3383">
        <v>170</v>
      </c>
      <c r="G27" s="3383" t="s">
        <v>877</v>
      </c>
      <c r="H27" s="3383">
        <f>IF(ISNUMBER('Q1'!K279),'Q1'!K279,"n.a.")</f>
        <v>70.566666666666677</v>
      </c>
      <c r="I27" s="3383">
        <f>IF(ISNUMBER('Q1'!L279),'Q1'!L279,"n.a.")</f>
        <v>72.100000000000009</v>
      </c>
      <c r="J27" s="3383">
        <f>IF(ISNUMBER('Q1'!M279),'Q1'!M279,"n.a.")</f>
        <v>71.00333333333333</v>
      </c>
      <c r="K27" s="3383">
        <f>IF(ISNUMBER('Q1'!N279),'Q1'!N279,"n.a.")</f>
        <v>67.106666666666669</v>
      </c>
      <c r="L27" s="3383">
        <f>IF(ISNUMBER('Q1'!O279),'Q1'!O279,"n.a.")</f>
        <v>68.823333333333323</v>
      </c>
      <c r="M27" s="3383">
        <f>IF(ISNUMBER('Q1'!P279),'Q1'!P279,"n.a.")</f>
        <v>70.790000000000006</v>
      </c>
      <c r="N27" s="3383">
        <f>IF(ISNUMBER('Q1'!Q279),'Q1'!Q279,"n.a.")</f>
        <v>70.933333333333337</v>
      </c>
      <c r="O27" s="3383">
        <f>IF(ISNUMBER('Q1'!R279),'Q1'!R279,"n.a.")</f>
        <v>68.903333333333322</v>
      </c>
      <c r="P27" s="3383">
        <f>IF(ISNUMBER('Q1'!S279),'Q1'!S279,"n.a.")</f>
        <v>69.546666666666667</v>
      </c>
      <c r="Q27" s="3383">
        <f>IF(ISNUMBER('Q1'!T279),'Q1'!T279,"n.a.")</f>
        <v>71.56</v>
      </c>
      <c r="R27" s="3383">
        <f>IF(ISNUMBER('Q1'!U279),'Q1'!U279,"n.a.")</f>
        <v>71.58</v>
      </c>
      <c r="S27" s="3383">
        <f>IF(ISNUMBER('Q1'!V279),'Q1'!V279,"n.a.")</f>
        <v>70.413333333333341</v>
      </c>
      <c r="T27" s="3383">
        <f>IF(ISNUMBER('Q1'!W279),'Q1'!W279,"n.a.")</f>
        <v>72.63333333333334</v>
      </c>
      <c r="U27" s="3383">
        <f>IF(ISNUMBER('Q1'!X279),'Q1'!X279,"n.a.")</f>
        <v>73.529999999999987</v>
      </c>
      <c r="V27" s="3383">
        <f>IF(ISNUMBER('Q1'!Y279),'Q1'!Y279,"n.a.")</f>
        <v>71.486666666666665</v>
      </c>
      <c r="W27" s="3383">
        <f>IF(ISNUMBER('Q1'!Z279),'Q1'!Z279,"n.a.")</f>
        <v>71.2</v>
      </c>
      <c r="X27" s="3383">
        <f>IF(ISNUMBER('Q1'!AA279),'Q1'!AA279,"n.a.")</f>
        <v>71.916666666666671</v>
      </c>
      <c r="Y27" s="3383">
        <f>IF(ISNUMBER('Q1'!AB279),'Q1'!AB279,"n.a.")</f>
        <v>72.913333333333341</v>
      </c>
      <c r="Z27" s="3383">
        <f>IF(ISNUMBER('Q1'!AC279),'Q1'!AC279,"n.a.")</f>
        <v>71.983333333333334</v>
      </c>
      <c r="AA27" s="3383">
        <f>IF(ISNUMBER('Q1'!AD279),'Q1'!AD279,"n.a.")</f>
        <v>71.513333333333321</v>
      </c>
      <c r="AB27" s="3383">
        <f>IF(ISNUMBER('Q1'!AE279),'Q1'!AE279,"n.a.")</f>
        <v>73.356666666666669</v>
      </c>
      <c r="AC27" s="3383">
        <f>IF(ISNUMBER('Q1'!AF279),'Q1'!AF279,"n.a.")</f>
        <v>78.483333333333334</v>
      </c>
      <c r="AD27" s="3383">
        <f>IF(ISNUMBER('Q1'!AG279),'Q1'!AG279,"n.a.")</f>
        <v>77.806666666666672</v>
      </c>
      <c r="AE27" s="3383">
        <f>IF(ISNUMBER('Q1'!AH279),'Q1'!AH279,"n.a.")</f>
        <v>78.206666666666663</v>
      </c>
      <c r="AF27" s="3383">
        <f>IF(ISNUMBER('Q1'!AI279),'Q1'!AI279,"n.a.")</f>
        <v>82.503333333333345</v>
      </c>
      <c r="AG27" s="3383">
        <f>IF(ISNUMBER('Q1'!AJ279),'Q1'!AJ279,"n.a.")</f>
        <v>81.093333333333348</v>
      </c>
      <c r="AH27" s="3383">
        <f>IF(ISNUMBER('Q1'!AK279),'Q1'!AK279,"n.a.")</f>
        <v>80.043333333333337</v>
      </c>
      <c r="AI27" s="3383">
        <f>IF(ISNUMBER('Q1'!AL279),'Q1'!AL279,"n.a.")</f>
        <v>78.176666666666662</v>
      </c>
      <c r="AJ27" s="3383">
        <f>IF(ISNUMBER('Q1'!AM279),'Q1'!AM279,"n.a.")</f>
        <v>80.466666666666654</v>
      </c>
      <c r="AK27" s="3383">
        <f>IF(ISNUMBER('Q1'!AN279),'Q1'!AN279,"n.a.")</f>
        <v>80.176666666666662</v>
      </c>
      <c r="AL27" s="3383">
        <f>IF(ISNUMBER('Q1'!AO279),'Q1'!AO279,"n.a.")</f>
        <v>80.850000000000009</v>
      </c>
      <c r="AM27" s="3383">
        <f>IF(ISNUMBER('Q1'!AP279),'Q1'!AP279,"n.a.")</f>
        <v>79.596666666666678</v>
      </c>
      <c r="AN27" s="3383">
        <f>IF(ISNUMBER('Q1'!AQ279),'Q1'!AQ279,"n.a.")</f>
        <v>80.443333333333342</v>
      </c>
      <c r="AO27" s="3383">
        <f>IF(ISNUMBER('Q1'!AR279),'Q1'!AR279,"n.a.")</f>
        <v>80.570000000000007</v>
      </c>
      <c r="AP27" s="3383">
        <f>IF(ISNUMBER('Q1'!AS279),'Q1'!AS279,"n.a.")</f>
        <v>79.713333333333324</v>
      </c>
      <c r="AQ27" s="3383">
        <f>IF(ISNUMBER('Q1'!AT279),'Q1'!AT279,"n.a.")</f>
        <v>78.53</v>
      </c>
      <c r="AR27" s="3383">
        <f>IF(ISNUMBER('Q1'!AU279),'Q1'!AU279,"n.a.")</f>
        <v>80.75</v>
      </c>
      <c r="AS27" s="3383">
        <f>IF(ISNUMBER('Q1'!AV279),'Q1'!AV279,"n.a.")</f>
        <v>80.95</v>
      </c>
      <c r="AT27" s="3383">
        <f>IF(ISNUMBER('Q1'!AW279),'Q1'!AW279,"n.a.")</f>
        <v>79.296666666666667</v>
      </c>
      <c r="AU27" s="3383">
        <f>IF(ISNUMBER('Q1'!AX279),'Q1'!AX279,"n.a.")</f>
        <v>78.913333333333341</v>
      </c>
      <c r="AV27" s="3383">
        <f>IF(ISNUMBER('Q1'!AY279),'Q1'!AY279,"n.a.")</f>
        <v>80.823333333333338</v>
      </c>
      <c r="AW27" s="3383">
        <f>IF(ISNUMBER('Q1'!AZ279),'Q1'!AZ279,"n.a.")</f>
        <v>82.516666666666666</v>
      </c>
      <c r="AX27" s="3383">
        <f>IF(ISNUMBER('Q1'!BA279),'Q1'!BA279,"n.a.")</f>
        <v>82.93</v>
      </c>
      <c r="AY27" s="3383">
        <f>IF(ISNUMBER('Q1'!BB279),'Q1'!BB279,"n.a.")</f>
        <v>81.876666666666665</v>
      </c>
      <c r="AZ27" s="3383">
        <f>IF(ISNUMBER('Q1'!BC279),'Q1'!BC279,"n.a.")</f>
        <v>83.153333333333322</v>
      </c>
      <c r="BA27" s="3383">
        <f>IF(ISNUMBER('Q1'!BD279),'Q1'!BD279,"n.a.")</f>
        <v>83.596666666666664</v>
      </c>
      <c r="BB27" s="3383">
        <f>IF(ISNUMBER('Q1'!BE279),'Q1'!BE279,"n.a.")</f>
        <v>83.600000000000009</v>
      </c>
      <c r="BC27" s="3383">
        <f>IF(ISNUMBER('Q1'!BF279),'Q1'!BF279,"n.a.")</f>
        <v>84.969999999999985</v>
      </c>
      <c r="BD27" s="3383">
        <f>IF(ISNUMBER('Q1'!BG279),'Q1'!BG279,"n.a.")</f>
        <v>87.476666666666674</v>
      </c>
      <c r="BE27" s="3383">
        <f>IF(ISNUMBER('Q1'!BH279),'Q1'!BH279,"n.a.")</f>
        <v>89.453333333333333</v>
      </c>
      <c r="BF27" s="3383">
        <f>IF(ISNUMBER('Q1'!BI279),'Q1'!BI279,"n.a.")</f>
        <v>89.509999999999991</v>
      </c>
      <c r="BG27" s="3383">
        <f>IF(ISNUMBER('Q1'!BJ279),'Q1'!BJ279,"n.a.")</f>
        <v>90.58</v>
      </c>
      <c r="BH27" s="3383">
        <f>IF(ISNUMBER('Q1'!BK279),'Q1'!BK279,"n.a.")</f>
        <v>93.96</v>
      </c>
      <c r="BI27" s="3383">
        <f>IF(ISNUMBER('Q1'!BL279),'Q1'!BL279,"n.a.")</f>
        <v>93.103333333333339</v>
      </c>
      <c r="BJ27" s="3383">
        <f>IF(ISNUMBER('Q1'!BM279),'Q1'!BM279,"n.a.")</f>
        <v>91.23</v>
      </c>
      <c r="BK27" s="3383">
        <f>IF(ISNUMBER('Q1'!BN279),'Q1'!BN279,"n.a.")</f>
        <v>90.339999999999989</v>
      </c>
      <c r="BL27" s="3383">
        <f>IF(ISNUMBER('Q1'!BO279),'Q1'!BO279,"n.a.")</f>
        <v>94.11</v>
      </c>
      <c r="BM27" s="3383">
        <f>IF(ISNUMBER('Q1'!BP279),'Q1'!BP279,"n.a.")</f>
        <v>93.566666666666677</v>
      </c>
      <c r="BN27" s="3383">
        <f>IF(ISNUMBER('Q1'!BQ279),'Q1'!BQ279,"n.a.")</f>
        <v>92.259999999999991</v>
      </c>
      <c r="BO27" s="3383">
        <f>IF(ISNUMBER('Q1'!BR279),'Q1'!BR279,"n.a.")</f>
        <v>92.009999999999991</v>
      </c>
      <c r="BP27" s="3383">
        <f>IF(ISNUMBER('Q1'!BS279),'Q1'!BS279,"n.a.")</f>
        <v>93</v>
      </c>
      <c r="BQ27" s="3383">
        <f>IF(ISNUMBER('Q1'!BT279),'Q1'!BT279,"n.a.")</f>
        <v>91.726666666666674</v>
      </c>
      <c r="BR27" s="3383">
        <f>IF(ISNUMBER('Q1'!BU279),'Q1'!BU279,"n.a.")</f>
        <v>90.62</v>
      </c>
      <c r="BS27" s="3383">
        <f>IF(ISNUMBER('Q1'!BV279),'Q1'!BV279,"n.a.")</f>
        <v>90.053333333333342</v>
      </c>
      <c r="BT27" s="3383">
        <f>IF(ISNUMBER('Q1'!BW279),'Q1'!BW279,"n.a.")</f>
        <v>92.173333333333332</v>
      </c>
      <c r="BU27" s="3383">
        <f>IF(ISNUMBER('Q1'!BX279),'Q1'!BX279,"n.a.")</f>
        <v>93.133333333333326</v>
      </c>
      <c r="BV27" s="3383">
        <f>IF(ISNUMBER('Q1'!BY279),'Q1'!BY279,"n.a.")</f>
        <v>92.61333333333333</v>
      </c>
      <c r="BW27" s="3383">
        <f>IF(ISNUMBER('Q1'!BZ279),'Q1'!BZ279,"n.a.")</f>
        <v>93.443333333333342</v>
      </c>
      <c r="BX27" s="3383">
        <f>IF(ISNUMBER('Q1'!CA279),'Q1'!CA279,"n.a.")</f>
        <v>95.286666666666676</v>
      </c>
      <c r="BY27" s="3383">
        <f>IF(ISNUMBER('Q1'!CB279),'Q1'!CB279,"n.a.")</f>
        <v>97.683333333333323</v>
      </c>
      <c r="BZ27" s="3383">
        <f>IF(ISNUMBER('Q1'!CC279),'Q1'!CC279,"n.a.")</f>
        <v>96.81</v>
      </c>
      <c r="CA27" s="3383">
        <f>IF(ISNUMBER('Q1'!CD279),'Q1'!CD279,"n.a.")</f>
        <v>94.54</v>
      </c>
      <c r="CB27" s="3383">
        <f>IF(ISNUMBER('Q1'!CE279),'Q1'!CE279,"n.a.")</f>
        <v>95.853333333333339</v>
      </c>
      <c r="CC27" s="3383">
        <f>IF(ISNUMBER('Q1'!CF279),'Q1'!CF279,"n.a.")</f>
        <v>96.29</v>
      </c>
      <c r="CD27" s="3383">
        <f>IF(ISNUMBER('Q1'!CG279),'Q1'!CG279,"n.a.")</f>
        <v>96.033333333333317</v>
      </c>
      <c r="CE27" s="3383">
        <f>IF(ISNUMBER('Q1'!CH279),'Q1'!CH279,"n.a.")</f>
        <v>96.089999999999989</v>
      </c>
      <c r="CF27" s="3383">
        <f>IF(ISNUMBER('Q1'!CI279),'Q1'!CI279,"n.a.")</f>
        <v>97.823333333333338</v>
      </c>
      <c r="CG27" s="3383">
        <f>IF(ISNUMBER('Q1'!CJ279),'Q1'!CJ279,"n.a.")</f>
        <v>99.936666666666667</v>
      </c>
      <c r="CH27" s="3383">
        <f>IF(ISNUMBER('Q1'!CK279),'Q1'!CK279,"n.a.")</f>
        <v>101.23333333333335</v>
      </c>
      <c r="CI27" s="3383">
        <f>IF(ISNUMBER('Q1'!CL279),'Q1'!CL279,"n.a.")</f>
        <v>101.00666666666666</v>
      </c>
      <c r="CJ27" s="3383">
        <f>IF(ISNUMBER('Q1'!CM279),'Q1'!CM279,"n.a.")</f>
        <v>101.92333333333333</v>
      </c>
      <c r="CK27" s="3383">
        <f>IF(ISNUMBER('Q1'!CN279),'Q1'!CN279,"n.a.")</f>
        <v>102.56333333333333</v>
      </c>
      <c r="CL27" s="3383">
        <f>IF(ISNUMBER('Q1'!CO279),'Q1'!CO279,"n.a.")</f>
        <v>102.85333333333334</v>
      </c>
      <c r="CM27" s="3383">
        <f>IF(ISNUMBER('Q1'!CP279),'Q1'!CP279,"n.a.")</f>
        <v>103.03333333333335</v>
      </c>
      <c r="CN27" s="3383">
        <f>IF(ISNUMBER('Q1'!CQ279),'Q1'!CQ279,"n.a.")</f>
        <v>105.15333333333332</v>
      </c>
      <c r="CO27" s="3383">
        <f>IF(ISNUMBER('Q1'!CR279),'Q1'!CR279,"n.a.")</f>
        <v>104.36333333333334</v>
      </c>
      <c r="CP27" s="3383">
        <f>IF(ISNUMBER('Q1'!CS279),'Q1'!CS279,"n.a.")</f>
        <v>105.18</v>
      </c>
      <c r="CQ27" s="3383">
        <f>IF(ISNUMBER('Q1'!CT279),'Q1'!CT279,"n.a.")</f>
        <v>104.90666666666668</v>
      </c>
      <c r="CR27" s="3383">
        <f>IF(ISNUMBER('Q1'!CU279),'Q1'!CU279,"n.a.")</f>
        <v>106.3</v>
      </c>
      <c r="CS27" s="3383">
        <f>IF(ISNUMBER('Q1'!CV279),'Q1'!CV279,"n.a.")</f>
        <v>108.51333333333334</v>
      </c>
      <c r="CT27" s="3383">
        <f>IF(ISNUMBER('Q1'!CW279),'Q1'!CW279,"n.a.")</f>
        <v>110.08</v>
      </c>
      <c r="CU27" s="3383">
        <f>IF(ISNUMBER('Q1'!CX279),'Q1'!CX279,"n.a.")</f>
        <v>109.10293333333335</v>
      </c>
      <c r="CV27" s="3383">
        <f>IF(ISNUMBER('Q1'!CY279),'Q1'!CY279,"n.a.")</f>
        <v>110.02049999999998</v>
      </c>
      <c r="CW27" s="3383">
        <f>IF(ISNUMBER('Q1'!CZ279),'Q1'!CZ279,"n.a.")</f>
        <v>111.87724666666666</v>
      </c>
      <c r="CX27" s="3383">
        <f>IF(ISNUMBER('Q1'!DA279),'Q1'!DA279,"n.a.")</f>
        <v>112.77695999999999</v>
      </c>
      <c r="CY27" s="3383">
        <f>IF(ISNUMBER('Q1'!DB279),'Q1'!DB279,"n.a.")</f>
        <v>111.77595520000001</v>
      </c>
      <c r="CZ27" s="3383">
        <f>IF(ISNUMBER('Q1'!DC279),'Q1'!DC279,"n.a.")</f>
        <v>112.33093049999998</v>
      </c>
      <c r="DA27" s="3383">
        <f>IF(ISNUMBER('Q1'!DD279),'Q1'!DD279,"n.a.")</f>
        <v>114.10360387533333</v>
      </c>
      <c r="DB27" s="3383">
        <f>IF(ISNUMBER('Q1'!DE279),'Q1'!DE279,"n.a.")</f>
        <v>114.78438988799999</v>
      </c>
      <c r="DC27" s="3383">
        <f>IF(ISNUMBER('Q1'!DF279),'Q1'!DF279,"n.a.")</f>
        <v>113.50848250560001</v>
      </c>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row>
    <row r="28" spans="1:189">
      <c r="A28" s="3383" t="str">
        <f t="shared" si="1"/>
        <v>\\DG ECFIN\Forecast\Country databases\Desk transfer databases\SE</v>
      </c>
      <c r="B28" s="3383" t="str">
        <f t="shared" si="2"/>
        <v>SE</v>
      </c>
      <c r="C28" s="3383" t="s">
        <v>2268</v>
      </c>
      <c r="D28" s="3383" t="s">
        <v>2202</v>
      </c>
      <c r="E28" s="3383" t="s">
        <v>2292</v>
      </c>
      <c r="F28" s="3383">
        <v>171</v>
      </c>
      <c r="G28" s="3383" t="s">
        <v>1022</v>
      </c>
      <c r="H28" s="3383">
        <f>IF(ISNUMBER('Q1'!K281),'Q1'!K281,"n.a.")</f>
        <v>69.736666666666665</v>
      </c>
      <c r="I28" s="3383">
        <f>IF(ISNUMBER('Q1'!L281),'Q1'!L281,"n.a.")</f>
        <v>69.959999999999994</v>
      </c>
      <c r="J28" s="3383">
        <f>IF(ISNUMBER('Q1'!M281),'Q1'!M281,"n.a.")</f>
        <v>70.11333333333333</v>
      </c>
      <c r="K28" s="3383">
        <f>IF(ISNUMBER('Q1'!N281),'Q1'!N281,"n.a.")</f>
        <v>70.146666666666661</v>
      </c>
      <c r="L28" s="3383">
        <f>IF(ISNUMBER('Q1'!O281),'Q1'!O281,"n.a.")</f>
        <v>71.286666666666648</v>
      </c>
      <c r="M28" s="3383">
        <f>IF(ISNUMBER('Q1'!P281),'Q1'!P281,"n.a.")</f>
        <v>71.800000000000011</v>
      </c>
      <c r="N28" s="3383">
        <f>IF(ISNUMBER('Q1'!Q281),'Q1'!Q281,"n.a.")</f>
        <v>71.660000000000011</v>
      </c>
      <c r="O28" s="3383">
        <f>IF(ISNUMBER('Q1'!R281),'Q1'!R281,"n.a.")</f>
        <v>72.11666666666666</v>
      </c>
      <c r="P28" s="3383">
        <f>IF(ISNUMBER('Q1'!S281),'Q1'!S281,"n.a.")</f>
        <v>72.61333333333333</v>
      </c>
      <c r="Q28" s="3383">
        <f>IF(ISNUMBER('Q1'!T281),'Q1'!T281,"n.a.")</f>
        <v>72.94</v>
      </c>
      <c r="R28" s="3383">
        <f>IF(ISNUMBER('Q1'!U281),'Q1'!U281,"n.a.")</f>
        <v>73.08</v>
      </c>
      <c r="S28" s="3383">
        <f>IF(ISNUMBER('Q1'!V281),'Q1'!V281,"n.a.")</f>
        <v>73.526666666666671</v>
      </c>
      <c r="T28" s="3383">
        <f>IF(ISNUMBER('Q1'!W281),'Q1'!W281,"n.a.")</f>
        <v>74.076666666666668</v>
      </c>
      <c r="U28" s="3383">
        <f>IF(ISNUMBER('Q1'!X281),'Q1'!X281,"n.a.")</f>
        <v>74.413333333333341</v>
      </c>
      <c r="V28" s="3383">
        <f>IF(ISNUMBER('Q1'!Y281),'Q1'!Y281,"n.a.")</f>
        <v>74.443333333333328</v>
      </c>
      <c r="W28" s="3383">
        <f>IF(ISNUMBER('Q1'!Z281),'Q1'!Z281,"n.a.")</f>
        <v>74.426666666666662</v>
      </c>
      <c r="X28" s="3383">
        <f>IF(ISNUMBER('Q1'!AA281),'Q1'!AA281,"n.a.")</f>
        <v>74.930000000000007</v>
      </c>
      <c r="Y28" s="3383">
        <f>IF(ISNUMBER('Q1'!AB281),'Q1'!AB281,"n.a.")</f>
        <v>75.063333333333333</v>
      </c>
      <c r="Z28" s="3383">
        <f>IF(ISNUMBER('Q1'!AC281),'Q1'!AC281,"n.a.")</f>
        <v>74.850000000000009</v>
      </c>
      <c r="AA28" s="3383">
        <f>IF(ISNUMBER('Q1'!AD281),'Q1'!AD281,"n.a.")</f>
        <v>75.526666666666671</v>
      </c>
      <c r="AB28" s="3383">
        <f>IF(ISNUMBER('Q1'!AE281),'Q1'!AE281,"n.a.")</f>
        <v>76.430000000000007</v>
      </c>
      <c r="AC28" s="3383">
        <f>IF(ISNUMBER('Q1'!AF281),'Q1'!AF281,"n.a.")</f>
        <v>77.256666666666661</v>
      </c>
      <c r="AD28" s="3383">
        <f>IF(ISNUMBER('Q1'!AG281),'Q1'!AG281,"n.a.")</f>
        <v>77.733333333333334</v>
      </c>
      <c r="AE28" s="3383">
        <f>IF(ISNUMBER('Q1'!AH281),'Q1'!AH281,"n.a.")</f>
        <v>78.143333333333331</v>
      </c>
      <c r="AF28" s="3383">
        <f>IF(ISNUMBER('Q1'!AI281),'Q1'!AI281,"n.a.")</f>
        <v>78.303333333333342</v>
      </c>
      <c r="AG28" s="3383">
        <f>IF(ISNUMBER('Q1'!AJ281),'Q1'!AJ281,"n.a.")</f>
        <v>79.3</v>
      </c>
      <c r="AH28" s="3383">
        <f>IF(ISNUMBER('Q1'!AK281),'Q1'!AK281,"n.a.")</f>
        <v>79.23</v>
      </c>
      <c r="AI28" s="3383">
        <f>IF(ISNUMBER('Q1'!AL281),'Q1'!AL281,"n.a.")</f>
        <v>79.783333333333346</v>
      </c>
      <c r="AJ28" s="3383">
        <f>IF(ISNUMBER('Q1'!AM281),'Q1'!AM281,"n.a.")</f>
        <v>80.476666666666674</v>
      </c>
      <c r="AK28" s="3383">
        <f>IF(ISNUMBER('Q1'!AN281),'Q1'!AN281,"n.a.")</f>
        <v>80.98</v>
      </c>
      <c r="AL28" s="3383">
        <f>IF(ISNUMBER('Q1'!AO281),'Q1'!AO281,"n.a.")</f>
        <v>81.34333333333332</v>
      </c>
      <c r="AM28" s="3383">
        <f>IF(ISNUMBER('Q1'!AP281),'Q1'!AP281,"n.a.")</f>
        <v>81.536666666666676</v>
      </c>
      <c r="AN28" s="3383">
        <f>IF(ISNUMBER('Q1'!AQ281),'Q1'!AQ281,"n.a.")</f>
        <v>82.336666666666659</v>
      </c>
      <c r="AO28" s="3383">
        <f>IF(ISNUMBER('Q1'!AR281),'Q1'!AR281,"n.a.")</f>
        <v>82.969999999999985</v>
      </c>
      <c r="AP28" s="3383">
        <f>IF(ISNUMBER('Q1'!AS281),'Q1'!AS281,"n.a.")</f>
        <v>83.49</v>
      </c>
      <c r="AQ28" s="3383">
        <f>IF(ISNUMBER('Q1'!AT281),'Q1'!AT281,"n.a.")</f>
        <v>83.546666666666667</v>
      </c>
      <c r="AR28" s="3383">
        <f>IF(ISNUMBER('Q1'!AU281),'Q1'!AU281,"n.a.")</f>
        <v>84.11</v>
      </c>
      <c r="AS28" s="3383">
        <f>IF(ISNUMBER('Q1'!AV281),'Q1'!AV281,"n.a.")</f>
        <v>84.31</v>
      </c>
      <c r="AT28" s="3383">
        <f>IF(ISNUMBER('Q1'!AW281),'Q1'!AW281,"n.a.")</f>
        <v>84.51</v>
      </c>
      <c r="AU28" s="3383">
        <f>IF(ISNUMBER('Q1'!AX281),'Q1'!AX281,"n.a.")</f>
        <v>84.856666666666669</v>
      </c>
      <c r="AV28" s="3383">
        <f>IF(ISNUMBER('Q1'!AY281),'Q1'!AY281,"n.a.")</f>
        <v>85.143333333333331</v>
      </c>
      <c r="AW28" s="3383">
        <f>IF(ISNUMBER('Q1'!AZ281),'Q1'!AZ281,"n.a.")</f>
        <v>85.490000000000009</v>
      </c>
      <c r="AX28" s="3383">
        <f>IF(ISNUMBER('Q1'!BA281),'Q1'!BA281,"n.a.")</f>
        <v>85.693333333333328</v>
      </c>
      <c r="AY28" s="3383">
        <f>IF(ISNUMBER('Q1'!BB281),'Q1'!BB281,"n.a.")</f>
        <v>85.976666666666674</v>
      </c>
      <c r="AZ28" s="3383">
        <f>IF(ISNUMBER('Q1'!BC281),'Q1'!BC281,"n.a.")</f>
        <v>86.559999999999988</v>
      </c>
      <c r="BA28" s="3383">
        <f>IF(ISNUMBER('Q1'!BD281),'Q1'!BD281,"n.a.")</f>
        <v>87.106666666666669</v>
      </c>
      <c r="BB28" s="3383">
        <f>IF(ISNUMBER('Q1'!BE281),'Q1'!BE281,"n.a.")</f>
        <v>87.98</v>
      </c>
      <c r="BC28" s="3383">
        <f>IF(ISNUMBER('Q1'!BF281),'Q1'!BF281,"n.a.")</f>
        <v>87.953333333333333</v>
      </c>
      <c r="BD28" s="3383">
        <f>IF(ISNUMBER('Q1'!BG281),'Q1'!BG281,"n.a.")</f>
        <v>88.649999999999991</v>
      </c>
      <c r="BE28" s="3383">
        <f>IF(ISNUMBER('Q1'!BH281),'Q1'!BH281,"n.a.")</f>
        <v>89.306666666666658</v>
      </c>
      <c r="BF28" s="3383">
        <f>IF(ISNUMBER('Q1'!BI281),'Q1'!BI281,"n.a.")</f>
        <v>89.466666666666654</v>
      </c>
      <c r="BG28" s="3383">
        <f>IF(ISNUMBER('Q1'!BJ281),'Q1'!BJ281,"n.a.")</f>
        <v>89.856666666666669</v>
      </c>
      <c r="BH28" s="3383">
        <f>IF(ISNUMBER('Q1'!BK281),'Q1'!BK281,"n.a.")</f>
        <v>90.723333333333315</v>
      </c>
      <c r="BI28" s="3383">
        <f>IF(ISNUMBER('Q1'!BL281),'Q1'!BL281,"n.a.")</f>
        <v>91.553333333333327</v>
      </c>
      <c r="BJ28" s="3383">
        <f>IF(ISNUMBER('Q1'!BM281),'Q1'!BM281,"n.a.")</f>
        <v>92.11333333333333</v>
      </c>
      <c r="BK28" s="3383">
        <f>IF(ISNUMBER('Q1'!BN281),'Q1'!BN281,"n.a.")</f>
        <v>92.336666666666659</v>
      </c>
      <c r="BL28" s="3383">
        <f>IF(ISNUMBER('Q1'!BO281),'Q1'!BO281,"n.a.")</f>
        <v>92.586666666666659</v>
      </c>
      <c r="BM28" s="3383">
        <f>IF(ISNUMBER('Q1'!BP281),'Q1'!BP281,"n.a.")</f>
        <v>93.160000000000011</v>
      </c>
      <c r="BN28" s="3383">
        <f>IF(ISNUMBER('Q1'!BQ281),'Q1'!BQ281,"n.a.")</f>
        <v>93.686666666666667</v>
      </c>
      <c r="BO28" s="3383">
        <f>IF(ISNUMBER('Q1'!BR281),'Q1'!BR281,"n.a.")</f>
        <v>93.969999999999985</v>
      </c>
      <c r="BP28" s="3383">
        <f>IF(ISNUMBER('Q1'!BS281),'Q1'!BS281,"n.a.")</f>
        <v>94.149999999999991</v>
      </c>
      <c r="BQ28" s="3383">
        <f>IF(ISNUMBER('Q1'!BT281),'Q1'!BT281,"n.a.")</f>
        <v>94.986666666666679</v>
      </c>
      <c r="BR28" s="3383">
        <f>IF(ISNUMBER('Q1'!BU281),'Q1'!BU281,"n.a.")</f>
        <v>95.24</v>
      </c>
      <c r="BS28" s="3383">
        <f>IF(ISNUMBER('Q1'!BV281),'Q1'!BV281,"n.a.")</f>
        <v>95.38666666666667</v>
      </c>
      <c r="BT28" s="3383">
        <f>IF(ISNUMBER('Q1'!BW281),'Q1'!BW281,"n.a.")</f>
        <v>95.886666666666656</v>
      </c>
      <c r="BU28" s="3383">
        <f>IF(ISNUMBER('Q1'!BX281),'Q1'!BX281,"n.a.")</f>
        <v>96.63666666666667</v>
      </c>
      <c r="BV28" s="3383">
        <f>IF(ISNUMBER('Q1'!BY281),'Q1'!BY281,"n.a.")</f>
        <v>96.933333333333337</v>
      </c>
      <c r="BW28" s="3383">
        <f>IF(ISNUMBER('Q1'!BZ281),'Q1'!BZ281,"n.a.")</f>
        <v>97.263333333333335</v>
      </c>
      <c r="BX28" s="3383">
        <f>IF(ISNUMBER('Q1'!CA281),'Q1'!CA281,"n.a.")</f>
        <v>97.286666666666676</v>
      </c>
      <c r="BY28" s="3383">
        <f>IF(ISNUMBER('Q1'!CB281),'Q1'!CB281,"n.a.")</f>
        <v>97.666666666666671</v>
      </c>
      <c r="BZ28" s="3383">
        <f>IF(ISNUMBER('Q1'!CC281),'Q1'!CC281,"n.a.")</f>
        <v>98.15333333333335</v>
      </c>
      <c r="CA28" s="3383">
        <f>IF(ISNUMBER('Q1'!CD281),'Q1'!CD281,"n.a.")</f>
        <v>97.926666666666662</v>
      </c>
      <c r="CB28" s="3383">
        <f>IF(ISNUMBER('Q1'!CE281),'Q1'!CE281,"n.a.")</f>
        <v>97.783333333333346</v>
      </c>
      <c r="CC28" s="3383">
        <f>IF(ISNUMBER('Q1'!CF281),'Q1'!CF281,"n.a.")</f>
        <v>98.660000000000011</v>
      </c>
      <c r="CD28" s="3383">
        <f>IF(ISNUMBER('Q1'!CG281),'Q1'!CG281,"n.a.")</f>
        <v>99.086666666666659</v>
      </c>
      <c r="CE28" s="3383">
        <f>IF(ISNUMBER('Q1'!CH281),'Q1'!CH281,"n.a.")</f>
        <v>99.213333333333324</v>
      </c>
      <c r="CF28" s="3383">
        <f>IF(ISNUMBER('Q1'!CI281),'Q1'!CI281,"n.a.")</f>
        <v>99.34999999999998</v>
      </c>
      <c r="CG28" s="3383">
        <f>IF(ISNUMBER('Q1'!CJ281),'Q1'!CJ281,"n.a.")</f>
        <v>99.853333333333339</v>
      </c>
      <c r="CH28" s="3383">
        <f>IF(ISNUMBER('Q1'!CK281),'Q1'!CK281,"n.a.")</f>
        <v>100.53666666666668</v>
      </c>
      <c r="CI28" s="3383">
        <f>IF(ISNUMBER('Q1'!CL281),'Q1'!CL281,"n.a.")</f>
        <v>100.25666666666666</v>
      </c>
      <c r="CJ28" s="3383">
        <f>IF(ISNUMBER('Q1'!CM281),'Q1'!CM281,"n.a.")</f>
        <v>100.72333333333334</v>
      </c>
      <c r="CK28" s="3383">
        <f>IF(ISNUMBER('Q1'!CN281),'Q1'!CN281,"n.a.")</f>
        <v>101.2</v>
      </c>
      <c r="CL28" s="3383">
        <f>IF(ISNUMBER('Q1'!CO281),'Q1'!CO281,"n.a.")</f>
        <v>101.72666666666667</v>
      </c>
      <c r="CM28" s="3383">
        <f>IF(ISNUMBER('Q1'!CP281),'Q1'!CP281,"n.a.")</f>
        <v>101.35000000000001</v>
      </c>
      <c r="CN28" s="3383">
        <f>IF(ISNUMBER('Q1'!CQ281),'Q1'!CQ281,"n.a.")</f>
        <v>101.81</v>
      </c>
      <c r="CO28" s="3383">
        <f>IF(ISNUMBER('Q1'!CR281),'Q1'!CR281,"n.a.")</f>
        <v>103.62666666666667</v>
      </c>
      <c r="CP28" s="3383">
        <f>IF(ISNUMBER('Q1'!CS281),'Q1'!CS281,"n.a.")</f>
        <v>104.82333333333334</v>
      </c>
      <c r="CQ28" s="3383">
        <f>IF(ISNUMBER('Q1'!CT281),'Q1'!CT281,"n.a.")</f>
        <v>103.79666666666667</v>
      </c>
      <c r="CR28" s="3383">
        <f>IF(ISNUMBER('Q1'!CU281),'Q1'!CU281,"n.a.")</f>
        <v>103.82000000000001</v>
      </c>
      <c r="CS28" s="3383">
        <f>IF(ISNUMBER('Q1'!CV281),'Q1'!CV281,"n.a.")</f>
        <v>105.19</v>
      </c>
      <c r="CT28" s="3383">
        <f>IF(ISNUMBER('Q1'!CW281),'Q1'!CW281,"n.a.")</f>
        <v>106.27</v>
      </c>
      <c r="CU28" s="3383">
        <f>IF(ISNUMBER('Q1'!CX281),'Q1'!CX281,"n.a.")</f>
        <v>105.74804399999999</v>
      </c>
      <c r="CV28" s="3383">
        <f>IF(ISNUMBER('Q1'!CY281),'Q1'!CY281,"n.a.")</f>
        <v>105.771816</v>
      </c>
      <c r="CW28" s="3383">
        <f>IF(ISNUMBER('Q1'!CZ281),'Q1'!CZ281,"n.a.")</f>
        <v>107.283281</v>
      </c>
      <c r="CX28" s="3383">
        <f>IF(ISNUMBER('Q1'!DA281),'Q1'!DA281,"n.a.")</f>
        <v>108.40602699999999</v>
      </c>
      <c r="CY28" s="3383">
        <f>IF(ISNUMBER('Q1'!DB281),'Q1'!DB281,"n.a.")</f>
        <v>108.2119734252</v>
      </c>
      <c r="CZ28" s="3383">
        <f>IF(ISNUMBER('Q1'!DC281),'Q1'!DC281,"n.a.")</f>
        <v>108.363225492</v>
      </c>
      <c r="DA28" s="3383">
        <f>IF(ISNUMBER('Q1'!DD281),'Q1'!DD281,"n.a.")</f>
        <v>109.97609135309999</v>
      </c>
      <c r="DB28" s="3383">
        <f>IF(ISNUMBER('Q1'!DE281),'Q1'!DE281,"n.a.")</f>
        <v>111.27878671549999</v>
      </c>
      <c r="DC28" s="3383">
        <f>IF(ISNUMBER('Q1'!DF281),'Q1'!DF281,"n.a.")</f>
        <v>111.05794832628276</v>
      </c>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row>
    <row r="29" spans="1:18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row>
    <row r="30" spans="1:189">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row>
    <row r="31" spans="1:189">
      <c r="BX31" s="3251"/>
    </row>
    <row r="32" spans="1:189">
      <c r="BX32" s="3251"/>
      <c r="BY32" s="3251"/>
      <c r="BZ32" s="3251"/>
      <c r="CA32" s="3251"/>
      <c r="CB32" s="3251"/>
      <c r="CC32" s="3251"/>
    </row>
    <row r="33" spans="76:76">
      <c r="BX33" s="3251"/>
    </row>
  </sheetData>
  <protectedRanges>
    <protectedRange sqref="G5" name="Range1"/>
    <protectedRange sqref="G6" name="Range1_1"/>
  </protectedRanges>
  <pageMargins left="0.31" right="0.25" top="0.59055118110236227" bottom="0.55000000000000004" header="0.51181102362204722" footer="0.31"/>
  <pageSetup paperSize="9" scale="10" fitToHeight="9" orientation="landscape" horizontalDpi="1200" verticalDpi="1200" r:id="rId1"/>
  <headerFooter alignWithMargins="0">
    <oddFooter>&amp;L&amp;F  &amp;A&amp;CPage &amp;P</oddFooter>
  </headerFooter>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27</vt:i4>
      </vt:variant>
    </vt:vector>
  </HeadingPairs>
  <TitlesOfParts>
    <vt:vector size="47" baseType="lpstr">
      <vt:lpstr>BACKGROUND CALC</vt:lpstr>
      <vt:lpstr>T</vt:lpstr>
      <vt:lpstr>Manual</vt:lpstr>
      <vt:lpstr>InputY</vt:lpstr>
      <vt:lpstr>InputQ</vt:lpstr>
      <vt:lpstr>InputDFM</vt:lpstr>
      <vt:lpstr>VVP1</vt:lpstr>
      <vt:lpstr>VVP2</vt:lpstr>
      <vt:lpstr>VVP3</vt:lpstr>
      <vt:lpstr>Q1</vt:lpstr>
      <vt:lpstr>Q2</vt:lpstr>
      <vt:lpstr>Labour1</vt:lpstr>
      <vt:lpstr>Labour2</vt:lpstr>
      <vt:lpstr>Sector1</vt:lpstr>
      <vt:lpstr>Sector2</vt:lpstr>
      <vt:lpstr>Sector3</vt:lpstr>
      <vt:lpstr>Transfer</vt:lpstr>
      <vt:lpstr>Tables</vt:lpstr>
      <vt:lpstr>Transfer FDMS+ A</vt:lpstr>
      <vt:lpstr>Transfer FDMS+ Q</vt:lpstr>
      <vt:lpstr>Country</vt:lpstr>
      <vt:lpstr>Currency</vt:lpstr>
      <vt:lpstr>InputDFM!fdms_web_query.cfm?cty_SE</vt:lpstr>
      <vt:lpstr>Last_forecast_year</vt:lpstr>
      <vt:lpstr>'Q1'!Print_Area</vt:lpstr>
      <vt:lpstr>Sector3!Print_Area</vt:lpstr>
      <vt:lpstr>Tables!Print_Area</vt:lpstr>
      <vt:lpstr>'VVP3'!Print_Area</vt:lpstr>
      <vt:lpstr>InputDFM!qy_additional_impact.cfm?cty_SE</vt:lpstr>
      <vt:lpstr>InputDFM!qy_transfer_matrix.cfm?cty_SE</vt:lpstr>
      <vt:lpstr>InputDFM!qy_transfer_matrix.cfm?cty_SE_1</vt:lpstr>
      <vt:lpstr>Table_0</vt:lpstr>
      <vt:lpstr>Table_1</vt:lpstr>
      <vt:lpstr>Table_10</vt:lpstr>
      <vt:lpstr>Table_10a</vt:lpstr>
      <vt:lpstr>Table_10b</vt:lpstr>
      <vt:lpstr>Table_11</vt:lpstr>
      <vt:lpstr>Table_12</vt:lpstr>
      <vt:lpstr>Table_2</vt:lpstr>
      <vt:lpstr>Table_3</vt:lpstr>
      <vt:lpstr>Table_4</vt:lpstr>
      <vt:lpstr>Table_5</vt:lpstr>
      <vt:lpstr>Table_6</vt:lpstr>
      <vt:lpstr>Table_7</vt:lpstr>
      <vt:lpstr>Table_8</vt:lpstr>
      <vt:lpstr>Table_9</vt:lpstr>
      <vt:lpstr>test</vt:lpstr>
    </vt:vector>
  </TitlesOfParts>
  <Company>European Commission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DG ECFIN Forecast sheet</dc:title>
  <dc:creator>bethuge</dc:creator>
  <dc:description>Version 1, introduced Summer 2007</dc:description>
  <cp:lastModifiedBy>Umberto Passanisi</cp:lastModifiedBy>
  <cp:lastPrinted>2018-09-07T09:06:24Z</cp:lastPrinted>
  <dcterms:created xsi:type="dcterms:W3CDTF">2006-06-12T11:44:10Z</dcterms:created>
  <dcterms:modified xsi:type="dcterms:W3CDTF">2019-01-28T10:27:20Z</dcterms:modified>
</cp:coreProperties>
</file>